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60" windowWidth="15600" windowHeight="7095" firstSheet="1" activeTab="1"/>
  </bookViews>
  <sheets>
    <sheet name="STUDY VILLAGES_ORI" sheetId="4" state="hidden" r:id="rId1"/>
    <sheet name="DASHBOARD" sheetId="26" r:id="rId2"/>
    <sheet name="4 P" sheetId="25" r:id="rId3"/>
    <sheet name="STUDY VILLAGES" sheetId="5" r:id="rId4"/>
    <sheet name="WHO-SUPPLY" sheetId="22" r:id="rId5"/>
    <sheet name="SAMPLE" sheetId="24" r:id="rId6"/>
    <sheet name="SUM HH WITH" sheetId="6" r:id="rId7"/>
    <sheet name="SUM HH WITHOUT" sheetId="7" r:id="rId8"/>
    <sheet name="SUM HH" sheetId="23" r:id="rId9"/>
    <sheet name="HH WITH COM #1 " sheetId="2" r:id="rId10"/>
    <sheet name="HH WITH COM #2" sheetId="8" r:id="rId11"/>
    <sheet name="HH WITH COM #3" sheetId="9" r:id="rId12"/>
    <sheet name="HH WITH COM #4" sheetId="10" r:id="rId13"/>
    <sheet name="HH WITH COM #5" sheetId="11" r:id="rId14"/>
    <sheet name="HH WITH COM #6" sheetId="12" r:id="rId15"/>
    <sheet name="HH WITH COM #7" sheetId="13" r:id="rId16"/>
    <sheet name="HH WITHOUT COM #1" sheetId="3" r:id="rId17"/>
    <sheet name="HH WITHOUT COM #2" sheetId="14" r:id="rId18"/>
    <sheet name="HH WITHOUT COM #3" sheetId="15" r:id="rId19"/>
    <sheet name="HH WITHOUT COM #4" sheetId="16" r:id="rId20"/>
    <sheet name="HH WITHOUT COM #5" sheetId="17" r:id="rId21"/>
    <sheet name="HH WITHOUT COM #6" sheetId="18" r:id="rId22"/>
    <sheet name="HH WITHOUT COM #7" sheetId="19" r:id="rId23"/>
    <sheet name="PRODUCERS" sheetId="20" r:id="rId24"/>
    <sheet name="HARDWARE STORES" sheetId="21" r:id="rId25"/>
  </sheets>
  <definedNames>
    <definedName name="BANTEAY_MEAS_DISTRICT_IN_KAMPOT_PROVINCE">DASHBOARD!$A$4</definedName>
    <definedName name="_xlnm.Print_Area" localSheetId="2">'4 P'!$A$1:$S$185</definedName>
    <definedName name="_xlnm.Print_Area" localSheetId="1">DASHBOARD!$A$1:$E$46</definedName>
    <definedName name="_xlnm.Print_Area" localSheetId="24">'HARDWARE STORES'!$A$1:$J$108</definedName>
    <definedName name="_xlnm.Print_Area" localSheetId="9">'HH WITH COM #1 '!$A$1:$K$672</definedName>
    <definedName name="_xlnm.Print_Area" localSheetId="10">'HH WITH COM #2'!$A$1:$K$672</definedName>
    <definedName name="_xlnm.Print_Area" localSheetId="11">'HH WITH COM #3'!$A$1:$K$672</definedName>
    <definedName name="_xlnm.Print_Area" localSheetId="12">'HH WITH COM #4'!$A$1:$K$672</definedName>
    <definedName name="_xlnm.Print_Area" localSheetId="13">'HH WITH COM #5'!$A$1:$K$672</definedName>
    <definedName name="_xlnm.Print_Area" localSheetId="14">'HH WITH COM #6'!$A$1:$K$672</definedName>
    <definedName name="_xlnm.Print_Area" localSheetId="15">'HH WITH COM #7'!$A$1:$K$672</definedName>
    <definedName name="_xlnm.Print_Area" localSheetId="16">'HH WITHOUT COM #1'!$A$1:$G$344</definedName>
    <definedName name="_xlnm.Print_Area" localSheetId="17">'HH WITHOUT COM #2'!$A$1:$G$344</definedName>
    <definedName name="_xlnm.Print_Area" localSheetId="18">'HH WITHOUT COM #3'!$A$1:$G$344</definedName>
    <definedName name="_xlnm.Print_Area" localSheetId="19">'HH WITHOUT COM #4'!$A$1:$G$344</definedName>
    <definedName name="_xlnm.Print_Area" localSheetId="20">'HH WITHOUT COM #5'!$A$1:$G$344</definedName>
    <definedName name="_xlnm.Print_Area" localSheetId="21">'HH WITHOUT COM #6'!$A$1:$G$344</definedName>
    <definedName name="_xlnm.Print_Area" localSheetId="22">'HH WITHOUT COM #7'!$A$1:$G$344</definedName>
    <definedName name="_xlnm.Print_Area" localSheetId="23">PRODUCERS!$A$1:$J$452</definedName>
    <definedName name="_xlnm.Print_Area" localSheetId="8">'SUM HH'!$A$1:$AL$186</definedName>
    <definedName name="_xlnm.Print_Area" localSheetId="6">'SUM HH WITH'!$A$1:$AL$508</definedName>
    <definedName name="_xlnm.Print_Area" localSheetId="7">'SUM HH WITHOUT'!$A$1:$AL$267</definedName>
    <definedName name="_xlnm.Print_Area" localSheetId="4">'WHO-SUPPLY'!$A$1:$I$25</definedName>
    <definedName name="_xlnm.Print_Titles" localSheetId="2">'4 P'!$7:$9</definedName>
    <definedName name="_xlnm.Print_Titles" localSheetId="9">'HH WITH COM #1 '!$8:$10</definedName>
    <definedName name="_xlnm.Print_Titles" localSheetId="10">'HH WITH COM #2'!$8:$10</definedName>
    <definedName name="_xlnm.Print_Titles" localSheetId="11">'HH WITH COM #3'!$8:$10</definedName>
    <definedName name="_xlnm.Print_Titles" localSheetId="12">'HH WITH COM #4'!$8:$10</definedName>
    <definedName name="_xlnm.Print_Titles" localSheetId="13">'HH WITH COM #5'!$8:$10</definedName>
    <definedName name="_xlnm.Print_Titles" localSheetId="14">'HH WITH COM #6'!$8:$10</definedName>
    <definedName name="_xlnm.Print_Titles" localSheetId="15">'HH WITH COM #7'!$8:$10</definedName>
    <definedName name="_xlnm.Print_Titles" localSheetId="16">'HH WITHOUT COM #1'!$8:$10</definedName>
    <definedName name="_xlnm.Print_Titles" localSheetId="17">'HH WITHOUT COM #2'!$8:$10</definedName>
    <definedName name="_xlnm.Print_Titles" localSheetId="18">'HH WITHOUT COM #3'!$8:$10</definedName>
    <definedName name="_xlnm.Print_Titles" localSheetId="19">'HH WITHOUT COM #4'!$8:$10</definedName>
    <definedName name="_xlnm.Print_Titles" localSheetId="20">'HH WITHOUT COM #5'!$8:$10</definedName>
    <definedName name="_xlnm.Print_Titles" localSheetId="21">'HH WITHOUT COM #6'!$8:$10</definedName>
    <definedName name="_xlnm.Print_Titles" localSheetId="22">'HH WITHOUT COM #7'!$8:$10</definedName>
    <definedName name="_xlnm.Print_Titles" localSheetId="23">PRODUCERS!$8:$9</definedName>
  </definedNames>
  <calcPr calcId="145621"/>
</workbook>
</file>

<file path=xl/calcChain.xml><?xml version="1.0" encoding="utf-8"?>
<calcChain xmlns="http://schemas.openxmlformats.org/spreadsheetml/2006/main">
  <c r="I35" i="24" l="1"/>
  <c r="L159" i="25" l="1"/>
  <c r="L156" i="25"/>
  <c r="L157" i="25"/>
  <c r="L158" i="25" l="1"/>
  <c r="V71" i="20" l="1"/>
  <c r="U71" i="20"/>
  <c r="T71" i="20"/>
  <c r="S71" i="20"/>
  <c r="R71" i="20"/>
  <c r="W71" i="20" s="1"/>
  <c r="V70" i="20"/>
  <c r="U70" i="20"/>
  <c r="T70" i="20"/>
  <c r="S70" i="20"/>
  <c r="W70" i="20" s="1"/>
  <c r="R70" i="20"/>
  <c r="V69" i="20"/>
  <c r="U69" i="20"/>
  <c r="T69" i="20"/>
  <c r="S69" i="20"/>
  <c r="R69" i="20"/>
  <c r="W69" i="20" s="1"/>
  <c r="V68" i="20"/>
  <c r="V72" i="20" s="1"/>
  <c r="U68" i="20"/>
  <c r="U72" i="20" s="1"/>
  <c r="T68" i="20"/>
  <c r="T72" i="20" s="1"/>
  <c r="S68" i="20"/>
  <c r="S72" i="20" s="1"/>
  <c r="R68" i="20"/>
  <c r="R72" i="20" s="1"/>
  <c r="W68" i="20" l="1"/>
  <c r="W72" i="20" s="1"/>
  <c r="O22" i="20" l="1"/>
  <c r="N22" i="20"/>
  <c r="AO124" i="23" l="1"/>
  <c r="AO123" i="23"/>
  <c r="AN123" i="23"/>
  <c r="AR436" i="6" l="1"/>
  <c r="AN277" i="6"/>
  <c r="R315" i="20"/>
  <c r="Q315" i="20"/>
  <c r="Q313" i="20"/>
  <c r="Q314" i="20"/>
  <c r="Q312" i="20"/>
  <c r="AM249" i="6" l="1"/>
  <c r="AL438" i="6" l="1"/>
  <c r="AL437" i="6"/>
  <c r="AL433" i="6"/>
  <c r="AL432" i="6"/>
  <c r="AL439" i="6"/>
  <c r="J50" i="20" l="1"/>
  <c r="K50" i="20"/>
  <c r="L50" i="20"/>
  <c r="M50" i="20"/>
  <c r="I50" i="20"/>
  <c r="M51" i="20"/>
  <c r="L51" i="20"/>
  <c r="K51" i="20"/>
  <c r="J51" i="20"/>
  <c r="I51" i="20"/>
  <c r="V165" i="14" l="1"/>
  <c r="W165" i="14"/>
  <c r="Y165" i="14" s="1"/>
  <c r="X165" i="14"/>
  <c r="V166" i="14"/>
  <c r="W166" i="14"/>
  <c r="Y166" i="14" s="1"/>
  <c r="X166" i="14"/>
  <c r="V168" i="14"/>
  <c r="W168" i="14"/>
  <c r="Y168" i="14" s="1"/>
  <c r="X168" i="14"/>
  <c r="V165" i="19"/>
  <c r="W165" i="19"/>
  <c r="Y165" i="19" s="1"/>
  <c r="X165" i="19"/>
  <c r="V166" i="19"/>
  <c r="W166" i="19"/>
  <c r="Y166" i="19" s="1"/>
  <c r="X166" i="19"/>
  <c r="V168" i="19"/>
  <c r="W168" i="19"/>
  <c r="Y168" i="19" s="1"/>
  <c r="X168" i="19"/>
  <c r="V165" i="18"/>
  <c r="W165" i="18"/>
  <c r="Y165" i="18" s="1"/>
  <c r="X165" i="18"/>
  <c r="V166" i="18"/>
  <c r="W166" i="18"/>
  <c r="Y166" i="18" s="1"/>
  <c r="X166" i="18"/>
  <c r="V168" i="18"/>
  <c r="W168" i="18"/>
  <c r="Y168" i="18" s="1"/>
  <c r="X168" i="18"/>
  <c r="V165" i="17"/>
  <c r="W165" i="17"/>
  <c r="Y165" i="17" s="1"/>
  <c r="X165" i="17"/>
  <c r="V166" i="17"/>
  <c r="W166" i="17"/>
  <c r="Y166" i="17" s="1"/>
  <c r="X166" i="17"/>
  <c r="V168" i="17"/>
  <c r="W168" i="17"/>
  <c r="Y168" i="17" s="1"/>
  <c r="X168" i="17"/>
  <c r="V165" i="16"/>
  <c r="W165" i="16"/>
  <c r="Y165" i="16" s="1"/>
  <c r="X165" i="16"/>
  <c r="V166" i="16"/>
  <c r="W166" i="16"/>
  <c r="Y166" i="16" s="1"/>
  <c r="X166" i="16"/>
  <c r="V168" i="16"/>
  <c r="W168" i="16"/>
  <c r="Y168" i="16" s="1"/>
  <c r="X168" i="16"/>
  <c r="V165" i="15"/>
  <c r="W165" i="15"/>
  <c r="Y165" i="15" s="1"/>
  <c r="X165" i="15"/>
  <c r="V166" i="15"/>
  <c r="W166" i="15"/>
  <c r="Y166" i="15" s="1"/>
  <c r="X166" i="15"/>
  <c r="V168" i="15"/>
  <c r="W168" i="15"/>
  <c r="Y168" i="15" s="1"/>
  <c r="X168" i="15"/>
  <c r="S165" i="15"/>
  <c r="S166" i="15"/>
  <c r="S167" i="15"/>
  <c r="S168" i="15"/>
  <c r="S165" i="16"/>
  <c r="S166" i="16"/>
  <c r="S167" i="16"/>
  <c r="S168" i="16"/>
  <c r="S165" i="17"/>
  <c r="S166" i="17"/>
  <c r="S167" i="17"/>
  <c r="S168" i="17"/>
  <c r="S165" i="18"/>
  <c r="S166" i="18"/>
  <c r="S167" i="18"/>
  <c r="S168" i="18"/>
  <c r="S165" i="19"/>
  <c r="S166" i="19"/>
  <c r="S167" i="19"/>
  <c r="S168" i="19"/>
  <c r="S165" i="14"/>
  <c r="S166" i="14"/>
  <c r="S167" i="14"/>
  <c r="S168" i="14"/>
  <c r="P165" i="15"/>
  <c r="P166" i="15"/>
  <c r="P167" i="15"/>
  <c r="P168" i="15"/>
  <c r="P165" i="16"/>
  <c r="P166" i="16"/>
  <c r="P167" i="16"/>
  <c r="P168" i="16"/>
  <c r="P165" i="17"/>
  <c r="P166" i="17"/>
  <c r="P167" i="17"/>
  <c r="P168" i="17"/>
  <c r="P165" i="18"/>
  <c r="P166" i="18"/>
  <c r="P167" i="18"/>
  <c r="P168" i="18"/>
  <c r="P165" i="19"/>
  <c r="P166" i="19"/>
  <c r="P167" i="19"/>
  <c r="P168" i="19"/>
  <c r="P165" i="14"/>
  <c r="P166" i="14"/>
  <c r="P167" i="14"/>
  <c r="P168" i="14"/>
  <c r="V167" i="3"/>
  <c r="W167" i="3"/>
  <c r="Y167" i="3" s="1"/>
  <c r="X167" i="3"/>
  <c r="V168" i="3"/>
  <c r="W168" i="3"/>
  <c r="Y168" i="3" s="1"/>
  <c r="X168" i="3"/>
  <c r="S167" i="3"/>
  <c r="S168" i="3"/>
  <c r="P167" i="3"/>
  <c r="P168" i="3"/>
  <c r="V186" i="14"/>
  <c r="W186" i="14"/>
  <c r="Y186" i="14" s="1"/>
  <c r="X186" i="14"/>
  <c r="V187" i="14"/>
  <c r="W187" i="14"/>
  <c r="Y187" i="14" s="1"/>
  <c r="X187" i="14"/>
  <c r="V186" i="15"/>
  <c r="W186" i="15"/>
  <c r="Y186" i="15" s="1"/>
  <c r="X186" i="15"/>
  <c r="V187" i="15"/>
  <c r="W187" i="15"/>
  <c r="Y187" i="15" s="1"/>
  <c r="X187" i="15"/>
  <c r="V186" i="16"/>
  <c r="W186" i="16"/>
  <c r="Y186" i="16" s="1"/>
  <c r="X186" i="16"/>
  <c r="V187" i="16"/>
  <c r="W187" i="16"/>
  <c r="Y187" i="16" s="1"/>
  <c r="X187" i="16"/>
  <c r="V186" i="17"/>
  <c r="W186" i="17"/>
  <c r="Y186" i="17" s="1"/>
  <c r="X186" i="17"/>
  <c r="V187" i="17"/>
  <c r="W187" i="17"/>
  <c r="Y187" i="17" s="1"/>
  <c r="X187" i="17"/>
  <c r="V186" i="18"/>
  <c r="W186" i="18"/>
  <c r="Y186" i="18" s="1"/>
  <c r="X186" i="18"/>
  <c r="V187" i="18"/>
  <c r="W187" i="18"/>
  <c r="Y187" i="18" s="1"/>
  <c r="X187" i="18"/>
  <c r="V186" i="19"/>
  <c r="W186" i="19"/>
  <c r="Y186" i="19" s="1"/>
  <c r="X186" i="19"/>
  <c r="V187" i="19"/>
  <c r="W187" i="19"/>
  <c r="Y187" i="19" s="1"/>
  <c r="X187" i="19"/>
  <c r="V186" i="3"/>
  <c r="W186" i="3"/>
  <c r="Y186" i="3" s="1"/>
  <c r="X186" i="3"/>
  <c r="V187" i="3"/>
  <c r="W187" i="3"/>
  <c r="Y187" i="3" s="1"/>
  <c r="X187" i="3"/>
  <c r="S186" i="14"/>
  <c r="S187" i="14"/>
  <c r="S186" i="15"/>
  <c r="S187" i="15"/>
  <c r="S186" i="16"/>
  <c r="S187" i="16"/>
  <c r="S186" i="17"/>
  <c r="S187" i="17"/>
  <c r="S186" i="18"/>
  <c r="S187" i="18"/>
  <c r="S186" i="19"/>
  <c r="S187" i="19"/>
  <c r="S186" i="3"/>
  <c r="S187" i="3"/>
  <c r="P186" i="14"/>
  <c r="P187" i="14"/>
  <c r="P186" i="15"/>
  <c r="P187" i="15"/>
  <c r="P186" i="16"/>
  <c r="P187" i="16"/>
  <c r="P186" i="17"/>
  <c r="P187" i="17"/>
  <c r="P186" i="18"/>
  <c r="P187" i="18"/>
  <c r="P186" i="19"/>
  <c r="P187" i="19"/>
  <c r="P186" i="3"/>
  <c r="P187" i="3"/>
  <c r="AI163" i="7"/>
  <c r="AK163" i="7" s="1"/>
  <c r="AJ163" i="7"/>
  <c r="AI164" i="7"/>
  <c r="AJ164" i="7"/>
  <c r="AK164" i="7"/>
  <c r="X185" i="14"/>
  <c r="Y185" i="14" s="1"/>
  <c r="W185" i="14"/>
  <c r="V185" i="14"/>
  <c r="X184" i="14"/>
  <c r="W184" i="14"/>
  <c r="V184" i="14"/>
  <c r="X183" i="14"/>
  <c r="Y183" i="14" s="1"/>
  <c r="W183" i="14"/>
  <c r="V183" i="14"/>
  <c r="X182" i="14"/>
  <c r="W182" i="14"/>
  <c r="K159" i="7" s="1"/>
  <c r="V182" i="14"/>
  <c r="X185" i="15"/>
  <c r="Y185" i="15" s="1"/>
  <c r="W185" i="15"/>
  <c r="V185" i="15"/>
  <c r="X184" i="15"/>
  <c r="W184" i="15"/>
  <c r="V184" i="15"/>
  <c r="X183" i="15"/>
  <c r="Y183" i="15" s="1"/>
  <c r="W183" i="15"/>
  <c r="V183" i="15"/>
  <c r="X182" i="15"/>
  <c r="W182" i="15"/>
  <c r="O159" i="7" s="1"/>
  <c r="V182" i="15"/>
  <c r="X185" i="16"/>
  <c r="Y185" i="16" s="1"/>
  <c r="W185" i="16"/>
  <c r="V185" i="16"/>
  <c r="X184" i="16"/>
  <c r="W184" i="16"/>
  <c r="V184" i="16"/>
  <c r="X183" i="16"/>
  <c r="Y183" i="16" s="1"/>
  <c r="W183" i="16"/>
  <c r="V183" i="16"/>
  <c r="X182" i="16"/>
  <c r="W182" i="16"/>
  <c r="S159" i="7" s="1"/>
  <c r="V182" i="16"/>
  <c r="X185" i="17"/>
  <c r="Y185" i="17" s="1"/>
  <c r="W185" i="17"/>
  <c r="V185" i="17"/>
  <c r="X184" i="17"/>
  <c r="W184" i="17"/>
  <c r="V184" i="17"/>
  <c r="X183" i="17"/>
  <c r="Y183" i="17" s="1"/>
  <c r="W183" i="17"/>
  <c r="V183" i="17"/>
  <c r="X182" i="17"/>
  <c r="W182" i="17"/>
  <c r="W159" i="7" s="1"/>
  <c r="V182" i="17"/>
  <c r="X185" i="18"/>
  <c r="Y185" i="18" s="1"/>
  <c r="W185" i="18"/>
  <c r="V185" i="18"/>
  <c r="X184" i="18"/>
  <c r="W184" i="18"/>
  <c r="V184" i="18"/>
  <c r="X183" i="18"/>
  <c r="Y183" i="18" s="1"/>
  <c r="W183" i="18"/>
  <c r="V183" i="18"/>
  <c r="X182" i="18"/>
  <c r="W182" i="18"/>
  <c r="AA159" i="7" s="1"/>
  <c r="V182" i="18"/>
  <c r="X185" i="19"/>
  <c r="Y185" i="19" s="1"/>
  <c r="W185" i="19"/>
  <c r="V185" i="19"/>
  <c r="X184" i="19"/>
  <c r="W184" i="19"/>
  <c r="V184" i="19"/>
  <c r="X183" i="19"/>
  <c r="Y183" i="19" s="1"/>
  <c r="W183" i="19"/>
  <c r="V183" i="19"/>
  <c r="X182" i="19"/>
  <c r="W182" i="19"/>
  <c r="AE159" i="7" s="1"/>
  <c r="V182" i="19"/>
  <c r="X185" i="3"/>
  <c r="Y185" i="3" s="1"/>
  <c r="W185" i="3"/>
  <c r="V185" i="3"/>
  <c r="X184" i="3"/>
  <c r="W184" i="3"/>
  <c r="V184" i="3"/>
  <c r="X183" i="3"/>
  <c r="Y183" i="3" s="1"/>
  <c r="W183" i="3"/>
  <c r="V183" i="3"/>
  <c r="X182" i="3"/>
  <c r="W182" i="3"/>
  <c r="V182" i="3"/>
  <c r="S185" i="14"/>
  <c r="S184" i="14"/>
  <c r="S183" i="14"/>
  <c r="S182" i="14"/>
  <c r="S185" i="15"/>
  <c r="S184" i="15"/>
  <c r="S183" i="15"/>
  <c r="S182" i="15"/>
  <c r="S185" i="16"/>
  <c r="S184" i="16"/>
  <c r="S183" i="16"/>
  <c r="S182" i="16"/>
  <c r="S185" i="17"/>
  <c r="S184" i="17"/>
  <c r="S183" i="17"/>
  <c r="S182" i="17"/>
  <c r="S185" i="18"/>
  <c r="S184" i="18"/>
  <c r="S183" i="18"/>
  <c r="S182" i="18"/>
  <c r="S185" i="19"/>
  <c r="S184" i="19"/>
  <c r="S183" i="19"/>
  <c r="S182" i="19"/>
  <c r="S185" i="3"/>
  <c r="S184" i="3"/>
  <c r="S183" i="3"/>
  <c r="S182" i="3"/>
  <c r="P185" i="14"/>
  <c r="P184" i="14"/>
  <c r="P183" i="14"/>
  <c r="P182" i="14"/>
  <c r="P185" i="15"/>
  <c r="P184" i="15"/>
  <c r="P183" i="15"/>
  <c r="P182" i="15"/>
  <c r="P185" i="16"/>
  <c r="P184" i="16"/>
  <c r="P183" i="16"/>
  <c r="P182" i="16"/>
  <c r="P185" i="17"/>
  <c r="P184" i="17"/>
  <c r="P183" i="17"/>
  <c r="P182" i="17"/>
  <c r="P185" i="18"/>
  <c r="P184" i="18"/>
  <c r="P183" i="18"/>
  <c r="P182" i="18"/>
  <c r="P185" i="19"/>
  <c r="P184" i="19"/>
  <c r="P183" i="19"/>
  <c r="P182" i="19"/>
  <c r="P185" i="3"/>
  <c r="P184" i="3"/>
  <c r="P183" i="3"/>
  <c r="P182" i="3"/>
  <c r="AE160" i="7"/>
  <c r="AA160" i="7"/>
  <c r="W160" i="7"/>
  <c r="S160" i="7"/>
  <c r="O160" i="7"/>
  <c r="K160" i="7"/>
  <c r="AI161" i="7"/>
  <c r="AK161" i="7" s="1"/>
  <c r="AJ161" i="7"/>
  <c r="AI162" i="7"/>
  <c r="AJ162" i="7"/>
  <c r="H159" i="7"/>
  <c r="G160" i="7"/>
  <c r="G159" i="7"/>
  <c r="N177" i="14"/>
  <c r="I159" i="7" l="1"/>
  <c r="Y182" i="3"/>
  <c r="Y182" i="19"/>
  <c r="Y182" i="18"/>
  <c r="Y182" i="17"/>
  <c r="Y182" i="16"/>
  <c r="Y182" i="15"/>
  <c r="Y182" i="14"/>
  <c r="Y184" i="3"/>
  <c r="Y184" i="19"/>
  <c r="Y184" i="18"/>
  <c r="Y184" i="17"/>
  <c r="Y184" i="16"/>
  <c r="Y184" i="15"/>
  <c r="Y184" i="14"/>
  <c r="AK162" i="7"/>
  <c r="L159" i="7"/>
  <c r="M159" i="7" s="1"/>
  <c r="P159" i="7"/>
  <c r="Q159" i="7" s="1"/>
  <c r="T159" i="7"/>
  <c r="U159" i="7" s="1"/>
  <c r="X159" i="7"/>
  <c r="Y159" i="7" s="1"/>
  <c r="AB159" i="7"/>
  <c r="AC159" i="7" s="1"/>
  <c r="AF159" i="7"/>
  <c r="AG159" i="7" s="1"/>
  <c r="H160" i="7"/>
  <c r="I160" i="7" s="1"/>
  <c r="L160" i="7"/>
  <c r="M160" i="7" s="1"/>
  <c r="P160" i="7"/>
  <c r="Q160" i="7" s="1"/>
  <c r="T160" i="7"/>
  <c r="U160" i="7" s="1"/>
  <c r="X160" i="7"/>
  <c r="Y160" i="7" s="1"/>
  <c r="AB160" i="7"/>
  <c r="AC160" i="7" s="1"/>
  <c r="AF160" i="7"/>
  <c r="AG160" i="7" s="1"/>
  <c r="AI160" i="7"/>
  <c r="AI159" i="7"/>
  <c r="AJ159" i="7" l="1"/>
  <c r="AK159" i="7" s="1"/>
  <c r="AJ160" i="7"/>
  <c r="AK160" i="7" s="1"/>
  <c r="L145" i="7" l="1"/>
  <c r="L144" i="7"/>
  <c r="K143" i="7"/>
  <c r="X164" i="14"/>
  <c r="Y164" i="14" s="1"/>
  <c r="W164" i="14"/>
  <c r="K142" i="7" s="1"/>
  <c r="P145" i="7"/>
  <c r="P144" i="7"/>
  <c r="O144" i="7"/>
  <c r="P143" i="7"/>
  <c r="O143" i="7"/>
  <c r="X164" i="15"/>
  <c r="P142" i="7" s="1"/>
  <c r="W164" i="15"/>
  <c r="O142" i="7" s="1"/>
  <c r="T145" i="7"/>
  <c r="T144" i="7"/>
  <c r="T143" i="7"/>
  <c r="U143" i="7" s="1"/>
  <c r="S143" i="7"/>
  <c r="X164" i="16"/>
  <c r="Y164" i="16" s="1"/>
  <c r="W164" i="16"/>
  <c r="S142" i="7" s="1"/>
  <c r="X145" i="7"/>
  <c r="W145" i="7"/>
  <c r="X144" i="7"/>
  <c r="X143" i="7"/>
  <c r="W143" i="7"/>
  <c r="X164" i="17"/>
  <c r="X142" i="7" s="1"/>
  <c r="W164" i="17"/>
  <c r="W142" i="7" s="1"/>
  <c r="AB145" i="7"/>
  <c r="AB144" i="7"/>
  <c r="AA144" i="7"/>
  <c r="AB143" i="7"/>
  <c r="AA143" i="7"/>
  <c r="X164" i="18"/>
  <c r="W164" i="18"/>
  <c r="AA142" i="7" s="1"/>
  <c r="AF145" i="7"/>
  <c r="AF144" i="7"/>
  <c r="AF143" i="7"/>
  <c r="X164" i="19"/>
  <c r="AF142" i="7" s="1"/>
  <c r="W164" i="19"/>
  <c r="AE142" i="7" s="1"/>
  <c r="H145" i="7"/>
  <c r="X166" i="3"/>
  <c r="H144" i="7" s="1"/>
  <c r="W166" i="3"/>
  <c r="X165" i="3"/>
  <c r="W165" i="3"/>
  <c r="Y165" i="3" s="1"/>
  <c r="X164" i="3"/>
  <c r="W164" i="3"/>
  <c r="G142" i="7" s="1"/>
  <c r="V164" i="14"/>
  <c r="V164" i="15"/>
  <c r="V164" i="16"/>
  <c r="V164" i="17"/>
  <c r="V164" i="18"/>
  <c r="V164" i="19"/>
  <c r="V166" i="3"/>
  <c r="V165" i="3"/>
  <c r="V164" i="3"/>
  <c r="S164" i="14"/>
  <c r="S164" i="15"/>
  <c r="S164" i="16"/>
  <c r="S164" i="17"/>
  <c r="S164" i="18"/>
  <c r="S164" i="19"/>
  <c r="S166" i="3"/>
  <c r="S165" i="3"/>
  <c r="S164" i="3"/>
  <c r="P164" i="14"/>
  <c r="P164" i="15"/>
  <c r="P164" i="16"/>
  <c r="P164" i="17"/>
  <c r="P164" i="18"/>
  <c r="P164" i="19"/>
  <c r="P166" i="3"/>
  <c r="P165" i="3"/>
  <c r="P164" i="3"/>
  <c r="H143" i="7"/>
  <c r="G143" i="7"/>
  <c r="Y166" i="3" l="1"/>
  <c r="Y164" i="3"/>
  <c r="Y164" i="18"/>
  <c r="L143" i="7"/>
  <c r="M143" i="7" s="1"/>
  <c r="Y164" i="17"/>
  <c r="K144" i="7"/>
  <c r="M144" i="7" s="1"/>
  <c r="S144" i="7"/>
  <c r="AB142" i="7"/>
  <c r="AC142" i="7" s="1"/>
  <c r="AA145" i="7"/>
  <c r="AC145" i="7" s="1"/>
  <c r="AE143" i="7"/>
  <c r="AI143" i="7" s="1"/>
  <c r="AE145" i="7"/>
  <c r="AG145" i="7" s="1"/>
  <c r="L142" i="7"/>
  <c r="T142" i="7"/>
  <c r="U142" i="7" s="1"/>
  <c r="G144" i="7"/>
  <c r="I144" i="7" s="1"/>
  <c r="Y164" i="19"/>
  <c r="Y164" i="15"/>
  <c r="K145" i="7"/>
  <c r="M145" i="7" s="1"/>
  <c r="O145" i="7"/>
  <c r="Q145" i="7" s="1"/>
  <c r="S145" i="7"/>
  <c r="U145" i="7" s="1"/>
  <c r="AE144" i="7"/>
  <c r="AG144" i="7" s="1"/>
  <c r="Q142" i="7"/>
  <c r="U144" i="7"/>
  <c r="Q143" i="7"/>
  <c r="Y145" i="7"/>
  <c r="AI142" i="7"/>
  <c r="Q144" i="7"/>
  <c r="AC143" i="7"/>
  <c r="AG142" i="7"/>
  <c r="AJ144" i="7"/>
  <c r="AC144" i="7"/>
  <c r="W144" i="7"/>
  <c r="Y144" i="7" s="1"/>
  <c r="Y142" i="7"/>
  <c r="I143" i="7"/>
  <c r="AJ145" i="7"/>
  <c r="Y143" i="7"/>
  <c r="M142" i="7"/>
  <c r="H142" i="7"/>
  <c r="G145" i="7"/>
  <c r="X399" i="2"/>
  <c r="W399" i="2"/>
  <c r="X398" i="2"/>
  <c r="W398" i="2"/>
  <c r="X397" i="2"/>
  <c r="W397" i="2"/>
  <c r="X396" i="2"/>
  <c r="W396" i="2"/>
  <c r="AF280" i="6"/>
  <c r="AE280" i="6"/>
  <c r="AG280" i="6" s="1"/>
  <c r="AB280" i="6"/>
  <c r="AC280" i="6" s="1"/>
  <c r="AA280" i="6"/>
  <c r="X280" i="6"/>
  <c r="W280" i="6"/>
  <c r="T280" i="6"/>
  <c r="S280" i="6"/>
  <c r="P280" i="6"/>
  <c r="O280" i="6"/>
  <c r="L280" i="6"/>
  <c r="K280" i="6"/>
  <c r="M280" i="6" s="1"/>
  <c r="AJ284" i="6"/>
  <c r="AK284" i="6"/>
  <c r="AI284" i="6"/>
  <c r="AG284" i="6"/>
  <c r="AF284" i="6"/>
  <c r="AE284" i="6"/>
  <c r="AC284" i="6"/>
  <c r="AB284" i="6"/>
  <c r="AA284" i="6"/>
  <c r="Y284" i="6"/>
  <c r="X284" i="6"/>
  <c r="W284" i="6"/>
  <c r="Y280" i="6"/>
  <c r="U284" i="6"/>
  <c r="T284" i="6"/>
  <c r="S284" i="6"/>
  <c r="U280" i="6"/>
  <c r="Q284" i="6"/>
  <c r="P284" i="6"/>
  <c r="O284" i="6"/>
  <c r="Q280" i="6"/>
  <c r="M284" i="6"/>
  <c r="L284" i="6"/>
  <c r="K284" i="6"/>
  <c r="H284" i="6"/>
  <c r="I284" i="6"/>
  <c r="G284" i="6"/>
  <c r="H280" i="6"/>
  <c r="G280" i="6"/>
  <c r="I280" i="6" s="1"/>
  <c r="AG143" i="7" l="1"/>
  <c r="AJ142" i="7"/>
  <c r="AK142" i="7" s="1"/>
  <c r="AJ143" i="7"/>
  <c r="AK143" i="7" s="1"/>
  <c r="AI144" i="7"/>
  <c r="AK144" i="7" s="1"/>
  <c r="I142" i="7"/>
  <c r="I145" i="7"/>
  <c r="AI145" i="7"/>
  <c r="AK145" i="7" s="1"/>
  <c r="AI280" i="6"/>
  <c r="AJ280" i="6"/>
  <c r="AK280" i="6" l="1"/>
  <c r="U50" i="20" l="1"/>
  <c r="Y58" i="20"/>
  <c r="Y61" i="20" s="1"/>
  <c r="Y53" i="20"/>
  <c r="Y50" i="20"/>
  <c r="X55" i="20"/>
  <c r="X56" i="20"/>
  <c r="X58" i="20"/>
  <c r="X59" i="20"/>
  <c r="X60" i="20"/>
  <c r="X51" i="20"/>
  <c r="X50" i="20"/>
  <c r="W61" i="20"/>
  <c r="V62" i="20"/>
  <c r="U62" i="20"/>
  <c r="U51" i="20"/>
  <c r="U53" i="20"/>
  <c r="U56" i="20"/>
  <c r="U58" i="20"/>
  <c r="U59" i="20"/>
  <c r="V50" i="20" l="1"/>
  <c r="Z50" i="20" s="1"/>
  <c r="X61" i="20"/>
  <c r="P344" i="3" l="1"/>
  <c r="P343" i="3"/>
  <c r="P342" i="3"/>
  <c r="Y562" i="13"/>
  <c r="X562" i="13"/>
  <c r="W562" i="13"/>
  <c r="V565" i="8"/>
  <c r="U565" i="8"/>
  <c r="T565" i="8"/>
  <c r="L565" i="8"/>
  <c r="K565" i="8"/>
  <c r="J565" i="8"/>
  <c r="V564" i="8"/>
  <c r="U564" i="8"/>
  <c r="T564" i="8"/>
  <c r="R564" i="8"/>
  <c r="L564" i="8"/>
  <c r="K564" i="8"/>
  <c r="J564" i="8"/>
  <c r="V563" i="8"/>
  <c r="U563" i="8"/>
  <c r="T563" i="8"/>
  <c r="R563" i="8"/>
  <c r="L563" i="8"/>
  <c r="K563" i="8"/>
  <c r="J563" i="8"/>
  <c r="U562" i="8"/>
  <c r="T562" i="8"/>
  <c r="N562" i="8"/>
  <c r="U561" i="8"/>
  <c r="T561" i="8"/>
  <c r="R561" i="8"/>
  <c r="R562" i="8" s="1"/>
  <c r="Q561" i="8"/>
  <c r="Q562" i="8" s="1"/>
  <c r="O561" i="8"/>
  <c r="O560" i="8" s="1"/>
  <c r="N561" i="8"/>
  <c r="AC560" i="8"/>
  <c r="U560" i="8"/>
  <c r="T560" i="8"/>
  <c r="R560" i="8"/>
  <c r="R565" i="8" s="1"/>
  <c r="L560" i="8"/>
  <c r="K560" i="8"/>
  <c r="J560" i="8"/>
  <c r="W565" i="9"/>
  <c r="U565" i="9"/>
  <c r="T565" i="9"/>
  <c r="V565" i="9" s="1"/>
  <c r="S565" i="9"/>
  <c r="R565" i="9"/>
  <c r="Q565" i="9"/>
  <c r="N565" i="9"/>
  <c r="L565" i="9"/>
  <c r="K565" i="9"/>
  <c r="J565" i="9"/>
  <c r="W564" i="9"/>
  <c r="U564" i="9"/>
  <c r="T564" i="9"/>
  <c r="V564" i="9" s="1"/>
  <c r="S564" i="9"/>
  <c r="R564" i="9"/>
  <c r="Q564" i="9"/>
  <c r="N564" i="9"/>
  <c r="L564" i="9"/>
  <c r="K564" i="9"/>
  <c r="J564" i="9"/>
  <c r="U563" i="9"/>
  <c r="T563" i="9"/>
  <c r="V563" i="9" s="1"/>
  <c r="S563" i="9"/>
  <c r="R563" i="9"/>
  <c r="Q563" i="9"/>
  <c r="N563" i="9"/>
  <c r="L563" i="9"/>
  <c r="K563" i="9"/>
  <c r="J563" i="9"/>
  <c r="U562" i="9"/>
  <c r="T562" i="9"/>
  <c r="R562" i="9"/>
  <c r="Q562" i="9"/>
  <c r="O562" i="9"/>
  <c r="N562" i="9"/>
  <c r="Y562" i="9" s="1"/>
  <c r="U561" i="9"/>
  <c r="T561" i="9"/>
  <c r="R561" i="9"/>
  <c r="Q561" i="9"/>
  <c r="W561" i="9" s="1"/>
  <c r="W562" i="9" s="1"/>
  <c r="O561" i="9"/>
  <c r="X561" i="9" s="1"/>
  <c r="N561" i="9"/>
  <c r="AC560" i="9"/>
  <c r="U560" i="9"/>
  <c r="T560" i="9"/>
  <c r="R560" i="9"/>
  <c r="Q560" i="9"/>
  <c r="N560" i="9"/>
  <c r="L560" i="9"/>
  <c r="K560" i="9"/>
  <c r="J560" i="9"/>
  <c r="U565" i="10"/>
  <c r="T565" i="10"/>
  <c r="V565" i="10" s="1"/>
  <c r="N565" i="10"/>
  <c r="L565" i="10"/>
  <c r="K565" i="10"/>
  <c r="J565" i="10"/>
  <c r="U564" i="10"/>
  <c r="T564" i="10"/>
  <c r="V564" i="10" s="1"/>
  <c r="N564" i="10"/>
  <c r="L564" i="10"/>
  <c r="K564" i="10"/>
  <c r="J564" i="10"/>
  <c r="U563" i="10"/>
  <c r="T563" i="10"/>
  <c r="V563" i="10" s="1"/>
  <c r="N563" i="10"/>
  <c r="L563" i="10"/>
  <c r="K563" i="10"/>
  <c r="J563" i="10"/>
  <c r="U562" i="10"/>
  <c r="T562" i="10"/>
  <c r="Q562" i="10"/>
  <c r="N562" i="10"/>
  <c r="U561" i="10"/>
  <c r="T561" i="10"/>
  <c r="R561" i="10"/>
  <c r="R560" i="10" s="1"/>
  <c r="Q561" i="10"/>
  <c r="W561" i="10" s="1"/>
  <c r="W562" i="10" s="1"/>
  <c r="O561" i="10"/>
  <c r="O562" i="10" s="1"/>
  <c r="N561" i="10"/>
  <c r="AC560" i="10"/>
  <c r="U560" i="10"/>
  <c r="T560" i="10"/>
  <c r="Q560" i="10"/>
  <c r="Q564" i="10" s="1"/>
  <c r="O560" i="10"/>
  <c r="N560" i="10"/>
  <c r="L560" i="10"/>
  <c r="K560" i="10"/>
  <c r="J560" i="10"/>
  <c r="T565" i="11"/>
  <c r="Q565" i="11"/>
  <c r="L565" i="11"/>
  <c r="K565" i="11"/>
  <c r="J565" i="11"/>
  <c r="T564" i="11"/>
  <c r="Q564" i="11"/>
  <c r="L564" i="11"/>
  <c r="K564" i="11"/>
  <c r="J564" i="11"/>
  <c r="T563" i="11"/>
  <c r="L563" i="11"/>
  <c r="K563" i="11"/>
  <c r="J563" i="11"/>
  <c r="T562" i="11"/>
  <c r="N562" i="11"/>
  <c r="X561" i="11"/>
  <c r="U561" i="11"/>
  <c r="U562" i="11" s="1"/>
  <c r="T561" i="11"/>
  <c r="R561" i="11"/>
  <c r="R562" i="11" s="1"/>
  <c r="Q561" i="11"/>
  <c r="Q562" i="11" s="1"/>
  <c r="O561" i="11"/>
  <c r="O562" i="11" s="1"/>
  <c r="N561" i="11"/>
  <c r="AC560" i="11"/>
  <c r="T560" i="11"/>
  <c r="R560" i="11"/>
  <c r="R565" i="11" s="1"/>
  <c r="Q560" i="11"/>
  <c r="Q563" i="11" s="1"/>
  <c r="L560" i="11"/>
  <c r="K560" i="11"/>
  <c r="J560" i="11"/>
  <c r="V565" i="12"/>
  <c r="U565" i="12"/>
  <c r="T565" i="12"/>
  <c r="N565" i="12"/>
  <c r="L565" i="12"/>
  <c r="K565" i="12"/>
  <c r="J565" i="12"/>
  <c r="V564" i="12"/>
  <c r="U564" i="12"/>
  <c r="T564" i="12"/>
  <c r="N564" i="12"/>
  <c r="L564" i="12"/>
  <c r="K564" i="12"/>
  <c r="J564" i="12"/>
  <c r="V563" i="12"/>
  <c r="U563" i="12"/>
  <c r="T563" i="12"/>
  <c r="N563" i="12"/>
  <c r="L563" i="12"/>
  <c r="K563" i="12"/>
  <c r="J563" i="12"/>
  <c r="U562" i="12"/>
  <c r="T562" i="12"/>
  <c r="N562" i="12"/>
  <c r="U561" i="12"/>
  <c r="T561" i="12"/>
  <c r="R561" i="12"/>
  <c r="R562" i="12" s="1"/>
  <c r="Q561" i="12"/>
  <c r="Q562" i="12" s="1"/>
  <c r="O561" i="12"/>
  <c r="N561" i="12"/>
  <c r="W561" i="12" s="1"/>
  <c r="W562" i="12" s="1"/>
  <c r="AC560" i="12"/>
  <c r="U560" i="12"/>
  <c r="T560" i="12"/>
  <c r="R560" i="12"/>
  <c r="R565" i="12" s="1"/>
  <c r="N560" i="12"/>
  <c r="L560" i="12"/>
  <c r="K560" i="12"/>
  <c r="J560" i="12"/>
  <c r="W565" i="13"/>
  <c r="U565" i="13"/>
  <c r="T565" i="13"/>
  <c r="V565" i="13" s="1"/>
  <c r="S565" i="13"/>
  <c r="R565" i="13"/>
  <c r="Q565" i="13"/>
  <c r="O565" i="13"/>
  <c r="P565" i="13" s="1"/>
  <c r="Y565" i="13" s="1"/>
  <c r="AG404" i="6" s="1"/>
  <c r="N565" i="13"/>
  <c r="L565" i="13"/>
  <c r="K565" i="13"/>
  <c r="J565" i="13"/>
  <c r="U564" i="13"/>
  <c r="T564" i="13"/>
  <c r="V564" i="13" s="1"/>
  <c r="S564" i="13"/>
  <c r="R564" i="13"/>
  <c r="Q564" i="13"/>
  <c r="O564" i="13"/>
  <c r="P564" i="13" s="1"/>
  <c r="Y564" i="13" s="1"/>
  <c r="AG403" i="6" s="1"/>
  <c r="N564" i="13"/>
  <c r="L564" i="13"/>
  <c r="K564" i="13"/>
  <c r="J564" i="13"/>
  <c r="U563" i="13"/>
  <c r="T563" i="13"/>
  <c r="V563" i="13" s="1"/>
  <c r="S563" i="13"/>
  <c r="R563" i="13"/>
  <c r="Q563" i="13"/>
  <c r="P563" i="13"/>
  <c r="Y563" i="13" s="1"/>
  <c r="AG402" i="6" s="1"/>
  <c r="O563" i="13"/>
  <c r="X563" i="13" s="1"/>
  <c r="N563" i="13"/>
  <c r="L563" i="13"/>
  <c r="K563" i="13"/>
  <c r="J563" i="13"/>
  <c r="U562" i="13"/>
  <c r="T562" i="13"/>
  <c r="R562" i="13"/>
  <c r="Q562" i="13"/>
  <c r="O562" i="13"/>
  <c r="N562" i="13"/>
  <c r="U561" i="13"/>
  <c r="T561" i="13"/>
  <c r="R561" i="13"/>
  <c r="Q561" i="13"/>
  <c r="W561" i="13" s="1"/>
  <c r="O561" i="13"/>
  <c r="X561" i="13" s="1"/>
  <c r="N561" i="13"/>
  <c r="AC560" i="13"/>
  <c r="U560" i="13"/>
  <c r="T560" i="13"/>
  <c r="R560" i="13"/>
  <c r="Q560" i="13"/>
  <c r="O560" i="13"/>
  <c r="N560" i="13"/>
  <c r="L560" i="13"/>
  <c r="K560" i="13"/>
  <c r="J560" i="13"/>
  <c r="U565" i="2"/>
  <c r="T565" i="2"/>
  <c r="V565" i="2" s="1"/>
  <c r="L565" i="2"/>
  <c r="K565" i="2"/>
  <c r="J565" i="2"/>
  <c r="U564" i="2"/>
  <c r="T564" i="2"/>
  <c r="V564" i="2" s="1"/>
  <c r="Q564" i="2"/>
  <c r="L564" i="2"/>
  <c r="K564" i="2"/>
  <c r="J564" i="2"/>
  <c r="U563" i="2"/>
  <c r="T563" i="2"/>
  <c r="V563" i="2" s="1"/>
  <c r="L563" i="2"/>
  <c r="K563" i="2"/>
  <c r="J563" i="2"/>
  <c r="U562" i="2"/>
  <c r="T562" i="2"/>
  <c r="Q562" i="2"/>
  <c r="U561" i="2"/>
  <c r="T561" i="2"/>
  <c r="R561" i="2"/>
  <c r="R560" i="2" s="1"/>
  <c r="Q561" i="2"/>
  <c r="W561" i="2" s="1"/>
  <c r="W562" i="2" s="1"/>
  <c r="O561" i="2"/>
  <c r="O562" i="2" s="1"/>
  <c r="N561" i="2"/>
  <c r="N562" i="2" s="1"/>
  <c r="AC560" i="2"/>
  <c r="U560" i="2"/>
  <c r="T560" i="2"/>
  <c r="Q560" i="2"/>
  <c r="Q565" i="2" s="1"/>
  <c r="O560" i="2"/>
  <c r="L560" i="2"/>
  <c r="K560" i="2"/>
  <c r="J560" i="2"/>
  <c r="Z344" i="14"/>
  <c r="U344" i="14"/>
  <c r="T344" i="14"/>
  <c r="V344" i="14" s="1"/>
  <c r="L344" i="14"/>
  <c r="K344" i="14"/>
  <c r="J344" i="14"/>
  <c r="Z343" i="14"/>
  <c r="U343" i="14"/>
  <c r="T343" i="14"/>
  <c r="V343" i="14" s="1"/>
  <c r="L343" i="14"/>
  <c r="K343" i="14"/>
  <c r="J343" i="14"/>
  <c r="Z342" i="14"/>
  <c r="U342" i="14"/>
  <c r="T342" i="14"/>
  <c r="V342" i="14" s="1"/>
  <c r="L342" i="14"/>
  <c r="K342" i="14"/>
  <c r="J342" i="14"/>
  <c r="U341" i="14"/>
  <c r="T341" i="14"/>
  <c r="Q341" i="14"/>
  <c r="O341" i="14"/>
  <c r="X340" i="14"/>
  <c r="U340" i="14"/>
  <c r="T340" i="14"/>
  <c r="R340" i="14"/>
  <c r="Q340" i="14"/>
  <c r="W340" i="14" s="1"/>
  <c r="W341" i="14" s="1"/>
  <c r="O340" i="14"/>
  <c r="N340" i="14"/>
  <c r="N341" i="14" s="1"/>
  <c r="AC339" i="14"/>
  <c r="U339" i="14"/>
  <c r="T339" i="14"/>
  <c r="Q339" i="14"/>
  <c r="O339" i="14"/>
  <c r="O343" i="14" s="1"/>
  <c r="L339" i="14"/>
  <c r="K339" i="14"/>
  <c r="J339" i="14"/>
  <c r="Z344" i="15"/>
  <c r="U344" i="15"/>
  <c r="T344" i="15"/>
  <c r="V344" i="15" s="1"/>
  <c r="S344" i="15"/>
  <c r="R344" i="15"/>
  <c r="Q344" i="15"/>
  <c r="L344" i="15"/>
  <c r="K344" i="15"/>
  <c r="J344" i="15"/>
  <c r="Z343" i="15"/>
  <c r="U343" i="15"/>
  <c r="T343" i="15"/>
  <c r="V343" i="15" s="1"/>
  <c r="S343" i="15"/>
  <c r="R343" i="15"/>
  <c r="Q343" i="15"/>
  <c r="L343" i="15"/>
  <c r="K343" i="15"/>
  <c r="J343" i="15"/>
  <c r="Z342" i="15"/>
  <c r="U342" i="15"/>
  <c r="T342" i="15"/>
  <c r="V342" i="15" s="1"/>
  <c r="S342" i="15"/>
  <c r="R342" i="15"/>
  <c r="Q342" i="15"/>
  <c r="O342" i="15"/>
  <c r="X342" i="15" s="1"/>
  <c r="L342" i="15"/>
  <c r="K342" i="15"/>
  <c r="J342" i="15"/>
  <c r="U341" i="15"/>
  <c r="T341" i="15"/>
  <c r="R341" i="15"/>
  <c r="Q341" i="15"/>
  <c r="O341" i="15"/>
  <c r="U340" i="15"/>
  <c r="T340" i="15"/>
  <c r="R340" i="15"/>
  <c r="X340" i="15" s="1"/>
  <c r="Q340" i="15"/>
  <c r="W340" i="15" s="1"/>
  <c r="W341" i="15" s="1"/>
  <c r="O340" i="15"/>
  <c r="N340" i="15"/>
  <c r="N341" i="15" s="1"/>
  <c r="AC339" i="15"/>
  <c r="U339" i="15"/>
  <c r="T339" i="15"/>
  <c r="R339" i="15"/>
  <c r="Q339" i="15"/>
  <c r="O339" i="15"/>
  <c r="O343" i="15" s="1"/>
  <c r="X343" i="15" s="1"/>
  <c r="L339" i="15"/>
  <c r="K339" i="15"/>
  <c r="J339" i="15"/>
  <c r="Z344" i="16"/>
  <c r="W344" i="16"/>
  <c r="U344" i="16"/>
  <c r="T344" i="16"/>
  <c r="V344" i="16" s="1"/>
  <c r="Q344" i="16"/>
  <c r="O344" i="16"/>
  <c r="P344" i="16" s="1"/>
  <c r="N344" i="16"/>
  <c r="L344" i="16"/>
  <c r="K344" i="16"/>
  <c r="J344" i="16"/>
  <c r="Z343" i="16"/>
  <c r="U343" i="16"/>
  <c r="T343" i="16"/>
  <c r="V343" i="16" s="1"/>
  <c r="Q343" i="16"/>
  <c r="O343" i="16"/>
  <c r="P343" i="16" s="1"/>
  <c r="N343" i="16"/>
  <c r="L343" i="16"/>
  <c r="K343" i="16"/>
  <c r="J343" i="16"/>
  <c r="Z342" i="16"/>
  <c r="U342" i="16"/>
  <c r="T342" i="16"/>
  <c r="Q342" i="16"/>
  <c r="O342" i="16"/>
  <c r="N342" i="16"/>
  <c r="L342" i="16"/>
  <c r="K342" i="16"/>
  <c r="J342" i="16"/>
  <c r="U341" i="16"/>
  <c r="T341" i="16"/>
  <c r="Q341" i="16"/>
  <c r="O341" i="16"/>
  <c r="N341" i="16"/>
  <c r="U340" i="16"/>
  <c r="T340" i="16"/>
  <c r="R340" i="16"/>
  <c r="Q340" i="16"/>
  <c r="W340" i="16" s="1"/>
  <c r="W341" i="16" s="1"/>
  <c r="O340" i="16"/>
  <c r="N340" i="16"/>
  <c r="AC339" i="16"/>
  <c r="U339" i="16"/>
  <c r="T339" i="16"/>
  <c r="Q339" i="16"/>
  <c r="O339" i="16"/>
  <c r="N339" i="16"/>
  <c r="L339" i="16"/>
  <c r="K339" i="16"/>
  <c r="J339" i="16"/>
  <c r="Z344" i="17"/>
  <c r="O344" i="17"/>
  <c r="L344" i="17"/>
  <c r="K344" i="17"/>
  <c r="J344" i="17"/>
  <c r="Z343" i="17"/>
  <c r="O343" i="17"/>
  <c r="L343" i="17"/>
  <c r="K343" i="17"/>
  <c r="J343" i="17"/>
  <c r="Z342" i="17"/>
  <c r="O342" i="17"/>
  <c r="L342" i="17"/>
  <c r="K342" i="17"/>
  <c r="J342" i="17"/>
  <c r="U341" i="17"/>
  <c r="Q341" i="17"/>
  <c r="O341" i="17"/>
  <c r="U340" i="17"/>
  <c r="T340" i="17"/>
  <c r="T341" i="17" s="1"/>
  <c r="R340" i="17"/>
  <c r="Q340" i="17"/>
  <c r="W340" i="17" s="1"/>
  <c r="W341" i="17" s="1"/>
  <c r="O340" i="17"/>
  <c r="N340" i="17"/>
  <c r="N341" i="17" s="1"/>
  <c r="AC339" i="17"/>
  <c r="U339" i="17"/>
  <c r="Q339" i="17"/>
  <c r="O339" i="17"/>
  <c r="L339" i="17"/>
  <c r="K339" i="17"/>
  <c r="J339" i="17"/>
  <c r="Z344" i="18"/>
  <c r="U344" i="18"/>
  <c r="T344" i="18"/>
  <c r="V344" i="18" s="1"/>
  <c r="O344" i="18"/>
  <c r="L344" i="18"/>
  <c r="K344" i="18"/>
  <c r="J344" i="18"/>
  <c r="Z343" i="18"/>
  <c r="U343" i="18"/>
  <c r="T343" i="18"/>
  <c r="V343" i="18" s="1"/>
  <c r="L343" i="18"/>
  <c r="K343" i="18"/>
  <c r="J343" i="18"/>
  <c r="Z342" i="18"/>
  <c r="U342" i="18"/>
  <c r="T342" i="18"/>
  <c r="V342" i="18" s="1"/>
  <c r="L342" i="18"/>
  <c r="K342" i="18"/>
  <c r="J342" i="18"/>
  <c r="U341" i="18"/>
  <c r="T341" i="18"/>
  <c r="O341" i="18"/>
  <c r="U340" i="18"/>
  <c r="T340" i="18"/>
  <c r="R340" i="18"/>
  <c r="Q340" i="18"/>
  <c r="O340" i="18"/>
  <c r="N340" i="18"/>
  <c r="N341" i="18" s="1"/>
  <c r="AC339" i="18"/>
  <c r="U339" i="18"/>
  <c r="T339" i="18"/>
  <c r="O339" i="18"/>
  <c r="O342" i="18" s="1"/>
  <c r="L339" i="18"/>
  <c r="K339" i="18"/>
  <c r="J339" i="18"/>
  <c r="Z344" i="19"/>
  <c r="X344" i="19"/>
  <c r="U344" i="19"/>
  <c r="T344" i="19"/>
  <c r="V344" i="19" s="1"/>
  <c r="S344" i="19"/>
  <c r="R344" i="19"/>
  <c r="Q344" i="19"/>
  <c r="O344" i="19"/>
  <c r="P344" i="19" s="1"/>
  <c r="N344" i="19"/>
  <c r="L344" i="19"/>
  <c r="K344" i="19"/>
  <c r="J344" i="19"/>
  <c r="Z343" i="19"/>
  <c r="W343" i="19"/>
  <c r="U343" i="19"/>
  <c r="T343" i="19"/>
  <c r="V343" i="19" s="1"/>
  <c r="S343" i="19"/>
  <c r="R343" i="19"/>
  <c r="Q343" i="19"/>
  <c r="O343" i="19"/>
  <c r="X343" i="19" s="1"/>
  <c r="N343" i="19"/>
  <c r="L343" i="19"/>
  <c r="K343" i="19"/>
  <c r="J343" i="19"/>
  <c r="Z342" i="19"/>
  <c r="X342" i="19"/>
  <c r="U342" i="19"/>
  <c r="T342" i="19"/>
  <c r="V342" i="19" s="1"/>
  <c r="S342" i="19"/>
  <c r="R342" i="19"/>
  <c r="Q342" i="19"/>
  <c r="O342" i="19"/>
  <c r="P342" i="19" s="1"/>
  <c r="N342" i="19"/>
  <c r="L342" i="19"/>
  <c r="K342" i="19"/>
  <c r="J342" i="19"/>
  <c r="U341" i="19"/>
  <c r="T341" i="19"/>
  <c r="R341" i="19"/>
  <c r="Q341" i="19"/>
  <c r="O341" i="19"/>
  <c r="N341" i="19"/>
  <c r="U340" i="19"/>
  <c r="T340" i="19"/>
  <c r="R340" i="19"/>
  <c r="X340" i="19" s="1"/>
  <c r="X341" i="19" s="1"/>
  <c r="Q340" i="19"/>
  <c r="W340" i="19" s="1"/>
  <c r="W341" i="19" s="1"/>
  <c r="O340" i="19"/>
  <c r="N340" i="19"/>
  <c r="AC339" i="19"/>
  <c r="U339" i="19"/>
  <c r="T339" i="19"/>
  <c r="R339" i="19"/>
  <c r="Q339" i="19"/>
  <c r="O339" i="19"/>
  <c r="N339" i="19"/>
  <c r="L339" i="19"/>
  <c r="K339" i="19"/>
  <c r="J339" i="19"/>
  <c r="Z344" i="3"/>
  <c r="U344" i="3"/>
  <c r="T344" i="3"/>
  <c r="V344" i="3" s="1"/>
  <c r="S344" i="3"/>
  <c r="R344" i="3"/>
  <c r="Q344" i="3"/>
  <c r="L344" i="3"/>
  <c r="K344" i="3"/>
  <c r="J344" i="3"/>
  <c r="Z343" i="3"/>
  <c r="U343" i="3"/>
  <c r="T343" i="3"/>
  <c r="V343" i="3" s="1"/>
  <c r="S343" i="3"/>
  <c r="R343" i="3"/>
  <c r="Q343" i="3"/>
  <c r="O343" i="3"/>
  <c r="X343" i="3" s="1"/>
  <c r="L343" i="3"/>
  <c r="K343" i="3"/>
  <c r="J343" i="3"/>
  <c r="Z342" i="3"/>
  <c r="U342" i="3"/>
  <c r="T342" i="3"/>
  <c r="V342" i="3" s="1"/>
  <c r="S342" i="3"/>
  <c r="R342" i="3"/>
  <c r="Q342" i="3"/>
  <c r="L342" i="3"/>
  <c r="K342" i="3"/>
  <c r="J342" i="3"/>
  <c r="U341" i="3"/>
  <c r="T341" i="3"/>
  <c r="R341" i="3"/>
  <c r="Q341" i="3"/>
  <c r="O341" i="3"/>
  <c r="U340" i="3"/>
  <c r="T340" i="3"/>
  <c r="R340" i="3"/>
  <c r="X340" i="3" s="1"/>
  <c r="X341" i="3" s="1"/>
  <c r="Q340" i="3"/>
  <c r="W340" i="3" s="1"/>
  <c r="W341" i="3" s="1"/>
  <c r="O340" i="3"/>
  <c r="N340" i="3"/>
  <c r="N341" i="3" s="1"/>
  <c r="AC339" i="3"/>
  <c r="U339" i="3"/>
  <c r="T339" i="3"/>
  <c r="R339" i="3"/>
  <c r="Q339" i="3"/>
  <c r="O339" i="3"/>
  <c r="L339" i="3"/>
  <c r="K339" i="3"/>
  <c r="J339" i="3"/>
  <c r="Z345" i="15"/>
  <c r="Z345" i="16"/>
  <c r="Z345" i="17"/>
  <c r="Z345" i="18"/>
  <c r="Z345" i="19"/>
  <c r="Z345" i="14"/>
  <c r="Z345" i="3"/>
  <c r="S565" i="2" l="1"/>
  <c r="S563" i="11"/>
  <c r="X562" i="11"/>
  <c r="Y562" i="11"/>
  <c r="R565" i="2"/>
  <c r="R564" i="2"/>
  <c r="R563" i="2"/>
  <c r="S564" i="2"/>
  <c r="X564" i="13"/>
  <c r="R563" i="11"/>
  <c r="R565" i="10"/>
  <c r="R564" i="10"/>
  <c r="S564" i="10" s="1"/>
  <c r="R563" i="10"/>
  <c r="X565" i="13"/>
  <c r="O560" i="12"/>
  <c r="X561" i="12"/>
  <c r="S565" i="11"/>
  <c r="Q563" i="10"/>
  <c r="S563" i="10" s="1"/>
  <c r="W564" i="10"/>
  <c r="Q565" i="10"/>
  <c r="Q563" i="2"/>
  <c r="W564" i="13"/>
  <c r="O562" i="12"/>
  <c r="Y562" i="12" s="1"/>
  <c r="N560" i="11"/>
  <c r="W561" i="11"/>
  <c r="W562" i="11" s="1"/>
  <c r="R564" i="11"/>
  <c r="R562" i="10"/>
  <c r="Y562" i="10" s="1"/>
  <c r="W565" i="10"/>
  <c r="O560" i="9"/>
  <c r="O565" i="8"/>
  <c r="X565" i="8" s="1"/>
  <c r="O564" i="8"/>
  <c r="X564" i="8" s="1"/>
  <c r="O563" i="8"/>
  <c r="X563" i="8" s="1"/>
  <c r="O565" i="2"/>
  <c r="X565" i="2" s="1"/>
  <c r="O564" i="2"/>
  <c r="X564" i="2" s="1"/>
  <c r="O563" i="2"/>
  <c r="X561" i="2"/>
  <c r="R563" i="12"/>
  <c r="R564" i="12"/>
  <c r="O565" i="10"/>
  <c r="O564" i="10"/>
  <c r="O563" i="10"/>
  <c r="X561" i="10"/>
  <c r="X562" i="10" s="1"/>
  <c r="R562" i="2"/>
  <c r="Y562" i="2" s="1"/>
  <c r="W563" i="13"/>
  <c r="Y566" i="13"/>
  <c r="S564" i="11"/>
  <c r="X562" i="9"/>
  <c r="W563" i="9"/>
  <c r="W561" i="8"/>
  <c r="W562" i="8" s="1"/>
  <c r="N560" i="8"/>
  <c r="N560" i="2"/>
  <c r="Q560" i="12"/>
  <c r="O560" i="11"/>
  <c r="U560" i="11"/>
  <c r="Q560" i="8"/>
  <c r="X561" i="8"/>
  <c r="O562" i="8"/>
  <c r="Y562" i="8" s="1"/>
  <c r="Q344" i="17"/>
  <c r="Q343" i="17"/>
  <c r="Q342" i="17"/>
  <c r="X341" i="15"/>
  <c r="Q339" i="18"/>
  <c r="Q341" i="18"/>
  <c r="W340" i="18"/>
  <c r="W341" i="18" s="1"/>
  <c r="P342" i="16"/>
  <c r="V342" i="16"/>
  <c r="W342" i="16"/>
  <c r="X341" i="14"/>
  <c r="O344" i="3"/>
  <c r="X344" i="3" s="1"/>
  <c r="O342" i="3"/>
  <c r="X342" i="3" s="1"/>
  <c r="Y342" i="19"/>
  <c r="AG261" i="7" s="1"/>
  <c r="Y344" i="19"/>
  <c r="AG263" i="7" s="1"/>
  <c r="O344" i="14"/>
  <c r="O342" i="14"/>
  <c r="R341" i="14"/>
  <c r="R339" i="14"/>
  <c r="R341" i="18"/>
  <c r="R339" i="18"/>
  <c r="O343" i="18"/>
  <c r="U344" i="17"/>
  <c r="U343" i="17"/>
  <c r="U342" i="17"/>
  <c r="Q344" i="14"/>
  <c r="Q343" i="14"/>
  <c r="Q342" i="14"/>
  <c r="W342" i="19"/>
  <c r="P343" i="19"/>
  <c r="Y343" i="19" s="1"/>
  <c r="AG262" i="7" s="1"/>
  <c r="W344" i="19"/>
  <c r="W343" i="16"/>
  <c r="O344" i="15"/>
  <c r="X344" i="15" s="1"/>
  <c r="Y340" i="19"/>
  <c r="Y341" i="19" s="1"/>
  <c r="X340" i="18"/>
  <c r="X341" i="18" s="1"/>
  <c r="R341" i="16"/>
  <c r="R339" i="16"/>
  <c r="X340" i="16"/>
  <c r="X341" i="16" s="1"/>
  <c r="R341" i="17"/>
  <c r="R339" i="17"/>
  <c r="X340" i="17"/>
  <c r="Y340" i="16"/>
  <c r="Y341" i="16" s="1"/>
  <c r="Y340" i="3"/>
  <c r="Y341" i="3" s="1"/>
  <c r="Y340" i="18"/>
  <c r="Y341" i="18" s="1"/>
  <c r="Y340" i="17"/>
  <c r="Y340" i="15"/>
  <c r="Y341" i="15" s="1"/>
  <c r="Y340" i="14"/>
  <c r="Y341" i="14" s="1"/>
  <c r="N339" i="3"/>
  <c r="N339" i="18"/>
  <c r="N339" i="17"/>
  <c r="T339" i="17"/>
  <c r="N339" i="15"/>
  <c r="N339" i="14"/>
  <c r="Z565" i="13" l="1"/>
  <c r="Z564" i="13"/>
  <c r="Z563" i="13"/>
  <c r="Z566" i="13"/>
  <c r="X562" i="12"/>
  <c r="X563" i="10"/>
  <c r="P563" i="10"/>
  <c r="Y563" i="10" s="1"/>
  <c r="O564" i="9"/>
  <c r="O565" i="9"/>
  <c r="O563" i="9"/>
  <c r="O565" i="12"/>
  <c r="O564" i="12"/>
  <c r="O563" i="12"/>
  <c r="Q565" i="8"/>
  <c r="S565" i="8" s="1"/>
  <c r="Q564" i="8"/>
  <c r="S564" i="8" s="1"/>
  <c r="Q563" i="8"/>
  <c r="S563" i="8" s="1"/>
  <c r="N565" i="2"/>
  <c r="N564" i="2"/>
  <c r="N563" i="2"/>
  <c r="X565" i="10"/>
  <c r="P565" i="10"/>
  <c r="X563" i="2"/>
  <c r="W563" i="10"/>
  <c r="N563" i="11"/>
  <c r="N564" i="11"/>
  <c r="N565" i="11"/>
  <c r="S565" i="10"/>
  <c r="U563" i="11"/>
  <c r="V563" i="11" s="1"/>
  <c r="U564" i="11"/>
  <c r="V564" i="11" s="1"/>
  <c r="U565" i="11"/>
  <c r="V565" i="11" s="1"/>
  <c r="N565" i="8"/>
  <c r="N564" i="8"/>
  <c r="N563" i="8"/>
  <c r="O565" i="11"/>
  <c r="X565" i="11" s="1"/>
  <c r="O564" i="11"/>
  <c r="X564" i="11" s="1"/>
  <c r="O563" i="11"/>
  <c r="X563" i="11" s="1"/>
  <c r="X562" i="8"/>
  <c r="Q565" i="12"/>
  <c r="Q564" i="12"/>
  <c r="Q563" i="12"/>
  <c r="X564" i="10"/>
  <c r="P564" i="10"/>
  <c r="Y564" i="10" s="1"/>
  <c r="U403" i="6" s="1"/>
  <c r="X562" i="2"/>
  <c r="S563" i="2"/>
  <c r="N344" i="17"/>
  <c r="N343" i="17"/>
  <c r="N342" i="17"/>
  <c r="S344" i="14"/>
  <c r="N344" i="14"/>
  <c r="N343" i="14"/>
  <c r="N342" i="14"/>
  <c r="N344" i="18"/>
  <c r="N343" i="18"/>
  <c r="N342" i="18"/>
  <c r="Y341" i="17"/>
  <c r="X341" i="17"/>
  <c r="R344" i="16"/>
  <c r="R343" i="16"/>
  <c r="R342" i="16"/>
  <c r="R344" i="18"/>
  <c r="X344" i="18" s="1"/>
  <c r="R343" i="18"/>
  <c r="X343" i="18" s="1"/>
  <c r="R342" i="18"/>
  <c r="X342" i="18" s="1"/>
  <c r="T344" i="17"/>
  <c r="V344" i="17" s="1"/>
  <c r="T343" i="17"/>
  <c r="V343" i="17" s="1"/>
  <c r="T342" i="17"/>
  <c r="V342" i="17" s="1"/>
  <c r="S343" i="14"/>
  <c r="R344" i="14"/>
  <c r="R343" i="14"/>
  <c r="X343" i="14" s="1"/>
  <c r="R342" i="14"/>
  <c r="X342" i="14" s="1"/>
  <c r="N344" i="15"/>
  <c r="N343" i="15"/>
  <c r="N342" i="15"/>
  <c r="N344" i="3"/>
  <c r="N343" i="3"/>
  <c r="N342" i="3"/>
  <c r="R344" i="17"/>
  <c r="X344" i="17" s="1"/>
  <c r="R343" i="17"/>
  <c r="X343" i="17" s="1"/>
  <c r="R342" i="17"/>
  <c r="X342" i="17" s="1"/>
  <c r="X344" i="14"/>
  <c r="Q344" i="18"/>
  <c r="S344" i="18" s="1"/>
  <c r="Q343" i="18"/>
  <c r="S343" i="18" s="1"/>
  <c r="Q342" i="18"/>
  <c r="S342" i="18" s="1"/>
  <c r="Y345" i="19"/>
  <c r="S563" i="12" l="1"/>
  <c r="W563" i="12"/>
  <c r="P564" i="8"/>
  <c r="Y564" i="8" s="1"/>
  <c r="M403" i="6" s="1"/>
  <c r="W564" i="8"/>
  <c r="W563" i="11"/>
  <c r="P563" i="11"/>
  <c r="Y563" i="11" s="1"/>
  <c r="X564" i="12"/>
  <c r="P564" i="12"/>
  <c r="Y564" i="12" s="1"/>
  <c r="AC403" i="6" s="1"/>
  <c r="X564" i="9"/>
  <c r="P564" i="9"/>
  <c r="Y564" i="9" s="1"/>
  <c r="Q403" i="6" s="1"/>
  <c r="S564" i="12"/>
  <c r="W564" i="12"/>
  <c r="P565" i="8"/>
  <c r="Y565" i="8" s="1"/>
  <c r="M404" i="6" s="1"/>
  <c r="W565" i="8"/>
  <c r="W563" i="2"/>
  <c r="P563" i="2"/>
  <c r="Y563" i="2" s="1"/>
  <c r="X565" i="12"/>
  <c r="P565" i="12"/>
  <c r="Y566" i="10"/>
  <c r="U402" i="6"/>
  <c r="W565" i="12"/>
  <c r="S565" i="12"/>
  <c r="W565" i="11"/>
  <c r="P565" i="11"/>
  <c r="Y565" i="11" s="1"/>
  <c r="Y404" i="6" s="1"/>
  <c r="W564" i="2"/>
  <c r="P564" i="2"/>
  <c r="Y564" i="2" s="1"/>
  <c r="I403" i="6" s="1"/>
  <c r="X563" i="9"/>
  <c r="P563" i="9"/>
  <c r="Y563" i="9" s="1"/>
  <c r="P563" i="8"/>
  <c r="Y563" i="8" s="1"/>
  <c r="W563" i="8"/>
  <c r="W564" i="11"/>
  <c r="P564" i="11"/>
  <c r="Y564" i="11" s="1"/>
  <c r="Y403" i="6" s="1"/>
  <c r="Y565" i="10"/>
  <c r="U404" i="6" s="1"/>
  <c r="W565" i="2"/>
  <c r="P565" i="2"/>
  <c r="Y565" i="2" s="1"/>
  <c r="I404" i="6" s="1"/>
  <c r="X563" i="12"/>
  <c r="P563" i="12"/>
  <c r="Y563" i="12" s="1"/>
  <c r="X565" i="9"/>
  <c r="P565" i="9"/>
  <c r="Y565" i="9" s="1"/>
  <c r="Q404" i="6" s="1"/>
  <c r="W344" i="15"/>
  <c r="P344" i="15"/>
  <c r="Y344" i="15" s="1"/>
  <c r="Q263" i="7" s="1"/>
  <c r="S344" i="16"/>
  <c r="Y344" i="16" s="1"/>
  <c r="U263" i="7" s="1"/>
  <c r="X344" i="16"/>
  <c r="P343" i="17"/>
  <c r="W343" i="17"/>
  <c r="Y344" i="3"/>
  <c r="I263" i="7" s="1"/>
  <c r="W344" i="3"/>
  <c r="W344" i="18"/>
  <c r="P344" i="18"/>
  <c r="Y344" i="18" s="1"/>
  <c r="AC263" i="7" s="1"/>
  <c r="W344" i="17"/>
  <c r="P344" i="17"/>
  <c r="S342" i="14"/>
  <c r="W342" i="3"/>
  <c r="Y342" i="3"/>
  <c r="P343" i="15"/>
  <c r="Y343" i="15" s="1"/>
  <c r="Q262" i="7" s="1"/>
  <c r="W343" i="15"/>
  <c r="S343" i="16"/>
  <c r="Y343" i="16" s="1"/>
  <c r="U262" i="7" s="1"/>
  <c r="X343" i="16"/>
  <c r="W342" i="18"/>
  <c r="P342" i="18"/>
  <c r="Y342" i="18" s="1"/>
  <c r="W343" i="14"/>
  <c r="P343" i="14"/>
  <c r="Y343" i="14" s="1"/>
  <c r="M262" i="7" s="1"/>
  <c r="W342" i="17"/>
  <c r="P342" i="17"/>
  <c r="Y343" i="3"/>
  <c r="I262" i="7" s="1"/>
  <c r="W343" i="3"/>
  <c r="S342" i="17"/>
  <c r="W343" i="18"/>
  <c r="P343" i="18"/>
  <c r="Y343" i="18" s="1"/>
  <c r="AC262" i="7" s="1"/>
  <c r="P344" i="14"/>
  <c r="Y344" i="14" s="1"/>
  <c r="M263" i="7" s="1"/>
  <c r="W344" i="14"/>
  <c r="S343" i="17"/>
  <c r="P342" i="15"/>
  <c r="Y342" i="15" s="1"/>
  <c r="W342" i="15"/>
  <c r="S342" i="16"/>
  <c r="Y342" i="16" s="1"/>
  <c r="X342" i="16"/>
  <c r="W342" i="14"/>
  <c r="P342" i="14"/>
  <c r="Y342" i="14" s="1"/>
  <c r="S344" i="17"/>
  <c r="Q402" i="6" l="1"/>
  <c r="Y566" i="9"/>
  <c r="Y566" i="2"/>
  <c r="I402" i="6"/>
  <c r="Z565" i="10"/>
  <c r="Z564" i="10"/>
  <c r="Z563" i="10"/>
  <c r="Z566" i="10"/>
  <c r="AK403" i="6"/>
  <c r="Y565" i="12"/>
  <c r="AC404" i="6" s="1"/>
  <c r="Y566" i="11"/>
  <c r="Y402" i="6"/>
  <c r="AC402" i="6"/>
  <c r="M402" i="6"/>
  <c r="Y566" i="8"/>
  <c r="U261" i="7"/>
  <c r="Y345" i="16"/>
  <c r="Y344" i="17"/>
  <c r="Y263" i="7" s="1"/>
  <c r="M261" i="7"/>
  <c r="Y345" i="14"/>
  <c r="I261" i="7"/>
  <c r="Y345" i="3"/>
  <c r="Q261" i="7"/>
  <c r="Y345" i="15"/>
  <c r="Y342" i="17"/>
  <c r="AC261" i="7"/>
  <c r="Y345" i="18"/>
  <c r="Y343" i="17"/>
  <c r="Y262" i="7" s="1"/>
  <c r="AK404" i="6" l="1"/>
  <c r="Z566" i="11"/>
  <c r="Z563" i="11"/>
  <c r="Z564" i="11"/>
  <c r="Z565" i="11"/>
  <c r="Z565" i="2"/>
  <c r="Z564" i="2"/>
  <c r="Z563" i="2"/>
  <c r="Z566" i="2"/>
  <c r="Z565" i="9"/>
  <c r="Z564" i="9"/>
  <c r="Z563" i="9"/>
  <c r="Z566" i="9"/>
  <c r="Y566" i="12"/>
  <c r="AK402" i="6"/>
  <c r="Z566" i="8"/>
  <c r="Z565" i="8"/>
  <c r="Z564" i="8"/>
  <c r="Z563" i="8"/>
  <c r="Y261" i="7"/>
  <c r="Y345" i="17"/>
  <c r="AK262" i="7"/>
  <c r="AK263" i="7"/>
  <c r="Z566" i="12" l="1"/>
  <c r="Z565" i="12"/>
  <c r="Z564" i="12"/>
  <c r="Z563" i="12"/>
  <c r="AK261" i="7"/>
  <c r="G121" i="25" l="1"/>
  <c r="X121" i="25" s="1"/>
  <c r="P25" i="24"/>
  <c r="E25" i="24"/>
  <c r="W25" i="24"/>
  <c r="AK436" i="6"/>
  <c r="AJ436" i="6"/>
  <c r="AI436" i="6"/>
  <c r="AK435" i="6"/>
  <c r="AJ435" i="6"/>
  <c r="AI435" i="6"/>
  <c r="AK434" i="6"/>
  <c r="AJ434" i="6"/>
  <c r="AI434" i="6"/>
  <c r="I436" i="6"/>
  <c r="I435" i="6"/>
  <c r="I434" i="6"/>
  <c r="H436" i="6"/>
  <c r="H435" i="6"/>
  <c r="H434" i="6"/>
  <c r="G436" i="6"/>
  <c r="BA436" i="6" s="1"/>
  <c r="G435" i="6"/>
  <c r="G434" i="6"/>
  <c r="I252" i="6"/>
  <c r="I251" i="6"/>
  <c r="I250" i="6"/>
  <c r="H252" i="6"/>
  <c r="H251" i="6"/>
  <c r="H250" i="6"/>
  <c r="G252" i="6"/>
  <c r="G251" i="6"/>
  <c r="G250" i="6"/>
  <c r="I210" i="6"/>
  <c r="I209" i="6"/>
  <c r="I208" i="6"/>
  <c r="H210" i="6"/>
  <c r="H209" i="6"/>
  <c r="H208" i="6"/>
  <c r="G210" i="6"/>
  <c r="G209" i="6"/>
  <c r="G208" i="6"/>
  <c r="Y602" i="2"/>
  <c r="Y603" i="2"/>
  <c r="Y604" i="2"/>
  <c r="Y365" i="2"/>
  <c r="Y366" i="2"/>
  <c r="Y367" i="2"/>
  <c r="Z119" i="25"/>
  <c r="Z123" i="25"/>
  <c r="AA119" i="25"/>
  <c r="AA123" i="25"/>
  <c r="W13" i="2"/>
  <c r="G21" i="6"/>
  <c r="W14" i="2"/>
  <c r="G22" i="6"/>
  <c r="W13" i="8"/>
  <c r="K21" i="6"/>
  <c r="W14" i="8"/>
  <c r="K22" i="6"/>
  <c r="W13" i="9"/>
  <c r="O21" i="6"/>
  <c r="Q21" i="6" s="1"/>
  <c r="Q23" i="6" s="1"/>
  <c r="W14" i="9"/>
  <c r="O22" i="6"/>
  <c r="W13" i="10"/>
  <c r="S21" i="6"/>
  <c r="W14" i="10"/>
  <c r="S22" i="6"/>
  <c r="W13" i="11"/>
  <c r="W21" i="6"/>
  <c r="Y21" i="6" s="1"/>
  <c r="Y23" i="6" s="1"/>
  <c r="W14" i="11"/>
  <c r="W22" i="6"/>
  <c r="W13" i="12"/>
  <c r="AA21" i="6"/>
  <c r="W14" i="12"/>
  <c r="AA22" i="6"/>
  <c r="W13" i="13"/>
  <c r="AE21" i="6"/>
  <c r="W14" i="13"/>
  <c r="AE22" i="6"/>
  <c r="X13" i="2"/>
  <c r="H21" i="6"/>
  <c r="X14" i="2"/>
  <c r="H22" i="6"/>
  <c r="X13" i="8"/>
  <c r="L21" i="6"/>
  <c r="X14" i="8"/>
  <c r="L22" i="6"/>
  <c r="X13" i="9"/>
  <c r="P21" i="6"/>
  <c r="X14" i="9"/>
  <c r="P22" i="6"/>
  <c r="X13" i="10"/>
  <c r="T21" i="6"/>
  <c r="X14" i="10"/>
  <c r="T22" i="6"/>
  <c r="X13" i="11"/>
  <c r="X21" i="6"/>
  <c r="X14" i="11"/>
  <c r="X22" i="6"/>
  <c r="X13" i="12"/>
  <c r="AB21" i="6"/>
  <c r="X14" i="12"/>
  <c r="AB22" i="6"/>
  <c r="X13" i="13"/>
  <c r="AF21" i="6"/>
  <c r="X14" i="13"/>
  <c r="AF22" i="6"/>
  <c r="W576" i="2"/>
  <c r="G411" i="6"/>
  <c r="W576" i="8"/>
  <c r="K411" i="6"/>
  <c r="W576" i="9"/>
  <c r="O411" i="6"/>
  <c r="W576" i="10"/>
  <c r="S411" i="6"/>
  <c r="W576" i="11"/>
  <c r="W411" i="6"/>
  <c r="W576" i="12"/>
  <c r="AA411" i="6"/>
  <c r="W576" i="13"/>
  <c r="AE411" i="6"/>
  <c r="X576" i="2"/>
  <c r="H411" i="6"/>
  <c r="X576" i="8"/>
  <c r="L411" i="6"/>
  <c r="X576" i="9"/>
  <c r="P411" i="6"/>
  <c r="X576" i="10"/>
  <c r="T411" i="6"/>
  <c r="X576" i="11"/>
  <c r="X411" i="6"/>
  <c r="X576" i="12"/>
  <c r="AB411" i="6"/>
  <c r="X576" i="13"/>
  <c r="AF411" i="6"/>
  <c r="J290" i="2"/>
  <c r="J291" i="2"/>
  <c r="J292" i="2"/>
  <c r="J293" i="2"/>
  <c r="J294" i="2"/>
  <c r="J296" i="2"/>
  <c r="J304" i="2"/>
  <c r="J305" i="2"/>
  <c r="J306" i="2"/>
  <c r="J307" i="2"/>
  <c r="J309" i="2"/>
  <c r="J312" i="2"/>
  <c r="K290" i="2"/>
  <c r="K291" i="2"/>
  <c r="K292" i="2"/>
  <c r="K293" i="2"/>
  <c r="K294" i="2"/>
  <c r="K296" i="2"/>
  <c r="K304" i="2"/>
  <c r="K306" i="2"/>
  <c r="K309" i="2"/>
  <c r="K312" i="2"/>
  <c r="AS312" i="2"/>
  <c r="G194" i="6"/>
  <c r="BA194" i="6" s="1"/>
  <c r="J290" i="8"/>
  <c r="J291" i="8"/>
  <c r="J292" i="8"/>
  <c r="J293" i="8"/>
  <c r="J294" i="8"/>
  <c r="J296" i="8"/>
  <c r="J312" i="8"/>
  <c r="K290" i="8"/>
  <c r="K291" i="8"/>
  <c r="K292" i="8"/>
  <c r="K293" i="8"/>
  <c r="K294" i="8"/>
  <c r="K296" i="8"/>
  <c r="K312" i="8"/>
  <c r="AS312" i="8"/>
  <c r="K194" i="6"/>
  <c r="BB194" i="6" s="1"/>
  <c r="J290" i="9"/>
  <c r="J291" i="9"/>
  <c r="J292" i="9"/>
  <c r="J293" i="9"/>
  <c r="J294" i="9"/>
  <c r="J296" i="9"/>
  <c r="J312" i="9"/>
  <c r="K290" i="9"/>
  <c r="K291" i="9"/>
  <c r="K292" i="9"/>
  <c r="K293" i="9"/>
  <c r="K294" i="9"/>
  <c r="K296" i="9"/>
  <c r="K312" i="9"/>
  <c r="AS312" i="9"/>
  <c r="O194" i="6"/>
  <c r="BC194" i="6" s="1"/>
  <c r="J290" i="10"/>
  <c r="J291" i="10"/>
  <c r="J292" i="10"/>
  <c r="J293" i="10"/>
  <c r="J294" i="10"/>
  <c r="J296" i="10"/>
  <c r="J312" i="10"/>
  <c r="K290" i="10"/>
  <c r="K291" i="10"/>
  <c r="K292" i="10"/>
  <c r="K293" i="10"/>
  <c r="K294" i="10"/>
  <c r="K296" i="10"/>
  <c r="K312" i="10"/>
  <c r="AS312" i="10"/>
  <c r="S194" i="6"/>
  <c r="BD194" i="6" s="1"/>
  <c r="J290" i="11"/>
  <c r="J291" i="11"/>
  <c r="J292" i="11"/>
  <c r="J293" i="11"/>
  <c r="J294" i="11"/>
  <c r="J296" i="11"/>
  <c r="J312" i="11"/>
  <c r="K290" i="11"/>
  <c r="K291" i="11"/>
  <c r="K292" i="11"/>
  <c r="K293" i="11"/>
  <c r="K294" i="11"/>
  <c r="K296" i="11"/>
  <c r="K312" i="11"/>
  <c r="AS312" i="11"/>
  <c r="W194" i="6"/>
  <c r="BE194" i="6" s="1"/>
  <c r="J290" i="12"/>
  <c r="J291" i="12"/>
  <c r="J292" i="12"/>
  <c r="J293" i="12"/>
  <c r="J294" i="12"/>
  <c r="J296" i="12"/>
  <c r="J312" i="12"/>
  <c r="K290" i="12"/>
  <c r="K291" i="12"/>
  <c r="K292" i="12"/>
  <c r="K293" i="12"/>
  <c r="K294" i="12"/>
  <c r="K296" i="12"/>
  <c r="K312" i="12"/>
  <c r="AS312" i="12"/>
  <c r="AA194" i="6"/>
  <c r="BF194" i="6" s="1"/>
  <c r="J290" i="13"/>
  <c r="J291" i="13"/>
  <c r="J292" i="13"/>
  <c r="J293" i="13"/>
  <c r="J294" i="13"/>
  <c r="J296" i="13"/>
  <c r="J312" i="13"/>
  <c r="K290" i="13"/>
  <c r="K291" i="13"/>
  <c r="K292" i="13"/>
  <c r="K293" i="13"/>
  <c r="K294" i="13"/>
  <c r="K296" i="13"/>
  <c r="K312" i="13"/>
  <c r="AS312" i="13"/>
  <c r="AE194" i="6"/>
  <c r="BG194" i="6" s="1"/>
  <c r="L290" i="2"/>
  <c r="L291" i="2"/>
  <c r="L292" i="2"/>
  <c r="L293" i="2"/>
  <c r="L294" i="2"/>
  <c r="L296" i="2"/>
  <c r="L304" i="2"/>
  <c r="L305" i="2"/>
  <c r="L306" i="2"/>
  <c r="L307" i="2"/>
  <c r="L308" i="2"/>
  <c r="L309" i="2"/>
  <c r="L312" i="2"/>
  <c r="AY312" i="2"/>
  <c r="H194" i="6"/>
  <c r="BI194" i="6" s="1"/>
  <c r="L290" i="8"/>
  <c r="L291" i="8"/>
  <c r="L292" i="8"/>
  <c r="L293" i="8"/>
  <c r="L294" i="8"/>
  <c r="L296" i="8"/>
  <c r="L312" i="8"/>
  <c r="AY312" i="8"/>
  <c r="L194" i="6"/>
  <c r="BJ194" i="6" s="1"/>
  <c r="L290" i="9"/>
  <c r="L291" i="9"/>
  <c r="L292" i="9"/>
  <c r="L293" i="9"/>
  <c r="L294" i="9"/>
  <c r="L296" i="9"/>
  <c r="L312" i="9"/>
  <c r="AY312" i="9"/>
  <c r="P194" i="6"/>
  <c r="BK194" i="6" s="1"/>
  <c r="L290" i="10"/>
  <c r="L291" i="10"/>
  <c r="L292" i="10"/>
  <c r="L293" i="10"/>
  <c r="L294" i="10"/>
  <c r="L296" i="10"/>
  <c r="L312" i="10"/>
  <c r="AY312" i="10"/>
  <c r="T194" i="6"/>
  <c r="BL194" i="6"/>
  <c r="L290" i="11"/>
  <c r="L291" i="11"/>
  <c r="L292" i="11"/>
  <c r="L293" i="11"/>
  <c r="L294" i="11"/>
  <c r="L296" i="11"/>
  <c r="L312" i="11"/>
  <c r="AY312" i="11"/>
  <c r="X194" i="6"/>
  <c r="BM194" i="6" s="1"/>
  <c r="L290" i="12"/>
  <c r="L291" i="12"/>
  <c r="L292" i="12"/>
  <c r="L293" i="12"/>
  <c r="L294" i="12"/>
  <c r="L296" i="12"/>
  <c r="L312" i="12"/>
  <c r="AY312" i="12"/>
  <c r="AB194" i="6"/>
  <c r="BN194" i="6" s="1"/>
  <c r="L290" i="13"/>
  <c r="L291" i="13"/>
  <c r="L292" i="13"/>
  <c r="L293" i="13"/>
  <c r="L294" i="13"/>
  <c r="L296" i="13"/>
  <c r="L312" i="13"/>
  <c r="AY312" i="13"/>
  <c r="AF194" i="6"/>
  <c r="BO194" i="6" s="1"/>
  <c r="Z121" i="25"/>
  <c r="AA121" i="25"/>
  <c r="Z103" i="25"/>
  <c r="Y130" i="14"/>
  <c r="V130" i="14"/>
  <c r="S130" i="14"/>
  <c r="P130" i="14"/>
  <c r="Y130" i="15"/>
  <c r="V130" i="15"/>
  <c r="S130" i="15"/>
  <c r="P130" i="15"/>
  <c r="V130" i="16"/>
  <c r="S130" i="16"/>
  <c r="P130" i="16"/>
  <c r="Y130" i="17"/>
  <c r="V130" i="17"/>
  <c r="S130" i="17"/>
  <c r="P130" i="17"/>
  <c r="Y130" i="18"/>
  <c r="V130" i="18"/>
  <c r="S130" i="18"/>
  <c r="P130" i="18"/>
  <c r="Y130" i="19"/>
  <c r="V130" i="19"/>
  <c r="S130" i="19"/>
  <c r="P130" i="19"/>
  <c r="Y130" i="3"/>
  <c r="V130" i="3"/>
  <c r="S130" i="3"/>
  <c r="P130" i="3"/>
  <c r="Y130" i="8"/>
  <c r="V130" i="8"/>
  <c r="S130" i="8"/>
  <c r="P130" i="8"/>
  <c r="Y130" i="9"/>
  <c r="V130" i="9"/>
  <c r="S130" i="9"/>
  <c r="P130" i="9"/>
  <c r="Y130" i="10"/>
  <c r="V130" i="10"/>
  <c r="S130" i="10"/>
  <c r="P130" i="10"/>
  <c r="Y130" i="11"/>
  <c r="V130" i="11"/>
  <c r="S130" i="11"/>
  <c r="P130" i="11"/>
  <c r="Y130" i="12"/>
  <c r="V130" i="12"/>
  <c r="S130" i="12"/>
  <c r="P130" i="12"/>
  <c r="Y130" i="13"/>
  <c r="V130" i="13"/>
  <c r="S130" i="13"/>
  <c r="P130" i="13"/>
  <c r="Y130" i="2"/>
  <c r="V130" i="2"/>
  <c r="S130" i="2"/>
  <c r="P130" i="2"/>
  <c r="P108" i="16"/>
  <c r="P109" i="16" s="1"/>
  <c r="Q106" i="16"/>
  <c r="R106" i="16"/>
  <c r="S106" i="16"/>
  <c r="S109" i="16"/>
  <c r="N106" i="17"/>
  <c r="O106" i="17"/>
  <c r="P106" i="17"/>
  <c r="Q106" i="17"/>
  <c r="R106" i="17"/>
  <c r="S106" i="17"/>
  <c r="T106" i="17"/>
  <c r="U106" i="17"/>
  <c r="V106" i="17"/>
  <c r="N106" i="18"/>
  <c r="O106" i="18"/>
  <c r="P106" i="18"/>
  <c r="Q106" i="18"/>
  <c r="R106" i="18"/>
  <c r="S106" i="18"/>
  <c r="V108" i="18"/>
  <c r="V109" i="18" s="1"/>
  <c r="Y132" i="2"/>
  <c r="Y133" i="2"/>
  <c r="I113" i="6"/>
  <c r="I113" i="7"/>
  <c r="Y132" i="8"/>
  <c r="Y133" i="8"/>
  <c r="M113" i="6"/>
  <c r="M113" i="7"/>
  <c r="Y132" i="9"/>
  <c r="Y133" i="9"/>
  <c r="Q113" i="6"/>
  <c r="Q113" i="7"/>
  <c r="Y132" i="10"/>
  <c r="Y133" i="10"/>
  <c r="U113" i="6"/>
  <c r="U113" i="7"/>
  <c r="Y132" i="11"/>
  <c r="Y133" i="11"/>
  <c r="Y113" i="6"/>
  <c r="Y113" i="7"/>
  <c r="Y132" i="12"/>
  <c r="Y133" i="12"/>
  <c r="AC113" i="6"/>
  <c r="AC113" i="7"/>
  <c r="Y132" i="13"/>
  <c r="Y133" i="13"/>
  <c r="AG113" i="6"/>
  <c r="AG113" i="7"/>
  <c r="P109" i="8"/>
  <c r="S109" i="8"/>
  <c r="V109" i="8"/>
  <c r="Y109" i="8"/>
  <c r="P109" i="9"/>
  <c r="S109" i="9"/>
  <c r="V109" i="9"/>
  <c r="Y109" i="9"/>
  <c r="P109" i="10"/>
  <c r="S109" i="10"/>
  <c r="V109" i="10"/>
  <c r="Y109" i="10"/>
  <c r="P109" i="11"/>
  <c r="S109" i="11"/>
  <c r="V109" i="11"/>
  <c r="Y109" i="11"/>
  <c r="P109" i="12"/>
  <c r="S109" i="12"/>
  <c r="V109" i="12"/>
  <c r="Y109" i="12"/>
  <c r="P109" i="13"/>
  <c r="S109" i="13"/>
  <c r="V109" i="13"/>
  <c r="Y109" i="13"/>
  <c r="P109" i="2"/>
  <c r="S109" i="2"/>
  <c r="V109" i="2"/>
  <c r="Y109" i="2"/>
  <c r="AG14" i="6"/>
  <c r="AC14" i="6"/>
  <c r="AC14" i="23" s="1"/>
  <c r="Y14" i="6"/>
  <c r="U14" i="6"/>
  <c r="U14" i="23" s="1"/>
  <c r="Q14" i="6"/>
  <c r="M14" i="6"/>
  <c r="M14" i="23" s="1"/>
  <c r="W13" i="16"/>
  <c r="S21" i="7"/>
  <c r="W13" i="3"/>
  <c r="G21" i="7"/>
  <c r="W13" i="14"/>
  <c r="K21" i="7"/>
  <c r="W13" i="15"/>
  <c r="O21" i="7"/>
  <c r="W13" i="17"/>
  <c r="W21" i="7"/>
  <c r="W13" i="18"/>
  <c r="AA21" i="7"/>
  <c r="W13" i="19"/>
  <c r="AE21" i="7"/>
  <c r="X13" i="3"/>
  <c r="H21" i="7"/>
  <c r="X13" i="14"/>
  <c r="L21" i="7"/>
  <c r="X13" i="15"/>
  <c r="P21" i="7"/>
  <c r="X13" i="16"/>
  <c r="T21" i="7"/>
  <c r="X13" i="17"/>
  <c r="X21" i="7"/>
  <c r="X13" i="18"/>
  <c r="AB21" i="7"/>
  <c r="X13" i="19"/>
  <c r="AF21" i="7"/>
  <c r="W14" i="3"/>
  <c r="G22" i="7"/>
  <c r="W14" i="14"/>
  <c r="K22" i="7"/>
  <c r="W14" i="15"/>
  <c r="O22" i="7"/>
  <c r="W14" i="16"/>
  <c r="S22" i="7"/>
  <c r="W14" i="17"/>
  <c r="W22" i="7"/>
  <c r="W14" i="18"/>
  <c r="AA22" i="7"/>
  <c r="W14" i="19"/>
  <c r="AE22" i="7"/>
  <c r="AE25" i="23" s="1"/>
  <c r="X14" i="3"/>
  <c r="H22" i="7"/>
  <c r="X14" i="14"/>
  <c r="L22" i="7"/>
  <c r="X14" i="15"/>
  <c r="P22" i="7"/>
  <c r="P25" i="23" s="1"/>
  <c r="X14" i="16"/>
  <c r="T22" i="7"/>
  <c r="X14" i="17"/>
  <c r="X22" i="7"/>
  <c r="X14" i="18"/>
  <c r="AB22" i="7"/>
  <c r="X14" i="19"/>
  <c r="AF22" i="7"/>
  <c r="AF25" i="23" s="1"/>
  <c r="O190" i="12"/>
  <c r="U190" i="11"/>
  <c r="R6" i="11"/>
  <c r="Q6" i="11"/>
  <c r="J346" i="20"/>
  <c r="K346" i="20"/>
  <c r="L346" i="20"/>
  <c r="M346" i="20"/>
  <c r="I346" i="20"/>
  <c r="S112" i="12"/>
  <c r="S116" i="12"/>
  <c r="S124" i="12"/>
  <c r="P124" i="12"/>
  <c r="V124" i="12"/>
  <c r="Y124" i="12"/>
  <c r="AC107" i="6"/>
  <c r="AC107" i="7"/>
  <c r="P124" i="2"/>
  <c r="S124" i="2"/>
  <c r="V124" i="2"/>
  <c r="Y124" i="2"/>
  <c r="I107" i="6"/>
  <c r="I107" i="7"/>
  <c r="P124" i="8"/>
  <c r="S124" i="8"/>
  <c r="V124" i="8"/>
  <c r="Y124" i="8"/>
  <c r="M107" i="6"/>
  <c r="M107" i="7"/>
  <c r="P124" i="9"/>
  <c r="S124" i="9"/>
  <c r="V124" i="9"/>
  <c r="Y124" i="9"/>
  <c r="Q107" i="6"/>
  <c r="Q107" i="7"/>
  <c r="P124" i="10"/>
  <c r="S124" i="10"/>
  <c r="V124" i="10"/>
  <c r="Y124" i="10"/>
  <c r="U107" i="6"/>
  <c r="U107" i="7"/>
  <c r="P124" i="11"/>
  <c r="S124" i="11"/>
  <c r="V124" i="11"/>
  <c r="Y124" i="11"/>
  <c r="Y107" i="6"/>
  <c r="Y107" i="7"/>
  <c r="P124" i="13"/>
  <c r="S124" i="13"/>
  <c r="V124" i="13"/>
  <c r="Y124" i="13"/>
  <c r="AG107" i="6"/>
  <c r="AG107" i="7"/>
  <c r="Y116" i="12"/>
  <c r="AC101" i="6"/>
  <c r="AC101" i="7"/>
  <c r="S125" i="12"/>
  <c r="P125" i="12"/>
  <c r="V125" i="12"/>
  <c r="Y125" i="12"/>
  <c r="AC108" i="6"/>
  <c r="AC108" i="7"/>
  <c r="P125" i="2"/>
  <c r="S125" i="2"/>
  <c r="V125" i="2"/>
  <c r="Y125" i="2"/>
  <c r="I108" i="6"/>
  <c r="I108" i="7"/>
  <c r="P125" i="8"/>
  <c r="S125" i="8"/>
  <c r="V125" i="8"/>
  <c r="Y125" i="8"/>
  <c r="M108" i="6"/>
  <c r="M108" i="7"/>
  <c r="P125" i="9"/>
  <c r="S125" i="9"/>
  <c r="V125" i="9"/>
  <c r="Y125" i="9"/>
  <c r="Q108" i="6"/>
  <c r="Q108" i="7"/>
  <c r="P125" i="10"/>
  <c r="S125" i="10"/>
  <c r="V125" i="10"/>
  <c r="Y125" i="10"/>
  <c r="U108" i="6"/>
  <c r="U108" i="7"/>
  <c r="P125" i="11"/>
  <c r="S125" i="11"/>
  <c r="V125" i="11"/>
  <c r="Y125" i="11"/>
  <c r="Y108" i="6"/>
  <c r="Y108" i="7"/>
  <c r="P125" i="13"/>
  <c r="S125" i="13"/>
  <c r="V125" i="13"/>
  <c r="Y125" i="13"/>
  <c r="AG108" i="6"/>
  <c r="AG108" i="7"/>
  <c r="S126" i="12"/>
  <c r="P126" i="12"/>
  <c r="V126" i="12"/>
  <c r="Y126" i="12"/>
  <c r="AC109" i="6"/>
  <c r="AC109" i="7"/>
  <c r="P126" i="2"/>
  <c r="S126" i="2"/>
  <c r="V126" i="2"/>
  <c r="Y126" i="2"/>
  <c r="I109" i="6"/>
  <c r="I109" i="7"/>
  <c r="P126" i="8"/>
  <c r="S126" i="8"/>
  <c r="V126" i="8"/>
  <c r="Y126" i="8"/>
  <c r="M109" i="6"/>
  <c r="M109" i="7"/>
  <c r="P126" i="9"/>
  <c r="S126" i="9"/>
  <c r="V126" i="9"/>
  <c r="Y126" i="9"/>
  <c r="Q109" i="6"/>
  <c r="Q109" i="7"/>
  <c r="P126" i="10"/>
  <c r="S126" i="10"/>
  <c r="V126" i="10"/>
  <c r="Y126" i="10"/>
  <c r="U109" i="6"/>
  <c r="U109" i="7"/>
  <c r="P126" i="11"/>
  <c r="S126" i="11"/>
  <c r="V126" i="11"/>
  <c r="Y126" i="11"/>
  <c r="Y109" i="6"/>
  <c r="Y109" i="7"/>
  <c r="P126" i="13"/>
  <c r="S126" i="13"/>
  <c r="V126" i="13"/>
  <c r="Y126" i="13"/>
  <c r="AG109" i="6"/>
  <c r="AG109" i="7"/>
  <c r="S127" i="12"/>
  <c r="P127" i="12"/>
  <c r="V127" i="12"/>
  <c r="Y127" i="12"/>
  <c r="AC110" i="6"/>
  <c r="AC110" i="7"/>
  <c r="P127" i="2"/>
  <c r="S127" i="2"/>
  <c r="V127" i="2"/>
  <c r="Y127" i="2"/>
  <c r="I110" i="6"/>
  <c r="I110" i="7"/>
  <c r="P127" i="8"/>
  <c r="S127" i="8"/>
  <c r="V127" i="8"/>
  <c r="Y127" i="8"/>
  <c r="M110" i="6"/>
  <c r="M110" i="7"/>
  <c r="P127" i="9"/>
  <c r="S127" i="9"/>
  <c r="V127" i="9"/>
  <c r="Y127" i="9"/>
  <c r="Q110" i="6"/>
  <c r="Q110" i="7"/>
  <c r="P127" i="10"/>
  <c r="S127" i="10"/>
  <c r="V127" i="10"/>
  <c r="Y127" i="10"/>
  <c r="U110" i="6"/>
  <c r="U110" i="7"/>
  <c r="P127" i="11"/>
  <c r="S127" i="11"/>
  <c r="V127" i="11"/>
  <c r="Y127" i="11"/>
  <c r="Y110" i="6"/>
  <c r="Y110" i="7"/>
  <c r="P127" i="13"/>
  <c r="S127" i="13"/>
  <c r="V127" i="13"/>
  <c r="Y127" i="13"/>
  <c r="AG110" i="6"/>
  <c r="AG110" i="7"/>
  <c r="N307" i="17"/>
  <c r="N312" i="17"/>
  <c r="N335" i="17"/>
  <c r="N337" i="17"/>
  <c r="O307" i="17"/>
  <c r="O312" i="17"/>
  <c r="O335" i="17"/>
  <c r="O337" i="17"/>
  <c r="Y265" i="7"/>
  <c r="Y266" i="7" s="1"/>
  <c r="W234" i="2"/>
  <c r="G176" i="6"/>
  <c r="W234" i="8"/>
  <c r="K176" i="6"/>
  <c r="W234" i="9"/>
  <c r="O176" i="6"/>
  <c r="W234" i="10"/>
  <c r="S176" i="6"/>
  <c r="W234" i="11"/>
  <c r="W176" i="6"/>
  <c r="W234" i="12"/>
  <c r="AA176" i="6"/>
  <c r="W234" i="13"/>
  <c r="AE176" i="6"/>
  <c r="X234" i="2"/>
  <c r="H176" i="6"/>
  <c r="X234" i="8"/>
  <c r="L176" i="6"/>
  <c r="X234" i="9"/>
  <c r="P176" i="6"/>
  <c r="X234" i="10"/>
  <c r="T176" i="6"/>
  <c r="U176" i="6" s="1"/>
  <c r="X234" i="11"/>
  <c r="X176" i="6"/>
  <c r="X234" i="12"/>
  <c r="AB176" i="6"/>
  <c r="X234" i="13"/>
  <c r="AF176" i="6"/>
  <c r="W235" i="2"/>
  <c r="G177" i="6"/>
  <c r="W235" i="8"/>
  <c r="K177" i="6"/>
  <c r="W235" i="9"/>
  <c r="O177" i="6"/>
  <c r="W235" i="10"/>
  <c r="S177" i="6"/>
  <c r="W235" i="11"/>
  <c r="W177" i="6"/>
  <c r="W235" i="12"/>
  <c r="AA177" i="6"/>
  <c r="W235" i="13"/>
  <c r="AE177" i="6"/>
  <c r="AG177" i="6" s="1"/>
  <c r="X235" i="2"/>
  <c r="H177" i="6"/>
  <c r="X235" i="8"/>
  <c r="L177" i="6"/>
  <c r="X235" i="9"/>
  <c r="P177" i="6"/>
  <c r="X235" i="10"/>
  <c r="T177" i="6"/>
  <c r="X235" i="11"/>
  <c r="X177" i="6"/>
  <c r="X235" i="12"/>
  <c r="AB177" i="6"/>
  <c r="X235" i="13"/>
  <c r="AF177" i="6"/>
  <c r="W231" i="2"/>
  <c r="G173" i="6"/>
  <c r="W231" i="8"/>
  <c r="K173" i="6"/>
  <c r="W231" i="9"/>
  <c r="O173" i="6"/>
  <c r="W231" i="10"/>
  <c r="S173" i="6"/>
  <c r="W231" i="11"/>
  <c r="W173" i="6"/>
  <c r="W231" i="12"/>
  <c r="AA173" i="6"/>
  <c r="W231" i="13"/>
  <c r="AE173" i="6"/>
  <c r="X231" i="2"/>
  <c r="H173" i="6"/>
  <c r="X231" i="8"/>
  <c r="L173" i="6"/>
  <c r="X231" i="9"/>
  <c r="P173" i="6"/>
  <c r="X231" i="10"/>
  <c r="T173" i="6"/>
  <c r="X231" i="11"/>
  <c r="X173" i="6"/>
  <c r="X231" i="12"/>
  <c r="AB173" i="6"/>
  <c r="AC173" i="6" s="1"/>
  <c r="X231" i="13"/>
  <c r="AF173" i="6"/>
  <c r="W232" i="2"/>
  <c r="G174" i="6"/>
  <c r="W232" i="8"/>
  <c r="K174" i="6"/>
  <c r="W232" i="9"/>
  <c r="O174" i="6"/>
  <c r="W232" i="10"/>
  <c r="S174" i="6"/>
  <c r="W232" i="11"/>
  <c r="W174" i="6"/>
  <c r="Y174" i="6" s="1"/>
  <c r="W232" i="12"/>
  <c r="AA174" i="6"/>
  <c r="W232" i="13"/>
  <c r="AE174" i="6"/>
  <c r="X232" i="2"/>
  <c r="H174" i="6"/>
  <c r="X232" i="8"/>
  <c r="L174" i="6"/>
  <c r="M174" i="6" s="1"/>
  <c r="X232" i="9"/>
  <c r="P174" i="6"/>
  <c r="X232" i="10"/>
  <c r="T174" i="6"/>
  <c r="X232" i="11"/>
  <c r="X174" i="6"/>
  <c r="X232" i="12"/>
  <c r="AB174" i="6"/>
  <c r="X232" i="13"/>
  <c r="AF174" i="6"/>
  <c r="W233" i="2"/>
  <c r="G175" i="6"/>
  <c r="W233" i="8"/>
  <c r="K175" i="6"/>
  <c r="W233" i="9"/>
  <c r="O175" i="6"/>
  <c r="W233" i="10"/>
  <c r="S175" i="6"/>
  <c r="W233" i="11"/>
  <c r="W175" i="6"/>
  <c r="W233" i="12"/>
  <c r="AA175" i="6"/>
  <c r="W233" i="13"/>
  <c r="AE175" i="6"/>
  <c r="X233" i="2"/>
  <c r="H175" i="6"/>
  <c r="X233" i="8"/>
  <c r="L175" i="6"/>
  <c r="X233" i="9"/>
  <c r="P175" i="6"/>
  <c r="X233" i="10"/>
  <c r="T175" i="6"/>
  <c r="X233" i="11"/>
  <c r="X175" i="6"/>
  <c r="X233" i="12"/>
  <c r="AB175" i="6"/>
  <c r="X233" i="13"/>
  <c r="AF175" i="6"/>
  <c r="I201" i="20"/>
  <c r="I207" i="20"/>
  <c r="I208" i="20"/>
  <c r="I214" i="20"/>
  <c r="I215" i="20"/>
  <c r="I217" i="20"/>
  <c r="I216" i="20"/>
  <c r="J201" i="20"/>
  <c r="J207" i="20"/>
  <c r="J208" i="20"/>
  <c r="J214" i="20"/>
  <c r="J215" i="20"/>
  <c r="J217" i="20"/>
  <c r="J216" i="20"/>
  <c r="K201" i="20"/>
  <c r="K207" i="20"/>
  <c r="K208" i="20"/>
  <c r="K214" i="20"/>
  <c r="K215" i="20"/>
  <c r="K217" i="20"/>
  <c r="K216" i="20"/>
  <c r="L201" i="20"/>
  <c r="L208" i="20" s="1"/>
  <c r="N208" i="20" s="1"/>
  <c r="M201" i="20"/>
  <c r="M207" i="20"/>
  <c r="M208" i="20"/>
  <c r="M214" i="20"/>
  <c r="M215" i="20"/>
  <c r="M217" i="20"/>
  <c r="M216" i="20"/>
  <c r="I60" i="20"/>
  <c r="I61" i="20"/>
  <c r="I63" i="20" s="1"/>
  <c r="I64" i="20" s="1"/>
  <c r="J60" i="20"/>
  <c r="J61" i="20"/>
  <c r="J63" i="20" s="1"/>
  <c r="J64" i="20" s="1"/>
  <c r="K60" i="20"/>
  <c r="K61" i="20"/>
  <c r="K63" i="20" s="1"/>
  <c r="K64" i="20" s="1"/>
  <c r="L60" i="20"/>
  <c r="U60" i="20" s="1"/>
  <c r="M60" i="20"/>
  <c r="M61" i="20"/>
  <c r="M63" i="20" s="1"/>
  <c r="M64" i="20" s="1"/>
  <c r="T64" i="21"/>
  <c r="S64" i="21"/>
  <c r="R64" i="21"/>
  <c r="T56" i="21"/>
  <c r="S56" i="21"/>
  <c r="R56" i="21"/>
  <c r="R165" i="20"/>
  <c r="S9" i="24"/>
  <c r="S10" i="24"/>
  <c r="S11" i="24"/>
  <c r="S12" i="24"/>
  <c r="S13" i="24"/>
  <c r="S8" i="24"/>
  <c r="R9" i="24"/>
  <c r="R10" i="24"/>
  <c r="R11" i="24"/>
  <c r="R12" i="24"/>
  <c r="R13" i="24"/>
  <c r="R8" i="24"/>
  <c r="I367" i="20"/>
  <c r="I368" i="20"/>
  <c r="I369" i="20"/>
  <c r="I370" i="20"/>
  <c r="I371" i="20"/>
  <c r="I372" i="20"/>
  <c r="I373" i="20"/>
  <c r="I374" i="20"/>
  <c r="I375" i="20"/>
  <c r="I378" i="20"/>
  <c r="I379" i="20"/>
  <c r="I380" i="20"/>
  <c r="I381" i="20"/>
  <c r="R383" i="20"/>
  <c r="I383" i="20"/>
  <c r="J367" i="20"/>
  <c r="J368" i="20"/>
  <c r="J369" i="20"/>
  <c r="J370" i="20"/>
  <c r="J371" i="20"/>
  <c r="J382" i="20" s="1"/>
  <c r="J385" i="20" s="1"/>
  <c r="J372" i="20"/>
  <c r="J373" i="20"/>
  <c r="J374" i="20"/>
  <c r="J375" i="20"/>
  <c r="J376" i="20"/>
  <c r="J378" i="20"/>
  <c r="J379" i="20"/>
  <c r="J380" i="20"/>
  <c r="J381" i="20"/>
  <c r="J383" i="20"/>
  <c r="K367" i="20"/>
  <c r="K368" i="20"/>
  <c r="K369" i="20"/>
  <c r="K370" i="20"/>
  <c r="K371" i="20"/>
  <c r="K372" i="20"/>
  <c r="K373" i="20"/>
  <c r="K374" i="20"/>
  <c r="K375" i="20"/>
  <c r="K376" i="20"/>
  <c r="K378" i="20"/>
  <c r="K379" i="20"/>
  <c r="K380" i="20"/>
  <c r="K381" i="20"/>
  <c r="K382" i="20"/>
  <c r="K385" i="20" s="1"/>
  <c r="K383" i="20"/>
  <c r="L367" i="20"/>
  <c r="L368" i="20"/>
  <c r="L369" i="20"/>
  <c r="L370" i="20"/>
  <c r="L371" i="20"/>
  <c r="L372" i="20"/>
  <c r="L373" i="20"/>
  <c r="L374" i="20"/>
  <c r="L375" i="20"/>
  <c r="L378" i="20"/>
  <c r="L379" i="20"/>
  <c r="L380" i="20"/>
  <c r="L381" i="20"/>
  <c r="L383" i="20"/>
  <c r="M367" i="20"/>
  <c r="M368" i="20"/>
  <c r="M369" i="20"/>
  <c r="M370" i="20"/>
  <c r="M371" i="20"/>
  <c r="M372" i="20"/>
  <c r="M373" i="20"/>
  <c r="M374" i="20"/>
  <c r="M375" i="20"/>
  <c r="M378" i="20"/>
  <c r="M379" i="20"/>
  <c r="M380" i="20"/>
  <c r="M381" i="20"/>
  <c r="M383" i="20"/>
  <c r="X263" i="7"/>
  <c r="W263" i="7"/>
  <c r="X262" i="7"/>
  <c r="W262" i="7"/>
  <c r="X261" i="7"/>
  <c r="W261" i="7"/>
  <c r="AF42" i="23"/>
  <c r="J15" i="13"/>
  <c r="J30" i="13"/>
  <c r="W30" i="13"/>
  <c r="K15" i="13"/>
  <c r="K31" i="13"/>
  <c r="W31" i="13"/>
  <c r="W33" i="13"/>
  <c r="AE36" i="6"/>
  <c r="J15" i="19"/>
  <c r="J30" i="19"/>
  <c r="W30" i="19"/>
  <c r="AT30" i="19" s="1"/>
  <c r="K15" i="19"/>
  <c r="K31" i="19"/>
  <c r="W31" i="19"/>
  <c r="L15" i="13"/>
  <c r="L32" i="13"/>
  <c r="X32" i="13"/>
  <c r="X33" i="13"/>
  <c r="AF36" i="6"/>
  <c r="L15" i="19"/>
  <c r="L32" i="19"/>
  <c r="X32" i="19"/>
  <c r="AB42" i="23"/>
  <c r="J15" i="12"/>
  <c r="J30" i="12"/>
  <c r="W30" i="12"/>
  <c r="K15" i="12"/>
  <c r="K31" i="12"/>
  <c r="W31" i="12"/>
  <c r="W33" i="12"/>
  <c r="AA36" i="6"/>
  <c r="J15" i="18"/>
  <c r="J30" i="18"/>
  <c r="W30" i="18"/>
  <c r="K15" i="18"/>
  <c r="K31" i="18"/>
  <c r="W31" i="18"/>
  <c r="AT31" i="18" s="1"/>
  <c r="AT33" i="18" s="1"/>
  <c r="L15" i="12"/>
  <c r="L32" i="12"/>
  <c r="X32" i="12"/>
  <c r="X33" i="12"/>
  <c r="AB36" i="6"/>
  <c r="L15" i="18"/>
  <c r="L32" i="18"/>
  <c r="X32" i="18"/>
  <c r="AZ32" i="18" s="1"/>
  <c r="X42" i="23"/>
  <c r="J15" i="11"/>
  <c r="J30" i="11"/>
  <c r="W30" i="11"/>
  <c r="K15" i="11"/>
  <c r="K31" i="11"/>
  <c r="W31" i="11"/>
  <c r="W33" i="11"/>
  <c r="W36" i="6"/>
  <c r="J15" i="17"/>
  <c r="J30" i="17"/>
  <c r="W30" i="17"/>
  <c r="Y30" i="17" s="1"/>
  <c r="K15" i="17"/>
  <c r="K31" i="17"/>
  <c r="W31" i="17"/>
  <c r="L15" i="11"/>
  <c r="L32" i="11"/>
  <c r="X32" i="11"/>
  <c r="X33" i="11"/>
  <c r="X36" i="6"/>
  <c r="L15" i="17"/>
  <c r="L32" i="17"/>
  <c r="X32" i="17"/>
  <c r="T42" i="23"/>
  <c r="J15" i="10"/>
  <c r="J30" i="10"/>
  <c r="W30" i="10"/>
  <c r="K15" i="10"/>
  <c r="K31" i="10"/>
  <c r="W31" i="10"/>
  <c r="W33" i="10"/>
  <c r="S36" i="6"/>
  <c r="J15" i="16"/>
  <c r="J30" i="16"/>
  <c r="W30" i="16"/>
  <c r="K15" i="16"/>
  <c r="K31" i="16"/>
  <c r="W31" i="16"/>
  <c r="L15" i="10"/>
  <c r="L32" i="10"/>
  <c r="X32" i="10"/>
  <c r="X33" i="10"/>
  <c r="T36" i="6"/>
  <c r="L15" i="16"/>
  <c r="L32" i="16"/>
  <c r="X32" i="16"/>
  <c r="Y32" i="16" s="1"/>
  <c r="P42" i="23"/>
  <c r="J15" i="9"/>
  <c r="J30" i="9"/>
  <c r="W30" i="9"/>
  <c r="K15" i="9"/>
  <c r="K31" i="9"/>
  <c r="W31" i="9"/>
  <c r="W33" i="9"/>
  <c r="O36" i="6"/>
  <c r="J15" i="15"/>
  <c r="J30" i="15"/>
  <c r="W30" i="15"/>
  <c r="Y30" i="15" s="1"/>
  <c r="Y33" i="15" s="1"/>
  <c r="K15" i="15"/>
  <c r="K31" i="15"/>
  <c r="W31" i="15"/>
  <c r="L15" i="9"/>
  <c r="L32" i="9"/>
  <c r="X32" i="9"/>
  <c r="X33" i="9"/>
  <c r="P36" i="6"/>
  <c r="L15" i="15"/>
  <c r="L32" i="15"/>
  <c r="X32" i="15"/>
  <c r="L42" i="23"/>
  <c r="J15" i="8"/>
  <c r="J30" i="8"/>
  <c r="W30" i="8"/>
  <c r="K15" i="8"/>
  <c r="K31" i="8"/>
  <c r="W31" i="8"/>
  <c r="W33" i="8"/>
  <c r="K36" i="6"/>
  <c r="J15" i="14"/>
  <c r="J30" i="14"/>
  <c r="W30" i="14"/>
  <c r="K15" i="14"/>
  <c r="K31" i="14"/>
  <c r="W31" i="14"/>
  <c r="AT31" i="14" s="1"/>
  <c r="AT33" i="14" s="1"/>
  <c r="L15" i="8"/>
  <c r="L32" i="8"/>
  <c r="X32" i="8"/>
  <c r="X33" i="8"/>
  <c r="L36" i="6"/>
  <c r="L15" i="14"/>
  <c r="L32" i="14"/>
  <c r="X32" i="14"/>
  <c r="L15" i="2"/>
  <c r="L32" i="2"/>
  <c r="X32" i="2"/>
  <c r="X33" i="2"/>
  <c r="H36" i="6"/>
  <c r="L15" i="3"/>
  <c r="L32" i="3"/>
  <c r="X32" i="3"/>
  <c r="AZ32" i="3" s="1"/>
  <c r="H42" i="23"/>
  <c r="J15" i="2"/>
  <c r="J30" i="2"/>
  <c r="W30" i="2"/>
  <c r="K15" i="2"/>
  <c r="K31" i="2"/>
  <c r="W31" i="2"/>
  <c r="W33" i="2"/>
  <c r="G36" i="6"/>
  <c r="J15" i="3"/>
  <c r="J30" i="3"/>
  <c r="W30" i="3"/>
  <c r="K15" i="3"/>
  <c r="K31" i="3"/>
  <c r="W31" i="3"/>
  <c r="X25" i="13"/>
  <c r="AF30" i="23"/>
  <c r="W25" i="13"/>
  <c r="AE30" i="23"/>
  <c r="X24" i="13"/>
  <c r="AF29" i="23"/>
  <c r="W24" i="13"/>
  <c r="AE29" i="23"/>
  <c r="X23" i="13"/>
  <c r="AF28" i="23"/>
  <c r="W23" i="13"/>
  <c r="AE28" i="23"/>
  <c r="X25" i="12"/>
  <c r="AB30" i="23"/>
  <c r="W25" i="12"/>
  <c r="AA30" i="23"/>
  <c r="X24" i="12"/>
  <c r="AB29" i="23"/>
  <c r="W24" i="12"/>
  <c r="AA29" i="23"/>
  <c r="X23" i="12"/>
  <c r="AB28" i="23"/>
  <c r="W23" i="12"/>
  <c r="AA28" i="23"/>
  <c r="X25" i="11"/>
  <c r="X30" i="23"/>
  <c r="W25" i="11"/>
  <c r="W30" i="23"/>
  <c r="X24" i="11"/>
  <c r="X29" i="23"/>
  <c r="W24" i="11"/>
  <c r="W29" i="23"/>
  <c r="X23" i="11"/>
  <c r="X28" i="23"/>
  <c r="W23" i="11"/>
  <c r="W28" i="23"/>
  <c r="X25" i="10"/>
  <c r="T30" i="23"/>
  <c r="W25" i="10"/>
  <c r="S30" i="23"/>
  <c r="X24" i="10"/>
  <c r="T29" i="23"/>
  <c r="W24" i="10"/>
  <c r="S29" i="23"/>
  <c r="X23" i="10"/>
  <c r="T28" i="23"/>
  <c r="W23" i="10"/>
  <c r="S28" i="23"/>
  <c r="X25" i="9"/>
  <c r="P30" i="23"/>
  <c r="W25" i="9"/>
  <c r="O30" i="23"/>
  <c r="X24" i="9"/>
  <c r="P29" i="23"/>
  <c r="W24" i="9"/>
  <c r="O29" i="23"/>
  <c r="X23" i="9"/>
  <c r="P28" i="23"/>
  <c r="W23" i="9"/>
  <c r="O28" i="23"/>
  <c r="X25" i="8"/>
  <c r="L30" i="23"/>
  <c r="W25" i="8"/>
  <c r="K30" i="23"/>
  <c r="X24" i="8"/>
  <c r="L29" i="23"/>
  <c r="W24" i="8"/>
  <c r="K29" i="23"/>
  <c r="X23" i="8"/>
  <c r="L28" i="23"/>
  <c r="W23" i="8"/>
  <c r="K28" i="23"/>
  <c r="H30" i="23"/>
  <c r="H29" i="23"/>
  <c r="H28" i="23"/>
  <c r="G30" i="23"/>
  <c r="G29" i="23"/>
  <c r="G28" i="23"/>
  <c r="I25" i="22"/>
  <c r="E25" i="22"/>
  <c r="I24" i="22"/>
  <c r="E24" i="22"/>
  <c r="I23" i="22"/>
  <c r="E23" i="22"/>
  <c r="I16" i="22"/>
  <c r="E16" i="22"/>
  <c r="I15" i="22"/>
  <c r="E15" i="22"/>
  <c r="I14" i="22"/>
  <c r="E14" i="22"/>
  <c r="I13" i="22"/>
  <c r="E13" i="22"/>
  <c r="I12" i="22"/>
  <c r="E12" i="22"/>
  <c r="I11" i="22"/>
  <c r="E11" i="22"/>
  <c r="D23" i="22"/>
  <c r="C23" i="22"/>
  <c r="C11" i="22"/>
  <c r="O17" i="25"/>
  <c r="O123" i="25"/>
  <c r="L123" i="25"/>
  <c r="Y123" i="25"/>
  <c r="O16" i="25"/>
  <c r="O121" i="25"/>
  <c r="L121" i="25"/>
  <c r="Y121" i="25"/>
  <c r="Y129" i="2"/>
  <c r="Y129" i="8"/>
  <c r="Y129" i="9"/>
  <c r="Y129" i="10"/>
  <c r="Y129" i="11"/>
  <c r="Y129" i="12"/>
  <c r="Y129" i="13"/>
  <c r="I98" i="6"/>
  <c r="M98" i="6"/>
  <c r="Q98" i="6"/>
  <c r="U98" i="6"/>
  <c r="Y98" i="6"/>
  <c r="AC98" i="6"/>
  <c r="AG98" i="6"/>
  <c r="G19" i="25"/>
  <c r="O26" i="25"/>
  <c r="O24" i="25"/>
  <c r="N26" i="25"/>
  <c r="N24" i="25"/>
  <c r="N17" i="25"/>
  <c r="N16" i="25"/>
  <c r="AC257" i="7"/>
  <c r="AC256" i="7"/>
  <c r="AC255" i="7"/>
  <c r="AC252" i="7"/>
  <c r="BF252" i="7" s="1"/>
  <c r="AC251" i="7"/>
  <c r="BF251" i="7" s="1"/>
  <c r="AC250" i="7"/>
  <c r="BF250" i="7" s="1"/>
  <c r="AC199" i="7"/>
  <c r="AC198" i="7"/>
  <c r="AC197" i="7"/>
  <c r="AC191" i="7"/>
  <c r="AC190" i="7"/>
  <c r="AC189" i="7"/>
  <c r="AC92" i="7"/>
  <c r="AC79" i="7"/>
  <c r="Y257" i="7"/>
  <c r="Y256" i="7"/>
  <c r="Y255" i="7"/>
  <c r="Y252" i="7"/>
  <c r="BE252" i="7" s="1"/>
  <c r="Y251" i="7"/>
  <c r="BE251" i="7" s="1"/>
  <c r="Y250" i="7"/>
  <c r="BE250" i="7" s="1"/>
  <c r="Y199" i="7"/>
  <c r="Y198" i="7"/>
  <c r="Y197" i="7"/>
  <c r="Y191" i="7"/>
  <c r="Y190" i="7"/>
  <c r="Y189" i="7"/>
  <c r="Y92" i="7"/>
  <c r="Y79" i="7"/>
  <c r="U257" i="7"/>
  <c r="U256" i="7"/>
  <c r="U255" i="7"/>
  <c r="U252" i="7"/>
  <c r="BD252" i="7" s="1"/>
  <c r="U251" i="7"/>
  <c r="BD251" i="7" s="1"/>
  <c r="U250" i="7"/>
  <c r="BD250" i="7" s="1"/>
  <c r="U197" i="7"/>
  <c r="U191" i="7"/>
  <c r="U190" i="7"/>
  <c r="U189" i="7"/>
  <c r="U92" i="7"/>
  <c r="U79" i="7"/>
  <c r="Q257" i="7"/>
  <c r="Q256" i="7"/>
  <c r="Q255" i="7"/>
  <c r="Q252" i="7"/>
  <c r="BC252" i="7" s="1"/>
  <c r="Q251" i="7"/>
  <c r="BC251" i="7" s="1"/>
  <c r="Q250" i="7"/>
  <c r="BC250" i="7" s="1"/>
  <c r="Q199" i="7"/>
  <c r="Q198" i="7"/>
  <c r="Q197" i="7"/>
  <c r="Q191" i="7"/>
  <c r="Q190" i="7"/>
  <c r="Q189" i="7"/>
  <c r="Q92" i="7"/>
  <c r="Q79" i="7"/>
  <c r="M257" i="7"/>
  <c r="M256" i="7"/>
  <c r="M255" i="7"/>
  <c r="M252" i="7"/>
  <c r="BB252" i="7" s="1"/>
  <c r="M251" i="7"/>
  <c r="BB251" i="7" s="1"/>
  <c r="M250" i="7"/>
  <c r="BB250" i="7" s="1"/>
  <c r="M199" i="7"/>
  <c r="M198" i="7"/>
  <c r="M197" i="7"/>
  <c r="M191" i="7"/>
  <c r="M190" i="7"/>
  <c r="M189" i="7"/>
  <c r="M92" i="7"/>
  <c r="M79" i="7"/>
  <c r="AC10" i="8"/>
  <c r="AC10" i="9"/>
  <c r="AC10" i="10"/>
  <c r="AC10" i="11"/>
  <c r="AC10" i="12"/>
  <c r="AC10" i="13"/>
  <c r="AC10" i="2"/>
  <c r="AB10" i="8"/>
  <c r="AB10" i="9"/>
  <c r="AB10" i="10"/>
  <c r="AB10" i="11"/>
  <c r="AB10" i="12"/>
  <c r="AB10" i="13"/>
  <c r="AB10" i="2"/>
  <c r="AA10" i="8"/>
  <c r="AA10" i="9"/>
  <c r="AA10" i="10"/>
  <c r="AA10" i="11"/>
  <c r="AA10" i="12"/>
  <c r="AA10" i="13"/>
  <c r="AA10" i="2"/>
  <c r="AG202" i="6"/>
  <c r="AF202" i="6"/>
  <c r="BO202" i="6" s="1"/>
  <c r="AE202" i="6"/>
  <c r="BG202" i="6" s="1"/>
  <c r="AG201" i="6"/>
  <c r="AF201" i="6"/>
  <c r="AE201" i="6"/>
  <c r="BG201" i="6" s="1"/>
  <c r="AG200" i="6"/>
  <c r="AF200" i="6"/>
  <c r="AE200" i="6"/>
  <c r="AC202" i="6"/>
  <c r="AB202" i="6"/>
  <c r="AA202" i="6"/>
  <c r="AC201" i="6"/>
  <c r="AB201" i="6"/>
  <c r="BN201" i="6" s="1"/>
  <c r="AA201" i="6"/>
  <c r="AC200" i="6"/>
  <c r="AB200" i="6"/>
  <c r="AA200" i="6"/>
  <c r="BF200" i="6" s="1"/>
  <c r="Y202" i="6"/>
  <c r="X202" i="6"/>
  <c r="W202" i="6"/>
  <c r="Y201" i="6"/>
  <c r="X201" i="6"/>
  <c r="W201" i="6"/>
  <c r="Y200" i="6"/>
  <c r="X200" i="6"/>
  <c r="BM200" i="6" s="1"/>
  <c r="W200" i="6"/>
  <c r="U202" i="6"/>
  <c r="T202" i="6"/>
  <c r="S202" i="6"/>
  <c r="BD202" i="6" s="1"/>
  <c r="U201" i="6"/>
  <c r="T201" i="6"/>
  <c r="S201" i="6"/>
  <c r="U200" i="6"/>
  <c r="T200" i="6"/>
  <c r="S200" i="6"/>
  <c r="Q202" i="6"/>
  <c r="P202" i="6"/>
  <c r="BK202" i="6" s="1"/>
  <c r="O202" i="6"/>
  <c r="BC202" i="6" s="1"/>
  <c r="Q201" i="6"/>
  <c r="P201" i="6"/>
  <c r="O201" i="6"/>
  <c r="BC201" i="6" s="1"/>
  <c r="Q200" i="6"/>
  <c r="P200" i="6"/>
  <c r="O200" i="6"/>
  <c r="M202" i="6"/>
  <c r="L202" i="6"/>
  <c r="K202" i="6"/>
  <c r="M201" i="6"/>
  <c r="L201" i="6"/>
  <c r="BJ201" i="6" s="1"/>
  <c r="K201" i="6"/>
  <c r="M200" i="6"/>
  <c r="L200" i="6"/>
  <c r="K200" i="6"/>
  <c r="BB200" i="6" s="1"/>
  <c r="I200" i="6"/>
  <c r="G200" i="6"/>
  <c r="E14" i="25"/>
  <c r="F14" i="25"/>
  <c r="G14" i="25"/>
  <c r="G16" i="25"/>
  <c r="L134" i="25"/>
  <c r="L168" i="25"/>
  <c r="Y168" i="25"/>
  <c r="Z168" i="25"/>
  <c r="AK252" i="6"/>
  <c r="G145" i="25" s="1"/>
  <c r="L145" i="25"/>
  <c r="Y145" i="25"/>
  <c r="AK210" i="6"/>
  <c r="G134" i="25" s="1"/>
  <c r="Y134" i="25"/>
  <c r="B25" i="22"/>
  <c r="B13" i="22" s="1"/>
  <c r="G17" i="25"/>
  <c r="AC9" i="2"/>
  <c r="I14" i="6"/>
  <c r="I14" i="23" s="1"/>
  <c r="Q14" i="23"/>
  <c r="Y14" i="23"/>
  <c r="AG14" i="23"/>
  <c r="J58" i="20"/>
  <c r="K58" i="20"/>
  <c r="K59" i="20"/>
  <c r="L58" i="20"/>
  <c r="L59" i="20"/>
  <c r="M58" i="20"/>
  <c r="M59" i="20"/>
  <c r="U4" i="25"/>
  <c r="AA4" i="25" s="1"/>
  <c r="X4" i="25"/>
  <c r="AD4" i="25" s="1"/>
  <c r="X265" i="7"/>
  <c r="X266" i="7" s="1"/>
  <c r="W265" i="7"/>
  <c r="W266" i="7" s="1"/>
  <c r="AY604" i="2"/>
  <c r="BI436" i="6"/>
  <c r="AY604" i="8"/>
  <c r="L436" i="6"/>
  <c r="BJ436" i="6" s="1"/>
  <c r="AY604" i="9"/>
  <c r="P436" i="6"/>
  <c r="BK436" i="6" s="1"/>
  <c r="AY604" i="10"/>
  <c r="T436" i="6"/>
  <c r="BL436" i="6" s="1"/>
  <c r="AY604" i="11"/>
  <c r="X436" i="6"/>
  <c r="BM436" i="6" s="1"/>
  <c r="AY604" i="12"/>
  <c r="AB436" i="6"/>
  <c r="BN436" i="6" s="1"/>
  <c r="AY604" i="13"/>
  <c r="AF436" i="6"/>
  <c r="BO436" i="6" s="1"/>
  <c r="W604" i="2"/>
  <c r="AS604" i="2"/>
  <c r="W604" i="8"/>
  <c r="AS604" i="8"/>
  <c r="K436" i="6"/>
  <c r="BB436" i="6" s="1"/>
  <c r="W604" i="9"/>
  <c r="AS604" i="9"/>
  <c r="O436" i="6"/>
  <c r="BC436" i="6" s="1"/>
  <c r="W604" i="10"/>
  <c r="AS604" i="10"/>
  <c r="S436" i="6"/>
  <c r="BD436" i="6" s="1"/>
  <c r="W604" i="11"/>
  <c r="AS604" i="11"/>
  <c r="W436" i="6"/>
  <c r="BE436" i="6" s="1"/>
  <c r="W604" i="12"/>
  <c r="AS604" i="12"/>
  <c r="AA436" i="6"/>
  <c r="BF436" i="6" s="1"/>
  <c r="W604" i="13"/>
  <c r="AS604" i="13"/>
  <c r="AE436" i="6"/>
  <c r="BG436" i="6" s="1"/>
  <c r="G158" i="25"/>
  <c r="F158" i="25"/>
  <c r="F159" i="25" s="1"/>
  <c r="E158" i="25"/>
  <c r="AJ252" i="6"/>
  <c r="F145" i="25" s="1"/>
  <c r="F146" i="25" s="1"/>
  <c r="AI252" i="6"/>
  <c r="E145" i="25" s="1"/>
  <c r="E146" i="25" s="1"/>
  <c r="X364" i="2"/>
  <c r="AZ364" i="2"/>
  <c r="H249" i="6"/>
  <c r="X364" i="8"/>
  <c r="AZ364" i="8"/>
  <c r="L249" i="6"/>
  <c r="X364" i="9"/>
  <c r="AZ364" i="9"/>
  <c r="P249" i="6"/>
  <c r="X364" i="10"/>
  <c r="AZ364" i="10"/>
  <c r="T249" i="6"/>
  <c r="X364" i="11"/>
  <c r="AZ364" i="11"/>
  <c r="X249" i="6"/>
  <c r="X364" i="12"/>
  <c r="AZ364" i="12"/>
  <c r="AB249" i="6"/>
  <c r="X364" i="13"/>
  <c r="AZ364" i="13"/>
  <c r="AF249" i="6"/>
  <c r="W364" i="2"/>
  <c r="AT364" i="2"/>
  <c r="G249" i="6"/>
  <c r="W364" i="8"/>
  <c r="AT364" i="8"/>
  <c r="K249" i="6"/>
  <c r="W364" i="9"/>
  <c r="AT364" i="9"/>
  <c r="O249" i="6"/>
  <c r="W364" i="10"/>
  <c r="AT364" i="10"/>
  <c r="S249" i="6"/>
  <c r="W364" i="11"/>
  <c r="AT364" i="11"/>
  <c r="W249" i="6"/>
  <c r="W364" i="12"/>
  <c r="AT364" i="12"/>
  <c r="AA249" i="6"/>
  <c r="AC249" i="6" s="1"/>
  <c r="W364" i="13"/>
  <c r="AT364" i="13"/>
  <c r="AE249" i="6"/>
  <c r="X358" i="2"/>
  <c r="H244" i="6"/>
  <c r="X358" i="8"/>
  <c r="L244" i="6"/>
  <c r="X358" i="9"/>
  <c r="P244" i="6"/>
  <c r="X358" i="10"/>
  <c r="T244" i="6"/>
  <c r="X358" i="11"/>
  <c r="X244" i="6"/>
  <c r="X358" i="12"/>
  <c r="AB244" i="6"/>
  <c r="X358" i="13"/>
  <c r="AF244" i="6"/>
  <c r="X363" i="2"/>
  <c r="AZ363" i="2"/>
  <c r="H248" i="6"/>
  <c r="X363" i="8"/>
  <c r="AZ363" i="8"/>
  <c r="L248" i="6"/>
  <c r="X363" i="9"/>
  <c r="AZ363" i="9"/>
  <c r="P248" i="6"/>
  <c r="P255" i="6" s="1"/>
  <c r="X363" i="10"/>
  <c r="AZ363" i="10"/>
  <c r="T248" i="6"/>
  <c r="X363" i="11"/>
  <c r="AZ363" i="11"/>
  <c r="X248" i="6"/>
  <c r="X363" i="12"/>
  <c r="AZ363" i="12"/>
  <c r="AB248" i="6"/>
  <c r="X363" i="13"/>
  <c r="AZ363" i="13"/>
  <c r="AF248" i="6"/>
  <c r="W358" i="2"/>
  <c r="G244" i="6"/>
  <c r="W358" i="8"/>
  <c r="K244" i="6"/>
  <c r="W358" i="9"/>
  <c r="O244" i="6"/>
  <c r="W358" i="10"/>
  <c r="S244" i="6"/>
  <c r="W358" i="11"/>
  <c r="W244" i="6"/>
  <c r="W358" i="12"/>
  <c r="AA244" i="6"/>
  <c r="W358" i="13"/>
  <c r="AE244" i="6"/>
  <c r="W363" i="2"/>
  <c r="AT363" i="2"/>
  <c r="G248" i="6"/>
  <c r="W363" i="8"/>
  <c r="AT363" i="8"/>
  <c r="K248" i="6"/>
  <c r="M248" i="6" s="1"/>
  <c r="W363" i="9"/>
  <c r="AT363" i="9"/>
  <c r="O248" i="6"/>
  <c r="W363" i="10"/>
  <c r="AT363" i="10"/>
  <c r="S248" i="6"/>
  <c r="W363" i="11"/>
  <c r="AT363" i="11"/>
  <c r="W248" i="6"/>
  <c r="W363" i="12"/>
  <c r="AT363" i="12"/>
  <c r="AA248" i="6"/>
  <c r="W363" i="13"/>
  <c r="AT363" i="13"/>
  <c r="AE248" i="6"/>
  <c r="X359" i="2"/>
  <c r="H245" i="6"/>
  <c r="X359" i="8"/>
  <c r="L245" i="6"/>
  <c r="X359" i="9"/>
  <c r="P245" i="6"/>
  <c r="X359" i="10"/>
  <c r="T245" i="6"/>
  <c r="X359" i="11"/>
  <c r="X245" i="6"/>
  <c r="X359" i="12"/>
  <c r="AB245" i="6"/>
  <c r="X359" i="13"/>
  <c r="AF245" i="6"/>
  <c r="X368" i="2"/>
  <c r="AZ368" i="2"/>
  <c r="H253" i="6"/>
  <c r="X368" i="8"/>
  <c r="AZ368" i="8"/>
  <c r="L253" i="6"/>
  <c r="X368" i="9"/>
  <c r="AZ368" i="9"/>
  <c r="P253" i="6"/>
  <c r="X368" i="10"/>
  <c r="AZ368" i="10"/>
  <c r="T253" i="6"/>
  <c r="X368" i="11"/>
  <c r="AZ368" i="11"/>
  <c r="X253" i="6"/>
  <c r="X368" i="12"/>
  <c r="AZ368" i="12"/>
  <c r="AB253" i="6"/>
  <c r="X368" i="13"/>
  <c r="AZ368" i="13"/>
  <c r="AF253" i="6"/>
  <c r="W359" i="2"/>
  <c r="G245" i="6"/>
  <c r="W359" i="8"/>
  <c r="K245" i="6"/>
  <c r="W359" i="9"/>
  <c r="O245" i="6"/>
  <c r="W359" i="10"/>
  <c r="S245" i="6"/>
  <c r="W359" i="11"/>
  <c r="W245" i="6"/>
  <c r="W359" i="12"/>
  <c r="AA245" i="6"/>
  <c r="W359" i="13"/>
  <c r="AE245" i="6"/>
  <c r="AG245" i="6" s="1"/>
  <c r="W368" i="8"/>
  <c r="AT368" i="8"/>
  <c r="K253" i="6"/>
  <c r="W368" i="9"/>
  <c r="AT368" i="9"/>
  <c r="O253" i="6"/>
  <c r="W368" i="10"/>
  <c r="AT368" i="10"/>
  <c r="S253" i="6"/>
  <c r="W368" i="11"/>
  <c r="AT368" i="11"/>
  <c r="W253" i="6"/>
  <c r="W368" i="12"/>
  <c r="AT368" i="12"/>
  <c r="AA253" i="6"/>
  <c r="W368" i="13"/>
  <c r="AT368" i="13"/>
  <c r="AE253" i="6"/>
  <c r="AJ210" i="6"/>
  <c r="F134" i="25" s="1"/>
  <c r="F135" i="25" s="1"/>
  <c r="AI210" i="6"/>
  <c r="E134" i="25" s="1"/>
  <c r="E135" i="25" s="1"/>
  <c r="X317" i="2"/>
  <c r="AZ317" i="2"/>
  <c r="H207" i="6"/>
  <c r="X317" i="8"/>
  <c r="AZ317" i="8"/>
  <c r="L207" i="6"/>
  <c r="X317" i="9"/>
  <c r="AZ317" i="9"/>
  <c r="P207" i="6"/>
  <c r="X317" i="10"/>
  <c r="AZ317" i="10"/>
  <c r="T207" i="6"/>
  <c r="X317" i="11"/>
  <c r="AZ317" i="11"/>
  <c r="X207" i="6"/>
  <c r="X317" i="12"/>
  <c r="AZ317" i="12"/>
  <c r="AB207" i="6"/>
  <c r="X317" i="13"/>
  <c r="AZ317" i="13"/>
  <c r="AF207" i="6"/>
  <c r="W317" i="2"/>
  <c r="AT317" i="2"/>
  <c r="G207" i="6"/>
  <c r="W317" i="8"/>
  <c r="AT317" i="8"/>
  <c r="K207" i="6"/>
  <c r="W317" i="9"/>
  <c r="AT317" i="9"/>
  <c r="O207" i="6"/>
  <c r="Q207" i="6" s="1"/>
  <c r="W317" i="10"/>
  <c r="AT317" i="10"/>
  <c r="S207" i="6"/>
  <c r="W317" i="11"/>
  <c r="AT317" i="11"/>
  <c r="W207" i="6"/>
  <c r="W317" i="12"/>
  <c r="AT317" i="12"/>
  <c r="AA207" i="6"/>
  <c r="W317" i="13"/>
  <c r="AT317" i="13"/>
  <c r="AE207" i="6"/>
  <c r="AG207" i="6" s="1"/>
  <c r="X316" i="2"/>
  <c r="AZ316" i="2"/>
  <c r="H206" i="6"/>
  <c r="X316" i="8"/>
  <c r="AZ316" i="8"/>
  <c r="L206" i="6"/>
  <c r="X316" i="9"/>
  <c r="AZ316" i="9"/>
  <c r="P206" i="6"/>
  <c r="X316" i="10"/>
  <c r="AZ316" i="10"/>
  <c r="T206" i="6"/>
  <c r="X316" i="11"/>
  <c r="AZ316" i="11"/>
  <c r="X206" i="6"/>
  <c r="X316" i="12"/>
  <c r="AZ316" i="12"/>
  <c r="AB206" i="6"/>
  <c r="X316" i="13"/>
  <c r="AZ316" i="13"/>
  <c r="AF206" i="6"/>
  <c r="W316" i="2"/>
  <c r="AT316" i="2"/>
  <c r="G206" i="6"/>
  <c r="I206" i="6" s="1"/>
  <c r="W316" i="8"/>
  <c r="AT316" i="8"/>
  <c r="K206" i="6"/>
  <c r="W316" i="9"/>
  <c r="AT316" i="9"/>
  <c r="O206" i="6"/>
  <c r="W316" i="10"/>
  <c r="AT316" i="10"/>
  <c r="S206" i="6"/>
  <c r="W316" i="11"/>
  <c r="AT316" i="11"/>
  <c r="W206" i="6"/>
  <c r="Y206" i="6" s="1"/>
  <c r="W316" i="12"/>
  <c r="AT316" i="12"/>
  <c r="AA206" i="6"/>
  <c r="W316" i="13"/>
  <c r="AT316" i="13"/>
  <c r="AE206" i="6"/>
  <c r="X321" i="2"/>
  <c r="AZ321" i="2"/>
  <c r="H211" i="6"/>
  <c r="X321" i="8"/>
  <c r="AZ321" i="8"/>
  <c r="L211" i="6"/>
  <c r="M211" i="6" s="1"/>
  <c r="X321" i="9"/>
  <c r="AZ321" i="9"/>
  <c r="P211" i="6"/>
  <c r="X321" i="10"/>
  <c r="AZ321" i="10"/>
  <c r="T211" i="6"/>
  <c r="X321" i="11"/>
  <c r="AZ321" i="11"/>
  <c r="X211" i="6"/>
  <c r="X321" i="12"/>
  <c r="AZ321" i="12"/>
  <c r="AB211" i="6"/>
  <c r="AC211" i="6" s="1"/>
  <c r="X321" i="13"/>
  <c r="AZ321" i="13"/>
  <c r="AF211" i="6"/>
  <c r="W321" i="2"/>
  <c r="AT321" i="2"/>
  <c r="G211" i="6"/>
  <c r="W321" i="8"/>
  <c r="AT321" i="8"/>
  <c r="K211" i="6"/>
  <c r="W321" i="9"/>
  <c r="AT321" i="9"/>
  <c r="O211" i="6"/>
  <c r="Q211" i="6" s="1"/>
  <c r="W321" i="10"/>
  <c r="AT321" i="10"/>
  <c r="S211" i="6"/>
  <c r="W321" i="11"/>
  <c r="AT321" i="11"/>
  <c r="W211" i="6"/>
  <c r="W321" i="12"/>
  <c r="AT321" i="12"/>
  <c r="AA211" i="6"/>
  <c r="W321" i="13"/>
  <c r="AT321" i="13"/>
  <c r="AE211" i="6"/>
  <c r="AG211" i="6" s="1"/>
  <c r="X243" i="2"/>
  <c r="H185" i="6"/>
  <c r="X243" i="8"/>
  <c r="L185" i="6"/>
  <c r="X243" i="9"/>
  <c r="P185" i="6"/>
  <c r="X243" i="10"/>
  <c r="T185" i="6"/>
  <c r="U185" i="6" s="1"/>
  <c r="X243" i="11"/>
  <c r="X185" i="6"/>
  <c r="X243" i="12"/>
  <c r="AB185" i="6"/>
  <c r="X243" i="13"/>
  <c r="AF185" i="6"/>
  <c r="W243" i="2"/>
  <c r="G185" i="6"/>
  <c r="I185" i="6" s="1"/>
  <c r="W243" i="8"/>
  <c r="K185" i="6"/>
  <c r="W243" i="9"/>
  <c r="O185" i="6"/>
  <c r="W243" i="10"/>
  <c r="S185" i="6"/>
  <c r="W243" i="11"/>
  <c r="W185" i="6"/>
  <c r="W243" i="12"/>
  <c r="AA185" i="6"/>
  <c r="W243" i="13"/>
  <c r="AE185" i="6"/>
  <c r="AG185" i="6" s="1"/>
  <c r="X137" i="3"/>
  <c r="H118" i="7"/>
  <c r="X137" i="14"/>
  <c r="L118" i="7" s="1"/>
  <c r="L124" i="23" s="1"/>
  <c r="X137" i="15"/>
  <c r="X137" i="16"/>
  <c r="T118" i="7" s="1"/>
  <c r="T124" i="23" s="1"/>
  <c r="X137" i="17"/>
  <c r="X137" i="18"/>
  <c r="AB118" i="7" s="1"/>
  <c r="AB124" i="23" s="1"/>
  <c r="X137" i="19"/>
  <c r="X138" i="3"/>
  <c r="H119" i="7"/>
  <c r="X138" i="14"/>
  <c r="L119" i="7" s="1"/>
  <c r="X138" i="15"/>
  <c r="X138" i="16"/>
  <c r="T119" i="7" s="1"/>
  <c r="X138" i="17"/>
  <c r="X138" i="18"/>
  <c r="AB119" i="7" s="1"/>
  <c r="AB120" i="7" s="1"/>
  <c r="X138" i="19"/>
  <c r="W137" i="3"/>
  <c r="G118" i="7"/>
  <c r="W137" i="14"/>
  <c r="K118" i="7" s="1"/>
  <c r="W137" i="15"/>
  <c r="Y137" i="15" s="1"/>
  <c r="Y139" i="15" s="1"/>
  <c r="W137" i="16"/>
  <c r="S118" i="7" s="1"/>
  <c r="W137" i="17"/>
  <c r="W137" i="18"/>
  <c r="AA118" i="7" s="1"/>
  <c r="AA124" i="23" s="1"/>
  <c r="W137" i="19"/>
  <c r="W138" i="3"/>
  <c r="G119" i="7"/>
  <c r="G125" i="23" s="1"/>
  <c r="W138" i="14"/>
  <c r="K119" i="7" s="1"/>
  <c r="W138" i="15"/>
  <c r="W138" i="16"/>
  <c r="S119" i="7" s="1"/>
  <c r="S125" i="23" s="1"/>
  <c r="W138" i="17"/>
  <c r="W138" i="18"/>
  <c r="AA119" i="7" s="1"/>
  <c r="W138" i="19"/>
  <c r="AE119" i="7" s="1"/>
  <c r="AE125" i="23" s="1"/>
  <c r="X137" i="2"/>
  <c r="H118" i="6"/>
  <c r="X138" i="2"/>
  <c r="H119" i="6"/>
  <c r="X139" i="2"/>
  <c r="H120" i="6"/>
  <c r="X140" i="2"/>
  <c r="H121" i="6"/>
  <c r="X137" i="8"/>
  <c r="L118" i="6"/>
  <c r="M118" i="6" s="1"/>
  <c r="X139" i="8"/>
  <c r="L120" i="6"/>
  <c r="X140" i="8"/>
  <c r="L121" i="6"/>
  <c r="X138" i="8"/>
  <c r="L119" i="6"/>
  <c r="X141" i="8"/>
  <c r="L122" i="6"/>
  <c r="X142" i="8"/>
  <c r="L123" i="6"/>
  <c r="X143" i="8"/>
  <c r="L124" i="6"/>
  <c r="X144" i="8"/>
  <c r="L125" i="6"/>
  <c r="X145" i="8"/>
  <c r="L126" i="6"/>
  <c r="X146" i="8"/>
  <c r="L127" i="6"/>
  <c r="X137" i="9"/>
  <c r="P118" i="6"/>
  <c r="X138" i="9"/>
  <c r="P119" i="6"/>
  <c r="X139" i="9"/>
  <c r="P120" i="6"/>
  <c r="Q120" i="6" s="1"/>
  <c r="X140" i="9"/>
  <c r="P121" i="6"/>
  <c r="X141" i="9"/>
  <c r="P122" i="6"/>
  <c r="Q122" i="6" s="1"/>
  <c r="X142" i="9"/>
  <c r="P123" i="6"/>
  <c r="X143" i="9"/>
  <c r="P124" i="6"/>
  <c r="Q124" i="6" s="1"/>
  <c r="X144" i="9"/>
  <c r="P125" i="6"/>
  <c r="X145" i="9"/>
  <c r="P126" i="6"/>
  <c r="Q126" i="6" s="1"/>
  <c r="X146" i="9"/>
  <c r="P127" i="6"/>
  <c r="X137" i="10"/>
  <c r="T118" i="6"/>
  <c r="X138" i="10"/>
  <c r="T119" i="6"/>
  <c r="X139" i="10"/>
  <c r="T120" i="6"/>
  <c r="U120" i="6" s="1"/>
  <c r="X140" i="10"/>
  <c r="T121" i="6"/>
  <c r="X141" i="10"/>
  <c r="T122" i="6"/>
  <c r="X142" i="10"/>
  <c r="T123" i="6"/>
  <c r="X143" i="10"/>
  <c r="T124" i="6"/>
  <c r="U124" i="6" s="1"/>
  <c r="X144" i="10"/>
  <c r="T125" i="6"/>
  <c r="X145" i="10"/>
  <c r="T126" i="6"/>
  <c r="U126" i="6" s="1"/>
  <c r="X146" i="10"/>
  <c r="T127" i="6"/>
  <c r="X137" i="11"/>
  <c r="X118" i="6"/>
  <c r="Y118" i="6" s="1"/>
  <c r="X138" i="11"/>
  <c r="X119" i="6"/>
  <c r="X139" i="11"/>
  <c r="X120" i="6"/>
  <c r="Y120" i="6" s="1"/>
  <c r="X140" i="11"/>
  <c r="X121" i="6"/>
  <c r="X141" i="11"/>
  <c r="X122" i="6"/>
  <c r="X142" i="11"/>
  <c r="X123" i="6"/>
  <c r="X143" i="11"/>
  <c r="X124" i="6"/>
  <c r="Y124" i="6" s="1"/>
  <c r="X144" i="11"/>
  <c r="X125" i="6"/>
  <c r="X145" i="11"/>
  <c r="X126" i="6"/>
  <c r="Y126" i="6" s="1"/>
  <c r="X146" i="11"/>
  <c r="X127" i="6"/>
  <c r="X137" i="12"/>
  <c r="AB118" i="6"/>
  <c r="AC118" i="6" s="1"/>
  <c r="X138" i="12"/>
  <c r="AB119" i="6"/>
  <c r="X139" i="12"/>
  <c r="AB120" i="6"/>
  <c r="AC120" i="6" s="1"/>
  <c r="X140" i="12"/>
  <c r="AB121" i="6"/>
  <c r="X141" i="12"/>
  <c r="AB122" i="6"/>
  <c r="AC122" i="6" s="1"/>
  <c r="X142" i="12"/>
  <c r="AB123" i="6"/>
  <c r="X143" i="12"/>
  <c r="AB124" i="6"/>
  <c r="X144" i="12"/>
  <c r="AB125" i="6"/>
  <c r="X145" i="12"/>
  <c r="AB126" i="6"/>
  <c r="AC126" i="6" s="1"/>
  <c r="X146" i="12"/>
  <c r="AB127" i="6"/>
  <c r="X137" i="13"/>
  <c r="AF118" i="6"/>
  <c r="AG118" i="6" s="1"/>
  <c r="X138" i="13"/>
  <c r="AF119" i="6"/>
  <c r="X139" i="13"/>
  <c r="AF120" i="6"/>
  <c r="X140" i="13"/>
  <c r="AF121" i="6"/>
  <c r="X141" i="13"/>
  <c r="AF122" i="6"/>
  <c r="AG122" i="6" s="1"/>
  <c r="X142" i="13"/>
  <c r="AF123" i="6"/>
  <c r="X143" i="13"/>
  <c r="AF124" i="6"/>
  <c r="X144" i="13"/>
  <c r="AF125" i="6"/>
  <c r="X145" i="13"/>
  <c r="AF126" i="6"/>
  <c r="AG126" i="6" s="1"/>
  <c r="X146" i="13"/>
  <c r="AF127" i="6"/>
  <c r="W137" i="2"/>
  <c r="G118" i="6"/>
  <c r="AI118" i="6" s="1"/>
  <c r="W139" i="2"/>
  <c r="G120" i="6"/>
  <c r="W140" i="2"/>
  <c r="G121" i="6"/>
  <c r="W137" i="8"/>
  <c r="K118" i="6"/>
  <c r="W139" i="8"/>
  <c r="K120" i="6"/>
  <c r="W140" i="8"/>
  <c r="K121" i="6"/>
  <c r="W138" i="8"/>
  <c r="K119" i="6"/>
  <c r="M119" i="6" s="1"/>
  <c r="W141" i="8"/>
  <c r="K122" i="6"/>
  <c r="W142" i="8"/>
  <c r="K123" i="6"/>
  <c r="M123" i="6" s="1"/>
  <c r="W143" i="8"/>
  <c r="K124" i="6"/>
  <c r="W144" i="8"/>
  <c r="K125" i="6"/>
  <c r="M125" i="6" s="1"/>
  <c r="W145" i="8"/>
  <c r="K126" i="6"/>
  <c r="W146" i="8"/>
  <c r="K127" i="6"/>
  <c r="M127" i="6" s="1"/>
  <c r="W137" i="9"/>
  <c r="O118" i="6"/>
  <c r="W138" i="9"/>
  <c r="O119" i="6"/>
  <c r="Q119" i="6" s="1"/>
  <c r="W139" i="9"/>
  <c r="O120" i="6"/>
  <c r="W140" i="9"/>
  <c r="O121" i="6"/>
  <c r="Q121" i="6" s="1"/>
  <c r="W141" i="9"/>
  <c r="O122" i="6"/>
  <c r="W142" i="9"/>
  <c r="O123" i="6"/>
  <c r="Q123" i="6" s="1"/>
  <c r="W143" i="9"/>
  <c r="O124" i="6"/>
  <c r="W144" i="9"/>
  <c r="O125" i="6"/>
  <c r="W145" i="9"/>
  <c r="O126" i="6"/>
  <c r="W146" i="9"/>
  <c r="O127" i="6"/>
  <c r="Q127" i="6" s="1"/>
  <c r="W137" i="10"/>
  <c r="S118" i="6"/>
  <c r="W138" i="10"/>
  <c r="S119" i="6"/>
  <c r="U119" i="6" s="1"/>
  <c r="W139" i="10"/>
  <c r="S120" i="6"/>
  <c r="W140" i="10"/>
  <c r="S121" i="6"/>
  <c r="U121" i="6" s="1"/>
  <c r="W141" i="10"/>
  <c r="S122" i="6"/>
  <c r="W142" i="10"/>
  <c r="S123" i="6"/>
  <c r="U123" i="6" s="1"/>
  <c r="W143" i="10"/>
  <c r="S124" i="6"/>
  <c r="W144" i="10"/>
  <c r="S125" i="6"/>
  <c r="W145" i="10"/>
  <c r="S126" i="6"/>
  <c r="W146" i="10"/>
  <c r="S127" i="6"/>
  <c r="U127" i="6" s="1"/>
  <c r="W137" i="11"/>
  <c r="W118" i="6"/>
  <c r="W138" i="11"/>
  <c r="W119" i="6"/>
  <c r="Y119" i="6" s="1"/>
  <c r="W139" i="11"/>
  <c r="W120" i="6"/>
  <c r="W140" i="11"/>
  <c r="W121" i="6"/>
  <c r="Y121" i="6" s="1"/>
  <c r="W141" i="11"/>
  <c r="W122" i="6"/>
  <c r="W142" i="11"/>
  <c r="W123" i="6"/>
  <c r="W143" i="11"/>
  <c r="W124" i="6"/>
  <c r="W144" i="11"/>
  <c r="W125" i="6"/>
  <c r="W145" i="11"/>
  <c r="W126" i="6"/>
  <c r="W146" i="11"/>
  <c r="W127" i="6"/>
  <c r="W137" i="12"/>
  <c r="AA118" i="6"/>
  <c r="AA128" i="6" s="1"/>
  <c r="AA123" i="23" s="1"/>
  <c r="W138" i="12"/>
  <c r="AA119" i="6"/>
  <c r="AC119" i="6" s="1"/>
  <c r="W139" i="12"/>
  <c r="AA120" i="6"/>
  <c r="W140" i="12"/>
  <c r="AA121" i="6"/>
  <c r="AC121" i="6" s="1"/>
  <c r="W141" i="12"/>
  <c r="AA122" i="6"/>
  <c r="W142" i="12"/>
  <c r="AA123" i="6"/>
  <c r="AC123" i="6" s="1"/>
  <c r="W143" i="12"/>
  <c r="AA124" i="6"/>
  <c r="W144" i="12"/>
  <c r="AA125" i="6"/>
  <c r="W145" i="12"/>
  <c r="AA126" i="6"/>
  <c r="W146" i="12"/>
  <c r="AA127" i="6"/>
  <c r="AC127" i="6" s="1"/>
  <c r="W137" i="13"/>
  <c r="AE118" i="6"/>
  <c r="W138" i="13"/>
  <c r="AE119" i="6"/>
  <c r="W139" i="13"/>
  <c r="AE120" i="6"/>
  <c r="W140" i="13"/>
  <c r="AE121" i="6"/>
  <c r="W141" i="13"/>
  <c r="AE122" i="6"/>
  <c r="W142" i="13"/>
  <c r="AE123" i="6"/>
  <c r="W143" i="13"/>
  <c r="AE124" i="6"/>
  <c r="W144" i="13"/>
  <c r="AE125" i="6"/>
  <c r="W145" i="13"/>
  <c r="AE126" i="6"/>
  <c r="W146" i="13"/>
  <c r="AE127" i="6"/>
  <c r="O14" i="25"/>
  <c r="N14" i="25"/>
  <c r="M14" i="25"/>
  <c r="X181" i="25"/>
  <c r="L169" i="25"/>
  <c r="G159" i="25"/>
  <c r="E159" i="25"/>
  <c r="X158" i="25"/>
  <c r="L146" i="25"/>
  <c r="X145" i="25"/>
  <c r="Z145" i="25"/>
  <c r="L135" i="25"/>
  <c r="Z134" i="25"/>
  <c r="AA103" i="25"/>
  <c r="G102" i="25"/>
  <c r="AA102" i="25"/>
  <c r="Z102" i="25"/>
  <c r="V86" i="25"/>
  <c r="V88" i="25"/>
  <c r="O25" i="25"/>
  <c r="N25" i="25"/>
  <c r="L14" i="25"/>
  <c r="G18" i="25"/>
  <c r="H18" i="25"/>
  <c r="F18" i="25"/>
  <c r="E18" i="25"/>
  <c r="H17" i="25"/>
  <c r="H16" i="25"/>
  <c r="E13" i="25"/>
  <c r="F13" i="25"/>
  <c r="G13" i="25"/>
  <c r="R135" i="20"/>
  <c r="B11" i="22"/>
  <c r="I434" i="20"/>
  <c r="J434" i="20"/>
  <c r="K434" i="20"/>
  <c r="L434" i="20"/>
  <c r="M434" i="20"/>
  <c r="N434" i="20"/>
  <c r="P434" i="20"/>
  <c r="I431" i="20"/>
  <c r="J431" i="20"/>
  <c r="K431" i="20"/>
  <c r="L431" i="20"/>
  <c r="M431" i="20"/>
  <c r="N431" i="20"/>
  <c r="I432" i="20"/>
  <c r="J432" i="20"/>
  <c r="K432" i="20"/>
  <c r="L432" i="20"/>
  <c r="M432" i="20"/>
  <c r="N432" i="20"/>
  <c r="N433" i="20"/>
  <c r="O433" i="20"/>
  <c r="O432" i="20"/>
  <c r="O431" i="20"/>
  <c r="I297" i="20"/>
  <c r="I298" i="20"/>
  <c r="I299" i="20"/>
  <c r="I300" i="20"/>
  <c r="I301" i="20"/>
  <c r="I302" i="20"/>
  <c r="I303" i="20"/>
  <c r="I304" i="20"/>
  <c r="I305" i="20"/>
  <c r="I306" i="20"/>
  <c r="I307" i="20"/>
  <c r="I308" i="20"/>
  <c r="I310" i="20"/>
  <c r="I311" i="20"/>
  <c r="I312" i="20"/>
  <c r="I316" i="20"/>
  <c r="J297" i="20"/>
  <c r="J298" i="20"/>
  <c r="J299" i="20"/>
  <c r="J300" i="20"/>
  <c r="J301" i="20"/>
  <c r="J302" i="20"/>
  <c r="J303" i="20"/>
  <c r="J304" i="20"/>
  <c r="J305" i="20"/>
  <c r="J306" i="20"/>
  <c r="J307" i="20"/>
  <c r="J308" i="20"/>
  <c r="J310" i="20"/>
  <c r="J311" i="20"/>
  <c r="J312" i="20"/>
  <c r="J316" i="20"/>
  <c r="K297" i="20"/>
  <c r="K298" i="20"/>
  <c r="K299" i="20"/>
  <c r="K300" i="20"/>
  <c r="K301" i="20"/>
  <c r="K302" i="20"/>
  <c r="K303" i="20"/>
  <c r="K304" i="20"/>
  <c r="K305" i="20"/>
  <c r="K306" i="20"/>
  <c r="K307" i="20"/>
  <c r="K308" i="20"/>
  <c r="K310" i="20"/>
  <c r="K311" i="20"/>
  <c r="K312" i="20"/>
  <c r="K316" i="20"/>
  <c r="L297" i="20"/>
  <c r="L298" i="20"/>
  <c r="L299" i="20"/>
  <c r="L300" i="20"/>
  <c r="L301" i="20"/>
  <c r="L302" i="20"/>
  <c r="L303" i="20"/>
  <c r="L304" i="20"/>
  <c r="L305" i="20"/>
  <c r="L306" i="20"/>
  <c r="L307" i="20"/>
  <c r="L308" i="20"/>
  <c r="L310" i="20" s="1"/>
  <c r="L311" i="20" s="1"/>
  <c r="M297" i="20"/>
  <c r="M298" i="20"/>
  <c r="M299" i="20"/>
  <c r="M300" i="20"/>
  <c r="M301" i="20"/>
  <c r="M302" i="20"/>
  <c r="M303" i="20"/>
  <c r="M304" i="20"/>
  <c r="M305" i="20"/>
  <c r="M306" i="20"/>
  <c r="M307" i="20"/>
  <c r="M308" i="20"/>
  <c r="M310" i="20"/>
  <c r="M311" i="20"/>
  <c r="M312" i="20"/>
  <c r="M316" i="20"/>
  <c r="I202" i="20"/>
  <c r="J202" i="20"/>
  <c r="K202" i="20"/>
  <c r="L202" i="20"/>
  <c r="M202" i="20"/>
  <c r="N202" i="20"/>
  <c r="I313" i="20"/>
  <c r="J313" i="20"/>
  <c r="K313" i="20"/>
  <c r="M313" i="20"/>
  <c r="I314" i="20"/>
  <c r="J314" i="20"/>
  <c r="K314" i="20"/>
  <c r="M314" i="20"/>
  <c r="I212" i="20"/>
  <c r="J212" i="20"/>
  <c r="K212" i="20"/>
  <c r="L212" i="20"/>
  <c r="N212" i="20" s="1"/>
  <c r="M212" i="20"/>
  <c r="I211" i="20"/>
  <c r="J211" i="20"/>
  <c r="K211" i="20"/>
  <c r="M211" i="20"/>
  <c r="I210" i="20"/>
  <c r="J210" i="20"/>
  <c r="K210" i="20"/>
  <c r="M210" i="20"/>
  <c r="I209" i="20"/>
  <c r="J209" i="20"/>
  <c r="K209" i="20"/>
  <c r="M209" i="20"/>
  <c r="I204" i="20"/>
  <c r="J204" i="20"/>
  <c r="K204" i="20"/>
  <c r="L204" i="20"/>
  <c r="M204" i="20"/>
  <c r="N204" i="20"/>
  <c r="I203" i="20"/>
  <c r="J203" i="20"/>
  <c r="K203" i="20"/>
  <c r="L203" i="20"/>
  <c r="N203" i="20" s="1"/>
  <c r="M203" i="20"/>
  <c r="I18" i="20"/>
  <c r="I49" i="20"/>
  <c r="I53" i="20"/>
  <c r="I54" i="20"/>
  <c r="I55" i="20"/>
  <c r="I56" i="20"/>
  <c r="I58" i="20"/>
  <c r="I59" i="20"/>
  <c r="J18" i="20"/>
  <c r="J49" i="20"/>
  <c r="J53" i="20"/>
  <c r="J54" i="20"/>
  <c r="J55" i="20"/>
  <c r="J56" i="20"/>
  <c r="J59" i="20"/>
  <c r="K18" i="20"/>
  <c r="K49" i="20"/>
  <c r="K53" i="20"/>
  <c r="K54" i="20"/>
  <c r="K55" i="20"/>
  <c r="K56" i="20"/>
  <c r="L18" i="20"/>
  <c r="L49" i="20"/>
  <c r="L20" i="20" s="1"/>
  <c r="L53" i="20"/>
  <c r="L54" i="20"/>
  <c r="U54" i="20" s="1"/>
  <c r="L55" i="20"/>
  <c r="U55" i="20" s="1"/>
  <c r="V53" i="20" s="1"/>
  <c r="Z53" i="20" s="1"/>
  <c r="L56" i="20"/>
  <c r="M18" i="20"/>
  <c r="M49" i="20"/>
  <c r="M53" i="20"/>
  <c r="M54" i="20"/>
  <c r="M55" i="20"/>
  <c r="M56" i="20"/>
  <c r="N43" i="20"/>
  <c r="N44" i="20"/>
  <c r="N41" i="20"/>
  <c r="N42" i="20"/>
  <c r="I235" i="20"/>
  <c r="I236" i="20"/>
  <c r="J235" i="20"/>
  <c r="J236" i="20"/>
  <c r="K235" i="20"/>
  <c r="K236" i="20"/>
  <c r="L235" i="20"/>
  <c r="L236" i="20"/>
  <c r="M235" i="20"/>
  <c r="M236" i="20"/>
  <c r="N236" i="20"/>
  <c r="P236" i="20"/>
  <c r="P233" i="20"/>
  <c r="AG92" i="7"/>
  <c r="AG79" i="7"/>
  <c r="AG199" i="7"/>
  <c r="AG198" i="7"/>
  <c r="AG197" i="7"/>
  <c r="AG191" i="7"/>
  <c r="AG190" i="7"/>
  <c r="AG189" i="7"/>
  <c r="AG257" i="7"/>
  <c r="AG256" i="7"/>
  <c r="AG255" i="7"/>
  <c r="AG252" i="7"/>
  <c r="BG252" i="7" s="1"/>
  <c r="AG251" i="7"/>
  <c r="BG251" i="7" s="1"/>
  <c r="AG250" i="7"/>
  <c r="BG250" i="7" s="1"/>
  <c r="AG186" i="23"/>
  <c r="AC320" i="3"/>
  <c r="I252" i="7"/>
  <c r="BA252" i="7" s="1"/>
  <c r="AB320" i="3"/>
  <c r="I251" i="7"/>
  <c r="BA251" i="7" s="1"/>
  <c r="AA320" i="3"/>
  <c r="I250" i="7"/>
  <c r="BA250" i="7" s="1"/>
  <c r="X307" i="17"/>
  <c r="X242" i="7"/>
  <c r="X306" i="17"/>
  <c r="X241" i="7"/>
  <c r="W307" i="17"/>
  <c r="W242" i="7"/>
  <c r="Y242" i="7" s="1"/>
  <c r="W306" i="17"/>
  <c r="W241" i="7"/>
  <c r="Y241" i="7" s="1"/>
  <c r="AF186" i="23"/>
  <c r="AE186" i="23"/>
  <c r="S23" i="24"/>
  <c r="R23" i="24"/>
  <c r="T23" i="24"/>
  <c r="AK135" i="23"/>
  <c r="AG135" i="23"/>
  <c r="AC135" i="23"/>
  <c r="Y135" i="23"/>
  <c r="U135" i="23"/>
  <c r="Q135" i="23"/>
  <c r="M135" i="23"/>
  <c r="I135" i="23"/>
  <c r="H127" i="6"/>
  <c r="I127" i="6" s="1"/>
  <c r="H126" i="6"/>
  <c r="H125" i="6"/>
  <c r="H124" i="6"/>
  <c r="H123" i="6"/>
  <c r="H122" i="6"/>
  <c r="G127" i="6"/>
  <c r="G126" i="6"/>
  <c r="G125" i="6"/>
  <c r="G124" i="6"/>
  <c r="G123" i="6"/>
  <c r="G122" i="6"/>
  <c r="G119" i="6"/>
  <c r="I119" i="6" s="1"/>
  <c r="Y85" i="12"/>
  <c r="AC86" i="6"/>
  <c r="AC91" i="23" s="1"/>
  <c r="AG119" i="23"/>
  <c r="AG108" i="23"/>
  <c r="X57" i="13"/>
  <c r="AF62" i="6"/>
  <c r="X57" i="19"/>
  <c r="X56" i="13"/>
  <c r="AF61" i="6"/>
  <c r="X56" i="19"/>
  <c r="AF61" i="7" s="1"/>
  <c r="X55" i="13"/>
  <c r="AF60" i="6"/>
  <c r="X55" i="19"/>
  <c r="X54" i="13"/>
  <c r="AF59" i="6"/>
  <c r="X54" i="19"/>
  <c r="AF59" i="7" s="1"/>
  <c r="X53" i="13"/>
  <c r="AF58" i="6"/>
  <c r="X53" i="19"/>
  <c r="X52" i="13"/>
  <c r="AF57" i="6"/>
  <c r="X52" i="19"/>
  <c r="AF57" i="7" s="1"/>
  <c r="X51" i="13"/>
  <c r="AF56" i="6"/>
  <c r="X51" i="19"/>
  <c r="X50" i="13"/>
  <c r="AF55" i="6"/>
  <c r="X50" i="19"/>
  <c r="AF55" i="7" s="1"/>
  <c r="X49" i="13"/>
  <c r="AF54" i="6"/>
  <c r="X49" i="19"/>
  <c r="X48" i="13"/>
  <c r="AF53" i="6"/>
  <c r="X48" i="19"/>
  <c r="AF53" i="7" s="1"/>
  <c r="X47" i="13"/>
  <c r="AF52" i="6"/>
  <c r="X47" i="19"/>
  <c r="AF52" i="7" s="1"/>
  <c r="X46" i="13"/>
  <c r="AF51" i="6"/>
  <c r="X46" i="19"/>
  <c r="AF51" i="7" s="1"/>
  <c r="X45" i="13"/>
  <c r="AF50" i="6"/>
  <c r="X45" i="19"/>
  <c r="AZ45" i="19" s="1"/>
  <c r="X44" i="13"/>
  <c r="AF49" i="6"/>
  <c r="X44" i="19"/>
  <c r="AF49" i="7" s="1"/>
  <c r="W57" i="13"/>
  <c r="AE62" i="6"/>
  <c r="W57" i="19"/>
  <c r="W56" i="13"/>
  <c r="AE61" i="6"/>
  <c r="W56" i="19"/>
  <c r="AE61" i="7" s="1"/>
  <c r="W55" i="13"/>
  <c r="AE60" i="6"/>
  <c r="W55" i="19"/>
  <c r="W54" i="13"/>
  <c r="AE59" i="6"/>
  <c r="W54" i="19"/>
  <c r="AE59" i="7" s="1"/>
  <c r="AG59" i="7" s="1"/>
  <c r="W53" i="13"/>
  <c r="AE58" i="6"/>
  <c r="W53" i="19"/>
  <c r="W52" i="13"/>
  <c r="AE57" i="6"/>
  <c r="W52" i="19"/>
  <c r="AE57" i="7" s="1"/>
  <c r="W51" i="13"/>
  <c r="AE56" i="6"/>
  <c r="W51" i="19"/>
  <c r="W50" i="13"/>
  <c r="AE55" i="6"/>
  <c r="W50" i="19"/>
  <c r="AE55" i="7" s="1"/>
  <c r="AG55" i="7" s="1"/>
  <c r="W49" i="13"/>
  <c r="AE54" i="6"/>
  <c r="W49" i="19"/>
  <c r="W48" i="13"/>
  <c r="AE53" i="6"/>
  <c r="W48" i="19"/>
  <c r="AE53" i="7" s="1"/>
  <c r="W47" i="13"/>
  <c r="AE52" i="6"/>
  <c r="W47" i="19"/>
  <c r="AT47" i="19" s="1"/>
  <c r="W46" i="13"/>
  <c r="AE51" i="6"/>
  <c r="W44" i="19"/>
  <c r="AT44" i="19" s="1"/>
  <c r="W45" i="19"/>
  <c r="Y45" i="19" s="1"/>
  <c r="W46" i="19"/>
  <c r="AT46" i="19" s="1"/>
  <c r="AT48" i="19"/>
  <c r="AT50" i="19"/>
  <c r="AT52" i="19"/>
  <c r="AT54" i="19"/>
  <c r="AT56" i="19"/>
  <c r="W45" i="13"/>
  <c r="AE50" i="6"/>
  <c r="W44" i="13"/>
  <c r="AE49" i="6"/>
  <c r="AE49" i="7"/>
  <c r="X57" i="12"/>
  <c r="AB62" i="6"/>
  <c r="X57" i="18"/>
  <c r="AB62" i="7" s="1"/>
  <c r="X56" i="12"/>
  <c r="AB61" i="6"/>
  <c r="X56" i="18"/>
  <c r="AB61" i="7" s="1"/>
  <c r="X55" i="12"/>
  <c r="AB60" i="6"/>
  <c r="X55" i="18"/>
  <c r="AB60" i="7" s="1"/>
  <c r="X54" i="12"/>
  <c r="AB59" i="6"/>
  <c r="X54" i="18"/>
  <c r="X53" i="12"/>
  <c r="AB58" i="6"/>
  <c r="X53" i="18"/>
  <c r="AB58" i="7" s="1"/>
  <c r="X52" i="12"/>
  <c r="AB57" i="6"/>
  <c r="X52" i="18"/>
  <c r="AB57" i="7" s="1"/>
  <c r="X51" i="12"/>
  <c r="AB56" i="6"/>
  <c r="X51" i="18"/>
  <c r="AB56" i="7" s="1"/>
  <c r="X50" i="12"/>
  <c r="AB55" i="6"/>
  <c r="X50" i="18"/>
  <c r="AZ50" i="18" s="1"/>
  <c r="X49" i="12"/>
  <c r="AB54" i="6"/>
  <c r="X49" i="18"/>
  <c r="AB54" i="7" s="1"/>
  <c r="X48" i="12"/>
  <c r="AB53" i="6"/>
  <c r="X48" i="18"/>
  <c r="AB53" i="7" s="1"/>
  <c r="X47" i="12"/>
  <c r="AB52" i="6"/>
  <c r="X47" i="18"/>
  <c r="AB52" i="7" s="1"/>
  <c r="X46" i="12"/>
  <c r="AB51" i="6"/>
  <c r="X46" i="18"/>
  <c r="X45" i="12"/>
  <c r="AB50" i="6"/>
  <c r="X45" i="18"/>
  <c r="AB50" i="7" s="1"/>
  <c r="X44" i="12"/>
  <c r="AB49" i="6"/>
  <c r="X44" i="18"/>
  <c r="W57" i="12"/>
  <c r="AA62" i="6"/>
  <c r="W57" i="18"/>
  <c r="AA62" i="7" s="1"/>
  <c r="W56" i="12"/>
  <c r="AA61" i="6"/>
  <c r="W56" i="18"/>
  <c r="W55" i="12"/>
  <c r="AA60" i="6"/>
  <c r="W55" i="18"/>
  <c r="AA60" i="7" s="1"/>
  <c r="W54" i="12"/>
  <c r="AA59" i="6"/>
  <c r="W54" i="18"/>
  <c r="AA59" i="7" s="1"/>
  <c r="W53" i="12"/>
  <c r="AA58" i="6"/>
  <c r="W53" i="18"/>
  <c r="AA58" i="7" s="1"/>
  <c r="W52" i="12"/>
  <c r="AA57" i="6"/>
  <c r="W52" i="18"/>
  <c r="W51" i="12"/>
  <c r="AA56" i="6"/>
  <c r="W51" i="18"/>
  <c r="AA56" i="7" s="1"/>
  <c r="W50" i="12"/>
  <c r="AA55" i="6"/>
  <c r="W50" i="18"/>
  <c r="AA55" i="7" s="1"/>
  <c r="W49" i="12"/>
  <c r="AA54" i="6"/>
  <c r="W49" i="18"/>
  <c r="AA54" i="7" s="1"/>
  <c r="W48" i="12"/>
  <c r="AA53" i="6"/>
  <c r="W48" i="18"/>
  <c r="Y48" i="18" s="1"/>
  <c r="W47" i="12"/>
  <c r="AA52" i="6"/>
  <c r="W47" i="18"/>
  <c r="AA52" i="7" s="1"/>
  <c r="W46" i="12"/>
  <c r="AA51" i="6"/>
  <c r="W45" i="12"/>
  <c r="AA50" i="6"/>
  <c r="W45" i="18"/>
  <c r="W44" i="12"/>
  <c r="AA49" i="6"/>
  <c r="W44" i="18"/>
  <c r="X57" i="11"/>
  <c r="X62" i="6"/>
  <c r="X57" i="17"/>
  <c r="X56" i="11"/>
  <c r="X61" i="6"/>
  <c r="X56" i="17"/>
  <c r="X55" i="11"/>
  <c r="X60" i="6"/>
  <c r="X55" i="17"/>
  <c r="X54" i="11"/>
  <c r="X59" i="6"/>
  <c r="X54" i="17"/>
  <c r="X59" i="7" s="1"/>
  <c r="X53" i="11"/>
  <c r="X58" i="6"/>
  <c r="X53" i="17"/>
  <c r="X58" i="7" s="1"/>
  <c r="X52" i="11"/>
  <c r="X57" i="6"/>
  <c r="X52" i="17"/>
  <c r="X51" i="11"/>
  <c r="X56" i="6"/>
  <c r="X51" i="17"/>
  <c r="X50" i="11"/>
  <c r="X55" i="6"/>
  <c r="X50" i="17"/>
  <c r="X55" i="7" s="1"/>
  <c r="X49" i="11"/>
  <c r="X54" i="6"/>
  <c r="X49" i="17"/>
  <c r="X48" i="11"/>
  <c r="X53" i="6"/>
  <c r="X48" i="17"/>
  <c r="X53" i="7" s="1"/>
  <c r="X47" i="11"/>
  <c r="X52" i="6"/>
  <c r="X47" i="17"/>
  <c r="X52" i="7" s="1"/>
  <c r="X46" i="11"/>
  <c r="X51" i="6"/>
  <c r="X46" i="17"/>
  <c r="X45" i="11"/>
  <c r="X50" i="6"/>
  <c r="X45" i="17"/>
  <c r="X50" i="7" s="1"/>
  <c r="X44" i="11"/>
  <c r="X49" i="6"/>
  <c r="X44" i="17"/>
  <c r="W57" i="11"/>
  <c r="W62" i="6"/>
  <c r="W57" i="17"/>
  <c r="W56" i="11"/>
  <c r="W61" i="6"/>
  <c r="W56" i="17"/>
  <c r="W61" i="7" s="1"/>
  <c r="W55" i="11"/>
  <c r="W60" i="6"/>
  <c r="W55" i="17"/>
  <c r="W54" i="11"/>
  <c r="W59" i="6"/>
  <c r="W54" i="17"/>
  <c r="W53" i="11"/>
  <c r="W58" i="6"/>
  <c r="W53" i="17"/>
  <c r="W52" i="11"/>
  <c r="W57" i="6"/>
  <c r="W52" i="17"/>
  <c r="W57" i="7" s="1"/>
  <c r="W51" i="11"/>
  <c r="W56" i="6"/>
  <c r="W51" i="17"/>
  <c r="W50" i="11"/>
  <c r="W55" i="6"/>
  <c r="W50" i="17"/>
  <c r="W49" i="11"/>
  <c r="W54" i="6"/>
  <c r="W49" i="17"/>
  <c r="W48" i="11"/>
  <c r="W53" i="6"/>
  <c r="W48" i="17"/>
  <c r="W47" i="11"/>
  <c r="W52" i="6"/>
  <c r="W47" i="17"/>
  <c r="W46" i="11"/>
  <c r="W51" i="6"/>
  <c r="W45" i="11"/>
  <c r="W50" i="6"/>
  <c r="W45" i="17"/>
  <c r="W44" i="11"/>
  <c r="W49" i="6"/>
  <c r="W44" i="17"/>
  <c r="W49" i="7" s="1"/>
  <c r="X57" i="10"/>
  <c r="T62" i="6"/>
  <c r="X57" i="16"/>
  <c r="X56" i="10"/>
  <c r="T61" i="6"/>
  <c r="X56" i="16"/>
  <c r="T61" i="7" s="1"/>
  <c r="T66" i="23" s="1"/>
  <c r="X55" i="10"/>
  <c r="T60" i="6"/>
  <c r="X55" i="16"/>
  <c r="X54" i="10"/>
  <c r="T59" i="6"/>
  <c r="X54" i="16"/>
  <c r="T59" i="7" s="1"/>
  <c r="X53" i="10"/>
  <c r="T58" i="6"/>
  <c r="X53" i="16"/>
  <c r="X52" i="10"/>
  <c r="T57" i="6"/>
  <c r="X52" i="16"/>
  <c r="T57" i="7" s="1"/>
  <c r="X51" i="10"/>
  <c r="T56" i="6"/>
  <c r="X51" i="16"/>
  <c r="T56" i="7" s="1"/>
  <c r="X50" i="10"/>
  <c r="T55" i="6"/>
  <c r="X50" i="16"/>
  <c r="T55" i="7" s="1"/>
  <c r="X49" i="10"/>
  <c r="T54" i="6"/>
  <c r="X49" i="16"/>
  <c r="X48" i="10"/>
  <c r="T53" i="6"/>
  <c r="X48" i="16"/>
  <c r="T53" i="7" s="1"/>
  <c r="X47" i="10"/>
  <c r="T52" i="6"/>
  <c r="X47" i="16"/>
  <c r="T52" i="7" s="1"/>
  <c r="X46" i="10"/>
  <c r="T51" i="6"/>
  <c r="X46" i="16"/>
  <c r="T51" i="7" s="1"/>
  <c r="X45" i="10"/>
  <c r="T50" i="6"/>
  <c r="X45" i="16"/>
  <c r="T50" i="7" s="1"/>
  <c r="X44" i="10"/>
  <c r="T49" i="6"/>
  <c r="X44" i="16"/>
  <c r="T49" i="7" s="1"/>
  <c r="W57" i="10"/>
  <c r="S62" i="6"/>
  <c r="W57" i="16"/>
  <c r="S62" i="7" s="1"/>
  <c r="W56" i="10"/>
  <c r="S61" i="6"/>
  <c r="W56" i="16"/>
  <c r="S61" i="7" s="1"/>
  <c r="W55" i="10"/>
  <c r="S60" i="6"/>
  <c r="W55" i="16"/>
  <c r="S60" i="7" s="1"/>
  <c r="W54" i="10"/>
  <c r="S59" i="6"/>
  <c r="W54" i="16"/>
  <c r="S59" i="7" s="1"/>
  <c r="W53" i="10"/>
  <c r="S58" i="6"/>
  <c r="W53" i="16"/>
  <c r="S58" i="7" s="1"/>
  <c r="W52" i="10"/>
  <c r="S57" i="6"/>
  <c r="W52" i="16"/>
  <c r="S57" i="7" s="1"/>
  <c r="W51" i="10"/>
  <c r="S56" i="6"/>
  <c r="W51" i="16"/>
  <c r="W50" i="10"/>
  <c r="S55" i="6"/>
  <c r="W50" i="16"/>
  <c r="S55" i="7" s="1"/>
  <c r="W49" i="10"/>
  <c r="S54" i="6"/>
  <c r="W49" i="16"/>
  <c r="S54" i="7" s="1"/>
  <c r="W48" i="10"/>
  <c r="S53" i="6"/>
  <c r="W48" i="16"/>
  <c r="S53" i="7" s="1"/>
  <c r="W47" i="10"/>
  <c r="S52" i="6"/>
  <c r="W47" i="16"/>
  <c r="W46" i="10"/>
  <c r="S51" i="6"/>
  <c r="AH44" i="16"/>
  <c r="AH45" i="16"/>
  <c r="AH46" i="16"/>
  <c r="AH47" i="16"/>
  <c r="AH48" i="16"/>
  <c r="AH49" i="16"/>
  <c r="AH50" i="16"/>
  <c r="AH51" i="16"/>
  <c r="AH52" i="16"/>
  <c r="AH53" i="16"/>
  <c r="AH54" i="16"/>
  <c r="AH55" i="16"/>
  <c r="AH56" i="16"/>
  <c r="AH57" i="16"/>
  <c r="W45" i="10"/>
  <c r="S50" i="6"/>
  <c r="W45" i="16"/>
  <c r="S50" i="7" s="1"/>
  <c r="W44" i="10"/>
  <c r="S49" i="6"/>
  <c r="W44" i="16"/>
  <c r="S49" i="7" s="1"/>
  <c r="X57" i="9"/>
  <c r="P62" i="6"/>
  <c r="X57" i="15"/>
  <c r="P62" i="7" s="1"/>
  <c r="X56" i="9"/>
  <c r="P61" i="6"/>
  <c r="X56" i="15"/>
  <c r="X55" i="9"/>
  <c r="P60" i="6"/>
  <c r="X55" i="15"/>
  <c r="P60" i="7" s="1"/>
  <c r="X54" i="9"/>
  <c r="P59" i="6"/>
  <c r="X54" i="15"/>
  <c r="X53" i="9"/>
  <c r="P58" i="6"/>
  <c r="X53" i="15"/>
  <c r="P58" i="7" s="1"/>
  <c r="X52" i="9"/>
  <c r="P57" i="6"/>
  <c r="X52" i="15"/>
  <c r="P57" i="7" s="1"/>
  <c r="X51" i="9"/>
  <c r="P56" i="6"/>
  <c r="X51" i="15"/>
  <c r="P56" i="7" s="1"/>
  <c r="X50" i="9"/>
  <c r="P55" i="6"/>
  <c r="X50" i="15"/>
  <c r="X49" i="9"/>
  <c r="P54" i="6"/>
  <c r="X49" i="15"/>
  <c r="P54" i="7" s="1"/>
  <c r="P59" i="23" s="1"/>
  <c r="X48" i="9"/>
  <c r="P53" i="6"/>
  <c r="X48" i="15"/>
  <c r="P53" i="7" s="1"/>
  <c r="X47" i="9"/>
  <c r="P52" i="6"/>
  <c r="X47" i="15"/>
  <c r="P52" i="7" s="1"/>
  <c r="X46" i="9"/>
  <c r="P51" i="6"/>
  <c r="X46" i="15"/>
  <c r="P51" i="7" s="1"/>
  <c r="X45" i="9"/>
  <c r="P50" i="6"/>
  <c r="X45" i="15"/>
  <c r="P50" i="7" s="1"/>
  <c r="X44" i="9"/>
  <c r="P49" i="6"/>
  <c r="X44" i="15"/>
  <c r="W57" i="9"/>
  <c r="O62" i="6"/>
  <c r="W57" i="15"/>
  <c r="O62" i="7" s="1"/>
  <c r="W56" i="9"/>
  <c r="O61" i="6"/>
  <c r="W56" i="15"/>
  <c r="O61" i="7" s="1"/>
  <c r="W55" i="9"/>
  <c r="O60" i="6"/>
  <c r="W55" i="15"/>
  <c r="O60" i="7" s="1"/>
  <c r="W54" i="9"/>
  <c r="O59" i="6"/>
  <c r="W54" i="15"/>
  <c r="O59" i="7" s="1"/>
  <c r="W53" i="9"/>
  <c r="O58" i="6"/>
  <c r="W53" i="15"/>
  <c r="O58" i="7" s="1"/>
  <c r="W52" i="9"/>
  <c r="O57" i="6"/>
  <c r="W52" i="15"/>
  <c r="W51" i="9"/>
  <c r="O56" i="6"/>
  <c r="W51" i="15"/>
  <c r="O56" i="7" s="1"/>
  <c r="W50" i="9"/>
  <c r="O55" i="6"/>
  <c r="W50" i="15"/>
  <c r="W49" i="9"/>
  <c r="O54" i="6"/>
  <c r="W49" i="15"/>
  <c r="O54" i="7" s="1"/>
  <c r="W48" i="9"/>
  <c r="O53" i="6"/>
  <c r="W48" i="15"/>
  <c r="W47" i="9"/>
  <c r="O52" i="6"/>
  <c r="W47" i="15"/>
  <c r="O52" i="7" s="1"/>
  <c r="W46" i="9"/>
  <c r="O51" i="6"/>
  <c r="W45" i="9"/>
  <c r="O50" i="6"/>
  <c r="W45" i="15"/>
  <c r="W44" i="9"/>
  <c r="O49" i="6"/>
  <c r="W44" i="15"/>
  <c r="O49" i="7" s="1"/>
  <c r="X57" i="8"/>
  <c r="L62" i="6"/>
  <c r="X57" i="14"/>
  <c r="X56" i="8"/>
  <c r="L61" i="6"/>
  <c r="X56" i="14"/>
  <c r="L61" i="7" s="1"/>
  <c r="X55" i="8"/>
  <c r="L60" i="6"/>
  <c r="X55" i="14"/>
  <c r="L60" i="7" s="1"/>
  <c r="X54" i="8"/>
  <c r="L59" i="6"/>
  <c r="X54" i="14"/>
  <c r="L59" i="7" s="1"/>
  <c r="X53" i="8"/>
  <c r="L58" i="6"/>
  <c r="X53" i="14"/>
  <c r="L58" i="7" s="1"/>
  <c r="X52" i="8"/>
  <c r="L57" i="6"/>
  <c r="X52" i="14"/>
  <c r="L57" i="7" s="1"/>
  <c r="X51" i="8"/>
  <c r="L56" i="6"/>
  <c r="X51" i="14"/>
  <c r="X50" i="8"/>
  <c r="L55" i="6"/>
  <c r="X50" i="14"/>
  <c r="L55" i="7" s="1"/>
  <c r="X49" i="8"/>
  <c r="L54" i="6"/>
  <c r="X49" i="14"/>
  <c r="L54" i="7" s="1"/>
  <c r="X48" i="8"/>
  <c r="L53" i="6"/>
  <c r="X48" i="14"/>
  <c r="L53" i="7" s="1"/>
  <c r="X47" i="8"/>
  <c r="L52" i="6"/>
  <c r="X47" i="14"/>
  <c r="L52" i="7" s="1"/>
  <c r="X46" i="8"/>
  <c r="L51" i="6"/>
  <c r="X46" i="14"/>
  <c r="L51" i="7" s="1"/>
  <c r="X45" i="8"/>
  <c r="L50" i="6"/>
  <c r="X45" i="14"/>
  <c r="X44" i="8"/>
  <c r="L49" i="6"/>
  <c r="X44" i="14"/>
  <c r="L49" i="7" s="1"/>
  <c r="W57" i="8"/>
  <c r="K62" i="6"/>
  <c r="W57" i="14"/>
  <c r="K62" i="7" s="1"/>
  <c r="W56" i="8"/>
  <c r="K61" i="6"/>
  <c r="W56" i="14"/>
  <c r="K61" i="7" s="1"/>
  <c r="W55" i="8"/>
  <c r="K60" i="6"/>
  <c r="W55" i="14"/>
  <c r="K60" i="7" s="1"/>
  <c r="W54" i="8"/>
  <c r="K59" i="6"/>
  <c r="W54" i="14"/>
  <c r="K59" i="7" s="1"/>
  <c r="M59" i="7" s="1"/>
  <c r="W53" i="8"/>
  <c r="K58" i="6"/>
  <c r="W53" i="14"/>
  <c r="W52" i="8"/>
  <c r="K57" i="6"/>
  <c r="W52" i="14"/>
  <c r="K57" i="7" s="1"/>
  <c r="W51" i="8"/>
  <c r="K56" i="6"/>
  <c r="W51" i="14"/>
  <c r="K56" i="7" s="1"/>
  <c r="W50" i="8"/>
  <c r="K55" i="6"/>
  <c r="W50" i="14"/>
  <c r="K55" i="7" s="1"/>
  <c r="M55" i="7" s="1"/>
  <c r="W49" i="8"/>
  <c r="K54" i="6"/>
  <c r="W49" i="14"/>
  <c r="W48" i="8"/>
  <c r="K53" i="6"/>
  <c r="W48" i="14"/>
  <c r="K53" i="7" s="1"/>
  <c r="W47" i="8"/>
  <c r="K52" i="6"/>
  <c r="W47" i="14"/>
  <c r="K52" i="7" s="1"/>
  <c r="W46" i="8"/>
  <c r="K51" i="6"/>
  <c r="W45" i="8"/>
  <c r="K50" i="6"/>
  <c r="W45" i="14"/>
  <c r="K50" i="7" s="1"/>
  <c r="W44" i="8"/>
  <c r="K49" i="6"/>
  <c r="W44" i="14"/>
  <c r="K49" i="7" s="1"/>
  <c r="X57" i="2"/>
  <c r="H62" i="6"/>
  <c r="X57" i="3"/>
  <c r="H62" i="7" s="1"/>
  <c r="X56" i="2"/>
  <c r="H61" i="6"/>
  <c r="X56" i="3"/>
  <c r="H61" i="7" s="1"/>
  <c r="X55" i="2"/>
  <c r="H60" i="6"/>
  <c r="X55" i="3"/>
  <c r="H60" i="7" s="1"/>
  <c r="X54" i="2"/>
  <c r="H59" i="6"/>
  <c r="X54" i="3"/>
  <c r="H59" i="7" s="1"/>
  <c r="X53" i="2"/>
  <c r="H58" i="6"/>
  <c r="X53" i="3"/>
  <c r="H58" i="7" s="1"/>
  <c r="X52" i="2"/>
  <c r="H57" i="6"/>
  <c r="X52" i="3"/>
  <c r="H57" i="7" s="1"/>
  <c r="X51" i="3"/>
  <c r="H56" i="7" s="1"/>
  <c r="X50" i="3"/>
  <c r="H55" i="7" s="1"/>
  <c r="X49" i="2"/>
  <c r="H54" i="6"/>
  <c r="X49" i="3"/>
  <c r="H54" i="7" s="1"/>
  <c r="X48" i="2"/>
  <c r="H53" i="6"/>
  <c r="X48" i="3"/>
  <c r="H53" i="7" s="1"/>
  <c r="X47" i="2"/>
  <c r="H52" i="6"/>
  <c r="X47" i="3"/>
  <c r="H52" i="7" s="1"/>
  <c r="X46" i="3"/>
  <c r="H51" i="7" s="1"/>
  <c r="X45" i="3"/>
  <c r="H50" i="7" s="1"/>
  <c r="X44" i="2"/>
  <c r="H49" i="6"/>
  <c r="X44" i="3"/>
  <c r="H49" i="7" s="1"/>
  <c r="W57" i="3"/>
  <c r="G62" i="7" s="1"/>
  <c r="W56" i="3"/>
  <c r="G61" i="7" s="1"/>
  <c r="W55" i="2"/>
  <c r="G60" i="6"/>
  <c r="W55" i="3"/>
  <c r="G60" i="7" s="1"/>
  <c r="W54" i="2"/>
  <c r="G59" i="6"/>
  <c r="W54" i="3"/>
  <c r="G59" i="7" s="1"/>
  <c r="W53" i="2"/>
  <c r="G58" i="6"/>
  <c r="W53" i="3"/>
  <c r="G58" i="7" s="1"/>
  <c r="W52" i="2"/>
  <c r="G57" i="6"/>
  <c r="W52" i="3"/>
  <c r="G57" i="7" s="1"/>
  <c r="W51" i="3"/>
  <c r="G56" i="7" s="1"/>
  <c r="W50" i="3"/>
  <c r="G55" i="7"/>
  <c r="W49" i="2"/>
  <c r="G54" i="6"/>
  <c r="W49" i="3"/>
  <c r="G54" i="7"/>
  <c r="W48" i="3"/>
  <c r="G53" i="7" s="1"/>
  <c r="W47" i="2"/>
  <c r="G52" i="6"/>
  <c r="W47" i="3"/>
  <c r="G52" i="7" s="1"/>
  <c r="W46" i="3"/>
  <c r="G51" i="7" s="1"/>
  <c r="W45" i="3"/>
  <c r="G50" i="7" s="1"/>
  <c r="W44" i="3"/>
  <c r="G49" i="7" s="1"/>
  <c r="AF32" i="6"/>
  <c r="AF31" i="6"/>
  <c r="AE32" i="6"/>
  <c r="AE31" i="6"/>
  <c r="AB32" i="6"/>
  <c r="AB31" i="6"/>
  <c r="AA32" i="6"/>
  <c r="AA31" i="6"/>
  <c r="X32" i="6"/>
  <c r="X31" i="6"/>
  <c r="W32" i="6"/>
  <c r="W31" i="6"/>
  <c r="T32" i="6"/>
  <c r="T31" i="6"/>
  <c r="S32" i="6"/>
  <c r="S31" i="6"/>
  <c r="P32" i="6"/>
  <c r="P31" i="6"/>
  <c r="O32" i="6"/>
  <c r="O31" i="6"/>
  <c r="L32" i="6"/>
  <c r="L31" i="6"/>
  <c r="K32" i="6"/>
  <c r="K31" i="6"/>
  <c r="AF31" i="23"/>
  <c r="AE31" i="23"/>
  <c r="AB31" i="23"/>
  <c r="AA31" i="23"/>
  <c r="X31" i="23"/>
  <c r="W31" i="23"/>
  <c r="T31" i="23"/>
  <c r="S31" i="23"/>
  <c r="P31" i="23"/>
  <c r="O31" i="23"/>
  <c r="L31" i="23"/>
  <c r="K31" i="23"/>
  <c r="H32" i="6"/>
  <c r="H31" i="6"/>
  <c r="G32" i="6"/>
  <c r="G31" i="6"/>
  <c r="O24" i="24"/>
  <c r="P23" i="24"/>
  <c r="O23" i="24"/>
  <c r="AB16" i="23"/>
  <c r="AA16" i="23"/>
  <c r="X16" i="23"/>
  <c r="W16" i="23"/>
  <c r="T16" i="23"/>
  <c r="S16" i="23"/>
  <c r="P16" i="23"/>
  <c r="O16" i="23"/>
  <c r="L16" i="23"/>
  <c r="K16" i="23"/>
  <c r="H16" i="23"/>
  <c r="G16" i="23"/>
  <c r="D25" i="24"/>
  <c r="Y25" i="24"/>
  <c r="K23" i="24"/>
  <c r="J23" i="24"/>
  <c r="I23" i="24"/>
  <c r="G23" i="24"/>
  <c r="F23" i="24"/>
  <c r="C23" i="24"/>
  <c r="K25" i="24"/>
  <c r="Y8" i="24"/>
  <c r="Z8" i="24"/>
  <c r="Y9" i="24"/>
  <c r="Z9" i="24"/>
  <c r="Y10" i="24"/>
  <c r="Z10" i="24"/>
  <c r="Y11" i="24"/>
  <c r="Z11" i="24"/>
  <c r="Y12" i="24"/>
  <c r="Z12" i="24"/>
  <c r="Y13" i="24"/>
  <c r="Z13" i="24"/>
  <c r="Y14" i="24"/>
  <c r="Z14" i="24"/>
  <c r="Y15" i="24"/>
  <c r="Z15" i="24"/>
  <c r="Y16" i="24"/>
  <c r="Z16" i="24"/>
  <c r="Y17" i="24"/>
  <c r="Z17" i="24"/>
  <c r="Y18" i="24"/>
  <c r="Z18" i="24"/>
  <c r="Y19" i="24"/>
  <c r="Z19" i="24"/>
  <c r="Y20" i="24"/>
  <c r="Z20" i="24"/>
  <c r="Y21" i="24"/>
  <c r="Z21" i="24"/>
  <c r="Y22" i="24"/>
  <c r="Z22" i="24"/>
  <c r="Z23" i="24"/>
  <c r="Y23" i="24"/>
  <c r="AA23" i="24"/>
  <c r="V8" i="24"/>
  <c r="W8" i="24"/>
  <c r="V9" i="24"/>
  <c r="W9" i="24"/>
  <c r="V10" i="24"/>
  <c r="W10" i="24"/>
  <c r="V11" i="24"/>
  <c r="W11" i="24"/>
  <c r="V12" i="24"/>
  <c r="W12" i="24"/>
  <c r="V13" i="24"/>
  <c r="W13" i="24"/>
  <c r="V14" i="24"/>
  <c r="W14" i="24"/>
  <c r="V15" i="24"/>
  <c r="W15" i="24"/>
  <c r="V16" i="24"/>
  <c r="W16" i="24"/>
  <c r="V17" i="24"/>
  <c r="W17" i="24"/>
  <c r="V18" i="24"/>
  <c r="W18" i="24"/>
  <c r="V19" i="24"/>
  <c r="W19" i="24"/>
  <c r="V20" i="24"/>
  <c r="W20" i="24"/>
  <c r="V21" i="24"/>
  <c r="W21" i="24"/>
  <c r="V22" i="24"/>
  <c r="W22" i="24"/>
  <c r="W23" i="24"/>
  <c r="V23" i="24"/>
  <c r="O13" i="24"/>
  <c r="P13" i="24"/>
  <c r="O12" i="24"/>
  <c r="P12" i="24"/>
  <c r="O11" i="24"/>
  <c r="P11" i="24"/>
  <c r="O10" i="24"/>
  <c r="P10" i="24"/>
  <c r="O9" i="24"/>
  <c r="P9" i="24"/>
  <c r="O8" i="24"/>
  <c r="P8" i="24"/>
  <c r="AG12" i="23"/>
  <c r="AG11" i="23"/>
  <c r="AG15" i="23" s="1"/>
  <c r="AC12" i="23"/>
  <c r="AC13" i="23" s="1"/>
  <c r="AC11" i="23"/>
  <c r="Y12" i="23"/>
  <c r="Y11" i="23"/>
  <c r="Y13" i="23" s="1"/>
  <c r="U12" i="23"/>
  <c r="U11" i="23"/>
  <c r="Q12" i="23"/>
  <c r="Q11" i="23"/>
  <c r="Q13" i="23" s="1"/>
  <c r="M12" i="23"/>
  <c r="AK12" i="23" s="1"/>
  <c r="G23" i="25" s="1"/>
  <c r="M11" i="23"/>
  <c r="I12" i="23"/>
  <c r="I11" i="23"/>
  <c r="I13" i="23" s="1"/>
  <c r="G3" i="23"/>
  <c r="AI8" i="23" s="1"/>
  <c r="G39" i="23"/>
  <c r="K39" i="23"/>
  <c r="O39" i="23"/>
  <c r="S39" i="23"/>
  <c r="W39" i="23"/>
  <c r="AA39" i="23"/>
  <c r="AE39" i="23"/>
  <c r="AI39" i="23"/>
  <c r="H39" i="23"/>
  <c r="L39" i="23"/>
  <c r="P39" i="23"/>
  <c r="T39" i="23"/>
  <c r="X39" i="23"/>
  <c r="AB39" i="23"/>
  <c r="AF39" i="23"/>
  <c r="AJ39" i="23"/>
  <c r="AK39" i="23"/>
  <c r="AK40" i="23"/>
  <c r="AJ40" i="23"/>
  <c r="AI40" i="23"/>
  <c r="AG39" i="23"/>
  <c r="AG40" i="23"/>
  <c r="AF40" i="23"/>
  <c r="AE40" i="23"/>
  <c r="AC39" i="23"/>
  <c r="AC40" i="23"/>
  <c r="AB40" i="23"/>
  <c r="AA40" i="23"/>
  <c r="Y39" i="23"/>
  <c r="Y40" i="23"/>
  <c r="X40" i="23"/>
  <c r="W40" i="23"/>
  <c r="U39" i="23"/>
  <c r="U40" i="23"/>
  <c r="T40" i="23"/>
  <c r="S40" i="23"/>
  <c r="Q39" i="23"/>
  <c r="Q40" i="23"/>
  <c r="P40" i="23"/>
  <c r="O40" i="23"/>
  <c r="M39" i="23"/>
  <c r="M40" i="23"/>
  <c r="L40" i="23"/>
  <c r="K40" i="23"/>
  <c r="I39" i="23"/>
  <c r="I40" i="23"/>
  <c r="H40" i="23"/>
  <c r="G40" i="23"/>
  <c r="AI28" i="23"/>
  <c r="AJ28" i="23"/>
  <c r="AK28" i="23"/>
  <c r="AC28" i="23"/>
  <c r="Y28" i="23"/>
  <c r="U28" i="23"/>
  <c r="Q28" i="23"/>
  <c r="M28" i="23"/>
  <c r="I28" i="23"/>
  <c r="AI29" i="23"/>
  <c r="AJ29" i="23"/>
  <c r="AK29" i="23"/>
  <c r="AI30" i="23"/>
  <c r="AJ30" i="23"/>
  <c r="AK30" i="23"/>
  <c r="AK31" i="23"/>
  <c r="AL31" i="23"/>
  <c r="AJ31" i="23"/>
  <c r="AI31" i="23"/>
  <c r="AG28" i="23"/>
  <c r="AG29" i="23"/>
  <c r="AG30" i="23"/>
  <c r="AG31" i="23"/>
  <c r="AH31" i="23"/>
  <c r="AC29" i="23"/>
  <c r="AC30" i="23"/>
  <c r="AC31" i="23"/>
  <c r="AD31" i="23"/>
  <c r="Y29" i="23"/>
  <c r="Y30" i="23"/>
  <c r="Y31" i="23"/>
  <c r="Z31" i="23"/>
  <c r="U29" i="23"/>
  <c r="U30" i="23"/>
  <c r="U31" i="23"/>
  <c r="V31" i="23"/>
  <c r="Q29" i="23"/>
  <c r="Q30" i="23"/>
  <c r="Q31" i="23"/>
  <c r="R31" i="23"/>
  <c r="M29" i="23"/>
  <c r="M30" i="23"/>
  <c r="M31" i="23"/>
  <c r="N31" i="23"/>
  <c r="I29" i="23"/>
  <c r="I30" i="23"/>
  <c r="I31" i="23"/>
  <c r="J31" i="23"/>
  <c r="H31" i="23"/>
  <c r="G31" i="23"/>
  <c r="AL30" i="23"/>
  <c r="AH30" i="23"/>
  <c r="AD30" i="23"/>
  <c r="Z30" i="23"/>
  <c r="V30" i="23"/>
  <c r="R30" i="23"/>
  <c r="N30" i="23"/>
  <c r="J30" i="23"/>
  <c r="AL29" i="23"/>
  <c r="AH29" i="23"/>
  <c r="AD29" i="23"/>
  <c r="Z29" i="23"/>
  <c r="V29" i="23"/>
  <c r="R29" i="23"/>
  <c r="N29" i="23"/>
  <c r="J29" i="23"/>
  <c r="AL28" i="23"/>
  <c r="AH28" i="23"/>
  <c r="AD28" i="23"/>
  <c r="Z28" i="23"/>
  <c r="V28" i="23"/>
  <c r="R28" i="23"/>
  <c r="N28" i="23"/>
  <c r="J28" i="23"/>
  <c r="AI16" i="23"/>
  <c r="AJ16" i="23"/>
  <c r="AK16" i="23"/>
  <c r="AG16" i="23"/>
  <c r="AG20" i="23"/>
  <c r="AF20" i="23"/>
  <c r="AE20" i="23"/>
  <c r="AC16" i="23"/>
  <c r="Y16" i="23"/>
  <c r="U16" i="23"/>
  <c r="Q16" i="23"/>
  <c r="M16" i="23"/>
  <c r="I16" i="23"/>
  <c r="AH19" i="23"/>
  <c r="AH18" i="23"/>
  <c r="AH17" i="23"/>
  <c r="AL16" i="23"/>
  <c r="AH16" i="23"/>
  <c r="AD16" i="23"/>
  <c r="Z16" i="23"/>
  <c r="V16" i="23"/>
  <c r="R16" i="23"/>
  <c r="N16" i="23"/>
  <c r="J16" i="23"/>
  <c r="AK11" i="23"/>
  <c r="AK13" i="23" s="1"/>
  <c r="U13" i="23"/>
  <c r="L263" i="7"/>
  <c r="K263" i="7"/>
  <c r="L262" i="7"/>
  <c r="K262" i="7"/>
  <c r="L261" i="7"/>
  <c r="K261" i="7"/>
  <c r="P263" i="7"/>
  <c r="P262" i="7"/>
  <c r="P261" i="7"/>
  <c r="T263" i="7"/>
  <c r="S263" i="7"/>
  <c r="T262" i="7"/>
  <c r="S262" i="7"/>
  <c r="T261" i="7"/>
  <c r="S261" i="7"/>
  <c r="AB263" i="7"/>
  <c r="AA263" i="7"/>
  <c r="AB262" i="7"/>
  <c r="AA262" i="7"/>
  <c r="AB261" i="7"/>
  <c r="AA261" i="7"/>
  <c r="AF263" i="7"/>
  <c r="AE263" i="7"/>
  <c r="AF262" i="7"/>
  <c r="AE262" i="7"/>
  <c r="AF261" i="7"/>
  <c r="AE261" i="7"/>
  <c r="O263" i="7"/>
  <c r="O183" i="23" s="1"/>
  <c r="O262" i="7"/>
  <c r="O182" i="23" s="1"/>
  <c r="O261" i="7"/>
  <c r="O181" i="23" s="1"/>
  <c r="H263" i="7"/>
  <c r="H262" i="7"/>
  <c r="H261" i="7"/>
  <c r="G263" i="7"/>
  <c r="G262" i="7"/>
  <c r="G261" i="7"/>
  <c r="AG265" i="7"/>
  <c r="AG266" i="7" s="1"/>
  <c r="AF265" i="7"/>
  <c r="AF266" i="7" s="1"/>
  <c r="AE265" i="7"/>
  <c r="AE266" i="7" s="1"/>
  <c r="AC265" i="7"/>
  <c r="AC266" i="7" s="1"/>
  <c r="AB265" i="7"/>
  <c r="AB266" i="7" s="1"/>
  <c r="AA265" i="7"/>
  <c r="AA266" i="7" s="1"/>
  <c r="U265" i="7"/>
  <c r="T265" i="7"/>
  <c r="T266" i="7" s="1"/>
  <c r="S265" i="7"/>
  <c r="S266" i="7" s="1"/>
  <c r="Q265" i="7"/>
  <c r="Q266" i="7" s="1"/>
  <c r="P265" i="7"/>
  <c r="O265" i="7"/>
  <c r="O266" i="7" s="1"/>
  <c r="M265" i="7"/>
  <c r="M266" i="7" s="1"/>
  <c r="L265" i="7"/>
  <c r="L266" i="7" s="1"/>
  <c r="K265" i="7"/>
  <c r="K266" i="7" s="1"/>
  <c r="I265" i="7"/>
  <c r="I266" i="7" s="1"/>
  <c r="H265" i="7"/>
  <c r="G265" i="7"/>
  <c r="G266" i="7" s="1"/>
  <c r="AG216" i="7"/>
  <c r="AF216" i="7"/>
  <c r="BO216" i="7" s="1"/>
  <c r="AE216" i="7"/>
  <c r="AG215" i="7"/>
  <c r="AF215" i="7"/>
  <c r="BO215" i="7" s="1"/>
  <c r="AE215" i="7"/>
  <c r="BG215" i="7" s="1"/>
  <c r="AG214" i="7"/>
  <c r="AF214" i="7"/>
  <c r="BO214" i="7" s="1"/>
  <c r="AE214" i="7"/>
  <c r="BG214" i="7" s="1"/>
  <c r="AC216" i="7"/>
  <c r="AB216" i="7"/>
  <c r="BN216" i="7" s="1"/>
  <c r="AA216" i="7"/>
  <c r="BF216" i="7" s="1"/>
  <c r="AC215" i="7"/>
  <c r="AB215" i="7"/>
  <c r="BN215" i="7" s="1"/>
  <c r="AA215" i="7"/>
  <c r="BF215" i="7" s="1"/>
  <c r="AC214" i="7"/>
  <c r="AB214" i="7"/>
  <c r="BN214" i="7" s="1"/>
  <c r="AA214" i="7"/>
  <c r="BF214" i="7" s="1"/>
  <c r="Y216" i="7"/>
  <c r="X216" i="7"/>
  <c r="BM216" i="7" s="1"/>
  <c r="W216" i="7"/>
  <c r="BE216" i="7" s="1"/>
  <c r="Y215" i="7"/>
  <c r="X215" i="7"/>
  <c r="BM215" i="7" s="1"/>
  <c r="W215" i="7"/>
  <c r="BE215" i="7" s="1"/>
  <c r="Y214" i="7"/>
  <c r="X214" i="7"/>
  <c r="BM214" i="7" s="1"/>
  <c r="W214" i="7"/>
  <c r="BE214" i="7" s="1"/>
  <c r="S216" i="7"/>
  <c r="BD216" i="7" s="1"/>
  <c r="S215" i="7"/>
  <c r="BD215" i="7" s="1"/>
  <c r="S214" i="7"/>
  <c r="BD214" i="7" s="1"/>
  <c r="Q216" i="7"/>
  <c r="P216" i="7"/>
  <c r="BK216" i="7" s="1"/>
  <c r="O216" i="7"/>
  <c r="BC216" i="7" s="1"/>
  <c r="Q215" i="7"/>
  <c r="P215" i="7"/>
  <c r="BK215" i="7" s="1"/>
  <c r="O215" i="7"/>
  <c r="BC215" i="7" s="1"/>
  <c r="Q214" i="7"/>
  <c r="P214" i="7"/>
  <c r="BK214" i="7" s="1"/>
  <c r="O214" i="7"/>
  <c r="BC214" i="7" s="1"/>
  <c r="M216" i="7"/>
  <c r="L216" i="7"/>
  <c r="BJ216" i="7" s="1"/>
  <c r="K216" i="7"/>
  <c r="BB216" i="7" s="1"/>
  <c r="M215" i="7"/>
  <c r="L215" i="7"/>
  <c r="BJ215" i="7" s="1"/>
  <c r="K215" i="7"/>
  <c r="BB215" i="7" s="1"/>
  <c r="M214" i="7"/>
  <c r="L214" i="7"/>
  <c r="BJ214" i="7" s="1"/>
  <c r="K214" i="7"/>
  <c r="BB214" i="7" s="1"/>
  <c r="I216" i="7"/>
  <c r="I215" i="7"/>
  <c r="I214" i="7"/>
  <c r="H216" i="7"/>
  <c r="BI216" i="7" s="1"/>
  <c r="H215" i="7"/>
  <c r="BI215" i="7" s="1"/>
  <c r="H214" i="7"/>
  <c r="BI214" i="7" s="1"/>
  <c r="G216" i="7"/>
  <c r="BA216" i="7" s="1"/>
  <c r="G215" i="7"/>
  <c r="BA215" i="7" s="1"/>
  <c r="G214" i="7"/>
  <c r="BA214" i="7" s="1"/>
  <c r="AF247" i="7"/>
  <c r="AE247" i="7"/>
  <c r="AF246" i="7"/>
  <c r="AE246" i="7"/>
  <c r="AF245" i="7"/>
  <c r="AE245" i="7"/>
  <c r="AF242" i="7"/>
  <c r="AE242" i="7"/>
  <c r="AF241" i="7"/>
  <c r="AE241" i="7"/>
  <c r="AF240" i="7"/>
  <c r="AE240" i="7"/>
  <c r="AF239" i="7"/>
  <c r="AE239" i="7"/>
  <c r="AF238" i="7"/>
  <c r="AE238" i="7"/>
  <c r="AF237" i="7"/>
  <c r="AE237" i="7"/>
  <c r="AF236" i="7"/>
  <c r="AE236" i="7"/>
  <c r="AF235" i="7"/>
  <c r="AE235" i="7"/>
  <c r="AF234" i="7"/>
  <c r="AE234" i="7"/>
  <c r="AF233" i="7"/>
  <c r="AE233" i="7"/>
  <c r="AF232" i="7"/>
  <c r="AE232" i="7"/>
  <c r="AF229" i="7"/>
  <c r="AE229" i="7"/>
  <c r="AF228" i="7"/>
  <c r="AE228" i="7"/>
  <c r="AF227" i="7"/>
  <c r="AE227" i="7"/>
  <c r="AF226" i="7"/>
  <c r="AE226" i="7"/>
  <c r="AF223" i="7"/>
  <c r="AE223" i="7"/>
  <c r="AF222" i="7"/>
  <c r="AE222" i="7"/>
  <c r="AF221" i="7"/>
  <c r="AE221" i="7"/>
  <c r="AF220" i="7"/>
  <c r="AE220" i="7"/>
  <c r="AF210" i="7"/>
  <c r="AE210" i="7"/>
  <c r="AF209" i="7"/>
  <c r="AE209" i="7"/>
  <c r="AF208" i="7"/>
  <c r="AE208" i="7"/>
  <c r="AF207" i="7"/>
  <c r="AE207" i="7"/>
  <c r="AF206" i="7"/>
  <c r="AE206" i="7"/>
  <c r="AF205" i="7"/>
  <c r="AE205" i="7"/>
  <c r="AF204" i="7"/>
  <c r="AE204" i="7"/>
  <c r="AF203" i="7"/>
  <c r="AE203" i="7"/>
  <c r="AF200" i="7"/>
  <c r="AE200" i="7"/>
  <c r="AF199" i="7"/>
  <c r="BO199" i="7" s="1"/>
  <c r="AE199" i="7"/>
  <c r="BG199" i="7" s="1"/>
  <c r="AF198" i="7"/>
  <c r="AE198" i="7"/>
  <c r="AF197" i="7"/>
  <c r="BO197" i="7" s="1"/>
  <c r="AE197" i="7"/>
  <c r="BG197" i="7" s="1"/>
  <c r="AF196" i="7"/>
  <c r="AE196" i="7"/>
  <c r="AF195" i="7"/>
  <c r="AE195" i="7"/>
  <c r="AF192" i="7"/>
  <c r="AE192" i="7"/>
  <c r="AF191" i="7"/>
  <c r="BO191" i="7" s="1"/>
  <c r="AE191" i="7"/>
  <c r="BG191" i="7" s="1"/>
  <c r="AF190" i="7"/>
  <c r="AE190" i="7"/>
  <c r="AF189" i="7"/>
  <c r="BO189" i="7" s="1"/>
  <c r="AE189" i="7"/>
  <c r="BG189" i="7" s="1"/>
  <c r="AF188" i="7"/>
  <c r="AE188" i="7"/>
  <c r="AF187" i="7"/>
  <c r="AE187" i="7"/>
  <c r="AF184" i="7"/>
  <c r="AE184" i="7"/>
  <c r="AF183" i="7"/>
  <c r="AE183" i="7"/>
  <c r="AF182" i="7"/>
  <c r="AE182" i="7"/>
  <c r="AF179" i="7"/>
  <c r="AE179" i="7"/>
  <c r="AF178" i="7"/>
  <c r="AE178" i="7"/>
  <c r="AG178" i="7" s="1"/>
  <c r="AF177" i="7"/>
  <c r="AE177" i="7"/>
  <c r="AF176" i="7"/>
  <c r="AE176" i="7"/>
  <c r="AF175" i="7"/>
  <c r="AE175" i="7"/>
  <c r="AF174" i="7"/>
  <c r="AE174" i="7"/>
  <c r="AF171" i="7"/>
  <c r="AE171" i="7"/>
  <c r="AF170" i="7"/>
  <c r="AE170" i="7"/>
  <c r="AF169" i="7"/>
  <c r="AE169" i="7"/>
  <c r="AF168" i="7"/>
  <c r="AE168" i="7"/>
  <c r="AF167" i="7"/>
  <c r="AE167" i="7"/>
  <c r="AB247" i="7"/>
  <c r="AA247" i="7"/>
  <c r="AB246" i="7"/>
  <c r="AA246" i="7"/>
  <c r="AB245" i="7"/>
  <c r="AA245" i="7"/>
  <c r="AB242" i="7"/>
  <c r="AA242" i="7"/>
  <c r="AB241" i="7"/>
  <c r="AA241" i="7"/>
  <c r="AB240" i="7"/>
  <c r="AA240" i="7"/>
  <c r="AB239" i="7"/>
  <c r="AA239" i="7"/>
  <c r="AB238" i="7"/>
  <c r="AA238" i="7"/>
  <c r="AB237" i="7"/>
  <c r="AA237" i="7"/>
  <c r="AB236" i="7"/>
  <c r="AA236" i="7"/>
  <c r="AB235" i="7"/>
  <c r="AA235" i="7"/>
  <c r="AB234" i="7"/>
  <c r="AA234" i="7"/>
  <c r="AB233" i="7"/>
  <c r="AA233" i="7"/>
  <c r="AB232" i="7"/>
  <c r="AA232" i="7"/>
  <c r="AB229" i="7"/>
  <c r="AA229" i="7"/>
  <c r="AB228" i="7"/>
  <c r="AA228" i="7"/>
  <c r="AB227" i="7"/>
  <c r="AA227" i="7"/>
  <c r="AB226" i="7"/>
  <c r="AA226" i="7"/>
  <c r="AB223" i="7"/>
  <c r="AA223" i="7"/>
  <c r="AB222" i="7"/>
  <c r="AA222" i="7"/>
  <c r="AB221" i="7"/>
  <c r="AA221" i="7"/>
  <c r="AB220" i="7"/>
  <c r="AA220" i="7"/>
  <c r="AB210" i="7"/>
  <c r="AA210" i="7"/>
  <c r="AB209" i="7"/>
  <c r="AA209" i="7"/>
  <c r="AB208" i="7"/>
  <c r="AA208" i="7"/>
  <c r="AB207" i="7"/>
  <c r="AA207" i="7"/>
  <c r="AB206" i="7"/>
  <c r="AA206" i="7"/>
  <c r="AB205" i="7"/>
  <c r="AA205" i="7"/>
  <c r="AB204" i="7"/>
  <c r="AA204" i="7"/>
  <c r="AC204" i="7" s="1"/>
  <c r="AB203" i="7"/>
  <c r="AA203" i="7"/>
  <c r="AB200" i="7"/>
  <c r="AA200" i="7"/>
  <c r="AB199" i="7"/>
  <c r="BN199" i="7" s="1"/>
  <c r="AA199" i="7"/>
  <c r="BF199" i="7" s="1"/>
  <c r="AB198" i="7"/>
  <c r="AA198" i="7"/>
  <c r="AB197" i="7"/>
  <c r="BN197" i="7" s="1"/>
  <c r="AA197" i="7"/>
  <c r="BF197" i="7" s="1"/>
  <c r="AB196" i="7"/>
  <c r="AA196" i="7"/>
  <c r="AB195" i="7"/>
  <c r="AA195" i="7"/>
  <c r="AB192" i="7"/>
  <c r="AA192" i="7"/>
  <c r="AB191" i="7"/>
  <c r="BN191" i="7" s="1"/>
  <c r="AA191" i="7"/>
  <c r="BF191" i="7" s="1"/>
  <c r="AB190" i="7"/>
  <c r="AA190" i="7"/>
  <c r="AB189" i="7"/>
  <c r="BN189" i="7" s="1"/>
  <c r="AA189" i="7"/>
  <c r="BF189" i="7" s="1"/>
  <c r="AB188" i="7"/>
  <c r="AA188" i="7"/>
  <c r="AB187" i="7"/>
  <c r="AA187" i="7"/>
  <c r="AB184" i="7"/>
  <c r="AA184" i="7"/>
  <c r="AB183" i="7"/>
  <c r="AA183" i="7"/>
  <c r="AB182" i="7"/>
  <c r="AA182" i="7"/>
  <c r="AB179" i="7"/>
  <c r="AA179" i="7"/>
  <c r="AB178" i="7"/>
  <c r="AA178" i="7"/>
  <c r="AB177" i="7"/>
  <c r="AA177" i="7"/>
  <c r="AB176" i="7"/>
  <c r="AA176" i="7"/>
  <c r="AB175" i="7"/>
  <c r="AA175" i="7"/>
  <c r="AB174" i="7"/>
  <c r="AA174" i="7"/>
  <c r="AA180" i="7" s="1"/>
  <c r="AB171" i="7"/>
  <c r="AA171" i="7"/>
  <c r="AB170" i="7"/>
  <c r="AA170" i="7"/>
  <c r="AB169" i="7"/>
  <c r="AA169" i="7"/>
  <c r="AB168" i="7"/>
  <c r="AA168" i="7"/>
  <c r="AB167" i="7"/>
  <c r="AA167" i="7"/>
  <c r="AA51" i="7"/>
  <c r="X247" i="7"/>
  <c r="W247" i="7"/>
  <c r="X246" i="7"/>
  <c r="W246" i="7"/>
  <c r="X245" i="7"/>
  <c r="W245" i="7"/>
  <c r="X240" i="7"/>
  <c r="W240" i="7"/>
  <c r="X239" i="7"/>
  <c r="W239" i="7"/>
  <c r="X238" i="7"/>
  <c r="W238" i="7"/>
  <c r="X237" i="7"/>
  <c r="W237" i="7"/>
  <c r="X236" i="7"/>
  <c r="W236" i="7"/>
  <c r="X235" i="7"/>
  <c r="W235" i="7"/>
  <c r="X234" i="7"/>
  <c r="W234" i="7"/>
  <c r="X233" i="7"/>
  <c r="W233" i="7"/>
  <c r="X232" i="7"/>
  <c r="W232" i="7"/>
  <c r="X229" i="7"/>
  <c r="W229" i="7"/>
  <c r="X228" i="7"/>
  <c r="W228" i="7"/>
  <c r="X227" i="7"/>
  <c r="W227" i="7"/>
  <c r="X226" i="7"/>
  <c r="W226" i="7"/>
  <c r="X223" i="7"/>
  <c r="W223" i="7"/>
  <c r="X222" i="7"/>
  <c r="W222" i="7"/>
  <c r="X221" i="7"/>
  <c r="W221" i="7"/>
  <c r="X220" i="7"/>
  <c r="W220" i="7"/>
  <c r="X210" i="7"/>
  <c r="W210" i="7"/>
  <c r="X209" i="7"/>
  <c r="W209" i="7"/>
  <c r="X208" i="7"/>
  <c r="W208" i="7"/>
  <c r="X207" i="7"/>
  <c r="W207" i="7"/>
  <c r="X206" i="7"/>
  <c r="W206" i="7"/>
  <c r="X205" i="7"/>
  <c r="W205" i="7"/>
  <c r="X204" i="7"/>
  <c r="W204" i="7"/>
  <c r="X203" i="7"/>
  <c r="W203" i="7"/>
  <c r="X200" i="7"/>
  <c r="W200" i="7"/>
  <c r="X199" i="7"/>
  <c r="BM199" i="7" s="1"/>
  <c r="W199" i="7"/>
  <c r="BE199" i="7" s="1"/>
  <c r="X198" i="7"/>
  <c r="W198" i="7"/>
  <c r="X197" i="7"/>
  <c r="BM197" i="7" s="1"/>
  <c r="W197" i="7"/>
  <c r="BE197" i="7" s="1"/>
  <c r="X196" i="7"/>
  <c r="W196" i="7"/>
  <c r="X195" i="7"/>
  <c r="W195" i="7"/>
  <c r="X192" i="7"/>
  <c r="W192" i="7"/>
  <c r="X191" i="7"/>
  <c r="BM191" i="7" s="1"/>
  <c r="W191" i="7"/>
  <c r="BE191" i="7" s="1"/>
  <c r="X190" i="7"/>
  <c r="W190" i="7"/>
  <c r="X189" i="7"/>
  <c r="BM189" i="7" s="1"/>
  <c r="W189" i="7"/>
  <c r="BE189" i="7" s="1"/>
  <c r="X188" i="7"/>
  <c r="W188" i="7"/>
  <c r="X187" i="7"/>
  <c r="W187" i="7"/>
  <c r="X184" i="7"/>
  <c r="W184" i="7"/>
  <c r="X183" i="7"/>
  <c r="W183" i="7"/>
  <c r="X182" i="7"/>
  <c r="W182" i="7"/>
  <c r="X179" i="7"/>
  <c r="W179" i="7"/>
  <c r="X178" i="7"/>
  <c r="W178" i="7"/>
  <c r="X177" i="7"/>
  <c r="W177" i="7"/>
  <c r="X176" i="7"/>
  <c r="W176" i="7"/>
  <c r="X175" i="7"/>
  <c r="W175" i="7"/>
  <c r="X174" i="7"/>
  <c r="W174" i="7"/>
  <c r="X171" i="7"/>
  <c r="W171" i="7"/>
  <c r="X170" i="7"/>
  <c r="W170" i="7"/>
  <c r="X169" i="7"/>
  <c r="W169" i="7"/>
  <c r="X168" i="7"/>
  <c r="W168" i="7"/>
  <c r="X167" i="7"/>
  <c r="W167" i="7"/>
  <c r="Q163" i="17"/>
  <c r="W51" i="7"/>
  <c r="T247" i="7"/>
  <c r="S247" i="7"/>
  <c r="T246" i="7"/>
  <c r="S246" i="7"/>
  <c r="T245" i="7"/>
  <c r="S245" i="7"/>
  <c r="T242" i="7"/>
  <c r="S242" i="7"/>
  <c r="T241" i="7"/>
  <c r="S241" i="7"/>
  <c r="T240" i="7"/>
  <c r="S240" i="7"/>
  <c r="T239" i="7"/>
  <c r="S239" i="7"/>
  <c r="T238" i="7"/>
  <c r="S238" i="7"/>
  <c r="T237" i="7"/>
  <c r="S237" i="7"/>
  <c r="T236" i="7"/>
  <c r="S236" i="7"/>
  <c r="T235" i="7"/>
  <c r="S235" i="7"/>
  <c r="T234" i="7"/>
  <c r="S234" i="7"/>
  <c r="T233" i="7"/>
  <c r="S233" i="7"/>
  <c r="T232" i="7"/>
  <c r="S232" i="7"/>
  <c r="T229" i="7"/>
  <c r="S229" i="7"/>
  <c r="T228" i="7"/>
  <c r="S228" i="7"/>
  <c r="T227" i="7"/>
  <c r="S227" i="7"/>
  <c r="T226" i="7"/>
  <c r="S226" i="7"/>
  <c r="T223" i="7"/>
  <c r="S223" i="7"/>
  <c r="T222" i="7"/>
  <c r="S222" i="7"/>
  <c r="T221" i="7"/>
  <c r="S221" i="7"/>
  <c r="T220" i="7"/>
  <c r="S220" i="7"/>
  <c r="T210" i="7"/>
  <c r="S210" i="7"/>
  <c r="T209" i="7"/>
  <c r="S209" i="7"/>
  <c r="T208" i="7"/>
  <c r="S208" i="7"/>
  <c r="T207" i="7"/>
  <c r="S207" i="7"/>
  <c r="T206" i="7"/>
  <c r="S206" i="7"/>
  <c r="T205" i="7"/>
  <c r="S205" i="7"/>
  <c r="T204" i="7"/>
  <c r="S204" i="7"/>
  <c r="T203" i="7"/>
  <c r="S203" i="7"/>
  <c r="T200" i="7"/>
  <c r="S200" i="7"/>
  <c r="S199" i="7"/>
  <c r="BD199" i="7" s="1"/>
  <c r="S198" i="7"/>
  <c r="S197" i="7"/>
  <c r="BD197" i="7" s="1"/>
  <c r="T196" i="7"/>
  <c r="S196" i="7"/>
  <c r="T195" i="7"/>
  <c r="S195" i="7"/>
  <c r="T192" i="7"/>
  <c r="S192" i="7"/>
  <c r="T191" i="7"/>
  <c r="BL191" i="7" s="1"/>
  <c r="S191" i="7"/>
  <c r="BD191" i="7" s="1"/>
  <c r="T190" i="7"/>
  <c r="S190" i="7"/>
  <c r="T189" i="7"/>
  <c r="BL189" i="7" s="1"/>
  <c r="S189" i="7"/>
  <c r="BD189" i="7" s="1"/>
  <c r="T188" i="7"/>
  <c r="S188" i="7"/>
  <c r="T187" i="7"/>
  <c r="S187" i="7"/>
  <c r="T184" i="7"/>
  <c r="S184" i="7"/>
  <c r="T183" i="7"/>
  <c r="S183" i="7"/>
  <c r="T182" i="7"/>
  <c r="S182" i="7"/>
  <c r="T179" i="7"/>
  <c r="S179" i="7"/>
  <c r="T178" i="7"/>
  <c r="S178" i="7"/>
  <c r="T177" i="7"/>
  <c r="S177" i="7"/>
  <c r="T176" i="7"/>
  <c r="S176" i="7"/>
  <c r="T175" i="7"/>
  <c r="S175" i="7"/>
  <c r="T174" i="7"/>
  <c r="S174" i="7"/>
  <c r="T171" i="7"/>
  <c r="S171" i="7"/>
  <c r="T170" i="7"/>
  <c r="S170" i="7"/>
  <c r="T169" i="7"/>
  <c r="S169" i="7"/>
  <c r="T168" i="7"/>
  <c r="S168" i="7"/>
  <c r="T167" i="7"/>
  <c r="S167" i="7"/>
  <c r="P247" i="7"/>
  <c r="O247" i="7"/>
  <c r="P246" i="7"/>
  <c r="O246" i="7"/>
  <c r="P245" i="7"/>
  <c r="O245" i="7"/>
  <c r="P242" i="7"/>
  <c r="O242" i="7"/>
  <c r="P241" i="7"/>
  <c r="O241" i="7"/>
  <c r="P240" i="7"/>
  <c r="O240" i="7"/>
  <c r="P239" i="7"/>
  <c r="O239" i="7"/>
  <c r="P238" i="7"/>
  <c r="O238" i="7"/>
  <c r="P237" i="7"/>
  <c r="O237" i="7"/>
  <c r="P236" i="7"/>
  <c r="O236" i="7"/>
  <c r="P235" i="7"/>
  <c r="O235" i="7"/>
  <c r="P234" i="7"/>
  <c r="O234" i="7"/>
  <c r="P233" i="7"/>
  <c r="O233" i="7"/>
  <c r="P232" i="7"/>
  <c r="O232" i="7"/>
  <c r="P229" i="7"/>
  <c r="O229" i="7"/>
  <c r="P228" i="7"/>
  <c r="O228" i="7"/>
  <c r="P227" i="7"/>
  <c r="O227" i="7"/>
  <c r="P226" i="7"/>
  <c r="O226" i="7"/>
  <c r="P223" i="7"/>
  <c r="O223" i="7"/>
  <c r="P222" i="7"/>
  <c r="O222" i="7"/>
  <c r="P221" i="7"/>
  <c r="O221" i="7"/>
  <c r="P220" i="7"/>
  <c r="O220" i="7"/>
  <c r="P210" i="7"/>
  <c r="O210" i="7"/>
  <c r="P209" i="7"/>
  <c r="O209" i="7"/>
  <c r="P208" i="7"/>
  <c r="O208" i="7"/>
  <c r="P207" i="7"/>
  <c r="O207" i="7"/>
  <c r="P206" i="7"/>
  <c r="O206" i="7"/>
  <c r="P205" i="7"/>
  <c r="O205" i="7"/>
  <c r="P204" i="7"/>
  <c r="O204" i="7"/>
  <c r="P203" i="7"/>
  <c r="O203" i="7"/>
  <c r="P200" i="7"/>
  <c r="O200" i="7"/>
  <c r="P199" i="7"/>
  <c r="BK199" i="7" s="1"/>
  <c r="O199" i="7"/>
  <c r="BC199" i="7" s="1"/>
  <c r="P198" i="7"/>
  <c r="O198" i="7"/>
  <c r="P197" i="7"/>
  <c r="BK197" i="7" s="1"/>
  <c r="O197" i="7"/>
  <c r="BC197" i="7" s="1"/>
  <c r="P196" i="7"/>
  <c r="O196" i="7"/>
  <c r="P195" i="7"/>
  <c r="O195" i="7"/>
  <c r="P192" i="7"/>
  <c r="O192" i="7"/>
  <c r="P191" i="7"/>
  <c r="BK191" i="7" s="1"/>
  <c r="O191" i="7"/>
  <c r="BC191" i="7" s="1"/>
  <c r="P190" i="7"/>
  <c r="O190" i="7"/>
  <c r="P189" i="7"/>
  <c r="BK189" i="7" s="1"/>
  <c r="O189" i="7"/>
  <c r="BC189" i="7" s="1"/>
  <c r="P188" i="7"/>
  <c r="O188" i="7"/>
  <c r="P187" i="7"/>
  <c r="O187" i="7"/>
  <c r="P184" i="7"/>
  <c r="O184" i="7"/>
  <c r="P183" i="7"/>
  <c r="O183" i="7"/>
  <c r="P182" i="7"/>
  <c r="O182" i="7"/>
  <c r="P179" i="7"/>
  <c r="O179" i="7"/>
  <c r="P178" i="7"/>
  <c r="O178" i="7"/>
  <c r="P177" i="7"/>
  <c r="O177" i="7"/>
  <c r="P176" i="7"/>
  <c r="O176" i="7"/>
  <c r="P175" i="7"/>
  <c r="O175" i="7"/>
  <c r="P174" i="7"/>
  <c r="O174" i="7"/>
  <c r="P171" i="7"/>
  <c r="O171" i="7"/>
  <c r="P170" i="7"/>
  <c r="O170" i="7"/>
  <c r="P169" i="7"/>
  <c r="O169" i="7"/>
  <c r="P168" i="7"/>
  <c r="O168" i="7"/>
  <c r="P167" i="7"/>
  <c r="O167" i="7"/>
  <c r="O51" i="7"/>
  <c r="L247" i="7"/>
  <c r="K247" i="7"/>
  <c r="L246" i="7"/>
  <c r="K246" i="7"/>
  <c r="L245" i="7"/>
  <c r="K245" i="7"/>
  <c r="L242" i="7"/>
  <c r="K242" i="7"/>
  <c r="L241" i="7"/>
  <c r="K241" i="7"/>
  <c r="L240" i="7"/>
  <c r="K240" i="7"/>
  <c r="L239" i="7"/>
  <c r="K239" i="7"/>
  <c r="L238" i="7"/>
  <c r="K238" i="7"/>
  <c r="L237" i="7"/>
  <c r="K237" i="7"/>
  <c r="L236" i="7"/>
  <c r="K236" i="7"/>
  <c r="L235" i="7"/>
  <c r="K235" i="7"/>
  <c r="L234" i="7"/>
  <c r="K234" i="7"/>
  <c r="L233" i="7"/>
  <c r="K233" i="7"/>
  <c r="L232" i="7"/>
  <c r="K232" i="7"/>
  <c r="L229" i="7"/>
  <c r="K229" i="7"/>
  <c r="L228" i="7"/>
  <c r="K228" i="7"/>
  <c r="L227" i="7"/>
  <c r="K227" i="7"/>
  <c r="L226" i="7"/>
  <c r="K226" i="7"/>
  <c r="L223" i="7"/>
  <c r="K223" i="7"/>
  <c r="L222" i="7"/>
  <c r="K222" i="7"/>
  <c r="L221" i="7"/>
  <c r="K221" i="7"/>
  <c r="L220" i="7"/>
  <c r="K220" i="7"/>
  <c r="L210" i="7"/>
  <c r="K210" i="7"/>
  <c r="L209" i="7"/>
  <c r="K209" i="7"/>
  <c r="L208" i="7"/>
  <c r="K208" i="7"/>
  <c r="L207" i="7"/>
  <c r="K207" i="7"/>
  <c r="L206" i="7"/>
  <c r="K206" i="7"/>
  <c r="L205" i="7"/>
  <c r="K205" i="7"/>
  <c r="L204" i="7"/>
  <c r="K204" i="7"/>
  <c r="L203" i="7"/>
  <c r="K203" i="7"/>
  <c r="L200" i="7"/>
  <c r="K200" i="7"/>
  <c r="L199" i="7"/>
  <c r="BJ199" i="7" s="1"/>
  <c r="K199" i="7"/>
  <c r="BB199" i="7" s="1"/>
  <c r="L198" i="7"/>
  <c r="K198" i="7"/>
  <c r="L197" i="7"/>
  <c r="BJ197" i="7" s="1"/>
  <c r="K197" i="7"/>
  <c r="BB197" i="7" s="1"/>
  <c r="L196" i="7"/>
  <c r="K196" i="7"/>
  <c r="L195" i="7"/>
  <c r="K195" i="7"/>
  <c r="L192" i="7"/>
  <c r="K192" i="7"/>
  <c r="L191" i="7"/>
  <c r="BJ191" i="7" s="1"/>
  <c r="K191" i="7"/>
  <c r="BB191" i="7" s="1"/>
  <c r="L190" i="7"/>
  <c r="K190" i="7"/>
  <c r="L189" i="7"/>
  <c r="BJ189" i="7" s="1"/>
  <c r="K189" i="7"/>
  <c r="BB189" i="7" s="1"/>
  <c r="L188" i="7"/>
  <c r="K188" i="7"/>
  <c r="L187" i="7"/>
  <c r="K187" i="7"/>
  <c r="L184" i="7"/>
  <c r="K184" i="7"/>
  <c r="L183" i="7"/>
  <c r="K183" i="7"/>
  <c r="L182" i="7"/>
  <c r="K182" i="7"/>
  <c r="L179" i="7"/>
  <c r="K179" i="7"/>
  <c r="L178" i="7"/>
  <c r="K178" i="7"/>
  <c r="L177" i="7"/>
  <c r="K177" i="7"/>
  <c r="L176" i="7"/>
  <c r="K176" i="7"/>
  <c r="L175" i="7"/>
  <c r="K175" i="7"/>
  <c r="L174" i="7"/>
  <c r="K174" i="7"/>
  <c r="L171" i="7"/>
  <c r="K171" i="7"/>
  <c r="L170" i="7"/>
  <c r="K170" i="7"/>
  <c r="L169" i="7"/>
  <c r="K169" i="7"/>
  <c r="L168" i="7"/>
  <c r="K168" i="7"/>
  <c r="L167" i="7"/>
  <c r="K167" i="7"/>
  <c r="K128" i="7"/>
  <c r="K51" i="7"/>
  <c r="H121" i="7"/>
  <c r="G121" i="7"/>
  <c r="I104" i="7"/>
  <c r="I105" i="7" s="1"/>
  <c r="I102" i="7"/>
  <c r="I101" i="7"/>
  <c r="I14" i="7"/>
  <c r="AF121" i="7"/>
  <c r="AE121" i="7"/>
  <c r="AB121" i="7"/>
  <c r="AA121" i="7"/>
  <c r="X121" i="7"/>
  <c r="W121" i="7"/>
  <c r="T121" i="7"/>
  <c r="S121" i="7"/>
  <c r="P121" i="7"/>
  <c r="O121" i="7"/>
  <c r="L121" i="7"/>
  <c r="K121" i="7"/>
  <c r="AG104" i="7"/>
  <c r="AG102" i="7"/>
  <c r="AG101" i="7"/>
  <c r="AC9" i="13"/>
  <c r="AG14" i="7"/>
  <c r="AG99" i="7" s="1"/>
  <c r="AC104" i="7"/>
  <c r="AC102" i="7"/>
  <c r="AC9" i="12"/>
  <c r="AC14" i="7"/>
  <c r="AC114" i="7" s="1"/>
  <c r="Y104" i="7"/>
  <c r="Y102" i="7"/>
  <c r="Y101" i="7"/>
  <c r="AC9" i="11"/>
  <c r="Y14" i="7"/>
  <c r="U104" i="7"/>
  <c r="U102" i="7"/>
  <c r="U103" i="7" s="1"/>
  <c r="U101" i="7"/>
  <c r="AC9" i="10"/>
  <c r="U14" i="7"/>
  <c r="Q104" i="7"/>
  <c r="Q102" i="7"/>
  <c r="Q101" i="7"/>
  <c r="AC9" i="9"/>
  <c r="Q14" i="7"/>
  <c r="Q114" i="7" s="1"/>
  <c r="M104" i="7"/>
  <c r="M102" i="7"/>
  <c r="M103" i="7" s="1"/>
  <c r="M101" i="7"/>
  <c r="AC9" i="8"/>
  <c r="M14" i="7"/>
  <c r="AK251" i="6"/>
  <c r="AJ251" i="6"/>
  <c r="AI251" i="6"/>
  <c r="AK250" i="6"/>
  <c r="AJ250" i="6"/>
  <c r="AI250" i="6"/>
  <c r="AK209" i="6"/>
  <c r="AJ209" i="6"/>
  <c r="AI209" i="6"/>
  <c r="AK208" i="6"/>
  <c r="AJ208" i="6"/>
  <c r="AI208" i="6"/>
  <c r="X239" i="2"/>
  <c r="H181" i="6"/>
  <c r="X239" i="8"/>
  <c r="L181" i="6"/>
  <c r="X239" i="9"/>
  <c r="P181" i="6"/>
  <c r="X239" i="10"/>
  <c r="T181" i="6"/>
  <c r="X239" i="11"/>
  <c r="X181" i="6"/>
  <c r="X239" i="12"/>
  <c r="AB181" i="6"/>
  <c r="X239" i="13"/>
  <c r="AF181" i="6"/>
  <c r="X240" i="2"/>
  <c r="H182" i="6"/>
  <c r="X240" i="8"/>
  <c r="L182" i="6"/>
  <c r="X240" i="9"/>
  <c r="P182" i="6"/>
  <c r="X240" i="10"/>
  <c r="T182" i="6"/>
  <c r="X240" i="11"/>
  <c r="X182" i="6"/>
  <c r="X240" i="12"/>
  <c r="AB182" i="6"/>
  <c r="X240" i="13"/>
  <c r="AF182" i="6"/>
  <c r="X241" i="2"/>
  <c r="H183" i="6"/>
  <c r="X241" i="8"/>
  <c r="L183" i="6"/>
  <c r="X241" i="9"/>
  <c r="P183" i="6"/>
  <c r="X241" i="10"/>
  <c r="T183" i="6"/>
  <c r="X241" i="11"/>
  <c r="X183" i="6"/>
  <c r="X241" i="12"/>
  <c r="AB183" i="6"/>
  <c r="X241" i="13"/>
  <c r="AF183" i="6"/>
  <c r="X242" i="2"/>
  <c r="H184" i="6"/>
  <c r="X242" i="8"/>
  <c r="L184" i="6"/>
  <c r="X242" i="9"/>
  <c r="P184" i="6"/>
  <c r="X242" i="10"/>
  <c r="T184" i="6"/>
  <c r="X242" i="11"/>
  <c r="X184" i="6"/>
  <c r="X242" i="12"/>
  <c r="AB184" i="6"/>
  <c r="X242" i="13"/>
  <c r="AF184" i="6"/>
  <c r="W239" i="2"/>
  <c r="G181" i="6"/>
  <c r="W239" i="8"/>
  <c r="K181" i="6"/>
  <c r="W239" i="9"/>
  <c r="O181" i="6"/>
  <c r="W239" i="10"/>
  <c r="S181" i="6"/>
  <c r="W239" i="11"/>
  <c r="W181" i="6"/>
  <c r="W239" i="12"/>
  <c r="AA181" i="6"/>
  <c r="W239" i="13"/>
  <c r="AE181" i="6"/>
  <c r="W240" i="2"/>
  <c r="G182" i="6"/>
  <c r="I182" i="6" s="1"/>
  <c r="J182" i="6" s="1"/>
  <c r="W240" i="8"/>
  <c r="K182" i="6"/>
  <c r="M182" i="6" s="1"/>
  <c r="W240" i="9"/>
  <c r="O182" i="6"/>
  <c r="W240" i="10"/>
  <c r="S182" i="6"/>
  <c r="U182" i="6" s="1"/>
  <c r="W240" i="11"/>
  <c r="W182" i="6"/>
  <c r="W240" i="12"/>
  <c r="AA182" i="6"/>
  <c r="W240" i="13"/>
  <c r="AE182" i="6"/>
  <c r="W241" i="2"/>
  <c r="G183" i="6"/>
  <c r="I183" i="6" s="1"/>
  <c r="W241" i="8"/>
  <c r="K183" i="6"/>
  <c r="M183" i="6" s="1"/>
  <c r="N184" i="6" s="1"/>
  <c r="W241" i="9"/>
  <c r="O183" i="6"/>
  <c r="Q183" i="6" s="1"/>
  <c r="W241" i="10"/>
  <c r="S183" i="6"/>
  <c r="U183" i="6" s="1"/>
  <c r="W241" i="11"/>
  <c r="W183" i="6"/>
  <c r="Y183" i="6" s="1"/>
  <c r="W241" i="12"/>
  <c r="AA183" i="6"/>
  <c r="AC183" i="6" s="1"/>
  <c r="AD182" i="6" s="1"/>
  <c r="W241" i="13"/>
  <c r="AE183" i="6"/>
  <c r="AG183" i="6" s="1"/>
  <c r="W242" i="2"/>
  <c r="G184" i="6"/>
  <c r="W242" i="8"/>
  <c r="K184" i="6"/>
  <c r="W242" i="9"/>
  <c r="O184" i="6"/>
  <c r="Q184" i="6" s="1"/>
  <c r="W242" i="10"/>
  <c r="S184" i="6"/>
  <c r="W242" i="11"/>
  <c r="W184" i="6"/>
  <c r="Y184" i="6" s="1"/>
  <c r="W242" i="12"/>
  <c r="AA184" i="6"/>
  <c r="W242" i="13"/>
  <c r="AE184" i="6"/>
  <c r="AG184" i="6" s="1"/>
  <c r="AC182" i="6"/>
  <c r="AG506" i="6"/>
  <c r="AG505" i="6"/>
  <c r="AG504" i="6"/>
  <c r="AG503" i="6"/>
  <c r="AG502" i="6"/>
  <c r="AG499" i="6"/>
  <c r="AG498" i="6"/>
  <c r="AG497" i="6"/>
  <c r="AG496" i="6"/>
  <c r="AG495" i="6"/>
  <c r="AG494" i="6"/>
  <c r="AG493" i="6"/>
  <c r="AG492" i="6"/>
  <c r="AG491" i="6"/>
  <c r="AG487" i="6"/>
  <c r="AG486" i="6"/>
  <c r="AG485" i="6"/>
  <c r="AG484" i="6"/>
  <c r="AG483" i="6"/>
  <c r="AG482" i="6"/>
  <c r="AG479" i="6"/>
  <c r="AG478" i="6"/>
  <c r="AG477" i="6"/>
  <c r="AG476" i="6"/>
  <c r="AG475" i="6"/>
  <c r="AG474" i="6"/>
  <c r="AG471" i="6"/>
  <c r="AG470" i="6"/>
  <c r="AG469" i="6"/>
  <c r="AG468" i="6"/>
  <c r="AG467" i="6"/>
  <c r="AG466" i="6"/>
  <c r="AG462" i="6"/>
  <c r="AG461" i="6"/>
  <c r="AG460" i="6"/>
  <c r="AG459" i="6"/>
  <c r="AG458" i="6"/>
  <c r="AC604" i="13"/>
  <c r="AG436" i="6"/>
  <c r="AB603" i="13"/>
  <c r="AG435" i="6"/>
  <c r="AA602" i="13"/>
  <c r="AG434" i="6"/>
  <c r="AG398" i="6"/>
  <c r="AG397" i="6"/>
  <c r="AG396" i="6"/>
  <c r="AG393" i="6"/>
  <c r="AG392" i="6"/>
  <c r="AG391" i="6"/>
  <c r="AG339" i="6"/>
  <c r="AG338" i="6"/>
  <c r="AG337" i="6"/>
  <c r="AG308" i="6"/>
  <c r="AG307" i="6"/>
  <c r="AG306" i="6"/>
  <c r="AC367" i="13"/>
  <c r="AG252" i="6"/>
  <c r="AB366" i="13"/>
  <c r="AG251" i="6"/>
  <c r="AA365" i="13"/>
  <c r="AG250" i="6"/>
  <c r="AC340" i="13"/>
  <c r="AG228" i="6"/>
  <c r="AB339" i="13"/>
  <c r="AG227" i="6"/>
  <c r="AA338" i="13"/>
  <c r="AG226" i="6"/>
  <c r="AC330" i="13"/>
  <c r="AG219" i="6"/>
  <c r="AB329" i="13"/>
  <c r="AG218" i="6"/>
  <c r="AA328" i="13"/>
  <c r="AG217" i="6"/>
  <c r="AC320" i="13"/>
  <c r="AG210" i="6"/>
  <c r="AB319" i="13"/>
  <c r="AG209" i="6"/>
  <c r="AA318" i="13"/>
  <c r="AG208" i="6"/>
  <c r="AG104" i="6"/>
  <c r="AG102" i="6"/>
  <c r="AG101" i="6"/>
  <c r="AG95" i="6"/>
  <c r="AG94" i="6"/>
  <c r="AG93" i="6"/>
  <c r="AG92" i="6"/>
  <c r="AG88" i="6"/>
  <c r="AG93" i="23" s="1"/>
  <c r="AG87" i="6"/>
  <c r="AG92" i="23" s="1"/>
  <c r="AG86" i="6"/>
  <c r="AG85" i="6"/>
  <c r="AG90" i="23" s="1"/>
  <c r="AG82" i="6"/>
  <c r="AG81" i="6"/>
  <c r="AG80" i="6"/>
  <c r="AG79" i="6"/>
  <c r="AC506" i="6"/>
  <c r="AC505" i="6"/>
  <c r="AC504" i="6"/>
  <c r="AC503" i="6"/>
  <c r="AC502" i="6"/>
  <c r="AC507" i="6" s="1"/>
  <c r="AC499" i="6"/>
  <c r="AC498" i="6"/>
  <c r="AC497" i="6"/>
  <c r="AC496" i="6"/>
  <c r="AC495" i="6"/>
  <c r="AC494" i="6"/>
  <c r="AC493" i="6"/>
  <c r="AC492" i="6"/>
  <c r="AC500" i="6" s="1"/>
  <c r="AC491" i="6"/>
  <c r="AC487" i="6"/>
  <c r="AC486" i="6"/>
  <c r="AC485" i="6"/>
  <c r="AC484" i="6"/>
  <c r="AC483" i="6"/>
  <c r="AC488" i="6" s="1"/>
  <c r="AC482" i="6"/>
  <c r="AC479" i="6"/>
  <c r="AC478" i="6"/>
  <c r="AC477" i="6"/>
  <c r="AC476" i="6"/>
  <c r="AC475" i="6"/>
  <c r="AC480" i="6" s="1"/>
  <c r="AC474" i="6"/>
  <c r="AC471" i="6"/>
  <c r="AC470" i="6"/>
  <c r="AC469" i="6"/>
  <c r="AC468" i="6"/>
  <c r="AC467" i="6"/>
  <c r="AC472" i="6" s="1"/>
  <c r="AC466" i="6"/>
  <c r="AC462" i="6"/>
  <c r="AC461" i="6"/>
  <c r="AC460" i="6"/>
  <c r="AC459" i="6"/>
  <c r="AC458" i="6"/>
  <c r="AC463" i="6" s="1"/>
  <c r="AC604" i="12"/>
  <c r="AC436" i="6"/>
  <c r="AB603" i="12"/>
  <c r="AC435" i="6"/>
  <c r="AA602" i="12"/>
  <c r="AC434" i="6"/>
  <c r="AC398" i="6"/>
  <c r="AC397" i="6"/>
  <c r="AC396" i="6"/>
  <c r="AC393" i="6"/>
  <c r="AC392" i="6"/>
  <c r="AC391" i="6"/>
  <c r="AC339" i="6"/>
  <c r="AC338" i="6"/>
  <c r="AC337" i="6"/>
  <c r="AC308" i="6"/>
  <c r="AC307" i="6"/>
  <c r="AC306" i="6"/>
  <c r="AC367" i="12"/>
  <c r="AC252" i="6"/>
  <c r="AB366" i="12"/>
  <c r="AC251" i="6"/>
  <c r="AA365" i="12"/>
  <c r="AC250" i="6"/>
  <c r="AC340" i="12"/>
  <c r="AC228" i="6"/>
  <c r="AB339" i="12"/>
  <c r="AC227" i="6"/>
  <c r="AA338" i="12"/>
  <c r="AC226" i="6"/>
  <c r="AC330" i="12"/>
  <c r="AC219" i="6"/>
  <c r="AB329" i="12"/>
  <c r="AC218" i="6"/>
  <c r="AA328" i="12"/>
  <c r="AC217" i="6"/>
  <c r="AC320" i="12"/>
  <c r="AC210" i="6"/>
  <c r="AB319" i="12"/>
  <c r="AC209" i="6"/>
  <c r="AA318" i="12"/>
  <c r="AC208" i="6"/>
  <c r="AC104" i="6"/>
  <c r="AC102" i="6"/>
  <c r="AC95" i="6"/>
  <c r="AC94" i="6"/>
  <c r="AC93" i="6"/>
  <c r="AC92" i="6"/>
  <c r="AC88" i="6"/>
  <c r="AC93" i="23" s="1"/>
  <c r="AC87" i="6"/>
  <c r="AC92" i="23" s="1"/>
  <c r="AC85" i="6"/>
  <c r="AC90" i="23" s="1"/>
  <c r="AC82" i="6"/>
  <c r="AC81" i="6"/>
  <c r="AC80" i="6"/>
  <c r="AC79" i="6"/>
  <c r="Y506" i="6"/>
  <c r="Y505" i="6"/>
  <c r="Y504" i="6"/>
  <c r="Y503" i="6"/>
  <c r="Y502" i="6"/>
  <c r="Y507" i="6" s="1"/>
  <c r="Y499" i="6"/>
  <c r="Y498" i="6"/>
  <c r="Y497" i="6"/>
  <c r="Y496" i="6"/>
  <c r="Y495" i="6"/>
  <c r="Y494" i="6"/>
  <c r="Y493" i="6"/>
  <c r="Y492" i="6"/>
  <c r="Y500" i="6" s="1"/>
  <c r="Z492" i="6" s="1"/>
  <c r="Y491" i="6"/>
  <c r="Y487" i="6"/>
  <c r="Y486" i="6"/>
  <c r="Y485" i="6"/>
  <c r="Y484" i="6"/>
  <c r="Y483" i="6"/>
  <c r="Y488" i="6" s="1"/>
  <c r="Y482" i="6"/>
  <c r="Y479" i="6"/>
  <c r="Y478" i="6"/>
  <c r="Y477" i="6"/>
  <c r="Y476" i="6"/>
  <c r="Y475" i="6"/>
  <c r="Y480" i="6" s="1"/>
  <c r="Y474" i="6"/>
  <c r="Y471" i="6"/>
  <c r="Y470" i="6"/>
  <c r="Y469" i="6"/>
  <c r="Y468" i="6"/>
  <c r="Y467" i="6"/>
  <c r="Y472" i="6" s="1"/>
  <c r="Y466" i="6"/>
  <c r="Y462" i="6"/>
  <c r="Y461" i="6"/>
  <c r="Y460" i="6"/>
  <c r="Y459" i="6"/>
  <c r="Y458" i="6"/>
  <c r="Y463" i="6" s="1"/>
  <c r="AC604" i="11"/>
  <c r="Y436" i="6"/>
  <c r="AB603" i="11"/>
  <c r="Y435" i="6"/>
  <c r="AA602" i="11"/>
  <c r="Y434" i="6"/>
  <c r="Y398" i="6"/>
  <c r="Y397" i="6"/>
  <c r="Y396" i="6"/>
  <c r="Y393" i="6"/>
  <c r="Y392" i="6"/>
  <c r="Y391" i="6"/>
  <c r="Y339" i="6"/>
  <c r="Y338" i="6"/>
  <c r="Y337" i="6"/>
  <c r="Y308" i="6"/>
  <c r="Y307" i="6"/>
  <c r="Y306" i="6"/>
  <c r="AC367" i="11"/>
  <c r="Y252" i="6"/>
  <c r="AB366" i="11"/>
  <c r="Y251" i="6"/>
  <c r="AA365" i="11"/>
  <c r="Y250" i="6"/>
  <c r="AC340" i="11"/>
  <c r="Y228" i="6"/>
  <c r="AB339" i="11"/>
  <c r="Y227" i="6"/>
  <c r="AA338" i="11"/>
  <c r="Y226" i="6"/>
  <c r="AC330" i="11"/>
  <c r="Y219" i="6"/>
  <c r="AB329" i="11"/>
  <c r="Y218" i="6"/>
  <c r="AA328" i="11"/>
  <c r="Y217" i="6"/>
  <c r="AC320" i="11"/>
  <c r="Y210" i="6"/>
  <c r="AB319" i="11"/>
  <c r="Y209" i="6"/>
  <c r="AA318" i="11"/>
  <c r="Y208" i="6"/>
  <c r="Y104" i="6"/>
  <c r="Y102" i="6"/>
  <c r="Y101" i="6"/>
  <c r="Y95" i="6"/>
  <c r="Y94" i="6"/>
  <c r="Y93" i="6"/>
  <c r="Y92" i="6"/>
  <c r="Y88" i="6"/>
  <c r="Y93" i="23" s="1"/>
  <c r="Y87" i="6"/>
  <c r="Y92" i="23" s="1"/>
  <c r="Y86" i="6"/>
  <c r="Y91" i="23" s="1"/>
  <c r="Y85" i="6"/>
  <c r="Y90" i="23" s="1"/>
  <c r="Y82" i="6"/>
  <c r="Y81" i="6"/>
  <c r="Y80" i="6"/>
  <c r="Y79" i="6"/>
  <c r="U506" i="6"/>
  <c r="U505" i="6"/>
  <c r="U504" i="6"/>
  <c r="U503" i="6"/>
  <c r="U502" i="6"/>
  <c r="U499" i="6"/>
  <c r="U498" i="6"/>
  <c r="U497" i="6"/>
  <c r="U496" i="6"/>
  <c r="U495" i="6"/>
  <c r="U494" i="6"/>
  <c r="U493" i="6"/>
  <c r="U492" i="6"/>
  <c r="U491" i="6"/>
  <c r="U487" i="6"/>
  <c r="U486" i="6"/>
  <c r="U485" i="6"/>
  <c r="U484" i="6"/>
  <c r="U483" i="6"/>
  <c r="U488" i="6" s="1"/>
  <c r="U482" i="6"/>
  <c r="U479" i="6"/>
  <c r="U478" i="6"/>
  <c r="U477" i="6"/>
  <c r="U476" i="6"/>
  <c r="U475" i="6"/>
  <c r="U480" i="6" s="1"/>
  <c r="U474" i="6"/>
  <c r="U471" i="6"/>
  <c r="U470" i="6"/>
  <c r="U469" i="6"/>
  <c r="U468" i="6"/>
  <c r="U467" i="6"/>
  <c r="U472" i="6" s="1"/>
  <c r="U466" i="6"/>
  <c r="U462" i="6"/>
  <c r="U461" i="6"/>
  <c r="U460" i="6"/>
  <c r="U459" i="6"/>
  <c r="U458" i="6"/>
  <c r="AC604" i="10"/>
  <c r="U436" i="6"/>
  <c r="AB603" i="10"/>
  <c r="U435" i="6"/>
  <c r="AA602" i="10"/>
  <c r="U434" i="6"/>
  <c r="U398" i="6"/>
  <c r="U397" i="6"/>
  <c r="U396" i="6"/>
  <c r="U393" i="6"/>
  <c r="U392" i="6"/>
  <c r="U391" i="6"/>
  <c r="U339" i="6"/>
  <c r="U338" i="6"/>
  <c r="U337" i="6"/>
  <c r="U308" i="6"/>
  <c r="U307" i="6"/>
  <c r="U306" i="6"/>
  <c r="AC367" i="10"/>
  <c r="U252" i="6"/>
  <c r="AB366" i="10"/>
  <c r="U251" i="6"/>
  <c r="AA365" i="10"/>
  <c r="U250" i="6"/>
  <c r="AC340" i="10"/>
  <c r="U228" i="6"/>
  <c r="AB339" i="10"/>
  <c r="U227" i="6"/>
  <c r="AA338" i="10"/>
  <c r="U226" i="6"/>
  <c r="AC330" i="10"/>
  <c r="U219" i="6"/>
  <c r="AB329" i="10"/>
  <c r="U218" i="6"/>
  <c r="AA328" i="10"/>
  <c r="U217" i="6"/>
  <c r="AC320" i="10"/>
  <c r="U210" i="6"/>
  <c r="AB319" i="10"/>
  <c r="U209" i="6"/>
  <c r="AA318" i="10"/>
  <c r="U208" i="6"/>
  <c r="U104" i="6"/>
  <c r="U102" i="6"/>
  <c r="U101" i="6"/>
  <c r="U95" i="6"/>
  <c r="U94" i="6"/>
  <c r="U93" i="6"/>
  <c r="U92" i="6"/>
  <c r="U88" i="6"/>
  <c r="U93" i="23" s="1"/>
  <c r="U87" i="6"/>
  <c r="U92" i="23" s="1"/>
  <c r="U86" i="6"/>
  <c r="U91" i="23" s="1"/>
  <c r="U85" i="6"/>
  <c r="U90" i="23" s="1"/>
  <c r="U82" i="6"/>
  <c r="U81" i="6"/>
  <c r="U80" i="6"/>
  <c r="U79" i="6"/>
  <c r="Q506" i="6"/>
  <c r="Q505" i="6"/>
  <c r="Q504" i="6"/>
  <c r="Q503" i="6"/>
  <c r="Q502" i="6"/>
  <c r="Q507" i="6" s="1"/>
  <c r="Q499" i="6"/>
  <c r="Q498" i="6"/>
  <c r="Q497" i="6"/>
  <c r="Q496" i="6"/>
  <c r="Q495" i="6"/>
  <c r="Q494" i="6"/>
  <c r="Q493" i="6"/>
  <c r="Q492" i="6"/>
  <c r="Q500" i="6" s="1"/>
  <c r="Q491" i="6"/>
  <c r="Q487" i="6"/>
  <c r="Q486" i="6"/>
  <c r="Q485" i="6"/>
  <c r="Q484" i="6"/>
  <c r="Q483" i="6"/>
  <c r="Q482" i="6"/>
  <c r="Q479" i="6"/>
  <c r="Q478" i="6"/>
  <c r="Q477" i="6"/>
  <c r="Q476" i="6"/>
  <c r="Q475" i="6"/>
  <c r="Q480" i="6" s="1"/>
  <c r="Q474" i="6"/>
  <c r="Q471" i="6"/>
  <c r="Q470" i="6"/>
  <c r="Q469" i="6"/>
  <c r="Q468" i="6"/>
  <c r="Q467" i="6"/>
  <c r="Q466" i="6"/>
  <c r="Q462" i="6"/>
  <c r="Q461" i="6"/>
  <c r="Q460" i="6"/>
  <c r="Q459" i="6"/>
  <c r="Q458" i="6"/>
  <c r="Q463" i="6" s="1"/>
  <c r="AC604" i="9"/>
  <c r="Q436" i="6"/>
  <c r="AB603" i="9"/>
  <c r="Q435" i="6"/>
  <c r="AA602" i="9"/>
  <c r="Q434" i="6"/>
  <c r="Q398" i="6"/>
  <c r="Q397" i="6"/>
  <c r="Q396" i="6"/>
  <c r="Q393" i="6"/>
  <c r="Q392" i="6"/>
  <c r="Q391" i="6"/>
  <c r="Q339" i="6"/>
  <c r="Q338" i="6"/>
  <c r="Q337" i="6"/>
  <c r="Q308" i="6"/>
  <c r="Q307" i="6"/>
  <c r="Q306" i="6"/>
  <c r="AC367" i="9"/>
  <c r="Q252" i="6"/>
  <c r="AB366" i="9"/>
  <c r="Q251" i="6"/>
  <c r="AA365" i="9"/>
  <c r="Q250" i="6"/>
  <c r="AC340" i="9"/>
  <c r="Q228" i="6"/>
  <c r="AB339" i="9"/>
  <c r="Q227" i="6"/>
  <c r="AA338" i="9"/>
  <c r="Q226" i="6"/>
  <c r="AC330" i="9"/>
  <c r="Q219" i="6"/>
  <c r="AB329" i="9"/>
  <c r="Q218" i="6"/>
  <c r="AA328" i="9"/>
  <c r="Q217" i="6"/>
  <c r="AC320" i="9"/>
  <c r="Q210" i="6"/>
  <c r="AB319" i="9"/>
  <c r="Q209" i="6"/>
  <c r="AA318" i="9"/>
  <c r="Q208" i="6"/>
  <c r="Q104" i="6"/>
  <c r="Q109" i="23" s="1"/>
  <c r="Q102" i="6"/>
  <c r="Q101" i="6"/>
  <c r="Q106" i="23" s="1"/>
  <c r="Q95" i="6"/>
  <c r="Q94" i="6"/>
  <c r="Q93" i="6"/>
  <c r="Q92" i="6"/>
  <c r="Q88" i="6"/>
  <c r="Q93" i="23" s="1"/>
  <c r="Q87" i="6"/>
  <c r="Q92" i="23" s="1"/>
  <c r="Q86" i="6"/>
  <c r="Q85" i="6"/>
  <c r="Q90" i="23" s="1"/>
  <c r="Q82" i="6"/>
  <c r="Q81" i="6"/>
  <c r="Q80" i="6"/>
  <c r="Q79" i="6"/>
  <c r="M506" i="6"/>
  <c r="M505" i="6"/>
  <c r="M504" i="6"/>
  <c r="M503" i="6"/>
  <c r="M502" i="6"/>
  <c r="M499" i="6"/>
  <c r="M498" i="6"/>
  <c r="M497" i="6"/>
  <c r="M496" i="6"/>
  <c r="M495" i="6"/>
  <c r="M494" i="6"/>
  <c r="M493" i="6"/>
  <c r="M492" i="6"/>
  <c r="M491" i="6"/>
  <c r="M487" i="6"/>
  <c r="M486" i="6"/>
  <c r="M485" i="6"/>
  <c r="M484" i="6"/>
  <c r="M483" i="6"/>
  <c r="M482" i="6"/>
  <c r="M479" i="6"/>
  <c r="M478" i="6"/>
  <c r="M477" i="6"/>
  <c r="M476" i="6"/>
  <c r="M475" i="6"/>
  <c r="M474" i="6"/>
  <c r="M471" i="6"/>
  <c r="M470" i="6"/>
  <c r="M469" i="6"/>
  <c r="M468" i="6"/>
  <c r="M467" i="6"/>
  <c r="M466" i="6"/>
  <c r="M462" i="6"/>
  <c r="M461" i="6"/>
  <c r="M460" i="6"/>
  <c r="M459" i="6"/>
  <c r="M458" i="6"/>
  <c r="AC604" i="8"/>
  <c r="M436" i="6"/>
  <c r="AB603" i="8"/>
  <c r="M435" i="6"/>
  <c r="AA602" i="8"/>
  <c r="M434" i="6"/>
  <c r="M398" i="6"/>
  <c r="M397" i="6"/>
  <c r="M396" i="6"/>
  <c r="M393" i="6"/>
  <c r="M392" i="6"/>
  <c r="M391" i="6"/>
  <c r="BB391" i="6" s="1"/>
  <c r="M339" i="6"/>
  <c r="M338" i="6"/>
  <c r="M337" i="6"/>
  <c r="M308" i="6"/>
  <c r="M307" i="6"/>
  <c r="M306" i="6"/>
  <c r="AC367" i="8"/>
  <c r="M252" i="6"/>
  <c r="AB366" i="8"/>
  <c r="M251" i="6"/>
  <c r="AA365" i="8"/>
  <c r="M250" i="6"/>
  <c r="AC340" i="8"/>
  <c r="M228" i="6"/>
  <c r="AB339" i="8"/>
  <c r="M227" i="6"/>
  <c r="AA338" i="8"/>
  <c r="M226" i="6"/>
  <c r="AC330" i="8"/>
  <c r="M219" i="6"/>
  <c r="AB329" i="8"/>
  <c r="M218" i="6"/>
  <c r="AA328" i="8"/>
  <c r="M217" i="6"/>
  <c r="AC320" i="8"/>
  <c r="M210" i="6"/>
  <c r="AB319" i="8"/>
  <c r="M209" i="6"/>
  <c r="AA318" i="8"/>
  <c r="M208" i="6"/>
  <c r="M104" i="6"/>
  <c r="M102" i="6"/>
  <c r="M101" i="6"/>
  <c r="M95" i="6"/>
  <c r="M94" i="6"/>
  <c r="M93" i="6"/>
  <c r="M92" i="6"/>
  <c r="M88" i="6"/>
  <c r="M93" i="23" s="1"/>
  <c r="M87" i="6"/>
  <c r="M92" i="23" s="1"/>
  <c r="M86" i="6"/>
  <c r="M91" i="23" s="1"/>
  <c r="M85" i="6"/>
  <c r="M90" i="23" s="1"/>
  <c r="M82" i="6"/>
  <c r="M81" i="6"/>
  <c r="M80" i="6"/>
  <c r="M79" i="6"/>
  <c r="AC540" i="2"/>
  <c r="I393" i="6"/>
  <c r="AA540" i="2"/>
  <c r="I391" i="6"/>
  <c r="BA391" i="6"/>
  <c r="AB540" i="2"/>
  <c r="I392" i="6"/>
  <c r="BC392" i="6"/>
  <c r="BD392" i="6"/>
  <c r="BE392" i="6"/>
  <c r="BF392" i="6"/>
  <c r="G438" i="6"/>
  <c r="W606" i="8"/>
  <c r="AT606" i="8"/>
  <c r="K438" i="6"/>
  <c r="W606" i="9"/>
  <c r="AT606" i="9"/>
  <c r="O438" i="6"/>
  <c r="W606" i="10"/>
  <c r="AT606" i="10"/>
  <c r="S438" i="6"/>
  <c r="S439" i="6" s="1"/>
  <c r="W606" i="11"/>
  <c r="AT606" i="11"/>
  <c r="W438" i="6"/>
  <c r="W606" i="12"/>
  <c r="AT606" i="12"/>
  <c r="AA438" i="6"/>
  <c r="W606" i="13"/>
  <c r="AT606" i="13"/>
  <c r="AE438" i="6"/>
  <c r="H438" i="6"/>
  <c r="X606" i="8"/>
  <c r="AZ606" i="8"/>
  <c r="L438" i="6"/>
  <c r="X606" i="9"/>
  <c r="AZ606" i="9"/>
  <c r="P438" i="6"/>
  <c r="X606" i="10"/>
  <c r="AZ606" i="10"/>
  <c r="T438" i="6"/>
  <c r="X606" i="11"/>
  <c r="AZ606" i="11"/>
  <c r="X438" i="6"/>
  <c r="X606" i="12"/>
  <c r="AZ606" i="12"/>
  <c r="AB438" i="6"/>
  <c r="X606" i="13"/>
  <c r="AZ606" i="13"/>
  <c r="AF438" i="6"/>
  <c r="G253" i="6"/>
  <c r="G254" i="6"/>
  <c r="W369" i="8"/>
  <c r="AT369" i="8"/>
  <c r="K254" i="6"/>
  <c r="W369" i="9"/>
  <c r="AT369" i="9"/>
  <c r="O254" i="6"/>
  <c r="W369" i="10"/>
  <c r="AT369" i="10"/>
  <c r="S254" i="6"/>
  <c r="W369" i="11"/>
  <c r="AT369" i="11"/>
  <c r="W254" i="6"/>
  <c r="W369" i="12"/>
  <c r="AT369" i="12"/>
  <c r="AA254" i="6"/>
  <c r="W369" i="13"/>
  <c r="AT369" i="13"/>
  <c r="AE254" i="6"/>
  <c r="H254" i="6"/>
  <c r="X369" i="8"/>
  <c r="AZ369" i="8"/>
  <c r="L254" i="6"/>
  <c r="X369" i="9"/>
  <c r="AZ369" i="9"/>
  <c r="P254" i="6"/>
  <c r="X369" i="10"/>
  <c r="AZ369" i="10"/>
  <c r="T254" i="6"/>
  <c r="X369" i="11"/>
  <c r="AZ369" i="11"/>
  <c r="X254" i="6"/>
  <c r="X369" i="12"/>
  <c r="AZ369" i="12"/>
  <c r="AB254" i="6"/>
  <c r="X369" i="13"/>
  <c r="AZ369" i="13"/>
  <c r="AF254" i="6"/>
  <c r="G437" i="6"/>
  <c r="W605" i="8"/>
  <c r="AT605" i="8"/>
  <c r="K437" i="6"/>
  <c r="W605" i="9"/>
  <c r="AT605" i="9"/>
  <c r="O437" i="6"/>
  <c r="W605" i="10"/>
  <c r="AT605" i="10"/>
  <c r="S437" i="6"/>
  <c r="W605" i="11"/>
  <c r="AT605" i="11"/>
  <c r="W437" i="6"/>
  <c r="W605" i="12"/>
  <c r="AT605" i="12"/>
  <c r="AA437" i="6"/>
  <c r="W605" i="13"/>
  <c r="AT605" i="13"/>
  <c r="AE437" i="6"/>
  <c r="X605" i="2"/>
  <c r="AZ605" i="2"/>
  <c r="H437" i="6"/>
  <c r="X605" i="8"/>
  <c r="AZ605" i="8"/>
  <c r="L437" i="6"/>
  <c r="M437" i="6" s="1"/>
  <c r="X605" i="9"/>
  <c r="AZ605" i="9"/>
  <c r="P437" i="6"/>
  <c r="X605" i="10"/>
  <c r="AZ605" i="10"/>
  <c r="T437" i="6"/>
  <c r="X605" i="11"/>
  <c r="AZ605" i="11"/>
  <c r="X437" i="6"/>
  <c r="X605" i="12"/>
  <c r="AZ605" i="12"/>
  <c r="AB437" i="6"/>
  <c r="X605" i="13"/>
  <c r="AZ605" i="13"/>
  <c r="AF437" i="6"/>
  <c r="AB603" i="2"/>
  <c r="AX603" i="2"/>
  <c r="AX603" i="8"/>
  <c r="L435" i="6"/>
  <c r="AX603" i="9"/>
  <c r="P435" i="6"/>
  <c r="AX603" i="10"/>
  <c r="T435" i="6"/>
  <c r="AX603" i="11"/>
  <c r="X435" i="6"/>
  <c r="AX603" i="12"/>
  <c r="AB435" i="6"/>
  <c r="AX603" i="13"/>
  <c r="AF435" i="6"/>
  <c r="W603" i="2"/>
  <c r="AR603" i="2"/>
  <c r="W603" i="8"/>
  <c r="AR603" i="8"/>
  <c r="K435" i="6"/>
  <c r="W603" i="9"/>
  <c r="AR603" i="9"/>
  <c r="O435" i="6"/>
  <c r="W603" i="10"/>
  <c r="AR603" i="10"/>
  <c r="S435" i="6"/>
  <c r="W603" i="11"/>
  <c r="AR603" i="11"/>
  <c r="W435" i="6"/>
  <c r="W603" i="12"/>
  <c r="AR603" i="12"/>
  <c r="AA435" i="6"/>
  <c r="W603" i="13"/>
  <c r="AR603" i="13"/>
  <c r="AE435" i="6"/>
  <c r="AA602" i="2"/>
  <c r="AW602" i="2"/>
  <c r="AW602" i="8"/>
  <c r="L434" i="6"/>
  <c r="AW602" i="9"/>
  <c r="P434" i="6"/>
  <c r="AW602" i="10"/>
  <c r="T434" i="6"/>
  <c r="AW602" i="11"/>
  <c r="X434" i="6"/>
  <c r="AW602" i="12"/>
  <c r="AB434" i="6"/>
  <c r="AW602" i="13"/>
  <c r="AF434" i="6"/>
  <c r="W602" i="2"/>
  <c r="AQ602" i="2"/>
  <c r="W602" i="8"/>
  <c r="AQ602" i="8"/>
  <c r="K434" i="6"/>
  <c r="W602" i="9"/>
  <c r="AQ602" i="9"/>
  <c r="O434" i="6"/>
  <c r="W602" i="10"/>
  <c r="AQ602" i="10"/>
  <c r="S434" i="6"/>
  <c r="W602" i="11"/>
  <c r="AQ602" i="11"/>
  <c r="W434" i="6"/>
  <c r="W602" i="12"/>
  <c r="AQ602" i="12"/>
  <c r="AA434" i="6"/>
  <c r="W602" i="13"/>
  <c r="AQ602" i="13"/>
  <c r="AE434" i="6"/>
  <c r="W601" i="2"/>
  <c r="AT601" i="2"/>
  <c r="G433" i="6"/>
  <c r="W601" i="8"/>
  <c r="AT601" i="8"/>
  <c r="K433" i="6"/>
  <c r="W601" i="9"/>
  <c r="AT601" i="9"/>
  <c r="O433" i="6"/>
  <c r="W601" i="10"/>
  <c r="AT601" i="10"/>
  <c r="S433" i="6"/>
  <c r="W601" i="11"/>
  <c r="AT601" i="11"/>
  <c r="W433" i="6"/>
  <c r="W601" i="12"/>
  <c r="AT601" i="12"/>
  <c r="AA433" i="6"/>
  <c r="W601" i="13"/>
  <c r="AT601" i="13"/>
  <c r="AE433" i="6"/>
  <c r="X601" i="2"/>
  <c r="AZ601" i="2"/>
  <c r="H433" i="6"/>
  <c r="X601" i="8"/>
  <c r="AZ601" i="8"/>
  <c r="L433" i="6"/>
  <c r="X601" i="9"/>
  <c r="AZ601" i="9"/>
  <c r="P433" i="6"/>
  <c r="X601" i="10"/>
  <c r="AZ601" i="10"/>
  <c r="T433" i="6"/>
  <c r="U433" i="6" s="1"/>
  <c r="X601" i="11"/>
  <c r="AZ601" i="11"/>
  <c r="X433" i="6"/>
  <c r="X601" i="12"/>
  <c r="AZ601" i="12"/>
  <c r="AB433" i="6"/>
  <c r="X601" i="13"/>
  <c r="AZ601" i="13"/>
  <c r="AF433" i="6"/>
  <c r="G432" i="6"/>
  <c r="W600" i="8"/>
  <c r="AT600" i="8"/>
  <c r="K432" i="6"/>
  <c r="W600" i="9"/>
  <c r="AT600" i="9"/>
  <c r="O432" i="6"/>
  <c r="W600" i="10"/>
  <c r="AT600" i="10"/>
  <c r="S432" i="6"/>
  <c r="W600" i="11"/>
  <c r="AT600" i="11"/>
  <c r="W432" i="6"/>
  <c r="W600" i="12"/>
  <c r="AT600" i="12"/>
  <c r="AA432" i="6"/>
  <c r="W600" i="13"/>
  <c r="AT600" i="13"/>
  <c r="AE432" i="6"/>
  <c r="X600" i="2"/>
  <c r="AZ600" i="2"/>
  <c r="H432" i="6"/>
  <c r="X600" i="8"/>
  <c r="AZ600" i="8"/>
  <c r="L432" i="6"/>
  <c r="X600" i="9"/>
  <c r="AZ600" i="9"/>
  <c r="P432" i="6"/>
  <c r="X600" i="10"/>
  <c r="AZ600" i="10"/>
  <c r="T432" i="6"/>
  <c r="X600" i="11"/>
  <c r="AZ600" i="11"/>
  <c r="X432" i="6"/>
  <c r="X600" i="12"/>
  <c r="AZ600" i="12"/>
  <c r="AB432" i="6"/>
  <c r="X600" i="13"/>
  <c r="AZ600" i="13"/>
  <c r="AF432" i="6"/>
  <c r="AG406" i="6"/>
  <c r="AG407" i="6" s="1"/>
  <c r="AF406" i="6"/>
  <c r="AF407" i="6" s="1"/>
  <c r="AE406" i="6"/>
  <c r="AE407" i="6" s="1"/>
  <c r="AC406" i="6"/>
  <c r="AC407" i="6" s="1"/>
  <c r="AB406" i="6"/>
  <c r="AB407" i="6" s="1"/>
  <c r="AA406" i="6"/>
  <c r="AA407" i="6" s="1"/>
  <c r="Y406" i="6"/>
  <c r="Y407" i="6" s="1"/>
  <c r="X406" i="6"/>
  <c r="W406" i="6"/>
  <c r="U406" i="6"/>
  <c r="U407" i="6" s="1"/>
  <c r="T406" i="6"/>
  <c r="T407" i="6" s="1"/>
  <c r="S406" i="6"/>
  <c r="S407" i="6" s="1"/>
  <c r="O406" i="6"/>
  <c r="O407" i="6" s="1"/>
  <c r="Q406" i="6"/>
  <c r="Q407" i="6" s="1"/>
  <c r="P406" i="6"/>
  <c r="P407" i="6" s="1"/>
  <c r="M406" i="6"/>
  <c r="M407" i="6" s="1"/>
  <c r="L406" i="6"/>
  <c r="K406" i="6"/>
  <c r="K407" i="6" s="1"/>
  <c r="I406" i="6"/>
  <c r="H406" i="6"/>
  <c r="H407" i="6" s="1"/>
  <c r="G406" i="6"/>
  <c r="G407" i="6" s="1"/>
  <c r="G212" i="6"/>
  <c r="W322" i="8"/>
  <c r="AT322" i="8"/>
  <c r="K212" i="6"/>
  <c r="W322" i="9"/>
  <c r="AT322" i="9"/>
  <c r="O212" i="6"/>
  <c r="W322" i="10"/>
  <c r="AT322" i="10"/>
  <c r="S212" i="6"/>
  <c r="W322" i="11"/>
  <c r="AT322" i="11"/>
  <c r="W212" i="6"/>
  <c r="W322" i="12"/>
  <c r="AT322" i="12"/>
  <c r="AA212" i="6"/>
  <c r="W322" i="13"/>
  <c r="AT322" i="13"/>
  <c r="AE212" i="6"/>
  <c r="H212" i="6"/>
  <c r="X322" i="8"/>
  <c r="AZ322" i="8"/>
  <c r="L212" i="6"/>
  <c r="X322" i="9"/>
  <c r="AZ322" i="9"/>
  <c r="P212" i="6"/>
  <c r="X322" i="10"/>
  <c r="AZ322" i="10"/>
  <c r="T212" i="6"/>
  <c r="X322" i="11"/>
  <c r="AZ322" i="11"/>
  <c r="X212" i="6"/>
  <c r="X322" i="12"/>
  <c r="AZ322" i="12"/>
  <c r="AB212" i="6"/>
  <c r="X322" i="13"/>
  <c r="AZ322" i="13"/>
  <c r="AF212" i="6"/>
  <c r="AC206" i="6"/>
  <c r="U211" i="6"/>
  <c r="M206" i="6"/>
  <c r="M212" i="6"/>
  <c r="AF455" i="6"/>
  <c r="AE455" i="6"/>
  <c r="AF454" i="6"/>
  <c r="AF456" i="6" s="1"/>
  <c r="AE454" i="6"/>
  <c r="X619" i="13"/>
  <c r="AF450" i="6"/>
  <c r="W619" i="13"/>
  <c r="AE450" i="6"/>
  <c r="AG450" i="6" s="1"/>
  <c r="X618" i="13"/>
  <c r="AF449" i="6"/>
  <c r="W618" i="13"/>
  <c r="AE449" i="6"/>
  <c r="AG449" i="6" s="1"/>
  <c r="X617" i="13"/>
  <c r="AF448" i="6"/>
  <c r="W617" i="13"/>
  <c r="AE448" i="6"/>
  <c r="AG448" i="6" s="1"/>
  <c r="X616" i="13"/>
  <c r="AF447" i="6"/>
  <c r="W616" i="13"/>
  <c r="AE447" i="6"/>
  <c r="AG447" i="6" s="1"/>
  <c r="X615" i="13"/>
  <c r="AF446" i="6"/>
  <c r="W615" i="13"/>
  <c r="AE446" i="6"/>
  <c r="X614" i="13"/>
  <c r="AF445" i="6"/>
  <c r="W614" i="13"/>
  <c r="AE445" i="6"/>
  <c r="AG445" i="6" s="1"/>
  <c r="X613" i="13"/>
  <c r="AF444" i="6"/>
  <c r="W613" i="13"/>
  <c r="AE444" i="6"/>
  <c r="AG444" i="6" s="1"/>
  <c r="X612" i="13"/>
  <c r="AF443" i="6"/>
  <c r="W612" i="13"/>
  <c r="AE443" i="6"/>
  <c r="AG443" i="6" s="1"/>
  <c r="X611" i="13"/>
  <c r="AF442" i="6"/>
  <c r="W611" i="13"/>
  <c r="AE442" i="6"/>
  <c r="X596" i="13"/>
  <c r="AF429" i="6"/>
  <c r="W596" i="13"/>
  <c r="AE429" i="6"/>
  <c r="AG429" i="6" s="1"/>
  <c r="X595" i="13"/>
  <c r="AF428" i="6"/>
  <c r="W595" i="13"/>
  <c r="AE428" i="6"/>
  <c r="X594" i="13"/>
  <c r="AF427" i="6"/>
  <c r="W594" i="13"/>
  <c r="AE427" i="6"/>
  <c r="AG427" i="6" s="1"/>
  <c r="X593" i="13"/>
  <c r="AF426" i="6"/>
  <c r="W593" i="13"/>
  <c r="AE426" i="6"/>
  <c r="AG426" i="6" s="1"/>
  <c r="X592" i="13"/>
  <c r="AF425" i="6"/>
  <c r="AF430" i="6" s="1"/>
  <c r="W592" i="13"/>
  <c r="AE425" i="6"/>
  <c r="X588" i="13"/>
  <c r="AF422" i="6"/>
  <c r="W588" i="13"/>
  <c r="AE422" i="6"/>
  <c r="AG422" i="6" s="1"/>
  <c r="X587" i="13"/>
  <c r="AF421" i="6"/>
  <c r="W587" i="13"/>
  <c r="AE421" i="6"/>
  <c r="X586" i="13"/>
  <c r="AF420" i="6"/>
  <c r="W586" i="13"/>
  <c r="AE420" i="6"/>
  <c r="AG420" i="6" s="1"/>
  <c r="X585" i="13"/>
  <c r="AF419" i="6"/>
  <c r="W585" i="13"/>
  <c r="AE419" i="6"/>
  <c r="AG419" i="6" s="1"/>
  <c r="X584" i="13"/>
  <c r="AF418" i="6"/>
  <c r="W584" i="13"/>
  <c r="AE418" i="6"/>
  <c r="X583" i="13"/>
  <c r="AF417" i="6"/>
  <c r="AF423" i="6" s="1"/>
  <c r="W583" i="13"/>
  <c r="AE417" i="6"/>
  <c r="AG417" i="6" s="1"/>
  <c r="X579" i="13"/>
  <c r="AF414" i="6"/>
  <c r="W579" i="13"/>
  <c r="AE414" i="6"/>
  <c r="AG414" i="6" s="1"/>
  <c r="X578" i="13"/>
  <c r="AF413" i="6"/>
  <c r="W578" i="13"/>
  <c r="AE413" i="6"/>
  <c r="X577" i="13"/>
  <c r="AF412" i="6"/>
  <c r="W577" i="13"/>
  <c r="AE412" i="6"/>
  <c r="AF404" i="6"/>
  <c r="AE404" i="6"/>
  <c r="AF403" i="6"/>
  <c r="AE403" i="6"/>
  <c r="AF402" i="6"/>
  <c r="AE402" i="6"/>
  <c r="AF388" i="6"/>
  <c r="AF167" i="23" s="1"/>
  <c r="AE388" i="6"/>
  <c r="AF387" i="6"/>
  <c r="AE387" i="6"/>
  <c r="AF386" i="6"/>
  <c r="AE386" i="6"/>
  <c r="AF383" i="6"/>
  <c r="AE383" i="6"/>
  <c r="AF382" i="6"/>
  <c r="AF161" i="23" s="1"/>
  <c r="AE382" i="6"/>
  <c r="AF381" i="6"/>
  <c r="AE381" i="6"/>
  <c r="AF380" i="6"/>
  <c r="AF159" i="23" s="1"/>
  <c r="AE380" i="6"/>
  <c r="AF379" i="6"/>
  <c r="AE379" i="6"/>
  <c r="AF378" i="6"/>
  <c r="AF157" i="23" s="1"/>
  <c r="AE378" i="6"/>
  <c r="AF377" i="6"/>
  <c r="AE377" i="6"/>
  <c r="AF376" i="6"/>
  <c r="AF155" i="23" s="1"/>
  <c r="AE376" i="6"/>
  <c r="AF375" i="6"/>
  <c r="AE375" i="6"/>
  <c r="AF374" i="6"/>
  <c r="AF153" i="23" s="1"/>
  <c r="AE374" i="6"/>
  <c r="AF373" i="6"/>
  <c r="AE373" i="6"/>
  <c r="AF370" i="6"/>
  <c r="AF149" i="23" s="1"/>
  <c r="AE370" i="6"/>
  <c r="AF369" i="6"/>
  <c r="AE369" i="6"/>
  <c r="AF368" i="6"/>
  <c r="AF147" i="23" s="1"/>
  <c r="AE368" i="6"/>
  <c r="AF367" i="6"/>
  <c r="AE367" i="6"/>
  <c r="AF364" i="6"/>
  <c r="AF143" i="23" s="1"/>
  <c r="AE364" i="6"/>
  <c r="AF363" i="6"/>
  <c r="AE363" i="6"/>
  <c r="AF362" i="6"/>
  <c r="AF141" i="23" s="1"/>
  <c r="AE362" i="6"/>
  <c r="AF361" i="6"/>
  <c r="AE361" i="6"/>
  <c r="AF356" i="6"/>
  <c r="AE356" i="6"/>
  <c r="AF353" i="6"/>
  <c r="AE353" i="6"/>
  <c r="AF350" i="6"/>
  <c r="AE350" i="6"/>
  <c r="AF349" i="6"/>
  <c r="AE349" i="6"/>
  <c r="AF348" i="6"/>
  <c r="AE348" i="6"/>
  <c r="AF347" i="6"/>
  <c r="AE347" i="6"/>
  <c r="AF346" i="6"/>
  <c r="AE346" i="6"/>
  <c r="AF345" i="6"/>
  <c r="AE345" i="6"/>
  <c r="AF344" i="6"/>
  <c r="AE344" i="6"/>
  <c r="AF343" i="6"/>
  <c r="AE343" i="6"/>
  <c r="AF340" i="6"/>
  <c r="AE340" i="6"/>
  <c r="AF339" i="6"/>
  <c r="BO339" i="6" s="1"/>
  <c r="AE339" i="6"/>
  <c r="BG339" i="6" s="1"/>
  <c r="AF338" i="6"/>
  <c r="AE338" i="6"/>
  <c r="AF337" i="6"/>
  <c r="BO337" i="6" s="1"/>
  <c r="AE337" i="6"/>
  <c r="BG337" i="6" s="1"/>
  <c r="AF336" i="6"/>
  <c r="AE336" i="6"/>
  <c r="AF335" i="6"/>
  <c r="AE335" i="6"/>
  <c r="AF332" i="6"/>
  <c r="AE332" i="6"/>
  <c r="AF331" i="6"/>
  <c r="AE331" i="6"/>
  <c r="AF330" i="6"/>
  <c r="AE330" i="6"/>
  <c r="AF327" i="6"/>
  <c r="AE327" i="6"/>
  <c r="AF326" i="6"/>
  <c r="AE326" i="6"/>
  <c r="AF325" i="6"/>
  <c r="AE325" i="6"/>
  <c r="AF324" i="6"/>
  <c r="AE324" i="6"/>
  <c r="AF323" i="6"/>
  <c r="AE323" i="6"/>
  <c r="AF319" i="6"/>
  <c r="AE319" i="6"/>
  <c r="AF318" i="6"/>
  <c r="AE318" i="6"/>
  <c r="AF317" i="6"/>
  <c r="AE317" i="6"/>
  <c r="AF316" i="6"/>
  <c r="AE316" i="6"/>
  <c r="AF315" i="6"/>
  <c r="AE315" i="6"/>
  <c r="AF314" i="6"/>
  <c r="AE314" i="6"/>
  <c r="AF313" i="6"/>
  <c r="AE313" i="6"/>
  <c r="AF312" i="6"/>
  <c r="AE312" i="6"/>
  <c r="AF309" i="6"/>
  <c r="AE309" i="6"/>
  <c r="AF308" i="6"/>
  <c r="BO308" i="6" s="1"/>
  <c r="AE308" i="6"/>
  <c r="BG308" i="6" s="1"/>
  <c r="AF307" i="6"/>
  <c r="AE307" i="6"/>
  <c r="AF306" i="6"/>
  <c r="BO306" i="6" s="1"/>
  <c r="AE306" i="6"/>
  <c r="BG306" i="6" s="1"/>
  <c r="AF305" i="6"/>
  <c r="AF310" i="6" s="1"/>
  <c r="AE305" i="6"/>
  <c r="AF304" i="6"/>
  <c r="AE304" i="6"/>
  <c r="AF301" i="6"/>
  <c r="AE301" i="6"/>
  <c r="AF300" i="6"/>
  <c r="AE300" i="6"/>
  <c r="AF299" i="6"/>
  <c r="AE299" i="6"/>
  <c r="AF298" i="6"/>
  <c r="AE298" i="6"/>
  <c r="AF297" i="6"/>
  <c r="AE297" i="6"/>
  <c r="AF296" i="6"/>
  <c r="AE296" i="6"/>
  <c r="AF290" i="6"/>
  <c r="AE290" i="6"/>
  <c r="AF289" i="6"/>
  <c r="AE289" i="6"/>
  <c r="AF288" i="6"/>
  <c r="AE288" i="6"/>
  <c r="AF287" i="6"/>
  <c r="AE287" i="6"/>
  <c r="AF286" i="6"/>
  <c r="AE286" i="6"/>
  <c r="AF279" i="6"/>
  <c r="AE279" i="6"/>
  <c r="AF278" i="6"/>
  <c r="AE278" i="6"/>
  <c r="AF277" i="6"/>
  <c r="AE277" i="6"/>
  <c r="AF276" i="6"/>
  <c r="AE276" i="6"/>
  <c r="AF275" i="6"/>
  <c r="AE275" i="6"/>
  <c r="AF274" i="6"/>
  <c r="AE274" i="6"/>
  <c r="AF273" i="6"/>
  <c r="AE273" i="6"/>
  <c r="AF272" i="6"/>
  <c r="AE272" i="6"/>
  <c r="AF271" i="6"/>
  <c r="AE271" i="6"/>
  <c r="AF270" i="6"/>
  <c r="AE270" i="6"/>
  <c r="AF269" i="6"/>
  <c r="AE269" i="6"/>
  <c r="AF268" i="6"/>
  <c r="AE268" i="6"/>
  <c r="AF267" i="6"/>
  <c r="AE267" i="6"/>
  <c r="AF266" i="6"/>
  <c r="AE266" i="6"/>
  <c r="AF264" i="6"/>
  <c r="AE264" i="6"/>
  <c r="AF263" i="6"/>
  <c r="AE263" i="6"/>
  <c r="AF262" i="6"/>
  <c r="AE262" i="6"/>
  <c r="AY367" i="13"/>
  <c r="AF252" i="6"/>
  <c r="W367" i="13"/>
  <c r="AS367" i="13"/>
  <c r="AE252" i="6"/>
  <c r="AX366" i="13"/>
  <c r="AF251" i="6"/>
  <c r="W366" i="13"/>
  <c r="AR366" i="13"/>
  <c r="AE251" i="6"/>
  <c r="AW365" i="13"/>
  <c r="AF250" i="6"/>
  <c r="W365" i="13"/>
  <c r="AQ365" i="13"/>
  <c r="AE250" i="6"/>
  <c r="X357" i="13"/>
  <c r="AF243" i="6"/>
  <c r="W357" i="13"/>
  <c r="AE243" i="6"/>
  <c r="X353" i="13"/>
  <c r="AF240" i="6"/>
  <c r="W353" i="13"/>
  <c r="AE240" i="6"/>
  <c r="X352" i="13"/>
  <c r="AF239" i="6"/>
  <c r="AG239" i="6" s="1"/>
  <c r="W352" i="13"/>
  <c r="AE239" i="6"/>
  <c r="X351" i="13"/>
  <c r="AF238" i="6"/>
  <c r="AG238" i="6" s="1"/>
  <c r="W351" i="13"/>
  <c r="AE238" i="6"/>
  <c r="X350" i="13"/>
  <c r="AF237" i="6"/>
  <c r="W350" i="13"/>
  <c r="AE237" i="6"/>
  <c r="X349" i="13"/>
  <c r="AF236" i="6"/>
  <c r="AG236" i="6" s="1"/>
  <c r="W349" i="13"/>
  <c r="AE236" i="6"/>
  <c r="X348" i="13"/>
  <c r="AF235" i="6"/>
  <c r="AG235" i="6" s="1"/>
  <c r="W348" i="13"/>
  <c r="AE235" i="6"/>
  <c r="X347" i="13"/>
  <c r="AF234" i="6"/>
  <c r="AG234" i="6" s="1"/>
  <c r="W347" i="13"/>
  <c r="AE234" i="6"/>
  <c r="X346" i="13"/>
  <c r="AF233" i="6"/>
  <c r="W346" i="13"/>
  <c r="AE233" i="6"/>
  <c r="X342" i="13"/>
  <c r="AZ342" i="13"/>
  <c r="AF230" i="6"/>
  <c r="W342" i="13"/>
  <c r="AT342" i="13"/>
  <c r="AE230" i="6"/>
  <c r="X341" i="13"/>
  <c r="AZ341" i="13"/>
  <c r="AF229" i="6"/>
  <c r="W341" i="13"/>
  <c r="AT341" i="13"/>
  <c r="AE229" i="6"/>
  <c r="AY340" i="13"/>
  <c r="AF228" i="6"/>
  <c r="W340" i="13"/>
  <c r="AS340" i="13"/>
  <c r="AE228" i="6"/>
  <c r="AX339" i="13"/>
  <c r="AF227" i="6"/>
  <c r="W339" i="13"/>
  <c r="AR339" i="13"/>
  <c r="AE227" i="6"/>
  <c r="AW338" i="13"/>
  <c r="AF226" i="6"/>
  <c r="W338" i="13"/>
  <c r="AQ338" i="13"/>
  <c r="AE226" i="6"/>
  <c r="X337" i="13"/>
  <c r="AZ337" i="13"/>
  <c r="AF225" i="6"/>
  <c r="W337" i="13"/>
  <c r="AT337" i="13"/>
  <c r="AE225" i="6"/>
  <c r="X336" i="13"/>
  <c r="AZ336" i="13"/>
  <c r="AF224" i="6"/>
  <c r="W336" i="13"/>
  <c r="AT336" i="13"/>
  <c r="AE224" i="6"/>
  <c r="X332" i="13"/>
  <c r="AZ332" i="13"/>
  <c r="AF221" i="6"/>
  <c r="W332" i="13"/>
  <c r="AT332" i="13"/>
  <c r="AE221" i="6"/>
  <c r="X331" i="13"/>
  <c r="AZ331" i="13"/>
  <c r="AF220" i="6"/>
  <c r="W331" i="13"/>
  <c r="AT331" i="13"/>
  <c r="AE220" i="6"/>
  <c r="AY330" i="13"/>
  <c r="AF219" i="6"/>
  <c r="W330" i="13"/>
  <c r="AS330" i="13"/>
  <c r="AE219" i="6"/>
  <c r="AX329" i="13"/>
  <c r="AF218" i="6"/>
  <c r="W329" i="13"/>
  <c r="AR329" i="13"/>
  <c r="AE218" i="6"/>
  <c r="AW328" i="13"/>
  <c r="AF217" i="6"/>
  <c r="W328" i="13"/>
  <c r="AQ328" i="13"/>
  <c r="AE217" i="6"/>
  <c r="X327" i="13"/>
  <c r="AZ327" i="13"/>
  <c r="AF216" i="6"/>
  <c r="W327" i="13"/>
  <c r="AT327" i="13"/>
  <c r="AE216" i="6"/>
  <c r="X326" i="13"/>
  <c r="AZ326" i="13"/>
  <c r="AF215" i="6"/>
  <c r="W326" i="13"/>
  <c r="AT326" i="13"/>
  <c r="AE215" i="6"/>
  <c r="AY320" i="13"/>
  <c r="AF210" i="6"/>
  <c r="AS320" i="13"/>
  <c r="AE210" i="6"/>
  <c r="AX319" i="13"/>
  <c r="AF209" i="6"/>
  <c r="AR319" i="13"/>
  <c r="AE209" i="6"/>
  <c r="AW318" i="13"/>
  <c r="AF208" i="6"/>
  <c r="AQ318" i="13"/>
  <c r="AE208" i="6"/>
  <c r="AF168" i="6"/>
  <c r="AE168" i="6"/>
  <c r="AF167" i="6"/>
  <c r="AE167" i="6"/>
  <c r="AF166" i="6"/>
  <c r="AE166" i="6"/>
  <c r="AF165" i="6"/>
  <c r="AE165" i="6"/>
  <c r="AF161" i="6"/>
  <c r="AE161" i="6"/>
  <c r="AF160" i="6"/>
  <c r="AE160" i="6"/>
  <c r="AG160" i="6" s="1"/>
  <c r="AF159" i="6"/>
  <c r="AE159" i="6"/>
  <c r="AF158" i="6"/>
  <c r="AE158" i="6"/>
  <c r="AF157" i="6"/>
  <c r="AE157" i="6"/>
  <c r="AF156" i="6"/>
  <c r="AE156" i="6"/>
  <c r="AF155" i="6"/>
  <c r="AE155" i="6"/>
  <c r="AF154" i="6"/>
  <c r="AE154" i="6"/>
  <c r="AE162" i="6" s="1"/>
  <c r="AF150" i="6"/>
  <c r="AE150" i="6"/>
  <c r="AF149" i="6"/>
  <c r="AE149" i="6"/>
  <c r="AF148" i="6"/>
  <c r="AE148" i="6"/>
  <c r="AF147" i="6"/>
  <c r="AE147" i="6"/>
  <c r="AF146" i="6"/>
  <c r="AE146" i="6"/>
  <c r="X165" i="13"/>
  <c r="AF143" i="6"/>
  <c r="W165" i="13"/>
  <c r="AE143" i="6"/>
  <c r="X164" i="13"/>
  <c r="AF142" i="6"/>
  <c r="AF144" i="6" s="1"/>
  <c r="W164" i="13"/>
  <c r="AE142" i="6"/>
  <c r="X160" i="13"/>
  <c r="AF139" i="6"/>
  <c r="AG139" i="6" s="1"/>
  <c r="W160" i="13"/>
  <c r="AE139" i="6"/>
  <c r="X159" i="13"/>
  <c r="AF138" i="6"/>
  <c r="AG138" i="6" s="1"/>
  <c r="W159" i="13"/>
  <c r="AE138" i="6"/>
  <c r="X158" i="13"/>
  <c r="AF137" i="6"/>
  <c r="W158" i="13"/>
  <c r="AE137" i="6"/>
  <c r="X157" i="13"/>
  <c r="AF136" i="6"/>
  <c r="AG136" i="6" s="1"/>
  <c r="W157" i="13"/>
  <c r="AE136" i="6"/>
  <c r="X156" i="13"/>
  <c r="AF135" i="6"/>
  <c r="AG135" i="6" s="1"/>
  <c r="W156" i="13"/>
  <c r="AE135" i="6"/>
  <c r="X155" i="13"/>
  <c r="AF134" i="6"/>
  <c r="W155" i="13"/>
  <c r="AE134" i="6"/>
  <c r="AE189" i="6" s="1"/>
  <c r="AF131" i="6"/>
  <c r="AE131" i="6"/>
  <c r="AF130" i="6"/>
  <c r="AE130" i="6"/>
  <c r="AF75" i="6"/>
  <c r="AE75" i="6"/>
  <c r="AF74" i="6"/>
  <c r="AE74" i="6"/>
  <c r="AF73" i="6"/>
  <c r="AE73" i="6"/>
  <c r="AF72" i="6"/>
  <c r="AE72" i="6"/>
  <c r="AF71" i="6"/>
  <c r="AE71" i="6"/>
  <c r="AF68" i="6"/>
  <c r="AE68" i="6"/>
  <c r="AF67" i="6"/>
  <c r="AE67" i="6"/>
  <c r="AF66" i="6"/>
  <c r="AE66" i="6"/>
  <c r="AF65" i="6"/>
  <c r="AE65" i="6"/>
  <c r="AF46" i="6"/>
  <c r="AE46" i="6"/>
  <c r="AF45" i="6"/>
  <c r="AE45" i="6"/>
  <c r="AF44" i="6"/>
  <c r="AE44" i="6"/>
  <c r="AF38" i="6"/>
  <c r="AE38" i="6"/>
  <c r="AF27" i="6"/>
  <c r="AE27" i="6"/>
  <c r="AF26" i="6"/>
  <c r="AE26" i="6"/>
  <c r="AF25" i="6"/>
  <c r="AE25" i="6"/>
  <c r="W346" i="2"/>
  <c r="G233" i="6"/>
  <c r="W346" i="8"/>
  <c r="K233" i="6"/>
  <c r="W346" i="9"/>
  <c r="O233" i="6"/>
  <c r="W346" i="10"/>
  <c r="S233" i="6"/>
  <c r="W346" i="11"/>
  <c r="W233" i="6"/>
  <c r="W346" i="12"/>
  <c r="AA233" i="6"/>
  <c r="X346" i="2"/>
  <c r="H233" i="6"/>
  <c r="X346" i="8"/>
  <c r="L233" i="6"/>
  <c r="X346" i="9"/>
  <c r="P233" i="6"/>
  <c r="X346" i="10"/>
  <c r="T233" i="6"/>
  <c r="X346" i="11"/>
  <c r="X233" i="6"/>
  <c r="X346" i="12"/>
  <c r="AB233" i="6"/>
  <c r="W347" i="2"/>
  <c r="G234" i="6"/>
  <c r="W347" i="8"/>
  <c r="K234" i="6"/>
  <c r="W347" i="9"/>
  <c r="O234" i="6"/>
  <c r="W347" i="10"/>
  <c r="S234" i="6"/>
  <c r="W347" i="11"/>
  <c r="W234" i="6"/>
  <c r="W347" i="12"/>
  <c r="AA234" i="6"/>
  <c r="X347" i="2"/>
  <c r="H234" i="6"/>
  <c r="X347" i="8"/>
  <c r="L234" i="6"/>
  <c r="X347" i="9"/>
  <c r="P234" i="6"/>
  <c r="X347" i="10"/>
  <c r="T234" i="6"/>
  <c r="X347" i="11"/>
  <c r="X234" i="6"/>
  <c r="X347" i="12"/>
  <c r="AB234" i="6"/>
  <c r="W348" i="2"/>
  <c r="G235" i="6"/>
  <c r="W348" i="8"/>
  <c r="K235" i="6"/>
  <c r="W348" i="9"/>
  <c r="O235" i="6"/>
  <c r="W348" i="10"/>
  <c r="S235" i="6"/>
  <c r="W348" i="11"/>
  <c r="W235" i="6"/>
  <c r="W348" i="12"/>
  <c r="AA235" i="6"/>
  <c r="X348" i="2"/>
  <c r="H235" i="6"/>
  <c r="X348" i="8"/>
  <c r="L235" i="6"/>
  <c r="X348" i="9"/>
  <c r="P235" i="6"/>
  <c r="Q235" i="6" s="1"/>
  <c r="X348" i="10"/>
  <c r="T235" i="6"/>
  <c r="X348" i="11"/>
  <c r="X235" i="6"/>
  <c r="Y235" i="6" s="1"/>
  <c r="X348" i="12"/>
  <c r="AB235" i="6"/>
  <c r="W349" i="2"/>
  <c r="G236" i="6"/>
  <c r="W349" i="8"/>
  <c r="K236" i="6"/>
  <c r="W349" i="9"/>
  <c r="O236" i="6"/>
  <c r="W349" i="10"/>
  <c r="S236" i="6"/>
  <c r="W349" i="11"/>
  <c r="W236" i="6"/>
  <c r="W349" i="12"/>
  <c r="AA236" i="6"/>
  <c r="X349" i="2"/>
  <c r="H236" i="6"/>
  <c r="X349" i="8"/>
  <c r="L236" i="6"/>
  <c r="X349" i="9"/>
  <c r="P236" i="6"/>
  <c r="X349" i="10"/>
  <c r="T236" i="6"/>
  <c r="X349" i="11"/>
  <c r="X236" i="6"/>
  <c r="X349" i="12"/>
  <c r="AB236" i="6"/>
  <c r="W350" i="2"/>
  <c r="G237" i="6"/>
  <c r="W350" i="8"/>
  <c r="K237" i="6"/>
  <c r="W350" i="9"/>
  <c r="O237" i="6"/>
  <c r="W350" i="10"/>
  <c r="S237" i="6"/>
  <c r="W350" i="11"/>
  <c r="W237" i="6"/>
  <c r="W350" i="12"/>
  <c r="AA237" i="6"/>
  <c r="X350" i="2"/>
  <c r="H237" i="6"/>
  <c r="X350" i="8"/>
  <c r="L237" i="6"/>
  <c r="X350" i="9"/>
  <c r="P237" i="6"/>
  <c r="Q237" i="6" s="1"/>
  <c r="X350" i="10"/>
  <c r="T237" i="6"/>
  <c r="X350" i="11"/>
  <c r="X237" i="6"/>
  <c r="Y237" i="6" s="1"/>
  <c r="X350" i="12"/>
  <c r="AB237" i="6"/>
  <c r="W351" i="2"/>
  <c r="G238" i="6"/>
  <c r="W351" i="8"/>
  <c r="K238" i="6"/>
  <c r="W351" i="9"/>
  <c r="O238" i="6"/>
  <c r="W351" i="10"/>
  <c r="S238" i="6"/>
  <c r="W351" i="11"/>
  <c r="W238" i="6"/>
  <c r="W351" i="12"/>
  <c r="AA238" i="6"/>
  <c r="X351" i="2"/>
  <c r="H238" i="6"/>
  <c r="X351" i="8"/>
  <c r="L238" i="6"/>
  <c r="X351" i="9"/>
  <c r="P238" i="6"/>
  <c r="X351" i="10"/>
  <c r="T238" i="6"/>
  <c r="X351" i="11"/>
  <c r="X238" i="6"/>
  <c r="X351" i="12"/>
  <c r="AB238" i="6"/>
  <c r="W352" i="2"/>
  <c r="G239" i="6"/>
  <c r="W352" i="8"/>
  <c r="K239" i="6"/>
  <c r="W352" i="9"/>
  <c r="O239" i="6"/>
  <c r="W352" i="10"/>
  <c r="S239" i="6"/>
  <c r="W352" i="11"/>
  <c r="W239" i="6"/>
  <c r="W352" i="12"/>
  <c r="AA239" i="6"/>
  <c r="AI239" i="6"/>
  <c r="X352" i="2"/>
  <c r="H239" i="6"/>
  <c r="X352" i="8"/>
  <c r="L239" i="6"/>
  <c r="M239" i="6" s="1"/>
  <c r="X352" i="9"/>
  <c r="P239" i="6"/>
  <c r="Q239" i="6" s="1"/>
  <c r="X352" i="10"/>
  <c r="T239" i="6"/>
  <c r="U239" i="6" s="1"/>
  <c r="X352" i="11"/>
  <c r="X239" i="6"/>
  <c r="X352" i="12"/>
  <c r="AB239" i="6"/>
  <c r="AC239" i="6" s="1"/>
  <c r="W353" i="2"/>
  <c r="G240" i="6"/>
  <c r="W353" i="8"/>
  <c r="K240" i="6"/>
  <c r="W353" i="9"/>
  <c r="O240" i="6"/>
  <c r="W353" i="10"/>
  <c r="S240" i="6"/>
  <c r="W353" i="11"/>
  <c r="W240" i="6"/>
  <c r="W353" i="12"/>
  <c r="AA240" i="6"/>
  <c r="X353" i="2"/>
  <c r="H240" i="6"/>
  <c r="X353" i="8"/>
  <c r="L240" i="6"/>
  <c r="X353" i="9"/>
  <c r="P240" i="6"/>
  <c r="X353" i="10"/>
  <c r="T240" i="6"/>
  <c r="X353" i="11"/>
  <c r="X240" i="6"/>
  <c r="X353" i="12"/>
  <c r="AB240" i="6"/>
  <c r="Y249" i="6"/>
  <c r="I249" i="6"/>
  <c r="I202" i="6"/>
  <c r="H202" i="6"/>
  <c r="BI202" i="6" s="1"/>
  <c r="G202" i="6"/>
  <c r="I201" i="6"/>
  <c r="H201" i="6"/>
  <c r="G201" i="6"/>
  <c r="BA201" i="6" s="1"/>
  <c r="H200" i="6"/>
  <c r="AG198" i="6"/>
  <c r="AF198" i="6"/>
  <c r="BO198" i="6" s="1"/>
  <c r="AE198" i="6"/>
  <c r="BG198" i="6" s="1"/>
  <c r="AC198" i="6"/>
  <c r="AB198" i="6"/>
  <c r="AA198" i="6"/>
  <c r="BF198" i="6" s="1"/>
  <c r="Y198" i="6"/>
  <c r="X198" i="6"/>
  <c r="BM198" i="6" s="1"/>
  <c r="W198" i="6"/>
  <c r="U198" i="6"/>
  <c r="T198" i="6"/>
  <c r="BL198" i="6" s="1"/>
  <c r="S198" i="6"/>
  <c r="BD198" i="6" s="1"/>
  <c r="Q198" i="6"/>
  <c r="P198" i="6"/>
  <c r="BK198" i="6" s="1"/>
  <c r="O198" i="6"/>
  <c r="BC198" i="6" s="1"/>
  <c r="M198" i="6"/>
  <c r="L198" i="6"/>
  <c r="BJ198" i="6" s="1"/>
  <c r="K198" i="6"/>
  <c r="BB198" i="6" s="1"/>
  <c r="I198" i="6"/>
  <c r="H198" i="6"/>
  <c r="BI198" i="6" s="1"/>
  <c r="G198" i="6"/>
  <c r="BA198" i="6" s="1"/>
  <c r="AG197" i="6"/>
  <c r="AF197" i="6"/>
  <c r="BO197" i="6" s="1"/>
  <c r="AE197" i="6"/>
  <c r="BG197" i="6" s="1"/>
  <c r="AC197" i="6"/>
  <c r="AB197" i="6"/>
  <c r="BN197" i="6" s="1"/>
  <c r="AA197" i="6"/>
  <c r="Y197" i="6"/>
  <c r="X197" i="6"/>
  <c r="BM197" i="6" s="1"/>
  <c r="W197" i="6"/>
  <c r="BE197" i="6" s="1"/>
  <c r="U197" i="6"/>
  <c r="T197" i="6"/>
  <c r="BL197" i="6" s="1"/>
  <c r="S197" i="6"/>
  <c r="BD197" i="6" s="1"/>
  <c r="Q197" i="6"/>
  <c r="P197" i="6"/>
  <c r="BK197" i="6" s="1"/>
  <c r="O197" i="6"/>
  <c r="BC197" i="6" s="1"/>
  <c r="M197" i="6"/>
  <c r="L197" i="6"/>
  <c r="BJ197" i="6" s="1"/>
  <c r="K197" i="6"/>
  <c r="BB197" i="6" s="1"/>
  <c r="I197" i="6"/>
  <c r="H197" i="6"/>
  <c r="BI197" i="6" s="1"/>
  <c r="G197" i="6"/>
  <c r="AG196" i="6"/>
  <c r="AF196" i="6"/>
  <c r="AE196" i="6"/>
  <c r="AC196" i="6"/>
  <c r="AB196" i="6"/>
  <c r="BN196" i="6" s="1"/>
  <c r="AA196" i="6"/>
  <c r="Y196" i="6"/>
  <c r="X196" i="6"/>
  <c r="BM196" i="6" s="1"/>
  <c r="W196" i="6"/>
  <c r="BE196" i="6" s="1"/>
  <c r="U196" i="6"/>
  <c r="T196" i="6"/>
  <c r="BL196" i="6" s="1"/>
  <c r="S196" i="6"/>
  <c r="BD196" i="6" s="1"/>
  <c r="Q196" i="6"/>
  <c r="P196" i="6"/>
  <c r="O196" i="6"/>
  <c r="BC196" i="6" s="1"/>
  <c r="M196" i="6"/>
  <c r="L196" i="6"/>
  <c r="BJ196" i="6" s="1"/>
  <c r="K196" i="6"/>
  <c r="I196" i="6"/>
  <c r="H196" i="6"/>
  <c r="BI196" i="6" s="1"/>
  <c r="G196" i="6"/>
  <c r="BA196" i="6" s="1"/>
  <c r="AC312" i="13"/>
  <c r="AG194" i="6"/>
  <c r="AC312" i="12"/>
  <c r="AC194" i="6"/>
  <c r="AC312" i="11"/>
  <c r="Y194" i="6"/>
  <c r="AC312" i="10"/>
  <c r="U194" i="6"/>
  <c r="AC312" i="9"/>
  <c r="Q194" i="6"/>
  <c r="J298" i="13"/>
  <c r="J299" i="13"/>
  <c r="J300" i="13"/>
  <c r="J301" i="13"/>
  <c r="J302" i="13"/>
  <c r="J311" i="13"/>
  <c r="K298" i="13"/>
  <c r="K299" i="13"/>
  <c r="K300" i="13"/>
  <c r="K301" i="13"/>
  <c r="K302" i="13"/>
  <c r="K311" i="13"/>
  <c r="L298" i="13"/>
  <c r="L299" i="13"/>
  <c r="L300" i="13"/>
  <c r="L301" i="13"/>
  <c r="L302" i="13"/>
  <c r="L311" i="13"/>
  <c r="AB311" i="13"/>
  <c r="AG193" i="6"/>
  <c r="AX311" i="13"/>
  <c r="AF193" i="6"/>
  <c r="BO193" i="6" s="1"/>
  <c r="AR311" i="13"/>
  <c r="AE193" i="6"/>
  <c r="BG193" i="6" s="1"/>
  <c r="J298" i="12"/>
  <c r="J299" i="12"/>
  <c r="J300" i="12"/>
  <c r="J301" i="12"/>
  <c r="J302" i="12"/>
  <c r="J311" i="12"/>
  <c r="K298" i="12"/>
  <c r="K299" i="12"/>
  <c r="K300" i="12"/>
  <c r="K301" i="12"/>
  <c r="K302" i="12"/>
  <c r="K311" i="12"/>
  <c r="L298" i="12"/>
  <c r="L299" i="12"/>
  <c r="L300" i="12"/>
  <c r="L301" i="12"/>
  <c r="L302" i="12"/>
  <c r="L311" i="12"/>
  <c r="AB311" i="12"/>
  <c r="AC193" i="6"/>
  <c r="AX311" i="12"/>
  <c r="AB193" i="6"/>
  <c r="BN193" i="6" s="1"/>
  <c r="AR311" i="12"/>
  <c r="AA193" i="6"/>
  <c r="BF193" i="6" s="1"/>
  <c r="J298" i="11"/>
  <c r="J299" i="11"/>
  <c r="J300" i="11"/>
  <c r="J301" i="11"/>
  <c r="J302" i="11"/>
  <c r="J311" i="11"/>
  <c r="K298" i="11"/>
  <c r="K299" i="11"/>
  <c r="K300" i="11"/>
  <c r="K301" i="11"/>
  <c r="K302" i="11"/>
  <c r="K311" i="11"/>
  <c r="L298" i="11"/>
  <c r="L299" i="11"/>
  <c r="L300" i="11"/>
  <c r="L301" i="11"/>
  <c r="L302" i="11"/>
  <c r="L311" i="11"/>
  <c r="AB311" i="11"/>
  <c r="Y193" i="6"/>
  <c r="AX311" i="11"/>
  <c r="X193" i="6"/>
  <c r="BM193" i="6" s="1"/>
  <c r="AR311" i="11"/>
  <c r="W193" i="6"/>
  <c r="BE193" i="6" s="1"/>
  <c r="J298" i="10"/>
  <c r="J299" i="10"/>
  <c r="J300" i="10"/>
  <c r="J301" i="10"/>
  <c r="J302" i="10"/>
  <c r="J311" i="10"/>
  <c r="K298" i="10"/>
  <c r="K299" i="10"/>
  <c r="K300" i="10"/>
  <c r="K301" i="10"/>
  <c r="K302" i="10"/>
  <c r="K311" i="10"/>
  <c r="L298" i="10"/>
  <c r="L299" i="10"/>
  <c r="L300" i="10"/>
  <c r="L301" i="10"/>
  <c r="L302" i="10"/>
  <c r="L311" i="10"/>
  <c r="AB311" i="10"/>
  <c r="U193" i="6"/>
  <c r="AX311" i="10"/>
  <c r="T193" i="6"/>
  <c r="BL193" i="6" s="1"/>
  <c r="AR311" i="10"/>
  <c r="S193" i="6"/>
  <c r="BD193" i="6" s="1"/>
  <c r="J298" i="9"/>
  <c r="J299" i="9"/>
  <c r="J300" i="9"/>
  <c r="J301" i="9"/>
  <c r="J302" i="9"/>
  <c r="J311" i="9"/>
  <c r="K298" i="9"/>
  <c r="K299" i="9"/>
  <c r="K300" i="9"/>
  <c r="K301" i="9"/>
  <c r="K302" i="9"/>
  <c r="K311" i="9"/>
  <c r="L298" i="9"/>
  <c r="L299" i="9"/>
  <c r="L300" i="9"/>
  <c r="L301" i="9"/>
  <c r="L302" i="9"/>
  <c r="L311" i="9"/>
  <c r="AB311" i="9"/>
  <c r="Q193" i="6"/>
  <c r="AX311" i="9"/>
  <c r="P193" i="6"/>
  <c r="BK193" i="6" s="1"/>
  <c r="AR311" i="9"/>
  <c r="O193" i="6"/>
  <c r="BC193" i="6" s="1"/>
  <c r="J310" i="13"/>
  <c r="K310" i="13"/>
  <c r="L310" i="13"/>
  <c r="AA310" i="13"/>
  <c r="AG192" i="6"/>
  <c r="AW310" i="13"/>
  <c r="AF192" i="6"/>
  <c r="AQ310" i="13"/>
  <c r="AE192" i="6"/>
  <c r="BG192" i="6" s="1"/>
  <c r="J310" i="12"/>
  <c r="K310" i="12"/>
  <c r="L310" i="12"/>
  <c r="AA310" i="12"/>
  <c r="AC192" i="6"/>
  <c r="AW310" i="12"/>
  <c r="AB192" i="6"/>
  <c r="BN192" i="6" s="1"/>
  <c r="AQ310" i="12"/>
  <c r="AA192" i="6"/>
  <c r="BF192" i="6" s="1"/>
  <c r="J310" i="11"/>
  <c r="K310" i="11"/>
  <c r="L310" i="11"/>
  <c r="AA310" i="11"/>
  <c r="Y192" i="6"/>
  <c r="AW310" i="11"/>
  <c r="X192" i="6"/>
  <c r="BM192" i="6" s="1"/>
  <c r="AQ310" i="11"/>
  <c r="W192" i="6"/>
  <c r="J310" i="10"/>
  <c r="K310" i="10"/>
  <c r="L310" i="10"/>
  <c r="AA310" i="10"/>
  <c r="U192" i="6"/>
  <c r="AW310" i="10"/>
  <c r="T192" i="6"/>
  <c r="BL192" i="6" s="1"/>
  <c r="AQ310" i="10"/>
  <c r="S192" i="6"/>
  <c r="BD192" i="6" s="1"/>
  <c r="J310" i="9"/>
  <c r="K310" i="9"/>
  <c r="L310" i="9"/>
  <c r="AA310" i="9"/>
  <c r="Q192" i="6"/>
  <c r="AW310" i="9"/>
  <c r="P192" i="6"/>
  <c r="AQ310" i="9"/>
  <c r="O192" i="6"/>
  <c r="BC192" i="6" s="1"/>
  <c r="J298" i="8"/>
  <c r="J299" i="8"/>
  <c r="J300" i="8"/>
  <c r="J301" i="8"/>
  <c r="J302" i="8"/>
  <c r="J310" i="8"/>
  <c r="K298" i="8"/>
  <c r="K299" i="8"/>
  <c r="K300" i="8"/>
  <c r="K301" i="8"/>
  <c r="K302" i="8"/>
  <c r="K310" i="8"/>
  <c r="L298" i="8"/>
  <c r="L299" i="8"/>
  <c r="L300" i="8"/>
  <c r="L301" i="8"/>
  <c r="L302" i="8"/>
  <c r="L310" i="8"/>
  <c r="AA310" i="8"/>
  <c r="M192" i="6"/>
  <c r="J311" i="8"/>
  <c r="K311" i="8"/>
  <c r="L311" i="8"/>
  <c r="AB311" i="8"/>
  <c r="M193" i="6"/>
  <c r="AC312" i="8"/>
  <c r="M194" i="6"/>
  <c r="AX311" i="8"/>
  <c r="L193" i="6"/>
  <c r="AW310" i="8"/>
  <c r="L192" i="6"/>
  <c r="BJ192" i="6" s="1"/>
  <c r="AR311" i="8"/>
  <c r="K193" i="6"/>
  <c r="BB193" i="6" s="1"/>
  <c r="AQ310" i="8"/>
  <c r="K192" i="6"/>
  <c r="BB192" i="6" s="1"/>
  <c r="AC312" i="2"/>
  <c r="I194" i="6"/>
  <c r="J298" i="2"/>
  <c r="J299" i="2"/>
  <c r="J300" i="2"/>
  <c r="J301" i="2"/>
  <c r="J302" i="2"/>
  <c r="J311" i="2"/>
  <c r="K298" i="2"/>
  <c r="K299" i="2"/>
  <c r="K300" i="2"/>
  <c r="K301" i="2"/>
  <c r="K302" i="2"/>
  <c r="K311" i="2"/>
  <c r="L298" i="2"/>
  <c r="L299" i="2"/>
  <c r="L300" i="2"/>
  <c r="L301" i="2"/>
  <c r="L302" i="2"/>
  <c r="L311" i="2"/>
  <c r="AB311" i="2"/>
  <c r="I193" i="6"/>
  <c r="AK193" i="6" s="1"/>
  <c r="J310" i="2"/>
  <c r="K310" i="2"/>
  <c r="L310" i="2"/>
  <c r="AA310" i="2"/>
  <c r="I192" i="6"/>
  <c r="AX311" i="2"/>
  <c r="H193" i="6"/>
  <c r="BI193" i="6" s="1"/>
  <c r="AW310" i="2"/>
  <c r="H192" i="6"/>
  <c r="AR311" i="2"/>
  <c r="G193" i="6"/>
  <c r="AQ310" i="2"/>
  <c r="G192" i="6"/>
  <c r="BN202" i="6"/>
  <c r="BM202" i="6"/>
  <c r="BL202" i="6"/>
  <c r="BJ202" i="6"/>
  <c r="BF202" i="6"/>
  <c r="BE202" i="6"/>
  <c r="BB202" i="6"/>
  <c r="BA202" i="6"/>
  <c r="BO201" i="6"/>
  <c r="BM201" i="6"/>
  <c r="BL201" i="6"/>
  <c r="BK201" i="6"/>
  <c r="BF201" i="6"/>
  <c r="BE201" i="6"/>
  <c r="BD201" i="6"/>
  <c r="BB201" i="6"/>
  <c r="BO200" i="6"/>
  <c r="BN200" i="6"/>
  <c r="BL200" i="6"/>
  <c r="BK200" i="6"/>
  <c r="BJ200" i="6"/>
  <c r="BI200" i="6"/>
  <c r="BG200" i="6"/>
  <c r="BE200" i="6"/>
  <c r="BD200" i="6"/>
  <c r="BC200" i="6"/>
  <c r="BA200" i="6"/>
  <c r="AK200" i="6" s="1"/>
  <c r="BN198" i="6"/>
  <c r="BE198" i="6"/>
  <c r="BF197" i="6"/>
  <c r="BO196" i="6"/>
  <c r="BK196" i="6"/>
  <c r="BG196" i="6"/>
  <c r="BF196" i="6"/>
  <c r="BB196" i="6"/>
  <c r="BO192" i="6"/>
  <c r="BK192" i="6"/>
  <c r="BI192" i="6"/>
  <c r="BE192" i="6"/>
  <c r="BA192" i="6"/>
  <c r="W155" i="2"/>
  <c r="G134" i="6"/>
  <c r="W156" i="2"/>
  <c r="G135" i="6"/>
  <c r="W155" i="8"/>
  <c r="K134" i="6"/>
  <c r="W156" i="8"/>
  <c r="K135" i="6"/>
  <c r="M135" i="6" s="1"/>
  <c r="W155" i="9"/>
  <c r="O134" i="6"/>
  <c r="Q134" i="6" s="1"/>
  <c r="W156" i="9"/>
  <c r="O135" i="6"/>
  <c r="W155" i="10"/>
  <c r="S134" i="6"/>
  <c r="W156" i="10"/>
  <c r="S135" i="6"/>
  <c r="U135" i="6" s="1"/>
  <c r="W155" i="11"/>
  <c r="W134" i="6"/>
  <c r="W156" i="11"/>
  <c r="W135" i="6"/>
  <c r="Y135" i="6" s="1"/>
  <c r="W155" i="12"/>
  <c r="AA134" i="6"/>
  <c r="W156" i="12"/>
  <c r="AA135" i="6"/>
  <c r="X155" i="2"/>
  <c r="H134" i="6"/>
  <c r="X156" i="2"/>
  <c r="H135" i="6"/>
  <c r="X155" i="8"/>
  <c r="L134" i="6"/>
  <c r="X156" i="8"/>
  <c r="L135" i="6"/>
  <c r="X155" i="9"/>
  <c r="P134" i="6"/>
  <c r="X156" i="9"/>
  <c r="P135" i="6"/>
  <c r="X155" i="10"/>
  <c r="T134" i="6"/>
  <c r="X156" i="10"/>
  <c r="T135" i="6"/>
  <c r="X155" i="11"/>
  <c r="X134" i="6"/>
  <c r="X156" i="11"/>
  <c r="X135" i="6"/>
  <c r="X189" i="6"/>
  <c r="X155" i="12"/>
  <c r="AB134" i="6"/>
  <c r="X156" i="12"/>
  <c r="AB135" i="6"/>
  <c r="W157" i="2"/>
  <c r="G136" i="6"/>
  <c r="W157" i="8"/>
  <c r="K136" i="6"/>
  <c r="W157" i="9"/>
  <c r="O136" i="6"/>
  <c r="W157" i="10"/>
  <c r="S136" i="6"/>
  <c r="W157" i="11"/>
  <c r="W136" i="6"/>
  <c r="W157" i="12"/>
  <c r="AA136" i="6"/>
  <c r="X157" i="2"/>
  <c r="H136" i="6"/>
  <c r="X157" i="8"/>
  <c r="L136" i="6"/>
  <c r="X157" i="9"/>
  <c r="P136" i="6"/>
  <c r="X157" i="10"/>
  <c r="T136" i="6"/>
  <c r="X157" i="11"/>
  <c r="X136" i="6"/>
  <c r="X157" i="12"/>
  <c r="AB136" i="6"/>
  <c r="W158" i="2"/>
  <c r="G137" i="6"/>
  <c r="W158" i="8"/>
  <c r="K137" i="6"/>
  <c r="W158" i="9"/>
  <c r="O137" i="6"/>
  <c r="W158" i="10"/>
  <c r="S137" i="6"/>
  <c r="W158" i="11"/>
  <c r="W137" i="6"/>
  <c r="W158" i="12"/>
  <c r="AA137" i="6"/>
  <c r="X158" i="2"/>
  <c r="H137" i="6"/>
  <c r="X158" i="8"/>
  <c r="L137" i="6"/>
  <c r="X158" i="9"/>
  <c r="P137" i="6"/>
  <c r="X158" i="10"/>
  <c r="T137" i="6"/>
  <c r="X158" i="11"/>
  <c r="X137" i="6"/>
  <c r="X158" i="12"/>
  <c r="AB137" i="6"/>
  <c r="W159" i="2"/>
  <c r="G138" i="6"/>
  <c r="W159" i="8"/>
  <c r="K138" i="6"/>
  <c r="W159" i="9"/>
  <c r="O138" i="6"/>
  <c r="W159" i="10"/>
  <c r="S138" i="6"/>
  <c r="W159" i="11"/>
  <c r="W138" i="6"/>
  <c r="W159" i="12"/>
  <c r="AA138" i="6"/>
  <c r="X159" i="2"/>
  <c r="H138" i="6"/>
  <c r="X159" i="8"/>
  <c r="L138" i="6"/>
  <c r="X159" i="9"/>
  <c r="P138" i="6"/>
  <c r="X159" i="10"/>
  <c r="T138" i="6"/>
  <c r="X159" i="11"/>
  <c r="X138" i="6"/>
  <c r="X159" i="12"/>
  <c r="AB138" i="6"/>
  <c r="G139" i="6"/>
  <c r="W160" i="8"/>
  <c r="K139" i="6"/>
  <c r="W160" i="9"/>
  <c r="O139" i="6"/>
  <c r="Q139" i="6" s="1"/>
  <c r="W160" i="10"/>
  <c r="S139" i="6"/>
  <c r="W160" i="11"/>
  <c r="W139" i="6"/>
  <c r="Y139" i="6" s="1"/>
  <c r="W160" i="12"/>
  <c r="AA139" i="6"/>
  <c r="H139" i="6"/>
  <c r="X160" i="8"/>
  <c r="L139" i="6"/>
  <c r="X160" i="9"/>
  <c r="P139" i="6"/>
  <c r="X160" i="10"/>
  <c r="T139" i="6"/>
  <c r="X160" i="11"/>
  <c r="X139" i="6"/>
  <c r="X160" i="12"/>
  <c r="AB139" i="6"/>
  <c r="Y134" i="6"/>
  <c r="U137" i="6"/>
  <c r="I134" i="6"/>
  <c r="N329" i="14"/>
  <c r="N330" i="14"/>
  <c r="N331" i="14"/>
  <c r="N332" i="14"/>
  <c r="N333" i="14"/>
  <c r="N335" i="14"/>
  <c r="N336" i="14"/>
  <c r="N337" i="14"/>
  <c r="Q329" i="14"/>
  <c r="Q330" i="14"/>
  <c r="Q331" i="14"/>
  <c r="Q332" i="14"/>
  <c r="Q333" i="14"/>
  <c r="Q335" i="14"/>
  <c r="Q336" i="14"/>
  <c r="Q337" i="14"/>
  <c r="T329" i="14"/>
  <c r="O329" i="14"/>
  <c r="O330" i="14"/>
  <c r="O331" i="14"/>
  <c r="O332" i="14"/>
  <c r="O333" i="14"/>
  <c r="O335" i="14"/>
  <c r="O336" i="14"/>
  <c r="O337" i="14"/>
  <c r="R329" i="14"/>
  <c r="R330" i="14"/>
  <c r="R331" i="14"/>
  <c r="R332" i="14"/>
  <c r="R333" i="14"/>
  <c r="R335" i="14"/>
  <c r="R336" i="14"/>
  <c r="R337" i="14"/>
  <c r="U329" i="14"/>
  <c r="T330" i="14"/>
  <c r="T331" i="14"/>
  <c r="T332" i="14"/>
  <c r="T333" i="14"/>
  <c r="T335" i="14"/>
  <c r="T336" i="14"/>
  <c r="T337" i="14"/>
  <c r="U330" i="14"/>
  <c r="U331" i="14"/>
  <c r="U332" i="14"/>
  <c r="U333" i="14"/>
  <c r="U335" i="14"/>
  <c r="U336" i="14"/>
  <c r="U337" i="14"/>
  <c r="N329" i="15"/>
  <c r="N330" i="15"/>
  <c r="N331" i="15"/>
  <c r="N332" i="15"/>
  <c r="N333" i="15"/>
  <c r="N335" i="15"/>
  <c r="N336" i="15"/>
  <c r="N337" i="15"/>
  <c r="Q329" i="15"/>
  <c r="T329" i="15"/>
  <c r="O329" i="15"/>
  <c r="O330" i="15"/>
  <c r="O331" i="15"/>
  <c r="O332" i="15"/>
  <c r="O333" i="15"/>
  <c r="O335" i="15"/>
  <c r="O336" i="15"/>
  <c r="O337" i="15"/>
  <c r="R329" i="15"/>
  <c r="U329" i="15"/>
  <c r="Q330" i="15"/>
  <c r="Q331" i="15"/>
  <c r="Q332" i="15"/>
  <c r="Q333" i="15"/>
  <c r="Q335" i="15"/>
  <c r="Q336" i="15"/>
  <c r="Q337" i="15"/>
  <c r="R330" i="15"/>
  <c r="R331" i="15"/>
  <c r="R332" i="15"/>
  <c r="R333" i="15"/>
  <c r="R335" i="15"/>
  <c r="R336" i="15"/>
  <c r="R337" i="15"/>
  <c r="T330" i="15"/>
  <c r="T331" i="15"/>
  <c r="T332" i="15"/>
  <c r="T333" i="15"/>
  <c r="T335" i="15"/>
  <c r="T336" i="15"/>
  <c r="T337" i="15"/>
  <c r="U330" i="15"/>
  <c r="U331" i="15"/>
  <c r="U332" i="15"/>
  <c r="U333" i="15"/>
  <c r="U335" i="15"/>
  <c r="U336" i="15"/>
  <c r="U337" i="15"/>
  <c r="N329" i="16"/>
  <c r="Q329" i="16"/>
  <c r="T329" i="16"/>
  <c r="O329" i="16"/>
  <c r="R329" i="16"/>
  <c r="R330" i="16"/>
  <c r="R331" i="16"/>
  <c r="R332" i="16"/>
  <c r="R333" i="16"/>
  <c r="R335" i="16"/>
  <c r="R336" i="16"/>
  <c r="R337" i="16"/>
  <c r="U329" i="16"/>
  <c r="N330" i="16"/>
  <c r="N331" i="16"/>
  <c r="N332" i="16"/>
  <c r="N333" i="16"/>
  <c r="N335" i="16"/>
  <c r="N336" i="16"/>
  <c r="N337" i="16"/>
  <c r="O330" i="16"/>
  <c r="O331" i="16"/>
  <c r="O332" i="16"/>
  <c r="O333" i="16"/>
  <c r="O335" i="16"/>
  <c r="O336" i="16"/>
  <c r="O337" i="16"/>
  <c r="Q330" i="16"/>
  <c r="Q331" i="16"/>
  <c r="Q332" i="16"/>
  <c r="Q333" i="16"/>
  <c r="Q335" i="16"/>
  <c r="Q336" i="16"/>
  <c r="Q337" i="16"/>
  <c r="T330" i="16"/>
  <c r="T331" i="16"/>
  <c r="T332" i="16"/>
  <c r="T333" i="16"/>
  <c r="T335" i="16"/>
  <c r="T336" i="16"/>
  <c r="T337" i="16"/>
  <c r="U330" i="16"/>
  <c r="U331" i="16"/>
  <c r="U332" i="16"/>
  <c r="U333" i="16"/>
  <c r="U335" i="16"/>
  <c r="U336" i="16"/>
  <c r="U337" i="16"/>
  <c r="N329" i="17"/>
  <c r="N330" i="17"/>
  <c r="N331" i="17"/>
  <c r="N332" i="17"/>
  <c r="N333" i="17"/>
  <c r="N336" i="17"/>
  <c r="Q329" i="17"/>
  <c r="Q330" i="17"/>
  <c r="Q331" i="17"/>
  <c r="Q332" i="17"/>
  <c r="Q333" i="17"/>
  <c r="Q335" i="17"/>
  <c r="Q336" i="17"/>
  <c r="Q337" i="17"/>
  <c r="T329" i="17"/>
  <c r="T330" i="17"/>
  <c r="T331" i="17"/>
  <c r="T332" i="17"/>
  <c r="T333" i="17"/>
  <c r="T335" i="17"/>
  <c r="T336" i="17"/>
  <c r="T337" i="17"/>
  <c r="O329" i="17"/>
  <c r="O330" i="17"/>
  <c r="O331" i="17"/>
  <c r="O332" i="17"/>
  <c r="O333" i="17"/>
  <c r="O336" i="17"/>
  <c r="R329" i="17"/>
  <c r="R330" i="17"/>
  <c r="R331" i="17"/>
  <c r="R332" i="17"/>
  <c r="R333" i="17"/>
  <c r="R335" i="17"/>
  <c r="R336" i="17"/>
  <c r="R337" i="17"/>
  <c r="U329" i="17"/>
  <c r="U330" i="17"/>
  <c r="U331" i="17"/>
  <c r="U332" i="17"/>
  <c r="U333" i="17"/>
  <c r="U335" i="17"/>
  <c r="U336" i="17"/>
  <c r="U337" i="17"/>
  <c r="N329" i="18"/>
  <c r="N330" i="18"/>
  <c r="N331" i="18"/>
  <c r="N332" i="18"/>
  <c r="N333" i="18"/>
  <c r="N335" i="18"/>
  <c r="N336" i="18"/>
  <c r="N337" i="18"/>
  <c r="Q329" i="18"/>
  <c r="Q330" i="18"/>
  <c r="Q331" i="18"/>
  <c r="Q332" i="18"/>
  <c r="Q333" i="18"/>
  <c r="Q335" i="18"/>
  <c r="Q336" i="18"/>
  <c r="Q337" i="18"/>
  <c r="T329" i="18"/>
  <c r="O329" i="18"/>
  <c r="O330" i="18"/>
  <c r="O331" i="18"/>
  <c r="O332" i="18"/>
  <c r="O333" i="18"/>
  <c r="O335" i="18"/>
  <c r="O336" i="18"/>
  <c r="O337" i="18"/>
  <c r="R329" i="18"/>
  <c r="R330" i="18"/>
  <c r="R331" i="18"/>
  <c r="R332" i="18"/>
  <c r="R333" i="18"/>
  <c r="R335" i="18"/>
  <c r="R336" i="18"/>
  <c r="R337" i="18"/>
  <c r="U329" i="18"/>
  <c r="T330" i="18"/>
  <c r="T331" i="18"/>
  <c r="T332" i="18"/>
  <c r="T333" i="18"/>
  <c r="T335" i="18"/>
  <c r="T336" i="18"/>
  <c r="T337" i="18"/>
  <c r="U330" i="18"/>
  <c r="U331" i="18"/>
  <c r="U332" i="18"/>
  <c r="U333" i="18"/>
  <c r="U335" i="18"/>
  <c r="U336" i="18"/>
  <c r="U337" i="18"/>
  <c r="N329" i="19"/>
  <c r="Q329" i="19"/>
  <c r="T329" i="19"/>
  <c r="O329" i="19"/>
  <c r="R329" i="19"/>
  <c r="U329" i="19"/>
  <c r="N330" i="19"/>
  <c r="N331" i="19"/>
  <c r="N332" i="19"/>
  <c r="N333" i="19"/>
  <c r="N335" i="19"/>
  <c r="N336" i="19"/>
  <c r="N337" i="19"/>
  <c r="O330" i="19"/>
  <c r="O331" i="19"/>
  <c r="O332" i="19"/>
  <c r="O333" i="19"/>
  <c r="O335" i="19"/>
  <c r="O336" i="19"/>
  <c r="O337" i="19"/>
  <c r="Q330" i="19"/>
  <c r="Q331" i="19"/>
  <c r="Q332" i="19"/>
  <c r="Q333" i="19"/>
  <c r="Q335" i="19"/>
  <c r="Q336" i="19"/>
  <c r="Q337" i="19"/>
  <c r="R330" i="19"/>
  <c r="R331" i="19"/>
  <c r="R332" i="19"/>
  <c r="R333" i="19"/>
  <c r="R335" i="19"/>
  <c r="R336" i="19"/>
  <c r="R337" i="19"/>
  <c r="T330" i="19"/>
  <c r="T331" i="19"/>
  <c r="T332" i="19"/>
  <c r="T333" i="19"/>
  <c r="T335" i="19"/>
  <c r="T336" i="19"/>
  <c r="T337" i="19"/>
  <c r="U330" i="19"/>
  <c r="U331" i="19"/>
  <c r="U332" i="19"/>
  <c r="U333" i="19"/>
  <c r="U335" i="19"/>
  <c r="U336" i="19"/>
  <c r="U337" i="19"/>
  <c r="N329" i="3"/>
  <c r="N330" i="3"/>
  <c r="N331" i="3"/>
  <c r="N332" i="3"/>
  <c r="N333" i="3"/>
  <c r="N335" i="3"/>
  <c r="N336" i="3"/>
  <c r="N337" i="3"/>
  <c r="Q329" i="3"/>
  <c r="T329" i="3"/>
  <c r="O329" i="3"/>
  <c r="O330" i="3"/>
  <c r="O331" i="3"/>
  <c r="O332" i="3"/>
  <c r="O333" i="3"/>
  <c r="O335" i="3"/>
  <c r="O336" i="3"/>
  <c r="O337" i="3"/>
  <c r="R329" i="3"/>
  <c r="U329" i="3"/>
  <c r="Q330" i="3"/>
  <c r="Q331" i="3"/>
  <c r="Q332" i="3"/>
  <c r="Q333" i="3"/>
  <c r="Q335" i="3"/>
  <c r="Q336" i="3"/>
  <c r="Q337" i="3"/>
  <c r="R330" i="3"/>
  <c r="R331" i="3"/>
  <c r="R332" i="3"/>
  <c r="R333" i="3"/>
  <c r="R335" i="3"/>
  <c r="R336" i="3"/>
  <c r="R337" i="3"/>
  <c r="T330" i="3"/>
  <c r="T331" i="3"/>
  <c r="T332" i="3"/>
  <c r="T333" i="3"/>
  <c r="T335" i="3"/>
  <c r="T336" i="3"/>
  <c r="T337" i="3"/>
  <c r="U330" i="3"/>
  <c r="U331" i="3"/>
  <c r="U332" i="3"/>
  <c r="U333" i="3"/>
  <c r="U335" i="3"/>
  <c r="U336" i="3"/>
  <c r="U337" i="3"/>
  <c r="O255" i="14"/>
  <c r="O258" i="14"/>
  <c r="O259" i="14"/>
  <c r="O260" i="14"/>
  <c r="O261" i="14"/>
  <c r="O262" i="14"/>
  <c r="O263" i="14"/>
  <c r="O264" i="14"/>
  <c r="O265" i="14"/>
  <c r="O266" i="14"/>
  <c r="O267" i="14"/>
  <c r="O256" i="14"/>
  <c r="O268" i="14"/>
  <c r="O269" i="14"/>
  <c r="O270" i="14"/>
  <c r="O271" i="14"/>
  <c r="O272" i="14"/>
  <c r="O273" i="14"/>
  <c r="O274" i="14"/>
  <c r="O275" i="14"/>
  <c r="O276" i="14"/>
  <c r="O277" i="14"/>
  <c r="O278" i="14"/>
  <c r="R254" i="14"/>
  <c r="R255" i="14"/>
  <c r="R258" i="14"/>
  <c r="R259" i="14"/>
  <c r="R260" i="14"/>
  <c r="R261" i="14"/>
  <c r="R262" i="14"/>
  <c r="R263" i="14"/>
  <c r="R264" i="14"/>
  <c r="R265" i="14"/>
  <c r="R266" i="14"/>
  <c r="R267" i="14"/>
  <c r="R256" i="14"/>
  <c r="R268" i="14"/>
  <c r="R269" i="14"/>
  <c r="R270" i="14"/>
  <c r="R271" i="14"/>
  <c r="R272" i="14"/>
  <c r="R273" i="14"/>
  <c r="R274" i="14"/>
  <c r="R275" i="14"/>
  <c r="R276" i="14"/>
  <c r="R277" i="14"/>
  <c r="R278" i="14"/>
  <c r="U254" i="14"/>
  <c r="U255" i="14"/>
  <c r="U278" i="14"/>
  <c r="AY278" i="14"/>
  <c r="AX278" i="14"/>
  <c r="AW278" i="14"/>
  <c r="N254" i="14"/>
  <c r="N255" i="14"/>
  <c r="N258" i="14"/>
  <c r="N259" i="14"/>
  <c r="N260" i="14"/>
  <c r="N261" i="14"/>
  <c r="N262" i="14"/>
  <c r="N263" i="14"/>
  <c r="N264" i="14"/>
  <c r="N265" i="14"/>
  <c r="N266" i="14"/>
  <c r="N267" i="14"/>
  <c r="N256" i="14"/>
  <c r="N268" i="14"/>
  <c r="N269" i="14"/>
  <c r="N270" i="14"/>
  <c r="N271" i="14"/>
  <c r="N272" i="14"/>
  <c r="N273" i="14"/>
  <c r="N274" i="14"/>
  <c r="N275" i="14"/>
  <c r="N276" i="14"/>
  <c r="N277" i="14"/>
  <c r="N278" i="14"/>
  <c r="Q254" i="14"/>
  <c r="Q255" i="14"/>
  <c r="Q258" i="14"/>
  <c r="Q259" i="14"/>
  <c r="Q260" i="14"/>
  <c r="Q261" i="14"/>
  <c r="Q262" i="14"/>
  <c r="Q263" i="14"/>
  <c r="Q264" i="14"/>
  <c r="Q265" i="14"/>
  <c r="Q266" i="14"/>
  <c r="Q267" i="14"/>
  <c r="Q256" i="14"/>
  <c r="Q268" i="14"/>
  <c r="Q269" i="14"/>
  <c r="Q270" i="14"/>
  <c r="Q271" i="14"/>
  <c r="Q272" i="14"/>
  <c r="Q273" i="14"/>
  <c r="Q274" i="14"/>
  <c r="Q275" i="14"/>
  <c r="Q276" i="14"/>
  <c r="Q277" i="14"/>
  <c r="Q278" i="14"/>
  <c r="T254" i="14"/>
  <c r="T255" i="14"/>
  <c r="T278" i="14"/>
  <c r="AS278" i="14"/>
  <c r="AR278" i="14"/>
  <c r="AQ278" i="14"/>
  <c r="AC278" i="14"/>
  <c r="AB278" i="14"/>
  <c r="AA278" i="14"/>
  <c r="U277" i="14"/>
  <c r="T277" i="14"/>
  <c r="U276" i="14"/>
  <c r="T276" i="14"/>
  <c r="U275" i="14"/>
  <c r="T275" i="14"/>
  <c r="U274" i="14"/>
  <c r="T274" i="14"/>
  <c r="U273" i="14"/>
  <c r="T273" i="14"/>
  <c r="U272" i="14"/>
  <c r="T272" i="14"/>
  <c r="U271" i="14"/>
  <c r="T271" i="14"/>
  <c r="U270" i="14"/>
  <c r="T270" i="14"/>
  <c r="U269" i="14"/>
  <c r="T269" i="14"/>
  <c r="U268" i="14"/>
  <c r="T268" i="14"/>
  <c r="U267" i="14"/>
  <c r="T267" i="14"/>
  <c r="U266" i="14"/>
  <c r="T266" i="14"/>
  <c r="U265" i="14"/>
  <c r="T265" i="14"/>
  <c r="U264" i="14"/>
  <c r="T264" i="14"/>
  <c r="U263" i="14"/>
  <c r="T263" i="14"/>
  <c r="U262" i="14"/>
  <c r="T262" i="14"/>
  <c r="U261" i="14"/>
  <c r="T261" i="14"/>
  <c r="U260" i="14"/>
  <c r="T260" i="14"/>
  <c r="U259" i="14"/>
  <c r="T259" i="14"/>
  <c r="U258" i="14"/>
  <c r="T258" i="14"/>
  <c r="U256" i="14"/>
  <c r="T256" i="14"/>
  <c r="U253" i="14"/>
  <c r="T253" i="14"/>
  <c r="R253" i="14"/>
  <c r="Q253" i="14"/>
  <c r="O253" i="14"/>
  <c r="N253" i="14"/>
  <c r="O255" i="15"/>
  <c r="O258" i="15"/>
  <c r="O259" i="15"/>
  <c r="O260" i="15"/>
  <c r="O261" i="15"/>
  <c r="O262" i="15"/>
  <c r="O263" i="15"/>
  <c r="O264" i="15"/>
  <c r="O265" i="15"/>
  <c r="O266" i="15"/>
  <c r="O267" i="15"/>
  <c r="O256" i="15"/>
  <c r="O268" i="15"/>
  <c r="O269" i="15"/>
  <c r="O270" i="15"/>
  <c r="O271" i="15"/>
  <c r="O272" i="15"/>
  <c r="O273" i="15"/>
  <c r="O274" i="15"/>
  <c r="O275" i="15"/>
  <c r="O276" i="15"/>
  <c r="O277" i="15"/>
  <c r="O278" i="15"/>
  <c r="R254" i="15"/>
  <c r="R255" i="15"/>
  <c r="R278" i="15"/>
  <c r="U254" i="15"/>
  <c r="U255" i="15"/>
  <c r="U278" i="15"/>
  <c r="AY278" i="15"/>
  <c r="AX278" i="15"/>
  <c r="AW278" i="15"/>
  <c r="N254" i="15"/>
  <c r="N255" i="15"/>
  <c r="N258" i="15"/>
  <c r="N259" i="15"/>
  <c r="N260" i="15"/>
  <c r="N261" i="15"/>
  <c r="N262" i="15"/>
  <c r="N263" i="15"/>
  <c r="N264" i="15"/>
  <c r="N265" i="15"/>
  <c r="N266" i="15"/>
  <c r="N267" i="15"/>
  <c r="N256" i="15"/>
  <c r="N268" i="15"/>
  <c r="N269" i="15"/>
  <c r="N270" i="15"/>
  <c r="N271" i="15"/>
  <c r="N272" i="15"/>
  <c r="N273" i="15"/>
  <c r="N274" i="15"/>
  <c r="N275" i="15"/>
  <c r="N276" i="15"/>
  <c r="N277" i="15"/>
  <c r="N278" i="15"/>
  <c r="Q254" i="15"/>
  <c r="Q255" i="15"/>
  <c r="Q278" i="15"/>
  <c r="T254" i="15"/>
  <c r="T255" i="15"/>
  <c r="T278" i="15"/>
  <c r="AS278" i="15"/>
  <c r="AR278" i="15"/>
  <c r="AQ278" i="15"/>
  <c r="AC278" i="15"/>
  <c r="AB278" i="15"/>
  <c r="AA278" i="15"/>
  <c r="U277" i="15"/>
  <c r="T277" i="15"/>
  <c r="R277" i="15"/>
  <c r="Q277" i="15"/>
  <c r="U276" i="15"/>
  <c r="T276" i="15"/>
  <c r="R276" i="15"/>
  <c r="Q276" i="15"/>
  <c r="U275" i="15"/>
  <c r="T275" i="15"/>
  <c r="R275" i="15"/>
  <c r="Q275" i="15"/>
  <c r="U274" i="15"/>
  <c r="T274" i="15"/>
  <c r="R274" i="15"/>
  <c r="Q274" i="15"/>
  <c r="U273" i="15"/>
  <c r="T273" i="15"/>
  <c r="R273" i="15"/>
  <c r="Q273" i="15"/>
  <c r="U272" i="15"/>
  <c r="T272" i="15"/>
  <c r="R272" i="15"/>
  <c r="Q272" i="15"/>
  <c r="U271" i="15"/>
  <c r="T271" i="15"/>
  <c r="R271" i="15"/>
  <c r="Q271" i="15"/>
  <c r="U270" i="15"/>
  <c r="T270" i="15"/>
  <c r="R270" i="15"/>
  <c r="Q270" i="15"/>
  <c r="U269" i="15"/>
  <c r="T269" i="15"/>
  <c r="R269" i="15"/>
  <c r="Q269" i="15"/>
  <c r="U268" i="15"/>
  <c r="T268" i="15"/>
  <c r="R268" i="15"/>
  <c r="Q268" i="15"/>
  <c r="U267" i="15"/>
  <c r="T267" i="15"/>
  <c r="R267" i="15"/>
  <c r="Q267" i="15"/>
  <c r="U266" i="15"/>
  <c r="T266" i="15"/>
  <c r="R266" i="15"/>
  <c r="Q266" i="15"/>
  <c r="U265" i="15"/>
  <c r="T265" i="15"/>
  <c r="R265" i="15"/>
  <c r="Q265" i="15"/>
  <c r="U264" i="15"/>
  <c r="T264" i="15"/>
  <c r="R264" i="15"/>
  <c r="Q264" i="15"/>
  <c r="U263" i="15"/>
  <c r="T263" i="15"/>
  <c r="R263" i="15"/>
  <c r="Q263" i="15"/>
  <c r="U262" i="15"/>
  <c r="T262" i="15"/>
  <c r="R262" i="15"/>
  <c r="Q262" i="15"/>
  <c r="U261" i="15"/>
  <c r="T261" i="15"/>
  <c r="R261" i="15"/>
  <c r="Q261" i="15"/>
  <c r="U260" i="15"/>
  <c r="T260" i="15"/>
  <c r="R260" i="15"/>
  <c r="Q260" i="15"/>
  <c r="U259" i="15"/>
  <c r="T259" i="15"/>
  <c r="R259" i="15"/>
  <c r="Q259" i="15"/>
  <c r="U258" i="15"/>
  <c r="T258" i="15"/>
  <c r="R258" i="15"/>
  <c r="Q258" i="15"/>
  <c r="U256" i="15"/>
  <c r="T256" i="15"/>
  <c r="R256" i="15"/>
  <c r="Q256" i="15"/>
  <c r="U253" i="15"/>
  <c r="T253" i="15"/>
  <c r="R253" i="15"/>
  <c r="Q253" i="15"/>
  <c r="O253" i="15"/>
  <c r="N253" i="15"/>
  <c r="O255" i="16"/>
  <c r="O258" i="16"/>
  <c r="O259" i="16"/>
  <c r="O260" i="16"/>
  <c r="O261" i="16"/>
  <c r="O262" i="16"/>
  <c r="O263" i="16"/>
  <c r="O264" i="16"/>
  <c r="O265" i="16"/>
  <c r="O266" i="16"/>
  <c r="O267" i="16"/>
  <c r="O268" i="16"/>
  <c r="O269" i="16"/>
  <c r="O270" i="16"/>
  <c r="O271" i="16"/>
  <c r="O272" i="16"/>
  <c r="O273" i="16"/>
  <c r="O274" i="16"/>
  <c r="O275" i="16"/>
  <c r="O276" i="16"/>
  <c r="O277" i="16"/>
  <c r="O278" i="16"/>
  <c r="R254" i="16"/>
  <c r="R255" i="16"/>
  <c r="R258" i="16"/>
  <c r="R259" i="16"/>
  <c r="R260" i="16"/>
  <c r="R261" i="16"/>
  <c r="R262" i="16"/>
  <c r="R263" i="16"/>
  <c r="R264" i="16"/>
  <c r="R265" i="16"/>
  <c r="R266" i="16"/>
  <c r="R267" i="16"/>
  <c r="R256" i="16"/>
  <c r="R268" i="16"/>
  <c r="R278" i="16" s="1"/>
  <c r="R269" i="16"/>
  <c r="R270" i="16"/>
  <c r="R271" i="16"/>
  <c r="R272" i="16"/>
  <c r="R273" i="16"/>
  <c r="R274" i="16"/>
  <c r="R275" i="16"/>
  <c r="R276" i="16"/>
  <c r="R277" i="16"/>
  <c r="U254" i="16"/>
  <c r="U255" i="16"/>
  <c r="U278" i="16"/>
  <c r="N254" i="16"/>
  <c r="N255" i="16"/>
  <c r="N278" i="16"/>
  <c r="Q254" i="16"/>
  <c r="Q255" i="16"/>
  <c r="Q278" i="16"/>
  <c r="T254" i="16"/>
  <c r="T255" i="16"/>
  <c r="T278" i="16"/>
  <c r="AR278" i="16"/>
  <c r="AQ278" i="16"/>
  <c r="U277" i="16"/>
  <c r="T277" i="16"/>
  <c r="Q277" i="16"/>
  <c r="N277" i="16"/>
  <c r="U276" i="16"/>
  <c r="T276" i="16"/>
  <c r="Q276" i="16"/>
  <c r="N276" i="16"/>
  <c r="U275" i="16"/>
  <c r="T275" i="16"/>
  <c r="Q275" i="16"/>
  <c r="N275" i="16"/>
  <c r="U274" i="16"/>
  <c r="T274" i="16"/>
  <c r="Q274" i="16"/>
  <c r="N274" i="16"/>
  <c r="U273" i="16"/>
  <c r="T273" i="16"/>
  <c r="Q273" i="16"/>
  <c r="N273" i="16"/>
  <c r="U272" i="16"/>
  <c r="T272" i="16"/>
  <c r="Q272" i="16"/>
  <c r="N272" i="16"/>
  <c r="U271" i="16"/>
  <c r="T271" i="16"/>
  <c r="Q271" i="16"/>
  <c r="N271" i="16"/>
  <c r="U270" i="16"/>
  <c r="T270" i="16"/>
  <c r="Q270" i="16"/>
  <c r="N270" i="16"/>
  <c r="U269" i="16"/>
  <c r="T269" i="16"/>
  <c r="Q269" i="16"/>
  <c r="N269" i="16"/>
  <c r="U268" i="16"/>
  <c r="T268" i="16"/>
  <c r="Q268" i="16"/>
  <c r="N268" i="16"/>
  <c r="U267" i="16"/>
  <c r="T267" i="16"/>
  <c r="Q267" i="16"/>
  <c r="N267" i="16"/>
  <c r="U266" i="16"/>
  <c r="T266" i="16"/>
  <c r="Q266" i="16"/>
  <c r="N266" i="16"/>
  <c r="U265" i="16"/>
  <c r="T265" i="16"/>
  <c r="Q265" i="16"/>
  <c r="N265" i="16"/>
  <c r="U264" i="16"/>
  <c r="T264" i="16"/>
  <c r="Q264" i="16"/>
  <c r="N264" i="16"/>
  <c r="U263" i="16"/>
  <c r="T263" i="16"/>
  <c r="Q263" i="16"/>
  <c r="N263" i="16"/>
  <c r="U262" i="16"/>
  <c r="T262" i="16"/>
  <c r="Q262" i="16"/>
  <c r="N262" i="16"/>
  <c r="U261" i="16"/>
  <c r="T261" i="16"/>
  <c r="Q261" i="16"/>
  <c r="N261" i="16"/>
  <c r="U260" i="16"/>
  <c r="T260" i="16"/>
  <c r="Q260" i="16"/>
  <c r="N260" i="16"/>
  <c r="U259" i="16"/>
  <c r="T259" i="16"/>
  <c r="Q259" i="16"/>
  <c r="N259" i="16"/>
  <c r="U258" i="16"/>
  <c r="T258" i="16"/>
  <c r="Q258" i="16"/>
  <c r="N258" i="16"/>
  <c r="U256" i="16"/>
  <c r="T256" i="16"/>
  <c r="Q256" i="16"/>
  <c r="O256" i="16"/>
  <c r="N256" i="16"/>
  <c r="U253" i="16"/>
  <c r="T253" i="16"/>
  <c r="R253" i="16"/>
  <c r="Q253" i="16"/>
  <c r="O253" i="16"/>
  <c r="N253" i="16"/>
  <c r="O255" i="17"/>
  <c r="O258" i="17"/>
  <c r="O259" i="17"/>
  <c r="O260" i="17"/>
  <c r="O261" i="17"/>
  <c r="O262" i="17"/>
  <c r="O263" i="17"/>
  <c r="O264" i="17"/>
  <c r="O265" i="17"/>
  <c r="O266" i="17"/>
  <c r="O267" i="17"/>
  <c r="O256" i="17"/>
  <c r="O268" i="17"/>
  <c r="O269" i="17"/>
  <c r="O270" i="17"/>
  <c r="O271" i="17"/>
  <c r="O272" i="17"/>
  <c r="O273" i="17"/>
  <c r="O274" i="17"/>
  <c r="O275" i="17"/>
  <c r="O276" i="17"/>
  <c r="O277" i="17"/>
  <c r="O278" i="17"/>
  <c r="R254" i="17"/>
  <c r="R255" i="17"/>
  <c r="R258" i="17"/>
  <c r="R259" i="17"/>
  <c r="R260" i="17"/>
  <c r="R261" i="17"/>
  <c r="R262" i="17"/>
  <c r="R263" i="17"/>
  <c r="R264" i="17"/>
  <c r="R265" i="17"/>
  <c r="R266" i="17"/>
  <c r="R267" i="17"/>
  <c r="R256" i="17"/>
  <c r="R268" i="17"/>
  <c r="R269" i="17"/>
  <c r="R270" i="17"/>
  <c r="R271" i="17"/>
  <c r="R272" i="17"/>
  <c r="R273" i="17"/>
  <c r="R274" i="17"/>
  <c r="R275" i="17"/>
  <c r="R276" i="17"/>
  <c r="R277" i="17"/>
  <c r="R278" i="17"/>
  <c r="U254" i="17"/>
  <c r="U255" i="17"/>
  <c r="U258" i="17"/>
  <c r="U259" i="17"/>
  <c r="U260" i="17"/>
  <c r="U261" i="17"/>
  <c r="U262" i="17"/>
  <c r="U263" i="17"/>
  <c r="U264" i="17"/>
  <c r="U265" i="17"/>
  <c r="U266" i="17"/>
  <c r="U267" i="17"/>
  <c r="U256" i="17"/>
  <c r="U268" i="17"/>
  <c r="U269" i="17"/>
  <c r="U270" i="17"/>
  <c r="U271" i="17"/>
  <c r="U272" i="17"/>
  <c r="U273" i="17"/>
  <c r="U274" i="17"/>
  <c r="U275" i="17"/>
  <c r="U276" i="17"/>
  <c r="U277" i="17"/>
  <c r="U278" i="17"/>
  <c r="AY278" i="17"/>
  <c r="AX278" i="17"/>
  <c r="AW278" i="17"/>
  <c r="N254" i="17"/>
  <c r="N255" i="17"/>
  <c r="N258" i="17"/>
  <c r="N259" i="17"/>
  <c r="N260" i="17"/>
  <c r="N261" i="17"/>
  <c r="N262" i="17"/>
  <c r="N263" i="17"/>
  <c r="N264" i="17"/>
  <c r="N265" i="17"/>
  <c r="N266" i="17"/>
  <c r="N267" i="17"/>
  <c r="N256" i="17"/>
  <c r="N268" i="17"/>
  <c r="N269" i="17"/>
  <c r="N270" i="17"/>
  <c r="N271" i="17"/>
  <c r="N272" i="17"/>
  <c r="N273" i="17"/>
  <c r="N274" i="17"/>
  <c r="N275" i="17"/>
  <c r="N276" i="17"/>
  <c r="N277" i="17"/>
  <c r="N278" i="17"/>
  <c r="Q254" i="17"/>
  <c r="Q255" i="17"/>
  <c r="Q258" i="17"/>
  <c r="Q259" i="17"/>
  <c r="Q260" i="17"/>
  <c r="Q261" i="17"/>
  <c r="Q262" i="17"/>
  <c r="Q263" i="17"/>
  <c r="Q264" i="17"/>
  <c r="Q265" i="17"/>
  <c r="Q266" i="17"/>
  <c r="Q267" i="17"/>
  <c r="Q256" i="17"/>
  <c r="Q268" i="17"/>
  <c r="Q269" i="17"/>
  <c r="Q270" i="17"/>
  <c r="Q271" i="17"/>
  <c r="Q272" i="17"/>
  <c r="Q273" i="17"/>
  <c r="Q274" i="17"/>
  <c r="Q275" i="17"/>
  <c r="Q276" i="17"/>
  <c r="Q277" i="17"/>
  <c r="Q278" i="17"/>
  <c r="T254" i="17"/>
  <c r="T255" i="17"/>
  <c r="T258" i="17"/>
  <c r="T259" i="17"/>
  <c r="T260" i="17"/>
  <c r="T261" i="17"/>
  <c r="T262" i="17"/>
  <c r="T263" i="17"/>
  <c r="T264" i="17"/>
  <c r="T265" i="17"/>
  <c r="T266" i="17"/>
  <c r="T267" i="17"/>
  <c r="T256" i="17"/>
  <c r="T268" i="17"/>
  <c r="T269" i="17"/>
  <c r="T270" i="17"/>
  <c r="T271" i="17"/>
  <c r="T272" i="17"/>
  <c r="T273" i="17"/>
  <c r="T274" i="17"/>
  <c r="T275" i="17"/>
  <c r="T276" i="17"/>
  <c r="T277" i="17"/>
  <c r="T278" i="17"/>
  <c r="AS278" i="17"/>
  <c r="AR278" i="17"/>
  <c r="AQ278" i="17"/>
  <c r="AC278" i="17"/>
  <c r="AB278" i="17"/>
  <c r="AA278" i="17"/>
  <c r="U253" i="17"/>
  <c r="T253" i="17"/>
  <c r="R253" i="17"/>
  <c r="Q253" i="17"/>
  <c r="O253" i="17"/>
  <c r="N253" i="17"/>
  <c r="O255" i="18"/>
  <c r="O258" i="18"/>
  <c r="O259" i="18"/>
  <c r="O260" i="18"/>
  <c r="O261" i="18"/>
  <c r="O262" i="18"/>
  <c r="O263" i="18"/>
  <c r="O264" i="18"/>
  <c r="O265" i="18"/>
  <c r="O266" i="18"/>
  <c r="O267" i="18"/>
  <c r="O256" i="18"/>
  <c r="O268" i="18"/>
  <c r="O269" i="18"/>
  <c r="O270" i="18"/>
  <c r="O271" i="18"/>
  <c r="O272" i="18"/>
  <c r="O273" i="18"/>
  <c r="O274" i="18"/>
  <c r="O275" i="18"/>
  <c r="O276" i="18"/>
  <c r="O277" i="18"/>
  <c r="O278" i="18"/>
  <c r="R254" i="18"/>
  <c r="R255" i="18"/>
  <c r="R258" i="18"/>
  <c r="R259" i="18"/>
  <c r="R260" i="18"/>
  <c r="R261" i="18"/>
  <c r="R262" i="18"/>
  <c r="R263" i="18"/>
  <c r="R264" i="18"/>
  <c r="R265" i="18"/>
  <c r="R266" i="18"/>
  <c r="R267" i="18"/>
  <c r="R256" i="18"/>
  <c r="R268" i="18"/>
  <c r="R269" i="18"/>
  <c r="R270" i="18"/>
  <c r="R271" i="18"/>
  <c r="R272" i="18"/>
  <c r="R273" i="18"/>
  <c r="R274" i="18"/>
  <c r="R275" i="18"/>
  <c r="R276" i="18"/>
  <c r="R277" i="18"/>
  <c r="R278" i="18"/>
  <c r="U254" i="18"/>
  <c r="U255" i="18"/>
  <c r="U278" i="18"/>
  <c r="AY278" i="18"/>
  <c r="AX278" i="18"/>
  <c r="AW278" i="18"/>
  <c r="N254" i="18"/>
  <c r="N255" i="18"/>
  <c r="N258" i="18"/>
  <c r="N259" i="18"/>
  <c r="N260" i="18"/>
  <c r="N261" i="18"/>
  <c r="N262" i="18"/>
  <c r="N263" i="18"/>
  <c r="N264" i="18"/>
  <c r="N265" i="18"/>
  <c r="N266" i="18"/>
  <c r="N267" i="18"/>
  <c r="N256" i="18"/>
  <c r="N268" i="18"/>
  <c r="N269" i="18"/>
  <c r="N270" i="18"/>
  <c r="N271" i="18"/>
  <c r="N272" i="18"/>
  <c r="N273" i="18"/>
  <c r="N274" i="18"/>
  <c r="N275" i="18"/>
  <c r="N276" i="18"/>
  <c r="N277" i="18"/>
  <c r="N278" i="18"/>
  <c r="Q254" i="18"/>
  <c r="Q255" i="18"/>
  <c r="Q278" i="18"/>
  <c r="T254" i="18"/>
  <c r="T255" i="18"/>
  <c r="T278" i="18"/>
  <c r="AS278" i="18"/>
  <c r="AR278" i="18"/>
  <c r="AQ278" i="18"/>
  <c r="AC278" i="18"/>
  <c r="AB278" i="18"/>
  <c r="AA278" i="18"/>
  <c r="U277" i="18"/>
  <c r="T277" i="18"/>
  <c r="Q277" i="18"/>
  <c r="U276" i="18"/>
  <c r="T276" i="18"/>
  <c r="Q276" i="18"/>
  <c r="U275" i="18"/>
  <c r="T275" i="18"/>
  <c r="Q275" i="18"/>
  <c r="U274" i="18"/>
  <c r="T274" i="18"/>
  <c r="Q274" i="18"/>
  <c r="U273" i="18"/>
  <c r="T273" i="18"/>
  <c r="Q273" i="18"/>
  <c r="U272" i="18"/>
  <c r="T272" i="18"/>
  <c r="Q272" i="18"/>
  <c r="U271" i="18"/>
  <c r="T271" i="18"/>
  <c r="Q271" i="18"/>
  <c r="U270" i="18"/>
  <c r="T270" i="18"/>
  <c r="Q270" i="18"/>
  <c r="U269" i="18"/>
  <c r="T269" i="18"/>
  <c r="Q269" i="18"/>
  <c r="U268" i="18"/>
  <c r="T268" i="18"/>
  <c r="Q268" i="18"/>
  <c r="U267" i="18"/>
  <c r="T267" i="18"/>
  <c r="Q267" i="18"/>
  <c r="U266" i="18"/>
  <c r="T266" i="18"/>
  <c r="Q266" i="18"/>
  <c r="U265" i="18"/>
  <c r="T265" i="18"/>
  <c r="Q265" i="18"/>
  <c r="U264" i="18"/>
  <c r="T264" i="18"/>
  <c r="Q264" i="18"/>
  <c r="U263" i="18"/>
  <c r="T263" i="18"/>
  <c r="Q263" i="18"/>
  <c r="U262" i="18"/>
  <c r="T262" i="18"/>
  <c r="Q262" i="18"/>
  <c r="U261" i="18"/>
  <c r="T261" i="18"/>
  <c r="Q261" i="18"/>
  <c r="U260" i="18"/>
  <c r="T260" i="18"/>
  <c r="Q260" i="18"/>
  <c r="U259" i="18"/>
  <c r="T259" i="18"/>
  <c r="Q259" i="18"/>
  <c r="U258" i="18"/>
  <c r="T258" i="18"/>
  <c r="Q258" i="18"/>
  <c r="U256" i="18"/>
  <c r="T256" i="18"/>
  <c r="Q256" i="18"/>
  <c r="U253" i="18"/>
  <c r="T253" i="18"/>
  <c r="R253" i="18"/>
  <c r="Q253" i="18"/>
  <c r="O253" i="18"/>
  <c r="N253" i="18"/>
  <c r="O255" i="19"/>
  <c r="O258" i="19"/>
  <c r="O259" i="19"/>
  <c r="O260" i="19"/>
  <c r="O261" i="19"/>
  <c r="O262" i="19"/>
  <c r="O263" i="19"/>
  <c r="O264" i="19"/>
  <c r="O265" i="19"/>
  <c r="O266" i="19"/>
  <c r="O267" i="19"/>
  <c r="O268" i="19"/>
  <c r="O269" i="19"/>
  <c r="O270" i="19"/>
  <c r="O271" i="19"/>
  <c r="O272" i="19"/>
  <c r="O273" i="19"/>
  <c r="O274" i="19"/>
  <c r="O275" i="19"/>
  <c r="O276" i="19"/>
  <c r="O277" i="19"/>
  <c r="O278" i="19"/>
  <c r="R254" i="19"/>
  <c r="R255" i="19"/>
  <c r="R278" i="19"/>
  <c r="U254" i="19"/>
  <c r="U255" i="19"/>
  <c r="U278" i="19"/>
  <c r="AY278" i="19"/>
  <c r="AX278" i="19"/>
  <c r="AW278" i="19"/>
  <c r="N254" i="19"/>
  <c r="N255" i="19"/>
  <c r="N278" i="19"/>
  <c r="Q254" i="19"/>
  <c r="Q255" i="19"/>
  <c r="Q278" i="19"/>
  <c r="T254" i="19"/>
  <c r="T255" i="19"/>
  <c r="T278" i="19"/>
  <c r="AR278" i="19"/>
  <c r="AQ278" i="19"/>
  <c r="AC278" i="19"/>
  <c r="AB278" i="19"/>
  <c r="AA278" i="19"/>
  <c r="U277" i="19"/>
  <c r="T277" i="19"/>
  <c r="R277" i="19"/>
  <c r="Q277" i="19"/>
  <c r="N277" i="19"/>
  <c r="U276" i="19"/>
  <c r="T276" i="19"/>
  <c r="R276" i="19"/>
  <c r="Q276" i="19"/>
  <c r="N276" i="19"/>
  <c r="U275" i="19"/>
  <c r="T275" i="19"/>
  <c r="R275" i="19"/>
  <c r="Q275" i="19"/>
  <c r="N275" i="19"/>
  <c r="U274" i="19"/>
  <c r="T274" i="19"/>
  <c r="R274" i="19"/>
  <c r="Q274" i="19"/>
  <c r="N274" i="19"/>
  <c r="U273" i="19"/>
  <c r="T273" i="19"/>
  <c r="R273" i="19"/>
  <c r="Q273" i="19"/>
  <c r="N273" i="19"/>
  <c r="U272" i="19"/>
  <c r="T272" i="19"/>
  <c r="R272" i="19"/>
  <c r="Q272" i="19"/>
  <c r="N272" i="19"/>
  <c r="U271" i="19"/>
  <c r="T271" i="19"/>
  <c r="R271" i="19"/>
  <c r="Q271" i="19"/>
  <c r="N271" i="19"/>
  <c r="U270" i="19"/>
  <c r="T270" i="19"/>
  <c r="R270" i="19"/>
  <c r="Q270" i="19"/>
  <c r="N270" i="19"/>
  <c r="U269" i="19"/>
  <c r="T269" i="19"/>
  <c r="R269" i="19"/>
  <c r="Q269" i="19"/>
  <c r="N269" i="19"/>
  <c r="U268" i="19"/>
  <c r="T268" i="19"/>
  <c r="R268" i="19"/>
  <c r="Q268" i="19"/>
  <c r="N268" i="19"/>
  <c r="U267" i="19"/>
  <c r="T267" i="19"/>
  <c r="R267" i="19"/>
  <c r="Q267" i="19"/>
  <c r="N267" i="19"/>
  <c r="U266" i="19"/>
  <c r="T266" i="19"/>
  <c r="R266" i="19"/>
  <c r="Q266" i="19"/>
  <c r="N266" i="19"/>
  <c r="U265" i="19"/>
  <c r="T265" i="19"/>
  <c r="R265" i="19"/>
  <c r="Q265" i="19"/>
  <c r="N265" i="19"/>
  <c r="U264" i="19"/>
  <c r="T264" i="19"/>
  <c r="R264" i="19"/>
  <c r="Q264" i="19"/>
  <c r="N264" i="19"/>
  <c r="U263" i="19"/>
  <c r="T263" i="19"/>
  <c r="R263" i="19"/>
  <c r="Q263" i="19"/>
  <c r="N263" i="19"/>
  <c r="U262" i="19"/>
  <c r="T262" i="19"/>
  <c r="R262" i="19"/>
  <c r="Q262" i="19"/>
  <c r="N262" i="19"/>
  <c r="U261" i="19"/>
  <c r="T261" i="19"/>
  <c r="R261" i="19"/>
  <c r="Q261" i="19"/>
  <c r="N261" i="19"/>
  <c r="U260" i="19"/>
  <c r="T260" i="19"/>
  <c r="R260" i="19"/>
  <c r="Q260" i="19"/>
  <c r="N260" i="19"/>
  <c r="U259" i="19"/>
  <c r="T259" i="19"/>
  <c r="R259" i="19"/>
  <c r="Q259" i="19"/>
  <c r="N259" i="19"/>
  <c r="U258" i="19"/>
  <c r="T258" i="19"/>
  <c r="R258" i="19"/>
  <c r="Q258" i="19"/>
  <c r="N258" i="19"/>
  <c r="U256" i="19"/>
  <c r="T256" i="19"/>
  <c r="R256" i="19"/>
  <c r="Q256" i="19"/>
  <c r="O256" i="19"/>
  <c r="N256" i="19"/>
  <c r="U253" i="19"/>
  <c r="T253" i="19"/>
  <c r="R253" i="19"/>
  <c r="Q253" i="19"/>
  <c r="O253" i="19"/>
  <c r="N253" i="19"/>
  <c r="O255" i="3"/>
  <c r="O258" i="3"/>
  <c r="O259" i="3"/>
  <c r="O260" i="3"/>
  <c r="O261" i="3"/>
  <c r="O262" i="3"/>
  <c r="O263" i="3"/>
  <c r="O264" i="3"/>
  <c r="O265" i="3"/>
  <c r="O266" i="3"/>
  <c r="O267" i="3"/>
  <c r="O256" i="3"/>
  <c r="O268" i="3"/>
  <c r="O269" i="3"/>
  <c r="O270" i="3"/>
  <c r="O271" i="3"/>
  <c r="O272" i="3"/>
  <c r="O273" i="3"/>
  <c r="O274" i="3"/>
  <c r="O275" i="3"/>
  <c r="O276" i="3"/>
  <c r="O277" i="3"/>
  <c r="O278" i="3"/>
  <c r="R254" i="3"/>
  <c r="R255" i="3"/>
  <c r="R278" i="3"/>
  <c r="U254" i="3"/>
  <c r="U255" i="3"/>
  <c r="U278" i="3"/>
  <c r="AY278" i="3"/>
  <c r="AX278" i="3"/>
  <c r="AW278" i="3"/>
  <c r="N254" i="3"/>
  <c r="N255" i="3"/>
  <c r="N258" i="3"/>
  <c r="N259" i="3"/>
  <c r="N260" i="3"/>
  <c r="N261" i="3"/>
  <c r="N262" i="3"/>
  <c r="N263" i="3"/>
  <c r="N264" i="3"/>
  <c r="N265" i="3"/>
  <c r="N266" i="3"/>
  <c r="N267" i="3"/>
  <c r="N256" i="3"/>
  <c r="N268" i="3"/>
  <c r="N269" i="3"/>
  <c r="N270" i="3"/>
  <c r="N271" i="3"/>
  <c r="N272" i="3"/>
  <c r="N273" i="3"/>
  <c r="N274" i="3"/>
  <c r="N275" i="3"/>
  <c r="N276" i="3"/>
  <c r="N277" i="3"/>
  <c r="N278" i="3"/>
  <c r="Q254" i="3"/>
  <c r="Q255" i="3"/>
  <c r="Q278" i="3"/>
  <c r="T254" i="3"/>
  <c r="T255" i="3"/>
  <c r="T278" i="3"/>
  <c r="AS278" i="3"/>
  <c r="AR278" i="3"/>
  <c r="AQ278" i="3"/>
  <c r="AC278" i="3"/>
  <c r="AB278" i="3"/>
  <c r="AA278" i="3"/>
  <c r="U277" i="3"/>
  <c r="T277" i="3"/>
  <c r="R277" i="3"/>
  <c r="Q277" i="3"/>
  <c r="U276" i="3"/>
  <c r="T276" i="3"/>
  <c r="R276" i="3"/>
  <c r="Q276" i="3"/>
  <c r="U275" i="3"/>
  <c r="T275" i="3"/>
  <c r="R275" i="3"/>
  <c r="Q275" i="3"/>
  <c r="U274" i="3"/>
  <c r="T274" i="3"/>
  <c r="R274" i="3"/>
  <c r="Q274" i="3"/>
  <c r="U273" i="3"/>
  <c r="T273" i="3"/>
  <c r="R273" i="3"/>
  <c r="Q273" i="3"/>
  <c r="U272" i="3"/>
  <c r="T272" i="3"/>
  <c r="R272" i="3"/>
  <c r="Q272" i="3"/>
  <c r="U271" i="3"/>
  <c r="T271" i="3"/>
  <c r="R271" i="3"/>
  <c r="Q271" i="3"/>
  <c r="U270" i="3"/>
  <c r="T270" i="3"/>
  <c r="R270" i="3"/>
  <c r="Q270" i="3"/>
  <c r="U269" i="3"/>
  <c r="T269" i="3"/>
  <c r="R269" i="3"/>
  <c r="Q269" i="3"/>
  <c r="U268" i="3"/>
  <c r="T268" i="3"/>
  <c r="R268" i="3"/>
  <c r="Q268" i="3"/>
  <c r="U267" i="3"/>
  <c r="T267" i="3"/>
  <c r="R267" i="3"/>
  <c r="Q267" i="3"/>
  <c r="U266" i="3"/>
  <c r="T266" i="3"/>
  <c r="R266" i="3"/>
  <c r="Q266" i="3"/>
  <c r="U265" i="3"/>
  <c r="T265" i="3"/>
  <c r="R265" i="3"/>
  <c r="Q265" i="3"/>
  <c r="U264" i="3"/>
  <c r="T264" i="3"/>
  <c r="R264" i="3"/>
  <c r="Q264" i="3"/>
  <c r="U263" i="3"/>
  <c r="T263" i="3"/>
  <c r="R263" i="3"/>
  <c r="Q263" i="3"/>
  <c r="U262" i="3"/>
  <c r="T262" i="3"/>
  <c r="R262" i="3"/>
  <c r="Q262" i="3"/>
  <c r="U261" i="3"/>
  <c r="T261" i="3"/>
  <c r="R261" i="3"/>
  <c r="Q261" i="3"/>
  <c r="U260" i="3"/>
  <c r="T260" i="3"/>
  <c r="R260" i="3"/>
  <c r="Q260" i="3"/>
  <c r="U259" i="3"/>
  <c r="T259" i="3"/>
  <c r="R259" i="3"/>
  <c r="Q259" i="3"/>
  <c r="U258" i="3"/>
  <c r="T258" i="3"/>
  <c r="R258" i="3"/>
  <c r="Q258" i="3"/>
  <c r="U256" i="3"/>
  <c r="T256" i="3"/>
  <c r="R256" i="3"/>
  <c r="Q256" i="3"/>
  <c r="U253" i="3"/>
  <c r="T253" i="3"/>
  <c r="R253" i="3"/>
  <c r="Q253" i="3"/>
  <c r="O253" i="3"/>
  <c r="N253" i="3"/>
  <c r="N107" i="14"/>
  <c r="O107" i="14"/>
  <c r="P107" i="14"/>
  <c r="P108" i="14" s="1"/>
  <c r="P109" i="14" s="1"/>
  <c r="N101" i="14"/>
  <c r="N102" i="14"/>
  <c r="N103" i="14"/>
  <c r="N104" i="14"/>
  <c r="N105" i="14"/>
  <c r="N106" i="14"/>
  <c r="O101" i="14"/>
  <c r="O102" i="14"/>
  <c r="O103" i="14"/>
  <c r="O104" i="14"/>
  <c r="O105" i="14"/>
  <c r="O106" i="14"/>
  <c r="P106" i="14"/>
  <c r="Q107" i="14"/>
  <c r="R107" i="14"/>
  <c r="S107" i="14"/>
  <c r="Q101" i="14"/>
  <c r="Q102" i="14"/>
  <c r="Q103" i="14"/>
  <c r="Q104" i="14"/>
  <c r="Q105" i="14"/>
  <c r="Q106" i="14"/>
  <c r="R101" i="14"/>
  <c r="R102" i="14"/>
  <c r="R103" i="14"/>
  <c r="R104" i="14"/>
  <c r="R105" i="14"/>
  <c r="R106" i="14"/>
  <c r="S106" i="14"/>
  <c r="T107" i="14"/>
  <c r="U107" i="14"/>
  <c r="V107" i="14"/>
  <c r="V108" i="14" s="1"/>
  <c r="V109" i="14" s="1"/>
  <c r="P111" i="14"/>
  <c r="P112" i="14"/>
  <c r="P116" i="14"/>
  <c r="P113" i="14"/>
  <c r="P114" i="14"/>
  <c r="P117" i="14"/>
  <c r="P119" i="14"/>
  <c r="P121" i="14"/>
  <c r="P122" i="14"/>
  <c r="S111" i="14"/>
  <c r="S112" i="14"/>
  <c r="S116" i="14"/>
  <c r="S113" i="14"/>
  <c r="S114" i="14"/>
  <c r="S117" i="14"/>
  <c r="S119" i="14"/>
  <c r="S120" i="14"/>
  <c r="S121" i="14"/>
  <c r="S122" i="14"/>
  <c r="V124" i="14"/>
  <c r="V111" i="14"/>
  <c r="V112" i="14"/>
  <c r="V116" i="14"/>
  <c r="V113" i="14"/>
  <c r="V114" i="14"/>
  <c r="V117" i="14"/>
  <c r="V119" i="14"/>
  <c r="V120" i="14"/>
  <c r="V121" i="14"/>
  <c r="V122" i="14"/>
  <c r="X30" i="14"/>
  <c r="X31" i="14"/>
  <c r="AZ31" i="14" s="1"/>
  <c r="W32" i="14"/>
  <c r="AT32" i="14" s="1"/>
  <c r="L124" i="14"/>
  <c r="Y122" i="14"/>
  <c r="Y121" i="14"/>
  <c r="P120" i="14"/>
  <c r="Y120" i="14"/>
  <c r="Y119" i="14"/>
  <c r="Y117" i="14"/>
  <c r="Y116" i="14"/>
  <c r="U108" i="14"/>
  <c r="T108" i="14"/>
  <c r="R108" i="14"/>
  <c r="Q108" i="14"/>
  <c r="O108" i="14"/>
  <c r="N108" i="14"/>
  <c r="T101" i="14"/>
  <c r="T102" i="14"/>
  <c r="T103" i="14"/>
  <c r="T104" i="14"/>
  <c r="T105" i="14"/>
  <c r="T106" i="14"/>
  <c r="U101" i="14"/>
  <c r="U102" i="14"/>
  <c r="U103" i="14"/>
  <c r="U104" i="14"/>
  <c r="U105" i="14"/>
  <c r="U106" i="14"/>
  <c r="V106" i="14"/>
  <c r="P105" i="14"/>
  <c r="S105" i="14"/>
  <c r="Y105" i="14" s="1"/>
  <c r="V105" i="14"/>
  <c r="P104" i="14"/>
  <c r="S104" i="14"/>
  <c r="V104" i="14"/>
  <c r="P103" i="14"/>
  <c r="S103" i="14"/>
  <c r="V103" i="14"/>
  <c r="P102" i="14"/>
  <c r="S102" i="14"/>
  <c r="V102" i="14"/>
  <c r="Y102" i="14"/>
  <c r="V101" i="14"/>
  <c r="S101" i="14"/>
  <c r="P101" i="14"/>
  <c r="N107" i="15"/>
  <c r="O107" i="15"/>
  <c r="P107" i="15"/>
  <c r="N101" i="15"/>
  <c r="N102" i="15"/>
  <c r="N103" i="15"/>
  <c r="N104" i="15"/>
  <c r="N105" i="15"/>
  <c r="N106" i="15"/>
  <c r="O101" i="15"/>
  <c r="O102" i="15"/>
  <c r="O103" i="15"/>
  <c r="O104" i="15"/>
  <c r="O105" i="15"/>
  <c r="O106" i="15"/>
  <c r="P106" i="15"/>
  <c r="Q107" i="15"/>
  <c r="R107" i="15"/>
  <c r="S107" i="15"/>
  <c r="S108" i="15" s="1"/>
  <c r="S109" i="15" s="1"/>
  <c r="T107" i="15"/>
  <c r="U107" i="15"/>
  <c r="V107" i="15"/>
  <c r="V108" i="15" s="1"/>
  <c r="V109" i="15" s="1"/>
  <c r="V129" i="15" s="1"/>
  <c r="V132" i="15" s="1"/>
  <c r="V133" i="15" s="1"/>
  <c r="P111" i="15"/>
  <c r="P112" i="15"/>
  <c r="P116" i="15"/>
  <c r="P113" i="15"/>
  <c r="P114" i="15"/>
  <c r="P117" i="15"/>
  <c r="P119" i="15"/>
  <c r="P120" i="15"/>
  <c r="P121" i="15"/>
  <c r="P122" i="15"/>
  <c r="S124" i="15"/>
  <c r="V124" i="15"/>
  <c r="S111" i="15"/>
  <c r="S112" i="15"/>
  <c r="S116" i="15"/>
  <c r="S113" i="15"/>
  <c r="S114" i="15"/>
  <c r="S117" i="15"/>
  <c r="S119" i="15"/>
  <c r="S120" i="15"/>
  <c r="S121" i="15"/>
  <c r="S122" i="15"/>
  <c r="V111" i="15"/>
  <c r="V112" i="15"/>
  <c r="V116" i="15"/>
  <c r="V113" i="15"/>
  <c r="V114" i="15"/>
  <c r="V117" i="15"/>
  <c r="V119" i="15"/>
  <c r="V120" i="15"/>
  <c r="V121" i="15"/>
  <c r="V122" i="15"/>
  <c r="X30" i="15"/>
  <c r="X31" i="15"/>
  <c r="W32" i="15"/>
  <c r="L124" i="15"/>
  <c r="Y122" i="15"/>
  <c r="Y121" i="15"/>
  <c r="Y120" i="15"/>
  <c r="Y119" i="15"/>
  <c r="Y117" i="15"/>
  <c r="Y116" i="15"/>
  <c r="U108" i="15"/>
  <c r="T108" i="15"/>
  <c r="R108" i="15"/>
  <c r="Q108" i="15"/>
  <c r="O108" i="15"/>
  <c r="N108" i="15"/>
  <c r="T101" i="15"/>
  <c r="T102" i="15"/>
  <c r="T103" i="15"/>
  <c r="T104" i="15"/>
  <c r="T105" i="15"/>
  <c r="T106" i="15"/>
  <c r="U101" i="15"/>
  <c r="U102" i="15"/>
  <c r="U103" i="15"/>
  <c r="U104" i="15"/>
  <c r="U105" i="15"/>
  <c r="U106" i="15"/>
  <c r="V106" i="15"/>
  <c r="Q101" i="15"/>
  <c r="Q102" i="15"/>
  <c r="Q103" i="15"/>
  <c r="Q104" i="15"/>
  <c r="Q105" i="15"/>
  <c r="Q106" i="15"/>
  <c r="R101" i="15"/>
  <c r="R102" i="15"/>
  <c r="R103" i="15"/>
  <c r="R104" i="15"/>
  <c r="R105" i="15"/>
  <c r="R106" i="15"/>
  <c r="S106" i="15"/>
  <c r="P105" i="15"/>
  <c r="S105" i="15"/>
  <c r="V105" i="15"/>
  <c r="P104" i="15"/>
  <c r="S104" i="15"/>
  <c r="V104" i="15"/>
  <c r="P103" i="15"/>
  <c r="S103" i="15"/>
  <c r="V103" i="15"/>
  <c r="P102" i="15"/>
  <c r="S102" i="15"/>
  <c r="V102" i="15"/>
  <c r="Y102" i="15"/>
  <c r="V101" i="15"/>
  <c r="S101" i="15"/>
  <c r="P101" i="15"/>
  <c r="N107" i="16"/>
  <c r="O107" i="16"/>
  <c r="P107" i="16"/>
  <c r="Q107" i="16"/>
  <c r="R107" i="16"/>
  <c r="S107" i="16"/>
  <c r="S108" i="16" s="1"/>
  <c r="Q101" i="16"/>
  <c r="Q102" i="16"/>
  <c r="Q103" i="16"/>
  <c r="Q104" i="16"/>
  <c r="Q105" i="16"/>
  <c r="R101" i="16"/>
  <c r="R102" i="16"/>
  <c r="R103" i="16"/>
  <c r="R104" i="16"/>
  <c r="R105" i="16"/>
  <c r="T107" i="16"/>
  <c r="U107" i="16"/>
  <c r="V107" i="16"/>
  <c r="V108" i="16" s="1"/>
  <c r="V109" i="16" s="1"/>
  <c r="P124" i="16"/>
  <c r="S111" i="16"/>
  <c r="S112" i="16"/>
  <c r="S116" i="16"/>
  <c r="S113" i="16"/>
  <c r="S114" i="16"/>
  <c r="S117" i="16"/>
  <c r="S119" i="16"/>
  <c r="S121" i="16"/>
  <c r="S122" i="16"/>
  <c r="V124" i="16"/>
  <c r="P111" i="16"/>
  <c r="P112" i="16"/>
  <c r="P116" i="16"/>
  <c r="P113" i="16"/>
  <c r="P114" i="16"/>
  <c r="P117" i="16"/>
  <c r="P119" i="16"/>
  <c r="P120" i="16"/>
  <c r="P121" i="16"/>
  <c r="P122" i="16"/>
  <c r="V111" i="16"/>
  <c r="V112" i="16"/>
  <c r="V116" i="16"/>
  <c r="V113" i="16"/>
  <c r="V114" i="16"/>
  <c r="V117" i="16"/>
  <c r="V119" i="16"/>
  <c r="V120" i="16"/>
  <c r="V121" i="16"/>
  <c r="V122" i="16"/>
  <c r="V127" i="16"/>
  <c r="X30" i="16"/>
  <c r="Y30" i="16" s="1"/>
  <c r="X31" i="16"/>
  <c r="W32" i="16"/>
  <c r="L124" i="16"/>
  <c r="Y122" i="16"/>
  <c r="Y121" i="16"/>
  <c r="S120" i="16"/>
  <c r="Y120" i="16"/>
  <c r="Y119" i="16"/>
  <c r="Y117" i="16"/>
  <c r="Y130" i="16" s="1"/>
  <c r="Y116" i="16"/>
  <c r="U108" i="16"/>
  <c r="T108" i="16"/>
  <c r="R108" i="16"/>
  <c r="Q108" i="16"/>
  <c r="O108" i="16"/>
  <c r="N108" i="16"/>
  <c r="T101" i="16"/>
  <c r="T102" i="16"/>
  <c r="T103" i="16"/>
  <c r="T104" i="16"/>
  <c r="T105" i="16"/>
  <c r="T106" i="16"/>
  <c r="U101" i="16"/>
  <c r="U102" i="16"/>
  <c r="U103" i="16"/>
  <c r="U104" i="16"/>
  <c r="U105" i="16"/>
  <c r="U106" i="16"/>
  <c r="V106" i="16"/>
  <c r="N101" i="16"/>
  <c r="N102" i="16"/>
  <c r="N103" i="16"/>
  <c r="N104" i="16"/>
  <c r="N105" i="16"/>
  <c r="N106" i="16"/>
  <c r="O101" i="16"/>
  <c r="O102" i="16"/>
  <c r="O103" i="16"/>
  <c r="O104" i="16"/>
  <c r="O105" i="16"/>
  <c r="O106" i="16"/>
  <c r="P106" i="16"/>
  <c r="P105" i="16"/>
  <c r="Y105" i="16" s="1"/>
  <c r="S105" i="16"/>
  <c r="V105" i="16"/>
  <c r="P104" i="16"/>
  <c r="Y104" i="16" s="1"/>
  <c r="S104" i="16"/>
  <c r="V104" i="16"/>
  <c r="P103" i="16"/>
  <c r="S103" i="16"/>
  <c r="V103" i="16"/>
  <c r="P102" i="16"/>
  <c r="S102" i="16"/>
  <c r="V102" i="16"/>
  <c r="Y102" i="16"/>
  <c r="V101" i="16"/>
  <c r="S101" i="16"/>
  <c r="P101" i="16"/>
  <c r="N107" i="17"/>
  <c r="O107" i="17"/>
  <c r="P107" i="17"/>
  <c r="P108" i="17" s="1"/>
  <c r="P109" i="17" s="1"/>
  <c r="N101" i="17"/>
  <c r="N102" i="17"/>
  <c r="N103" i="17"/>
  <c r="N104" i="17"/>
  <c r="N105" i="17"/>
  <c r="O101" i="17"/>
  <c r="O102" i="17"/>
  <c r="O103" i="17"/>
  <c r="O104" i="17"/>
  <c r="O105" i="17"/>
  <c r="Q107" i="17"/>
  <c r="R107" i="17"/>
  <c r="S107" i="17"/>
  <c r="Q101" i="17"/>
  <c r="Q102" i="17"/>
  <c r="Q103" i="17"/>
  <c r="Q104" i="17"/>
  <c r="Q105" i="17"/>
  <c r="R101" i="17"/>
  <c r="R102" i="17"/>
  <c r="R103" i="17"/>
  <c r="R104" i="17"/>
  <c r="R105" i="17"/>
  <c r="T107" i="17"/>
  <c r="U107" i="17"/>
  <c r="V107" i="17"/>
  <c r="V108" i="17" s="1"/>
  <c r="V109" i="17" s="1"/>
  <c r="V129" i="17" s="1"/>
  <c r="V132" i="17" s="1"/>
  <c r="V133" i="17" s="1"/>
  <c r="T101" i="17"/>
  <c r="T102" i="17"/>
  <c r="T103" i="17"/>
  <c r="T104" i="17"/>
  <c r="T105" i="17"/>
  <c r="U101" i="17"/>
  <c r="U102" i="17"/>
  <c r="U103" i="17"/>
  <c r="U104" i="17"/>
  <c r="U105" i="17"/>
  <c r="P111" i="17"/>
  <c r="P112" i="17"/>
  <c r="P116" i="17"/>
  <c r="P113" i="17"/>
  <c r="P114" i="17"/>
  <c r="P117" i="17"/>
  <c r="P119" i="17"/>
  <c r="P120" i="17"/>
  <c r="P121" i="17"/>
  <c r="P122" i="17"/>
  <c r="S111" i="17"/>
  <c r="S112" i="17"/>
  <c r="S116" i="17"/>
  <c r="S113" i="17"/>
  <c r="S114" i="17"/>
  <c r="S117" i="17"/>
  <c r="S119" i="17"/>
  <c r="S120" i="17"/>
  <c r="S121" i="17"/>
  <c r="S122" i="17"/>
  <c r="V111" i="17"/>
  <c r="V112" i="17"/>
  <c r="V116" i="17"/>
  <c r="V113" i="17"/>
  <c r="V114" i="17"/>
  <c r="V117" i="17"/>
  <c r="V119" i="17"/>
  <c r="V120" i="17"/>
  <c r="V121" i="17"/>
  <c r="V122" i="17"/>
  <c r="X30" i="17"/>
  <c r="X31" i="17"/>
  <c r="W32" i="17"/>
  <c r="L124" i="17"/>
  <c r="Y122" i="17"/>
  <c r="Y121" i="17"/>
  <c r="Y120" i="17"/>
  <c r="Y119" i="17"/>
  <c r="Y117" i="17"/>
  <c r="Y116" i="17"/>
  <c r="U108" i="17"/>
  <c r="T108" i="17"/>
  <c r="R108" i="17"/>
  <c r="Q108" i="17"/>
  <c r="O108" i="17"/>
  <c r="N108" i="17"/>
  <c r="P105" i="17"/>
  <c r="Y105" i="17" s="1"/>
  <c r="S105" i="17"/>
  <c r="V105" i="17"/>
  <c r="P104" i="17"/>
  <c r="S104" i="17"/>
  <c r="V104" i="17"/>
  <c r="P103" i="17"/>
  <c r="S103" i="17"/>
  <c r="V103" i="17"/>
  <c r="P102" i="17"/>
  <c r="S102" i="17"/>
  <c r="V102" i="17"/>
  <c r="Y102" i="17"/>
  <c r="V101" i="17"/>
  <c r="S101" i="17"/>
  <c r="P101" i="17"/>
  <c r="N107" i="18"/>
  <c r="O107" i="18"/>
  <c r="P107" i="18"/>
  <c r="N101" i="18"/>
  <c r="N102" i="18"/>
  <c r="N103" i="18"/>
  <c r="N104" i="18"/>
  <c r="N105" i="18"/>
  <c r="O101" i="18"/>
  <c r="O102" i="18"/>
  <c r="O103" i="18"/>
  <c r="O104" i="18"/>
  <c r="O105" i="18"/>
  <c r="Q107" i="18"/>
  <c r="R107" i="18"/>
  <c r="S107" i="18"/>
  <c r="S108" i="18" s="1"/>
  <c r="S109" i="18" s="1"/>
  <c r="Q101" i="18"/>
  <c r="Q102" i="18"/>
  <c r="Q103" i="18"/>
  <c r="Q104" i="18"/>
  <c r="Q105" i="18"/>
  <c r="R101" i="18"/>
  <c r="R102" i="18"/>
  <c r="R103" i="18"/>
  <c r="R104" i="18"/>
  <c r="R105" i="18"/>
  <c r="T107" i="18"/>
  <c r="U107" i="18"/>
  <c r="V107" i="18"/>
  <c r="S129" i="18"/>
  <c r="S132" i="18" s="1"/>
  <c r="S133" i="18" s="1"/>
  <c r="P111" i="18"/>
  <c r="P112" i="18"/>
  <c r="P116" i="18"/>
  <c r="P113" i="18"/>
  <c r="P114" i="18"/>
  <c r="P117" i="18"/>
  <c r="P119" i="18"/>
  <c r="P120" i="18"/>
  <c r="P121" i="18"/>
  <c r="P122" i="18"/>
  <c r="S111" i="18"/>
  <c r="S112" i="18"/>
  <c r="S116" i="18"/>
  <c r="S113" i="18"/>
  <c r="S114" i="18"/>
  <c r="S117" i="18"/>
  <c r="S119" i="18"/>
  <c r="S120" i="18"/>
  <c r="S121" i="18"/>
  <c r="S122" i="18"/>
  <c r="S124" i="18"/>
  <c r="V124" i="18"/>
  <c r="S125" i="18"/>
  <c r="V111" i="18"/>
  <c r="V112" i="18"/>
  <c r="V116" i="18"/>
  <c r="V113" i="18"/>
  <c r="V114" i="18"/>
  <c r="V117" i="18"/>
  <c r="V119" i="18"/>
  <c r="V120" i="18"/>
  <c r="V121" i="18"/>
  <c r="V122" i="18"/>
  <c r="S126" i="18"/>
  <c r="S127" i="18"/>
  <c r="X30" i="18"/>
  <c r="X31" i="18"/>
  <c r="W32" i="18"/>
  <c r="L124" i="18"/>
  <c r="Y122" i="18"/>
  <c r="Y121" i="18"/>
  <c r="Y120" i="18"/>
  <c r="Y119" i="18"/>
  <c r="Y117" i="18"/>
  <c r="Y116" i="18"/>
  <c r="U108" i="18"/>
  <c r="T108" i="18"/>
  <c r="R108" i="18"/>
  <c r="Q108" i="18"/>
  <c r="O108" i="18"/>
  <c r="N108" i="18"/>
  <c r="T101" i="18"/>
  <c r="T102" i="18"/>
  <c r="T103" i="18"/>
  <c r="T104" i="18"/>
  <c r="T105" i="18"/>
  <c r="T106" i="18"/>
  <c r="U101" i="18"/>
  <c r="U102" i="18"/>
  <c r="U103" i="18"/>
  <c r="U104" i="18"/>
  <c r="U105" i="18"/>
  <c r="U106" i="18"/>
  <c r="V106" i="18"/>
  <c r="P105" i="18"/>
  <c r="S105" i="18"/>
  <c r="V105" i="18"/>
  <c r="P104" i="18"/>
  <c r="S104" i="18"/>
  <c r="V104" i="18"/>
  <c r="P103" i="18"/>
  <c r="S103" i="18"/>
  <c r="V103" i="18"/>
  <c r="P102" i="18"/>
  <c r="S102" i="18"/>
  <c r="V102" i="18"/>
  <c r="Y102" i="18"/>
  <c r="V101" i="18"/>
  <c r="S101" i="18"/>
  <c r="P101" i="18"/>
  <c r="N107" i="19"/>
  <c r="O107" i="19"/>
  <c r="P107" i="19"/>
  <c r="P108" i="19" s="1"/>
  <c r="P109" i="19" s="1"/>
  <c r="P129" i="19" s="1"/>
  <c r="P132" i="19" s="1"/>
  <c r="P133" i="19" s="1"/>
  <c r="Q107" i="19"/>
  <c r="R107" i="19"/>
  <c r="S107" i="19"/>
  <c r="S108" i="19" s="1"/>
  <c r="S109" i="19" s="1"/>
  <c r="T107" i="19"/>
  <c r="U107" i="19"/>
  <c r="V107" i="19"/>
  <c r="V108" i="19" s="1"/>
  <c r="V109" i="19" s="1"/>
  <c r="P124" i="19"/>
  <c r="S124" i="19"/>
  <c r="V124" i="19"/>
  <c r="P111" i="19"/>
  <c r="P112" i="19"/>
  <c r="P116" i="19"/>
  <c r="P113" i="19"/>
  <c r="P114" i="19"/>
  <c r="P117" i="19"/>
  <c r="P119" i="19"/>
  <c r="P120" i="19"/>
  <c r="P121" i="19"/>
  <c r="P122" i="19"/>
  <c r="S111" i="19"/>
  <c r="S112" i="19"/>
  <c r="S116" i="19"/>
  <c r="S113" i="19"/>
  <c r="S114" i="19"/>
  <c r="S117" i="19"/>
  <c r="S119" i="19"/>
  <c r="S120" i="19"/>
  <c r="S121" i="19"/>
  <c r="S122" i="19"/>
  <c r="V111" i="19"/>
  <c r="V112" i="19"/>
  <c r="V116" i="19"/>
  <c r="V113" i="19"/>
  <c r="V114" i="19"/>
  <c r="V117" i="19"/>
  <c r="V119" i="19"/>
  <c r="V120" i="19"/>
  <c r="V121" i="19"/>
  <c r="V122" i="19"/>
  <c r="X30" i="19"/>
  <c r="X31" i="19"/>
  <c r="W32" i="19"/>
  <c r="L124" i="19"/>
  <c r="Y122" i="19"/>
  <c r="Y121" i="19"/>
  <c r="Y120" i="19"/>
  <c r="Y119" i="19"/>
  <c r="Y117" i="19"/>
  <c r="Y116" i="19"/>
  <c r="U108" i="19"/>
  <c r="T108" i="19"/>
  <c r="R108" i="19"/>
  <c r="Q108" i="19"/>
  <c r="O108" i="19"/>
  <c r="N108" i="19"/>
  <c r="T101" i="19"/>
  <c r="T102" i="19"/>
  <c r="T103" i="19"/>
  <c r="T104" i="19"/>
  <c r="T105" i="19"/>
  <c r="T106" i="19"/>
  <c r="U101" i="19"/>
  <c r="U102" i="19"/>
  <c r="U103" i="19"/>
  <c r="U104" i="19"/>
  <c r="U105" i="19"/>
  <c r="U106" i="19"/>
  <c r="V106" i="19"/>
  <c r="Q101" i="19"/>
  <c r="Q102" i="19"/>
  <c r="Q103" i="19"/>
  <c r="Q104" i="19"/>
  <c r="Q105" i="19"/>
  <c r="Q106" i="19"/>
  <c r="R101" i="19"/>
  <c r="R102" i="19"/>
  <c r="R103" i="19"/>
  <c r="R104" i="19"/>
  <c r="R105" i="19"/>
  <c r="R106" i="19"/>
  <c r="S106" i="19"/>
  <c r="N101" i="19"/>
  <c r="N102" i="19"/>
  <c r="N103" i="19"/>
  <c r="N104" i="19"/>
  <c r="N105" i="19"/>
  <c r="N106" i="19"/>
  <c r="O101" i="19"/>
  <c r="O102" i="19"/>
  <c r="O103" i="19"/>
  <c r="O104" i="19"/>
  <c r="O105" i="19"/>
  <c r="O106" i="19"/>
  <c r="P106" i="19"/>
  <c r="P105" i="19"/>
  <c r="S105" i="19"/>
  <c r="V105" i="19"/>
  <c r="P104" i="19"/>
  <c r="S104" i="19"/>
  <c r="V104" i="19"/>
  <c r="P103" i="19"/>
  <c r="S103" i="19"/>
  <c r="V103" i="19"/>
  <c r="P102" i="19"/>
  <c r="S102" i="19"/>
  <c r="V102" i="19"/>
  <c r="Y102" i="19"/>
  <c r="V101" i="19"/>
  <c r="S101" i="19"/>
  <c r="P101" i="19"/>
  <c r="N107" i="3"/>
  <c r="O107" i="3"/>
  <c r="P107" i="3"/>
  <c r="N101" i="3"/>
  <c r="N102" i="3"/>
  <c r="N103" i="3"/>
  <c r="N104" i="3"/>
  <c r="N105" i="3"/>
  <c r="N106" i="3"/>
  <c r="O101" i="3"/>
  <c r="O102" i="3"/>
  <c r="O103" i="3"/>
  <c r="O104" i="3"/>
  <c r="O105" i="3"/>
  <c r="O106" i="3"/>
  <c r="P106" i="3"/>
  <c r="P108" i="3" s="1"/>
  <c r="P109" i="3" s="1"/>
  <c r="Q107" i="3"/>
  <c r="R107" i="3"/>
  <c r="S107" i="3"/>
  <c r="S108" i="3" s="1"/>
  <c r="S109" i="3" s="1"/>
  <c r="S129" i="3" s="1"/>
  <c r="S132" i="3" s="1"/>
  <c r="S133" i="3" s="1"/>
  <c r="T107" i="3"/>
  <c r="U107" i="3"/>
  <c r="V107" i="3"/>
  <c r="V108" i="3" s="1"/>
  <c r="V109" i="3" s="1"/>
  <c r="V125" i="3" s="1"/>
  <c r="P111" i="3"/>
  <c r="P112" i="3"/>
  <c r="P116" i="3"/>
  <c r="P113" i="3"/>
  <c r="P114" i="3"/>
  <c r="P117" i="3"/>
  <c r="P119" i="3"/>
  <c r="P121" i="3"/>
  <c r="P122" i="3"/>
  <c r="S124" i="3"/>
  <c r="V124" i="3"/>
  <c r="S111" i="3"/>
  <c r="S112" i="3"/>
  <c r="S116" i="3"/>
  <c r="S113" i="3"/>
  <c r="S114" i="3"/>
  <c r="S117" i="3"/>
  <c r="S119" i="3"/>
  <c r="S120" i="3"/>
  <c r="S121" i="3"/>
  <c r="S122" i="3"/>
  <c r="V111" i="3"/>
  <c r="V112" i="3"/>
  <c r="V116" i="3"/>
  <c r="V113" i="3"/>
  <c r="V114" i="3"/>
  <c r="V117" i="3"/>
  <c r="V119" i="3"/>
  <c r="V120" i="3"/>
  <c r="V121" i="3"/>
  <c r="V122" i="3"/>
  <c r="X30" i="3"/>
  <c r="X31" i="3"/>
  <c r="W32" i="3"/>
  <c r="Y32" i="3" s="1"/>
  <c r="L124" i="3"/>
  <c r="Y122" i="3"/>
  <c r="Y121" i="3"/>
  <c r="P120" i="3"/>
  <c r="Y120" i="3"/>
  <c r="Y119" i="3"/>
  <c r="Y117" i="3"/>
  <c r="Y116" i="3"/>
  <c r="U108" i="3"/>
  <c r="T108" i="3"/>
  <c r="R108" i="3"/>
  <c r="Q108" i="3"/>
  <c r="O108" i="3"/>
  <c r="N108" i="3"/>
  <c r="T101" i="3"/>
  <c r="T102" i="3"/>
  <c r="T103" i="3"/>
  <c r="T104" i="3"/>
  <c r="T105" i="3"/>
  <c r="T106" i="3"/>
  <c r="U101" i="3"/>
  <c r="U102" i="3"/>
  <c r="U103" i="3"/>
  <c r="U104" i="3"/>
  <c r="U105" i="3"/>
  <c r="U106" i="3"/>
  <c r="V106" i="3"/>
  <c r="Q101" i="3"/>
  <c r="Q102" i="3"/>
  <c r="Q103" i="3"/>
  <c r="Q104" i="3"/>
  <c r="Q105" i="3"/>
  <c r="Q106" i="3"/>
  <c r="R101" i="3"/>
  <c r="R102" i="3"/>
  <c r="R103" i="3"/>
  <c r="R104" i="3"/>
  <c r="R105" i="3"/>
  <c r="R106" i="3"/>
  <c r="S106" i="3"/>
  <c r="P105" i="3"/>
  <c r="Y105" i="3" s="1"/>
  <c r="S105" i="3"/>
  <c r="V105" i="3"/>
  <c r="P104" i="3"/>
  <c r="S104" i="3"/>
  <c r="V104" i="3"/>
  <c r="P103" i="3"/>
  <c r="S103" i="3"/>
  <c r="V103" i="3"/>
  <c r="P102" i="3"/>
  <c r="S102" i="3"/>
  <c r="V102" i="3"/>
  <c r="Y102" i="3"/>
  <c r="V101" i="3"/>
  <c r="S101" i="3"/>
  <c r="P101" i="3"/>
  <c r="N550" i="8"/>
  <c r="N551" i="8"/>
  <c r="N552" i="8"/>
  <c r="N553" i="8"/>
  <c r="N554" i="8"/>
  <c r="N556" i="8"/>
  <c r="N557" i="8"/>
  <c r="N558" i="8"/>
  <c r="Q550" i="8"/>
  <c r="Q551" i="8"/>
  <c r="Q552" i="8"/>
  <c r="Q553" i="8"/>
  <c r="Q554" i="8"/>
  <c r="Q556" i="8"/>
  <c r="Q557" i="8"/>
  <c r="Q558" i="8"/>
  <c r="T550" i="8"/>
  <c r="O550" i="8"/>
  <c r="O551" i="8"/>
  <c r="O552" i="8"/>
  <c r="O553" i="8"/>
  <c r="O554" i="8"/>
  <c r="O556" i="8"/>
  <c r="O557" i="8"/>
  <c r="O558" i="8"/>
  <c r="R550" i="8"/>
  <c r="R551" i="8"/>
  <c r="R552" i="8"/>
  <c r="R553" i="8"/>
  <c r="R554" i="8"/>
  <c r="R556" i="8"/>
  <c r="R557" i="8"/>
  <c r="R558" i="8"/>
  <c r="U550" i="8"/>
  <c r="U551" i="8"/>
  <c r="U552" i="8"/>
  <c r="U553" i="8"/>
  <c r="U554" i="8"/>
  <c r="U556" i="8"/>
  <c r="U557" i="8"/>
  <c r="U558" i="8"/>
  <c r="T551" i="8"/>
  <c r="T552" i="8"/>
  <c r="T553" i="8"/>
  <c r="T554" i="8"/>
  <c r="T556" i="8"/>
  <c r="T557" i="8"/>
  <c r="T558" i="8"/>
  <c r="N550" i="9"/>
  <c r="Q550" i="9"/>
  <c r="T550" i="9"/>
  <c r="O550" i="9"/>
  <c r="O551" i="9"/>
  <c r="O552" i="9"/>
  <c r="O553" i="9"/>
  <c r="O554" i="9"/>
  <c r="O556" i="9"/>
  <c r="O557" i="9"/>
  <c r="O558" i="9"/>
  <c r="R550" i="9"/>
  <c r="U550" i="9"/>
  <c r="R551" i="9"/>
  <c r="R552" i="9"/>
  <c r="R553" i="9"/>
  <c r="R554" i="9"/>
  <c r="R556" i="9"/>
  <c r="R557" i="9"/>
  <c r="R558" i="9"/>
  <c r="U551" i="9"/>
  <c r="U552" i="9"/>
  <c r="U553" i="9"/>
  <c r="U554" i="9"/>
  <c r="U556" i="9"/>
  <c r="U557" i="9"/>
  <c r="U558" i="9"/>
  <c r="N551" i="9"/>
  <c r="N552" i="9"/>
  <c r="N553" i="9"/>
  <c r="N554" i="9"/>
  <c r="N556" i="9"/>
  <c r="N557" i="9"/>
  <c r="N558" i="9"/>
  <c r="Q551" i="9"/>
  <c r="Q552" i="9"/>
  <c r="Q553" i="9"/>
  <c r="Q554" i="9"/>
  <c r="Q556" i="9"/>
  <c r="Q557" i="9"/>
  <c r="Q558" i="9"/>
  <c r="T551" i="9"/>
  <c r="T552" i="9"/>
  <c r="T553" i="9"/>
  <c r="T554" i="9"/>
  <c r="T556" i="9"/>
  <c r="T557" i="9"/>
  <c r="T558" i="9"/>
  <c r="N550" i="10"/>
  <c r="Q550" i="10"/>
  <c r="Q551" i="10"/>
  <c r="Q552" i="10"/>
  <c r="Q553" i="10"/>
  <c r="Q554" i="10"/>
  <c r="Q556" i="10"/>
  <c r="Q557" i="10"/>
  <c r="Q558" i="10"/>
  <c r="T550" i="10"/>
  <c r="O550" i="10"/>
  <c r="O551" i="10"/>
  <c r="O552" i="10"/>
  <c r="O553" i="10"/>
  <c r="O554" i="10"/>
  <c r="O556" i="10"/>
  <c r="O557" i="10"/>
  <c r="O558" i="10"/>
  <c r="R550" i="10"/>
  <c r="R551" i="10"/>
  <c r="R552" i="10"/>
  <c r="R553" i="10"/>
  <c r="R554" i="10"/>
  <c r="R556" i="10"/>
  <c r="R557" i="10"/>
  <c r="R558" i="10"/>
  <c r="U550" i="10"/>
  <c r="U551" i="10"/>
  <c r="U552" i="10"/>
  <c r="U553" i="10"/>
  <c r="U554" i="10"/>
  <c r="U556" i="10"/>
  <c r="U557" i="10"/>
  <c r="U558" i="10"/>
  <c r="N551" i="10"/>
  <c r="N552" i="10"/>
  <c r="N553" i="10"/>
  <c r="N554" i="10"/>
  <c r="N556" i="10"/>
  <c r="N557" i="10"/>
  <c r="N558" i="10"/>
  <c r="T551" i="10"/>
  <c r="T552" i="10"/>
  <c r="T553" i="10"/>
  <c r="T554" i="10"/>
  <c r="T556" i="10"/>
  <c r="T557" i="10"/>
  <c r="T558" i="10"/>
  <c r="N550" i="11"/>
  <c r="N551" i="11"/>
  <c r="N552" i="11"/>
  <c r="N553" i="11"/>
  <c r="N554" i="11"/>
  <c r="N556" i="11"/>
  <c r="N557" i="11"/>
  <c r="N558" i="11"/>
  <c r="Q550" i="11"/>
  <c r="Q551" i="11"/>
  <c r="Q552" i="11"/>
  <c r="Q553" i="11"/>
  <c r="Q554" i="11"/>
  <c r="Q556" i="11"/>
  <c r="Q557" i="11"/>
  <c r="Q558" i="11"/>
  <c r="T550" i="11"/>
  <c r="O550" i="11"/>
  <c r="O551" i="11"/>
  <c r="O552" i="11"/>
  <c r="O553" i="11"/>
  <c r="O554" i="11"/>
  <c r="O556" i="11"/>
  <c r="O557" i="11"/>
  <c r="O558" i="11"/>
  <c r="R550" i="11"/>
  <c r="R551" i="11"/>
  <c r="R552" i="11"/>
  <c r="R553" i="11"/>
  <c r="R554" i="11"/>
  <c r="R556" i="11"/>
  <c r="R557" i="11"/>
  <c r="R558" i="11"/>
  <c r="U550" i="11"/>
  <c r="U551" i="11"/>
  <c r="U552" i="11"/>
  <c r="U553" i="11"/>
  <c r="U554" i="11"/>
  <c r="U556" i="11"/>
  <c r="U557" i="11"/>
  <c r="U558" i="11"/>
  <c r="T551" i="11"/>
  <c r="T552" i="11"/>
  <c r="T553" i="11"/>
  <c r="T554" i="11"/>
  <c r="T556" i="11"/>
  <c r="T557" i="11"/>
  <c r="T558" i="11"/>
  <c r="N550" i="12"/>
  <c r="Q550" i="12"/>
  <c r="Q551" i="12"/>
  <c r="Q552" i="12"/>
  <c r="Q553" i="12"/>
  <c r="Q554" i="12"/>
  <c r="Q556" i="12"/>
  <c r="Q557" i="12"/>
  <c r="Q558" i="12"/>
  <c r="T550" i="12"/>
  <c r="O550" i="12"/>
  <c r="O551" i="12"/>
  <c r="O552" i="12"/>
  <c r="O553" i="12"/>
  <c r="O554" i="12"/>
  <c r="O556" i="12"/>
  <c r="O557" i="12"/>
  <c r="O558" i="12"/>
  <c r="R550" i="12"/>
  <c r="R551" i="12"/>
  <c r="R552" i="12"/>
  <c r="R553" i="12"/>
  <c r="R554" i="12"/>
  <c r="R556" i="12"/>
  <c r="R557" i="12"/>
  <c r="R558" i="12"/>
  <c r="U550" i="12"/>
  <c r="U551" i="12"/>
  <c r="U552" i="12"/>
  <c r="U553" i="12"/>
  <c r="U554" i="12"/>
  <c r="U556" i="12"/>
  <c r="U557" i="12"/>
  <c r="U558" i="12"/>
  <c r="N551" i="12"/>
  <c r="N552" i="12"/>
  <c r="N553" i="12"/>
  <c r="N554" i="12"/>
  <c r="N556" i="12"/>
  <c r="N557" i="12"/>
  <c r="N558" i="12"/>
  <c r="T551" i="12"/>
  <c r="T552" i="12"/>
  <c r="T553" i="12"/>
  <c r="T554" i="12"/>
  <c r="T556" i="12"/>
  <c r="T557" i="12"/>
  <c r="T558" i="12"/>
  <c r="N550" i="13"/>
  <c r="Q550" i="13"/>
  <c r="T550" i="13"/>
  <c r="O550" i="13"/>
  <c r="R550" i="13"/>
  <c r="U550" i="13"/>
  <c r="O551" i="13"/>
  <c r="O552" i="13"/>
  <c r="O553" i="13"/>
  <c r="O554" i="13"/>
  <c r="O556" i="13"/>
  <c r="O557" i="13"/>
  <c r="O558" i="13"/>
  <c r="R551" i="13"/>
  <c r="R552" i="13"/>
  <c r="R553" i="13"/>
  <c r="R554" i="13"/>
  <c r="R556" i="13"/>
  <c r="R557" i="13"/>
  <c r="R558" i="13"/>
  <c r="U551" i="13"/>
  <c r="U552" i="13"/>
  <c r="U553" i="13"/>
  <c r="U554" i="13"/>
  <c r="U556" i="13"/>
  <c r="U557" i="13"/>
  <c r="U558" i="13"/>
  <c r="N551" i="13"/>
  <c r="N552" i="13"/>
  <c r="N553" i="13"/>
  <c r="N554" i="13"/>
  <c r="N556" i="13"/>
  <c r="N557" i="13"/>
  <c r="N558" i="13"/>
  <c r="Q551" i="13"/>
  <c r="Q552" i="13"/>
  <c r="Q553" i="13"/>
  <c r="Q554" i="13"/>
  <c r="Q556" i="13"/>
  <c r="Q557" i="13"/>
  <c r="Q558" i="13"/>
  <c r="T551" i="13"/>
  <c r="T552" i="13"/>
  <c r="T553" i="13"/>
  <c r="T554" i="13"/>
  <c r="T556" i="13"/>
  <c r="T557" i="13"/>
  <c r="T558" i="13"/>
  <c r="N550" i="2"/>
  <c r="N551" i="2"/>
  <c r="N552" i="2"/>
  <c r="N553" i="2"/>
  <c r="N554" i="2"/>
  <c r="N556" i="2"/>
  <c r="N557" i="2"/>
  <c r="N558" i="2"/>
  <c r="Q550" i="2"/>
  <c r="Q551" i="2"/>
  <c r="Q552" i="2"/>
  <c r="Q553" i="2"/>
  <c r="Q554" i="2"/>
  <c r="Q556" i="2"/>
  <c r="Q557" i="2"/>
  <c r="Q558" i="2"/>
  <c r="T550" i="2"/>
  <c r="O550" i="2"/>
  <c r="O551" i="2"/>
  <c r="O552" i="2"/>
  <c r="O553" i="2"/>
  <c r="O554" i="2"/>
  <c r="O556" i="2"/>
  <c r="O557" i="2"/>
  <c r="O558" i="2"/>
  <c r="R550" i="2"/>
  <c r="R551" i="2"/>
  <c r="R552" i="2"/>
  <c r="R553" i="2"/>
  <c r="R554" i="2"/>
  <c r="R556" i="2"/>
  <c r="R557" i="2"/>
  <c r="R558" i="2"/>
  <c r="U550" i="2"/>
  <c r="U551" i="2"/>
  <c r="U552" i="2"/>
  <c r="U553" i="2"/>
  <c r="U554" i="2"/>
  <c r="U556" i="2"/>
  <c r="U557" i="2"/>
  <c r="U558" i="2"/>
  <c r="T551" i="2"/>
  <c r="T552" i="2"/>
  <c r="T553" i="2"/>
  <c r="T554" i="2"/>
  <c r="T556" i="2"/>
  <c r="T557" i="2"/>
  <c r="T558" i="2"/>
  <c r="L304" i="8"/>
  <c r="L305" i="8"/>
  <c r="L306" i="8"/>
  <c r="L307" i="8"/>
  <c r="L308" i="8"/>
  <c r="L309" i="8"/>
  <c r="AX312" i="8"/>
  <c r="AW312" i="8"/>
  <c r="J304" i="8"/>
  <c r="J305" i="8"/>
  <c r="J306" i="8"/>
  <c r="J307" i="8"/>
  <c r="J308" i="8"/>
  <c r="J309" i="8"/>
  <c r="K304" i="8"/>
  <c r="K305" i="8"/>
  <c r="K306" i="8"/>
  <c r="K307" i="8"/>
  <c r="K308" i="8"/>
  <c r="K309" i="8"/>
  <c r="AR312" i="8"/>
  <c r="AQ312" i="8"/>
  <c r="AM312" i="8"/>
  <c r="AL312" i="8"/>
  <c r="AK312" i="8"/>
  <c r="AG312" i="8"/>
  <c r="AF312" i="8"/>
  <c r="AE312" i="8"/>
  <c r="AB312" i="8"/>
  <c r="AA312" i="8"/>
  <c r="AW311" i="8"/>
  <c r="AQ311" i="8"/>
  <c r="AC311" i="8"/>
  <c r="AA311" i="8"/>
  <c r="AX310" i="8"/>
  <c r="AR310" i="8"/>
  <c r="AC310" i="8"/>
  <c r="AB310" i="8"/>
  <c r="L295" i="8"/>
  <c r="K295" i="8"/>
  <c r="J295" i="8"/>
  <c r="AQ294" i="8"/>
  <c r="AQ290" i="8"/>
  <c r="O257" i="8"/>
  <c r="J250" i="8"/>
  <c r="O263" i="8"/>
  <c r="O271" i="8"/>
  <c r="O264" i="8"/>
  <c r="O272" i="8"/>
  <c r="O265" i="8"/>
  <c r="O273" i="8"/>
  <c r="O266" i="8"/>
  <c r="O274" i="8"/>
  <c r="O267" i="8"/>
  <c r="O275" i="8"/>
  <c r="O268" i="8"/>
  <c r="O276" i="8"/>
  <c r="O277" i="8"/>
  <c r="O269" i="8"/>
  <c r="O278" i="8"/>
  <c r="O279" i="8"/>
  <c r="J251" i="8"/>
  <c r="O281" i="8"/>
  <c r="O284" i="8"/>
  <c r="O258" i="8"/>
  <c r="J249" i="8"/>
  <c r="J252" i="8"/>
  <c r="J253" i="8"/>
  <c r="O282" i="8"/>
  <c r="O285" i="8"/>
  <c r="O259" i="8"/>
  <c r="J255" i="8"/>
  <c r="O283" i="8"/>
  <c r="O286" i="8"/>
  <c r="O287" i="8"/>
  <c r="R257" i="8"/>
  <c r="R263" i="8"/>
  <c r="R271" i="8"/>
  <c r="R264" i="8"/>
  <c r="R272" i="8"/>
  <c r="R265" i="8"/>
  <c r="R273" i="8"/>
  <c r="R266" i="8"/>
  <c r="R274" i="8"/>
  <c r="R267" i="8"/>
  <c r="R275" i="8"/>
  <c r="R268" i="8"/>
  <c r="R276" i="8"/>
  <c r="R277" i="8"/>
  <c r="R269" i="8"/>
  <c r="R278" i="8"/>
  <c r="R279" i="8"/>
  <c r="R281" i="8"/>
  <c r="R284" i="8"/>
  <c r="R258" i="8"/>
  <c r="R282" i="8"/>
  <c r="R285" i="8"/>
  <c r="R259" i="8"/>
  <c r="R283" i="8"/>
  <c r="R286" i="8"/>
  <c r="R287" i="8"/>
  <c r="U257" i="8"/>
  <c r="U263" i="8"/>
  <c r="U271" i="8"/>
  <c r="U264" i="8"/>
  <c r="U272" i="8"/>
  <c r="U265" i="8"/>
  <c r="U273" i="8"/>
  <c r="U266" i="8"/>
  <c r="U274" i="8"/>
  <c r="U267" i="8"/>
  <c r="U275" i="8"/>
  <c r="U268" i="8"/>
  <c r="U276" i="8"/>
  <c r="U277" i="8"/>
  <c r="U279" i="8"/>
  <c r="U281" i="8"/>
  <c r="U284" i="8"/>
  <c r="U258" i="8"/>
  <c r="U282" i="8"/>
  <c r="U285" i="8"/>
  <c r="U259" i="8"/>
  <c r="U283" i="8"/>
  <c r="U286" i="8"/>
  <c r="U287" i="8"/>
  <c r="O288" i="8"/>
  <c r="R288" i="8"/>
  <c r="U269" i="8"/>
  <c r="U288" i="8"/>
  <c r="AY288" i="8"/>
  <c r="AX288" i="8"/>
  <c r="AW288" i="8"/>
  <c r="N257" i="8"/>
  <c r="N263" i="8"/>
  <c r="N271" i="8"/>
  <c r="N264" i="8"/>
  <c r="N272" i="8"/>
  <c r="N265" i="8"/>
  <c r="N273" i="8"/>
  <c r="N266" i="8"/>
  <c r="N274" i="8"/>
  <c r="N267" i="8"/>
  <c r="N275" i="8"/>
  <c r="N268" i="8"/>
  <c r="N276" i="8"/>
  <c r="N277" i="8"/>
  <c r="N269" i="8"/>
  <c r="N278" i="8"/>
  <c r="N279" i="8"/>
  <c r="N281" i="8"/>
  <c r="N284" i="8"/>
  <c r="N258" i="8"/>
  <c r="N282" i="8"/>
  <c r="N285" i="8"/>
  <c r="N259" i="8"/>
  <c r="N283" i="8"/>
  <c r="N286" i="8"/>
  <c r="N287" i="8"/>
  <c r="Q257" i="8"/>
  <c r="Q263" i="8"/>
  <c r="Q271" i="8"/>
  <c r="Q264" i="8"/>
  <c r="Q272" i="8"/>
  <c r="Q265" i="8"/>
  <c r="Q273" i="8"/>
  <c r="Q266" i="8"/>
  <c r="Q274" i="8"/>
  <c r="Q267" i="8"/>
  <c r="Q275" i="8"/>
  <c r="Q268" i="8"/>
  <c r="Q276" i="8"/>
  <c r="Q277" i="8"/>
  <c r="Q269" i="8"/>
  <c r="Q278" i="8"/>
  <c r="Q279" i="8"/>
  <c r="Q281" i="8"/>
  <c r="Q284" i="8"/>
  <c r="Q258" i="8"/>
  <c r="Q282" i="8"/>
  <c r="Q285" i="8"/>
  <c r="Q259" i="8"/>
  <c r="Q283" i="8"/>
  <c r="Q286" i="8"/>
  <c r="Q287" i="8"/>
  <c r="T257" i="8"/>
  <c r="T263" i="8"/>
  <c r="T271" i="8"/>
  <c r="T264" i="8"/>
  <c r="T272" i="8"/>
  <c r="T265" i="8"/>
  <c r="T273" i="8"/>
  <c r="T266" i="8"/>
  <c r="T274" i="8"/>
  <c r="T267" i="8"/>
  <c r="T275" i="8"/>
  <c r="T268" i="8"/>
  <c r="T276" i="8"/>
  <c r="T277" i="8"/>
  <c r="T279" i="8"/>
  <c r="T281" i="8"/>
  <c r="T284" i="8"/>
  <c r="T258" i="8"/>
  <c r="T282" i="8"/>
  <c r="T285" i="8"/>
  <c r="T259" i="8"/>
  <c r="T283" i="8"/>
  <c r="T286" i="8"/>
  <c r="T287" i="8"/>
  <c r="N288" i="8"/>
  <c r="Q288" i="8"/>
  <c r="T269" i="8"/>
  <c r="T288" i="8"/>
  <c r="AS288" i="8"/>
  <c r="AR288" i="8"/>
  <c r="AQ288" i="8"/>
  <c r="AC288" i="8"/>
  <c r="AB288" i="8"/>
  <c r="AA288" i="8"/>
  <c r="W287" i="8"/>
  <c r="X287" i="8"/>
  <c r="Y287" i="8"/>
  <c r="U278" i="8"/>
  <c r="AY278" i="8"/>
  <c r="AX278" i="8"/>
  <c r="AW278" i="8"/>
  <c r="T278" i="8"/>
  <c r="AS278" i="8"/>
  <c r="AR278" i="8"/>
  <c r="AQ278" i="8"/>
  <c r="AC278" i="8"/>
  <c r="AB278" i="8"/>
  <c r="AA278" i="8"/>
  <c r="Y278" i="8"/>
  <c r="X278" i="8"/>
  <c r="W278" i="8"/>
  <c r="N260" i="8"/>
  <c r="L257" i="8"/>
  <c r="M257" i="8"/>
  <c r="L258" i="8"/>
  <c r="M258" i="8"/>
  <c r="L259" i="8"/>
  <c r="M259" i="8"/>
  <c r="M260" i="8"/>
  <c r="J254" i="8"/>
  <c r="L304" i="9"/>
  <c r="L305" i="9"/>
  <c r="L306" i="9"/>
  <c r="L307" i="9"/>
  <c r="L308" i="9"/>
  <c r="L309" i="9"/>
  <c r="AX312" i="9"/>
  <c r="AW312" i="9"/>
  <c r="K304" i="9"/>
  <c r="K305" i="9"/>
  <c r="K306" i="9"/>
  <c r="K307" i="9"/>
  <c r="K308" i="9"/>
  <c r="K309" i="9"/>
  <c r="AR312" i="9"/>
  <c r="AQ312" i="9"/>
  <c r="AM312" i="9"/>
  <c r="AL312" i="9"/>
  <c r="AK312" i="9"/>
  <c r="AG312" i="9"/>
  <c r="AF312" i="9"/>
  <c r="AE312" i="9"/>
  <c r="AB312" i="9"/>
  <c r="AA312" i="9"/>
  <c r="AW311" i="9"/>
  <c r="AQ311" i="9"/>
  <c r="AC311" i="9"/>
  <c r="AA311" i="9"/>
  <c r="AX310" i="9"/>
  <c r="AR310" i="9"/>
  <c r="AC310" i="9"/>
  <c r="AB310" i="9"/>
  <c r="J304" i="9"/>
  <c r="J305" i="9"/>
  <c r="J306" i="9"/>
  <c r="J307" i="9"/>
  <c r="J308" i="9"/>
  <c r="J309" i="9"/>
  <c r="L295" i="9"/>
  <c r="K295" i="9"/>
  <c r="J295" i="9"/>
  <c r="AQ294" i="9"/>
  <c r="AQ290" i="9"/>
  <c r="O257" i="9"/>
  <c r="J250" i="9"/>
  <c r="O263" i="9"/>
  <c r="O271" i="9"/>
  <c r="O264" i="9"/>
  <c r="O272" i="9"/>
  <c r="O265" i="9"/>
  <c r="O273" i="9"/>
  <c r="O266" i="9"/>
  <c r="O274" i="9"/>
  <c r="O267" i="9"/>
  <c r="O275" i="9"/>
  <c r="O268" i="9"/>
  <c r="O276" i="9"/>
  <c r="O277" i="9"/>
  <c r="O269" i="9"/>
  <c r="O278" i="9"/>
  <c r="O279" i="9"/>
  <c r="J251" i="9"/>
  <c r="O281" i="9"/>
  <c r="O284" i="9"/>
  <c r="O258" i="9"/>
  <c r="J249" i="9"/>
  <c r="J252" i="9"/>
  <c r="J253" i="9"/>
  <c r="O282" i="9"/>
  <c r="O285" i="9"/>
  <c r="O259" i="9"/>
  <c r="J255" i="9"/>
  <c r="O283" i="9"/>
  <c r="O286" i="9"/>
  <c r="O287" i="9"/>
  <c r="R257" i="9"/>
  <c r="R263" i="9"/>
  <c r="R271" i="9"/>
  <c r="R264" i="9"/>
  <c r="R272" i="9"/>
  <c r="R265" i="9"/>
  <c r="R273" i="9"/>
  <c r="R266" i="9"/>
  <c r="R274" i="9"/>
  <c r="R267" i="9"/>
  <c r="R275" i="9"/>
  <c r="R268" i="9"/>
  <c r="R276" i="9"/>
  <c r="R277" i="9"/>
  <c r="R279" i="9"/>
  <c r="R281" i="9"/>
  <c r="R284" i="9"/>
  <c r="R258" i="9"/>
  <c r="R282" i="9"/>
  <c r="R285" i="9"/>
  <c r="R259" i="9"/>
  <c r="R283" i="9"/>
  <c r="R286" i="9"/>
  <c r="R287" i="9"/>
  <c r="U257" i="9"/>
  <c r="U263" i="9"/>
  <c r="U271" i="9"/>
  <c r="U264" i="9"/>
  <c r="U272" i="9"/>
  <c r="U265" i="9"/>
  <c r="U273" i="9"/>
  <c r="U266" i="9"/>
  <c r="U274" i="9"/>
  <c r="U267" i="9"/>
  <c r="U275" i="9"/>
  <c r="U268" i="9"/>
  <c r="U276" i="9"/>
  <c r="U277" i="9"/>
  <c r="U279" i="9"/>
  <c r="U281" i="9"/>
  <c r="U284" i="9"/>
  <c r="U258" i="9"/>
  <c r="U282" i="9"/>
  <c r="U285" i="9"/>
  <c r="U259" i="9"/>
  <c r="U283" i="9"/>
  <c r="U286" i="9"/>
  <c r="U287" i="9"/>
  <c r="O288" i="9"/>
  <c r="R269" i="9"/>
  <c r="R288" i="9"/>
  <c r="U269" i="9"/>
  <c r="U288" i="9"/>
  <c r="AY288" i="9"/>
  <c r="AX288" i="9"/>
  <c r="AW288" i="9"/>
  <c r="N257" i="9"/>
  <c r="N263" i="9"/>
  <c r="N271" i="9"/>
  <c r="N264" i="9"/>
  <c r="N272" i="9"/>
  <c r="N265" i="9"/>
  <c r="N273" i="9"/>
  <c r="N266" i="9"/>
  <c r="N274" i="9"/>
  <c r="N267" i="9"/>
  <c r="N275" i="9"/>
  <c r="N268" i="9"/>
  <c r="N276" i="9"/>
  <c r="N277" i="9"/>
  <c r="N279" i="9"/>
  <c r="N281" i="9"/>
  <c r="N284" i="9"/>
  <c r="N258" i="9"/>
  <c r="N282" i="9"/>
  <c r="N285" i="9"/>
  <c r="N259" i="9"/>
  <c r="N283" i="9"/>
  <c r="N286" i="9"/>
  <c r="N287" i="9"/>
  <c r="Q257" i="9"/>
  <c r="Q263" i="9"/>
  <c r="Q271" i="9"/>
  <c r="Q264" i="9"/>
  <c r="Q272" i="9"/>
  <c r="Q265" i="9"/>
  <c r="Q273" i="9"/>
  <c r="Q266" i="9"/>
  <c r="Q274" i="9"/>
  <c r="Q267" i="9"/>
  <c r="Q275" i="9"/>
  <c r="Q268" i="9"/>
  <c r="Q276" i="9"/>
  <c r="Q277" i="9"/>
  <c r="Q279" i="9"/>
  <c r="Q281" i="9"/>
  <c r="Q284" i="9"/>
  <c r="Q258" i="9"/>
  <c r="Q282" i="9"/>
  <c r="Q285" i="9"/>
  <c r="Q259" i="9"/>
  <c r="Q283" i="9"/>
  <c r="Q286" i="9"/>
  <c r="Q287" i="9"/>
  <c r="T257" i="9"/>
  <c r="T263" i="9"/>
  <c r="T271" i="9"/>
  <c r="T264" i="9"/>
  <c r="T272" i="9"/>
  <c r="T265" i="9"/>
  <c r="T273" i="9"/>
  <c r="T266" i="9"/>
  <c r="T274" i="9"/>
  <c r="T267" i="9"/>
  <c r="T275" i="9"/>
  <c r="T268" i="9"/>
  <c r="T276" i="9"/>
  <c r="T277" i="9"/>
  <c r="T279" i="9"/>
  <c r="T281" i="9"/>
  <c r="T284" i="9"/>
  <c r="T258" i="9"/>
  <c r="T282" i="9"/>
  <c r="T285" i="9"/>
  <c r="T259" i="9"/>
  <c r="T283" i="9"/>
  <c r="T286" i="9"/>
  <c r="T287" i="9"/>
  <c r="AS288" i="9"/>
  <c r="N269" i="9"/>
  <c r="N288" i="9"/>
  <c r="Q269" i="9"/>
  <c r="Q288" i="9"/>
  <c r="T269" i="9"/>
  <c r="T288" i="9"/>
  <c r="AR288" i="9"/>
  <c r="AQ288" i="9"/>
  <c r="AC288" i="9"/>
  <c r="AB288" i="9"/>
  <c r="AA288" i="9"/>
  <c r="W287" i="9"/>
  <c r="X287" i="9"/>
  <c r="Y287" i="9"/>
  <c r="R278" i="9"/>
  <c r="U278" i="9"/>
  <c r="AY278" i="9"/>
  <c r="AX278" i="9"/>
  <c r="AW278" i="9"/>
  <c r="AS278" i="9"/>
  <c r="N278" i="9"/>
  <c r="Q278" i="9"/>
  <c r="T278" i="9"/>
  <c r="AR278" i="9"/>
  <c r="AQ278" i="9"/>
  <c r="AC278" i="9"/>
  <c r="AB278" i="9"/>
  <c r="AA278" i="9"/>
  <c r="Y278" i="9"/>
  <c r="X278" i="9"/>
  <c r="W278" i="9"/>
  <c r="N260" i="9"/>
  <c r="L257" i="9"/>
  <c r="M257" i="9"/>
  <c r="L258" i="9"/>
  <c r="M258" i="9"/>
  <c r="L259" i="9"/>
  <c r="M259" i="9"/>
  <c r="M260" i="9"/>
  <c r="J254" i="9"/>
  <c r="L304" i="10"/>
  <c r="L305" i="10"/>
  <c r="L306" i="10"/>
  <c r="L307" i="10"/>
  <c r="L308" i="10"/>
  <c r="L309" i="10"/>
  <c r="AX312" i="10"/>
  <c r="AW312" i="10"/>
  <c r="J304" i="10"/>
  <c r="J305" i="10"/>
  <c r="J306" i="10"/>
  <c r="J307" i="10"/>
  <c r="J308" i="10"/>
  <c r="J309" i="10"/>
  <c r="K304" i="10"/>
  <c r="K305" i="10"/>
  <c r="K306" i="10"/>
  <c r="K307" i="10"/>
  <c r="K308" i="10"/>
  <c r="K309" i="10"/>
  <c r="AR312" i="10"/>
  <c r="AQ312" i="10"/>
  <c r="AM312" i="10"/>
  <c r="AL312" i="10"/>
  <c r="AK312" i="10"/>
  <c r="AG312" i="10"/>
  <c r="AF312" i="10"/>
  <c r="AE312" i="10"/>
  <c r="AB312" i="10"/>
  <c r="AA312" i="10"/>
  <c r="AW311" i="10"/>
  <c r="AQ311" i="10"/>
  <c r="AC311" i="10"/>
  <c r="AA311" i="10"/>
  <c r="AX310" i="10"/>
  <c r="AR310" i="10"/>
  <c r="AC310" i="10"/>
  <c r="AB310" i="10"/>
  <c r="L295" i="10"/>
  <c r="K295" i="10"/>
  <c r="J295" i="10"/>
  <c r="AQ294" i="10"/>
  <c r="AQ290" i="10"/>
  <c r="O257" i="10"/>
  <c r="J250" i="10"/>
  <c r="O263" i="10"/>
  <c r="O271" i="10"/>
  <c r="O264" i="10"/>
  <c r="O272" i="10"/>
  <c r="O265" i="10"/>
  <c r="O273" i="10"/>
  <c r="O266" i="10"/>
  <c r="O274" i="10"/>
  <c r="O267" i="10"/>
  <c r="O275" i="10"/>
  <c r="O268" i="10"/>
  <c r="O276" i="10"/>
  <c r="O277" i="10"/>
  <c r="O269" i="10"/>
  <c r="O278" i="10"/>
  <c r="O279" i="10"/>
  <c r="J251" i="10"/>
  <c r="O281" i="10"/>
  <c r="O284" i="10"/>
  <c r="O258" i="10"/>
  <c r="J249" i="10"/>
  <c r="J252" i="10"/>
  <c r="J253" i="10"/>
  <c r="O282" i="10"/>
  <c r="O285" i="10"/>
  <c r="O259" i="10"/>
  <c r="J255" i="10"/>
  <c r="O283" i="10"/>
  <c r="O286" i="10"/>
  <c r="O287" i="10"/>
  <c r="R257" i="10"/>
  <c r="R263" i="10"/>
  <c r="R271" i="10"/>
  <c r="R264" i="10"/>
  <c r="R272" i="10"/>
  <c r="R265" i="10"/>
  <c r="R273" i="10"/>
  <c r="R266" i="10"/>
  <c r="R274" i="10"/>
  <c r="R267" i="10"/>
  <c r="R275" i="10"/>
  <c r="R268" i="10"/>
  <c r="R276" i="10"/>
  <c r="R277" i="10"/>
  <c r="R269" i="10"/>
  <c r="R278" i="10"/>
  <c r="R279" i="10"/>
  <c r="R281" i="10"/>
  <c r="R284" i="10"/>
  <c r="R258" i="10"/>
  <c r="R282" i="10"/>
  <c r="R285" i="10"/>
  <c r="R259" i="10"/>
  <c r="R283" i="10"/>
  <c r="R286" i="10"/>
  <c r="R287" i="10"/>
  <c r="U257" i="10"/>
  <c r="U263" i="10"/>
  <c r="U271" i="10"/>
  <c r="U264" i="10"/>
  <c r="U272" i="10"/>
  <c r="U265" i="10"/>
  <c r="U273" i="10"/>
  <c r="U266" i="10"/>
  <c r="U274" i="10"/>
  <c r="U267" i="10"/>
  <c r="U275" i="10"/>
  <c r="U268" i="10"/>
  <c r="U276" i="10"/>
  <c r="U277" i="10"/>
  <c r="U279" i="10"/>
  <c r="U281" i="10"/>
  <c r="U284" i="10"/>
  <c r="U258" i="10"/>
  <c r="U282" i="10"/>
  <c r="U285" i="10"/>
  <c r="U259" i="10"/>
  <c r="U283" i="10"/>
  <c r="U286" i="10"/>
  <c r="U287" i="10"/>
  <c r="O288" i="10"/>
  <c r="R288" i="10"/>
  <c r="U269" i="10"/>
  <c r="U288" i="10"/>
  <c r="AY288" i="10"/>
  <c r="AX288" i="10"/>
  <c r="AW288" i="10"/>
  <c r="N257" i="10"/>
  <c r="N263" i="10"/>
  <c r="N271" i="10"/>
  <c r="N264" i="10"/>
  <c r="N272" i="10"/>
  <c r="N265" i="10"/>
  <c r="N273" i="10"/>
  <c r="N266" i="10"/>
  <c r="N274" i="10"/>
  <c r="N267" i="10"/>
  <c r="N275" i="10"/>
  <c r="N268" i="10"/>
  <c r="N276" i="10"/>
  <c r="N277" i="10"/>
  <c r="N279" i="10"/>
  <c r="N281" i="10"/>
  <c r="N284" i="10"/>
  <c r="N258" i="10"/>
  <c r="N282" i="10"/>
  <c r="N285" i="10"/>
  <c r="N259" i="10"/>
  <c r="N283" i="10"/>
  <c r="N286" i="10"/>
  <c r="N287" i="10"/>
  <c r="Q257" i="10"/>
  <c r="Q263" i="10"/>
  <c r="Q271" i="10"/>
  <c r="Q264" i="10"/>
  <c r="Q272" i="10"/>
  <c r="Q265" i="10"/>
  <c r="Q273" i="10"/>
  <c r="Q266" i="10"/>
  <c r="Q274" i="10"/>
  <c r="Q267" i="10"/>
  <c r="Q275" i="10"/>
  <c r="Q268" i="10"/>
  <c r="Q276" i="10"/>
  <c r="Q277" i="10"/>
  <c r="Q269" i="10"/>
  <c r="Q278" i="10"/>
  <c r="Q279" i="10"/>
  <c r="Q281" i="10"/>
  <c r="Q284" i="10"/>
  <c r="Q258" i="10"/>
  <c r="Q282" i="10"/>
  <c r="Q285" i="10"/>
  <c r="Q259" i="10"/>
  <c r="Q283" i="10"/>
  <c r="Q286" i="10"/>
  <c r="Q287" i="10"/>
  <c r="T257" i="10"/>
  <c r="T263" i="10"/>
  <c r="T271" i="10"/>
  <c r="T264" i="10"/>
  <c r="T272" i="10"/>
  <c r="T265" i="10"/>
  <c r="T273" i="10"/>
  <c r="T266" i="10"/>
  <c r="T274" i="10"/>
  <c r="T267" i="10"/>
  <c r="T275" i="10"/>
  <c r="T268" i="10"/>
  <c r="T276" i="10"/>
  <c r="T277" i="10"/>
  <c r="T279" i="10"/>
  <c r="T281" i="10"/>
  <c r="T284" i="10"/>
  <c r="T258" i="10"/>
  <c r="T282" i="10"/>
  <c r="T285" i="10"/>
  <c r="T259" i="10"/>
  <c r="T283" i="10"/>
  <c r="T286" i="10"/>
  <c r="T287" i="10"/>
  <c r="N269" i="10"/>
  <c r="N288" i="10"/>
  <c r="Q288" i="10"/>
  <c r="T269" i="10"/>
  <c r="T288" i="10"/>
  <c r="AS288" i="10"/>
  <c r="AR288" i="10"/>
  <c r="AQ288" i="10"/>
  <c r="AC288" i="10"/>
  <c r="AB288" i="10"/>
  <c r="AA288" i="10"/>
  <c r="W287" i="10"/>
  <c r="X287" i="10"/>
  <c r="Y287" i="10"/>
  <c r="U278" i="10"/>
  <c r="AY278" i="10"/>
  <c r="AX278" i="10"/>
  <c r="AW278" i="10"/>
  <c r="N278" i="10"/>
  <c r="T278" i="10"/>
  <c r="AS278" i="10"/>
  <c r="AR278" i="10"/>
  <c r="AQ278" i="10"/>
  <c r="AC278" i="10"/>
  <c r="AB278" i="10"/>
  <c r="AA278" i="10"/>
  <c r="Y278" i="10"/>
  <c r="X278" i="10"/>
  <c r="W278" i="10"/>
  <c r="N260" i="10"/>
  <c r="L257" i="10"/>
  <c r="M257" i="10"/>
  <c r="L258" i="10"/>
  <c r="M258" i="10"/>
  <c r="L259" i="10"/>
  <c r="M259" i="10"/>
  <c r="M260" i="10"/>
  <c r="J254" i="10"/>
  <c r="L304" i="11"/>
  <c r="L305" i="11"/>
  <c r="L306" i="11"/>
  <c r="L307" i="11"/>
  <c r="L308" i="11"/>
  <c r="L309" i="11"/>
  <c r="AX312" i="11"/>
  <c r="AW312" i="11"/>
  <c r="J304" i="11"/>
  <c r="J305" i="11"/>
  <c r="J306" i="11"/>
  <c r="J307" i="11"/>
  <c r="J308" i="11"/>
  <c r="J309" i="11"/>
  <c r="K304" i="11"/>
  <c r="K305" i="11"/>
  <c r="K306" i="11"/>
  <c r="K307" i="11"/>
  <c r="K308" i="11"/>
  <c r="K309" i="11"/>
  <c r="AR312" i="11"/>
  <c r="AQ312" i="11"/>
  <c r="AM312" i="11"/>
  <c r="AL312" i="11"/>
  <c r="AK312" i="11"/>
  <c r="AG312" i="11"/>
  <c r="AF312" i="11"/>
  <c r="AE312" i="11"/>
  <c r="AB312" i="11"/>
  <c r="AA312" i="11"/>
  <c r="AW311" i="11"/>
  <c r="AQ311" i="11"/>
  <c r="AC311" i="11"/>
  <c r="AA311" i="11"/>
  <c r="AX310" i="11"/>
  <c r="AR310" i="11"/>
  <c r="AC310" i="11"/>
  <c r="AB310" i="11"/>
  <c r="L295" i="11"/>
  <c r="K295" i="11"/>
  <c r="J295" i="11"/>
  <c r="AQ294" i="11"/>
  <c r="AQ290" i="11"/>
  <c r="O257" i="11"/>
  <c r="J250" i="11"/>
  <c r="O263" i="11"/>
  <c r="O271" i="11"/>
  <c r="O264" i="11"/>
  <c r="O272" i="11"/>
  <c r="O265" i="11"/>
  <c r="O273" i="11"/>
  <c r="O266" i="11"/>
  <c r="O274" i="11"/>
  <c r="O267" i="11"/>
  <c r="O275" i="11"/>
  <c r="O268" i="11"/>
  <c r="O276" i="11"/>
  <c r="O277" i="11"/>
  <c r="O269" i="11"/>
  <c r="O278" i="11"/>
  <c r="O279" i="11"/>
  <c r="J251" i="11"/>
  <c r="O281" i="11"/>
  <c r="O284" i="11"/>
  <c r="O258" i="11"/>
  <c r="J249" i="11"/>
  <c r="J252" i="11"/>
  <c r="J253" i="11"/>
  <c r="O282" i="11"/>
  <c r="O285" i="11"/>
  <c r="O259" i="11"/>
  <c r="J255" i="11"/>
  <c r="O283" i="11"/>
  <c r="O286" i="11"/>
  <c r="O287" i="11"/>
  <c r="R257" i="11"/>
  <c r="R263" i="11"/>
  <c r="R271" i="11"/>
  <c r="R264" i="11"/>
  <c r="R272" i="11"/>
  <c r="R265" i="11"/>
  <c r="R273" i="11"/>
  <c r="R266" i="11"/>
  <c r="R274" i="11"/>
  <c r="R267" i="11"/>
  <c r="R275" i="11"/>
  <c r="R268" i="11"/>
  <c r="R276" i="11"/>
  <c r="R277" i="11"/>
  <c r="R269" i="11"/>
  <c r="R278" i="11"/>
  <c r="R279" i="11"/>
  <c r="R281" i="11"/>
  <c r="R284" i="11"/>
  <c r="R258" i="11"/>
  <c r="R282" i="11"/>
  <c r="R285" i="11"/>
  <c r="R259" i="11"/>
  <c r="R283" i="11"/>
  <c r="R286" i="11"/>
  <c r="R287" i="11"/>
  <c r="U257" i="11"/>
  <c r="U263" i="11"/>
  <c r="U271" i="11"/>
  <c r="U264" i="11"/>
  <c r="U272" i="11"/>
  <c r="U265" i="11"/>
  <c r="U273" i="11"/>
  <c r="U266" i="11"/>
  <c r="U274" i="11"/>
  <c r="U267" i="11"/>
  <c r="U275" i="11"/>
  <c r="U268" i="11"/>
  <c r="U276" i="11"/>
  <c r="U277" i="11"/>
  <c r="U269" i="11"/>
  <c r="U278" i="11"/>
  <c r="U279" i="11"/>
  <c r="U281" i="11"/>
  <c r="U284" i="11"/>
  <c r="U258" i="11"/>
  <c r="U282" i="11"/>
  <c r="U285" i="11"/>
  <c r="U259" i="11"/>
  <c r="U283" i="11"/>
  <c r="U286" i="11"/>
  <c r="U287" i="11"/>
  <c r="O288" i="11"/>
  <c r="R288" i="11"/>
  <c r="U288" i="11"/>
  <c r="AY288" i="11"/>
  <c r="AX288" i="11"/>
  <c r="AW288" i="11"/>
  <c r="N257" i="11"/>
  <c r="N263" i="11"/>
  <c r="N271" i="11"/>
  <c r="N264" i="11"/>
  <c r="N272" i="11"/>
  <c r="N265" i="11"/>
  <c r="N273" i="11"/>
  <c r="N266" i="11"/>
  <c r="N274" i="11"/>
  <c r="N267" i="11"/>
  <c r="N275" i="11"/>
  <c r="N268" i="11"/>
  <c r="N276" i="11"/>
  <c r="N277" i="11"/>
  <c r="N269" i="11"/>
  <c r="N278" i="11"/>
  <c r="N279" i="11"/>
  <c r="N281" i="11"/>
  <c r="N284" i="11"/>
  <c r="N258" i="11"/>
  <c r="N282" i="11"/>
  <c r="N285" i="11"/>
  <c r="N259" i="11"/>
  <c r="N283" i="11"/>
  <c r="N286" i="11"/>
  <c r="N287" i="11"/>
  <c r="Q257" i="11"/>
  <c r="Q263" i="11"/>
  <c r="Q271" i="11"/>
  <c r="Q264" i="11"/>
  <c r="Q272" i="11"/>
  <c r="Q265" i="11"/>
  <c r="Q273" i="11"/>
  <c r="Q266" i="11"/>
  <c r="Q274" i="11"/>
  <c r="Q267" i="11"/>
  <c r="Q275" i="11"/>
  <c r="Q268" i="11"/>
  <c r="Q276" i="11"/>
  <c r="Q277" i="11"/>
  <c r="Q269" i="11"/>
  <c r="Q278" i="11"/>
  <c r="Q279" i="11"/>
  <c r="Q281" i="11"/>
  <c r="Q284" i="11"/>
  <c r="Q258" i="11"/>
  <c r="Q282" i="11"/>
  <c r="Q285" i="11"/>
  <c r="Q259" i="11"/>
  <c r="Q283" i="11"/>
  <c r="Q286" i="11"/>
  <c r="Q287" i="11"/>
  <c r="T257" i="11"/>
  <c r="T263" i="11"/>
  <c r="T271" i="11"/>
  <c r="T264" i="11"/>
  <c r="T272" i="11"/>
  <c r="T265" i="11"/>
  <c r="T273" i="11"/>
  <c r="T266" i="11"/>
  <c r="T274" i="11"/>
  <c r="T267" i="11"/>
  <c r="T275" i="11"/>
  <c r="T268" i="11"/>
  <c r="T276" i="11"/>
  <c r="T277" i="11"/>
  <c r="T279" i="11"/>
  <c r="T281" i="11"/>
  <c r="T284" i="11"/>
  <c r="T258" i="11"/>
  <c r="T282" i="11"/>
  <c r="T285" i="11"/>
  <c r="T259" i="11"/>
  <c r="T283" i="11"/>
  <c r="T286" i="11"/>
  <c r="T287" i="11"/>
  <c r="N288" i="11"/>
  <c r="Q288" i="11"/>
  <c r="T269" i="11"/>
  <c r="T288" i="11"/>
  <c r="AS288" i="11"/>
  <c r="AR288" i="11"/>
  <c r="AQ288" i="11"/>
  <c r="AC288" i="11"/>
  <c r="AB288" i="11"/>
  <c r="AA288" i="11"/>
  <c r="W287" i="11"/>
  <c r="X287" i="11"/>
  <c r="Y287" i="11"/>
  <c r="AY278" i="11"/>
  <c r="AX278" i="11"/>
  <c r="AW278" i="11"/>
  <c r="T278" i="11"/>
  <c r="AS278" i="11"/>
  <c r="AR278" i="11"/>
  <c r="AQ278" i="11"/>
  <c r="AC278" i="11"/>
  <c r="AB278" i="11"/>
  <c r="AA278" i="11"/>
  <c r="Y278" i="11"/>
  <c r="X278" i="11"/>
  <c r="W278" i="11"/>
  <c r="N260" i="11"/>
  <c r="L257" i="11"/>
  <c r="M257" i="11"/>
  <c r="L258" i="11"/>
  <c r="M258" i="11"/>
  <c r="L259" i="11"/>
  <c r="M259" i="11"/>
  <c r="M260" i="11"/>
  <c r="J254" i="11"/>
  <c r="L304" i="12"/>
  <c r="L305" i="12"/>
  <c r="L306" i="12"/>
  <c r="L307" i="12"/>
  <c r="L308" i="12"/>
  <c r="L309" i="12"/>
  <c r="AX312" i="12"/>
  <c r="AW312" i="12"/>
  <c r="K304" i="12"/>
  <c r="K305" i="12"/>
  <c r="K306" i="12"/>
  <c r="K307" i="12"/>
  <c r="K308" i="12"/>
  <c r="K309" i="12"/>
  <c r="AR312" i="12"/>
  <c r="AQ312" i="12"/>
  <c r="AM312" i="12"/>
  <c r="AL312" i="12"/>
  <c r="AK312" i="12"/>
  <c r="AG312" i="12"/>
  <c r="AF312" i="12"/>
  <c r="AE312" i="12"/>
  <c r="AB312" i="12"/>
  <c r="AA312" i="12"/>
  <c r="AW311" i="12"/>
  <c r="AQ311" i="12"/>
  <c r="AC311" i="12"/>
  <c r="AA311" i="12"/>
  <c r="AX310" i="12"/>
  <c r="AR310" i="12"/>
  <c r="AC310" i="12"/>
  <c r="AB310" i="12"/>
  <c r="J304" i="12"/>
  <c r="J305" i="12"/>
  <c r="J306" i="12"/>
  <c r="J307" i="12"/>
  <c r="J308" i="12"/>
  <c r="J309" i="12"/>
  <c r="L295" i="12"/>
  <c r="K295" i="12"/>
  <c r="J295" i="12"/>
  <c r="AQ294" i="12"/>
  <c r="AQ290" i="12"/>
  <c r="O257" i="12"/>
  <c r="J250" i="12"/>
  <c r="O263" i="12"/>
  <c r="O271" i="12"/>
  <c r="O264" i="12"/>
  <c r="O272" i="12"/>
  <c r="O265" i="12"/>
  <c r="O273" i="12"/>
  <c r="O266" i="12"/>
  <c r="O274" i="12"/>
  <c r="O267" i="12"/>
  <c r="O275" i="12"/>
  <c r="O268" i="12"/>
  <c r="O276" i="12"/>
  <c r="O277" i="12"/>
  <c r="O269" i="12"/>
  <c r="O278" i="12"/>
  <c r="O279" i="12"/>
  <c r="J251" i="12"/>
  <c r="O281" i="12"/>
  <c r="O284" i="12"/>
  <c r="O258" i="12"/>
  <c r="J249" i="12"/>
  <c r="J252" i="12"/>
  <c r="J253" i="12"/>
  <c r="O282" i="12"/>
  <c r="O285" i="12"/>
  <c r="O259" i="12"/>
  <c r="J255" i="12"/>
  <c r="O283" i="12"/>
  <c r="O286" i="12"/>
  <c r="O287" i="12"/>
  <c r="R257" i="12"/>
  <c r="R263" i="12"/>
  <c r="R271" i="12"/>
  <c r="R264" i="12"/>
  <c r="R272" i="12"/>
  <c r="R265" i="12"/>
  <c r="R273" i="12"/>
  <c r="R266" i="12"/>
  <c r="R274" i="12"/>
  <c r="R267" i="12"/>
  <c r="R275" i="12"/>
  <c r="R268" i="12"/>
  <c r="R276" i="12"/>
  <c r="R277" i="12"/>
  <c r="R269" i="12"/>
  <c r="R278" i="12"/>
  <c r="R279" i="12"/>
  <c r="R281" i="12"/>
  <c r="R284" i="12"/>
  <c r="R258" i="12"/>
  <c r="R282" i="12"/>
  <c r="R285" i="12"/>
  <c r="R259" i="12"/>
  <c r="R283" i="12"/>
  <c r="R286" i="12"/>
  <c r="R287" i="12"/>
  <c r="U257" i="12"/>
  <c r="U263" i="12"/>
  <c r="U271" i="12"/>
  <c r="U264" i="12"/>
  <c r="U272" i="12"/>
  <c r="U265" i="12"/>
  <c r="U273" i="12"/>
  <c r="U266" i="12"/>
  <c r="U274" i="12"/>
  <c r="U267" i="12"/>
  <c r="U275" i="12"/>
  <c r="U268" i="12"/>
  <c r="U276" i="12"/>
  <c r="U277" i="12"/>
  <c r="U279" i="12"/>
  <c r="U281" i="12"/>
  <c r="U284" i="12"/>
  <c r="U258" i="12"/>
  <c r="U282" i="12"/>
  <c r="U285" i="12"/>
  <c r="U259" i="12"/>
  <c r="U283" i="12"/>
  <c r="U286" i="12"/>
  <c r="U287" i="12"/>
  <c r="O288" i="12"/>
  <c r="R288" i="12"/>
  <c r="U269" i="12"/>
  <c r="U288" i="12"/>
  <c r="AY288" i="12"/>
  <c r="AX288" i="12"/>
  <c r="AW288" i="12"/>
  <c r="N257" i="12"/>
  <c r="N263" i="12"/>
  <c r="N271" i="12"/>
  <c r="N264" i="12"/>
  <c r="N272" i="12"/>
  <c r="N265" i="12"/>
  <c r="N273" i="12"/>
  <c r="N266" i="12"/>
  <c r="N274" i="12"/>
  <c r="N267" i="12"/>
  <c r="N275" i="12"/>
  <c r="N268" i="12"/>
  <c r="N276" i="12"/>
  <c r="N277" i="12"/>
  <c r="N279" i="12"/>
  <c r="N281" i="12"/>
  <c r="N284" i="12"/>
  <c r="N258" i="12"/>
  <c r="N282" i="12"/>
  <c r="N285" i="12"/>
  <c r="N259" i="12"/>
  <c r="N283" i="12"/>
  <c r="N286" i="12"/>
  <c r="N287" i="12"/>
  <c r="Q257" i="12"/>
  <c r="Q263" i="12"/>
  <c r="Q271" i="12"/>
  <c r="Q264" i="12"/>
  <c r="Q272" i="12"/>
  <c r="Q265" i="12"/>
  <c r="Q273" i="12"/>
  <c r="Q266" i="12"/>
  <c r="Q274" i="12"/>
  <c r="Q267" i="12"/>
  <c r="Q275" i="12"/>
  <c r="Q268" i="12"/>
  <c r="Q276" i="12"/>
  <c r="Q277" i="12"/>
  <c r="Q269" i="12"/>
  <c r="Q278" i="12"/>
  <c r="Q279" i="12"/>
  <c r="Q281" i="12"/>
  <c r="Q284" i="12"/>
  <c r="Q258" i="12"/>
  <c r="Q282" i="12"/>
  <c r="Q285" i="12"/>
  <c r="Q259" i="12"/>
  <c r="Q283" i="12"/>
  <c r="Q286" i="12"/>
  <c r="Q287" i="12"/>
  <c r="T257" i="12"/>
  <c r="T263" i="12"/>
  <c r="T271" i="12"/>
  <c r="T264" i="12"/>
  <c r="T272" i="12"/>
  <c r="T265" i="12"/>
  <c r="T273" i="12"/>
  <c r="T266" i="12"/>
  <c r="T274" i="12"/>
  <c r="T267" i="12"/>
  <c r="T275" i="12"/>
  <c r="T268" i="12"/>
  <c r="T276" i="12"/>
  <c r="T277" i="12"/>
  <c r="T279" i="12"/>
  <c r="T281" i="12"/>
  <c r="T284" i="12"/>
  <c r="T258" i="12"/>
  <c r="T282" i="12"/>
  <c r="T285" i="12"/>
  <c r="T259" i="12"/>
  <c r="T283" i="12"/>
  <c r="T286" i="12"/>
  <c r="T287" i="12"/>
  <c r="N269" i="12"/>
  <c r="N288" i="12"/>
  <c r="Q288" i="12"/>
  <c r="T269" i="12"/>
  <c r="T288" i="12"/>
  <c r="AS288" i="12"/>
  <c r="AR288" i="12"/>
  <c r="AQ288" i="12"/>
  <c r="AC288" i="12"/>
  <c r="AB288" i="12"/>
  <c r="AA288" i="12"/>
  <c r="W287" i="12"/>
  <c r="X287" i="12"/>
  <c r="Y287" i="12"/>
  <c r="U278" i="12"/>
  <c r="AY278" i="12"/>
  <c r="AX278" i="12"/>
  <c r="AW278" i="12"/>
  <c r="N278" i="12"/>
  <c r="T278" i="12"/>
  <c r="AS278" i="12"/>
  <c r="AR278" i="12"/>
  <c r="AQ278" i="12"/>
  <c r="AC278" i="12"/>
  <c r="AB278" i="12"/>
  <c r="AA278" i="12"/>
  <c r="Y278" i="12"/>
  <c r="X278" i="12"/>
  <c r="W278" i="12"/>
  <c r="N260" i="12"/>
  <c r="L257" i="12"/>
  <c r="M257" i="12"/>
  <c r="L258" i="12"/>
  <c r="M258" i="12"/>
  <c r="L259" i="12"/>
  <c r="M259" i="12"/>
  <c r="M260" i="12"/>
  <c r="J254" i="12"/>
  <c r="AX312" i="13"/>
  <c r="AW312" i="13"/>
  <c r="AR312" i="13"/>
  <c r="AQ312" i="13"/>
  <c r="AM312" i="13"/>
  <c r="AL312" i="13"/>
  <c r="AK312" i="13"/>
  <c r="AG312" i="13"/>
  <c r="AF312" i="13"/>
  <c r="AE312" i="13"/>
  <c r="AB312" i="13"/>
  <c r="AA312" i="13"/>
  <c r="AW311" i="13"/>
  <c r="AQ311" i="13"/>
  <c r="AC311" i="13"/>
  <c r="AA311" i="13"/>
  <c r="AX310" i="13"/>
  <c r="AR310" i="13"/>
  <c r="AC310" i="13"/>
  <c r="AB310" i="13"/>
  <c r="L304" i="13"/>
  <c r="L305" i="13"/>
  <c r="L306" i="13"/>
  <c r="L307" i="13"/>
  <c r="L308" i="13"/>
  <c r="L309" i="13"/>
  <c r="K304" i="13"/>
  <c r="K305" i="13"/>
  <c r="K306" i="13"/>
  <c r="K307" i="13"/>
  <c r="K308" i="13"/>
  <c r="K309" i="13"/>
  <c r="J304" i="13"/>
  <c r="J305" i="13"/>
  <c r="J306" i="13"/>
  <c r="J307" i="13"/>
  <c r="J308" i="13"/>
  <c r="J309" i="13"/>
  <c r="L295" i="13"/>
  <c r="K295" i="13"/>
  <c r="J295" i="13"/>
  <c r="AQ294" i="13"/>
  <c r="AQ290" i="13"/>
  <c r="O257" i="13"/>
  <c r="J250" i="13"/>
  <c r="O263" i="13"/>
  <c r="O271" i="13"/>
  <c r="O264" i="13"/>
  <c r="O272" i="13"/>
  <c r="O265" i="13"/>
  <c r="O273" i="13"/>
  <c r="O266" i="13"/>
  <c r="O274" i="13"/>
  <c r="O267" i="13"/>
  <c r="O275" i="13"/>
  <c r="O268" i="13"/>
  <c r="O276" i="13"/>
  <c r="O277" i="13"/>
  <c r="O279" i="13"/>
  <c r="J251" i="13"/>
  <c r="O281" i="13"/>
  <c r="O284" i="13"/>
  <c r="O258" i="13"/>
  <c r="J249" i="13"/>
  <c r="J252" i="13"/>
  <c r="J253" i="13"/>
  <c r="O282" i="13"/>
  <c r="O285" i="13"/>
  <c r="O259" i="13"/>
  <c r="J255" i="13"/>
  <c r="O283" i="13"/>
  <c r="O286" i="13"/>
  <c r="O287" i="13"/>
  <c r="R257" i="13"/>
  <c r="R263" i="13"/>
  <c r="R271" i="13"/>
  <c r="R264" i="13"/>
  <c r="R272" i="13"/>
  <c r="R265" i="13"/>
  <c r="R273" i="13"/>
  <c r="R266" i="13"/>
  <c r="R274" i="13"/>
  <c r="R267" i="13"/>
  <c r="R275" i="13"/>
  <c r="R268" i="13"/>
  <c r="R276" i="13"/>
  <c r="R277" i="13"/>
  <c r="R279" i="13"/>
  <c r="R281" i="13"/>
  <c r="R284" i="13"/>
  <c r="R258" i="13"/>
  <c r="R282" i="13"/>
  <c r="R285" i="13"/>
  <c r="R259" i="13"/>
  <c r="R283" i="13"/>
  <c r="R286" i="13"/>
  <c r="R287" i="13"/>
  <c r="U257" i="13"/>
  <c r="U263" i="13"/>
  <c r="U271" i="13"/>
  <c r="U264" i="13"/>
  <c r="U272" i="13"/>
  <c r="U265" i="13"/>
  <c r="U273" i="13"/>
  <c r="U266" i="13"/>
  <c r="U274" i="13"/>
  <c r="U267" i="13"/>
  <c r="U275" i="13"/>
  <c r="U268" i="13"/>
  <c r="U276" i="13"/>
  <c r="U277" i="13"/>
  <c r="U279" i="13"/>
  <c r="U281" i="13"/>
  <c r="U284" i="13"/>
  <c r="U258" i="13"/>
  <c r="U282" i="13"/>
  <c r="U285" i="13"/>
  <c r="U259" i="13"/>
  <c r="U283" i="13"/>
  <c r="U286" i="13"/>
  <c r="U287" i="13"/>
  <c r="AY288" i="13"/>
  <c r="O269" i="13"/>
  <c r="O288" i="13"/>
  <c r="R269" i="13"/>
  <c r="R288" i="13"/>
  <c r="U269" i="13"/>
  <c r="U288" i="13"/>
  <c r="AX288" i="13"/>
  <c r="AW288" i="13"/>
  <c r="N257" i="13"/>
  <c r="N263" i="13"/>
  <c r="N271" i="13"/>
  <c r="N264" i="13"/>
  <c r="N272" i="13"/>
  <c r="N265" i="13"/>
  <c r="N273" i="13"/>
  <c r="N266" i="13"/>
  <c r="N274" i="13"/>
  <c r="N267" i="13"/>
  <c r="N275" i="13"/>
  <c r="N268" i="13"/>
  <c r="N276" i="13"/>
  <c r="N277" i="13"/>
  <c r="N279" i="13"/>
  <c r="N281" i="13"/>
  <c r="N284" i="13"/>
  <c r="N258" i="13"/>
  <c r="N282" i="13"/>
  <c r="N285" i="13"/>
  <c r="N259" i="13"/>
  <c r="N283" i="13"/>
  <c r="N286" i="13"/>
  <c r="N287" i="13"/>
  <c r="Q257" i="13"/>
  <c r="Q263" i="13"/>
  <c r="Q271" i="13"/>
  <c r="Q264" i="13"/>
  <c r="Q272" i="13"/>
  <c r="Q265" i="13"/>
  <c r="Q273" i="13"/>
  <c r="Q266" i="13"/>
  <c r="Q274" i="13"/>
  <c r="Q267" i="13"/>
  <c r="Q275" i="13"/>
  <c r="Q268" i="13"/>
  <c r="Q276" i="13"/>
  <c r="Q277" i="13"/>
  <c r="Q279" i="13"/>
  <c r="Q281" i="13"/>
  <c r="Q284" i="13"/>
  <c r="Q258" i="13"/>
  <c r="Q282" i="13"/>
  <c r="Q285" i="13"/>
  <c r="Q259" i="13"/>
  <c r="Q283" i="13"/>
  <c r="Q286" i="13"/>
  <c r="Q287" i="13"/>
  <c r="T257" i="13"/>
  <c r="T263" i="13"/>
  <c r="T271" i="13"/>
  <c r="T264" i="13"/>
  <c r="T272" i="13"/>
  <c r="T265" i="13"/>
  <c r="T273" i="13"/>
  <c r="T266" i="13"/>
  <c r="T274" i="13"/>
  <c r="T267" i="13"/>
  <c r="T275" i="13"/>
  <c r="T268" i="13"/>
  <c r="T276" i="13"/>
  <c r="T277" i="13"/>
  <c r="T279" i="13"/>
  <c r="T281" i="13"/>
  <c r="T284" i="13"/>
  <c r="T258" i="13"/>
  <c r="T282" i="13"/>
  <c r="T285" i="13"/>
  <c r="T259" i="13"/>
  <c r="T283" i="13"/>
  <c r="T286" i="13"/>
  <c r="T287" i="13"/>
  <c r="AS288" i="13"/>
  <c r="N269" i="13"/>
  <c r="N288" i="13"/>
  <c r="Q269" i="13"/>
  <c r="Q288" i="13"/>
  <c r="T269" i="13"/>
  <c r="T288" i="13"/>
  <c r="AR288" i="13"/>
  <c r="AQ288" i="13"/>
  <c r="AC288" i="13"/>
  <c r="AB288" i="13"/>
  <c r="AA288" i="13"/>
  <c r="W287" i="13"/>
  <c r="X287" i="13"/>
  <c r="Y287" i="13"/>
  <c r="AY278" i="13"/>
  <c r="O278" i="13"/>
  <c r="R278" i="13"/>
  <c r="U278" i="13"/>
  <c r="AX278" i="13"/>
  <c r="AW278" i="13"/>
  <c r="AS278" i="13"/>
  <c r="N278" i="13"/>
  <c r="Q278" i="13"/>
  <c r="T278" i="13"/>
  <c r="AR278" i="13"/>
  <c r="AQ278" i="13"/>
  <c r="AC278" i="13"/>
  <c r="AB278" i="13"/>
  <c r="AA278" i="13"/>
  <c r="Y278" i="13"/>
  <c r="X278" i="13"/>
  <c r="W278" i="13"/>
  <c r="N260" i="13"/>
  <c r="L257" i="13"/>
  <c r="M257" i="13"/>
  <c r="L258" i="13"/>
  <c r="M258" i="13"/>
  <c r="L259" i="13"/>
  <c r="M259" i="13"/>
  <c r="M260" i="13"/>
  <c r="J254" i="13"/>
  <c r="AX312" i="2"/>
  <c r="AW312" i="2"/>
  <c r="J308" i="2"/>
  <c r="K305" i="2"/>
  <c r="K307" i="2"/>
  <c r="K308" i="2"/>
  <c r="AR312" i="2"/>
  <c r="AQ312" i="2"/>
  <c r="AM312" i="2"/>
  <c r="AL312" i="2"/>
  <c r="AK312" i="2"/>
  <c r="AG312" i="2"/>
  <c r="AF312" i="2"/>
  <c r="AE312" i="2"/>
  <c r="AB312" i="2"/>
  <c r="AA312" i="2"/>
  <c r="AW311" i="2"/>
  <c r="AQ311" i="2"/>
  <c r="AC311" i="2"/>
  <c r="AA311" i="2"/>
  <c r="AX310" i="2"/>
  <c r="AR310" i="2"/>
  <c r="AC310" i="2"/>
  <c r="AB310" i="2"/>
  <c r="L295" i="2"/>
  <c r="K295" i="2"/>
  <c r="J295" i="2"/>
  <c r="AQ294" i="2"/>
  <c r="AQ290" i="2"/>
  <c r="O257" i="2"/>
  <c r="J250" i="2"/>
  <c r="O263" i="2"/>
  <c r="O271" i="2"/>
  <c r="O264" i="2"/>
  <c r="O272" i="2"/>
  <c r="O265" i="2"/>
  <c r="O273" i="2"/>
  <c r="O266" i="2"/>
  <c r="O274" i="2"/>
  <c r="O267" i="2"/>
  <c r="O275" i="2"/>
  <c r="O268" i="2"/>
  <c r="O276" i="2"/>
  <c r="O277" i="2"/>
  <c r="O269" i="2"/>
  <c r="O278" i="2"/>
  <c r="O279" i="2"/>
  <c r="J251" i="2"/>
  <c r="O281" i="2"/>
  <c r="O284" i="2"/>
  <c r="O258" i="2"/>
  <c r="J249" i="2"/>
  <c r="J252" i="2"/>
  <c r="J253" i="2"/>
  <c r="O282" i="2"/>
  <c r="O285" i="2"/>
  <c r="O259" i="2"/>
  <c r="J255" i="2"/>
  <c r="O283" i="2"/>
  <c r="O286" i="2"/>
  <c r="O287" i="2"/>
  <c r="R257" i="2"/>
  <c r="R263" i="2"/>
  <c r="R271" i="2"/>
  <c r="R264" i="2"/>
  <c r="R272" i="2"/>
  <c r="R265" i="2"/>
  <c r="R273" i="2"/>
  <c r="R266" i="2"/>
  <c r="R274" i="2"/>
  <c r="R267" i="2"/>
  <c r="R275" i="2"/>
  <c r="R268" i="2"/>
  <c r="R276" i="2"/>
  <c r="R277" i="2"/>
  <c r="R269" i="2"/>
  <c r="R278" i="2"/>
  <c r="R279" i="2"/>
  <c r="R281" i="2"/>
  <c r="R284" i="2"/>
  <c r="R258" i="2"/>
  <c r="R282" i="2"/>
  <c r="R285" i="2"/>
  <c r="R259" i="2"/>
  <c r="R283" i="2"/>
  <c r="R286" i="2"/>
  <c r="R287" i="2"/>
  <c r="U257" i="2"/>
  <c r="U263" i="2"/>
  <c r="U271" i="2"/>
  <c r="U264" i="2"/>
  <c r="U272" i="2"/>
  <c r="U265" i="2"/>
  <c r="U273" i="2"/>
  <c r="U266" i="2"/>
  <c r="U274" i="2"/>
  <c r="U267" i="2"/>
  <c r="U275" i="2"/>
  <c r="U268" i="2"/>
  <c r="U276" i="2"/>
  <c r="U277" i="2"/>
  <c r="U279" i="2"/>
  <c r="U281" i="2"/>
  <c r="U284" i="2"/>
  <c r="U258" i="2"/>
  <c r="U282" i="2"/>
  <c r="U285" i="2"/>
  <c r="U259" i="2"/>
  <c r="U283" i="2"/>
  <c r="U286" i="2"/>
  <c r="U287" i="2"/>
  <c r="O288" i="2"/>
  <c r="R288" i="2"/>
  <c r="U269" i="2"/>
  <c r="U288" i="2"/>
  <c r="AY288" i="2"/>
  <c r="AX288" i="2"/>
  <c r="AW288" i="2"/>
  <c r="N257" i="2"/>
  <c r="N263" i="2"/>
  <c r="N271" i="2"/>
  <c r="N264" i="2"/>
  <c r="N272" i="2"/>
  <c r="N265" i="2"/>
  <c r="N273" i="2"/>
  <c r="N266" i="2"/>
  <c r="N274" i="2"/>
  <c r="N267" i="2"/>
  <c r="N275" i="2"/>
  <c r="N268" i="2"/>
  <c r="N276" i="2"/>
  <c r="N277" i="2"/>
  <c r="N269" i="2"/>
  <c r="N278" i="2"/>
  <c r="N279" i="2"/>
  <c r="N281" i="2"/>
  <c r="N284" i="2"/>
  <c r="N258" i="2"/>
  <c r="N282" i="2"/>
  <c r="N285" i="2"/>
  <c r="N259" i="2"/>
  <c r="N283" i="2"/>
  <c r="N286" i="2"/>
  <c r="N287" i="2"/>
  <c r="Q257" i="2"/>
  <c r="Q263" i="2"/>
  <c r="Q271" i="2"/>
  <c r="Q264" i="2"/>
  <c r="Q272" i="2"/>
  <c r="Q265" i="2"/>
  <c r="Q273" i="2"/>
  <c r="Q266" i="2"/>
  <c r="Q274" i="2"/>
  <c r="Q267" i="2"/>
  <c r="Q275" i="2"/>
  <c r="Q268" i="2"/>
  <c r="Q276" i="2"/>
  <c r="Q277" i="2"/>
  <c r="Q269" i="2"/>
  <c r="Q278" i="2"/>
  <c r="Q279" i="2"/>
  <c r="Q281" i="2"/>
  <c r="Q284" i="2"/>
  <c r="Q258" i="2"/>
  <c r="Q282" i="2"/>
  <c r="Q285" i="2"/>
  <c r="Q259" i="2"/>
  <c r="Q283" i="2"/>
  <c r="Q286" i="2"/>
  <c r="Q287" i="2"/>
  <c r="T257" i="2"/>
  <c r="T263" i="2"/>
  <c r="T271" i="2"/>
  <c r="T264" i="2"/>
  <c r="T272" i="2"/>
  <c r="T265" i="2"/>
  <c r="T273" i="2"/>
  <c r="T266" i="2"/>
  <c r="T274" i="2"/>
  <c r="T267" i="2"/>
  <c r="T275" i="2"/>
  <c r="T268" i="2"/>
  <c r="T276" i="2"/>
  <c r="T277" i="2"/>
  <c r="T279" i="2"/>
  <c r="T281" i="2"/>
  <c r="T284" i="2"/>
  <c r="T258" i="2"/>
  <c r="T282" i="2"/>
  <c r="T285" i="2"/>
  <c r="T259" i="2"/>
  <c r="T283" i="2"/>
  <c r="T286" i="2"/>
  <c r="T287" i="2"/>
  <c r="N288" i="2"/>
  <c r="Q288" i="2"/>
  <c r="T269" i="2"/>
  <c r="T288" i="2"/>
  <c r="AS288" i="2"/>
  <c r="AR288" i="2"/>
  <c r="AQ288" i="2"/>
  <c r="AC288" i="2"/>
  <c r="AB288" i="2"/>
  <c r="AA288" i="2"/>
  <c r="W287" i="2"/>
  <c r="X287" i="2"/>
  <c r="Y287" i="2"/>
  <c r="U278" i="2"/>
  <c r="AY278" i="2"/>
  <c r="AX278" i="2"/>
  <c r="AW278" i="2"/>
  <c r="T278" i="2"/>
  <c r="AS278" i="2"/>
  <c r="AR278" i="2"/>
  <c r="AQ278" i="2"/>
  <c r="AC278" i="2"/>
  <c r="AB278" i="2"/>
  <c r="AA278" i="2"/>
  <c r="Y278" i="2"/>
  <c r="X278" i="2"/>
  <c r="W278" i="2"/>
  <c r="N260" i="2"/>
  <c r="L257" i="2"/>
  <c r="M257" i="2"/>
  <c r="L258" i="2"/>
  <c r="M258" i="2"/>
  <c r="L259" i="2"/>
  <c r="M259" i="2"/>
  <c r="M260" i="2"/>
  <c r="J254" i="2"/>
  <c r="V129" i="8"/>
  <c r="V132" i="8"/>
  <c r="V133" i="8"/>
  <c r="S129" i="8"/>
  <c r="S132" i="8"/>
  <c r="S133" i="8"/>
  <c r="P129" i="8"/>
  <c r="P132" i="8"/>
  <c r="P133" i="8"/>
  <c r="Y128" i="8"/>
  <c r="Z128" i="8"/>
  <c r="Z127" i="8"/>
  <c r="Z126" i="8"/>
  <c r="Z125" i="8"/>
  <c r="Z124" i="8"/>
  <c r="X30" i="8"/>
  <c r="X31" i="8"/>
  <c r="X124" i="8"/>
  <c r="L124" i="8"/>
  <c r="K124" i="8"/>
  <c r="V129" i="9"/>
  <c r="V132" i="9"/>
  <c r="V133" i="9"/>
  <c r="S129" i="9"/>
  <c r="S132" i="9"/>
  <c r="S133" i="9"/>
  <c r="P129" i="9"/>
  <c r="P132" i="9"/>
  <c r="P133" i="9"/>
  <c r="Y128" i="9"/>
  <c r="Z128" i="9"/>
  <c r="Z127" i="9"/>
  <c r="Z126" i="9"/>
  <c r="Z125" i="9"/>
  <c r="Z124" i="9"/>
  <c r="X30" i="9"/>
  <c r="X31" i="9"/>
  <c r="X124" i="9"/>
  <c r="L124" i="9"/>
  <c r="K124" i="9"/>
  <c r="V129" i="10"/>
  <c r="V132" i="10"/>
  <c r="V133" i="10"/>
  <c r="S129" i="10"/>
  <c r="S132" i="10"/>
  <c r="S133" i="10"/>
  <c r="P129" i="10"/>
  <c r="P132" i="10"/>
  <c r="P133" i="10"/>
  <c r="Y128" i="10"/>
  <c r="Z128" i="10"/>
  <c r="Z127" i="10"/>
  <c r="Z126" i="10"/>
  <c r="Z125" i="10"/>
  <c r="Z124" i="10"/>
  <c r="X30" i="10"/>
  <c r="X31" i="10"/>
  <c r="X124" i="10"/>
  <c r="L124" i="10"/>
  <c r="K124" i="10"/>
  <c r="V129" i="11"/>
  <c r="V132" i="11"/>
  <c r="V133" i="11"/>
  <c r="S129" i="11"/>
  <c r="S132" i="11"/>
  <c r="S133" i="11"/>
  <c r="P129" i="11"/>
  <c r="P132" i="11"/>
  <c r="P133" i="11"/>
  <c r="Y128" i="11"/>
  <c r="Z128" i="11"/>
  <c r="Z127" i="11"/>
  <c r="Z126" i="11"/>
  <c r="Z125" i="11"/>
  <c r="Z124" i="11"/>
  <c r="X30" i="11"/>
  <c r="X31" i="11"/>
  <c r="X124" i="11"/>
  <c r="L124" i="11"/>
  <c r="K124" i="11"/>
  <c r="V129" i="12"/>
  <c r="V132" i="12"/>
  <c r="V133" i="12"/>
  <c r="S129" i="12"/>
  <c r="S132" i="12"/>
  <c r="S133" i="12"/>
  <c r="P129" i="12"/>
  <c r="P132" i="12"/>
  <c r="P133" i="12"/>
  <c r="Y128" i="12"/>
  <c r="Z128" i="12"/>
  <c r="Z127" i="12"/>
  <c r="Z126" i="12"/>
  <c r="Z125" i="12"/>
  <c r="Z124" i="12"/>
  <c r="X30" i="12"/>
  <c r="X31" i="12"/>
  <c r="X124" i="12"/>
  <c r="L124" i="12"/>
  <c r="K124" i="12"/>
  <c r="V129" i="13"/>
  <c r="V132" i="13"/>
  <c r="V133" i="13"/>
  <c r="S129" i="13"/>
  <c r="S132" i="13"/>
  <c r="S133" i="13"/>
  <c r="P129" i="13"/>
  <c r="P132" i="13"/>
  <c r="P133" i="13"/>
  <c r="Y128" i="13"/>
  <c r="Z128" i="13"/>
  <c r="Z127" i="13"/>
  <c r="Z126" i="13"/>
  <c r="Z125" i="13"/>
  <c r="Z124" i="13"/>
  <c r="X30" i="13"/>
  <c r="X31" i="13"/>
  <c r="X124" i="13"/>
  <c r="L124" i="13"/>
  <c r="K124" i="13"/>
  <c r="V129" i="2"/>
  <c r="V132" i="2"/>
  <c r="V133" i="2"/>
  <c r="S129" i="2"/>
  <c r="S132" i="2"/>
  <c r="S133" i="2"/>
  <c r="P129" i="2"/>
  <c r="P132" i="2"/>
  <c r="P133" i="2"/>
  <c r="Y128" i="2"/>
  <c r="Z128" i="2"/>
  <c r="Z127" i="2"/>
  <c r="Z126" i="2"/>
  <c r="Z125" i="2"/>
  <c r="Z124" i="2"/>
  <c r="X30" i="2"/>
  <c r="X31" i="2"/>
  <c r="X124" i="2"/>
  <c r="L124" i="2"/>
  <c r="K124" i="2"/>
  <c r="V114" i="8"/>
  <c r="S114" i="8"/>
  <c r="P114" i="8"/>
  <c r="V113" i="8"/>
  <c r="S113" i="8"/>
  <c r="P113" i="8"/>
  <c r="V112" i="8"/>
  <c r="S112" i="8"/>
  <c r="P112" i="8"/>
  <c r="V111" i="8"/>
  <c r="S111" i="8"/>
  <c r="P111" i="8"/>
  <c r="V114" i="9"/>
  <c r="S114" i="9"/>
  <c r="P114" i="9"/>
  <c r="V113" i="9"/>
  <c r="S113" i="9"/>
  <c r="P113" i="9"/>
  <c r="V112" i="9"/>
  <c r="S112" i="9"/>
  <c r="P112" i="9"/>
  <c r="V111" i="9"/>
  <c r="S111" i="9"/>
  <c r="P111" i="9"/>
  <c r="V114" i="10"/>
  <c r="S114" i="10"/>
  <c r="P114" i="10"/>
  <c r="V113" i="10"/>
  <c r="S113" i="10"/>
  <c r="P113" i="10"/>
  <c r="V112" i="10"/>
  <c r="S112" i="10"/>
  <c r="P112" i="10"/>
  <c r="V111" i="10"/>
  <c r="S111" i="10"/>
  <c r="P111" i="10"/>
  <c r="V114" i="11"/>
  <c r="S114" i="11"/>
  <c r="P114" i="11"/>
  <c r="V113" i="11"/>
  <c r="S113" i="11"/>
  <c r="P113" i="11"/>
  <c r="V112" i="11"/>
  <c r="S112" i="11"/>
  <c r="P112" i="11"/>
  <c r="V111" i="11"/>
  <c r="S111" i="11"/>
  <c r="P111" i="11"/>
  <c r="V114" i="12"/>
  <c r="S114" i="12"/>
  <c r="P114" i="12"/>
  <c r="V113" i="12"/>
  <c r="S113" i="12"/>
  <c r="P113" i="12"/>
  <c r="V112" i="12"/>
  <c r="P112" i="12"/>
  <c r="V111" i="12"/>
  <c r="S111" i="12"/>
  <c r="P111" i="12"/>
  <c r="V114" i="13"/>
  <c r="S114" i="13"/>
  <c r="P114" i="13"/>
  <c r="V113" i="13"/>
  <c r="S113" i="13"/>
  <c r="P113" i="13"/>
  <c r="V112" i="13"/>
  <c r="S112" i="13"/>
  <c r="P112" i="13"/>
  <c r="V111" i="13"/>
  <c r="S111" i="13"/>
  <c r="P111" i="13"/>
  <c r="V114" i="2"/>
  <c r="S114" i="2"/>
  <c r="P114" i="2"/>
  <c r="V113" i="2"/>
  <c r="S113" i="2"/>
  <c r="P113" i="2"/>
  <c r="V112" i="2"/>
  <c r="S112" i="2"/>
  <c r="P112" i="2"/>
  <c r="V111" i="2"/>
  <c r="S111" i="2"/>
  <c r="P111" i="2"/>
  <c r="N107" i="8"/>
  <c r="O107" i="8"/>
  <c r="P107" i="8"/>
  <c r="N101" i="8"/>
  <c r="N102" i="8"/>
  <c r="N103" i="8"/>
  <c r="N104" i="8"/>
  <c r="N105" i="8"/>
  <c r="N106" i="8"/>
  <c r="O101" i="8"/>
  <c r="O102" i="8"/>
  <c r="O103" i="8"/>
  <c r="O104" i="8"/>
  <c r="O105" i="8"/>
  <c r="O106" i="8"/>
  <c r="P106" i="8"/>
  <c r="P108" i="8"/>
  <c r="Q107" i="8"/>
  <c r="R107" i="8"/>
  <c r="S107" i="8"/>
  <c r="Q101" i="8"/>
  <c r="Q102" i="8"/>
  <c r="Q103" i="8"/>
  <c r="Q104" i="8"/>
  <c r="Q105" i="8"/>
  <c r="Q106" i="8"/>
  <c r="R101" i="8"/>
  <c r="R102" i="8"/>
  <c r="R103" i="8"/>
  <c r="R104" i="8"/>
  <c r="R105" i="8"/>
  <c r="R106" i="8"/>
  <c r="S106" i="8"/>
  <c r="S108" i="8"/>
  <c r="T107" i="8"/>
  <c r="U107" i="8"/>
  <c r="V107" i="8"/>
  <c r="V108" i="8"/>
  <c r="U108" i="8"/>
  <c r="T108" i="8"/>
  <c r="R108" i="8"/>
  <c r="Q108" i="8"/>
  <c r="O108" i="8"/>
  <c r="N108" i="8"/>
  <c r="T101" i="8"/>
  <c r="T102" i="8"/>
  <c r="T103" i="8"/>
  <c r="T104" i="8"/>
  <c r="T105" i="8"/>
  <c r="T106" i="8"/>
  <c r="U101" i="8"/>
  <c r="U102" i="8"/>
  <c r="U103" i="8"/>
  <c r="U104" i="8"/>
  <c r="U105" i="8"/>
  <c r="U106" i="8"/>
  <c r="V106" i="8"/>
  <c r="V105" i="8"/>
  <c r="S105" i="8"/>
  <c r="P105" i="8"/>
  <c r="V104" i="8"/>
  <c r="S104" i="8"/>
  <c r="P104" i="8"/>
  <c r="V103" i="8"/>
  <c r="S103" i="8"/>
  <c r="P103" i="8"/>
  <c r="V102" i="8"/>
  <c r="S102" i="8"/>
  <c r="P102" i="8"/>
  <c r="V101" i="8"/>
  <c r="S101" i="8"/>
  <c r="P101" i="8"/>
  <c r="N107" i="9"/>
  <c r="O107" i="9"/>
  <c r="P107" i="9"/>
  <c r="N101" i="9"/>
  <c r="N102" i="9"/>
  <c r="N103" i="9"/>
  <c r="N104" i="9"/>
  <c r="N105" i="9"/>
  <c r="N106" i="9"/>
  <c r="O101" i="9"/>
  <c r="O102" i="9"/>
  <c r="O103" i="9"/>
  <c r="O104" i="9"/>
  <c r="O105" i="9"/>
  <c r="O106" i="9"/>
  <c r="P106" i="9"/>
  <c r="P108" i="9"/>
  <c r="Q107" i="9"/>
  <c r="R107" i="9"/>
  <c r="S107" i="9"/>
  <c r="S108" i="9"/>
  <c r="T107" i="9"/>
  <c r="U107" i="9"/>
  <c r="V107" i="9"/>
  <c r="V108" i="9"/>
  <c r="U108" i="9"/>
  <c r="T108" i="9"/>
  <c r="R108" i="9"/>
  <c r="Q108" i="9"/>
  <c r="O108" i="9"/>
  <c r="N108" i="9"/>
  <c r="T101" i="9"/>
  <c r="T102" i="9"/>
  <c r="T103" i="9"/>
  <c r="T104" i="9"/>
  <c r="T105" i="9"/>
  <c r="T106" i="9"/>
  <c r="U101" i="9"/>
  <c r="U102" i="9"/>
  <c r="U103" i="9"/>
  <c r="U104" i="9"/>
  <c r="U105" i="9"/>
  <c r="U106" i="9"/>
  <c r="V106" i="9"/>
  <c r="Q101" i="9"/>
  <c r="Q102" i="9"/>
  <c r="Q103" i="9"/>
  <c r="Q104" i="9"/>
  <c r="Q105" i="9"/>
  <c r="Q106" i="9"/>
  <c r="R101" i="9"/>
  <c r="R102" i="9"/>
  <c r="R103" i="9"/>
  <c r="R104" i="9"/>
  <c r="R105" i="9"/>
  <c r="R106" i="9"/>
  <c r="S106" i="9"/>
  <c r="V105" i="9"/>
  <c r="S105" i="9"/>
  <c r="P105" i="9"/>
  <c r="V104" i="9"/>
  <c r="S104" i="9"/>
  <c r="P104" i="9"/>
  <c r="V103" i="9"/>
  <c r="S103" i="9"/>
  <c r="P103" i="9"/>
  <c r="V102" i="9"/>
  <c r="S102" i="9"/>
  <c r="P102" i="9"/>
  <c r="V101" i="9"/>
  <c r="S101" i="9"/>
  <c r="P101" i="9"/>
  <c r="N107" i="10"/>
  <c r="O107" i="10"/>
  <c r="P107" i="10"/>
  <c r="N101" i="10"/>
  <c r="N102" i="10"/>
  <c r="N103" i="10"/>
  <c r="N104" i="10"/>
  <c r="N105" i="10"/>
  <c r="N106" i="10"/>
  <c r="O101" i="10"/>
  <c r="O102" i="10"/>
  <c r="O103" i="10"/>
  <c r="O104" i="10"/>
  <c r="O105" i="10"/>
  <c r="O106" i="10"/>
  <c r="P106" i="10"/>
  <c r="P108" i="10"/>
  <c r="Q107" i="10"/>
  <c r="R107" i="10"/>
  <c r="S107" i="10"/>
  <c r="Q101" i="10"/>
  <c r="Q102" i="10"/>
  <c r="Q103" i="10"/>
  <c r="Q104" i="10"/>
  <c r="Q105" i="10"/>
  <c r="Q106" i="10"/>
  <c r="R101" i="10"/>
  <c r="R102" i="10"/>
  <c r="R103" i="10"/>
  <c r="R104" i="10"/>
  <c r="R105" i="10"/>
  <c r="R106" i="10"/>
  <c r="S106" i="10"/>
  <c r="S108" i="10"/>
  <c r="T107" i="10"/>
  <c r="U107" i="10"/>
  <c r="V107" i="10"/>
  <c r="V108" i="10"/>
  <c r="U108" i="10"/>
  <c r="T108" i="10"/>
  <c r="R108" i="10"/>
  <c r="Q108" i="10"/>
  <c r="O108" i="10"/>
  <c r="N108" i="10"/>
  <c r="T101" i="10"/>
  <c r="T102" i="10"/>
  <c r="T103" i="10"/>
  <c r="T104" i="10"/>
  <c r="T105" i="10"/>
  <c r="T106" i="10"/>
  <c r="U101" i="10"/>
  <c r="U102" i="10"/>
  <c r="U103" i="10"/>
  <c r="U104" i="10"/>
  <c r="U105" i="10"/>
  <c r="U106" i="10"/>
  <c r="V106" i="10"/>
  <c r="V105" i="10"/>
  <c r="S105" i="10"/>
  <c r="P105" i="10"/>
  <c r="V104" i="10"/>
  <c r="S104" i="10"/>
  <c r="P104" i="10"/>
  <c r="V103" i="10"/>
  <c r="S103" i="10"/>
  <c r="P103" i="10"/>
  <c r="V102" i="10"/>
  <c r="S102" i="10"/>
  <c r="P102" i="10"/>
  <c r="V101" i="10"/>
  <c r="S101" i="10"/>
  <c r="P101" i="10"/>
  <c r="N107" i="11"/>
  <c r="O107" i="11"/>
  <c r="P107" i="11"/>
  <c r="N101" i="11"/>
  <c r="N102" i="11"/>
  <c r="N103" i="11"/>
  <c r="N104" i="11"/>
  <c r="N105" i="11"/>
  <c r="N106" i="11"/>
  <c r="O101" i="11"/>
  <c r="O102" i="11"/>
  <c r="O103" i="11"/>
  <c r="O104" i="11"/>
  <c r="O105" i="11"/>
  <c r="O106" i="11"/>
  <c r="P106" i="11"/>
  <c r="P108" i="11"/>
  <c r="Q107" i="11"/>
  <c r="R107" i="11"/>
  <c r="S107" i="11"/>
  <c r="Q101" i="11"/>
  <c r="Q102" i="11"/>
  <c r="Q103" i="11"/>
  <c r="Q104" i="11"/>
  <c r="Q105" i="11"/>
  <c r="Q106" i="11"/>
  <c r="R101" i="11"/>
  <c r="R102" i="11"/>
  <c r="R103" i="11"/>
  <c r="R104" i="11"/>
  <c r="R105" i="11"/>
  <c r="R106" i="11"/>
  <c r="S106" i="11"/>
  <c r="S108" i="11"/>
  <c r="T107" i="11"/>
  <c r="U107" i="11"/>
  <c r="V107" i="11"/>
  <c r="T101" i="11"/>
  <c r="T102" i="11"/>
  <c r="T103" i="11"/>
  <c r="T104" i="11"/>
  <c r="T105" i="11"/>
  <c r="T106" i="11"/>
  <c r="U101" i="11"/>
  <c r="U102" i="11"/>
  <c r="U103" i="11"/>
  <c r="U104" i="11"/>
  <c r="U105" i="11"/>
  <c r="U106" i="11"/>
  <c r="V106" i="11"/>
  <c r="V108" i="11"/>
  <c r="U108" i="11"/>
  <c r="T108" i="11"/>
  <c r="R108" i="11"/>
  <c r="Q108" i="11"/>
  <c r="O108" i="11"/>
  <c r="N108" i="11"/>
  <c r="V105" i="11"/>
  <c r="S105" i="11"/>
  <c r="P105" i="11"/>
  <c r="V104" i="11"/>
  <c r="S104" i="11"/>
  <c r="P104" i="11"/>
  <c r="V103" i="11"/>
  <c r="S103" i="11"/>
  <c r="P103" i="11"/>
  <c r="V102" i="11"/>
  <c r="S102" i="11"/>
  <c r="P102" i="11"/>
  <c r="V101" i="11"/>
  <c r="S101" i="11"/>
  <c r="P101" i="11"/>
  <c r="N107" i="12"/>
  <c r="O107" i="12"/>
  <c r="P107" i="12"/>
  <c r="N101" i="12"/>
  <c r="N102" i="12"/>
  <c r="N103" i="12"/>
  <c r="N104" i="12"/>
  <c r="N105" i="12"/>
  <c r="N106" i="12"/>
  <c r="O101" i="12"/>
  <c r="O102" i="12"/>
  <c r="O103" i="12"/>
  <c r="O104" i="12"/>
  <c r="O105" i="12"/>
  <c r="O106" i="12"/>
  <c r="P106" i="12"/>
  <c r="P108" i="12"/>
  <c r="Q107" i="12"/>
  <c r="R107" i="12"/>
  <c r="S107" i="12"/>
  <c r="Q101" i="12"/>
  <c r="Q102" i="12"/>
  <c r="Q103" i="12"/>
  <c r="Q104" i="12"/>
  <c r="Q105" i="12"/>
  <c r="Q106" i="12"/>
  <c r="R101" i="12"/>
  <c r="R102" i="12"/>
  <c r="R103" i="12"/>
  <c r="R104" i="12"/>
  <c r="R105" i="12"/>
  <c r="R106" i="12"/>
  <c r="S106" i="12"/>
  <c r="S108" i="12"/>
  <c r="T107" i="12"/>
  <c r="U107" i="12"/>
  <c r="V107" i="12"/>
  <c r="V108" i="12"/>
  <c r="U108" i="12"/>
  <c r="T108" i="12"/>
  <c r="R108" i="12"/>
  <c r="Q108" i="12"/>
  <c r="O108" i="12"/>
  <c r="N108" i="12"/>
  <c r="T101" i="12"/>
  <c r="T102" i="12"/>
  <c r="T103" i="12"/>
  <c r="T104" i="12"/>
  <c r="T105" i="12"/>
  <c r="T106" i="12"/>
  <c r="U101" i="12"/>
  <c r="U102" i="12"/>
  <c r="U103" i="12"/>
  <c r="U104" i="12"/>
  <c r="U105" i="12"/>
  <c r="U106" i="12"/>
  <c r="V106" i="12"/>
  <c r="V105" i="12"/>
  <c r="S105" i="12"/>
  <c r="P105" i="12"/>
  <c r="V104" i="12"/>
  <c r="S104" i="12"/>
  <c r="P104" i="12"/>
  <c r="V103" i="12"/>
  <c r="S103" i="12"/>
  <c r="P103" i="12"/>
  <c r="V102" i="12"/>
  <c r="S102" i="12"/>
  <c r="P102" i="12"/>
  <c r="V101" i="12"/>
  <c r="S101" i="12"/>
  <c r="P101" i="12"/>
  <c r="N107" i="13"/>
  <c r="O107" i="13"/>
  <c r="P107" i="13"/>
  <c r="P108" i="13"/>
  <c r="Q107" i="13"/>
  <c r="R107" i="13"/>
  <c r="S107" i="13"/>
  <c r="S108" i="13"/>
  <c r="T107" i="13"/>
  <c r="U107" i="13"/>
  <c r="V107" i="13"/>
  <c r="V108" i="13"/>
  <c r="U108" i="13"/>
  <c r="T108" i="13"/>
  <c r="R108" i="13"/>
  <c r="Q108" i="13"/>
  <c r="O108" i="13"/>
  <c r="N108" i="13"/>
  <c r="T101" i="13"/>
  <c r="T102" i="13"/>
  <c r="T103" i="13"/>
  <c r="T104" i="13"/>
  <c r="T105" i="13"/>
  <c r="T106" i="13"/>
  <c r="U101" i="13"/>
  <c r="U102" i="13"/>
  <c r="U103" i="13"/>
  <c r="U104" i="13"/>
  <c r="U105" i="13"/>
  <c r="U106" i="13"/>
  <c r="V106" i="13"/>
  <c r="Q101" i="13"/>
  <c r="Q102" i="13"/>
  <c r="Q103" i="13"/>
  <c r="Q104" i="13"/>
  <c r="Q105" i="13"/>
  <c r="Q106" i="13"/>
  <c r="R101" i="13"/>
  <c r="R102" i="13"/>
  <c r="R103" i="13"/>
  <c r="R104" i="13"/>
  <c r="R105" i="13"/>
  <c r="R106" i="13"/>
  <c r="S106" i="13"/>
  <c r="N101" i="13"/>
  <c r="N102" i="13"/>
  <c r="N103" i="13"/>
  <c r="N104" i="13"/>
  <c r="N105" i="13"/>
  <c r="N106" i="13"/>
  <c r="O101" i="13"/>
  <c r="O102" i="13"/>
  <c r="O103" i="13"/>
  <c r="O104" i="13"/>
  <c r="O105" i="13"/>
  <c r="O106" i="13"/>
  <c r="P106" i="13"/>
  <c r="V105" i="13"/>
  <c r="S105" i="13"/>
  <c r="P105" i="13"/>
  <c r="V104" i="13"/>
  <c r="S104" i="13"/>
  <c r="P104" i="13"/>
  <c r="V103" i="13"/>
  <c r="S103" i="13"/>
  <c r="P103" i="13"/>
  <c r="V102" i="13"/>
  <c r="S102" i="13"/>
  <c r="P102" i="13"/>
  <c r="V101" i="13"/>
  <c r="S101" i="13"/>
  <c r="P101" i="13"/>
  <c r="N107" i="2"/>
  <c r="O107" i="2"/>
  <c r="P107" i="2"/>
  <c r="N101" i="2"/>
  <c r="N102" i="2"/>
  <c r="N103" i="2"/>
  <c r="N104" i="2"/>
  <c r="N105" i="2"/>
  <c r="N106" i="2"/>
  <c r="O101" i="2"/>
  <c r="O102" i="2"/>
  <c r="O103" i="2"/>
  <c r="O104" i="2"/>
  <c r="O105" i="2"/>
  <c r="O106" i="2"/>
  <c r="P106" i="2"/>
  <c r="P108" i="2"/>
  <c r="Q107" i="2"/>
  <c r="R107" i="2"/>
  <c r="S107" i="2"/>
  <c r="Q101" i="2"/>
  <c r="Q102" i="2"/>
  <c r="Q103" i="2"/>
  <c r="Q104" i="2"/>
  <c r="Q105" i="2"/>
  <c r="Q106" i="2"/>
  <c r="R101" i="2"/>
  <c r="R102" i="2"/>
  <c r="R103" i="2"/>
  <c r="R104" i="2"/>
  <c r="R105" i="2"/>
  <c r="R106" i="2"/>
  <c r="S106" i="2"/>
  <c r="S108" i="2"/>
  <c r="T107" i="2"/>
  <c r="U107" i="2"/>
  <c r="V107" i="2"/>
  <c r="V108" i="2"/>
  <c r="U108" i="2"/>
  <c r="T108" i="2"/>
  <c r="R108" i="2"/>
  <c r="Q108" i="2"/>
  <c r="O108" i="2"/>
  <c r="N108" i="2"/>
  <c r="T101" i="2"/>
  <c r="T102" i="2"/>
  <c r="T103" i="2"/>
  <c r="T104" i="2"/>
  <c r="T105" i="2"/>
  <c r="T106" i="2"/>
  <c r="U101" i="2"/>
  <c r="U102" i="2"/>
  <c r="U103" i="2"/>
  <c r="U104" i="2"/>
  <c r="U105" i="2"/>
  <c r="U106" i="2"/>
  <c r="V106" i="2"/>
  <c r="V105" i="2"/>
  <c r="S105" i="2"/>
  <c r="P105" i="2"/>
  <c r="V104" i="2"/>
  <c r="S104" i="2"/>
  <c r="P104" i="2"/>
  <c r="V103" i="2"/>
  <c r="S103" i="2"/>
  <c r="P103" i="2"/>
  <c r="V102" i="2"/>
  <c r="S102" i="2"/>
  <c r="P102" i="2"/>
  <c r="V101" i="2"/>
  <c r="S101" i="2"/>
  <c r="P101" i="2"/>
  <c r="Y318" i="12"/>
  <c r="Y319" i="12"/>
  <c r="Y320" i="12"/>
  <c r="Y318" i="11"/>
  <c r="Y319" i="11"/>
  <c r="Y320" i="11"/>
  <c r="Y602" i="10"/>
  <c r="Y603" i="10"/>
  <c r="Y604" i="10"/>
  <c r="Y365" i="10"/>
  <c r="Y366" i="10"/>
  <c r="Y367" i="10"/>
  <c r="Y318" i="10"/>
  <c r="Y319" i="10"/>
  <c r="Y320" i="10"/>
  <c r="Y318" i="9"/>
  <c r="Y319" i="9"/>
  <c r="Y320" i="9"/>
  <c r="Y318" i="8"/>
  <c r="Y319" i="8"/>
  <c r="Y320" i="8"/>
  <c r="Y318" i="2"/>
  <c r="Y319" i="2"/>
  <c r="Y320" i="2"/>
  <c r="AH220" i="8"/>
  <c r="AH221" i="8"/>
  <c r="AH222" i="8"/>
  <c r="AH223" i="8"/>
  <c r="AH220" i="9"/>
  <c r="AH221" i="9"/>
  <c r="AH222" i="9"/>
  <c r="AH223" i="9"/>
  <c r="AH220" i="10"/>
  <c r="AH221" i="10"/>
  <c r="AH222" i="10"/>
  <c r="AH223" i="10"/>
  <c r="AH220" i="11"/>
  <c r="AH221" i="11"/>
  <c r="AH222" i="11"/>
  <c r="AH223" i="11"/>
  <c r="AH220" i="12"/>
  <c r="AH221" i="12"/>
  <c r="AH222" i="12"/>
  <c r="AH223" i="12"/>
  <c r="AH220" i="13"/>
  <c r="AH221" i="13"/>
  <c r="AH222" i="13"/>
  <c r="AH223" i="13"/>
  <c r="AH220" i="2"/>
  <c r="AH221" i="2"/>
  <c r="AH222" i="2"/>
  <c r="AH223" i="2"/>
  <c r="AN220" i="8"/>
  <c r="AN221" i="8"/>
  <c r="AN222" i="8"/>
  <c r="AN223" i="8"/>
  <c r="AN220" i="9"/>
  <c r="AN221" i="9"/>
  <c r="AN222" i="9"/>
  <c r="AN223" i="9"/>
  <c r="AN220" i="10"/>
  <c r="AN221" i="10"/>
  <c r="AN222" i="10"/>
  <c r="AN223" i="10"/>
  <c r="AN220" i="11"/>
  <c r="AN221" i="11"/>
  <c r="AN222" i="11"/>
  <c r="AN223" i="11"/>
  <c r="AN220" i="12"/>
  <c r="AN221" i="12"/>
  <c r="AN222" i="12"/>
  <c r="AN223" i="12"/>
  <c r="AN220" i="13"/>
  <c r="AN221" i="13"/>
  <c r="AN222" i="13"/>
  <c r="AN223" i="13"/>
  <c r="AN220" i="2"/>
  <c r="AN221" i="2"/>
  <c r="AN222" i="2"/>
  <c r="AN223" i="2"/>
  <c r="W220" i="8"/>
  <c r="AT220" i="8"/>
  <c r="W221" i="8"/>
  <c r="AT221" i="8"/>
  <c r="W222" i="8"/>
  <c r="AT222" i="8"/>
  <c r="AT223" i="8"/>
  <c r="W220" i="9"/>
  <c r="AT220" i="9"/>
  <c r="W221" i="9"/>
  <c r="AT221" i="9"/>
  <c r="W222" i="9"/>
  <c r="AT222" i="9"/>
  <c r="AT223" i="9"/>
  <c r="W220" i="10"/>
  <c r="AT220" i="10"/>
  <c r="W221" i="10"/>
  <c r="AT221" i="10"/>
  <c r="W222" i="10"/>
  <c r="AT222" i="10"/>
  <c r="AT223" i="10"/>
  <c r="W220" i="11"/>
  <c r="AT220" i="11"/>
  <c r="W221" i="11"/>
  <c r="AT221" i="11"/>
  <c r="W222" i="11"/>
  <c r="AT222" i="11"/>
  <c r="AT223" i="11"/>
  <c r="W220" i="12"/>
  <c r="AT220" i="12"/>
  <c r="W221" i="12"/>
  <c r="AT221" i="12"/>
  <c r="W222" i="12"/>
  <c r="AT222" i="12"/>
  <c r="AT223" i="12"/>
  <c r="W220" i="13"/>
  <c r="AT220" i="13"/>
  <c r="W221" i="13"/>
  <c r="AT221" i="13"/>
  <c r="W222" i="13"/>
  <c r="AT222" i="13"/>
  <c r="AT223" i="13"/>
  <c r="W220" i="2"/>
  <c r="AT220" i="2"/>
  <c r="W221" i="2"/>
  <c r="AT221" i="2"/>
  <c r="W222" i="2"/>
  <c r="AT222" i="2"/>
  <c r="AT223" i="2"/>
  <c r="X220" i="8"/>
  <c r="AZ220" i="8"/>
  <c r="X221" i="8"/>
  <c r="AZ221" i="8"/>
  <c r="X222" i="8"/>
  <c r="AZ222" i="8"/>
  <c r="AZ223" i="8"/>
  <c r="X220" i="9"/>
  <c r="AZ220" i="9"/>
  <c r="X221" i="9"/>
  <c r="AZ221" i="9"/>
  <c r="X222" i="9"/>
  <c r="AZ222" i="9"/>
  <c r="AZ223" i="9"/>
  <c r="X220" i="10"/>
  <c r="AZ220" i="10"/>
  <c r="X221" i="10"/>
  <c r="AZ221" i="10"/>
  <c r="X222" i="10"/>
  <c r="AZ222" i="10"/>
  <c r="AZ223" i="10"/>
  <c r="X220" i="11"/>
  <c r="AZ220" i="11"/>
  <c r="X221" i="11"/>
  <c r="AZ221" i="11"/>
  <c r="X222" i="11"/>
  <c r="AZ222" i="11"/>
  <c r="AZ223" i="11"/>
  <c r="X221" i="12"/>
  <c r="AZ221" i="12"/>
  <c r="X220" i="12"/>
  <c r="AZ220" i="12"/>
  <c r="X222" i="12"/>
  <c r="AZ222" i="12"/>
  <c r="AZ223" i="12"/>
  <c r="X220" i="13"/>
  <c r="AZ220" i="13"/>
  <c r="X221" i="13"/>
  <c r="AZ221" i="13"/>
  <c r="X222" i="13"/>
  <c r="AZ222" i="13"/>
  <c r="AZ223" i="13"/>
  <c r="X220" i="2"/>
  <c r="AZ220" i="2"/>
  <c r="X221" i="2"/>
  <c r="AZ221" i="2"/>
  <c r="X222" i="2"/>
  <c r="AZ222" i="2"/>
  <c r="AZ223" i="2"/>
  <c r="X214" i="8"/>
  <c r="AZ214" i="8"/>
  <c r="X215" i="8"/>
  <c r="AZ215" i="8"/>
  <c r="X216" i="8"/>
  <c r="AZ216" i="8"/>
  <c r="AZ217" i="8"/>
  <c r="X214" i="9"/>
  <c r="AZ214" i="9"/>
  <c r="X215" i="9"/>
  <c r="AZ215" i="9"/>
  <c r="X216" i="9"/>
  <c r="AZ216" i="9"/>
  <c r="AZ217" i="9"/>
  <c r="X214" i="10"/>
  <c r="AZ214" i="10"/>
  <c r="X215" i="10"/>
  <c r="AZ215" i="10"/>
  <c r="X216" i="10"/>
  <c r="AZ216" i="10"/>
  <c r="AZ217" i="10"/>
  <c r="X214" i="11"/>
  <c r="AZ214" i="11"/>
  <c r="X215" i="11"/>
  <c r="AZ215" i="11"/>
  <c r="X216" i="11"/>
  <c r="AZ216" i="11"/>
  <c r="AZ217" i="11"/>
  <c r="X214" i="12"/>
  <c r="AZ214" i="12"/>
  <c r="X215" i="12"/>
  <c r="AZ215" i="12"/>
  <c r="X216" i="12"/>
  <c r="AZ216" i="12"/>
  <c r="AZ217" i="12"/>
  <c r="X214" i="13"/>
  <c r="AZ214" i="13"/>
  <c r="X215" i="13"/>
  <c r="AZ215" i="13"/>
  <c r="X216" i="13"/>
  <c r="AZ216" i="13"/>
  <c r="AZ217" i="13"/>
  <c r="X214" i="2"/>
  <c r="AZ214" i="2"/>
  <c r="X215" i="2"/>
  <c r="AZ215" i="2"/>
  <c r="X216" i="2"/>
  <c r="AZ216" i="2"/>
  <c r="AZ217" i="2"/>
  <c r="W216" i="8"/>
  <c r="AT216" i="8"/>
  <c r="W214" i="8"/>
  <c r="AT214" i="8"/>
  <c r="W215" i="8"/>
  <c r="AT215" i="8"/>
  <c r="AT217" i="8"/>
  <c r="W214" i="9"/>
  <c r="AT214" i="9"/>
  <c r="W215" i="9"/>
  <c r="AT215" i="9"/>
  <c r="W216" i="9"/>
  <c r="AT216" i="9"/>
  <c r="AT217" i="9"/>
  <c r="W216" i="10"/>
  <c r="AT216" i="10"/>
  <c r="W214" i="10"/>
  <c r="AT214" i="10"/>
  <c r="W215" i="10"/>
  <c r="AT215" i="10"/>
  <c r="AT217" i="10"/>
  <c r="W216" i="11"/>
  <c r="AT216" i="11"/>
  <c r="W214" i="11"/>
  <c r="AT214" i="11"/>
  <c r="W215" i="11"/>
  <c r="AT215" i="11"/>
  <c r="AT217" i="11"/>
  <c r="W216" i="12"/>
  <c r="AT216" i="12"/>
  <c r="W214" i="12"/>
  <c r="AT214" i="12"/>
  <c r="W215" i="12"/>
  <c r="AT215" i="12"/>
  <c r="AT217" i="12"/>
  <c r="W214" i="13"/>
  <c r="AT214" i="13"/>
  <c r="W215" i="13"/>
  <c r="AT215" i="13"/>
  <c r="W216" i="13"/>
  <c r="AT216" i="13"/>
  <c r="AT217" i="13"/>
  <c r="W214" i="2"/>
  <c r="AT214" i="2"/>
  <c r="W216" i="2"/>
  <c r="AT216" i="2"/>
  <c r="W215" i="2"/>
  <c r="AT215" i="2"/>
  <c r="AT217" i="2"/>
  <c r="AN214" i="8"/>
  <c r="AN215" i="8"/>
  <c r="AN216" i="8"/>
  <c r="AN217" i="8"/>
  <c r="AN214" i="9"/>
  <c r="AN215" i="9"/>
  <c r="AN216" i="9"/>
  <c r="AN217" i="9"/>
  <c r="AN214" i="10"/>
  <c r="AN215" i="10"/>
  <c r="AN216" i="10"/>
  <c r="AN217" i="10"/>
  <c r="AN214" i="11"/>
  <c r="AN215" i="11"/>
  <c r="AN216" i="11"/>
  <c r="AN217" i="11"/>
  <c r="AN214" i="12"/>
  <c r="AN215" i="12"/>
  <c r="AN216" i="12"/>
  <c r="AN217" i="12"/>
  <c r="AN214" i="13"/>
  <c r="AN215" i="13"/>
  <c r="AN216" i="13"/>
  <c r="AN217" i="13"/>
  <c r="AN214" i="2"/>
  <c r="AN216" i="2"/>
  <c r="AN215" i="2"/>
  <c r="AN217" i="2"/>
  <c r="AH216" i="8"/>
  <c r="AH214" i="8"/>
  <c r="AH215" i="8"/>
  <c r="AH217" i="8"/>
  <c r="AH214" i="9"/>
  <c r="AH215" i="9"/>
  <c r="AH216" i="9"/>
  <c r="AH217" i="9"/>
  <c r="AH216" i="10"/>
  <c r="AH214" i="10"/>
  <c r="AH215" i="10"/>
  <c r="AH217" i="10"/>
  <c r="AH216" i="11"/>
  <c r="AH214" i="11"/>
  <c r="AH215" i="11"/>
  <c r="AH217" i="11"/>
  <c r="AH216" i="12"/>
  <c r="AH214" i="12"/>
  <c r="AH215" i="12"/>
  <c r="AH217" i="12"/>
  <c r="AH214" i="13"/>
  <c r="AH215" i="13"/>
  <c r="AH216" i="13"/>
  <c r="AH217" i="13"/>
  <c r="AH214" i="2"/>
  <c r="AH215" i="2"/>
  <c r="AH216" i="2"/>
  <c r="AH217" i="2"/>
  <c r="Y220" i="8"/>
  <c r="Y221" i="8"/>
  <c r="Y222" i="8"/>
  <c r="Y223" i="8"/>
  <c r="X223" i="8"/>
  <c r="W223" i="8"/>
  <c r="Y220" i="9"/>
  <c r="Y221" i="9"/>
  <c r="Y222" i="9"/>
  <c r="Y223" i="9"/>
  <c r="X223" i="9"/>
  <c r="W223" i="9"/>
  <c r="Y220" i="10"/>
  <c r="Y221" i="10"/>
  <c r="Y222" i="10"/>
  <c r="Y223" i="10"/>
  <c r="X223" i="10"/>
  <c r="W223" i="10"/>
  <c r="Y220" i="11"/>
  <c r="Y221" i="11"/>
  <c r="Y222" i="11"/>
  <c r="Y223" i="11"/>
  <c r="X223" i="11"/>
  <c r="W223" i="11"/>
  <c r="Y221" i="12"/>
  <c r="Y220" i="12"/>
  <c r="Y222" i="12"/>
  <c r="Y223" i="12"/>
  <c r="X223" i="12"/>
  <c r="W223" i="12"/>
  <c r="Y220" i="13"/>
  <c r="Y221" i="13"/>
  <c r="Y222" i="13"/>
  <c r="Y223" i="13"/>
  <c r="X223" i="13"/>
  <c r="W223" i="13"/>
  <c r="Y220" i="2"/>
  <c r="Y221" i="2"/>
  <c r="Y222" i="2"/>
  <c r="Y223" i="2"/>
  <c r="X223" i="2"/>
  <c r="W223" i="2"/>
  <c r="Y216" i="8"/>
  <c r="Y214" i="8"/>
  <c r="Y215" i="8"/>
  <c r="Y217" i="8"/>
  <c r="X217" i="8"/>
  <c r="W217" i="8"/>
  <c r="Y214" i="9"/>
  <c r="Y215" i="9"/>
  <c r="Y216" i="9"/>
  <c r="Y217" i="9"/>
  <c r="X217" i="9"/>
  <c r="W217" i="9"/>
  <c r="Y216" i="10"/>
  <c r="Y214" i="10"/>
  <c r="Y215" i="10"/>
  <c r="Y217" i="10"/>
  <c r="X217" i="10"/>
  <c r="W217" i="10"/>
  <c r="Y216" i="11"/>
  <c r="Y214" i="11"/>
  <c r="Y215" i="11"/>
  <c r="Y217" i="11"/>
  <c r="X217" i="11"/>
  <c r="W217" i="11"/>
  <c r="Y216" i="12"/>
  <c r="Y214" i="12"/>
  <c r="Y215" i="12"/>
  <c r="Y217" i="12"/>
  <c r="X217" i="12"/>
  <c r="W217" i="12"/>
  <c r="Y214" i="13"/>
  <c r="Y215" i="13"/>
  <c r="Y216" i="13"/>
  <c r="Y217" i="13"/>
  <c r="X217" i="13"/>
  <c r="W217" i="13"/>
  <c r="Y214" i="2"/>
  <c r="Y216" i="2"/>
  <c r="Y215" i="2"/>
  <c r="Y217" i="2"/>
  <c r="X217" i="2"/>
  <c r="W217" i="2"/>
  <c r="L223" i="8"/>
  <c r="K223" i="8"/>
  <c r="J223" i="8"/>
  <c r="L223" i="9"/>
  <c r="K223" i="9"/>
  <c r="J223" i="9"/>
  <c r="L223" i="10"/>
  <c r="K223" i="10"/>
  <c r="J223" i="10"/>
  <c r="L223" i="11"/>
  <c r="K223" i="11"/>
  <c r="J223" i="11"/>
  <c r="L223" i="12"/>
  <c r="K223" i="12"/>
  <c r="J223" i="12"/>
  <c r="L223" i="13"/>
  <c r="K223" i="13"/>
  <c r="J223" i="13"/>
  <c r="L223" i="2"/>
  <c r="K223" i="2"/>
  <c r="J223" i="2"/>
  <c r="K217" i="8"/>
  <c r="L217" i="8"/>
  <c r="K217" i="9"/>
  <c r="L217" i="9"/>
  <c r="K217" i="10"/>
  <c r="L217" i="10"/>
  <c r="K217" i="11"/>
  <c r="L217" i="11"/>
  <c r="K217" i="12"/>
  <c r="L217" i="12"/>
  <c r="K217" i="13"/>
  <c r="L217" i="13"/>
  <c r="K217" i="2"/>
  <c r="L217" i="2"/>
  <c r="J217" i="8"/>
  <c r="J217" i="9"/>
  <c r="J217" i="10"/>
  <c r="J217" i="11"/>
  <c r="J217" i="12"/>
  <c r="J217" i="13"/>
  <c r="J217" i="2"/>
  <c r="BA222" i="8"/>
  <c r="AU222" i="8"/>
  <c r="AO222" i="8"/>
  <c r="AI222" i="8"/>
  <c r="Z222" i="8"/>
  <c r="M222" i="8"/>
  <c r="BA222" i="9"/>
  <c r="AU222" i="9"/>
  <c r="AO222" i="9"/>
  <c r="AI222" i="9"/>
  <c r="Z222" i="9"/>
  <c r="M222" i="9"/>
  <c r="BA222" i="10"/>
  <c r="AU222" i="10"/>
  <c r="AO222" i="10"/>
  <c r="AI222" i="10"/>
  <c r="Z222" i="10"/>
  <c r="M222" i="10"/>
  <c r="BA222" i="11"/>
  <c r="AU222" i="11"/>
  <c r="AO222" i="11"/>
  <c r="AI222" i="11"/>
  <c r="Z222" i="11"/>
  <c r="M222" i="11"/>
  <c r="BA222" i="12"/>
  <c r="AU222" i="12"/>
  <c r="AO222" i="12"/>
  <c r="AI222" i="12"/>
  <c r="Z222" i="12"/>
  <c r="M222" i="12"/>
  <c r="BA222" i="13"/>
  <c r="AU222" i="13"/>
  <c r="AO222" i="13"/>
  <c r="AI222" i="13"/>
  <c r="Z222" i="13"/>
  <c r="M222" i="13"/>
  <c r="BA222" i="2"/>
  <c r="AU222" i="2"/>
  <c r="AO222" i="2"/>
  <c r="AI222" i="2"/>
  <c r="Z222" i="2"/>
  <c r="M222" i="2"/>
  <c r="BA216" i="8"/>
  <c r="AU216" i="8"/>
  <c r="AO216" i="8"/>
  <c r="AI216" i="8"/>
  <c r="Z216" i="8"/>
  <c r="M216" i="8"/>
  <c r="BA216" i="9"/>
  <c r="AU216" i="9"/>
  <c r="AO216" i="9"/>
  <c r="AI216" i="9"/>
  <c r="Z216" i="9"/>
  <c r="M216" i="9"/>
  <c r="BA216" i="10"/>
  <c r="AU216" i="10"/>
  <c r="AO216" i="10"/>
  <c r="AI216" i="10"/>
  <c r="Z216" i="10"/>
  <c r="M216" i="10"/>
  <c r="BA216" i="11"/>
  <c r="AU216" i="11"/>
  <c r="AO216" i="11"/>
  <c r="AI216" i="11"/>
  <c r="Z216" i="11"/>
  <c r="M216" i="11"/>
  <c r="BA216" i="12"/>
  <c r="AU216" i="12"/>
  <c r="AO216" i="12"/>
  <c r="AI216" i="12"/>
  <c r="Z216" i="12"/>
  <c r="M216" i="12"/>
  <c r="BA216" i="13"/>
  <c r="AU216" i="13"/>
  <c r="AO216" i="13"/>
  <c r="AI216" i="13"/>
  <c r="Z216" i="13"/>
  <c r="M216" i="13"/>
  <c r="BA216" i="2"/>
  <c r="AU216" i="2"/>
  <c r="AO216" i="2"/>
  <c r="AI216" i="2"/>
  <c r="Z216" i="2"/>
  <c r="M216" i="2"/>
  <c r="AN194" i="8"/>
  <c r="AN195" i="8"/>
  <c r="AN196" i="8"/>
  <c r="AN197" i="8"/>
  <c r="AN194" i="9"/>
  <c r="AN195" i="9"/>
  <c r="AN196" i="9"/>
  <c r="AN197" i="9"/>
  <c r="AN194" i="10"/>
  <c r="AN195" i="10"/>
  <c r="AN196" i="10"/>
  <c r="AN197" i="10"/>
  <c r="AN194" i="11"/>
  <c r="AN195" i="11"/>
  <c r="AN196" i="11"/>
  <c r="AN197" i="11"/>
  <c r="AN194" i="12"/>
  <c r="AN195" i="12"/>
  <c r="AN196" i="12"/>
  <c r="AN197" i="12"/>
  <c r="AN194" i="13"/>
  <c r="AN195" i="13"/>
  <c r="AN196" i="13"/>
  <c r="AN197" i="13"/>
  <c r="AN194" i="2"/>
  <c r="AN195" i="2"/>
  <c r="AN196" i="2"/>
  <c r="AN197" i="2"/>
  <c r="W194" i="8"/>
  <c r="AT194" i="8"/>
  <c r="W195" i="8"/>
  <c r="AT195" i="8"/>
  <c r="W196" i="8"/>
  <c r="AT196" i="8"/>
  <c r="AT197" i="8"/>
  <c r="W194" i="9"/>
  <c r="AT194" i="9"/>
  <c r="W195" i="9"/>
  <c r="AT195" i="9"/>
  <c r="W196" i="9"/>
  <c r="AT196" i="9"/>
  <c r="AT197" i="9"/>
  <c r="W194" i="10"/>
  <c r="AT194" i="10"/>
  <c r="W195" i="10"/>
  <c r="AT195" i="10"/>
  <c r="W196" i="10"/>
  <c r="AT196" i="10"/>
  <c r="AT197" i="10"/>
  <c r="W194" i="11"/>
  <c r="AT194" i="11"/>
  <c r="W195" i="11"/>
  <c r="AT195" i="11"/>
  <c r="W196" i="11"/>
  <c r="AT196" i="11"/>
  <c r="AT197" i="11"/>
  <c r="W194" i="12"/>
  <c r="AT194" i="12"/>
  <c r="W195" i="12"/>
  <c r="AT195" i="12"/>
  <c r="W196" i="12"/>
  <c r="AT196" i="12"/>
  <c r="AT197" i="12"/>
  <c r="W194" i="13"/>
  <c r="AT194" i="13"/>
  <c r="W195" i="13"/>
  <c r="AT195" i="13"/>
  <c r="W196" i="13"/>
  <c r="AT196" i="13"/>
  <c r="AT197" i="13"/>
  <c r="W194" i="2"/>
  <c r="AT194" i="2"/>
  <c r="W195" i="2"/>
  <c r="AT195" i="2"/>
  <c r="W196" i="2"/>
  <c r="AT196" i="2"/>
  <c r="AT197" i="2"/>
  <c r="X194" i="8"/>
  <c r="AZ194" i="8"/>
  <c r="X195" i="8"/>
  <c r="AZ195" i="8"/>
  <c r="X196" i="8"/>
  <c r="AZ196" i="8"/>
  <c r="AZ197" i="8"/>
  <c r="X194" i="9"/>
  <c r="AZ194" i="9"/>
  <c r="X195" i="9"/>
  <c r="AZ195" i="9"/>
  <c r="X196" i="9"/>
  <c r="AZ196" i="9"/>
  <c r="AZ197" i="9"/>
  <c r="X194" i="10"/>
  <c r="AZ194" i="10"/>
  <c r="X195" i="10"/>
  <c r="AZ195" i="10"/>
  <c r="X196" i="10"/>
  <c r="AZ196" i="10"/>
  <c r="AZ197" i="10"/>
  <c r="X194" i="11"/>
  <c r="AZ194" i="11"/>
  <c r="X195" i="11"/>
  <c r="AZ195" i="11"/>
  <c r="X196" i="11"/>
  <c r="AZ196" i="11"/>
  <c r="AZ197" i="11"/>
  <c r="X194" i="12"/>
  <c r="AZ194" i="12"/>
  <c r="X195" i="12"/>
  <c r="AZ195" i="12"/>
  <c r="X196" i="12"/>
  <c r="AZ196" i="12"/>
  <c r="AZ197" i="12"/>
  <c r="X194" i="13"/>
  <c r="AZ194" i="13"/>
  <c r="X195" i="13"/>
  <c r="AZ195" i="13"/>
  <c r="X196" i="13"/>
  <c r="AZ196" i="13"/>
  <c r="AZ197" i="13"/>
  <c r="X194" i="2"/>
  <c r="AZ194" i="2"/>
  <c r="X195" i="2"/>
  <c r="AZ195" i="2"/>
  <c r="X196" i="2"/>
  <c r="AZ196" i="2"/>
  <c r="AZ197" i="2"/>
  <c r="X200" i="8"/>
  <c r="AZ200" i="8"/>
  <c r="X201" i="8"/>
  <c r="AZ201" i="8"/>
  <c r="X202" i="8"/>
  <c r="AZ202" i="8"/>
  <c r="AZ203" i="8"/>
  <c r="X200" i="9"/>
  <c r="AZ200" i="9"/>
  <c r="X201" i="9"/>
  <c r="AZ201" i="9"/>
  <c r="X202" i="9"/>
  <c r="AZ202" i="9"/>
  <c r="AZ203" i="9"/>
  <c r="X200" i="10"/>
  <c r="AZ200" i="10"/>
  <c r="X201" i="10"/>
  <c r="AZ201" i="10"/>
  <c r="X202" i="10"/>
  <c r="AZ202" i="10"/>
  <c r="AZ203" i="10"/>
  <c r="X200" i="11"/>
  <c r="AZ200" i="11"/>
  <c r="X201" i="11"/>
  <c r="AZ201" i="11"/>
  <c r="X202" i="11"/>
  <c r="AZ202" i="11"/>
  <c r="AZ203" i="11"/>
  <c r="X200" i="12"/>
  <c r="AZ200" i="12"/>
  <c r="X201" i="12"/>
  <c r="AZ201" i="12"/>
  <c r="X202" i="12"/>
  <c r="AZ202" i="12"/>
  <c r="AZ203" i="12"/>
  <c r="X200" i="13"/>
  <c r="AZ200" i="13"/>
  <c r="X201" i="13"/>
  <c r="AZ201" i="13"/>
  <c r="X202" i="13"/>
  <c r="AZ202" i="13"/>
  <c r="AZ203" i="13"/>
  <c r="X200" i="2"/>
  <c r="AZ200" i="2"/>
  <c r="X201" i="2"/>
  <c r="AZ201" i="2"/>
  <c r="X202" i="2"/>
  <c r="AZ202" i="2"/>
  <c r="AZ203" i="2"/>
  <c r="W200" i="8"/>
  <c r="AT200" i="8"/>
  <c r="W201" i="8"/>
  <c r="AT201" i="8"/>
  <c r="W202" i="8"/>
  <c r="AT202" i="8"/>
  <c r="AT203" i="8"/>
  <c r="W200" i="9"/>
  <c r="AT200" i="9"/>
  <c r="W201" i="9"/>
  <c r="AT201" i="9"/>
  <c r="W202" i="9"/>
  <c r="AT202" i="9"/>
  <c r="AT203" i="9"/>
  <c r="W200" i="10"/>
  <c r="AT200" i="10"/>
  <c r="W201" i="10"/>
  <c r="AT201" i="10"/>
  <c r="W202" i="10"/>
  <c r="AT202" i="10"/>
  <c r="AT203" i="10"/>
  <c r="W200" i="11"/>
  <c r="AT200" i="11"/>
  <c r="W201" i="11"/>
  <c r="AT201" i="11"/>
  <c r="W202" i="11"/>
  <c r="AT202" i="11"/>
  <c r="AT203" i="11"/>
  <c r="W200" i="12"/>
  <c r="AT200" i="12"/>
  <c r="W201" i="12"/>
  <c r="AT201" i="12"/>
  <c r="W202" i="12"/>
  <c r="AT202" i="12"/>
  <c r="AT203" i="12"/>
  <c r="W200" i="13"/>
  <c r="AT200" i="13"/>
  <c r="W201" i="13"/>
  <c r="AT201" i="13"/>
  <c r="W202" i="13"/>
  <c r="AT202" i="13"/>
  <c r="AT203" i="13"/>
  <c r="W200" i="2"/>
  <c r="AT200" i="2"/>
  <c r="W201" i="2"/>
  <c r="AT201" i="2"/>
  <c r="W202" i="2"/>
  <c r="AT202" i="2"/>
  <c r="AT203" i="2"/>
  <c r="AN200" i="8"/>
  <c r="AN201" i="8"/>
  <c r="AN202" i="8"/>
  <c r="AN203" i="8"/>
  <c r="AN200" i="9"/>
  <c r="AN201" i="9"/>
  <c r="AN202" i="9"/>
  <c r="AN203" i="9"/>
  <c r="AN200" i="10"/>
  <c r="AN201" i="10"/>
  <c r="AN202" i="10"/>
  <c r="AN203" i="10"/>
  <c r="AN200" i="11"/>
  <c r="AN201" i="11"/>
  <c r="AN202" i="11"/>
  <c r="AN203" i="11"/>
  <c r="AN200" i="12"/>
  <c r="AN201" i="12"/>
  <c r="AN202" i="12"/>
  <c r="AN203" i="12"/>
  <c r="AN200" i="13"/>
  <c r="AN201" i="13"/>
  <c r="AN202" i="13"/>
  <c r="AN203" i="13"/>
  <c r="AN200" i="2"/>
  <c r="AN201" i="2"/>
  <c r="AN202" i="2"/>
  <c r="AN203" i="2"/>
  <c r="AH200" i="8"/>
  <c r="AH201" i="8"/>
  <c r="AH202" i="8"/>
  <c r="AH203" i="8"/>
  <c r="AH200" i="9"/>
  <c r="AH201" i="9"/>
  <c r="AH202" i="9"/>
  <c r="AH203" i="9"/>
  <c r="AH200" i="10"/>
  <c r="AH201" i="10"/>
  <c r="AH202" i="10"/>
  <c r="AH203" i="10"/>
  <c r="AH200" i="11"/>
  <c r="AH201" i="11"/>
  <c r="AH202" i="11"/>
  <c r="AH203" i="11"/>
  <c r="AH200" i="12"/>
  <c r="AH201" i="12"/>
  <c r="AH202" i="12"/>
  <c r="AH203" i="12"/>
  <c r="AH200" i="13"/>
  <c r="AH201" i="13"/>
  <c r="AH202" i="13"/>
  <c r="AH203" i="13"/>
  <c r="AH200" i="2"/>
  <c r="AH201" i="2"/>
  <c r="AH202" i="2"/>
  <c r="AH203" i="2"/>
  <c r="AH194" i="8"/>
  <c r="AH195" i="8"/>
  <c r="AH196" i="8"/>
  <c r="AH197" i="8"/>
  <c r="AH194" i="9"/>
  <c r="AH195" i="9"/>
  <c r="AH196" i="9"/>
  <c r="AH197" i="9"/>
  <c r="AH194" i="10"/>
  <c r="AH195" i="10"/>
  <c r="AH196" i="10"/>
  <c r="AH197" i="10"/>
  <c r="AH194" i="11"/>
  <c r="AH195" i="11"/>
  <c r="AH196" i="11"/>
  <c r="AH197" i="11"/>
  <c r="AH194" i="12"/>
  <c r="AH195" i="12"/>
  <c r="AH196" i="12"/>
  <c r="AH197" i="12"/>
  <c r="AH194" i="13"/>
  <c r="AH195" i="13"/>
  <c r="AH196" i="13"/>
  <c r="AH197" i="13"/>
  <c r="AH194" i="2"/>
  <c r="AH195" i="2"/>
  <c r="AH196" i="2"/>
  <c r="AH197" i="2"/>
  <c r="Y200" i="8"/>
  <c r="Y201" i="8"/>
  <c r="Y202" i="8"/>
  <c r="Y203" i="8"/>
  <c r="X203" i="8"/>
  <c r="W203" i="8"/>
  <c r="Y200" i="9"/>
  <c r="Y201" i="9"/>
  <c r="Y202" i="9"/>
  <c r="Y203" i="9"/>
  <c r="X203" i="9"/>
  <c r="W203" i="9"/>
  <c r="Y200" i="10"/>
  <c r="Y201" i="10"/>
  <c r="Y202" i="10"/>
  <c r="Y203" i="10"/>
  <c r="X203" i="10"/>
  <c r="W203" i="10"/>
  <c r="Y200" i="11"/>
  <c r="Y201" i="11"/>
  <c r="Y202" i="11"/>
  <c r="Y203" i="11"/>
  <c r="X203" i="11"/>
  <c r="W203" i="11"/>
  <c r="Y200" i="12"/>
  <c r="Y201" i="12"/>
  <c r="Y202" i="12"/>
  <c r="Y203" i="12"/>
  <c r="X203" i="12"/>
  <c r="W203" i="12"/>
  <c r="Y200" i="13"/>
  <c r="Y201" i="13"/>
  <c r="Y202" i="13"/>
  <c r="Y203" i="13"/>
  <c r="X203" i="13"/>
  <c r="W203" i="13"/>
  <c r="Y200" i="2"/>
  <c r="Y201" i="2"/>
  <c r="Y202" i="2"/>
  <c r="Y203" i="2"/>
  <c r="X203" i="2"/>
  <c r="W203" i="2"/>
  <c r="X197" i="8"/>
  <c r="Y194" i="8"/>
  <c r="Y195" i="8"/>
  <c r="Y196" i="8"/>
  <c r="Y197" i="8"/>
  <c r="X197" i="9"/>
  <c r="Y194" i="9"/>
  <c r="Y195" i="9"/>
  <c r="Y196" i="9"/>
  <c r="Y197" i="9"/>
  <c r="X197" i="10"/>
  <c r="Y194" i="10"/>
  <c r="Y195" i="10"/>
  <c r="Y196" i="10"/>
  <c r="Y197" i="10"/>
  <c r="X197" i="11"/>
  <c r="Y194" i="11"/>
  <c r="Y195" i="11"/>
  <c r="Y196" i="11"/>
  <c r="Y197" i="11"/>
  <c r="X197" i="12"/>
  <c r="Y194" i="12"/>
  <c r="Y195" i="12"/>
  <c r="Y196" i="12"/>
  <c r="Y197" i="12"/>
  <c r="X197" i="13"/>
  <c r="Y194" i="13"/>
  <c r="Y195" i="13"/>
  <c r="Y196" i="13"/>
  <c r="Y197" i="13"/>
  <c r="X197" i="2"/>
  <c r="Y194" i="2"/>
  <c r="Y195" i="2"/>
  <c r="Y196" i="2"/>
  <c r="Y197" i="2"/>
  <c r="W197" i="8"/>
  <c r="W197" i="9"/>
  <c r="W197" i="10"/>
  <c r="W197" i="11"/>
  <c r="W197" i="12"/>
  <c r="W197" i="13"/>
  <c r="W197" i="2"/>
  <c r="M200" i="8"/>
  <c r="M201" i="8"/>
  <c r="M202" i="8"/>
  <c r="M203" i="8"/>
  <c r="L203" i="8"/>
  <c r="K203" i="8"/>
  <c r="J203" i="8"/>
  <c r="M200" i="9"/>
  <c r="M201" i="9"/>
  <c r="M202" i="9"/>
  <c r="M203" i="9"/>
  <c r="L203" i="9"/>
  <c r="K203" i="9"/>
  <c r="J203" i="9"/>
  <c r="M200" i="10"/>
  <c r="M201" i="10"/>
  <c r="M202" i="10"/>
  <c r="M203" i="10"/>
  <c r="L203" i="10"/>
  <c r="K203" i="10"/>
  <c r="J203" i="10"/>
  <c r="M200" i="11"/>
  <c r="M201" i="11"/>
  <c r="M202" i="11"/>
  <c r="M203" i="11"/>
  <c r="L203" i="11"/>
  <c r="K203" i="11"/>
  <c r="J203" i="11"/>
  <c r="M200" i="12"/>
  <c r="M201" i="12"/>
  <c r="M202" i="12"/>
  <c r="M203" i="12"/>
  <c r="L203" i="12"/>
  <c r="K203" i="12"/>
  <c r="J203" i="12"/>
  <c r="M200" i="13"/>
  <c r="M201" i="13"/>
  <c r="M202" i="13"/>
  <c r="M203" i="13"/>
  <c r="L203" i="13"/>
  <c r="K203" i="13"/>
  <c r="J203" i="13"/>
  <c r="M200" i="2"/>
  <c r="M201" i="2"/>
  <c r="M202" i="2"/>
  <c r="M203" i="2"/>
  <c r="L203" i="2"/>
  <c r="K203" i="2"/>
  <c r="J203" i="2"/>
  <c r="K197" i="8"/>
  <c r="L197" i="8"/>
  <c r="M196" i="8"/>
  <c r="M194" i="8"/>
  <c r="M195" i="8"/>
  <c r="M197" i="8"/>
  <c r="K197" i="9"/>
  <c r="L197" i="9"/>
  <c r="M196" i="9"/>
  <c r="M194" i="9"/>
  <c r="M195" i="9"/>
  <c r="M197" i="9"/>
  <c r="K197" i="10"/>
  <c r="L197" i="10"/>
  <c r="M196" i="10"/>
  <c r="M194" i="10"/>
  <c r="M195" i="10"/>
  <c r="M197" i="10"/>
  <c r="K197" i="11"/>
  <c r="L197" i="11"/>
  <c r="M196" i="11"/>
  <c r="M194" i="11"/>
  <c r="M195" i="11"/>
  <c r="M197" i="11"/>
  <c r="K197" i="12"/>
  <c r="L197" i="12"/>
  <c r="M196" i="12"/>
  <c r="M194" i="12"/>
  <c r="M195" i="12"/>
  <c r="M197" i="12"/>
  <c r="K197" i="13"/>
  <c r="L197" i="13"/>
  <c r="M196" i="13"/>
  <c r="M194" i="13"/>
  <c r="M195" i="13"/>
  <c r="M197" i="13"/>
  <c r="K197" i="2"/>
  <c r="L197" i="2"/>
  <c r="M196" i="2"/>
  <c r="M194" i="2"/>
  <c r="M195" i="2"/>
  <c r="M197" i="2"/>
  <c r="J197" i="8"/>
  <c r="J197" i="9"/>
  <c r="J197" i="10"/>
  <c r="J197" i="11"/>
  <c r="J197" i="12"/>
  <c r="J197" i="13"/>
  <c r="J197" i="2"/>
  <c r="BA202" i="8"/>
  <c r="AU202" i="8"/>
  <c r="AO202" i="8"/>
  <c r="AI202" i="8"/>
  <c r="Z202" i="8"/>
  <c r="BA202" i="9"/>
  <c r="AU202" i="9"/>
  <c r="AO202" i="9"/>
  <c r="AI202" i="9"/>
  <c r="Z202" i="9"/>
  <c r="BA202" i="10"/>
  <c r="AU202" i="10"/>
  <c r="AO202" i="10"/>
  <c r="AI202" i="10"/>
  <c r="Z202" i="10"/>
  <c r="BA202" i="11"/>
  <c r="AU202" i="11"/>
  <c r="AO202" i="11"/>
  <c r="AI202" i="11"/>
  <c r="Z202" i="11"/>
  <c r="BA202" i="12"/>
  <c r="AU202" i="12"/>
  <c r="AO202" i="12"/>
  <c r="AI202" i="12"/>
  <c r="Z202" i="12"/>
  <c r="BA202" i="13"/>
  <c r="AU202" i="13"/>
  <c r="AO202" i="13"/>
  <c r="AI202" i="13"/>
  <c r="Z202" i="13"/>
  <c r="BA202" i="2"/>
  <c r="AU202" i="2"/>
  <c r="AO202" i="2"/>
  <c r="AI202" i="2"/>
  <c r="Z202" i="2"/>
  <c r="BA196" i="8"/>
  <c r="AU196" i="8"/>
  <c r="AO196" i="8"/>
  <c r="AI196" i="8"/>
  <c r="Z196" i="8"/>
  <c r="BA196" i="9"/>
  <c r="AU196" i="9"/>
  <c r="AO196" i="9"/>
  <c r="AI196" i="9"/>
  <c r="Z196" i="9"/>
  <c r="BA196" i="10"/>
  <c r="AU196" i="10"/>
  <c r="AO196" i="10"/>
  <c r="AI196" i="10"/>
  <c r="Z196" i="10"/>
  <c r="BA196" i="11"/>
  <c r="AU196" i="11"/>
  <c r="AO196" i="11"/>
  <c r="AI196" i="11"/>
  <c r="Z196" i="11"/>
  <c r="BA196" i="12"/>
  <c r="AU196" i="12"/>
  <c r="AO196" i="12"/>
  <c r="AI196" i="12"/>
  <c r="Z196" i="12"/>
  <c r="BA196" i="13"/>
  <c r="AU196" i="13"/>
  <c r="AO196" i="13"/>
  <c r="AI196" i="13"/>
  <c r="Z196" i="13"/>
  <c r="BA196" i="2"/>
  <c r="AU196" i="2"/>
  <c r="AO196" i="2"/>
  <c r="AI196" i="2"/>
  <c r="Z196" i="2"/>
  <c r="J414" i="20"/>
  <c r="I107" i="21"/>
  <c r="J107" i="21"/>
  <c r="K107" i="21"/>
  <c r="L107" i="21"/>
  <c r="M107" i="21"/>
  <c r="J112" i="21"/>
  <c r="J113" i="21"/>
  <c r="K112" i="21"/>
  <c r="K113" i="21"/>
  <c r="L112" i="21"/>
  <c r="L113" i="21"/>
  <c r="M112" i="21"/>
  <c r="M113" i="21"/>
  <c r="I112" i="21"/>
  <c r="I113" i="21"/>
  <c r="M110" i="21"/>
  <c r="M111" i="21"/>
  <c r="L110" i="21"/>
  <c r="L111" i="21"/>
  <c r="K110" i="21"/>
  <c r="K111" i="21"/>
  <c r="J110" i="21"/>
  <c r="J111" i="21"/>
  <c r="I110" i="21"/>
  <c r="I111" i="21"/>
  <c r="M106" i="21"/>
  <c r="M108" i="21"/>
  <c r="L106" i="21"/>
  <c r="K106" i="21"/>
  <c r="K108" i="21"/>
  <c r="J106" i="21"/>
  <c r="I106" i="21"/>
  <c r="N105" i="21"/>
  <c r="M101" i="21"/>
  <c r="L101" i="21"/>
  <c r="K101" i="21"/>
  <c r="J101" i="21"/>
  <c r="I101" i="21"/>
  <c r="N100" i="21"/>
  <c r="N99" i="21"/>
  <c r="M94" i="21"/>
  <c r="L94" i="21"/>
  <c r="K94" i="21"/>
  <c r="J94" i="21"/>
  <c r="I94" i="21"/>
  <c r="N93" i="21"/>
  <c r="N92" i="21"/>
  <c r="N91" i="21"/>
  <c r="N90" i="21"/>
  <c r="M86" i="21"/>
  <c r="L86" i="21"/>
  <c r="K86" i="21"/>
  <c r="J86" i="21"/>
  <c r="I86" i="21"/>
  <c r="M85" i="21"/>
  <c r="L85" i="21"/>
  <c r="K85" i="21"/>
  <c r="J85" i="21"/>
  <c r="I85" i="21"/>
  <c r="M84" i="21"/>
  <c r="L84" i="21"/>
  <c r="K84" i="21"/>
  <c r="J84" i="21"/>
  <c r="I84" i="21"/>
  <c r="M83" i="21"/>
  <c r="L83" i="21"/>
  <c r="K83" i="21"/>
  <c r="J83" i="21"/>
  <c r="I83" i="21"/>
  <c r="M82" i="21"/>
  <c r="L82" i="21"/>
  <c r="K82" i="21"/>
  <c r="J82" i="21"/>
  <c r="I82" i="21"/>
  <c r="N80" i="21"/>
  <c r="M78" i="21"/>
  <c r="L78" i="21"/>
  <c r="K78" i="21"/>
  <c r="J78" i="21"/>
  <c r="I78" i="21"/>
  <c r="M77" i="21"/>
  <c r="L77" i="21"/>
  <c r="K77" i="21"/>
  <c r="J77" i="21"/>
  <c r="I77" i="21"/>
  <c r="M76" i="21"/>
  <c r="L76" i="21"/>
  <c r="K76" i="21"/>
  <c r="J76" i="21"/>
  <c r="I76" i="21"/>
  <c r="M75" i="21"/>
  <c r="L75" i="21"/>
  <c r="K75" i="21"/>
  <c r="J75" i="21"/>
  <c r="I75" i="21"/>
  <c r="M74" i="21"/>
  <c r="L74" i="21"/>
  <c r="K74" i="21"/>
  <c r="J74" i="21"/>
  <c r="I74" i="21"/>
  <c r="N72" i="21"/>
  <c r="N46" i="21"/>
  <c r="M69" i="21"/>
  <c r="L69" i="21"/>
  <c r="K69" i="21"/>
  <c r="J69" i="21"/>
  <c r="I69" i="21"/>
  <c r="M68" i="21"/>
  <c r="L68" i="21"/>
  <c r="K68" i="21"/>
  <c r="J68" i="21"/>
  <c r="I68" i="21"/>
  <c r="M67" i="21"/>
  <c r="L67" i="21"/>
  <c r="K67" i="21"/>
  <c r="J67" i="21"/>
  <c r="I67" i="21"/>
  <c r="M66" i="21"/>
  <c r="L66" i="21"/>
  <c r="K66" i="21"/>
  <c r="J66" i="21"/>
  <c r="I66" i="21"/>
  <c r="M65" i="21"/>
  <c r="L65" i="21"/>
  <c r="K65" i="21"/>
  <c r="J65" i="21"/>
  <c r="I65" i="21"/>
  <c r="N63" i="21"/>
  <c r="M61" i="21"/>
  <c r="L61" i="21"/>
  <c r="K61" i="21"/>
  <c r="J61" i="21"/>
  <c r="I61" i="21"/>
  <c r="M60" i="21"/>
  <c r="L60" i="21"/>
  <c r="K60" i="21"/>
  <c r="J60" i="21"/>
  <c r="I60" i="21"/>
  <c r="M59" i="21"/>
  <c r="L59" i="21"/>
  <c r="K59" i="21"/>
  <c r="J59" i="21"/>
  <c r="I59" i="21"/>
  <c r="M58" i="21"/>
  <c r="L58" i="21"/>
  <c r="K58" i="21"/>
  <c r="J58" i="21"/>
  <c r="I58" i="21"/>
  <c r="M57" i="21"/>
  <c r="L57" i="21"/>
  <c r="K57" i="21"/>
  <c r="J57" i="21"/>
  <c r="I57" i="21"/>
  <c r="N55" i="21"/>
  <c r="M52" i="21"/>
  <c r="L52" i="21"/>
  <c r="K52" i="21"/>
  <c r="J52" i="21"/>
  <c r="I52" i="21"/>
  <c r="M51" i="21"/>
  <c r="L51" i="21"/>
  <c r="K51" i="21"/>
  <c r="J51" i="21"/>
  <c r="I51" i="21"/>
  <c r="M50" i="21"/>
  <c r="L50" i="21"/>
  <c r="K50" i="21"/>
  <c r="J50" i="21"/>
  <c r="I50" i="21"/>
  <c r="M49" i="21"/>
  <c r="L49" i="21"/>
  <c r="K49" i="21"/>
  <c r="J49" i="21"/>
  <c r="I49" i="21"/>
  <c r="M48" i="21"/>
  <c r="L48" i="21"/>
  <c r="K48" i="21"/>
  <c r="J48" i="21"/>
  <c r="I48" i="21"/>
  <c r="M44" i="21"/>
  <c r="L44" i="21"/>
  <c r="K44" i="21"/>
  <c r="J44" i="21"/>
  <c r="I44" i="21"/>
  <c r="M43" i="21"/>
  <c r="L43" i="21"/>
  <c r="K43" i="21"/>
  <c r="J43" i="21"/>
  <c r="I43" i="21"/>
  <c r="M42" i="21"/>
  <c r="L42" i="21"/>
  <c r="K42" i="21"/>
  <c r="J42" i="21"/>
  <c r="I42" i="21"/>
  <c r="M41" i="21"/>
  <c r="L41" i="21"/>
  <c r="K41" i="21"/>
  <c r="J41" i="21"/>
  <c r="I41" i="21"/>
  <c r="M40" i="21"/>
  <c r="L40" i="21"/>
  <c r="K40" i="21"/>
  <c r="J40" i="21"/>
  <c r="I40" i="21"/>
  <c r="N38" i="21"/>
  <c r="J30" i="21"/>
  <c r="K30" i="21"/>
  <c r="L30" i="21"/>
  <c r="M30" i="21"/>
  <c r="I30" i="21"/>
  <c r="N28" i="21"/>
  <c r="N29" i="21"/>
  <c r="M23" i="21"/>
  <c r="M24" i="21"/>
  <c r="L23" i="21"/>
  <c r="L24" i="21"/>
  <c r="K23" i="21"/>
  <c r="K24" i="21"/>
  <c r="J23" i="21"/>
  <c r="J24" i="21"/>
  <c r="I23" i="21"/>
  <c r="I24" i="21"/>
  <c r="M18" i="21"/>
  <c r="L18" i="21"/>
  <c r="K18" i="21"/>
  <c r="J18" i="21"/>
  <c r="I18" i="21"/>
  <c r="M116" i="21"/>
  <c r="M117" i="21"/>
  <c r="L116" i="21"/>
  <c r="L117" i="21"/>
  <c r="K116" i="21"/>
  <c r="K117" i="21"/>
  <c r="J116" i="21"/>
  <c r="J117" i="21"/>
  <c r="I116" i="21"/>
  <c r="I117" i="21"/>
  <c r="M115" i="21"/>
  <c r="L115" i="21"/>
  <c r="K115" i="21"/>
  <c r="J115" i="21"/>
  <c r="I115" i="21"/>
  <c r="N27" i="21"/>
  <c r="N17" i="21"/>
  <c r="N16" i="21"/>
  <c r="N101" i="21"/>
  <c r="O100" i="21"/>
  <c r="J108" i="21"/>
  <c r="L108" i="21"/>
  <c r="N94" i="21"/>
  <c r="N107" i="21"/>
  <c r="N84" i="21"/>
  <c r="P85" i="21"/>
  <c r="P81" i="21"/>
  <c r="N82" i="21"/>
  <c r="P83" i="21"/>
  <c r="P80" i="21"/>
  <c r="I108" i="21"/>
  <c r="O99" i="21"/>
  <c r="O101" i="21"/>
  <c r="N113" i="21"/>
  <c r="P113" i="21"/>
  <c r="P105" i="21"/>
  <c r="N112" i="21"/>
  <c r="N111" i="21"/>
  <c r="P111" i="21"/>
  <c r="P104" i="21"/>
  <c r="N110" i="21"/>
  <c r="N106" i="21"/>
  <c r="N104" i="21"/>
  <c r="N108" i="21"/>
  <c r="N76" i="21"/>
  <c r="P77" i="21"/>
  <c r="P73" i="21"/>
  <c r="K33" i="21"/>
  <c r="K88" i="21"/>
  <c r="N74" i="21"/>
  <c r="P75" i="21"/>
  <c r="P72" i="21"/>
  <c r="M33" i="21"/>
  <c r="M31" i="21"/>
  <c r="N59" i="21"/>
  <c r="P60" i="21"/>
  <c r="P56" i="21"/>
  <c r="N30" i="21"/>
  <c r="O30" i="21"/>
  <c r="N42" i="21"/>
  <c r="P43" i="21"/>
  <c r="P39" i="21"/>
  <c r="N65" i="21"/>
  <c r="P66" i="21"/>
  <c r="P63" i="21"/>
  <c r="N19" i="21"/>
  <c r="O19" i="21"/>
  <c r="N48" i="21"/>
  <c r="P49" i="21"/>
  <c r="P46" i="21"/>
  <c r="M20" i="21"/>
  <c r="N57" i="21"/>
  <c r="P58" i="21"/>
  <c r="P55" i="21"/>
  <c r="N67" i="21"/>
  <c r="P68" i="21"/>
  <c r="P64" i="21"/>
  <c r="N40" i="21"/>
  <c r="P41" i="21"/>
  <c r="P38" i="21"/>
  <c r="N50" i="21"/>
  <c r="P51" i="21"/>
  <c r="P47" i="21"/>
  <c r="N24" i="21"/>
  <c r="P24" i="21"/>
  <c r="P22" i="21"/>
  <c r="N23" i="21"/>
  <c r="J33" i="21"/>
  <c r="L33" i="21"/>
  <c r="L88" i="21"/>
  <c r="I33" i="21"/>
  <c r="I88" i="21"/>
  <c r="N115" i="21"/>
  <c r="O115" i="21"/>
  <c r="N117" i="21"/>
  <c r="P117" i="21"/>
  <c r="P116" i="21"/>
  <c r="O16" i="21"/>
  <c r="O91" i="21"/>
  <c r="O93" i="21"/>
  <c r="O94" i="21"/>
  <c r="O90" i="21"/>
  <c r="O92" i="21"/>
  <c r="K20" i="21"/>
  <c r="K35" i="21"/>
  <c r="K25" i="21"/>
  <c r="K31" i="21"/>
  <c r="O17" i="21"/>
  <c r="O104" i="21"/>
  <c r="O105" i="21"/>
  <c r="O108" i="21"/>
  <c r="I102" i="21"/>
  <c r="I95" i="21"/>
  <c r="L95" i="21"/>
  <c r="L109" i="21"/>
  <c r="L102" i="21"/>
  <c r="I109" i="21"/>
  <c r="K109" i="21"/>
  <c r="K102" i="21"/>
  <c r="K95" i="21"/>
  <c r="M35" i="21"/>
  <c r="M88" i="21"/>
  <c r="M25" i="21"/>
  <c r="L35" i="21"/>
  <c r="J20" i="21"/>
  <c r="J31" i="21"/>
  <c r="J25" i="21"/>
  <c r="J35" i="21"/>
  <c r="L20" i="21"/>
  <c r="L31" i="21"/>
  <c r="L25" i="21"/>
  <c r="O28" i="21"/>
  <c r="O29" i="21"/>
  <c r="O27" i="21"/>
  <c r="I31" i="21"/>
  <c r="I25" i="21"/>
  <c r="I20" i="21"/>
  <c r="J88" i="21"/>
  <c r="N33" i="21"/>
  <c r="I35" i="21"/>
  <c r="J102" i="21"/>
  <c r="J95" i="21"/>
  <c r="J109" i="21"/>
  <c r="M102" i="21"/>
  <c r="M95" i="21"/>
  <c r="M109" i="21"/>
  <c r="J444" i="20"/>
  <c r="K444" i="20"/>
  <c r="L444" i="20"/>
  <c r="M444" i="20"/>
  <c r="J427" i="20"/>
  <c r="J428" i="20"/>
  <c r="K427" i="20"/>
  <c r="K428" i="20"/>
  <c r="L427" i="20"/>
  <c r="L428" i="20"/>
  <c r="M427" i="20"/>
  <c r="M428" i="20"/>
  <c r="I427" i="20"/>
  <c r="I428" i="20"/>
  <c r="N423" i="20"/>
  <c r="J424" i="20"/>
  <c r="J425" i="20"/>
  <c r="K424" i="20"/>
  <c r="K425" i="20"/>
  <c r="L424" i="20"/>
  <c r="L425" i="20"/>
  <c r="M424" i="20"/>
  <c r="M425" i="20"/>
  <c r="I424" i="20"/>
  <c r="I425" i="20"/>
  <c r="J419" i="20"/>
  <c r="K419" i="20"/>
  <c r="L419" i="20"/>
  <c r="M419" i="20"/>
  <c r="I419" i="20"/>
  <c r="N418" i="20"/>
  <c r="N417" i="20"/>
  <c r="K414" i="20"/>
  <c r="L414" i="20"/>
  <c r="M414" i="20"/>
  <c r="I414" i="20"/>
  <c r="J411" i="20"/>
  <c r="K411" i="20"/>
  <c r="L411" i="20"/>
  <c r="M411" i="20"/>
  <c r="I411" i="20"/>
  <c r="N410" i="20"/>
  <c r="N409" i="20"/>
  <c r="J357" i="20"/>
  <c r="K357" i="20"/>
  <c r="K362" i="20"/>
  <c r="L357" i="20"/>
  <c r="L362" i="20"/>
  <c r="M357" i="20"/>
  <c r="M362" i="20"/>
  <c r="I357" i="20"/>
  <c r="I362" i="20"/>
  <c r="N356" i="20"/>
  <c r="N355" i="20"/>
  <c r="N354" i="20"/>
  <c r="N353" i="20"/>
  <c r="N345" i="20"/>
  <c r="N344" i="20"/>
  <c r="J350" i="20"/>
  <c r="J351" i="20"/>
  <c r="K350" i="20"/>
  <c r="K351" i="20"/>
  <c r="L350" i="20"/>
  <c r="M350" i="20"/>
  <c r="M351" i="20"/>
  <c r="I350" i="20"/>
  <c r="I351" i="20"/>
  <c r="J348" i="20"/>
  <c r="J349" i="20"/>
  <c r="K348" i="20"/>
  <c r="K349" i="20"/>
  <c r="L348" i="20"/>
  <c r="L349" i="20"/>
  <c r="M348" i="20"/>
  <c r="M349" i="20"/>
  <c r="I348" i="20"/>
  <c r="I349" i="20"/>
  <c r="L351" i="20"/>
  <c r="N342" i="20"/>
  <c r="N338" i="20"/>
  <c r="N322" i="20"/>
  <c r="N323" i="20"/>
  <c r="N324" i="20"/>
  <c r="N325" i="20"/>
  <c r="N326" i="20"/>
  <c r="N327" i="20"/>
  <c r="N328" i="20"/>
  <c r="N329" i="20"/>
  <c r="J330" i="20"/>
  <c r="K330" i="20"/>
  <c r="L330" i="20"/>
  <c r="M330" i="20"/>
  <c r="I330" i="20"/>
  <c r="J293" i="20"/>
  <c r="K293" i="20"/>
  <c r="L293" i="20"/>
  <c r="M293" i="20"/>
  <c r="I293" i="20"/>
  <c r="N292" i="20"/>
  <c r="N291" i="20"/>
  <c r="N290" i="20"/>
  <c r="N286" i="20"/>
  <c r="J287" i="20"/>
  <c r="K287" i="20"/>
  <c r="L287" i="20"/>
  <c r="M287" i="20"/>
  <c r="I287" i="20"/>
  <c r="N285" i="20"/>
  <c r="J282" i="20"/>
  <c r="K282" i="20"/>
  <c r="L282" i="20"/>
  <c r="M282" i="20"/>
  <c r="I282" i="20"/>
  <c r="N279" i="20"/>
  <c r="N280" i="20"/>
  <c r="N281" i="20"/>
  <c r="N263" i="20"/>
  <c r="N262" i="20"/>
  <c r="N261" i="20"/>
  <c r="M264" i="20"/>
  <c r="L264" i="20"/>
  <c r="K264" i="20"/>
  <c r="J264" i="20"/>
  <c r="I264" i="20"/>
  <c r="N255" i="20"/>
  <c r="N254" i="20"/>
  <c r="M258" i="20"/>
  <c r="M259" i="20"/>
  <c r="L258" i="20"/>
  <c r="L259" i="20"/>
  <c r="K258" i="20"/>
  <c r="K259" i="20"/>
  <c r="J258" i="20"/>
  <c r="J259" i="20"/>
  <c r="I258" i="20"/>
  <c r="I259" i="20"/>
  <c r="M256" i="20"/>
  <c r="M257" i="20"/>
  <c r="L256" i="20"/>
  <c r="L257" i="20"/>
  <c r="K256" i="20"/>
  <c r="K257" i="20"/>
  <c r="J256" i="20"/>
  <c r="I256" i="20"/>
  <c r="I257" i="20"/>
  <c r="N249" i="20"/>
  <c r="N250" i="20"/>
  <c r="N248" i="20"/>
  <c r="J251" i="20"/>
  <c r="K251" i="20"/>
  <c r="L251" i="20"/>
  <c r="M251" i="20"/>
  <c r="I251" i="20"/>
  <c r="J229" i="20"/>
  <c r="K229" i="20"/>
  <c r="L229" i="20"/>
  <c r="M229" i="20"/>
  <c r="I229" i="20"/>
  <c r="J224" i="20"/>
  <c r="K224" i="20"/>
  <c r="L224" i="20"/>
  <c r="M224" i="20"/>
  <c r="I224" i="20"/>
  <c r="M244" i="20"/>
  <c r="M245" i="20"/>
  <c r="L244" i="20"/>
  <c r="L245" i="20"/>
  <c r="K244" i="20"/>
  <c r="K245" i="20"/>
  <c r="J244" i="20"/>
  <c r="J245" i="20"/>
  <c r="I244" i="20"/>
  <c r="I245" i="20"/>
  <c r="M242" i="20"/>
  <c r="M243" i="20"/>
  <c r="L242" i="20"/>
  <c r="L243" i="20"/>
  <c r="K242" i="20"/>
  <c r="K243" i="20"/>
  <c r="J242" i="20"/>
  <c r="I242" i="20"/>
  <c r="I243" i="20"/>
  <c r="M237" i="20"/>
  <c r="M238" i="20"/>
  <c r="L237" i="20"/>
  <c r="L238" i="20"/>
  <c r="K237" i="20"/>
  <c r="K238" i="20"/>
  <c r="J237" i="20"/>
  <c r="J238" i="20"/>
  <c r="I237" i="20"/>
  <c r="I238" i="20"/>
  <c r="N241" i="20"/>
  <c r="N240" i="20"/>
  <c r="N234" i="20"/>
  <c r="N228" i="20"/>
  <c r="N227" i="20"/>
  <c r="N177" i="20"/>
  <c r="N176" i="20"/>
  <c r="M164" i="20"/>
  <c r="M165" i="20"/>
  <c r="L164" i="20"/>
  <c r="L165" i="20"/>
  <c r="K164" i="20"/>
  <c r="K165" i="20"/>
  <c r="J164" i="20"/>
  <c r="J165" i="20"/>
  <c r="I164" i="20"/>
  <c r="I165" i="20"/>
  <c r="M166" i="20"/>
  <c r="M167" i="20"/>
  <c r="L166" i="20"/>
  <c r="L167" i="20"/>
  <c r="K166" i="20"/>
  <c r="K167" i="20"/>
  <c r="J166" i="20"/>
  <c r="J167" i="20"/>
  <c r="I166" i="20"/>
  <c r="I167" i="20"/>
  <c r="N170" i="20"/>
  <c r="N169" i="20"/>
  <c r="M124" i="20"/>
  <c r="L124" i="20"/>
  <c r="K124" i="20"/>
  <c r="I124" i="20"/>
  <c r="J116" i="20"/>
  <c r="K116" i="20"/>
  <c r="L116" i="20"/>
  <c r="M116" i="20"/>
  <c r="N428" i="20"/>
  <c r="P428" i="20"/>
  <c r="P422" i="20"/>
  <c r="K11" i="22"/>
  <c r="N427" i="20"/>
  <c r="N424" i="20"/>
  <c r="N422" i="20"/>
  <c r="N425" i="20"/>
  <c r="O422" i="20"/>
  <c r="N411" i="20"/>
  <c r="O411" i="20"/>
  <c r="N357" i="20"/>
  <c r="N362" i="20"/>
  <c r="O362" i="20"/>
  <c r="N419" i="20"/>
  <c r="J362" i="20"/>
  <c r="N346" i="20"/>
  <c r="O338" i="20"/>
  <c r="N287" i="20"/>
  <c r="O286" i="20" s="1"/>
  <c r="N348" i="20"/>
  <c r="N349" i="20"/>
  <c r="P349" i="20"/>
  <c r="P344" i="20"/>
  <c r="N351" i="20"/>
  <c r="P351" i="20"/>
  <c r="P345" i="20"/>
  <c r="N350" i="20"/>
  <c r="N293" i="20"/>
  <c r="O291" i="20"/>
  <c r="N235" i="20"/>
  <c r="N251" i="20"/>
  <c r="O251" i="20"/>
  <c r="N256" i="20"/>
  <c r="N264" i="20"/>
  <c r="N259" i="20"/>
  <c r="P259" i="20"/>
  <c r="P255" i="20"/>
  <c r="N258" i="20"/>
  <c r="J257" i="20"/>
  <c r="N257" i="20"/>
  <c r="P257" i="20"/>
  <c r="P254" i="20"/>
  <c r="N242" i="20"/>
  <c r="N171" i="20"/>
  <c r="O169" i="20"/>
  <c r="N245" i="20"/>
  <c r="P245" i="20"/>
  <c r="P241" i="20"/>
  <c r="N244" i="20"/>
  <c r="J243" i="20"/>
  <c r="N243" i="20"/>
  <c r="P243" i="20"/>
  <c r="P240" i="20"/>
  <c r="N238" i="20"/>
  <c r="P238" i="20"/>
  <c r="P234" i="20"/>
  <c r="N237" i="20"/>
  <c r="N178" i="20"/>
  <c r="N165" i="20"/>
  <c r="P165" i="20"/>
  <c r="P162" i="20"/>
  <c r="N164" i="20"/>
  <c r="N167" i="20"/>
  <c r="P167" i="20"/>
  <c r="P163" i="20"/>
  <c r="N166" i="20"/>
  <c r="J148" i="20"/>
  <c r="K148" i="20"/>
  <c r="L148" i="20"/>
  <c r="M148" i="20"/>
  <c r="I148" i="20"/>
  <c r="N143" i="20"/>
  <c r="N135" i="20"/>
  <c r="N127" i="20"/>
  <c r="M141" i="20"/>
  <c r="L141" i="20"/>
  <c r="K141" i="20"/>
  <c r="J141" i="20"/>
  <c r="I141" i="20"/>
  <c r="M140" i="20"/>
  <c r="L140" i="20"/>
  <c r="K140" i="20"/>
  <c r="J140" i="20"/>
  <c r="I140" i="20"/>
  <c r="M139" i="20"/>
  <c r="L139" i="20"/>
  <c r="K139" i="20"/>
  <c r="J139" i="20"/>
  <c r="I139" i="20"/>
  <c r="M138" i="20"/>
  <c r="L138" i="20"/>
  <c r="K138" i="20"/>
  <c r="J138" i="20"/>
  <c r="I138" i="20"/>
  <c r="M137" i="20"/>
  <c r="L137" i="20"/>
  <c r="K137" i="20"/>
  <c r="J137" i="20"/>
  <c r="I137" i="20"/>
  <c r="M133" i="20"/>
  <c r="L133" i="20"/>
  <c r="K133" i="20"/>
  <c r="J133" i="20"/>
  <c r="I133" i="20"/>
  <c r="M132" i="20"/>
  <c r="L132" i="20"/>
  <c r="K132" i="20"/>
  <c r="J132" i="20"/>
  <c r="I132" i="20"/>
  <c r="M131" i="20"/>
  <c r="L131" i="20"/>
  <c r="K131" i="20"/>
  <c r="J131" i="20"/>
  <c r="I131" i="20"/>
  <c r="M130" i="20"/>
  <c r="L130" i="20"/>
  <c r="K130" i="20"/>
  <c r="J130" i="20"/>
  <c r="I130" i="20"/>
  <c r="M129" i="20"/>
  <c r="L129" i="20"/>
  <c r="K129" i="20"/>
  <c r="J129" i="20"/>
  <c r="I129" i="20"/>
  <c r="N118" i="20"/>
  <c r="N110" i="20"/>
  <c r="N101" i="20"/>
  <c r="N93" i="20"/>
  <c r="J124" i="20"/>
  <c r="M123" i="20"/>
  <c r="L123" i="20"/>
  <c r="K123" i="20"/>
  <c r="J123" i="20"/>
  <c r="I123" i="20"/>
  <c r="M122" i="20"/>
  <c r="L122" i="20"/>
  <c r="K122" i="20"/>
  <c r="J122" i="20"/>
  <c r="I122" i="20"/>
  <c r="M121" i="20"/>
  <c r="L121" i="20"/>
  <c r="K121" i="20"/>
  <c r="J121" i="20"/>
  <c r="I121" i="20"/>
  <c r="M120" i="20"/>
  <c r="L120" i="20"/>
  <c r="K120" i="20"/>
  <c r="J120" i="20"/>
  <c r="I120" i="20"/>
  <c r="I116" i="20"/>
  <c r="M115" i="20"/>
  <c r="L115" i="20"/>
  <c r="K115" i="20"/>
  <c r="J115" i="20"/>
  <c r="I115" i="20"/>
  <c r="M114" i="20"/>
  <c r="L114" i="20"/>
  <c r="K114" i="20"/>
  <c r="J114" i="20"/>
  <c r="I114" i="20"/>
  <c r="M113" i="20"/>
  <c r="L113" i="20"/>
  <c r="K113" i="20"/>
  <c r="J113" i="20"/>
  <c r="I113" i="20"/>
  <c r="M112" i="20"/>
  <c r="L112" i="20"/>
  <c r="K112" i="20"/>
  <c r="J112" i="20"/>
  <c r="I112" i="20"/>
  <c r="M107" i="20"/>
  <c r="L107" i="20"/>
  <c r="K107" i="20"/>
  <c r="J107" i="20"/>
  <c r="I107" i="20"/>
  <c r="J99" i="20"/>
  <c r="K99" i="20"/>
  <c r="L99" i="20"/>
  <c r="M99" i="20"/>
  <c r="I99" i="20"/>
  <c r="M106" i="20"/>
  <c r="L106" i="20"/>
  <c r="K106" i="20"/>
  <c r="J106" i="20"/>
  <c r="I106" i="20"/>
  <c r="M105" i="20"/>
  <c r="L105" i="20"/>
  <c r="K105" i="20"/>
  <c r="J105" i="20"/>
  <c r="I105" i="20"/>
  <c r="M104" i="20"/>
  <c r="L104" i="20"/>
  <c r="K104" i="20"/>
  <c r="J104" i="20"/>
  <c r="I104" i="20"/>
  <c r="M103" i="20"/>
  <c r="L103" i="20"/>
  <c r="K103" i="20"/>
  <c r="J103" i="20"/>
  <c r="I103" i="20"/>
  <c r="J97" i="20"/>
  <c r="K97" i="20"/>
  <c r="L97" i="20"/>
  <c r="M97" i="20"/>
  <c r="I97" i="20"/>
  <c r="J95" i="20"/>
  <c r="K95" i="20"/>
  <c r="L95" i="20"/>
  <c r="M95" i="20"/>
  <c r="I95" i="20"/>
  <c r="J96" i="20"/>
  <c r="K96" i="20"/>
  <c r="L96" i="20"/>
  <c r="M96" i="20"/>
  <c r="I96" i="20"/>
  <c r="J98" i="20"/>
  <c r="K98" i="20"/>
  <c r="L98" i="20"/>
  <c r="M98" i="20"/>
  <c r="I98" i="20"/>
  <c r="N71" i="20"/>
  <c r="J33" i="20"/>
  <c r="K33" i="20"/>
  <c r="L33" i="20"/>
  <c r="M33" i="20"/>
  <c r="I33" i="20"/>
  <c r="J35" i="20"/>
  <c r="K35" i="20"/>
  <c r="L35" i="20"/>
  <c r="M35" i="20"/>
  <c r="I35" i="20"/>
  <c r="J31" i="20"/>
  <c r="J32" i="20"/>
  <c r="K31" i="20"/>
  <c r="K32" i="20"/>
  <c r="L31" i="20"/>
  <c r="M31" i="20"/>
  <c r="M32" i="20"/>
  <c r="J34" i="20"/>
  <c r="K34" i="20"/>
  <c r="L34" i="20"/>
  <c r="M34" i="20"/>
  <c r="J36" i="20"/>
  <c r="K36" i="20"/>
  <c r="L36" i="20"/>
  <c r="M36" i="20"/>
  <c r="I36" i="20"/>
  <c r="I31" i="20"/>
  <c r="I32" i="20"/>
  <c r="M449" i="20"/>
  <c r="L449" i="20"/>
  <c r="K449" i="20"/>
  <c r="J449" i="20"/>
  <c r="I444" i="20"/>
  <c r="I449" i="20"/>
  <c r="N443" i="20"/>
  <c r="N442" i="20"/>
  <c r="N441" i="20"/>
  <c r="N440" i="20"/>
  <c r="N439" i="20"/>
  <c r="N438" i="20"/>
  <c r="M405" i="20"/>
  <c r="L405" i="20"/>
  <c r="K405" i="20"/>
  <c r="J405" i="20"/>
  <c r="I405" i="20"/>
  <c r="N404" i="20"/>
  <c r="N403" i="20"/>
  <c r="M398" i="20"/>
  <c r="L398" i="20"/>
  <c r="K398" i="20"/>
  <c r="J398" i="20"/>
  <c r="I398" i="20"/>
  <c r="N397" i="20"/>
  <c r="N396" i="20"/>
  <c r="N395" i="20"/>
  <c r="N394" i="20"/>
  <c r="K335" i="20"/>
  <c r="N321" i="20"/>
  <c r="N278" i="20"/>
  <c r="N282" i="20"/>
  <c r="O282" i="20"/>
  <c r="M275" i="20"/>
  <c r="L275" i="20"/>
  <c r="K275" i="20"/>
  <c r="J275" i="20"/>
  <c r="I275" i="20"/>
  <c r="N274" i="20"/>
  <c r="N273" i="20"/>
  <c r="M270" i="20"/>
  <c r="L270" i="20"/>
  <c r="K270" i="20"/>
  <c r="J270" i="20"/>
  <c r="I270" i="20"/>
  <c r="N269" i="20"/>
  <c r="N268" i="20"/>
  <c r="N233" i="20"/>
  <c r="N223" i="20"/>
  <c r="N222" i="20"/>
  <c r="N147" i="20"/>
  <c r="N146" i="20"/>
  <c r="M86" i="20"/>
  <c r="L86" i="20"/>
  <c r="K86" i="20"/>
  <c r="J86" i="20"/>
  <c r="I86" i="20"/>
  <c r="N85" i="20"/>
  <c r="N84" i="20"/>
  <c r="N83" i="20"/>
  <c r="N82" i="20"/>
  <c r="N81" i="20"/>
  <c r="N69" i="20"/>
  <c r="N68" i="20"/>
  <c r="M45" i="20"/>
  <c r="L45" i="20"/>
  <c r="K45" i="20"/>
  <c r="J45" i="20"/>
  <c r="I45" i="20"/>
  <c r="I34" i="20"/>
  <c r="N28" i="20"/>
  <c r="N27" i="20"/>
  <c r="M23" i="20"/>
  <c r="M24" i="20"/>
  <c r="L23" i="20"/>
  <c r="L24" i="20"/>
  <c r="K23" i="20"/>
  <c r="K24" i="20"/>
  <c r="J23" i="20"/>
  <c r="J24" i="20"/>
  <c r="I23" i="20"/>
  <c r="N17" i="20"/>
  <c r="N16" i="20"/>
  <c r="O346" i="20"/>
  <c r="O423" i="20"/>
  <c r="O425" i="20"/>
  <c r="O410" i="20"/>
  <c r="O409" i="20"/>
  <c r="O342" i="20"/>
  <c r="O418" i="20"/>
  <c r="O419" i="20"/>
  <c r="O417" i="20"/>
  <c r="O293" i="20"/>
  <c r="O290" i="20"/>
  <c r="O356" i="20"/>
  <c r="O354" i="20"/>
  <c r="O353" i="20"/>
  <c r="O357" i="20"/>
  <c r="O355" i="20"/>
  <c r="O287" i="20"/>
  <c r="O285" i="20"/>
  <c r="O250" i="20"/>
  <c r="O249" i="20"/>
  <c r="O292" i="20"/>
  <c r="O171" i="20"/>
  <c r="O278" i="20"/>
  <c r="O280" i="20"/>
  <c r="O281" i="20"/>
  <c r="O279" i="20"/>
  <c r="O170" i="20"/>
  <c r="O248" i="20"/>
  <c r="O262" i="20"/>
  <c r="O263" i="20"/>
  <c r="O264" i="20"/>
  <c r="O261" i="20"/>
  <c r="N270" i="20"/>
  <c r="O270" i="20"/>
  <c r="N224" i="20"/>
  <c r="O177" i="20"/>
  <c r="O178" i="20"/>
  <c r="O176" i="20"/>
  <c r="K37" i="20"/>
  <c r="M37" i="20"/>
  <c r="N95" i="20"/>
  <c r="P96" i="20"/>
  <c r="P93" i="20"/>
  <c r="N31" i="20"/>
  <c r="N23" i="20"/>
  <c r="N137" i="20"/>
  <c r="P138" i="20"/>
  <c r="P135" i="20"/>
  <c r="N275" i="20"/>
  <c r="O274" i="20"/>
  <c r="L37" i="20"/>
  <c r="N105" i="20"/>
  <c r="P106" i="20"/>
  <c r="P102" i="20"/>
  <c r="N120" i="20"/>
  <c r="P121" i="20"/>
  <c r="P118" i="20"/>
  <c r="N131" i="20"/>
  <c r="P132" i="20"/>
  <c r="P128" i="20"/>
  <c r="N405" i="20"/>
  <c r="N112" i="20"/>
  <c r="P113" i="20"/>
  <c r="P110" i="20"/>
  <c r="N129" i="20"/>
  <c r="P130" i="20"/>
  <c r="P127" i="20"/>
  <c r="J335" i="20"/>
  <c r="J336" i="20" s="1"/>
  <c r="N149" i="20"/>
  <c r="O147" i="20"/>
  <c r="N398" i="20"/>
  <c r="O394" i="20"/>
  <c r="L32" i="20"/>
  <c r="N32" i="20"/>
  <c r="P32" i="20"/>
  <c r="P29" i="20"/>
  <c r="N103" i="20"/>
  <c r="P104" i="20"/>
  <c r="P101" i="20"/>
  <c r="N19" i="20"/>
  <c r="O16" i="20"/>
  <c r="N145" i="20"/>
  <c r="N139" i="20"/>
  <c r="P140" i="20"/>
  <c r="P136" i="20"/>
  <c r="N122" i="20"/>
  <c r="P123" i="20"/>
  <c r="P119" i="20"/>
  <c r="N114" i="20"/>
  <c r="P115" i="20"/>
  <c r="P111" i="20"/>
  <c r="N97" i="20"/>
  <c r="P98" i="20"/>
  <c r="P94" i="20"/>
  <c r="N87" i="20"/>
  <c r="O87" i="20"/>
  <c r="J37" i="20"/>
  <c r="I37" i="20"/>
  <c r="I24" i="20"/>
  <c r="N24" i="20"/>
  <c r="P24" i="20"/>
  <c r="P22" i="20"/>
  <c r="N38" i="20"/>
  <c r="I335" i="20"/>
  <c r="N444" i="20"/>
  <c r="N450" i="20"/>
  <c r="J20" i="20"/>
  <c r="J392" i="20"/>
  <c r="J426" i="20"/>
  <c r="J47" i="20"/>
  <c r="J436" i="20"/>
  <c r="J451" i="20"/>
  <c r="J25" i="20"/>
  <c r="J66" i="20"/>
  <c r="J319" i="20"/>
  <c r="J363" i="20"/>
  <c r="J39" i="20"/>
  <c r="I39" i="20"/>
  <c r="J406" i="20"/>
  <c r="J415" i="20"/>
  <c r="J412" i="20"/>
  <c r="J420" i="20"/>
  <c r="J399" i="20"/>
  <c r="O268" i="20"/>
  <c r="O269" i="20"/>
  <c r="O222" i="20"/>
  <c r="O223" i="20"/>
  <c r="O224" i="20"/>
  <c r="K47" i="20"/>
  <c r="K20" i="20"/>
  <c r="K39" i="20"/>
  <c r="O85" i="20"/>
  <c r="M47" i="20"/>
  <c r="M20" i="20"/>
  <c r="M39" i="20"/>
  <c r="L47" i="20"/>
  <c r="O82" i="20"/>
  <c r="O273" i="20"/>
  <c r="O397" i="20"/>
  <c r="O17" i="20"/>
  <c r="O146" i="20"/>
  <c r="O81" i="20"/>
  <c r="O275" i="20"/>
  <c r="O395" i="20"/>
  <c r="O398" i="20"/>
  <c r="O149" i="20"/>
  <c r="O19" i="20"/>
  <c r="O396" i="20"/>
  <c r="O403" i="20"/>
  <c r="O404" i="20"/>
  <c r="O405" i="20"/>
  <c r="O84" i="20"/>
  <c r="O83" i="20"/>
  <c r="M25" i="20"/>
  <c r="K25" i="20"/>
  <c r="L319" i="20"/>
  <c r="L363" i="20" s="1"/>
  <c r="O38" i="20"/>
  <c r="O27" i="20"/>
  <c r="O28" i="20"/>
  <c r="M319" i="20"/>
  <c r="M363" i="20"/>
  <c r="M392" i="20"/>
  <c r="M426" i="20"/>
  <c r="M436" i="20"/>
  <c r="M451" i="20"/>
  <c r="M66" i="20"/>
  <c r="K319" i="20"/>
  <c r="K363" i="20"/>
  <c r="K392" i="20"/>
  <c r="K426" i="20"/>
  <c r="K436" i="20"/>
  <c r="K451" i="20"/>
  <c r="K66" i="20"/>
  <c r="O450" i="20"/>
  <c r="O444" i="20"/>
  <c r="O442" i="20"/>
  <c r="O440" i="20"/>
  <c r="O438" i="20"/>
  <c r="O439" i="20"/>
  <c r="O443" i="20"/>
  <c r="O441" i="20"/>
  <c r="J150" i="20"/>
  <c r="J88" i="20"/>
  <c r="J219" i="20"/>
  <c r="J283" i="20"/>
  <c r="J347" i="20"/>
  <c r="I436" i="20"/>
  <c r="I451" i="20"/>
  <c r="I392" i="20"/>
  <c r="I25" i="20"/>
  <c r="I47" i="20"/>
  <c r="I20" i="20"/>
  <c r="I66" i="20"/>
  <c r="I88" i="20"/>
  <c r="I319" i="20"/>
  <c r="K415" i="20"/>
  <c r="K399" i="20"/>
  <c r="K412" i="20"/>
  <c r="K420" i="20"/>
  <c r="K406" i="20"/>
  <c r="M412" i="20"/>
  <c r="M420" i="20"/>
  <c r="M415" i="20"/>
  <c r="M406" i="20"/>
  <c r="M399" i="20"/>
  <c r="M347" i="20"/>
  <c r="K347" i="20"/>
  <c r="K336" i="20"/>
  <c r="K88" i="20"/>
  <c r="K219" i="20"/>
  <c r="M88" i="20"/>
  <c r="M219" i="20"/>
  <c r="L88" i="20"/>
  <c r="M150" i="20"/>
  <c r="K150" i="20"/>
  <c r="J265" i="20"/>
  <c r="J294" i="20"/>
  <c r="J230" i="20"/>
  <c r="J271" i="20"/>
  <c r="J288" i="20"/>
  <c r="J276" i="20"/>
  <c r="J225" i="20"/>
  <c r="J252" i="20"/>
  <c r="I363" i="20"/>
  <c r="I336" i="20"/>
  <c r="I347" i="20"/>
  <c r="I219" i="20"/>
  <c r="I150" i="20"/>
  <c r="I426" i="20"/>
  <c r="I412" i="20"/>
  <c r="I420" i="20"/>
  <c r="I415" i="20"/>
  <c r="I406" i="20"/>
  <c r="I399" i="20"/>
  <c r="K283" i="20"/>
  <c r="K294" i="20"/>
  <c r="K288" i="20"/>
  <c r="M294" i="20"/>
  <c r="M288" i="20"/>
  <c r="M283" i="20"/>
  <c r="M271" i="20"/>
  <c r="M276" i="20"/>
  <c r="K276" i="20"/>
  <c r="K271" i="20"/>
  <c r="M265" i="20"/>
  <c r="M252" i="20"/>
  <c r="K252" i="20"/>
  <c r="K265" i="20"/>
  <c r="M230" i="20"/>
  <c r="M225" i="20"/>
  <c r="K230" i="20"/>
  <c r="K225" i="20"/>
  <c r="I294" i="20"/>
  <c r="I252" i="20"/>
  <c r="I225" i="20"/>
  <c r="I265" i="20"/>
  <c r="I230" i="20"/>
  <c r="I288" i="20"/>
  <c r="I276" i="20"/>
  <c r="I283" i="20"/>
  <c r="I271" i="20"/>
  <c r="Q9" i="19"/>
  <c r="T9" i="19"/>
  <c r="N9" i="19"/>
  <c r="L3" i="19"/>
  <c r="T9" i="18"/>
  <c r="T9" i="16"/>
  <c r="Q9" i="15"/>
  <c r="T9" i="15"/>
  <c r="T9" i="14"/>
  <c r="N20" i="19"/>
  <c r="U294" i="19"/>
  <c r="R294" i="19"/>
  <c r="T294" i="19"/>
  <c r="N287" i="19"/>
  <c r="V326" i="19"/>
  <c r="S326" i="19"/>
  <c r="P326" i="19"/>
  <c r="Y325" i="19"/>
  <c r="Y324" i="19"/>
  <c r="Y323" i="19"/>
  <c r="AC320" i="19"/>
  <c r="AB320" i="19"/>
  <c r="AA320" i="19"/>
  <c r="U318" i="19"/>
  <c r="U20" i="19"/>
  <c r="U319" i="19"/>
  <c r="T318" i="19"/>
  <c r="R318" i="19"/>
  <c r="R20" i="19"/>
  <c r="R319" i="19"/>
  <c r="Q318" i="19"/>
  <c r="O318" i="19"/>
  <c r="N318" i="19"/>
  <c r="W317" i="19"/>
  <c r="X317" i="19"/>
  <c r="Y317" i="19"/>
  <c r="AZ317" i="19"/>
  <c r="AT317" i="19"/>
  <c r="V317" i="19"/>
  <c r="S317" i="19"/>
  <c r="P317" i="19"/>
  <c r="X316" i="19"/>
  <c r="AZ316" i="19"/>
  <c r="W316" i="19"/>
  <c r="AT316" i="19"/>
  <c r="V316" i="19"/>
  <c r="S316" i="19"/>
  <c r="P316" i="19"/>
  <c r="X315" i="19"/>
  <c r="AZ315" i="19"/>
  <c r="X318" i="19"/>
  <c r="W315" i="19"/>
  <c r="V315" i="19"/>
  <c r="S315" i="19"/>
  <c r="S318" i="19"/>
  <c r="P315" i="19"/>
  <c r="P318" i="19"/>
  <c r="N307" i="19"/>
  <c r="N312" i="19"/>
  <c r="T307" i="19"/>
  <c r="U307" i="19"/>
  <c r="V307" i="19"/>
  <c r="U312" i="19"/>
  <c r="T312" i="19"/>
  <c r="R307" i="19"/>
  <c r="R312" i="19"/>
  <c r="Q307" i="19"/>
  <c r="Q312" i="19"/>
  <c r="Q20" i="19"/>
  <c r="Q313" i="19"/>
  <c r="O307" i="19"/>
  <c r="P307" i="19"/>
  <c r="X306" i="19"/>
  <c r="AZ306" i="19"/>
  <c r="W306" i="19"/>
  <c r="V306" i="19"/>
  <c r="S306" i="19"/>
  <c r="P306" i="19"/>
  <c r="X305" i="19"/>
  <c r="AZ305" i="19"/>
  <c r="W305" i="19"/>
  <c r="V305" i="19"/>
  <c r="S305" i="19"/>
  <c r="P305" i="19"/>
  <c r="X304" i="19"/>
  <c r="AZ304" i="19"/>
  <c r="W304" i="19"/>
  <c r="Y304" i="19"/>
  <c r="AT304" i="19"/>
  <c r="V304" i="19"/>
  <c r="S304" i="19"/>
  <c r="P304" i="19"/>
  <c r="X303" i="19"/>
  <c r="W303" i="19"/>
  <c r="AT303" i="19"/>
  <c r="V303" i="19"/>
  <c r="S303" i="19"/>
  <c r="P303" i="19"/>
  <c r="W302" i="19"/>
  <c r="AT302" i="19"/>
  <c r="X302" i="19"/>
  <c r="AZ302" i="19"/>
  <c r="Y302" i="19"/>
  <c r="V302" i="19"/>
  <c r="S302" i="19"/>
  <c r="P302" i="19"/>
  <c r="X301" i="19"/>
  <c r="AZ301" i="19"/>
  <c r="W301" i="19"/>
  <c r="V301" i="19"/>
  <c r="S301" i="19"/>
  <c r="P301" i="19"/>
  <c r="W300" i="19"/>
  <c r="X300" i="19"/>
  <c r="Y300" i="19"/>
  <c r="AZ300" i="19"/>
  <c r="AT300" i="19"/>
  <c r="V300" i="19"/>
  <c r="S300" i="19"/>
  <c r="P300" i="19"/>
  <c r="X299" i="19"/>
  <c r="AZ299" i="19"/>
  <c r="W299" i="19"/>
  <c r="AT299" i="19"/>
  <c r="V299" i="19"/>
  <c r="S299" i="19"/>
  <c r="P299" i="19"/>
  <c r="X298" i="19"/>
  <c r="W298" i="19"/>
  <c r="V298" i="19"/>
  <c r="S298" i="19"/>
  <c r="P298" i="19"/>
  <c r="X297" i="19"/>
  <c r="AZ297" i="19"/>
  <c r="W297" i="19"/>
  <c r="V297" i="19"/>
  <c r="S297" i="19"/>
  <c r="P297" i="19"/>
  <c r="U295" i="19"/>
  <c r="Q294" i="19"/>
  <c r="O294" i="19"/>
  <c r="N294" i="19"/>
  <c r="X293" i="19"/>
  <c r="AZ293" i="19"/>
  <c r="W293" i="19"/>
  <c r="V293" i="19"/>
  <c r="S293" i="19"/>
  <c r="P293" i="19"/>
  <c r="X292" i="19"/>
  <c r="AZ292" i="19"/>
  <c r="W292" i="19"/>
  <c r="V292" i="19"/>
  <c r="S292" i="19"/>
  <c r="P292" i="19"/>
  <c r="W291" i="19"/>
  <c r="X291" i="19"/>
  <c r="Y291" i="19"/>
  <c r="AZ291" i="19"/>
  <c r="AT291" i="19"/>
  <c r="V291" i="19"/>
  <c r="S291" i="19"/>
  <c r="S290" i="19"/>
  <c r="S294" i="19"/>
  <c r="P291" i="19"/>
  <c r="X290" i="19"/>
  <c r="AZ290" i="19"/>
  <c r="W290" i="19"/>
  <c r="AT290" i="19"/>
  <c r="V290" i="19"/>
  <c r="P290" i="19"/>
  <c r="U287" i="19"/>
  <c r="T287" i="19"/>
  <c r="R287" i="19"/>
  <c r="Q287" i="19"/>
  <c r="O287" i="19"/>
  <c r="X286" i="19"/>
  <c r="AZ286" i="19"/>
  <c r="W286" i="19"/>
  <c r="AT286" i="19"/>
  <c r="V286" i="19"/>
  <c r="S286" i="19"/>
  <c r="P286" i="19"/>
  <c r="X285" i="19"/>
  <c r="AZ285" i="19"/>
  <c r="W285" i="19"/>
  <c r="Y285" i="19"/>
  <c r="AT285" i="19"/>
  <c r="V285" i="19"/>
  <c r="S285" i="19"/>
  <c r="P285" i="19"/>
  <c r="X284" i="19"/>
  <c r="W284" i="19"/>
  <c r="AT284" i="19"/>
  <c r="V284" i="19"/>
  <c r="S284" i="19"/>
  <c r="P284" i="19"/>
  <c r="X283" i="19"/>
  <c r="AZ283" i="19"/>
  <c r="W283" i="19"/>
  <c r="Y283" i="19"/>
  <c r="V283" i="19"/>
  <c r="S283" i="19"/>
  <c r="P283" i="19"/>
  <c r="V249" i="19"/>
  <c r="S249" i="19"/>
  <c r="P249" i="19"/>
  <c r="Y248" i="19"/>
  <c r="Y247" i="19"/>
  <c r="Y246" i="19"/>
  <c r="U243" i="19"/>
  <c r="U244" i="19"/>
  <c r="T243" i="19"/>
  <c r="T244" i="19"/>
  <c r="R243" i="19"/>
  <c r="R244" i="19"/>
  <c r="Q243" i="19"/>
  <c r="Q244" i="19"/>
  <c r="O243" i="19"/>
  <c r="O244" i="19"/>
  <c r="N243" i="19"/>
  <c r="N244" i="19"/>
  <c r="X242" i="19"/>
  <c r="AZ242" i="19"/>
  <c r="W242" i="19"/>
  <c r="AT242" i="19"/>
  <c r="V242" i="19"/>
  <c r="S242" i="19"/>
  <c r="P242" i="19"/>
  <c r="X241" i="19"/>
  <c r="AZ241" i="19"/>
  <c r="W241" i="19"/>
  <c r="AT241" i="19"/>
  <c r="V241" i="19"/>
  <c r="S241" i="19"/>
  <c r="P241" i="19"/>
  <c r="X240" i="19"/>
  <c r="AZ240" i="19"/>
  <c r="W240" i="19"/>
  <c r="V240" i="19"/>
  <c r="S240" i="19"/>
  <c r="P240" i="19"/>
  <c r="X239" i="19"/>
  <c r="AZ239" i="19"/>
  <c r="W239" i="19"/>
  <c r="Y239" i="19"/>
  <c r="AT239" i="19"/>
  <c r="V239" i="19"/>
  <c r="S239" i="19"/>
  <c r="P239" i="19"/>
  <c r="W238" i="19"/>
  <c r="X238" i="19"/>
  <c r="Y238" i="19"/>
  <c r="AZ238" i="19"/>
  <c r="AT238" i="19"/>
  <c r="V238" i="19"/>
  <c r="S238" i="19"/>
  <c r="P238" i="19"/>
  <c r="X237" i="19"/>
  <c r="AZ237" i="19"/>
  <c r="W237" i="19"/>
  <c r="V237" i="19"/>
  <c r="S237" i="19"/>
  <c r="P237" i="19"/>
  <c r="X236" i="19"/>
  <c r="W236" i="19"/>
  <c r="AT236" i="19"/>
  <c r="V236" i="19"/>
  <c r="S236" i="19"/>
  <c r="P236" i="19"/>
  <c r="X235" i="19"/>
  <c r="W235" i="19"/>
  <c r="AT235" i="19"/>
  <c r="V235" i="19"/>
  <c r="S235" i="19"/>
  <c r="P235" i="19"/>
  <c r="BA232" i="19"/>
  <c r="AU232" i="19"/>
  <c r="U232" i="19"/>
  <c r="U198" i="19"/>
  <c r="U233" i="19"/>
  <c r="T232" i="19"/>
  <c r="T198" i="19"/>
  <c r="T233" i="19"/>
  <c r="R232" i="19"/>
  <c r="Q232" i="19"/>
  <c r="O232" i="19"/>
  <c r="O198" i="19"/>
  <c r="O233" i="19"/>
  <c r="N232" i="19"/>
  <c r="N198" i="19"/>
  <c r="N233" i="19"/>
  <c r="BA231" i="19"/>
  <c r="AU231" i="19"/>
  <c r="W231" i="19"/>
  <c r="AT231" i="19"/>
  <c r="X231" i="19"/>
  <c r="AZ231" i="19"/>
  <c r="V231" i="19"/>
  <c r="S231" i="19"/>
  <c r="P231" i="19"/>
  <c r="AC230" i="19"/>
  <c r="X230" i="19"/>
  <c r="AY230" i="19"/>
  <c r="W230" i="19"/>
  <c r="AS230" i="19"/>
  <c r="AB229" i="19"/>
  <c r="X229" i="19"/>
  <c r="AX229" i="19"/>
  <c r="W229" i="19"/>
  <c r="AR229" i="19"/>
  <c r="AA228" i="19"/>
  <c r="X228" i="19"/>
  <c r="AW228" i="19"/>
  <c r="W228" i="19"/>
  <c r="AQ228" i="19"/>
  <c r="BA227" i="19"/>
  <c r="AU227" i="19"/>
  <c r="W227" i="19"/>
  <c r="X227" i="19"/>
  <c r="Y227" i="19"/>
  <c r="AZ227" i="19"/>
  <c r="AT227" i="19"/>
  <c r="V227" i="19"/>
  <c r="S227" i="19"/>
  <c r="P227" i="19"/>
  <c r="BA226" i="19"/>
  <c r="X226" i="19"/>
  <c r="AZ226" i="19"/>
  <c r="AU226" i="19"/>
  <c r="W226" i="19"/>
  <c r="V226" i="19"/>
  <c r="S226" i="19"/>
  <c r="S232" i="19"/>
  <c r="P226" i="19"/>
  <c r="O223" i="19"/>
  <c r="O224" i="19"/>
  <c r="BA223" i="19"/>
  <c r="AU223" i="19"/>
  <c r="U223" i="19"/>
  <c r="U224" i="19"/>
  <c r="T223" i="19"/>
  <c r="R223" i="19"/>
  <c r="Q223" i="19"/>
  <c r="N223" i="19"/>
  <c r="BA222" i="19"/>
  <c r="AU222" i="19"/>
  <c r="W222" i="19"/>
  <c r="X222" i="19"/>
  <c r="Y222" i="19"/>
  <c r="AZ222" i="19"/>
  <c r="AT222" i="19"/>
  <c r="V222" i="19"/>
  <c r="S222" i="19"/>
  <c r="P222" i="19"/>
  <c r="AC221" i="19"/>
  <c r="X221" i="19"/>
  <c r="AY221" i="19"/>
  <c r="W221" i="19"/>
  <c r="AS221" i="19"/>
  <c r="W220" i="19"/>
  <c r="AR220" i="19"/>
  <c r="AB220" i="19"/>
  <c r="X220" i="19"/>
  <c r="AX220" i="19"/>
  <c r="X219" i="19"/>
  <c r="AW219" i="19"/>
  <c r="AA219" i="19"/>
  <c r="W219" i="19"/>
  <c r="AQ219" i="19"/>
  <c r="BA218" i="19"/>
  <c r="AU218" i="19"/>
  <c r="X218" i="19"/>
  <c r="W218" i="19"/>
  <c r="AT218" i="19"/>
  <c r="V218" i="19"/>
  <c r="S218" i="19"/>
  <c r="P218" i="19"/>
  <c r="BA217" i="19"/>
  <c r="AU217" i="19"/>
  <c r="X217" i="19"/>
  <c r="AZ217" i="19"/>
  <c r="W217" i="19"/>
  <c r="AT217" i="19"/>
  <c r="AT223" i="19"/>
  <c r="V217" i="19"/>
  <c r="V223" i="19"/>
  <c r="S217" i="19"/>
  <c r="P217" i="19"/>
  <c r="T214" i="19"/>
  <c r="T215" i="19"/>
  <c r="Q214" i="19"/>
  <c r="Q198" i="19"/>
  <c r="Q215" i="19"/>
  <c r="U214" i="19"/>
  <c r="R214" i="19"/>
  <c r="R198" i="19"/>
  <c r="R215" i="19"/>
  <c r="O214" i="19"/>
  <c r="N214" i="19"/>
  <c r="N215" i="19"/>
  <c r="X213" i="19"/>
  <c r="W213" i="19"/>
  <c r="Y213" i="19"/>
  <c r="AT213" i="19"/>
  <c r="V213" i="19"/>
  <c r="S213" i="19"/>
  <c r="P213" i="19"/>
  <c r="X212" i="19"/>
  <c r="AZ212" i="19"/>
  <c r="W212" i="19"/>
  <c r="V212" i="19"/>
  <c r="S212" i="19"/>
  <c r="P212" i="19"/>
  <c r="X211" i="19"/>
  <c r="W211" i="19"/>
  <c r="V211" i="19"/>
  <c r="S211" i="19"/>
  <c r="S214" i="19"/>
  <c r="P211" i="19"/>
  <c r="P214" i="19"/>
  <c r="Q203" i="19"/>
  <c r="Q208" i="19"/>
  <c r="X207" i="19"/>
  <c r="W207" i="19"/>
  <c r="AT207" i="19"/>
  <c r="V207" i="19"/>
  <c r="S207" i="19"/>
  <c r="P207" i="19"/>
  <c r="U203" i="19"/>
  <c r="T203" i="19"/>
  <c r="R203" i="19"/>
  <c r="R208" i="19"/>
  <c r="O203" i="19"/>
  <c r="O208" i="19"/>
  <c r="O209" i="19"/>
  <c r="N203" i="19"/>
  <c r="N208" i="19"/>
  <c r="N209" i="19"/>
  <c r="X202" i="19"/>
  <c r="W202" i="19"/>
  <c r="AT202" i="19"/>
  <c r="V202" i="19"/>
  <c r="S202" i="19"/>
  <c r="P202" i="19"/>
  <c r="X201" i="19"/>
  <c r="W201" i="19"/>
  <c r="AT201" i="19"/>
  <c r="V201" i="19"/>
  <c r="S201" i="19"/>
  <c r="P201" i="19"/>
  <c r="W200" i="19"/>
  <c r="AT200" i="19"/>
  <c r="X200" i="19"/>
  <c r="AZ200" i="19"/>
  <c r="V200" i="19"/>
  <c r="S200" i="19"/>
  <c r="P200" i="19"/>
  <c r="W199" i="19"/>
  <c r="AT199" i="19"/>
  <c r="X199" i="19"/>
  <c r="Y199" i="19"/>
  <c r="AZ199" i="19"/>
  <c r="V199" i="19"/>
  <c r="S199" i="19"/>
  <c r="P199" i="19"/>
  <c r="R233" i="19"/>
  <c r="V191" i="19"/>
  <c r="V192" i="19"/>
  <c r="V193" i="19"/>
  <c r="V194" i="19"/>
  <c r="V195" i="19"/>
  <c r="V196" i="19"/>
  <c r="U196" i="19"/>
  <c r="U197" i="19"/>
  <c r="T196" i="19"/>
  <c r="R196" i="19"/>
  <c r="Q196" i="19"/>
  <c r="Q197" i="19"/>
  <c r="O196" i="19"/>
  <c r="N196" i="19"/>
  <c r="X195" i="19"/>
  <c r="W195" i="19"/>
  <c r="AT195" i="19"/>
  <c r="S195" i="19"/>
  <c r="P195" i="19"/>
  <c r="X194" i="19"/>
  <c r="AZ194" i="19"/>
  <c r="W194" i="19"/>
  <c r="S194" i="19"/>
  <c r="P194" i="19"/>
  <c r="X193" i="19"/>
  <c r="AZ193" i="19"/>
  <c r="W193" i="19"/>
  <c r="S193" i="19"/>
  <c r="P193" i="19"/>
  <c r="W192" i="19"/>
  <c r="AT192" i="19"/>
  <c r="X192" i="19"/>
  <c r="AZ192" i="19"/>
  <c r="Y192" i="19"/>
  <c r="S192" i="19"/>
  <c r="P192" i="19"/>
  <c r="W191" i="19"/>
  <c r="AT191" i="19"/>
  <c r="X191" i="19"/>
  <c r="S191" i="19"/>
  <c r="P191" i="19"/>
  <c r="T181" i="19"/>
  <c r="T188" i="19"/>
  <c r="U181" i="19"/>
  <c r="U188" i="19"/>
  <c r="U189" i="19"/>
  <c r="R181" i="19"/>
  <c r="Q181" i="19"/>
  <c r="O181" i="19"/>
  <c r="N181" i="19"/>
  <c r="P181" i="19"/>
  <c r="N188" i="19"/>
  <c r="N189" i="19"/>
  <c r="W180" i="19"/>
  <c r="X180" i="19"/>
  <c r="AF157" i="7" s="1"/>
  <c r="V180" i="19"/>
  <c r="S180" i="19"/>
  <c r="P180" i="19"/>
  <c r="X179" i="19"/>
  <c r="W179" i="19"/>
  <c r="AE156" i="7" s="1"/>
  <c r="V179" i="19"/>
  <c r="S179" i="19"/>
  <c r="P179" i="19"/>
  <c r="X178" i="19"/>
  <c r="AF155" i="7" s="1"/>
  <c r="W178" i="19"/>
  <c r="AE155" i="7" s="1"/>
  <c r="V178" i="19"/>
  <c r="S178" i="19"/>
  <c r="P178" i="19"/>
  <c r="X177" i="19"/>
  <c r="AF154" i="7" s="1"/>
  <c r="W177" i="19"/>
  <c r="AE154" i="7" s="1"/>
  <c r="V177" i="19"/>
  <c r="S177" i="19"/>
  <c r="P177" i="19"/>
  <c r="X176" i="19"/>
  <c r="AF153" i="7" s="1"/>
  <c r="W176" i="19"/>
  <c r="V176" i="19"/>
  <c r="S176" i="19"/>
  <c r="P176" i="19"/>
  <c r="W175" i="19"/>
  <c r="AE152" i="7" s="1"/>
  <c r="AT175" i="19"/>
  <c r="X175" i="19"/>
  <c r="AF152" i="7" s="1"/>
  <c r="V175" i="19"/>
  <c r="S175" i="19"/>
  <c r="P175" i="19"/>
  <c r="P188" i="19" s="1"/>
  <c r="T163" i="19"/>
  <c r="T169" i="19"/>
  <c r="O163" i="19"/>
  <c r="O169" i="19"/>
  <c r="N163" i="19"/>
  <c r="N169" i="19"/>
  <c r="U163" i="19"/>
  <c r="U169" i="19"/>
  <c r="R163" i="19"/>
  <c r="R169" i="19"/>
  <c r="Q163" i="19"/>
  <c r="Q169" i="19"/>
  <c r="X162" i="19"/>
  <c r="W162" i="19"/>
  <c r="AE140" i="7" s="1"/>
  <c r="V162" i="19"/>
  <c r="S162" i="19"/>
  <c r="P162" i="19"/>
  <c r="X161" i="19"/>
  <c r="W161" i="19"/>
  <c r="V161" i="19"/>
  <c r="S161" i="19"/>
  <c r="P161" i="19"/>
  <c r="X160" i="19"/>
  <c r="AF138" i="7" s="1"/>
  <c r="AG138" i="7" s="1"/>
  <c r="AZ160" i="19"/>
  <c r="W160" i="19"/>
  <c r="AE138" i="7" s="1"/>
  <c r="V160" i="19"/>
  <c r="S160" i="19"/>
  <c r="P160" i="19"/>
  <c r="X159" i="19"/>
  <c r="AF137" i="7" s="1"/>
  <c r="W159" i="19"/>
  <c r="AE137" i="7" s="1"/>
  <c r="V159" i="19"/>
  <c r="S159" i="19"/>
  <c r="P159" i="19"/>
  <c r="X158" i="19"/>
  <c r="W158" i="19"/>
  <c r="V158" i="19"/>
  <c r="S158" i="19"/>
  <c r="P158" i="19"/>
  <c r="W157" i="19"/>
  <c r="AT157" i="19"/>
  <c r="X157" i="19"/>
  <c r="AF135" i="7" s="1"/>
  <c r="AZ157" i="19"/>
  <c r="V157" i="19"/>
  <c r="S157" i="19"/>
  <c r="P157" i="19"/>
  <c r="X156" i="19"/>
  <c r="W156" i="19"/>
  <c r="AE134" i="7" s="1"/>
  <c r="V156" i="19"/>
  <c r="S156" i="19"/>
  <c r="P156" i="19"/>
  <c r="X155" i="19"/>
  <c r="AF133" i="7" s="1"/>
  <c r="W155" i="19"/>
  <c r="AE133" i="7" s="1"/>
  <c r="V155" i="19"/>
  <c r="S155" i="19"/>
  <c r="P155" i="19"/>
  <c r="X154" i="19"/>
  <c r="AF132" i="7" s="1"/>
  <c r="W154" i="19"/>
  <c r="V154" i="19"/>
  <c r="S154" i="19"/>
  <c r="P154" i="19"/>
  <c r="U151" i="19"/>
  <c r="T151" i="19"/>
  <c r="R151" i="19"/>
  <c r="Q151" i="19"/>
  <c r="O151" i="19"/>
  <c r="N151" i="19"/>
  <c r="N152" i="19"/>
  <c r="W150" i="19"/>
  <c r="X150" i="19"/>
  <c r="AZ150" i="19" s="1"/>
  <c r="V150" i="19"/>
  <c r="S150" i="19"/>
  <c r="S148" i="19"/>
  <c r="S149" i="19"/>
  <c r="P150" i="19"/>
  <c r="X149" i="19"/>
  <c r="AF128" i="7" s="1"/>
  <c r="W149" i="19"/>
  <c r="AE128" i="7" s="1"/>
  <c r="V149" i="19"/>
  <c r="P149" i="19"/>
  <c r="X148" i="19"/>
  <c r="AF127" i="7" s="1"/>
  <c r="W148" i="19"/>
  <c r="AE127" i="7" s="1"/>
  <c r="V148" i="19"/>
  <c r="P148" i="19"/>
  <c r="U145" i="19"/>
  <c r="U146" i="19"/>
  <c r="T145" i="19"/>
  <c r="R145" i="19"/>
  <c r="R146" i="19"/>
  <c r="Q145" i="19"/>
  <c r="O145" i="19"/>
  <c r="N145" i="19"/>
  <c r="N146" i="19"/>
  <c r="X144" i="19"/>
  <c r="W144" i="19"/>
  <c r="AT144" i="19" s="1"/>
  <c r="V144" i="19"/>
  <c r="S144" i="19"/>
  <c r="P144" i="19"/>
  <c r="X143" i="19"/>
  <c r="W143" i="19"/>
  <c r="AE123" i="7" s="1"/>
  <c r="AE130" i="23" s="1"/>
  <c r="V143" i="19"/>
  <c r="S143" i="19"/>
  <c r="S145" i="19" s="1"/>
  <c r="P143" i="19"/>
  <c r="W142" i="19"/>
  <c r="AE122" i="7" s="1"/>
  <c r="X142" i="19"/>
  <c r="AF122" i="7" s="1"/>
  <c r="AF129" i="23" s="1"/>
  <c r="V142" i="19"/>
  <c r="S142" i="19"/>
  <c r="P142" i="19"/>
  <c r="L139" i="19"/>
  <c r="K139" i="19"/>
  <c r="J139" i="19"/>
  <c r="AN138" i="19"/>
  <c r="AH138" i="19"/>
  <c r="M138" i="19"/>
  <c r="AN137" i="19"/>
  <c r="AH137" i="19"/>
  <c r="AH139" i="19"/>
  <c r="M137" i="19"/>
  <c r="M139" i="19" s="1"/>
  <c r="P72" i="19"/>
  <c r="S64" i="19"/>
  <c r="S63" i="19"/>
  <c r="S65" i="19" s="1"/>
  <c r="Y92" i="19"/>
  <c r="Y93" i="19"/>
  <c r="Y94" i="19"/>
  <c r="AG94" i="7" s="1"/>
  <c r="Y95" i="19"/>
  <c r="AG95" i="7" s="1"/>
  <c r="V96" i="19"/>
  <c r="V97" i="19"/>
  <c r="S96" i="19"/>
  <c r="S97" i="19"/>
  <c r="P96" i="19"/>
  <c r="P97" i="19"/>
  <c r="V81" i="19"/>
  <c r="V82" i="19"/>
  <c r="S81" i="19"/>
  <c r="S82" i="19"/>
  <c r="P81" i="19"/>
  <c r="P82" i="19"/>
  <c r="Y80" i="19"/>
  <c r="AG82" i="7" s="1"/>
  <c r="Y79" i="19"/>
  <c r="AG81" i="7" s="1"/>
  <c r="Y78" i="19"/>
  <c r="Y77" i="19"/>
  <c r="U73" i="19"/>
  <c r="T73" i="19"/>
  <c r="R73" i="19"/>
  <c r="Q73" i="19"/>
  <c r="O73" i="19"/>
  <c r="O20" i="19"/>
  <c r="O74" i="19"/>
  <c r="N73" i="19"/>
  <c r="X72" i="19"/>
  <c r="W72" i="19"/>
  <c r="AE75" i="7" s="1"/>
  <c r="V72" i="19"/>
  <c r="S72" i="19"/>
  <c r="X71" i="19"/>
  <c r="AF74" i="7" s="1"/>
  <c r="W71" i="19"/>
  <c r="AT71" i="19" s="1"/>
  <c r="V71" i="19"/>
  <c r="S71" i="19"/>
  <c r="P71" i="19"/>
  <c r="X70" i="19"/>
  <c r="W70" i="19"/>
  <c r="V70" i="19"/>
  <c r="S70" i="19"/>
  <c r="P70" i="19"/>
  <c r="X69" i="19"/>
  <c r="W69" i="19"/>
  <c r="AE72" i="7" s="1"/>
  <c r="AT69" i="19"/>
  <c r="V69" i="19"/>
  <c r="S69" i="19"/>
  <c r="P69" i="19"/>
  <c r="X68" i="19"/>
  <c r="Y68" i="19" s="1"/>
  <c r="W68" i="19"/>
  <c r="V68" i="19"/>
  <c r="V73" i="19" s="1"/>
  <c r="S68" i="19"/>
  <c r="P68" i="19"/>
  <c r="U65" i="19"/>
  <c r="U66" i="19"/>
  <c r="T65" i="19"/>
  <c r="T20" i="19"/>
  <c r="T66" i="19"/>
  <c r="R65" i="19"/>
  <c r="Q65" i="19"/>
  <c r="O65" i="19"/>
  <c r="N65" i="19"/>
  <c r="X64" i="19"/>
  <c r="AF68" i="7" s="1"/>
  <c r="W64" i="19"/>
  <c r="AE68" i="7" s="1"/>
  <c r="V64" i="19"/>
  <c r="P64" i="19"/>
  <c r="X63" i="19"/>
  <c r="W63" i="19"/>
  <c r="V63" i="19"/>
  <c r="P63" i="19"/>
  <c r="X62" i="19"/>
  <c r="W62" i="19"/>
  <c r="AE66" i="7" s="1"/>
  <c r="V62" i="19"/>
  <c r="S62" i="19"/>
  <c r="P62" i="19"/>
  <c r="X61" i="19"/>
  <c r="AF65" i="7" s="1"/>
  <c r="W61" i="19"/>
  <c r="W65" i="19" s="1"/>
  <c r="V61" i="19"/>
  <c r="S61" i="19"/>
  <c r="P61" i="19"/>
  <c r="L58" i="19"/>
  <c r="K58" i="19"/>
  <c r="J58" i="19"/>
  <c r="AN57" i="19"/>
  <c r="AH57" i="19"/>
  <c r="M57" i="19"/>
  <c r="AN56" i="19"/>
  <c r="AH56" i="19"/>
  <c r="AZ56" i="19"/>
  <c r="M56" i="19"/>
  <c r="AN55" i="19"/>
  <c r="AH55" i="19"/>
  <c r="M55" i="19"/>
  <c r="AN54" i="19"/>
  <c r="AH54" i="19"/>
  <c r="AZ54" i="19"/>
  <c r="M54" i="19"/>
  <c r="AN53" i="19"/>
  <c r="AH53" i="19"/>
  <c r="M53" i="19"/>
  <c r="AN52" i="19"/>
  <c r="AH52" i="19"/>
  <c r="AZ52" i="19"/>
  <c r="M52" i="19"/>
  <c r="AN51" i="19"/>
  <c r="AH51" i="19"/>
  <c r="M51" i="19"/>
  <c r="AN50" i="19"/>
  <c r="AH50" i="19"/>
  <c r="AZ50" i="19"/>
  <c r="M50" i="19"/>
  <c r="AN49" i="19"/>
  <c r="AH49" i="19"/>
  <c r="M49" i="19"/>
  <c r="AN48" i="19"/>
  <c r="AH48" i="19"/>
  <c r="AZ48" i="19"/>
  <c r="M48" i="19"/>
  <c r="AN47" i="19"/>
  <c r="AH47" i="19"/>
  <c r="M47" i="19"/>
  <c r="AN46" i="19"/>
  <c r="AH46" i="19"/>
  <c r="AZ46" i="19"/>
  <c r="M46" i="19"/>
  <c r="AN45" i="19"/>
  <c r="AH45" i="19"/>
  <c r="M45" i="19"/>
  <c r="AN44" i="19"/>
  <c r="AH44" i="19"/>
  <c r="AZ44" i="19"/>
  <c r="M44" i="19"/>
  <c r="U41" i="19"/>
  <c r="T41" i="19"/>
  <c r="R41" i="19"/>
  <c r="R42" i="19"/>
  <c r="Q41" i="19"/>
  <c r="O41" i="19"/>
  <c r="N41" i="19"/>
  <c r="N42" i="19"/>
  <c r="W40" i="19"/>
  <c r="Y40" i="19" s="1"/>
  <c r="X40" i="19"/>
  <c r="V40" i="19"/>
  <c r="V41" i="19" s="1"/>
  <c r="S40" i="19"/>
  <c r="P40" i="19"/>
  <c r="P41" i="19" s="1"/>
  <c r="X39" i="19"/>
  <c r="AF45" i="7" s="1"/>
  <c r="W39" i="19"/>
  <c r="V39" i="19"/>
  <c r="S39" i="19"/>
  <c r="S41" i="19" s="1"/>
  <c r="P39" i="19"/>
  <c r="X38" i="19"/>
  <c r="W38" i="19"/>
  <c r="V38" i="19"/>
  <c r="S38" i="19"/>
  <c r="P38" i="19"/>
  <c r="AN32" i="19"/>
  <c r="AH32" i="19"/>
  <c r="AH33" i="19" s="1"/>
  <c r="AH31" i="19"/>
  <c r="AZ31" i="19"/>
  <c r="AN30" i="19"/>
  <c r="L26" i="19"/>
  <c r="K26" i="19"/>
  <c r="J26" i="19"/>
  <c r="AN25" i="19"/>
  <c r="AH25" i="19"/>
  <c r="AH26" i="19" s="1"/>
  <c r="AI26" i="19" s="1"/>
  <c r="X25" i="19"/>
  <c r="AF27" i="7" s="1"/>
  <c r="W25" i="19"/>
  <c r="M25" i="19"/>
  <c r="AN24" i="19"/>
  <c r="AN26" i="19" s="1"/>
  <c r="AH24" i="19"/>
  <c r="X24" i="19"/>
  <c r="X26" i="19" s="1"/>
  <c r="W24" i="19"/>
  <c r="M24" i="19"/>
  <c r="AN23" i="19"/>
  <c r="AH23" i="19"/>
  <c r="X23" i="19"/>
  <c r="W23" i="19"/>
  <c r="M23" i="19"/>
  <c r="X19" i="19"/>
  <c r="W19" i="19"/>
  <c r="AE32" i="7" s="1"/>
  <c r="V19" i="19"/>
  <c r="S19" i="19"/>
  <c r="P19" i="19"/>
  <c r="W18" i="19"/>
  <c r="X18" i="19"/>
  <c r="AZ18" i="19" s="1"/>
  <c r="V18" i="19"/>
  <c r="V20" i="19"/>
  <c r="S18" i="19"/>
  <c r="S20" i="19"/>
  <c r="P18" i="19"/>
  <c r="P20" i="19"/>
  <c r="L33" i="19"/>
  <c r="M31" i="19"/>
  <c r="AN14" i="19"/>
  <c r="AH14" i="19"/>
  <c r="AZ14" i="19"/>
  <c r="AT14" i="19"/>
  <c r="M14" i="19"/>
  <c r="AN13" i="19"/>
  <c r="AN15" i="19"/>
  <c r="AH13" i="19"/>
  <c r="M13" i="19"/>
  <c r="M15" i="19"/>
  <c r="U287" i="18"/>
  <c r="T287" i="18"/>
  <c r="V326" i="18"/>
  <c r="S326" i="18"/>
  <c r="P326" i="18"/>
  <c r="Y325" i="18"/>
  <c r="Y324" i="18"/>
  <c r="Y323" i="18"/>
  <c r="AC320" i="18"/>
  <c r="AB320" i="18"/>
  <c r="AA320" i="18"/>
  <c r="U318" i="18"/>
  <c r="T318" i="18"/>
  <c r="R318" i="18"/>
  <c r="Q318" i="18"/>
  <c r="O318" i="18"/>
  <c r="N318" i="18"/>
  <c r="X317" i="18"/>
  <c r="AZ317" i="18"/>
  <c r="W317" i="18"/>
  <c r="AT317" i="18"/>
  <c r="V317" i="18"/>
  <c r="S317" i="18"/>
  <c r="P317" i="18"/>
  <c r="X316" i="18"/>
  <c r="AZ316" i="18"/>
  <c r="W316" i="18"/>
  <c r="V316" i="18"/>
  <c r="V315" i="18"/>
  <c r="V318" i="18"/>
  <c r="S316" i="18"/>
  <c r="P316" i="18"/>
  <c r="X315" i="18"/>
  <c r="W315" i="18"/>
  <c r="S315" i="18"/>
  <c r="P315" i="18"/>
  <c r="P318" i="18"/>
  <c r="N307" i="18"/>
  <c r="N312" i="18"/>
  <c r="T307" i="18"/>
  <c r="U307" i="18"/>
  <c r="V307" i="18"/>
  <c r="U312" i="18"/>
  <c r="T312" i="18"/>
  <c r="R307" i="18"/>
  <c r="R312" i="18"/>
  <c r="Q307" i="18"/>
  <c r="O307" i="18"/>
  <c r="P307" i="18"/>
  <c r="X306" i="18"/>
  <c r="AZ306" i="18"/>
  <c r="W306" i="18"/>
  <c r="V306" i="18"/>
  <c r="S306" i="18"/>
  <c r="P306" i="18"/>
  <c r="X305" i="18"/>
  <c r="AZ305" i="18"/>
  <c r="W305" i="18"/>
  <c r="V305" i="18"/>
  <c r="S305" i="18"/>
  <c r="P305" i="18"/>
  <c r="X304" i="18"/>
  <c r="W304" i="18"/>
  <c r="AT304" i="18"/>
  <c r="V304" i="18"/>
  <c r="S304" i="18"/>
  <c r="P304" i="18"/>
  <c r="W303" i="18"/>
  <c r="AT303" i="18"/>
  <c r="X303" i="18"/>
  <c r="V303" i="18"/>
  <c r="S303" i="18"/>
  <c r="P303" i="18"/>
  <c r="X302" i="18"/>
  <c r="AZ302" i="18"/>
  <c r="W302" i="18"/>
  <c r="V302" i="18"/>
  <c r="S302" i="18"/>
  <c r="P302" i="18"/>
  <c r="X301" i="18"/>
  <c r="AZ301" i="18"/>
  <c r="W301" i="18"/>
  <c r="V301" i="18"/>
  <c r="S301" i="18"/>
  <c r="P301" i="18"/>
  <c r="X300" i="18"/>
  <c r="W300" i="18"/>
  <c r="AT300" i="18"/>
  <c r="V300" i="18"/>
  <c r="S300" i="18"/>
  <c r="P300" i="18"/>
  <c r="X299" i="18"/>
  <c r="AZ299" i="18"/>
  <c r="W299" i="18"/>
  <c r="V299" i="18"/>
  <c r="S299" i="18"/>
  <c r="P299" i="18"/>
  <c r="X298" i="18"/>
  <c r="W298" i="18"/>
  <c r="V298" i="18"/>
  <c r="S298" i="18"/>
  <c r="P298" i="18"/>
  <c r="X297" i="18"/>
  <c r="AZ297" i="18"/>
  <c r="W297" i="18"/>
  <c r="V297" i="18"/>
  <c r="S297" i="18"/>
  <c r="P297" i="18"/>
  <c r="U294" i="18"/>
  <c r="T294" i="18"/>
  <c r="R294" i="18"/>
  <c r="Q294" i="18"/>
  <c r="O294" i="18"/>
  <c r="N294" i="18"/>
  <c r="X293" i="18"/>
  <c r="AZ293" i="18"/>
  <c r="W293" i="18"/>
  <c r="V293" i="18"/>
  <c r="S293" i="18"/>
  <c r="P293" i="18"/>
  <c r="X292" i="18"/>
  <c r="AZ292" i="18"/>
  <c r="W292" i="18"/>
  <c r="V292" i="18"/>
  <c r="S292" i="18"/>
  <c r="P292" i="18"/>
  <c r="P290" i="18"/>
  <c r="P291" i="18"/>
  <c r="P294" i="18"/>
  <c r="X291" i="18"/>
  <c r="AZ291" i="18"/>
  <c r="W291" i="18"/>
  <c r="V291" i="18"/>
  <c r="S291" i="18"/>
  <c r="X290" i="18"/>
  <c r="AZ290" i="18"/>
  <c r="W290" i="18"/>
  <c r="AT290" i="18"/>
  <c r="V290" i="18"/>
  <c r="S290" i="18"/>
  <c r="R287" i="18"/>
  <c r="Q287" i="18"/>
  <c r="O287" i="18"/>
  <c r="N287" i="18"/>
  <c r="X286" i="18"/>
  <c r="AZ286" i="18"/>
  <c r="W286" i="18"/>
  <c r="V286" i="18"/>
  <c r="S286" i="18"/>
  <c r="P286" i="18"/>
  <c r="X285" i="18"/>
  <c r="AZ285" i="18"/>
  <c r="W285" i="18"/>
  <c r="V285" i="18"/>
  <c r="S285" i="18"/>
  <c r="P285" i="18"/>
  <c r="X284" i="18"/>
  <c r="W284" i="18"/>
  <c r="Y284" i="18"/>
  <c r="AT284" i="18"/>
  <c r="V284" i="18"/>
  <c r="S284" i="18"/>
  <c r="P284" i="18"/>
  <c r="X283" i="18"/>
  <c r="W283" i="18"/>
  <c r="V283" i="18"/>
  <c r="S283" i="18"/>
  <c r="P283" i="18"/>
  <c r="V249" i="18"/>
  <c r="S249" i="18"/>
  <c r="P249" i="18"/>
  <c r="Y248" i="18"/>
  <c r="Y247" i="18"/>
  <c r="Y246" i="18"/>
  <c r="U243" i="18"/>
  <c r="U244" i="18"/>
  <c r="T243" i="18"/>
  <c r="T244" i="18"/>
  <c r="R243" i="18"/>
  <c r="R244" i="18"/>
  <c r="Q243" i="18"/>
  <c r="Q244" i="18"/>
  <c r="O243" i="18"/>
  <c r="O244" i="18"/>
  <c r="N243" i="18"/>
  <c r="N244" i="18"/>
  <c r="X242" i="18"/>
  <c r="W242" i="18"/>
  <c r="AT242" i="18"/>
  <c r="V242" i="18"/>
  <c r="S242" i="18"/>
  <c r="P242" i="18"/>
  <c r="X241" i="18"/>
  <c r="AZ241" i="18"/>
  <c r="W241" i="18"/>
  <c r="V241" i="18"/>
  <c r="S241" i="18"/>
  <c r="P241" i="18"/>
  <c r="X240" i="18"/>
  <c r="AZ240" i="18"/>
  <c r="W240" i="18"/>
  <c r="V240" i="18"/>
  <c r="S240" i="18"/>
  <c r="P240" i="18"/>
  <c r="X239" i="18"/>
  <c r="AZ239" i="18"/>
  <c r="W239" i="18"/>
  <c r="AT239" i="18"/>
  <c r="V239" i="18"/>
  <c r="S239" i="18"/>
  <c r="P239" i="18"/>
  <c r="X238" i="18"/>
  <c r="AZ238" i="18"/>
  <c r="W238" i="18"/>
  <c r="V238" i="18"/>
  <c r="S238" i="18"/>
  <c r="P238" i="18"/>
  <c r="X237" i="18"/>
  <c r="AZ237" i="18"/>
  <c r="W237" i="18"/>
  <c r="V237" i="18"/>
  <c r="S237" i="18"/>
  <c r="P237" i="18"/>
  <c r="X236" i="18"/>
  <c r="AZ236" i="18"/>
  <c r="W236" i="18"/>
  <c r="V236" i="18"/>
  <c r="S236" i="18"/>
  <c r="P236" i="18"/>
  <c r="X235" i="18"/>
  <c r="W235" i="18"/>
  <c r="AT235" i="18"/>
  <c r="V235" i="18"/>
  <c r="S235" i="18"/>
  <c r="P235" i="18"/>
  <c r="BA232" i="18"/>
  <c r="AU232" i="18"/>
  <c r="U232" i="18"/>
  <c r="T232" i="18"/>
  <c r="R232" i="18"/>
  <c r="Q232" i="18"/>
  <c r="O232" i="18"/>
  <c r="N232" i="18"/>
  <c r="BA231" i="18"/>
  <c r="AU231" i="18"/>
  <c r="X231" i="18"/>
  <c r="AZ231" i="18"/>
  <c r="W231" i="18"/>
  <c r="V231" i="18"/>
  <c r="S231" i="18"/>
  <c r="P231" i="18"/>
  <c r="AC230" i="18"/>
  <c r="X230" i="18"/>
  <c r="AY230" i="18"/>
  <c r="W230" i="18"/>
  <c r="AS230" i="18"/>
  <c r="AB229" i="18"/>
  <c r="X229" i="18"/>
  <c r="AX229" i="18"/>
  <c r="W229" i="18"/>
  <c r="AR229" i="18"/>
  <c r="AA228" i="18"/>
  <c r="X228" i="18"/>
  <c r="AW228" i="18"/>
  <c r="W228" i="18"/>
  <c r="AQ228" i="18"/>
  <c r="BA227" i="18"/>
  <c r="AU227" i="18"/>
  <c r="X227" i="18"/>
  <c r="AZ227" i="18"/>
  <c r="W227" i="18"/>
  <c r="AT227" i="18"/>
  <c r="V227" i="18"/>
  <c r="S227" i="18"/>
  <c r="P227" i="18"/>
  <c r="BA226" i="18"/>
  <c r="AU226" i="18"/>
  <c r="W226" i="18"/>
  <c r="AT226" i="18"/>
  <c r="X226" i="18"/>
  <c r="V226" i="18"/>
  <c r="S226" i="18"/>
  <c r="P226" i="18"/>
  <c r="P232" i="18"/>
  <c r="BA223" i="18"/>
  <c r="AU223" i="18"/>
  <c r="U223" i="18"/>
  <c r="T223" i="18"/>
  <c r="T198" i="18"/>
  <c r="T224" i="18"/>
  <c r="R223" i="18"/>
  <c r="Q223" i="18"/>
  <c r="O223" i="18"/>
  <c r="N223" i="18"/>
  <c r="BA222" i="18"/>
  <c r="AU222" i="18"/>
  <c r="X222" i="18"/>
  <c r="AZ222" i="18"/>
  <c r="W222" i="18"/>
  <c r="AT222" i="18"/>
  <c r="V222" i="18"/>
  <c r="S222" i="18"/>
  <c r="P222" i="18"/>
  <c r="AC221" i="18"/>
  <c r="X221" i="18"/>
  <c r="AY221" i="18"/>
  <c r="W221" i="18"/>
  <c r="AS221" i="18"/>
  <c r="AB220" i="18"/>
  <c r="X220" i="18"/>
  <c r="AX220" i="18"/>
  <c r="W220" i="18"/>
  <c r="AR220" i="18"/>
  <c r="AA219" i="18"/>
  <c r="X219" i="18"/>
  <c r="AW219" i="18"/>
  <c r="W219" i="18"/>
  <c r="AQ219" i="18"/>
  <c r="BA218" i="18"/>
  <c r="AU218" i="18"/>
  <c r="X218" i="18"/>
  <c r="AZ218" i="18"/>
  <c r="W218" i="18"/>
  <c r="AT218" i="18"/>
  <c r="V218" i="18"/>
  <c r="S218" i="18"/>
  <c r="P218" i="18"/>
  <c r="BA217" i="18"/>
  <c r="AU217" i="18"/>
  <c r="W217" i="18"/>
  <c r="AT217" i="18"/>
  <c r="X217" i="18"/>
  <c r="V217" i="18"/>
  <c r="V223" i="18"/>
  <c r="S217" i="18"/>
  <c r="P217" i="18"/>
  <c r="U214" i="18"/>
  <c r="T214" i="18"/>
  <c r="R214" i="18"/>
  <c r="Q214" i="18"/>
  <c r="Q198" i="18"/>
  <c r="Q215" i="18"/>
  <c r="O214" i="18"/>
  <c r="N214" i="18"/>
  <c r="X213" i="18"/>
  <c r="W213" i="18"/>
  <c r="AT213" i="18"/>
  <c r="V213" i="18"/>
  <c r="S213" i="18"/>
  <c r="P213" i="18"/>
  <c r="X212" i="18"/>
  <c r="AZ212" i="18"/>
  <c r="W212" i="18"/>
  <c r="V212" i="18"/>
  <c r="S212" i="18"/>
  <c r="P212" i="18"/>
  <c r="W211" i="18"/>
  <c r="AT211" i="18"/>
  <c r="X211" i="18"/>
  <c r="AZ211" i="18"/>
  <c r="V211" i="18"/>
  <c r="V214" i="18"/>
  <c r="S211" i="18"/>
  <c r="P211" i="18"/>
  <c r="X207" i="18"/>
  <c r="W207" i="18"/>
  <c r="AT207" i="18"/>
  <c r="V207" i="18"/>
  <c r="S207" i="18"/>
  <c r="P207" i="18"/>
  <c r="U203" i="18"/>
  <c r="U208" i="18"/>
  <c r="U198" i="18"/>
  <c r="U209" i="18"/>
  <c r="T203" i="18"/>
  <c r="T208" i="18"/>
  <c r="T209" i="18"/>
  <c r="R203" i="18"/>
  <c r="R208" i="18"/>
  <c r="Q203" i="18"/>
  <c r="O203" i="18"/>
  <c r="O208" i="18"/>
  <c r="O198" i="18"/>
  <c r="O209" i="18"/>
  <c r="N203" i="18"/>
  <c r="N208" i="18"/>
  <c r="X202" i="18"/>
  <c r="W202" i="18"/>
  <c r="AT202" i="18"/>
  <c r="V202" i="18"/>
  <c r="S202" i="18"/>
  <c r="P202" i="18"/>
  <c r="X201" i="18"/>
  <c r="AZ201" i="18"/>
  <c r="W201" i="18"/>
  <c r="V201" i="18"/>
  <c r="S201" i="18"/>
  <c r="P201" i="18"/>
  <c r="X200" i="18"/>
  <c r="W200" i="18"/>
  <c r="V200" i="18"/>
  <c r="S200" i="18"/>
  <c r="P200" i="18"/>
  <c r="X199" i="18"/>
  <c r="AZ199" i="18"/>
  <c r="W199" i="18"/>
  <c r="V199" i="18"/>
  <c r="S199" i="18"/>
  <c r="P199" i="18"/>
  <c r="T233" i="18"/>
  <c r="R198" i="18"/>
  <c r="N198" i="18"/>
  <c r="N215" i="18"/>
  <c r="U196" i="18"/>
  <c r="T196" i="18"/>
  <c r="T20" i="18"/>
  <c r="T197" i="18"/>
  <c r="R196" i="18"/>
  <c r="Q196" i="18"/>
  <c r="O196" i="18"/>
  <c r="N196" i="18"/>
  <c r="X195" i="18"/>
  <c r="W195" i="18"/>
  <c r="Y195" i="18"/>
  <c r="AT195" i="18"/>
  <c r="V195" i="18"/>
  <c r="S195" i="18"/>
  <c r="P195" i="18"/>
  <c r="X194" i="18"/>
  <c r="AZ194" i="18"/>
  <c r="W194" i="18"/>
  <c r="V194" i="18"/>
  <c r="S194" i="18"/>
  <c r="P194" i="18"/>
  <c r="W193" i="18"/>
  <c r="AT193" i="18"/>
  <c r="X193" i="18"/>
  <c r="AZ193" i="18"/>
  <c r="V193" i="18"/>
  <c r="S193" i="18"/>
  <c r="P193" i="18"/>
  <c r="W192" i="18"/>
  <c r="AT192" i="18"/>
  <c r="X192" i="18"/>
  <c r="AZ192" i="18"/>
  <c r="V192" i="18"/>
  <c r="S192" i="18"/>
  <c r="P192" i="18"/>
  <c r="X191" i="18"/>
  <c r="AZ191" i="18"/>
  <c r="W191" i="18"/>
  <c r="V191" i="18"/>
  <c r="S191" i="18"/>
  <c r="P191" i="18"/>
  <c r="U181" i="18"/>
  <c r="U188" i="18"/>
  <c r="U20" i="18"/>
  <c r="U189" i="18"/>
  <c r="R181" i="18"/>
  <c r="R188" i="18"/>
  <c r="Q181" i="18"/>
  <c r="Q188" i="18"/>
  <c r="T181" i="18"/>
  <c r="S181" i="18"/>
  <c r="O181" i="18"/>
  <c r="O188" i="18"/>
  <c r="N181" i="18"/>
  <c r="N188" i="18"/>
  <c r="X180" i="18"/>
  <c r="AB157" i="7" s="1"/>
  <c r="W180" i="18"/>
  <c r="AA157" i="7" s="1"/>
  <c r="V180" i="18"/>
  <c r="S180" i="18"/>
  <c r="P180" i="18"/>
  <c r="X179" i="18"/>
  <c r="AB156" i="7" s="1"/>
  <c r="W179" i="18"/>
  <c r="V179" i="18"/>
  <c r="S179" i="18"/>
  <c r="P179" i="18"/>
  <c r="W178" i="18"/>
  <c r="X178" i="18"/>
  <c r="V178" i="18"/>
  <c r="S178" i="18"/>
  <c r="P178" i="18"/>
  <c r="X177" i="18"/>
  <c r="AB154" i="7" s="1"/>
  <c r="W177" i="18"/>
  <c r="V177" i="18"/>
  <c r="S177" i="18"/>
  <c r="P177" i="18"/>
  <c r="W176" i="18"/>
  <c r="X176" i="18"/>
  <c r="AB153" i="7" s="1"/>
  <c r="V176" i="18"/>
  <c r="S176" i="18"/>
  <c r="P176" i="18"/>
  <c r="X175" i="18"/>
  <c r="AB152" i="7" s="1"/>
  <c r="W175" i="18"/>
  <c r="V175" i="18"/>
  <c r="S175" i="18"/>
  <c r="P175" i="18"/>
  <c r="U163" i="18"/>
  <c r="U169" i="18"/>
  <c r="T163" i="18"/>
  <c r="R163" i="18"/>
  <c r="R169" i="18" s="1"/>
  <c r="Q163" i="18"/>
  <c r="O163" i="18"/>
  <c r="O169" i="18" s="1"/>
  <c r="N163" i="18"/>
  <c r="N169" i="18" s="1"/>
  <c r="X162" i="18"/>
  <c r="AB140" i="7" s="1"/>
  <c r="AZ162" i="18"/>
  <c r="W162" i="18"/>
  <c r="AA140" i="7" s="1"/>
  <c r="V162" i="18"/>
  <c r="S162" i="18"/>
  <c r="P162" i="18"/>
  <c r="X161" i="18"/>
  <c r="W161" i="18"/>
  <c r="V161" i="18"/>
  <c r="S161" i="18"/>
  <c r="P161" i="18"/>
  <c r="X160" i="18"/>
  <c r="W160" i="18"/>
  <c r="V160" i="18"/>
  <c r="S160" i="18"/>
  <c r="P160" i="18"/>
  <c r="X159" i="18"/>
  <c r="W159" i="18"/>
  <c r="V159" i="18"/>
  <c r="S159" i="18"/>
  <c r="P159" i="18"/>
  <c r="X158" i="18"/>
  <c r="W158" i="18"/>
  <c r="V158" i="18"/>
  <c r="S158" i="18"/>
  <c r="P158" i="18"/>
  <c r="W157" i="18"/>
  <c r="X157" i="18"/>
  <c r="AB135" i="7" s="1"/>
  <c r="V157" i="18"/>
  <c r="S157" i="18"/>
  <c r="P157" i="18"/>
  <c r="X156" i="18"/>
  <c r="AZ156" i="18" s="1"/>
  <c r="W156" i="18"/>
  <c r="V156" i="18"/>
  <c r="S156" i="18"/>
  <c r="P156" i="18"/>
  <c r="X155" i="18"/>
  <c r="W155" i="18"/>
  <c r="V155" i="18"/>
  <c r="S155" i="18"/>
  <c r="P155" i="18"/>
  <c r="X154" i="18"/>
  <c r="W154" i="18"/>
  <c r="AA132" i="7" s="1"/>
  <c r="V154" i="18"/>
  <c r="S154" i="18"/>
  <c r="P154" i="18"/>
  <c r="U151" i="18"/>
  <c r="T151" i="18"/>
  <c r="R151" i="18"/>
  <c r="Q151" i="18"/>
  <c r="O151" i="18"/>
  <c r="N151" i="18"/>
  <c r="X150" i="18"/>
  <c r="AB129" i="7" s="1"/>
  <c r="W150" i="18"/>
  <c r="V150" i="18"/>
  <c r="V148" i="18"/>
  <c r="V149" i="18"/>
  <c r="S150" i="18"/>
  <c r="P150" i="18"/>
  <c r="X149" i="18"/>
  <c r="W149" i="18"/>
  <c r="S149" i="18"/>
  <c r="P149" i="18"/>
  <c r="X148" i="18"/>
  <c r="W148" i="18"/>
  <c r="S148" i="18"/>
  <c r="S151" i="18" s="1"/>
  <c r="P148" i="18"/>
  <c r="P151" i="18" s="1"/>
  <c r="U145" i="18"/>
  <c r="T145" i="18"/>
  <c r="R145" i="18"/>
  <c r="R20" i="18"/>
  <c r="R146" i="18"/>
  <c r="Q145" i="18"/>
  <c r="O145" i="18"/>
  <c r="N145" i="18"/>
  <c r="X144" i="18"/>
  <c r="W144" i="18"/>
  <c r="V144" i="18"/>
  <c r="S144" i="18"/>
  <c r="P144" i="18"/>
  <c r="X143" i="18"/>
  <c r="AB123" i="7" s="1"/>
  <c r="W143" i="18"/>
  <c r="V143" i="18"/>
  <c r="S143" i="18"/>
  <c r="P143" i="18"/>
  <c r="X142" i="18"/>
  <c r="AB122" i="7" s="1"/>
  <c r="AB129" i="23" s="1"/>
  <c r="W142" i="18"/>
  <c r="AA122" i="7" s="1"/>
  <c r="AA129" i="23" s="1"/>
  <c r="V142" i="18"/>
  <c r="S142" i="18"/>
  <c r="P142" i="18"/>
  <c r="AH137" i="18"/>
  <c r="AH138" i="18"/>
  <c r="AH139" i="18"/>
  <c r="L139" i="18"/>
  <c r="K139" i="18"/>
  <c r="J139" i="18"/>
  <c r="AN138" i="18"/>
  <c r="Y138" i="18"/>
  <c r="AZ138" i="18"/>
  <c r="AT138" i="18"/>
  <c r="M138" i="18"/>
  <c r="AN137" i="18"/>
  <c r="M137" i="18"/>
  <c r="V71" i="18"/>
  <c r="S63" i="18"/>
  <c r="V96" i="18"/>
  <c r="V97" i="18"/>
  <c r="S96" i="18"/>
  <c r="S97" i="18"/>
  <c r="P96" i="18"/>
  <c r="P97" i="18"/>
  <c r="Y95" i="18"/>
  <c r="AC95" i="7" s="1"/>
  <c r="Y94" i="18"/>
  <c r="Y93" i="18"/>
  <c r="AC93" i="7" s="1"/>
  <c r="Y92" i="18"/>
  <c r="V81" i="18"/>
  <c r="V82" i="18"/>
  <c r="S81" i="18"/>
  <c r="S82" i="18"/>
  <c r="P81" i="18"/>
  <c r="P82" i="18"/>
  <c r="Y80" i="18"/>
  <c r="AC82" i="7" s="1"/>
  <c r="Y79" i="18"/>
  <c r="Y78" i="18"/>
  <c r="AC80" i="7" s="1"/>
  <c r="Y77" i="18"/>
  <c r="U73" i="18"/>
  <c r="U74" i="18"/>
  <c r="T73" i="18"/>
  <c r="R73" i="18"/>
  <c r="Q73" i="18"/>
  <c r="O73" i="18"/>
  <c r="N73" i="18"/>
  <c r="X72" i="18"/>
  <c r="W72" i="18"/>
  <c r="AA75" i="7" s="1"/>
  <c r="V72" i="18"/>
  <c r="S72" i="18"/>
  <c r="P72" i="18"/>
  <c r="X71" i="18"/>
  <c r="W71" i="18"/>
  <c r="AA74" i="7" s="1"/>
  <c r="S71" i="18"/>
  <c r="P71" i="18"/>
  <c r="X70" i="18"/>
  <c r="AB73" i="7" s="1"/>
  <c r="W70" i="18"/>
  <c r="V70" i="18"/>
  <c r="S70" i="18"/>
  <c r="P70" i="18"/>
  <c r="P73" i="18" s="1"/>
  <c r="X69" i="18"/>
  <c r="AZ69" i="18" s="1"/>
  <c r="W69" i="18"/>
  <c r="V69" i="18"/>
  <c r="S69" i="18"/>
  <c r="S73" i="18" s="1"/>
  <c r="P69" i="18"/>
  <c r="X68" i="18"/>
  <c r="W68" i="18"/>
  <c r="AA71" i="7" s="1"/>
  <c r="V68" i="18"/>
  <c r="V73" i="18" s="1"/>
  <c r="S68" i="18"/>
  <c r="P68" i="18"/>
  <c r="U65" i="18"/>
  <c r="T65" i="18"/>
  <c r="R65" i="18"/>
  <c r="R66" i="18"/>
  <c r="Q65" i="18"/>
  <c r="O65" i="18"/>
  <c r="N65" i="18"/>
  <c r="X64" i="18"/>
  <c r="AB68" i="7" s="1"/>
  <c r="W64" i="18"/>
  <c r="AA68" i="7" s="1"/>
  <c r="V64" i="18"/>
  <c r="S64" i="18"/>
  <c r="P64" i="18"/>
  <c r="X63" i="18"/>
  <c r="AB67" i="7" s="1"/>
  <c r="AZ63" i="18"/>
  <c r="W63" i="18"/>
  <c r="AA67" i="7" s="1"/>
  <c r="V63" i="18"/>
  <c r="V65" i="18" s="1"/>
  <c r="P63" i="18"/>
  <c r="X62" i="18"/>
  <c r="W62" i="18"/>
  <c r="AA66" i="7" s="1"/>
  <c r="AT62" i="18"/>
  <c r="V62" i="18"/>
  <c r="S62" i="18"/>
  <c r="S65" i="18" s="1"/>
  <c r="P62" i="18"/>
  <c r="X61" i="18"/>
  <c r="W61" i="18"/>
  <c r="AA65" i="7" s="1"/>
  <c r="V61" i="18"/>
  <c r="S61" i="18"/>
  <c r="P61" i="18"/>
  <c r="L58" i="18"/>
  <c r="K58" i="18"/>
  <c r="J58" i="18"/>
  <c r="AN57" i="18"/>
  <c r="AH57" i="18"/>
  <c r="AZ57" i="18"/>
  <c r="M57" i="18"/>
  <c r="AN56" i="18"/>
  <c r="AH56" i="18"/>
  <c r="AZ56" i="18"/>
  <c r="M56" i="18"/>
  <c r="AN55" i="18"/>
  <c r="AH55" i="18"/>
  <c r="AT55" i="18"/>
  <c r="M55" i="18"/>
  <c r="AN54" i="18"/>
  <c r="AH54" i="18"/>
  <c r="AT54" i="18"/>
  <c r="M54" i="18"/>
  <c r="AZ53" i="18"/>
  <c r="AN53" i="18"/>
  <c r="AH53" i="18"/>
  <c r="M53" i="18"/>
  <c r="AN52" i="18"/>
  <c r="AH52" i="18"/>
  <c r="AZ52" i="18"/>
  <c r="M52" i="18"/>
  <c r="AN51" i="18"/>
  <c r="AH51" i="18"/>
  <c r="Y51" i="18"/>
  <c r="AZ51" i="18"/>
  <c r="AT51" i="18"/>
  <c r="M51" i="18"/>
  <c r="AN50" i="18"/>
  <c r="AH50" i="18"/>
  <c r="AT50" i="18"/>
  <c r="M50" i="18"/>
  <c r="AN49" i="18"/>
  <c r="AH49" i="18"/>
  <c r="AZ49" i="18"/>
  <c r="M49" i="18"/>
  <c r="AN48" i="18"/>
  <c r="AH48" i="18"/>
  <c r="AZ48" i="18"/>
  <c r="M48" i="18"/>
  <c r="AN47" i="18"/>
  <c r="AH47" i="18"/>
  <c r="Y47" i="18"/>
  <c r="AZ47" i="18"/>
  <c r="AT47" i="18"/>
  <c r="M47" i="18"/>
  <c r="AN46" i="18"/>
  <c r="AN58" i="18" s="1"/>
  <c r="AH46" i="18"/>
  <c r="W46" i="18"/>
  <c r="AT46" i="18" s="1"/>
  <c r="M46" i="18"/>
  <c r="AZ45" i="18"/>
  <c r="AN45" i="18"/>
  <c r="AH45" i="18"/>
  <c r="M45" i="18"/>
  <c r="AN44" i="18"/>
  <c r="AH44" i="18"/>
  <c r="M44" i="18"/>
  <c r="U41" i="18"/>
  <c r="T41" i="18"/>
  <c r="T42" i="18"/>
  <c r="R41" i="18"/>
  <c r="Q41" i="18"/>
  <c r="O41" i="18"/>
  <c r="N41" i="18"/>
  <c r="X40" i="18"/>
  <c r="W40" i="18"/>
  <c r="V40" i="18"/>
  <c r="V41" i="18" s="1"/>
  <c r="S40" i="18"/>
  <c r="P40" i="18"/>
  <c r="P41" i="18" s="1"/>
  <c r="X39" i="18"/>
  <c r="AB45" i="7" s="1"/>
  <c r="W39" i="18"/>
  <c r="V39" i="18"/>
  <c r="S39" i="18"/>
  <c r="P39" i="18"/>
  <c r="X38" i="18"/>
  <c r="AB44" i="7" s="1"/>
  <c r="W38" i="18"/>
  <c r="AA44" i="7" s="1"/>
  <c r="V38" i="18"/>
  <c r="S38" i="18"/>
  <c r="P38" i="18"/>
  <c r="AN32" i="18"/>
  <c r="AH32" i="18"/>
  <c r="AH33" i="18" s="1"/>
  <c r="AH31" i="18"/>
  <c r="AN30" i="18"/>
  <c r="L26" i="18"/>
  <c r="L27" i="18"/>
  <c r="K26" i="18"/>
  <c r="J26" i="18"/>
  <c r="AN25" i="18"/>
  <c r="AH25" i="18"/>
  <c r="AH26" i="18" s="1"/>
  <c r="X25" i="18"/>
  <c r="W25" i="18"/>
  <c r="W26" i="18" s="1"/>
  <c r="M25" i="18"/>
  <c r="AN24" i="18"/>
  <c r="AN26" i="18" s="1"/>
  <c r="AH24" i="18"/>
  <c r="X24" i="18"/>
  <c r="W24" i="18"/>
  <c r="AT24" i="18"/>
  <c r="M24" i="18"/>
  <c r="X23" i="18"/>
  <c r="Y23" i="18" s="1"/>
  <c r="AN23" i="18"/>
  <c r="AH23" i="18"/>
  <c r="W23" i="18"/>
  <c r="AA25" i="7" s="1"/>
  <c r="M23" i="18"/>
  <c r="M26" i="18" s="1"/>
  <c r="Q20" i="18"/>
  <c r="O20" i="18"/>
  <c r="N20" i="18"/>
  <c r="X19" i="18"/>
  <c r="W19" i="18"/>
  <c r="AA32" i="7" s="1"/>
  <c r="AT19" i="18"/>
  <c r="V19" i="18"/>
  <c r="S19" i="18"/>
  <c r="P19" i="18"/>
  <c r="X18" i="18"/>
  <c r="W18" i="18"/>
  <c r="V18" i="18"/>
  <c r="V20" i="18"/>
  <c r="S18" i="18"/>
  <c r="P18" i="18"/>
  <c r="AN13" i="18"/>
  <c r="AN14" i="18"/>
  <c r="AN15" i="18"/>
  <c r="AO15" i="18"/>
  <c r="AO14" i="18"/>
  <c r="AH14" i="18"/>
  <c r="X15" i="18"/>
  <c r="AT14" i="18"/>
  <c r="M14" i="18"/>
  <c r="AO13" i="18"/>
  <c r="AH13" i="18"/>
  <c r="AH15" i="18"/>
  <c r="AI13" i="18"/>
  <c r="AZ13" i="18"/>
  <c r="W15" i="18"/>
  <c r="M13" i="18"/>
  <c r="M15" i="18"/>
  <c r="Q294" i="17"/>
  <c r="V326" i="17"/>
  <c r="S326" i="17"/>
  <c r="P326" i="17"/>
  <c r="Y325" i="17"/>
  <c r="Y324" i="17"/>
  <c r="Y323" i="17"/>
  <c r="AC320" i="17"/>
  <c r="AB320" i="17"/>
  <c r="AA320" i="17"/>
  <c r="U318" i="17"/>
  <c r="T318" i="17"/>
  <c r="R318" i="17"/>
  <c r="Q318" i="17"/>
  <c r="O318" i="17"/>
  <c r="N318" i="17"/>
  <c r="W317" i="17"/>
  <c r="X317" i="17"/>
  <c r="Y317" i="17"/>
  <c r="AZ317" i="17"/>
  <c r="AT317" i="17"/>
  <c r="V317" i="17"/>
  <c r="S317" i="17"/>
  <c r="P317" i="17"/>
  <c r="X316" i="17"/>
  <c r="AZ316" i="17"/>
  <c r="W316" i="17"/>
  <c r="AT316" i="17"/>
  <c r="V316" i="17"/>
  <c r="S316" i="17"/>
  <c r="P316" i="17"/>
  <c r="X315" i="17"/>
  <c r="AZ315" i="17"/>
  <c r="W315" i="17"/>
  <c r="AT315" i="17"/>
  <c r="AT318" i="17"/>
  <c r="AU316" i="17"/>
  <c r="V315" i="17"/>
  <c r="S315" i="17"/>
  <c r="P315" i="17"/>
  <c r="T307" i="17"/>
  <c r="T312" i="17"/>
  <c r="U307" i="17"/>
  <c r="U312" i="17"/>
  <c r="R307" i="17"/>
  <c r="R312" i="17"/>
  <c r="Q307" i="17"/>
  <c r="Q312" i="17"/>
  <c r="AZ306" i="17"/>
  <c r="V306" i="17"/>
  <c r="S306" i="17"/>
  <c r="P306" i="17"/>
  <c r="X305" i="17"/>
  <c r="W305" i="17"/>
  <c r="AT305" i="17"/>
  <c r="V305" i="17"/>
  <c r="S305" i="17"/>
  <c r="P305" i="17"/>
  <c r="X304" i="17"/>
  <c r="AZ304" i="17"/>
  <c r="W304" i="17"/>
  <c r="V304" i="17"/>
  <c r="S304" i="17"/>
  <c r="P304" i="17"/>
  <c r="X303" i="17"/>
  <c r="AZ303" i="17"/>
  <c r="W303" i="17"/>
  <c r="V303" i="17"/>
  <c r="S303" i="17"/>
  <c r="P303" i="17"/>
  <c r="X302" i="17"/>
  <c r="AZ302" i="17"/>
  <c r="W302" i="17"/>
  <c r="V302" i="17"/>
  <c r="S302" i="17"/>
  <c r="P302" i="17"/>
  <c r="X301" i="17"/>
  <c r="AZ301" i="17"/>
  <c r="W301" i="17"/>
  <c r="V301" i="17"/>
  <c r="S301" i="17"/>
  <c r="P301" i="17"/>
  <c r="W300" i="17"/>
  <c r="X300" i="17"/>
  <c r="Y300" i="17"/>
  <c r="AZ300" i="17"/>
  <c r="AT300" i="17"/>
  <c r="V300" i="17"/>
  <c r="S300" i="17"/>
  <c r="P300" i="17"/>
  <c r="X299" i="17"/>
  <c r="AZ299" i="17"/>
  <c r="W299" i="17"/>
  <c r="V299" i="17"/>
  <c r="S299" i="17"/>
  <c r="P299" i="17"/>
  <c r="X298" i="17"/>
  <c r="AZ298" i="17"/>
  <c r="W298" i="17"/>
  <c r="V298" i="17"/>
  <c r="S298" i="17"/>
  <c r="P298" i="17"/>
  <c r="X297" i="17"/>
  <c r="AZ297" i="17"/>
  <c r="W297" i="17"/>
  <c r="V297" i="17"/>
  <c r="S297" i="17"/>
  <c r="P297" i="17"/>
  <c r="U294" i="17"/>
  <c r="T294" i="17"/>
  <c r="R294" i="17"/>
  <c r="O294" i="17"/>
  <c r="N294" i="17"/>
  <c r="X293" i="17"/>
  <c r="AZ293" i="17"/>
  <c r="W293" i="17"/>
  <c r="V293" i="17"/>
  <c r="S293" i="17"/>
  <c r="P293" i="17"/>
  <c r="X292" i="17"/>
  <c r="AZ292" i="17"/>
  <c r="W292" i="17"/>
  <c r="V292" i="17"/>
  <c r="S292" i="17"/>
  <c r="P292" i="17"/>
  <c r="X291" i="17"/>
  <c r="AZ291" i="17"/>
  <c r="W291" i="17"/>
  <c r="AT291" i="17"/>
  <c r="V291" i="17"/>
  <c r="S291" i="17"/>
  <c r="P291" i="17"/>
  <c r="X290" i="17"/>
  <c r="AZ290" i="17"/>
  <c r="W290" i="17"/>
  <c r="V290" i="17"/>
  <c r="S290" i="17"/>
  <c r="P290" i="17"/>
  <c r="U287" i="17"/>
  <c r="T287" i="17"/>
  <c r="R287" i="17"/>
  <c r="Q287" i="17"/>
  <c r="O287" i="17"/>
  <c r="N287" i="17"/>
  <c r="X286" i="17"/>
  <c r="AZ286" i="17"/>
  <c r="W286" i="17"/>
  <c r="V286" i="17"/>
  <c r="S286" i="17"/>
  <c r="P286" i="17"/>
  <c r="X285" i="17"/>
  <c r="AZ285" i="17"/>
  <c r="W285" i="17"/>
  <c r="V285" i="17"/>
  <c r="S285" i="17"/>
  <c r="P285" i="17"/>
  <c r="X284" i="17"/>
  <c r="AZ284" i="17"/>
  <c r="W284" i="17"/>
  <c r="AT284" i="17"/>
  <c r="V284" i="17"/>
  <c r="S284" i="17"/>
  <c r="P284" i="17"/>
  <c r="X283" i="17"/>
  <c r="W283" i="17"/>
  <c r="V283" i="17"/>
  <c r="V287" i="17"/>
  <c r="S283" i="17"/>
  <c r="P283" i="17"/>
  <c r="V249" i="17"/>
  <c r="S249" i="17"/>
  <c r="P249" i="17"/>
  <c r="Y248" i="17"/>
  <c r="Y247" i="17"/>
  <c r="Y246" i="17"/>
  <c r="U243" i="17"/>
  <c r="U244" i="17"/>
  <c r="T243" i="17"/>
  <c r="T244" i="17"/>
  <c r="R243" i="17"/>
  <c r="R244" i="17"/>
  <c r="Q243" i="17"/>
  <c r="Q244" i="17"/>
  <c r="O243" i="17"/>
  <c r="O244" i="17"/>
  <c r="N243" i="17"/>
  <c r="N244" i="17"/>
  <c r="X242" i="17"/>
  <c r="W242" i="17"/>
  <c r="AT242" i="17"/>
  <c r="V242" i="17"/>
  <c r="S242" i="17"/>
  <c r="P242" i="17"/>
  <c r="X241" i="17"/>
  <c r="AZ241" i="17"/>
  <c r="W241" i="17"/>
  <c r="V241" i="17"/>
  <c r="S241" i="17"/>
  <c r="P241" i="17"/>
  <c r="X240" i="17"/>
  <c r="AZ240" i="17"/>
  <c r="W240" i="17"/>
  <c r="V240" i="17"/>
  <c r="S240" i="17"/>
  <c r="P240" i="17"/>
  <c r="W239" i="17"/>
  <c r="X239" i="17"/>
  <c r="Y239" i="17"/>
  <c r="AZ239" i="17"/>
  <c r="AT239" i="17"/>
  <c r="V239" i="17"/>
  <c r="S239" i="17"/>
  <c r="P239" i="17"/>
  <c r="X238" i="17"/>
  <c r="AZ238" i="17"/>
  <c r="W238" i="17"/>
  <c r="AT238" i="17"/>
  <c r="V238" i="17"/>
  <c r="S238" i="17"/>
  <c r="P238" i="17"/>
  <c r="X237" i="17"/>
  <c r="AZ237" i="17"/>
  <c r="W237" i="17"/>
  <c r="AT237" i="17"/>
  <c r="V237" i="17"/>
  <c r="S237" i="17"/>
  <c r="P237" i="17"/>
  <c r="X236" i="17"/>
  <c r="AZ236" i="17"/>
  <c r="W236" i="17"/>
  <c r="AT236" i="17"/>
  <c r="V236" i="17"/>
  <c r="S236" i="17"/>
  <c r="P236" i="17"/>
  <c r="X235" i="17"/>
  <c r="W235" i="17"/>
  <c r="AT235" i="17"/>
  <c r="V235" i="17"/>
  <c r="S235" i="17"/>
  <c r="P235" i="17"/>
  <c r="BA232" i="17"/>
  <c r="AU232" i="17"/>
  <c r="U232" i="17"/>
  <c r="T232" i="17"/>
  <c r="R232" i="17"/>
  <c r="Q232" i="17"/>
  <c r="O232" i="17"/>
  <c r="N232" i="17"/>
  <c r="BA231" i="17"/>
  <c r="X231" i="17"/>
  <c r="AZ231" i="17"/>
  <c r="AU231" i="17"/>
  <c r="W231" i="17"/>
  <c r="V231" i="17"/>
  <c r="S231" i="17"/>
  <c r="P231" i="17"/>
  <c r="AC230" i="17"/>
  <c r="X230" i="17"/>
  <c r="AY230" i="17"/>
  <c r="W230" i="17"/>
  <c r="AS230" i="17"/>
  <c r="AB229" i="17"/>
  <c r="X229" i="17"/>
  <c r="AX229" i="17"/>
  <c r="W229" i="17"/>
  <c r="AR229" i="17"/>
  <c r="AA228" i="17"/>
  <c r="X228" i="17"/>
  <c r="AW228" i="17"/>
  <c r="W228" i="17"/>
  <c r="AQ228" i="17"/>
  <c r="BA227" i="17"/>
  <c r="AU227" i="17"/>
  <c r="X227" i="17"/>
  <c r="W227" i="17"/>
  <c r="AT227" i="17"/>
  <c r="V227" i="17"/>
  <c r="S227" i="17"/>
  <c r="P227" i="17"/>
  <c r="BA226" i="17"/>
  <c r="AU226" i="17"/>
  <c r="X226" i="17"/>
  <c r="W226" i="17"/>
  <c r="AT226" i="17"/>
  <c r="V226" i="17"/>
  <c r="S226" i="17"/>
  <c r="P226" i="17"/>
  <c r="BA223" i="17"/>
  <c r="AU223" i="17"/>
  <c r="U223" i="17"/>
  <c r="T223" i="17"/>
  <c r="R223" i="17"/>
  <c r="Q223" i="17"/>
  <c r="Q198" i="17"/>
  <c r="Q224" i="17"/>
  <c r="O223" i="17"/>
  <c r="N223" i="17"/>
  <c r="BA222" i="17"/>
  <c r="AU222" i="17"/>
  <c r="X222" i="17"/>
  <c r="W222" i="17"/>
  <c r="AT222" i="17"/>
  <c r="V222" i="17"/>
  <c r="S222" i="17"/>
  <c r="P222" i="17"/>
  <c r="AC221" i="17"/>
  <c r="X221" i="17"/>
  <c r="AY221" i="17"/>
  <c r="W221" i="17"/>
  <c r="AS221" i="17"/>
  <c r="AB220" i="17"/>
  <c r="X220" i="17"/>
  <c r="AX220" i="17"/>
  <c r="W220" i="17"/>
  <c r="AR220" i="17"/>
  <c r="AA219" i="17"/>
  <c r="X219" i="17"/>
  <c r="AW219" i="17"/>
  <c r="W219" i="17"/>
  <c r="AQ219" i="17"/>
  <c r="BA218" i="17"/>
  <c r="AU218" i="17"/>
  <c r="X218" i="17"/>
  <c r="AZ218" i="17"/>
  <c r="W218" i="17"/>
  <c r="V218" i="17"/>
  <c r="S218" i="17"/>
  <c r="P218" i="17"/>
  <c r="BA217" i="17"/>
  <c r="X217" i="17"/>
  <c r="AZ217" i="17"/>
  <c r="AU217" i="17"/>
  <c r="W217" i="17"/>
  <c r="V217" i="17"/>
  <c r="S217" i="17"/>
  <c r="P217" i="17"/>
  <c r="R214" i="17"/>
  <c r="R198" i="17"/>
  <c r="R215" i="17"/>
  <c r="U214" i="17"/>
  <c r="T214" i="17"/>
  <c r="Q214" i="17"/>
  <c r="O214" i="17"/>
  <c r="N214" i="17"/>
  <c r="W213" i="17"/>
  <c r="AT213" i="17"/>
  <c r="X213" i="17"/>
  <c r="AZ213" i="17"/>
  <c r="V213" i="17"/>
  <c r="S213" i="17"/>
  <c r="P213" i="17"/>
  <c r="X212" i="17"/>
  <c r="W212" i="17"/>
  <c r="V212" i="17"/>
  <c r="S212" i="17"/>
  <c r="P212" i="17"/>
  <c r="X211" i="17"/>
  <c r="AZ211" i="17"/>
  <c r="W211" i="17"/>
  <c r="AT211" i="17"/>
  <c r="V211" i="17"/>
  <c r="S211" i="17"/>
  <c r="P211" i="17"/>
  <c r="X207" i="17"/>
  <c r="AZ207" i="17"/>
  <c r="W207" i="17"/>
  <c r="V207" i="17"/>
  <c r="S207" i="17"/>
  <c r="P207" i="17"/>
  <c r="T203" i="17"/>
  <c r="U203" i="17"/>
  <c r="V203" i="17"/>
  <c r="U208" i="17"/>
  <c r="T208" i="17"/>
  <c r="R203" i="17"/>
  <c r="Q203" i="17"/>
  <c r="Q208" i="17"/>
  <c r="O203" i="17"/>
  <c r="O208" i="17"/>
  <c r="N203" i="17"/>
  <c r="X202" i="17"/>
  <c r="AZ202" i="17"/>
  <c r="W202" i="17"/>
  <c r="Y202" i="17"/>
  <c r="AT202" i="17"/>
  <c r="V202" i="17"/>
  <c r="S202" i="17"/>
  <c r="P202" i="17"/>
  <c r="X201" i="17"/>
  <c r="W201" i="17"/>
  <c r="AT201" i="17"/>
  <c r="V201" i="17"/>
  <c r="S201" i="17"/>
  <c r="P201" i="17"/>
  <c r="W200" i="17"/>
  <c r="AT200" i="17"/>
  <c r="X200" i="17"/>
  <c r="AZ200" i="17"/>
  <c r="Y200" i="17"/>
  <c r="V200" i="17"/>
  <c r="S200" i="17"/>
  <c r="P200" i="17"/>
  <c r="X199" i="17"/>
  <c r="AZ199" i="17"/>
  <c r="W199" i="17"/>
  <c r="V199" i="17"/>
  <c r="S199" i="17"/>
  <c r="P199" i="17"/>
  <c r="U198" i="17"/>
  <c r="T198" i="17"/>
  <c r="O198" i="17"/>
  <c r="O233" i="17"/>
  <c r="N198" i="17"/>
  <c r="U196" i="17"/>
  <c r="T196" i="17"/>
  <c r="R196" i="17"/>
  <c r="Q196" i="17"/>
  <c r="O196" i="17"/>
  <c r="N196" i="17"/>
  <c r="X195" i="17"/>
  <c r="AZ195" i="17"/>
  <c r="W195" i="17"/>
  <c r="V195" i="17"/>
  <c r="S195" i="17"/>
  <c r="P195" i="17"/>
  <c r="X194" i="17"/>
  <c r="AZ194" i="17"/>
  <c r="W194" i="17"/>
  <c r="V194" i="17"/>
  <c r="S194" i="17"/>
  <c r="P194" i="17"/>
  <c r="X193" i="17"/>
  <c r="W193" i="17"/>
  <c r="Y193" i="17"/>
  <c r="AT193" i="17"/>
  <c r="V193" i="17"/>
  <c r="S193" i="17"/>
  <c r="P193" i="17"/>
  <c r="X192" i="17"/>
  <c r="W192" i="17"/>
  <c r="V192" i="17"/>
  <c r="S192" i="17"/>
  <c r="P192" i="17"/>
  <c r="X191" i="17"/>
  <c r="AZ191" i="17"/>
  <c r="W191" i="17"/>
  <c r="V191" i="17"/>
  <c r="V196" i="17"/>
  <c r="S191" i="17"/>
  <c r="P191" i="17"/>
  <c r="R181" i="17"/>
  <c r="R188" i="17"/>
  <c r="U181" i="17"/>
  <c r="U188" i="17"/>
  <c r="T181" i="17"/>
  <c r="V181" i="17"/>
  <c r="Q181" i="17"/>
  <c r="O181" i="17"/>
  <c r="P181" i="17" s="1"/>
  <c r="N181" i="17"/>
  <c r="N188" i="17"/>
  <c r="X180" i="17"/>
  <c r="X157" i="7" s="1"/>
  <c r="W180" i="17"/>
  <c r="W157" i="7" s="1"/>
  <c r="V180" i="17"/>
  <c r="S180" i="17"/>
  <c r="P180" i="17"/>
  <c r="W179" i="17"/>
  <c r="W156" i="7" s="1"/>
  <c r="X179" i="17"/>
  <c r="AT179" i="17"/>
  <c r="V179" i="17"/>
  <c r="S179" i="17"/>
  <c r="P179" i="17"/>
  <c r="X178" i="17"/>
  <c r="X155" i="7" s="1"/>
  <c r="W178" i="17"/>
  <c r="V178" i="17"/>
  <c r="S178" i="17"/>
  <c r="P178" i="17"/>
  <c r="X177" i="17"/>
  <c r="X154" i="7" s="1"/>
  <c r="W177" i="17"/>
  <c r="V177" i="17"/>
  <c r="V188" i="17" s="1"/>
  <c r="S177" i="17"/>
  <c r="P177" i="17"/>
  <c r="X176" i="17"/>
  <c r="X153" i="7" s="1"/>
  <c r="W176" i="17"/>
  <c r="V176" i="17"/>
  <c r="S176" i="17"/>
  <c r="P176" i="17"/>
  <c r="X175" i="17"/>
  <c r="W175" i="17"/>
  <c r="W152" i="7" s="1"/>
  <c r="V175" i="17"/>
  <c r="S175" i="17"/>
  <c r="P175" i="17"/>
  <c r="R163" i="17"/>
  <c r="R169" i="17" s="1"/>
  <c r="U163" i="17"/>
  <c r="U169" i="17" s="1"/>
  <c r="T163" i="17"/>
  <c r="N163" i="17"/>
  <c r="O163" i="17"/>
  <c r="P163" i="17"/>
  <c r="O169" i="17"/>
  <c r="N169" i="17"/>
  <c r="X162" i="17"/>
  <c r="W162" i="17"/>
  <c r="Y162" i="17" s="1"/>
  <c r="V162" i="17"/>
  <c r="S162" i="17"/>
  <c r="P162" i="17"/>
  <c r="X161" i="17"/>
  <c r="W161" i="17"/>
  <c r="AT161" i="17" s="1"/>
  <c r="V161" i="17"/>
  <c r="S161" i="17"/>
  <c r="P161" i="17"/>
  <c r="X160" i="17"/>
  <c r="W160" i="17"/>
  <c r="V160" i="17"/>
  <c r="S160" i="17"/>
  <c r="P160" i="17"/>
  <c r="X159" i="17"/>
  <c r="AZ159" i="17" s="1"/>
  <c r="W159" i="17"/>
  <c r="V159" i="17"/>
  <c r="S159" i="17"/>
  <c r="P159" i="17"/>
  <c r="X158" i="17"/>
  <c r="W158" i="17"/>
  <c r="W136" i="7" s="1"/>
  <c r="AT158" i="17"/>
  <c r="V158" i="17"/>
  <c r="S158" i="17"/>
  <c r="P158" i="17"/>
  <c r="X157" i="17"/>
  <c r="W157" i="17"/>
  <c r="V157" i="17"/>
  <c r="S157" i="17"/>
  <c r="P157" i="17"/>
  <c r="X156" i="17"/>
  <c r="W156" i="17"/>
  <c r="W134" i="7" s="1"/>
  <c r="V156" i="17"/>
  <c r="S156" i="17"/>
  <c r="P156" i="17"/>
  <c r="X155" i="17"/>
  <c r="W155" i="17"/>
  <c r="V155" i="17"/>
  <c r="S155" i="17"/>
  <c r="P155" i="17"/>
  <c r="X154" i="17"/>
  <c r="Y154" i="17" s="1"/>
  <c r="W154" i="17"/>
  <c r="W132" i="7" s="1"/>
  <c r="AT154" i="17"/>
  <c r="V154" i="17"/>
  <c r="S154" i="17"/>
  <c r="P154" i="17"/>
  <c r="U151" i="17"/>
  <c r="T151" i="17"/>
  <c r="R151" i="17"/>
  <c r="R20" i="17"/>
  <c r="R152" i="17"/>
  <c r="Q151" i="17"/>
  <c r="O151" i="17"/>
  <c r="N151" i="17"/>
  <c r="X150" i="17"/>
  <c r="W150" i="17"/>
  <c r="V150" i="17"/>
  <c r="V151" i="17" s="1"/>
  <c r="V148" i="17"/>
  <c r="V149" i="17"/>
  <c r="S150" i="17"/>
  <c r="P150" i="17"/>
  <c r="X149" i="17"/>
  <c r="X128" i="7" s="1"/>
  <c r="AZ149" i="17"/>
  <c r="W149" i="17"/>
  <c r="S149" i="17"/>
  <c r="P149" i="17"/>
  <c r="X148" i="17"/>
  <c r="X127" i="7" s="1"/>
  <c r="W148" i="17"/>
  <c r="S148" i="17"/>
  <c r="P148" i="17"/>
  <c r="U145" i="17"/>
  <c r="T145" i="17"/>
  <c r="R145" i="17"/>
  <c r="Q145" i="17"/>
  <c r="O145" i="17"/>
  <c r="N145" i="17"/>
  <c r="X144" i="17"/>
  <c r="W144" i="17"/>
  <c r="V144" i="17"/>
  <c r="S144" i="17"/>
  <c r="P144" i="17"/>
  <c r="X143" i="17"/>
  <c r="W143" i="17"/>
  <c r="V143" i="17"/>
  <c r="S143" i="17"/>
  <c r="P143" i="17"/>
  <c r="X142" i="17"/>
  <c r="W142" i="17"/>
  <c r="V142" i="17"/>
  <c r="S142" i="17"/>
  <c r="P142" i="17"/>
  <c r="M137" i="17"/>
  <c r="M138" i="17"/>
  <c r="M139" i="17" s="1"/>
  <c r="L139" i="17"/>
  <c r="K139" i="17"/>
  <c r="J139" i="17"/>
  <c r="AN137" i="17"/>
  <c r="AN138" i="17"/>
  <c r="AN139" i="17"/>
  <c r="AO138" i="17"/>
  <c r="AH138" i="17"/>
  <c r="AO137" i="17"/>
  <c r="AH137" i="17"/>
  <c r="AH139" i="17"/>
  <c r="P64" i="17"/>
  <c r="V96" i="17"/>
  <c r="V97" i="17"/>
  <c r="S96" i="17"/>
  <c r="S97" i="17"/>
  <c r="P96" i="17"/>
  <c r="P97" i="17"/>
  <c r="Y95" i="17"/>
  <c r="Y95" i="7" s="1"/>
  <c r="Y94" i="17"/>
  <c r="Y94" i="7" s="1"/>
  <c r="Y93" i="17"/>
  <c r="Y92" i="17"/>
  <c r="V81" i="17"/>
  <c r="V82" i="17"/>
  <c r="S81" i="17"/>
  <c r="S82" i="17"/>
  <c r="P81" i="17"/>
  <c r="P82" i="17"/>
  <c r="Y80" i="17"/>
  <c r="Y82" i="7" s="1"/>
  <c r="Y79" i="17"/>
  <c r="Y81" i="7" s="1"/>
  <c r="Y78" i="17"/>
  <c r="Y80" i="7" s="1"/>
  <c r="Y77" i="17"/>
  <c r="U73" i="17"/>
  <c r="T73" i="17"/>
  <c r="R73" i="17"/>
  <c r="Q73" i="17"/>
  <c r="O73" i="17"/>
  <c r="N73" i="17"/>
  <c r="X72" i="17"/>
  <c r="W72" i="17"/>
  <c r="V72" i="17"/>
  <c r="S72" i="17"/>
  <c r="P72" i="17"/>
  <c r="X71" i="17"/>
  <c r="W71" i="17"/>
  <c r="W74" i="7" s="1"/>
  <c r="AT71" i="17"/>
  <c r="V71" i="17"/>
  <c r="S71" i="17"/>
  <c r="P71" i="17"/>
  <c r="X70" i="17"/>
  <c r="X73" i="7" s="1"/>
  <c r="W70" i="17"/>
  <c r="V70" i="17"/>
  <c r="S70" i="17"/>
  <c r="P70" i="17"/>
  <c r="X69" i="17"/>
  <c r="X72" i="7" s="1"/>
  <c r="W69" i="17"/>
  <c r="V69" i="17"/>
  <c r="S69" i="17"/>
  <c r="P69" i="17"/>
  <c r="X68" i="17"/>
  <c r="X71" i="7" s="1"/>
  <c r="Y71" i="7" s="1"/>
  <c r="W68" i="17"/>
  <c r="W71" i="7" s="1"/>
  <c r="V68" i="17"/>
  <c r="S68" i="17"/>
  <c r="P68" i="17"/>
  <c r="U65" i="17"/>
  <c r="T65" i="17"/>
  <c r="R65" i="17"/>
  <c r="Q65" i="17"/>
  <c r="O65" i="17"/>
  <c r="N65" i="17"/>
  <c r="X64" i="17"/>
  <c r="W64" i="17"/>
  <c r="W68" i="7" s="1"/>
  <c r="V64" i="17"/>
  <c r="S64" i="17"/>
  <c r="X63" i="17"/>
  <c r="W63" i="17"/>
  <c r="W67" i="7" s="1"/>
  <c r="V63" i="17"/>
  <c r="S63" i="17"/>
  <c r="P63" i="17"/>
  <c r="X62" i="17"/>
  <c r="W62" i="17"/>
  <c r="W66" i="7" s="1"/>
  <c r="V62" i="17"/>
  <c r="S62" i="17"/>
  <c r="P62" i="17"/>
  <c r="X61" i="17"/>
  <c r="X65" i="7" s="1"/>
  <c r="AZ61" i="17"/>
  <c r="W61" i="17"/>
  <c r="V61" i="17"/>
  <c r="S61" i="17"/>
  <c r="P61" i="17"/>
  <c r="L58" i="17"/>
  <c r="L59" i="17"/>
  <c r="K58" i="17"/>
  <c r="J58" i="17"/>
  <c r="AN57" i="17"/>
  <c r="AH57" i="17"/>
  <c r="M57" i="17"/>
  <c r="AN56" i="17"/>
  <c r="AH56" i="17"/>
  <c r="M56" i="17"/>
  <c r="AN55" i="17"/>
  <c r="AH55" i="17"/>
  <c r="AT55" i="17"/>
  <c r="M55" i="17"/>
  <c r="AZ54" i="17"/>
  <c r="AN54" i="17"/>
  <c r="AH54" i="17"/>
  <c r="M54" i="17"/>
  <c r="AN53" i="17"/>
  <c r="AH53" i="17"/>
  <c r="AZ53" i="17"/>
  <c r="M53" i="17"/>
  <c r="AN52" i="17"/>
  <c r="AH52" i="17"/>
  <c r="M52" i="17"/>
  <c r="AN51" i="17"/>
  <c r="AH51" i="17"/>
  <c r="M51" i="17"/>
  <c r="AN50" i="17"/>
  <c r="AH50" i="17"/>
  <c r="AZ50" i="17"/>
  <c r="M50" i="17"/>
  <c r="AN49" i="17"/>
  <c r="AH49" i="17"/>
  <c r="AH58" i="17" s="1"/>
  <c r="AI55" i="17" s="1"/>
  <c r="M49" i="17"/>
  <c r="AN48" i="17"/>
  <c r="AH48" i="17"/>
  <c r="AZ48" i="17"/>
  <c r="M48" i="17"/>
  <c r="AN47" i="17"/>
  <c r="AH47" i="17"/>
  <c r="AZ47" i="17"/>
  <c r="M47" i="17"/>
  <c r="AN46" i="17"/>
  <c r="AH46" i="17"/>
  <c r="W46" i="17"/>
  <c r="AT46" i="17" s="1"/>
  <c r="M46" i="17"/>
  <c r="AN45" i="17"/>
  <c r="AN58" i="17" s="1"/>
  <c r="AH45" i="17"/>
  <c r="Y45" i="17"/>
  <c r="M45" i="17"/>
  <c r="AN44" i="17"/>
  <c r="AH44" i="17"/>
  <c r="M44" i="17"/>
  <c r="U41" i="17"/>
  <c r="T41" i="17"/>
  <c r="R41" i="17"/>
  <c r="Q41" i="17"/>
  <c r="O41" i="17"/>
  <c r="N41" i="17"/>
  <c r="X40" i="17"/>
  <c r="X46" i="7" s="1"/>
  <c r="W40" i="17"/>
  <c r="V40" i="17"/>
  <c r="S40" i="17"/>
  <c r="P40" i="17"/>
  <c r="X39" i="17"/>
  <c r="W39" i="17"/>
  <c r="V39" i="17"/>
  <c r="S39" i="17"/>
  <c r="P39" i="17"/>
  <c r="X38" i="17"/>
  <c r="W38" i="17"/>
  <c r="W41" i="17" s="1"/>
  <c r="V38" i="17"/>
  <c r="S38" i="17"/>
  <c r="P38" i="17"/>
  <c r="AN32" i="17"/>
  <c r="AH32" i="17"/>
  <c r="Y32" i="17"/>
  <c r="AZ31" i="17"/>
  <c r="AH31" i="17"/>
  <c r="AH33" i="17" s="1"/>
  <c r="AI33" i="17" s="1"/>
  <c r="AN30" i="17"/>
  <c r="L26" i="17"/>
  <c r="K26" i="17"/>
  <c r="J26" i="17"/>
  <c r="AN25" i="17"/>
  <c r="AH25" i="17"/>
  <c r="AH26" i="17" s="1"/>
  <c r="X25" i="17"/>
  <c r="X27" i="7" s="1"/>
  <c r="W25" i="17"/>
  <c r="M25" i="17"/>
  <c r="AN24" i="17"/>
  <c r="AN26" i="17" s="1"/>
  <c r="AH24" i="17"/>
  <c r="X24" i="17"/>
  <c r="W24" i="17"/>
  <c r="W26" i="7" s="1"/>
  <c r="M24" i="17"/>
  <c r="AN23" i="17"/>
  <c r="AH23" i="17"/>
  <c r="X23" i="17"/>
  <c r="X25" i="7" s="1"/>
  <c r="W23" i="17"/>
  <c r="M23" i="17"/>
  <c r="U20" i="17"/>
  <c r="T20" i="17"/>
  <c r="Q20" i="17"/>
  <c r="Q288" i="17"/>
  <c r="O20" i="17"/>
  <c r="N20" i="17"/>
  <c r="X19" i="17"/>
  <c r="W19" i="17"/>
  <c r="V19" i="17"/>
  <c r="S19" i="17"/>
  <c r="P19" i="17"/>
  <c r="X18" i="17"/>
  <c r="W18" i="17"/>
  <c r="AT18" i="17" s="1"/>
  <c r="V18" i="17"/>
  <c r="S18" i="17"/>
  <c r="P18" i="17"/>
  <c r="P20" i="17"/>
  <c r="AZ32" i="17"/>
  <c r="AN14" i="17"/>
  <c r="AH14" i="17"/>
  <c r="AZ14" i="17"/>
  <c r="M14" i="17"/>
  <c r="AN13" i="17"/>
  <c r="AN15" i="17"/>
  <c r="AH13" i="17"/>
  <c r="W15" i="17"/>
  <c r="M13" i="17"/>
  <c r="O294" i="16"/>
  <c r="O287" i="16"/>
  <c r="V326" i="16"/>
  <c r="S326" i="16"/>
  <c r="P326" i="16"/>
  <c r="Y325" i="16"/>
  <c r="Y324" i="16"/>
  <c r="Y323" i="16"/>
  <c r="Y326" i="16"/>
  <c r="AC320" i="16"/>
  <c r="AB320" i="16"/>
  <c r="AA320" i="16"/>
  <c r="U318" i="16"/>
  <c r="U20" i="16"/>
  <c r="U319" i="16"/>
  <c r="T318" i="16"/>
  <c r="R318" i="16"/>
  <c r="Q318" i="16"/>
  <c r="O318" i="16"/>
  <c r="N318" i="16"/>
  <c r="X317" i="16"/>
  <c r="AZ317" i="16"/>
  <c r="W317" i="16"/>
  <c r="V317" i="16"/>
  <c r="S317" i="16"/>
  <c r="P317" i="16"/>
  <c r="X316" i="16"/>
  <c r="AZ316" i="16"/>
  <c r="W316" i="16"/>
  <c r="Y316" i="16"/>
  <c r="AT316" i="16"/>
  <c r="V316" i="16"/>
  <c r="V315" i="16"/>
  <c r="V318" i="16"/>
  <c r="S316" i="16"/>
  <c r="P316" i="16"/>
  <c r="X315" i="16"/>
  <c r="AZ315" i="16"/>
  <c r="AZ318" i="16"/>
  <c r="W315" i="16"/>
  <c r="AT315" i="16"/>
  <c r="S315" i="16"/>
  <c r="P315" i="16"/>
  <c r="P318" i="16"/>
  <c r="U307" i="16"/>
  <c r="T307" i="16"/>
  <c r="T312" i="16"/>
  <c r="R307" i="16"/>
  <c r="R312" i="16"/>
  <c r="Q307" i="16"/>
  <c r="Q312" i="16"/>
  <c r="O307" i="16"/>
  <c r="O312" i="16"/>
  <c r="N307" i="16"/>
  <c r="X306" i="16"/>
  <c r="AZ306" i="16"/>
  <c r="W306" i="16"/>
  <c r="V306" i="16"/>
  <c r="S306" i="16"/>
  <c r="P306" i="16"/>
  <c r="X305" i="16"/>
  <c r="AZ305" i="16"/>
  <c r="W305" i="16"/>
  <c r="Y305" i="16"/>
  <c r="AT305" i="16"/>
  <c r="V305" i="16"/>
  <c r="S305" i="16"/>
  <c r="P305" i="16"/>
  <c r="X304" i="16"/>
  <c r="AZ304" i="16"/>
  <c r="W304" i="16"/>
  <c r="V304" i="16"/>
  <c r="S304" i="16"/>
  <c r="P304" i="16"/>
  <c r="X303" i="16"/>
  <c r="AZ303" i="16"/>
  <c r="W303" i="16"/>
  <c r="V303" i="16"/>
  <c r="S303" i="16"/>
  <c r="P303" i="16"/>
  <c r="X302" i="16"/>
  <c r="AZ302" i="16"/>
  <c r="W302" i="16"/>
  <c r="V302" i="16"/>
  <c r="S302" i="16"/>
  <c r="P302" i="16"/>
  <c r="W301" i="16"/>
  <c r="X301" i="16"/>
  <c r="Y301" i="16"/>
  <c r="AZ301" i="16"/>
  <c r="AT301" i="16"/>
  <c r="V301" i="16"/>
  <c r="S301" i="16"/>
  <c r="P301" i="16"/>
  <c r="X300" i="16"/>
  <c r="AZ300" i="16"/>
  <c r="W300" i="16"/>
  <c r="V300" i="16"/>
  <c r="S300" i="16"/>
  <c r="P300" i="16"/>
  <c r="X299" i="16"/>
  <c r="AZ299" i="16"/>
  <c r="W299" i="16"/>
  <c r="V299" i="16"/>
  <c r="S299" i="16"/>
  <c r="P299" i="16"/>
  <c r="X298" i="16"/>
  <c r="AZ298" i="16"/>
  <c r="W298" i="16"/>
  <c r="V298" i="16"/>
  <c r="S298" i="16"/>
  <c r="P298" i="16"/>
  <c r="X297" i="16"/>
  <c r="AZ297" i="16"/>
  <c r="W297" i="16"/>
  <c r="V297" i="16"/>
  <c r="S297" i="16"/>
  <c r="P297" i="16"/>
  <c r="U294" i="16"/>
  <c r="T294" i="16"/>
  <c r="R294" i="16"/>
  <c r="Q294" i="16"/>
  <c r="N294" i="16"/>
  <c r="X293" i="16"/>
  <c r="AZ293" i="16"/>
  <c r="W293" i="16"/>
  <c r="V293" i="16"/>
  <c r="S293" i="16"/>
  <c r="P293" i="16"/>
  <c r="W292" i="16"/>
  <c r="AT292" i="16"/>
  <c r="X292" i="16"/>
  <c r="AZ292" i="16"/>
  <c r="Y292" i="16"/>
  <c r="V292" i="16"/>
  <c r="V290" i="16"/>
  <c r="V291" i="16"/>
  <c r="V294" i="16"/>
  <c r="S292" i="16"/>
  <c r="P292" i="16"/>
  <c r="X291" i="16"/>
  <c r="AZ291" i="16"/>
  <c r="W291" i="16"/>
  <c r="AT291" i="16"/>
  <c r="S291" i="16"/>
  <c r="P291" i="16"/>
  <c r="X290" i="16"/>
  <c r="W290" i="16"/>
  <c r="AT290" i="16"/>
  <c r="S290" i="16"/>
  <c r="P290" i="16"/>
  <c r="U287" i="16"/>
  <c r="T287" i="16"/>
  <c r="R287" i="16"/>
  <c r="Q287" i="16"/>
  <c r="N287" i="16"/>
  <c r="X286" i="16"/>
  <c r="AZ286" i="16"/>
  <c r="W286" i="16"/>
  <c r="V286" i="16"/>
  <c r="S286" i="16"/>
  <c r="P286" i="16"/>
  <c r="X285" i="16"/>
  <c r="AZ285" i="16"/>
  <c r="W285" i="16"/>
  <c r="V285" i="16"/>
  <c r="S285" i="16"/>
  <c r="P285" i="16"/>
  <c r="X284" i="16"/>
  <c r="AZ284" i="16"/>
  <c r="W284" i="16"/>
  <c r="AT284" i="16"/>
  <c r="V284" i="16"/>
  <c r="S284" i="16"/>
  <c r="P284" i="16"/>
  <c r="X283" i="16"/>
  <c r="W283" i="16"/>
  <c r="AT283" i="16"/>
  <c r="V283" i="16"/>
  <c r="S283" i="16"/>
  <c r="P283" i="16"/>
  <c r="P287" i="16"/>
  <c r="V249" i="16"/>
  <c r="S249" i="16"/>
  <c r="P249" i="16"/>
  <c r="Y248" i="16"/>
  <c r="Y247" i="16"/>
  <c r="Y246" i="16"/>
  <c r="N243" i="16"/>
  <c r="N244" i="16"/>
  <c r="U243" i="16"/>
  <c r="U244" i="16"/>
  <c r="T243" i="16"/>
  <c r="T244" i="16"/>
  <c r="R243" i="16"/>
  <c r="R244" i="16"/>
  <c r="Q243" i="16"/>
  <c r="Q244" i="16"/>
  <c r="O243" i="16"/>
  <c r="O244" i="16"/>
  <c r="X242" i="16"/>
  <c r="W242" i="16"/>
  <c r="AT242" i="16"/>
  <c r="V242" i="16"/>
  <c r="S242" i="16"/>
  <c r="P242" i="16"/>
  <c r="X241" i="16"/>
  <c r="AZ241" i="16"/>
  <c r="W241" i="16"/>
  <c r="V241" i="16"/>
  <c r="S241" i="16"/>
  <c r="P241" i="16"/>
  <c r="X240" i="16"/>
  <c r="AZ240" i="16"/>
  <c r="W240" i="16"/>
  <c r="V240" i="16"/>
  <c r="S240" i="16"/>
  <c r="P240" i="16"/>
  <c r="X239" i="16"/>
  <c r="AZ239" i="16"/>
  <c r="W239" i="16"/>
  <c r="V239" i="16"/>
  <c r="S239" i="16"/>
  <c r="P239" i="16"/>
  <c r="W238" i="16"/>
  <c r="X238" i="16"/>
  <c r="Y238" i="16"/>
  <c r="AZ238" i="16"/>
  <c r="AT238" i="16"/>
  <c r="V238" i="16"/>
  <c r="S238" i="16"/>
  <c r="P238" i="16"/>
  <c r="X237" i="16"/>
  <c r="AZ237" i="16"/>
  <c r="W237" i="16"/>
  <c r="V237" i="16"/>
  <c r="S237" i="16"/>
  <c r="P237" i="16"/>
  <c r="X236" i="16"/>
  <c r="W236" i="16"/>
  <c r="AT236" i="16"/>
  <c r="V236" i="16"/>
  <c r="S236" i="16"/>
  <c r="P236" i="16"/>
  <c r="X235" i="16"/>
  <c r="AZ235" i="16"/>
  <c r="W235" i="16"/>
  <c r="AT235" i="16"/>
  <c r="V235" i="16"/>
  <c r="S235" i="16"/>
  <c r="P235" i="16"/>
  <c r="U232" i="16"/>
  <c r="U198" i="16"/>
  <c r="U233" i="16"/>
  <c r="BA232" i="16"/>
  <c r="AU232" i="16"/>
  <c r="T232" i="16"/>
  <c r="R232" i="16"/>
  <c r="Q232" i="16"/>
  <c r="O232" i="16"/>
  <c r="O198" i="16"/>
  <c r="O233" i="16"/>
  <c r="N232" i="16"/>
  <c r="BA231" i="16"/>
  <c r="AU231" i="16"/>
  <c r="X231" i="16"/>
  <c r="W231" i="16"/>
  <c r="AT231" i="16"/>
  <c r="V231" i="16"/>
  <c r="S231" i="16"/>
  <c r="P231" i="16"/>
  <c r="P226" i="16"/>
  <c r="P227" i="16"/>
  <c r="P232" i="16"/>
  <c r="AC230" i="16"/>
  <c r="U199" i="7" s="1"/>
  <c r="X230" i="16"/>
  <c r="AY230" i="16" s="1"/>
  <c r="T199" i="7" s="1"/>
  <c r="BL199" i="7" s="1"/>
  <c r="W230" i="16"/>
  <c r="AS230" i="16"/>
  <c r="W229" i="16"/>
  <c r="AR229" i="16"/>
  <c r="AB229" i="16"/>
  <c r="U198" i="7" s="1"/>
  <c r="X229" i="16"/>
  <c r="X232" i="16" s="1"/>
  <c r="X228" i="16"/>
  <c r="AW228" i="16" s="1"/>
  <c r="T197" i="7" s="1"/>
  <c r="BL197" i="7" s="1"/>
  <c r="AA228" i="16"/>
  <c r="W228" i="16"/>
  <c r="AQ228" i="16"/>
  <c r="BA227" i="16"/>
  <c r="AU227" i="16"/>
  <c r="W227" i="16"/>
  <c r="X227" i="16"/>
  <c r="Y227" i="16"/>
  <c r="AZ227" i="16"/>
  <c r="V227" i="16"/>
  <c r="S227" i="16"/>
  <c r="BA226" i="16"/>
  <c r="AU226" i="16"/>
  <c r="W226" i="16"/>
  <c r="X226" i="16"/>
  <c r="Y226" i="16"/>
  <c r="AZ226" i="16"/>
  <c r="AT226" i="16"/>
  <c r="V226" i="16"/>
  <c r="V232" i="16"/>
  <c r="S226" i="16"/>
  <c r="S232" i="16"/>
  <c r="BA223" i="16"/>
  <c r="AU223" i="16"/>
  <c r="U223" i="16"/>
  <c r="U224" i="16"/>
  <c r="T223" i="16"/>
  <c r="R223" i="16"/>
  <c r="Q223" i="16"/>
  <c r="O223" i="16"/>
  <c r="O224" i="16"/>
  <c r="N223" i="16"/>
  <c r="BA222" i="16"/>
  <c r="AU222" i="16"/>
  <c r="X222" i="16"/>
  <c r="AZ222" i="16"/>
  <c r="W222" i="16"/>
  <c r="V222" i="16"/>
  <c r="S222" i="16"/>
  <c r="P222" i="16"/>
  <c r="AC221" i="16"/>
  <c r="X221" i="16"/>
  <c r="AY221" i="16"/>
  <c r="W221" i="16"/>
  <c r="AS221" i="16"/>
  <c r="AB220" i="16"/>
  <c r="X220" i="16"/>
  <c r="AX220" i="16"/>
  <c r="W220" i="16"/>
  <c r="AR220" i="16"/>
  <c r="AA219" i="16"/>
  <c r="X219" i="16"/>
  <c r="AW219" i="16"/>
  <c r="W219" i="16"/>
  <c r="AQ219" i="16"/>
  <c r="BA218" i="16"/>
  <c r="AU218" i="16"/>
  <c r="X218" i="16"/>
  <c r="AZ218" i="16"/>
  <c r="W218" i="16"/>
  <c r="AT218" i="16"/>
  <c r="V218" i="16"/>
  <c r="S218" i="16"/>
  <c r="P218" i="16"/>
  <c r="BA217" i="16"/>
  <c r="AU217" i="16"/>
  <c r="X217" i="16"/>
  <c r="W217" i="16"/>
  <c r="V217" i="16"/>
  <c r="S217" i="16"/>
  <c r="P217" i="16"/>
  <c r="P223" i="16"/>
  <c r="U214" i="16"/>
  <c r="U215" i="16"/>
  <c r="T214" i="16"/>
  <c r="R214" i="16"/>
  <c r="Q214" i="16"/>
  <c r="O214" i="16"/>
  <c r="O215" i="16"/>
  <c r="N214" i="16"/>
  <c r="X213" i="16"/>
  <c r="AZ213" i="16"/>
  <c r="W213" i="16"/>
  <c r="V213" i="16"/>
  <c r="S213" i="16"/>
  <c r="P213" i="16"/>
  <c r="P211" i="16"/>
  <c r="P212" i="16"/>
  <c r="P214" i="16"/>
  <c r="X212" i="16"/>
  <c r="W212" i="16"/>
  <c r="Y212" i="16"/>
  <c r="AT212" i="16"/>
  <c r="V212" i="16"/>
  <c r="V211" i="16"/>
  <c r="V214" i="16"/>
  <c r="S212" i="16"/>
  <c r="X211" i="16"/>
  <c r="AZ211" i="16"/>
  <c r="W211" i="16"/>
  <c r="S211" i="16"/>
  <c r="N203" i="16"/>
  <c r="N208" i="16"/>
  <c r="X207" i="16"/>
  <c r="AZ207" i="16"/>
  <c r="W207" i="16"/>
  <c r="V207" i="16"/>
  <c r="S207" i="16"/>
  <c r="P207" i="16"/>
  <c r="U203" i="16"/>
  <c r="U208" i="16"/>
  <c r="U209" i="16"/>
  <c r="T203" i="16"/>
  <c r="R203" i="16"/>
  <c r="R208" i="16"/>
  <c r="Q203" i="16"/>
  <c r="O203" i="16"/>
  <c r="O208" i="16"/>
  <c r="W202" i="16"/>
  <c r="X202" i="16"/>
  <c r="Y202" i="16"/>
  <c r="AZ202" i="16"/>
  <c r="AT202" i="16"/>
  <c r="V202" i="16"/>
  <c r="S202" i="16"/>
  <c r="P202" i="16"/>
  <c r="X201" i="16"/>
  <c r="AZ201" i="16"/>
  <c r="W201" i="16"/>
  <c r="AT201" i="16"/>
  <c r="V201" i="16"/>
  <c r="S201" i="16"/>
  <c r="P201" i="16"/>
  <c r="X200" i="16"/>
  <c r="AZ200" i="16"/>
  <c r="W200" i="16"/>
  <c r="AT200" i="16"/>
  <c r="V200" i="16"/>
  <c r="S200" i="16"/>
  <c r="P200" i="16"/>
  <c r="X199" i="16"/>
  <c r="AZ199" i="16"/>
  <c r="W199" i="16"/>
  <c r="V199" i="16"/>
  <c r="S199" i="16"/>
  <c r="P199" i="16"/>
  <c r="T198" i="16"/>
  <c r="R198" i="16"/>
  <c r="R233" i="16"/>
  <c r="Q198" i="16"/>
  <c r="N198" i="16"/>
  <c r="N233" i="16"/>
  <c r="U196" i="16"/>
  <c r="U197" i="16"/>
  <c r="T196" i="16"/>
  <c r="R196" i="16"/>
  <c r="Q196" i="16"/>
  <c r="O196" i="16"/>
  <c r="O20" i="16"/>
  <c r="O197" i="16"/>
  <c r="N196" i="16"/>
  <c r="X195" i="16"/>
  <c r="W195" i="16"/>
  <c r="AT195" i="16"/>
  <c r="V195" i="16"/>
  <c r="S195" i="16"/>
  <c r="P195" i="16"/>
  <c r="X194" i="16"/>
  <c r="W194" i="16"/>
  <c r="Y194" i="16"/>
  <c r="AT194" i="16"/>
  <c r="V194" i="16"/>
  <c r="S194" i="16"/>
  <c r="P194" i="16"/>
  <c r="X193" i="16"/>
  <c r="AZ193" i="16"/>
  <c r="W193" i="16"/>
  <c r="V193" i="16"/>
  <c r="S193" i="16"/>
  <c r="P193" i="16"/>
  <c r="X192" i="16"/>
  <c r="AZ192" i="16"/>
  <c r="W192" i="16"/>
  <c r="V192" i="16"/>
  <c r="S192" i="16"/>
  <c r="P192" i="16"/>
  <c r="X191" i="16"/>
  <c r="AZ191" i="16"/>
  <c r="W191" i="16"/>
  <c r="V191" i="16"/>
  <c r="S191" i="16"/>
  <c r="P191" i="16"/>
  <c r="Q181" i="16"/>
  <c r="Q188" i="16"/>
  <c r="N181" i="16"/>
  <c r="N188" i="16"/>
  <c r="N20" i="16"/>
  <c r="N189" i="16"/>
  <c r="U181" i="16"/>
  <c r="U188" i="16"/>
  <c r="T181" i="16"/>
  <c r="R181" i="16"/>
  <c r="O181" i="16"/>
  <c r="O188" i="16"/>
  <c r="X180" i="16"/>
  <c r="T157" i="7" s="1"/>
  <c r="W180" i="16"/>
  <c r="V180" i="16"/>
  <c r="S180" i="16"/>
  <c r="P180" i="16"/>
  <c r="W179" i="16"/>
  <c r="X179" i="16"/>
  <c r="V179" i="16"/>
  <c r="S179" i="16"/>
  <c r="P179" i="16"/>
  <c r="X178" i="16"/>
  <c r="W178" i="16"/>
  <c r="S155" i="7" s="1"/>
  <c r="V178" i="16"/>
  <c r="S178" i="16"/>
  <c r="P178" i="16"/>
  <c r="X177" i="16"/>
  <c r="T154" i="7" s="1"/>
  <c r="W177" i="16"/>
  <c r="V177" i="16"/>
  <c r="S177" i="16"/>
  <c r="P177" i="16"/>
  <c r="W176" i="16"/>
  <c r="X176" i="16"/>
  <c r="T153" i="7" s="1"/>
  <c r="V176" i="16"/>
  <c r="S176" i="16"/>
  <c r="P176" i="16"/>
  <c r="X175" i="16"/>
  <c r="W175" i="16"/>
  <c r="V175" i="16"/>
  <c r="S175" i="16"/>
  <c r="P175" i="16"/>
  <c r="U163" i="16"/>
  <c r="X163" i="16" s="1"/>
  <c r="T163" i="16"/>
  <c r="T169" i="16" s="1"/>
  <c r="R163" i="16"/>
  <c r="R169" i="16"/>
  <c r="Q163" i="16"/>
  <c r="Q169" i="16"/>
  <c r="O163" i="16"/>
  <c r="N163" i="16"/>
  <c r="P163" i="16" s="1"/>
  <c r="X162" i="16"/>
  <c r="W162" i="16"/>
  <c r="V162" i="16"/>
  <c r="S162" i="16"/>
  <c r="P162" i="16"/>
  <c r="X161" i="16"/>
  <c r="W161" i="16"/>
  <c r="S139" i="7" s="1"/>
  <c r="V161" i="16"/>
  <c r="S161" i="16"/>
  <c r="P161" i="16"/>
  <c r="X160" i="16"/>
  <c r="AZ160" i="16" s="1"/>
  <c r="W160" i="16"/>
  <c r="V160" i="16"/>
  <c r="S160" i="16"/>
  <c r="P160" i="16"/>
  <c r="X159" i="16"/>
  <c r="T137" i="7" s="1"/>
  <c r="AZ159" i="16"/>
  <c r="W159" i="16"/>
  <c r="V159" i="16"/>
  <c r="S159" i="16"/>
  <c r="P159" i="16"/>
  <c r="X158" i="16"/>
  <c r="W158" i="16"/>
  <c r="AT158" i="16" s="1"/>
  <c r="V158" i="16"/>
  <c r="S158" i="16"/>
  <c r="P158" i="16"/>
  <c r="W157" i="16"/>
  <c r="X157" i="16"/>
  <c r="AZ157" i="16" s="1"/>
  <c r="V157" i="16"/>
  <c r="S157" i="16"/>
  <c r="P157" i="16"/>
  <c r="X156" i="16"/>
  <c r="T134" i="7" s="1"/>
  <c r="AZ156" i="16"/>
  <c r="W156" i="16"/>
  <c r="S134" i="7" s="1"/>
  <c r="V156" i="16"/>
  <c r="S156" i="16"/>
  <c r="P156" i="16"/>
  <c r="X155" i="16"/>
  <c r="T133" i="7" s="1"/>
  <c r="W155" i="16"/>
  <c r="V155" i="16"/>
  <c r="S155" i="16"/>
  <c r="P155" i="16"/>
  <c r="X154" i="16"/>
  <c r="T132" i="7" s="1"/>
  <c r="U132" i="7" s="1"/>
  <c r="W154" i="16"/>
  <c r="S132" i="7" s="1"/>
  <c r="AT154" i="16"/>
  <c r="V154" i="16"/>
  <c r="S154" i="16"/>
  <c r="P154" i="16"/>
  <c r="U151" i="16"/>
  <c r="T151" i="16"/>
  <c r="R151" i="16"/>
  <c r="Q151" i="16"/>
  <c r="O151" i="16"/>
  <c r="N151" i="16"/>
  <c r="N152" i="16"/>
  <c r="X150" i="16"/>
  <c r="W150" i="16"/>
  <c r="V150" i="16"/>
  <c r="S150" i="16"/>
  <c r="P150" i="16"/>
  <c r="X149" i="16"/>
  <c r="AZ149" i="16" s="1"/>
  <c r="W149" i="16"/>
  <c r="V149" i="16"/>
  <c r="V148" i="16"/>
  <c r="S149" i="16"/>
  <c r="S151" i="16" s="1"/>
  <c r="P149" i="16"/>
  <c r="X148" i="16"/>
  <c r="W148" i="16"/>
  <c r="S127" i="7" s="1"/>
  <c r="AT148" i="16"/>
  <c r="S148" i="16"/>
  <c r="P148" i="16"/>
  <c r="U145" i="16"/>
  <c r="U146" i="16"/>
  <c r="T145" i="16"/>
  <c r="R145" i="16"/>
  <c r="Q145" i="16"/>
  <c r="O145" i="16"/>
  <c r="N145" i="16"/>
  <c r="N146" i="16"/>
  <c r="X144" i="16"/>
  <c r="W144" i="16"/>
  <c r="W145" i="16" s="1"/>
  <c r="V144" i="16"/>
  <c r="S144" i="16"/>
  <c r="P144" i="16"/>
  <c r="X143" i="16"/>
  <c r="W143" i="16"/>
  <c r="V143" i="16"/>
  <c r="V145" i="16" s="1"/>
  <c r="S143" i="16"/>
  <c r="P143" i="16"/>
  <c r="P145" i="16" s="1"/>
  <c r="W142" i="16"/>
  <c r="X142" i="16"/>
  <c r="V142" i="16"/>
  <c r="S142" i="16"/>
  <c r="P142" i="16"/>
  <c r="L139" i="16"/>
  <c r="K139" i="16"/>
  <c r="J139" i="16"/>
  <c r="AN138" i="16"/>
  <c r="AN137" i="16"/>
  <c r="AN139" i="16"/>
  <c r="AO138" i="16"/>
  <c r="AH138" i="16"/>
  <c r="AH137" i="16"/>
  <c r="AH139" i="16"/>
  <c r="AI137" i="16"/>
  <c r="AZ138" i="16"/>
  <c r="M138" i="16"/>
  <c r="M139" i="16" s="1"/>
  <c r="M137" i="16"/>
  <c r="AT137" i="16"/>
  <c r="AT139" i="16" s="1"/>
  <c r="AU138" i="16" s="1"/>
  <c r="V71" i="16"/>
  <c r="V96" i="16"/>
  <c r="V97" i="16"/>
  <c r="S96" i="16"/>
  <c r="S97" i="16"/>
  <c r="P96" i="16"/>
  <c r="P97" i="16"/>
  <c r="Y95" i="16"/>
  <c r="Y94" i="16"/>
  <c r="U94" i="7" s="1"/>
  <c r="Y93" i="16"/>
  <c r="U93" i="7" s="1"/>
  <c r="Y92" i="16"/>
  <c r="V81" i="16"/>
  <c r="V82" i="16"/>
  <c r="S81" i="16"/>
  <c r="S82" i="16"/>
  <c r="P81" i="16"/>
  <c r="P82" i="16"/>
  <c r="Y80" i="16"/>
  <c r="U82" i="7" s="1"/>
  <c r="Y79" i="16"/>
  <c r="U81" i="7" s="1"/>
  <c r="Y78" i="16"/>
  <c r="Y77" i="16"/>
  <c r="O73" i="16"/>
  <c r="O74" i="16"/>
  <c r="U73" i="16"/>
  <c r="U74" i="16"/>
  <c r="T73" i="16"/>
  <c r="R73" i="16"/>
  <c r="Q73" i="16"/>
  <c r="N73" i="16"/>
  <c r="X72" i="16"/>
  <c r="T75" i="7" s="1"/>
  <c r="W72" i="16"/>
  <c r="S75" i="7" s="1"/>
  <c r="AT72" i="16"/>
  <c r="V72" i="16"/>
  <c r="S72" i="16"/>
  <c r="P72" i="16"/>
  <c r="X71" i="16"/>
  <c r="W71" i="16"/>
  <c r="S74" i="7" s="1"/>
  <c r="S71" i="16"/>
  <c r="P71" i="16"/>
  <c r="X70" i="16"/>
  <c r="W70" i="16"/>
  <c r="S73" i="7" s="1"/>
  <c r="V70" i="16"/>
  <c r="S70" i="16"/>
  <c r="P70" i="16"/>
  <c r="X69" i="16"/>
  <c r="T72" i="7" s="1"/>
  <c r="W69" i="16"/>
  <c r="V69" i="16"/>
  <c r="S69" i="16"/>
  <c r="P69" i="16"/>
  <c r="X68" i="16"/>
  <c r="T71" i="7" s="1"/>
  <c r="W68" i="16"/>
  <c r="V68" i="16"/>
  <c r="S68" i="16"/>
  <c r="P68" i="16"/>
  <c r="P73" i="16" s="1"/>
  <c r="U65" i="16"/>
  <c r="T65" i="16"/>
  <c r="T20" i="16"/>
  <c r="T66" i="16"/>
  <c r="R65" i="16"/>
  <c r="Q65" i="16"/>
  <c r="O65" i="16"/>
  <c r="O66" i="16"/>
  <c r="N65" i="16"/>
  <c r="X64" i="16"/>
  <c r="W64" i="16"/>
  <c r="S68" i="7" s="1"/>
  <c r="V64" i="16"/>
  <c r="S64" i="16"/>
  <c r="P64" i="16"/>
  <c r="X63" i="16"/>
  <c r="W63" i="16"/>
  <c r="V63" i="16"/>
  <c r="S63" i="16"/>
  <c r="P63" i="16"/>
  <c r="X62" i="16"/>
  <c r="W62" i="16"/>
  <c r="AT62" i="16" s="1"/>
  <c r="V62" i="16"/>
  <c r="S62" i="16"/>
  <c r="P62" i="16"/>
  <c r="P65" i="16" s="1"/>
  <c r="W61" i="16"/>
  <c r="AT61" i="16" s="1"/>
  <c r="X61" i="16"/>
  <c r="V61" i="16"/>
  <c r="S61" i="16"/>
  <c r="P61" i="16"/>
  <c r="L58" i="16"/>
  <c r="K58" i="16"/>
  <c r="K59" i="16"/>
  <c r="J58" i="16"/>
  <c r="AN57" i="16"/>
  <c r="AZ57" i="16"/>
  <c r="M57" i="16"/>
  <c r="AN56" i="16"/>
  <c r="AZ56" i="16"/>
  <c r="AT56" i="16"/>
  <c r="M56" i="16"/>
  <c r="AN55" i="16"/>
  <c r="M55" i="16"/>
  <c r="AN54" i="16"/>
  <c r="AZ54" i="16"/>
  <c r="M54" i="16"/>
  <c r="AN53" i="16"/>
  <c r="M53" i="16"/>
  <c r="AN52" i="16"/>
  <c r="AZ52" i="16"/>
  <c r="M52" i="16"/>
  <c r="AN51" i="16"/>
  <c r="AZ51" i="16"/>
  <c r="M51" i="16"/>
  <c r="AN50" i="16"/>
  <c r="Y50" i="16"/>
  <c r="AZ50" i="16"/>
  <c r="AT50" i="16"/>
  <c r="M50" i="16"/>
  <c r="AN49" i="16"/>
  <c r="M49" i="16"/>
  <c r="AN48" i="16"/>
  <c r="AZ48" i="16"/>
  <c r="M48" i="16"/>
  <c r="AN47" i="16"/>
  <c r="AN58" i="16" s="1"/>
  <c r="AT47" i="16"/>
  <c r="M47" i="16"/>
  <c r="AN46" i="16"/>
  <c r="W46" i="16"/>
  <c r="AZ46" i="16"/>
  <c r="M46" i="16"/>
  <c r="AZ45" i="16"/>
  <c r="AN45" i="16"/>
  <c r="M45" i="16"/>
  <c r="AN44" i="16"/>
  <c r="AT44" i="16"/>
  <c r="M44" i="16"/>
  <c r="U41" i="16"/>
  <c r="T41" i="16"/>
  <c r="R41" i="16"/>
  <c r="Q41" i="16"/>
  <c r="O41" i="16"/>
  <c r="N41" i="16"/>
  <c r="X40" i="16"/>
  <c r="W40" i="16"/>
  <c r="V40" i="16"/>
  <c r="V41" i="16" s="1"/>
  <c r="S40" i="16"/>
  <c r="P40" i="16"/>
  <c r="P41" i="16" s="1"/>
  <c r="X39" i="16"/>
  <c r="T45" i="7" s="1"/>
  <c r="W39" i="16"/>
  <c r="Y39" i="16" s="1"/>
  <c r="V39" i="16"/>
  <c r="S39" i="16"/>
  <c r="P39" i="16"/>
  <c r="X38" i="16"/>
  <c r="W38" i="16"/>
  <c r="V38" i="16"/>
  <c r="S38" i="16"/>
  <c r="P38" i="16"/>
  <c r="AT32" i="16"/>
  <c r="AN32" i="16"/>
  <c r="AH32" i="16"/>
  <c r="AZ31" i="16"/>
  <c r="AH31" i="16"/>
  <c r="AN30" i="16"/>
  <c r="L26" i="16"/>
  <c r="K26" i="16"/>
  <c r="J26" i="16"/>
  <c r="AN25" i="16"/>
  <c r="AH25" i="16"/>
  <c r="AH26" i="16" s="1"/>
  <c r="AI24" i="16" s="1"/>
  <c r="W25" i="16"/>
  <c r="X25" i="16"/>
  <c r="M25" i="16"/>
  <c r="AN24" i="16"/>
  <c r="AN26" i="16" s="1"/>
  <c r="AO23" i="16" s="1"/>
  <c r="AH24" i="16"/>
  <c r="X24" i="16"/>
  <c r="W24" i="16"/>
  <c r="S26" i="7" s="1"/>
  <c r="M24" i="16"/>
  <c r="AN23" i="16"/>
  <c r="AH23" i="16"/>
  <c r="X23" i="16"/>
  <c r="W23" i="16"/>
  <c r="Y23" i="16" s="1"/>
  <c r="M23" i="16"/>
  <c r="R20" i="16"/>
  <c r="Q20" i="16"/>
  <c r="X19" i="16"/>
  <c r="W19" i="16"/>
  <c r="S32" i="7" s="1"/>
  <c r="V19" i="16"/>
  <c r="S19" i="16"/>
  <c r="P19" i="16"/>
  <c r="P18" i="16"/>
  <c r="P20" i="16"/>
  <c r="X18" i="16"/>
  <c r="W18" i="16"/>
  <c r="V18" i="16"/>
  <c r="V20" i="16"/>
  <c r="S18" i="16"/>
  <c r="AT31" i="16"/>
  <c r="AZ14" i="16"/>
  <c r="AN14" i="16"/>
  <c r="AH14" i="16"/>
  <c r="M14" i="16"/>
  <c r="AN13" i="16"/>
  <c r="AN15" i="16"/>
  <c r="AH13" i="16"/>
  <c r="AH15" i="16"/>
  <c r="AZ13" i="16"/>
  <c r="AT13" i="16"/>
  <c r="M13" i="16"/>
  <c r="M15" i="16"/>
  <c r="T20" i="15"/>
  <c r="R294" i="15"/>
  <c r="Q294" i="15"/>
  <c r="V326" i="15"/>
  <c r="S326" i="15"/>
  <c r="P326" i="15"/>
  <c r="Y325" i="15"/>
  <c r="Y324" i="15"/>
  <c r="Y323" i="15"/>
  <c r="AC320" i="15"/>
  <c r="AB320" i="15"/>
  <c r="AA320" i="15"/>
  <c r="U318" i="15"/>
  <c r="T318" i="15"/>
  <c r="R318" i="15"/>
  <c r="Q318" i="15"/>
  <c r="O318" i="15"/>
  <c r="N318" i="15"/>
  <c r="X317" i="15"/>
  <c r="AZ317" i="15"/>
  <c r="W317" i="15"/>
  <c r="V317" i="15"/>
  <c r="S317" i="15"/>
  <c r="P317" i="15"/>
  <c r="X316" i="15"/>
  <c r="AZ316" i="15"/>
  <c r="W316" i="15"/>
  <c r="Y316" i="15"/>
  <c r="AT316" i="15"/>
  <c r="V316" i="15"/>
  <c r="S316" i="15"/>
  <c r="P316" i="15"/>
  <c r="X315" i="15"/>
  <c r="W315" i="15"/>
  <c r="V315" i="15"/>
  <c r="S315" i="15"/>
  <c r="P315" i="15"/>
  <c r="U307" i="15"/>
  <c r="T307" i="15"/>
  <c r="V307" i="15"/>
  <c r="T312" i="15"/>
  <c r="R307" i="15"/>
  <c r="R312" i="15"/>
  <c r="Q307" i="15"/>
  <c r="Q312" i="15"/>
  <c r="O307" i="15"/>
  <c r="N307" i="15"/>
  <c r="N312" i="15"/>
  <c r="X306" i="15"/>
  <c r="AZ306" i="15"/>
  <c r="W306" i="15"/>
  <c r="V306" i="15"/>
  <c r="S306" i="15"/>
  <c r="P306" i="15"/>
  <c r="X305" i="15"/>
  <c r="AZ305" i="15"/>
  <c r="W305" i="15"/>
  <c r="Y305" i="15"/>
  <c r="AT305" i="15"/>
  <c r="V305" i="15"/>
  <c r="S305" i="15"/>
  <c r="P305" i="15"/>
  <c r="X304" i="15"/>
  <c r="W304" i="15"/>
  <c r="AT304" i="15"/>
  <c r="V304" i="15"/>
  <c r="S304" i="15"/>
  <c r="P304" i="15"/>
  <c r="X303" i="15"/>
  <c r="AZ303" i="15"/>
  <c r="W303" i="15"/>
  <c r="AT303" i="15"/>
  <c r="V303" i="15"/>
  <c r="S303" i="15"/>
  <c r="P303" i="15"/>
  <c r="X302" i="15"/>
  <c r="AZ302" i="15"/>
  <c r="W302" i="15"/>
  <c r="AT302" i="15"/>
  <c r="V302" i="15"/>
  <c r="S302" i="15"/>
  <c r="P302" i="15"/>
  <c r="X301" i="15"/>
  <c r="AZ301" i="15"/>
  <c r="W301" i="15"/>
  <c r="V301" i="15"/>
  <c r="S301" i="15"/>
  <c r="P301" i="15"/>
  <c r="W300" i="15"/>
  <c r="X300" i="15"/>
  <c r="Y300" i="15"/>
  <c r="AZ300" i="15"/>
  <c r="AT300" i="15"/>
  <c r="V300" i="15"/>
  <c r="S300" i="15"/>
  <c r="P300" i="15"/>
  <c r="X299" i="15"/>
  <c r="AZ299" i="15"/>
  <c r="W299" i="15"/>
  <c r="AT299" i="15"/>
  <c r="V299" i="15"/>
  <c r="S299" i="15"/>
  <c r="P299" i="15"/>
  <c r="X298" i="15"/>
  <c r="W298" i="15"/>
  <c r="V298" i="15"/>
  <c r="S298" i="15"/>
  <c r="P298" i="15"/>
  <c r="X297" i="15"/>
  <c r="AZ297" i="15"/>
  <c r="W297" i="15"/>
  <c r="V297" i="15"/>
  <c r="S297" i="15"/>
  <c r="P297" i="15"/>
  <c r="U294" i="15"/>
  <c r="T294" i="15"/>
  <c r="O294" i="15"/>
  <c r="N294" i="15"/>
  <c r="X293" i="15"/>
  <c r="AZ293" i="15"/>
  <c r="W293" i="15"/>
  <c r="V293" i="15"/>
  <c r="S293" i="15"/>
  <c r="P293" i="15"/>
  <c r="X292" i="15"/>
  <c r="AZ292" i="15"/>
  <c r="W292" i="15"/>
  <c r="V292" i="15"/>
  <c r="S292" i="15"/>
  <c r="P292" i="15"/>
  <c r="X291" i="15"/>
  <c r="AZ291" i="15"/>
  <c r="W291" i="15"/>
  <c r="V291" i="15"/>
  <c r="S291" i="15"/>
  <c r="P291" i="15"/>
  <c r="X290" i="15"/>
  <c r="AZ290" i="15"/>
  <c r="W290" i="15"/>
  <c r="Y290" i="15"/>
  <c r="AT290" i="15"/>
  <c r="V290" i="15"/>
  <c r="S290" i="15"/>
  <c r="P290" i="15"/>
  <c r="U287" i="15"/>
  <c r="T287" i="15"/>
  <c r="R287" i="15"/>
  <c r="Q287" i="15"/>
  <c r="O287" i="15"/>
  <c r="N287" i="15"/>
  <c r="X286" i="15"/>
  <c r="AZ286" i="15"/>
  <c r="W286" i="15"/>
  <c r="AT286" i="15"/>
  <c r="V286" i="15"/>
  <c r="S286" i="15"/>
  <c r="P286" i="15"/>
  <c r="X285" i="15"/>
  <c r="AZ285" i="15"/>
  <c r="W285" i="15"/>
  <c r="AT285" i="15"/>
  <c r="V285" i="15"/>
  <c r="S285" i="15"/>
  <c r="P285" i="15"/>
  <c r="X284" i="15"/>
  <c r="W284" i="15"/>
  <c r="AT284" i="15"/>
  <c r="V284" i="15"/>
  <c r="S284" i="15"/>
  <c r="P284" i="15"/>
  <c r="X283" i="15"/>
  <c r="AZ283" i="15"/>
  <c r="W283" i="15"/>
  <c r="Y283" i="15"/>
  <c r="V283" i="15"/>
  <c r="S283" i="15"/>
  <c r="P283" i="15"/>
  <c r="V249" i="15"/>
  <c r="S249" i="15"/>
  <c r="P249" i="15"/>
  <c r="Y248" i="15"/>
  <c r="Y247" i="15"/>
  <c r="Y246" i="15"/>
  <c r="U243" i="15"/>
  <c r="U244" i="15"/>
  <c r="T243" i="15"/>
  <c r="T244" i="15"/>
  <c r="R243" i="15"/>
  <c r="R244" i="15"/>
  <c r="Q243" i="15"/>
  <c r="Q244" i="15"/>
  <c r="O243" i="15"/>
  <c r="O244" i="15"/>
  <c r="N243" i="15"/>
  <c r="N244" i="15"/>
  <c r="X242" i="15"/>
  <c r="AZ242" i="15"/>
  <c r="W242" i="15"/>
  <c r="AT242" i="15"/>
  <c r="V242" i="15"/>
  <c r="S242" i="15"/>
  <c r="P242" i="15"/>
  <c r="X241" i="15"/>
  <c r="AZ241" i="15"/>
  <c r="W241" i="15"/>
  <c r="AT241" i="15"/>
  <c r="V241" i="15"/>
  <c r="S241" i="15"/>
  <c r="P241" i="15"/>
  <c r="X240" i="15"/>
  <c r="AZ240" i="15"/>
  <c r="W240" i="15"/>
  <c r="V240" i="15"/>
  <c r="S240" i="15"/>
  <c r="P240" i="15"/>
  <c r="X239" i="15"/>
  <c r="AZ239" i="15"/>
  <c r="W239" i="15"/>
  <c r="Y239" i="15"/>
  <c r="AT239" i="15"/>
  <c r="V239" i="15"/>
  <c r="S239" i="15"/>
  <c r="P239" i="15"/>
  <c r="X238" i="15"/>
  <c r="AZ238" i="15"/>
  <c r="W238" i="15"/>
  <c r="AT238" i="15"/>
  <c r="V238" i="15"/>
  <c r="S238" i="15"/>
  <c r="P238" i="15"/>
  <c r="X237" i="15"/>
  <c r="AZ237" i="15"/>
  <c r="W237" i="15"/>
  <c r="Y237" i="15"/>
  <c r="V237" i="15"/>
  <c r="S237" i="15"/>
  <c r="P237" i="15"/>
  <c r="X236" i="15"/>
  <c r="AZ236" i="15"/>
  <c r="W236" i="15"/>
  <c r="AT236" i="15"/>
  <c r="V236" i="15"/>
  <c r="S236" i="15"/>
  <c r="P236" i="15"/>
  <c r="X235" i="15"/>
  <c r="W235" i="15"/>
  <c r="AT235" i="15"/>
  <c r="V235" i="15"/>
  <c r="S235" i="15"/>
  <c r="P235" i="15"/>
  <c r="BA232" i="15"/>
  <c r="AU232" i="15"/>
  <c r="U232" i="15"/>
  <c r="T232" i="15"/>
  <c r="T198" i="15"/>
  <c r="T233" i="15"/>
  <c r="R232" i="15"/>
  <c r="Q232" i="15"/>
  <c r="O232" i="15"/>
  <c r="N232" i="15"/>
  <c r="BA231" i="15"/>
  <c r="AU231" i="15"/>
  <c r="X231" i="15"/>
  <c r="AZ231" i="15"/>
  <c r="W231" i="15"/>
  <c r="V231" i="15"/>
  <c r="S231" i="15"/>
  <c r="P231" i="15"/>
  <c r="AC230" i="15"/>
  <c r="X230" i="15"/>
  <c r="AY230" i="15"/>
  <c r="W230" i="15"/>
  <c r="AS230" i="15"/>
  <c r="AB229" i="15"/>
  <c r="X229" i="15"/>
  <c r="AX229" i="15"/>
  <c r="W229" i="15"/>
  <c r="AR229" i="15"/>
  <c r="AA228" i="15"/>
  <c r="X228" i="15"/>
  <c r="AW228" i="15"/>
  <c r="W228" i="15"/>
  <c r="AQ228" i="15"/>
  <c r="BA227" i="15"/>
  <c r="AU227" i="15"/>
  <c r="X227" i="15"/>
  <c r="AZ227" i="15"/>
  <c r="W227" i="15"/>
  <c r="AT227" i="15"/>
  <c r="V227" i="15"/>
  <c r="S227" i="15"/>
  <c r="P227" i="15"/>
  <c r="BA226" i="15"/>
  <c r="AU226" i="15"/>
  <c r="X226" i="15"/>
  <c r="W226" i="15"/>
  <c r="V226" i="15"/>
  <c r="S226" i="15"/>
  <c r="P226" i="15"/>
  <c r="BA223" i="15"/>
  <c r="AU223" i="15"/>
  <c r="U223" i="15"/>
  <c r="U198" i="15"/>
  <c r="U224" i="15"/>
  <c r="T223" i="15"/>
  <c r="R223" i="15"/>
  <c r="Q223" i="15"/>
  <c r="O223" i="15"/>
  <c r="N223" i="15"/>
  <c r="BA222" i="15"/>
  <c r="AU222" i="15"/>
  <c r="X222" i="15"/>
  <c r="AZ222" i="15"/>
  <c r="W222" i="15"/>
  <c r="V222" i="15"/>
  <c r="S222" i="15"/>
  <c r="P222" i="15"/>
  <c r="AC221" i="15"/>
  <c r="X221" i="15"/>
  <c r="AY221" i="15"/>
  <c r="W221" i="15"/>
  <c r="AS221" i="15"/>
  <c r="AB220" i="15"/>
  <c r="X220" i="15"/>
  <c r="AX220" i="15"/>
  <c r="W220" i="15"/>
  <c r="AR220" i="15"/>
  <c r="AA219" i="15"/>
  <c r="X219" i="15"/>
  <c r="AW219" i="15"/>
  <c r="W219" i="15"/>
  <c r="AQ219" i="15"/>
  <c r="BA218" i="15"/>
  <c r="AU218" i="15"/>
  <c r="X218" i="15"/>
  <c r="W218" i="15"/>
  <c r="AT218" i="15"/>
  <c r="V218" i="15"/>
  <c r="S218" i="15"/>
  <c r="P218" i="15"/>
  <c r="BA217" i="15"/>
  <c r="AU217" i="15"/>
  <c r="W217" i="15"/>
  <c r="AT217" i="15"/>
  <c r="X217" i="15"/>
  <c r="AZ217" i="15"/>
  <c r="V217" i="15"/>
  <c r="V223" i="15"/>
  <c r="S217" i="15"/>
  <c r="S223" i="15"/>
  <c r="P217" i="15"/>
  <c r="U214" i="15"/>
  <c r="T214" i="15"/>
  <c r="T215" i="15"/>
  <c r="R214" i="15"/>
  <c r="Q214" i="15"/>
  <c r="Q198" i="15"/>
  <c r="Q215" i="15"/>
  <c r="O214" i="15"/>
  <c r="N214" i="15"/>
  <c r="X213" i="15"/>
  <c r="W213" i="15"/>
  <c r="AT213" i="15"/>
  <c r="V213" i="15"/>
  <c r="S213" i="15"/>
  <c r="P213" i="15"/>
  <c r="X212" i="15"/>
  <c r="AZ212" i="15"/>
  <c r="W212" i="15"/>
  <c r="V212" i="15"/>
  <c r="S212" i="15"/>
  <c r="P212" i="15"/>
  <c r="X211" i="15"/>
  <c r="AZ211" i="15"/>
  <c r="W211" i="15"/>
  <c r="V211" i="15"/>
  <c r="S211" i="15"/>
  <c r="P211" i="15"/>
  <c r="X207" i="15"/>
  <c r="W207" i="15"/>
  <c r="Y207" i="15"/>
  <c r="AT207" i="15"/>
  <c r="V207" i="15"/>
  <c r="S207" i="15"/>
  <c r="P207" i="15"/>
  <c r="U203" i="15"/>
  <c r="U208" i="15"/>
  <c r="T203" i="15"/>
  <c r="R203" i="15"/>
  <c r="R208" i="15"/>
  <c r="Q203" i="15"/>
  <c r="N203" i="15"/>
  <c r="W203" i="15"/>
  <c r="AT203" i="15"/>
  <c r="O203" i="15"/>
  <c r="O208" i="15"/>
  <c r="O198" i="15"/>
  <c r="O209" i="15"/>
  <c r="N208" i="15"/>
  <c r="X202" i="15"/>
  <c r="AZ202" i="15"/>
  <c r="W202" i="15"/>
  <c r="AT202" i="15"/>
  <c r="V202" i="15"/>
  <c r="S202" i="15"/>
  <c r="P202" i="15"/>
  <c r="X201" i="15"/>
  <c r="W201" i="15"/>
  <c r="AT201" i="15"/>
  <c r="V201" i="15"/>
  <c r="S201" i="15"/>
  <c r="P201" i="15"/>
  <c r="X200" i="15"/>
  <c r="AZ200" i="15"/>
  <c r="W200" i="15"/>
  <c r="V200" i="15"/>
  <c r="S200" i="15"/>
  <c r="P200" i="15"/>
  <c r="X199" i="15"/>
  <c r="AZ199" i="15"/>
  <c r="W199" i="15"/>
  <c r="V199" i="15"/>
  <c r="S199" i="15"/>
  <c r="P199" i="15"/>
  <c r="U215" i="15"/>
  <c r="R198" i="15"/>
  <c r="N198" i="15"/>
  <c r="X191" i="15"/>
  <c r="X192" i="15"/>
  <c r="X193" i="15"/>
  <c r="X194" i="15"/>
  <c r="X195" i="15"/>
  <c r="X196" i="15"/>
  <c r="U196" i="15"/>
  <c r="U20" i="15"/>
  <c r="U197" i="15"/>
  <c r="T196" i="15"/>
  <c r="R196" i="15"/>
  <c r="Q196" i="15"/>
  <c r="O196" i="15"/>
  <c r="N196" i="15"/>
  <c r="AZ195" i="15"/>
  <c r="W195" i="15"/>
  <c r="V195" i="15"/>
  <c r="S195" i="15"/>
  <c r="P195" i="15"/>
  <c r="AZ194" i="15"/>
  <c r="W194" i="15"/>
  <c r="Y194" i="15"/>
  <c r="AT194" i="15"/>
  <c r="V194" i="15"/>
  <c r="S194" i="15"/>
  <c r="P194" i="15"/>
  <c r="W193" i="15"/>
  <c r="AT193" i="15"/>
  <c r="Y193" i="15"/>
  <c r="AZ193" i="15"/>
  <c r="V193" i="15"/>
  <c r="S193" i="15"/>
  <c r="P193" i="15"/>
  <c r="AZ192" i="15"/>
  <c r="W192" i="15"/>
  <c r="V192" i="15"/>
  <c r="S192" i="15"/>
  <c r="P192" i="15"/>
  <c r="AZ191" i="15"/>
  <c r="AZ196" i="15"/>
  <c r="W191" i="15"/>
  <c r="V191" i="15"/>
  <c r="S191" i="15"/>
  <c r="P191" i="15"/>
  <c r="U181" i="15"/>
  <c r="U188" i="15"/>
  <c r="U189" i="15"/>
  <c r="R181" i="15"/>
  <c r="R188" i="15"/>
  <c r="R20" i="15"/>
  <c r="R189" i="15"/>
  <c r="T181" i="15"/>
  <c r="T188" i="15"/>
  <c r="T189" i="15"/>
  <c r="Q181" i="15"/>
  <c r="S181" i="15"/>
  <c r="Q188" i="15"/>
  <c r="O181" i="15"/>
  <c r="N181" i="15"/>
  <c r="N188" i="15"/>
  <c r="X180" i="15"/>
  <c r="P157" i="7" s="1"/>
  <c r="W180" i="15"/>
  <c r="V180" i="15"/>
  <c r="V188" i="15" s="1"/>
  <c r="S180" i="15"/>
  <c r="P180" i="15"/>
  <c r="W179" i="15"/>
  <c r="X179" i="15"/>
  <c r="V179" i="15"/>
  <c r="S179" i="15"/>
  <c r="P179" i="15"/>
  <c r="X178" i="15"/>
  <c r="W178" i="15"/>
  <c r="O155" i="7" s="1"/>
  <c r="V178" i="15"/>
  <c r="S178" i="15"/>
  <c r="P178" i="15"/>
  <c r="X177" i="15"/>
  <c r="P154" i="7" s="1"/>
  <c r="W177" i="15"/>
  <c r="V177" i="15"/>
  <c r="S177" i="15"/>
  <c r="P177" i="15"/>
  <c r="X176" i="15"/>
  <c r="W176" i="15"/>
  <c r="O153" i="7" s="1"/>
  <c r="AT176" i="15"/>
  <c r="V176" i="15"/>
  <c r="S176" i="15"/>
  <c r="P176" i="15"/>
  <c r="X175" i="15"/>
  <c r="W175" i="15"/>
  <c r="V175" i="15"/>
  <c r="S175" i="15"/>
  <c r="P175" i="15"/>
  <c r="P188" i="15" s="1"/>
  <c r="R163" i="15"/>
  <c r="R169" i="15"/>
  <c r="U163" i="15"/>
  <c r="U169" i="15"/>
  <c r="T163" i="15"/>
  <c r="T169" i="15"/>
  <c r="Q163" i="15"/>
  <c r="Q169" i="15"/>
  <c r="O163" i="15"/>
  <c r="N163" i="15"/>
  <c r="N169" i="15" s="1"/>
  <c r="W162" i="15"/>
  <c r="Y162" i="15" s="1"/>
  <c r="X162" i="15"/>
  <c r="P140" i="7" s="1"/>
  <c r="V162" i="15"/>
  <c r="S162" i="15"/>
  <c r="P162" i="15"/>
  <c r="X161" i="15"/>
  <c r="AZ161" i="15" s="1"/>
  <c r="W161" i="15"/>
  <c r="V161" i="15"/>
  <c r="S161" i="15"/>
  <c r="P161" i="15"/>
  <c r="X160" i="15"/>
  <c r="W160" i="15"/>
  <c r="V160" i="15"/>
  <c r="S160" i="15"/>
  <c r="P160" i="15"/>
  <c r="X159" i="15"/>
  <c r="Y159" i="15" s="1"/>
  <c r="W159" i="15"/>
  <c r="O137" i="7" s="1"/>
  <c r="V159" i="15"/>
  <c r="S159" i="15"/>
  <c r="P159" i="15"/>
  <c r="X158" i="15"/>
  <c r="P136" i="7" s="1"/>
  <c r="AZ158" i="15"/>
  <c r="W158" i="15"/>
  <c r="O136" i="7" s="1"/>
  <c r="V158" i="15"/>
  <c r="S158" i="15"/>
  <c r="P158" i="15"/>
  <c r="X157" i="15"/>
  <c r="W157" i="15"/>
  <c r="O135" i="7" s="1"/>
  <c r="V157" i="15"/>
  <c r="S157" i="15"/>
  <c r="P157" i="15"/>
  <c r="W156" i="15"/>
  <c r="X156" i="15"/>
  <c r="V156" i="15"/>
  <c r="S156" i="15"/>
  <c r="P156" i="15"/>
  <c r="X155" i="15"/>
  <c r="AZ155" i="15" s="1"/>
  <c r="W155" i="15"/>
  <c r="V155" i="15"/>
  <c r="S155" i="15"/>
  <c r="P155" i="15"/>
  <c r="W154" i="15"/>
  <c r="O132" i="7" s="1"/>
  <c r="X154" i="15"/>
  <c r="AT154" i="15"/>
  <c r="V154" i="15"/>
  <c r="S154" i="15"/>
  <c r="P154" i="15"/>
  <c r="U151" i="15"/>
  <c r="T151" i="15"/>
  <c r="T152" i="15"/>
  <c r="R151" i="15"/>
  <c r="Q151" i="15"/>
  <c r="O151" i="15"/>
  <c r="N151" i="15"/>
  <c r="X150" i="15"/>
  <c r="W150" i="15"/>
  <c r="O129" i="7" s="1"/>
  <c r="V150" i="15"/>
  <c r="S150" i="15"/>
  <c r="P150" i="15"/>
  <c r="X149" i="15"/>
  <c r="P128" i="7" s="1"/>
  <c r="W149" i="15"/>
  <c r="V149" i="15"/>
  <c r="S149" i="15"/>
  <c r="P149" i="15"/>
  <c r="X148" i="15"/>
  <c r="P127" i="7" s="1"/>
  <c r="W148" i="15"/>
  <c r="Y148" i="15" s="1"/>
  <c r="V148" i="15"/>
  <c r="S148" i="15"/>
  <c r="P148" i="15"/>
  <c r="U145" i="15"/>
  <c r="T145" i="15"/>
  <c r="T146" i="15"/>
  <c r="R145" i="15"/>
  <c r="Q145" i="15"/>
  <c r="O145" i="15"/>
  <c r="N145" i="15"/>
  <c r="X144" i="15"/>
  <c r="W144" i="15"/>
  <c r="AT144" i="15" s="1"/>
  <c r="V144" i="15"/>
  <c r="S144" i="15"/>
  <c r="P144" i="15"/>
  <c r="X143" i="15"/>
  <c r="W143" i="15"/>
  <c r="O123" i="7" s="1"/>
  <c r="AT143" i="15"/>
  <c r="V143" i="15"/>
  <c r="S143" i="15"/>
  <c r="P143" i="15"/>
  <c r="X142" i="15"/>
  <c r="W142" i="15"/>
  <c r="V142" i="15"/>
  <c r="S142" i="15"/>
  <c r="P142" i="15"/>
  <c r="J139" i="15"/>
  <c r="J140" i="15"/>
  <c r="L139" i="15"/>
  <c r="L140" i="15"/>
  <c r="K139" i="15"/>
  <c r="AN138" i="15"/>
  <c r="AH138" i="15"/>
  <c r="M138" i="15"/>
  <c r="AN137" i="15"/>
  <c r="AH137" i="15"/>
  <c r="AH139" i="15"/>
  <c r="M137" i="15"/>
  <c r="M139" i="15" s="1"/>
  <c r="P72" i="15"/>
  <c r="S64" i="15"/>
  <c r="V96" i="15"/>
  <c r="V97" i="15"/>
  <c r="S96" i="15"/>
  <c r="S97" i="15"/>
  <c r="P96" i="15"/>
  <c r="P97" i="15"/>
  <c r="Y95" i="15"/>
  <c r="Q95" i="7" s="1"/>
  <c r="Y94" i="15"/>
  <c r="Q94" i="7" s="1"/>
  <c r="Y93" i="15"/>
  <c r="Q93" i="7" s="1"/>
  <c r="Y92" i="15"/>
  <c r="V81" i="15"/>
  <c r="V82" i="15"/>
  <c r="S81" i="15"/>
  <c r="S82" i="15"/>
  <c r="P81" i="15"/>
  <c r="P82" i="15"/>
  <c r="Y80" i="15"/>
  <c r="Q82" i="7" s="1"/>
  <c r="Y79" i="15"/>
  <c r="Q81" i="7" s="1"/>
  <c r="Y78" i="15"/>
  <c r="Q80" i="7" s="1"/>
  <c r="Y77" i="15"/>
  <c r="U73" i="15"/>
  <c r="U74" i="15"/>
  <c r="T73" i="15"/>
  <c r="R73" i="15"/>
  <c r="Q73" i="15"/>
  <c r="O73" i="15"/>
  <c r="N73" i="15"/>
  <c r="X72" i="15"/>
  <c r="W72" i="15"/>
  <c r="V72" i="15"/>
  <c r="S72" i="15"/>
  <c r="X71" i="15"/>
  <c r="P74" i="7" s="1"/>
  <c r="W71" i="15"/>
  <c r="V71" i="15"/>
  <c r="S71" i="15"/>
  <c r="P71" i="15"/>
  <c r="X70" i="15"/>
  <c r="W70" i="15"/>
  <c r="V70" i="15"/>
  <c r="S70" i="15"/>
  <c r="P70" i="15"/>
  <c r="X69" i="15"/>
  <c r="W69" i="15"/>
  <c r="V69" i="15"/>
  <c r="S69" i="15"/>
  <c r="P69" i="15"/>
  <c r="X68" i="15"/>
  <c r="W68" i="15"/>
  <c r="O71" i="7" s="1"/>
  <c r="V68" i="15"/>
  <c r="S68" i="15"/>
  <c r="P68" i="15"/>
  <c r="U65" i="15"/>
  <c r="U66" i="15"/>
  <c r="T65" i="15"/>
  <c r="R65" i="15"/>
  <c r="Q65" i="15"/>
  <c r="Q20" i="15"/>
  <c r="Q66" i="15"/>
  <c r="O65" i="15"/>
  <c r="N65" i="15"/>
  <c r="X64" i="15"/>
  <c r="W64" i="15"/>
  <c r="V64" i="15"/>
  <c r="P64" i="15"/>
  <c r="W63" i="15"/>
  <c r="X63" i="15"/>
  <c r="V63" i="15"/>
  <c r="S63" i="15"/>
  <c r="P63" i="15"/>
  <c r="X62" i="15"/>
  <c r="W62" i="15"/>
  <c r="O66" i="7" s="1"/>
  <c r="V62" i="15"/>
  <c r="S62" i="15"/>
  <c r="P62" i="15"/>
  <c r="X61" i="15"/>
  <c r="P65" i="7" s="1"/>
  <c r="W61" i="15"/>
  <c r="V61" i="15"/>
  <c r="S61" i="15"/>
  <c r="P61" i="15"/>
  <c r="L58" i="15"/>
  <c r="K58" i="15"/>
  <c r="J58" i="15"/>
  <c r="AN57" i="15"/>
  <c r="AH57" i="15"/>
  <c r="AZ57" i="15"/>
  <c r="AT57" i="15"/>
  <c r="M57" i="15"/>
  <c r="AN56" i="15"/>
  <c r="AH56" i="15"/>
  <c r="AT56" i="15"/>
  <c r="M56" i="15"/>
  <c r="AN55" i="15"/>
  <c r="AH55" i="15"/>
  <c r="AT55" i="15"/>
  <c r="M55" i="15"/>
  <c r="AT54" i="15"/>
  <c r="AN54" i="15"/>
  <c r="AH54" i="15"/>
  <c r="M54" i="15"/>
  <c r="AN53" i="15"/>
  <c r="AH53" i="15"/>
  <c r="AZ53" i="15"/>
  <c r="AT53" i="15"/>
  <c r="M53" i="15"/>
  <c r="AN52" i="15"/>
  <c r="AH52" i="15"/>
  <c r="AZ52" i="15"/>
  <c r="M52" i="15"/>
  <c r="AN51" i="15"/>
  <c r="AH51" i="15"/>
  <c r="Y51" i="15"/>
  <c r="AT51" i="15"/>
  <c r="M51" i="15"/>
  <c r="AT50" i="15"/>
  <c r="AN50" i="15"/>
  <c r="AH50" i="15"/>
  <c r="M50" i="15"/>
  <c r="AN49" i="15"/>
  <c r="AH49" i="15"/>
  <c r="AZ49" i="15"/>
  <c r="AT49" i="15"/>
  <c r="M49" i="15"/>
  <c r="AN48" i="15"/>
  <c r="AH48" i="15"/>
  <c r="AZ48" i="15"/>
  <c r="M48" i="15"/>
  <c r="AN47" i="15"/>
  <c r="AH47" i="15"/>
  <c r="AH58" i="15" s="1"/>
  <c r="AI48" i="15" s="1"/>
  <c r="AT47" i="15"/>
  <c r="M47" i="15"/>
  <c r="W46" i="15"/>
  <c r="AT46" i="15" s="1"/>
  <c r="AN46" i="15"/>
  <c r="AH46" i="15"/>
  <c r="AZ46" i="15"/>
  <c r="M46" i="15"/>
  <c r="AN45" i="15"/>
  <c r="AN58" i="15" s="1"/>
  <c r="AH45" i="15"/>
  <c r="AZ45" i="15"/>
  <c r="M45" i="15"/>
  <c r="AN44" i="15"/>
  <c r="AH44" i="15"/>
  <c r="AT44" i="15"/>
  <c r="M44" i="15"/>
  <c r="U41" i="15"/>
  <c r="T41" i="15"/>
  <c r="T42" i="15"/>
  <c r="R41" i="15"/>
  <c r="R42" i="15"/>
  <c r="Q41" i="15"/>
  <c r="O41" i="15"/>
  <c r="N41" i="15"/>
  <c r="X40" i="15"/>
  <c r="W40" i="15"/>
  <c r="V40" i="15"/>
  <c r="S40" i="15"/>
  <c r="P40" i="15"/>
  <c r="X39" i="15"/>
  <c r="W39" i="15"/>
  <c r="V39" i="15"/>
  <c r="S39" i="15"/>
  <c r="S41" i="15" s="1"/>
  <c r="P39" i="15"/>
  <c r="X38" i="15"/>
  <c r="W38" i="15"/>
  <c r="AT38" i="15" s="1"/>
  <c r="V38" i="15"/>
  <c r="S38" i="15"/>
  <c r="P38" i="15"/>
  <c r="AN32" i="15"/>
  <c r="AH32" i="15"/>
  <c r="AH33" i="15" s="1"/>
  <c r="AH31" i="15"/>
  <c r="AZ31" i="15"/>
  <c r="AN30" i="15"/>
  <c r="AZ30" i="15"/>
  <c r="L26" i="15"/>
  <c r="L27" i="15"/>
  <c r="K26" i="15"/>
  <c r="J26" i="15"/>
  <c r="AN25" i="15"/>
  <c r="AH25" i="15"/>
  <c r="X25" i="15"/>
  <c r="P27" i="7" s="1"/>
  <c r="W25" i="15"/>
  <c r="M25" i="15"/>
  <c r="X24" i="15"/>
  <c r="AN24" i="15"/>
  <c r="AH24" i="15"/>
  <c r="W24" i="15"/>
  <c r="O26" i="7" s="1"/>
  <c r="M24" i="15"/>
  <c r="AN23" i="15"/>
  <c r="AH23" i="15"/>
  <c r="X23" i="15"/>
  <c r="W23" i="15"/>
  <c r="M23" i="15"/>
  <c r="O20" i="15"/>
  <c r="N20" i="15"/>
  <c r="X19" i="15"/>
  <c r="P32" i="7" s="1"/>
  <c r="W19" i="15"/>
  <c r="Y19" i="15" s="1"/>
  <c r="V19" i="15"/>
  <c r="S19" i="15"/>
  <c r="S18" i="15"/>
  <c r="S20" i="15"/>
  <c r="P19" i="15"/>
  <c r="X18" i="15"/>
  <c r="P31" i="7" s="1"/>
  <c r="W18" i="15"/>
  <c r="V18" i="15"/>
  <c r="V20" i="15"/>
  <c r="P18" i="15"/>
  <c r="K33" i="15"/>
  <c r="AZ14" i="15"/>
  <c r="AN14" i="15"/>
  <c r="AH14" i="15"/>
  <c r="AH13" i="15"/>
  <c r="AH15" i="15"/>
  <c r="AI13" i="15"/>
  <c r="Y14" i="15"/>
  <c r="AT14" i="15"/>
  <c r="M14" i="15"/>
  <c r="M13" i="15"/>
  <c r="M15" i="15"/>
  <c r="AN13" i="15"/>
  <c r="Y13" i="15"/>
  <c r="Y15" i="15"/>
  <c r="O294" i="14"/>
  <c r="O287" i="14"/>
  <c r="V326" i="14"/>
  <c r="S326" i="14"/>
  <c r="P326" i="14"/>
  <c r="Y325" i="14"/>
  <c r="Y324" i="14"/>
  <c r="Y323" i="14"/>
  <c r="AC320" i="14"/>
  <c r="AB320" i="14"/>
  <c r="AA320" i="14"/>
  <c r="U318" i="14"/>
  <c r="T318" i="14"/>
  <c r="R318" i="14"/>
  <c r="Q318" i="14"/>
  <c r="O318" i="14"/>
  <c r="N318" i="14"/>
  <c r="X317" i="14"/>
  <c r="AZ317" i="14"/>
  <c r="W317" i="14"/>
  <c r="V317" i="14"/>
  <c r="S317" i="14"/>
  <c r="P317" i="14"/>
  <c r="X316" i="14"/>
  <c r="W316" i="14"/>
  <c r="AT316" i="14"/>
  <c r="V316" i="14"/>
  <c r="S316" i="14"/>
  <c r="P316" i="14"/>
  <c r="X315" i="14"/>
  <c r="AZ315" i="14"/>
  <c r="W315" i="14"/>
  <c r="AT315" i="14"/>
  <c r="V315" i="14"/>
  <c r="S315" i="14"/>
  <c r="S318" i="14"/>
  <c r="P315" i="14"/>
  <c r="U307" i="14"/>
  <c r="U312" i="14"/>
  <c r="T307" i="14"/>
  <c r="T312" i="14"/>
  <c r="V307" i="14"/>
  <c r="R307" i="14"/>
  <c r="R312" i="14"/>
  <c r="Q307" i="14"/>
  <c r="O307" i="14"/>
  <c r="N307" i="14"/>
  <c r="W306" i="14"/>
  <c r="AT306" i="14"/>
  <c r="X306" i="14"/>
  <c r="AZ306" i="14"/>
  <c r="V306" i="14"/>
  <c r="S306" i="14"/>
  <c r="P306" i="14"/>
  <c r="X305" i="14"/>
  <c r="AZ305" i="14"/>
  <c r="W305" i="14"/>
  <c r="V305" i="14"/>
  <c r="S305" i="14"/>
  <c r="P305" i="14"/>
  <c r="X304" i="14"/>
  <c r="AZ304" i="14"/>
  <c r="W304" i="14"/>
  <c r="AT304" i="14"/>
  <c r="V304" i="14"/>
  <c r="S304" i="14"/>
  <c r="P304" i="14"/>
  <c r="X303" i="14"/>
  <c r="AZ303" i="14"/>
  <c r="W303" i="14"/>
  <c r="V303" i="14"/>
  <c r="S303" i="14"/>
  <c r="P303" i="14"/>
  <c r="X302" i="14"/>
  <c r="AZ302" i="14"/>
  <c r="W302" i="14"/>
  <c r="V302" i="14"/>
  <c r="S302" i="14"/>
  <c r="P302" i="14"/>
  <c r="X301" i="14"/>
  <c r="AZ301" i="14"/>
  <c r="W301" i="14"/>
  <c r="V301" i="14"/>
  <c r="S301" i="14"/>
  <c r="P301" i="14"/>
  <c r="X300" i="14"/>
  <c r="W300" i="14"/>
  <c r="AT300" i="14"/>
  <c r="V300" i="14"/>
  <c r="S300" i="14"/>
  <c r="P300" i="14"/>
  <c r="X299" i="14"/>
  <c r="W299" i="14"/>
  <c r="AT299" i="14"/>
  <c r="V299" i="14"/>
  <c r="S299" i="14"/>
  <c r="P299" i="14"/>
  <c r="X298" i="14"/>
  <c r="AZ298" i="14"/>
  <c r="W298" i="14"/>
  <c r="AT298" i="14"/>
  <c r="V298" i="14"/>
  <c r="S298" i="14"/>
  <c r="P298" i="14"/>
  <c r="X297" i="14"/>
  <c r="AZ297" i="14"/>
  <c r="W297" i="14"/>
  <c r="AT297" i="14"/>
  <c r="V297" i="14"/>
  <c r="S297" i="14"/>
  <c r="P297" i="14"/>
  <c r="U294" i="14"/>
  <c r="T294" i="14"/>
  <c r="R294" i="14"/>
  <c r="Q294" i="14"/>
  <c r="N294" i="14"/>
  <c r="X293" i="14"/>
  <c r="AZ293" i="14"/>
  <c r="W293" i="14"/>
  <c r="AT293" i="14"/>
  <c r="V293" i="14"/>
  <c r="S293" i="14"/>
  <c r="P293" i="14"/>
  <c r="X292" i="14"/>
  <c r="AZ292" i="14"/>
  <c r="W292" i="14"/>
  <c r="AT292" i="14"/>
  <c r="V292" i="14"/>
  <c r="S292" i="14"/>
  <c r="P292" i="14"/>
  <c r="X291" i="14"/>
  <c r="AZ291" i="14"/>
  <c r="W291" i="14"/>
  <c r="V291" i="14"/>
  <c r="S291" i="14"/>
  <c r="P291" i="14"/>
  <c r="X290" i="14"/>
  <c r="W290" i="14"/>
  <c r="V290" i="14"/>
  <c r="S290" i="14"/>
  <c r="P290" i="14"/>
  <c r="V283" i="14"/>
  <c r="V284" i="14"/>
  <c r="V285" i="14"/>
  <c r="V286" i="14"/>
  <c r="V287" i="14"/>
  <c r="U287" i="14"/>
  <c r="T287" i="14"/>
  <c r="R287" i="14"/>
  <c r="Q287" i="14"/>
  <c r="N287" i="14"/>
  <c r="X286" i="14"/>
  <c r="AZ286" i="14"/>
  <c r="W286" i="14"/>
  <c r="AT286" i="14"/>
  <c r="S286" i="14"/>
  <c r="P286" i="14"/>
  <c r="X285" i="14"/>
  <c r="AZ285" i="14"/>
  <c r="W285" i="14"/>
  <c r="S285" i="14"/>
  <c r="P285" i="14"/>
  <c r="X284" i="14"/>
  <c r="AZ284" i="14"/>
  <c r="W284" i="14"/>
  <c r="AT284" i="14"/>
  <c r="S284" i="14"/>
  <c r="P284" i="14"/>
  <c r="X283" i="14"/>
  <c r="W283" i="14"/>
  <c r="S283" i="14"/>
  <c r="P283" i="14"/>
  <c r="V249" i="14"/>
  <c r="S249" i="14"/>
  <c r="P249" i="14"/>
  <c r="Y248" i="14"/>
  <c r="Y247" i="14"/>
  <c r="Y246" i="14"/>
  <c r="N243" i="14"/>
  <c r="N244" i="14"/>
  <c r="U243" i="14"/>
  <c r="U244" i="14"/>
  <c r="T243" i="14"/>
  <c r="T244" i="14"/>
  <c r="R243" i="14"/>
  <c r="R244" i="14"/>
  <c r="Q243" i="14"/>
  <c r="Q244" i="14"/>
  <c r="O243" i="14"/>
  <c r="O244" i="14"/>
  <c r="X242" i="14"/>
  <c r="AZ242" i="14"/>
  <c r="W242" i="14"/>
  <c r="AT242" i="14"/>
  <c r="V242" i="14"/>
  <c r="S242" i="14"/>
  <c r="P242" i="14"/>
  <c r="X241" i="14"/>
  <c r="AZ241" i="14"/>
  <c r="W241" i="14"/>
  <c r="V241" i="14"/>
  <c r="S241" i="14"/>
  <c r="P241" i="14"/>
  <c r="W240" i="14"/>
  <c r="AT240" i="14"/>
  <c r="X240" i="14"/>
  <c r="AZ240" i="14"/>
  <c r="V240" i="14"/>
  <c r="S240" i="14"/>
  <c r="P240" i="14"/>
  <c r="W239" i="14"/>
  <c r="AT239" i="14"/>
  <c r="X239" i="14"/>
  <c r="AZ239" i="14"/>
  <c r="V239" i="14"/>
  <c r="S239" i="14"/>
  <c r="P239" i="14"/>
  <c r="X238" i="14"/>
  <c r="AZ238" i="14"/>
  <c r="W238" i="14"/>
  <c r="V238" i="14"/>
  <c r="S238" i="14"/>
  <c r="P238" i="14"/>
  <c r="X237" i="14"/>
  <c r="W237" i="14"/>
  <c r="Y237" i="14"/>
  <c r="AT237" i="14"/>
  <c r="V237" i="14"/>
  <c r="S237" i="14"/>
  <c r="P237" i="14"/>
  <c r="X236" i="14"/>
  <c r="AZ236" i="14"/>
  <c r="W236" i="14"/>
  <c r="V236" i="14"/>
  <c r="S236" i="14"/>
  <c r="P236" i="14"/>
  <c r="X235" i="14"/>
  <c r="AZ235" i="14"/>
  <c r="W235" i="14"/>
  <c r="V235" i="14"/>
  <c r="S235" i="14"/>
  <c r="P235" i="14"/>
  <c r="BA232" i="14"/>
  <c r="AU232" i="14"/>
  <c r="U232" i="14"/>
  <c r="T232" i="14"/>
  <c r="R232" i="14"/>
  <c r="Q232" i="14"/>
  <c r="O232" i="14"/>
  <c r="N232" i="14"/>
  <c r="BA231" i="14"/>
  <c r="AU231" i="14"/>
  <c r="W231" i="14"/>
  <c r="AT231" i="14"/>
  <c r="X231" i="14"/>
  <c r="AZ231" i="14"/>
  <c r="V231" i="14"/>
  <c r="S231" i="14"/>
  <c r="P231" i="14"/>
  <c r="AC230" i="14"/>
  <c r="X230" i="14"/>
  <c r="AY230" i="14"/>
  <c r="W230" i="14"/>
  <c r="AS230" i="14"/>
  <c r="AB229" i="14"/>
  <c r="X229" i="14"/>
  <c r="AX229" i="14"/>
  <c r="W229" i="14"/>
  <c r="AR229" i="14"/>
  <c r="AA228" i="14"/>
  <c r="X228" i="14"/>
  <c r="AW228" i="14"/>
  <c r="W228" i="14"/>
  <c r="AQ228" i="14"/>
  <c r="BA227" i="14"/>
  <c r="AU227" i="14"/>
  <c r="X227" i="14"/>
  <c r="AZ227" i="14"/>
  <c r="W227" i="14"/>
  <c r="V227" i="14"/>
  <c r="S227" i="14"/>
  <c r="P227" i="14"/>
  <c r="BA226" i="14"/>
  <c r="AU226" i="14"/>
  <c r="W226" i="14"/>
  <c r="X226" i="14"/>
  <c r="Y226" i="14"/>
  <c r="AT226" i="14"/>
  <c r="V226" i="14"/>
  <c r="S226" i="14"/>
  <c r="S232" i="14"/>
  <c r="P226" i="14"/>
  <c r="BA223" i="14"/>
  <c r="AU223" i="14"/>
  <c r="U223" i="14"/>
  <c r="T223" i="14"/>
  <c r="R223" i="14"/>
  <c r="Q223" i="14"/>
  <c r="O223" i="14"/>
  <c r="N223" i="14"/>
  <c r="BA222" i="14"/>
  <c r="AU222" i="14"/>
  <c r="X222" i="14"/>
  <c r="AZ222" i="14"/>
  <c r="W222" i="14"/>
  <c r="V222" i="14"/>
  <c r="S222" i="14"/>
  <c r="P222" i="14"/>
  <c r="AC221" i="14"/>
  <c r="X221" i="14"/>
  <c r="AY221" i="14"/>
  <c r="W221" i="14"/>
  <c r="AS221" i="14"/>
  <c r="AB220" i="14"/>
  <c r="X220" i="14"/>
  <c r="AX220" i="14"/>
  <c r="W220" i="14"/>
  <c r="AR220" i="14"/>
  <c r="AA219" i="14"/>
  <c r="X219" i="14"/>
  <c r="AW219" i="14"/>
  <c r="W219" i="14"/>
  <c r="AQ219" i="14"/>
  <c r="BA218" i="14"/>
  <c r="AU218" i="14"/>
  <c r="X218" i="14"/>
  <c r="AZ218" i="14"/>
  <c r="W218" i="14"/>
  <c r="AT218" i="14"/>
  <c r="V218" i="14"/>
  <c r="S218" i="14"/>
  <c r="P218" i="14"/>
  <c r="BA217" i="14"/>
  <c r="AU217" i="14"/>
  <c r="W217" i="14"/>
  <c r="X217" i="14"/>
  <c r="Y217" i="14"/>
  <c r="AZ217" i="14"/>
  <c r="AT217" i="14"/>
  <c r="V217" i="14"/>
  <c r="V223" i="14"/>
  <c r="S217" i="14"/>
  <c r="P217" i="14"/>
  <c r="U214" i="14"/>
  <c r="T214" i="14"/>
  <c r="R214" i="14"/>
  <c r="Q214" i="14"/>
  <c r="O214" i="14"/>
  <c r="N214" i="14"/>
  <c r="X213" i="14"/>
  <c r="AZ213" i="14"/>
  <c r="W213" i="14"/>
  <c r="V213" i="14"/>
  <c r="S213" i="14"/>
  <c r="P213" i="14"/>
  <c r="X212" i="14"/>
  <c r="AZ212" i="14"/>
  <c r="W212" i="14"/>
  <c r="AT212" i="14"/>
  <c r="V212" i="14"/>
  <c r="S212" i="14"/>
  <c r="P212" i="14"/>
  <c r="X211" i="14"/>
  <c r="W211" i="14"/>
  <c r="AT211" i="14"/>
  <c r="V211" i="14"/>
  <c r="S211" i="14"/>
  <c r="P211" i="14"/>
  <c r="U203" i="14"/>
  <c r="U208" i="14"/>
  <c r="U198" i="14"/>
  <c r="U209" i="14"/>
  <c r="X207" i="14"/>
  <c r="AZ207" i="14"/>
  <c r="W207" i="14"/>
  <c r="Y207" i="14"/>
  <c r="V207" i="14"/>
  <c r="S207" i="14"/>
  <c r="P207" i="14"/>
  <c r="T203" i="14"/>
  <c r="R203" i="14"/>
  <c r="Q203" i="14"/>
  <c r="Q208" i="14"/>
  <c r="O203" i="14"/>
  <c r="O208" i="14"/>
  <c r="N203" i="14"/>
  <c r="X202" i="14"/>
  <c r="AZ202" i="14"/>
  <c r="W202" i="14"/>
  <c r="Y202" i="14"/>
  <c r="V202" i="14"/>
  <c r="S202" i="14"/>
  <c r="P202" i="14"/>
  <c r="X201" i="14"/>
  <c r="AZ201" i="14"/>
  <c r="W201" i="14"/>
  <c r="AT201" i="14"/>
  <c r="V201" i="14"/>
  <c r="S201" i="14"/>
  <c r="P201" i="14"/>
  <c r="X200" i="14"/>
  <c r="AZ200" i="14"/>
  <c r="W200" i="14"/>
  <c r="V200" i="14"/>
  <c r="S200" i="14"/>
  <c r="P200" i="14"/>
  <c r="W199" i="14"/>
  <c r="AT199" i="14"/>
  <c r="X199" i="14"/>
  <c r="V199" i="14"/>
  <c r="S199" i="14"/>
  <c r="P199" i="14"/>
  <c r="T198" i="14"/>
  <c r="T233" i="14"/>
  <c r="R198" i="14"/>
  <c r="Q198" i="14"/>
  <c r="O198" i="14"/>
  <c r="N198" i="14"/>
  <c r="U196" i="14"/>
  <c r="T196" i="14"/>
  <c r="R196" i="14"/>
  <c r="Q196" i="14"/>
  <c r="O196" i="14"/>
  <c r="N196" i="14"/>
  <c r="X195" i="14"/>
  <c r="AZ195" i="14"/>
  <c r="W195" i="14"/>
  <c r="AT195" i="14"/>
  <c r="V195" i="14"/>
  <c r="S195" i="14"/>
  <c r="P195" i="14"/>
  <c r="X194" i="14"/>
  <c r="AZ194" i="14"/>
  <c r="W194" i="14"/>
  <c r="V194" i="14"/>
  <c r="S194" i="14"/>
  <c r="P194" i="14"/>
  <c r="W193" i="14"/>
  <c r="X193" i="14"/>
  <c r="Y193" i="14"/>
  <c r="AZ193" i="14"/>
  <c r="AT193" i="14"/>
  <c r="V193" i="14"/>
  <c r="S193" i="14"/>
  <c r="P193" i="14"/>
  <c r="X192" i="14"/>
  <c r="AZ192" i="14"/>
  <c r="W192" i="14"/>
  <c r="AT192" i="14"/>
  <c r="V192" i="14"/>
  <c r="S192" i="14"/>
  <c r="P192" i="14"/>
  <c r="X191" i="14"/>
  <c r="W191" i="14"/>
  <c r="AT191" i="14"/>
  <c r="V191" i="14"/>
  <c r="S191" i="14"/>
  <c r="P191" i="14"/>
  <c r="T181" i="14"/>
  <c r="T188" i="14"/>
  <c r="U181" i="14"/>
  <c r="U188" i="14"/>
  <c r="U20" i="14"/>
  <c r="U189" i="14"/>
  <c r="R181" i="14"/>
  <c r="Q181" i="14"/>
  <c r="Q188" i="14"/>
  <c r="O181" i="14"/>
  <c r="O188" i="14"/>
  <c r="N181" i="14"/>
  <c r="N188" i="14" s="1"/>
  <c r="N189" i="14" s="1"/>
  <c r="X180" i="14"/>
  <c r="L157" i="7" s="1"/>
  <c r="W180" i="14"/>
  <c r="V180" i="14"/>
  <c r="S180" i="14"/>
  <c r="P180" i="14"/>
  <c r="X179" i="14"/>
  <c r="L156" i="7" s="1"/>
  <c r="W179" i="14"/>
  <c r="K156" i="7" s="1"/>
  <c r="V179" i="14"/>
  <c r="S179" i="14"/>
  <c r="P179" i="14"/>
  <c r="W178" i="14"/>
  <c r="K155" i="7" s="1"/>
  <c r="X178" i="14"/>
  <c r="L155" i="7" s="1"/>
  <c r="AT178" i="14"/>
  <c r="V178" i="14"/>
  <c r="S178" i="14"/>
  <c r="P178" i="14"/>
  <c r="X177" i="14"/>
  <c r="L154" i="7" s="1"/>
  <c r="W177" i="14"/>
  <c r="Y177" i="14" s="1"/>
  <c r="V177" i="14"/>
  <c r="S177" i="14"/>
  <c r="P177" i="14"/>
  <c r="X176" i="14"/>
  <c r="W176" i="14"/>
  <c r="K153" i="7" s="1"/>
  <c r="AT176" i="14"/>
  <c r="V176" i="14"/>
  <c r="S176" i="14"/>
  <c r="P176" i="14"/>
  <c r="X175" i="14"/>
  <c r="W175" i="14"/>
  <c r="K152" i="7" s="1"/>
  <c r="V175" i="14"/>
  <c r="S175" i="14"/>
  <c r="P175" i="14"/>
  <c r="U163" i="14"/>
  <c r="U169" i="14" s="1"/>
  <c r="T163" i="14"/>
  <c r="T169" i="14"/>
  <c r="R163" i="14"/>
  <c r="Q163" i="14"/>
  <c r="S163" i="14" s="1"/>
  <c r="O163" i="14"/>
  <c r="O169" i="14" s="1"/>
  <c r="N163" i="14"/>
  <c r="N169" i="14" s="1"/>
  <c r="X162" i="14"/>
  <c r="W162" i="14"/>
  <c r="K140" i="7" s="1"/>
  <c r="V162" i="14"/>
  <c r="S162" i="14"/>
  <c r="P162" i="14"/>
  <c r="X161" i="14"/>
  <c r="W161" i="14"/>
  <c r="V161" i="14"/>
  <c r="S161" i="14"/>
  <c r="P161" i="14"/>
  <c r="X160" i="14"/>
  <c r="W160" i="14"/>
  <c r="AT160" i="14" s="1"/>
  <c r="V160" i="14"/>
  <c r="S160" i="14"/>
  <c r="P160" i="14"/>
  <c r="X159" i="14"/>
  <c r="W159" i="14"/>
  <c r="V159" i="14"/>
  <c r="S159" i="14"/>
  <c r="P159" i="14"/>
  <c r="X158" i="14"/>
  <c r="W158" i="14"/>
  <c r="K136" i="7" s="1"/>
  <c r="V158" i="14"/>
  <c r="S158" i="14"/>
  <c r="P158" i="14"/>
  <c r="X157" i="14"/>
  <c r="L135" i="7" s="1"/>
  <c r="W157" i="14"/>
  <c r="K135" i="7" s="1"/>
  <c r="V157" i="14"/>
  <c r="S157" i="14"/>
  <c r="P157" i="14"/>
  <c r="W156" i="14"/>
  <c r="K134" i="7" s="1"/>
  <c r="M134" i="7" s="1"/>
  <c r="AT156" i="14"/>
  <c r="X156" i="14"/>
  <c r="L134" i="7" s="1"/>
  <c r="V156" i="14"/>
  <c r="S156" i="14"/>
  <c r="P156" i="14"/>
  <c r="X155" i="14"/>
  <c r="W155" i="14"/>
  <c r="K133" i="7" s="1"/>
  <c r="V155" i="14"/>
  <c r="S155" i="14"/>
  <c r="P155" i="14"/>
  <c r="X154" i="14"/>
  <c r="W154" i="14"/>
  <c r="V154" i="14"/>
  <c r="S154" i="14"/>
  <c r="P154" i="14"/>
  <c r="U151" i="14"/>
  <c r="T151" i="14"/>
  <c r="T20" i="14"/>
  <c r="T152" i="14"/>
  <c r="R151" i="14"/>
  <c r="Q151" i="14"/>
  <c r="O151" i="14"/>
  <c r="N151" i="14"/>
  <c r="X150" i="14"/>
  <c r="W150" i="14"/>
  <c r="V150" i="14"/>
  <c r="S150" i="14"/>
  <c r="P150" i="14"/>
  <c r="W149" i="14"/>
  <c r="AT149" i="14" s="1"/>
  <c r="X149" i="14"/>
  <c r="V149" i="14"/>
  <c r="V148" i="14"/>
  <c r="S149" i="14"/>
  <c r="P149" i="14"/>
  <c r="W148" i="14"/>
  <c r="K127" i="7" s="1"/>
  <c r="X148" i="14"/>
  <c r="S148" i="14"/>
  <c r="P148" i="14"/>
  <c r="P151" i="14" s="1"/>
  <c r="U145" i="14"/>
  <c r="T145" i="14"/>
  <c r="R145" i="14"/>
  <c r="Q145" i="14"/>
  <c r="O145" i="14"/>
  <c r="N145" i="14"/>
  <c r="X144" i="14"/>
  <c r="L124" i="7" s="1"/>
  <c r="AZ144" i="14"/>
  <c r="W144" i="14"/>
  <c r="K124" i="7" s="1"/>
  <c r="K131" i="23" s="1"/>
  <c r="AT144" i="14"/>
  <c r="V144" i="14"/>
  <c r="S144" i="14"/>
  <c r="P144" i="14"/>
  <c r="X143" i="14"/>
  <c r="W143" i="14"/>
  <c r="V143" i="14"/>
  <c r="V145" i="14" s="1"/>
  <c r="S143" i="14"/>
  <c r="P143" i="14"/>
  <c r="X142" i="14"/>
  <c r="W142" i="14"/>
  <c r="V142" i="14"/>
  <c r="S142" i="14"/>
  <c r="P142" i="14"/>
  <c r="L139" i="14"/>
  <c r="K139" i="14"/>
  <c r="J139" i="14"/>
  <c r="AZ138" i="14"/>
  <c r="AN138" i="14"/>
  <c r="AN137" i="14"/>
  <c r="AN139" i="14"/>
  <c r="AH138" i="14"/>
  <c r="M138" i="14"/>
  <c r="AH137" i="14"/>
  <c r="AT137" i="14"/>
  <c r="M137" i="14"/>
  <c r="V64" i="14"/>
  <c r="V96" i="14"/>
  <c r="V97" i="14"/>
  <c r="S96" i="14"/>
  <c r="S97" i="14"/>
  <c r="P96" i="14"/>
  <c r="P97" i="14"/>
  <c r="Y95" i="14"/>
  <c r="M95" i="7" s="1"/>
  <c r="Y94" i="14"/>
  <c r="M94" i="7" s="1"/>
  <c r="Y93" i="14"/>
  <c r="Y92" i="14"/>
  <c r="V81" i="14"/>
  <c r="V82" i="14"/>
  <c r="S81" i="14"/>
  <c r="S82" i="14"/>
  <c r="P81" i="14"/>
  <c r="P82" i="14"/>
  <c r="Y80" i="14"/>
  <c r="M82" i="7" s="1"/>
  <c r="Y79" i="14"/>
  <c r="Y78" i="14"/>
  <c r="M80" i="7" s="1"/>
  <c r="Y77" i="14"/>
  <c r="U73" i="14"/>
  <c r="U74" i="14"/>
  <c r="T73" i="14"/>
  <c r="T74" i="14"/>
  <c r="R73" i="14"/>
  <c r="Q73" i="14"/>
  <c r="O73" i="14"/>
  <c r="N73" i="14"/>
  <c r="X72" i="14"/>
  <c r="W72" i="14"/>
  <c r="V72" i="14"/>
  <c r="S72" i="14"/>
  <c r="P72" i="14"/>
  <c r="W71" i="14"/>
  <c r="X71" i="14"/>
  <c r="V71" i="14"/>
  <c r="S71" i="14"/>
  <c r="P71" i="14"/>
  <c r="X70" i="14"/>
  <c r="W70" i="14"/>
  <c r="V70" i="14"/>
  <c r="S70" i="14"/>
  <c r="P70" i="14"/>
  <c r="X69" i="14"/>
  <c r="W69" i="14"/>
  <c r="AT69" i="14" s="1"/>
  <c r="V69" i="14"/>
  <c r="V73" i="14" s="1"/>
  <c r="S69" i="14"/>
  <c r="P69" i="14"/>
  <c r="X68" i="14"/>
  <c r="L71" i="7" s="1"/>
  <c r="W68" i="14"/>
  <c r="V68" i="14"/>
  <c r="S68" i="14"/>
  <c r="P68" i="14"/>
  <c r="U65" i="14"/>
  <c r="T65" i="14"/>
  <c r="R65" i="14"/>
  <c r="Q65" i="14"/>
  <c r="O65" i="14"/>
  <c r="N65" i="14"/>
  <c r="X64" i="14"/>
  <c r="W64" i="14"/>
  <c r="K68" i="7" s="1"/>
  <c r="S64" i="14"/>
  <c r="P64" i="14"/>
  <c r="X63" i="14"/>
  <c r="W63" i="14"/>
  <c r="V63" i="14"/>
  <c r="S63" i="14"/>
  <c r="P63" i="14"/>
  <c r="X62" i="14"/>
  <c r="W62" i="14"/>
  <c r="V62" i="14"/>
  <c r="S62" i="14"/>
  <c r="P62" i="14"/>
  <c r="X61" i="14"/>
  <c r="W61" i="14"/>
  <c r="K65" i="7" s="1"/>
  <c r="V61" i="14"/>
  <c r="S61" i="14"/>
  <c r="P61" i="14"/>
  <c r="L58" i="14"/>
  <c r="K58" i="14"/>
  <c r="J58" i="14"/>
  <c r="AN57" i="14"/>
  <c r="AH57" i="14"/>
  <c r="AT57" i="14"/>
  <c r="M57" i="14"/>
  <c r="AN56" i="14"/>
  <c r="AH56" i="14"/>
  <c r="AZ56" i="14"/>
  <c r="M56" i="14"/>
  <c r="AN55" i="14"/>
  <c r="AH55" i="14"/>
  <c r="AZ55" i="14"/>
  <c r="M55" i="14"/>
  <c r="AN54" i="14"/>
  <c r="AH54" i="14"/>
  <c r="AZ54" i="14"/>
  <c r="AT54" i="14"/>
  <c r="M54" i="14"/>
  <c r="AN53" i="14"/>
  <c r="AH53" i="14"/>
  <c r="AZ53" i="14"/>
  <c r="M53" i="14"/>
  <c r="AN52" i="14"/>
  <c r="AH52" i="14"/>
  <c r="AZ52" i="14"/>
  <c r="M52" i="14"/>
  <c r="AN51" i="14"/>
  <c r="AH51" i="14"/>
  <c r="Y51" i="14"/>
  <c r="M51" i="14"/>
  <c r="AN50" i="14"/>
  <c r="AH50" i="14"/>
  <c r="Y50" i="14"/>
  <c r="AZ50" i="14"/>
  <c r="AT50" i="14"/>
  <c r="M50" i="14"/>
  <c r="AN49" i="14"/>
  <c r="AH49" i="14"/>
  <c r="Y49" i="14"/>
  <c r="M49" i="14"/>
  <c r="AN48" i="14"/>
  <c r="AH48" i="14"/>
  <c r="AZ48" i="14"/>
  <c r="AT48" i="14"/>
  <c r="M48" i="14"/>
  <c r="AN47" i="14"/>
  <c r="AH47" i="14"/>
  <c r="AZ47" i="14"/>
  <c r="M47" i="14"/>
  <c r="AN46" i="14"/>
  <c r="AH46" i="14"/>
  <c r="W46" i="14"/>
  <c r="M46" i="14"/>
  <c r="AN45" i="14"/>
  <c r="AN58" i="14" s="1"/>
  <c r="AH45" i="14"/>
  <c r="AT45" i="14"/>
  <c r="M45" i="14"/>
  <c r="AN44" i="14"/>
  <c r="AH44" i="14"/>
  <c r="AT44" i="14"/>
  <c r="M44" i="14"/>
  <c r="U41" i="14"/>
  <c r="U42" i="14"/>
  <c r="T41" i="14"/>
  <c r="R41" i="14"/>
  <c r="Q41" i="14"/>
  <c r="O41" i="14"/>
  <c r="N41" i="14"/>
  <c r="X40" i="14"/>
  <c r="L46" i="7" s="1"/>
  <c r="AZ40" i="14"/>
  <c r="W40" i="14"/>
  <c r="K46" i="7" s="1"/>
  <c r="AT40" i="14"/>
  <c r="V40" i="14"/>
  <c r="S40" i="14"/>
  <c r="P40" i="14"/>
  <c r="X39" i="14"/>
  <c r="W39" i="14"/>
  <c r="K45" i="7" s="1"/>
  <c r="AT39" i="14"/>
  <c r="V39" i="14"/>
  <c r="S39" i="14"/>
  <c r="P39" i="14"/>
  <c r="X38" i="14"/>
  <c r="W38" i="14"/>
  <c r="K44" i="7" s="1"/>
  <c r="V38" i="14"/>
  <c r="S38" i="14"/>
  <c r="P38" i="14"/>
  <c r="AN32" i="14"/>
  <c r="AH32" i="14"/>
  <c r="AN31" i="14"/>
  <c r="AN33" i="14" s="1"/>
  <c r="AH31" i="14"/>
  <c r="AN30" i="14"/>
  <c r="L26" i="14"/>
  <c r="K26" i="14"/>
  <c r="J26" i="14"/>
  <c r="AN25" i="14"/>
  <c r="AN23" i="14"/>
  <c r="AN24" i="14"/>
  <c r="AH25" i="14"/>
  <c r="X25" i="14"/>
  <c r="AZ25" i="14" s="1"/>
  <c r="W25" i="14"/>
  <c r="M25" i="14"/>
  <c r="AH24" i="14"/>
  <c r="X24" i="14"/>
  <c r="AZ24" i="14" s="1"/>
  <c r="W24" i="14"/>
  <c r="AT24" i="14" s="1"/>
  <c r="M24" i="14"/>
  <c r="AH23" i="14"/>
  <c r="X23" i="14"/>
  <c r="W23" i="14"/>
  <c r="AT23" i="14" s="1"/>
  <c r="M23" i="14"/>
  <c r="M26" i="14" s="1"/>
  <c r="V18" i="14"/>
  <c r="V19" i="14"/>
  <c r="V20" i="14"/>
  <c r="R20" i="14"/>
  <c r="Q20" i="14"/>
  <c r="O20" i="14"/>
  <c r="N20" i="14"/>
  <c r="W19" i="14"/>
  <c r="X19" i="14"/>
  <c r="S19" i="14"/>
  <c r="S18" i="14"/>
  <c r="S20" i="14"/>
  <c r="P19" i="14"/>
  <c r="X18" i="14"/>
  <c r="AZ18" i="14" s="1"/>
  <c r="W18" i="14"/>
  <c r="P18" i="14"/>
  <c r="P20" i="14"/>
  <c r="AH30" i="14"/>
  <c r="AN14" i="14"/>
  <c r="AH14" i="14"/>
  <c r="AT14" i="14"/>
  <c r="M14" i="14"/>
  <c r="AZ13" i="14"/>
  <c r="AN13" i="14"/>
  <c r="AH13" i="14"/>
  <c r="M13" i="14"/>
  <c r="Y317" i="18"/>
  <c r="X318" i="18"/>
  <c r="AZ315" i="18"/>
  <c r="Y297" i="18"/>
  <c r="S287" i="18"/>
  <c r="Y236" i="18"/>
  <c r="S232" i="18"/>
  <c r="Y222" i="18"/>
  <c r="R42" i="18"/>
  <c r="R74" i="18"/>
  <c r="R189" i="18"/>
  <c r="Q74" i="18"/>
  <c r="S20" i="18"/>
  <c r="Q42" i="18"/>
  <c r="Q146" i="18"/>
  <c r="Y326" i="18"/>
  <c r="Y227" i="18"/>
  <c r="X214" i="18"/>
  <c r="O224" i="18"/>
  <c r="N209" i="18"/>
  <c r="N224" i="18"/>
  <c r="Y19" i="18"/>
  <c r="O189" i="18"/>
  <c r="Y291" i="17"/>
  <c r="V232" i="17"/>
  <c r="U224" i="17"/>
  <c r="U74" i="17"/>
  <c r="U189" i="17"/>
  <c r="U197" i="17"/>
  <c r="Y284" i="17"/>
  <c r="Y211" i="17"/>
  <c r="R233" i="17"/>
  <c r="Q209" i="17"/>
  <c r="Q42" i="17"/>
  <c r="Q152" i="17"/>
  <c r="P318" i="17"/>
  <c r="Y297" i="17"/>
  <c r="Y236" i="17"/>
  <c r="P223" i="17"/>
  <c r="P214" i="17"/>
  <c r="AT177" i="17"/>
  <c r="O42" i="17"/>
  <c r="O74" i="17"/>
  <c r="S294" i="16"/>
  <c r="Y284" i="16"/>
  <c r="Y218" i="16"/>
  <c r="R209" i="16"/>
  <c r="S163" i="16"/>
  <c r="Y159" i="16"/>
  <c r="Y285" i="15"/>
  <c r="P232" i="15"/>
  <c r="Y227" i="15"/>
  <c r="Y218" i="15"/>
  <c r="N215" i="15"/>
  <c r="P196" i="15"/>
  <c r="O224" i="15"/>
  <c r="N233" i="15"/>
  <c r="N42" i="15"/>
  <c r="N189" i="15"/>
  <c r="N66" i="15"/>
  <c r="Q288" i="14"/>
  <c r="S223" i="14"/>
  <c r="S196" i="14"/>
  <c r="R66" i="14"/>
  <c r="Q66" i="14"/>
  <c r="Y315" i="14"/>
  <c r="Y218" i="14"/>
  <c r="P214" i="14"/>
  <c r="Y212" i="14"/>
  <c r="Y201" i="14"/>
  <c r="Y192" i="14"/>
  <c r="O233" i="14"/>
  <c r="N233" i="14"/>
  <c r="Y144" i="14"/>
  <c r="L27" i="14"/>
  <c r="AT179" i="14"/>
  <c r="Y231" i="15"/>
  <c r="AT231" i="15"/>
  <c r="Y284" i="15"/>
  <c r="AZ284" i="15"/>
  <c r="AT291" i="15"/>
  <c r="Y291" i="15"/>
  <c r="AT71" i="16"/>
  <c r="AZ195" i="16"/>
  <c r="Y195" i="16"/>
  <c r="AT191" i="18"/>
  <c r="Y191" i="18"/>
  <c r="AZ23" i="14"/>
  <c r="Y137" i="14"/>
  <c r="Q189" i="14"/>
  <c r="Y194" i="14"/>
  <c r="AT194" i="14"/>
  <c r="AT196" i="14"/>
  <c r="AU193" i="14"/>
  <c r="Y242" i="14"/>
  <c r="V312" i="14"/>
  <c r="Y61" i="15"/>
  <c r="AT150" i="15"/>
  <c r="P181" i="15"/>
  <c r="X181" i="15"/>
  <c r="V196" i="15"/>
  <c r="AT211" i="15"/>
  <c r="W214" i="15"/>
  <c r="Y240" i="15"/>
  <c r="AT240" i="15"/>
  <c r="AT317" i="15"/>
  <c r="Y317" i="15"/>
  <c r="M30" i="16"/>
  <c r="J33" i="16"/>
  <c r="AT38" i="18"/>
  <c r="Y38" i="18"/>
  <c r="AT156" i="19"/>
  <c r="AH15" i="14"/>
  <c r="AI13" i="14"/>
  <c r="J27" i="14"/>
  <c r="K27" i="14"/>
  <c r="J33" i="14"/>
  <c r="V41" i="14"/>
  <c r="Q42" i="14"/>
  <c r="U66" i="14"/>
  <c r="Q74" i="14"/>
  <c r="J140" i="14"/>
  <c r="U197" i="14"/>
  <c r="AT200" i="14"/>
  <c r="Y200" i="14"/>
  <c r="N215" i="14"/>
  <c r="T215" i="14"/>
  <c r="S243" i="14"/>
  <c r="AT241" i="14"/>
  <c r="Y241" i="14"/>
  <c r="Y284" i="14"/>
  <c r="Q312" i="14"/>
  <c r="Q313" i="14"/>
  <c r="S307" i="14"/>
  <c r="Y39" i="15"/>
  <c r="Y47" i="15"/>
  <c r="Y55" i="15"/>
  <c r="N146" i="15"/>
  <c r="Y155" i="15"/>
  <c r="AT159" i="15"/>
  <c r="Y180" i="15"/>
  <c r="AZ180" i="15"/>
  <c r="W196" i="15"/>
  <c r="AT191" i="15"/>
  <c r="N197" i="15"/>
  <c r="Q224" i="15"/>
  <c r="Y238" i="15"/>
  <c r="N295" i="15"/>
  <c r="Y304" i="15"/>
  <c r="AZ304" i="15"/>
  <c r="U312" i="15"/>
  <c r="U313" i="15"/>
  <c r="R319" i="15"/>
  <c r="AO15" i="16"/>
  <c r="AO14" i="16"/>
  <c r="AO13" i="16"/>
  <c r="S20" i="16"/>
  <c r="Q42" i="16"/>
  <c r="R42" i="16"/>
  <c r="Y180" i="16"/>
  <c r="AZ180" i="16" s="1"/>
  <c r="Q224" i="16"/>
  <c r="Y291" i="16"/>
  <c r="AT300" i="16"/>
  <c r="Y300" i="16"/>
  <c r="U312" i="16"/>
  <c r="V307" i="16"/>
  <c r="AT137" i="17"/>
  <c r="Y176" i="17"/>
  <c r="AZ176" i="17" s="1"/>
  <c r="Y195" i="17"/>
  <c r="AT195" i="17"/>
  <c r="Y316" i="17"/>
  <c r="AT13" i="18"/>
  <c r="AT15" i="18"/>
  <c r="Y160" i="18"/>
  <c r="Y231" i="18"/>
  <c r="AT231" i="18"/>
  <c r="AT232" i="18"/>
  <c r="Y241" i="18"/>
  <c r="AT241" i="18"/>
  <c r="AT316" i="18"/>
  <c r="Y316" i="18"/>
  <c r="AZ39" i="19"/>
  <c r="AZ49" i="14"/>
  <c r="Y143" i="14"/>
  <c r="T208" i="14"/>
  <c r="T209" i="14"/>
  <c r="V203" i="14"/>
  <c r="V208" i="14"/>
  <c r="AT290" i="14"/>
  <c r="Y290" i="14"/>
  <c r="Y303" i="14"/>
  <c r="AT303" i="14"/>
  <c r="AT158" i="15"/>
  <c r="Y158" i="15"/>
  <c r="Y192" i="15"/>
  <c r="AT192" i="15"/>
  <c r="X232" i="15"/>
  <c r="AZ226" i="15"/>
  <c r="AZ232" i="15"/>
  <c r="AT14" i="16"/>
  <c r="Y14" i="16"/>
  <c r="AZ39" i="16"/>
  <c r="AT52" i="17"/>
  <c r="AT44" i="17"/>
  <c r="AT56" i="17"/>
  <c r="Y52" i="17"/>
  <c r="AT285" i="17"/>
  <c r="Y285" i="17"/>
  <c r="AT159" i="19"/>
  <c r="Y159" i="19"/>
  <c r="AT179" i="19"/>
  <c r="Y303" i="19"/>
  <c r="AZ303" i="19"/>
  <c r="L59" i="14"/>
  <c r="AZ68" i="14"/>
  <c r="Y72" i="14"/>
  <c r="W139" i="14"/>
  <c r="AZ160" i="14"/>
  <c r="V196" i="14"/>
  <c r="AT238" i="14"/>
  <c r="Y238" i="14"/>
  <c r="AT301" i="14"/>
  <c r="Y301" i="14"/>
  <c r="R146" i="15"/>
  <c r="R197" i="15"/>
  <c r="Y200" i="15"/>
  <c r="AT200" i="15"/>
  <c r="AT199" i="15"/>
  <c r="AT208" i="15"/>
  <c r="S232" i="15"/>
  <c r="T288" i="15"/>
  <c r="U295" i="15"/>
  <c r="X26" i="16"/>
  <c r="AT207" i="17"/>
  <c r="Y207" i="17"/>
  <c r="M30" i="18"/>
  <c r="AH30" i="18"/>
  <c r="AT18" i="18"/>
  <c r="AT20" i="18" s="1"/>
  <c r="Y46" i="18"/>
  <c r="M15" i="14"/>
  <c r="X15" i="14"/>
  <c r="P41" i="14"/>
  <c r="Y45" i="14"/>
  <c r="Y54" i="14"/>
  <c r="Y55" i="14"/>
  <c r="Y57" i="14"/>
  <c r="J59" i="14"/>
  <c r="AH139" i="14"/>
  <c r="AI139" i="14"/>
  <c r="AT155" i="14"/>
  <c r="AT157" i="14"/>
  <c r="Y157" i="14"/>
  <c r="AT175" i="14"/>
  <c r="Q197" i="14"/>
  <c r="V214" i="14"/>
  <c r="R224" i="14"/>
  <c r="P243" i="14"/>
  <c r="AT283" i="14"/>
  <c r="Y283" i="14"/>
  <c r="V294" i="14"/>
  <c r="Y304" i="14"/>
  <c r="V318" i="14"/>
  <c r="Y46" i="15"/>
  <c r="Y54" i="15"/>
  <c r="P73" i="15"/>
  <c r="N74" i="15"/>
  <c r="Y138" i="15"/>
  <c r="N152" i="15"/>
  <c r="AT157" i="15"/>
  <c r="AT195" i="15"/>
  <c r="Y195" i="15"/>
  <c r="W208" i="15"/>
  <c r="Y199" i="15"/>
  <c r="S214" i="15"/>
  <c r="AT222" i="15"/>
  <c r="AT223" i="15"/>
  <c r="Y222" i="15"/>
  <c r="V243" i="15"/>
  <c r="Y236" i="15"/>
  <c r="P318" i="15"/>
  <c r="X318" i="15"/>
  <c r="AZ315" i="15"/>
  <c r="Q74" i="16"/>
  <c r="R146" i="16"/>
  <c r="AT178" i="16"/>
  <c r="R188" i="16"/>
  <c r="R189" i="16"/>
  <c r="S181" i="16"/>
  <c r="Q197" i="16"/>
  <c r="Y199" i="16"/>
  <c r="R224" i="16"/>
  <c r="Y56" i="17"/>
  <c r="AZ161" i="17"/>
  <c r="AZ305" i="17"/>
  <c r="Y305" i="17"/>
  <c r="AZ213" i="18"/>
  <c r="Y213" i="18"/>
  <c r="O215" i="14"/>
  <c r="U233" i="14"/>
  <c r="N224" i="14"/>
  <c r="Y227" i="14"/>
  <c r="Y231" i="14"/>
  <c r="Y232" i="14"/>
  <c r="S287" i="14"/>
  <c r="Y326" i="14"/>
  <c r="Z323" i="14"/>
  <c r="AN15" i="15"/>
  <c r="AO15" i="15"/>
  <c r="P20" i="15"/>
  <c r="AN26" i="15"/>
  <c r="U42" i="15"/>
  <c r="J59" i="15"/>
  <c r="R66" i="15"/>
  <c r="Q74" i="15"/>
  <c r="Y81" i="15"/>
  <c r="P163" i="15"/>
  <c r="R233" i="15"/>
  <c r="N209" i="15"/>
  <c r="P214" i="15"/>
  <c r="Y213" i="15"/>
  <c r="T224" i="15"/>
  <c r="V232" i="15"/>
  <c r="O233" i="15"/>
  <c r="U233" i="15"/>
  <c r="S294" i="15"/>
  <c r="Y303" i="15"/>
  <c r="S318" i="15"/>
  <c r="U319" i="15"/>
  <c r="AT15" i="16"/>
  <c r="AU15" i="16"/>
  <c r="X15" i="16"/>
  <c r="AT54" i="16"/>
  <c r="Y54" i="16"/>
  <c r="AT57" i="16"/>
  <c r="R66" i="16"/>
  <c r="Y138" i="16"/>
  <c r="AT138" i="16"/>
  <c r="J140" i="16"/>
  <c r="N169" i="16"/>
  <c r="P181" i="16"/>
  <c r="Q189" i="16"/>
  <c r="Q208" i="16"/>
  <c r="Q209" i="16"/>
  <c r="S203" i="16"/>
  <c r="S208" i="16"/>
  <c r="X203" i="16"/>
  <c r="AT207" i="16"/>
  <c r="Y207" i="16"/>
  <c r="Q233" i="16"/>
  <c r="AT239" i="16"/>
  <c r="Y239" i="16"/>
  <c r="AT285" i="16"/>
  <c r="Y285" i="16"/>
  <c r="Y297" i="16"/>
  <c r="AT304" i="16"/>
  <c r="Y304" i="16"/>
  <c r="AH15" i="17"/>
  <c r="AI15" i="17"/>
  <c r="V20" i="17"/>
  <c r="AZ25" i="17"/>
  <c r="Y49" i="17"/>
  <c r="Q66" i="17"/>
  <c r="AZ70" i="17"/>
  <c r="V145" i="17"/>
  <c r="Q146" i="17"/>
  <c r="X151" i="17"/>
  <c r="AT175" i="17"/>
  <c r="AT180" i="17"/>
  <c r="Y180" i="17"/>
  <c r="AZ180" i="17" s="1"/>
  <c r="U215" i="17"/>
  <c r="Y199" i="17"/>
  <c r="Y201" i="17"/>
  <c r="AZ201" i="17"/>
  <c r="X203" i="17"/>
  <c r="AZ203" i="17"/>
  <c r="AZ208" i="17"/>
  <c r="AT217" i="17"/>
  <c r="Y217" i="17"/>
  <c r="Y293" i="18"/>
  <c r="AT293" i="18"/>
  <c r="AZ300" i="18"/>
  <c r="Y300" i="18"/>
  <c r="AZ211" i="19"/>
  <c r="X214" i="19"/>
  <c r="AZ236" i="19"/>
  <c r="Y236" i="19"/>
  <c r="Q169" i="14"/>
  <c r="Q224" i="14"/>
  <c r="S214" i="14"/>
  <c r="R215" i="14"/>
  <c r="AZ223" i="14"/>
  <c r="P232" i="14"/>
  <c r="X232" i="14"/>
  <c r="R233" i="14"/>
  <c r="Y239" i="14"/>
  <c r="AH26" i="15"/>
  <c r="AT24" i="15"/>
  <c r="K27" i="15"/>
  <c r="P41" i="15"/>
  <c r="Q42" i="15"/>
  <c r="X58" i="15"/>
  <c r="K59" i="15"/>
  <c r="V65" i="15"/>
  <c r="T66" i="15"/>
  <c r="R74" i="15"/>
  <c r="AN139" i="15"/>
  <c r="AO137" i="15"/>
  <c r="K140" i="15"/>
  <c r="Q146" i="15"/>
  <c r="U146" i="15"/>
  <c r="R152" i="15"/>
  <c r="Q197" i="15"/>
  <c r="U209" i="15"/>
  <c r="X214" i="15"/>
  <c r="P223" i="15"/>
  <c r="Q233" i="15"/>
  <c r="P243" i="15"/>
  <c r="S287" i="15"/>
  <c r="V287" i="15"/>
  <c r="P294" i="15"/>
  <c r="Y302" i="15"/>
  <c r="P307" i="15"/>
  <c r="P312" i="15"/>
  <c r="Y326" i="15"/>
  <c r="AZ15" i="16"/>
  <c r="AT24" i="16"/>
  <c r="Y24" i="16"/>
  <c r="J27" i="16"/>
  <c r="Y45" i="16"/>
  <c r="AT45" i="16"/>
  <c r="Y49" i="16"/>
  <c r="AT55" i="16"/>
  <c r="Y55" i="16"/>
  <c r="J59" i="16"/>
  <c r="V65" i="16"/>
  <c r="K140" i="16"/>
  <c r="Q152" i="16"/>
  <c r="Y156" i="16"/>
  <c r="AT156" i="16"/>
  <c r="AT191" i="16"/>
  <c r="Y191" i="16"/>
  <c r="S223" i="16"/>
  <c r="AT317" i="16"/>
  <c r="AT318" i="16"/>
  <c r="Y317" i="16"/>
  <c r="M26" i="17"/>
  <c r="Y44" i="17"/>
  <c r="Y48" i="17"/>
  <c r="K59" i="17"/>
  <c r="R66" i="17"/>
  <c r="Y155" i="17"/>
  <c r="AT194" i="17"/>
  <c r="Y194" i="17"/>
  <c r="S214" i="17"/>
  <c r="Q233" i="17"/>
  <c r="AT290" i="17"/>
  <c r="Y290" i="17"/>
  <c r="Y150" i="18"/>
  <c r="P203" i="18"/>
  <c r="P208" i="18"/>
  <c r="Y18" i="16"/>
  <c r="K27" i="16"/>
  <c r="Y40" i="16"/>
  <c r="N42" i="16"/>
  <c r="Y52" i="16"/>
  <c r="R74" i="16"/>
  <c r="L140" i="16"/>
  <c r="Q146" i="16"/>
  <c r="S196" i="16"/>
  <c r="Y200" i="16"/>
  <c r="Q215" i="16"/>
  <c r="S243" i="16"/>
  <c r="S318" i="16"/>
  <c r="M15" i="17"/>
  <c r="Y24" i="17"/>
  <c r="N66" i="17"/>
  <c r="Q74" i="17"/>
  <c r="S145" i="17"/>
  <c r="R146" i="17"/>
  <c r="N152" i="17"/>
  <c r="V214" i="17"/>
  <c r="S232" i="17"/>
  <c r="S294" i="17"/>
  <c r="AT304" i="17"/>
  <c r="Y304" i="17"/>
  <c r="U319" i="17"/>
  <c r="U295" i="18"/>
  <c r="Y64" i="18"/>
  <c r="Q66" i="18"/>
  <c r="Y71" i="18"/>
  <c r="J140" i="18"/>
  <c r="U152" i="18"/>
  <c r="AT154" i="18"/>
  <c r="Q169" i="18"/>
  <c r="S188" i="18"/>
  <c r="Y180" i="18"/>
  <c r="AZ180" i="18"/>
  <c r="AT180" i="18"/>
  <c r="AT194" i="18"/>
  <c r="Y194" i="18"/>
  <c r="Y192" i="18"/>
  <c r="Y193" i="18"/>
  <c r="Y196" i="18"/>
  <c r="U197" i="18"/>
  <c r="AT199" i="18"/>
  <c r="Y199" i="18"/>
  <c r="AT212" i="18"/>
  <c r="AT214" i="18"/>
  <c r="Y212" i="18"/>
  <c r="AZ217" i="18"/>
  <c r="X223" i="18"/>
  <c r="P223" i="18"/>
  <c r="Q233" i="18"/>
  <c r="AT240" i="18"/>
  <c r="Y240" i="18"/>
  <c r="AZ294" i="18"/>
  <c r="BA291" i="18"/>
  <c r="AH15" i="19"/>
  <c r="AI13" i="19"/>
  <c r="K27" i="19"/>
  <c r="AT72" i="19"/>
  <c r="AT143" i="19"/>
  <c r="AZ195" i="19"/>
  <c r="Y195" i="19"/>
  <c r="V243" i="19"/>
  <c r="L27" i="16"/>
  <c r="S41" i="16"/>
  <c r="U42" i="16"/>
  <c r="Y48" i="16"/>
  <c r="Y53" i="16"/>
  <c r="N66" i="16"/>
  <c r="T74" i="16"/>
  <c r="W139" i="16"/>
  <c r="R152" i="16"/>
  <c r="P196" i="16"/>
  <c r="O209" i="16"/>
  <c r="X214" i="16"/>
  <c r="R215" i="16"/>
  <c r="Y222" i="16"/>
  <c r="V243" i="16"/>
  <c r="V287" i="16"/>
  <c r="Y286" i="16"/>
  <c r="P294" i="16"/>
  <c r="X15" i="17"/>
  <c r="Y14" i="17"/>
  <c r="S20" i="17"/>
  <c r="L27" i="17"/>
  <c r="R42" i="17"/>
  <c r="J59" i="17"/>
  <c r="P65" i="17"/>
  <c r="V73" i="17"/>
  <c r="L140" i="17"/>
  <c r="S196" i="17"/>
  <c r="N224" i="17"/>
  <c r="V208" i="17"/>
  <c r="Y213" i="17"/>
  <c r="S223" i="17"/>
  <c r="P243" i="17"/>
  <c r="Y242" i="17"/>
  <c r="AZ242" i="17"/>
  <c r="Y249" i="17"/>
  <c r="Z249" i="17"/>
  <c r="AT301" i="17"/>
  <c r="Y301" i="17"/>
  <c r="V307" i="17"/>
  <c r="AZ318" i="17"/>
  <c r="BA318" i="17"/>
  <c r="Y49" i="18"/>
  <c r="AT49" i="18"/>
  <c r="J59" i="18"/>
  <c r="M139" i="18"/>
  <c r="P196" i="18"/>
  <c r="Q197" i="18"/>
  <c r="P214" i="18"/>
  <c r="O215" i="18"/>
  <c r="S223" i="18"/>
  <c r="V232" i="18"/>
  <c r="Y237" i="18"/>
  <c r="AT237" i="18"/>
  <c r="Y302" i="18"/>
  <c r="AT302" i="18"/>
  <c r="AT305" i="18"/>
  <c r="Y305" i="18"/>
  <c r="R188" i="19"/>
  <c r="R189" i="19"/>
  <c r="X181" i="19"/>
  <c r="AF158" i="7" s="1"/>
  <c r="AT193" i="19"/>
  <c r="AT194" i="19"/>
  <c r="AT196" i="19"/>
  <c r="Y193" i="19"/>
  <c r="AT211" i="19"/>
  <c r="W214" i="19"/>
  <c r="P20" i="18"/>
  <c r="J27" i="18"/>
  <c r="X41" i="18"/>
  <c r="U42" i="18"/>
  <c r="Y55" i="18"/>
  <c r="N66" i="18"/>
  <c r="T74" i="18"/>
  <c r="AN139" i="18"/>
  <c r="AO137" i="18"/>
  <c r="Y202" i="18"/>
  <c r="Y207" i="18"/>
  <c r="S214" i="18"/>
  <c r="U224" i="18"/>
  <c r="P243" i="18"/>
  <c r="P287" i="18"/>
  <c r="AT291" i="18"/>
  <c r="Y291" i="18"/>
  <c r="Y301" i="18"/>
  <c r="AT301" i="18"/>
  <c r="AN58" i="19"/>
  <c r="N66" i="19"/>
  <c r="R74" i="19"/>
  <c r="K140" i="19"/>
  <c r="X196" i="19"/>
  <c r="AZ191" i="19"/>
  <c r="AZ196" i="19"/>
  <c r="AZ232" i="19"/>
  <c r="V232" i="19"/>
  <c r="Y284" i="19"/>
  <c r="AZ284" i="19"/>
  <c r="N295" i="19"/>
  <c r="P312" i="19"/>
  <c r="V294" i="17"/>
  <c r="Y292" i="17"/>
  <c r="V312" i="17"/>
  <c r="Y298" i="17"/>
  <c r="S318" i="17"/>
  <c r="Y326" i="17"/>
  <c r="K27" i="18"/>
  <c r="S41" i="18"/>
  <c r="Y53" i="18"/>
  <c r="AT53" i="18"/>
  <c r="Y57" i="18"/>
  <c r="P65" i="18"/>
  <c r="U66" i="18"/>
  <c r="U146" i="18"/>
  <c r="Q152" i="18"/>
  <c r="Y162" i="18"/>
  <c r="Q189" i="18"/>
  <c r="S196" i="18"/>
  <c r="X196" i="18"/>
  <c r="U215" i="18"/>
  <c r="T215" i="18"/>
  <c r="Q224" i="18"/>
  <c r="O233" i="18"/>
  <c r="U233" i="18"/>
  <c r="AT285" i="18"/>
  <c r="Y285" i="18"/>
  <c r="Y299" i="18"/>
  <c r="AT299" i="18"/>
  <c r="Q319" i="18"/>
  <c r="K59" i="19"/>
  <c r="V65" i="19"/>
  <c r="N74" i="19"/>
  <c r="Q146" i="19"/>
  <c r="R152" i="19"/>
  <c r="Y155" i="19"/>
  <c r="AT155" i="19"/>
  <c r="Q188" i="19"/>
  <c r="Q189" i="19"/>
  <c r="S181" i="19"/>
  <c r="Y194" i="19"/>
  <c r="T224" i="19"/>
  <c r="Y240" i="19"/>
  <c r="AT240" i="19"/>
  <c r="AT305" i="19"/>
  <c r="Y305" i="19"/>
  <c r="Y249" i="18"/>
  <c r="V294" i="18"/>
  <c r="U42" i="19"/>
  <c r="P65" i="19"/>
  <c r="Q66" i="19"/>
  <c r="U74" i="19"/>
  <c r="Y149" i="19"/>
  <c r="R197" i="19"/>
  <c r="U215" i="19"/>
  <c r="Y200" i="19"/>
  <c r="P223" i="19"/>
  <c r="Y218" i="19"/>
  <c r="Q233" i="19"/>
  <c r="P294" i="19"/>
  <c r="Y290" i="19"/>
  <c r="Y316" i="19"/>
  <c r="Y326" i="19"/>
  <c r="S294" i="18"/>
  <c r="Y303" i="18"/>
  <c r="Q42" i="19"/>
  <c r="R66" i="19"/>
  <c r="Q74" i="19"/>
  <c r="Y177" i="19"/>
  <c r="AZ177" i="19" s="1"/>
  <c r="W196" i="19"/>
  <c r="P196" i="19"/>
  <c r="N197" i="19"/>
  <c r="Q209" i="19"/>
  <c r="S223" i="19"/>
  <c r="Q224" i="19"/>
  <c r="P232" i="19"/>
  <c r="X232" i="19"/>
  <c r="Y231" i="19"/>
  <c r="P243" i="19"/>
  <c r="S287" i="19"/>
  <c r="V287" i="19"/>
  <c r="AN139" i="19"/>
  <c r="Y46" i="19"/>
  <c r="Y50" i="19"/>
  <c r="Y54" i="19"/>
  <c r="Y47" i="19"/>
  <c r="AZ25" i="19"/>
  <c r="M26" i="19"/>
  <c r="AT24" i="19"/>
  <c r="Y14" i="19"/>
  <c r="L27" i="19"/>
  <c r="J59" i="19"/>
  <c r="L140" i="19"/>
  <c r="AO15" i="19"/>
  <c r="AO13" i="19"/>
  <c r="T295" i="19"/>
  <c r="T42" i="19"/>
  <c r="Y56" i="19"/>
  <c r="Y62" i="19"/>
  <c r="AT64" i="19"/>
  <c r="Y64" i="19"/>
  <c r="AZ201" i="19"/>
  <c r="Y201" i="19"/>
  <c r="Y237" i="19"/>
  <c r="W243" i="19"/>
  <c r="AT237" i="19"/>
  <c r="AT243" i="19"/>
  <c r="T288" i="19"/>
  <c r="Z324" i="19"/>
  <c r="Z325" i="19"/>
  <c r="Z323" i="19"/>
  <c r="Z326" i="19"/>
  <c r="Y13" i="19"/>
  <c r="Y15" i="19"/>
  <c r="AT13" i="19"/>
  <c r="AT15" i="19"/>
  <c r="T189" i="19"/>
  <c r="X15" i="19"/>
  <c r="AZ13" i="19"/>
  <c r="AZ15" i="19"/>
  <c r="AO14" i="19"/>
  <c r="M30" i="19"/>
  <c r="AH30" i="19"/>
  <c r="J33" i="19"/>
  <c r="W15" i="19"/>
  <c r="K33" i="19"/>
  <c r="AN31" i="19"/>
  <c r="AN33" i="19" s="1"/>
  <c r="AO30" i="19" s="1"/>
  <c r="Y48" i="19"/>
  <c r="AI139" i="19"/>
  <c r="AI138" i="19"/>
  <c r="AI137" i="19"/>
  <c r="AO139" i="19"/>
  <c r="P163" i="19"/>
  <c r="X163" i="19"/>
  <c r="BA193" i="19"/>
  <c r="BA192" i="19"/>
  <c r="BA194" i="19"/>
  <c r="BA191" i="19"/>
  <c r="BA195" i="19"/>
  <c r="BA196" i="19"/>
  <c r="AZ202" i="19"/>
  <c r="Y202" i="19"/>
  <c r="W203" i="19"/>
  <c r="W208" i="19"/>
  <c r="S203" i="19"/>
  <c r="S208" i="19"/>
  <c r="Y207" i="19"/>
  <c r="AZ207" i="19"/>
  <c r="AZ218" i="19"/>
  <c r="Y292" i="19"/>
  <c r="AT292" i="19"/>
  <c r="W294" i="19"/>
  <c r="Y297" i="19"/>
  <c r="AT297" i="19"/>
  <c r="Y306" i="19"/>
  <c r="AT306" i="19"/>
  <c r="Y52" i="19"/>
  <c r="T146" i="19"/>
  <c r="AT148" i="19"/>
  <c r="Y148" i="19"/>
  <c r="W151" i="19"/>
  <c r="T152" i="19"/>
  <c r="U208" i="19"/>
  <c r="U209" i="19"/>
  <c r="X203" i="19"/>
  <c r="AZ203" i="19"/>
  <c r="AI15" i="19"/>
  <c r="AI14" i="19"/>
  <c r="O319" i="19"/>
  <c r="O197" i="19"/>
  <c r="O66" i="19"/>
  <c r="O146" i="19"/>
  <c r="M32" i="19"/>
  <c r="M33" i="19" s="1"/>
  <c r="AZ32" i="19"/>
  <c r="O42" i="19"/>
  <c r="Y44" i="19"/>
  <c r="AZ61" i="19"/>
  <c r="AT62" i="19"/>
  <c r="AT68" i="19"/>
  <c r="J140" i="19"/>
  <c r="AU196" i="19"/>
  <c r="O288" i="19"/>
  <c r="U288" i="19"/>
  <c r="AT177" i="19"/>
  <c r="O188" i="19"/>
  <c r="O189" i="19"/>
  <c r="AZ47" i="19"/>
  <c r="AZ142" i="19"/>
  <c r="W163" i="19"/>
  <c r="AE141" i="7" s="1"/>
  <c r="R313" i="19"/>
  <c r="T313" i="19"/>
  <c r="AZ318" i="19"/>
  <c r="W145" i="19"/>
  <c r="AZ148" i="19"/>
  <c r="Y160" i="19"/>
  <c r="AT160" i="19"/>
  <c r="R224" i="19"/>
  <c r="W232" i="19"/>
  <c r="AT226" i="19"/>
  <c r="AT232" i="19"/>
  <c r="Y226" i="19"/>
  <c r="AZ298" i="19"/>
  <c r="X307" i="19"/>
  <c r="AZ307" i="19"/>
  <c r="AZ312" i="19"/>
  <c r="N313" i="19"/>
  <c r="V318" i="19"/>
  <c r="AO56" i="19"/>
  <c r="AZ71" i="19"/>
  <c r="AZ149" i="19"/>
  <c r="O152" i="19"/>
  <c r="Q152" i="19"/>
  <c r="Y175" i="19"/>
  <c r="Y178" i="19"/>
  <c r="AZ178" i="19" s="1"/>
  <c r="AT178" i="19"/>
  <c r="T197" i="19"/>
  <c r="AT212" i="19"/>
  <c r="AT214" i="19"/>
  <c r="Y212" i="19"/>
  <c r="O215" i="19"/>
  <c r="Y293" i="19"/>
  <c r="Y294" i="19"/>
  <c r="AT293" i="19"/>
  <c r="J27" i="19"/>
  <c r="Y38" i="19"/>
  <c r="Y57" i="19"/>
  <c r="L59" i="19"/>
  <c r="S73" i="19"/>
  <c r="T74" i="19"/>
  <c r="AZ137" i="19"/>
  <c r="Y142" i="19"/>
  <c r="AT161" i="19"/>
  <c r="S163" i="19"/>
  <c r="W181" i="19"/>
  <c r="S196" i="19"/>
  <c r="Y191" i="19"/>
  <c r="Y196" i="19"/>
  <c r="P203" i="19"/>
  <c r="P208" i="19"/>
  <c r="V203" i="19"/>
  <c r="T208" i="19"/>
  <c r="T209" i="19"/>
  <c r="AZ223" i="19"/>
  <c r="Y242" i="19"/>
  <c r="Y249" i="19"/>
  <c r="Q288" i="19"/>
  <c r="V294" i="19"/>
  <c r="AZ294" i="19"/>
  <c r="V312" i="19"/>
  <c r="AT301" i="19"/>
  <c r="Y301" i="19"/>
  <c r="S307" i="19"/>
  <c r="W307" i="19"/>
  <c r="U313" i="19"/>
  <c r="W318" i="19"/>
  <c r="AT315" i="19"/>
  <c r="AT318" i="19"/>
  <c r="Y315" i="19"/>
  <c r="Y318" i="19"/>
  <c r="Q319" i="19"/>
  <c r="V214" i="19"/>
  <c r="AZ213" i="19"/>
  <c r="AZ214" i="19"/>
  <c r="W223" i="19"/>
  <c r="Y217" i="19"/>
  <c r="X243" i="19"/>
  <c r="AZ235" i="19"/>
  <c r="AZ243" i="19"/>
  <c r="W287" i="19"/>
  <c r="AT283" i="19"/>
  <c r="AT287" i="19"/>
  <c r="AZ287" i="19"/>
  <c r="O295" i="19"/>
  <c r="X294" i="19"/>
  <c r="U152" i="19"/>
  <c r="AZ154" i="19"/>
  <c r="V163" i="19"/>
  <c r="V181" i="19"/>
  <c r="R209" i="19"/>
  <c r="V208" i="19"/>
  <c r="Y211" i="19"/>
  <c r="N224" i="19"/>
  <c r="X223" i="19"/>
  <c r="S243" i="19"/>
  <c r="Y235" i="19"/>
  <c r="Y241" i="19"/>
  <c r="Y243" i="19"/>
  <c r="P287" i="19"/>
  <c r="X287" i="19"/>
  <c r="Y286" i="19"/>
  <c r="Y287" i="19"/>
  <c r="R288" i="19"/>
  <c r="N288" i="19"/>
  <c r="R295" i="19"/>
  <c r="S312" i="19"/>
  <c r="Y298" i="19"/>
  <c r="AT298" i="19"/>
  <c r="Y299" i="19"/>
  <c r="N319" i="19"/>
  <c r="O312" i="19"/>
  <c r="T319" i="19"/>
  <c r="Q295" i="19"/>
  <c r="M31" i="18"/>
  <c r="AN31" i="18"/>
  <c r="AN33" i="18" s="1"/>
  <c r="K33" i="18"/>
  <c r="AI32" i="18"/>
  <c r="AO139" i="18"/>
  <c r="AI23" i="18"/>
  <c r="AI25" i="18"/>
  <c r="V181" i="18"/>
  <c r="X26" i="18"/>
  <c r="AZ30" i="18"/>
  <c r="Y137" i="18"/>
  <c r="Y139" i="18" s="1"/>
  <c r="Z137" i="18" s="1"/>
  <c r="AT137" i="18"/>
  <c r="AT139" i="18" s="1"/>
  <c r="W139" i="18"/>
  <c r="N146" i="18"/>
  <c r="X181" i="18"/>
  <c r="Y200" i="18"/>
  <c r="AT200" i="18"/>
  <c r="X243" i="18"/>
  <c r="AZ235" i="18"/>
  <c r="AZ242" i="18"/>
  <c r="Y242" i="18"/>
  <c r="X287" i="18"/>
  <c r="AZ283" i="18"/>
  <c r="R295" i="18"/>
  <c r="Q312" i="18"/>
  <c r="S307" i="18"/>
  <c r="M32" i="18"/>
  <c r="M33" i="18" s="1"/>
  <c r="L33" i="18"/>
  <c r="Y25" i="18"/>
  <c r="AT32" i="18"/>
  <c r="W58" i="18"/>
  <c r="W65" i="18"/>
  <c r="N74" i="18"/>
  <c r="X139" i="18"/>
  <c r="AZ137" i="18"/>
  <c r="AZ139" i="18" s="1"/>
  <c r="BA138" i="18" s="1"/>
  <c r="T188" i="18"/>
  <c r="T189" i="18"/>
  <c r="O197" i="18"/>
  <c r="S243" i="18"/>
  <c r="Y235" i="18"/>
  <c r="T295" i="18"/>
  <c r="P312" i="18"/>
  <c r="Z324" i="18"/>
  <c r="Z325" i="18"/>
  <c r="Z326" i="18"/>
  <c r="Y14" i="18"/>
  <c r="AI15" i="18"/>
  <c r="T288" i="18"/>
  <c r="AZ38" i="18"/>
  <c r="AZ44" i="18"/>
  <c r="AZ55" i="18"/>
  <c r="AT44" i="18"/>
  <c r="AT57" i="18"/>
  <c r="K59" i="18"/>
  <c r="O66" i="18"/>
  <c r="L140" i="18"/>
  <c r="S145" i="18"/>
  <c r="Y142" i="18"/>
  <c r="AZ143" i="18"/>
  <c r="AT161" i="18"/>
  <c r="V196" i="18"/>
  <c r="AT201" i="18"/>
  <c r="Y201" i="18"/>
  <c r="AZ202" i="18"/>
  <c r="AZ207" i="18"/>
  <c r="AT223" i="18"/>
  <c r="R233" i="18"/>
  <c r="Y239" i="18"/>
  <c r="AZ303" i="18"/>
  <c r="U313" i="18"/>
  <c r="W318" i="18"/>
  <c r="AT315" i="18"/>
  <c r="AT318" i="18"/>
  <c r="Y315" i="18"/>
  <c r="Y318" i="18"/>
  <c r="Z323" i="18"/>
  <c r="N295" i="18"/>
  <c r="AI14" i="18"/>
  <c r="AZ14" i="18"/>
  <c r="AZ15" i="18"/>
  <c r="O319" i="18"/>
  <c r="O146" i="18"/>
  <c r="O42" i="18"/>
  <c r="O152" i="18"/>
  <c r="O74" i="18"/>
  <c r="N42" i="18"/>
  <c r="AT56" i="18"/>
  <c r="AI139" i="18"/>
  <c r="AI138" i="18"/>
  <c r="R152" i="18"/>
  <c r="P181" i="18"/>
  <c r="AZ200" i="18"/>
  <c r="X203" i="18"/>
  <c r="X208" i="18"/>
  <c r="Y13" i="18"/>
  <c r="AT23" i="18"/>
  <c r="J33" i="18"/>
  <c r="AT45" i="18"/>
  <c r="L59" i="18"/>
  <c r="AT63" i="18"/>
  <c r="AT64" i="18"/>
  <c r="T66" i="18"/>
  <c r="AT72" i="18"/>
  <c r="AI137" i="18"/>
  <c r="AZ142" i="18"/>
  <c r="N152" i="18"/>
  <c r="T152" i="18"/>
  <c r="AT156" i="18"/>
  <c r="AT162" i="18"/>
  <c r="T169" i="18"/>
  <c r="V163" i="18"/>
  <c r="N189" i="18"/>
  <c r="W181" i="18"/>
  <c r="AA158" i="7" s="1"/>
  <c r="W196" i="18"/>
  <c r="AZ195" i="18"/>
  <c r="AZ196" i="18"/>
  <c r="N197" i="18"/>
  <c r="S203" i="18"/>
  <c r="S208" i="18"/>
  <c r="Q208" i="18"/>
  <c r="Q209" i="18"/>
  <c r="W203" i="18"/>
  <c r="Y238" i="18"/>
  <c r="AT238" i="18"/>
  <c r="N288" i="18"/>
  <c r="V312" i="18"/>
  <c r="Y304" i="18"/>
  <c r="AZ304" i="18"/>
  <c r="AT68" i="18"/>
  <c r="K140" i="18"/>
  <c r="AT142" i="18"/>
  <c r="T146" i="18"/>
  <c r="R209" i="18"/>
  <c r="Y211" i="18"/>
  <c r="W214" i="18"/>
  <c r="AZ223" i="18"/>
  <c r="Y218" i="18"/>
  <c r="R224" i="18"/>
  <c r="W243" i="18"/>
  <c r="V287" i="18"/>
  <c r="Y286" i="18"/>
  <c r="AT286" i="18"/>
  <c r="O288" i="18"/>
  <c r="U288" i="18"/>
  <c r="Y290" i="18"/>
  <c r="X294" i="18"/>
  <c r="W294" i="18"/>
  <c r="Y298" i="18"/>
  <c r="AT298" i="18"/>
  <c r="N313" i="18"/>
  <c r="R319" i="18"/>
  <c r="AZ175" i="18"/>
  <c r="R197" i="18"/>
  <c r="AZ203" i="18"/>
  <c r="V203" i="18"/>
  <c r="V208" i="18"/>
  <c r="X232" i="18"/>
  <c r="AZ226" i="18"/>
  <c r="AZ232" i="18"/>
  <c r="Z248" i="18"/>
  <c r="Z246" i="18"/>
  <c r="Z247" i="18"/>
  <c r="Z249" i="18"/>
  <c r="S312" i="18"/>
  <c r="AZ298" i="18"/>
  <c r="Y306" i="18"/>
  <c r="AT306" i="18"/>
  <c r="AZ318" i="18"/>
  <c r="AZ214" i="18"/>
  <c r="R215" i="18"/>
  <c r="W223" i="18"/>
  <c r="Y217" i="18"/>
  <c r="W232" i="18"/>
  <c r="Y226" i="18"/>
  <c r="N233" i="18"/>
  <c r="W287" i="18"/>
  <c r="AT283" i="18"/>
  <c r="Y283" i="18"/>
  <c r="Q288" i="18"/>
  <c r="Y292" i="18"/>
  <c r="AT292" i="18"/>
  <c r="O295" i="18"/>
  <c r="X307" i="18"/>
  <c r="AZ307" i="18"/>
  <c r="AZ312" i="18"/>
  <c r="R313" i="18"/>
  <c r="T313" i="18"/>
  <c r="U319" i="18"/>
  <c r="V243" i="18"/>
  <c r="AT236" i="18"/>
  <c r="AT243" i="18"/>
  <c r="AZ284" i="18"/>
  <c r="AT297" i="18"/>
  <c r="W307" i="18"/>
  <c r="W312" i="18"/>
  <c r="S318" i="18"/>
  <c r="N319" i="18"/>
  <c r="R288" i="18"/>
  <c r="O312" i="18"/>
  <c r="T319" i="18"/>
  <c r="Q295" i="18"/>
  <c r="AI13" i="17"/>
  <c r="K33" i="17"/>
  <c r="M31" i="17"/>
  <c r="AN31" i="17"/>
  <c r="AI139" i="17"/>
  <c r="AI137" i="17"/>
  <c r="AI138" i="17"/>
  <c r="Z324" i="17"/>
  <c r="Z326" i="17"/>
  <c r="Z323" i="17"/>
  <c r="Z325" i="17"/>
  <c r="M30" i="17"/>
  <c r="AH30" i="17"/>
  <c r="J33" i="17"/>
  <c r="AO25" i="17"/>
  <c r="AO13" i="17"/>
  <c r="AO14" i="17"/>
  <c r="AO15" i="17"/>
  <c r="AT13" i="17"/>
  <c r="AT14" i="17"/>
  <c r="AT15" i="17"/>
  <c r="T295" i="17"/>
  <c r="T146" i="17"/>
  <c r="T152" i="17"/>
  <c r="X58" i="17"/>
  <c r="T74" i="17"/>
  <c r="T188" i="17"/>
  <c r="T189" i="17"/>
  <c r="Y191" i="17"/>
  <c r="W196" i="17"/>
  <c r="AT191" i="17"/>
  <c r="T215" i="17"/>
  <c r="Y293" i="17"/>
  <c r="AT293" i="17"/>
  <c r="AT24" i="17"/>
  <c r="J27" i="17"/>
  <c r="T66" i="17"/>
  <c r="Y81" i="17"/>
  <c r="Y157" i="17"/>
  <c r="Q197" i="17"/>
  <c r="T319" i="17"/>
  <c r="Y13" i="17"/>
  <c r="Y15" i="17"/>
  <c r="AZ13" i="17"/>
  <c r="AZ15" i="17"/>
  <c r="N295" i="17"/>
  <c r="R295" i="17"/>
  <c r="Y23" i="17"/>
  <c r="AZ23" i="17"/>
  <c r="K27" i="17"/>
  <c r="M32" i="17"/>
  <c r="Y39" i="17"/>
  <c r="AZ40" i="17"/>
  <c r="N42" i="17"/>
  <c r="U42" i="17"/>
  <c r="W58" i="17"/>
  <c r="AZ45" i="17"/>
  <c r="W65" i="17"/>
  <c r="Y61" i="17"/>
  <c r="AZ68" i="17"/>
  <c r="Y72" i="17"/>
  <c r="R74" i="17"/>
  <c r="N74" i="17"/>
  <c r="X139" i="17"/>
  <c r="J140" i="17"/>
  <c r="K140" i="17"/>
  <c r="AT144" i="17"/>
  <c r="Y156" i="17"/>
  <c r="AT156" i="17"/>
  <c r="S181" i="17"/>
  <c r="S188" i="17"/>
  <c r="R197" i="17"/>
  <c r="S203" i="17"/>
  <c r="S208" i="17"/>
  <c r="R208" i="17"/>
  <c r="R209" i="17"/>
  <c r="AZ212" i="17"/>
  <c r="X214" i="17"/>
  <c r="Y286" i="17"/>
  <c r="AT286" i="17"/>
  <c r="Y299" i="17"/>
  <c r="AT299" i="17"/>
  <c r="Y303" i="17"/>
  <c r="AT303" i="17"/>
  <c r="Q313" i="17"/>
  <c r="X20" i="17"/>
  <c r="X38" i="7" s="1"/>
  <c r="AT160" i="17"/>
  <c r="S163" i="17"/>
  <c r="Q169" i="17"/>
  <c r="Y222" i="17"/>
  <c r="AZ222" i="17"/>
  <c r="AZ223" i="17"/>
  <c r="W294" i="17"/>
  <c r="Q319" i="17"/>
  <c r="L33" i="17"/>
  <c r="T42" i="17"/>
  <c r="Y218" i="17"/>
  <c r="W223" i="17"/>
  <c r="AT218" i="17"/>
  <c r="X223" i="17"/>
  <c r="U233" i="17"/>
  <c r="O319" i="17"/>
  <c r="O197" i="17"/>
  <c r="O313" i="17"/>
  <c r="Y50" i="17"/>
  <c r="Y54" i="17"/>
  <c r="U66" i="17"/>
  <c r="O66" i="17"/>
  <c r="Y142" i="17"/>
  <c r="U146" i="17"/>
  <c r="N146" i="17"/>
  <c r="AZ148" i="17"/>
  <c r="AT149" i="17"/>
  <c r="N189" i="17"/>
  <c r="Y192" i="17"/>
  <c r="AT192" i="17"/>
  <c r="AZ193" i="17"/>
  <c r="AT199" i="17"/>
  <c r="T209" i="17"/>
  <c r="W203" i="17"/>
  <c r="W208" i="17"/>
  <c r="T224" i="17"/>
  <c r="AZ227" i="17"/>
  <c r="Y227" i="17"/>
  <c r="Y240" i="17"/>
  <c r="AT240" i="17"/>
  <c r="AT143" i="17"/>
  <c r="O152" i="17"/>
  <c r="R189" i="17"/>
  <c r="P196" i="17"/>
  <c r="X196" i="17"/>
  <c r="AZ192" i="17"/>
  <c r="AZ196" i="17"/>
  <c r="P203" i="17"/>
  <c r="N208" i="17"/>
  <c r="N209" i="17"/>
  <c r="N215" i="17"/>
  <c r="W214" i="17"/>
  <c r="V223" i="17"/>
  <c r="O224" i="17"/>
  <c r="Y231" i="17"/>
  <c r="AT231" i="17"/>
  <c r="AT232" i="17"/>
  <c r="X243" i="17"/>
  <c r="Y235" i="17"/>
  <c r="W287" i="17"/>
  <c r="Y283" i="17"/>
  <c r="AT283" i="17"/>
  <c r="Y68" i="17"/>
  <c r="AO139" i="17"/>
  <c r="O146" i="17"/>
  <c r="Y150" i="17"/>
  <c r="U152" i="17"/>
  <c r="W181" i="17"/>
  <c r="W158" i="7" s="1"/>
  <c r="Q188" i="17"/>
  <c r="Q189" i="17"/>
  <c r="N197" i="17"/>
  <c r="T197" i="17"/>
  <c r="O209" i="17"/>
  <c r="U209" i="17"/>
  <c r="P208" i="17"/>
  <c r="Y212" i="17"/>
  <c r="Y214" i="17"/>
  <c r="AT212" i="17"/>
  <c r="AT214" i="17"/>
  <c r="O215" i="17"/>
  <c r="AT223" i="17"/>
  <c r="AZ235" i="17"/>
  <c r="AZ243" i="17"/>
  <c r="Y237" i="17"/>
  <c r="W243" i="17"/>
  <c r="Y241" i="17"/>
  <c r="AT241" i="17"/>
  <c r="Y306" i="17"/>
  <c r="AT306" i="17"/>
  <c r="AU317" i="17"/>
  <c r="AU318" i="17"/>
  <c r="AU315" i="17"/>
  <c r="Q215" i="17"/>
  <c r="W232" i="17"/>
  <c r="Y226" i="17"/>
  <c r="S243" i="17"/>
  <c r="Y238" i="17"/>
  <c r="P287" i="17"/>
  <c r="X287" i="17"/>
  <c r="AZ283" i="17"/>
  <c r="AZ287" i="17"/>
  <c r="AZ294" i="17"/>
  <c r="R313" i="17"/>
  <c r="V318" i="17"/>
  <c r="AZ214" i="17"/>
  <c r="R224" i="17"/>
  <c r="P232" i="17"/>
  <c r="X232" i="17"/>
  <c r="AZ226" i="17"/>
  <c r="N233" i="17"/>
  <c r="T233" i="17"/>
  <c r="Z248" i="17"/>
  <c r="Z246" i="17"/>
  <c r="Z247" i="17"/>
  <c r="R288" i="17"/>
  <c r="Y294" i="17"/>
  <c r="O295" i="17"/>
  <c r="Y302" i="17"/>
  <c r="AT302" i="17"/>
  <c r="P307" i="17"/>
  <c r="P312" i="17"/>
  <c r="BA315" i="17"/>
  <c r="V243" i="17"/>
  <c r="S287" i="17"/>
  <c r="N288" i="17"/>
  <c r="AT292" i="17"/>
  <c r="W312" i="17"/>
  <c r="AT298" i="17"/>
  <c r="T313" i="17"/>
  <c r="U313" i="17"/>
  <c r="W318" i="17"/>
  <c r="Y315" i="17"/>
  <c r="Y318" i="17"/>
  <c r="X318" i="17"/>
  <c r="O288" i="17"/>
  <c r="U288" i="17"/>
  <c r="P294" i="17"/>
  <c r="X294" i="17"/>
  <c r="S307" i="17"/>
  <c r="S312" i="17"/>
  <c r="N319" i="17"/>
  <c r="R319" i="17"/>
  <c r="T288" i="17"/>
  <c r="U295" i="17"/>
  <c r="AT297" i="17"/>
  <c r="Q295" i="17"/>
  <c r="Z324" i="16"/>
  <c r="Z326" i="16"/>
  <c r="Z323" i="16"/>
  <c r="Z325" i="16"/>
  <c r="AU14" i="16"/>
  <c r="AU13" i="16"/>
  <c r="BA15" i="16"/>
  <c r="BA14" i="16"/>
  <c r="BA13" i="16"/>
  <c r="AT161" i="16"/>
  <c r="Y213" i="16"/>
  <c r="AT213" i="16"/>
  <c r="N288" i="16"/>
  <c r="Y299" i="16"/>
  <c r="AT299" i="16"/>
  <c r="Y303" i="16"/>
  <c r="AT303" i="16"/>
  <c r="M32" i="16"/>
  <c r="M33" i="16" s="1"/>
  <c r="L33" i="16"/>
  <c r="M31" i="16"/>
  <c r="X139" i="16"/>
  <c r="AZ137" i="16"/>
  <c r="AZ139" i="16" s="1"/>
  <c r="AO139" i="16"/>
  <c r="T224" i="16"/>
  <c r="T233" i="16"/>
  <c r="X223" i="16"/>
  <c r="AZ217" i="16"/>
  <c r="AZ223" i="16"/>
  <c r="O319" i="16"/>
  <c r="O152" i="16"/>
  <c r="O313" i="16"/>
  <c r="O42" i="16"/>
  <c r="O146" i="16"/>
  <c r="AZ30" i="16"/>
  <c r="AT30" i="16"/>
  <c r="AN31" i="16"/>
  <c r="AN33" i="16" s="1"/>
  <c r="K33" i="16"/>
  <c r="AZ47" i="16"/>
  <c r="AT49" i="16"/>
  <c r="Y51" i="16"/>
  <c r="AT52" i="16"/>
  <c r="Y56" i="16"/>
  <c r="AZ69" i="16"/>
  <c r="AT70" i="16"/>
  <c r="AO137" i="16"/>
  <c r="T152" i="16"/>
  <c r="O169" i="16"/>
  <c r="Y193" i="16"/>
  <c r="AT193" i="16"/>
  <c r="AZ194" i="16"/>
  <c r="X196" i="16"/>
  <c r="P203" i="16"/>
  <c r="V203" i="16"/>
  <c r="T208" i="16"/>
  <c r="T209" i="16"/>
  <c r="W203" i="16"/>
  <c r="W208" i="16"/>
  <c r="N209" i="16"/>
  <c r="AZ231" i="16"/>
  <c r="AZ232" i="16"/>
  <c r="Y231" i="16"/>
  <c r="Y232" i="16"/>
  <c r="Y240" i="16"/>
  <c r="AT240" i="16"/>
  <c r="Y13" i="16"/>
  <c r="W15" i="16"/>
  <c r="X58" i="16"/>
  <c r="AZ44" i="16"/>
  <c r="V181" i="16"/>
  <c r="T188" i="16"/>
  <c r="T189" i="16"/>
  <c r="W181" i="16"/>
  <c r="V208" i="16"/>
  <c r="AT48" i="16"/>
  <c r="AT53" i="16"/>
  <c r="L59" i="16"/>
  <c r="AI15" i="16"/>
  <c r="AI14" i="16"/>
  <c r="AI13" i="16"/>
  <c r="T295" i="16"/>
  <c r="AH30" i="16"/>
  <c r="T42" i="16"/>
  <c r="Y44" i="16"/>
  <c r="W65" i="16"/>
  <c r="T146" i="16"/>
  <c r="O189" i="16"/>
  <c r="W196" i="16"/>
  <c r="Y192" i="16"/>
  <c r="Y196" i="16"/>
  <c r="AT192" i="16"/>
  <c r="W214" i="16"/>
  <c r="Y211" i="16"/>
  <c r="AT237" i="16"/>
  <c r="Y237" i="16"/>
  <c r="O288" i="16"/>
  <c r="U288" i="16"/>
  <c r="Y293" i="16"/>
  <c r="AT293" i="16"/>
  <c r="Q313" i="16"/>
  <c r="T319" i="16"/>
  <c r="Q319" i="16"/>
  <c r="Q288" i="16"/>
  <c r="Q66" i="16"/>
  <c r="U66" i="16"/>
  <c r="AT68" i="16"/>
  <c r="U152" i="16"/>
  <c r="AT160" i="16"/>
  <c r="V163" i="16"/>
  <c r="V196" i="16"/>
  <c r="R197" i="16"/>
  <c r="P208" i="16"/>
  <c r="V223" i="16"/>
  <c r="N224" i="16"/>
  <c r="Y235" i="16"/>
  <c r="W243" i="16"/>
  <c r="AZ242" i="16"/>
  <c r="Y242" i="16"/>
  <c r="X287" i="16"/>
  <c r="AZ283" i="16"/>
  <c r="AZ287" i="16"/>
  <c r="R288" i="16"/>
  <c r="AT294" i="16"/>
  <c r="W294" i="16"/>
  <c r="T215" i="16"/>
  <c r="N197" i="16"/>
  <c r="N74" i="16"/>
  <c r="Y137" i="16"/>
  <c r="AI139" i="16"/>
  <c r="AI138" i="16"/>
  <c r="Y157" i="16"/>
  <c r="X181" i="16"/>
  <c r="T158" i="7" s="1"/>
  <c r="U189" i="16"/>
  <c r="T197" i="16"/>
  <c r="Y201" i="16"/>
  <c r="AT211" i="16"/>
  <c r="W223" i="16"/>
  <c r="AT217" i="16"/>
  <c r="Y217" i="16"/>
  <c r="AT222" i="16"/>
  <c r="W232" i="16"/>
  <c r="AZ236" i="16"/>
  <c r="AZ243" i="16"/>
  <c r="X243" i="16"/>
  <c r="X294" i="16"/>
  <c r="Y290" i="16"/>
  <c r="AZ290" i="16"/>
  <c r="AZ294" i="16"/>
  <c r="N295" i="16"/>
  <c r="Y306" i="16"/>
  <c r="AT306" i="16"/>
  <c r="AU317" i="16"/>
  <c r="AU318" i="16"/>
  <c r="AT199" i="16"/>
  <c r="P243" i="16"/>
  <c r="Y241" i="16"/>
  <c r="S287" i="16"/>
  <c r="AT286" i="16"/>
  <c r="AT287" i="16"/>
  <c r="Y298" i="16"/>
  <c r="AT298" i="16"/>
  <c r="R313" i="16"/>
  <c r="S214" i="16"/>
  <c r="AZ212" i="16"/>
  <c r="AZ214" i="16"/>
  <c r="N215" i="16"/>
  <c r="AT227" i="16"/>
  <c r="AT232" i="16"/>
  <c r="Y236" i="16"/>
  <c r="Y249" i="16"/>
  <c r="R295" i="16"/>
  <c r="Y302" i="16"/>
  <c r="AT302" i="16"/>
  <c r="P307" i="16"/>
  <c r="P312" i="16"/>
  <c r="N312" i="16"/>
  <c r="W307" i="16"/>
  <c r="W312" i="16"/>
  <c r="BA315" i="16"/>
  <c r="BA318" i="16"/>
  <c r="BA316" i="16"/>
  <c r="BA317" i="16"/>
  <c r="AT241" i="16"/>
  <c r="O295" i="16"/>
  <c r="V312" i="16"/>
  <c r="T313" i="16"/>
  <c r="U313" i="16"/>
  <c r="W318" i="16"/>
  <c r="Y315" i="16"/>
  <c r="X318" i="16"/>
  <c r="W287" i="16"/>
  <c r="Y283" i="16"/>
  <c r="S307" i="16"/>
  <c r="S312" i="16"/>
  <c r="N319" i="16"/>
  <c r="R319" i="16"/>
  <c r="T288" i="16"/>
  <c r="U295" i="16"/>
  <c r="AT297" i="16"/>
  <c r="Q295" i="16"/>
  <c r="X307" i="16"/>
  <c r="X15" i="15"/>
  <c r="X16" i="15"/>
  <c r="Y16" i="15"/>
  <c r="Z15" i="15"/>
  <c r="Z14" i="15"/>
  <c r="Z13" i="15"/>
  <c r="AU199" i="15"/>
  <c r="AU203" i="15"/>
  <c r="AU202" i="15"/>
  <c r="AU207" i="15"/>
  <c r="AZ25" i="15"/>
  <c r="M30" i="15"/>
  <c r="J33" i="15"/>
  <c r="AH30" i="15"/>
  <c r="AO138" i="15"/>
  <c r="AO139" i="15"/>
  <c r="AO13" i="15"/>
  <c r="AO14" i="15"/>
  <c r="AO25" i="15"/>
  <c r="AI139" i="15"/>
  <c r="AI138" i="15"/>
  <c r="AI137" i="15"/>
  <c r="AI15" i="15"/>
  <c r="AI14" i="15"/>
  <c r="AZ18" i="15"/>
  <c r="O319" i="15"/>
  <c r="O197" i="15"/>
  <c r="X20" i="15"/>
  <c r="P38" i="7" s="1"/>
  <c r="M32" i="15"/>
  <c r="L33" i="15"/>
  <c r="O42" i="15"/>
  <c r="AZ61" i="15"/>
  <c r="O74" i="15"/>
  <c r="O169" i="15"/>
  <c r="AT196" i="15"/>
  <c r="BA193" i="15"/>
  <c r="BA192" i="15"/>
  <c r="Q208" i="15"/>
  <c r="Q209" i="15"/>
  <c r="R215" i="15"/>
  <c r="AZ218" i="15"/>
  <c r="O288" i="15"/>
  <c r="U288" i="15"/>
  <c r="Y292" i="15"/>
  <c r="AT292" i="15"/>
  <c r="Y297" i="15"/>
  <c r="Y306" i="15"/>
  <c r="AT306" i="15"/>
  <c r="Z324" i="15"/>
  <c r="Z325" i="15"/>
  <c r="Z323" i="15"/>
  <c r="AZ13" i="15"/>
  <c r="AZ15" i="15"/>
  <c r="W15" i="15"/>
  <c r="W16" i="15"/>
  <c r="AZ19" i="15"/>
  <c r="M31" i="15"/>
  <c r="W58" i="15"/>
  <c r="AT62" i="15"/>
  <c r="AT68" i="15"/>
  <c r="W145" i="15"/>
  <c r="O146" i="15"/>
  <c r="AZ148" i="15"/>
  <c r="AT160" i="15"/>
  <c r="O188" i="15"/>
  <c r="O189" i="15"/>
  <c r="BA195" i="15"/>
  <c r="BA196" i="15"/>
  <c r="Y201" i="15"/>
  <c r="Y202" i="15"/>
  <c r="X203" i="15"/>
  <c r="Y203" i="15"/>
  <c r="Y208" i="15"/>
  <c r="AZ203" i="15"/>
  <c r="R224" i="15"/>
  <c r="W232" i="15"/>
  <c r="AT226" i="15"/>
  <c r="Y226" i="15"/>
  <c r="Y232" i="15"/>
  <c r="AZ298" i="15"/>
  <c r="N313" i="15"/>
  <c r="V318" i="15"/>
  <c r="Y23" i="15"/>
  <c r="AZ47" i="15"/>
  <c r="AZ51" i="15"/>
  <c r="AZ55" i="15"/>
  <c r="O66" i="15"/>
  <c r="AZ71" i="15"/>
  <c r="AZ149" i="15"/>
  <c r="O152" i="15"/>
  <c r="Q152" i="15"/>
  <c r="S163" i="15"/>
  <c r="W163" i="15"/>
  <c r="O141" i="7" s="1"/>
  <c r="S188" i="15"/>
  <c r="AT178" i="15"/>
  <c r="Q189" i="15"/>
  <c r="BA191" i="15"/>
  <c r="T197" i="15"/>
  <c r="S203" i="15"/>
  <c r="S208" i="15"/>
  <c r="AZ207" i="15"/>
  <c r="AT212" i="15"/>
  <c r="AT214" i="15"/>
  <c r="Y212" i="15"/>
  <c r="O215" i="15"/>
  <c r="AT237" i="15"/>
  <c r="Y293" i="15"/>
  <c r="AT293" i="15"/>
  <c r="AT294" i="15"/>
  <c r="R313" i="15"/>
  <c r="T313" i="15"/>
  <c r="Q313" i="15"/>
  <c r="AZ318" i="15"/>
  <c r="Z326" i="15"/>
  <c r="AT13" i="15"/>
  <c r="AT15" i="15"/>
  <c r="J27" i="15"/>
  <c r="X26" i="15"/>
  <c r="AN31" i="15"/>
  <c r="AN33" i="15" s="1"/>
  <c r="Y38" i="15"/>
  <c r="Y44" i="15"/>
  <c r="Y45" i="15"/>
  <c r="Y48" i="15"/>
  <c r="Y49" i="15"/>
  <c r="Y52" i="15"/>
  <c r="Y53" i="15"/>
  <c r="Y56" i="15"/>
  <c r="Y57" i="15"/>
  <c r="L59" i="15"/>
  <c r="Y68" i="15"/>
  <c r="T74" i="15"/>
  <c r="AZ137" i="15"/>
  <c r="S145" i="15"/>
  <c r="X163" i="15"/>
  <c r="W181" i="15"/>
  <c r="O158" i="7" s="1"/>
  <c r="S196" i="15"/>
  <c r="Y191" i="15"/>
  <c r="BA194" i="15"/>
  <c r="AZ201" i="15"/>
  <c r="P203" i="15"/>
  <c r="P208" i="15"/>
  <c r="V203" i="15"/>
  <c r="T208" i="15"/>
  <c r="T209" i="15"/>
  <c r="AZ223" i="15"/>
  <c r="Y242" i="15"/>
  <c r="W243" i="15"/>
  <c r="Y249" i="15"/>
  <c r="Q288" i="15"/>
  <c r="V294" i="15"/>
  <c r="AZ294" i="15"/>
  <c r="W294" i="15"/>
  <c r="T295" i="15"/>
  <c r="V312" i="15"/>
  <c r="AT297" i="15"/>
  <c r="AT301" i="15"/>
  <c r="Y301" i="15"/>
  <c r="S307" i="15"/>
  <c r="W307" i="15"/>
  <c r="W318" i="15"/>
  <c r="AT315" i="15"/>
  <c r="AT318" i="15"/>
  <c r="Y315" i="15"/>
  <c r="Y318" i="15"/>
  <c r="Q319" i="15"/>
  <c r="V214" i="15"/>
  <c r="AZ213" i="15"/>
  <c r="AZ214" i="15"/>
  <c r="W223" i="15"/>
  <c r="Y217" i="15"/>
  <c r="Y223" i="15"/>
  <c r="X243" i="15"/>
  <c r="AZ235" i="15"/>
  <c r="AZ243" i="15"/>
  <c r="W287" i="15"/>
  <c r="AT283" i="15"/>
  <c r="AT287" i="15"/>
  <c r="AZ287" i="15"/>
  <c r="O295" i="15"/>
  <c r="X294" i="15"/>
  <c r="X307" i="15"/>
  <c r="AZ307" i="15"/>
  <c r="AZ312" i="15"/>
  <c r="U152" i="15"/>
  <c r="V163" i="15"/>
  <c r="V181" i="15"/>
  <c r="R209" i="15"/>
  <c r="V208" i="15"/>
  <c r="Y211" i="15"/>
  <c r="N224" i="15"/>
  <c r="X223" i="15"/>
  <c r="S243" i="15"/>
  <c r="Y235" i="15"/>
  <c r="Y241" i="15"/>
  <c r="P287" i="15"/>
  <c r="X287" i="15"/>
  <c r="Y286" i="15"/>
  <c r="R288" i="15"/>
  <c r="N288" i="15"/>
  <c r="R295" i="15"/>
  <c r="S312" i="15"/>
  <c r="Y298" i="15"/>
  <c r="AT298" i="15"/>
  <c r="Y299" i="15"/>
  <c r="N319" i="15"/>
  <c r="O312" i="15"/>
  <c r="T319" i="15"/>
  <c r="Q295" i="15"/>
  <c r="N295" i="14"/>
  <c r="N74" i="14"/>
  <c r="R288" i="14"/>
  <c r="R197" i="14"/>
  <c r="R74" i="14"/>
  <c r="W41" i="14"/>
  <c r="AT38" i="14"/>
  <c r="N152" i="14"/>
  <c r="N197" i="14"/>
  <c r="X214" i="14"/>
  <c r="AZ211" i="14"/>
  <c r="AZ214" i="14"/>
  <c r="Y211" i="14"/>
  <c r="Y213" i="14"/>
  <c r="AT213" i="14"/>
  <c r="Y14" i="14"/>
  <c r="M31" i="14"/>
  <c r="K33" i="14"/>
  <c r="O319" i="14"/>
  <c r="O295" i="14"/>
  <c r="O189" i="14"/>
  <c r="O146" i="14"/>
  <c r="X26" i="14"/>
  <c r="O42" i="14"/>
  <c r="AT47" i="14"/>
  <c r="Y47" i="14"/>
  <c r="AT51" i="14"/>
  <c r="AT55" i="14"/>
  <c r="N66" i="14"/>
  <c r="AI137" i="14"/>
  <c r="AI138" i="14"/>
  <c r="O197" i="14"/>
  <c r="Y285" i="14"/>
  <c r="W287" i="14"/>
  <c r="AT285" i="14"/>
  <c r="AT287" i="14"/>
  <c r="W15" i="14"/>
  <c r="Y13" i="14"/>
  <c r="AN15" i="14"/>
  <c r="AZ14" i="14"/>
  <c r="AZ15" i="14"/>
  <c r="L33" i="14"/>
  <c r="M32" i="14"/>
  <c r="AI15" i="14"/>
  <c r="T288" i="14"/>
  <c r="T197" i="14"/>
  <c r="T66" i="14"/>
  <c r="Y30" i="14"/>
  <c r="AT30" i="14"/>
  <c r="Y62" i="14"/>
  <c r="AT64" i="14"/>
  <c r="O152" i="14"/>
  <c r="Y158" i="14"/>
  <c r="AT158" i="14"/>
  <c r="X307" i="14"/>
  <c r="X312" i="14"/>
  <c r="AT13" i="14"/>
  <c r="AT15" i="14"/>
  <c r="AI14" i="14"/>
  <c r="AZ30" i="14"/>
  <c r="R42" i="14"/>
  <c r="X58" i="14"/>
  <c r="AZ44" i="14"/>
  <c r="Y52" i="14"/>
  <c r="AT52" i="14"/>
  <c r="Y56" i="14"/>
  <c r="AT56" i="14"/>
  <c r="W65" i="14"/>
  <c r="AT61" i="14"/>
  <c r="R313" i="14"/>
  <c r="N42" i="14"/>
  <c r="AZ46" i="14"/>
  <c r="O66" i="14"/>
  <c r="K140" i="14"/>
  <c r="R146" i="14"/>
  <c r="P203" i="14"/>
  <c r="P208" i="14"/>
  <c r="AZ199" i="14"/>
  <c r="Q209" i="14"/>
  <c r="Q215" i="14"/>
  <c r="W294" i="14"/>
  <c r="Y291" i="14"/>
  <c r="AT291" i="14"/>
  <c r="AT294" i="14"/>
  <c r="M30" i="14"/>
  <c r="T42" i="14"/>
  <c r="Y44" i="14"/>
  <c r="W58" i="14"/>
  <c r="Y48" i="14"/>
  <c r="K59" i="14"/>
  <c r="O74" i="14"/>
  <c r="AT138" i="14"/>
  <c r="Y138" i="14"/>
  <c r="Y139" i="14" s="1"/>
  <c r="AO139" i="14"/>
  <c r="AO138" i="14"/>
  <c r="AO137" i="14"/>
  <c r="L140" i="14"/>
  <c r="N146" i="14"/>
  <c r="T146" i="14"/>
  <c r="R152" i="14"/>
  <c r="P181" i="14"/>
  <c r="X203" i="14"/>
  <c r="AZ203" i="14"/>
  <c r="R208" i="14"/>
  <c r="R209" i="14"/>
  <c r="Y222" i="14"/>
  <c r="Y223" i="14"/>
  <c r="AT222" i="14"/>
  <c r="AT223" i="14"/>
  <c r="Y305" i="14"/>
  <c r="AT305" i="14"/>
  <c r="AZ137" i="14"/>
  <c r="AZ139" i="14"/>
  <c r="BA138" i="14" s="1"/>
  <c r="X139" i="14"/>
  <c r="W151" i="14"/>
  <c r="W203" i="14"/>
  <c r="S203" i="14"/>
  <c r="S208" i="14"/>
  <c r="N208" i="14"/>
  <c r="N209" i="14"/>
  <c r="W223" i="14"/>
  <c r="AZ299" i="14"/>
  <c r="Y299" i="14"/>
  <c r="P307" i="14"/>
  <c r="P312" i="14"/>
  <c r="N312" i="14"/>
  <c r="W307" i="14"/>
  <c r="R319" i="14"/>
  <c r="U295" i="14"/>
  <c r="R169" i="14"/>
  <c r="S181" i="14"/>
  <c r="V181" i="14"/>
  <c r="T189" i="14"/>
  <c r="Y191" i="14"/>
  <c r="AT202" i="14"/>
  <c r="O209" i="14"/>
  <c r="AT207" i="14"/>
  <c r="O224" i="14"/>
  <c r="AZ226" i="14"/>
  <c r="AZ232" i="14"/>
  <c r="AT227" i="14"/>
  <c r="AT232" i="14"/>
  <c r="W232" i="14"/>
  <c r="Y236" i="14"/>
  <c r="AT236" i="14"/>
  <c r="AZ237" i="14"/>
  <c r="AZ243" i="14"/>
  <c r="N288" i="14"/>
  <c r="Y293" i="14"/>
  <c r="Y300" i="14"/>
  <c r="AZ300" i="14"/>
  <c r="O312" i="14"/>
  <c r="AZ307" i="14"/>
  <c r="X318" i="14"/>
  <c r="AZ316" i="14"/>
  <c r="AZ318" i="14"/>
  <c r="Y316" i="14"/>
  <c r="N319" i="14"/>
  <c r="T319" i="14"/>
  <c r="U319" i="14"/>
  <c r="Z326" i="14"/>
  <c r="Q146" i="14"/>
  <c r="U146" i="14"/>
  <c r="Q152" i="14"/>
  <c r="U152" i="14"/>
  <c r="AZ156" i="14"/>
  <c r="P163" i="14"/>
  <c r="X181" i="14"/>
  <c r="L158" i="7" s="1"/>
  <c r="R188" i="14"/>
  <c r="R189" i="14"/>
  <c r="P196" i="14"/>
  <c r="X196" i="14"/>
  <c r="AZ191" i="14"/>
  <c r="AZ196" i="14"/>
  <c r="Y195" i="14"/>
  <c r="W196" i="14"/>
  <c r="Y199" i="14"/>
  <c r="AT214" i="14"/>
  <c r="U215" i="14"/>
  <c r="P223" i="14"/>
  <c r="X223" i="14"/>
  <c r="Y235" i="14"/>
  <c r="AT235" i="14"/>
  <c r="W243" i="14"/>
  <c r="Y317" i="14"/>
  <c r="AT317" i="14"/>
  <c r="AT318" i="14"/>
  <c r="W214" i="14"/>
  <c r="V232" i="14"/>
  <c r="Y240" i="14"/>
  <c r="X243" i="14"/>
  <c r="P294" i="14"/>
  <c r="X294" i="14"/>
  <c r="R295" i="14"/>
  <c r="W312" i="14"/>
  <c r="Y297" i="14"/>
  <c r="P318" i="14"/>
  <c r="U224" i="14"/>
  <c r="T224" i="14"/>
  <c r="Q233" i="14"/>
  <c r="V243" i="14"/>
  <c r="S294" i="14"/>
  <c r="Y302" i="14"/>
  <c r="AT302" i="14"/>
  <c r="U313" i="14"/>
  <c r="Q319" i="14"/>
  <c r="O288" i="14"/>
  <c r="Y292" i="14"/>
  <c r="S312" i="14"/>
  <c r="Y298" i="14"/>
  <c r="Y306" i="14"/>
  <c r="T313" i="14"/>
  <c r="W318" i="14"/>
  <c r="Y249" i="14"/>
  <c r="P287" i="14"/>
  <c r="X287" i="14"/>
  <c r="AZ283" i="14"/>
  <c r="AZ287" i="14"/>
  <c r="Y286" i="14"/>
  <c r="U288" i="14"/>
  <c r="AZ290" i="14"/>
  <c r="AZ294" i="14"/>
  <c r="T295" i="14"/>
  <c r="Q295" i="14"/>
  <c r="Q9" i="13"/>
  <c r="T9" i="13"/>
  <c r="N9" i="13"/>
  <c r="L3" i="13"/>
  <c r="AE8" i="23" s="1"/>
  <c r="V670" i="13"/>
  <c r="S670" i="13"/>
  <c r="P670" i="13"/>
  <c r="Y669" i="13"/>
  <c r="Y668" i="13"/>
  <c r="Y667" i="13"/>
  <c r="Y666" i="13"/>
  <c r="Y665" i="13"/>
  <c r="Y670" i="13"/>
  <c r="V663" i="13"/>
  <c r="S663" i="13"/>
  <c r="P663" i="13"/>
  <c r="Y662" i="13"/>
  <c r="Y661" i="13"/>
  <c r="Y660" i="13"/>
  <c r="Y659" i="13"/>
  <c r="Y658" i="13"/>
  <c r="Y657" i="13"/>
  <c r="Y656" i="13"/>
  <c r="Y655" i="13"/>
  <c r="Y654" i="13"/>
  <c r="S648" i="13"/>
  <c r="S650" i="13"/>
  <c r="S651" i="13"/>
  <c r="Y649" i="13"/>
  <c r="V648" i="13"/>
  <c r="P648" i="13"/>
  <c r="P650" i="13"/>
  <c r="P651" i="13"/>
  <c r="AC647" i="13"/>
  <c r="AB647" i="13"/>
  <c r="AA647" i="13"/>
  <c r="Y646" i="13"/>
  <c r="V641" i="13"/>
  <c r="V643" i="13"/>
  <c r="V644" i="13"/>
  <c r="P641" i="13"/>
  <c r="P643" i="13"/>
  <c r="P644" i="13"/>
  <c r="Y642" i="13"/>
  <c r="S641" i="13"/>
  <c r="S643" i="13"/>
  <c r="S644" i="13"/>
  <c r="Y641" i="13"/>
  <c r="AC640" i="13"/>
  <c r="AB640" i="13"/>
  <c r="AA640" i="13"/>
  <c r="Y639" i="13"/>
  <c r="Y635" i="13"/>
  <c r="V634" i="13"/>
  <c r="V636" i="13"/>
  <c r="V637" i="13"/>
  <c r="S634" i="13"/>
  <c r="S636" i="13"/>
  <c r="S637" i="13"/>
  <c r="P634" i="13"/>
  <c r="P636" i="13"/>
  <c r="P637" i="13"/>
  <c r="AC633" i="13"/>
  <c r="AB633" i="13"/>
  <c r="AA633" i="13"/>
  <c r="Y632" i="13"/>
  <c r="S628" i="13"/>
  <c r="S629" i="13"/>
  <c r="V628" i="13"/>
  <c r="V629" i="13"/>
  <c r="P628" i="13"/>
  <c r="P629" i="13"/>
  <c r="Y627" i="13"/>
  <c r="Y626" i="13"/>
  <c r="Y625" i="13"/>
  <c r="Y624" i="13"/>
  <c r="Y623" i="13"/>
  <c r="Y628" i="13"/>
  <c r="L620" i="13"/>
  <c r="L621" i="13"/>
  <c r="K620" i="13"/>
  <c r="K621" i="13"/>
  <c r="J620" i="13"/>
  <c r="J621" i="13"/>
  <c r="AN619" i="13"/>
  <c r="AH619" i="13"/>
  <c r="AT619" i="13"/>
  <c r="M619" i="13"/>
  <c r="AN618" i="13"/>
  <c r="AH618" i="13"/>
  <c r="Y618" i="13"/>
  <c r="AZ618" i="13"/>
  <c r="AT618" i="13"/>
  <c r="M618" i="13"/>
  <c r="AN617" i="13"/>
  <c r="AH617" i="13"/>
  <c r="AZ617" i="13"/>
  <c r="AT617" i="13"/>
  <c r="M617" i="13"/>
  <c r="AN616" i="13"/>
  <c r="AH616" i="13"/>
  <c r="Y616" i="13"/>
  <c r="AZ616" i="13"/>
  <c r="AT616" i="13"/>
  <c r="M616" i="13"/>
  <c r="AN615" i="13"/>
  <c r="AH615" i="13"/>
  <c r="AT615" i="13"/>
  <c r="M615" i="13"/>
  <c r="AN614" i="13"/>
  <c r="AH614" i="13"/>
  <c r="AZ614" i="13"/>
  <c r="AT614" i="13"/>
  <c r="M614" i="13"/>
  <c r="AN613" i="13"/>
  <c r="AH613" i="13"/>
  <c r="AZ613" i="13"/>
  <c r="AT613" i="13"/>
  <c r="M613" i="13"/>
  <c r="AN612" i="13"/>
  <c r="AH612" i="13"/>
  <c r="AZ612" i="13"/>
  <c r="AT612" i="13"/>
  <c r="M612" i="13"/>
  <c r="AN611" i="13"/>
  <c r="AH611" i="13"/>
  <c r="M611" i="13"/>
  <c r="L607" i="13"/>
  <c r="L608" i="13"/>
  <c r="K607" i="13"/>
  <c r="K608" i="13"/>
  <c r="J607" i="13"/>
  <c r="J608" i="13"/>
  <c r="AN606" i="13"/>
  <c r="AH606" i="13"/>
  <c r="M606" i="13"/>
  <c r="M600" i="13"/>
  <c r="M601" i="13"/>
  <c r="M605" i="13"/>
  <c r="M607" i="13"/>
  <c r="AN605" i="13"/>
  <c r="AH605" i="13"/>
  <c r="Y605" i="13"/>
  <c r="AM604" i="13"/>
  <c r="AG604" i="13"/>
  <c r="X604" i="13"/>
  <c r="AL603" i="13"/>
  <c r="AF603" i="13"/>
  <c r="X603" i="13"/>
  <c r="AK602" i="13"/>
  <c r="AE602" i="13"/>
  <c r="X602" i="13"/>
  <c r="AN601" i="13"/>
  <c r="AH601" i="13"/>
  <c r="Y601" i="13"/>
  <c r="AN600" i="13"/>
  <c r="AH600" i="13"/>
  <c r="L597" i="13"/>
  <c r="L598" i="13"/>
  <c r="K597" i="13"/>
  <c r="K598" i="13"/>
  <c r="J597" i="13"/>
  <c r="J598" i="13"/>
  <c r="AN596" i="13"/>
  <c r="AH596" i="13"/>
  <c r="AT596" i="13"/>
  <c r="M596" i="13"/>
  <c r="AN595" i="13"/>
  <c r="AH595" i="13"/>
  <c r="AZ595" i="13"/>
  <c r="Y595" i="13"/>
  <c r="M595" i="13"/>
  <c r="AN594" i="13"/>
  <c r="AH594" i="13"/>
  <c r="AZ594" i="13"/>
  <c r="AT594" i="13"/>
  <c r="M594" i="13"/>
  <c r="AN593" i="13"/>
  <c r="AH593" i="13"/>
  <c r="AZ593" i="13"/>
  <c r="M593" i="13"/>
  <c r="AN592" i="13"/>
  <c r="AH592" i="13"/>
  <c r="M592" i="13"/>
  <c r="M597" i="13"/>
  <c r="L589" i="13"/>
  <c r="L590" i="13"/>
  <c r="K589" i="13"/>
  <c r="K590" i="13"/>
  <c r="J589" i="13"/>
  <c r="J590" i="13"/>
  <c r="AN588" i="13"/>
  <c r="AH588" i="13"/>
  <c r="AT588" i="13"/>
  <c r="M588" i="13"/>
  <c r="AN587" i="13"/>
  <c r="AH587" i="13"/>
  <c r="AZ587" i="13"/>
  <c r="AT587" i="13"/>
  <c r="M587" i="13"/>
  <c r="AN586" i="13"/>
  <c r="AH586" i="13"/>
  <c r="AZ586" i="13"/>
  <c r="AT586" i="13"/>
  <c r="M586" i="13"/>
  <c r="AN585" i="13"/>
  <c r="AH585" i="13"/>
  <c r="AZ585" i="13"/>
  <c r="AT585" i="13"/>
  <c r="M585" i="13"/>
  <c r="AN584" i="13"/>
  <c r="AH584" i="13"/>
  <c r="AT584" i="13"/>
  <c r="M584" i="13"/>
  <c r="AN583" i="13"/>
  <c r="AH583" i="13"/>
  <c r="M583" i="13"/>
  <c r="L580" i="13"/>
  <c r="K580" i="13"/>
  <c r="J580" i="13"/>
  <c r="AN579" i="13"/>
  <c r="AH579" i="13"/>
  <c r="AZ579" i="13"/>
  <c r="AT579" i="13"/>
  <c r="M579" i="13"/>
  <c r="AN578" i="13"/>
  <c r="AH578" i="13"/>
  <c r="AZ578" i="13"/>
  <c r="AT578" i="13"/>
  <c r="M578" i="13"/>
  <c r="AN577" i="13"/>
  <c r="AH577" i="13"/>
  <c r="AZ577" i="13"/>
  <c r="Y577" i="13"/>
  <c r="M577" i="13"/>
  <c r="AN576" i="13"/>
  <c r="AH576" i="13"/>
  <c r="AT576" i="13"/>
  <c r="M576" i="13"/>
  <c r="U572" i="13"/>
  <c r="T572" i="13"/>
  <c r="R572" i="13"/>
  <c r="Q572" i="13"/>
  <c r="O572" i="13"/>
  <c r="N572" i="13"/>
  <c r="X571" i="13"/>
  <c r="AZ571" i="13"/>
  <c r="W571" i="13"/>
  <c r="V571" i="13"/>
  <c r="S571" i="13"/>
  <c r="P571" i="13"/>
  <c r="W570" i="13"/>
  <c r="AT570" i="13"/>
  <c r="X570" i="13"/>
  <c r="X572" i="13"/>
  <c r="V570" i="13"/>
  <c r="S570" i="13"/>
  <c r="P570" i="13"/>
  <c r="P572" i="13"/>
  <c r="T538" i="13"/>
  <c r="N538" i="13"/>
  <c r="R528" i="13"/>
  <c r="R533" i="13"/>
  <c r="U515" i="13"/>
  <c r="V546" i="13"/>
  <c r="V547" i="13"/>
  <c r="S546" i="13"/>
  <c r="S547" i="13"/>
  <c r="P546" i="13"/>
  <c r="P547" i="13"/>
  <c r="Y545" i="13"/>
  <c r="Y544" i="13"/>
  <c r="Y543" i="13"/>
  <c r="Y546" i="13"/>
  <c r="Z546" i="13"/>
  <c r="AC540" i="13"/>
  <c r="AB540" i="13"/>
  <c r="AA540" i="13"/>
  <c r="U538" i="13"/>
  <c r="R538" i="13"/>
  <c r="Q538" i="13"/>
  <c r="O538" i="13"/>
  <c r="W537" i="13"/>
  <c r="AT537" i="13"/>
  <c r="X537" i="13"/>
  <c r="AZ537" i="13"/>
  <c r="V537" i="13"/>
  <c r="S537" i="13"/>
  <c r="P537" i="13"/>
  <c r="P535" i="13"/>
  <c r="P536" i="13"/>
  <c r="P538" i="13"/>
  <c r="X536" i="13"/>
  <c r="W536" i="13"/>
  <c r="AT536" i="13"/>
  <c r="V536" i="13"/>
  <c r="V535" i="13"/>
  <c r="V538" i="13"/>
  <c r="S536" i="13"/>
  <c r="W535" i="13"/>
  <c r="AT535" i="13"/>
  <c r="X535" i="13"/>
  <c r="AZ535" i="13"/>
  <c r="W538" i="13"/>
  <c r="S535" i="13"/>
  <c r="N528" i="13"/>
  <c r="N533" i="13"/>
  <c r="U528" i="13"/>
  <c r="U533" i="13"/>
  <c r="T528" i="13"/>
  <c r="T533" i="13"/>
  <c r="Q528" i="13"/>
  <c r="S528" i="13"/>
  <c r="O528" i="13"/>
  <c r="X527" i="13"/>
  <c r="W527" i="13"/>
  <c r="V527" i="13"/>
  <c r="S527" i="13"/>
  <c r="P527" i="13"/>
  <c r="X526" i="13"/>
  <c r="AZ526" i="13"/>
  <c r="W526" i="13"/>
  <c r="Y526" i="13"/>
  <c r="V526" i="13"/>
  <c r="S526" i="13"/>
  <c r="P526" i="13"/>
  <c r="X525" i="13"/>
  <c r="AZ525" i="13"/>
  <c r="W525" i="13"/>
  <c r="AT525" i="13"/>
  <c r="V525" i="13"/>
  <c r="S525" i="13"/>
  <c r="P525" i="13"/>
  <c r="X524" i="13"/>
  <c r="AZ524" i="13"/>
  <c r="W524" i="13"/>
  <c r="V524" i="13"/>
  <c r="S524" i="13"/>
  <c r="P524" i="13"/>
  <c r="X523" i="13"/>
  <c r="W523" i="13"/>
  <c r="AT523" i="13"/>
  <c r="V523" i="13"/>
  <c r="S523" i="13"/>
  <c r="P523" i="13"/>
  <c r="X522" i="13"/>
  <c r="W522" i="13"/>
  <c r="AT522" i="13"/>
  <c r="V522" i="13"/>
  <c r="S522" i="13"/>
  <c r="P522" i="13"/>
  <c r="X521" i="13"/>
  <c r="AZ521" i="13"/>
  <c r="W521" i="13"/>
  <c r="AT521" i="13"/>
  <c r="V521" i="13"/>
  <c r="S521" i="13"/>
  <c r="P521" i="13"/>
  <c r="W520" i="13"/>
  <c r="AT520" i="13"/>
  <c r="X520" i="13"/>
  <c r="Y520" i="13"/>
  <c r="AZ520" i="13"/>
  <c r="V520" i="13"/>
  <c r="S520" i="13"/>
  <c r="P520" i="13"/>
  <c r="X519" i="13"/>
  <c r="W519" i="13"/>
  <c r="AT519" i="13"/>
  <c r="V519" i="13"/>
  <c r="S519" i="13"/>
  <c r="P519" i="13"/>
  <c r="X518" i="13"/>
  <c r="AZ518" i="13"/>
  <c r="W518" i="13"/>
  <c r="AT518" i="13"/>
  <c r="Y518" i="13"/>
  <c r="V518" i="13"/>
  <c r="S518" i="13"/>
  <c r="P518" i="13"/>
  <c r="AN515" i="13"/>
  <c r="AO515" i="13"/>
  <c r="AH515" i="13"/>
  <c r="AI515" i="13"/>
  <c r="T515" i="13"/>
  <c r="R515" i="13"/>
  <c r="Q515" i="13"/>
  <c r="O515" i="13"/>
  <c r="N515" i="13"/>
  <c r="W514" i="13"/>
  <c r="AT514" i="13"/>
  <c r="X514" i="13"/>
  <c r="AZ514" i="13"/>
  <c r="V514" i="13"/>
  <c r="S514" i="13"/>
  <c r="P514" i="13"/>
  <c r="X513" i="13"/>
  <c r="AZ513" i="13"/>
  <c r="W513" i="13"/>
  <c r="V513" i="13"/>
  <c r="S513" i="13"/>
  <c r="P513" i="13"/>
  <c r="X512" i="13"/>
  <c r="AZ512" i="13"/>
  <c r="W512" i="13"/>
  <c r="V512" i="13"/>
  <c r="S512" i="13"/>
  <c r="P512" i="13"/>
  <c r="X511" i="13"/>
  <c r="AZ511" i="13"/>
  <c r="W511" i="13"/>
  <c r="AT511" i="13"/>
  <c r="V511" i="13"/>
  <c r="V515" i="13"/>
  <c r="S511" i="13"/>
  <c r="P511" i="13"/>
  <c r="U508" i="13"/>
  <c r="T508" i="13"/>
  <c r="R508" i="13"/>
  <c r="Q508" i="13"/>
  <c r="O508" i="13"/>
  <c r="N508" i="13"/>
  <c r="X507" i="13"/>
  <c r="AZ507" i="13"/>
  <c r="W507" i="13"/>
  <c r="V507" i="13"/>
  <c r="S507" i="13"/>
  <c r="P507" i="13"/>
  <c r="X506" i="13"/>
  <c r="AZ506" i="13"/>
  <c r="W506" i="13"/>
  <c r="V506" i="13"/>
  <c r="S506" i="13"/>
  <c r="P506" i="13"/>
  <c r="W505" i="13"/>
  <c r="X505" i="13"/>
  <c r="Y505" i="13"/>
  <c r="AZ505" i="13"/>
  <c r="AT505" i="13"/>
  <c r="V505" i="13"/>
  <c r="S505" i="13"/>
  <c r="P505" i="13"/>
  <c r="X504" i="13"/>
  <c r="W504" i="13"/>
  <c r="V504" i="13"/>
  <c r="S504" i="13"/>
  <c r="P504" i="13"/>
  <c r="AK494" i="13"/>
  <c r="AK495" i="13"/>
  <c r="AK496" i="13"/>
  <c r="AK500" i="13"/>
  <c r="R493" i="13"/>
  <c r="R497" i="13"/>
  <c r="R499" i="13"/>
  <c r="Q493" i="13"/>
  <c r="Q497" i="13"/>
  <c r="Q499" i="13"/>
  <c r="AY497" i="13"/>
  <c r="AX497" i="13"/>
  <c r="AX493" i="13"/>
  <c r="AX499" i="13"/>
  <c r="AW497" i="13"/>
  <c r="AM497" i="13"/>
  <c r="AL497" i="13"/>
  <c r="AK497" i="13"/>
  <c r="AE497" i="13"/>
  <c r="AF497" i="13"/>
  <c r="AG497" i="13"/>
  <c r="AH497" i="13"/>
  <c r="U497" i="13"/>
  <c r="T497" i="13"/>
  <c r="V497" i="13"/>
  <c r="S497" i="13"/>
  <c r="O497" i="13"/>
  <c r="N497" i="13"/>
  <c r="P497" i="13"/>
  <c r="AY496" i="13"/>
  <c r="AX496" i="13"/>
  <c r="AX494" i="13"/>
  <c r="AX495" i="13"/>
  <c r="AX500" i="13"/>
  <c r="AW496" i="13"/>
  <c r="AM496" i="13"/>
  <c r="AL496" i="13"/>
  <c r="AG496" i="13"/>
  <c r="AF496" i="13"/>
  <c r="AE496" i="13"/>
  <c r="AH496" i="13"/>
  <c r="U496" i="13"/>
  <c r="T496" i="13"/>
  <c r="V496" i="13"/>
  <c r="R496" i="13"/>
  <c r="Q496" i="13"/>
  <c r="S496" i="13"/>
  <c r="O496" i="13"/>
  <c r="N496" i="13"/>
  <c r="AY495" i="13"/>
  <c r="AW495" i="13"/>
  <c r="AM495" i="13"/>
  <c r="AL495" i="13"/>
  <c r="AG495" i="13"/>
  <c r="AF495" i="13"/>
  <c r="AE495" i="13"/>
  <c r="U495" i="13"/>
  <c r="T495" i="13"/>
  <c r="Q495" i="13"/>
  <c r="R495" i="13"/>
  <c r="S495" i="13"/>
  <c r="O495" i="13"/>
  <c r="N495" i="13"/>
  <c r="AY494" i="13"/>
  <c r="AW494" i="13"/>
  <c r="AM494" i="13"/>
  <c r="AL494" i="13"/>
  <c r="AG494" i="13"/>
  <c r="AF494" i="13"/>
  <c r="AE494" i="13"/>
  <c r="AE500" i="13"/>
  <c r="U494" i="13"/>
  <c r="T494" i="13"/>
  <c r="T500" i="13"/>
  <c r="R494" i="13"/>
  <c r="Q494" i="13"/>
  <c r="O494" i="13"/>
  <c r="N494" i="13"/>
  <c r="AY493" i="13"/>
  <c r="AY499" i="13"/>
  <c r="AW493" i="13"/>
  <c r="AM493" i="13"/>
  <c r="AL493" i="13"/>
  <c r="AL499" i="13"/>
  <c r="AK493" i="13"/>
  <c r="AK499" i="13"/>
  <c r="AG493" i="13"/>
  <c r="AF493" i="13"/>
  <c r="AF499" i="13"/>
  <c r="AE493" i="13"/>
  <c r="U493" i="13"/>
  <c r="T493" i="13"/>
  <c r="T499" i="13"/>
  <c r="S493" i="13"/>
  <c r="O493" i="13"/>
  <c r="O499" i="13"/>
  <c r="N493" i="13"/>
  <c r="U490" i="13"/>
  <c r="T490" i="13"/>
  <c r="V490" i="13"/>
  <c r="R490" i="13"/>
  <c r="Q490" i="13"/>
  <c r="O490" i="13"/>
  <c r="X490" i="13"/>
  <c r="N490" i="13"/>
  <c r="V486" i="13"/>
  <c r="S486" i="13"/>
  <c r="P486" i="13"/>
  <c r="Y485" i="13"/>
  <c r="Y484" i="13"/>
  <c r="Y483" i="13"/>
  <c r="U480" i="13"/>
  <c r="T480" i="13"/>
  <c r="T443" i="13"/>
  <c r="T481" i="13"/>
  <c r="R480" i="13"/>
  <c r="Q480" i="13"/>
  <c r="O480" i="13"/>
  <c r="O443" i="13"/>
  <c r="O481" i="13"/>
  <c r="N480" i="13"/>
  <c r="X479" i="13"/>
  <c r="AZ479" i="13"/>
  <c r="W479" i="13"/>
  <c r="V479" i="13"/>
  <c r="S479" i="13"/>
  <c r="P479" i="13"/>
  <c r="X478" i="13"/>
  <c r="AZ478" i="13"/>
  <c r="W478" i="13"/>
  <c r="AT478" i="13"/>
  <c r="V478" i="13"/>
  <c r="S478" i="13"/>
  <c r="P478" i="13"/>
  <c r="X477" i="13"/>
  <c r="AZ477" i="13"/>
  <c r="W477" i="13"/>
  <c r="V477" i="13"/>
  <c r="S477" i="13"/>
  <c r="P477" i="13"/>
  <c r="X476" i="13"/>
  <c r="AZ476" i="13"/>
  <c r="W476" i="13"/>
  <c r="AT476" i="13"/>
  <c r="Y476" i="13"/>
  <c r="V476" i="13"/>
  <c r="S476" i="13"/>
  <c r="P476" i="13"/>
  <c r="X475" i="13"/>
  <c r="AZ475" i="13"/>
  <c r="W475" i="13"/>
  <c r="AT475" i="13"/>
  <c r="V475" i="13"/>
  <c r="S475" i="13"/>
  <c r="P475" i="13"/>
  <c r="X474" i="13"/>
  <c r="W474" i="13"/>
  <c r="AT474" i="13"/>
  <c r="V474" i="13"/>
  <c r="S474" i="13"/>
  <c r="P474" i="13"/>
  <c r="X473" i="13"/>
  <c r="AZ473" i="13"/>
  <c r="W473" i="13"/>
  <c r="V473" i="13"/>
  <c r="S473" i="13"/>
  <c r="P473" i="13"/>
  <c r="X472" i="13"/>
  <c r="AZ472" i="13"/>
  <c r="W472" i="13"/>
  <c r="Y472" i="13"/>
  <c r="V472" i="13"/>
  <c r="S472" i="13"/>
  <c r="P472" i="13"/>
  <c r="U469" i="13"/>
  <c r="T469" i="13"/>
  <c r="T470" i="13"/>
  <c r="R469" i="13"/>
  <c r="Q469" i="13"/>
  <c r="O469" i="13"/>
  <c r="N469" i="13"/>
  <c r="N443" i="13"/>
  <c r="N470" i="13"/>
  <c r="X468" i="13"/>
  <c r="AZ468" i="13"/>
  <c r="W468" i="13"/>
  <c r="AT468" i="13"/>
  <c r="Y468" i="13"/>
  <c r="V468" i="13"/>
  <c r="S468" i="13"/>
  <c r="P468" i="13"/>
  <c r="AC467" i="13"/>
  <c r="X467" i="13"/>
  <c r="AY467" i="13"/>
  <c r="W467" i="13"/>
  <c r="AS467" i="13"/>
  <c r="W466" i="13"/>
  <c r="AR466" i="13"/>
  <c r="AB466" i="13"/>
  <c r="X466" i="13"/>
  <c r="AX466" i="13"/>
  <c r="AA465" i="13"/>
  <c r="X465" i="13"/>
  <c r="AW465" i="13"/>
  <c r="W465" i="13"/>
  <c r="AQ465" i="13"/>
  <c r="X464" i="13"/>
  <c r="AZ464" i="13"/>
  <c r="W464" i="13"/>
  <c r="AT464" i="13"/>
  <c r="Y464" i="13"/>
  <c r="V464" i="13"/>
  <c r="S464" i="13"/>
  <c r="P464" i="13"/>
  <c r="X463" i="13"/>
  <c r="W463" i="13"/>
  <c r="AT463" i="13"/>
  <c r="V463" i="13"/>
  <c r="V469" i="13"/>
  <c r="S463" i="13"/>
  <c r="P463" i="13"/>
  <c r="P469" i="13"/>
  <c r="T460" i="13"/>
  <c r="T461" i="13"/>
  <c r="Q460" i="13"/>
  <c r="Q443" i="13"/>
  <c r="Q461" i="13"/>
  <c r="U460" i="13"/>
  <c r="R460" i="13"/>
  <c r="O460" i="13"/>
  <c r="N460" i="13"/>
  <c r="N461" i="13"/>
  <c r="X459" i="13"/>
  <c r="W459" i="13"/>
  <c r="AT459" i="13"/>
  <c r="V459" i="13"/>
  <c r="S459" i="13"/>
  <c r="P459" i="13"/>
  <c r="W458" i="13"/>
  <c r="AT458" i="13"/>
  <c r="X458" i="13"/>
  <c r="AZ458" i="13"/>
  <c r="V458" i="13"/>
  <c r="S458" i="13"/>
  <c r="P458" i="13"/>
  <c r="X457" i="13"/>
  <c r="W457" i="13"/>
  <c r="AT457" i="13"/>
  <c r="AT460" i="13"/>
  <c r="AU457" i="13"/>
  <c r="V457" i="13"/>
  <c r="S457" i="13"/>
  <c r="S460" i="13"/>
  <c r="P457" i="13"/>
  <c r="X453" i="13"/>
  <c r="W453" i="13"/>
  <c r="AT453" i="13"/>
  <c r="V453" i="13"/>
  <c r="S453" i="13"/>
  <c r="P453" i="13"/>
  <c r="U449" i="13"/>
  <c r="U454" i="13"/>
  <c r="T449" i="13"/>
  <c r="T454" i="13"/>
  <c r="T455" i="13"/>
  <c r="R449" i="13"/>
  <c r="R454" i="13"/>
  <c r="Q449" i="13"/>
  <c r="O449" i="13"/>
  <c r="O454" i="13"/>
  <c r="N449" i="13"/>
  <c r="N454" i="13"/>
  <c r="X448" i="13"/>
  <c r="W448" i="13"/>
  <c r="AT448" i="13"/>
  <c r="V448" i="13"/>
  <c r="S448" i="13"/>
  <c r="P448" i="13"/>
  <c r="X447" i="13"/>
  <c r="AZ447" i="13"/>
  <c r="W447" i="13"/>
  <c r="V447" i="13"/>
  <c r="S447" i="13"/>
  <c r="P447" i="13"/>
  <c r="X446" i="13"/>
  <c r="AZ446" i="13"/>
  <c r="W446" i="13"/>
  <c r="AT446" i="13"/>
  <c r="V446" i="13"/>
  <c r="S446" i="13"/>
  <c r="P446" i="13"/>
  <c r="X445" i="13"/>
  <c r="AZ445" i="13"/>
  <c r="W445" i="13"/>
  <c r="V445" i="13"/>
  <c r="S445" i="13"/>
  <c r="P445" i="13"/>
  <c r="U443" i="13"/>
  <c r="U470" i="13"/>
  <c r="R443" i="13"/>
  <c r="R470" i="13"/>
  <c r="U441" i="13"/>
  <c r="U442" i="13"/>
  <c r="T441" i="13"/>
  <c r="T442" i="13"/>
  <c r="R441" i="13"/>
  <c r="R442" i="13"/>
  <c r="Q441" i="13"/>
  <c r="Q442" i="13"/>
  <c r="O441" i="13"/>
  <c r="O442" i="13"/>
  <c r="N441" i="13"/>
  <c r="N442" i="13"/>
  <c r="W440" i="13"/>
  <c r="AT440" i="13"/>
  <c r="X440" i="13"/>
  <c r="AZ440" i="13"/>
  <c r="V440" i="13"/>
  <c r="S440" i="13"/>
  <c r="P440" i="13"/>
  <c r="X439" i="13"/>
  <c r="AZ439" i="13"/>
  <c r="W439" i="13"/>
  <c r="AT439" i="13"/>
  <c r="V439" i="13"/>
  <c r="S439" i="13"/>
  <c r="P439" i="13"/>
  <c r="W438" i="13"/>
  <c r="AT438" i="13"/>
  <c r="X438" i="13"/>
  <c r="AZ438" i="13"/>
  <c r="V438" i="13"/>
  <c r="S438" i="13"/>
  <c r="P438" i="13"/>
  <c r="X437" i="13"/>
  <c r="W437" i="13"/>
  <c r="AT437" i="13"/>
  <c r="V437" i="13"/>
  <c r="S437" i="13"/>
  <c r="P437" i="13"/>
  <c r="W436" i="13"/>
  <c r="AT436" i="13"/>
  <c r="X436" i="13"/>
  <c r="AZ436" i="13"/>
  <c r="V436" i="13"/>
  <c r="S436" i="13"/>
  <c r="P436" i="13"/>
  <c r="X435" i="13"/>
  <c r="AZ435" i="13"/>
  <c r="W435" i="13"/>
  <c r="AT435" i="13"/>
  <c r="V435" i="13"/>
  <c r="S435" i="13"/>
  <c r="P435" i="13"/>
  <c r="W434" i="13"/>
  <c r="AT434" i="13"/>
  <c r="X434" i="13"/>
  <c r="AZ434" i="13"/>
  <c r="V434" i="13"/>
  <c r="S434" i="13"/>
  <c r="P434" i="13"/>
  <c r="X433" i="13"/>
  <c r="W433" i="13"/>
  <c r="AT433" i="13"/>
  <c r="V433" i="13"/>
  <c r="S433" i="13"/>
  <c r="P433" i="13"/>
  <c r="T430" i="13"/>
  <c r="T431" i="13"/>
  <c r="N430" i="13"/>
  <c r="N431" i="13"/>
  <c r="U430" i="13"/>
  <c r="U431" i="13"/>
  <c r="R430" i="13"/>
  <c r="R431" i="13"/>
  <c r="Q430" i="13"/>
  <c r="Q431" i="13"/>
  <c r="O430" i="13"/>
  <c r="O431" i="13"/>
  <c r="X429" i="13"/>
  <c r="AZ429" i="13"/>
  <c r="W429" i="13"/>
  <c r="AT429" i="13"/>
  <c r="V429" i="13"/>
  <c r="S429" i="13"/>
  <c r="S424" i="13"/>
  <c r="S425" i="13"/>
  <c r="S430" i="13"/>
  <c r="P429" i="13"/>
  <c r="AC428" i="13"/>
  <c r="X428" i="13"/>
  <c r="AY428" i="13"/>
  <c r="W428" i="13"/>
  <c r="AS428" i="13"/>
  <c r="AB427" i="13"/>
  <c r="X427" i="13"/>
  <c r="AX427" i="13"/>
  <c r="W427" i="13"/>
  <c r="AR427" i="13"/>
  <c r="AA426" i="13"/>
  <c r="X426" i="13"/>
  <c r="AW426" i="13"/>
  <c r="W426" i="13"/>
  <c r="AQ426" i="13"/>
  <c r="X425" i="13"/>
  <c r="W425" i="13"/>
  <c r="AT425" i="13"/>
  <c r="V425" i="13"/>
  <c r="P425" i="13"/>
  <c r="X424" i="13"/>
  <c r="AZ424" i="13"/>
  <c r="W424" i="13"/>
  <c r="AT424" i="13"/>
  <c r="AT430" i="13"/>
  <c r="V424" i="13"/>
  <c r="P424" i="13"/>
  <c r="R416" i="13"/>
  <c r="R421" i="13"/>
  <c r="R409" i="13"/>
  <c r="R422" i="13"/>
  <c r="N416" i="13"/>
  <c r="N421" i="13"/>
  <c r="V416" i="13"/>
  <c r="U416" i="13"/>
  <c r="U421" i="13"/>
  <c r="U409" i="13"/>
  <c r="U422" i="13"/>
  <c r="T416" i="13"/>
  <c r="T421" i="13"/>
  <c r="S416" i="13"/>
  <c r="Q416" i="13"/>
  <c r="Q421" i="13"/>
  <c r="Q409" i="13"/>
  <c r="Q422" i="13"/>
  <c r="P416" i="13"/>
  <c r="O416" i="13"/>
  <c r="X415" i="13"/>
  <c r="AZ415" i="13"/>
  <c r="W415" i="13"/>
  <c r="AT415" i="13"/>
  <c r="V415" i="13"/>
  <c r="S415" i="13"/>
  <c r="P415" i="13"/>
  <c r="X414" i="13"/>
  <c r="AZ414" i="13"/>
  <c r="W414" i="13"/>
  <c r="V414" i="13"/>
  <c r="S414" i="13"/>
  <c r="P414" i="13"/>
  <c r="X413" i="13"/>
  <c r="W413" i="13"/>
  <c r="AT413" i="13"/>
  <c r="V413" i="13"/>
  <c r="S413" i="13"/>
  <c r="P413" i="13"/>
  <c r="X412" i="13"/>
  <c r="AZ412" i="13"/>
  <c r="W412" i="13"/>
  <c r="AT412" i="13"/>
  <c r="V412" i="13"/>
  <c r="V411" i="13"/>
  <c r="V421" i="13"/>
  <c r="S412" i="13"/>
  <c r="P412" i="13"/>
  <c r="P411" i="13"/>
  <c r="P421" i="13"/>
  <c r="X411" i="13"/>
  <c r="AZ411" i="13"/>
  <c r="W411" i="13"/>
  <c r="AT411" i="13"/>
  <c r="S411" i="13"/>
  <c r="S421" i="13"/>
  <c r="X403" i="13"/>
  <c r="X409" i="13"/>
  <c r="T409" i="13"/>
  <c r="O409" i="13"/>
  <c r="N409" i="13"/>
  <c r="U407" i="13"/>
  <c r="T407" i="13"/>
  <c r="R407" i="13"/>
  <c r="Q407" i="13"/>
  <c r="O407" i="13"/>
  <c r="N407" i="13"/>
  <c r="X406" i="13"/>
  <c r="AZ406" i="13"/>
  <c r="W406" i="13"/>
  <c r="AT406" i="13"/>
  <c r="V406" i="13"/>
  <c r="S406" i="13"/>
  <c r="P406" i="13"/>
  <c r="X405" i="13"/>
  <c r="X402" i="13"/>
  <c r="X404" i="13"/>
  <c r="X407" i="13"/>
  <c r="W405" i="13"/>
  <c r="V405" i="13"/>
  <c r="S405" i="13"/>
  <c r="P405" i="13"/>
  <c r="AZ404" i="13"/>
  <c r="W404" i="13"/>
  <c r="V404" i="13"/>
  <c r="S404" i="13"/>
  <c r="P404" i="13"/>
  <c r="AZ403" i="13"/>
  <c r="W403" i="13"/>
  <c r="Y403" i="13"/>
  <c r="V403" i="13"/>
  <c r="S403" i="13"/>
  <c r="P403" i="13"/>
  <c r="W402" i="13"/>
  <c r="Y402" i="13"/>
  <c r="AZ402" i="13"/>
  <c r="AT402" i="13"/>
  <c r="V402" i="13"/>
  <c r="S402" i="13"/>
  <c r="S407" i="13"/>
  <c r="P402" i="13"/>
  <c r="U395" i="13"/>
  <c r="U400" i="13"/>
  <c r="T395" i="13"/>
  <c r="T400" i="13"/>
  <c r="R395" i="13"/>
  <c r="R400" i="13"/>
  <c r="Q395" i="13"/>
  <c r="O395" i="13"/>
  <c r="O400" i="13"/>
  <c r="N395" i="13"/>
  <c r="P395" i="13"/>
  <c r="X394" i="13"/>
  <c r="AZ394" i="13"/>
  <c r="W394" i="13"/>
  <c r="V394" i="13"/>
  <c r="S394" i="13"/>
  <c r="P394" i="13"/>
  <c r="W393" i="13"/>
  <c r="X393" i="13"/>
  <c r="Y393" i="13"/>
  <c r="AZ393" i="13"/>
  <c r="AT393" i="13"/>
  <c r="V393" i="13"/>
  <c r="S393" i="13"/>
  <c r="P393" i="13"/>
  <c r="W392" i="13"/>
  <c r="AT392" i="13"/>
  <c r="X392" i="13"/>
  <c r="AZ392" i="13"/>
  <c r="V392" i="13"/>
  <c r="S392" i="13"/>
  <c r="P392" i="13"/>
  <c r="X391" i="13"/>
  <c r="AZ391" i="13"/>
  <c r="W391" i="13"/>
  <c r="V391" i="13"/>
  <c r="S391" i="13"/>
  <c r="P391" i="13"/>
  <c r="X390" i="13"/>
  <c r="AZ390" i="13"/>
  <c r="W390" i="13"/>
  <c r="AT390" i="13"/>
  <c r="V390" i="13"/>
  <c r="S390" i="13"/>
  <c r="P390" i="13"/>
  <c r="W389" i="13"/>
  <c r="X389" i="13"/>
  <c r="Y389" i="13"/>
  <c r="AZ389" i="13"/>
  <c r="AT389" i="13"/>
  <c r="V389" i="13"/>
  <c r="S389" i="13"/>
  <c r="P389" i="13"/>
  <c r="W388" i="13"/>
  <c r="AT388" i="13"/>
  <c r="X388" i="13"/>
  <c r="V388" i="13"/>
  <c r="S388" i="13"/>
  <c r="P388" i="13"/>
  <c r="X387" i="13"/>
  <c r="AZ387" i="13"/>
  <c r="W387" i="13"/>
  <c r="V387" i="13"/>
  <c r="S387" i="13"/>
  <c r="P387" i="13"/>
  <c r="X386" i="13"/>
  <c r="AZ386" i="13"/>
  <c r="W386" i="13"/>
  <c r="AT386" i="13"/>
  <c r="Y386" i="13"/>
  <c r="V386" i="13"/>
  <c r="S386" i="13"/>
  <c r="P386" i="13"/>
  <c r="X385" i="13"/>
  <c r="AZ385" i="13"/>
  <c r="W385" i="13"/>
  <c r="V385" i="13"/>
  <c r="S385" i="13"/>
  <c r="P385" i="13"/>
  <c r="W384" i="13"/>
  <c r="AT384" i="13"/>
  <c r="X384" i="13"/>
  <c r="AZ384" i="13"/>
  <c r="Y384" i="13"/>
  <c r="V384" i="13"/>
  <c r="S384" i="13"/>
  <c r="P384" i="13"/>
  <c r="X383" i="13"/>
  <c r="AZ383" i="13"/>
  <c r="W383" i="13"/>
  <c r="V383" i="13"/>
  <c r="S383" i="13"/>
  <c r="P383" i="13"/>
  <c r="X382" i="13"/>
  <c r="AZ382" i="13"/>
  <c r="W382" i="13"/>
  <c r="V382" i="13"/>
  <c r="S382" i="13"/>
  <c r="P382" i="13"/>
  <c r="U379" i="13"/>
  <c r="T379" i="13"/>
  <c r="R379" i="13"/>
  <c r="Q379" i="13"/>
  <c r="Q20" i="13"/>
  <c r="Q380" i="13"/>
  <c r="O379" i="13"/>
  <c r="N379" i="13"/>
  <c r="X378" i="13"/>
  <c r="AZ378" i="13"/>
  <c r="W378" i="13"/>
  <c r="V378" i="13"/>
  <c r="S378" i="13"/>
  <c r="P378" i="13"/>
  <c r="X377" i="13"/>
  <c r="AZ377" i="13"/>
  <c r="W377" i="13"/>
  <c r="V377" i="13"/>
  <c r="S377" i="13"/>
  <c r="P377" i="13"/>
  <c r="P376" i="13"/>
  <c r="P379" i="13"/>
  <c r="X376" i="13"/>
  <c r="AZ376" i="13"/>
  <c r="W376" i="13"/>
  <c r="Y376" i="13"/>
  <c r="V376" i="13"/>
  <c r="V379" i="13"/>
  <c r="S376" i="13"/>
  <c r="L370" i="13"/>
  <c r="L371" i="13"/>
  <c r="K370" i="13"/>
  <c r="K371" i="13"/>
  <c r="J370" i="13"/>
  <c r="J371" i="13"/>
  <c r="AN369" i="13"/>
  <c r="AH369" i="13"/>
  <c r="AN368" i="13"/>
  <c r="AH368" i="13"/>
  <c r="Y368" i="13"/>
  <c r="AM367" i="13"/>
  <c r="AG367" i="13"/>
  <c r="X367" i="13"/>
  <c r="AL366" i="13"/>
  <c r="AF366" i="13"/>
  <c r="X366" i="13"/>
  <c r="AK365" i="13"/>
  <c r="AE365" i="13"/>
  <c r="X365" i="13"/>
  <c r="AN364" i="13"/>
  <c r="AH364" i="13"/>
  <c r="AN363" i="13"/>
  <c r="AH363" i="13"/>
  <c r="W370" i="13"/>
  <c r="L360" i="13"/>
  <c r="K360" i="13"/>
  <c r="J360" i="13"/>
  <c r="AN359" i="13"/>
  <c r="AH359" i="13"/>
  <c r="AZ359" i="13"/>
  <c r="M359" i="13"/>
  <c r="AN358" i="13"/>
  <c r="AH358" i="13"/>
  <c r="M358" i="13"/>
  <c r="AN357" i="13"/>
  <c r="AH357" i="13"/>
  <c r="AZ357" i="13"/>
  <c r="M357" i="13"/>
  <c r="L354" i="13"/>
  <c r="K354" i="13"/>
  <c r="K355" i="13"/>
  <c r="J354" i="13"/>
  <c r="AN353" i="13"/>
  <c r="AH353" i="13"/>
  <c r="AZ353" i="13"/>
  <c r="M353" i="13"/>
  <c r="AN352" i="13"/>
  <c r="AH352" i="13"/>
  <c r="AZ352" i="13"/>
  <c r="M352" i="13"/>
  <c r="AN351" i="13"/>
  <c r="AH351" i="13"/>
  <c r="AZ351" i="13"/>
  <c r="AT351" i="13"/>
  <c r="M351" i="13"/>
  <c r="AN350" i="13"/>
  <c r="AH350" i="13"/>
  <c r="AZ350" i="13"/>
  <c r="M350" i="13"/>
  <c r="AN349" i="13"/>
  <c r="AH349" i="13"/>
  <c r="AZ349" i="13"/>
  <c r="M349" i="13"/>
  <c r="AN348" i="13"/>
  <c r="AH348" i="13"/>
  <c r="AZ348" i="13"/>
  <c r="M348" i="13"/>
  <c r="AN347" i="13"/>
  <c r="AH347" i="13"/>
  <c r="AZ347" i="13"/>
  <c r="AT347" i="13"/>
  <c r="M347" i="13"/>
  <c r="AN346" i="13"/>
  <c r="AH346" i="13"/>
  <c r="AT346" i="13"/>
  <c r="M346" i="13"/>
  <c r="L343" i="13"/>
  <c r="K343" i="13"/>
  <c r="J343" i="13"/>
  <c r="AN342" i="13"/>
  <c r="AH342" i="13"/>
  <c r="AN341" i="13"/>
  <c r="AH341" i="13"/>
  <c r="Y341" i="13"/>
  <c r="AM340" i="13"/>
  <c r="AG340" i="13"/>
  <c r="X340" i="13"/>
  <c r="AL339" i="13"/>
  <c r="AF339" i="13"/>
  <c r="X339" i="13"/>
  <c r="AK338" i="13"/>
  <c r="AE338" i="13"/>
  <c r="X338" i="13"/>
  <c r="AN337" i="13"/>
  <c r="AH337" i="13"/>
  <c r="AN336" i="13"/>
  <c r="AH336" i="13"/>
  <c r="L333" i="13"/>
  <c r="K333" i="13"/>
  <c r="J333" i="13"/>
  <c r="AN332" i="13"/>
  <c r="AH332" i="13"/>
  <c r="AN331" i="13"/>
  <c r="AH331" i="13"/>
  <c r="AM330" i="13"/>
  <c r="AG330" i="13"/>
  <c r="X330" i="13"/>
  <c r="AL329" i="13"/>
  <c r="AF329" i="13"/>
  <c r="X329" i="13"/>
  <c r="AK328" i="13"/>
  <c r="AE328" i="13"/>
  <c r="X328" i="13"/>
  <c r="AN327" i="13"/>
  <c r="AH327" i="13"/>
  <c r="AN326" i="13"/>
  <c r="AH326" i="13"/>
  <c r="L323" i="13"/>
  <c r="K323" i="13"/>
  <c r="J323" i="13"/>
  <c r="AN322" i="13"/>
  <c r="AH322" i="13"/>
  <c r="AN321" i="13"/>
  <c r="AH321" i="13"/>
  <c r="AM320" i="13"/>
  <c r="AG320" i="13"/>
  <c r="X320" i="13"/>
  <c r="AL319" i="13"/>
  <c r="AF319" i="13"/>
  <c r="X319" i="13"/>
  <c r="AK318" i="13"/>
  <c r="AE318" i="13"/>
  <c r="X318" i="13"/>
  <c r="AN317" i="13"/>
  <c r="AH317" i="13"/>
  <c r="AN316" i="13"/>
  <c r="AH316" i="13"/>
  <c r="AH323" i="13"/>
  <c r="L244" i="13"/>
  <c r="K244" i="13"/>
  <c r="J244" i="13"/>
  <c r="AN243" i="13"/>
  <c r="AH243" i="13"/>
  <c r="AZ243" i="13"/>
  <c r="M243" i="13"/>
  <c r="AN242" i="13"/>
  <c r="AH242" i="13"/>
  <c r="AT242" i="13"/>
  <c r="M242" i="13"/>
  <c r="AN241" i="13"/>
  <c r="AH241" i="13"/>
  <c r="AZ241" i="13"/>
  <c r="AT241" i="13"/>
  <c r="M241" i="13"/>
  <c r="AN240" i="13"/>
  <c r="AH240" i="13"/>
  <c r="AZ240" i="13"/>
  <c r="Y240" i="13"/>
  <c r="M240" i="13"/>
  <c r="M239" i="13"/>
  <c r="M244" i="13"/>
  <c r="AN239" i="13"/>
  <c r="AH239" i="13"/>
  <c r="AZ239" i="13"/>
  <c r="L236" i="13"/>
  <c r="K236" i="13"/>
  <c r="J236" i="13"/>
  <c r="AN235" i="13"/>
  <c r="AH235" i="13"/>
  <c r="AZ235" i="13"/>
  <c r="M235" i="13"/>
  <c r="AN234" i="13"/>
  <c r="AH234" i="13"/>
  <c r="AZ234" i="13"/>
  <c r="M234" i="13"/>
  <c r="AN233" i="13"/>
  <c r="AH233" i="13"/>
  <c r="M233" i="13"/>
  <c r="AN232" i="13"/>
  <c r="AH232" i="13"/>
  <c r="AZ232" i="13"/>
  <c r="M232" i="13"/>
  <c r="AN231" i="13"/>
  <c r="AH231" i="13"/>
  <c r="AZ231" i="13"/>
  <c r="M231" i="13"/>
  <c r="AN227" i="13"/>
  <c r="X227" i="13"/>
  <c r="W227" i="13"/>
  <c r="AH227" i="13"/>
  <c r="AN226" i="13"/>
  <c r="AN228" i="13"/>
  <c r="X226" i="13"/>
  <c r="W226" i="13"/>
  <c r="M221" i="13"/>
  <c r="M220" i="13"/>
  <c r="M215" i="13"/>
  <c r="AO217" i="13"/>
  <c r="M214" i="13"/>
  <c r="M217" i="13"/>
  <c r="U210" i="13"/>
  <c r="T210" i="13"/>
  <c r="R210" i="13"/>
  <c r="Q210" i="13"/>
  <c r="O210" i="13"/>
  <c r="N210" i="13"/>
  <c r="X209" i="13"/>
  <c r="AZ209" i="13"/>
  <c r="W209" i="13"/>
  <c r="AT209" i="13"/>
  <c r="V209" i="13"/>
  <c r="S209" i="13"/>
  <c r="P209" i="13"/>
  <c r="X208" i="13"/>
  <c r="W208" i="13"/>
  <c r="Y208" i="13"/>
  <c r="AT208" i="13"/>
  <c r="V208" i="13"/>
  <c r="S208" i="13"/>
  <c r="P208" i="13"/>
  <c r="X207" i="13"/>
  <c r="AZ207" i="13"/>
  <c r="W207" i="13"/>
  <c r="AT207" i="13"/>
  <c r="V207" i="13"/>
  <c r="S207" i="13"/>
  <c r="P207" i="13"/>
  <c r="X206" i="13"/>
  <c r="AZ206" i="13"/>
  <c r="W206" i="13"/>
  <c r="AT206" i="13"/>
  <c r="V206" i="13"/>
  <c r="S206" i="13"/>
  <c r="P206" i="13"/>
  <c r="AO203" i="13"/>
  <c r="AY190" i="13"/>
  <c r="AX190" i="13"/>
  <c r="AW190" i="13"/>
  <c r="AS190" i="13"/>
  <c r="AR190" i="13"/>
  <c r="AQ190" i="13"/>
  <c r="AC190" i="13"/>
  <c r="AB190" i="13"/>
  <c r="AA190" i="13"/>
  <c r="U187" i="13"/>
  <c r="T187" i="13"/>
  <c r="R187" i="13"/>
  <c r="Q187" i="13"/>
  <c r="O187" i="13"/>
  <c r="N187" i="13"/>
  <c r="X186" i="13"/>
  <c r="AZ186" i="13"/>
  <c r="W186" i="13"/>
  <c r="AT186" i="13"/>
  <c r="V186" i="13"/>
  <c r="S186" i="13"/>
  <c r="P186" i="13"/>
  <c r="W185" i="13"/>
  <c r="AT185" i="13"/>
  <c r="X185" i="13"/>
  <c r="AZ185" i="13"/>
  <c r="V185" i="13"/>
  <c r="S185" i="13"/>
  <c r="P185" i="13"/>
  <c r="AZ184" i="13"/>
  <c r="W183" i="13"/>
  <c r="AT183" i="13"/>
  <c r="X183" i="13"/>
  <c r="AZ183" i="13"/>
  <c r="V183" i="13"/>
  <c r="S183" i="13"/>
  <c r="P183" i="13"/>
  <c r="X182" i="13"/>
  <c r="AZ182" i="13"/>
  <c r="W182" i="13"/>
  <c r="AT182" i="13"/>
  <c r="V182" i="13"/>
  <c r="S182" i="13"/>
  <c r="P182" i="13"/>
  <c r="X181" i="13"/>
  <c r="W181" i="13"/>
  <c r="Y181" i="13"/>
  <c r="AT181" i="13"/>
  <c r="V181" i="13"/>
  <c r="S181" i="13"/>
  <c r="P181" i="13"/>
  <c r="X180" i="13"/>
  <c r="AZ180" i="13"/>
  <c r="W180" i="13"/>
  <c r="AT180" i="13"/>
  <c r="V180" i="13"/>
  <c r="S180" i="13"/>
  <c r="P180" i="13"/>
  <c r="X179" i="13"/>
  <c r="AZ179" i="13"/>
  <c r="W179" i="13"/>
  <c r="AT179" i="13"/>
  <c r="V179" i="13"/>
  <c r="S179" i="13"/>
  <c r="P179" i="13"/>
  <c r="X178" i="13"/>
  <c r="AZ178" i="13"/>
  <c r="W178" i="13"/>
  <c r="Y178" i="13"/>
  <c r="AT178" i="13"/>
  <c r="V178" i="13"/>
  <c r="V187" i="13"/>
  <c r="S178" i="13"/>
  <c r="P178" i="13"/>
  <c r="U177" i="13"/>
  <c r="T177" i="13"/>
  <c r="V177" i="13"/>
  <c r="R177" i="13"/>
  <c r="Q177" i="13"/>
  <c r="O177" i="13"/>
  <c r="X177" i="13"/>
  <c r="AZ177" i="13"/>
  <c r="N177" i="13"/>
  <c r="W177" i="13"/>
  <c r="U174" i="13"/>
  <c r="T174" i="13"/>
  <c r="R174" i="13"/>
  <c r="R489" i="13"/>
  <c r="R491" i="13"/>
  <c r="Q174" i="13"/>
  <c r="O174" i="13"/>
  <c r="O489" i="13"/>
  <c r="N174" i="13"/>
  <c r="N489" i="13"/>
  <c r="W173" i="13"/>
  <c r="X173" i="13"/>
  <c r="Y173" i="13"/>
  <c r="AZ173" i="13"/>
  <c r="AT173" i="13"/>
  <c r="V173" i="13"/>
  <c r="S173" i="13"/>
  <c r="P173" i="13"/>
  <c r="W172" i="13"/>
  <c r="AT172" i="13"/>
  <c r="X172" i="13"/>
  <c r="Y172" i="13"/>
  <c r="V172" i="13"/>
  <c r="S172" i="13"/>
  <c r="P172" i="13"/>
  <c r="X171" i="13"/>
  <c r="AZ171" i="13"/>
  <c r="W171" i="13"/>
  <c r="V171" i="13"/>
  <c r="S171" i="13"/>
  <c r="P171" i="13"/>
  <c r="W170" i="13"/>
  <c r="AT170" i="13"/>
  <c r="X170" i="13"/>
  <c r="AZ170" i="13"/>
  <c r="V170" i="13"/>
  <c r="S170" i="13"/>
  <c r="P170" i="13"/>
  <c r="X169" i="13"/>
  <c r="W169" i="13"/>
  <c r="V169" i="13"/>
  <c r="S169" i="13"/>
  <c r="P169" i="13"/>
  <c r="L166" i="13"/>
  <c r="K166" i="13"/>
  <c r="J166" i="13"/>
  <c r="AN165" i="13"/>
  <c r="AH165" i="13"/>
  <c r="AZ165" i="13"/>
  <c r="M165" i="13"/>
  <c r="AN164" i="13"/>
  <c r="AN166" i="13"/>
  <c r="AO164" i="13"/>
  <c r="AH164" i="13"/>
  <c r="W166" i="13"/>
  <c r="M164" i="13"/>
  <c r="L161" i="13"/>
  <c r="K161" i="13"/>
  <c r="J161" i="13"/>
  <c r="AN160" i="13"/>
  <c r="AH160" i="13"/>
  <c r="AZ160" i="13"/>
  <c r="AT160" i="13"/>
  <c r="M160" i="13"/>
  <c r="AN159" i="13"/>
  <c r="AH159" i="13"/>
  <c r="AZ159" i="13"/>
  <c r="AT159" i="13"/>
  <c r="M159" i="13"/>
  <c r="AN158" i="13"/>
  <c r="AH158" i="13"/>
  <c r="AT158" i="13"/>
  <c r="M158" i="13"/>
  <c r="AN157" i="13"/>
  <c r="AH157" i="13"/>
  <c r="AZ157" i="13"/>
  <c r="M157" i="13"/>
  <c r="AN156" i="13"/>
  <c r="AH156" i="13"/>
  <c r="AZ156" i="13"/>
  <c r="AT156" i="13"/>
  <c r="M156" i="13"/>
  <c r="AZ155" i="13"/>
  <c r="AN155" i="13"/>
  <c r="AH155" i="13"/>
  <c r="Y155" i="13"/>
  <c r="M155" i="13"/>
  <c r="U152" i="13"/>
  <c r="U20" i="13"/>
  <c r="U153" i="13"/>
  <c r="T152" i="13"/>
  <c r="R152" i="13"/>
  <c r="Q152" i="13"/>
  <c r="P150" i="13"/>
  <c r="P151" i="13"/>
  <c r="P152" i="13"/>
  <c r="O152" i="13"/>
  <c r="N152" i="13"/>
  <c r="X151" i="13"/>
  <c r="AZ151" i="13"/>
  <c r="W151" i="13"/>
  <c r="AT151" i="13"/>
  <c r="V151" i="13"/>
  <c r="S151" i="13"/>
  <c r="X150" i="13"/>
  <c r="AZ150" i="13"/>
  <c r="W150" i="13"/>
  <c r="V150" i="13"/>
  <c r="V152" i="13"/>
  <c r="S150" i="13"/>
  <c r="AU147" i="13"/>
  <c r="L147" i="13"/>
  <c r="K147" i="13"/>
  <c r="J147" i="13"/>
  <c r="AU146" i="13"/>
  <c r="AN146" i="13"/>
  <c r="AH146" i="13"/>
  <c r="AZ146" i="13"/>
  <c r="Y146" i="13"/>
  <c r="M146" i="13"/>
  <c r="AU145" i="13"/>
  <c r="AN145" i="13"/>
  <c r="AH145" i="13"/>
  <c r="AT145" i="13"/>
  <c r="M145" i="13"/>
  <c r="AU144" i="13"/>
  <c r="AN144" i="13"/>
  <c r="AH144" i="13"/>
  <c r="AT144" i="13"/>
  <c r="M144" i="13"/>
  <c r="AU143" i="13"/>
  <c r="AN143" i="13"/>
  <c r="AH143" i="13"/>
  <c r="AZ143" i="13"/>
  <c r="AT143" i="13"/>
  <c r="M143" i="13"/>
  <c r="AU142" i="13"/>
  <c r="AN142" i="13"/>
  <c r="AH142" i="13"/>
  <c r="Y142" i="13"/>
  <c r="AZ142" i="13"/>
  <c r="AT142" i="13"/>
  <c r="M142" i="13"/>
  <c r="AU141" i="13"/>
  <c r="AN141" i="13"/>
  <c r="AH141" i="13"/>
  <c r="AT141" i="13"/>
  <c r="M141" i="13"/>
  <c r="AU140" i="13"/>
  <c r="AN140" i="13"/>
  <c r="AH140" i="13"/>
  <c r="AZ140" i="13"/>
  <c r="AT140" i="13"/>
  <c r="M140" i="13"/>
  <c r="AU139" i="13"/>
  <c r="AN139" i="13"/>
  <c r="AH139" i="13"/>
  <c r="AZ139" i="13"/>
  <c r="AT139" i="13"/>
  <c r="M139" i="13"/>
  <c r="AU138" i="13"/>
  <c r="AN138" i="13"/>
  <c r="AH138" i="13"/>
  <c r="AH137" i="13"/>
  <c r="AH147" i="13"/>
  <c r="AZ138" i="13"/>
  <c r="M138" i="13"/>
  <c r="AU137" i="13"/>
  <c r="AN137" i="13"/>
  <c r="AT137" i="13"/>
  <c r="M137" i="13"/>
  <c r="V120" i="13"/>
  <c r="S120" i="13"/>
  <c r="P120" i="13"/>
  <c r="V119" i="13"/>
  <c r="S119" i="13"/>
  <c r="S121" i="13"/>
  <c r="P119" i="13"/>
  <c r="V117" i="13"/>
  <c r="S117" i="13"/>
  <c r="S116" i="13"/>
  <c r="S63" i="13"/>
  <c r="V96" i="13"/>
  <c r="S96" i="13"/>
  <c r="P96" i="13"/>
  <c r="Y95" i="13"/>
  <c r="Y94" i="13"/>
  <c r="Y93" i="13"/>
  <c r="Y92" i="13"/>
  <c r="Y96" i="13"/>
  <c r="Y85" i="13"/>
  <c r="Y86" i="13"/>
  <c r="Y87" i="13"/>
  <c r="Y84" i="13"/>
  <c r="Y88" i="13"/>
  <c r="V88" i="13"/>
  <c r="S88" i="13"/>
  <c r="P88" i="13"/>
  <c r="Z87" i="13"/>
  <c r="V81" i="13"/>
  <c r="S81" i="13"/>
  <c r="P81" i="13"/>
  <c r="Y80" i="13"/>
  <c r="Y79" i="13"/>
  <c r="Y78" i="13"/>
  <c r="Y77" i="13"/>
  <c r="U73" i="13"/>
  <c r="U74" i="13"/>
  <c r="T73" i="13"/>
  <c r="R73" i="13"/>
  <c r="Q73" i="13"/>
  <c r="Q74" i="13"/>
  <c r="O73" i="13"/>
  <c r="O20" i="13"/>
  <c r="O74" i="13"/>
  <c r="N73" i="13"/>
  <c r="W72" i="13"/>
  <c r="AT72" i="13"/>
  <c r="X72" i="13"/>
  <c r="V72" i="13"/>
  <c r="S72" i="13"/>
  <c r="P72" i="13"/>
  <c r="X71" i="13"/>
  <c r="W71" i="13"/>
  <c r="AT71" i="13"/>
  <c r="V71" i="13"/>
  <c r="S71" i="13"/>
  <c r="P71" i="13"/>
  <c r="X70" i="13"/>
  <c r="AZ70" i="13"/>
  <c r="W70" i="13"/>
  <c r="AT70" i="13"/>
  <c r="Y70" i="13"/>
  <c r="V70" i="13"/>
  <c r="S70" i="13"/>
  <c r="P70" i="13"/>
  <c r="X69" i="13"/>
  <c r="AZ69" i="13"/>
  <c r="W69" i="13"/>
  <c r="AT69" i="13"/>
  <c r="V69" i="13"/>
  <c r="V68" i="13"/>
  <c r="V73" i="13"/>
  <c r="S69" i="13"/>
  <c r="P69" i="13"/>
  <c r="W68" i="13"/>
  <c r="AT68" i="13"/>
  <c r="AT73" i="13"/>
  <c r="X68" i="13"/>
  <c r="AZ68" i="13"/>
  <c r="S68" i="13"/>
  <c r="P68" i="13"/>
  <c r="U65" i="13"/>
  <c r="U66" i="13"/>
  <c r="T65" i="13"/>
  <c r="R65" i="13"/>
  <c r="Q65" i="13"/>
  <c r="Q66" i="13"/>
  <c r="O65" i="13"/>
  <c r="N65" i="13"/>
  <c r="X64" i="13"/>
  <c r="AZ64" i="13"/>
  <c r="W64" i="13"/>
  <c r="AT64" i="13"/>
  <c r="V64" i="13"/>
  <c r="S64" i="13"/>
  <c r="P64" i="13"/>
  <c r="X63" i="13"/>
  <c r="AZ63" i="13"/>
  <c r="W63" i="13"/>
  <c r="AT63" i="13"/>
  <c r="V63" i="13"/>
  <c r="P63" i="13"/>
  <c r="X62" i="13"/>
  <c r="AZ62" i="13"/>
  <c r="W62" i="13"/>
  <c r="V62" i="13"/>
  <c r="S62" i="13"/>
  <c r="P62" i="13"/>
  <c r="X61" i="13"/>
  <c r="W61" i="13"/>
  <c r="AT61" i="13"/>
  <c r="V61" i="13"/>
  <c r="V65" i="13"/>
  <c r="S61" i="13"/>
  <c r="P61" i="13"/>
  <c r="L58" i="13"/>
  <c r="K58" i="13"/>
  <c r="J58" i="13"/>
  <c r="AN57" i="13"/>
  <c r="AH57" i="13"/>
  <c r="AZ57" i="13"/>
  <c r="AT57" i="13"/>
  <c r="M57" i="13"/>
  <c r="AN56" i="13"/>
  <c r="AH56" i="13"/>
  <c r="AZ56" i="13"/>
  <c r="M56" i="13"/>
  <c r="AN55" i="13"/>
  <c r="AH55" i="13"/>
  <c r="AT55" i="13"/>
  <c r="M55" i="13"/>
  <c r="AN54" i="13"/>
  <c r="AH54" i="13"/>
  <c r="Y54" i="13"/>
  <c r="AZ54" i="13"/>
  <c r="AT54" i="13"/>
  <c r="M54" i="13"/>
  <c r="AN53" i="13"/>
  <c r="AH53" i="13"/>
  <c r="AZ53" i="13"/>
  <c r="AT53" i="13"/>
  <c r="M53" i="13"/>
  <c r="AN52" i="13"/>
  <c r="AH52" i="13"/>
  <c r="AZ52" i="13"/>
  <c r="M52" i="13"/>
  <c r="AN51" i="13"/>
  <c r="AH51" i="13"/>
  <c r="AT51" i="13"/>
  <c r="M51" i="13"/>
  <c r="AN50" i="13"/>
  <c r="AH50" i="13"/>
  <c r="AZ50" i="13"/>
  <c r="Y50" i="13"/>
  <c r="M50" i="13"/>
  <c r="AN49" i="13"/>
  <c r="AH49" i="13"/>
  <c r="AZ49" i="13"/>
  <c r="AT49" i="13"/>
  <c r="M49" i="13"/>
  <c r="AN48" i="13"/>
  <c r="AH48" i="13"/>
  <c r="AZ48" i="13"/>
  <c r="M48" i="13"/>
  <c r="AN47" i="13"/>
  <c r="AH47" i="13"/>
  <c r="AT47" i="13"/>
  <c r="M47" i="13"/>
  <c r="AN46" i="13"/>
  <c r="AH46" i="13"/>
  <c r="AZ46" i="13"/>
  <c r="AT46" i="13"/>
  <c r="M46" i="13"/>
  <c r="AN45" i="13"/>
  <c r="AH45" i="13"/>
  <c r="AZ45" i="13"/>
  <c r="AT45" i="13"/>
  <c r="M45" i="13"/>
  <c r="AN44" i="13"/>
  <c r="AH44" i="13"/>
  <c r="AZ44" i="13"/>
  <c r="M44" i="13"/>
  <c r="Q41" i="13"/>
  <c r="Q42" i="13"/>
  <c r="U41" i="13"/>
  <c r="T41" i="13"/>
  <c r="R41" i="13"/>
  <c r="O41" i="13"/>
  <c r="N41" i="13"/>
  <c r="X40" i="13"/>
  <c r="AZ40" i="13"/>
  <c r="W40" i="13"/>
  <c r="AT40" i="13"/>
  <c r="V40" i="13"/>
  <c r="S40" i="13"/>
  <c r="P40" i="13"/>
  <c r="W39" i="13"/>
  <c r="AT39" i="13"/>
  <c r="X39" i="13"/>
  <c r="Y39" i="13"/>
  <c r="AZ39" i="13"/>
  <c r="V39" i="13"/>
  <c r="S39" i="13"/>
  <c r="S38" i="13"/>
  <c r="S41" i="13"/>
  <c r="P39" i="13"/>
  <c r="X38" i="13"/>
  <c r="W38" i="13"/>
  <c r="AT38" i="13"/>
  <c r="V38" i="13"/>
  <c r="V41" i="13"/>
  <c r="P38" i="13"/>
  <c r="AN32" i="13"/>
  <c r="AH32" i="13"/>
  <c r="W32" i="13"/>
  <c r="AH31" i="13"/>
  <c r="AZ31" i="13"/>
  <c r="AN30" i="13"/>
  <c r="AZ30" i="13"/>
  <c r="L26" i="13"/>
  <c r="K26" i="13"/>
  <c r="J26" i="13"/>
  <c r="AN25" i="13"/>
  <c r="AH25" i="13"/>
  <c r="AT25" i="13"/>
  <c r="M25" i="13"/>
  <c r="AN24" i="13"/>
  <c r="AH24" i="13"/>
  <c r="AZ24" i="13"/>
  <c r="M24" i="13"/>
  <c r="AN23" i="13"/>
  <c r="AH23" i="13"/>
  <c r="AZ23" i="13"/>
  <c r="AT23" i="13"/>
  <c r="M23" i="13"/>
  <c r="AH18" i="13"/>
  <c r="AH19" i="13"/>
  <c r="AH20" i="13"/>
  <c r="T20" i="13"/>
  <c r="R20" i="13"/>
  <c r="R211" i="13"/>
  <c r="O408" i="13"/>
  <c r="N20" i="13"/>
  <c r="N42" i="13"/>
  <c r="AN19" i="13"/>
  <c r="X19" i="13"/>
  <c r="W19" i="13"/>
  <c r="Y19" i="13"/>
  <c r="AT19" i="13"/>
  <c r="V19" i="13"/>
  <c r="S19" i="13"/>
  <c r="S18" i="13"/>
  <c r="S20" i="13"/>
  <c r="P19" i="13"/>
  <c r="P18" i="13"/>
  <c r="P20" i="13"/>
  <c r="AN18" i="13"/>
  <c r="X18" i="13"/>
  <c r="AZ18" i="13"/>
  <c r="W18" i="13"/>
  <c r="Y18" i="13"/>
  <c r="V18" i="13"/>
  <c r="K237" i="13"/>
  <c r="AN14" i="13"/>
  <c r="AN13" i="13"/>
  <c r="AN15" i="13"/>
  <c r="AH14" i="13"/>
  <c r="AT14" i="13"/>
  <c r="M14" i="13"/>
  <c r="AH13" i="13"/>
  <c r="AZ13" i="13"/>
  <c r="W15" i="13"/>
  <c r="M13" i="13"/>
  <c r="W616" i="12"/>
  <c r="AA447" i="6"/>
  <c r="W612" i="12"/>
  <c r="AA443" i="6"/>
  <c r="W586" i="12"/>
  <c r="AA420" i="6"/>
  <c r="W579" i="12"/>
  <c r="AA414" i="6"/>
  <c r="W523" i="12"/>
  <c r="AA378" i="6"/>
  <c r="W519" i="12"/>
  <c r="AA374" i="6"/>
  <c r="T9" i="12"/>
  <c r="V670" i="12"/>
  <c r="S670" i="12"/>
  <c r="P670" i="12"/>
  <c r="Y669" i="12"/>
  <c r="Y668" i="12"/>
  <c r="Y667" i="12"/>
  <c r="Y666" i="12"/>
  <c r="Y665" i="12"/>
  <c r="V663" i="12"/>
  <c r="S663" i="12"/>
  <c r="P663" i="12"/>
  <c r="Y662" i="12"/>
  <c r="Y661" i="12"/>
  <c r="Y660" i="12"/>
  <c r="Y659" i="12"/>
  <c r="Y658" i="12"/>
  <c r="Y657" i="12"/>
  <c r="Y656" i="12"/>
  <c r="Y655" i="12"/>
  <c r="Y654" i="12"/>
  <c r="V648" i="12"/>
  <c r="V650" i="12"/>
  <c r="V651" i="12"/>
  <c r="Y649" i="12"/>
  <c r="S648" i="12"/>
  <c r="P648" i="12"/>
  <c r="P650" i="12"/>
  <c r="P651" i="12"/>
  <c r="AC647" i="12"/>
  <c r="AB647" i="12"/>
  <c r="AA647" i="12"/>
  <c r="Y646" i="12"/>
  <c r="V641" i="12"/>
  <c r="V643" i="12"/>
  <c r="V644" i="12"/>
  <c r="Y642" i="12"/>
  <c r="S641" i="12"/>
  <c r="P641" i="12"/>
  <c r="P643" i="12"/>
  <c r="P644" i="12"/>
  <c r="AC640" i="12"/>
  <c r="AB640" i="12"/>
  <c r="AA640" i="12"/>
  <c r="Y639" i="12"/>
  <c r="V634" i="12"/>
  <c r="V636" i="12"/>
  <c r="V637" i="12"/>
  <c r="Y635" i="12"/>
  <c r="S634" i="12"/>
  <c r="S636" i="12"/>
  <c r="S637" i="12"/>
  <c r="P634" i="12"/>
  <c r="AC633" i="12"/>
  <c r="AB633" i="12"/>
  <c r="AA633" i="12"/>
  <c r="Y632" i="12"/>
  <c r="V628" i="12"/>
  <c r="V629" i="12"/>
  <c r="S628" i="12"/>
  <c r="S629" i="12"/>
  <c r="P628" i="12"/>
  <c r="P629" i="12"/>
  <c r="Y627" i="12"/>
  <c r="Y626" i="12"/>
  <c r="Y625" i="12"/>
  <c r="Y624" i="12"/>
  <c r="Y623" i="12"/>
  <c r="K620" i="12"/>
  <c r="K621" i="12"/>
  <c r="L620" i="12"/>
  <c r="L621" i="12"/>
  <c r="J620" i="12"/>
  <c r="J621" i="12"/>
  <c r="AN619" i="12"/>
  <c r="AH619" i="12"/>
  <c r="X619" i="12"/>
  <c r="W619" i="12"/>
  <c r="M619" i="12"/>
  <c r="X618" i="12"/>
  <c r="AZ618" i="12"/>
  <c r="AN618" i="12"/>
  <c r="AH618" i="12"/>
  <c r="W618" i="12"/>
  <c r="M618" i="12"/>
  <c r="AN617" i="12"/>
  <c r="AH617" i="12"/>
  <c r="X617" i="12"/>
  <c r="W617" i="12"/>
  <c r="M617" i="12"/>
  <c r="AT616" i="12"/>
  <c r="AN616" i="12"/>
  <c r="AH616" i="12"/>
  <c r="X616" i="12"/>
  <c r="M616" i="12"/>
  <c r="AN615" i="12"/>
  <c r="AH615" i="12"/>
  <c r="X615" i="12"/>
  <c r="W615" i="12"/>
  <c r="M615" i="12"/>
  <c r="X614" i="12"/>
  <c r="AZ614" i="12"/>
  <c r="AN614" i="12"/>
  <c r="AH614" i="12"/>
  <c r="W614" i="12"/>
  <c r="M614" i="12"/>
  <c r="AN613" i="12"/>
  <c r="AH613" i="12"/>
  <c r="X613" i="12"/>
  <c r="W613" i="12"/>
  <c r="M613" i="12"/>
  <c r="AT612" i="12"/>
  <c r="AN612" i="12"/>
  <c r="AH612" i="12"/>
  <c r="X612" i="12"/>
  <c r="M612" i="12"/>
  <c r="AN611" i="12"/>
  <c r="AH611" i="12"/>
  <c r="X611" i="12"/>
  <c r="W611" i="12"/>
  <c r="M611" i="12"/>
  <c r="L607" i="12"/>
  <c r="L608" i="12"/>
  <c r="K607" i="12"/>
  <c r="K608" i="12"/>
  <c r="J607" i="12"/>
  <c r="J608" i="12"/>
  <c r="AN606" i="12"/>
  <c r="AH606" i="12"/>
  <c r="M606" i="12"/>
  <c r="AN605" i="12"/>
  <c r="AH605" i="12"/>
  <c r="Y605" i="12"/>
  <c r="M605" i="12"/>
  <c r="AM604" i="12"/>
  <c r="AG604" i="12"/>
  <c r="X604" i="12"/>
  <c r="AL603" i="12"/>
  <c r="AF603" i="12"/>
  <c r="X603" i="12"/>
  <c r="AK602" i="12"/>
  <c r="AE602" i="12"/>
  <c r="X602" i="12"/>
  <c r="AN601" i="12"/>
  <c r="AH601" i="12"/>
  <c r="M601" i="12"/>
  <c r="AN600" i="12"/>
  <c r="AH600" i="12"/>
  <c r="M600" i="12"/>
  <c r="L597" i="12"/>
  <c r="L598" i="12"/>
  <c r="K597" i="12"/>
  <c r="K598" i="12"/>
  <c r="J597" i="12"/>
  <c r="J598" i="12"/>
  <c r="AN596" i="12"/>
  <c r="AH596" i="12"/>
  <c r="X596" i="12"/>
  <c r="W596" i="12"/>
  <c r="M596" i="12"/>
  <c r="AN595" i="12"/>
  <c r="AH595" i="12"/>
  <c r="X595" i="12"/>
  <c r="W595" i="12"/>
  <c r="M595" i="12"/>
  <c r="AN594" i="12"/>
  <c r="AH594" i="12"/>
  <c r="X594" i="12"/>
  <c r="W594" i="12"/>
  <c r="M594" i="12"/>
  <c r="X593" i="12"/>
  <c r="AZ593" i="12"/>
  <c r="AN593" i="12"/>
  <c r="AH593" i="12"/>
  <c r="W593" i="12"/>
  <c r="M593" i="12"/>
  <c r="AN592" i="12"/>
  <c r="AH592" i="12"/>
  <c r="X592" i="12"/>
  <c r="W592" i="12"/>
  <c r="M592" i="12"/>
  <c r="L589" i="12"/>
  <c r="L590" i="12"/>
  <c r="K589" i="12"/>
  <c r="K590" i="12"/>
  <c r="J589" i="12"/>
  <c r="J590" i="12"/>
  <c r="AN588" i="12"/>
  <c r="AH588" i="12"/>
  <c r="X588" i="12"/>
  <c r="W588" i="12"/>
  <c r="M588" i="12"/>
  <c r="AN587" i="12"/>
  <c r="AH587" i="12"/>
  <c r="X587" i="12"/>
  <c r="W587" i="12"/>
  <c r="M587" i="12"/>
  <c r="AN586" i="12"/>
  <c r="AH586" i="12"/>
  <c r="X586" i="12"/>
  <c r="AB420" i="6"/>
  <c r="M586" i="12"/>
  <c r="X585" i="12"/>
  <c r="AZ585" i="12"/>
  <c r="AN585" i="12"/>
  <c r="AH585" i="12"/>
  <c r="W585" i="12"/>
  <c r="Y585" i="12"/>
  <c r="M585" i="12"/>
  <c r="AN584" i="12"/>
  <c r="AH584" i="12"/>
  <c r="X584" i="12"/>
  <c r="AZ584" i="12"/>
  <c r="W584" i="12"/>
  <c r="M584" i="12"/>
  <c r="AN583" i="12"/>
  <c r="AH583" i="12"/>
  <c r="X583" i="12"/>
  <c r="W583" i="12"/>
  <c r="M583" i="12"/>
  <c r="L580" i="12"/>
  <c r="K580" i="12"/>
  <c r="J580" i="12"/>
  <c r="AN579" i="12"/>
  <c r="AH579" i="12"/>
  <c r="X579" i="12"/>
  <c r="M579" i="12"/>
  <c r="AN578" i="12"/>
  <c r="AH578" i="12"/>
  <c r="X578" i="12"/>
  <c r="AZ578" i="12"/>
  <c r="W578" i="12"/>
  <c r="M578" i="12"/>
  <c r="AN577" i="12"/>
  <c r="AH577" i="12"/>
  <c r="X577" i="12"/>
  <c r="W577" i="12"/>
  <c r="M577" i="12"/>
  <c r="AN576" i="12"/>
  <c r="AH576" i="12"/>
  <c r="M576" i="12"/>
  <c r="U572" i="12"/>
  <c r="T572" i="12"/>
  <c r="R572" i="12"/>
  <c r="Q572" i="12"/>
  <c r="O572" i="12"/>
  <c r="N572" i="12"/>
  <c r="X571" i="12"/>
  <c r="W571" i="12"/>
  <c r="V571" i="12"/>
  <c r="S571" i="12"/>
  <c r="P571" i="12"/>
  <c r="X570" i="12"/>
  <c r="AB454" i="6"/>
  <c r="W570" i="12"/>
  <c r="AA454" i="6"/>
  <c r="V570" i="12"/>
  <c r="S570" i="12"/>
  <c r="P570" i="12"/>
  <c r="N515" i="12"/>
  <c r="R508" i="12"/>
  <c r="P546" i="12"/>
  <c r="P547" i="12"/>
  <c r="V546" i="12"/>
  <c r="V547" i="12"/>
  <c r="S546" i="12"/>
  <c r="S547" i="12"/>
  <c r="Y545" i="12"/>
  <c r="Y544" i="12"/>
  <c r="Y543" i="12"/>
  <c r="AC540" i="12"/>
  <c r="AB540" i="12"/>
  <c r="AA540" i="12"/>
  <c r="U538" i="12"/>
  <c r="T538" i="12"/>
  <c r="R538" i="12"/>
  <c r="Q538" i="12"/>
  <c r="O538" i="12"/>
  <c r="N538" i="12"/>
  <c r="X537" i="12"/>
  <c r="W537" i="12"/>
  <c r="V537" i="12"/>
  <c r="S537" i="12"/>
  <c r="P537" i="12"/>
  <c r="X536" i="12"/>
  <c r="AZ536" i="12"/>
  <c r="W536" i="12"/>
  <c r="V536" i="12"/>
  <c r="S536" i="12"/>
  <c r="P536" i="12"/>
  <c r="X535" i="12"/>
  <c r="W535" i="12"/>
  <c r="AA386" i="6"/>
  <c r="V535" i="12"/>
  <c r="S535" i="12"/>
  <c r="P535" i="12"/>
  <c r="P538" i="12"/>
  <c r="U528" i="12"/>
  <c r="T528" i="12"/>
  <c r="T533" i="12"/>
  <c r="R528" i="12"/>
  <c r="Q528" i="12"/>
  <c r="Q533" i="12"/>
  <c r="O528" i="12"/>
  <c r="O533" i="12"/>
  <c r="N528" i="12"/>
  <c r="X527" i="12"/>
  <c r="W527" i="12"/>
  <c r="AA382" i="6"/>
  <c r="V527" i="12"/>
  <c r="S527" i="12"/>
  <c r="P527" i="12"/>
  <c r="X526" i="12"/>
  <c r="AZ526" i="12"/>
  <c r="W526" i="12"/>
  <c r="Y526" i="12"/>
  <c r="V526" i="12"/>
  <c r="S526" i="12"/>
  <c r="P526" i="12"/>
  <c r="X525" i="12"/>
  <c r="AZ525" i="12"/>
  <c r="W525" i="12"/>
  <c r="V525" i="12"/>
  <c r="S525" i="12"/>
  <c r="P525" i="12"/>
  <c r="W524" i="12"/>
  <c r="AT524" i="12"/>
  <c r="X524" i="12"/>
  <c r="V524" i="12"/>
  <c r="S524" i="12"/>
  <c r="P524" i="12"/>
  <c r="AT523" i="12"/>
  <c r="X523" i="12"/>
  <c r="V523" i="12"/>
  <c r="S523" i="12"/>
  <c r="P523" i="12"/>
  <c r="X522" i="12"/>
  <c r="W522" i="12"/>
  <c r="V522" i="12"/>
  <c r="S522" i="12"/>
  <c r="P522" i="12"/>
  <c r="W521" i="12"/>
  <c r="X521" i="12"/>
  <c r="Y521" i="12"/>
  <c r="AZ521" i="12"/>
  <c r="V521" i="12"/>
  <c r="S521" i="12"/>
  <c r="P521" i="12"/>
  <c r="X520" i="12"/>
  <c r="W520" i="12"/>
  <c r="V520" i="12"/>
  <c r="S520" i="12"/>
  <c r="P520" i="12"/>
  <c r="X519" i="12"/>
  <c r="V519" i="12"/>
  <c r="S519" i="12"/>
  <c r="P519" i="12"/>
  <c r="X518" i="12"/>
  <c r="W518" i="12"/>
  <c r="V518" i="12"/>
  <c r="S518" i="12"/>
  <c r="P518" i="12"/>
  <c r="AN515" i="12"/>
  <c r="AO515" i="12"/>
  <c r="AH515" i="12"/>
  <c r="AI515" i="12"/>
  <c r="U515" i="12"/>
  <c r="T515" i="12"/>
  <c r="R515" i="12"/>
  <c r="Q515" i="12"/>
  <c r="O515" i="12"/>
  <c r="X514" i="12"/>
  <c r="W514" i="12"/>
  <c r="AA370" i="6"/>
  <c r="V514" i="12"/>
  <c r="S514" i="12"/>
  <c r="P514" i="12"/>
  <c r="X513" i="12"/>
  <c r="W513" i="12"/>
  <c r="V513" i="12"/>
  <c r="S513" i="12"/>
  <c r="P513" i="12"/>
  <c r="W512" i="12"/>
  <c r="AT512" i="12"/>
  <c r="X512" i="12"/>
  <c r="V512" i="12"/>
  <c r="S512" i="12"/>
  <c r="P512" i="12"/>
  <c r="X511" i="12"/>
  <c r="AZ511" i="12"/>
  <c r="W511" i="12"/>
  <c r="V511" i="12"/>
  <c r="S511" i="12"/>
  <c r="P511" i="12"/>
  <c r="P515" i="12"/>
  <c r="U508" i="12"/>
  <c r="T508" i="12"/>
  <c r="Q508" i="12"/>
  <c r="O508" i="12"/>
  <c r="N508" i="12"/>
  <c r="X507" i="12"/>
  <c r="W507" i="12"/>
  <c r="V507" i="12"/>
  <c r="S507" i="12"/>
  <c r="P507" i="12"/>
  <c r="X506" i="12"/>
  <c r="W506" i="12"/>
  <c r="V506" i="12"/>
  <c r="S506" i="12"/>
  <c r="P506" i="12"/>
  <c r="X505" i="12"/>
  <c r="AZ505" i="12"/>
  <c r="W505" i="12"/>
  <c r="V505" i="12"/>
  <c r="S505" i="12"/>
  <c r="P505" i="12"/>
  <c r="X504" i="12"/>
  <c r="AZ504" i="12"/>
  <c r="W504" i="12"/>
  <c r="Y504" i="12"/>
  <c r="V504" i="12"/>
  <c r="S504" i="12"/>
  <c r="P504" i="12"/>
  <c r="AW493" i="12"/>
  <c r="AW497" i="12"/>
  <c r="AW499" i="12"/>
  <c r="AY497" i="12"/>
  <c r="AX497" i="12"/>
  <c r="AM497" i="12"/>
  <c r="AL497" i="12"/>
  <c r="AK497" i="12"/>
  <c r="AN497" i="12"/>
  <c r="AG497" i="12"/>
  <c r="AF497" i="12"/>
  <c r="AE497" i="12"/>
  <c r="U497" i="12"/>
  <c r="T497" i="12"/>
  <c r="Q497" i="12"/>
  <c r="R497" i="12"/>
  <c r="S497" i="12"/>
  <c r="O497" i="12"/>
  <c r="N497" i="12"/>
  <c r="W497" i="12"/>
  <c r="AY496" i="12"/>
  <c r="AX496" i="12"/>
  <c r="AW496" i="12"/>
  <c r="AZ496" i="12"/>
  <c r="AM496" i="12"/>
  <c r="AL496" i="12"/>
  <c r="AK496" i="12"/>
  <c r="AG496" i="12"/>
  <c r="AF496" i="12"/>
  <c r="AE496" i="12"/>
  <c r="U496" i="12"/>
  <c r="T496" i="12"/>
  <c r="R496" i="12"/>
  <c r="Q496" i="12"/>
  <c r="S496" i="12"/>
  <c r="O496" i="12"/>
  <c r="N496" i="12"/>
  <c r="P496" i="12"/>
  <c r="AW495" i="12"/>
  <c r="AX495" i="12"/>
  <c r="AY495" i="12"/>
  <c r="AZ495" i="12"/>
  <c r="AM495" i="12"/>
  <c r="AL495" i="12"/>
  <c r="AK495" i="12"/>
  <c r="AG495" i="12"/>
  <c r="AF495" i="12"/>
  <c r="AE495" i="12"/>
  <c r="U495" i="12"/>
  <c r="T495" i="12"/>
  <c r="Q495" i="12"/>
  <c r="R495" i="12"/>
  <c r="S495" i="12"/>
  <c r="O495" i="12"/>
  <c r="N495" i="12"/>
  <c r="AY494" i="12"/>
  <c r="AY500" i="12"/>
  <c r="AX494" i="12"/>
  <c r="AX500" i="12"/>
  <c r="AW494" i="12"/>
  <c r="AZ494" i="12"/>
  <c r="AM494" i="12"/>
  <c r="AM500" i="12"/>
  <c r="AL494" i="12"/>
  <c r="AL500" i="12"/>
  <c r="AK494" i="12"/>
  <c r="AG494" i="12"/>
  <c r="AG500" i="12"/>
  <c r="AF494" i="12"/>
  <c r="AE494" i="12"/>
  <c r="U494" i="12"/>
  <c r="T494" i="12"/>
  <c r="V494" i="12"/>
  <c r="R494" i="12"/>
  <c r="R500" i="12"/>
  <c r="Q494" i="12"/>
  <c r="O494" i="12"/>
  <c r="N494" i="12"/>
  <c r="P494" i="12"/>
  <c r="AY493" i="12"/>
  <c r="AX493" i="12"/>
  <c r="AX499" i="12"/>
  <c r="AM493" i="12"/>
  <c r="AM499" i="12"/>
  <c r="AL493" i="12"/>
  <c r="AK493" i="12"/>
  <c r="AN493" i="12"/>
  <c r="AK499" i="12"/>
  <c r="AG493" i="12"/>
  <c r="AG499" i="12"/>
  <c r="AF493" i="12"/>
  <c r="AF499" i="12"/>
  <c r="AE493" i="12"/>
  <c r="U493" i="12"/>
  <c r="T493" i="12"/>
  <c r="V493" i="12"/>
  <c r="R493" i="12"/>
  <c r="R499" i="12"/>
  <c r="Q493" i="12"/>
  <c r="O493" i="12"/>
  <c r="N493" i="12"/>
  <c r="P493" i="12"/>
  <c r="U490" i="12"/>
  <c r="T490" i="12"/>
  <c r="V490" i="12"/>
  <c r="R490" i="12"/>
  <c r="Q490" i="12"/>
  <c r="S490" i="12"/>
  <c r="O490" i="12"/>
  <c r="N490" i="12"/>
  <c r="V486" i="12"/>
  <c r="S486" i="12"/>
  <c r="P486" i="12"/>
  <c r="Y485" i="12"/>
  <c r="Y484" i="12"/>
  <c r="Y483" i="12"/>
  <c r="U480" i="12"/>
  <c r="T480" i="12"/>
  <c r="R480" i="12"/>
  <c r="Q480" i="12"/>
  <c r="Q443" i="12"/>
  <c r="Q481" i="12"/>
  <c r="O480" i="12"/>
  <c r="N480" i="12"/>
  <c r="X479" i="12"/>
  <c r="AZ479" i="12"/>
  <c r="W479" i="12"/>
  <c r="AT479" i="12"/>
  <c r="V479" i="12"/>
  <c r="S479" i="12"/>
  <c r="P479" i="12"/>
  <c r="X478" i="12"/>
  <c r="W478" i="12"/>
  <c r="V478" i="12"/>
  <c r="S478" i="12"/>
  <c r="P478" i="12"/>
  <c r="X477" i="12"/>
  <c r="AZ477" i="12"/>
  <c r="W477" i="12"/>
  <c r="AA348" i="6"/>
  <c r="V477" i="12"/>
  <c r="S477" i="12"/>
  <c r="P477" i="12"/>
  <c r="X476" i="12"/>
  <c r="W476" i="12"/>
  <c r="V476" i="12"/>
  <c r="S476" i="12"/>
  <c r="P476" i="12"/>
  <c r="X475" i="12"/>
  <c r="AZ475" i="12"/>
  <c r="AB346" i="6"/>
  <c r="W475" i="12"/>
  <c r="V475" i="12"/>
  <c r="S475" i="12"/>
  <c r="P475" i="12"/>
  <c r="X474" i="12"/>
  <c r="W474" i="12"/>
  <c r="V474" i="12"/>
  <c r="S474" i="12"/>
  <c r="P474" i="12"/>
  <c r="W473" i="12"/>
  <c r="AT473" i="12"/>
  <c r="X473" i="12"/>
  <c r="AB344" i="6"/>
  <c r="V473" i="12"/>
  <c r="S473" i="12"/>
  <c r="P473" i="12"/>
  <c r="X472" i="12"/>
  <c r="W472" i="12"/>
  <c r="V472" i="12"/>
  <c r="V480" i="12"/>
  <c r="S472" i="12"/>
  <c r="P472" i="12"/>
  <c r="U469" i="12"/>
  <c r="T469" i="12"/>
  <c r="T443" i="12"/>
  <c r="T470" i="12"/>
  <c r="R469" i="12"/>
  <c r="Q469" i="12"/>
  <c r="Q470" i="12"/>
  <c r="O469" i="12"/>
  <c r="N469" i="12"/>
  <c r="X468" i="12"/>
  <c r="W468" i="12"/>
  <c r="AT468" i="12"/>
  <c r="V468" i="12"/>
  <c r="S468" i="12"/>
  <c r="P468" i="12"/>
  <c r="W467" i="12"/>
  <c r="AS467" i="12"/>
  <c r="AC467" i="12"/>
  <c r="X467" i="12"/>
  <c r="AY467" i="12"/>
  <c r="AB466" i="12"/>
  <c r="X466" i="12"/>
  <c r="AX466" i="12"/>
  <c r="W466" i="12"/>
  <c r="AR466" i="12"/>
  <c r="W465" i="12"/>
  <c r="AQ465" i="12"/>
  <c r="AA465" i="12"/>
  <c r="X465" i="12"/>
  <c r="AW465" i="12"/>
  <c r="X464" i="12"/>
  <c r="W464" i="12"/>
  <c r="AT464" i="12"/>
  <c r="AA336" i="6"/>
  <c r="V464" i="12"/>
  <c r="S464" i="12"/>
  <c r="P464" i="12"/>
  <c r="P463" i="12"/>
  <c r="P469" i="12"/>
  <c r="X463" i="12"/>
  <c r="AZ463" i="12"/>
  <c r="W463" i="12"/>
  <c r="AT463" i="12"/>
  <c r="V463" i="12"/>
  <c r="S463" i="12"/>
  <c r="U460" i="12"/>
  <c r="U443" i="12"/>
  <c r="U461" i="12"/>
  <c r="T460" i="12"/>
  <c r="R460" i="12"/>
  <c r="Q460" i="12"/>
  <c r="O460" i="12"/>
  <c r="N460" i="12"/>
  <c r="W459" i="12"/>
  <c r="AT459" i="12"/>
  <c r="X459" i="12"/>
  <c r="V459" i="12"/>
  <c r="S459" i="12"/>
  <c r="P459" i="12"/>
  <c r="X458" i="12"/>
  <c r="W458" i="12"/>
  <c r="V458" i="12"/>
  <c r="S458" i="12"/>
  <c r="P458" i="12"/>
  <c r="W457" i="12"/>
  <c r="AT457" i="12"/>
  <c r="X457" i="12"/>
  <c r="V457" i="12"/>
  <c r="S457" i="12"/>
  <c r="P457" i="12"/>
  <c r="W453" i="12"/>
  <c r="AT453" i="12"/>
  <c r="X453" i="12"/>
  <c r="AZ453" i="12"/>
  <c r="Y453" i="12"/>
  <c r="V453" i="12"/>
  <c r="S453" i="12"/>
  <c r="P453" i="12"/>
  <c r="U449" i="12"/>
  <c r="U454" i="12"/>
  <c r="T449" i="12"/>
  <c r="T454" i="12"/>
  <c r="R449" i="12"/>
  <c r="Q449" i="12"/>
  <c r="Q454" i="12"/>
  <c r="O449" i="12"/>
  <c r="O454" i="12"/>
  <c r="N449" i="12"/>
  <c r="W448" i="12"/>
  <c r="AT448" i="12"/>
  <c r="X448" i="12"/>
  <c r="V448" i="12"/>
  <c r="S448" i="12"/>
  <c r="P448" i="12"/>
  <c r="X447" i="12"/>
  <c r="W447" i="12"/>
  <c r="V447" i="12"/>
  <c r="S447" i="12"/>
  <c r="P447" i="12"/>
  <c r="X446" i="12"/>
  <c r="AZ446" i="12"/>
  <c r="W446" i="12"/>
  <c r="Y446" i="12"/>
  <c r="AB324" i="6"/>
  <c r="V446" i="12"/>
  <c r="S446" i="12"/>
  <c r="P446" i="12"/>
  <c r="X445" i="12"/>
  <c r="W445" i="12"/>
  <c r="V445" i="12"/>
  <c r="S445" i="12"/>
  <c r="P445" i="12"/>
  <c r="R443" i="12"/>
  <c r="O443" i="12"/>
  <c r="O481" i="12"/>
  <c r="N443" i="12"/>
  <c r="N470" i="12"/>
  <c r="N441" i="12"/>
  <c r="N442" i="12"/>
  <c r="U441" i="12"/>
  <c r="U442" i="12"/>
  <c r="T441" i="12"/>
  <c r="T442" i="12"/>
  <c r="R441" i="12"/>
  <c r="R442" i="12"/>
  <c r="Q441" i="12"/>
  <c r="Q442" i="12"/>
  <c r="O441" i="12"/>
  <c r="O442" i="12"/>
  <c r="X440" i="12"/>
  <c r="AB319" i="6"/>
  <c r="AC319" i="6" s="1"/>
  <c r="W440" i="12"/>
  <c r="AA319" i="6"/>
  <c r="V440" i="12"/>
  <c r="S440" i="12"/>
  <c r="P440" i="12"/>
  <c r="X439" i="12"/>
  <c r="W439" i="12"/>
  <c r="V439" i="12"/>
  <c r="S439" i="12"/>
  <c r="P439" i="12"/>
  <c r="X438" i="12"/>
  <c r="W438" i="12"/>
  <c r="V438" i="12"/>
  <c r="S438" i="12"/>
  <c r="P438" i="12"/>
  <c r="X437" i="12"/>
  <c r="W437" i="12"/>
  <c r="V437" i="12"/>
  <c r="S437" i="12"/>
  <c r="P437" i="12"/>
  <c r="X436" i="12"/>
  <c r="AB315" i="6"/>
  <c r="W436" i="12"/>
  <c r="AA315" i="6"/>
  <c r="AC315" i="6" s="1"/>
  <c r="V436" i="12"/>
  <c r="S436" i="12"/>
  <c r="P436" i="12"/>
  <c r="X435" i="12"/>
  <c r="AZ435" i="12"/>
  <c r="W435" i="12"/>
  <c r="V435" i="12"/>
  <c r="S435" i="12"/>
  <c r="P435" i="12"/>
  <c r="X434" i="12"/>
  <c r="W434" i="12"/>
  <c r="AA313" i="6"/>
  <c r="AC313" i="6" s="1"/>
  <c r="V434" i="12"/>
  <c r="S434" i="12"/>
  <c r="P434" i="12"/>
  <c r="X433" i="12"/>
  <c r="W433" i="12"/>
  <c r="V433" i="12"/>
  <c r="S433" i="12"/>
  <c r="P433" i="12"/>
  <c r="U430" i="12"/>
  <c r="U431" i="12"/>
  <c r="T430" i="12"/>
  <c r="T431" i="12"/>
  <c r="R430" i="12"/>
  <c r="R431" i="12"/>
  <c r="Q430" i="12"/>
  <c r="Q431" i="12"/>
  <c r="O430" i="12"/>
  <c r="O431" i="12"/>
  <c r="N430" i="12"/>
  <c r="N431" i="12"/>
  <c r="W429" i="12"/>
  <c r="AT429" i="12"/>
  <c r="X429" i="12"/>
  <c r="AZ429" i="12"/>
  <c r="V429" i="12"/>
  <c r="S429" i="12"/>
  <c r="P429" i="12"/>
  <c r="AC428" i="12"/>
  <c r="X428" i="12"/>
  <c r="AY428" i="12"/>
  <c r="W428" i="12"/>
  <c r="AS428" i="12"/>
  <c r="AB427" i="12"/>
  <c r="X427" i="12"/>
  <c r="AX427" i="12"/>
  <c r="W427" i="12"/>
  <c r="AR427" i="12"/>
  <c r="AA426" i="12"/>
  <c r="X426" i="12"/>
  <c r="AW426" i="12"/>
  <c r="W426" i="12"/>
  <c r="AQ426" i="12"/>
  <c r="X425" i="12"/>
  <c r="AZ425" i="12"/>
  <c r="W425" i="12"/>
  <c r="AT425" i="12"/>
  <c r="V425" i="12"/>
  <c r="S425" i="12"/>
  <c r="P425" i="12"/>
  <c r="X424" i="12"/>
  <c r="AZ424" i="12"/>
  <c r="W424" i="12"/>
  <c r="AT424" i="12"/>
  <c r="V424" i="12"/>
  <c r="S424" i="12"/>
  <c r="P424" i="12"/>
  <c r="V416" i="12"/>
  <c r="U416" i="12"/>
  <c r="U421" i="12"/>
  <c r="U409" i="12"/>
  <c r="U422" i="12"/>
  <c r="T416" i="12"/>
  <c r="T421" i="12"/>
  <c r="S416" i="12"/>
  <c r="R416" i="12"/>
  <c r="Q416" i="12"/>
  <c r="Q421" i="12"/>
  <c r="P416" i="12"/>
  <c r="O416" i="12"/>
  <c r="O421" i="12"/>
  <c r="N416" i="12"/>
  <c r="X415" i="12"/>
  <c r="AZ415" i="12"/>
  <c r="W415" i="12"/>
  <c r="Y415" i="12"/>
  <c r="AT415" i="12"/>
  <c r="V415" i="12"/>
  <c r="S415" i="12"/>
  <c r="P415" i="12"/>
  <c r="X414" i="12"/>
  <c r="W414" i="12"/>
  <c r="AA299" i="6"/>
  <c r="V414" i="12"/>
  <c r="S414" i="12"/>
  <c r="P414" i="12"/>
  <c r="W413" i="12"/>
  <c r="AT413" i="12"/>
  <c r="X413" i="12"/>
  <c r="AZ413" i="12"/>
  <c r="V413" i="12"/>
  <c r="S413" i="12"/>
  <c r="P413" i="12"/>
  <c r="X412" i="12"/>
  <c r="W412" i="12"/>
  <c r="V412" i="12"/>
  <c r="S412" i="12"/>
  <c r="P412" i="12"/>
  <c r="X411" i="12"/>
  <c r="AZ411" i="12"/>
  <c r="W411" i="12"/>
  <c r="V411" i="12"/>
  <c r="S411" i="12"/>
  <c r="P411" i="12"/>
  <c r="T409" i="12"/>
  <c r="R409" i="12"/>
  <c r="Q409" i="12"/>
  <c r="O409" i="12"/>
  <c r="N409" i="12"/>
  <c r="U407" i="12"/>
  <c r="T407" i="12"/>
  <c r="R407" i="12"/>
  <c r="Q407" i="12"/>
  <c r="O407" i="12"/>
  <c r="N407" i="12"/>
  <c r="X406" i="12"/>
  <c r="W406" i="12"/>
  <c r="V406" i="12"/>
  <c r="S406" i="12"/>
  <c r="P406" i="12"/>
  <c r="X405" i="12"/>
  <c r="W405" i="12"/>
  <c r="V405" i="12"/>
  <c r="S405" i="12"/>
  <c r="P405" i="12"/>
  <c r="W404" i="12"/>
  <c r="AT404" i="12"/>
  <c r="X404" i="12"/>
  <c r="V404" i="12"/>
  <c r="S404" i="12"/>
  <c r="P404" i="12"/>
  <c r="X403" i="12"/>
  <c r="W403" i="12"/>
  <c r="W409" i="12"/>
  <c r="V403" i="12"/>
  <c r="V402" i="12"/>
  <c r="V407" i="12"/>
  <c r="S403" i="12"/>
  <c r="P403" i="12"/>
  <c r="W402" i="12"/>
  <c r="AT402" i="12"/>
  <c r="X402" i="12"/>
  <c r="AA286" i="6"/>
  <c r="S402" i="12"/>
  <c r="P402" i="12"/>
  <c r="N395" i="12"/>
  <c r="N400" i="12"/>
  <c r="U395" i="12"/>
  <c r="U400" i="12"/>
  <c r="T395" i="12"/>
  <c r="T400" i="12"/>
  <c r="R395" i="12"/>
  <c r="R400" i="12"/>
  <c r="Q395" i="12"/>
  <c r="O395" i="12"/>
  <c r="P395" i="12"/>
  <c r="X394" i="12"/>
  <c r="W394" i="12"/>
  <c r="V394" i="12"/>
  <c r="S394" i="12"/>
  <c r="P394" i="12"/>
  <c r="X393" i="12"/>
  <c r="W393" i="12"/>
  <c r="AT393" i="12"/>
  <c r="V393" i="12"/>
  <c r="S393" i="12"/>
  <c r="P393" i="12"/>
  <c r="X392" i="12"/>
  <c r="AB276" i="6"/>
  <c r="AC276" i="6" s="1"/>
  <c r="W392" i="12"/>
  <c r="AA276" i="6"/>
  <c r="V392" i="12"/>
  <c r="S392" i="12"/>
  <c r="P392" i="12"/>
  <c r="X391" i="12"/>
  <c r="AZ391" i="12"/>
  <c r="W391" i="12"/>
  <c r="AT391" i="12"/>
  <c r="V391" i="12"/>
  <c r="S391" i="12"/>
  <c r="P391" i="12"/>
  <c r="X390" i="12"/>
  <c r="W390" i="12"/>
  <c r="V390" i="12"/>
  <c r="S390" i="12"/>
  <c r="P390" i="12"/>
  <c r="X389" i="12"/>
  <c r="AZ389" i="12"/>
  <c r="W389" i="12"/>
  <c r="AT389" i="12"/>
  <c r="V389" i="12"/>
  <c r="S389" i="12"/>
  <c r="P389" i="12"/>
  <c r="X388" i="12"/>
  <c r="AB272" i="6"/>
  <c r="W388" i="12"/>
  <c r="AA272" i="6"/>
  <c r="AC272" i="6" s="1"/>
  <c r="V388" i="12"/>
  <c r="S388" i="12"/>
  <c r="P388" i="12"/>
  <c r="X387" i="12"/>
  <c r="AZ387" i="12"/>
  <c r="W387" i="12"/>
  <c r="AT387" i="12"/>
  <c r="V387" i="12"/>
  <c r="S387" i="12"/>
  <c r="P387" i="12"/>
  <c r="X386" i="12"/>
  <c r="W386" i="12"/>
  <c r="V386" i="12"/>
  <c r="S386" i="12"/>
  <c r="P386" i="12"/>
  <c r="X385" i="12"/>
  <c r="AZ385" i="12"/>
  <c r="W385" i="12"/>
  <c r="AT385" i="12"/>
  <c r="V385" i="12"/>
  <c r="S385" i="12"/>
  <c r="P385" i="12"/>
  <c r="X384" i="12"/>
  <c r="AB268" i="6"/>
  <c r="AC268" i="6" s="1"/>
  <c r="W384" i="12"/>
  <c r="AA268" i="6"/>
  <c r="V384" i="12"/>
  <c r="S384" i="12"/>
  <c r="P384" i="12"/>
  <c r="X383" i="12"/>
  <c r="AZ383" i="12"/>
  <c r="W383" i="12"/>
  <c r="AT383" i="12"/>
  <c r="V383" i="12"/>
  <c r="S383" i="12"/>
  <c r="P383" i="12"/>
  <c r="X382" i="12"/>
  <c r="W382" i="12"/>
  <c r="V382" i="12"/>
  <c r="S382" i="12"/>
  <c r="P382" i="12"/>
  <c r="U379" i="12"/>
  <c r="T379" i="12"/>
  <c r="R379" i="12"/>
  <c r="Q379" i="12"/>
  <c r="O379" i="12"/>
  <c r="N379" i="12"/>
  <c r="X378" i="12"/>
  <c r="W378" i="12"/>
  <c r="V378" i="12"/>
  <c r="S378" i="12"/>
  <c r="P378" i="12"/>
  <c r="X377" i="12"/>
  <c r="W377" i="12"/>
  <c r="AA263" i="6"/>
  <c r="V377" i="12"/>
  <c r="S377" i="12"/>
  <c r="P377" i="12"/>
  <c r="X376" i="12"/>
  <c r="W376" i="12"/>
  <c r="V376" i="12"/>
  <c r="S376" i="12"/>
  <c r="P376" i="12"/>
  <c r="L370" i="12"/>
  <c r="L371" i="12"/>
  <c r="K370" i="12"/>
  <c r="K371" i="12"/>
  <c r="J370" i="12"/>
  <c r="J371" i="12"/>
  <c r="AN369" i="12"/>
  <c r="AH369" i="12"/>
  <c r="AN368" i="12"/>
  <c r="AH368" i="12"/>
  <c r="Y368" i="12"/>
  <c r="AY367" i="12"/>
  <c r="AM367" i="12"/>
  <c r="AG367" i="12"/>
  <c r="X367" i="12"/>
  <c r="W367" i="12"/>
  <c r="AS367" i="12"/>
  <c r="AX366" i="12"/>
  <c r="W366" i="12"/>
  <c r="AR366" i="12"/>
  <c r="AL366" i="12"/>
  <c r="AF366" i="12"/>
  <c r="X366" i="12"/>
  <c r="AW365" i="12"/>
  <c r="AK365" i="12"/>
  <c r="AE365" i="12"/>
  <c r="X365" i="12"/>
  <c r="W365" i="12"/>
  <c r="AQ365" i="12"/>
  <c r="AN364" i="12"/>
  <c r="AH364" i="12"/>
  <c r="AN363" i="12"/>
  <c r="AH363" i="12"/>
  <c r="L360" i="12"/>
  <c r="K360" i="12"/>
  <c r="J360" i="12"/>
  <c r="AN359" i="12"/>
  <c r="AH359" i="12"/>
  <c r="M359" i="12"/>
  <c r="AN358" i="12"/>
  <c r="AH358" i="12"/>
  <c r="AZ358" i="12"/>
  <c r="M358" i="12"/>
  <c r="AN357" i="12"/>
  <c r="AH357" i="12"/>
  <c r="X357" i="12"/>
  <c r="W357" i="12"/>
  <c r="M357" i="12"/>
  <c r="M360" i="12"/>
  <c r="L354" i="12"/>
  <c r="K354" i="12"/>
  <c r="J354" i="12"/>
  <c r="AN353" i="12"/>
  <c r="AH353" i="12"/>
  <c r="M353" i="12"/>
  <c r="AT352" i="12"/>
  <c r="AN352" i="12"/>
  <c r="AH352" i="12"/>
  <c r="M352" i="12"/>
  <c r="AN351" i="12"/>
  <c r="AH351" i="12"/>
  <c r="M351" i="12"/>
  <c r="AN350" i="12"/>
  <c r="AH350" i="12"/>
  <c r="M350" i="12"/>
  <c r="AN349" i="12"/>
  <c r="AH349" i="12"/>
  <c r="M349" i="12"/>
  <c r="AZ348" i="12"/>
  <c r="AN348" i="12"/>
  <c r="AH348" i="12"/>
  <c r="M348" i="12"/>
  <c r="AN347" i="12"/>
  <c r="AH347" i="12"/>
  <c r="M347" i="12"/>
  <c r="AN346" i="12"/>
  <c r="AH346" i="12"/>
  <c r="M346" i="12"/>
  <c r="L343" i="12"/>
  <c r="K343" i="12"/>
  <c r="J343" i="12"/>
  <c r="AN342" i="12"/>
  <c r="AH342" i="12"/>
  <c r="X342" i="12"/>
  <c r="AZ342" i="12"/>
  <c r="W342" i="12"/>
  <c r="AN341" i="12"/>
  <c r="AH341" i="12"/>
  <c r="X341" i="12"/>
  <c r="W341" i="12"/>
  <c r="AT341" i="12"/>
  <c r="AY340" i="12"/>
  <c r="AB228" i="6"/>
  <c r="W340" i="12"/>
  <c r="AS340" i="12"/>
  <c r="AM340" i="12"/>
  <c r="AG340" i="12"/>
  <c r="X340" i="12"/>
  <c r="AX339" i="12"/>
  <c r="AL339" i="12"/>
  <c r="AF339" i="12"/>
  <c r="X339" i="12"/>
  <c r="W339" i="12"/>
  <c r="AR339" i="12"/>
  <c r="AW338" i="12"/>
  <c r="AK338" i="12"/>
  <c r="AE338" i="12"/>
  <c r="X338" i="12"/>
  <c r="W338" i="12"/>
  <c r="AQ338" i="12"/>
  <c r="AN337" i="12"/>
  <c r="AH336" i="12"/>
  <c r="AH337" i="12"/>
  <c r="AH343" i="12"/>
  <c r="AI337" i="12"/>
  <c r="X337" i="12"/>
  <c r="AZ337" i="12"/>
  <c r="W337" i="12"/>
  <c r="AT337" i="12"/>
  <c r="AN336" i="12"/>
  <c r="W336" i="12"/>
  <c r="X336" i="12"/>
  <c r="Y336" i="12"/>
  <c r="AZ336" i="12"/>
  <c r="AT336" i="12"/>
  <c r="AN326" i="12"/>
  <c r="AN327" i="12"/>
  <c r="AN331" i="12"/>
  <c r="AN332" i="12"/>
  <c r="AN333" i="12"/>
  <c r="L333" i="12"/>
  <c r="K333" i="12"/>
  <c r="J333" i="12"/>
  <c r="W332" i="12"/>
  <c r="AT332" i="12"/>
  <c r="AH332" i="12"/>
  <c r="X332" i="12"/>
  <c r="AZ332" i="12"/>
  <c r="Y332" i="12"/>
  <c r="AH331" i="12"/>
  <c r="X331" i="12"/>
  <c r="W331" i="12"/>
  <c r="AT331" i="12"/>
  <c r="AY330" i="12"/>
  <c r="AM330" i="12"/>
  <c r="AG330" i="12"/>
  <c r="X330" i="12"/>
  <c r="W330" i="12"/>
  <c r="AS330" i="12"/>
  <c r="AX329" i="12"/>
  <c r="AL329" i="12"/>
  <c r="AF329" i="12"/>
  <c r="X329" i="12"/>
  <c r="W329" i="12"/>
  <c r="AR329" i="12"/>
  <c r="AW328" i="12"/>
  <c r="W328" i="12"/>
  <c r="AQ328" i="12"/>
  <c r="AK328" i="12"/>
  <c r="AE328" i="12"/>
  <c r="X328" i="12"/>
  <c r="AH327" i="12"/>
  <c r="X327" i="12"/>
  <c r="AZ327" i="12"/>
  <c r="W327" i="12"/>
  <c r="AT327" i="12"/>
  <c r="W326" i="12"/>
  <c r="AT326" i="12"/>
  <c r="AH326" i="12"/>
  <c r="X326" i="12"/>
  <c r="L323" i="12"/>
  <c r="K323" i="12"/>
  <c r="J323" i="12"/>
  <c r="AN322" i="12"/>
  <c r="AH322" i="12"/>
  <c r="AN321" i="12"/>
  <c r="AH321" i="12"/>
  <c r="AY320" i="12"/>
  <c r="AS320" i="12"/>
  <c r="AM320" i="12"/>
  <c r="AG320" i="12"/>
  <c r="X320" i="12"/>
  <c r="AX319" i="12"/>
  <c r="AL319" i="12"/>
  <c r="AF319" i="12"/>
  <c r="X319" i="12"/>
  <c r="AR319" i="12"/>
  <c r="AW318" i="12"/>
  <c r="AB208" i="6"/>
  <c r="AK318" i="12"/>
  <c r="AE318" i="12"/>
  <c r="X318" i="12"/>
  <c r="AQ318" i="12"/>
  <c r="AN317" i="12"/>
  <c r="AH317" i="12"/>
  <c r="AN316" i="12"/>
  <c r="AH316" i="12"/>
  <c r="L244" i="12"/>
  <c r="K244" i="12"/>
  <c r="J244" i="12"/>
  <c r="J245" i="12"/>
  <c r="AN243" i="12"/>
  <c r="AH243" i="12"/>
  <c r="Y243" i="12"/>
  <c r="M243" i="12"/>
  <c r="AN242" i="12"/>
  <c r="AH242" i="12"/>
  <c r="M242" i="12"/>
  <c r="AN241" i="12"/>
  <c r="AH241" i="12"/>
  <c r="AZ241" i="12"/>
  <c r="M241" i="12"/>
  <c r="AN240" i="12"/>
  <c r="AH240" i="12"/>
  <c r="M240" i="12"/>
  <c r="AN239" i="12"/>
  <c r="AH239" i="12"/>
  <c r="AH244" i="12"/>
  <c r="AI242" i="12"/>
  <c r="M239" i="12"/>
  <c r="L236" i="12"/>
  <c r="K236" i="12"/>
  <c r="J236" i="12"/>
  <c r="AN235" i="12"/>
  <c r="AH235" i="12"/>
  <c r="M235" i="12"/>
  <c r="AN234" i="12"/>
  <c r="AH234" i="12"/>
  <c r="M234" i="12"/>
  <c r="AT233" i="12"/>
  <c r="AN233" i="12"/>
  <c r="AH233" i="12"/>
  <c r="M233" i="12"/>
  <c r="AN232" i="12"/>
  <c r="AH232" i="12"/>
  <c r="M232" i="12"/>
  <c r="AN231" i="12"/>
  <c r="AN236" i="12"/>
  <c r="AH231" i="12"/>
  <c r="M231" i="12"/>
  <c r="AN228" i="12"/>
  <c r="AN227" i="12"/>
  <c r="W227" i="12"/>
  <c r="AH227" i="12"/>
  <c r="X227" i="12"/>
  <c r="AZ227" i="12"/>
  <c r="AN226" i="12"/>
  <c r="X226" i="12"/>
  <c r="X228" i="12"/>
  <c r="W226" i="12"/>
  <c r="W228" i="12"/>
  <c r="M221" i="12"/>
  <c r="AO220" i="12"/>
  <c r="M220" i="12"/>
  <c r="J218" i="12"/>
  <c r="M215" i="12"/>
  <c r="M214" i="12"/>
  <c r="M217" i="12"/>
  <c r="U210" i="12"/>
  <c r="T210" i="12"/>
  <c r="T20" i="12"/>
  <c r="T211" i="12"/>
  <c r="R210" i="12"/>
  <c r="Q210" i="12"/>
  <c r="O210" i="12"/>
  <c r="N210" i="12"/>
  <c r="X209" i="12"/>
  <c r="W209" i="12"/>
  <c r="V209" i="12"/>
  <c r="S209" i="12"/>
  <c r="P209" i="12"/>
  <c r="X208" i="12"/>
  <c r="AZ208" i="12"/>
  <c r="W208" i="12"/>
  <c r="V208" i="12"/>
  <c r="S208" i="12"/>
  <c r="P208" i="12"/>
  <c r="X207" i="12"/>
  <c r="W207" i="12"/>
  <c r="V207" i="12"/>
  <c r="S207" i="12"/>
  <c r="P207" i="12"/>
  <c r="X206" i="12"/>
  <c r="AZ206" i="12"/>
  <c r="W206" i="12"/>
  <c r="Y206" i="12"/>
  <c r="V206" i="12"/>
  <c r="S206" i="12"/>
  <c r="P206" i="12"/>
  <c r="P210" i="12"/>
  <c r="L204" i="12"/>
  <c r="AI195" i="12"/>
  <c r="AO194" i="12"/>
  <c r="AI194" i="12"/>
  <c r="BA194" i="12"/>
  <c r="AY190" i="12"/>
  <c r="AX190" i="12"/>
  <c r="AW190" i="12"/>
  <c r="AS190" i="12"/>
  <c r="AR190" i="12"/>
  <c r="AQ190" i="12"/>
  <c r="AC190" i="12"/>
  <c r="AB190" i="12"/>
  <c r="AA190" i="12"/>
  <c r="U187" i="12"/>
  <c r="T187" i="12"/>
  <c r="R187" i="12"/>
  <c r="Q187" i="12"/>
  <c r="O187" i="12"/>
  <c r="N187" i="12"/>
  <c r="X186" i="12"/>
  <c r="W186" i="12"/>
  <c r="V186" i="12"/>
  <c r="S186" i="12"/>
  <c r="P186" i="12"/>
  <c r="W185" i="12"/>
  <c r="AT185" i="12"/>
  <c r="X185" i="12"/>
  <c r="AZ185" i="12"/>
  <c r="V185" i="12"/>
  <c r="S185" i="12"/>
  <c r="P185" i="12"/>
  <c r="AZ184" i="12"/>
  <c r="X183" i="12"/>
  <c r="AZ183" i="12"/>
  <c r="W183" i="12"/>
  <c r="V183" i="12"/>
  <c r="S183" i="12"/>
  <c r="P183" i="12"/>
  <c r="X182" i="12"/>
  <c r="W182" i="12"/>
  <c r="V182" i="12"/>
  <c r="S182" i="12"/>
  <c r="P182" i="12"/>
  <c r="X181" i="12"/>
  <c r="AZ181" i="12"/>
  <c r="W181" i="12"/>
  <c r="V181" i="12"/>
  <c r="S181" i="12"/>
  <c r="P181" i="12"/>
  <c r="X180" i="12"/>
  <c r="W180" i="12"/>
  <c r="V180" i="12"/>
  <c r="S180" i="12"/>
  <c r="P180" i="12"/>
  <c r="X179" i="12"/>
  <c r="AZ179" i="12"/>
  <c r="W179" i="12"/>
  <c r="V179" i="12"/>
  <c r="S179" i="12"/>
  <c r="P179" i="12"/>
  <c r="X178" i="12"/>
  <c r="W178" i="12"/>
  <c r="V178" i="12"/>
  <c r="S178" i="12"/>
  <c r="P178" i="12"/>
  <c r="U177" i="12"/>
  <c r="T177" i="12"/>
  <c r="V177" i="12"/>
  <c r="R177" i="12"/>
  <c r="Q177" i="12"/>
  <c r="N177" i="12"/>
  <c r="W177" i="12"/>
  <c r="O177" i="12"/>
  <c r="U174" i="12"/>
  <c r="U489" i="12"/>
  <c r="U491" i="12"/>
  <c r="T174" i="12"/>
  <c r="R174" i="12"/>
  <c r="R489" i="12"/>
  <c r="R491" i="12"/>
  <c r="Q174" i="12"/>
  <c r="Q489" i="12"/>
  <c r="O174" i="12"/>
  <c r="O489" i="12"/>
  <c r="O491" i="12"/>
  <c r="N174" i="12"/>
  <c r="X173" i="12"/>
  <c r="W173" i="12"/>
  <c r="V173" i="12"/>
  <c r="S173" i="12"/>
  <c r="P173" i="12"/>
  <c r="X172" i="12"/>
  <c r="W172" i="12"/>
  <c r="V172" i="12"/>
  <c r="S172" i="12"/>
  <c r="P172" i="12"/>
  <c r="X171" i="12"/>
  <c r="AZ171" i="12"/>
  <c r="W171" i="12"/>
  <c r="V171" i="12"/>
  <c r="S171" i="12"/>
  <c r="P171" i="12"/>
  <c r="X170" i="12"/>
  <c r="W170" i="12"/>
  <c r="V170" i="12"/>
  <c r="S170" i="12"/>
  <c r="P170" i="12"/>
  <c r="X169" i="12"/>
  <c r="AZ169" i="12"/>
  <c r="W169" i="12"/>
  <c r="V169" i="12"/>
  <c r="V174" i="12"/>
  <c r="S169" i="12"/>
  <c r="P169" i="12"/>
  <c r="AN164" i="12"/>
  <c r="AN165" i="12"/>
  <c r="AN166" i="12"/>
  <c r="L166" i="12"/>
  <c r="K166" i="12"/>
  <c r="J166" i="12"/>
  <c r="W165" i="12"/>
  <c r="AT165" i="12"/>
  <c r="AH165" i="12"/>
  <c r="AH164" i="12"/>
  <c r="AH166" i="12"/>
  <c r="X165" i="12"/>
  <c r="AZ165" i="12"/>
  <c r="Y165" i="12"/>
  <c r="M165" i="12"/>
  <c r="X164" i="12"/>
  <c r="W164" i="12"/>
  <c r="W166" i="12"/>
  <c r="M164" i="12"/>
  <c r="L161" i="12"/>
  <c r="K161" i="12"/>
  <c r="J161" i="12"/>
  <c r="AN160" i="12"/>
  <c r="AH160" i="12"/>
  <c r="M160" i="12"/>
  <c r="AN159" i="12"/>
  <c r="AH159" i="12"/>
  <c r="AZ159" i="12"/>
  <c r="M159" i="12"/>
  <c r="M155" i="12"/>
  <c r="M156" i="12"/>
  <c r="M157" i="12"/>
  <c r="M158" i="12"/>
  <c r="M161" i="12"/>
  <c r="AN158" i="12"/>
  <c r="AH158" i="12"/>
  <c r="AZ157" i="12"/>
  <c r="AN157" i="12"/>
  <c r="AH157" i="12"/>
  <c r="AN156" i="12"/>
  <c r="AH156" i="12"/>
  <c r="AZ155" i="12"/>
  <c r="AN155" i="12"/>
  <c r="AH155" i="12"/>
  <c r="U152" i="12"/>
  <c r="T152" i="12"/>
  <c r="R152" i="12"/>
  <c r="Q152" i="12"/>
  <c r="O152" i="12"/>
  <c r="N152" i="12"/>
  <c r="X151" i="12"/>
  <c r="W151" i="12"/>
  <c r="V151" i="12"/>
  <c r="S151" i="12"/>
  <c r="P151" i="12"/>
  <c r="X150" i="12"/>
  <c r="AZ150" i="12"/>
  <c r="W150" i="12"/>
  <c r="V150" i="12"/>
  <c r="S150" i="12"/>
  <c r="S152" i="12"/>
  <c r="P150" i="12"/>
  <c r="AU147" i="12"/>
  <c r="L147" i="12"/>
  <c r="K147" i="12"/>
  <c r="J147" i="12"/>
  <c r="J148" i="12"/>
  <c r="AU146" i="12"/>
  <c r="AN146" i="12"/>
  <c r="AH146" i="12"/>
  <c r="AZ146" i="12"/>
  <c r="Y146" i="12"/>
  <c r="M146" i="12"/>
  <c r="AU145" i="12"/>
  <c r="AN145" i="12"/>
  <c r="AH145" i="12"/>
  <c r="AZ145" i="12"/>
  <c r="M145" i="12"/>
  <c r="AZ144" i="12"/>
  <c r="AU144" i="12"/>
  <c r="AT144" i="12"/>
  <c r="AN144" i="12"/>
  <c r="AH144" i="12"/>
  <c r="Y144" i="12"/>
  <c r="M144" i="12"/>
  <c r="AU143" i="12"/>
  <c r="AN143" i="12"/>
  <c r="AH143" i="12"/>
  <c r="Y143" i="12"/>
  <c r="AZ143" i="12"/>
  <c r="AT143" i="12"/>
  <c r="M143" i="12"/>
  <c r="AU142" i="12"/>
  <c r="AN142" i="12"/>
  <c r="AH142" i="12"/>
  <c r="AZ142" i="12"/>
  <c r="AT142" i="12"/>
  <c r="M142" i="12"/>
  <c r="AU141" i="12"/>
  <c r="AN141" i="12"/>
  <c r="AH141" i="12"/>
  <c r="AZ141" i="12"/>
  <c r="AT141" i="12"/>
  <c r="M141" i="12"/>
  <c r="AU140" i="12"/>
  <c r="AN140" i="12"/>
  <c r="AH140" i="12"/>
  <c r="AZ140" i="12"/>
  <c r="AT140" i="12"/>
  <c r="M140" i="12"/>
  <c r="AU139" i="12"/>
  <c r="AN139" i="12"/>
  <c r="AH139" i="12"/>
  <c r="AT139" i="12"/>
  <c r="M139" i="12"/>
  <c r="AZ138" i="12"/>
  <c r="AU138" i="12"/>
  <c r="AN138" i="12"/>
  <c r="AH138" i="12"/>
  <c r="Y138" i="12"/>
  <c r="M138" i="12"/>
  <c r="AU137" i="12"/>
  <c r="AN137" i="12"/>
  <c r="AH137" i="12"/>
  <c r="AZ137" i="12"/>
  <c r="M137" i="12"/>
  <c r="P119" i="12"/>
  <c r="P120" i="12"/>
  <c r="P121" i="12"/>
  <c r="P122" i="12"/>
  <c r="V120" i="12"/>
  <c r="S120" i="12"/>
  <c r="V119" i="12"/>
  <c r="V121" i="12"/>
  <c r="V122" i="12"/>
  <c r="S119" i="12"/>
  <c r="P117" i="12"/>
  <c r="S117" i="12"/>
  <c r="V72" i="12"/>
  <c r="S64" i="12"/>
  <c r="V96" i="12"/>
  <c r="S96" i="12"/>
  <c r="P96" i="12"/>
  <c r="Y95" i="12"/>
  <c r="Y94" i="12"/>
  <c r="Y93" i="12"/>
  <c r="Y92" i="12"/>
  <c r="V88" i="12"/>
  <c r="S88" i="12"/>
  <c r="P88" i="12"/>
  <c r="Y87" i="12"/>
  <c r="Y86" i="12"/>
  <c r="Y84" i="12"/>
  <c r="Y88" i="12"/>
  <c r="V81" i="12"/>
  <c r="S81" i="12"/>
  <c r="P81" i="12"/>
  <c r="Y80" i="12"/>
  <c r="Y79" i="12"/>
  <c r="Y78" i="12"/>
  <c r="Y77" i="12"/>
  <c r="U73" i="12"/>
  <c r="T73" i="12"/>
  <c r="T74" i="12"/>
  <c r="R73" i="12"/>
  <c r="Q73" i="12"/>
  <c r="O73" i="12"/>
  <c r="N73" i="12"/>
  <c r="X72" i="12"/>
  <c r="W72" i="12"/>
  <c r="S72" i="12"/>
  <c r="P72" i="12"/>
  <c r="X71" i="12"/>
  <c r="W71" i="12"/>
  <c r="AT71" i="12"/>
  <c r="V71" i="12"/>
  <c r="S71" i="12"/>
  <c r="P71" i="12"/>
  <c r="X70" i="12"/>
  <c r="W70" i="12"/>
  <c r="V70" i="12"/>
  <c r="S70" i="12"/>
  <c r="P70" i="12"/>
  <c r="X69" i="12"/>
  <c r="W69" i="12"/>
  <c r="V69" i="12"/>
  <c r="S69" i="12"/>
  <c r="P69" i="12"/>
  <c r="X68" i="12"/>
  <c r="W68" i="12"/>
  <c r="V68" i="12"/>
  <c r="V73" i="12"/>
  <c r="S68" i="12"/>
  <c r="P68" i="12"/>
  <c r="U65" i="12"/>
  <c r="T65" i="12"/>
  <c r="T66" i="12"/>
  <c r="R65" i="12"/>
  <c r="Q65" i="12"/>
  <c r="O65" i="12"/>
  <c r="N65" i="12"/>
  <c r="N20" i="12"/>
  <c r="N66" i="12"/>
  <c r="W64" i="12"/>
  <c r="AT64" i="12"/>
  <c r="X64" i="12"/>
  <c r="AZ64" i="12"/>
  <c r="V64" i="12"/>
  <c r="P64" i="12"/>
  <c r="X63" i="12"/>
  <c r="W63" i="12"/>
  <c r="V63" i="12"/>
  <c r="S63" i="12"/>
  <c r="P63" i="12"/>
  <c r="X62" i="12"/>
  <c r="AZ62" i="12"/>
  <c r="W62" i="12"/>
  <c r="AT62" i="12"/>
  <c r="V62" i="12"/>
  <c r="S62" i="12"/>
  <c r="P62" i="12"/>
  <c r="X61" i="12"/>
  <c r="W61" i="12"/>
  <c r="V61" i="12"/>
  <c r="V65" i="12"/>
  <c r="S61" i="12"/>
  <c r="P61" i="12"/>
  <c r="P65" i="12"/>
  <c r="L58" i="12"/>
  <c r="K58" i="12"/>
  <c r="J58" i="12"/>
  <c r="AN57" i="12"/>
  <c r="AH57" i="12"/>
  <c r="M57" i="12"/>
  <c r="AZ56" i="12"/>
  <c r="AN56" i="12"/>
  <c r="AH56" i="12"/>
  <c r="M56" i="12"/>
  <c r="AN55" i="12"/>
  <c r="AH55" i="12"/>
  <c r="M55" i="12"/>
  <c r="AN54" i="12"/>
  <c r="AH54" i="12"/>
  <c r="M54" i="12"/>
  <c r="AN53" i="12"/>
  <c r="AH53" i="12"/>
  <c r="M53" i="12"/>
  <c r="AN52" i="12"/>
  <c r="AH52" i="12"/>
  <c r="AZ52" i="12"/>
  <c r="M52" i="12"/>
  <c r="AN51" i="12"/>
  <c r="AH51" i="12"/>
  <c r="M51" i="12"/>
  <c r="AN50" i="12"/>
  <c r="AH50" i="12"/>
  <c r="Y50" i="12"/>
  <c r="M50" i="12"/>
  <c r="AN49" i="12"/>
  <c r="AH49" i="12"/>
  <c r="M49" i="12"/>
  <c r="AZ48" i="12"/>
  <c r="AN48" i="12"/>
  <c r="AH48" i="12"/>
  <c r="M48" i="12"/>
  <c r="AN47" i="12"/>
  <c r="AH47" i="12"/>
  <c r="M47" i="12"/>
  <c r="AN46" i="12"/>
  <c r="AH46" i="12"/>
  <c r="Y46" i="12"/>
  <c r="M46" i="12"/>
  <c r="AN45" i="12"/>
  <c r="AH45" i="12"/>
  <c r="M45" i="12"/>
  <c r="AN44" i="12"/>
  <c r="AN58" i="12"/>
  <c r="AO57" i="12"/>
  <c r="AH44" i="12"/>
  <c r="AZ44" i="12"/>
  <c r="M44" i="12"/>
  <c r="M58" i="12"/>
  <c r="U41" i="12"/>
  <c r="T41" i="12"/>
  <c r="T42" i="12"/>
  <c r="R41" i="12"/>
  <c r="Q41" i="12"/>
  <c r="O41" i="12"/>
  <c r="N41" i="12"/>
  <c r="X40" i="12"/>
  <c r="W40" i="12"/>
  <c r="V40" i="12"/>
  <c r="S40" i="12"/>
  <c r="P40" i="12"/>
  <c r="X39" i="12"/>
  <c r="W39" i="12"/>
  <c r="Y39" i="12"/>
  <c r="V39" i="12"/>
  <c r="S39" i="12"/>
  <c r="S38" i="12"/>
  <c r="S41" i="12"/>
  <c r="P39" i="12"/>
  <c r="X38" i="12"/>
  <c r="W38" i="12"/>
  <c r="V38" i="12"/>
  <c r="V41" i="12"/>
  <c r="P38" i="12"/>
  <c r="P41" i="12"/>
  <c r="AN32" i="12"/>
  <c r="AH32" i="12"/>
  <c r="W32" i="12"/>
  <c r="AT32" i="12"/>
  <c r="AH31" i="12"/>
  <c r="AZ31" i="12"/>
  <c r="AN30" i="12"/>
  <c r="AZ30" i="12"/>
  <c r="L26" i="12"/>
  <c r="K26" i="12"/>
  <c r="J26" i="12"/>
  <c r="AN25" i="12"/>
  <c r="AH25" i="12"/>
  <c r="M25" i="12"/>
  <c r="AN24" i="12"/>
  <c r="AH24" i="12"/>
  <c r="AZ24" i="12"/>
  <c r="M24" i="12"/>
  <c r="AN23" i="12"/>
  <c r="AH23" i="12"/>
  <c r="M23" i="12"/>
  <c r="M26" i="12"/>
  <c r="U20" i="12"/>
  <c r="U175" i="12"/>
  <c r="R20" i="12"/>
  <c r="R153" i="12"/>
  <c r="Q20" i="12"/>
  <c r="O20" i="12"/>
  <c r="AN19" i="12"/>
  <c r="AH19" i="12"/>
  <c r="X19" i="12"/>
  <c r="AZ19" i="12"/>
  <c r="W19" i="12"/>
  <c r="V19" i="12"/>
  <c r="S19" i="12"/>
  <c r="P19" i="12"/>
  <c r="AN18" i="12"/>
  <c r="AN20" i="12"/>
  <c r="AO19" i="12"/>
  <c r="AH18" i="12"/>
  <c r="AH20" i="12"/>
  <c r="X18" i="12"/>
  <c r="W18" i="12"/>
  <c r="V18" i="12"/>
  <c r="V20" i="12"/>
  <c r="S18" i="12"/>
  <c r="P18" i="12"/>
  <c r="L324" i="12"/>
  <c r="J324" i="12"/>
  <c r="AN14" i="12"/>
  <c r="AH14" i="12"/>
  <c r="M14" i="12"/>
  <c r="AZ13" i="12"/>
  <c r="AN13" i="12"/>
  <c r="AH13" i="12"/>
  <c r="AH15" i="12"/>
  <c r="AI14" i="12"/>
  <c r="M13" i="12"/>
  <c r="M15" i="12"/>
  <c r="V670" i="11"/>
  <c r="S670" i="11"/>
  <c r="P670" i="11"/>
  <c r="Y669" i="11"/>
  <c r="Y668" i="11"/>
  <c r="Y667" i="11"/>
  <c r="Y666" i="11"/>
  <c r="Y665" i="11"/>
  <c r="V663" i="11"/>
  <c r="S663" i="11"/>
  <c r="P663" i="11"/>
  <c r="Y662" i="11"/>
  <c r="Y661" i="11"/>
  <c r="Y660" i="11"/>
  <c r="Y659" i="11"/>
  <c r="Y658" i="11"/>
  <c r="Y657" i="11"/>
  <c r="Y656" i="11"/>
  <c r="Y655" i="11"/>
  <c r="Y654" i="11"/>
  <c r="S648" i="11"/>
  <c r="S650" i="11"/>
  <c r="S651" i="11"/>
  <c r="Y649" i="11"/>
  <c r="V648" i="11"/>
  <c r="V650" i="11"/>
  <c r="V651" i="11"/>
  <c r="P648" i="11"/>
  <c r="P650" i="11"/>
  <c r="P651" i="11"/>
  <c r="AC647" i="11"/>
  <c r="AB647" i="11"/>
  <c r="AA647" i="11"/>
  <c r="Y646" i="11"/>
  <c r="V641" i="11"/>
  <c r="V643" i="11"/>
  <c r="V644" i="11"/>
  <c r="Y642" i="11"/>
  <c r="S641" i="11"/>
  <c r="S643" i="11"/>
  <c r="S644" i="11"/>
  <c r="P641" i="11"/>
  <c r="P643" i="11"/>
  <c r="P644" i="11"/>
  <c r="AC640" i="11"/>
  <c r="AB640" i="11"/>
  <c r="AA640" i="11"/>
  <c r="Y639" i="11"/>
  <c r="Y635" i="11"/>
  <c r="V634" i="11"/>
  <c r="V636" i="11"/>
  <c r="V637" i="11"/>
  <c r="S634" i="11"/>
  <c r="S636" i="11"/>
  <c r="S637" i="11"/>
  <c r="P634" i="11"/>
  <c r="P636" i="11"/>
  <c r="P637" i="11"/>
  <c r="AC633" i="11"/>
  <c r="AB633" i="11"/>
  <c r="AA633" i="11"/>
  <c r="Y632" i="11"/>
  <c r="V628" i="11"/>
  <c r="V629" i="11"/>
  <c r="S628" i="11"/>
  <c r="S629" i="11"/>
  <c r="P628" i="11"/>
  <c r="P629" i="11"/>
  <c r="Y627" i="11"/>
  <c r="Y626" i="11"/>
  <c r="Y625" i="11"/>
  <c r="Y624" i="11"/>
  <c r="Y623" i="11"/>
  <c r="L620" i="11"/>
  <c r="L621" i="11"/>
  <c r="K620" i="11"/>
  <c r="K621" i="11"/>
  <c r="J620" i="11"/>
  <c r="J621" i="11"/>
  <c r="AN619" i="11"/>
  <c r="AH619" i="11"/>
  <c r="X619" i="11"/>
  <c r="X450" i="6"/>
  <c r="W619" i="11"/>
  <c r="M619" i="11"/>
  <c r="AN618" i="11"/>
  <c r="AH618" i="11"/>
  <c r="X618" i="11"/>
  <c r="W618" i="11"/>
  <c r="W449" i="6"/>
  <c r="M618" i="11"/>
  <c r="AN617" i="11"/>
  <c r="AH617" i="11"/>
  <c r="W617" i="11"/>
  <c r="X617" i="11"/>
  <c r="Y617" i="11"/>
  <c r="M617" i="11"/>
  <c r="AN616" i="11"/>
  <c r="AH616" i="11"/>
  <c r="X616" i="11"/>
  <c r="X447" i="6"/>
  <c r="W616" i="11"/>
  <c r="M616" i="11"/>
  <c r="AN615" i="11"/>
  <c r="AH615" i="11"/>
  <c r="X615" i="11"/>
  <c r="X446" i="6"/>
  <c r="W615" i="11"/>
  <c r="M615" i="11"/>
  <c r="AN614" i="11"/>
  <c r="AH614" i="11"/>
  <c r="X614" i="11"/>
  <c r="W614" i="11"/>
  <c r="W445" i="6"/>
  <c r="M614" i="11"/>
  <c r="AN613" i="11"/>
  <c r="AH613" i="11"/>
  <c r="X613" i="11"/>
  <c r="X444" i="6"/>
  <c r="W613" i="11"/>
  <c r="M613" i="11"/>
  <c r="AN612" i="11"/>
  <c r="AH612" i="11"/>
  <c r="X612" i="11"/>
  <c r="X443" i="6"/>
  <c r="Y443" i="6" s="1"/>
  <c r="W612" i="11"/>
  <c r="M612" i="11"/>
  <c r="AN611" i="11"/>
  <c r="AH611" i="11"/>
  <c r="X611" i="11"/>
  <c r="X442" i="6"/>
  <c r="W611" i="11"/>
  <c r="M611" i="11"/>
  <c r="L607" i="11"/>
  <c r="L608" i="11"/>
  <c r="K607" i="11"/>
  <c r="K608" i="11"/>
  <c r="J607" i="11"/>
  <c r="J608" i="11"/>
  <c r="AN606" i="11"/>
  <c r="AH606" i="11"/>
  <c r="M606" i="11"/>
  <c r="AN605" i="11"/>
  <c r="AH605" i="11"/>
  <c r="M605" i="11"/>
  <c r="AM604" i="11"/>
  <c r="AG604" i="11"/>
  <c r="X604" i="11"/>
  <c r="AL603" i="11"/>
  <c r="AF603" i="11"/>
  <c r="X603" i="11"/>
  <c r="AK602" i="11"/>
  <c r="AE602" i="11"/>
  <c r="X602" i="11"/>
  <c r="AN601" i="11"/>
  <c r="AH601" i="11"/>
  <c r="M601" i="11"/>
  <c r="M600" i="11"/>
  <c r="M607" i="11"/>
  <c r="AN600" i="11"/>
  <c r="AH600" i="11"/>
  <c r="Y600" i="11"/>
  <c r="J597" i="11"/>
  <c r="J598" i="11"/>
  <c r="L597" i="11"/>
  <c r="L598" i="11"/>
  <c r="K597" i="11"/>
  <c r="K598" i="11"/>
  <c r="AN596" i="11"/>
  <c r="AH596" i="11"/>
  <c r="X596" i="11"/>
  <c r="X429" i="6"/>
  <c r="W596" i="11"/>
  <c r="M596" i="11"/>
  <c r="AN595" i="11"/>
  <c r="AH595" i="11"/>
  <c r="X595" i="11"/>
  <c r="W595" i="11"/>
  <c r="W428" i="6"/>
  <c r="M595" i="11"/>
  <c r="AN594" i="11"/>
  <c r="AH594" i="11"/>
  <c r="X594" i="11"/>
  <c r="X427" i="6"/>
  <c r="W594" i="11"/>
  <c r="M594" i="11"/>
  <c r="AN593" i="11"/>
  <c r="AH593" i="11"/>
  <c r="W593" i="11"/>
  <c r="X593" i="11"/>
  <c r="Y593" i="11"/>
  <c r="X426" i="6"/>
  <c r="M593" i="11"/>
  <c r="X592" i="11"/>
  <c r="AZ592" i="11"/>
  <c r="AN592" i="11"/>
  <c r="AH592" i="11"/>
  <c r="X425" i="6"/>
  <c r="W592" i="11"/>
  <c r="M592" i="11"/>
  <c r="L589" i="11"/>
  <c r="L590" i="11"/>
  <c r="K589" i="11"/>
  <c r="K590" i="11"/>
  <c r="J589" i="11"/>
  <c r="J590" i="11"/>
  <c r="AN588" i="11"/>
  <c r="AH588" i="11"/>
  <c r="X588" i="11"/>
  <c r="X422" i="6"/>
  <c r="W588" i="11"/>
  <c r="W422" i="6"/>
  <c r="M588" i="11"/>
  <c r="AN587" i="11"/>
  <c r="AH587" i="11"/>
  <c r="X587" i="11"/>
  <c r="W587" i="11"/>
  <c r="W421" i="6"/>
  <c r="M587" i="11"/>
  <c r="X586" i="11"/>
  <c r="AZ586" i="11"/>
  <c r="AN586" i="11"/>
  <c r="AH586" i="11"/>
  <c r="W586" i="11"/>
  <c r="M586" i="11"/>
  <c r="AN585" i="11"/>
  <c r="AH585" i="11"/>
  <c r="X585" i="11"/>
  <c r="X419" i="6"/>
  <c r="W585" i="11"/>
  <c r="AT585" i="11"/>
  <c r="M585" i="11"/>
  <c r="AN584" i="11"/>
  <c r="AH584" i="11"/>
  <c r="X584" i="11"/>
  <c r="X418" i="6"/>
  <c r="W584" i="11"/>
  <c r="M584" i="11"/>
  <c r="M583" i="11"/>
  <c r="M589" i="11"/>
  <c r="AN583" i="11"/>
  <c r="AH583" i="11"/>
  <c r="X583" i="11"/>
  <c r="X417" i="6"/>
  <c r="W583" i="11"/>
  <c r="AT583" i="11"/>
  <c r="L580" i="11"/>
  <c r="K580" i="11"/>
  <c r="J580" i="11"/>
  <c r="AN579" i="11"/>
  <c r="AH579" i="11"/>
  <c r="X579" i="11"/>
  <c r="W579" i="11"/>
  <c r="W414" i="6"/>
  <c r="M579" i="11"/>
  <c r="AN578" i="11"/>
  <c r="AH578" i="11"/>
  <c r="X578" i="11"/>
  <c r="X413" i="6"/>
  <c r="W578" i="11"/>
  <c r="AT578" i="11"/>
  <c r="M578" i="11"/>
  <c r="AN577" i="11"/>
  <c r="AH577" i="11"/>
  <c r="X577" i="11"/>
  <c r="W577" i="11"/>
  <c r="W412" i="6"/>
  <c r="M577" i="11"/>
  <c r="AN576" i="11"/>
  <c r="AH576" i="11"/>
  <c r="M576" i="11"/>
  <c r="U572" i="11"/>
  <c r="T572" i="11"/>
  <c r="R572" i="11"/>
  <c r="Q572" i="11"/>
  <c r="O572" i="11"/>
  <c r="N572" i="11"/>
  <c r="X571" i="11"/>
  <c r="W571" i="11"/>
  <c r="V571" i="11"/>
  <c r="S571" i="11"/>
  <c r="S570" i="11"/>
  <c r="S572" i="11"/>
  <c r="P571" i="11"/>
  <c r="X570" i="11"/>
  <c r="W570" i="11"/>
  <c r="V570" i="11"/>
  <c r="P570" i="11"/>
  <c r="V546" i="11"/>
  <c r="V547" i="11"/>
  <c r="S546" i="11"/>
  <c r="S547" i="11"/>
  <c r="P546" i="11"/>
  <c r="P547" i="11"/>
  <c r="Y545" i="11"/>
  <c r="Y544" i="11"/>
  <c r="Y543" i="11"/>
  <c r="AC540" i="11"/>
  <c r="AB540" i="11"/>
  <c r="AA540" i="11"/>
  <c r="U538" i="11"/>
  <c r="T538" i="11"/>
  <c r="R538" i="11"/>
  <c r="Q538" i="11"/>
  <c r="O538" i="11"/>
  <c r="N538" i="11"/>
  <c r="X537" i="11"/>
  <c r="AZ537" i="11"/>
  <c r="X388" i="6"/>
  <c r="W537" i="11"/>
  <c r="AT537" i="11"/>
  <c r="V537" i="11"/>
  <c r="S537" i="11"/>
  <c r="P537" i="11"/>
  <c r="X536" i="11"/>
  <c r="W536" i="11"/>
  <c r="AT536" i="11"/>
  <c r="V536" i="11"/>
  <c r="V535" i="11"/>
  <c r="V538" i="11"/>
  <c r="S536" i="11"/>
  <c r="P536" i="11"/>
  <c r="X535" i="11"/>
  <c r="X386" i="6"/>
  <c r="W535" i="11"/>
  <c r="W386" i="6"/>
  <c r="S535" i="11"/>
  <c r="P535" i="11"/>
  <c r="P538" i="11"/>
  <c r="N528" i="11"/>
  <c r="N533" i="11"/>
  <c r="U528" i="11"/>
  <c r="T528" i="11"/>
  <c r="T533" i="11"/>
  <c r="R528" i="11"/>
  <c r="R533" i="11"/>
  <c r="Q528" i="11"/>
  <c r="Q533" i="11"/>
  <c r="O528" i="11"/>
  <c r="X527" i="11"/>
  <c r="X382" i="6"/>
  <c r="W527" i="11"/>
  <c r="W382" i="6"/>
  <c r="V527" i="11"/>
  <c r="S527" i="11"/>
  <c r="P527" i="11"/>
  <c r="X526" i="11"/>
  <c r="AZ526" i="11"/>
  <c r="W526" i="11"/>
  <c r="Y526" i="11"/>
  <c r="X381" i="6"/>
  <c r="AT526" i="11"/>
  <c r="V526" i="11"/>
  <c r="S526" i="11"/>
  <c r="P526" i="11"/>
  <c r="X525" i="11"/>
  <c r="X380" i="6"/>
  <c r="W525" i="11"/>
  <c r="V525" i="11"/>
  <c r="S525" i="11"/>
  <c r="P525" i="11"/>
  <c r="X524" i="11"/>
  <c r="W524" i="11"/>
  <c r="AT524" i="11"/>
  <c r="V524" i="11"/>
  <c r="S524" i="11"/>
  <c r="P524" i="11"/>
  <c r="W523" i="11"/>
  <c r="AT523" i="11"/>
  <c r="X523" i="11"/>
  <c r="W378" i="6"/>
  <c r="V523" i="11"/>
  <c r="S523" i="11"/>
  <c r="P523" i="11"/>
  <c r="X522" i="11"/>
  <c r="W522" i="11"/>
  <c r="AT522" i="11"/>
  <c r="V522" i="11"/>
  <c r="S522" i="11"/>
  <c r="P522" i="11"/>
  <c r="X521" i="11"/>
  <c r="X376" i="6"/>
  <c r="W521" i="11"/>
  <c r="AT521" i="11"/>
  <c r="V521" i="11"/>
  <c r="S521" i="11"/>
  <c r="P521" i="11"/>
  <c r="X520" i="11"/>
  <c r="W520" i="11"/>
  <c r="V520" i="11"/>
  <c r="S520" i="11"/>
  <c r="P520" i="11"/>
  <c r="W519" i="11"/>
  <c r="AT519" i="11"/>
  <c r="X519" i="11"/>
  <c r="X374" i="6"/>
  <c r="W374" i="6"/>
  <c r="V519" i="11"/>
  <c r="S519" i="11"/>
  <c r="P519" i="11"/>
  <c r="X518" i="11"/>
  <c r="W518" i="11"/>
  <c r="W373" i="6"/>
  <c r="V518" i="11"/>
  <c r="S518" i="11"/>
  <c r="P518" i="11"/>
  <c r="AN515" i="11"/>
  <c r="AO515" i="11"/>
  <c r="AH515" i="11"/>
  <c r="AI515" i="11"/>
  <c r="U515" i="11"/>
  <c r="T515" i="11"/>
  <c r="R515" i="11"/>
  <c r="Q515" i="11"/>
  <c r="O515" i="11"/>
  <c r="N515" i="11"/>
  <c r="X514" i="11"/>
  <c r="W514" i="11"/>
  <c r="AT514" i="11"/>
  <c r="V514" i="11"/>
  <c r="S514" i="11"/>
  <c r="P514" i="11"/>
  <c r="W513" i="11"/>
  <c r="AT513" i="11"/>
  <c r="X513" i="11"/>
  <c r="Y513" i="11"/>
  <c r="X369" i="6"/>
  <c r="W369" i="6"/>
  <c r="V513" i="11"/>
  <c r="S513" i="11"/>
  <c r="P513" i="11"/>
  <c r="X512" i="11"/>
  <c r="X368" i="6"/>
  <c r="W512" i="11"/>
  <c r="V512" i="11"/>
  <c r="S512" i="11"/>
  <c r="P512" i="11"/>
  <c r="X511" i="11"/>
  <c r="AZ511" i="11"/>
  <c r="X367" i="6"/>
  <c r="W511" i="11"/>
  <c r="V511" i="11"/>
  <c r="S511" i="11"/>
  <c r="P511" i="11"/>
  <c r="V504" i="11"/>
  <c r="V505" i="11"/>
  <c r="V506" i="11"/>
  <c r="V507" i="11"/>
  <c r="V508" i="11"/>
  <c r="U508" i="11"/>
  <c r="T508" i="11"/>
  <c r="R508" i="11"/>
  <c r="Q508" i="11"/>
  <c r="O508" i="11"/>
  <c r="N508" i="11"/>
  <c r="X507" i="11"/>
  <c r="W507" i="11"/>
  <c r="AT507" i="11"/>
  <c r="S507" i="11"/>
  <c r="P507" i="11"/>
  <c r="X506" i="11"/>
  <c r="X363" i="6"/>
  <c r="W506" i="11"/>
  <c r="AT506" i="11"/>
  <c r="S506" i="11"/>
  <c r="P506" i="11"/>
  <c r="X505" i="11"/>
  <c r="W505" i="11"/>
  <c r="AT505" i="11"/>
  <c r="S505" i="11"/>
  <c r="P505" i="11"/>
  <c r="X504" i="11"/>
  <c r="W504" i="11"/>
  <c r="AT504" i="11"/>
  <c r="S504" i="11"/>
  <c r="P504" i="11"/>
  <c r="AM494" i="11"/>
  <c r="AM495" i="11"/>
  <c r="AM496" i="11"/>
  <c r="AM500" i="11"/>
  <c r="AY497" i="11"/>
  <c r="AX497" i="11"/>
  <c r="AW497" i="11"/>
  <c r="AZ497" i="11"/>
  <c r="AM497" i="11"/>
  <c r="AM493" i="11"/>
  <c r="AM499" i="11"/>
  <c r="AL497" i="11"/>
  <c r="AK497" i="11"/>
  <c r="AE497" i="11"/>
  <c r="AF497" i="11"/>
  <c r="AG497" i="11"/>
  <c r="AH497" i="11"/>
  <c r="U497" i="11"/>
  <c r="T497" i="11"/>
  <c r="T493" i="11"/>
  <c r="T499" i="11"/>
  <c r="R497" i="11"/>
  <c r="Q497" i="11"/>
  <c r="S497" i="11"/>
  <c r="N497" i="11"/>
  <c r="O497" i="11"/>
  <c r="P497" i="11"/>
  <c r="AY496" i="11"/>
  <c r="AX496" i="11"/>
  <c r="AW496" i="11"/>
  <c r="AZ496" i="11"/>
  <c r="AL496" i="11"/>
  <c r="AK496" i="11"/>
  <c r="AG496" i="11"/>
  <c r="AF496" i="11"/>
  <c r="AE496" i="11"/>
  <c r="T496" i="11"/>
  <c r="U496" i="11"/>
  <c r="V496" i="11"/>
  <c r="R496" i="11"/>
  <c r="Q496" i="11"/>
  <c r="S496" i="11"/>
  <c r="O496" i="11"/>
  <c r="N496" i="11"/>
  <c r="AY495" i="11"/>
  <c r="AX495" i="11"/>
  <c r="AW495" i="11"/>
  <c r="AZ495" i="11"/>
  <c r="AL495" i="11"/>
  <c r="AK495" i="11"/>
  <c r="AN495" i="11"/>
  <c r="AG495" i="11"/>
  <c r="AF495" i="11"/>
  <c r="AE495" i="11"/>
  <c r="T495" i="11"/>
  <c r="U495" i="11"/>
  <c r="V495" i="11"/>
  <c r="R495" i="11"/>
  <c r="Q495" i="11"/>
  <c r="S495" i="11"/>
  <c r="N495" i="11"/>
  <c r="O495" i="11"/>
  <c r="P495" i="11"/>
  <c r="AW494" i="11"/>
  <c r="AX494" i="11"/>
  <c r="AY494" i="11"/>
  <c r="AZ494" i="11"/>
  <c r="AY500" i="11"/>
  <c r="AW500" i="11"/>
  <c r="AL494" i="11"/>
  <c r="AL500" i="11"/>
  <c r="AK494" i="11"/>
  <c r="AG494" i="11"/>
  <c r="AG500" i="11"/>
  <c r="AF494" i="11"/>
  <c r="AF500" i="11"/>
  <c r="AE494" i="11"/>
  <c r="AE500" i="11"/>
  <c r="U494" i="11"/>
  <c r="U500" i="11"/>
  <c r="T494" i="11"/>
  <c r="V494" i="11"/>
  <c r="R494" i="11"/>
  <c r="Q494" i="11"/>
  <c r="O494" i="11"/>
  <c r="O500" i="11"/>
  <c r="N494" i="11"/>
  <c r="AY493" i="11"/>
  <c r="AY499" i="11"/>
  <c r="AX493" i="11"/>
  <c r="AW493" i="11"/>
  <c r="AL493" i="11"/>
  <c r="AL499" i="11"/>
  <c r="AK493" i="11"/>
  <c r="AN493" i="11"/>
  <c r="AG493" i="11"/>
  <c r="AG499" i="11"/>
  <c r="AF493" i="11"/>
  <c r="AE493" i="11"/>
  <c r="U493" i="11"/>
  <c r="V493" i="11"/>
  <c r="R493" i="11"/>
  <c r="R499" i="11"/>
  <c r="Q493" i="11"/>
  <c r="Q499" i="11"/>
  <c r="O493" i="11"/>
  <c r="N493" i="11"/>
  <c r="U490" i="11"/>
  <c r="T490" i="11"/>
  <c r="R490" i="11"/>
  <c r="O490" i="11"/>
  <c r="X490" i="11"/>
  <c r="X353" i="6"/>
  <c r="Q490" i="11"/>
  <c r="N490" i="11"/>
  <c r="V486" i="11"/>
  <c r="S486" i="11"/>
  <c r="P486" i="11"/>
  <c r="Y485" i="11"/>
  <c r="Y484" i="11"/>
  <c r="Y483" i="11"/>
  <c r="Y486" i="11"/>
  <c r="U480" i="11"/>
  <c r="T480" i="11"/>
  <c r="R480" i="11"/>
  <c r="Q480" i="11"/>
  <c r="O480" i="11"/>
  <c r="O443" i="11"/>
  <c r="O481" i="11"/>
  <c r="N480" i="11"/>
  <c r="X479" i="11"/>
  <c r="W479" i="11"/>
  <c r="W350" i="6"/>
  <c r="Y350" i="6" s="1"/>
  <c r="V479" i="11"/>
  <c r="S479" i="11"/>
  <c r="P479" i="11"/>
  <c r="X478" i="11"/>
  <c r="AZ478" i="11"/>
  <c r="W478" i="11"/>
  <c r="W349" i="6"/>
  <c r="V478" i="11"/>
  <c r="S478" i="11"/>
  <c r="P478" i="11"/>
  <c r="X477" i="11"/>
  <c r="W477" i="11"/>
  <c r="AT477" i="11"/>
  <c r="V477" i="11"/>
  <c r="S477" i="11"/>
  <c r="P477" i="11"/>
  <c r="W476" i="11"/>
  <c r="X476" i="11"/>
  <c r="Y476" i="11"/>
  <c r="AZ476" i="11"/>
  <c r="V476" i="11"/>
  <c r="S476" i="11"/>
  <c r="P476" i="11"/>
  <c r="W475" i="11"/>
  <c r="AT475" i="11"/>
  <c r="X475" i="11"/>
  <c r="X346" i="6"/>
  <c r="V475" i="11"/>
  <c r="S475" i="11"/>
  <c r="P475" i="11"/>
  <c r="X474" i="11"/>
  <c r="AZ474" i="11"/>
  <c r="W474" i="11"/>
  <c r="W345" i="6"/>
  <c r="V474" i="11"/>
  <c r="V472" i="11"/>
  <c r="V473" i="11"/>
  <c r="V480" i="11"/>
  <c r="S474" i="11"/>
  <c r="P474" i="11"/>
  <c r="X473" i="11"/>
  <c r="X344" i="6"/>
  <c r="W473" i="11"/>
  <c r="W344" i="6"/>
  <c r="Y344" i="6" s="1"/>
  <c r="S473" i="11"/>
  <c r="P473" i="11"/>
  <c r="X472" i="11"/>
  <c r="X343" i="6"/>
  <c r="W472" i="11"/>
  <c r="S472" i="11"/>
  <c r="P472" i="11"/>
  <c r="U469" i="11"/>
  <c r="T469" i="11"/>
  <c r="R469" i="11"/>
  <c r="Q469" i="11"/>
  <c r="Q443" i="11"/>
  <c r="Q470" i="11"/>
  <c r="O469" i="11"/>
  <c r="N469" i="11"/>
  <c r="X468" i="11"/>
  <c r="AZ468" i="11"/>
  <c r="X340" i="6"/>
  <c r="W468" i="11"/>
  <c r="AT468" i="11"/>
  <c r="W340" i="6"/>
  <c r="V468" i="11"/>
  <c r="S468" i="11"/>
  <c r="P468" i="11"/>
  <c r="W467" i="11"/>
  <c r="AS467" i="11"/>
  <c r="W339" i="6"/>
  <c r="BE339" i="6" s="1"/>
  <c r="AC467" i="11"/>
  <c r="X467" i="11"/>
  <c r="AY467" i="11"/>
  <c r="X339" i="6"/>
  <c r="BM339" i="6" s="1"/>
  <c r="AB466" i="11"/>
  <c r="X466" i="11"/>
  <c r="AX466" i="11"/>
  <c r="X338" i="6"/>
  <c r="W466" i="11"/>
  <c r="AR466" i="11"/>
  <c r="W338" i="6"/>
  <c r="AA465" i="11"/>
  <c r="X465" i="11"/>
  <c r="AW465" i="11"/>
  <c r="X337" i="6"/>
  <c r="BM337" i="6" s="1"/>
  <c r="W465" i="11"/>
  <c r="AQ465" i="11"/>
  <c r="W337" i="6"/>
  <c r="BE337" i="6" s="1"/>
  <c r="X464" i="11"/>
  <c r="AZ464" i="11"/>
  <c r="X336" i="6"/>
  <c r="W464" i="11"/>
  <c r="AT464" i="11"/>
  <c r="V464" i="11"/>
  <c r="S464" i="11"/>
  <c r="P464" i="11"/>
  <c r="W463" i="11"/>
  <c r="AT463" i="11"/>
  <c r="W335" i="6"/>
  <c r="Y335" i="6" s="1"/>
  <c r="X463" i="11"/>
  <c r="V463" i="11"/>
  <c r="V469" i="11"/>
  <c r="S463" i="11"/>
  <c r="P463" i="11"/>
  <c r="U460" i="11"/>
  <c r="T460" i="11"/>
  <c r="R460" i="11"/>
  <c r="Q460" i="11"/>
  <c r="O460" i="11"/>
  <c r="O461" i="11"/>
  <c r="N460" i="11"/>
  <c r="X459" i="11"/>
  <c r="AZ459" i="11"/>
  <c r="X332" i="6"/>
  <c r="W459" i="11"/>
  <c r="V459" i="11"/>
  <c r="S459" i="11"/>
  <c r="P459" i="11"/>
  <c r="X458" i="11"/>
  <c r="X331" i="6"/>
  <c r="W458" i="11"/>
  <c r="V458" i="11"/>
  <c r="S458" i="11"/>
  <c r="P458" i="11"/>
  <c r="P457" i="11"/>
  <c r="P460" i="11"/>
  <c r="X457" i="11"/>
  <c r="AZ457" i="11"/>
  <c r="W457" i="11"/>
  <c r="V457" i="11"/>
  <c r="S457" i="11"/>
  <c r="Q449" i="11"/>
  <c r="Q454" i="11"/>
  <c r="Q455" i="11"/>
  <c r="X453" i="11"/>
  <c r="AZ453" i="11"/>
  <c r="W453" i="11"/>
  <c r="Y453" i="11"/>
  <c r="V453" i="11"/>
  <c r="S453" i="11"/>
  <c r="P453" i="11"/>
  <c r="U449" i="11"/>
  <c r="T449" i="11"/>
  <c r="T454" i="11"/>
  <c r="R449" i="11"/>
  <c r="N449" i="11"/>
  <c r="O449" i="11"/>
  <c r="P449" i="11"/>
  <c r="O454" i="11"/>
  <c r="W448" i="11"/>
  <c r="X448" i="11"/>
  <c r="Y448" i="11"/>
  <c r="X326" i="6"/>
  <c r="V448" i="11"/>
  <c r="S448" i="11"/>
  <c r="P448" i="11"/>
  <c r="X447" i="11"/>
  <c r="W447" i="11"/>
  <c r="V447" i="11"/>
  <c r="S447" i="11"/>
  <c r="P447" i="11"/>
  <c r="X446" i="11"/>
  <c r="X324" i="6"/>
  <c r="W446" i="11"/>
  <c r="V446" i="11"/>
  <c r="S446" i="11"/>
  <c r="P446" i="11"/>
  <c r="W445" i="11"/>
  <c r="AT445" i="11"/>
  <c r="X445" i="11"/>
  <c r="AZ445" i="11"/>
  <c r="V445" i="11"/>
  <c r="S445" i="11"/>
  <c r="P445" i="11"/>
  <c r="U443" i="11"/>
  <c r="T443" i="11"/>
  <c r="T470" i="11"/>
  <c r="R443" i="11"/>
  <c r="N443" i="11"/>
  <c r="U441" i="11"/>
  <c r="U442" i="11"/>
  <c r="T441" i="11"/>
  <c r="T442" i="11"/>
  <c r="R441" i="11"/>
  <c r="R442" i="11"/>
  <c r="Q441" i="11"/>
  <c r="Q442" i="11"/>
  <c r="O441" i="11"/>
  <c r="O442" i="11"/>
  <c r="N441" i="11"/>
  <c r="N442" i="11"/>
  <c r="W440" i="11"/>
  <c r="X440" i="11"/>
  <c r="Y440" i="11"/>
  <c r="AZ440" i="11"/>
  <c r="W319" i="6"/>
  <c r="V440" i="11"/>
  <c r="S440" i="11"/>
  <c r="P440" i="11"/>
  <c r="X439" i="11"/>
  <c r="AZ439" i="11"/>
  <c r="W439" i="11"/>
  <c r="V439" i="11"/>
  <c r="S439" i="11"/>
  <c r="P439" i="11"/>
  <c r="W438" i="11"/>
  <c r="AT438" i="11"/>
  <c r="X438" i="11"/>
  <c r="Y438" i="11"/>
  <c r="X317" i="6"/>
  <c r="W317" i="6"/>
  <c r="Y317" i="6" s="1"/>
  <c r="V438" i="11"/>
  <c r="S438" i="11"/>
  <c r="P438" i="11"/>
  <c r="X437" i="11"/>
  <c r="X316" i="6"/>
  <c r="W437" i="11"/>
  <c r="V437" i="11"/>
  <c r="S437" i="11"/>
  <c r="P437" i="11"/>
  <c r="X436" i="11"/>
  <c r="AZ436" i="11"/>
  <c r="X315" i="6"/>
  <c r="W436" i="11"/>
  <c r="V436" i="11"/>
  <c r="S436" i="11"/>
  <c r="P436" i="11"/>
  <c r="X435" i="11"/>
  <c r="W435" i="11"/>
  <c r="V435" i="11"/>
  <c r="S435" i="11"/>
  <c r="P435" i="11"/>
  <c r="X434" i="11"/>
  <c r="W434" i="11"/>
  <c r="AT434" i="11"/>
  <c r="V434" i="11"/>
  <c r="S434" i="11"/>
  <c r="P434" i="11"/>
  <c r="X433" i="11"/>
  <c r="X312" i="6"/>
  <c r="W433" i="11"/>
  <c r="V433" i="11"/>
  <c r="S433" i="11"/>
  <c r="P433" i="11"/>
  <c r="U430" i="11"/>
  <c r="U431" i="11"/>
  <c r="T430" i="11"/>
  <c r="T431" i="11"/>
  <c r="R430" i="11"/>
  <c r="R431" i="11"/>
  <c r="Q430" i="11"/>
  <c r="Q431" i="11"/>
  <c r="O430" i="11"/>
  <c r="O431" i="11"/>
  <c r="N430" i="11"/>
  <c r="N431" i="11"/>
  <c r="X429" i="11"/>
  <c r="AZ429" i="11"/>
  <c r="X309" i="6"/>
  <c r="W429" i="11"/>
  <c r="AT429" i="11"/>
  <c r="W309" i="6"/>
  <c r="V429" i="11"/>
  <c r="S429" i="11"/>
  <c r="P429" i="11"/>
  <c r="AC428" i="11"/>
  <c r="X428" i="11"/>
  <c r="AY428" i="11"/>
  <c r="X308" i="6"/>
  <c r="BM308" i="6" s="1"/>
  <c r="W428" i="11"/>
  <c r="AS428" i="11"/>
  <c r="W308" i="6"/>
  <c r="BE308" i="6" s="1"/>
  <c r="AB427" i="11"/>
  <c r="X427" i="11"/>
  <c r="AX427" i="11"/>
  <c r="X307" i="6"/>
  <c r="W427" i="11"/>
  <c r="AR427" i="11"/>
  <c r="W307" i="6"/>
  <c r="AA426" i="11"/>
  <c r="X426" i="11"/>
  <c r="AW426" i="11"/>
  <c r="X306" i="6"/>
  <c r="BM306" i="6" s="1"/>
  <c r="W426" i="11"/>
  <c r="AQ426" i="11"/>
  <c r="W306" i="6"/>
  <c r="BE306" i="6" s="1"/>
  <c r="X425" i="11"/>
  <c r="W425" i="11"/>
  <c r="AT425" i="11"/>
  <c r="W305" i="6"/>
  <c r="V425" i="11"/>
  <c r="V424" i="11"/>
  <c r="V430" i="11"/>
  <c r="S425" i="11"/>
  <c r="P425" i="11"/>
  <c r="W424" i="11"/>
  <c r="AT424" i="11"/>
  <c r="X424" i="11"/>
  <c r="AZ424" i="11"/>
  <c r="X304" i="6"/>
  <c r="S424" i="11"/>
  <c r="P424" i="11"/>
  <c r="R416" i="11"/>
  <c r="R421" i="11"/>
  <c r="R409" i="11"/>
  <c r="R422" i="11"/>
  <c r="N416" i="11"/>
  <c r="N421" i="11"/>
  <c r="V416" i="11"/>
  <c r="U416" i="11"/>
  <c r="U421" i="11"/>
  <c r="T416" i="11"/>
  <c r="T421" i="11"/>
  <c r="S416" i="11"/>
  <c r="Q416" i="11"/>
  <c r="Q421" i="11"/>
  <c r="P416" i="11"/>
  <c r="O416" i="11"/>
  <c r="X415" i="11"/>
  <c r="AZ415" i="11"/>
  <c r="W415" i="11"/>
  <c r="V415" i="11"/>
  <c r="S415" i="11"/>
  <c r="P415" i="11"/>
  <c r="X414" i="11"/>
  <c r="X299" i="6"/>
  <c r="W414" i="11"/>
  <c r="Y414" i="11"/>
  <c r="V414" i="11"/>
  <c r="S414" i="11"/>
  <c r="P414" i="11"/>
  <c r="X413" i="11"/>
  <c r="X298" i="6"/>
  <c r="W413" i="11"/>
  <c r="V413" i="11"/>
  <c r="S413" i="11"/>
  <c r="P413" i="11"/>
  <c r="X412" i="11"/>
  <c r="X297" i="6"/>
  <c r="W412" i="11"/>
  <c r="V412" i="11"/>
  <c r="S412" i="11"/>
  <c r="P412" i="11"/>
  <c r="X411" i="11"/>
  <c r="AZ411" i="11"/>
  <c r="W411" i="11"/>
  <c r="V411" i="11"/>
  <c r="V421" i="11"/>
  <c r="S411" i="11"/>
  <c r="P411" i="11"/>
  <c r="U409" i="11"/>
  <c r="T409" i="11"/>
  <c r="Q409" i="11"/>
  <c r="O409" i="11"/>
  <c r="N409" i="11"/>
  <c r="U407" i="11"/>
  <c r="T407" i="11"/>
  <c r="R407" i="11"/>
  <c r="Q407" i="11"/>
  <c r="O407" i="11"/>
  <c r="N407" i="11"/>
  <c r="X406" i="11"/>
  <c r="X290" i="6"/>
  <c r="Y290" i="6" s="1"/>
  <c r="W406" i="11"/>
  <c r="V406" i="11"/>
  <c r="S406" i="11"/>
  <c r="P406" i="11"/>
  <c r="W405" i="11"/>
  <c r="X405" i="11"/>
  <c r="Y405" i="11"/>
  <c r="X289" i="6"/>
  <c r="X292" i="6" s="1"/>
  <c r="V405" i="11"/>
  <c r="S405" i="11"/>
  <c r="P405" i="11"/>
  <c r="X404" i="11"/>
  <c r="AZ404" i="11"/>
  <c r="W404" i="11"/>
  <c r="V404" i="11"/>
  <c r="S404" i="11"/>
  <c r="P404" i="11"/>
  <c r="X403" i="11"/>
  <c r="W403" i="11"/>
  <c r="V403" i="11"/>
  <c r="S403" i="11"/>
  <c r="P403" i="11"/>
  <c r="X402" i="11"/>
  <c r="X286" i="6"/>
  <c r="W402" i="11"/>
  <c r="V402" i="11"/>
  <c r="S402" i="11"/>
  <c r="P402" i="11"/>
  <c r="O395" i="11"/>
  <c r="O400" i="11"/>
  <c r="U395" i="11"/>
  <c r="U400" i="11"/>
  <c r="T395" i="11"/>
  <c r="T400" i="11"/>
  <c r="R395" i="11"/>
  <c r="R400" i="11"/>
  <c r="Q395" i="11"/>
  <c r="N395" i="11"/>
  <c r="P395" i="11"/>
  <c r="X394" i="11"/>
  <c r="AZ394" i="11"/>
  <c r="X278" i="6"/>
  <c r="W394" i="11"/>
  <c r="V394" i="11"/>
  <c r="S394" i="11"/>
  <c r="P394" i="11"/>
  <c r="X393" i="11"/>
  <c r="X277" i="6"/>
  <c r="Y277" i="6" s="1"/>
  <c r="W393" i="11"/>
  <c r="V393" i="11"/>
  <c r="S393" i="11"/>
  <c r="P393" i="11"/>
  <c r="X392" i="11"/>
  <c r="X276" i="6"/>
  <c r="W392" i="11"/>
  <c r="V392" i="11"/>
  <c r="S392" i="11"/>
  <c r="P392" i="11"/>
  <c r="X391" i="11"/>
  <c r="AZ391" i="11"/>
  <c r="W391" i="11"/>
  <c r="V391" i="11"/>
  <c r="S391" i="11"/>
  <c r="P391" i="11"/>
  <c r="X390" i="11"/>
  <c r="X274" i="6"/>
  <c r="W390" i="11"/>
  <c r="V390" i="11"/>
  <c r="S390" i="11"/>
  <c r="P390" i="11"/>
  <c r="X389" i="11"/>
  <c r="X273" i="6"/>
  <c r="W389" i="11"/>
  <c r="V389" i="11"/>
  <c r="S389" i="11"/>
  <c r="P389" i="11"/>
  <c r="X388" i="11"/>
  <c r="W388" i="11"/>
  <c r="V388" i="11"/>
  <c r="S388" i="11"/>
  <c r="P388" i="11"/>
  <c r="X387" i="11"/>
  <c r="AZ387" i="11"/>
  <c r="W387" i="11"/>
  <c r="V387" i="11"/>
  <c r="S387" i="11"/>
  <c r="P387" i="11"/>
  <c r="X386" i="11"/>
  <c r="W386" i="11"/>
  <c r="V386" i="11"/>
  <c r="S386" i="11"/>
  <c r="P386" i="11"/>
  <c r="X385" i="11"/>
  <c r="X269" i="6"/>
  <c r="W385" i="11"/>
  <c r="V385" i="11"/>
  <c r="S385" i="11"/>
  <c r="P385" i="11"/>
  <c r="X384" i="11"/>
  <c r="W384" i="11"/>
  <c r="Y384" i="11"/>
  <c r="V384" i="11"/>
  <c r="S384" i="11"/>
  <c r="P384" i="11"/>
  <c r="X383" i="11"/>
  <c r="X267" i="6"/>
  <c r="W383" i="11"/>
  <c r="V383" i="11"/>
  <c r="S383" i="11"/>
  <c r="P383" i="11"/>
  <c r="X382" i="11"/>
  <c r="X266" i="6"/>
  <c r="AJ266" i="6" s="1"/>
  <c r="W382" i="11"/>
  <c r="V382" i="11"/>
  <c r="S382" i="11"/>
  <c r="P382" i="11"/>
  <c r="U379" i="11"/>
  <c r="T379" i="11"/>
  <c r="R379" i="11"/>
  <c r="Q379" i="11"/>
  <c r="O379" i="11"/>
  <c r="N379" i="11"/>
  <c r="W378" i="11"/>
  <c r="AT378" i="11"/>
  <c r="X378" i="11"/>
  <c r="X264" i="6"/>
  <c r="W264" i="6"/>
  <c r="V378" i="11"/>
  <c r="S378" i="11"/>
  <c r="P378" i="11"/>
  <c r="X377" i="11"/>
  <c r="X263" i="6"/>
  <c r="W377" i="11"/>
  <c r="W263" i="6"/>
  <c r="V377" i="11"/>
  <c r="S377" i="11"/>
  <c r="P377" i="11"/>
  <c r="X376" i="11"/>
  <c r="W376" i="11"/>
  <c r="V376" i="11"/>
  <c r="S376" i="11"/>
  <c r="P376" i="11"/>
  <c r="K370" i="11"/>
  <c r="K371" i="11"/>
  <c r="L370" i="11"/>
  <c r="L371" i="11"/>
  <c r="J370" i="11"/>
  <c r="J371" i="11"/>
  <c r="AN369" i="11"/>
  <c r="AH369" i="11"/>
  <c r="Y369" i="11"/>
  <c r="AN368" i="11"/>
  <c r="AH368" i="11"/>
  <c r="AY367" i="11"/>
  <c r="X252" i="6"/>
  <c r="W367" i="11"/>
  <c r="AS367" i="11"/>
  <c r="W252" i="6"/>
  <c r="AM367" i="11"/>
  <c r="AG367" i="11"/>
  <c r="X367" i="11"/>
  <c r="AX366" i="11"/>
  <c r="X251" i="6"/>
  <c r="AL366" i="11"/>
  <c r="AF366" i="11"/>
  <c r="X366" i="11"/>
  <c r="W366" i="11"/>
  <c r="AR366" i="11"/>
  <c r="W251" i="6"/>
  <c r="AW365" i="11"/>
  <c r="X250" i="6"/>
  <c r="AK365" i="11"/>
  <c r="AE365" i="11"/>
  <c r="X365" i="11"/>
  <c r="W365" i="11"/>
  <c r="AQ365" i="11"/>
  <c r="W250" i="6"/>
  <c r="AN364" i="11"/>
  <c r="AH364" i="11"/>
  <c r="AH363" i="11"/>
  <c r="AH370" i="11"/>
  <c r="AI369" i="11"/>
  <c r="AN363" i="11"/>
  <c r="W370" i="11"/>
  <c r="L360" i="11"/>
  <c r="K360" i="11"/>
  <c r="J360" i="11"/>
  <c r="J361" i="11"/>
  <c r="AN359" i="11"/>
  <c r="AH359" i="11"/>
  <c r="M359" i="11"/>
  <c r="AN358" i="11"/>
  <c r="AH358" i="11"/>
  <c r="AZ358" i="11"/>
  <c r="M358" i="11"/>
  <c r="X357" i="11"/>
  <c r="AZ357" i="11"/>
  <c r="AN357" i="11"/>
  <c r="AH357" i="11"/>
  <c r="X243" i="6"/>
  <c r="W357" i="11"/>
  <c r="M357" i="11"/>
  <c r="L354" i="11"/>
  <c r="K354" i="11"/>
  <c r="J354" i="11"/>
  <c r="AN353" i="11"/>
  <c r="AH353" i="11"/>
  <c r="M353" i="11"/>
  <c r="AN352" i="11"/>
  <c r="AH352" i="11"/>
  <c r="AZ352" i="11"/>
  <c r="M352" i="11"/>
  <c r="AN351" i="11"/>
  <c r="AH351" i="11"/>
  <c r="AZ351" i="11"/>
  <c r="M351" i="11"/>
  <c r="AN350" i="11"/>
  <c r="AH350" i="11"/>
  <c r="M350" i="11"/>
  <c r="AN349" i="11"/>
  <c r="AH349" i="11"/>
  <c r="M349" i="11"/>
  <c r="AN348" i="11"/>
  <c r="AH348" i="11"/>
  <c r="AZ348" i="11"/>
  <c r="M348" i="11"/>
  <c r="AN347" i="11"/>
  <c r="AH347" i="11"/>
  <c r="AZ347" i="11"/>
  <c r="M347" i="11"/>
  <c r="AN346" i="11"/>
  <c r="AH346" i="11"/>
  <c r="AZ346" i="11"/>
  <c r="M346" i="11"/>
  <c r="L343" i="11"/>
  <c r="K343" i="11"/>
  <c r="J343" i="11"/>
  <c r="AN342" i="11"/>
  <c r="AH342" i="11"/>
  <c r="X342" i="11"/>
  <c r="AZ342" i="11"/>
  <c r="X230" i="6"/>
  <c r="W342" i="11"/>
  <c r="AT342" i="11"/>
  <c r="W230" i="6"/>
  <c r="AN341" i="11"/>
  <c r="AH341" i="11"/>
  <c r="X341" i="11"/>
  <c r="AZ341" i="11"/>
  <c r="X229" i="6"/>
  <c r="W341" i="11"/>
  <c r="AY340" i="11"/>
  <c r="X228" i="6"/>
  <c r="AM340" i="11"/>
  <c r="AG340" i="11"/>
  <c r="X340" i="11"/>
  <c r="W340" i="11"/>
  <c r="AS340" i="11"/>
  <c r="W228" i="6"/>
  <c r="AX339" i="11"/>
  <c r="X227" i="6"/>
  <c r="AL339" i="11"/>
  <c r="AF339" i="11"/>
  <c r="X339" i="11"/>
  <c r="W339" i="11"/>
  <c r="AR339" i="11"/>
  <c r="W227" i="6"/>
  <c r="AW338" i="11"/>
  <c r="X226" i="6"/>
  <c r="AK338" i="11"/>
  <c r="AE338" i="11"/>
  <c r="X338" i="11"/>
  <c r="W338" i="11"/>
  <c r="AQ338" i="11"/>
  <c r="W226" i="6"/>
  <c r="AN337" i="11"/>
  <c r="AH337" i="11"/>
  <c r="W337" i="11"/>
  <c r="X337" i="11"/>
  <c r="Y337" i="11"/>
  <c r="AZ337" i="11"/>
  <c r="X225" i="6"/>
  <c r="AT337" i="11"/>
  <c r="W225" i="6"/>
  <c r="AN336" i="11"/>
  <c r="AH336" i="11"/>
  <c r="X336" i="11"/>
  <c r="W336" i="11"/>
  <c r="Y336" i="11"/>
  <c r="L333" i="11"/>
  <c r="K333" i="11"/>
  <c r="K334" i="11"/>
  <c r="J333" i="11"/>
  <c r="AN332" i="11"/>
  <c r="AH332" i="11"/>
  <c r="X332" i="11"/>
  <c r="AZ332" i="11"/>
  <c r="X221" i="6"/>
  <c r="W332" i="11"/>
  <c r="AT332" i="11"/>
  <c r="W221" i="6"/>
  <c r="X331" i="11"/>
  <c r="AZ331" i="11"/>
  <c r="X220" i="6"/>
  <c r="Y220" i="6" s="1"/>
  <c r="W331" i="11"/>
  <c r="AT331" i="11"/>
  <c r="W220" i="6"/>
  <c r="AN331" i="11"/>
  <c r="AH331" i="11"/>
  <c r="Y331" i="11"/>
  <c r="AY330" i="11"/>
  <c r="X219" i="6"/>
  <c r="AM330" i="11"/>
  <c r="AG330" i="11"/>
  <c r="X330" i="11"/>
  <c r="W330" i="11"/>
  <c r="AS330" i="11"/>
  <c r="W219" i="6"/>
  <c r="AX329" i="11"/>
  <c r="X218" i="6"/>
  <c r="AL329" i="11"/>
  <c r="AF329" i="11"/>
  <c r="X329" i="11"/>
  <c r="W329" i="11"/>
  <c r="AR329" i="11"/>
  <c r="W218" i="6"/>
  <c r="AW328" i="11"/>
  <c r="X217" i="6"/>
  <c r="AK328" i="11"/>
  <c r="AE328" i="11"/>
  <c r="X328" i="11"/>
  <c r="W328" i="11"/>
  <c r="AQ328" i="11"/>
  <c r="W217" i="6"/>
  <c r="AN327" i="11"/>
  <c r="AH327" i="11"/>
  <c r="X327" i="11"/>
  <c r="AZ327" i="11"/>
  <c r="X216" i="6"/>
  <c r="W327" i="11"/>
  <c r="AN326" i="11"/>
  <c r="AH326" i="11"/>
  <c r="X326" i="11"/>
  <c r="W326" i="11"/>
  <c r="X323" i="11"/>
  <c r="L323" i="11"/>
  <c r="K323" i="11"/>
  <c r="J323" i="11"/>
  <c r="AN322" i="11"/>
  <c r="AH322" i="11"/>
  <c r="M323" i="11"/>
  <c r="AN321" i="11"/>
  <c r="AH321" i="11"/>
  <c r="AY320" i="11"/>
  <c r="X210" i="6"/>
  <c r="AM320" i="11"/>
  <c r="AG320" i="11"/>
  <c r="X320" i="11"/>
  <c r="AS320" i="11"/>
  <c r="W210" i="6"/>
  <c r="AX319" i="11"/>
  <c r="X209" i="6"/>
  <c r="AL319" i="11"/>
  <c r="AF319" i="11"/>
  <c r="X319" i="11"/>
  <c r="AR319" i="11"/>
  <c r="W209" i="6"/>
  <c r="AW318" i="11"/>
  <c r="X208" i="6"/>
  <c r="AK318" i="11"/>
  <c r="AE318" i="11"/>
  <c r="X318" i="11"/>
  <c r="AQ318" i="11"/>
  <c r="W208" i="6"/>
  <c r="AN317" i="11"/>
  <c r="AH317" i="11"/>
  <c r="AN316" i="11"/>
  <c r="AH316" i="11"/>
  <c r="L244" i="11"/>
  <c r="K244" i="11"/>
  <c r="J244" i="11"/>
  <c r="J245" i="11"/>
  <c r="AN243" i="11"/>
  <c r="AH243" i="11"/>
  <c r="M243" i="11"/>
  <c r="AN242" i="11"/>
  <c r="AH242" i="11"/>
  <c r="AZ242" i="11"/>
  <c r="M242" i="11"/>
  <c r="AZ241" i="11"/>
  <c r="AN241" i="11"/>
  <c r="AH241" i="11"/>
  <c r="M241" i="11"/>
  <c r="AN240" i="11"/>
  <c r="AH240" i="11"/>
  <c r="M240" i="11"/>
  <c r="AZ239" i="11"/>
  <c r="AN239" i="11"/>
  <c r="AN244" i="11"/>
  <c r="AH239" i="11"/>
  <c r="AH244" i="11"/>
  <c r="M239" i="11"/>
  <c r="M244" i="11"/>
  <c r="L236" i="11"/>
  <c r="K236" i="11"/>
  <c r="J236" i="11"/>
  <c r="AZ235" i="11"/>
  <c r="AN235" i="11"/>
  <c r="AH235" i="11"/>
  <c r="Y235" i="11"/>
  <c r="M235" i="11"/>
  <c r="AN234" i="11"/>
  <c r="AH234" i="11"/>
  <c r="AZ234" i="11"/>
  <c r="M234" i="11"/>
  <c r="AN233" i="11"/>
  <c r="AH233" i="11"/>
  <c r="M233" i="11"/>
  <c r="AN232" i="11"/>
  <c r="AH232" i="11"/>
  <c r="M232" i="11"/>
  <c r="AN231" i="11"/>
  <c r="AN236" i="11"/>
  <c r="AH231" i="11"/>
  <c r="AZ231" i="11"/>
  <c r="M231" i="11"/>
  <c r="AN227" i="11"/>
  <c r="W227" i="11"/>
  <c r="AH227" i="11"/>
  <c r="X227" i="11"/>
  <c r="AZ227" i="11"/>
  <c r="Y227" i="11"/>
  <c r="AN226" i="11"/>
  <c r="AN228" i="11"/>
  <c r="X226" i="11"/>
  <c r="X228" i="11"/>
  <c r="W226" i="11"/>
  <c r="AU223" i="11"/>
  <c r="J224" i="11"/>
  <c r="M221" i="11"/>
  <c r="AU220" i="11"/>
  <c r="AO220" i="11"/>
  <c r="M220" i="11"/>
  <c r="M215" i="11"/>
  <c r="M214" i="11"/>
  <c r="U210" i="11"/>
  <c r="T210" i="11"/>
  <c r="T20" i="11"/>
  <c r="T211" i="11"/>
  <c r="R210" i="11"/>
  <c r="Q210" i="11"/>
  <c r="O210" i="11"/>
  <c r="N210" i="11"/>
  <c r="X209" i="11"/>
  <c r="X165" i="6"/>
  <c r="W209" i="11"/>
  <c r="V209" i="11"/>
  <c r="S209" i="11"/>
  <c r="P209" i="11"/>
  <c r="X208" i="11"/>
  <c r="X168" i="6"/>
  <c r="W208" i="11"/>
  <c r="V208" i="11"/>
  <c r="S208" i="11"/>
  <c r="P208" i="11"/>
  <c r="X207" i="11"/>
  <c r="X167" i="6"/>
  <c r="W207" i="11"/>
  <c r="V207" i="11"/>
  <c r="S207" i="11"/>
  <c r="P207" i="11"/>
  <c r="X206" i="11"/>
  <c r="X166" i="6"/>
  <c r="W206" i="11"/>
  <c r="V206" i="11"/>
  <c r="V210" i="11"/>
  <c r="S206" i="11"/>
  <c r="S210" i="11"/>
  <c r="P206" i="11"/>
  <c r="AY190" i="11"/>
  <c r="AX190" i="11"/>
  <c r="AW190" i="11"/>
  <c r="AS190" i="11"/>
  <c r="AR190" i="11"/>
  <c r="AQ190" i="11"/>
  <c r="AC190" i="11"/>
  <c r="AB190" i="11"/>
  <c r="AA190" i="11"/>
  <c r="U187" i="11"/>
  <c r="T187" i="11"/>
  <c r="R187" i="11"/>
  <c r="Q187" i="11"/>
  <c r="O187" i="11"/>
  <c r="N187" i="11"/>
  <c r="X186" i="11"/>
  <c r="AZ186" i="11"/>
  <c r="W186" i="11"/>
  <c r="V186" i="11"/>
  <c r="S186" i="11"/>
  <c r="P186" i="11"/>
  <c r="W185" i="11"/>
  <c r="AT185" i="11"/>
  <c r="X185" i="11"/>
  <c r="X160" i="6"/>
  <c r="V185" i="11"/>
  <c r="S185" i="11"/>
  <c r="P185" i="11"/>
  <c r="AZ184" i="11"/>
  <c r="X183" i="11"/>
  <c r="X159" i="6"/>
  <c r="W183" i="11"/>
  <c r="V183" i="11"/>
  <c r="S183" i="11"/>
  <c r="P183" i="11"/>
  <c r="X182" i="11"/>
  <c r="X158" i="6"/>
  <c r="Y158" i="6" s="1"/>
  <c r="W182" i="11"/>
  <c r="V182" i="11"/>
  <c r="S182" i="11"/>
  <c r="P182" i="11"/>
  <c r="W181" i="11"/>
  <c r="X181" i="11"/>
  <c r="Y181" i="11"/>
  <c r="X157" i="6"/>
  <c r="Y157" i="6" s="1"/>
  <c r="V181" i="11"/>
  <c r="S181" i="11"/>
  <c r="P181" i="11"/>
  <c r="X180" i="11"/>
  <c r="AZ180" i="11"/>
  <c r="W180" i="11"/>
  <c r="V180" i="11"/>
  <c r="S180" i="11"/>
  <c r="P180" i="11"/>
  <c r="X179" i="11"/>
  <c r="W179" i="11"/>
  <c r="V179" i="11"/>
  <c r="S179" i="11"/>
  <c r="P179" i="11"/>
  <c r="X178" i="11"/>
  <c r="X154" i="6"/>
  <c r="W178" i="11"/>
  <c r="V178" i="11"/>
  <c r="S178" i="11"/>
  <c r="P178" i="11"/>
  <c r="U177" i="11"/>
  <c r="T177" i="11"/>
  <c r="R177" i="11"/>
  <c r="Q177" i="11"/>
  <c r="S177" i="11"/>
  <c r="O177" i="11"/>
  <c r="N177" i="11"/>
  <c r="U174" i="11"/>
  <c r="U489" i="11"/>
  <c r="U491" i="11"/>
  <c r="T174" i="11"/>
  <c r="R174" i="11"/>
  <c r="R489" i="11"/>
  <c r="R491" i="11"/>
  <c r="Q174" i="11"/>
  <c r="Q489" i="11"/>
  <c r="O174" i="11"/>
  <c r="O489" i="11"/>
  <c r="N174" i="11"/>
  <c r="N489" i="11"/>
  <c r="X173" i="11"/>
  <c r="W173" i="11"/>
  <c r="Y173" i="11"/>
  <c r="V173" i="11"/>
  <c r="S173" i="11"/>
  <c r="P173" i="11"/>
  <c r="X172" i="11"/>
  <c r="AZ172" i="11"/>
  <c r="W172" i="11"/>
  <c r="V172" i="11"/>
  <c r="S172" i="11"/>
  <c r="P172" i="11"/>
  <c r="X171" i="11"/>
  <c r="X148" i="6"/>
  <c r="W171" i="11"/>
  <c r="V171" i="11"/>
  <c r="S171" i="11"/>
  <c r="P171" i="11"/>
  <c r="X170" i="11"/>
  <c r="X147" i="6"/>
  <c r="W170" i="11"/>
  <c r="V170" i="11"/>
  <c r="S170" i="11"/>
  <c r="P170" i="11"/>
  <c r="X169" i="11"/>
  <c r="AZ169" i="11"/>
  <c r="X146" i="6"/>
  <c r="W169" i="11"/>
  <c r="V169" i="11"/>
  <c r="V174" i="11"/>
  <c r="S169" i="11"/>
  <c r="P169" i="11"/>
  <c r="P174" i="11"/>
  <c r="AN164" i="11"/>
  <c r="AN165" i="11"/>
  <c r="AN166" i="11"/>
  <c r="L166" i="11"/>
  <c r="K166" i="11"/>
  <c r="J166" i="11"/>
  <c r="AH165" i="11"/>
  <c r="X165" i="11"/>
  <c r="W165" i="11"/>
  <c r="W164" i="11"/>
  <c r="W166" i="11"/>
  <c r="M165" i="11"/>
  <c r="AH164" i="11"/>
  <c r="X164" i="11"/>
  <c r="X142" i="6"/>
  <c r="AT164" i="11"/>
  <c r="M164" i="11"/>
  <c r="M166" i="11"/>
  <c r="L161" i="11"/>
  <c r="K161" i="11"/>
  <c r="J161" i="11"/>
  <c r="AN160" i="11"/>
  <c r="AH160" i="11"/>
  <c r="AZ160" i="11"/>
  <c r="AT160" i="11"/>
  <c r="M160" i="11"/>
  <c r="AZ159" i="11"/>
  <c r="AN159" i="11"/>
  <c r="AH159" i="11"/>
  <c r="M159" i="11"/>
  <c r="AN158" i="11"/>
  <c r="AH158" i="11"/>
  <c r="AT158" i="11"/>
  <c r="M158" i="11"/>
  <c r="AZ157" i="11"/>
  <c r="AN157" i="11"/>
  <c r="AH157" i="11"/>
  <c r="AT157" i="11"/>
  <c r="M157" i="11"/>
  <c r="AN156" i="11"/>
  <c r="AH156" i="11"/>
  <c r="M156" i="11"/>
  <c r="AN155" i="11"/>
  <c r="AH155" i="11"/>
  <c r="M155" i="11"/>
  <c r="U152" i="11"/>
  <c r="T152" i="11"/>
  <c r="R152" i="11"/>
  <c r="Q152" i="11"/>
  <c r="O152" i="11"/>
  <c r="N152" i="11"/>
  <c r="X151" i="11"/>
  <c r="X131" i="6"/>
  <c r="W151" i="11"/>
  <c r="V151" i="11"/>
  <c r="S151" i="11"/>
  <c r="P151" i="11"/>
  <c r="P150" i="11"/>
  <c r="P152" i="11"/>
  <c r="X150" i="11"/>
  <c r="X130" i="6"/>
  <c r="W150" i="11"/>
  <c r="V150" i="11"/>
  <c r="S150" i="11"/>
  <c r="AU147" i="11"/>
  <c r="L147" i="11"/>
  <c r="K147" i="11"/>
  <c r="J147" i="11"/>
  <c r="J148" i="11"/>
  <c r="AU146" i="11"/>
  <c r="AN146" i="11"/>
  <c r="AH146" i="11"/>
  <c r="AT146" i="11"/>
  <c r="M146" i="11"/>
  <c r="AU145" i="11"/>
  <c r="AN145" i="11"/>
  <c r="AH145" i="11"/>
  <c r="AZ145" i="11"/>
  <c r="AT145" i="11"/>
  <c r="M145" i="11"/>
  <c r="AU144" i="11"/>
  <c r="AN144" i="11"/>
  <c r="AH144" i="11"/>
  <c r="AZ144" i="11"/>
  <c r="AT144" i="11"/>
  <c r="M144" i="11"/>
  <c r="AU143" i="11"/>
  <c r="AN143" i="11"/>
  <c r="AH143" i="11"/>
  <c r="AZ143" i="11"/>
  <c r="M143" i="11"/>
  <c r="AU142" i="11"/>
  <c r="AN142" i="11"/>
  <c r="AH142" i="11"/>
  <c r="AT142" i="11"/>
  <c r="M142" i="11"/>
  <c r="AU141" i="11"/>
  <c r="AN141" i="11"/>
  <c r="AH141" i="11"/>
  <c r="AZ141" i="11"/>
  <c r="M141" i="11"/>
  <c r="AU140" i="11"/>
  <c r="AN140" i="11"/>
  <c r="AH140" i="11"/>
  <c r="AZ140" i="11"/>
  <c r="AT140" i="11"/>
  <c r="M140" i="11"/>
  <c r="AZ139" i="11"/>
  <c r="AU139" i="11"/>
  <c r="AN139" i="11"/>
  <c r="AH139" i="11"/>
  <c r="Y139" i="11"/>
  <c r="AT139" i="11"/>
  <c r="M139" i="11"/>
  <c r="AU138" i="11"/>
  <c r="AN138" i="11"/>
  <c r="AH138" i="11"/>
  <c r="M138" i="11"/>
  <c r="AU137" i="11"/>
  <c r="AN137" i="11"/>
  <c r="AN147" i="11"/>
  <c r="AO146" i="11"/>
  <c r="AH137" i="11"/>
  <c r="AZ137" i="11"/>
  <c r="AT137" i="11"/>
  <c r="M137" i="11"/>
  <c r="V120" i="11"/>
  <c r="S120" i="11"/>
  <c r="P120" i="11"/>
  <c r="Y120" i="11"/>
  <c r="V119" i="11"/>
  <c r="V121" i="11"/>
  <c r="V122" i="11"/>
  <c r="S119" i="11"/>
  <c r="P119" i="11"/>
  <c r="V117" i="11"/>
  <c r="P117" i="11"/>
  <c r="V116" i="11"/>
  <c r="S116" i="11"/>
  <c r="P116" i="11"/>
  <c r="V63" i="11"/>
  <c r="V96" i="11"/>
  <c r="S96" i="11"/>
  <c r="P96" i="11"/>
  <c r="Y95" i="11"/>
  <c r="Y94" i="11"/>
  <c r="Y93" i="11"/>
  <c r="Y92" i="11"/>
  <c r="V88" i="11"/>
  <c r="S88" i="11"/>
  <c r="P88" i="11"/>
  <c r="Y87" i="11"/>
  <c r="Y86" i="11"/>
  <c r="Y85" i="11"/>
  <c r="Y84" i="11"/>
  <c r="V81" i="11"/>
  <c r="S81" i="11"/>
  <c r="P81" i="11"/>
  <c r="Y80" i="11"/>
  <c r="Y79" i="11"/>
  <c r="Y78" i="11"/>
  <c r="Y77" i="11"/>
  <c r="U73" i="11"/>
  <c r="T73" i="11"/>
  <c r="T74" i="11"/>
  <c r="R73" i="11"/>
  <c r="Q73" i="11"/>
  <c r="O73" i="11"/>
  <c r="O20" i="11"/>
  <c r="O74" i="11"/>
  <c r="N73" i="11"/>
  <c r="X72" i="11"/>
  <c r="AZ72" i="11"/>
  <c r="W72" i="11"/>
  <c r="AT72" i="11"/>
  <c r="V72" i="11"/>
  <c r="S72" i="11"/>
  <c r="P72" i="11"/>
  <c r="X71" i="11"/>
  <c r="W71" i="11"/>
  <c r="AT71" i="11"/>
  <c r="V71" i="11"/>
  <c r="S71" i="11"/>
  <c r="P71" i="11"/>
  <c r="X70" i="11"/>
  <c r="X73" i="6"/>
  <c r="W70" i="11"/>
  <c r="AT70" i="11"/>
  <c r="V70" i="11"/>
  <c r="S70" i="11"/>
  <c r="P70" i="11"/>
  <c r="W69" i="11"/>
  <c r="X69" i="11"/>
  <c r="Y69" i="11"/>
  <c r="AT69" i="11"/>
  <c r="V69" i="11"/>
  <c r="S69" i="11"/>
  <c r="P69" i="11"/>
  <c r="X68" i="11"/>
  <c r="X71" i="6"/>
  <c r="W68" i="11"/>
  <c r="AT68" i="11"/>
  <c r="V68" i="11"/>
  <c r="V73" i="11"/>
  <c r="S68" i="11"/>
  <c r="P68" i="11"/>
  <c r="U65" i="11"/>
  <c r="T65" i="11"/>
  <c r="T66" i="11"/>
  <c r="R65" i="11"/>
  <c r="Q65" i="11"/>
  <c r="O65" i="11"/>
  <c r="O66" i="11"/>
  <c r="N65" i="11"/>
  <c r="X64" i="11"/>
  <c r="X68" i="6"/>
  <c r="W64" i="11"/>
  <c r="V64" i="11"/>
  <c r="S64" i="11"/>
  <c r="P64" i="11"/>
  <c r="X63" i="11"/>
  <c r="AZ63" i="11"/>
  <c r="X67" i="6"/>
  <c r="W63" i="11"/>
  <c r="AT63" i="11"/>
  <c r="S63" i="11"/>
  <c r="P63" i="11"/>
  <c r="X62" i="11"/>
  <c r="X66" i="6"/>
  <c r="W62" i="11"/>
  <c r="AT62" i="11"/>
  <c r="V62" i="11"/>
  <c r="S62" i="11"/>
  <c r="P62" i="11"/>
  <c r="X61" i="11"/>
  <c r="W61" i="11"/>
  <c r="V61" i="11"/>
  <c r="S61" i="11"/>
  <c r="P61" i="11"/>
  <c r="L58" i="11"/>
  <c r="K58" i="11"/>
  <c r="J58" i="11"/>
  <c r="AZ57" i="11"/>
  <c r="AN57" i="11"/>
  <c r="AH57" i="11"/>
  <c r="Y57" i="11"/>
  <c r="M57" i="11"/>
  <c r="AN56" i="11"/>
  <c r="AH56" i="11"/>
  <c r="M56" i="11"/>
  <c r="AN55" i="11"/>
  <c r="AH55" i="11"/>
  <c r="Y55" i="11"/>
  <c r="M55" i="11"/>
  <c r="AN54" i="11"/>
  <c r="AH54" i="11"/>
  <c r="AZ54" i="11"/>
  <c r="M54" i="11"/>
  <c r="AN53" i="11"/>
  <c r="AH53" i="11"/>
  <c r="M53" i="11"/>
  <c r="AN52" i="11"/>
  <c r="AH52" i="11"/>
  <c r="M52" i="11"/>
  <c r="AN51" i="11"/>
  <c r="AH51" i="11"/>
  <c r="M51" i="11"/>
  <c r="AN50" i="11"/>
  <c r="AH50" i="11"/>
  <c r="M50" i="11"/>
  <c r="AN49" i="11"/>
  <c r="AN44" i="11"/>
  <c r="AN45" i="11"/>
  <c r="AN46" i="11"/>
  <c r="AN47" i="11"/>
  <c r="AN48" i="11"/>
  <c r="AN58" i="11"/>
  <c r="AO56" i="11"/>
  <c r="AH49" i="11"/>
  <c r="M49" i="11"/>
  <c r="AH48" i="11"/>
  <c r="AT48" i="11"/>
  <c r="M48" i="11"/>
  <c r="AH47" i="11"/>
  <c r="M47" i="11"/>
  <c r="AH46" i="11"/>
  <c r="AT46" i="11"/>
  <c r="M46" i="11"/>
  <c r="AT45" i="11"/>
  <c r="AH45" i="11"/>
  <c r="M45" i="11"/>
  <c r="AH44" i="11"/>
  <c r="AT44" i="11"/>
  <c r="M44" i="11"/>
  <c r="U41" i="11"/>
  <c r="T41" i="11"/>
  <c r="T42" i="11"/>
  <c r="R41" i="11"/>
  <c r="Q41" i="11"/>
  <c r="O41" i="11"/>
  <c r="N41" i="11"/>
  <c r="X40" i="11"/>
  <c r="X46" i="6"/>
  <c r="W40" i="11"/>
  <c r="AT40" i="11"/>
  <c r="V40" i="11"/>
  <c r="S40" i="11"/>
  <c r="P40" i="11"/>
  <c r="X39" i="11"/>
  <c r="W39" i="11"/>
  <c r="V39" i="11"/>
  <c r="S39" i="11"/>
  <c r="P39" i="11"/>
  <c r="X38" i="11"/>
  <c r="X44" i="6"/>
  <c r="Y44" i="6" s="1"/>
  <c r="W38" i="11"/>
  <c r="V38" i="11"/>
  <c r="S38" i="11"/>
  <c r="P38" i="11"/>
  <c r="AN32" i="11"/>
  <c r="AH32" i="11"/>
  <c r="W32" i="11"/>
  <c r="AT32" i="11"/>
  <c r="AH31" i="11"/>
  <c r="AZ31" i="11"/>
  <c r="AN30" i="11"/>
  <c r="AH23" i="11"/>
  <c r="AH24" i="11"/>
  <c r="AH25" i="11"/>
  <c r="AH26" i="11"/>
  <c r="AI24" i="11"/>
  <c r="L26" i="11"/>
  <c r="K26" i="11"/>
  <c r="J26" i="11"/>
  <c r="J27" i="11"/>
  <c r="AZ25" i="11"/>
  <c r="AN25" i="11"/>
  <c r="X27" i="6"/>
  <c r="M25" i="11"/>
  <c r="AN24" i="11"/>
  <c r="AT24" i="11"/>
  <c r="M24" i="11"/>
  <c r="M23" i="11"/>
  <c r="M26" i="11"/>
  <c r="AN23" i="11"/>
  <c r="AN26" i="11"/>
  <c r="U20" i="11"/>
  <c r="U42" i="11"/>
  <c r="T408" i="11"/>
  <c r="R20" i="11"/>
  <c r="Q20" i="11"/>
  <c r="O153" i="11"/>
  <c r="N20" i="11"/>
  <c r="AN19" i="11"/>
  <c r="AH19" i="11"/>
  <c r="X19" i="11"/>
  <c r="W19" i="11"/>
  <c r="V19" i="11"/>
  <c r="S19" i="11"/>
  <c r="P19" i="11"/>
  <c r="AN18" i="11"/>
  <c r="AN20" i="11"/>
  <c r="AO19" i="11"/>
  <c r="AH18" i="11"/>
  <c r="X18" i="11"/>
  <c r="W18" i="11"/>
  <c r="V18" i="11"/>
  <c r="S18" i="11"/>
  <c r="S20" i="11"/>
  <c r="S82" i="11"/>
  <c r="P18" i="11"/>
  <c r="P20" i="11"/>
  <c r="AH13" i="11"/>
  <c r="AH14" i="11"/>
  <c r="AH15" i="11"/>
  <c r="AI13" i="11"/>
  <c r="J229" i="11"/>
  <c r="AN14" i="11"/>
  <c r="AN13" i="11"/>
  <c r="AN15" i="11"/>
  <c r="M14" i="11"/>
  <c r="M13" i="11"/>
  <c r="W619" i="10"/>
  <c r="S450" i="6"/>
  <c r="W617" i="10"/>
  <c r="S448" i="6"/>
  <c r="W612" i="10"/>
  <c r="S443" i="6"/>
  <c r="W611" i="10"/>
  <c r="S442" i="6"/>
  <c r="W596" i="10"/>
  <c r="S429" i="6"/>
  <c r="W594" i="10"/>
  <c r="S427" i="6"/>
  <c r="X588" i="10"/>
  <c r="T422" i="6"/>
  <c r="W588" i="10"/>
  <c r="S422" i="6"/>
  <c r="W586" i="10"/>
  <c r="S420" i="6"/>
  <c r="W585" i="10"/>
  <c r="S419" i="6"/>
  <c r="W583" i="10"/>
  <c r="S417" i="6"/>
  <c r="X577" i="10"/>
  <c r="T412" i="6"/>
  <c r="W577" i="10"/>
  <c r="S412" i="6"/>
  <c r="U412" i="6" s="1"/>
  <c r="X525" i="10"/>
  <c r="T380" i="6"/>
  <c r="W525" i="10"/>
  <c r="S380" i="6"/>
  <c r="W523" i="10"/>
  <c r="S378" i="6"/>
  <c r="W522" i="10"/>
  <c r="S377" i="6"/>
  <c r="W520" i="10"/>
  <c r="S375" i="6"/>
  <c r="W506" i="10"/>
  <c r="S363" i="6"/>
  <c r="X505" i="10"/>
  <c r="T362" i="6"/>
  <c r="X476" i="10"/>
  <c r="T347" i="6"/>
  <c r="X474" i="10"/>
  <c r="T345" i="6"/>
  <c r="W472" i="10"/>
  <c r="S343" i="6"/>
  <c r="X468" i="10"/>
  <c r="AZ468" i="10"/>
  <c r="T340" i="6"/>
  <c r="W458" i="10"/>
  <c r="S331" i="6"/>
  <c r="X448" i="10"/>
  <c r="T326" i="6"/>
  <c r="W439" i="10"/>
  <c r="S318" i="6"/>
  <c r="X436" i="10"/>
  <c r="T315" i="6"/>
  <c r="U315" i="6" s="1"/>
  <c r="X425" i="10"/>
  <c r="AZ425" i="10"/>
  <c r="T305" i="6"/>
  <c r="X392" i="10"/>
  <c r="T276" i="6"/>
  <c r="X389" i="10"/>
  <c r="T273" i="6"/>
  <c r="W387" i="10"/>
  <c r="S271" i="6"/>
  <c r="X384" i="10"/>
  <c r="T268" i="6"/>
  <c r="W376" i="10"/>
  <c r="S262" i="6"/>
  <c r="AY367" i="10"/>
  <c r="T252" i="6"/>
  <c r="AX339" i="10"/>
  <c r="T227" i="6"/>
  <c r="AY320" i="10"/>
  <c r="T210" i="6"/>
  <c r="X209" i="10"/>
  <c r="T165" i="6"/>
  <c r="W185" i="10"/>
  <c r="S160" i="6"/>
  <c r="X169" i="10"/>
  <c r="T146" i="6"/>
  <c r="X72" i="10"/>
  <c r="T75" i="6"/>
  <c r="X64" i="10"/>
  <c r="T68" i="6"/>
  <c r="X39" i="10"/>
  <c r="T45" i="6"/>
  <c r="T9" i="10"/>
  <c r="V670" i="10"/>
  <c r="S670" i="10"/>
  <c r="P670" i="10"/>
  <c r="Y669" i="10"/>
  <c r="Y668" i="10"/>
  <c r="Y667" i="10"/>
  <c r="Y666" i="10"/>
  <c r="Y665" i="10"/>
  <c r="V663" i="10"/>
  <c r="S663" i="10"/>
  <c r="P663" i="10"/>
  <c r="Y662" i="10"/>
  <c r="Y661" i="10"/>
  <c r="Y660" i="10"/>
  <c r="Y659" i="10"/>
  <c r="Y658" i="10"/>
  <c r="Y657" i="10"/>
  <c r="Y656" i="10"/>
  <c r="Y655" i="10"/>
  <c r="Y654" i="10"/>
  <c r="V648" i="10"/>
  <c r="V650" i="10"/>
  <c r="V651" i="10"/>
  <c r="Y649" i="10"/>
  <c r="S648" i="10"/>
  <c r="P648" i="10"/>
  <c r="P650" i="10"/>
  <c r="P651" i="10"/>
  <c r="AC647" i="10"/>
  <c r="AB647" i="10"/>
  <c r="AA647" i="10"/>
  <c r="Y646" i="10"/>
  <c r="Y642" i="10"/>
  <c r="V641" i="10"/>
  <c r="V643" i="10"/>
  <c r="V644" i="10"/>
  <c r="S641" i="10"/>
  <c r="P641" i="10"/>
  <c r="P643" i="10"/>
  <c r="P644" i="10"/>
  <c r="AC640" i="10"/>
  <c r="AB640" i="10"/>
  <c r="AA640" i="10"/>
  <c r="Y639" i="10"/>
  <c r="P634" i="10"/>
  <c r="P636" i="10"/>
  <c r="P637" i="10"/>
  <c r="Y635" i="10"/>
  <c r="V634" i="10"/>
  <c r="V636" i="10"/>
  <c r="V637" i="10"/>
  <c r="S634" i="10"/>
  <c r="S636" i="10"/>
  <c r="S637" i="10"/>
  <c r="AC633" i="10"/>
  <c r="AB633" i="10"/>
  <c r="AA633" i="10"/>
  <c r="Y632" i="10"/>
  <c r="V628" i="10"/>
  <c r="V629" i="10"/>
  <c r="S628" i="10"/>
  <c r="S629" i="10"/>
  <c r="P628" i="10"/>
  <c r="P629" i="10"/>
  <c r="Y627" i="10"/>
  <c r="Y626" i="10"/>
  <c r="Y625" i="10"/>
  <c r="Y624" i="10"/>
  <c r="Y623" i="10"/>
  <c r="K620" i="10"/>
  <c r="K621" i="10"/>
  <c r="L620" i="10"/>
  <c r="L621" i="10"/>
  <c r="J620" i="10"/>
  <c r="J621" i="10"/>
  <c r="AN619" i="10"/>
  <c r="AH619" i="10"/>
  <c r="X619" i="10"/>
  <c r="T450" i="6"/>
  <c r="AT619" i="10"/>
  <c r="M619" i="10"/>
  <c r="AN618" i="10"/>
  <c r="AH618" i="10"/>
  <c r="X618" i="10"/>
  <c r="W618" i="10"/>
  <c r="S449" i="6"/>
  <c r="M618" i="10"/>
  <c r="AN617" i="10"/>
  <c r="AH617" i="10"/>
  <c r="X617" i="10"/>
  <c r="AT617" i="10"/>
  <c r="M617" i="10"/>
  <c r="X616" i="10"/>
  <c r="AZ616" i="10"/>
  <c r="W616" i="10"/>
  <c r="AT616" i="10"/>
  <c r="AN616" i="10"/>
  <c r="AH616" i="10"/>
  <c r="Y616" i="10"/>
  <c r="T447" i="6"/>
  <c r="S447" i="6"/>
  <c r="M616" i="10"/>
  <c r="AN615" i="10"/>
  <c r="AH615" i="10"/>
  <c r="X615" i="10"/>
  <c r="T446" i="6"/>
  <c r="W615" i="10"/>
  <c r="AT615" i="10"/>
  <c r="M615" i="10"/>
  <c r="AN614" i="10"/>
  <c r="AH614" i="10"/>
  <c r="X614" i="10"/>
  <c r="AZ614" i="10"/>
  <c r="W614" i="10"/>
  <c r="M614" i="10"/>
  <c r="AN613" i="10"/>
  <c r="AH613" i="10"/>
  <c r="X613" i="10"/>
  <c r="W613" i="10"/>
  <c r="AT613" i="10"/>
  <c r="M613" i="10"/>
  <c r="X612" i="10"/>
  <c r="AZ612" i="10"/>
  <c r="AT612" i="10"/>
  <c r="AN612" i="10"/>
  <c r="AH612" i="10"/>
  <c r="Y612" i="10"/>
  <c r="T443" i="6"/>
  <c r="U443" i="6" s="1"/>
  <c r="M612" i="10"/>
  <c r="AN611" i="10"/>
  <c r="AH611" i="10"/>
  <c r="X611" i="10"/>
  <c r="T442" i="6"/>
  <c r="M611" i="10"/>
  <c r="L607" i="10"/>
  <c r="L608" i="10"/>
  <c r="K607" i="10"/>
  <c r="K608" i="10"/>
  <c r="J607" i="10"/>
  <c r="J608" i="10"/>
  <c r="AN606" i="10"/>
  <c r="AH606" i="10"/>
  <c r="M606" i="10"/>
  <c r="AN605" i="10"/>
  <c r="AH605" i="10"/>
  <c r="Y605" i="10"/>
  <c r="M605" i="10"/>
  <c r="AM604" i="10"/>
  <c r="AG604" i="10"/>
  <c r="X604" i="10"/>
  <c r="AL603" i="10"/>
  <c r="AF603" i="10"/>
  <c r="X603" i="10"/>
  <c r="AK602" i="10"/>
  <c r="AE602" i="10"/>
  <c r="X602" i="10"/>
  <c r="AN601" i="10"/>
  <c r="AH601" i="10"/>
  <c r="Y601" i="10"/>
  <c r="M601" i="10"/>
  <c r="AN600" i="10"/>
  <c r="AH600" i="10"/>
  <c r="M600" i="10"/>
  <c r="L597" i="10"/>
  <c r="L598" i="10"/>
  <c r="K597" i="10"/>
  <c r="K598" i="10"/>
  <c r="J597" i="10"/>
  <c r="J598" i="10"/>
  <c r="AN596" i="10"/>
  <c r="AH596" i="10"/>
  <c r="X596" i="10"/>
  <c r="M596" i="10"/>
  <c r="X595" i="10"/>
  <c r="AZ595" i="10"/>
  <c r="AN595" i="10"/>
  <c r="AH595" i="10"/>
  <c r="T428" i="6"/>
  <c r="W595" i="10"/>
  <c r="S428" i="6"/>
  <c r="U428" i="6" s="1"/>
  <c r="M595" i="10"/>
  <c r="AN594" i="10"/>
  <c r="AH594" i="10"/>
  <c r="X594" i="10"/>
  <c r="AT594" i="10"/>
  <c r="M594" i="10"/>
  <c r="W593" i="10"/>
  <c r="AT593" i="10"/>
  <c r="AN593" i="10"/>
  <c r="AH593" i="10"/>
  <c r="X593" i="10"/>
  <c r="S426" i="6"/>
  <c r="S430" i="6" s="1"/>
  <c r="M593" i="10"/>
  <c r="AN592" i="10"/>
  <c r="AH592" i="10"/>
  <c r="X592" i="10"/>
  <c r="T425" i="6"/>
  <c r="W592" i="10"/>
  <c r="S425" i="6"/>
  <c r="M592" i="10"/>
  <c r="K589" i="10"/>
  <c r="K590" i="10"/>
  <c r="L589" i="10"/>
  <c r="L590" i="10"/>
  <c r="J589" i="10"/>
  <c r="J590" i="10"/>
  <c r="AN588" i="10"/>
  <c r="AH588" i="10"/>
  <c r="AT588" i="10"/>
  <c r="M588" i="10"/>
  <c r="AN587" i="10"/>
  <c r="AH587" i="10"/>
  <c r="X587" i="10"/>
  <c r="W587" i="10"/>
  <c r="S421" i="6"/>
  <c r="M587" i="10"/>
  <c r="AN586" i="10"/>
  <c r="AH586" i="10"/>
  <c r="X586" i="10"/>
  <c r="AZ586" i="10"/>
  <c r="AT586" i="10"/>
  <c r="M586" i="10"/>
  <c r="X585" i="10"/>
  <c r="AZ585" i="10"/>
  <c r="AT585" i="10"/>
  <c r="AN585" i="10"/>
  <c r="AH585" i="10"/>
  <c r="Y585" i="10"/>
  <c r="T419" i="6"/>
  <c r="M585" i="10"/>
  <c r="AN584" i="10"/>
  <c r="AH584" i="10"/>
  <c r="X584" i="10"/>
  <c r="AZ584" i="10"/>
  <c r="W584" i="10"/>
  <c r="M584" i="10"/>
  <c r="AN583" i="10"/>
  <c r="AH583" i="10"/>
  <c r="X583" i="10"/>
  <c r="Y583" i="10"/>
  <c r="T417" i="6"/>
  <c r="M583" i="10"/>
  <c r="L580" i="10"/>
  <c r="K580" i="10"/>
  <c r="J580" i="10"/>
  <c r="W579" i="10"/>
  <c r="AT579" i="10"/>
  <c r="AN579" i="10"/>
  <c r="AH579" i="10"/>
  <c r="X579" i="10"/>
  <c r="S414" i="6"/>
  <c r="M579" i="10"/>
  <c r="AN578" i="10"/>
  <c r="AH578" i="10"/>
  <c r="W578" i="10"/>
  <c r="X578" i="10"/>
  <c r="Y578" i="10"/>
  <c r="AT578" i="10"/>
  <c r="M578" i="10"/>
  <c r="AN577" i="10"/>
  <c r="AH577" i="10"/>
  <c r="Y577" i="10"/>
  <c r="AZ577" i="10"/>
  <c r="AT577" i="10"/>
  <c r="M577" i="10"/>
  <c r="AN576" i="10"/>
  <c r="AH576" i="10"/>
  <c r="M576" i="10"/>
  <c r="U572" i="10"/>
  <c r="T572" i="10"/>
  <c r="R572" i="10"/>
  <c r="Q572" i="10"/>
  <c r="O572" i="10"/>
  <c r="N572" i="10"/>
  <c r="X571" i="10"/>
  <c r="W571" i="10"/>
  <c r="AT571" i="10"/>
  <c r="V571" i="10"/>
  <c r="S571" i="10"/>
  <c r="S570" i="10"/>
  <c r="S572" i="10"/>
  <c r="P571" i="10"/>
  <c r="X570" i="10"/>
  <c r="T454" i="6"/>
  <c r="W570" i="10"/>
  <c r="S454" i="6"/>
  <c r="V570" i="10"/>
  <c r="V572" i="10"/>
  <c r="P570" i="10"/>
  <c r="Q528" i="10"/>
  <c r="Q533" i="10"/>
  <c r="N515" i="10"/>
  <c r="N508" i="10"/>
  <c r="V546" i="10"/>
  <c r="V547" i="10"/>
  <c r="S546" i="10"/>
  <c r="S547" i="10"/>
  <c r="P546" i="10"/>
  <c r="P547" i="10"/>
  <c r="Y545" i="10"/>
  <c r="Y544" i="10"/>
  <c r="Y543" i="10"/>
  <c r="AC540" i="10"/>
  <c r="AB540" i="10"/>
  <c r="AA540" i="10"/>
  <c r="U538" i="10"/>
  <c r="T538" i="10"/>
  <c r="R538" i="10"/>
  <c r="Q538" i="10"/>
  <c r="O538" i="10"/>
  <c r="N538" i="10"/>
  <c r="X537" i="10"/>
  <c r="T388" i="6"/>
  <c r="W537" i="10"/>
  <c r="AT537" i="10"/>
  <c r="V537" i="10"/>
  <c r="S537" i="10"/>
  <c r="P537" i="10"/>
  <c r="X536" i="10"/>
  <c r="W536" i="10"/>
  <c r="S387" i="6"/>
  <c r="V536" i="10"/>
  <c r="S536" i="10"/>
  <c r="P536" i="10"/>
  <c r="X535" i="10"/>
  <c r="T386" i="6"/>
  <c r="W535" i="10"/>
  <c r="V535" i="10"/>
  <c r="V538" i="10"/>
  <c r="S535" i="10"/>
  <c r="P535" i="10"/>
  <c r="T528" i="10"/>
  <c r="T533" i="10"/>
  <c r="U528" i="10"/>
  <c r="U533" i="10"/>
  <c r="V528" i="10"/>
  <c r="R528" i="10"/>
  <c r="S528" i="10"/>
  <c r="O528" i="10"/>
  <c r="N528" i="10"/>
  <c r="X527" i="10"/>
  <c r="T382" i="6"/>
  <c r="W527" i="10"/>
  <c r="S382" i="6"/>
  <c r="V527" i="10"/>
  <c r="S527" i="10"/>
  <c r="P527" i="10"/>
  <c r="X526" i="10"/>
  <c r="T381" i="6"/>
  <c r="W526" i="10"/>
  <c r="V526" i="10"/>
  <c r="S526" i="10"/>
  <c r="P526" i="10"/>
  <c r="AZ525" i="10"/>
  <c r="Y525" i="10"/>
  <c r="AT525" i="10"/>
  <c r="V525" i="10"/>
  <c r="S525" i="10"/>
  <c r="P525" i="10"/>
  <c r="X524" i="10"/>
  <c r="W524" i="10"/>
  <c r="AT524" i="10"/>
  <c r="V524" i="10"/>
  <c r="S524" i="10"/>
  <c r="P524" i="10"/>
  <c r="AT523" i="10"/>
  <c r="X523" i="10"/>
  <c r="AZ523" i="10"/>
  <c r="V523" i="10"/>
  <c r="S523" i="10"/>
  <c r="P523" i="10"/>
  <c r="AT522" i="10"/>
  <c r="X522" i="10"/>
  <c r="T377" i="6"/>
  <c r="V522" i="10"/>
  <c r="S522" i="10"/>
  <c r="P522" i="10"/>
  <c r="X521" i="10"/>
  <c r="W521" i="10"/>
  <c r="AT521" i="10"/>
  <c r="V521" i="10"/>
  <c r="S521" i="10"/>
  <c r="P521" i="10"/>
  <c r="X520" i="10"/>
  <c r="AZ520" i="10"/>
  <c r="T375" i="6"/>
  <c r="V520" i="10"/>
  <c r="S520" i="10"/>
  <c r="P520" i="10"/>
  <c r="X519" i="10"/>
  <c r="AZ519" i="10"/>
  <c r="W519" i="10"/>
  <c r="S374" i="6"/>
  <c r="V519" i="10"/>
  <c r="S519" i="10"/>
  <c r="P519" i="10"/>
  <c r="X518" i="10"/>
  <c r="W518" i="10"/>
  <c r="S373" i="6"/>
  <c r="V518" i="10"/>
  <c r="S518" i="10"/>
  <c r="P518" i="10"/>
  <c r="AN515" i="10"/>
  <c r="AO515" i="10"/>
  <c r="AH515" i="10"/>
  <c r="AI515" i="10"/>
  <c r="U515" i="10"/>
  <c r="T515" i="10"/>
  <c r="R515" i="10"/>
  <c r="Q515" i="10"/>
  <c r="O515" i="10"/>
  <c r="X514" i="10"/>
  <c r="AZ514" i="10"/>
  <c r="W514" i="10"/>
  <c r="V514" i="10"/>
  <c r="S514" i="10"/>
  <c r="P514" i="10"/>
  <c r="X513" i="10"/>
  <c r="AZ513" i="10"/>
  <c r="T369" i="6"/>
  <c r="W513" i="10"/>
  <c r="V513" i="10"/>
  <c r="S513" i="10"/>
  <c r="P513" i="10"/>
  <c r="X512" i="10"/>
  <c r="AZ512" i="10"/>
  <c r="W512" i="10"/>
  <c r="AT512" i="10"/>
  <c r="V512" i="10"/>
  <c r="S512" i="10"/>
  <c r="P512" i="10"/>
  <c r="X511" i="10"/>
  <c r="T367" i="6"/>
  <c r="W511" i="10"/>
  <c r="V511" i="10"/>
  <c r="S511" i="10"/>
  <c r="P511" i="10"/>
  <c r="U508" i="10"/>
  <c r="T508" i="10"/>
  <c r="R508" i="10"/>
  <c r="Q508" i="10"/>
  <c r="O508" i="10"/>
  <c r="X507" i="10"/>
  <c r="W507" i="10"/>
  <c r="AT507" i="10"/>
  <c r="V507" i="10"/>
  <c r="S507" i="10"/>
  <c r="P507" i="10"/>
  <c r="X506" i="10"/>
  <c r="T363" i="6"/>
  <c r="AT506" i="10"/>
  <c r="V506" i="10"/>
  <c r="S506" i="10"/>
  <c r="P506" i="10"/>
  <c r="AZ505" i="10"/>
  <c r="W505" i="10"/>
  <c r="S362" i="6"/>
  <c r="V505" i="10"/>
  <c r="S505" i="10"/>
  <c r="P505" i="10"/>
  <c r="X504" i="10"/>
  <c r="W504" i="10"/>
  <c r="S361" i="6"/>
  <c r="V504" i="10"/>
  <c r="S504" i="10"/>
  <c r="P504" i="10"/>
  <c r="AM493" i="10"/>
  <c r="AM497" i="10"/>
  <c r="AM499" i="10"/>
  <c r="AY497" i="10"/>
  <c r="AX497" i="10"/>
  <c r="AW497" i="10"/>
  <c r="AL497" i="10"/>
  <c r="AK497" i="10"/>
  <c r="AN497" i="10"/>
  <c r="AG497" i="10"/>
  <c r="AF497" i="10"/>
  <c r="AE497" i="10"/>
  <c r="O497" i="10"/>
  <c r="R497" i="10"/>
  <c r="U497" i="10"/>
  <c r="X497" i="10"/>
  <c r="T497" i="10"/>
  <c r="Q497" i="10"/>
  <c r="N497" i="10"/>
  <c r="P497" i="10"/>
  <c r="AY496" i="10"/>
  <c r="AX496" i="10"/>
  <c r="AW496" i="10"/>
  <c r="AM496" i="10"/>
  <c r="AL496" i="10"/>
  <c r="AK496" i="10"/>
  <c r="AG496" i="10"/>
  <c r="AF496" i="10"/>
  <c r="AE496" i="10"/>
  <c r="AH496" i="10"/>
  <c r="U496" i="10"/>
  <c r="O496" i="10"/>
  <c r="R496" i="10"/>
  <c r="X496" i="10"/>
  <c r="T496" i="10"/>
  <c r="Q496" i="10"/>
  <c r="N496" i="10"/>
  <c r="P496" i="10"/>
  <c r="AW495" i="10"/>
  <c r="AX495" i="10"/>
  <c r="AY495" i="10"/>
  <c r="AZ495" i="10"/>
  <c r="AY494" i="10"/>
  <c r="AY500" i="10"/>
  <c r="AM495" i="10"/>
  <c r="AL495" i="10"/>
  <c r="AK495" i="10"/>
  <c r="AG495" i="10"/>
  <c r="AF495" i="10"/>
  <c r="AE495" i="10"/>
  <c r="U495" i="10"/>
  <c r="T495" i="10"/>
  <c r="R495" i="10"/>
  <c r="Q495" i="10"/>
  <c r="O495" i="10"/>
  <c r="N495" i="10"/>
  <c r="AX494" i="10"/>
  <c r="AW494" i="10"/>
  <c r="AM494" i="10"/>
  <c r="AL494" i="10"/>
  <c r="AK494" i="10"/>
  <c r="AG494" i="10"/>
  <c r="AG500" i="10"/>
  <c r="AF494" i="10"/>
  <c r="AE494" i="10"/>
  <c r="U494" i="10"/>
  <c r="T494" i="10"/>
  <c r="R494" i="10"/>
  <c r="Q494" i="10"/>
  <c r="N494" i="10"/>
  <c r="O494" i="10"/>
  <c r="P494" i="10"/>
  <c r="O500" i="10"/>
  <c r="AY493" i="10"/>
  <c r="AY499" i="10"/>
  <c r="AX493" i="10"/>
  <c r="AX499" i="10"/>
  <c r="AW493" i="10"/>
  <c r="AL493" i="10"/>
  <c r="AL499" i="10"/>
  <c r="AK493" i="10"/>
  <c r="AG493" i="10"/>
  <c r="AG499" i="10"/>
  <c r="AF493" i="10"/>
  <c r="AF499" i="10"/>
  <c r="AE493" i="10"/>
  <c r="AE499" i="10"/>
  <c r="U493" i="10"/>
  <c r="U499" i="10"/>
  <c r="O493" i="10"/>
  <c r="O499" i="10"/>
  <c r="R493" i="10"/>
  <c r="R499" i="10"/>
  <c r="X499" i="10"/>
  <c r="T493" i="10"/>
  <c r="Q493" i="10"/>
  <c r="Q499" i="10"/>
  <c r="S499" i="10"/>
  <c r="N493" i="10"/>
  <c r="P493" i="10"/>
  <c r="N499" i="10"/>
  <c r="O490" i="10"/>
  <c r="R490" i="10"/>
  <c r="U490" i="10"/>
  <c r="X490" i="10"/>
  <c r="T353" i="6"/>
  <c r="U353" i="6" s="1"/>
  <c r="T490" i="10"/>
  <c r="Q490" i="10"/>
  <c r="N490" i="10"/>
  <c r="P490" i="10"/>
  <c r="T174" i="10"/>
  <c r="T489" i="10"/>
  <c r="V486" i="10"/>
  <c r="S486" i="10"/>
  <c r="P486" i="10"/>
  <c r="Y485" i="10"/>
  <c r="Y484" i="10"/>
  <c r="Y483" i="10"/>
  <c r="Y486" i="10"/>
  <c r="Z485" i="10"/>
  <c r="U480" i="10"/>
  <c r="T480" i="10"/>
  <c r="T443" i="10"/>
  <c r="T481" i="10"/>
  <c r="R480" i="10"/>
  <c r="Q480" i="10"/>
  <c r="O480" i="10"/>
  <c r="N480" i="10"/>
  <c r="N443" i="10"/>
  <c r="N481" i="10"/>
  <c r="X479" i="10"/>
  <c r="AZ479" i="10"/>
  <c r="W479" i="10"/>
  <c r="V479" i="10"/>
  <c r="S479" i="10"/>
  <c r="P479" i="10"/>
  <c r="X478" i="10"/>
  <c r="T349" i="6"/>
  <c r="W478" i="10"/>
  <c r="S349" i="6"/>
  <c r="V478" i="10"/>
  <c r="S478" i="10"/>
  <c r="P478" i="10"/>
  <c r="X477" i="10"/>
  <c r="T348" i="6"/>
  <c r="W477" i="10"/>
  <c r="V477" i="10"/>
  <c r="S477" i="10"/>
  <c r="P477" i="10"/>
  <c r="AZ476" i="10"/>
  <c r="W476" i="10"/>
  <c r="V476" i="10"/>
  <c r="S476" i="10"/>
  <c r="P476" i="10"/>
  <c r="W475" i="10"/>
  <c r="AT475" i="10"/>
  <c r="X475" i="10"/>
  <c r="AZ475" i="10"/>
  <c r="V475" i="10"/>
  <c r="S475" i="10"/>
  <c r="P475" i="10"/>
  <c r="AZ474" i="10"/>
  <c r="W474" i="10"/>
  <c r="AT474" i="10"/>
  <c r="V474" i="10"/>
  <c r="S474" i="10"/>
  <c r="P474" i="10"/>
  <c r="X473" i="10"/>
  <c r="AZ473" i="10"/>
  <c r="W473" i="10"/>
  <c r="S344" i="6"/>
  <c r="V473" i="10"/>
  <c r="S473" i="10"/>
  <c r="P473" i="10"/>
  <c r="X472" i="10"/>
  <c r="AT472" i="10"/>
  <c r="V472" i="10"/>
  <c r="S472" i="10"/>
  <c r="P472" i="10"/>
  <c r="U469" i="10"/>
  <c r="T469" i="10"/>
  <c r="R469" i="10"/>
  <c r="Q469" i="10"/>
  <c r="O469" i="10"/>
  <c r="N469" i="10"/>
  <c r="N470" i="10"/>
  <c r="W468" i="10"/>
  <c r="V468" i="10"/>
  <c r="S468" i="10"/>
  <c r="P468" i="10"/>
  <c r="AC467" i="10"/>
  <c r="X467" i="10"/>
  <c r="AY467" i="10"/>
  <c r="T339" i="6"/>
  <c r="BL339" i="6" s="1"/>
  <c r="W467" i="10"/>
  <c r="AS467" i="10"/>
  <c r="S339" i="6"/>
  <c r="BD339" i="6" s="1"/>
  <c r="AB466" i="10"/>
  <c r="X466" i="10"/>
  <c r="AX466" i="10"/>
  <c r="T338" i="6"/>
  <c r="W466" i="10"/>
  <c r="AR466" i="10"/>
  <c r="S338" i="6"/>
  <c r="AA465" i="10"/>
  <c r="X465" i="10"/>
  <c r="AW465" i="10"/>
  <c r="T337" i="6"/>
  <c r="BL337" i="6" s="1"/>
  <c r="W465" i="10"/>
  <c r="AQ465" i="10"/>
  <c r="S337" i="6"/>
  <c r="BD337" i="6" s="1"/>
  <c r="X464" i="10"/>
  <c r="AZ464" i="10"/>
  <c r="T336" i="6"/>
  <c r="W464" i="10"/>
  <c r="AT464" i="10"/>
  <c r="S336" i="6"/>
  <c r="V464" i="10"/>
  <c r="S464" i="10"/>
  <c r="P464" i="10"/>
  <c r="X463" i="10"/>
  <c r="W463" i="10"/>
  <c r="AT463" i="10"/>
  <c r="S335" i="6"/>
  <c r="V463" i="10"/>
  <c r="S463" i="10"/>
  <c r="S469" i="10"/>
  <c r="P463" i="10"/>
  <c r="V457" i="10"/>
  <c r="V458" i="10"/>
  <c r="V459" i="10"/>
  <c r="V460" i="10"/>
  <c r="U460" i="10"/>
  <c r="U443" i="10"/>
  <c r="U461" i="10"/>
  <c r="T460" i="10"/>
  <c r="R460" i="10"/>
  <c r="Q460" i="10"/>
  <c r="Q443" i="10"/>
  <c r="Q461" i="10"/>
  <c r="O460" i="10"/>
  <c r="N460" i="10"/>
  <c r="W459" i="10"/>
  <c r="AT459" i="10"/>
  <c r="X459" i="10"/>
  <c r="T332" i="6"/>
  <c r="S459" i="10"/>
  <c r="P459" i="10"/>
  <c r="X458" i="10"/>
  <c r="AT458" i="10"/>
  <c r="S458" i="10"/>
  <c r="P458" i="10"/>
  <c r="X457" i="10"/>
  <c r="T330" i="6"/>
  <c r="W457" i="10"/>
  <c r="S457" i="10"/>
  <c r="P457" i="10"/>
  <c r="X453" i="10"/>
  <c r="AZ453" i="10"/>
  <c r="W453" i="10"/>
  <c r="V453" i="10"/>
  <c r="S453" i="10"/>
  <c r="P453" i="10"/>
  <c r="U449" i="10"/>
  <c r="U454" i="10"/>
  <c r="U455" i="10"/>
  <c r="T449" i="10"/>
  <c r="R449" i="10"/>
  <c r="O449" i="10"/>
  <c r="X449" i="10"/>
  <c r="AZ449" i="10"/>
  <c r="Q449" i="10"/>
  <c r="O454" i="10"/>
  <c r="N449" i="10"/>
  <c r="AZ448" i="10"/>
  <c r="W448" i="10"/>
  <c r="S326" i="6"/>
  <c r="V448" i="10"/>
  <c r="S448" i="10"/>
  <c r="P448" i="10"/>
  <c r="W447" i="10"/>
  <c r="X447" i="10"/>
  <c r="Y447" i="10"/>
  <c r="T325" i="6"/>
  <c r="AT447" i="10"/>
  <c r="V447" i="10"/>
  <c r="S447" i="10"/>
  <c r="P447" i="10"/>
  <c r="X446" i="10"/>
  <c r="AZ446" i="10"/>
  <c r="W446" i="10"/>
  <c r="V446" i="10"/>
  <c r="S446" i="10"/>
  <c r="P446" i="10"/>
  <c r="X445" i="10"/>
  <c r="T323" i="6"/>
  <c r="W445" i="10"/>
  <c r="S323" i="6"/>
  <c r="S328" i="6" s="1"/>
  <c r="V445" i="10"/>
  <c r="S445" i="10"/>
  <c r="P445" i="10"/>
  <c r="X404" i="10"/>
  <c r="X405" i="10"/>
  <c r="X443" i="10"/>
  <c r="R443" i="10"/>
  <c r="O443" i="10"/>
  <c r="U441" i="10"/>
  <c r="U442" i="10"/>
  <c r="T441" i="10"/>
  <c r="T442" i="10"/>
  <c r="R441" i="10"/>
  <c r="R442" i="10"/>
  <c r="Q441" i="10"/>
  <c r="Q442" i="10"/>
  <c r="O441" i="10"/>
  <c r="O442" i="10"/>
  <c r="N441" i="10"/>
  <c r="N442" i="10"/>
  <c r="X440" i="10"/>
  <c r="W440" i="10"/>
  <c r="Y440" i="10"/>
  <c r="V440" i="10"/>
  <c r="S440" i="10"/>
  <c r="P440" i="10"/>
  <c r="X439" i="10"/>
  <c r="AZ439" i="10"/>
  <c r="T318" i="6"/>
  <c r="V439" i="10"/>
  <c r="S439" i="10"/>
  <c r="P439" i="10"/>
  <c r="W438" i="10"/>
  <c r="AT438" i="10"/>
  <c r="X438" i="10"/>
  <c r="AZ438" i="10"/>
  <c r="S317" i="6"/>
  <c r="V438" i="10"/>
  <c r="S438" i="10"/>
  <c r="P438" i="10"/>
  <c r="X437" i="10"/>
  <c r="W437" i="10"/>
  <c r="S316" i="6"/>
  <c r="V437" i="10"/>
  <c r="S437" i="10"/>
  <c r="P437" i="10"/>
  <c r="AZ436" i="10"/>
  <c r="W436" i="10"/>
  <c r="V436" i="10"/>
  <c r="S436" i="10"/>
  <c r="P436" i="10"/>
  <c r="X435" i="10"/>
  <c r="AZ435" i="10"/>
  <c r="W435" i="10"/>
  <c r="Y435" i="10"/>
  <c r="AT435" i="10"/>
  <c r="V435" i="10"/>
  <c r="S435" i="10"/>
  <c r="P435" i="10"/>
  <c r="X434" i="10"/>
  <c r="AZ434" i="10"/>
  <c r="W434" i="10"/>
  <c r="S313" i="6"/>
  <c r="V434" i="10"/>
  <c r="S434" i="10"/>
  <c r="P434" i="10"/>
  <c r="X433" i="10"/>
  <c r="AZ433" i="10"/>
  <c r="W433" i="10"/>
  <c r="S312" i="6"/>
  <c r="V433" i="10"/>
  <c r="S433" i="10"/>
  <c r="P433" i="10"/>
  <c r="U430" i="10"/>
  <c r="U431" i="10"/>
  <c r="T430" i="10"/>
  <c r="T431" i="10"/>
  <c r="R430" i="10"/>
  <c r="R431" i="10"/>
  <c r="Q430" i="10"/>
  <c r="Q431" i="10"/>
  <c r="O430" i="10"/>
  <c r="O431" i="10"/>
  <c r="N430" i="10"/>
  <c r="N431" i="10"/>
  <c r="X429" i="10"/>
  <c r="W429" i="10"/>
  <c r="AT429" i="10"/>
  <c r="S309" i="6"/>
  <c r="V429" i="10"/>
  <c r="S429" i="10"/>
  <c r="P429" i="10"/>
  <c r="AC428" i="10"/>
  <c r="X428" i="10"/>
  <c r="AY428" i="10"/>
  <c r="T308" i="6"/>
  <c r="BL308" i="6" s="1"/>
  <c r="W428" i="10"/>
  <c r="AS428" i="10"/>
  <c r="S308" i="6"/>
  <c r="BD308" i="6" s="1"/>
  <c r="AB427" i="10"/>
  <c r="X427" i="10"/>
  <c r="AX427" i="10"/>
  <c r="T307" i="6"/>
  <c r="W427" i="10"/>
  <c r="AR427" i="10"/>
  <c r="S307" i="6"/>
  <c r="AA426" i="10"/>
  <c r="X426" i="10"/>
  <c r="AW426" i="10"/>
  <c r="T306" i="6"/>
  <c r="BL306" i="6" s="1"/>
  <c r="W426" i="10"/>
  <c r="AQ426" i="10"/>
  <c r="S306" i="6"/>
  <c r="BD306" i="6" s="1"/>
  <c r="W425" i="10"/>
  <c r="V425" i="10"/>
  <c r="S425" i="10"/>
  <c r="P425" i="10"/>
  <c r="X424" i="10"/>
  <c r="AZ424" i="10"/>
  <c r="T304" i="6"/>
  <c r="W424" i="10"/>
  <c r="V424" i="10"/>
  <c r="S424" i="10"/>
  <c r="P424" i="10"/>
  <c r="U416" i="10"/>
  <c r="U421" i="10"/>
  <c r="N416" i="10"/>
  <c r="N421" i="10"/>
  <c r="V416" i="10"/>
  <c r="T416" i="10"/>
  <c r="S416" i="10"/>
  <c r="R416" i="10"/>
  <c r="R421" i="10"/>
  <c r="Q416" i="10"/>
  <c r="Q421" i="10"/>
  <c r="Q409" i="10"/>
  <c r="Q422" i="10"/>
  <c r="P416" i="10"/>
  <c r="O416" i="10"/>
  <c r="X415" i="10"/>
  <c r="AZ415" i="10"/>
  <c r="W415" i="10"/>
  <c r="AT415" i="10"/>
  <c r="V415" i="10"/>
  <c r="S415" i="10"/>
  <c r="P415" i="10"/>
  <c r="X414" i="10"/>
  <c r="AZ414" i="10"/>
  <c r="W414" i="10"/>
  <c r="V414" i="10"/>
  <c r="S414" i="10"/>
  <c r="P414" i="10"/>
  <c r="X413" i="10"/>
  <c r="AZ413" i="10"/>
  <c r="T298" i="6"/>
  <c r="W413" i="10"/>
  <c r="Y413" i="10"/>
  <c r="V413" i="10"/>
  <c r="S413" i="10"/>
  <c r="P413" i="10"/>
  <c r="X412" i="10"/>
  <c r="T297" i="6"/>
  <c r="W412" i="10"/>
  <c r="V412" i="10"/>
  <c r="V411" i="10"/>
  <c r="V421" i="10"/>
  <c r="S412" i="10"/>
  <c r="P412" i="10"/>
  <c r="X411" i="10"/>
  <c r="W411" i="10"/>
  <c r="AT411" i="10"/>
  <c r="S411" i="10"/>
  <c r="P411" i="10"/>
  <c r="U409" i="10"/>
  <c r="T409" i="10"/>
  <c r="R409" i="10"/>
  <c r="O409" i="10"/>
  <c r="N409" i="10"/>
  <c r="U407" i="10"/>
  <c r="T407" i="10"/>
  <c r="R407" i="10"/>
  <c r="Q407" i="10"/>
  <c r="O407" i="10"/>
  <c r="N407" i="10"/>
  <c r="X406" i="10"/>
  <c r="AZ406" i="10"/>
  <c r="W406" i="10"/>
  <c r="AT406" i="10"/>
  <c r="V406" i="10"/>
  <c r="S406" i="10"/>
  <c r="P406" i="10"/>
  <c r="AZ405" i="10"/>
  <c r="T289" i="6"/>
  <c r="W405" i="10"/>
  <c r="V405" i="10"/>
  <c r="S405" i="10"/>
  <c r="P405" i="10"/>
  <c r="AZ404" i="10"/>
  <c r="W404" i="10"/>
  <c r="Y404" i="10"/>
  <c r="T288" i="6"/>
  <c r="V404" i="10"/>
  <c r="S404" i="10"/>
  <c r="P404" i="10"/>
  <c r="X403" i="10"/>
  <c r="T287" i="6"/>
  <c r="W403" i="10"/>
  <c r="S287" i="6"/>
  <c r="U287" i="6" s="1"/>
  <c r="V403" i="10"/>
  <c r="S403" i="10"/>
  <c r="P403" i="10"/>
  <c r="X402" i="10"/>
  <c r="AZ402" i="10"/>
  <c r="T286" i="6"/>
  <c r="W402" i="10"/>
  <c r="S286" i="6"/>
  <c r="S291" i="6" s="1"/>
  <c r="V402" i="10"/>
  <c r="V407" i="10"/>
  <c r="S402" i="10"/>
  <c r="P402" i="10"/>
  <c r="T395" i="10"/>
  <c r="T400" i="10"/>
  <c r="Q395" i="10"/>
  <c r="Q400" i="10"/>
  <c r="U395" i="10"/>
  <c r="U400" i="10"/>
  <c r="V395" i="10"/>
  <c r="R395" i="10"/>
  <c r="S395" i="10"/>
  <c r="R400" i="10"/>
  <c r="O395" i="10"/>
  <c r="N395" i="10"/>
  <c r="X394" i="10"/>
  <c r="AZ394" i="10"/>
  <c r="W394" i="10"/>
  <c r="V394" i="10"/>
  <c r="S394" i="10"/>
  <c r="P394" i="10"/>
  <c r="X393" i="10"/>
  <c r="W393" i="10"/>
  <c r="S277" i="6"/>
  <c r="V393" i="10"/>
  <c r="S393" i="10"/>
  <c r="P393" i="10"/>
  <c r="W392" i="10"/>
  <c r="Y392" i="10"/>
  <c r="AZ392" i="10"/>
  <c r="V392" i="10"/>
  <c r="S392" i="10"/>
  <c r="P392" i="10"/>
  <c r="W391" i="10"/>
  <c r="AT391" i="10"/>
  <c r="X391" i="10"/>
  <c r="Y391" i="10"/>
  <c r="AZ391" i="10"/>
  <c r="S275" i="6"/>
  <c r="V391" i="10"/>
  <c r="S391" i="10"/>
  <c r="P391" i="10"/>
  <c r="X390" i="10"/>
  <c r="AZ390" i="10"/>
  <c r="W390" i="10"/>
  <c r="S274" i="6"/>
  <c r="V390" i="10"/>
  <c r="S390" i="10"/>
  <c r="P390" i="10"/>
  <c r="W389" i="10"/>
  <c r="Y389" i="10"/>
  <c r="AZ389" i="10"/>
  <c r="AT389" i="10"/>
  <c r="V389" i="10"/>
  <c r="S389" i="10"/>
  <c r="P389" i="10"/>
  <c r="X388" i="10"/>
  <c r="AZ388" i="10"/>
  <c r="W388" i="10"/>
  <c r="V388" i="10"/>
  <c r="S388" i="10"/>
  <c r="P388" i="10"/>
  <c r="X387" i="10"/>
  <c r="AZ387" i="10"/>
  <c r="T271" i="6"/>
  <c r="V387" i="10"/>
  <c r="S387" i="10"/>
  <c r="P387" i="10"/>
  <c r="X386" i="10"/>
  <c r="AZ386" i="10"/>
  <c r="W386" i="10"/>
  <c r="V386" i="10"/>
  <c r="S386" i="10"/>
  <c r="P386" i="10"/>
  <c r="X385" i="10"/>
  <c r="W385" i="10"/>
  <c r="S269" i="6"/>
  <c r="V385" i="10"/>
  <c r="S385" i="10"/>
  <c r="P385" i="10"/>
  <c r="W384" i="10"/>
  <c r="Y384" i="10"/>
  <c r="AZ384" i="10"/>
  <c r="V384" i="10"/>
  <c r="S384" i="10"/>
  <c r="P384" i="10"/>
  <c r="W383" i="10"/>
  <c r="AT383" i="10"/>
  <c r="X383" i="10"/>
  <c r="AZ383" i="10"/>
  <c r="S267" i="6"/>
  <c r="U267" i="6" s="1"/>
  <c r="V383" i="10"/>
  <c r="S383" i="10"/>
  <c r="P383" i="10"/>
  <c r="X382" i="10"/>
  <c r="AZ382" i="10"/>
  <c r="W382" i="10"/>
  <c r="S266" i="6"/>
  <c r="V382" i="10"/>
  <c r="S382" i="10"/>
  <c r="P382" i="10"/>
  <c r="U379" i="10"/>
  <c r="T379" i="10"/>
  <c r="R379" i="10"/>
  <c r="Q379" i="10"/>
  <c r="O379" i="10"/>
  <c r="N379" i="10"/>
  <c r="X378" i="10"/>
  <c r="T264" i="6"/>
  <c r="W378" i="10"/>
  <c r="AT378" i="10"/>
  <c r="V378" i="10"/>
  <c r="S378" i="10"/>
  <c r="P378" i="10"/>
  <c r="X377" i="10"/>
  <c r="AZ377" i="10"/>
  <c r="T263" i="6"/>
  <c r="W377" i="10"/>
  <c r="V377" i="10"/>
  <c r="S377" i="10"/>
  <c r="P377" i="10"/>
  <c r="AT376" i="10"/>
  <c r="X376" i="10"/>
  <c r="AZ376" i="10"/>
  <c r="V376" i="10"/>
  <c r="S376" i="10"/>
  <c r="P376" i="10"/>
  <c r="L370" i="10"/>
  <c r="L371" i="10"/>
  <c r="K370" i="10"/>
  <c r="K371" i="10"/>
  <c r="J370" i="10"/>
  <c r="J371" i="10"/>
  <c r="AN369" i="10"/>
  <c r="AH369" i="10"/>
  <c r="AN368" i="10"/>
  <c r="AH368" i="10"/>
  <c r="Y368" i="10"/>
  <c r="AM367" i="10"/>
  <c r="AG367" i="10"/>
  <c r="X367" i="10"/>
  <c r="W367" i="10"/>
  <c r="AS367" i="10"/>
  <c r="S252" i="6"/>
  <c r="AX366" i="10"/>
  <c r="T251" i="6"/>
  <c r="W366" i="10"/>
  <c r="AR366" i="10"/>
  <c r="S251" i="6"/>
  <c r="AL366" i="10"/>
  <c r="AF366" i="10"/>
  <c r="X366" i="10"/>
  <c r="AW365" i="10"/>
  <c r="T250" i="6"/>
  <c r="AK365" i="10"/>
  <c r="AE365" i="10"/>
  <c r="X365" i="10"/>
  <c r="W365" i="10"/>
  <c r="AQ365" i="10"/>
  <c r="S250" i="6"/>
  <c r="AN364" i="10"/>
  <c r="AH364" i="10"/>
  <c r="AN363" i="10"/>
  <c r="AN370" i="10"/>
  <c r="AH363" i="10"/>
  <c r="AH370" i="10"/>
  <c r="AI363" i="10"/>
  <c r="W370" i="10"/>
  <c r="M370" i="10"/>
  <c r="L360" i="10"/>
  <c r="K360" i="10"/>
  <c r="J360" i="10"/>
  <c r="AN359" i="10"/>
  <c r="AH359" i="10"/>
  <c r="AT359" i="10"/>
  <c r="M359" i="10"/>
  <c r="AN358" i="10"/>
  <c r="AH358" i="10"/>
  <c r="M358" i="10"/>
  <c r="AN357" i="10"/>
  <c r="AH357" i="10"/>
  <c r="AH360" i="10"/>
  <c r="AI359" i="10"/>
  <c r="X357" i="10"/>
  <c r="T243" i="6"/>
  <c r="W357" i="10"/>
  <c r="S243" i="6"/>
  <c r="U243" i="6" s="1"/>
  <c r="M357" i="10"/>
  <c r="W354" i="10"/>
  <c r="L354" i="10"/>
  <c r="K354" i="10"/>
  <c r="J354" i="10"/>
  <c r="AZ353" i="10"/>
  <c r="AN353" i="10"/>
  <c r="AH353" i="10"/>
  <c r="M353" i="10"/>
  <c r="AN352" i="10"/>
  <c r="AH352" i="10"/>
  <c r="AZ352" i="10"/>
  <c r="M352" i="10"/>
  <c r="AN351" i="10"/>
  <c r="AH351" i="10"/>
  <c r="Y351" i="10"/>
  <c r="AZ351" i="10"/>
  <c r="M351" i="10"/>
  <c r="AZ350" i="10"/>
  <c r="AN350" i="10"/>
  <c r="AH350" i="10"/>
  <c r="AT350" i="10"/>
  <c r="M350" i="10"/>
  <c r="AN349" i="10"/>
  <c r="AH349" i="10"/>
  <c r="M349" i="10"/>
  <c r="AN348" i="10"/>
  <c r="AH348" i="10"/>
  <c r="AZ348" i="10"/>
  <c r="AT348" i="10"/>
  <c r="M348" i="10"/>
  <c r="AZ347" i="10"/>
  <c r="AN347" i="10"/>
  <c r="AH347" i="10"/>
  <c r="Y347" i="10"/>
  <c r="M347" i="10"/>
  <c r="AN346" i="10"/>
  <c r="AH346" i="10"/>
  <c r="M346" i="10"/>
  <c r="L343" i="10"/>
  <c r="K343" i="10"/>
  <c r="K344" i="10"/>
  <c r="J343" i="10"/>
  <c r="AN342" i="10"/>
  <c r="AH342" i="10"/>
  <c r="W342" i="10"/>
  <c r="X342" i="10"/>
  <c r="Y342" i="10"/>
  <c r="AZ342" i="10"/>
  <c r="T230" i="6"/>
  <c r="AT342" i="10"/>
  <c r="S230" i="6"/>
  <c r="U230" i="6" s="1"/>
  <c r="AN341" i="10"/>
  <c r="AH341" i="10"/>
  <c r="X341" i="10"/>
  <c r="AZ341" i="10"/>
  <c r="T229" i="6"/>
  <c r="W341" i="10"/>
  <c r="AY340" i="10"/>
  <c r="T228" i="6"/>
  <c r="AM340" i="10"/>
  <c r="AG340" i="10"/>
  <c r="X340" i="10"/>
  <c r="W340" i="10"/>
  <c r="AS340" i="10"/>
  <c r="S228" i="6"/>
  <c r="AL339" i="10"/>
  <c r="AF339" i="10"/>
  <c r="X339" i="10"/>
  <c r="W339" i="10"/>
  <c r="AR339" i="10"/>
  <c r="S227" i="6"/>
  <c r="AW338" i="10"/>
  <c r="T226" i="6"/>
  <c r="AK338" i="10"/>
  <c r="AE338" i="10"/>
  <c r="X338" i="10"/>
  <c r="W338" i="10"/>
  <c r="AQ338" i="10"/>
  <c r="S226" i="6"/>
  <c r="AN337" i="10"/>
  <c r="AH337" i="10"/>
  <c r="X337" i="10"/>
  <c r="AZ337" i="10"/>
  <c r="T225" i="6"/>
  <c r="W337" i="10"/>
  <c r="AN336" i="10"/>
  <c r="AN343" i="10"/>
  <c r="AO341" i="10"/>
  <c r="AH336" i="10"/>
  <c r="W336" i="10"/>
  <c r="X336" i="10"/>
  <c r="Y336" i="10"/>
  <c r="AZ336" i="10"/>
  <c r="T224" i="6"/>
  <c r="L333" i="10"/>
  <c r="K333" i="10"/>
  <c r="J333" i="10"/>
  <c r="J334" i="10"/>
  <c r="AN332" i="10"/>
  <c r="AH332" i="10"/>
  <c r="W332" i="10"/>
  <c r="X332" i="10"/>
  <c r="Y332" i="10"/>
  <c r="AZ332" i="10"/>
  <c r="T221" i="6"/>
  <c r="AT332" i="10"/>
  <c r="S221" i="6"/>
  <c r="U221" i="6" s="1"/>
  <c r="X331" i="10"/>
  <c r="AZ331" i="10"/>
  <c r="T220" i="6"/>
  <c r="AN331" i="10"/>
  <c r="AH331" i="10"/>
  <c r="W331" i="10"/>
  <c r="AY330" i="10"/>
  <c r="T219" i="6"/>
  <c r="AM330" i="10"/>
  <c r="AG330" i="10"/>
  <c r="X330" i="10"/>
  <c r="W330" i="10"/>
  <c r="AS330" i="10"/>
  <c r="S219" i="6"/>
  <c r="AX329" i="10"/>
  <c r="T218" i="6"/>
  <c r="W329" i="10"/>
  <c r="AR329" i="10"/>
  <c r="S218" i="6"/>
  <c r="AL329" i="10"/>
  <c r="AF329" i="10"/>
  <c r="X329" i="10"/>
  <c r="AW328" i="10"/>
  <c r="T217" i="6"/>
  <c r="W328" i="10"/>
  <c r="AQ328" i="10"/>
  <c r="S217" i="6"/>
  <c r="AK328" i="10"/>
  <c r="AE328" i="10"/>
  <c r="X328" i="10"/>
  <c r="AN327" i="10"/>
  <c r="AH327" i="10"/>
  <c r="X327" i="10"/>
  <c r="AZ327" i="10"/>
  <c r="W327" i="10"/>
  <c r="X326" i="10"/>
  <c r="AZ326" i="10"/>
  <c r="T215" i="6"/>
  <c r="AN326" i="10"/>
  <c r="AN333" i="10"/>
  <c r="AO326" i="10"/>
  <c r="AH326" i="10"/>
  <c r="W326" i="10"/>
  <c r="M333" i="10"/>
  <c r="L323" i="10"/>
  <c r="K323" i="10"/>
  <c r="J323" i="10"/>
  <c r="AN322" i="10"/>
  <c r="AH322" i="10"/>
  <c r="Y322" i="10"/>
  <c r="AN321" i="10"/>
  <c r="AH321" i="10"/>
  <c r="AM320" i="10"/>
  <c r="AG320" i="10"/>
  <c r="X320" i="10"/>
  <c r="AS320" i="10"/>
  <c r="S210" i="6"/>
  <c r="AX319" i="10"/>
  <c r="T209" i="6"/>
  <c r="AR319" i="10"/>
  <c r="S209" i="6"/>
  <c r="AL319" i="10"/>
  <c r="AF319" i="10"/>
  <c r="X319" i="10"/>
  <c r="AW318" i="10"/>
  <c r="T208" i="6"/>
  <c r="AQ318" i="10"/>
  <c r="S208" i="6"/>
  <c r="AK318" i="10"/>
  <c r="AE318" i="10"/>
  <c r="X318" i="10"/>
  <c r="AN317" i="10"/>
  <c r="AH317" i="10"/>
  <c r="AN316" i="10"/>
  <c r="AH316" i="10"/>
  <c r="AH323" i="10"/>
  <c r="M323" i="10"/>
  <c r="L244" i="10"/>
  <c r="L245" i="10"/>
  <c r="K244" i="10"/>
  <c r="J244" i="10"/>
  <c r="AN243" i="10"/>
  <c r="AH243" i="10"/>
  <c r="M243" i="10"/>
  <c r="AN242" i="10"/>
  <c r="AH242" i="10"/>
  <c r="M242" i="10"/>
  <c r="AN241" i="10"/>
  <c r="AH241" i="10"/>
  <c r="AZ241" i="10"/>
  <c r="M241" i="10"/>
  <c r="AN240" i="10"/>
  <c r="AH240" i="10"/>
  <c r="AT240" i="10"/>
  <c r="M240" i="10"/>
  <c r="AN239" i="10"/>
  <c r="AH239" i="10"/>
  <c r="AZ239" i="10"/>
  <c r="M239" i="10"/>
  <c r="L236" i="10"/>
  <c r="K236" i="10"/>
  <c r="J236" i="10"/>
  <c r="AN235" i="10"/>
  <c r="AH235" i="10"/>
  <c r="AZ235" i="10"/>
  <c r="M235" i="10"/>
  <c r="AN234" i="10"/>
  <c r="AH234" i="10"/>
  <c r="M234" i="10"/>
  <c r="AN233" i="10"/>
  <c r="AH233" i="10"/>
  <c r="M233" i="10"/>
  <c r="AN232" i="10"/>
  <c r="AH232" i="10"/>
  <c r="AZ232" i="10"/>
  <c r="M232" i="10"/>
  <c r="AN231" i="10"/>
  <c r="AH231" i="10"/>
  <c r="AH236" i="10"/>
  <c r="Y231" i="10"/>
  <c r="AZ231" i="10"/>
  <c r="AT231" i="10"/>
  <c r="M231" i="10"/>
  <c r="K229" i="10"/>
  <c r="AN227" i="10"/>
  <c r="X227" i="10"/>
  <c r="AZ227" i="10"/>
  <c r="W227" i="10"/>
  <c r="X226" i="10"/>
  <c r="AZ226" i="10"/>
  <c r="AZ228" i="10"/>
  <c r="AN226" i="10"/>
  <c r="AN228" i="10"/>
  <c r="W226" i="10"/>
  <c r="Y226" i="10"/>
  <c r="AI223" i="10"/>
  <c r="K224" i="10"/>
  <c r="M221" i="10"/>
  <c r="AI220" i="10"/>
  <c r="M220" i="10"/>
  <c r="AO217" i="10"/>
  <c r="AO215" i="10"/>
  <c r="M215" i="10"/>
  <c r="AO214" i="10"/>
  <c r="M214" i="10"/>
  <c r="M217" i="10"/>
  <c r="U210" i="10"/>
  <c r="T210" i="10"/>
  <c r="R210" i="10"/>
  <c r="Q210" i="10"/>
  <c r="O210" i="10"/>
  <c r="N210" i="10"/>
  <c r="N20" i="10"/>
  <c r="N211" i="10"/>
  <c r="AZ209" i="10"/>
  <c r="W209" i="10"/>
  <c r="Y209" i="10"/>
  <c r="V209" i="10"/>
  <c r="S209" i="10"/>
  <c r="P209" i="10"/>
  <c r="X208" i="10"/>
  <c r="AZ208" i="10"/>
  <c r="W208" i="10"/>
  <c r="V208" i="10"/>
  <c r="S208" i="10"/>
  <c r="P208" i="10"/>
  <c r="X207" i="10"/>
  <c r="AZ207" i="10"/>
  <c r="W207" i="10"/>
  <c r="V207" i="10"/>
  <c r="S207" i="10"/>
  <c r="P207" i="10"/>
  <c r="X206" i="10"/>
  <c r="W206" i="10"/>
  <c r="S166" i="6"/>
  <c r="V206" i="10"/>
  <c r="S206" i="10"/>
  <c r="P206" i="10"/>
  <c r="AY190" i="10"/>
  <c r="AX190" i="10"/>
  <c r="AW190" i="10"/>
  <c r="AS190" i="10"/>
  <c r="AR190" i="10"/>
  <c r="AQ190" i="10"/>
  <c r="AC190" i="10"/>
  <c r="AB190" i="10"/>
  <c r="AA190" i="10"/>
  <c r="U187" i="10"/>
  <c r="T187" i="10"/>
  <c r="R187" i="10"/>
  <c r="Q187" i="10"/>
  <c r="O187" i="10"/>
  <c r="N187" i="10"/>
  <c r="X186" i="10"/>
  <c r="AZ186" i="10"/>
  <c r="W186" i="10"/>
  <c r="V186" i="10"/>
  <c r="S186" i="10"/>
  <c r="P186" i="10"/>
  <c r="X185" i="10"/>
  <c r="V185" i="10"/>
  <c r="S185" i="10"/>
  <c r="P185" i="10"/>
  <c r="AZ184" i="10"/>
  <c r="X183" i="10"/>
  <c r="W183" i="10"/>
  <c r="S159" i="6"/>
  <c r="V183" i="10"/>
  <c r="S183" i="10"/>
  <c r="P183" i="10"/>
  <c r="X182" i="10"/>
  <c r="AZ182" i="10"/>
  <c r="W182" i="10"/>
  <c r="S158" i="6"/>
  <c r="V182" i="10"/>
  <c r="S182" i="10"/>
  <c r="P182" i="10"/>
  <c r="X181" i="10"/>
  <c r="AZ181" i="10"/>
  <c r="W181" i="10"/>
  <c r="V181" i="10"/>
  <c r="S181" i="10"/>
  <c r="P181" i="10"/>
  <c r="X180" i="10"/>
  <c r="AZ180" i="10"/>
  <c r="W180" i="10"/>
  <c r="AT180" i="10"/>
  <c r="V180" i="10"/>
  <c r="S180" i="10"/>
  <c r="P180" i="10"/>
  <c r="X179" i="10"/>
  <c r="W179" i="10"/>
  <c r="S155" i="6"/>
  <c r="V179" i="10"/>
  <c r="S179" i="10"/>
  <c r="P179" i="10"/>
  <c r="X178" i="10"/>
  <c r="T154" i="6"/>
  <c r="W178" i="10"/>
  <c r="Y178" i="10"/>
  <c r="V178" i="10"/>
  <c r="S178" i="10"/>
  <c r="P178" i="10"/>
  <c r="U177" i="10"/>
  <c r="T177" i="10"/>
  <c r="R177" i="10"/>
  <c r="Q177" i="10"/>
  <c r="O177" i="10"/>
  <c r="N177" i="10"/>
  <c r="U174" i="10"/>
  <c r="R174" i="10"/>
  <c r="R489" i="10"/>
  <c r="R491" i="10"/>
  <c r="Q174" i="10"/>
  <c r="O174" i="10"/>
  <c r="O489" i="10"/>
  <c r="N174" i="10"/>
  <c r="N489" i="10"/>
  <c r="W173" i="10"/>
  <c r="X173" i="10"/>
  <c r="Y173" i="10"/>
  <c r="V173" i="10"/>
  <c r="S173" i="10"/>
  <c r="P173" i="10"/>
  <c r="X172" i="10"/>
  <c r="AZ172" i="10"/>
  <c r="W172" i="10"/>
  <c r="S149" i="6"/>
  <c r="U149" i="6" s="1"/>
  <c r="V172" i="10"/>
  <c r="S172" i="10"/>
  <c r="P172" i="10"/>
  <c r="W171" i="10"/>
  <c r="AT171" i="10"/>
  <c r="X171" i="10"/>
  <c r="S148" i="6"/>
  <c r="V171" i="10"/>
  <c r="S171" i="10"/>
  <c r="P171" i="10"/>
  <c r="X170" i="10"/>
  <c r="W170" i="10"/>
  <c r="V170" i="10"/>
  <c r="S170" i="10"/>
  <c r="P170" i="10"/>
  <c r="AZ169" i="10"/>
  <c r="W169" i="10"/>
  <c r="V169" i="10"/>
  <c r="S169" i="10"/>
  <c r="P169" i="10"/>
  <c r="AH164" i="10"/>
  <c r="AH165" i="10"/>
  <c r="AH166" i="10"/>
  <c r="AI165" i="10"/>
  <c r="L166" i="10"/>
  <c r="K166" i="10"/>
  <c r="J166" i="10"/>
  <c r="J167" i="10"/>
  <c r="AN165" i="10"/>
  <c r="X165" i="10"/>
  <c r="AZ165" i="10"/>
  <c r="W165" i="10"/>
  <c r="M165" i="10"/>
  <c r="M164" i="10"/>
  <c r="M166" i="10"/>
  <c r="AN164" i="10"/>
  <c r="X164" i="10"/>
  <c r="W164" i="10"/>
  <c r="L161" i="10"/>
  <c r="L162" i="10"/>
  <c r="K161" i="10"/>
  <c r="K162" i="10"/>
  <c r="J161" i="10"/>
  <c r="AN160" i="10"/>
  <c r="AH160" i="10"/>
  <c r="Y160" i="10"/>
  <c r="AT160" i="10"/>
  <c r="M160" i="10"/>
  <c r="AZ159" i="10"/>
  <c r="AN159" i="10"/>
  <c r="AH159" i="10"/>
  <c r="M159" i="10"/>
  <c r="AN158" i="10"/>
  <c r="AH158" i="10"/>
  <c r="Y158" i="10"/>
  <c r="M158" i="10"/>
  <c r="AN157" i="10"/>
  <c r="AH157" i="10"/>
  <c r="M157" i="10"/>
  <c r="AN156" i="10"/>
  <c r="AH156" i="10"/>
  <c r="M156" i="10"/>
  <c r="AN155" i="10"/>
  <c r="AN161" i="10"/>
  <c r="AH155" i="10"/>
  <c r="AZ155" i="10"/>
  <c r="M155" i="10"/>
  <c r="U152" i="10"/>
  <c r="T152" i="10"/>
  <c r="R152" i="10"/>
  <c r="Q152" i="10"/>
  <c r="O152" i="10"/>
  <c r="N152" i="10"/>
  <c r="X151" i="10"/>
  <c r="AZ151" i="10"/>
  <c r="T131" i="6"/>
  <c r="T132" i="6" s="1"/>
  <c r="W151" i="10"/>
  <c r="V151" i="10"/>
  <c r="S151" i="10"/>
  <c r="P151" i="10"/>
  <c r="X150" i="10"/>
  <c r="W150" i="10"/>
  <c r="V150" i="10"/>
  <c r="S150" i="10"/>
  <c r="P150" i="10"/>
  <c r="P152" i="10"/>
  <c r="AU147" i="10"/>
  <c r="L147" i="10"/>
  <c r="K147" i="10"/>
  <c r="J147" i="10"/>
  <c r="AZ146" i="10"/>
  <c r="AU146" i="10"/>
  <c r="AN146" i="10"/>
  <c r="AH146" i="10"/>
  <c r="Y146" i="10"/>
  <c r="AT146" i="10"/>
  <c r="M146" i="10"/>
  <c r="AU145" i="10"/>
  <c r="AN145" i="10"/>
  <c r="AH145" i="10"/>
  <c r="AZ145" i="10"/>
  <c r="M145" i="10"/>
  <c r="AU144" i="10"/>
  <c r="AN144" i="10"/>
  <c r="AH144" i="10"/>
  <c r="AZ144" i="10"/>
  <c r="Y144" i="10"/>
  <c r="M144" i="10"/>
  <c r="AU143" i="10"/>
  <c r="AN143" i="10"/>
  <c r="AH143" i="10"/>
  <c r="Y143" i="10"/>
  <c r="AT143" i="10"/>
  <c r="M143" i="10"/>
  <c r="AZ142" i="10"/>
  <c r="AU142" i="10"/>
  <c r="AN142" i="10"/>
  <c r="AH142" i="10"/>
  <c r="Y142" i="10"/>
  <c r="AT142" i="10"/>
  <c r="M142" i="10"/>
  <c r="AU141" i="10"/>
  <c r="AN141" i="10"/>
  <c r="AH141" i="10"/>
  <c r="AZ141" i="10"/>
  <c r="M141" i="10"/>
  <c r="AU140" i="10"/>
  <c r="AN140" i="10"/>
  <c r="AH140" i="10"/>
  <c r="AZ140" i="10"/>
  <c r="M140" i="10"/>
  <c r="AU139" i="10"/>
  <c r="AN139" i="10"/>
  <c r="AH139" i="10"/>
  <c r="AZ139" i="10"/>
  <c r="AT139" i="10"/>
  <c r="M139" i="10"/>
  <c r="AU138" i="10"/>
  <c r="AN138" i="10"/>
  <c r="AH138" i="10"/>
  <c r="AZ138" i="10"/>
  <c r="Y138" i="10"/>
  <c r="M138" i="10"/>
  <c r="AU137" i="10"/>
  <c r="AN137" i="10"/>
  <c r="AH137" i="10"/>
  <c r="AZ137" i="10"/>
  <c r="M137" i="10"/>
  <c r="V120" i="10"/>
  <c r="S120" i="10"/>
  <c r="P120" i="10"/>
  <c r="V119" i="10"/>
  <c r="S119" i="10"/>
  <c r="S121" i="10"/>
  <c r="S122" i="10"/>
  <c r="P119" i="10"/>
  <c r="P117" i="10"/>
  <c r="V116" i="10"/>
  <c r="S116" i="10"/>
  <c r="V72" i="10"/>
  <c r="V63" i="10"/>
  <c r="V96" i="10"/>
  <c r="S96" i="10"/>
  <c r="P96" i="10"/>
  <c r="Y95" i="10"/>
  <c r="Y94" i="10"/>
  <c r="Y93" i="10"/>
  <c r="Y92" i="10"/>
  <c r="V88" i="10"/>
  <c r="S88" i="10"/>
  <c r="P88" i="10"/>
  <c r="Y87" i="10"/>
  <c r="Y86" i="10"/>
  <c r="Y85" i="10"/>
  <c r="Y84" i="10"/>
  <c r="V81" i="10"/>
  <c r="S81" i="10"/>
  <c r="P81" i="10"/>
  <c r="Y80" i="10"/>
  <c r="Y79" i="10"/>
  <c r="Y78" i="10"/>
  <c r="Y77" i="10"/>
  <c r="U73" i="10"/>
  <c r="T73" i="10"/>
  <c r="R73" i="10"/>
  <c r="R20" i="10"/>
  <c r="R74" i="10"/>
  <c r="Q73" i="10"/>
  <c r="O73" i="10"/>
  <c r="N73" i="10"/>
  <c r="AZ72" i="10"/>
  <c r="W72" i="10"/>
  <c r="S72" i="10"/>
  <c r="P72" i="10"/>
  <c r="X71" i="10"/>
  <c r="AZ71" i="10"/>
  <c r="T74" i="6"/>
  <c r="W71" i="10"/>
  <c r="V71" i="10"/>
  <c r="S71" i="10"/>
  <c r="P71" i="10"/>
  <c r="X70" i="10"/>
  <c r="W70" i="10"/>
  <c r="V70" i="10"/>
  <c r="S70" i="10"/>
  <c r="P70" i="10"/>
  <c r="W69" i="10"/>
  <c r="X69" i="10"/>
  <c r="Y69" i="10"/>
  <c r="AZ69" i="10"/>
  <c r="V69" i="10"/>
  <c r="S69" i="10"/>
  <c r="P69" i="10"/>
  <c r="X68" i="10"/>
  <c r="T71" i="6"/>
  <c r="W68" i="10"/>
  <c r="V68" i="10"/>
  <c r="S68" i="10"/>
  <c r="P68" i="10"/>
  <c r="P73" i="10"/>
  <c r="U65" i="10"/>
  <c r="T65" i="10"/>
  <c r="R65" i="10"/>
  <c r="R66" i="10"/>
  <c r="Q65" i="10"/>
  <c r="O65" i="10"/>
  <c r="N65" i="10"/>
  <c r="N66" i="10"/>
  <c r="AZ64" i="10"/>
  <c r="W64" i="10"/>
  <c r="V64" i="10"/>
  <c r="S64" i="10"/>
  <c r="P64" i="10"/>
  <c r="X63" i="10"/>
  <c r="W63" i="10"/>
  <c r="S63" i="10"/>
  <c r="P63" i="10"/>
  <c r="X62" i="10"/>
  <c r="W62" i="10"/>
  <c r="V62" i="10"/>
  <c r="S62" i="10"/>
  <c r="P62" i="10"/>
  <c r="X61" i="10"/>
  <c r="AZ61" i="10"/>
  <c r="W61" i="10"/>
  <c r="V61" i="10"/>
  <c r="S61" i="10"/>
  <c r="P61" i="10"/>
  <c r="L58" i="10"/>
  <c r="L59" i="10"/>
  <c r="K58" i="10"/>
  <c r="K59" i="10"/>
  <c r="J58" i="10"/>
  <c r="AN57" i="10"/>
  <c r="AH57" i="10"/>
  <c r="M57" i="10"/>
  <c r="AN56" i="10"/>
  <c r="AH56" i="10"/>
  <c r="Y56" i="10"/>
  <c r="AZ56" i="10"/>
  <c r="AT56" i="10"/>
  <c r="M56" i="10"/>
  <c r="AZ55" i="10"/>
  <c r="AN55" i="10"/>
  <c r="AH55" i="10"/>
  <c r="M55" i="10"/>
  <c r="AN54" i="10"/>
  <c r="AH54" i="10"/>
  <c r="M54" i="10"/>
  <c r="AN53" i="10"/>
  <c r="AH53" i="10"/>
  <c r="AZ53" i="10"/>
  <c r="M53" i="10"/>
  <c r="AN52" i="10"/>
  <c r="AH52" i="10"/>
  <c r="AT52" i="10"/>
  <c r="M52" i="10"/>
  <c r="AZ51" i="10"/>
  <c r="AN51" i="10"/>
  <c r="AH51" i="10"/>
  <c r="M51" i="10"/>
  <c r="AN50" i="10"/>
  <c r="AH50" i="10"/>
  <c r="AZ50" i="10"/>
  <c r="M50" i="10"/>
  <c r="AN49" i="10"/>
  <c r="AH49" i="10"/>
  <c r="M49" i="10"/>
  <c r="AZ48" i="10"/>
  <c r="AN48" i="10"/>
  <c r="AH48" i="10"/>
  <c r="M48" i="10"/>
  <c r="AN47" i="10"/>
  <c r="AH47" i="10"/>
  <c r="M47" i="10"/>
  <c r="AN46" i="10"/>
  <c r="AH46" i="10"/>
  <c r="AT46" i="10"/>
  <c r="M46" i="10"/>
  <c r="AZ45" i="10"/>
  <c r="AN45" i="10"/>
  <c r="AH45" i="10"/>
  <c r="M45" i="10"/>
  <c r="AN44" i="10"/>
  <c r="AH44" i="10"/>
  <c r="M44" i="10"/>
  <c r="U41" i="10"/>
  <c r="T41" i="10"/>
  <c r="T20" i="10"/>
  <c r="T42" i="10"/>
  <c r="R41" i="10"/>
  <c r="Q41" i="10"/>
  <c r="O41" i="10"/>
  <c r="N41" i="10"/>
  <c r="X40" i="10"/>
  <c r="W40" i="10"/>
  <c r="V40" i="10"/>
  <c r="S40" i="10"/>
  <c r="P40" i="10"/>
  <c r="AZ39" i="10"/>
  <c r="W39" i="10"/>
  <c r="V39" i="10"/>
  <c r="S39" i="10"/>
  <c r="P39" i="10"/>
  <c r="X38" i="10"/>
  <c r="T44" i="6"/>
  <c r="W38" i="10"/>
  <c r="AT38" i="10"/>
  <c r="V38" i="10"/>
  <c r="V41" i="10"/>
  <c r="S38" i="10"/>
  <c r="P38" i="10"/>
  <c r="AN32" i="10"/>
  <c r="AH32" i="10"/>
  <c r="W32" i="10"/>
  <c r="AT32" i="10"/>
  <c r="AH31" i="10"/>
  <c r="AZ31" i="10"/>
  <c r="AZ30" i="10"/>
  <c r="AN30" i="10"/>
  <c r="J26" i="10"/>
  <c r="J27" i="10"/>
  <c r="L26" i="10"/>
  <c r="K26" i="10"/>
  <c r="AZ25" i="10"/>
  <c r="AN25" i="10"/>
  <c r="AH25" i="10"/>
  <c r="T27" i="6"/>
  <c r="U27" i="6" s="1"/>
  <c r="M25" i="10"/>
  <c r="M23" i="10"/>
  <c r="M24" i="10"/>
  <c r="M26" i="10"/>
  <c r="AN24" i="10"/>
  <c r="AH24" i="10"/>
  <c r="AN23" i="10"/>
  <c r="AH23" i="10"/>
  <c r="AT23" i="10"/>
  <c r="U20" i="10"/>
  <c r="T380" i="10"/>
  <c r="Q20" i="10"/>
  <c r="Q188" i="10"/>
  <c r="O20" i="10"/>
  <c r="AN19" i="10"/>
  <c r="AH19" i="10"/>
  <c r="X19" i="10"/>
  <c r="W19" i="10"/>
  <c r="AT19" i="10"/>
  <c r="V19" i="10"/>
  <c r="S19" i="10"/>
  <c r="P19" i="10"/>
  <c r="AN18" i="10"/>
  <c r="AN20" i="10"/>
  <c r="AH18" i="10"/>
  <c r="AH20" i="10"/>
  <c r="X18" i="10"/>
  <c r="W18" i="10"/>
  <c r="V18" i="10"/>
  <c r="S18" i="10"/>
  <c r="P18" i="10"/>
  <c r="L581" i="10"/>
  <c r="AZ14" i="10"/>
  <c r="AN14" i="10"/>
  <c r="AH14" i="10"/>
  <c r="M14" i="10"/>
  <c r="AN13" i="10"/>
  <c r="AH13" i="10"/>
  <c r="AH15" i="10"/>
  <c r="M13" i="10"/>
  <c r="M15" i="10"/>
  <c r="X615" i="9"/>
  <c r="P446" i="6"/>
  <c r="W614" i="9"/>
  <c r="O445" i="6"/>
  <c r="W595" i="9"/>
  <c r="O428" i="6"/>
  <c r="W584" i="9"/>
  <c r="O418" i="6"/>
  <c r="W577" i="9"/>
  <c r="O412" i="6"/>
  <c r="W535" i="9"/>
  <c r="O386" i="6"/>
  <c r="W525" i="9"/>
  <c r="O380" i="6"/>
  <c r="W514" i="9"/>
  <c r="O370" i="6"/>
  <c r="X475" i="9"/>
  <c r="P346" i="6"/>
  <c r="X468" i="9"/>
  <c r="AZ468" i="9"/>
  <c r="P340" i="6"/>
  <c r="X457" i="9"/>
  <c r="P330" i="6"/>
  <c r="X438" i="9"/>
  <c r="P317" i="6"/>
  <c r="X434" i="9"/>
  <c r="P313" i="6"/>
  <c r="X427" i="9"/>
  <c r="AX427" i="9"/>
  <c r="P307" i="6"/>
  <c r="X412" i="9"/>
  <c r="P297" i="6"/>
  <c r="X404" i="9"/>
  <c r="P288" i="6"/>
  <c r="X394" i="9"/>
  <c r="P278" i="6"/>
  <c r="X390" i="9"/>
  <c r="P274" i="6"/>
  <c r="X386" i="9"/>
  <c r="P270" i="6"/>
  <c r="X382" i="9"/>
  <c r="P266" i="6"/>
  <c r="AW365" i="9"/>
  <c r="P250" i="6"/>
  <c r="X341" i="9"/>
  <c r="AZ341" i="9"/>
  <c r="P229" i="6"/>
  <c r="AX339" i="9"/>
  <c r="P227" i="6"/>
  <c r="X337" i="9"/>
  <c r="AZ337" i="9"/>
  <c r="P225" i="6"/>
  <c r="AY330" i="9"/>
  <c r="P219" i="6"/>
  <c r="AW328" i="9"/>
  <c r="P217" i="6"/>
  <c r="X207" i="9"/>
  <c r="P167" i="6"/>
  <c r="X209" i="9"/>
  <c r="P165" i="6"/>
  <c r="X185" i="9"/>
  <c r="P160" i="6"/>
  <c r="X182" i="9"/>
  <c r="P158" i="6"/>
  <c r="X178" i="9"/>
  <c r="P154" i="6"/>
  <c r="X165" i="9"/>
  <c r="P143" i="6"/>
  <c r="X72" i="9"/>
  <c r="P75" i="6"/>
  <c r="X70" i="9"/>
  <c r="P73" i="6"/>
  <c r="X63" i="9"/>
  <c r="P67" i="6"/>
  <c r="X61" i="9"/>
  <c r="P65" i="6"/>
  <c r="P70" i="23" s="1"/>
  <c r="Q9" i="9"/>
  <c r="T9" i="9"/>
  <c r="V670" i="9"/>
  <c r="S670" i="9"/>
  <c r="P670" i="9"/>
  <c r="Y669" i="9"/>
  <c r="Y668" i="9"/>
  <c r="Y667" i="9"/>
  <c r="Y665" i="9"/>
  <c r="Y666" i="9"/>
  <c r="Y670" i="9"/>
  <c r="V663" i="9"/>
  <c r="S663" i="9"/>
  <c r="P663" i="9"/>
  <c r="Y662" i="9"/>
  <c r="Y661" i="9"/>
  <c r="Y660" i="9"/>
  <c r="Y659" i="9"/>
  <c r="Y658" i="9"/>
  <c r="Y657" i="9"/>
  <c r="Y656" i="9"/>
  <c r="Y655" i="9"/>
  <c r="Y654" i="9"/>
  <c r="Y649" i="9"/>
  <c r="V648" i="9"/>
  <c r="V650" i="9"/>
  <c r="V651" i="9"/>
  <c r="S648" i="9"/>
  <c r="S650" i="9"/>
  <c r="S651" i="9"/>
  <c r="P648" i="9"/>
  <c r="P650" i="9"/>
  <c r="P651" i="9"/>
  <c r="AC647" i="9"/>
  <c r="AB647" i="9"/>
  <c r="AA647" i="9"/>
  <c r="Y646" i="9"/>
  <c r="P641" i="9"/>
  <c r="P643" i="9"/>
  <c r="P644" i="9"/>
  <c r="Y642" i="9"/>
  <c r="V641" i="9"/>
  <c r="V643" i="9"/>
  <c r="V644" i="9"/>
  <c r="S641" i="9"/>
  <c r="S643" i="9"/>
  <c r="S644" i="9"/>
  <c r="Y641" i="9"/>
  <c r="AC640" i="9"/>
  <c r="AB640" i="9"/>
  <c r="AA640" i="9"/>
  <c r="Y639" i="9"/>
  <c r="Y635" i="9"/>
  <c r="V634" i="9"/>
  <c r="V636" i="9"/>
  <c r="V637" i="9"/>
  <c r="S634" i="9"/>
  <c r="S636" i="9"/>
  <c r="S637" i="9"/>
  <c r="P634" i="9"/>
  <c r="P636" i="9"/>
  <c r="P637" i="9"/>
  <c r="AC633" i="9"/>
  <c r="AB633" i="9"/>
  <c r="AA633" i="9"/>
  <c r="Y632" i="9"/>
  <c r="S628" i="9"/>
  <c r="S629" i="9"/>
  <c r="V628" i="9"/>
  <c r="V629" i="9"/>
  <c r="P628" i="9"/>
  <c r="P629" i="9"/>
  <c r="Y627" i="9"/>
  <c r="Y626" i="9"/>
  <c r="Y625" i="9"/>
  <c r="Y624" i="9"/>
  <c r="Y623" i="9"/>
  <c r="Y628" i="9"/>
  <c r="L620" i="9"/>
  <c r="L621" i="9"/>
  <c r="K620" i="9"/>
  <c r="K621" i="9"/>
  <c r="J620" i="9"/>
  <c r="J621" i="9"/>
  <c r="AN619" i="9"/>
  <c r="AH619" i="9"/>
  <c r="X619" i="9"/>
  <c r="P450" i="6"/>
  <c r="W619" i="9"/>
  <c r="M619" i="9"/>
  <c r="AN618" i="9"/>
  <c r="AH618" i="9"/>
  <c r="X618" i="9"/>
  <c r="P449" i="6"/>
  <c r="W618" i="9"/>
  <c r="AT618" i="9"/>
  <c r="M618" i="9"/>
  <c r="AN617" i="9"/>
  <c r="AH617" i="9"/>
  <c r="X617" i="9"/>
  <c r="AZ617" i="9"/>
  <c r="W617" i="9"/>
  <c r="M617" i="9"/>
  <c r="AN616" i="9"/>
  <c r="AH616" i="9"/>
  <c r="X616" i="9"/>
  <c r="P447" i="6"/>
  <c r="Q447" i="6" s="1"/>
  <c r="W616" i="9"/>
  <c r="AT616" i="9"/>
  <c r="M616" i="9"/>
  <c r="AN615" i="9"/>
  <c r="AH615" i="9"/>
  <c r="W615" i="9"/>
  <c r="M615" i="9"/>
  <c r="AN614" i="9"/>
  <c r="AH614" i="9"/>
  <c r="X614" i="9"/>
  <c r="Y614" i="9"/>
  <c r="P445" i="6"/>
  <c r="Q445" i="6" s="1"/>
  <c r="AT614" i="9"/>
  <c r="M614" i="9"/>
  <c r="AN613" i="9"/>
  <c r="AH613" i="9"/>
  <c r="X613" i="9"/>
  <c r="AZ613" i="9"/>
  <c r="W613" i="9"/>
  <c r="M613" i="9"/>
  <c r="AN612" i="9"/>
  <c r="AH612" i="9"/>
  <c r="X612" i="9"/>
  <c r="P443" i="6"/>
  <c r="W612" i="9"/>
  <c r="AT612" i="9"/>
  <c r="M612" i="9"/>
  <c r="AN611" i="9"/>
  <c r="AH611" i="9"/>
  <c r="X611" i="9"/>
  <c r="P442" i="6"/>
  <c r="W611" i="9"/>
  <c r="M611" i="9"/>
  <c r="M620" i="9"/>
  <c r="K607" i="9"/>
  <c r="K608" i="9"/>
  <c r="L607" i="9"/>
  <c r="L608" i="9"/>
  <c r="J607" i="9"/>
  <c r="J608" i="9"/>
  <c r="AN606" i="9"/>
  <c r="AH606" i="9"/>
  <c r="M606" i="9"/>
  <c r="AN605" i="9"/>
  <c r="AH605" i="9"/>
  <c r="M605" i="9"/>
  <c r="AM604" i="9"/>
  <c r="AG604" i="9"/>
  <c r="X604" i="9"/>
  <c r="AL603" i="9"/>
  <c r="AF603" i="9"/>
  <c r="X603" i="9"/>
  <c r="AK602" i="9"/>
  <c r="AE602" i="9"/>
  <c r="X602" i="9"/>
  <c r="AN601" i="9"/>
  <c r="AH601" i="9"/>
  <c r="M601" i="9"/>
  <c r="AN600" i="9"/>
  <c r="AH600" i="9"/>
  <c r="M600" i="9"/>
  <c r="L597" i="9"/>
  <c r="L598" i="9"/>
  <c r="K597" i="9"/>
  <c r="K598" i="9"/>
  <c r="J597" i="9"/>
  <c r="J598" i="9"/>
  <c r="AN596" i="9"/>
  <c r="AH596" i="9"/>
  <c r="X596" i="9"/>
  <c r="P429" i="6"/>
  <c r="W596" i="9"/>
  <c r="M596" i="9"/>
  <c r="AT595" i="9"/>
  <c r="AN595" i="9"/>
  <c r="AH595" i="9"/>
  <c r="X595" i="9"/>
  <c r="P428" i="6"/>
  <c r="M595" i="9"/>
  <c r="AN594" i="9"/>
  <c r="AH594" i="9"/>
  <c r="X594" i="9"/>
  <c r="AZ594" i="9"/>
  <c r="W594" i="9"/>
  <c r="M594" i="9"/>
  <c r="AN593" i="9"/>
  <c r="AH593" i="9"/>
  <c r="X593" i="9"/>
  <c r="P426" i="6"/>
  <c r="W593" i="9"/>
  <c r="O426" i="6"/>
  <c r="M593" i="9"/>
  <c r="AN592" i="9"/>
  <c r="AN597" i="9"/>
  <c r="AH592" i="9"/>
  <c r="AH597" i="9"/>
  <c r="AI597" i="9"/>
  <c r="X592" i="9"/>
  <c r="P425" i="6"/>
  <c r="W592" i="9"/>
  <c r="O425" i="6"/>
  <c r="M592" i="9"/>
  <c r="M597" i="9"/>
  <c r="L589" i="9"/>
  <c r="L590" i="9"/>
  <c r="K589" i="9"/>
  <c r="K590" i="9"/>
  <c r="J589" i="9"/>
  <c r="J590" i="9"/>
  <c r="AN588" i="9"/>
  <c r="AH588" i="9"/>
  <c r="X588" i="9"/>
  <c r="P422" i="6"/>
  <c r="W588" i="9"/>
  <c r="AT588" i="9"/>
  <c r="M588" i="9"/>
  <c r="AN587" i="9"/>
  <c r="AH587" i="9"/>
  <c r="X587" i="9"/>
  <c r="P421" i="6"/>
  <c r="P423" i="6" s="1"/>
  <c r="W587" i="9"/>
  <c r="O421" i="6"/>
  <c r="M587" i="9"/>
  <c r="AN586" i="9"/>
  <c r="AH586" i="9"/>
  <c r="X586" i="9"/>
  <c r="W586" i="9"/>
  <c r="AT586" i="9"/>
  <c r="M586" i="9"/>
  <c r="AN585" i="9"/>
  <c r="AH585" i="9"/>
  <c r="X585" i="9"/>
  <c r="AZ585" i="9"/>
  <c r="W585" i="9"/>
  <c r="M585" i="9"/>
  <c r="M583" i="9"/>
  <c r="M584" i="9"/>
  <c r="M589" i="9"/>
  <c r="AN584" i="9"/>
  <c r="AH584" i="9"/>
  <c r="X584" i="9"/>
  <c r="P418" i="6"/>
  <c r="AT584" i="9"/>
  <c r="AN583" i="9"/>
  <c r="AH583" i="9"/>
  <c r="X583" i="9"/>
  <c r="P417" i="6"/>
  <c r="W583" i="9"/>
  <c r="L580" i="9"/>
  <c r="K580" i="9"/>
  <c r="K581" i="9"/>
  <c r="J580" i="9"/>
  <c r="AN579" i="9"/>
  <c r="AH579" i="9"/>
  <c r="X579" i="9"/>
  <c r="W579" i="9"/>
  <c r="O414" i="6"/>
  <c r="M579" i="9"/>
  <c r="X578" i="9"/>
  <c r="AZ578" i="9"/>
  <c r="AN578" i="9"/>
  <c r="AH578" i="9"/>
  <c r="P413" i="6"/>
  <c r="W578" i="9"/>
  <c r="M578" i="9"/>
  <c r="AN577" i="9"/>
  <c r="AH577" i="9"/>
  <c r="X577" i="9"/>
  <c r="Y577" i="9"/>
  <c r="AT577" i="9"/>
  <c r="M577" i="9"/>
  <c r="AZ576" i="9"/>
  <c r="AN576" i="9"/>
  <c r="AH576" i="9"/>
  <c r="Y576" i="9"/>
  <c r="M576" i="9"/>
  <c r="M580" i="9"/>
  <c r="U572" i="9"/>
  <c r="T572" i="9"/>
  <c r="R572" i="9"/>
  <c r="Q572" i="9"/>
  <c r="O572" i="9"/>
  <c r="N572" i="9"/>
  <c r="X571" i="9"/>
  <c r="P455" i="6"/>
  <c r="W571" i="9"/>
  <c r="V571" i="9"/>
  <c r="S571" i="9"/>
  <c r="P571" i="9"/>
  <c r="X570" i="9"/>
  <c r="P454" i="6"/>
  <c r="W570" i="9"/>
  <c r="O454" i="6"/>
  <c r="V570" i="9"/>
  <c r="V572" i="9"/>
  <c r="S570" i="9"/>
  <c r="S572" i="9"/>
  <c r="P570" i="9"/>
  <c r="Q508" i="9"/>
  <c r="R508" i="9"/>
  <c r="V546" i="9"/>
  <c r="V547" i="9"/>
  <c r="S546" i="9"/>
  <c r="S547" i="9"/>
  <c r="P546" i="9"/>
  <c r="P547" i="9"/>
  <c r="Y545" i="9"/>
  <c r="Y544" i="9"/>
  <c r="Y543" i="9"/>
  <c r="AC540" i="9"/>
  <c r="AB540" i="9"/>
  <c r="AA540" i="9"/>
  <c r="U538" i="9"/>
  <c r="T538" i="9"/>
  <c r="R538" i="9"/>
  <c r="Q538" i="9"/>
  <c r="O538" i="9"/>
  <c r="N538" i="9"/>
  <c r="X537" i="9"/>
  <c r="P388" i="6"/>
  <c r="W537" i="9"/>
  <c r="AT537" i="9"/>
  <c r="V537" i="9"/>
  <c r="S537" i="9"/>
  <c r="P537" i="9"/>
  <c r="X536" i="9"/>
  <c r="AZ536" i="9"/>
  <c r="P387" i="6"/>
  <c r="W536" i="9"/>
  <c r="O387" i="6"/>
  <c r="V536" i="9"/>
  <c r="S536" i="9"/>
  <c r="S535" i="9"/>
  <c r="S538" i="9"/>
  <c r="P536" i="9"/>
  <c r="X535" i="9"/>
  <c r="P386" i="6"/>
  <c r="AT535" i="9"/>
  <c r="V535" i="9"/>
  <c r="V538" i="9"/>
  <c r="P535" i="9"/>
  <c r="U528" i="9"/>
  <c r="U533" i="9"/>
  <c r="Q528" i="9"/>
  <c r="Q533" i="9"/>
  <c r="T528" i="9"/>
  <c r="R528" i="9"/>
  <c r="O528" i="9"/>
  <c r="O533" i="9"/>
  <c r="N528" i="9"/>
  <c r="P528" i="9"/>
  <c r="X527" i="9"/>
  <c r="P382" i="6"/>
  <c r="W527" i="9"/>
  <c r="O382" i="6"/>
  <c r="V527" i="9"/>
  <c r="S527" i="9"/>
  <c r="P527" i="9"/>
  <c r="X526" i="9"/>
  <c r="AZ526" i="9"/>
  <c r="W526" i="9"/>
  <c r="V526" i="9"/>
  <c r="S526" i="9"/>
  <c r="P526" i="9"/>
  <c r="X525" i="9"/>
  <c r="P380" i="6"/>
  <c r="AT525" i="9"/>
  <c r="V525" i="9"/>
  <c r="S525" i="9"/>
  <c r="P525" i="9"/>
  <c r="X524" i="9"/>
  <c r="P379" i="6"/>
  <c r="W524" i="9"/>
  <c r="V524" i="9"/>
  <c r="S524" i="9"/>
  <c r="P524" i="9"/>
  <c r="X523" i="9"/>
  <c r="P378" i="6"/>
  <c r="W523" i="9"/>
  <c r="O378" i="6"/>
  <c r="V523" i="9"/>
  <c r="S523" i="9"/>
  <c r="P523" i="9"/>
  <c r="X522" i="9"/>
  <c r="AZ522" i="9"/>
  <c r="W522" i="9"/>
  <c r="V522" i="9"/>
  <c r="S522" i="9"/>
  <c r="P522" i="9"/>
  <c r="X521" i="9"/>
  <c r="P376" i="6"/>
  <c r="W521" i="9"/>
  <c r="AT521" i="9"/>
  <c r="V521" i="9"/>
  <c r="S521" i="9"/>
  <c r="P521" i="9"/>
  <c r="X520" i="9"/>
  <c r="P375" i="6"/>
  <c r="W520" i="9"/>
  <c r="V520" i="9"/>
  <c r="S520" i="9"/>
  <c r="P520" i="9"/>
  <c r="X519" i="9"/>
  <c r="P374" i="6"/>
  <c r="W519" i="9"/>
  <c r="O374" i="6"/>
  <c r="V519" i="9"/>
  <c r="S519" i="9"/>
  <c r="P519" i="9"/>
  <c r="X518" i="9"/>
  <c r="P373" i="6"/>
  <c r="W518" i="9"/>
  <c r="V518" i="9"/>
  <c r="S518" i="9"/>
  <c r="P518" i="9"/>
  <c r="AN515" i="9"/>
  <c r="AO515" i="9"/>
  <c r="AH515" i="9"/>
  <c r="AI515" i="9"/>
  <c r="U515" i="9"/>
  <c r="T515" i="9"/>
  <c r="R515" i="9"/>
  <c r="Q515" i="9"/>
  <c r="O515" i="9"/>
  <c r="N515" i="9"/>
  <c r="X514" i="9"/>
  <c r="AT514" i="9"/>
  <c r="V514" i="9"/>
  <c r="S514" i="9"/>
  <c r="P514" i="9"/>
  <c r="W513" i="9"/>
  <c r="AT513" i="9"/>
  <c r="X513" i="9"/>
  <c r="Y513" i="9"/>
  <c r="P369" i="6"/>
  <c r="O369" i="6"/>
  <c r="V513" i="9"/>
  <c r="S513" i="9"/>
  <c r="S511" i="9"/>
  <c r="S512" i="9"/>
  <c r="S515" i="9"/>
  <c r="P513" i="9"/>
  <c r="X512" i="9"/>
  <c r="P368" i="6"/>
  <c r="W512" i="9"/>
  <c r="AT512" i="9"/>
  <c r="V512" i="9"/>
  <c r="V511" i="9"/>
  <c r="V515" i="9"/>
  <c r="P512" i="9"/>
  <c r="X511" i="9"/>
  <c r="AZ511" i="9"/>
  <c r="W511" i="9"/>
  <c r="AT511" i="9"/>
  <c r="P367" i="6"/>
  <c r="P511" i="9"/>
  <c r="V504" i="9"/>
  <c r="V505" i="9"/>
  <c r="V506" i="9"/>
  <c r="V507" i="9"/>
  <c r="V508" i="9"/>
  <c r="U508" i="9"/>
  <c r="T508" i="9"/>
  <c r="O508" i="9"/>
  <c r="N508" i="9"/>
  <c r="X507" i="9"/>
  <c r="P364" i="6"/>
  <c r="W507" i="9"/>
  <c r="O364" i="6"/>
  <c r="S507" i="9"/>
  <c r="P507" i="9"/>
  <c r="X506" i="9"/>
  <c r="P363" i="6"/>
  <c r="P142" i="23" s="1"/>
  <c r="W506" i="9"/>
  <c r="S506" i="9"/>
  <c r="P506" i="9"/>
  <c r="X505" i="9"/>
  <c r="P362" i="6"/>
  <c r="W505" i="9"/>
  <c r="AT505" i="9"/>
  <c r="S505" i="9"/>
  <c r="P505" i="9"/>
  <c r="X504" i="9"/>
  <c r="AZ504" i="9"/>
  <c r="W504" i="9"/>
  <c r="S504" i="9"/>
  <c r="P504" i="9"/>
  <c r="P508" i="9"/>
  <c r="AY493" i="9"/>
  <c r="AY497" i="9"/>
  <c r="AY499" i="9"/>
  <c r="AX497" i="9"/>
  <c r="AW497" i="9"/>
  <c r="AZ497" i="9"/>
  <c r="AM497" i="9"/>
  <c r="AL497" i="9"/>
  <c r="AK497" i="9"/>
  <c r="AN497" i="9"/>
  <c r="AG497" i="9"/>
  <c r="AF497" i="9"/>
  <c r="AE497" i="9"/>
  <c r="T497" i="9"/>
  <c r="U497" i="9"/>
  <c r="V497" i="9"/>
  <c r="R497" i="9"/>
  <c r="O497" i="9"/>
  <c r="X497" i="9"/>
  <c r="Q497" i="9"/>
  <c r="S497" i="9"/>
  <c r="N497" i="9"/>
  <c r="P497" i="9"/>
  <c r="AY496" i="9"/>
  <c r="AX496" i="9"/>
  <c r="AW496" i="9"/>
  <c r="AM496" i="9"/>
  <c r="AL496" i="9"/>
  <c r="AK496" i="9"/>
  <c r="AG496" i="9"/>
  <c r="AF496" i="9"/>
  <c r="AE496" i="9"/>
  <c r="U496" i="9"/>
  <c r="T496" i="9"/>
  <c r="V496" i="9"/>
  <c r="R496" i="9"/>
  <c r="O496" i="9"/>
  <c r="X496" i="9"/>
  <c r="Q496" i="9"/>
  <c r="S496" i="9"/>
  <c r="N496" i="9"/>
  <c r="P496" i="9"/>
  <c r="AY495" i="9"/>
  <c r="AX495" i="9"/>
  <c r="AW495" i="9"/>
  <c r="AM495" i="9"/>
  <c r="AL495" i="9"/>
  <c r="AK495" i="9"/>
  <c r="AG495" i="9"/>
  <c r="AF495" i="9"/>
  <c r="AE495" i="9"/>
  <c r="U495" i="9"/>
  <c r="T495" i="9"/>
  <c r="R495" i="9"/>
  <c r="O495" i="9"/>
  <c r="X495" i="9"/>
  <c r="Q495" i="9"/>
  <c r="S495" i="9"/>
  <c r="N495" i="9"/>
  <c r="P495" i="9"/>
  <c r="AY494" i="9"/>
  <c r="AY500" i="9"/>
  <c r="AX494" i="9"/>
  <c r="AX500" i="9"/>
  <c r="AW494" i="9"/>
  <c r="AM494" i="9"/>
  <c r="AL494" i="9"/>
  <c r="AL500" i="9"/>
  <c r="AK494" i="9"/>
  <c r="AG494" i="9"/>
  <c r="AF494" i="9"/>
  <c r="AF500" i="9"/>
  <c r="AE494" i="9"/>
  <c r="AE500" i="9"/>
  <c r="U494" i="9"/>
  <c r="U500" i="9"/>
  <c r="T494" i="9"/>
  <c r="V494" i="9"/>
  <c r="R494" i="9"/>
  <c r="R500" i="9"/>
  <c r="Q494" i="9"/>
  <c r="O494" i="9"/>
  <c r="O500" i="9"/>
  <c r="N494" i="9"/>
  <c r="P494" i="9"/>
  <c r="AX493" i="9"/>
  <c r="AW493" i="9"/>
  <c r="AM493" i="9"/>
  <c r="AM499" i="9"/>
  <c r="AL493" i="9"/>
  <c r="AK493" i="9"/>
  <c r="AG493" i="9"/>
  <c r="AF493" i="9"/>
  <c r="AE493" i="9"/>
  <c r="AE499" i="9"/>
  <c r="U493" i="9"/>
  <c r="U499" i="9"/>
  <c r="T493" i="9"/>
  <c r="T499" i="9"/>
  <c r="V499" i="9"/>
  <c r="R493" i="9"/>
  <c r="Q493" i="9"/>
  <c r="O493" i="9"/>
  <c r="O499" i="9"/>
  <c r="N493" i="9"/>
  <c r="N499" i="9"/>
  <c r="U490" i="9"/>
  <c r="T490" i="9"/>
  <c r="R490" i="9"/>
  <c r="Q490" i="9"/>
  <c r="O490" i="9"/>
  <c r="N490" i="9"/>
  <c r="V486" i="9"/>
  <c r="S486" i="9"/>
  <c r="P486" i="9"/>
  <c r="Y485" i="9"/>
  <c r="Y484" i="9"/>
  <c r="Y483" i="9"/>
  <c r="O480" i="9"/>
  <c r="O443" i="9"/>
  <c r="O481" i="9"/>
  <c r="U480" i="9"/>
  <c r="T480" i="9"/>
  <c r="R480" i="9"/>
  <c r="Q480" i="9"/>
  <c r="N480" i="9"/>
  <c r="X479" i="9"/>
  <c r="AZ479" i="9"/>
  <c r="W479" i="9"/>
  <c r="O350" i="6"/>
  <c r="V479" i="9"/>
  <c r="S479" i="9"/>
  <c r="P479" i="9"/>
  <c r="X478" i="9"/>
  <c r="W478" i="9"/>
  <c r="O349" i="6"/>
  <c r="V478" i="9"/>
  <c r="S478" i="9"/>
  <c r="P478" i="9"/>
  <c r="X477" i="9"/>
  <c r="AZ477" i="9"/>
  <c r="W477" i="9"/>
  <c r="Y477" i="9"/>
  <c r="P348" i="6"/>
  <c r="Q348" i="6" s="1"/>
  <c r="AT477" i="9"/>
  <c r="V477" i="9"/>
  <c r="S477" i="9"/>
  <c r="P477" i="9"/>
  <c r="X476" i="9"/>
  <c r="P347" i="6"/>
  <c r="W476" i="9"/>
  <c r="V476" i="9"/>
  <c r="S476" i="9"/>
  <c r="P476" i="9"/>
  <c r="AZ475" i="9"/>
  <c r="W475" i="9"/>
  <c r="O346" i="6"/>
  <c r="Q346" i="6" s="1"/>
  <c r="V475" i="9"/>
  <c r="S475" i="9"/>
  <c r="P475" i="9"/>
  <c r="W474" i="9"/>
  <c r="AT474" i="9"/>
  <c r="X474" i="9"/>
  <c r="O345" i="6"/>
  <c r="Q345" i="6" s="1"/>
  <c r="V474" i="9"/>
  <c r="S474" i="9"/>
  <c r="P474" i="9"/>
  <c r="X473" i="9"/>
  <c r="P344" i="6"/>
  <c r="W473" i="9"/>
  <c r="O344" i="6"/>
  <c r="V473" i="9"/>
  <c r="S473" i="9"/>
  <c r="P473" i="9"/>
  <c r="X472" i="9"/>
  <c r="P343" i="6"/>
  <c r="W472" i="9"/>
  <c r="V472" i="9"/>
  <c r="V480" i="9"/>
  <c r="S472" i="9"/>
  <c r="P472" i="9"/>
  <c r="P480" i="9"/>
  <c r="U469" i="9"/>
  <c r="T469" i="9"/>
  <c r="R469" i="9"/>
  <c r="Q469" i="9"/>
  <c r="Q443" i="9"/>
  <c r="Q470" i="9"/>
  <c r="O469" i="9"/>
  <c r="N469" i="9"/>
  <c r="W468" i="9"/>
  <c r="AT468" i="9"/>
  <c r="O340" i="6"/>
  <c r="V468" i="9"/>
  <c r="S468" i="9"/>
  <c r="P468" i="9"/>
  <c r="W467" i="9"/>
  <c r="AS467" i="9"/>
  <c r="O339" i="6"/>
  <c r="BC339" i="6" s="1"/>
  <c r="AC467" i="9"/>
  <c r="X467" i="9"/>
  <c r="AY467" i="9"/>
  <c r="P339" i="6"/>
  <c r="BK339" i="6" s="1"/>
  <c r="X466" i="9"/>
  <c r="AX466" i="9"/>
  <c r="P338" i="6"/>
  <c r="AB466" i="9"/>
  <c r="W466" i="9"/>
  <c r="AR466" i="9"/>
  <c r="O338" i="6"/>
  <c r="W465" i="9"/>
  <c r="AQ465" i="9"/>
  <c r="O337" i="6"/>
  <c r="BC337" i="6" s="1"/>
  <c r="AA465" i="9"/>
  <c r="X465" i="9"/>
  <c r="AW465" i="9"/>
  <c r="P337" i="6"/>
  <c r="BK337" i="6" s="1"/>
  <c r="X464" i="9"/>
  <c r="W464" i="9"/>
  <c r="AT464" i="9"/>
  <c r="O336" i="6"/>
  <c r="V464" i="9"/>
  <c r="S464" i="9"/>
  <c r="P464" i="9"/>
  <c r="X463" i="9"/>
  <c r="W463" i="9"/>
  <c r="Y463" i="9"/>
  <c r="V463" i="9"/>
  <c r="S463" i="9"/>
  <c r="P463" i="9"/>
  <c r="U460" i="9"/>
  <c r="U443" i="9"/>
  <c r="U461" i="9"/>
  <c r="T460" i="9"/>
  <c r="R460" i="9"/>
  <c r="R443" i="9"/>
  <c r="R461" i="9"/>
  <c r="Q460" i="9"/>
  <c r="P457" i="9"/>
  <c r="P458" i="9"/>
  <c r="P459" i="9"/>
  <c r="P460" i="9"/>
  <c r="O460" i="9"/>
  <c r="O461" i="9"/>
  <c r="N460" i="9"/>
  <c r="W459" i="9"/>
  <c r="AT459" i="9"/>
  <c r="X459" i="9"/>
  <c r="Y459" i="9"/>
  <c r="P332" i="6"/>
  <c r="O332" i="6"/>
  <c r="V459" i="9"/>
  <c r="S459" i="9"/>
  <c r="X458" i="9"/>
  <c r="P331" i="6"/>
  <c r="W458" i="9"/>
  <c r="V458" i="9"/>
  <c r="V457" i="9"/>
  <c r="V460" i="9"/>
  <c r="S458" i="9"/>
  <c r="AZ457" i="9"/>
  <c r="W457" i="9"/>
  <c r="AT457" i="9"/>
  <c r="W460" i="9"/>
  <c r="S457" i="9"/>
  <c r="R449" i="9"/>
  <c r="R454" i="9"/>
  <c r="R455" i="9"/>
  <c r="W453" i="9"/>
  <c r="AT453" i="9"/>
  <c r="X453" i="9"/>
  <c r="AZ453" i="9"/>
  <c r="V453" i="9"/>
  <c r="S453" i="9"/>
  <c r="P453" i="9"/>
  <c r="U449" i="9"/>
  <c r="U454" i="9"/>
  <c r="T449" i="9"/>
  <c r="O449" i="9"/>
  <c r="X449" i="9"/>
  <c r="Q449" i="9"/>
  <c r="Q454" i="9"/>
  <c r="O454" i="9"/>
  <c r="N449" i="9"/>
  <c r="P449" i="9"/>
  <c r="X448" i="9"/>
  <c r="AZ448" i="9"/>
  <c r="P326" i="6"/>
  <c r="W448" i="9"/>
  <c r="AT448" i="9"/>
  <c r="V448" i="9"/>
  <c r="S448" i="9"/>
  <c r="P448" i="9"/>
  <c r="X447" i="9"/>
  <c r="P325" i="6"/>
  <c r="W447" i="9"/>
  <c r="V447" i="9"/>
  <c r="S447" i="9"/>
  <c r="P447" i="9"/>
  <c r="X446" i="9"/>
  <c r="AZ446" i="9"/>
  <c r="W446" i="9"/>
  <c r="O324" i="6"/>
  <c r="V446" i="9"/>
  <c r="S446" i="9"/>
  <c r="P446" i="9"/>
  <c r="X445" i="9"/>
  <c r="P323" i="6"/>
  <c r="W445" i="9"/>
  <c r="V445" i="9"/>
  <c r="S445" i="9"/>
  <c r="P445" i="9"/>
  <c r="U481" i="9"/>
  <c r="T443" i="9"/>
  <c r="N443" i="9"/>
  <c r="N470" i="9"/>
  <c r="T441" i="9"/>
  <c r="T442" i="9"/>
  <c r="U441" i="9"/>
  <c r="U442" i="9"/>
  <c r="R441" i="9"/>
  <c r="R442" i="9"/>
  <c r="Q441" i="9"/>
  <c r="Q442" i="9"/>
  <c r="O441" i="9"/>
  <c r="O442" i="9"/>
  <c r="N441" i="9"/>
  <c r="N442" i="9"/>
  <c r="X440" i="9"/>
  <c r="P319" i="6"/>
  <c r="W440" i="9"/>
  <c r="AT440" i="9"/>
  <c r="V440" i="9"/>
  <c r="S440" i="9"/>
  <c r="P440" i="9"/>
  <c r="X439" i="9"/>
  <c r="P318" i="6"/>
  <c r="W439" i="9"/>
  <c r="V439" i="9"/>
  <c r="S439" i="9"/>
  <c r="P439" i="9"/>
  <c r="AZ438" i="9"/>
  <c r="W438" i="9"/>
  <c r="AT438" i="9"/>
  <c r="V438" i="9"/>
  <c r="S438" i="9"/>
  <c r="P438" i="9"/>
  <c r="X437" i="9"/>
  <c r="AZ437" i="9"/>
  <c r="P316" i="6"/>
  <c r="W437" i="9"/>
  <c r="V437" i="9"/>
  <c r="S437" i="9"/>
  <c r="P437" i="9"/>
  <c r="X436" i="9"/>
  <c r="P315" i="6"/>
  <c r="Q315" i="6" s="1"/>
  <c r="W436" i="9"/>
  <c r="AT436" i="9"/>
  <c r="V436" i="9"/>
  <c r="S436" i="9"/>
  <c r="P436" i="9"/>
  <c r="X435" i="9"/>
  <c r="AZ435" i="9"/>
  <c r="P314" i="6"/>
  <c r="W435" i="9"/>
  <c r="V435" i="9"/>
  <c r="S435" i="9"/>
  <c r="P435" i="9"/>
  <c r="W434" i="9"/>
  <c r="AT434" i="9"/>
  <c r="V434" i="9"/>
  <c r="S434" i="9"/>
  <c r="P434" i="9"/>
  <c r="X433" i="9"/>
  <c r="AZ433" i="9"/>
  <c r="W433" i="9"/>
  <c r="Y433" i="9"/>
  <c r="P312" i="6"/>
  <c r="O312" i="6"/>
  <c r="V433" i="9"/>
  <c r="S433" i="9"/>
  <c r="S441" i="9"/>
  <c r="P433" i="9"/>
  <c r="U430" i="9"/>
  <c r="U431" i="9"/>
  <c r="O430" i="9"/>
  <c r="O431" i="9"/>
  <c r="T430" i="9"/>
  <c r="T431" i="9"/>
  <c r="R430" i="9"/>
  <c r="R431" i="9"/>
  <c r="Q430" i="9"/>
  <c r="Q431" i="9"/>
  <c r="N430" i="9"/>
  <c r="N431" i="9"/>
  <c r="X429" i="9"/>
  <c r="AZ429" i="9"/>
  <c r="P309" i="6"/>
  <c r="W429" i="9"/>
  <c r="AT429" i="9"/>
  <c r="O309" i="6"/>
  <c r="V429" i="9"/>
  <c r="S429" i="9"/>
  <c r="P429" i="9"/>
  <c r="X428" i="9"/>
  <c r="AY428" i="9"/>
  <c r="P308" i="6"/>
  <c r="BK308" i="6" s="1"/>
  <c r="AC428" i="9"/>
  <c r="W428" i="9"/>
  <c r="AS428" i="9"/>
  <c r="O308" i="6"/>
  <c r="BC308" i="6" s="1"/>
  <c r="W427" i="9"/>
  <c r="AR427" i="9"/>
  <c r="O307" i="6"/>
  <c r="AB427" i="9"/>
  <c r="X426" i="9"/>
  <c r="AW426" i="9"/>
  <c r="P306" i="6"/>
  <c r="BK306" i="6" s="1"/>
  <c r="AA426" i="9"/>
  <c r="W426" i="9"/>
  <c r="AQ426" i="9"/>
  <c r="O306" i="6"/>
  <c r="BC306" i="6" s="1"/>
  <c r="X425" i="9"/>
  <c r="AZ425" i="9"/>
  <c r="P305" i="6"/>
  <c r="W425" i="9"/>
  <c r="W424" i="9"/>
  <c r="W430" i="9"/>
  <c r="V425" i="9"/>
  <c r="S425" i="9"/>
  <c r="P425" i="9"/>
  <c r="X424" i="9"/>
  <c r="X430" i="9"/>
  <c r="AT424" i="9"/>
  <c r="O304" i="6"/>
  <c r="V424" i="9"/>
  <c r="V430" i="9"/>
  <c r="S424" i="9"/>
  <c r="S430" i="9"/>
  <c r="P424" i="9"/>
  <c r="P430" i="9"/>
  <c r="V416" i="9"/>
  <c r="U416" i="9"/>
  <c r="U421" i="9"/>
  <c r="T416" i="9"/>
  <c r="T421" i="9"/>
  <c r="S416" i="9"/>
  <c r="R416" i="9"/>
  <c r="R421" i="9"/>
  <c r="Q416" i="9"/>
  <c r="Q421" i="9"/>
  <c r="Q409" i="9"/>
  <c r="Q422" i="9"/>
  <c r="P416" i="9"/>
  <c r="O416" i="9"/>
  <c r="X416" i="9"/>
  <c r="N416" i="9"/>
  <c r="X415" i="9"/>
  <c r="P300" i="6"/>
  <c r="W415" i="9"/>
  <c r="O300" i="6"/>
  <c r="V415" i="9"/>
  <c r="S415" i="9"/>
  <c r="P415" i="9"/>
  <c r="W414" i="9"/>
  <c r="AT414" i="9"/>
  <c r="X414" i="9"/>
  <c r="AZ414" i="9"/>
  <c r="Y414" i="9"/>
  <c r="V414" i="9"/>
  <c r="S414" i="9"/>
  <c r="P414" i="9"/>
  <c r="X413" i="9"/>
  <c r="P298" i="6"/>
  <c r="W413" i="9"/>
  <c r="V413" i="9"/>
  <c r="S413" i="9"/>
  <c r="P413" i="9"/>
  <c r="W412" i="9"/>
  <c r="Y412" i="9"/>
  <c r="AZ412" i="9"/>
  <c r="AT412" i="9"/>
  <c r="V412" i="9"/>
  <c r="S412" i="9"/>
  <c r="P412" i="9"/>
  <c r="X411" i="9"/>
  <c r="P296" i="6"/>
  <c r="W411" i="9"/>
  <c r="V411" i="9"/>
  <c r="S411" i="9"/>
  <c r="P411" i="9"/>
  <c r="U409" i="9"/>
  <c r="T409" i="9"/>
  <c r="R409" i="9"/>
  <c r="O409" i="9"/>
  <c r="N409" i="9"/>
  <c r="U407" i="9"/>
  <c r="T407" i="9"/>
  <c r="R407" i="9"/>
  <c r="Q407" i="9"/>
  <c r="O407" i="9"/>
  <c r="N407" i="9"/>
  <c r="X406" i="9"/>
  <c r="P290" i="6"/>
  <c r="W406" i="9"/>
  <c r="AT406" i="9"/>
  <c r="V406" i="9"/>
  <c r="S406" i="9"/>
  <c r="P406" i="9"/>
  <c r="X405" i="9"/>
  <c r="P289" i="6"/>
  <c r="W405" i="9"/>
  <c r="V405" i="9"/>
  <c r="S405" i="9"/>
  <c r="P405" i="9"/>
  <c r="AZ404" i="9"/>
  <c r="X443" i="9"/>
  <c r="W404" i="9"/>
  <c r="W443" i="9"/>
  <c r="V404" i="9"/>
  <c r="S404" i="9"/>
  <c r="P404" i="9"/>
  <c r="X403" i="9"/>
  <c r="W403" i="9"/>
  <c r="O287" i="6"/>
  <c r="V403" i="9"/>
  <c r="S403" i="9"/>
  <c r="P403" i="9"/>
  <c r="P402" i="9"/>
  <c r="P407" i="9"/>
  <c r="X402" i="9"/>
  <c r="AZ402" i="9"/>
  <c r="W402" i="9"/>
  <c r="V402" i="9"/>
  <c r="S402" i="9"/>
  <c r="T395" i="9"/>
  <c r="T400" i="9"/>
  <c r="R395" i="9"/>
  <c r="R400" i="9"/>
  <c r="U395" i="9"/>
  <c r="Q395" i="9"/>
  <c r="S395" i="9"/>
  <c r="O395" i="9"/>
  <c r="N395" i="9"/>
  <c r="N400" i="9"/>
  <c r="AZ394" i="9"/>
  <c r="W394" i="9"/>
  <c r="O278" i="6"/>
  <c r="V394" i="9"/>
  <c r="S394" i="9"/>
  <c r="P394" i="9"/>
  <c r="X393" i="9"/>
  <c r="AZ393" i="9"/>
  <c r="W393" i="9"/>
  <c r="Y393" i="9"/>
  <c r="P277" i="6"/>
  <c r="V393" i="9"/>
  <c r="S393" i="9"/>
  <c r="P393" i="9"/>
  <c r="X392" i="9"/>
  <c r="AZ392" i="9"/>
  <c r="W392" i="9"/>
  <c r="AT392" i="9"/>
  <c r="V392" i="9"/>
  <c r="S392" i="9"/>
  <c r="P392" i="9"/>
  <c r="W391" i="9"/>
  <c r="AT391" i="9"/>
  <c r="X391" i="9"/>
  <c r="O275" i="6"/>
  <c r="V391" i="9"/>
  <c r="S391" i="9"/>
  <c r="P391" i="9"/>
  <c r="AZ390" i="9"/>
  <c r="W390" i="9"/>
  <c r="O274" i="6"/>
  <c r="Q274" i="6" s="1"/>
  <c r="V390" i="9"/>
  <c r="S390" i="9"/>
  <c r="P390" i="9"/>
  <c r="X389" i="9"/>
  <c r="AZ389" i="9"/>
  <c r="W389" i="9"/>
  <c r="AT389" i="9"/>
  <c r="P273" i="6"/>
  <c r="Q273" i="6" s="1"/>
  <c r="O273" i="6"/>
  <c r="V389" i="9"/>
  <c r="S389" i="9"/>
  <c r="P389" i="9"/>
  <c r="X388" i="9"/>
  <c r="AZ388" i="9"/>
  <c r="W388" i="9"/>
  <c r="AT388" i="9"/>
  <c r="V388" i="9"/>
  <c r="S388" i="9"/>
  <c r="P388" i="9"/>
  <c r="X387" i="9"/>
  <c r="W387" i="9"/>
  <c r="O271" i="6"/>
  <c r="V387" i="9"/>
  <c r="S387" i="9"/>
  <c r="P387" i="9"/>
  <c r="AZ386" i="9"/>
  <c r="W386" i="9"/>
  <c r="O270" i="6"/>
  <c r="V386" i="9"/>
  <c r="S386" i="9"/>
  <c r="P386" i="9"/>
  <c r="X385" i="9"/>
  <c r="AZ385" i="9"/>
  <c r="P269" i="6"/>
  <c r="W385" i="9"/>
  <c r="V385" i="9"/>
  <c r="S385" i="9"/>
  <c r="P385" i="9"/>
  <c r="X384" i="9"/>
  <c r="AZ384" i="9"/>
  <c r="W384" i="9"/>
  <c r="AT384" i="9"/>
  <c r="V384" i="9"/>
  <c r="S384" i="9"/>
  <c r="P384" i="9"/>
  <c r="X383" i="9"/>
  <c r="AZ383" i="9"/>
  <c r="P267" i="6"/>
  <c r="W383" i="9"/>
  <c r="O267" i="6"/>
  <c r="V383" i="9"/>
  <c r="S383" i="9"/>
  <c r="P383" i="9"/>
  <c r="AZ382" i="9"/>
  <c r="W382" i="9"/>
  <c r="O266" i="6"/>
  <c r="V382" i="9"/>
  <c r="S382" i="9"/>
  <c r="P382" i="9"/>
  <c r="U379" i="9"/>
  <c r="T379" i="9"/>
  <c r="R379" i="9"/>
  <c r="R20" i="9"/>
  <c r="R380" i="9"/>
  <c r="Q379" i="9"/>
  <c r="O379" i="9"/>
  <c r="N379" i="9"/>
  <c r="N20" i="9"/>
  <c r="N380" i="9"/>
  <c r="X378" i="9"/>
  <c r="W378" i="9"/>
  <c r="V378" i="9"/>
  <c r="S378" i="9"/>
  <c r="P378" i="9"/>
  <c r="X377" i="9"/>
  <c r="AZ377" i="9"/>
  <c r="W377" i="9"/>
  <c r="AT377" i="9"/>
  <c r="V377" i="9"/>
  <c r="S377" i="9"/>
  <c r="S376" i="9"/>
  <c r="S379" i="9"/>
  <c r="P377" i="9"/>
  <c r="X376" i="9"/>
  <c r="P262" i="6"/>
  <c r="W376" i="9"/>
  <c r="O262" i="6"/>
  <c r="V376" i="9"/>
  <c r="P376" i="9"/>
  <c r="K370" i="9"/>
  <c r="K371" i="9"/>
  <c r="L370" i="9"/>
  <c r="L371" i="9"/>
  <c r="J370" i="9"/>
  <c r="J371" i="9"/>
  <c r="AN369" i="9"/>
  <c r="AH369" i="9"/>
  <c r="AN368" i="9"/>
  <c r="AH368" i="9"/>
  <c r="Y368" i="9"/>
  <c r="AY367" i="9"/>
  <c r="P252" i="6"/>
  <c r="AM367" i="9"/>
  <c r="AG367" i="9"/>
  <c r="X367" i="9"/>
  <c r="W367" i="9"/>
  <c r="AS367" i="9"/>
  <c r="O252" i="6"/>
  <c r="AX366" i="9"/>
  <c r="P251" i="6"/>
  <c r="AL366" i="9"/>
  <c r="AF366" i="9"/>
  <c r="X366" i="9"/>
  <c r="W366" i="9"/>
  <c r="AR366" i="9"/>
  <c r="O251" i="6"/>
  <c r="AK365" i="9"/>
  <c r="AE365" i="9"/>
  <c r="X365" i="9"/>
  <c r="W365" i="9"/>
  <c r="AQ365" i="9"/>
  <c r="O250" i="6"/>
  <c r="AN364" i="9"/>
  <c r="AH364" i="9"/>
  <c r="AN363" i="9"/>
  <c r="AH363" i="9"/>
  <c r="L360" i="9"/>
  <c r="K360" i="9"/>
  <c r="J360" i="9"/>
  <c r="AN359" i="9"/>
  <c r="AH359" i="9"/>
  <c r="Y359" i="9"/>
  <c r="M359" i="9"/>
  <c r="AN358" i="9"/>
  <c r="AH358" i="9"/>
  <c r="AZ358" i="9"/>
  <c r="M358" i="9"/>
  <c r="AN357" i="9"/>
  <c r="AH357" i="9"/>
  <c r="X357" i="9"/>
  <c r="W357" i="9"/>
  <c r="O243" i="6"/>
  <c r="M357" i="9"/>
  <c r="L354" i="9"/>
  <c r="K354" i="9"/>
  <c r="K355" i="9"/>
  <c r="J354" i="9"/>
  <c r="AN353" i="9"/>
  <c r="AH353" i="9"/>
  <c r="AZ353" i="9"/>
  <c r="M353" i="9"/>
  <c r="AT352" i="9"/>
  <c r="AN352" i="9"/>
  <c r="AH352" i="9"/>
  <c r="M352" i="9"/>
  <c r="AN351" i="9"/>
  <c r="AH351" i="9"/>
  <c r="AZ351" i="9"/>
  <c r="AT351" i="9"/>
  <c r="M351" i="9"/>
  <c r="AN350" i="9"/>
  <c r="AH350" i="9"/>
  <c r="AZ350" i="9"/>
  <c r="M350" i="9"/>
  <c r="AN349" i="9"/>
  <c r="AH349" i="9"/>
  <c r="AZ349" i="9"/>
  <c r="M349" i="9"/>
  <c r="AT348" i="9"/>
  <c r="AN348" i="9"/>
  <c r="AH348" i="9"/>
  <c r="M348" i="9"/>
  <c r="AN347" i="9"/>
  <c r="AH347" i="9"/>
  <c r="AT347" i="9"/>
  <c r="M347" i="9"/>
  <c r="AN346" i="9"/>
  <c r="AN354" i="9"/>
  <c r="AH346" i="9"/>
  <c r="AZ346" i="9"/>
  <c r="M346" i="9"/>
  <c r="M354" i="9"/>
  <c r="L343" i="9"/>
  <c r="K343" i="9"/>
  <c r="J343" i="9"/>
  <c r="AN342" i="9"/>
  <c r="AH342" i="9"/>
  <c r="X342" i="9"/>
  <c r="AZ342" i="9"/>
  <c r="P230" i="6"/>
  <c r="W342" i="9"/>
  <c r="AN341" i="9"/>
  <c r="AH341" i="9"/>
  <c r="W341" i="9"/>
  <c r="AY340" i="9"/>
  <c r="P228" i="6"/>
  <c r="AM340" i="9"/>
  <c r="AG340" i="9"/>
  <c r="X340" i="9"/>
  <c r="W340" i="9"/>
  <c r="AS340" i="9"/>
  <c r="O228" i="6"/>
  <c r="AL339" i="9"/>
  <c r="AF339" i="9"/>
  <c r="X339" i="9"/>
  <c r="W339" i="9"/>
  <c r="AR339" i="9"/>
  <c r="O227" i="6"/>
  <c r="AW338" i="9"/>
  <c r="P226" i="6"/>
  <c r="AK338" i="9"/>
  <c r="AE338" i="9"/>
  <c r="X338" i="9"/>
  <c r="W338" i="9"/>
  <c r="AQ338" i="9"/>
  <c r="O226" i="6"/>
  <c r="AN337" i="9"/>
  <c r="AH337" i="9"/>
  <c r="W337" i="9"/>
  <c r="AT337" i="9"/>
  <c r="O225" i="6"/>
  <c r="M343" i="9"/>
  <c r="AN336" i="9"/>
  <c r="AH336" i="9"/>
  <c r="AH343" i="9"/>
  <c r="X336" i="9"/>
  <c r="AZ336" i="9"/>
  <c r="P224" i="6"/>
  <c r="P231" i="6" s="1"/>
  <c r="W336" i="9"/>
  <c r="Y336" i="9"/>
  <c r="L333" i="9"/>
  <c r="K333" i="9"/>
  <c r="K334" i="9"/>
  <c r="J333" i="9"/>
  <c r="AN332" i="9"/>
  <c r="AH332" i="9"/>
  <c r="W332" i="9"/>
  <c r="X332" i="9"/>
  <c r="Y332" i="9"/>
  <c r="AZ332" i="9"/>
  <c r="P221" i="6"/>
  <c r="AT332" i="9"/>
  <c r="O221" i="6"/>
  <c r="AN331" i="9"/>
  <c r="AH331" i="9"/>
  <c r="X331" i="9"/>
  <c r="W331" i="9"/>
  <c r="AT331" i="9"/>
  <c r="O220" i="6"/>
  <c r="AM330" i="9"/>
  <c r="AG330" i="9"/>
  <c r="X330" i="9"/>
  <c r="W330" i="9"/>
  <c r="AS330" i="9"/>
  <c r="O219" i="6"/>
  <c r="AX329" i="9"/>
  <c r="P218" i="6"/>
  <c r="AL329" i="9"/>
  <c r="AF329" i="9"/>
  <c r="X329" i="9"/>
  <c r="W329" i="9"/>
  <c r="AR329" i="9"/>
  <c r="O218" i="6"/>
  <c r="W328" i="9"/>
  <c r="AQ328" i="9"/>
  <c r="O217" i="6"/>
  <c r="AK328" i="9"/>
  <c r="AE328" i="9"/>
  <c r="X328" i="9"/>
  <c r="AN327" i="9"/>
  <c r="AH327" i="9"/>
  <c r="AH326" i="9"/>
  <c r="AH333" i="9"/>
  <c r="X327" i="9"/>
  <c r="AZ327" i="9"/>
  <c r="P216" i="6"/>
  <c r="Q216" i="6" s="1"/>
  <c r="W327" i="9"/>
  <c r="AT327" i="9"/>
  <c r="O216" i="6"/>
  <c r="AN326" i="9"/>
  <c r="X326" i="9"/>
  <c r="W326" i="9"/>
  <c r="Y326" i="9"/>
  <c r="AT326" i="9"/>
  <c r="L323" i="9"/>
  <c r="K323" i="9"/>
  <c r="J323" i="9"/>
  <c r="AN322" i="9"/>
  <c r="AH322" i="9"/>
  <c r="Y322" i="9"/>
  <c r="AN321" i="9"/>
  <c r="AH321" i="9"/>
  <c r="AY320" i="9"/>
  <c r="P210" i="6"/>
  <c r="AM320" i="9"/>
  <c r="AG320" i="9"/>
  <c r="X320" i="9"/>
  <c r="AS320" i="9"/>
  <c r="O210" i="6"/>
  <c r="AX319" i="9"/>
  <c r="P209" i="6"/>
  <c r="AL319" i="9"/>
  <c r="AF319" i="9"/>
  <c r="X319" i="9"/>
  <c r="AR319" i="9"/>
  <c r="O209" i="6"/>
  <c r="AW318" i="9"/>
  <c r="P208" i="6"/>
  <c r="AK318" i="9"/>
  <c r="AE318" i="9"/>
  <c r="X318" i="9"/>
  <c r="AQ318" i="9"/>
  <c r="O208" i="6"/>
  <c r="AN317" i="9"/>
  <c r="AH317" i="9"/>
  <c r="AN316" i="9"/>
  <c r="AN323" i="9"/>
  <c r="AH316" i="9"/>
  <c r="X323" i="9"/>
  <c r="W323" i="9"/>
  <c r="L244" i="9"/>
  <c r="K244" i="9"/>
  <c r="K245" i="9"/>
  <c r="J244" i="9"/>
  <c r="AN243" i="9"/>
  <c r="AH243" i="9"/>
  <c r="AZ243" i="9"/>
  <c r="AT243" i="9"/>
  <c r="M243" i="9"/>
  <c r="AN242" i="9"/>
  <c r="AH242" i="9"/>
  <c r="AZ242" i="9"/>
  <c r="Y242" i="9"/>
  <c r="M242" i="9"/>
  <c r="AN241" i="9"/>
  <c r="AH241" i="9"/>
  <c r="AT241" i="9"/>
  <c r="M241" i="9"/>
  <c r="AT240" i="9"/>
  <c r="AN240" i="9"/>
  <c r="AH240" i="9"/>
  <c r="M240" i="9"/>
  <c r="AN239" i="9"/>
  <c r="AN244" i="9"/>
  <c r="AH239" i="9"/>
  <c r="AZ239" i="9"/>
  <c r="M239" i="9"/>
  <c r="M244" i="9"/>
  <c r="L236" i="9"/>
  <c r="K236" i="9"/>
  <c r="J236" i="9"/>
  <c r="AN235" i="9"/>
  <c r="AH235" i="9"/>
  <c r="AZ235" i="9"/>
  <c r="AT235" i="9"/>
  <c r="M235" i="9"/>
  <c r="M231" i="9"/>
  <c r="M232" i="9"/>
  <c r="M233" i="9"/>
  <c r="M234" i="9"/>
  <c r="M236" i="9"/>
  <c r="AN234" i="9"/>
  <c r="AH234" i="9"/>
  <c r="AZ234" i="9"/>
  <c r="AN233" i="9"/>
  <c r="AH233" i="9"/>
  <c r="AT233" i="9"/>
  <c r="AN232" i="9"/>
  <c r="AH232" i="9"/>
  <c r="AT232" i="9"/>
  <c r="AN231" i="9"/>
  <c r="AH231" i="9"/>
  <c r="AZ231" i="9"/>
  <c r="K229" i="9"/>
  <c r="AN227" i="9"/>
  <c r="X227" i="9"/>
  <c r="AZ227" i="9"/>
  <c r="W227" i="9"/>
  <c r="AH227" i="9"/>
  <c r="AN226" i="9"/>
  <c r="AN228" i="9"/>
  <c r="AO227" i="9"/>
  <c r="X226" i="9"/>
  <c r="W226" i="9"/>
  <c r="M221" i="9"/>
  <c r="M220" i="9"/>
  <c r="M223" i="9"/>
  <c r="M215" i="9"/>
  <c r="AI214" i="9"/>
  <c r="M214" i="9"/>
  <c r="M217" i="9"/>
  <c r="U210" i="9"/>
  <c r="U20" i="9"/>
  <c r="U211" i="9"/>
  <c r="T210" i="9"/>
  <c r="R210" i="9"/>
  <c r="R211" i="9"/>
  <c r="Q210" i="9"/>
  <c r="O210" i="9"/>
  <c r="N210" i="9"/>
  <c r="N211" i="9"/>
  <c r="AZ209" i="9"/>
  <c r="W209" i="9"/>
  <c r="Y209" i="9"/>
  <c r="V209" i="9"/>
  <c r="S209" i="9"/>
  <c r="P209" i="9"/>
  <c r="X208" i="9"/>
  <c r="P168" i="6"/>
  <c r="W208" i="9"/>
  <c r="AT208" i="9"/>
  <c r="V208" i="9"/>
  <c r="S208" i="9"/>
  <c r="P208" i="9"/>
  <c r="AZ207" i="9"/>
  <c r="W207" i="9"/>
  <c r="Y207" i="9"/>
  <c r="V207" i="9"/>
  <c r="S207" i="9"/>
  <c r="P207" i="9"/>
  <c r="X206" i="9"/>
  <c r="AZ206" i="9"/>
  <c r="W206" i="9"/>
  <c r="AT206" i="9"/>
  <c r="V206" i="9"/>
  <c r="V210" i="9"/>
  <c r="S206" i="9"/>
  <c r="S210" i="9"/>
  <c r="P206" i="9"/>
  <c r="P210" i="9"/>
  <c r="K204" i="9"/>
  <c r="AO200" i="9"/>
  <c r="AY190" i="9"/>
  <c r="AX190" i="9"/>
  <c r="AW190" i="9"/>
  <c r="AS190" i="9"/>
  <c r="AR190" i="9"/>
  <c r="AQ190" i="9"/>
  <c r="AC190" i="9"/>
  <c r="AB190" i="9"/>
  <c r="AA190" i="9"/>
  <c r="U187" i="9"/>
  <c r="T187" i="9"/>
  <c r="R187" i="9"/>
  <c r="Q187" i="9"/>
  <c r="O187" i="9"/>
  <c r="O20" i="9"/>
  <c r="O188" i="9"/>
  <c r="N187" i="9"/>
  <c r="W186" i="9"/>
  <c r="AT186" i="9"/>
  <c r="X186" i="9"/>
  <c r="Y186" i="9"/>
  <c r="P161" i="6"/>
  <c r="O161" i="6"/>
  <c r="V186" i="9"/>
  <c r="S186" i="9"/>
  <c r="P186" i="9"/>
  <c r="AZ185" i="9"/>
  <c r="W185" i="9"/>
  <c r="AT185" i="9"/>
  <c r="V185" i="9"/>
  <c r="S185" i="9"/>
  <c r="P185" i="9"/>
  <c r="AZ184" i="9"/>
  <c r="X183" i="9"/>
  <c r="AZ183" i="9"/>
  <c r="W183" i="9"/>
  <c r="AT183" i="9"/>
  <c r="V183" i="9"/>
  <c r="S183" i="9"/>
  <c r="P183" i="9"/>
  <c r="AZ182" i="9"/>
  <c r="W182" i="9"/>
  <c r="AT182" i="9"/>
  <c r="V182" i="9"/>
  <c r="S182" i="9"/>
  <c r="P182" i="9"/>
  <c r="X181" i="9"/>
  <c r="P157" i="6"/>
  <c r="P162" i="6" s="1"/>
  <c r="W181" i="9"/>
  <c r="AT181" i="9"/>
  <c r="V181" i="9"/>
  <c r="S181" i="9"/>
  <c r="P181" i="9"/>
  <c r="X180" i="9"/>
  <c r="P156" i="6"/>
  <c r="W180" i="9"/>
  <c r="AT180" i="9"/>
  <c r="V180" i="9"/>
  <c r="S180" i="9"/>
  <c r="P180" i="9"/>
  <c r="X179" i="9"/>
  <c r="AZ179" i="9"/>
  <c r="W179" i="9"/>
  <c r="AT179" i="9"/>
  <c r="V179" i="9"/>
  <c r="S179" i="9"/>
  <c r="P179" i="9"/>
  <c r="AZ178" i="9"/>
  <c r="W178" i="9"/>
  <c r="Y178" i="9"/>
  <c r="V178" i="9"/>
  <c r="S178" i="9"/>
  <c r="P178" i="9"/>
  <c r="U177" i="9"/>
  <c r="T177" i="9"/>
  <c r="V177" i="9"/>
  <c r="R177" i="9"/>
  <c r="Q177" i="9"/>
  <c r="O177" i="9"/>
  <c r="N177" i="9"/>
  <c r="U174" i="9"/>
  <c r="T174" i="9"/>
  <c r="T489" i="9"/>
  <c r="R174" i="9"/>
  <c r="R489" i="9"/>
  <c r="R491" i="9"/>
  <c r="Q174" i="9"/>
  <c r="Q489" i="9"/>
  <c r="O174" i="9"/>
  <c r="N174" i="9"/>
  <c r="N489" i="9"/>
  <c r="N491" i="9"/>
  <c r="X173" i="9"/>
  <c r="P150" i="6"/>
  <c r="W173" i="9"/>
  <c r="AT173" i="9"/>
  <c r="V173" i="9"/>
  <c r="S173" i="9"/>
  <c r="P173" i="9"/>
  <c r="X172" i="9"/>
  <c r="W172" i="9"/>
  <c r="Y172" i="9"/>
  <c r="AT172" i="9"/>
  <c r="V172" i="9"/>
  <c r="S172" i="9"/>
  <c r="P172" i="9"/>
  <c r="X171" i="9"/>
  <c r="AZ171" i="9"/>
  <c r="W171" i="9"/>
  <c r="AT171" i="9"/>
  <c r="V171" i="9"/>
  <c r="S171" i="9"/>
  <c r="P171" i="9"/>
  <c r="X170" i="9"/>
  <c r="P147" i="6"/>
  <c r="W170" i="9"/>
  <c r="AT170" i="9"/>
  <c r="V170" i="9"/>
  <c r="S170" i="9"/>
  <c r="P170" i="9"/>
  <c r="X169" i="9"/>
  <c r="P146" i="6"/>
  <c r="W169" i="9"/>
  <c r="AT169" i="9"/>
  <c r="V169" i="9"/>
  <c r="S169" i="9"/>
  <c r="P169" i="9"/>
  <c r="L166" i="9"/>
  <c r="K166" i="9"/>
  <c r="J166" i="9"/>
  <c r="AN165" i="9"/>
  <c r="AH165" i="9"/>
  <c r="AZ165" i="9"/>
  <c r="W165" i="9"/>
  <c r="AT165" i="9"/>
  <c r="M165" i="9"/>
  <c r="M164" i="9"/>
  <c r="M166" i="9"/>
  <c r="AN164" i="9"/>
  <c r="AH164" i="9"/>
  <c r="X164" i="9"/>
  <c r="AZ164" i="9"/>
  <c r="W164" i="9"/>
  <c r="W166" i="9"/>
  <c r="L161" i="9"/>
  <c r="K161" i="9"/>
  <c r="J161" i="9"/>
  <c r="AN160" i="9"/>
  <c r="AH160" i="9"/>
  <c r="AZ160" i="9"/>
  <c r="AT160" i="9"/>
  <c r="M160" i="9"/>
  <c r="AN159" i="9"/>
  <c r="AH159" i="9"/>
  <c r="AT159" i="9"/>
  <c r="M159" i="9"/>
  <c r="AN158" i="9"/>
  <c r="AH158" i="9"/>
  <c r="AZ158" i="9"/>
  <c r="AT158" i="9"/>
  <c r="M158" i="9"/>
  <c r="AN157" i="9"/>
  <c r="AH157" i="9"/>
  <c r="AZ157" i="9"/>
  <c r="AT157" i="9"/>
  <c r="M157" i="9"/>
  <c r="AN156" i="9"/>
  <c r="AN155" i="9"/>
  <c r="AN161" i="9"/>
  <c r="AH156" i="9"/>
  <c r="AZ156" i="9"/>
  <c r="AT156" i="9"/>
  <c r="M156" i="9"/>
  <c r="AH155" i="9"/>
  <c r="AH161" i="9"/>
  <c r="AT155" i="9"/>
  <c r="M155" i="9"/>
  <c r="N152" i="9"/>
  <c r="N153" i="9"/>
  <c r="U152" i="9"/>
  <c r="T152" i="9"/>
  <c r="T20" i="9"/>
  <c r="T153" i="9"/>
  <c r="R152" i="9"/>
  <c r="R153" i="9"/>
  <c r="Q152" i="9"/>
  <c r="O152" i="9"/>
  <c r="X151" i="9"/>
  <c r="P131" i="6"/>
  <c r="W151" i="9"/>
  <c r="AT151" i="9"/>
  <c r="V151" i="9"/>
  <c r="S151" i="9"/>
  <c r="P151" i="9"/>
  <c r="X150" i="9"/>
  <c r="W150" i="9"/>
  <c r="AT150" i="9"/>
  <c r="V150" i="9"/>
  <c r="V152" i="9"/>
  <c r="S150" i="9"/>
  <c r="P150" i="9"/>
  <c r="AU147" i="9"/>
  <c r="L147" i="9"/>
  <c r="K147" i="9"/>
  <c r="J147" i="9"/>
  <c r="AU146" i="9"/>
  <c r="AN146" i="9"/>
  <c r="AH146" i="9"/>
  <c r="AT146" i="9"/>
  <c r="M146" i="9"/>
  <c r="AU145" i="9"/>
  <c r="AT145" i="9"/>
  <c r="AN145" i="9"/>
  <c r="AH145" i="9"/>
  <c r="AZ145" i="9"/>
  <c r="M145" i="9"/>
  <c r="AU144" i="9"/>
  <c r="AN144" i="9"/>
  <c r="AH144" i="9"/>
  <c r="AZ144" i="9"/>
  <c r="M144" i="9"/>
  <c r="AU143" i="9"/>
  <c r="AN143" i="9"/>
  <c r="AH143" i="9"/>
  <c r="AT143" i="9"/>
  <c r="M143" i="9"/>
  <c r="AU142" i="9"/>
  <c r="AN142" i="9"/>
  <c r="AH142" i="9"/>
  <c r="Y142" i="9"/>
  <c r="AT142" i="9"/>
  <c r="M142" i="9"/>
  <c r="AZ141" i="9"/>
  <c r="AU141" i="9"/>
  <c r="AN141" i="9"/>
  <c r="AH141" i="9"/>
  <c r="Y141" i="9"/>
  <c r="AT141" i="9"/>
  <c r="M141" i="9"/>
  <c r="AU140" i="9"/>
  <c r="AN140" i="9"/>
  <c r="AH140" i="9"/>
  <c r="AZ140" i="9"/>
  <c r="M140" i="9"/>
  <c r="AU139" i="9"/>
  <c r="AN139" i="9"/>
  <c r="AH139" i="9"/>
  <c r="AZ139" i="9"/>
  <c r="AT139" i="9"/>
  <c r="M139" i="9"/>
  <c r="AU138" i="9"/>
  <c r="AN138" i="9"/>
  <c r="AH138" i="9"/>
  <c r="M138" i="9"/>
  <c r="AZ137" i="9"/>
  <c r="AU137" i="9"/>
  <c r="AN137" i="9"/>
  <c r="AH137" i="9"/>
  <c r="Y137" i="9"/>
  <c r="M137" i="9"/>
  <c r="V120" i="9"/>
  <c r="S120" i="9"/>
  <c r="P120" i="9"/>
  <c r="V119" i="9"/>
  <c r="V121" i="9"/>
  <c r="V122" i="9"/>
  <c r="S119" i="9"/>
  <c r="S121" i="9"/>
  <c r="S122" i="9"/>
  <c r="P119" i="9"/>
  <c r="P117" i="9"/>
  <c r="V116" i="9"/>
  <c r="P71" i="9"/>
  <c r="V63" i="9"/>
  <c r="V96" i="9"/>
  <c r="S96" i="9"/>
  <c r="P96" i="9"/>
  <c r="Y95" i="9"/>
  <c r="Y94" i="9"/>
  <c r="Y93" i="9"/>
  <c r="Y92" i="9"/>
  <c r="V88" i="9"/>
  <c r="S88" i="9"/>
  <c r="P88" i="9"/>
  <c r="Y87" i="9"/>
  <c r="Y86" i="9"/>
  <c r="Y85" i="9"/>
  <c r="Y84" i="9"/>
  <c r="V81" i="9"/>
  <c r="S81" i="9"/>
  <c r="P81" i="9"/>
  <c r="Y80" i="9"/>
  <c r="Y79" i="9"/>
  <c r="Y78" i="9"/>
  <c r="Y77" i="9"/>
  <c r="Y81" i="9"/>
  <c r="Z81" i="9"/>
  <c r="U73" i="9"/>
  <c r="U74" i="9"/>
  <c r="T73" i="9"/>
  <c r="T74" i="9"/>
  <c r="R73" i="9"/>
  <c r="Q73" i="9"/>
  <c r="O73" i="9"/>
  <c r="N73" i="9"/>
  <c r="N74" i="9"/>
  <c r="AZ72" i="9"/>
  <c r="W72" i="9"/>
  <c r="AT72" i="9"/>
  <c r="V72" i="9"/>
  <c r="S72" i="9"/>
  <c r="P72" i="9"/>
  <c r="X71" i="9"/>
  <c r="AZ71" i="9"/>
  <c r="W71" i="9"/>
  <c r="AT71" i="9"/>
  <c r="P74" i="6"/>
  <c r="Y71" i="9"/>
  <c r="V71" i="9"/>
  <c r="S71" i="9"/>
  <c r="W70" i="9"/>
  <c r="AT70" i="9"/>
  <c r="V70" i="9"/>
  <c r="S70" i="9"/>
  <c r="P70" i="9"/>
  <c r="X69" i="9"/>
  <c r="AZ69" i="9"/>
  <c r="W69" i="9"/>
  <c r="AT69" i="9"/>
  <c r="P72" i="6"/>
  <c r="O72" i="6"/>
  <c r="V69" i="9"/>
  <c r="S69" i="9"/>
  <c r="P69" i="9"/>
  <c r="X68" i="9"/>
  <c r="P71" i="6"/>
  <c r="W68" i="9"/>
  <c r="AT68" i="9"/>
  <c r="V68" i="9"/>
  <c r="V73" i="9"/>
  <c r="S68" i="9"/>
  <c r="S73" i="9"/>
  <c r="P68" i="9"/>
  <c r="P73" i="9"/>
  <c r="U65" i="9"/>
  <c r="T65" i="9"/>
  <c r="T66" i="9"/>
  <c r="R65" i="9"/>
  <c r="Q65" i="9"/>
  <c r="O65" i="9"/>
  <c r="N65" i="9"/>
  <c r="N66" i="9"/>
  <c r="X64" i="9"/>
  <c r="P68" i="6"/>
  <c r="W64" i="9"/>
  <c r="AT64" i="9"/>
  <c r="V64" i="9"/>
  <c r="S64" i="9"/>
  <c r="P64" i="9"/>
  <c r="W63" i="9"/>
  <c r="AT63" i="9"/>
  <c r="Y63" i="9"/>
  <c r="AZ63" i="9"/>
  <c r="O67" i="6"/>
  <c r="S63" i="9"/>
  <c r="P63" i="9"/>
  <c r="X62" i="9"/>
  <c r="P66" i="6"/>
  <c r="W62" i="9"/>
  <c r="AT62" i="9"/>
  <c r="V62" i="9"/>
  <c r="S62" i="9"/>
  <c r="P62" i="9"/>
  <c r="AZ61" i="9"/>
  <c r="W61" i="9"/>
  <c r="AT61" i="9"/>
  <c r="AT65" i="9"/>
  <c r="W65" i="9"/>
  <c r="V61" i="9"/>
  <c r="V65" i="9"/>
  <c r="S61" i="9"/>
  <c r="P61" i="9"/>
  <c r="L58" i="9"/>
  <c r="K58" i="9"/>
  <c r="J58" i="9"/>
  <c r="AN57" i="9"/>
  <c r="AH57" i="9"/>
  <c r="AT57" i="9"/>
  <c r="M57" i="9"/>
  <c r="AN56" i="9"/>
  <c r="AH56" i="9"/>
  <c r="AT56" i="9"/>
  <c r="M56" i="9"/>
  <c r="AZ55" i="9"/>
  <c r="AN55" i="9"/>
  <c r="AH55" i="9"/>
  <c r="AT55" i="9"/>
  <c r="M55" i="9"/>
  <c r="AN54" i="9"/>
  <c r="AH54" i="9"/>
  <c r="AZ54" i="9"/>
  <c r="AT54" i="9"/>
  <c r="M54" i="9"/>
  <c r="AN53" i="9"/>
  <c r="AH53" i="9"/>
  <c r="AZ53" i="9"/>
  <c r="AT53" i="9"/>
  <c r="M53" i="9"/>
  <c r="AN52" i="9"/>
  <c r="AH52" i="9"/>
  <c r="AT52" i="9"/>
  <c r="M52" i="9"/>
  <c r="AN51" i="9"/>
  <c r="AH51" i="9"/>
  <c r="AZ51" i="9"/>
  <c r="AT51" i="9"/>
  <c r="M51" i="9"/>
  <c r="AN50" i="9"/>
  <c r="AH50" i="9"/>
  <c r="AZ50" i="9"/>
  <c r="AT50" i="9"/>
  <c r="M50" i="9"/>
  <c r="AN49" i="9"/>
  <c r="AH49" i="9"/>
  <c r="Y49" i="9"/>
  <c r="AZ49" i="9"/>
  <c r="AT49" i="9"/>
  <c r="M49" i="9"/>
  <c r="AN48" i="9"/>
  <c r="AH48" i="9"/>
  <c r="AT48" i="9"/>
  <c r="M48" i="9"/>
  <c r="AN47" i="9"/>
  <c r="AH47" i="9"/>
  <c r="AT47" i="9"/>
  <c r="M47" i="9"/>
  <c r="AN46" i="9"/>
  <c r="AH46" i="9"/>
  <c r="AZ46" i="9"/>
  <c r="AT46" i="9"/>
  <c r="M46" i="9"/>
  <c r="AN45" i="9"/>
  <c r="AH45" i="9"/>
  <c r="AT45" i="9"/>
  <c r="M45" i="9"/>
  <c r="AN44" i="9"/>
  <c r="AH44" i="9"/>
  <c r="AH58" i="9"/>
  <c r="AT44" i="9"/>
  <c r="M44" i="9"/>
  <c r="U41" i="9"/>
  <c r="U42" i="9"/>
  <c r="T41" i="9"/>
  <c r="T42" i="9"/>
  <c r="R41" i="9"/>
  <c r="R42" i="9"/>
  <c r="Q41" i="9"/>
  <c r="O41" i="9"/>
  <c r="N41" i="9"/>
  <c r="N42" i="9"/>
  <c r="X40" i="9"/>
  <c r="AZ40" i="9"/>
  <c r="W40" i="9"/>
  <c r="AT40" i="9"/>
  <c r="V40" i="9"/>
  <c r="S40" i="9"/>
  <c r="P40" i="9"/>
  <c r="X39" i="9"/>
  <c r="AZ39" i="9"/>
  <c r="W39" i="9"/>
  <c r="AT39" i="9"/>
  <c r="V39" i="9"/>
  <c r="S39" i="9"/>
  <c r="P39" i="9"/>
  <c r="X38" i="9"/>
  <c r="AZ38" i="9"/>
  <c r="W38" i="9"/>
  <c r="W41" i="9"/>
  <c r="V38" i="9"/>
  <c r="V41" i="9"/>
  <c r="S38" i="9"/>
  <c r="P38" i="9"/>
  <c r="AN32" i="9"/>
  <c r="AH32" i="9"/>
  <c r="W32" i="9"/>
  <c r="AT32" i="9"/>
  <c r="AH31" i="9"/>
  <c r="AZ31" i="9"/>
  <c r="AN30" i="9"/>
  <c r="L26" i="9"/>
  <c r="K26" i="9"/>
  <c r="J26" i="9"/>
  <c r="AT25" i="9"/>
  <c r="AN25" i="9"/>
  <c r="AH25" i="9"/>
  <c r="P27" i="6"/>
  <c r="P28" i="6" s="1"/>
  <c r="O27" i="6"/>
  <c r="M25" i="9"/>
  <c r="AN24" i="9"/>
  <c r="AN23" i="9"/>
  <c r="AN26" i="9"/>
  <c r="AH24" i="9"/>
  <c r="AZ24" i="9"/>
  <c r="AT24" i="9"/>
  <c r="M24" i="9"/>
  <c r="M23" i="9"/>
  <c r="M26" i="9"/>
  <c r="AH23" i="9"/>
  <c r="X26" i="9"/>
  <c r="W26" i="9"/>
  <c r="W18" i="9"/>
  <c r="W19" i="9"/>
  <c r="W20" i="9"/>
  <c r="O38" i="6"/>
  <c r="Q20" i="9"/>
  <c r="Q66" i="9"/>
  <c r="AN19" i="9"/>
  <c r="AH19" i="9"/>
  <c r="X19" i="9"/>
  <c r="AT19" i="9"/>
  <c r="V19" i="9"/>
  <c r="S19" i="9"/>
  <c r="P19" i="9"/>
  <c r="AN18" i="9"/>
  <c r="AN20" i="9"/>
  <c r="AH18" i="9"/>
  <c r="AH20" i="9"/>
  <c r="X18" i="9"/>
  <c r="AT18" i="9"/>
  <c r="AT20" i="9"/>
  <c r="V18" i="9"/>
  <c r="V20" i="9"/>
  <c r="S18" i="9"/>
  <c r="P18" i="9"/>
  <c r="AN13" i="9"/>
  <c r="AN14" i="9"/>
  <c r="AN15" i="9"/>
  <c r="K33" i="9"/>
  <c r="J162" i="9"/>
  <c r="AH14" i="9"/>
  <c r="W15" i="9"/>
  <c r="M14" i="9"/>
  <c r="AH13" i="9"/>
  <c r="AT13" i="9"/>
  <c r="M13" i="9"/>
  <c r="M15" i="9"/>
  <c r="X570" i="8"/>
  <c r="L454" i="6"/>
  <c r="W619" i="8"/>
  <c r="K450" i="6"/>
  <c r="X616" i="8"/>
  <c r="L447" i="6"/>
  <c r="M447" i="6" s="1"/>
  <c r="X614" i="8"/>
  <c r="L445" i="6"/>
  <c r="W613" i="8"/>
  <c r="K444" i="6"/>
  <c r="M444" i="6" s="1"/>
  <c r="X612" i="8"/>
  <c r="L443" i="6"/>
  <c r="W611" i="8"/>
  <c r="K442" i="6"/>
  <c r="W596" i="8"/>
  <c r="K429" i="6"/>
  <c r="X595" i="8"/>
  <c r="L428" i="6"/>
  <c r="X593" i="8"/>
  <c r="L426" i="6"/>
  <c r="X588" i="8"/>
  <c r="L422" i="6"/>
  <c r="M422" i="6" s="1"/>
  <c r="W587" i="8"/>
  <c r="K421" i="6"/>
  <c r="X586" i="8"/>
  <c r="L420" i="6"/>
  <c r="W585" i="8"/>
  <c r="K419" i="6"/>
  <c r="X584" i="8"/>
  <c r="L418" i="6"/>
  <c r="M418" i="6" s="1"/>
  <c r="W583" i="8"/>
  <c r="K417" i="6"/>
  <c r="X579" i="8"/>
  <c r="L414" i="6"/>
  <c r="X577" i="8"/>
  <c r="L412" i="6"/>
  <c r="X537" i="8"/>
  <c r="L388" i="6"/>
  <c r="X535" i="8"/>
  <c r="L386" i="6"/>
  <c r="X523" i="8"/>
  <c r="L378" i="6"/>
  <c r="X519" i="8"/>
  <c r="L374" i="6"/>
  <c r="W511" i="8"/>
  <c r="K367" i="6"/>
  <c r="W504" i="8"/>
  <c r="K361" i="6"/>
  <c r="X478" i="8"/>
  <c r="L349" i="6"/>
  <c r="W478" i="8"/>
  <c r="K349" i="6"/>
  <c r="X476" i="8"/>
  <c r="L347" i="6"/>
  <c r="M347" i="6" s="1"/>
  <c r="W476" i="8"/>
  <c r="K347" i="6"/>
  <c r="X474" i="8"/>
  <c r="L345" i="6"/>
  <c r="W474" i="8"/>
  <c r="K345" i="6"/>
  <c r="W472" i="8"/>
  <c r="K343" i="6"/>
  <c r="X458" i="8"/>
  <c r="L331" i="6"/>
  <c r="W458" i="8"/>
  <c r="K331" i="6"/>
  <c r="M331" i="6" s="1"/>
  <c r="X439" i="8"/>
  <c r="L318" i="6"/>
  <c r="W439" i="8"/>
  <c r="K318" i="6"/>
  <c r="W435" i="8"/>
  <c r="K314" i="6"/>
  <c r="X433" i="8"/>
  <c r="L312" i="6"/>
  <c r="W433" i="8"/>
  <c r="K312" i="6"/>
  <c r="W424" i="8"/>
  <c r="AT424" i="8"/>
  <c r="K304" i="6"/>
  <c r="X413" i="8"/>
  <c r="L298" i="6"/>
  <c r="W413" i="8"/>
  <c r="K298" i="6"/>
  <c r="W411" i="8"/>
  <c r="K296" i="6"/>
  <c r="W405" i="8"/>
  <c r="K289" i="6"/>
  <c r="W403" i="8"/>
  <c r="K287" i="6"/>
  <c r="X391" i="8"/>
  <c r="L275" i="6"/>
  <c r="W391" i="8"/>
  <c r="K275" i="6"/>
  <c r="W376" i="8"/>
  <c r="K262" i="6"/>
  <c r="W366" i="8"/>
  <c r="AR366" i="8"/>
  <c r="K251" i="6"/>
  <c r="W337" i="8"/>
  <c r="AT337" i="8"/>
  <c r="K225" i="6"/>
  <c r="W330" i="8"/>
  <c r="AS330" i="8"/>
  <c r="K219" i="6"/>
  <c r="W328" i="8"/>
  <c r="AQ328" i="8"/>
  <c r="K217" i="6"/>
  <c r="AR319" i="8"/>
  <c r="K209" i="6"/>
  <c r="X186" i="8"/>
  <c r="L161" i="6"/>
  <c r="X183" i="8"/>
  <c r="L159" i="6"/>
  <c r="X173" i="8"/>
  <c r="L150" i="6"/>
  <c r="X164" i="8"/>
  <c r="L142" i="6"/>
  <c r="X71" i="8"/>
  <c r="L74" i="6"/>
  <c r="X69" i="8"/>
  <c r="L72" i="6"/>
  <c r="X64" i="8"/>
  <c r="L68" i="6"/>
  <c r="X40" i="8"/>
  <c r="L46" i="6"/>
  <c r="T9" i="8"/>
  <c r="V670" i="8"/>
  <c r="S670" i="8"/>
  <c r="P670" i="8"/>
  <c r="Y669" i="8"/>
  <c r="Y668" i="8"/>
  <c r="Y667" i="8"/>
  <c r="Y666" i="8"/>
  <c r="Y665" i="8"/>
  <c r="Y670" i="8"/>
  <c r="V663" i="8"/>
  <c r="S663" i="8"/>
  <c r="P663" i="8"/>
  <c r="Y662" i="8"/>
  <c r="Y661" i="8"/>
  <c r="Y660" i="8"/>
  <c r="Y659" i="8"/>
  <c r="Y658" i="8"/>
  <c r="Y657" i="8"/>
  <c r="Y656" i="8"/>
  <c r="Y655" i="8"/>
  <c r="Y654" i="8"/>
  <c r="Y649" i="8"/>
  <c r="P648" i="8"/>
  <c r="S648" i="8"/>
  <c r="V648" i="8"/>
  <c r="Y648" i="8"/>
  <c r="V650" i="8"/>
  <c r="V651" i="8"/>
  <c r="S650" i="8"/>
  <c r="S651" i="8"/>
  <c r="P650" i="8"/>
  <c r="P651" i="8"/>
  <c r="AC647" i="8"/>
  <c r="AB647" i="8"/>
  <c r="AA647" i="8"/>
  <c r="Y646" i="8"/>
  <c r="Y642" i="8"/>
  <c r="V641" i="8"/>
  <c r="P641" i="8"/>
  <c r="S641" i="8"/>
  <c r="Y641" i="8"/>
  <c r="S643" i="8"/>
  <c r="S644" i="8"/>
  <c r="P643" i="8"/>
  <c r="P644" i="8"/>
  <c r="AC640" i="8"/>
  <c r="AB640" i="8"/>
  <c r="AA640" i="8"/>
  <c r="Y639" i="8"/>
  <c r="V634" i="8"/>
  <c r="V636" i="8"/>
  <c r="V637" i="8"/>
  <c r="Y635" i="8"/>
  <c r="S634" i="8"/>
  <c r="S636" i="8"/>
  <c r="S637" i="8"/>
  <c r="P634" i="8"/>
  <c r="P636" i="8"/>
  <c r="P637" i="8"/>
  <c r="AC633" i="8"/>
  <c r="AB633" i="8"/>
  <c r="AA633" i="8"/>
  <c r="Y632" i="8"/>
  <c r="V628" i="8"/>
  <c r="V629" i="8"/>
  <c r="S628" i="8"/>
  <c r="S629" i="8"/>
  <c r="P628" i="8"/>
  <c r="P629" i="8"/>
  <c r="Y627" i="8"/>
  <c r="Y626" i="8"/>
  <c r="Y625" i="8"/>
  <c r="Y624" i="8"/>
  <c r="Y623" i="8"/>
  <c r="L620" i="8"/>
  <c r="L621" i="8"/>
  <c r="K620" i="8"/>
  <c r="K621" i="8"/>
  <c r="J620" i="8"/>
  <c r="J621" i="8"/>
  <c r="AN619" i="8"/>
  <c r="AH619" i="8"/>
  <c r="X619" i="8"/>
  <c r="AZ619" i="8"/>
  <c r="M619" i="8"/>
  <c r="AN618" i="8"/>
  <c r="AH618" i="8"/>
  <c r="X618" i="8"/>
  <c r="AZ618" i="8"/>
  <c r="W618" i="8"/>
  <c r="AT618" i="8"/>
  <c r="M618" i="8"/>
  <c r="AN617" i="8"/>
  <c r="AH617" i="8"/>
  <c r="X617" i="8"/>
  <c r="L448" i="6"/>
  <c r="W617" i="8"/>
  <c r="AT617" i="8"/>
  <c r="M617" i="8"/>
  <c r="AN616" i="8"/>
  <c r="AH616" i="8"/>
  <c r="W616" i="8"/>
  <c r="Y616" i="8"/>
  <c r="AZ616" i="8"/>
  <c r="AT616" i="8"/>
  <c r="M616" i="8"/>
  <c r="AN615" i="8"/>
  <c r="AH615" i="8"/>
  <c r="X615" i="8"/>
  <c r="AZ615" i="8"/>
  <c r="W615" i="8"/>
  <c r="Y615" i="8"/>
  <c r="M615" i="8"/>
  <c r="AN614" i="8"/>
  <c r="AH614" i="8"/>
  <c r="AZ614" i="8"/>
  <c r="W614" i="8"/>
  <c r="AT614" i="8"/>
  <c r="M614" i="8"/>
  <c r="AN613" i="8"/>
  <c r="AH613" i="8"/>
  <c r="X613" i="8"/>
  <c r="L444" i="6"/>
  <c r="AT613" i="8"/>
  <c r="M613" i="8"/>
  <c r="AN612" i="8"/>
  <c r="AH612" i="8"/>
  <c r="AZ612" i="8"/>
  <c r="W612" i="8"/>
  <c r="AT612" i="8"/>
  <c r="M612" i="8"/>
  <c r="AN611" i="8"/>
  <c r="AH611" i="8"/>
  <c r="AH620" i="8"/>
  <c r="AI615" i="8"/>
  <c r="X611" i="8"/>
  <c r="AZ611" i="8"/>
  <c r="M611" i="8"/>
  <c r="M620" i="8"/>
  <c r="K607" i="8"/>
  <c r="K608" i="8"/>
  <c r="L607" i="8"/>
  <c r="L608" i="8"/>
  <c r="J607" i="8"/>
  <c r="J608" i="8"/>
  <c r="AN606" i="8"/>
  <c r="AH606" i="8"/>
  <c r="M606" i="8"/>
  <c r="M600" i="8"/>
  <c r="M601" i="8"/>
  <c r="M605" i="8"/>
  <c r="M607" i="8"/>
  <c r="AN605" i="8"/>
  <c r="AH605" i="8"/>
  <c r="Y605" i="8"/>
  <c r="AM604" i="8"/>
  <c r="AG604" i="8"/>
  <c r="X604" i="8"/>
  <c r="AL603" i="8"/>
  <c r="AF603" i="8"/>
  <c r="X603" i="8"/>
  <c r="AK602" i="8"/>
  <c r="AE602" i="8"/>
  <c r="X602" i="8"/>
  <c r="AN601" i="8"/>
  <c r="AH601" i="8"/>
  <c r="AN600" i="8"/>
  <c r="AH600" i="8"/>
  <c r="K597" i="8"/>
  <c r="K598" i="8"/>
  <c r="L597" i="8"/>
  <c r="L598" i="8"/>
  <c r="J597" i="8"/>
  <c r="J598" i="8"/>
  <c r="AN596" i="8"/>
  <c r="AH596" i="8"/>
  <c r="X596" i="8"/>
  <c r="AZ596" i="8"/>
  <c r="M596" i="8"/>
  <c r="AZ595" i="8"/>
  <c r="AN595" i="8"/>
  <c r="AH595" i="8"/>
  <c r="W595" i="8"/>
  <c r="Y595" i="8"/>
  <c r="K428" i="6"/>
  <c r="M595" i="8"/>
  <c r="AN594" i="8"/>
  <c r="AH594" i="8"/>
  <c r="X594" i="8"/>
  <c r="AZ594" i="8"/>
  <c r="W594" i="8"/>
  <c r="AT594" i="8"/>
  <c r="M594" i="8"/>
  <c r="AN593" i="8"/>
  <c r="AH593" i="8"/>
  <c r="AZ593" i="8"/>
  <c r="W593" i="8"/>
  <c r="Y593" i="8"/>
  <c r="M593" i="8"/>
  <c r="AN592" i="8"/>
  <c r="AN597" i="8"/>
  <c r="AH592" i="8"/>
  <c r="X592" i="8"/>
  <c r="L425" i="6"/>
  <c r="W592" i="8"/>
  <c r="K425" i="6"/>
  <c r="M592" i="8"/>
  <c r="M597" i="8"/>
  <c r="L589" i="8"/>
  <c r="L590" i="8"/>
  <c r="K589" i="8"/>
  <c r="K590" i="8"/>
  <c r="J589" i="8"/>
  <c r="J590" i="8"/>
  <c r="AN588" i="8"/>
  <c r="AH588" i="8"/>
  <c r="W588" i="8"/>
  <c r="AT588" i="8"/>
  <c r="M588" i="8"/>
  <c r="AN587" i="8"/>
  <c r="AH587" i="8"/>
  <c r="X587" i="8"/>
  <c r="L421" i="6"/>
  <c r="AT587" i="8"/>
  <c r="M587" i="8"/>
  <c r="AN586" i="8"/>
  <c r="AH586" i="8"/>
  <c r="AZ586" i="8"/>
  <c r="W586" i="8"/>
  <c r="AT586" i="8"/>
  <c r="M586" i="8"/>
  <c r="AN585" i="8"/>
  <c r="AH585" i="8"/>
  <c r="X585" i="8"/>
  <c r="AZ585" i="8"/>
  <c r="AT585" i="8"/>
  <c r="M585" i="8"/>
  <c r="AN584" i="8"/>
  <c r="AH584" i="8"/>
  <c r="W584" i="8"/>
  <c r="AT584" i="8"/>
  <c r="M584" i="8"/>
  <c r="AN583" i="8"/>
  <c r="AH583" i="8"/>
  <c r="AH589" i="8"/>
  <c r="AI584" i="8"/>
  <c r="X583" i="8"/>
  <c r="L417" i="6"/>
  <c r="M583" i="8"/>
  <c r="M589" i="8"/>
  <c r="L580" i="8"/>
  <c r="K580" i="8"/>
  <c r="J580" i="8"/>
  <c r="AN579" i="8"/>
  <c r="AN576" i="8"/>
  <c r="AN577" i="8"/>
  <c r="AN578" i="8"/>
  <c r="AN580" i="8"/>
  <c r="AH579" i="8"/>
  <c r="W579" i="8"/>
  <c r="K414" i="6"/>
  <c r="M579" i="8"/>
  <c r="AH578" i="8"/>
  <c r="X578" i="8"/>
  <c r="L413" i="6"/>
  <c r="W578" i="8"/>
  <c r="AT578" i="8"/>
  <c r="M578" i="8"/>
  <c r="AZ577" i="8"/>
  <c r="AH577" i="8"/>
  <c r="W577" i="8"/>
  <c r="AT577" i="8"/>
  <c r="M577" i="8"/>
  <c r="AH576" i="8"/>
  <c r="AZ576" i="8"/>
  <c r="W580" i="8"/>
  <c r="M576" i="8"/>
  <c r="U572" i="8"/>
  <c r="T572" i="8"/>
  <c r="R572" i="8"/>
  <c r="Q572" i="8"/>
  <c r="O572" i="8"/>
  <c r="N572" i="8"/>
  <c r="X571" i="8"/>
  <c r="AZ571" i="8"/>
  <c r="W571" i="8"/>
  <c r="K455" i="6"/>
  <c r="V571" i="8"/>
  <c r="S571" i="8"/>
  <c r="P571" i="8"/>
  <c r="AZ570" i="8"/>
  <c r="W570" i="8"/>
  <c r="K454" i="6"/>
  <c r="V570" i="8"/>
  <c r="S570" i="8"/>
  <c r="P570" i="8"/>
  <c r="R515" i="8"/>
  <c r="T508" i="8"/>
  <c r="V546" i="8"/>
  <c r="V547" i="8"/>
  <c r="S546" i="8"/>
  <c r="S547" i="8"/>
  <c r="P546" i="8"/>
  <c r="P547" i="8"/>
  <c r="Y545" i="8"/>
  <c r="Y544" i="8"/>
  <c r="Y543" i="8"/>
  <c r="AC540" i="8"/>
  <c r="AB540" i="8"/>
  <c r="AA540" i="8"/>
  <c r="U538" i="8"/>
  <c r="T538" i="8"/>
  <c r="R538" i="8"/>
  <c r="Q538" i="8"/>
  <c r="O538" i="8"/>
  <c r="N538" i="8"/>
  <c r="AZ537" i="8"/>
  <c r="W537" i="8"/>
  <c r="AT537" i="8"/>
  <c r="V537" i="8"/>
  <c r="V535" i="8"/>
  <c r="V536" i="8"/>
  <c r="V538" i="8"/>
  <c r="S537" i="8"/>
  <c r="P537" i="8"/>
  <c r="X536" i="8"/>
  <c r="AZ536" i="8"/>
  <c r="W536" i="8"/>
  <c r="AT536" i="8"/>
  <c r="S536" i="8"/>
  <c r="P536" i="8"/>
  <c r="AZ535" i="8"/>
  <c r="W535" i="8"/>
  <c r="S535" i="8"/>
  <c r="P535" i="8"/>
  <c r="P538" i="8"/>
  <c r="N528" i="8"/>
  <c r="N533" i="8"/>
  <c r="U528" i="8"/>
  <c r="T528" i="8"/>
  <c r="T533" i="8"/>
  <c r="R528" i="8"/>
  <c r="R533" i="8"/>
  <c r="Q528" i="8"/>
  <c r="Q533" i="8"/>
  <c r="O528" i="8"/>
  <c r="W528" i="8"/>
  <c r="K383" i="6"/>
  <c r="X527" i="8"/>
  <c r="L382" i="6"/>
  <c r="W527" i="8"/>
  <c r="V527" i="8"/>
  <c r="S527" i="8"/>
  <c r="P527" i="8"/>
  <c r="X526" i="8"/>
  <c r="AZ526" i="8"/>
  <c r="W526" i="8"/>
  <c r="AT526" i="8"/>
  <c r="V526" i="8"/>
  <c r="S526" i="8"/>
  <c r="P526" i="8"/>
  <c r="X525" i="8"/>
  <c r="L380" i="6"/>
  <c r="W525" i="8"/>
  <c r="AT525" i="8"/>
  <c r="V525" i="8"/>
  <c r="S525" i="8"/>
  <c r="P525" i="8"/>
  <c r="X524" i="8"/>
  <c r="AZ524" i="8"/>
  <c r="L379" i="6"/>
  <c r="W524" i="8"/>
  <c r="AT524" i="8"/>
  <c r="V524" i="8"/>
  <c r="S524" i="8"/>
  <c r="P524" i="8"/>
  <c r="AZ523" i="8"/>
  <c r="W523" i="8"/>
  <c r="AT523" i="8"/>
  <c r="V523" i="8"/>
  <c r="S523" i="8"/>
  <c r="P523" i="8"/>
  <c r="X522" i="8"/>
  <c r="AZ522" i="8"/>
  <c r="L377" i="6"/>
  <c r="W522" i="8"/>
  <c r="AT522" i="8"/>
  <c r="V522" i="8"/>
  <c r="S522" i="8"/>
  <c r="P522" i="8"/>
  <c r="X521" i="8"/>
  <c r="L376" i="6"/>
  <c r="W521" i="8"/>
  <c r="AT521" i="8"/>
  <c r="V521" i="8"/>
  <c r="S521" i="8"/>
  <c r="P521" i="8"/>
  <c r="X520" i="8"/>
  <c r="L375" i="6"/>
  <c r="W520" i="8"/>
  <c r="AT520" i="8"/>
  <c r="V520" i="8"/>
  <c r="S520" i="8"/>
  <c r="P520" i="8"/>
  <c r="AZ519" i="8"/>
  <c r="W519" i="8"/>
  <c r="AT519" i="8"/>
  <c r="V519" i="8"/>
  <c r="S519" i="8"/>
  <c r="P519" i="8"/>
  <c r="X518" i="8"/>
  <c r="L373" i="6"/>
  <c r="W518" i="8"/>
  <c r="Y518" i="8"/>
  <c r="V518" i="8"/>
  <c r="S518" i="8"/>
  <c r="P518" i="8"/>
  <c r="AN515" i="8"/>
  <c r="AO515" i="8"/>
  <c r="AH515" i="8"/>
  <c r="AI515" i="8"/>
  <c r="U515" i="8"/>
  <c r="T515" i="8"/>
  <c r="Q515" i="8"/>
  <c r="O515" i="8"/>
  <c r="N515" i="8"/>
  <c r="X514" i="8"/>
  <c r="L370" i="6"/>
  <c r="W514" i="8"/>
  <c r="AT514" i="8"/>
  <c r="V514" i="8"/>
  <c r="S514" i="8"/>
  <c r="P514" i="8"/>
  <c r="X513" i="8"/>
  <c r="L369" i="6"/>
  <c r="W513" i="8"/>
  <c r="AT513" i="8"/>
  <c r="V513" i="8"/>
  <c r="S513" i="8"/>
  <c r="P513" i="8"/>
  <c r="X512" i="8"/>
  <c r="L368" i="6"/>
  <c r="W512" i="8"/>
  <c r="AT512" i="8"/>
  <c r="V512" i="8"/>
  <c r="S512" i="8"/>
  <c r="P512" i="8"/>
  <c r="X511" i="8"/>
  <c r="AZ511" i="8"/>
  <c r="AT511" i="8"/>
  <c r="V511" i="8"/>
  <c r="V515" i="8"/>
  <c r="S511" i="8"/>
  <c r="P511" i="8"/>
  <c r="U508" i="8"/>
  <c r="R508" i="8"/>
  <c r="Q508" i="8"/>
  <c r="O508" i="8"/>
  <c r="N508" i="8"/>
  <c r="X507" i="8"/>
  <c r="L364" i="6"/>
  <c r="W507" i="8"/>
  <c r="AT507" i="8"/>
  <c r="V507" i="8"/>
  <c r="S507" i="8"/>
  <c r="P507" i="8"/>
  <c r="X506" i="8"/>
  <c r="L363" i="6"/>
  <c r="W506" i="8"/>
  <c r="AT506" i="8"/>
  <c r="V506" i="8"/>
  <c r="S506" i="8"/>
  <c r="P506" i="8"/>
  <c r="X505" i="8"/>
  <c r="L362" i="6"/>
  <c r="W505" i="8"/>
  <c r="AT505" i="8"/>
  <c r="V505" i="8"/>
  <c r="S505" i="8"/>
  <c r="P505" i="8"/>
  <c r="X504" i="8"/>
  <c r="L361" i="6"/>
  <c r="AT504" i="8"/>
  <c r="V504" i="8"/>
  <c r="S504" i="8"/>
  <c r="P504" i="8"/>
  <c r="AM493" i="8"/>
  <c r="AM497" i="8"/>
  <c r="AM499" i="8"/>
  <c r="AY497" i="8"/>
  <c r="AX497" i="8"/>
  <c r="AW497" i="8"/>
  <c r="AL497" i="8"/>
  <c r="AK497" i="8"/>
  <c r="AG497" i="8"/>
  <c r="AF497" i="8"/>
  <c r="AE497" i="8"/>
  <c r="U497" i="8"/>
  <c r="T497" i="8"/>
  <c r="R497" i="8"/>
  <c r="Q497" i="8"/>
  <c r="O497" i="8"/>
  <c r="N497" i="8"/>
  <c r="AY496" i="8"/>
  <c r="AX496" i="8"/>
  <c r="AW496" i="8"/>
  <c r="AZ496" i="8"/>
  <c r="AM496" i="8"/>
  <c r="AL496" i="8"/>
  <c r="AK496" i="8"/>
  <c r="AN496" i="8"/>
  <c r="AG496" i="8"/>
  <c r="AF496" i="8"/>
  <c r="AE496" i="8"/>
  <c r="N496" i="8"/>
  <c r="Q496" i="8"/>
  <c r="T496" i="8"/>
  <c r="W496" i="8"/>
  <c r="U496" i="8"/>
  <c r="V496" i="8"/>
  <c r="R496" i="8"/>
  <c r="S496" i="8"/>
  <c r="O496" i="8"/>
  <c r="AY495" i="8"/>
  <c r="AX495" i="8"/>
  <c r="AW495" i="8"/>
  <c r="AM495" i="8"/>
  <c r="AK495" i="8"/>
  <c r="AL495" i="8"/>
  <c r="AN495" i="8"/>
  <c r="AG495" i="8"/>
  <c r="AF495" i="8"/>
  <c r="AF494" i="8"/>
  <c r="AF500" i="8"/>
  <c r="AE495" i="8"/>
  <c r="U495" i="8"/>
  <c r="T495" i="8"/>
  <c r="V495" i="8"/>
  <c r="R495" i="8"/>
  <c r="Q495" i="8"/>
  <c r="S495" i="8"/>
  <c r="N495" i="8"/>
  <c r="O495" i="8"/>
  <c r="P495" i="8"/>
  <c r="AY494" i="8"/>
  <c r="AW494" i="8"/>
  <c r="AX494" i="8"/>
  <c r="AZ494" i="8"/>
  <c r="AX500" i="8"/>
  <c r="AM494" i="8"/>
  <c r="AM500" i="8"/>
  <c r="AL494" i="8"/>
  <c r="AK494" i="8"/>
  <c r="AG494" i="8"/>
  <c r="AE494" i="8"/>
  <c r="U494" i="8"/>
  <c r="T494" i="8"/>
  <c r="R494" i="8"/>
  <c r="Q494" i="8"/>
  <c r="S494" i="8"/>
  <c r="O494" i="8"/>
  <c r="N494" i="8"/>
  <c r="P494" i="8"/>
  <c r="AY493" i="8"/>
  <c r="AY499" i="8"/>
  <c r="AX493" i="8"/>
  <c r="AX499" i="8"/>
  <c r="AW493" i="8"/>
  <c r="AL493" i="8"/>
  <c r="AK493" i="8"/>
  <c r="AN493" i="8"/>
  <c r="AG493" i="8"/>
  <c r="AF493" i="8"/>
  <c r="AF499" i="8"/>
  <c r="AE493" i="8"/>
  <c r="U493" i="8"/>
  <c r="U499" i="8"/>
  <c r="T493" i="8"/>
  <c r="R493" i="8"/>
  <c r="R499" i="8"/>
  <c r="Q493" i="8"/>
  <c r="O493" i="8"/>
  <c r="N493" i="8"/>
  <c r="N499" i="8"/>
  <c r="U490" i="8"/>
  <c r="T490" i="8"/>
  <c r="V490" i="8"/>
  <c r="R490" i="8"/>
  <c r="Q490" i="8"/>
  <c r="S490" i="8"/>
  <c r="O490" i="8"/>
  <c r="N490" i="8"/>
  <c r="P490" i="8"/>
  <c r="V486" i="8"/>
  <c r="S486" i="8"/>
  <c r="P486" i="8"/>
  <c r="Y485" i="8"/>
  <c r="Y484" i="8"/>
  <c r="Y483" i="8"/>
  <c r="U480" i="8"/>
  <c r="T480" i="8"/>
  <c r="T443" i="8"/>
  <c r="T481" i="8"/>
  <c r="R480" i="8"/>
  <c r="Q480" i="8"/>
  <c r="O480" i="8"/>
  <c r="N480" i="8"/>
  <c r="X479" i="8"/>
  <c r="AZ479" i="8"/>
  <c r="W479" i="8"/>
  <c r="K350" i="6"/>
  <c r="V479" i="8"/>
  <c r="S479" i="8"/>
  <c r="P479" i="8"/>
  <c r="AZ478" i="8"/>
  <c r="AT478" i="8"/>
  <c r="V478" i="8"/>
  <c r="S478" i="8"/>
  <c r="P478" i="8"/>
  <c r="X477" i="8"/>
  <c r="W477" i="8"/>
  <c r="AT477" i="8"/>
  <c r="V477" i="8"/>
  <c r="S477" i="8"/>
  <c r="P477" i="8"/>
  <c r="Y476" i="8"/>
  <c r="AZ476" i="8"/>
  <c r="AT476" i="8"/>
  <c r="V476" i="8"/>
  <c r="S476" i="8"/>
  <c r="P476" i="8"/>
  <c r="X475" i="8"/>
  <c r="AZ475" i="8"/>
  <c r="W475" i="8"/>
  <c r="K346" i="6"/>
  <c r="V475" i="8"/>
  <c r="S475" i="8"/>
  <c r="P475" i="8"/>
  <c r="AZ474" i="8"/>
  <c r="AT474" i="8"/>
  <c r="V474" i="8"/>
  <c r="S474" i="8"/>
  <c r="P474" i="8"/>
  <c r="X473" i="8"/>
  <c r="L344" i="6"/>
  <c r="W473" i="8"/>
  <c r="AT473" i="8"/>
  <c r="V473" i="8"/>
  <c r="S473" i="8"/>
  <c r="P473" i="8"/>
  <c r="X472" i="8"/>
  <c r="L343" i="6"/>
  <c r="V472" i="8"/>
  <c r="S472" i="8"/>
  <c r="P472" i="8"/>
  <c r="U469" i="8"/>
  <c r="T469" i="8"/>
  <c r="T470" i="8"/>
  <c r="R469" i="8"/>
  <c r="Q469" i="8"/>
  <c r="O469" i="8"/>
  <c r="N469" i="8"/>
  <c r="N443" i="8"/>
  <c r="N470" i="8"/>
  <c r="X468" i="8"/>
  <c r="AZ468" i="8"/>
  <c r="L340" i="6"/>
  <c r="W468" i="8"/>
  <c r="Y468" i="8"/>
  <c r="V468" i="8"/>
  <c r="S468" i="8"/>
  <c r="P468" i="8"/>
  <c r="X467" i="8"/>
  <c r="AY467" i="8"/>
  <c r="L339" i="6"/>
  <c r="BJ339" i="6" s="1"/>
  <c r="AC467" i="8"/>
  <c r="W467" i="8"/>
  <c r="AS467" i="8"/>
  <c r="K339" i="6"/>
  <c r="BB339" i="6" s="1"/>
  <c r="AB466" i="8"/>
  <c r="X466" i="8"/>
  <c r="AX466" i="8"/>
  <c r="L338" i="6"/>
  <c r="W466" i="8"/>
  <c r="AR466" i="8"/>
  <c r="K338" i="6"/>
  <c r="AA465" i="8"/>
  <c r="X465" i="8"/>
  <c r="AW465" i="8"/>
  <c r="L337" i="6"/>
  <c r="BJ337" i="6" s="1"/>
  <c r="W465" i="8"/>
  <c r="AQ465" i="8"/>
  <c r="K337" i="6"/>
  <c r="BB337" i="6" s="1"/>
  <c r="X464" i="8"/>
  <c r="AZ464" i="8"/>
  <c r="L336" i="6"/>
  <c r="W464" i="8"/>
  <c r="Y464" i="8"/>
  <c r="V464" i="8"/>
  <c r="S464" i="8"/>
  <c r="P464" i="8"/>
  <c r="X463" i="8"/>
  <c r="W463" i="8"/>
  <c r="V463" i="8"/>
  <c r="S463" i="8"/>
  <c r="S469" i="8"/>
  <c r="P463" i="8"/>
  <c r="P469" i="8"/>
  <c r="T460" i="8"/>
  <c r="T461" i="8"/>
  <c r="U460" i="8"/>
  <c r="R460" i="8"/>
  <c r="Q460" i="8"/>
  <c r="O460" i="8"/>
  <c r="N460" i="8"/>
  <c r="N461" i="8"/>
  <c r="X459" i="8"/>
  <c r="L332" i="6"/>
  <c r="W459" i="8"/>
  <c r="AT459" i="8"/>
  <c r="V459" i="8"/>
  <c r="S459" i="8"/>
  <c r="P459" i="8"/>
  <c r="AT458" i="8"/>
  <c r="W457" i="8"/>
  <c r="AT457" i="8"/>
  <c r="AT460" i="8"/>
  <c r="AU459" i="8"/>
  <c r="AZ458" i="8"/>
  <c r="V458" i="8"/>
  <c r="S458" i="8"/>
  <c r="P458" i="8"/>
  <c r="X457" i="8"/>
  <c r="L330" i="6"/>
  <c r="V457" i="8"/>
  <c r="S457" i="8"/>
  <c r="S460" i="8"/>
  <c r="P457" i="8"/>
  <c r="O449" i="8"/>
  <c r="O454" i="8"/>
  <c r="X453" i="8"/>
  <c r="W453" i="8"/>
  <c r="AT453" i="8"/>
  <c r="V453" i="8"/>
  <c r="S453" i="8"/>
  <c r="P453" i="8"/>
  <c r="U449" i="8"/>
  <c r="U454" i="8"/>
  <c r="T449" i="8"/>
  <c r="T454" i="8"/>
  <c r="R449" i="8"/>
  <c r="R454" i="8"/>
  <c r="Q449" i="8"/>
  <c r="Q454" i="8"/>
  <c r="Q443" i="8"/>
  <c r="Q455" i="8"/>
  <c r="N449" i="8"/>
  <c r="N454" i="8"/>
  <c r="N455" i="8"/>
  <c r="X448" i="8"/>
  <c r="L326" i="6"/>
  <c r="W448" i="8"/>
  <c r="AT448" i="8"/>
  <c r="V448" i="8"/>
  <c r="S448" i="8"/>
  <c r="P448" i="8"/>
  <c r="X447" i="8"/>
  <c r="AZ447" i="8"/>
  <c r="W447" i="8"/>
  <c r="Y447" i="8"/>
  <c r="V447" i="8"/>
  <c r="S447" i="8"/>
  <c r="P447" i="8"/>
  <c r="X446" i="8"/>
  <c r="AZ446" i="8"/>
  <c r="W446" i="8"/>
  <c r="AT446" i="8"/>
  <c r="V446" i="8"/>
  <c r="S446" i="8"/>
  <c r="P446" i="8"/>
  <c r="X445" i="8"/>
  <c r="AZ445" i="8"/>
  <c r="W445" i="8"/>
  <c r="V445" i="8"/>
  <c r="S445" i="8"/>
  <c r="P445" i="8"/>
  <c r="U443" i="8"/>
  <c r="U470" i="8"/>
  <c r="R443" i="8"/>
  <c r="O443" i="8"/>
  <c r="O470" i="8"/>
  <c r="U441" i="8"/>
  <c r="U442" i="8"/>
  <c r="T441" i="8"/>
  <c r="T442" i="8"/>
  <c r="R441" i="8"/>
  <c r="R442" i="8"/>
  <c r="Q441" i="8"/>
  <c r="Q442" i="8"/>
  <c r="O441" i="8"/>
  <c r="O442" i="8"/>
  <c r="N441" i="8"/>
  <c r="N442" i="8"/>
  <c r="W440" i="8"/>
  <c r="AT440" i="8"/>
  <c r="X440" i="8"/>
  <c r="Y440" i="8"/>
  <c r="L319" i="6"/>
  <c r="M319" i="6" s="1"/>
  <c r="K319" i="6"/>
  <c r="V440" i="8"/>
  <c r="S440" i="8"/>
  <c r="P440" i="8"/>
  <c r="AZ439" i="8"/>
  <c r="AT439" i="8"/>
  <c r="V439" i="8"/>
  <c r="S439" i="8"/>
  <c r="P439" i="8"/>
  <c r="X438" i="8"/>
  <c r="AZ438" i="8"/>
  <c r="W438" i="8"/>
  <c r="AT438" i="8"/>
  <c r="L317" i="6"/>
  <c r="Y438" i="8"/>
  <c r="V438" i="8"/>
  <c r="S438" i="8"/>
  <c r="P438" i="8"/>
  <c r="X437" i="8"/>
  <c r="L316" i="6"/>
  <c r="M316" i="6" s="1"/>
  <c r="W437" i="8"/>
  <c r="AT437" i="8"/>
  <c r="V437" i="8"/>
  <c r="S437" i="8"/>
  <c r="P437" i="8"/>
  <c r="X436" i="8"/>
  <c r="AZ436" i="8"/>
  <c r="L315" i="6"/>
  <c r="M315" i="6" s="1"/>
  <c r="W436" i="8"/>
  <c r="AT436" i="8"/>
  <c r="V436" i="8"/>
  <c r="S436" i="8"/>
  <c r="P436" i="8"/>
  <c r="X435" i="8"/>
  <c r="AZ435" i="8"/>
  <c r="AT435" i="8"/>
  <c r="V435" i="8"/>
  <c r="S435" i="8"/>
  <c r="P435" i="8"/>
  <c r="P433" i="8"/>
  <c r="P434" i="8"/>
  <c r="P441" i="8"/>
  <c r="X434" i="8"/>
  <c r="L313" i="6"/>
  <c r="M313" i="6" s="1"/>
  <c r="W434" i="8"/>
  <c r="K313" i="6"/>
  <c r="V434" i="8"/>
  <c r="S434" i="8"/>
  <c r="AT433" i="8"/>
  <c r="V433" i="8"/>
  <c r="S433" i="8"/>
  <c r="N430" i="8"/>
  <c r="N431" i="8"/>
  <c r="U430" i="8"/>
  <c r="U431" i="8"/>
  <c r="T430" i="8"/>
  <c r="T431" i="8"/>
  <c r="R430" i="8"/>
  <c r="R431" i="8"/>
  <c r="Q430" i="8"/>
  <c r="Q431" i="8"/>
  <c r="O430" i="8"/>
  <c r="O431" i="8"/>
  <c r="X429" i="8"/>
  <c r="AZ429" i="8"/>
  <c r="L309" i="6"/>
  <c r="W429" i="8"/>
  <c r="AT429" i="8"/>
  <c r="K309" i="6"/>
  <c r="V429" i="8"/>
  <c r="S429" i="8"/>
  <c r="P429" i="8"/>
  <c r="AC428" i="8"/>
  <c r="X428" i="8"/>
  <c r="AY428" i="8"/>
  <c r="L308" i="6"/>
  <c r="BJ308" i="6" s="1"/>
  <c r="W428" i="8"/>
  <c r="AS428" i="8"/>
  <c r="K308" i="6"/>
  <c r="BB308" i="6" s="1"/>
  <c r="AB427" i="8"/>
  <c r="X427" i="8"/>
  <c r="AX427" i="8"/>
  <c r="L307" i="6"/>
  <c r="W427" i="8"/>
  <c r="AR427" i="8"/>
  <c r="K307" i="6"/>
  <c r="AA426" i="8"/>
  <c r="X426" i="8"/>
  <c r="AW426" i="8"/>
  <c r="L306" i="6"/>
  <c r="BJ306" i="6" s="1"/>
  <c r="W426" i="8"/>
  <c r="AQ426" i="8"/>
  <c r="K306" i="6"/>
  <c r="BB306" i="6" s="1"/>
  <c r="X425" i="8"/>
  <c r="W425" i="8"/>
  <c r="AT425" i="8"/>
  <c r="K305" i="6"/>
  <c r="V425" i="8"/>
  <c r="S425" i="8"/>
  <c r="P425" i="8"/>
  <c r="AT430" i="8"/>
  <c r="X424" i="8"/>
  <c r="AZ424" i="8"/>
  <c r="L304" i="6"/>
  <c r="W430" i="8"/>
  <c r="V424" i="8"/>
  <c r="S424" i="8"/>
  <c r="P424" i="8"/>
  <c r="R416" i="8"/>
  <c r="R421" i="8"/>
  <c r="N416" i="8"/>
  <c r="N421" i="8"/>
  <c r="V416" i="8"/>
  <c r="U416" i="8"/>
  <c r="U421" i="8"/>
  <c r="T416" i="8"/>
  <c r="T421" i="8"/>
  <c r="S416" i="8"/>
  <c r="Q416" i="8"/>
  <c r="Q421" i="8"/>
  <c r="P416" i="8"/>
  <c r="O416" i="8"/>
  <c r="X415" i="8"/>
  <c r="AZ415" i="8"/>
  <c r="W415" i="8"/>
  <c r="AT415" i="8"/>
  <c r="V415" i="8"/>
  <c r="S415" i="8"/>
  <c r="P415" i="8"/>
  <c r="X414" i="8"/>
  <c r="AZ414" i="8"/>
  <c r="L299" i="6"/>
  <c r="W414" i="8"/>
  <c r="K299" i="6"/>
  <c r="V414" i="8"/>
  <c r="S414" i="8"/>
  <c r="P414" i="8"/>
  <c r="AT413" i="8"/>
  <c r="V413" i="8"/>
  <c r="S413" i="8"/>
  <c r="P413" i="8"/>
  <c r="X412" i="8"/>
  <c r="L297" i="6"/>
  <c r="W412" i="8"/>
  <c r="K297" i="6"/>
  <c r="V412" i="8"/>
  <c r="S412" i="8"/>
  <c r="P412" i="8"/>
  <c r="X411" i="8"/>
  <c r="AZ411" i="8"/>
  <c r="V411" i="8"/>
  <c r="V421" i="8"/>
  <c r="S411" i="8"/>
  <c r="P411" i="8"/>
  <c r="U409" i="8"/>
  <c r="T409" i="8"/>
  <c r="R409" i="8"/>
  <c r="Q409" i="8"/>
  <c r="O409" i="8"/>
  <c r="N409" i="8"/>
  <c r="U407" i="8"/>
  <c r="T407" i="8"/>
  <c r="R407" i="8"/>
  <c r="Q407" i="8"/>
  <c r="O407" i="8"/>
  <c r="N407" i="8"/>
  <c r="X406" i="8"/>
  <c r="AZ406" i="8"/>
  <c r="W406" i="8"/>
  <c r="AT406" i="8"/>
  <c r="V406" i="8"/>
  <c r="S406" i="8"/>
  <c r="P406" i="8"/>
  <c r="X405" i="8"/>
  <c r="AZ405" i="8"/>
  <c r="AT405" i="8"/>
  <c r="V405" i="8"/>
  <c r="S405" i="8"/>
  <c r="P405" i="8"/>
  <c r="X404" i="8"/>
  <c r="L288" i="6"/>
  <c r="W404" i="8"/>
  <c r="AT404" i="8"/>
  <c r="V404" i="8"/>
  <c r="S404" i="8"/>
  <c r="P404" i="8"/>
  <c r="X403" i="8"/>
  <c r="X409" i="8"/>
  <c r="W409" i="8"/>
  <c r="V403" i="8"/>
  <c r="S403" i="8"/>
  <c r="P403" i="8"/>
  <c r="X402" i="8"/>
  <c r="L286" i="6"/>
  <c r="W402" i="8"/>
  <c r="AT402" i="8"/>
  <c r="V402" i="8"/>
  <c r="V407" i="8"/>
  <c r="S402" i="8"/>
  <c r="P402" i="8"/>
  <c r="Q395" i="8"/>
  <c r="Q400" i="8"/>
  <c r="U395" i="8"/>
  <c r="U400" i="8"/>
  <c r="T395" i="8"/>
  <c r="T400" i="8"/>
  <c r="R395" i="8"/>
  <c r="O395" i="8"/>
  <c r="O400" i="8"/>
  <c r="N395" i="8"/>
  <c r="X394" i="8"/>
  <c r="AZ394" i="8"/>
  <c r="L278" i="6"/>
  <c r="W394" i="8"/>
  <c r="AT394" i="8"/>
  <c r="V394" i="8"/>
  <c r="S394" i="8"/>
  <c r="P394" i="8"/>
  <c r="X393" i="8"/>
  <c r="W393" i="8"/>
  <c r="AT393" i="8"/>
  <c r="V393" i="8"/>
  <c r="S393" i="8"/>
  <c r="P393" i="8"/>
  <c r="X392" i="8"/>
  <c r="AZ392" i="8"/>
  <c r="W392" i="8"/>
  <c r="K276" i="6"/>
  <c r="M276" i="6" s="1"/>
  <c r="V392" i="8"/>
  <c r="S392" i="8"/>
  <c r="P392" i="8"/>
  <c r="AZ391" i="8"/>
  <c r="AT391" i="8"/>
  <c r="V391" i="8"/>
  <c r="S391" i="8"/>
  <c r="P391" i="8"/>
  <c r="X390" i="8"/>
  <c r="AZ390" i="8"/>
  <c r="W390" i="8"/>
  <c r="Y390" i="8"/>
  <c r="L274" i="6"/>
  <c r="AT390" i="8"/>
  <c r="V390" i="8"/>
  <c r="S390" i="8"/>
  <c r="P390" i="8"/>
  <c r="X389" i="8"/>
  <c r="W389" i="8"/>
  <c r="AT389" i="8"/>
  <c r="V389" i="8"/>
  <c r="S389" i="8"/>
  <c r="P389" i="8"/>
  <c r="W388" i="8"/>
  <c r="X388" i="8"/>
  <c r="Y388" i="8"/>
  <c r="AZ388" i="8"/>
  <c r="AT388" i="8"/>
  <c r="V388" i="8"/>
  <c r="S388" i="8"/>
  <c r="P388" i="8"/>
  <c r="X387" i="8"/>
  <c r="AZ387" i="8"/>
  <c r="W387" i="8"/>
  <c r="K271" i="6"/>
  <c r="V387" i="8"/>
  <c r="S387" i="8"/>
  <c r="P387" i="8"/>
  <c r="X386" i="8"/>
  <c r="AZ386" i="8"/>
  <c r="L270" i="6"/>
  <c r="W386" i="8"/>
  <c r="AT386" i="8"/>
  <c r="V386" i="8"/>
  <c r="S386" i="8"/>
  <c r="P386" i="8"/>
  <c r="X385" i="8"/>
  <c r="W385" i="8"/>
  <c r="AT385" i="8"/>
  <c r="V385" i="8"/>
  <c r="S385" i="8"/>
  <c r="P385" i="8"/>
  <c r="W384" i="8"/>
  <c r="X384" i="8"/>
  <c r="Y384" i="8"/>
  <c r="AZ384" i="8"/>
  <c r="AT384" i="8"/>
  <c r="V384" i="8"/>
  <c r="S384" i="8"/>
  <c r="P384" i="8"/>
  <c r="X383" i="8"/>
  <c r="L267" i="6"/>
  <c r="W383" i="8"/>
  <c r="K267" i="6"/>
  <c r="M267" i="6" s="1"/>
  <c r="V383" i="8"/>
  <c r="S383" i="8"/>
  <c r="P383" i="8"/>
  <c r="X382" i="8"/>
  <c r="AZ382" i="8"/>
  <c r="L266" i="6"/>
  <c r="W382" i="8"/>
  <c r="AT382" i="8"/>
  <c r="V382" i="8"/>
  <c r="S382" i="8"/>
  <c r="P382" i="8"/>
  <c r="U379" i="8"/>
  <c r="T379" i="8"/>
  <c r="R379" i="8"/>
  <c r="Q379" i="8"/>
  <c r="O379" i="8"/>
  <c r="N379" i="8"/>
  <c r="X378" i="8"/>
  <c r="AZ378" i="8"/>
  <c r="W378" i="8"/>
  <c r="K264" i="6"/>
  <c r="V378" i="8"/>
  <c r="S378" i="8"/>
  <c r="P378" i="8"/>
  <c r="X377" i="8"/>
  <c r="AZ377" i="8"/>
  <c r="W377" i="8"/>
  <c r="K263" i="6"/>
  <c r="V377" i="8"/>
  <c r="S377" i="8"/>
  <c r="P377" i="8"/>
  <c r="X376" i="8"/>
  <c r="AZ376" i="8"/>
  <c r="AT376" i="8"/>
  <c r="V376" i="8"/>
  <c r="S376" i="8"/>
  <c r="P376" i="8"/>
  <c r="L370" i="8"/>
  <c r="L371" i="8"/>
  <c r="K370" i="8"/>
  <c r="K371" i="8"/>
  <c r="J370" i="8"/>
  <c r="J371" i="8"/>
  <c r="AN369" i="8"/>
  <c r="AH369" i="8"/>
  <c r="AN368" i="8"/>
  <c r="AN363" i="8"/>
  <c r="AN364" i="8"/>
  <c r="AN370" i="8"/>
  <c r="AO364" i="8"/>
  <c r="AH368" i="8"/>
  <c r="AY367" i="8"/>
  <c r="L252" i="6"/>
  <c r="AM367" i="8"/>
  <c r="AG367" i="8"/>
  <c r="X367" i="8"/>
  <c r="W367" i="8"/>
  <c r="AS367" i="8"/>
  <c r="K252" i="6"/>
  <c r="AX366" i="8"/>
  <c r="L251" i="6"/>
  <c r="AL366" i="8"/>
  <c r="AF366" i="8"/>
  <c r="X366" i="8"/>
  <c r="AW365" i="8"/>
  <c r="L250" i="6"/>
  <c r="AK365" i="8"/>
  <c r="AE365" i="8"/>
  <c r="X365" i="8"/>
  <c r="W365" i="8"/>
  <c r="AQ365" i="8"/>
  <c r="K250" i="6"/>
  <c r="AH364" i="8"/>
  <c r="AH363" i="8"/>
  <c r="Y363" i="8"/>
  <c r="L360" i="8"/>
  <c r="K360" i="8"/>
  <c r="J360" i="8"/>
  <c r="AN359" i="8"/>
  <c r="AH359" i="8"/>
  <c r="AZ359" i="8"/>
  <c r="AT359" i="8"/>
  <c r="M359" i="8"/>
  <c r="AN358" i="8"/>
  <c r="AH358" i="8"/>
  <c r="Y358" i="8"/>
  <c r="AT358" i="8"/>
  <c r="M358" i="8"/>
  <c r="AN357" i="8"/>
  <c r="AN360" i="8"/>
  <c r="AH357" i="8"/>
  <c r="X357" i="8"/>
  <c r="X360" i="8"/>
  <c r="W357" i="8"/>
  <c r="Y357" i="8"/>
  <c r="M357" i="8"/>
  <c r="L354" i="8"/>
  <c r="K354" i="8"/>
  <c r="J354" i="8"/>
  <c r="AN353" i="8"/>
  <c r="AH353" i="8"/>
  <c r="M353" i="8"/>
  <c r="AN352" i="8"/>
  <c r="AH352" i="8"/>
  <c r="AZ352" i="8"/>
  <c r="AT352" i="8"/>
  <c r="M352" i="8"/>
  <c r="AN351" i="8"/>
  <c r="AH351" i="8"/>
  <c r="AT351" i="8"/>
  <c r="M351" i="8"/>
  <c r="AN350" i="8"/>
  <c r="AH350" i="8"/>
  <c r="Y350" i="8"/>
  <c r="AT350" i="8"/>
  <c r="M350" i="8"/>
  <c r="AN349" i="8"/>
  <c r="AH349" i="8"/>
  <c r="AT349" i="8"/>
  <c r="M349" i="8"/>
  <c r="AN348" i="8"/>
  <c r="AH348" i="8"/>
  <c r="AZ348" i="8"/>
  <c r="AT348" i="8"/>
  <c r="M348" i="8"/>
  <c r="AN347" i="8"/>
  <c r="AH347" i="8"/>
  <c r="AT347" i="8"/>
  <c r="M347" i="8"/>
  <c r="AN346" i="8"/>
  <c r="AH346" i="8"/>
  <c r="AZ346" i="8"/>
  <c r="AT346" i="8"/>
  <c r="M346" i="8"/>
  <c r="K343" i="8"/>
  <c r="K344" i="8"/>
  <c r="L343" i="8"/>
  <c r="J343" i="8"/>
  <c r="AN342" i="8"/>
  <c r="AH342" i="8"/>
  <c r="X342" i="8"/>
  <c r="W342" i="8"/>
  <c r="AT342" i="8"/>
  <c r="K230" i="6"/>
  <c r="K231" i="6" s="1"/>
  <c r="X341" i="8"/>
  <c r="AZ341" i="8"/>
  <c r="L229" i="6"/>
  <c r="AN341" i="8"/>
  <c r="AH341" i="8"/>
  <c r="W341" i="8"/>
  <c r="Y341" i="8"/>
  <c r="AY340" i="8"/>
  <c r="L228" i="6"/>
  <c r="AM340" i="8"/>
  <c r="AG340" i="8"/>
  <c r="X340" i="8"/>
  <c r="W340" i="8"/>
  <c r="AS340" i="8"/>
  <c r="K228" i="6"/>
  <c r="AX339" i="8"/>
  <c r="L227" i="6"/>
  <c r="W339" i="8"/>
  <c r="AR339" i="8"/>
  <c r="K227" i="6"/>
  <c r="AI227" i="6" s="1"/>
  <c r="AL339" i="8"/>
  <c r="AF339" i="8"/>
  <c r="X339" i="8"/>
  <c r="AW338" i="8"/>
  <c r="L226" i="6"/>
  <c r="AK338" i="8"/>
  <c r="AE338" i="8"/>
  <c r="X338" i="8"/>
  <c r="W338" i="8"/>
  <c r="AQ338" i="8"/>
  <c r="K226" i="6"/>
  <c r="AN337" i="8"/>
  <c r="AH337" i="8"/>
  <c r="X337" i="8"/>
  <c r="AZ337" i="8"/>
  <c r="L225" i="6"/>
  <c r="L231" i="6" s="1"/>
  <c r="AN336" i="8"/>
  <c r="AH336" i="8"/>
  <c r="X336" i="8"/>
  <c r="W336" i="8"/>
  <c r="K333" i="8"/>
  <c r="K334" i="8"/>
  <c r="L333" i="8"/>
  <c r="J333" i="8"/>
  <c r="AN332" i="8"/>
  <c r="AH332" i="8"/>
  <c r="X332" i="8"/>
  <c r="W332" i="8"/>
  <c r="AT332" i="8"/>
  <c r="K221" i="6"/>
  <c r="AN331" i="8"/>
  <c r="AH331" i="8"/>
  <c r="X331" i="8"/>
  <c r="AZ331" i="8"/>
  <c r="L220" i="6"/>
  <c r="W331" i="8"/>
  <c r="Y331" i="8"/>
  <c r="AY330" i="8"/>
  <c r="L219" i="6"/>
  <c r="AM330" i="8"/>
  <c r="AG330" i="8"/>
  <c r="X330" i="8"/>
  <c r="AX329" i="8"/>
  <c r="L218" i="6"/>
  <c r="W329" i="8"/>
  <c r="AR329" i="8"/>
  <c r="K218" i="6"/>
  <c r="AL329" i="8"/>
  <c r="AF329" i="8"/>
  <c r="X329" i="8"/>
  <c r="AW328" i="8"/>
  <c r="L217" i="6"/>
  <c r="AK328" i="8"/>
  <c r="AE328" i="8"/>
  <c r="X328" i="8"/>
  <c r="AN327" i="8"/>
  <c r="AH327" i="8"/>
  <c r="X327" i="8"/>
  <c r="AZ327" i="8"/>
  <c r="L216" i="6"/>
  <c r="W327" i="8"/>
  <c r="AT327" i="8"/>
  <c r="K216" i="6"/>
  <c r="AN326" i="8"/>
  <c r="AH326" i="8"/>
  <c r="X326" i="8"/>
  <c r="X333" i="8"/>
  <c r="W326" i="8"/>
  <c r="K323" i="8"/>
  <c r="K324" i="8"/>
  <c r="L323" i="8"/>
  <c r="J323" i="8"/>
  <c r="AN322" i="8"/>
  <c r="AH322" i="8"/>
  <c r="AN321" i="8"/>
  <c r="AH321" i="8"/>
  <c r="Y321" i="8"/>
  <c r="AY320" i="8"/>
  <c r="L210" i="6"/>
  <c r="AM320" i="8"/>
  <c r="AG320" i="8"/>
  <c r="X320" i="8"/>
  <c r="AS320" i="8"/>
  <c r="K210" i="6"/>
  <c r="AX319" i="8"/>
  <c r="L209" i="6"/>
  <c r="AL319" i="8"/>
  <c r="AF319" i="8"/>
  <c r="X319" i="8"/>
  <c r="AW318" i="8"/>
  <c r="L208" i="6"/>
  <c r="AK318" i="8"/>
  <c r="AE318" i="8"/>
  <c r="X318" i="8"/>
  <c r="AQ318" i="8"/>
  <c r="K208" i="6"/>
  <c r="AN317" i="8"/>
  <c r="AH317" i="8"/>
  <c r="Y317" i="8"/>
  <c r="X323" i="8"/>
  <c r="AN316" i="8"/>
  <c r="AH316" i="8"/>
  <c r="L244" i="8"/>
  <c r="K244" i="8"/>
  <c r="J244" i="8"/>
  <c r="AN243" i="8"/>
  <c r="AH243" i="8"/>
  <c r="AZ243" i="8"/>
  <c r="M243" i="8"/>
  <c r="AN242" i="8"/>
  <c r="AH242" i="8"/>
  <c r="Y242" i="8"/>
  <c r="AZ242" i="8"/>
  <c r="AT242" i="8"/>
  <c r="M242" i="8"/>
  <c r="AZ241" i="8"/>
  <c r="AT241" i="8"/>
  <c r="AN241" i="8"/>
  <c r="AH241" i="8"/>
  <c r="Y241" i="8"/>
  <c r="M241" i="8"/>
  <c r="AN240" i="8"/>
  <c r="AH240" i="8"/>
  <c r="AZ240" i="8"/>
  <c r="M240" i="8"/>
  <c r="AN239" i="8"/>
  <c r="AH239" i="8"/>
  <c r="M239" i="8"/>
  <c r="L236" i="8"/>
  <c r="K236" i="8"/>
  <c r="K237" i="8"/>
  <c r="J236" i="8"/>
  <c r="AN235" i="8"/>
  <c r="AH235" i="8"/>
  <c r="AZ235" i="8"/>
  <c r="AT235" i="8"/>
  <c r="M235" i="8"/>
  <c r="AN234" i="8"/>
  <c r="AH234" i="8"/>
  <c r="AT234" i="8"/>
  <c r="M234" i="8"/>
  <c r="AN233" i="8"/>
  <c r="AH233" i="8"/>
  <c r="AZ233" i="8"/>
  <c r="M233" i="8"/>
  <c r="AT232" i="8"/>
  <c r="AN232" i="8"/>
  <c r="AH232" i="8"/>
  <c r="AZ232" i="8"/>
  <c r="M232" i="8"/>
  <c r="AN231" i="8"/>
  <c r="AN236" i="8"/>
  <c r="AH231" i="8"/>
  <c r="AZ231" i="8"/>
  <c r="W236" i="8"/>
  <c r="M231" i="8"/>
  <c r="X227" i="8"/>
  <c r="AZ227" i="8"/>
  <c r="AN227" i="8"/>
  <c r="W227" i="8"/>
  <c r="AN226" i="8"/>
  <c r="AN228" i="8"/>
  <c r="AO226" i="8"/>
  <c r="X226" i="8"/>
  <c r="X228" i="8"/>
  <c r="W226" i="8"/>
  <c r="AH226" i="8"/>
  <c r="AI223" i="8"/>
  <c r="M221" i="8"/>
  <c r="AO223" i="8"/>
  <c r="AI220" i="8"/>
  <c r="M220" i="8"/>
  <c r="M223" i="8"/>
  <c r="K218" i="8"/>
  <c r="AO215" i="8"/>
  <c r="M215" i="8"/>
  <c r="AI214" i="8"/>
  <c r="M214" i="8"/>
  <c r="U210" i="8"/>
  <c r="T210" i="8"/>
  <c r="R210" i="8"/>
  <c r="Q210" i="8"/>
  <c r="O210" i="8"/>
  <c r="N210" i="8"/>
  <c r="W209" i="8"/>
  <c r="AT209" i="8"/>
  <c r="X209" i="8"/>
  <c r="AZ209" i="8"/>
  <c r="K165" i="6"/>
  <c r="V209" i="8"/>
  <c r="S209" i="8"/>
  <c r="P209" i="8"/>
  <c r="X208" i="8"/>
  <c r="L168" i="6"/>
  <c r="W208" i="8"/>
  <c r="AT208" i="8"/>
  <c r="V208" i="8"/>
  <c r="S208" i="8"/>
  <c r="P208" i="8"/>
  <c r="X207" i="8"/>
  <c r="W207" i="8"/>
  <c r="AT207" i="8"/>
  <c r="V207" i="8"/>
  <c r="S207" i="8"/>
  <c r="P207" i="8"/>
  <c r="X206" i="8"/>
  <c r="L166" i="6"/>
  <c r="W206" i="8"/>
  <c r="K166" i="6"/>
  <c r="V206" i="8"/>
  <c r="S206" i="8"/>
  <c r="P206" i="8"/>
  <c r="AO201" i="8"/>
  <c r="AY190" i="8"/>
  <c r="AX190" i="8"/>
  <c r="AW190" i="8"/>
  <c r="AS190" i="8"/>
  <c r="AR190" i="8"/>
  <c r="AQ190" i="8"/>
  <c r="AC190" i="8"/>
  <c r="AB190" i="8"/>
  <c r="AA190" i="8"/>
  <c r="U187" i="8"/>
  <c r="T187" i="8"/>
  <c r="R187" i="8"/>
  <c r="Q187" i="8"/>
  <c r="O187" i="8"/>
  <c r="N187" i="8"/>
  <c r="N20" i="8"/>
  <c r="N188" i="8"/>
  <c r="W186" i="8"/>
  <c r="AT186" i="8"/>
  <c r="V186" i="8"/>
  <c r="S186" i="8"/>
  <c r="P186" i="8"/>
  <c r="X185" i="8"/>
  <c r="AZ185" i="8"/>
  <c r="W185" i="8"/>
  <c r="AT185" i="8"/>
  <c r="V185" i="8"/>
  <c r="S185" i="8"/>
  <c r="P185" i="8"/>
  <c r="AZ184" i="8"/>
  <c r="AZ183" i="8"/>
  <c r="W183" i="8"/>
  <c r="AT183" i="8"/>
  <c r="V183" i="8"/>
  <c r="S183" i="8"/>
  <c r="P183" i="8"/>
  <c r="X182" i="8"/>
  <c r="L158" i="6"/>
  <c r="W182" i="8"/>
  <c r="K158" i="6"/>
  <c r="V182" i="8"/>
  <c r="S182" i="8"/>
  <c r="P182" i="8"/>
  <c r="X181" i="8"/>
  <c r="L157" i="6"/>
  <c r="W181" i="8"/>
  <c r="AT181" i="8"/>
  <c r="V181" i="8"/>
  <c r="S181" i="8"/>
  <c r="P181" i="8"/>
  <c r="X180" i="8"/>
  <c r="L156" i="6"/>
  <c r="W180" i="8"/>
  <c r="K156" i="6"/>
  <c r="V180" i="8"/>
  <c r="S180" i="8"/>
  <c r="P180" i="8"/>
  <c r="X179" i="8"/>
  <c r="AZ179" i="8"/>
  <c r="W179" i="8"/>
  <c r="AT179" i="8"/>
  <c r="V179" i="8"/>
  <c r="S179" i="8"/>
  <c r="P179" i="8"/>
  <c r="X178" i="8"/>
  <c r="AZ178" i="8"/>
  <c r="L154" i="6"/>
  <c r="W178" i="8"/>
  <c r="K154" i="6"/>
  <c r="V178" i="8"/>
  <c r="S178" i="8"/>
  <c r="P178" i="8"/>
  <c r="U177" i="8"/>
  <c r="T177" i="8"/>
  <c r="V177" i="8"/>
  <c r="R177" i="8"/>
  <c r="Q177" i="8"/>
  <c r="O177" i="8"/>
  <c r="N177" i="8"/>
  <c r="U174" i="8"/>
  <c r="T174" i="8"/>
  <c r="T489" i="8"/>
  <c r="R174" i="8"/>
  <c r="R489" i="8"/>
  <c r="R491" i="8"/>
  <c r="Q174" i="8"/>
  <c r="O174" i="8"/>
  <c r="N174" i="8"/>
  <c r="N489" i="8"/>
  <c r="W173" i="8"/>
  <c r="AT173" i="8"/>
  <c r="V173" i="8"/>
  <c r="S173" i="8"/>
  <c r="P173" i="8"/>
  <c r="X172" i="8"/>
  <c r="L149" i="6"/>
  <c r="W172" i="8"/>
  <c r="Y172" i="8"/>
  <c r="V172" i="8"/>
  <c r="S172" i="8"/>
  <c r="P172" i="8"/>
  <c r="X171" i="8"/>
  <c r="AZ171" i="8"/>
  <c r="W171" i="8"/>
  <c r="AT171" i="8"/>
  <c r="V171" i="8"/>
  <c r="S171" i="8"/>
  <c r="P171" i="8"/>
  <c r="X170" i="8"/>
  <c r="AZ170" i="8"/>
  <c r="L147" i="6"/>
  <c r="W170" i="8"/>
  <c r="W169" i="8"/>
  <c r="W174" i="8"/>
  <c r="V170" i="8"/>
  <c r="S170" i="8"/>
  <c r="P170" i="8"/>
  <c r="X169" i="8"/>
  <c r="L146" i="6"/>
  <c r="AT169" i="8"/>
  <c r="V169" i="8"/>
  <c r="S169" i="8"/>
  <c r="P169" i="8"/>
  <c r="P174" i="8"/>
  <c r="L166" i="8"/>
  <c r="K166" i="8"/>
  <c r="K167" i="8"/>
  <c r="J166" i="8"/>
  <c r="AN165" i="8"/>
  <c r="AH165" i="8"/>
  <c r="X165" i="8"/>
  <c r="AZ165" i="8"/>
  <c r="W165" i="8"/>
  <c r="AT165" i="8"/>
  <c r="M165" i="8"/>
  <c r="AN164" i="8"/>
  <c r="AN166" i="8"/>
  <c r="AO164" i="8"/>
  <c r="AH164" i="8"/>
  <c r="AH166" i="8"/>
  <c r="AI164" i="8"/>
  <c r="X166" i="8"/>
  <c r="W164" i="8"/>
  <c r="W166" i="8"/>
  <c r="M164" i="8"/>
  <c r="M166" i="8"/>
  <c r="L161" i="8"/>
  <c r="K161" i="8"/>
  <c r="K162" i="8"/>
  <c r="J161" i="8"/>
  <c r="AN160" i="8"/>
  <c r="AH160" i="8"/>
  <c r="AZ160" i="8"/>
  <c r="M160" i="8"/>
  <c r="AN159" i="8"/>
  <c r="AH159" i="8"/>
  <c r="AT159" i="8"/>
  <c r="M159" i="8"/>
  <c r="AZ158" i="8"/>
  <c r="AN158" i="8"/>
  <c r="AH158" i="8"/>
  <c r="Y158" i="8"/>
  <c r="AT158" i="8"/>
  <c r="M158" i="8"/>
  <c r="AN157" i="8"/>
  <c r="AH157" i="8"/>
  <c r="AZ157" i="8"/>
  <c r="AT157" i="8"/>
  <c r="M157" i="8"/>
  <c r="AN156" i="8"/>
  <c r="AH156" i="8"/>
  <c r="M156" i="8"/>
  <c r="AN155" i="8"/>
  <c r="AH155" i="8"/>
  <c r="AH161" i="8"/>
  <c r="AI157" i="8"/>
  <c r="AT155" i="8"/>
  <c r="M155" i="8"/>
  <c r="M161" i="8"/>
  <c r="U152" i="8"/>
  <c r="U20" i="8"/>
  <c r="U153" i="8"/>
  <c r="T152" i="8"/>
  <c r="T20" i="8"/>
  <c r="T153" i="8"/>
  <c r="R152" i="8"/>
  <c r="Q152" i="8"/>
  <c r="O152" i="8"/>
  <c r="N152" i="8"/>
  <c r="X151" i="8"/>
  <c r="L131" i="6"/>
  <c r="M131" i="6" s="1"/>
  <c r="W151" i="8"/>
  <c r="AT151" i="8"/>
  <c r="V151" i="8"/>
  <c r="S151" i="8"/>
  <c r="P151" i="8"/>
  <c r="X150" i="8"/>
  <c r="AZ150" i="8"/>
  <c r="W150" i="8"/>
  <c r="AT150" i="8"/>
  <c r="V150" i="8"/>
  <c r="V152" i="8"/>
  <c r="S150" i="8"/>
  <c r="P150" i="8"/>
  <c r="AU147" i="8"/>
  <c r="L147" i="8"/>
  <c r="K147" i="8"/>
  <c r="J147" i="8"/>
  <c r="J148" i="8"/>
  <c r="AU146" i="8"/>
  <c r="AN146" i="8"/>
  <c r="AH146" i="8"/>
  <c r="AT146" i="8"/>
  <c r="M146" i="8"/>
  <c r="AU145" i="8"/>
  <c r="AN145" i="8"/>
  <c r="AH145" i="8"/>
  <c r="AZ145" i="8"/>
  <c r="M145" i="8"/>
  <c r="AU144" i="8"/>
  <c r="AN144" i="8"/>
  <c r="AH144" i="8"/>
  <c r="AZ144" i="8"/>
  <c r="AT144" i="8"/>
  <c r="M144" i="8"/>
  <c r="AZ143" i="8"/>
  <c r="AU143" i="8"/>
  <c r="AT143" i="8"/>
  <c r="AN143" i="8"/>
  <c r="AH143" i="8"/>
  <c r="Y143" i="8"/>
  <c r="M143" i="8"/>
  <c r="AU142" i="8"/>
  <c r="AN142" i="8"/>
  <c r="AH142" i="8"/>
  <c r="AT142" i="8"/>
  <c r="M142" i="8"/>
  <c r="AU141" i="8"/>
  <c r="AT141" i="8"/>
  <c r="AN141" i="8"/>
  <c r="AH141" i="8"/>
  <c r="Y141" i="8"/>
  <c r="M141" i="8"/>
  <c r="AU140" i="8"/>
  <c r="AN140" i="8"/>
  <c r="AH140" i="8"/>
  <c r="AZ140" i="8"/>
  <c r="AT140" i="8"/>
  <c r="M140" i="8"/>
  <c r="AU139" i="8"/>
  <c r="AN139" i="8"/>
  <c r="AH139" i="8"/>
  <c r="AZ139" i="8"/>
  <c r="Y139" i="8"/>
  <c r="M139" i="8"/>
  <c r="AU138" i="8"/>
  <c r="AN138" i="8"/>
  <c r="AH138" i="8"/>
  <c r="M138" i="8"/>
  <c r="AU137" i="8"/>
  <c r="AN137" i="8"/>
  <c r="AN147" i="8"/>
  <c r="AH137" i="8"/>
  <c r="AZ137" i="8"/>
  <c r="M137" i="8"/>
  <c r="V120" i="8"/>
  <c r="S120" i="8"/>
  <c r="P120" i="8"/>
  <c r="Y120" i="8"/>
  <c r="V119" i="8"/>
  <c r="V121" i="8"/>
  <c r="V122" i="8"/>
  <c r="S119" i="8"/>
  <c r="P119" i="8"/>
  <c r="V117" i="8"/>
  <c r="P116" i="8"/>
  <c r="P72" i="8"/>
  <c r="V71" i="8"/>
  <c r="P71" i="8"/>
  <c r="S71" i="8"/>
  <c r="P64" i="8"/>
  <c r="P63" i="8"/>
  <c r="V96" i="8"/>
  <c r="S96" i="8"/>
  <c r="P96" i="8"/>
  <c r="Y95" i="8"/>
  <c r="Y94" i="8"/>
  <c r="Y93" i="8"/>
  <c r="Y92" i="8"/>
  <c r="V88" i="8"/>
  <c r="S88" i="8"/>
  <c r="P88" i="8"/>
  <c r="Y87" i="8"/>
  <c r="Y86" i="8"/>
  <c r="Y85" i="8"/>
  <c r="Y84" i="8"/>
  <c r="V81" i="8"/>
  <c r="S81" i="8"/>
  <c r="P81" i="8"/>
  <c r="Y80" i="8"/>
  <c r="Y79" i="8"/>
  <c r="Y78" i="8"/>
  <c r="Y77" i="8"/>
  <c r="U73" i="8"/>
  <c r="T73" i="8"/>
  <c r="T74" i="8"/>
  <c r="R73" i="8"/>
  <c r="Q73" i="8"/>
  <c r="O73" i="8"/>
  <c r="N73" i="8"/>
  <c r="X72" i="8"/>
  <c r="AZ72" i="8"/>
  <c r="W72" i="8"/>
  <c r="AT72" i="8"/>
  <c r="V72" i="8"/>
  <c r="S72" i="8"/>
  <c r="AZ71" i="8"/>
  <c r="W71" i="8"/>
  <c r="AT71" i="8"/>
  <c r="X70" i="8"/>
  <c r="L73" i="6"/>
  <c r="W70" i="8"/>
  <c r="AT70" i="8"/>
  <c r="V70" i="8"/>
  <c r="S70" i="8"/>
  <c r="P70" i="8"/>
  <c r="AZ69" i="8"/>
  <c r="W69" i="8"/>
  <c r="AT69" i="8"/>
  <c r="V69" i="8"/>
  <c r="S69" i="8"/>
  <c r="P69" i="8"/>
  <c r="X68" i="8"/>
  <c r="L71" i="6"/>
  <c r="W68" i="8"/>
  <c r="AT68" i="8"/>
  <c r="V68" i="8"/>
  <c r="S68" i="8"/>
  <c r="P68" i="8"/>
  <c r="P73" i="8"/>
  <c r="U65" i="8"/>
  <c r="U66" i="8"/>
  <c r="T65" i="8"/>
  <c r="T66" i="8"/>
  <c r="R65" i="8"/>
  <c r="Q65" i="8"/>
  <c r="O65" i="8"/>
  <c r="N65" i="8"/>
  <c r="N66" i="8"/>
  <c r="W64" i="8"/>
  <c r="AT64" i="8"/>
  <c r="V64" i="8"/>
  <c r="S64" i="8"/>
  <c r="X63" i="8"/>
  <c r="AZ63" i="8"/>
  <c r="W63" i="8"/>
  <c r="AT63" i="8"/>
  <c r="L67" i="6"/>
  <c r="Y63" i="8"/>
  <c r="V63" i="8"/>
  <c r="S63" i="8"/>
  <c r="X62" i="8"/>
  <c r="L66" i="6"/>
  <c r="W62" i="8"/>
  <c r="AT62" i="8"/>
  <c r="V62" i="8"/>
  <c r="S62" i="8"/>
  <c r="P62" i="8"/>
  <c r="W61" i="8"/>
  <c r="AT61" i="8"/>
  <c r="AT65" i="8"/>
  <c r="X61" i="8"/>
  <c r="L65" i="6"/>
  <c r="V61" i="8"/>
  <c r="S61" i="8"/>
  <c r="P61" i="8"/>
  <c r="L58" i="8"/>
  <c r="K58" i="8"/>
  <c r="K59" i="8"/>
  <c r="J58" i="8"/>
  <c r="J59" i="8"/>
  <c r="AN57" i="8"/>
  <c r="AH57" i="8"/>
  <c r="AZ57" i="8"/>
  <c r="Y57" i="8"/>
  <c r="M57" i="8"/>
  <c r="AN56" i="8"/>
  <c r="AH56" i="8"/>
  <c r="AT56" i="8"/>
  <c r="M56" i="8"/>
  <c r="AN55" i="8"/>
  <c r="AH55" i="8"/>
  <c r="AZ55" i="8"/>
  <c r="M55" i="8"/>
  <c r="AN54" i="8"/>
  <c r="AH54" i="8"/>
  <c r="AZ54" i="8"/>
  <c r="AT54" i="8"/>
  <c r="M54" i="8"/>
  <c r="AZ53" i="8"/>
  <c r="AN53" i="8"/>
  <c r="AH53" i="8"/>
  <c r="Y53" i="8"/>
  <c r="M53" i="8"/>
  <c r="AN52" i="8"/>
  <c r="AH52" i="8"/>
  <c r="AT52" i="8"/>
  <c r="M52" i="8"/>
  <c r="AN51" i="8"/>
  <c r="AH51" i="8"/>
  <c r="AZ51" i="8"/>
  <c r="M51" i="8"/>
  <c r="AN50" i="8"/>
  <c r="AH50" i="8"/>
  <c r="AZ50" i="8"/>
  <c r="AT50" i="8"/>
  <c r="M50" i="8"/>
  <c r="AZ49" i="8"/>
  <c r="AN49" i="8"/>
  <c r="AH49" i="8"/>
  <c r="Y49" i="8"/>
  <c r="M49" i="8"/>
  <c r="AN48" i="8"/>
  <c r="AH48" i="8"/>
  <c r="AT48" i="8"/>
  <c r="M48" i="8"/>
  <c r="AN47" i="8"/>
  <c r="AH47" i="8"/>
  <c r="AZ47" i="8"/>
  <c r="M47" i="8"/>
  <c r="AN46" i="8"/>
  <c r="AH46" i="8"/>
  <c r="AZ46" i="8"/>
  <c r="AT46" i="8"/>
  <c r="M46" i="8"/>
  <c r="AZ45" i="8"/>
  <c r="AN45" i="8"/>
  <c r="AH45" i="8"/>
  <c r="M45" i="8"/>
  <c r="AN44" i="8"/>
  <c r="AH44" i="8"/>
  <c r="AT44" i="8"/>
  <c r="M44" i="8"/>
  <c r="U41" i="8"/>
  <c r="U42" i="8"/>
  <c r="T41" i="8"/>
  <c r="R41" i="8"/>
  <c r="Q41" i="8"/>
  <c r="O41" i="8"/>
  <c r="N41" i="8"/>
  <c r="W40" i="8"/>
  <c r="AT40" i="8"/>
  <c r="AZ40" i="8"/>
  <c r="K46" i="6"/>
  <c r="V40" i="8"/>
  <c r="S40" i="8"/>
  <c r="P40" i="8"/>
  <c r="X39" i="8"/>
  <c r="AZ39" i="8"/>
  <c r="W39" i="8"/>
  <c r="K45" i="6"/>
  <c r="K50" i="23" s="1"/>
  <c r="V39" i="8"/>
  <c r="S39" i="8"/>
  <c r="P39" i="8"/>
  <c r="X38" i="8"/>
  <c r="AZ38" i="8"/>
  <c r="W38" i="8"/>
  <c r="V38" i="8"/>
  <c r="S38" i="8"/>
  <c r="P38" i="8"/>
  <c r="AN32" i="8"/>
  <c r="AH32" i="8"/>
  <c r="W32" i="8"/>
  <c r="AT32" i="8"/>
  <c r="AH31" i="8"/>
  <c r="AZ31" i="8"/>
  <c r="AZ30" i="8"/>
  <c r="AN30" i="8"/>
  <c r="L26" i="8"/>
  <c r="K26" i="8"/>
  <c r="K27" i="8"/>
  <c r="J26" i="8"/>
  <c r="AN25" i="8"/>
  <c r="AH25" i="8"/>
  <c r="L27" i="6"/>
  <c r="Y25" i="8"/>
  <c r="M25" i="8"/>
  <c r="AN24" i="8"/>
  <c r="AH24" i="8"/>
  <c r="AZ24" i="8"/>
  <c r="K26" i="6"/>
  <c r="M24" i="8"/>
  <c r="AZ23" i="8"/>
  <c r="AN23" i="8"/>
  <c r="AN26" i="8"/>
  <c r="AH23" i="8"/>
  <c r="W26" i="8"/>
  <c r="M23" i="8"/>
  <c r="T380" i="8"/>
  <c r="R20" i="8"/>
  <c r="Q20" i="8"/>
  <c r="Q74" i="8"/>
  <c r="O20" i="8"/>
  <c r="AN19" i="8"/>
  <c r="AH19" i="8"/>
  <c r="X19" i="8"/>
  <c r="AZ19" i="8"/>
  <c r="W19" i="8"/>
  <c r="AT19" i="8"/>
  <c r="V19" i="8"/>
  <c r="S19" i="8"/>
  <c r="P19" i="8"/>
  <c r="AN18" i="8"/>
  <c r="AN20" i="8"/>
  <c r="AH18" i="8"/>
  <c r="AH20" i="8"/>
  <c r="X18" i="8"/>
  <c r="AZ18" i="8"/>
  <c r="W18" i="8"/>
  <c r="V18" i="8"/>
  <c r="V20" i="8"/>
  <c r="S18" i="8"/>
  <c r="P18" i="8"/>
  <c r="AZ14" i="8"/>
  <c r="AN14" i="8"/>
  <c r="AH14" i="8"/>
  <c r="AT14" i="8"/>
  <c r="M14" i="8"/>
  <c r="AN13" i="8"/>
  <c r="AH13" i="8"/>
  <c r="AH15" i="8"/>
  <c r="Y13" i="8"/>
  <c r="M13" i="8"/>
  <c r="M15" i="8"/>
  <c r="V298" i="3"/>
  <c r="W298" i="3"/>
  <c r="G233" i="7"/>
  <c r="X298" i="3"/>
  <c r="H233" i="7"/>
  <c r="V299" i="3"/>
  <c r="W299" i="3"/>
  <c r="X299" i="3"/>
  <c r="V300" i="3"/>
  <c r="W300" i="3"/>
  <c r="G235" i="7"/>
  <c r="X300" i="3"/>
  <c r="H235" i="7"/>
  <c r="V301" i="3"/>
  <c r="W301" i="3"/>
  <c r="X301" i="3"/>
  <c r="V302" i="3"/>
  <c r="W302" i="3"/>
  <c r="X302" i="3"/>
  <c r="H237" i="7"/>
  <c r="V303" i="3"/>
  <c r="W303" i="3"/>
  <c r="X303" i="3"/>
  <c r="V304" i="3"/>
  <c r="W304" i="3"/>
  <c r="AT304" i="3"/>
  <c r="X304" i="3"/>
  <c r="H239" i="7"/>
  <c r="V305" i="3"/>
  <c r="W305" i="3"/>
  <c r="X305" i="3"/>
  <c r="V306" i="3"/>
  <c r="W306" i="3"/>
  <c r="G241" i="7"/>
  <c r="X306" i="3"/>
  <c r="S298" i="3"/>
  <c r="S299" i="3"/>
  <c r="S300" i="3"/>
  <c r="S301" i="3"/>
  <c r="S302" i="3"/>
  <c r="S303" i="3"/>
  <c r="S304" i="3"/>
  <c r="S305" i="3"/>
  <c r="S306" i="3"/>
  <c r="P298" i="3"/>
  <c r="P299" i="3"/>
  <c r="P300" i="3"/>
  <c r="P301" i="3"/>
  <c r="P302" i="3"/>
  <c r="P303" i="3"/>
  <c r="P304" i="3"/>
  <c r="P305" i="3"/>
  <c r="P306" i="3"/>
  <c r="BA232" i="3"/>
  <c r="AU232" i="3"/>
  <c r="U232" i="3"/>
  <c r="T232" i="3"/>
  <c r="R232" i="3"/>
  <c r="Q232" i="3"/>
  <c r="O232" i="3"/>
  <c r="N232" i="3"/>
  <c r="BA231" i="3"/>
  <c r="AU231" i="3"/>
  <c r="X231" i="3"/>
  <c r="AZ231" i="3"/>
  <c r="W231" i="3"/>
  <c r="V231" i="3"/>
  <c r="S231" i="3"/>
  <c r="P231" i="3"/>
  <c r="AC230" i="3"/>
  <c r="X230" i="3"/>
  <c r="AY230" i="3"/>
  <c r="W230" i="3"/>
  <c r="AS230" i="3"/>
  <c r="AB229" i="3"/>
  <c r="X229" i="3"/>
  <c r="AX229" i="3"/>
  <c r="W229" i="3"/>
  <c r="AR229" i="3"/>
  <c r="AA228" i="3"/>
  <c r="X228" i="3"/>
  <c r="AW228" i="3"/>
  <c r="W228" i="3"/>
  <c r="AQ228" i="3"/>
  <c r="BA227" i="3"/>
  <c r="AU227" i="3"/>
  <c r="X227" i="3"/>
  <c r="W227" i="3"/>
  <c r="AT227" i="3"/>
  <c r="V227" i="3"/>
  <c r="S227" i="3"/>
  <c r="P227" i="3"/>
  <c r="BA226" i="3"/>
  <c r="AU226" i="3"/>
  <c r="X226" i="3"/>
  <c r="H195" i="7"/>
  <c r="W226" i="3"/>
  <c r="V226" i="3"/>
  <c r="S226" i="3"/>
  <c r="P226" i="3"/>
  <c r="AT294" i="18"/>
  <c r="AT196" i="18"/>
  <c r="Y214" i="18"/>
  <c r="Z211" i="18"/>
  <c r="AU18" i="18"/>
  <c r="BA317" i="17"/>
  <c r="BA316" i="17"/>
  <c r="Y223" i="17"/>
  <c r="Z223" i="17"/>
  <c r="Y243" i="14"/>
  <c r="Z324" i="14"/>
  <c r="Z325" i="14"/>
  <c r="Y287" i="14"/>
  <c r="AU191" i="14"/>
  <c r="AU196" i="14"/>
  <c r="Y670" i="12"/>
  <c r="S572" i="12"/>
  <c r="S538" i="12"/>
  <c r="S508" i="12"/>
  <c r="S469" i="12"/>
  <c r="S430" i="12"/>
  <c r="Q422" i="12"/>
  <c r="S379" i="12"/>
  <c r="AT377" i="12"/>
  <c r="Y62" i="12"/>
  <c r="Q66" i="12"/>
  <c r="Q188" i="12"/>
  <c r="Y507" i="12"/>
  <c r="AZ507" i="12"/>
  <c r="O461" i="12"/>
  <c r="O500" i="12"/>
  <c r="P177" i="12"/>
  <c r="P174" i="12"/>
  <c r="P20" i="12"/>
  <c r="Y19" i="12"/>
  <c r="O153" i="12"/>
  <c r="V572" i="11"/>
  <c r="AZ185" i="11"/>
  <c r="Y119" i="11"/>
  <c r="AZ40" i="11"/>
  <c r="S515" i="11"/>
  <c r="Y473" i="11"/>
  <c r="S460" i="11"/>
  <c r="Y447" i="11"/>
  <c r="S441" i="11"/>
  <c r="S430" i="11"/>
  <c r="Q481" i="11"/>
  <c r="W407" i="11"/>
  <c r="R481" i="11"/>
  <c r="Y394" i="11"/>
  <c r="AZ390" i="11"/>
  <c r="AZ208" i="11"/>
  <c r="Y206" i="11"/>
  <c r="AZ150" i="11"/>
  <c r="S41" i="11"/>
  <c r="Y628" i="11"/>
  <c r="Z623" i="11"/>
  <c r="Y535" i="11"/>
  <c r="P441" i="11"/>
  <c r="AZ414" i="11"/>
  <c r="AZ412" i="11"/>
  <c r="Y392" i="11"/>
  <c r="AZ392" i="11"/>
  <c r="Y378" i="11"/>
  <c r="AZ206" i="11"/>
  <c r="AZ183" i="11"/>
  <c r="AT73" i="11"/>
  <c r="AZ38" i="11"/>
  <c r="P41" i="11"/>
  <c r="O42" i="11"/>
  <c r="N408" i="11"/>
  <c r="N66" i="11"/>
  <c r="N74" i="11"/>
  <c r="AT519" i="10"/>
  <c r="S368" i="6"/>
  <c r="S147" i="23" s="1"/>
  <c r="Y512" i="10"/>
  <c r="Y412" i="10"/>
  <c r="AZ412" i="10"/>
  <c r="R422" i="10"/>
  <c r="S407" i="10"/>
  <c r="S379" i="10"/>
  <c r="T168" i="6"/>
  <c r="Y208" i="10"/>
  <c r="S177" i="10"/>
  <c r="S152" i="10"/>
  <c r="R153" i="10"/>
  <c r="AZ570" i="10"/>
  <c r="Y546" i="10"/>
  <c r="Z544" i="10"/>
  <c r="Y535" i="10"/>
  <c r="AZ535" i="10"/>
  <c r="O470" i="10"/>
  <c r="O461" i="10"/>
  <c r="P495" i="10"/>
  <c r="X493" i="10"/>
  <c r="Y402" i="10"/>
  <c r="Y383" i="10"/>
  <c r="P210" i="10"/>
  <c r="X210" i="10"/>
  <c r="AZ206" i="10"/>
  <c r="AZ210" i="10"/>
  <c r="Y180" i="10"/>
  <c r="AZ178" i="10"/>
  <c r="P174" i="10"/>
  <c r="P121" i="10"/>
  <c r="P65" i="10"/>
  <c r="T65" i="6"/>
  <c r="AZ38" i="10"/>
  <c r="P41" i="10"/>
  <c r="X20" i="10"/>
  <c r="T38" i="6"/>
  <c r="Y19" i="10"/>
  <c r="P572" i="9"/>
  <c r="Y546" i="9"/>
  <c r="P379" i="9"/>
  <c r="AZ180" i="9"/>
  <c r="X177" i="9"/>
  <c r="AZ177" i="9"/>
  <c r="P177" i="9"/>
  <c r="P149" i="6"/>
  <c r="AZ172" i="9"/>
  <c r="P41" i="9"/>
  <c r="AZ41" i="9"/>
  <c r="Y535" i="8"/>
  <c r="K369" i="6"/>
  <c r="AZ506" i="8"/>
  <c r="Y506" i="8"/>
  <c r="K363" i="6"/>
  <c r="W460" i="8"/>
  <c r="S441" i="8"/>
  <c r="S430" i="8"/>
  <c r="W495" i="8"/>
  <c r="Q470" i="8"/>
  <c r="Q481" i="8"/>
  <c r="Q422" i="8"/>
  <c r="AZ208" i="8"/>
  <c r="Y207" i="8"/>
  <c r="AT172" i="8"/>
  <c r="S152" i="8"/>
  <c r="L130" i="6"/>
  <c r="S65" i="8"/>
  <c r="AZ20" i="8"/>
  <c r="S20" i="8"/>
  <c r="S82" i="8"/>
  <c r="R42" i="8"/>
  <c r="R188" i="8"/>
  <c r="R211" i="8"/>
  <c r="AZ572" i="8"/>
  <c r="AZ520" i="8"/>
  <c r="AZ518" i="8"/>
  <c r="P515" i="8"/>
  <c r="AZ403" i="8"/>
  <c r="Y403" i="8"/>
  <c r="P379" i="8"/>
  <c r="AT377" i="8"/>
  <c r="AZ172" i="8"/>
  <c r="L148" i="6"/>
  <c r="P152" i="8"/>
  <c r="X152" i="8"/>
  <c r="W152" i="8"/>
  <c r="AT152" i="8"/>
  <c r="AU151" i="8"/>
  <c r="AZ61" i="8"/>
  <c r="Y61" i="8"/>
  <c r="O42" i="8"/>
  <c r="N408" i="8"/>
  <c r="W20" i="8"/>
  <c r="K38" i="6"/>
  <c r="N42" i="8"/>
  <c r="N153" i="8"/>
  <c r="P20" i="8"/>
  <c r="N74" i="8"/>
  <c r="AI331" i="9"/>
  <c r="AI327" i="9"/>
  <c r="AZ416" i="9"/>
  <c r="P301" i="6"/>
  <c r="Z670" i="9"/>
  <c r="Z669" i="9"/>
  <c r="Z665" i="9"/>
  <c r="Z667" i="9"/>
  <c r="AI48" i="9"/>
  <c r="AI46" i="9"/>
  <c r="AI44" i="9"/>
  <c r="AI56" i="9"/>
  <c r="AI54" i="9"/>
  <c r="AI52" i="9"/>
  <c r="AI50" i="9"/>
  <c r="Z546" i="9"/>
  <c r="Z544" i="9"/>
  <c r="Z545" i="9"/>
  <c r="Z543" i="9"/>
  <c r="Z670" i="8"/>
  <c r="Z669" i="8"/>
  <c r="Z667" i="8"/>
  <c r="Z665" i="8"/>
  <c r="AI165" i="8"/>
  <c r="AZ349" i="8"/>
  <c r="N422" i="8"/>
  <c r="V643" i="8"/>
  <c r="V644" i="8"/>
  <c r="L155" i="6"/>
  <c r="K243" i="6"/>
  <c r="K246" i="6" s="1"/>
  <c r="K269" i="6"/>
  <c r="K323" i="6"/>
  <c r="AZ23" i="9"/>
  <c r="S65" i="9"/>
  <c r="AT242" i="9"/>
  <c r="AZ326" i="9"/>
  <c r="P215" i="6"/>
  <c r="AT413" i="9"/>
  <c r="O298" i="6"/>
  <c r="R481" i="9"/>
  <c r="AT613" i="9"/>
  <c r="O444" i="6"/>
  <c r="P324" i="6"/>
  <c r="O422" i="6"/>
  <c r="AZ24" i="10"/>
  <c r="T26" i="6"/>
  <c r="U26" i="6" s="1"/>
  <c r="AZ49" i="10"/>
  <c r="AT63" i="10"/>
  <c r="S67" i="6"/>
  <c r="O153" i="10"/>
  <c r="AT159" i="10"/>
  <c r="Y159" i="10"/>
  <c r="AZ183" i="10"/>
  <c r="T159" i="6"/>
  <c r="W379" i="10"/>
  <c r="S263" i="6"/>
  <c r="Y377" i="10"/>
  <c r="T316" i="6"/>
  <c r="U316" i="6" s="1"/>
  <c r="AZ437" i="10"/>
  <c r="T361" i="6"/>
  <c r="AZ504" i="10"/>
  <c r="Z486" i="11"/>
  <c r="Z483" i="11"/>
  <c r="Z485" i="11"/>
  <c r="Q153" i="8"/>
  <c r="AN161" i="8"/>
  <c r="Y327" i="8"/>
  <c r="AT331" i="8"/>
  <c r="K220" i="6"/>
  <c r="M343" i="8"/>
  <c r="Y337" i="8"/>
  <c r="Y349" i="8"/>
  <c r="AZ357" i="8"/>
  <c r="K361" i="8"/>
  <c r="M370" i="8"/>
  <c r="AH370" i="8"/>
  <c r="Y376" i="8"/>
  <c r="Y385" i="8"/>
  <c r="Y389" i="8"/>
  <c r="Y393" i="8"/>
  <c r="Y405" i="8"/>
  <c r="AZ412" i="8"/>
  <c r="U422" i="8"/>
  <c r="Y434" i="8"/>
  <c r="S449" i="8"/>
  <c r="AU457" i="8"/>
  <c r="S480" i="8"/>
  <c r="Y477" i="8"/>
  <c r="O499" i="8"/>
  <c r="R500" i="8"/>
  <c r="W497" i="8"/>
  <c r="AZ504" i="8"/>
  <c r="W508" i="8"/>
  <c r="Y512" i="8"/>
  <c r="AZ514" i="8"/>
  <c r="AT579" i="8"/>
  <c r="AI583" i="8"/>
  <c r="AI611" i="8"/>
  <c r="Y618" i="8"/>
  <c r="AI619" i="8"/>
  <c r="Y650" i="8"/>
  <c r="K25" i="6"/>
  <c r="K27" i="6"/>
  <c r="K65" i="6"/>
  <c r="K67" i="6"/>
  <c r="K71" i="6"/>
  <c r="K73" i="6"/>
  <c r="K75" i="6"/>
  <c r="K131" i="6"/>
  <c r="K143" i="6"/>
  <c r="K147" i="6"/>
  <c r="K149" i="6"/>
  <c r="K160" i="6"/>
  <c r="K167" i="6"/>
  <c r="AI167" i="6" s="1"/>
  <c r="L243" i="6"/>
  <c r="L262" i="6"/>
  <c r="L264" i="6"/>
  <c r="L269" i="6"/>
  <c r="L271" i="6"/>
  <c r="L273" i="6"/>
  <c r="L277" i="6"/>
  <c r="L287" i="6"/>
  <c r="L292" i="6" s="1"/>
  <c r="L289" i="6"/>
  <c r="L296" i="6"/>
  <c r="L300" i="6"/>
  <c r="L314" i="6"/>
  <c r="M314" i="6" s="1"/>
  <c r="L323" i="6"/>
  <c r="L325" i="6"/>
  <c r="K373" i="6"/>
  <c r="K375" i="6"/>
  <c r="K377" i="6"/>
  <c r="K379" i="6"/>
  <c r="K381" i="6"/>
  <c r="K387" i="6"/>
  <c r="K413" i="6"/>
  <c r="M413" i="6" s="1"/>
  <c r="K427" i="6"/>
  <c r="K446" i="6"/>
  <c r="K448" i="6"/>
  <c r="M448" i="6" s="1"/>
  <c r="AZ14" i="9"/>
  <c r="AH26" i="9"/>
  <c r="Y25" i="9"/>
  <c r="AZ25" i="9"/>
  <c r="AN58" i="9"/>
  <c r="Y53" i="9"/>
  <c r="AZ57" i="9"/>
  <c r="AT73" i="9"/>
  <c r="Q74" i="9"/>
  <c r="Y145" i="9"/>
  <c r="P152" i="9"/>
  <c r="X152" i="9"/>
  <c r="AH166" i="9"/>
  <c r="AI166" i="9"/>
  <c r="V174" i="9"/>
  <c r="AZ170" i="9"/>
  <c r="W174" i="9"/>
  <c r="X187" i="9"/>
  <c r="Y232" i="9"/>
  <c r="Y240" i="9"/>
  <c r="AZ240" i="9"/>
  <c r="AN343" i="9"/>
  <c r="Y348" i="9"/>
  <c r="AZ348" i="9"/>
  <c r="Y352" i="9"/>
  <c r="AZ352" i="9"/>
  <c r="Y377" i="9"/>
  <c r="AT378" i="9"/>
  <c r="O264" i="6"/>
  <c r="Y388" i="9"/>
  <c r="W395" i="9"/>
  <c r="O279" i="6"/>
  <c r="W407" i="9"/>
  <c r="AZ406" i="9"/>
  <c r="AT411" i="9"/>
  <c r="O296" i="6"/>
  <c r="V421" i="9"/>
  <c r="T422" i="9"/>
  <c r="O421" i="9"/>
  <c r="V441" i="9"/>
  <c r="AT437" i="9"/>
  <c r="O316" i="6"/>
  <c r="AT439" i="9"/>
  <c r="O318" i="6"/>
  <c r="Q318" i="6" s="1"/>
  <c r="Y446" i="9"/>
  <c r="AZ449" i="9"/>
  <c r="P327" i="6"/>
  <c r="Y453" i="9"/>
  <c r="AT458" i="9"/>
  <c r="O331" i="6"/>
  <c r="P469" i="9"/>
  <c r="X469" i="9"/>
  <c r="R470" i="9"/>
  <c r="S480" i="9"/>
  <c r="AT476" i="9"/>
  <c r="O347" i="6"/>
  <c r="Q347" i="6" s="1"/>
  <c r="P493" i="9"/>
  <c r="X500" i="9"/>
  <c r="P356" i="6"/>
  <c r="N500" i="9"/>
  <c r="W515" i="9"/>
  <c r="O367" i="6"/>
  <c r="Y525" i="9"/>
  <c r="X580" i="9"/>
  <c r="AZ583" i="9"/>
  <c r="AT585" i="9"/>
  <c r="O419" i="6"/>
  <c r="AZ586" i="9"/>
  <c r="P420" i="6"/>
  <c r="Y595" i="9"/>
  <c r="AZ595" i="9"/>
  <c r="M607" i="9"/>
  <c r="AH620" i="9"/>
  <c r="AT615" i="9"/>
  <c r="O446" i="6"/>
  <c r="Y616" i="9"/>
  <c r="AZ618" i="9"/>
  <c r="Y648" i="9"/>
  <c r="O26" i="6"/>
  <c r="O44" i="6"/>
  <c r="O46" i="6"/>
  <c r="O66" i="6"/>
  <c r="O68" i="6"/>
  <c r="O74" i="6"/>
  <c r="O130" i="6"/>
  <c r="O142" i="6"/>
  <c r="O146" i="6"/>
  <c r="O148" i="6"/>
  <c r="O150" i="6"/>
  <c r="O155" i="6"/>
  <c r="O157" i="6"/>
  <c r="O159" i="6"/>
  <c r="O166" i="6"/>
  <c r="O168" i="6"/>
  <c r="O263" i="6"/>
  <c r="O268" i="6"/>
  <c r="O272" i="6"/>
  <c r="O276" i="6"/>
  <c r="O286" i="6"/>
  <c r="O290" i="6"/>
  <c r="Q290" i="6" s="1"/>
  <c r="O299" i="6"/>
  <c r="O315" i="6"/>
  <c r="O319" i="6"/>
  <c r="O326" i="6"/>
  <c r="Q326" i="6" s="1"/>
  <c r="O348" i="6"/>
  <c r="P361" i="6"/>
  <c r="P377" i="6"/>
  <c r="P381" i="6"/>
  <c r="P419" i="6"/>
  <c r="T46" i="6"/>
  <c r="AZ40" i="10"/>
  <c r="U42" i="10"/>
  <c r="AT48" i="10"/>
  <c r="Y48" i="10"/>
  <c r="Y51" i="10"/>
  <c r="Y52" i="10"/>
  <c r="V65" i="10"/>
  <c r="AZ63" i="10"/>
  <c r="T67" i="6"/>
  <c r="AT64" i="10"/>
  <c r="S68" i="6"/>
  <c r="Y64" i="10"/>
  <c r="S73" i="10"/>
  <c r="AT70" i="10"/>
  <c r="Y70" i="10"/>
  <c r="V121" i="10"/>
  <c r="V122" i="10"/>
  <c r="S147" i="6"/>
  <c r="AT170" i="10"/>
  <c r="U489" i="10"/>
  <c r="U491" i="10"/>
  <c r="U175" i="10"/>
  <c r="AT181" i="10"/>
  <c r="S157" i="6"/>
  <c r="Y181" i="10"/>
  <c r="O188" i="10"/>
  <c r="U188" i="10"/>
  <c r="BA194" i="10"/>
  <c r="O211" i="10"/>
  <c r="U211" i="10"/>
  <c r="AZ234" i="10"/>
  <c r="AT235" i="10"/>
  <c r="J237" i="10"/>
  <c r="AZ240" i="10"/>
  <c r="W323" i="10"/>
  <c r="Y316" i="10"/>
  <c r="AZ333" i="10"/>
  <c r="T216" i="6"/>
  <c r="T222" i="6" s="1"/>
  <c r="AT358" i="10"/>
  <c r="Y358" i="10"/>
  <c r="U380" i="10"/>
  <c r="V400" i="10"/>
  <c r="T269" i="6"/>
  <c r="AZ385" i="10"/>
  <c r="T421" i="10"/>
  <c r="W416" i="10"/>
  <c r="AT436" i="10"/>
  <c r="S315" i="6"/>
  <c r="Y436" i="10"/>
  <c r="T319" i="6"/>
  <c r="AZ440" i="10"/>
  <c r="AZ441" i="10"/>
  <c r="S367" i="6"/>
  <c r="AT511" i="10"/>
  <c r="T373" i="6"/>
  <c r="AZ518" i="10"/>
  <c r="AT584" i="10"/>
  <c r="Y584" i="10"/>
  <c r="S418" i="6"/>
  <c r="AZ594" i="10"/>
  <c r="T427" i="6"/>
  <c r="T290" i="6"/>
  <c r="T291" i="6" s="1"/>
  <c r="W41" i="11"/>
  <c r="W44" i="6"/>
  <c r="AT38" i="11"/>
  <c r="Y38" i="11"/>
  <c r="Y479" i="11"/>
  <c r="X350" i="6"/>
  <c r="AT576" i="11"/>
  <c r="W580" i="11"/>
  <c r="AH58" i="8"/>
  <c r="AT576" i="8"/>
  <c r="AT580" i="8"/>
  <c r="AU580" i="8"/>
  <c r="AI617" i="8"/>
  <c r="L26" i="6"/>
  <c r="L44" i="6"/>
  <c r="K273" i="6"/>
  <c r="M273" i="6" s="1"/>
  <c r="L449" i="6"/>
  <c r="M147" i="9"/>
  <c r="AZ232" i="9"/>
  <c r="AZ403" i="9"/>
  <c r="AZ405" i="9"/>
  <c r="AZ407" i="9"/>
  <c r="P287" i="6"/>
  <c r="AT405" i="9"/>
  <c r="O289" i="6"/>
  <c r="Q289" i="6" s="1"/>
  <c r="W538" i="9"/>
  <c r="AT571" i="9"/>
  <c r="O455" i="6"/>
  <c r="Q455" i="6" s="1"/>
  <c r="Q456" i="6" s="1"/>
  <c r="R456" i="6" s="1"/>
  <c r="Y583" i="9"/>
  <c r="O417" i="6"/>
  <c r="Q417" i="6" s="1"/>
  <c r="AZ593" i="9"/>
  <c r="AZ616" i="9"/>
  <c r="P45" i="6"/>
  <c r="P350" i="6"/>
  <c r="O376" i="6"/>
  <c r="O449" i="6"/>
  <c r="O42" i="10"/>
  <c r="Y45" i="10"/>
  <c r="Y50" i="10"/>
  <c r="AZ52" i="10"/>
  <c r="Y55" i="10"/>
  <c r="AZ62" i="10"/>
  <c r="T66" i="6"/>
  <c r="Y72" i="10"/>
  <c r="S75" i="6"/>
  <c r="AZ150" i="10"/>
  <c r="AZ152" i="10"/>
  <c r="BA152" i="10"/>
  <c r="T130" i="6"/>
  <c r="X161" i="10"/>
  <c r="AT327" i="10"/>
  <c r="S216" i="6"/>
  <c r="Y327" i="10"/>
  <c r="AT446" i="10"/>
  <c r="S324" i="6"/>
  <c r="Y446" i="10"/>
  <c r="AT23" i="11"/>
  <c r="W25" i="6"/>
  <c r="Y23" i="11"/>
  <c r="Y231" i="11"/>
  <c r="AT231" i="11"/>
  <c r="AZ25" i="8"/>
  <c r="AZ26" i="8"/>
  <c r="V65" i="8"/>
  <c r="Q66" i="8"/>
  <c r="Y88" i="8"/>
  <c r="Z86" i="8"/>
  <c r="AZ182" i="8"/>
  <c r="AT13" i="8"/>
  <c r="AT15" i="8"/>
  <c r="X20" i="8"/>
  <c r="L38" i="6"/>
  <c r="X26" i="8"/>
  <c r="M26" i="8"/>
  <c r="V41" i="8"/>
  <c r="P41" i="8"/>
  <c r="AT47" i="8"/>
  <c r="AT51" i="8"/>
  <c r="AT55" i="8"/>
  <c r="P65" i="8"/>
  <c r="R66" i="8"/>
  <c r="V73" i="8"/>
  <c r="Y69" i="8"/>
  <c r="V116" i="8"/>
  <c r="P117" i="8"/>
  <c r="S121" i="8"/>
  <c r="S122" i="8"/>
  <c r="AZ141" i="8"/>
  <c r="K148" i="8"/>
  <c r="R153" i="8"/>
  <c r="AZ156" i="8"/>
  <c r="L162" i="8"/>
  <c r="AT164" i="8"/>
  <c r="AT166" i="8"/>
  <c r="AO165" i="8"/>
  <c r="Y170" i="8"/>
  <c r="N175" i="8"/>
  <c r="X177" i="8"/>
  <c r="AZ177" i="8"/>
  <c r="AZ180" i="8"/>
  <c r="V210" i="8"/>
  <c r="N211" i="8"/>
  <c r="AO214" i="8"/>
  <c r="K224" i="8"/>
  <c r="K229" i="8"/>
  <c r="AH236" i="8"/>
  <c r="AI234" i="8"/>
  <c r="Y234" i="8"/>
  <c r="X236" i="8"/>
  <c r="X244" i="8"/>
  <c r="AZ239" i="8"/>
  <c r="AZ244" i="8"/>
  <c r="W343" i="8"/>
  <c r="AT341" i="8"/>
  <c r="K229" i="6"/>
  <c r="X343" i="8"/>
  <c r="AN354" i="8"/>
  <c r="AZ370" i="8"/>
  <c r="V379" i="8"/>
  <c r="N380" i="8"/>
  <c r="R380" i="8"/>
  <c r="AT383" i="8"/>
  <c r="AZ385" i="8"/>
  <c r="AT387" i="8"/>
  <c r="AZ389" i="8"/>
  <c r="AZ393" i="8"/>
  <c r="P407" i="8"/>
  <c r="Y406" i="8"/>
  <c r="W407" i="8"/>
  <c r="AT434" i="8"/>
  <c r="AT441" i="8"/>
  <c r="Y436" i="8"/>
  <c r="AZ440" i="8"/>
  <c r="S454" i="8"/>
  <c r="AT445" i="8"/>
  <c r="AT447" i="8"/>
  <c r="T455" i="8"/>
  <c r="V460" i="8"/>
  <c r="Q461" i="8"/>
  <c r="AT468" i="8"/>
  <c r="K340" i="6"/>
  <c r="AT475" i="8"/>
  <c r="AZ477" i="8"/>
  <c r="AT479" i="8"/>
  <c r="X490" i="8"/>
  <c r="L353" i="6"/>
  <c r="P493" i="8"/>
  <c r="N500" i="8"/>
  <c r="AG500" i="8"/>
  <c r="AN497" i="8"/>
  <c r="V508" i="8"/>
  <c r="P508" i="8"/>
  <c r="N509" i="8"/>
  <c r="AZ512" i="8"/>
  <c r="Y526" i="8"/>
  <c r="S572" i="8"/>
  <c r="W589" i="8"/>
  <c r="AZ587" i="8"/>
  <c r="AT593" i="8"/>
  <c r="Y601" i="8"/>
  <c r="Y611" i="8"/>
  <c r="Y612" i="8"/>
  <c r="AI613" i="8"/>
  <c r="Y619" i="8"/>
  <c r="L25" i="6"/>
  <c r="L45" i="6"/>
  <c r="L75" i="6"/>
  <c r="L143" i="6"/>
  <c r="L144" i="6" s="1"/>
  <c r="L160" i="6"/>
  <c r="L165" i="6"/>
  <c r="L167" i="6"/>
  <c r="K266" i="6"/>
  <c r="M266" i="6" s="1"/>
  <c r="K268" i="6"/>
  <c r="K270" i="6"/>
  <c r="K272" i="6"/>
  <c r="K274" i="6"/>
  <c r="M274" i="6" s="1"/>
  <c r="K278" i="6"/>
  <c r="K286" i="6"/>
  <c r="K288" i="6"/>
  <c r="K290" i="6"/>
  <c r="K315" i="6"/>
  <c r="K317" i="6"/>
  <c r="K324" i="6"/>
  <c r="K326" i="6"/>
  <c r="K328" i="6" s="1"/>
  <c r="K330" i="6"/>
  <c r="K332" i="6"/>
  <c r="K344" i="6"/>
  <c r="K348" i="6"/>
  <c r="L367" i="6"/>
  <c r="L381" i="6"/>
  <c r="L387" i="6"/>
  <c r="L419" i="6"/>
  <c r="L427" i="6"/>
  <c r="L429" i="6"/>
  <c r="L442" i="6"/>
  <c r="L446" i="6"/>
  <c r="L451" i="6" s="1"/>
  <c r="L450" i="6"/>
  <c r="L455" i="6"/>
  <c r="AH15" i="9"/>
  <c r="AZ18" i="9"/>
  <c r="J27" i="9"/>
  <c r="S41" i="9"/>
  <c r="Y38" i="9"/>
  <c r="Y40" i="9"/>
  <c r="AZ45" i="9"/>
  <c r="AZ47" i="9"/>
  <c r="Y57" i="9"/>
  <c r="P65" i="9"/>
  <c r="U66" i="9"/>
  <c r="W73" i="9"/>
  <c r="R74" i="9"/>
  <c r="P116" i="9"/>
  <c r="V117" i="9"/>
  <c r="Y119" i="9"/>
  <c r="AT137" i="9"/>
  <c r="Y139" i="9"/>
  <c r="K148" i="9"/>
  <c r="S152" i="9"/>
  <c r="Y150" i="9"/>
  <c r="Y156" i="9"/>
  <c r="Y158" i="9"/>
  <c r="Y160" i="9"/>
  <c r="AN166" i="9"/>
  <c r="AO164" i="9"/>
  <c r="K167" i="9"/>
  <c r="AT174" i="9"/>
  <c r="N175" i="9"/>
  <c r="P187" i="9"/>
  <c r="AZ186" i="9"/>
  <c r="R188" i="9"/>
  <c r="AT207" i="9"/>
  <c r="AT209" i="9"/>
  <c r="W228" i="9"/>
  <c r="W236" i="9"/>
  <c r="K237" i="9"/>
  <c r="W244" i="9"/>
  <c r="Y316" i="9"/>
  <c r="M333" i="9"/>
  <c r="AT336" i="9"/>
  <c r="O224" i="6"/>
  <c r="AI224" i="6" s="1"/>
  <c r="AZ343" i="9"/>
  <c r="K344" i="9"/>
  <c r="AT346" i="9"/>
  <c r="X354" i="9"/>
  <c r="AH354" i="9"/>
  <c r="AT350" i="9"/>
  <c r="AZ357" i="9"/>
  <c r="P243" i="6"/>
  <c r="Q243" i="6" s="1"/>
  <c r="M360" i="9"/>
  <c r="K361" i="9"/>
  <c r="M370" i="9"/>
  <c r="Y378" i="9"/>
  <c r="P264" i="6"/>
  <c r="Y384" i="9"/>
  <c r="AT385" i="9"/>
  <c r="O269" i="6"/>
  <c r="Y387" i="9"/>
  <c r="P271" i="6"/>
  <c r="Y392" i="9"/>
  <c r="AT393" i="9"/>
  <c r="O277" i="6"/>
  <c r="Y404" i="9"/>
  <c r="Y405" i="9"/>
  <c r="V407" i="9"/>
  <c r="P421" i="9"/>
  <c r="AZ413" i="9"/>
  <c r="AT415" i="9"/>
  <c r="Y425" i="9"/>
  <c r="Y429" i="9"/>
  <c r="P441" i="9"/>
  <c r="AT435" i="9"/>
  <c r="O314" i="6"/>
  <c r="Q314" i="6" s="1"/>
  <c r="AT445" i="9"/>
  <c r="O323" i="6"/>
  <c r="AT446" i="9"/>
  <c r="Y448" i="9"/>
  <c r="O455" i="9"/>
  <c r="AZ459" i="9"/>
  <c r="S469" i="9"/>
  <c r="AT463" i="9"/>
  <c r="O335" i="6"/>
  <c r="O341" i="6" s="1"/>
  <c r="AZ473" i="9"/>
  <c r="AZ478" i="9"/>
  <c r="P349" i="6"/>
  <c r="Y486" i="9"/>
  <c r="Z486" i="9"/>
  <c r="V493" i="9"/>
  <c r="AH495" i="9"/>
  <c r="AZ495" i="9"/>
  <c r="AH496" i="9"/>
  <c r="AZ496" i="9"/>
  <c r="AH497" i="9"/>
  <c r="Y505" i="9"/>
  <c r="AZ507" i="9"/>
  <c r="AZ513" i="9"/>
  <c r="Y521" i="9"/>
  <c r="AZ523" i="9"/>
  <c r="AT524" i="9"/>
  <c r="O379" i="6"/>
  <c r="AZ525" i="9"/>
  <c r="AT526" i="9"/>
  <c r="O381" i="6"/>
  <c r="P538" i="9"/>
  <c r="AZ571" i="9"/>
  <c r="AN580" i="9"/>
  <c r="AH589" i="9"/>
  <c r="AZ587" i="9"/>
  <c r="AT594" i="9"/>
  <c r="O427" i="6"/>
  <c r="AZ612" i="9"/>
  <c r="AT617" i="9"/>
  <c r="O448" i="6"/>
  <c r="Y618" i="9"/>
  <c r="Y650" i="9"/>
  <c r="P26" i="6"/>
  <c r="P44" i="6"/>
  <c r="P46" i="6"/>
  <c r="P130" i="6"/>
  <c r="P142" i="6"/>
  <c r="P148" i="6"/>
  <c r="P151" i="6" s="1"/>
  <c r="P155" i="6"/>
  <c r="P159" i="6"/>
  <c r="P166" i="6"/>
  <c r="P263" i="6"/>
  <c r="P265" i="6" s="1"/>
  <c r="P268" i="6"/>
  <c r="P272" i="6"/>
  <c r="P276" i="6"/>
  <c r="P286" i="6"/>
  <c r="P299" i="6"/>
  <c r="O362" i="6"/>
  <c r="O368" i="6"/>
  <c r="O388" i="6"/>
  <c r="O420" i="6"/>
  <c r="O443" i="6"/>
  <c r="O447" i="6"/>
  <c r="S41" i="10"/>
  <c r="Y40" i="10"/>
  <c r="AN58" i="10"/>
  <c r="AT61" i="10"/>
  <c r="S65" i="6"/>
  <c r="O66" i="10"/>
  <c r="S71" i="6"/>
  <c r="AT68" i="10"/>
  <c r="AZ70" i="10"/>
  <c r="T73" i="6"/>
  <c r="S117" i="10"/>
  <c r="Y120" i="10"/>
  <c r="Y137" i="10"/>
  <c r="AT137" i="10"/>
  <c r="AT155" i="10"/>
  <c r="Y155" i="10"/>
  <c r="AZ157" i="10"/>
  <c r="AT158" i="10"/>
  <c r="AT164" i="10"/>
  <c r="S142" i="6"/>
  <c r="V174" i="10"/>
  <c r="T147" i="6"/>
  <c r="AZ170" i="10"/>
  <c r="T150" i="6"/>
  <c r="AZ173" i="10"/>
  <c r="Q489" i="10"/>
  <c r="Q175" i="10"/>
  <c r="O175" i="10"/>
  <c r="X187" i="10"/>
  <c r="T160" i="6"/>
  <c r="AT186" i="10"/>
  <c r="S161" i="6"/>
  <c r="Y186" i="10"/>
  <c r="J218" i="10"/>
  <c r="Y232" i="10"/>
  <c r="AT242" i="10"/>
  <c r="Y242" i="10"/>
  <c r="W333" i="10"/>
  <c r="Y326" i="10"/>
  <c r="AT337" i="10"/>
  <c r="S225" i="6"/>
  <c r="S231" i="6" s="1"/>
  <c r="Y337" i="10"/>
  <c r="AN354" i="10"/>
  <c r="AO368" i="10"/>
  <c r="AO370" i="10"/>
  <c r="AO369" i="10"/>
  <c r="X370" i="10"/>
  <c r="T277" i="6"/>
  <c r="AZ393" i="10"/>
  <c r="AT424" i="10"/>
  <c r="S304" i="6"/>
  <c r="Y424" i="10"/>
  <c r="W430" i="10"/>
  <c r="P441" i="10"/>
  <c r="AT439" i="10"/>
  <c r="Y439" i="10"/>
  <c r="T454" i="10"/>
  <c r="V449" i="10"/>
  <c r="AM500" i="10"/>
  <c r="T376" i="6"/>
  <c r="AZ521" i="10"/>
  <c r="Y526" i="10"/>
  <c r="S381" i="6"/>
  <c r="AZ618" i="10"/>
  <c r="T449" i="6"/>
  <c r="Y634" i="10"/>
  <c r="S73" i="6"/>
  <c r="T157" i="6"/>
  <c r="S298" i="6"/>
  <c r="T312" i="6"/>
  <c r="S388" i="6"/>
  <c r="T445" i="6"/>
  <c r="Y18" i="11"/>
  <c r="W20" i="11"/>
  <c r="W38" i="6"/>
  <c r="AT18" i="11"/>
  <c r="AZ24" i="11"/>
  <c r="X26" i="6"/>
  <c r="AT25" i="11"/>
  <c r="W27" i="6"/>
  <c r="Y27" i="6" s="1"/>
  <c r="X155" i="6"/>
  <c r="AZ179" i="11"/>
  <c r="AT349" i="11"/>
  <c r="Y349" i="11"/>
  <c r="AT353" i="11"/>
  <c r="Y353" i="11"/>
  <c r="X262" i="6"/>
  <c r="AZ376" i="11"/>
  <c r="AT391" i="11"/>
  <c r="W275" i="6"/>
  <c r="AT393" i="11"/>
  <c r="W277" i="6"/>
  <c r="S395" i="11"/>
  <c r="Q400" i="11"/>
  <c r="AZ435" i="11"/>
  <c r="X314" i="6"/>
  <c r="W315" i="6"/>
  <c r="AT436" i="11"/>
  <c r="Y436" i="11"/>
  <c r="X364" i="6"/>
  <c r="AZ507" i="11"/>
  <c r="X377" i="6"/>
  <c r="AZ522" i="11"/>
  <c r="S73" i="8"/>
  <c r="K277" i="6"/>
  <c r="K300" i="6"/>
  <c r="M300" i="6" s="1"/>
  <c r="K316" i="6"/>
  <c r="K325" i="6"/>
  <c r="AT14" i="9"/>
  <c r="L27" i="9"/>
  <c r="L59" i="9"/>
  <c r="AZ142" i="9"/>
  <c r="AZ359" i="9"/>
  <c r="AT518" i="9"/>
  <c r="O373" i="6"/>
  <c r="AT578" i="9"/>
  <c r="O413" i="6"/>
  <c r="O415" i="6" s="1"/>
  <c r="P25" i="6"/>
  <c r="AT14" i="10"/>
  <c r="P20" i="10"/>
  <c r="P89" i="10"/>
  <c r="Y25" i="10"/>
  <c r="S27" i="6"/>
  <c r="AZ54" i="10"/>
  <c r="AT57" i="10"/>
  <c r="Y57" i="10"/>
  <c r="AT151" i="10"/>
  <c r="S131" i="6"/>
  <c r="Y151" i="10"/>
  <c r="AT172" i="10"/>
  <c r="Y172" i="10"/>
  <c r="AT388" i="10"/>
  <c r="S272" i="6"/>
  <c r="U272" i="6" s="1"/>
  <c r="Y388" i="10"/>
  <c r="R470" i="10"/>
  <c r="R461" i="10"/>
  <c r="AT513" i="10"/>
  <c r="S369" i="6"/>
  <c r="Y513" i="10"/>
  <c r="T421" i="6"/>
  <c r="AZ587" i="10"/>
  <c r="AT151" i="11"/>
  <c r="W131" i="6"/>
  <c r="AZ156" i="11"/>
  <c r="P493" i="11"/>
  <c r="N499" i="11"/>
  <c r="AT25" i="8"/>
  <c r="S41" i="8"/>
  <c r="AN58" i="8"/>
  <c r="W65" i="8"/>
  <c r="S116" i="8"/>
  <c r="AZ207" i="8"/>
  <c r="AN244" i="8"/>
  <c r="AN15" i="8"/>
  <c r="L59" i="8"/>
  <c r="AH26" i="8"/>
  <c r="AT24" i="8"/>
  <c r="J27" i="8"/>
  <c r="W41" i="8"/>
  <c r="Y47" i="8"/>
  <c r="Y51" i="8"/>
  <c r="Y55" i="8"/>
  <c r="AT73" i="8"/>
  <c r="R74" i="8"/>
  <c r="Y150" i="8"/>
  <c r="Y160" i="8"/>
  <c r="Y164" i="8"/>
  <c r="AZ164" i="8"/>
  <c r="AZ166" i="8"/>
  <c r="J167" i="8"/>
  <c r="AT170" i="8"/>
  <c r="AT174" i="8"/>
  <c r="AU171" i="8"/>
  <c r="S187" i="8"/>
  <c r="K198" i="8"/>
  <c r="S210" i="8"/>
  <c r="Y206" i="8"/>
  <c r="M217" i="8"/>
  <c r="AO217" i="8"/>
  <c r="AH244" i="8"/>
  <c r="K245" i="8"/>
  <c r="M333" i="8"/>
  <c r="AZ353" i="8"/>
  <c r="AH360" i="8"/>
  <c r="Y368" i="8"/>
  <c r="Y382" i="8"/>
  <c r="R408" i="8"/>
  <c r="R422" i="8"/>
  <c r="P421" i="8"/>
  <c r="W416" i="8"/>
  <c r="W441" i="8"/>
  <c r="AZ434" i="8"/>
  <c r="W449" i="8"/>
  <c r="Y458" i="8"/>
  <c r="V469" i="8"/>
  <c r="AT464" i="8"/>
  <c r="K336" i="6"/>
  <c r="Y472" i="8"/>
  <c r="V480" i="8"/>
  <c r="Y474" i="8"/>
  <c r="N481" i="8"/>
  <c r="Y486" i="8"/>
  <c r="S493" i="8"/>
  <c r="W493" i="8"/>
  <c r="AK499" i="8"/>
  <c r="X495" i="8"/>
  <c r="Y495" i="8"/>
  <c r="AL500" i="8"/>
  <c r="S497" i="8"/>
  <c r="Y520" i="8"/>
  <c r="Y522" i="8"/>
  <c r="Y527" i="8"/>
  <c r="Y537" i="8"/>
  <c r="V572" i="8"/>
  <c r="X589" i="8"/>
  <c r="AZ583" i="8"/>
  <c r="AH597" i="8"/>
  <c r="AI597" i="8"/>
  <c r="AT595" i="8"/>
  <c r="Y614" i="8"/>
  <c r="Y628" i="8"/>
  <c r="K44" i="6"/>
  <c r="K66" i="6"/>
  <c r="K68" i="6"/>
  <c r="K72" i="6"/>
  <c r="K74" i="6"/>
  <c r="K130" i="6"/>
  <c r="K142" i="6"/>
  <c r="K146" i="6"/>
  <c r="K151" i="6" s="1"/>
  <c r="K148" i="6"/>
  <c r="K150" i="6"/>
  <c r="K155" i="6"/>
  <c r="K157" i="6"/>
  <c r="K159" i="6"/>
  <c r="K161" i="6"/>
  <c r="K168" i="6"/>
  <c r="L263" i="6"/>
  <c r="L268" i="6"/>
  <c r="L272" i="6"/>
  <c r="L276" i="6"/>
  <c r="L290" i="6"/>
  <c r="L324" i="6"/>
  <c r="L346" i="6"/>
  <c r="L348" i="6"/>
  <c r="L350" i="6"/>
  <c r="M350" i="6" s="1"/>
  <c r="K362" i="6"/>
  <c r="K364" i="6"/>
  <c r="K368" i="6"/>
  <c r="K370" i="6"/>
  <c r="K374" i="6"/>
  <c r="K376" i="6"/>
  <c r="K378" i="6"/>
  <c r="K380" i="6"/>
  <c r="K382" i="6"/>
  <c r="K386" i="6"/>
  <c r="K388" i="6"/>
  <c r="K412" i="6"/>
  <c r="K415" i="6" s="1"/>
  <c r="K418" i="6"/>
  <c r="K420" i="6"/>
  <c r="K422" i="6"/>
  <c r="K426" i="6"/>
  <c r="K443" i="6"/>
  <c r="K445" i="6"/>
  <c r="K447" i="6"/>
  <c r="K449" i="6"/>
  <c r="AT15" i="9"/>
  <c r="S20" i="9"/>
  <c r="Y18" i="9"/>
  <c r="AT23" i="9"/>
  <c r="AT26" i="9"/>
  <c r="AZ26" i="9"/>
  <c r="K27" i="9"/>
  <c r="Q42" i="9"/>
  <c r="AT58" i="9"/>
  <c r="Y45" i="9"/>
  <c r="K59" i="9"/>
  <c r="Y61" i="9"/>
  <c r="R66" i="9"/>
  <c r="AZ150" i="9"/>
  <c r="AT152" i="9"/>
  <c r="W152" i="9"/>
  <c r="AT161" i="9"/>
  <c r="K162" i="9"/>
  <c r="AT164" i="9"/>
  <c r="AT166" i="9"/>
  <c r="AU164" i="9"/>
  <c r="P174" i="9"/>
  <c r="T175" i="9"/>
  <c r="S177" i="9"/>
  <c r="V187" i="9"/>
  <c r="Y180" i="9"/>
  <c r="N188" i="9"/>
  <c r="AO201" i="9"/>
  <c r="AI215" i="9"/>
  <c r="K218" i="9"/>
  <c r="AH323" i="9"/>
  <c r="AT333" i="9"/>
  <c r="AN333" i="9"/>
  <c r="W333" i="9"/>
  <c r="Y342" i="9"/>
  <c r="AT342" i="9"/>
  <c r="O230" i="6"/>
  <c r="Y346" i="9"/>
  <c r="Y347" i="9"/>
  <c r="W354" i="9"/>
  <c r="Y350" i="9"/>
  <c r="Y351" i="9"/>
  <c r="AH360" i="9"/>
  <c r="Y358" i="9"/>
  <c r="AT358" i="9"/>
  <c r="AT359" i="9"/>
  <c r="Y369" i="9"/>
  <c r="AT376" i="9"/>
  <c r="AT379" i="9"/>
  <c r="AZ378" i="9"/>
  <c r="W379" i="9"/>
  <c r="AT383" i="9"/>
  <c r="AT387" i="9"/>
  <c r="Y389" i="9"/>
  <c r="AZ391" i="9"/>
  <c r="P275" i="6"/>
  <c r="Q275" i="6" s="1"/>
  <c r="P395" i="9"/>
  <c r="Q400" i="9"/>
  <c r="S407" i="9"/>
  <c r="AT404" i="9"/>
  <c r="AT425" i="9"/>
  <c r="O305" i="6"/>
  <c r="Y437" i="9"/>
  <c r="AZ439" i="9"/>
  <c r="AT447" i="9"/>
  <c r="O325" i="6"/>
  <c r="U455" i="9"/>
  <c r="S460" i="9"/>
  <c r="Y457" i="9"/>
  <c r="AZ463" i="9"/>
  <c r="P335" i="6"/>
  <c r="O470" i="9"/>
  <c r="U470" i="9"/>
  <c r="AT472" i="9"/>
  <c r="O343" i="6"/>
  <c r="AZ474" i="9"/>
  <c r="P345" i="6"/>
  <c r="AT478" i="9"/>
  <c r="X490" i="9"/>
  <c r="P353" i="6"/>
  <c r="R499" i="9"/>
  <c r="X499" i="9"/>
  <c r="AL499" i="9"/>
  <c r="AN495" i="9"/>
  <c r="AT504" i="9"/>
  <c r="O361" i="6"/>
  <c r="AZ505" i="9"/>
  <c r="AT506" i="9"/>
  <c r="O363" i="6"/>
  <c r="Y511" i="9"/>
  <c r="AZ514" i="9"/>
  <c r="P370" i="6"/>
  <c r="AZ519" i="9"/>
  <c r="AT520" i="9"/>
  <c r="O375" i="6"/>
  <c r="AZ521" i="9"/>
  <c r="AT522" i="9"/>
  <c r="O377" i="6"/>
  <c r="Y527" i="9"/>
  <c r="AT576" i="9"/>
  <c r="AZ577" i="9"/>
  <c r="P412" i="6"/>
  <c r="AZ579" i="9"/>
  <c r="P414" i="6"/>
  <c r="Y585" i="9"/>
  <c r="Y593" i="9"/>
  <c r="AT593" i="9"/>
  <c r="AT596" i="9"/>
  <c r="O429" i="6"/>
  <c r="Q429" i="6" s="1"/>
  <c r="Y601" i="9"/>
  <c r="Y605" i="9"/>
  <c r="W620" i="9"/>
  <c r="O442" i="6"/>
  <c r="Q442" i="6" s="1"/>
  <c r="Y612" i="9"/>
  <c r="AZ614" i="9"/>
  <c r="AT619" i="9"/>
  <c r="O450" i="6"/>
  <c r="Q450" i="6" s="1"/>
  <c r="O25" i="6"/>
  <c r="O45" i="6"/>
  <c r="O65" i="6"/>
  <c r="O71" i="6"/>
  <c r="O73" i="6"/>
  <c r="O75" i="6"/>
  <c r="O131" i="6"/>
  <c r="Q131" i="6" s="1"/>
  <c r="O143" i="6"/>
  <c r="O147" i="6"/>
  <c r="O149" i="6"/>
  <c r="O154" i="6"/>
  <c r="O162" i="6" s="1"/>
  <c r="O156" i="6"/>
  <c r="O158" i="6"/>
  <c r="O160" i="6"/>
  <c r="O165" i="6"/>
  <c r="Q165" i="6" s="1"/>
  <c r="O167" i="6"/>
  <c r="Q167" i="6" s="1"/>
  <c r="O215" i="6"/>
  <c r="O288" i="6"/>
  <c r="Q288" i="6" s="1"/>
  <c r="O297" i="6"/>
  <c r="Q297" i="6" s="1"/>
  <c r="O313" i="6"/>
  <c r="O317" i="6"/>
  <c r="O330" i="6"/>
  <c r="P427" i="6"/>
  <c r="AJ427" i="6" s="1"/>
  <c r="P444" i="6"/>
  <c r="P448" i="6"/>
  <c r="X26" i="10"/>
  <c r="Y24" i="10"/>
  <c r="S26" i="6"/>
  <c r="AZ41" i="10"/>
  <c r="S45" i="6"/>
  <c r="AT39" i="10"/>
  <c r="AT40" i="10"/>
  <c r="AT41" i="10"/>
  <c r="N42" i="10"/>
  <c r="AT44" i="10"/>
  <c r="Y44" i="10"/>
  <c r="AZ46" i="10"/>
  <c r="Y47" i="10"/>
  <c r="AT47" i="10"/>
  <c r="O74" i="10"/>
  <c r="Y96" i="10"/>
  <c r="Z92" i="10"/>
  <c r="Y141" i="10"/>
  <c r="W152" i="10"/>
  <c r="S130" i="6"/>
  <c r="Y156" i="10"/>
  <c r="AZ156" i="10"/>
  <c r="X166" i="10"/>
  <c r="T142" i="6"/>
  <c r="Y165" i="10"/>
  <c r="S143" i="6"/>
  <c r="AT169" i="10"/>
  <c r="S146" i="6"/>
  <c r="Y169" i="10"/>
  <c r="AZ171" i="10"/>
  <c r="T148" i="6"/>
  <c r="V177" i="10"/>
  <c r="T155" i="6"/>
  <c r="AZ179" i="10"/>
  <c r="AT207" i="10"/>
  <c r="S167" i="6"/>
  <c r="Y207" i="10"/>
  <c r="Y243" i="10"/>
  <c r="AZ243" i="10"/>
  <c r="M343" i="10"/>
  <c r="AH343" i="10"/>
  <c r="AT346" i="10"/>
  <c r="Y346" i="10"/>
  <c r="Y349" i="10"/>
  <c r="AT349" i="10"/>
  <c r="AT405" i="10"/>
  <c r="S289" i="6"/>
  <c r="Y405" i="10"/>
  <c r="AZ411" i="10"/>
  <c r="T296" i="6"/>
  <c r="S460" i="10"/>
  <c r="AZ458" i="10"/>
  <c r="T331" i="6"/>
  <c r="AZ472" i="10"/>
  <c r="T343" i="6"/>
  <c r="AT476" i="10"/>
  <c r="S347" i="6"/>
  <c r="U347" i="6" s="1"/>
  <c r="Y476" i="10"/>
  <c r="AW500" i="10"/>
  <c r="AZ494" i="10"/>
  <c r="T364" i="6"/>
  <c r="AZ507" i="10"/>
  <c r="AT520" i="10"/>
  <c r="Y520" i="10"/>
  <c r="AZ524" i="10"/>
  <c r="T379" i="6"/>
  <c r="AZ536" i="10"/>
  <c r="T387" i="6"/>
  <c r="W538" i="10"/>
  <c r="AZ579" i="10"/>
  <c r="T414" i="6"/>
  <c r="T426" i="6"/>
  <c r="AZ593" i="10"/>
  <c r="T25" i="6"/>
  <c r="T300" i="6"/>
  <c r="T370" i="6"/>
  <c r="AT14" i="11"/>
  <c r="Y14" i="11"/>
  <c r="AZ50" i="11"/>
  <c r="Y51" i="11"/>
  <c r="AT51" i="11"/>
  <c r="AT54" i="11"/>
  <c r="W65" i="11"/>
  <c r="W65" i="6"/>
  <c r="AT64" i="11"/>
  <c r="W68" i="6"/>
  <c r="AT159" i="11"/>
  <c r="X143" i="6"/>
  <c r="AZ165" i="11"/>
  <c r="Y13" i="10"/>
  <c r="AT13" i="10"/>
  <c r="AT15" i="10"/>
  <c r="K198" i="10"/>
  <c r="V20" i="10"/>
  <c r="AN26" i="10"/>
  <c r="AO25" i="10"/>
  <c r="Y38" i="10"/>
  <c r="S44" i="6"/>
  <c r="Q42" i="10"/>
  <c r="AZ44" i="10"/>
  <c r="AZ47" i="10"/>
  <c r="AZ57" i="10"/>
  <c r="AZ58" i="10"/>
  <c r="AT53" i="10"/>
  <c r="U66" i="10"/>
  <c r="AT69" i="10"/>
  <c r="S72" i="6"/>
  <c r="P116" i="10"/>
  <c r="Y116" i="10"/>
  <c r="Y119" i="10"/>
  <c r="Y140" i="10"/>
  <c r="K148" i="10"/>
  <c r="U153" i="10"/>
  <c r="AZ158" i="10"/>
  <c r="K167" i="10"/>
  <c r="S187" i="10"/>
  <c r="Y183" i="10"/>
  <c r="K218" i="10"/>
  <c r="M223" i="10"/>
  <c r="AN236" i="10"/>
  <c r="AZ233" i="10"/>
  <c r="AN244" i="10"/>
  <c r="Y241" i="10"/>
  <c r="AT241" i="10"/>
  <c r="AZ242" i="10"/>
  <c r="K324" i="10"/>
  <c r="X333" i="10"/>
  <c r="W343" i="10"/>
  <c r="L344" i="10"/>
  <c r="X354" i="10"/>
  <c r="AZ346" i="10"/>
  <c r="AZ349" i="10"/>
  <c r="Y350" i="10"/>
  <c r="AT352" i="10"/>
  <c r="J355" i="10"/>
  <c r="AZ358" i="10"/>
  <c r="K361" i="10"/>
  <c r="Y363" i="10"/>
  <c r="Y369" i="10"/>
  <c r="V379" i="10"/>
  <c r="P379" i="10"/>
  <c r="AT384" i="10"/>
  <c r="S268" i="6"/>
  <c r="U268" i="6" s="1"/>
  <c r="AT386" i="10"/>
  <c r="S270" i="6"/>
  <c r="AT392" i="10"/>
  <c r="S276" i="6"/>
  <c r="AT394" i="10"/>
  <c r="S278" i="6"/>
  <c r="P407" i="10"/>
  <c r="W443" i="10"/>
  <c r="S288" i="6"/>
  <c r="R408" i="10"/>
  <c r="S421" i="10"/>
  <c r="Y411" i="10"/>
  <c r="AT412" i="10"/>
  <c r="S297" i="6"/>
  <c r="Y415" i="10"/>
  <c r="AT437" i="10"/>
  <c r="T470" i="10"/>
  <c r="AZ447" i="10"/>
  <c r="O455" i="10"/>
  <c r="V454" i="10"/>
  <c r="R454" i="10"/>
  <c r="R455" i="10"/>
  <c r="Y458" i="10"/>
  <c r="AZ459" i="10"/>
  <c r="Y464" i="10"/>
  <c r="Q470" i="10"/>
  <c r="U470" i="10"/>
  <c r="Y472" i="10"/>
  <c r="Y474" i="10"/>
  <c r="AH499" i="10"/>
  <c r="X494" i="10"/>
  <c r="AX500" i="10"/>
  <c r="AH497" i="10"/>
  <c r="S508" i="10"/>
  <c r="Y507" i="10"/>
  <c r="P515" i="10"/>
  <c r="AT518" i="10"/>
  <c r="Y521" i="10"/>
  <c r="AZ522" i="10"/>
  <c r="Y524" i="10"/>
  <c r="Y579" i="10"/>
  <c r="W589" i="10"/>
  <c r="M589" i="10"/>
  <c r="M597" i="10"/>
  <c r="Y593" i="10"/>
  <c r="AH607" i="10"/>
  <c r="W620" i="10"/>
  <c r="M620" i="10"/>
  <c r="Y670" i="10"/>
  <c r="T149" i="6"/>
  <c r="T166" i="6"/>
  <c r="T262" i="6"/>
  <c r="T266" i="6"/>
  <c r="T274" i="6"/>
  <c r="S296" i="6"/>
  <c r="U296" i="6" s="1"/>
  <c r="T313" i="6"/>
  <c r="T324" i="6"/>
  <c r="T346" i="6"/>
  <c r="S364" i="6"/>
  <c r="T368" i="6"/>
  <c r="S376" i="6"/>
  <c r="T378" i="6"/>
  <c r="S386" i="6"/>
  <c r="S413" i="6"/>
  <c r="T420" i="6"/>
  <c r="S446" i="6"/>
  <c r="X20" i="11"/>
  <c r="X38" i="6"/>
  <c r="X26" i="11"/>
  <c r="X25" i="6"/>
  <c r="AZ23" i="11"/>
  <c r="AZ26" i="11"/>
  <c r="AZ46" i="11"/>
  <c r="W58" i="11"/>
  <c r="AT47" i="11"/>
  <c r="Y49" i="11"/>
  <c r="AT49" i="11"/>
  <c r="J59" i="11"/>
  <c r="X65" i="6"/>
  <c r="AZ61" i="11"/>
  <c r="X74" i="6"/>
  <c r="AZ71" i="11"/>
  <c r="R153" i="11"/>
  <c r="AN161" i="11"/>
  <c r="X150" i="6"/>
  <c r="AZ173" i="11"/>
  <c r="N211" i="11"/>
  <c r="J218" i="11"/>
  <c r="K224" i="11"/>
  <c r="AT232" i="11"/>
  <c r="AT241" i="11"/>
  <c r="AZ243" i="11"/>
  <c r="Y317" i="11"/>
  <c r="AT346" i="11"/>
  <c r="W354" i="11"/>
  <c r="AN354" i="11"/>
  <c r="AZ384" i="11"/>
  <c r="X268" i="6"/>
  <c r="X272" i="6"/>
  <c r="Y272" i="6" s="1"/>
  <c r="AZ388" i="11"/>
  <c r="AT413" i="11"/>
  <c r="W298" i="6"/>
  <c r="AT415" i="11"/>
  <c r="W300" i="6"/>
  <c r="T455" i="11"/>
  <c r="AT472" i="11"/>
  <c r="W343" i="6"/>
  <c r="Y343" i="6" s="1"/>
  <c r="Y472" i="11"/>
  <c r="AZ493" i="11"/>
  <c r="AZ498" i="11"/>
  <c r="AT512" i="11"/>
  <c r="W368" i="6"/>
  <c r="AT520" i="11"/>
  <c r="W375" i="6"/>
  <c r="Y520" i="11"/>
  <c r="S538" i="11"/>
  <c r="AN15" i="10"/>
  <c r="AO13" i="10"/>
  <c r="W20" i="10"/>
  <c r="S38" i="6"/>
  <c r="AZ19" i="10"/>
  <c r="AH26" i="10"/>
  <c r="K27" i="10"/>
  <c r="S46" i="6"/>
  <c r="R42" i="10"/>
  <c r="AT49" i="10"/>
  <c r="Y54" i="10"/>
  <c r="J59" i="10"/>
  <c r="S65" i="10"/>
  <c r="Y62" i="10"/>
  <c r="S66" i="6"/>
  <c r="Q66" i="10"/>
  <c r="V73" i="10"/>
  <c r="Y71" i="10"/>
  <c r="S74" i="6"/>
  <c r="N74" i="10"/>
  <c r="M147" i="10"/>
  <c r="AN147" i="10"/>
  <c r="Y145" i="10"/>
  <c r="V152" i="10"/>
  <c r="Q153" i="10"/>
  <c r="AH161" i="10"/>
  <c r="AT157" i="10"/>
  <c r="AN166" i="10"/>
  <c r="AT173" i="10"/>
  <c r="S150" i="6"/>
  <c r="X177" i="10"/>
  <c r="AZ177" i="10"/>
  <c r="Y182" i="10"/>
  <c r="AT183" i="10"/>
  <c r="R188" i="10"/>
  <c r="J198" i="10"/>
  <c r="S210" i="10"/>
  <c r="AT208" i="10"/>
  <c r="S168" i="6"/>
  <c r="K237" i="10"/>
  <c r="K245" i="10"/>
  <c r="AN323" i="10"/>
  <c r="L324" i="10"/>
  <c r="AT351" i="10"/>
  <c r="K355" i="10"/>
  <c r="AZ357" i="10"/>
  <c r="O380" i="10"/>
  <c r="W421" i="10"/>
  <c r="S299" i="6"/>
  <c r="S430" i="10"/>
  <c r="P430" i="10"/>
  <c r="AT457" i="10"/>
  <c r="S330" i="6"/>
  <c r="Y459" i="10"/>
  <c r="S332" i="6"/>
  <c r="U332" i="6" s="1"/>
  <c r="N461" i="10"/>
  <c r="T461" i="10"/>
  <c r="V469" i="10"/>
  <c r="V480" i="10"/>
  <c r="Y475" i="10"/>
  <c r="S346" i="6"/>
  <c r="AZ478" i="10"/>
  <c r="AT479" i="10"/>
  <c r="S350" i="6"/>
  <c r="W480" i="10"/>
  <c r="N500" i="10"/>
  <c r="R500" i="10"/>
  <c r="AE500" i="10"/>
  <c r="AZ496" i="10"/>
  <c r="V497" i="10"/>
  <c r="V508" i="10"/>
  <c r="Y522" i="10"/>
  <c r="AZ526" i="10"/>
  <c r="S538" i="10"/>
  <c r="AZ578" i="10"/>
  <c r="T413" i="6"/>
  <c r="AH580" i="10"/>
  <c r="K581" i="10"/>
  <c r="AT583" i="10"/>
  <c r="W597" i="10"/>
  <c r="Y596" i="10"/>
  <c r="M607" i="10"/>
  <c r="S156" i="6"/>
  <c r="S162" i="6" s="1"/>
  <c r="T158" i="6"/>
  <c r="T161" i="6"/>
  <c r="T272" i="6"/>
  <c r="T299" i="6"/>
  <c r="S314" i="6"/>
  <c r="S325" i="6"/>
  <c r="T327" i="6"/>
  <c r="T344" i="6"/>
  <c r="S379" i="6"/>
  <c r="T418" i="6"/>
  <c r="S444" i="6"/>
  <c r="S455" i="6"/>
  <c r="U455" i="6" s="1"/>
  <c r="K229" i="11"/>
  <c r="K324" i="11"/>
  <c r="AZ18" i="11"/>
  <c r="AT19" i="11"/>
  <c r="AT39" i="11"/>
  <c r="W45" i="6"/>
  <c r="R42" i="11"/>
  <c r="M58" i="11"/>
  <c r="Y45" i="11"/>
  <c r="AZ45" i="11"/>
  <c r="AZ47" i="11"/>
  <c r="AZ49" i="11"/>
  <c r="AT52" i="11"/>
  <c r="AT56" i="11"/>
  <c r="X72" i="6"/>
  <c r="AZ69" i="11"/>
  <c r="Y71" i="11"/>
  <c r="AT141" i="11"/>
  <c r="Y141" i="11"/>
  <c r="W152" i="11"/>
  <c r="W130" i="6"/>
  <c r="AT150" i="11"/>
  <c r="AT152" i="11"/>
  <c r="AU151" i="11"/>
  <c r="AT171" i="11"/>
  <c r="W148" i="6"/>
  <c r="AT186" i="11"/>
  <c r="W161" i="6"/>
  <c r="Q188" i="11"/>
  <c r="AT207" i="11"/>
  <c r="W167" i="6"/>
  <c r="Y167" i="6" s="1"/>
  <c r="W210" i="11"/>
  <c r="R211" i="11"/>
  <c r="J237" i="11"/>
  <c r="K344" i="11"/>
  <c r="Y350" i="11"/>
  <c r="AZ350" i="11"/>
  <c r="Y382" i="11"/>
  <c r="W266" i="6"/>
  <c r="Y386" i="11"/>
  <c r="X287" i="6"/>
  <c r="X409" i="11"/>
  <c r="AZ403" i="11"/>
  <c r="AT437" i="11"/>
  <c r="W316" i="6"/>
  <c r="Y316" i="6" s="1"/>
  <c r="N470" i="11"/>
  <c r="AZ477" i="11"/>
  <c r="X348" i="6"/>
  <c r="W490" i="11"/>
  <c r="W353" i="6"/>
  <c r="P490" i="11"/>
  <c r="X362" i="6"/>
  <c r="AZ505" i="11"/>
  <c r="W454" i="6"/>
  <c r="AT570" i="11"/>
  <c r="AZ578" i="11"/>
  <c r="V210" i="10"/>
  <c r="J224" i="10"/>
  <c r="AT234" i="10"/>
  <c r="AZ244" i="10"/>
  <c r="AT243" i="10"/>
  <c r="Y331" i="10"/>
  <c r="AT331" i="10"/>
  <c r="S220" i="6"/>
  <c r="U220" i="6" s="1"/>
  <c r="AT347" i="10"/>
  <c r="M354" i="10"/>
  <c r="Y353" i="10"/>
  <c r="AT353" i="10"/>
  <c r="AN360" i="10"/>
  <c r="Y385" i="10"/>
  <c r="Y393" i="10"/>
  <c r="Y406" i="10"/>
  <c r="S290" i="6"/>
  <c r="N408" i="10"/>
  <c r="V430" i="10"/>
  <c r="Y425" i="10"/>
  <c r="Y437" i="10"/>
  <c r="AT440" i="10"/>
  <c r="S319" i="6"/>
  <c r="P460" i="10"/>
  <c r="P469" i="10"/>
  <c r="AT477" i="10"/>
  <c r="S348" i="6"/>
  <c r="P500" i="10"/>
  <c r="AZ497" i="10"/>
  <c r="P508" i="10"/>
  <c r="V515" i="10"/>
  <c r="Y514" i="10"/>
  <c r="AZ571" i="10"/>
  <c r="AZ572" i="10"/>
  <c r="T455" i="6"/>
  <c r="R573" i="10"/>
  <c r="Y587" i="10"/>
  <c r="AZ596" i="10"/>
  <c r="T429" i="6"/>
  <c r="AZ613" i="10"/>
  <c r="T444" i="6"/>
  <c r="Y614" i="10"/>
  <c r="AZ617" i="10"/>
  <c r="T448" i="6"/>
  <c r="Y618" i="10"/>
  <c r="S25" i="6"/>
  <c r="T72" i="6"/>
  <c r="T143" i="6"/>
  <c r="T144" i="6" s="1"/>
  <c r="S154" i="6"/>
  <c r="T156" i="6"/>
  <c r="S165" i="6"/>
  <c r="U165" i="6" s="1"/>
  <c r="T167" i="6"/>
  <c r="U167" i="6" s="1"/>
  <c r="S264" i="6"/>
  <c r="T267" i="6"/>
  <c r="T270" i="6"/>
  <c r="S273" i="6"/>
  <c r="T275" i="6"/>
  <c r="T278" i="6"/>
  <c r="S300" i="6"/>
  <c r="T314" i="6"/>
  <c r="T317" i="6"/>
  <c r="S345" i="6"/>
  <c r="T350" i="6"/>
  <c r="S370" i="6"/>
  <c r="T374" i="6"/>
  <c r="S445" i="6"/>
  <c r="AT13" i="11"/>
  <c r="W15" i="11"/>
  <c r="AZ39" i="11"/>
  <c r="X45" i="6"/>
  <c r="W46" i="6"/>
  <c r="Y40" i="11"/>
  <c r="AT50" i="11"/>
  <c r="AT53" i="11"/>
  <c r="AT55" i="11"/>
  <c r="AT57" i="11"/>
  <c r="AT58" i="11"/>
  <c r="Y53" i="11"/>
  <c r="S73" i="11"/>
  <c r="AT156" i="11"/>
  <c r="W146" i="6"/>
  <c r="Y169" i="11"/>
  <c r="L204" i="11"/>
  <c r="AT234" i="11"/>
  <c r="AZ326" i="11"/>
  <c r="X215" i="6"/>
  <c r="X333" i="11"/>
  <c r="AT327" i="11"/>
  <c r="W216" i="6"/>
  <c r="Y327" i="11"/>
  <c r="L344" i="11"/>
  <c r="AZ370" i="11"/>
  <c r="X270" i="6"/>
  <c r="AZ386" i="11"/>
  <c r="AT430" i="11"/>
  <c r="W304" i="6"/>
  <c r="Y304" i="6" s="1"/>
  <c r="X313" i="6"/>
  <c r="AZ434" i="11"/>
  <c r="AT446" i="11"/>
  <c r="W324" i="6"/>
  <c r="Y324" i="6" s="1"/>
  <c r="AT459" i="11"/>
  <c r="W332" i="6"/>
  <c r="AH493" i="11"/>
  <c r="AE499" i="11"/>
  <c r="AW499" i="11"/>
  <c r="W515" i="11"/>
  <c r="W367" i="6"/>
  <c r="AT511" i="11"/>
  <c r="Y511" i="11"/>
  <c r="X373" i="6"/>
  <c r="AZ518" i="11"/>
  <c r="AZ524" i="11"/>
  <c r="X379" i="6"/>
  <c r="AT525" i="11"/>
  <c r="W380" i="6"/>
  <c r="W159" i="23" s="1"/>
  <c r="K27" i="11"/>
  <c r="N42" i="11"/>
  <c r="AH58" i="11"/>
  <c r="AZ51" i="11"/>
  <c r="K59" i="11"/>
  <c r="S65" i="11"/>
  <c r="R66" i="11"/>
  <c r="Q74" i="11"/>
  <c r="S117" i="11"/>
  <c r="S121" i="11"/>
  <c r="S122" i="11"/>
  <c r="K148" i="11"/>
  <c r="N153" i="11"/>
  <c r="T153" i="11"/>
  <c r="AT155" i="11"/>
  <c r="AH166" i="11"/>
  <c r="J167" i="11"/>
  <c r="S187" i="11"/>
  <c r="AT180" i="11"/>
  <c r="W156" i="6"/>
  <c r="AZ181" i="11"/>
  <c r="AT182" i="11"/>
  <c r="W158" i="6"/>
  <c r="Y185" i="11"/>
  <c r="W160" i="6"/>
  <c r="AT206" i="11"/>
  <c r="W166" i="6"/>
  <c r="P210" i="11"/>
  <c r="AT208" i="11"/>
  <c r="W168" i="6"/>
  <c r="W236" i="11"/>
  <c r="AT233" i="11"/>
  <c r="AT239" i="11"/>
  <c r="K245" i="11"/>
  <c r="AN343" i="11"/>
  <c r="AO343" i="11"/>
  <c r="M343" i="11"/>
  <c r="AZ349" i="11"/>
  <c r="AZ353" i="11"/>
  <c r="AZ354" i="11"/>
  <c r="BA354" i="11"/>
  <c r="AT347" i="11"/>
  <c r="AT351" i="11"/>
  <c r="AH360" i="11"/>
  <c r="X370" i="11"/>
  <c r="Y368" i="11"/>
  <c r="AT389" i="11"/>
  <c r="W273" i="6"/>
  <c r="AT392" i="11"/>
  <c r="W276" i="6"/>
  <c r="AT394" i="11"/>
  <c r="W278" i="6"/>
  <c r="V407" i="11"/>
  <c r="W443" i="11"/>
  <c r="W288" i="6"/>
  <c r="AZ405" i="11"/>
  <c r="AT406" i="11"/>
  <c r="W290" i="6"/>
  <c r="AT411" i="11"/>
  <c r="W296" i="6"/>
  <c r="AT414" i="11"/>
  <c r="W299" i="6"/>
  <c r="Y299" i="6" s="1"/>
  <c r="Q422" i="11"/>
  <c r="U422" i="11"/>
  <c r="V441" i="11"/>
  <c r="Y434" i="11"/>
  <c r="AZ438" i="11"/>
  <c r="AT439" i="11"/>
  <c r="W318" i="6"/>
  <c r="Y318" i="6" s="1"/>
  <c r="AT440" i="11"/>
  <c r="X441" i="11"/>
  <c r="U481" i="11"/>
  <c r="AT447" i="11"/>
  <c r="W325" i="6"/>
  <c r="AZ448" i="11"/>
  <c r="Q461" i="11"/>
  <c r="W469" i="11"/>
  <c r="Y464" i="11"/>
  <c r="AZ473" i="11"/>
  <c r="AZ475" i="11"/>
  <c r="AT476" i="11"/>
  <c r="W347" i="6"/>
  <c r="AT479" i="11"/>
  <c r="V490" i="11"/>
  <c r="O499" i="11"/>
  <c r="Q500" i="11"/>
  <c r="AH494" i="11"/>
  <c r="X495" i="11"/>
  <c r="X496" i="11"/>
  <c r="AN497" i="11"/>
  <c r="Y505" i="11"/>
  <c r="AZ513" i="11"/>
  <c r="Y518" i="11"/>
  <c r="AZ520" i="11"/>
  <c r="X375" i="6"/>
  <c r="AZ535" i="11"/>
  <c r="P572" i="11"/>
  <c r="AZ570" i="11"/>
  <c r="X454" i="6"/>
  <c r="AT577" i="11"/>
  <c r="Y584" i="11"/>
  <c r="W418" i="6"/>
  <c r="AT584" i="11"/>
  <c r="AZ585" i="11"/>
  <c r="AH597" i="11"/>
  <c r="AT593" i="11"/>
  <c r="W426" i="6"/>
  <c r="Y426" i="6" s="1"/>
  <c r="AT613" i="11"/>
  <c r="W444" i="6"/>
  <c r="Y444" i="6" s="1"/>
  <c r="AT617" i="11"/>
  <c r="W448" i="6"/>
  <c r="Y619" i="11"/>
  <c r="W450" i="6"/>
  <c r="Y450" i="6" s="1"/>
  <c r="AZ619" i="11"/>
  <c r="W67" i="6"/>
  <c r="W71" i="6"/>
  <c r="W73" i="6"/>
  <c r="W75" i="6"/>
  <c r="W143" i="6"/>
  <c r="X319" i="6"/>
  <c r="W362" i="6"/>
  <c r="W388" i="6"/>
  <c r="Z88" i="12"/>
  <c r="Z87" i="12"/>
  <c r="Z85" i="12"/>
  <c r="Z86" i="12"/>
  <c r="Z84" i="12"/>
  <c r="M15" i="11"/>
  <c r="AZ14" i="11"/>
  <c r="AH20" i="11"/>
  <c r="L27" i="11"/>
  <c r="V41" i="11"/>
  <c r="AZ53" i="11"/>
  <c r="AZ55" i="11"/>
  <c r="L59" i="11"/>
  <c r="V65" i="11"/>
  <c r="P65" i="11"/>
  <c r="P73" i="11"/>
  <c r="R74" i="11"/>
  <c r="M147" i="11"/>
  <c r="Y143" i="11"/>
  <c r="AT143" i="11"/>
  <c r="S152" i="11"/>
  <c r="V152" i="11"/>
  <c r="M161" i="11"/>
  <c r="AT165" i="11"/>
  <c r="AT166" i="11"/>
  <c r="S174" i="11"/>
  <c r="AZ171" i="11"/>
  <c r="AT172" i="11"/>
  <c r="W149" i="6"/>
  <c r="W177" i="11"/>
  <c r="AT178" i="11"/>
  <c r="W154" i="6"/>
  <c r="AT181" i="11"/>
  <c r="W157" i="6"/>
  <c r="AT183" i="11"/>
  <c r="W159" i="6"/>
  <c r="AO194" i="11"/>
  <c r="M217" i="11"/>
  <c r="K218" i="11"/>
  <c r="AI223" i="11"/>
  <c r="M223" i="11"/>
  <c r="L224" i="11"/>
  <c r="W228" i="11"/>
  <c r="AZ233" i="11"/>
  <c r="AT235" i="11"/>
  <c r="L237" i="11"/>
  <c r="AT242" i="11"/>
  <c r="L245" i="11"/>
  <c r="Y321" i="11"/>
  <c r="M333" i="11"/>
  <c r="AT348" i="11"/>
  <c r="AT352" i="11"/>
  <c r="AT358" i="11"/>
  <c r="AN360" i="11"/>
  <c r="AO357" i="11"/>
  <c r="L361" i="11"/>
  <c r="P379" i="11"/>
  <c r="AZ378" i="11"/>
  <c r="R380" i="11"/>
  <c r="AZ382" i="11"/>
  <c r="AT383" i="11"/>
  <c r="W267" i="6"/>
  <c r="AT385" i="11"/>
  <c r="W269" i="6"/>
  <c r="AT387" i="11"/>
  <c r="W271" i="6"/>
  <c r="AT390" i="11"/>
  <c r="W274" i="6"/>
  <c r="AT402" i="11"/>
  <c r="W286" i="6"/>
  <c r="AT405" i="11"/>
  <c r="W289" i="6"/>
  <c r="P421" i="11"/>
  <c r="AT412" i="11"/>
  <c r="W297" i="6"/>
  <c r="Y297" i="6" s="1"/>
  <c r="W430" i="11"/>
  <c r="AT433" i="11"/>
  <c r="W312" i="6"/>
  <c r="Y312" i="6" s="1"/>
  <c r="X443" i="11"/>
  <c r="Y445" i="11"/>
  <c r="W323" i="6"/>
  <c r="AT448" i="11"/>
  <c r="W326" i="6"/>
  <c r="Y326" i="6" s="1"/>
  <c r="W449" i="11"/>
  <c r="W327" i="6"/>
  <c r="Y457" i="11"/>
  <c r="W330" i="6"/>
  <c r="V460" i="11"/>
  <c r="P469" i="11"/>
  <c r="S480" i="11"/>
  <c r="Y475" i="11"/>
  <c r="W346" i="6"/>
  <c r="N481" i="11"/>
  <c r="T481" i="11"/>
  <c r="U499" i="11"/>
  <c r="X494" i="11"/>
  <c r="AX500" i="11"/>
  <c r="T500" i="11"/>
  <c r="V500" i="11"/>
  <c r="AH495" i="11"/>
  <c r="P496" i="11"/>
  <c r="AH496" i="11"/>
  <c r="X497" i="11"/>
  <c r="AZ514" i="11"/>
  <c r="X370" i="6"/>
  <c r="X149" i="23" s="1"/>
  <c r="AZ523" i="11"/>
  <c r="X378" i="6"/>
  <c r="AZ536" i="11"/>
  <c r="X387" i="6"/>
  <c r="AT571" i="11"/>
  <c r="W455" i="6"/>
  <c r="X572" i="11"/>
  <c r="AZ577" i="11"/>
  <c r="X412" i="6"/>
  <c r="AZ584" i="11"/>
  <c r="Y585" i="11"/>
  <c r="AZ587" i="11"/>
  <c r="X421" i="6"/>
  <c r="AZ588" i="11"/>
  <c r="AZ593" i="11"/>
  <c r="AZ595" i="11"/>
  <c r="X428" i="6"/>
  <c r="Y596" i="11"/>
  <c r="W429" i="6"/>
  <c r="Y429" i="6" s="1"/>
  <c r="AT596" i="11"/>
  <c r="AZ607" i="11"/>
  <c r="Y601" i="11"/>
  <c r="M620" i="11"/>
  <c r="AT612" i="11"/>
  <c r="W443" i="6"/>
  <c r="AT616" i="11"/>
  <c r="W447" i="6"/>
  <c r="AZ617" i="11"/>
  <c r="X448" i="6"/>
  <c r="Y663" i="11"/>
  <c r="Z658" i="11"/>
  <c r="X75" i="6"/>
  <c r="X296" i="6"/>
  <c r="X300" i="6"/>
  <c r="Y300" i="6" s="1"/>
  <c r="X323" i="6"/>
  <c r="X345" i="6"/>
  <c r="X349" i="6"/>
  <c r="W363" i="6"/>
  <c r="W379" i="6"/>
  <c r="W417" i="6"/>
  <c r="K162" i="11"/>
  <c r="L167" i="11"/>
  <c r="AT170" i="11"/>
  <c r="W147" i="6"/>
  <c r="AT173" i="11"/>
  <c r="W150" i="6"/>
  <c r="W151" i="6" s="1"/>
  <c r="R175" i="11"/>
  <c r="Y179" i="11"/>
  <c r="W155" i="6"/>
  <c r="K198" i="11"/>
  <c r="AT209" i="11"/>
  <c r="W165" i="6"/>
  <c r="L218" i="11"/>
  <c r="AO221" i="11"/>
  <c r="AT240" i="11"/>
  <c r="AT243" i="11"/>
  <c r="W323" i="11"/>
  <c r="Y341" i="11"/>
  <c r="AT341" i="11"/>
  <c r="W229" i="6"/>
  <c r="AT350" i="11"/>
  <c r="Y357" i="11"/>
  <c r="W243" i="6"/>
  <c r="AT359" i="11"/>
  <c r="W379" i="11"/>
  <c r="W262" i="6"/>
  <c r="Y262" i="6" s="1"/>
  <c r="N380" i="11"/>
  <c r="AT384" i="11"/>
  <c r="W268" i="6"/>
  <c r="Y268" i="6" s="1"/>
  <c r="AT386" i="11"/>
  <c r="W270" i="6"/>
  <c r="Y270" i="6" s="1"/>
  <c r="AT388" i="11"/>
  <c r="W272" i="6"/>
  <c r="P407" i="11"/>
  <c r="Y403" i="11"/>
  <c r="W287" i="6"/>
  <c r="S421" i="11"/>
  <c r="N422" i="11"/>
  <c r="P430" i="11"/>
  <c r="X430" i="11"/>
  <c r="W441" i="11"/>
  <c r="W313" i="6"/>
  <c r="AT435" i="11"/>
  <c r="W314" i="6"/>
  <c r="P454" i="11"/>
  <c r="AT458" i="11"/>
  <c r="W331" i="6"/>
  <c r="N461" i="11"/>
  <c r="T461" i="11"/>
  <c r="AT469" i="11"/>
  <c r="AU468" i="11"/>
  <c r="W336" i="6"/>
  <c r="Y477" i="11"/>
  <c r="W348" i="6"/>
  <c r="Y348" i="6" s="1"/>
  <c r="P494" i="11"/>
  <c r="P508" i="11"/>
  <c r="AZ504" i="11"/>
  <c r="X361" i="6"/>
  <c r="X140" i="23" s="1"/>
  <c r="AZ571" i="11"/>
  <c r="X455" i="6"/>
  <c r="AN580" i="11"/>
  <c r="AO578" i="11"/>
  <c r="AZ579" i="11"/>
  <c r="X414" i="6"/>
  <c r="AT586" i="11"/>
  <c r="W420" i="6"/>
  <c r="Y420" i="6" s="1"/>
  <c r="Y592" i="11"/>
  <c r="W425" i="6"/>
  <c r="AZ596" i="11"/>
  <c r="Y611" i="11"/>
  <c r="W442" i="6"/>
  <c r="AT611" i="11"/>
  <c r="AZ612" i="11"/>
  <c r="AZ614" i="11"/>
  <c r="X445" i="6"/>
  <c r="Y615" i="11"/>
  <c r="W446" i="6"/>
  <c r="AT615" i="11"/>
  <c r="AZ616" i="11"/>
  <c r="AT618" i="11"/>
  <c r="AH620" i="11"/>
  <c r="W26" i="6"/>
  <c r="Y26" i="6" s="1"/>
  <c r="Y28" i="6" s="1"/>
  <c r="Z25" i="6" s="1"/>
  <c r="W66" i="6"/>
  <c r="W72" i="6"/>
  <c r="W74" i="6"/>
  <c r="W142" i="6"/>
  <c r="X149" i="6"/>
  <c r="X156" i="6"/>
  <c r="X288" i="6"/>
  <c r="X330" i="6"/>
  <c r="W364" i="6"/>
  <c r="W370" i="6"/>
  <c r="W376" i="6"/>
  <c r="W155" i="23" s="1"/>
  <c r="W419" i="6"/>
  <c r="Y419" i="6" s="1"/>
  <c r="Y586" i="11"/>
  <c r="X420" i="6"/>
  <c r="M597" i="11"/>
  <c r="AT594" i="11"/>
  <c r="W427" i="6"/>
  <c r="AZ611" i="11"/>
  <c r="Y612" i="11"/>
  <c r="AZ615" i="11"/>
  <c r="Y616" i="11"/>
  <c r="AZ618" i="11"/>
  <c r="X449" i="6"/>
  <c r="X161" i="6"/>
  <c r="X271" i="6"/>
  <c r="X275" i="6"/>
  <c r="X318" i="6"/>
  <c r="X325" i="6"/>
  <c r="Y325" i="6" s="1"/>
  <c r="X347" i="6"/>
  <c r="W361" i="6"/>
  <c r="W377" i="6"/>
  <c r="W381" i="6"/>
  <c r="W387" i="6"/>
  <c r="W413" i="6"/>
  <c r="Y413" i="6" s="1"/>
  <c r="AN15" i="12"/>
  <c r="AO13" i="12"/>
  <c r="AZ14" i="12"/>
  <c r="W20" i="12"/>
  <c r="AT19" i="12"/>
  <c r="AI20" i="12"/>
  <c r="W26" i="12"/>
  <c r="AA26" i="6"/>
  <c r="K27" i="12"/>
  <c r="AB45" i="6"/>
  <c r="W58" i="12"/>
  <c r="AZ46" i="12"/>
  <c r="AT53" i="12"/>
  <c r="AT55" i="12"/>
  <c r="K59" i="12"/>
  <c r="S65" i="12"/>
  <c r="AB66" i="6"/>
  <c r="AB67" i="6"/>
  <c r="AA68" i="6"/>
  <c r="R66" i="12"/>
  <c r="U66" i="12"/>
  <c r="W73" i="12"/>
  <c r="AA71" i="6"/>
  <c r="P73" i="12"/>
  <c r="AB72" i="6"/>
  <c r="AT70" i="12"/>
  <c r="AA73" i="6"/>
  <c r="AZ71" i="12"/>
  <c r="AB74" i="6"/>
  <c r="Y96" i="12"/>
  <c r="V116" i="12"/>
  <c r="S121" i="12"/>
  <c r="S122" i="12"/>
  <c r="AN147" i="12"/>
  <c r="W147" i="12"/>
  <c r="AT151" i="12"/>
  <c r="AA131" i="6"/>
  <c r="U153" i="12"/>
  <c r="AT160" i="12"/>
  <c r="M166" i="12"/>
  <c r="AT170" i="12"/>
  <c r="AA147" i="6"/>
  <c r="AB149" i="6"/>
  <c r="AT173" i="12"/>
  <c r="AA150" i="6"/>
  <c r="S187" i="12"/>
  <c r="AT180" i="12"/>
  <c r="AA156" i="6"/>
  <c r="AT182" i="12"/>
  <c r="AA158" i="6"/>
  <c r="AA160" i="6"/>
  <c r="AT186" i="12"/>
  <c r="AA161" i="6"/>
  <c r="S210" i="12"/>
  <c r="V210" i="12"/>
  <c r="AT209" i="12"/>
  <c r="AA165" i="6"/>
  <c r="AI220" i="12"/>
  <c r="M223" i="12"/>
  <c r="W236" i="12"/>
  <c r="AT231" i="12"/>
  <c r="AZ232" i="12"/>
  <c r="AT234" i="12"/>
  <c r="AT239" i="12"/>
  <c r="AN244" i="12"/>
  <c r="AO240" i="12"/>
  <c r="AZ240" i="12"/>
  <c r="AT242" i="12"/>
  <c r="AZ326" i="12"/>
  <c r="Y326" i="12"/>
  <c r="AB226" i="6"/>
  <c r="AA228" i="6"/>
  <c r="AT342" i="12"/>
  <c r="Y342" i="12"/>
  <c r="J344" i="12"/>
  <c r="W354" i="12"/>
  <c r="AT346" i="12"/>
  <c r="AB250" i="6"/>
  <c r="AA252" i="6"/>
  <c r="AB306" i="6"/>
  <c r="BN306" i="6" s="1"/>
  <c r="AB309" i="6"/>
  <c r="W15" i="12"/>
  <c r="AZ15" i="12"/>
  <c r="X20" i="12"/>
  <c r="AB26" i="6"/>
  <c r="L27" i="12"/>
  <c r="O42" i="12"/>
  <c r="U42" i="12"/>
  <c r="AT49" i="12"/>
  <c r="AT51" i="12"/>
  <c r="AT54" i="12"/>
  <c r="AZ55" i="12"/>
  <c r="AT56" i="12"/>
  <c r="L59" i="12"/>
  <c r="AB68" i="6"/>
  <c r="AB71" i="6"/>
  <c r="AB73" i="6"/>
  <c r="AT72" i="12"/>
  <c r="AA75" i="6"/>
  <c r="AT138" i="12"/>
  <c r="AB131" i="6"/>
  <c r="Q153" i="12"/>
  <c r="X152" i="12"/>
  <c r="AT156" i="12"/>
  <c r="AT158" i="12"/>
  <c r="AT164" i="12"/>
  <c r="AA142" i="6"/>
  <c r="J167" i="12"/>
  <c r="AA146" i="6"/>
  <c r="AZ170" i="12"/>
  <c r="AB147" i="6"/>
  <c r="AT171" i="12"/>
  <c r="AA148" i="6"/>
  <c r="AB150" i="6"/>
  <c r="AT178" i="12"/>
  <c r="AA154" i="6"/>
  <c r="AB156" i="6"/>
  <c r="AT181" i="12"/>
  <c r="AA157" i="6"/>
  <c r="AZ182" i="12"/>
  <c r="AB158" i="6"/>
  <c r="AT183" i="12"/>
  <c r="AA159" i="6"/>
  <c r="AB160" i="6"/>
  <c r="AB161" i="6"/>
  <c r="J204" i="12"/>
  <c r="AT207" i="12"/>
  <c r="AA167" i="6"/>
  <c r="AZ209" i="12"/>
  <c r="AB165" i="6"/>
  <c r="J224" i="12"/>
  <c r="X236" i="12"/>
  <c r="AZ231" i="12"/>
  <c r="Y235" i="12"/>
  <c r="AT235" i="12"/>
  <c r="L237" i="12"/>
  <c r="X244" i="12"/>
  <c r="AZ239" i="12"/>
  <c r="L245" i="12"/>
  <c r="AA220" i="6"/>
  <c r="AB224" i="6"/>
  <c r="AB230" i="6"/>
  <c r="AT349" i="12"/>
  <c r="Y358" i="12"/>
  <c r="AZ377" i="12"/>
  <c r="AB263" i="6"/>
  <c r="Y377" i="12"/>
  <c r="AT394" i="12"/>
  <c r="AA278" i="6"/>
  <c r="Y394" i="12"/>
  <c r="AB305" i="6"/>
  <c r="S20" i="12"/>
  <c r="S89" i="12"/>
  <c r="AT23" i="12"/>
  <c r="AA25" i="6"/>
  <c r="AH26" i="12"/>
  <c r="AT25" i="12"/>
  <c r="AA27" i="6"/>
  <c r="AT38" i="12"/>
  <c r="AA44" i="6"/>
  <c r="AZ39" i="12"/>
  <c r="AT40" i="12"/>
  <c r="AA46" i="6"/>
  <c r="Q42" i="12"/>
  <c r="AT45" i="12"/>
  <c r="AT47" i="12"/>
  <c r="AT50" i="12"/>
  <c r="AZ51" i="12"/>
  <c r="AT52" i="12"/>
  <c r="AZ54" i="12"/>
  <c r="AT61" i="12"/>
  <c r="AA65" i="6"/>
  <c r="AA70" i="23" s="1"/>
  <c r="Y64" i="12"/>
  <c r="S73" i="12"/>
  <c r="Y68" i="12"/>
  <c r="Y70" i="12"/>
  <c r="AZ72" i="12"/>
  <c r="AB75" i="6"/>
  <c r="X73" i="12"/>
  <c r="P116" i="12"/>
  <c r="V117" i="12"/>
  <c r="Y120" i="12"/>
  <c r="Y139" i="12"/>
  <c r="AT146" i="12"/>
  <c r="AA130" i="6"/>
  <c r="AZ151" i="12"/>
  <c r="AZ152" i="12"/>
  <c r="BA151" i="12"/>
  <c r="AT155" i="12"/>
  <c r="AZ156" i="12"/>
  <c r="AZ158" i="12"/>
  <c r="AT159" i="12"/>
  <c r="AB142" i="6"/>
  <c r="AA143" i="6"/>
  <c r="AA144" i="6" s="1"/>
  <c r="AB146" i="6"/>
  <c r="AB148" i="6"/>
  <c r="Y173" i="12"/>
  <c r="AB154" i="6"/>
  <c r="Y179" i="12"/>
  <c r="AA155" i="6"/>
  <c r="AB157" i="6"/>
  <c r="AB159" i="6"/>
  <c r="AC159" i="6" s="1"/>
  <c r="Y185" i="12"/>
  <c r="AT206" i="12"/>
  <c r="AA166" i="6"/>
  <c r="AB167" i="6"/>
  <c r="AC167" i="6" s="1"/>
  <c r="AT208" i="12"/>
  <c r="AA168" i="6"/>
  <c r="AO214" i="12"/>
  <c r="L218" i="12"/>
  <c r="AU223" i="12"/>
  <c r="Y227" i="12"/>
  <c r="J229" i="12"/>
  <c r="Y233" i="12"/>
  <c r="AZ233" i="12"/>
  <c r="AZ235" i="12"/>
  <c r="Y239" i="12"/>
  <c r="AI240" i="12"/>
  <c r="W244" i="12"/>
  <c r="AT243" i="12"/>
  <c r="W323" i="12"/>
  <c r="Y316" i="12"/>
  <c r="AA210" i="6"/>
  <c r="Y321" i="12"/>
  <c r="AB216" i="6"/>
  <c r="AA217" i="6"/>
  <c r="AA219" i="6"/>
  <c r="L344" i="12"/>
  <c r="Q380" i="12"/>
  <c r="AZ402" i="12"/>
  <c r="AB286" i="6"/>
  <c r="AA307" i="6"/>
  <c r="AB308" i="6"/>
  <c r="BN308" i="6" s="1"/>
  <c r="AB335" i="6"/>
  <c r="AT14" i="12"/>
  <c r="AB25" i="6"/>
  <c r="AZ25" i="12"/>
  <c r="AB27" i="6"/>
  <c r="AB28" i="6" s="1"/>
  <c r="J27" i="12"/>
  <c r="M30" i="12"/>
  <c r="AB44" i="6"/>
  <c r="AT39" i="12"/>
  <c r="AT41" i="12"/>
  <c r="AU38" i="12"/>
  <c r="AA45" i="6"/>
  <c r="AB46" i="6"/>
  <c r="AT46" i="12"/>
  <c r="AZ47" i="12"/>
  <c r="AT48" i="12"/>
  <c r="AZ50" i="12"/>
  <c r="Y54" i="12"/>
  <c r="AT57" i="12"/>
  <c r="J59" i="12"/>
  <c r="AZ61" i="12"/>
  <c r="AB65" i="6"/>
  <c r="AA66" i="6"/>
  <c r="AT63" i="12"/>
  <c r="AA67" i="6"/>
  <c r="O66" i="12"/>
  <c r="AZ68" i="12"/>
  <c r="AT69" i="12"/>
  <c r="AA72" i="6"/>
  <c r="AC72" i="6" s="1"/>
  <c r="AZ70" i="12"/>
  <c r="AA74" i="6"/>
  <c r="O74" i="12"/>
  <c r="Y119" i="12"/>
  <c r="L148" i="12"/>
  <c r="P152" i="12"/>
  <c r="Y150" i="12"/>
  <c r="AB130" i="6"/>
  <c r="AB132" i="6" s="1"/>
  <c r="Y155" i="12"/>
  <c r="Y156" i="12"/>
  <c r="AT157" i="12"/>
  <c r="AB143" i="6"/>
  <c r="AB144" i="6" s="1"/>
  <c r="L167" i="12"/>
  <c r="S174" i="12"/>
  <c r="Y169" i="12"/>
  <c r="AT172" i="12"/>
  <c r="AA149" i="6"/>
  <c r="AZ173" i="12"/>
  <c r="S177" i="12"/>
  <c r="AB155" i="6"/>
  <c r="AC155" i="6" s="1"/>
  <c r="Y181" i="12"/>
  <c r="U188" i="12"/>
  <c r="AO195" i="12"/>
  <c r="X210" i="12"/>
  <c r="AB166" i="6"/>
  <c r="AB168" i="6"/>
  <c r="O211" i="12"/>
  <c r="L224" i="12"/>
  <c r="AZ226" i="12"/>
  <c r="AT232" i="12"/>
  <c r="AT236" i="12"/>
  <c r="J237" i="12"/>
  <c r="AT240" i="12"/>
  <c r="AA209" i="6"/>
  <c r="W333" i="12"/>
  <c r="AT333" i="12"/>
  <c r="AU327" i="12"/>
  <c r="AA215" i="6"/>
  <c r="AB221" i="6"/>
  <c r="J334" i="12"/>
  <c r="AA226" i="6"/>
  <c r="AZ347" i="12"/>
  <c r="Y348" i="12"/>
  <c r="AT348" i="12"/>
  <c r="AT351" i="12"/>
  <c r="AZ378" i="12"/>
  <c r="AB264" i="6"/>
  <c r="Z670" i="12"/>
  <c r="Z668" i="12"/>
  <c r="Z666" i="12"/>
  <c r="Z669" i="12"/>
  <c r="Z667" i="12"/>
  <c r="Z665" i="12"/>
  <c r="AO15" i="13"/>
  <c r="AO13" i="13"/>
  <c r="X443" i="12"/>
  <c r="AZ405" i="12"/>
  <c r="AB289" i="6"/>
  <c r="AA296" i="6"/>
  <c r="AT412" i="12"/>
  <c r="AA306" i="6"/>
  <c r="BF306" i="6" s="1"/>
  <c r="AA308" i="6"/>
  <c r="BF308" i="6" s="1"/>
  <c r="AT433" i="12"/>
  <c r="AA312" i="6"/>
  <c r="AT435" i="12"/>
  <c r="AA314" i="6"/>
  <c r="AB316" i="6"/>
  <c r="AB318" i="6"/>
  <c r="AB320" i="6" s="1"/>
  <c r="T455" i="12"/>
  <c r="V460" i="12"/>
  <c r="N461" i="12"/>
  <c r="AA335" i="6"/>
  <c r="AC335" i="6" s="1"/>
  <c r="AA337" i="6"/>
  <c r="BF337" i="6" s="1"/>
  <c r="AA339" i="6"/>
  <c r="BF339" i="6" s="1"/>
  <c r="AT474" i="12"/>
  <c r="AA345" i="6"/>
  <c r="AA347" i="6"/>
  <c r="AT478" i="12"/>
  <c r="AA349" i="6"/>
  <c r="AL499" i="12"/>
  <c r="AN499" i="12"/>
  <c r="AW500" i="12"/>
  <c r="AA363" i="6"/>
  <c r="AA367" i="6"/>
  <c r="AT513" i="12"/>
  <c r="AA369" i="6"/>
  <c r="AT518" i="12"/>
  <c r="AA373" i="6"/>
  <c r="AT522" i="12"/>
  <c r="AA377" i="6"/>
  <c r="AT525" i="12"/>
  <c r="X538" i="12"/>
  <c r="Y537" i="12"/>
  <c r="AZ571" i="12"/>
  <c r="AB455" i="6"/>
  <c r="X572" i="12"/>
  <c r="AZ579" i="12"/>
  <c r="AT584" i="12"/>
  <c r="AB421" i="6"/>
  <c r="AB425" i="6"/>
  <c r="AT594" i="12"/>
  <c r="AA427" i="6"/>
  <c r="AB429" i="6"/>
  <c r="AZ613" i="12"/>
  <c r="AB444" i="6"/>
  <c r="Y614" i="12"/>
  <c r="AZ617" i="12"/>
  <c r="AB448" i="6"/>
  <c r="AC448" i="6" s="1"/>
  <c r="Y618" i="12"/>
  <c r="AA216" i="6"/>
  <c r="AA290" i="6"/>
  <c r="AA305" i="6"/>
  <c r="AI305" i="6" s="1"/>
  <c r="AA309" i="6"/>
  <c r="AA326" i="6"/>
  <c r="AA332" i="6"/>
  <c r="AA338" i="6"/>
  <c r="AA344" i="6"/>
  <c r="AA362" i="6"/>
  <c r="AA368" i="6"/>
  <c r="AA388" i="6"/>
  <c r="AA426" i="6"/>
  <c r="Z88" i="13"/>
  <c r="Z85" i="13"/>
  <c r="AZ144" i="13"/>
  <c r="Y144" i="13"/>
  <c r="T489" i="13"/>
  <c r="T491" i="13"/>
  <c r="T175" i="13"/>
  <c r="AZ243" i="12"/>
  <c r="AB217" i="6"/>
  <c r="M343" i="12"/>
  <c r="AA225" i="6"/>
  <c r="AA227" i="6"/>
  <c r="AZ346" i="12"/>
  <c r="Y350" i="12"/>
  <c r="AT350" i="12"/>
  <c r="AZ351" i="12"/>
  <c r="AT353" i="12"/>
  <c r="AT357" i="12"/>
  <c r="AA243" i="6"/>
  <c r="Y364" i="12"/>
  <c r="AT376" i="12"/>
  <c r="AA262" i="6"/>
  <c r="AT382" i="12"/>
  <c r="AT384" i="12"/>
  <c r="AT386" i="12"/>
  <c r="AT388" i="12"/>
  <c r="AT390" i="12"/>
  <c r="AT392" i="12"/>
  <c r="AZ394" i="12"/>
  <c r="S395" i="12"/>
  <c r="AT403" i="12"/>
  <c r="AT405" i="12"/>
  <c r="AT406" i="12"/>
  <c r="AT407" i="12"/>
  <c r="AA287" i="6"/>
  <c r="AA292" i="6" s="1"/>
  <c r="Y404" i="12"/>
  <c r="Y406" i="12"/>
  <c r="O408" i="12"/>
  <c r="AB296" i="6"/>
  <c r="AA298" i="6"/>
  <c r="AT414" i="12"/>
  <c r="T422" i="12"/>
  <c r="V430" i="12"/>
  <c r="Y425" i="12"/>
  <c r="Y429" i="12"/>
  <c r="P441" i="12"/>
  <c r="X441" i="12"/>
  <c r="AB312" i="6"/>
  <c r="AB314" i="6"/>
  <c r="Y437" i="12"/>
  <c r="AZ439" i="12"/>
  <c r="AT440" i="12"/>
  <c r="W441" i="12"/>
  <c r="AT445" i="12"/>
  <c r="AA323" i="6"/>
  <c r="AA328" i="6" s="1"/>
  <c r="AT446" i="12"/>
  <c r="Y448" i="12"/>
  <c r="O455" i="12"/>
  <c r="U455" i="12"/>
  <c r="W460" i="12"/>
  <c r="AZ457" i="12"/>
  <c r="AT458" i="12"/>
  <c r="AT460" i="12"/>
  <c r="AA331" i="6"/>
  <c r="Y459" i="12"/>
  <c r="R470" i="12"/>
  <c r="Y472" i="12"/>
  <c r="AA343" i="6"/>
  <c r="AZ474" i="12"/>
  <c r="AB345" i="6"/>
  <c r="AZ476" i="12"/>
  <c r="AB347" i="6"/>
  <c r="Y477" i="12"/>
  <c r="AZ478" i="12"/>
  <c r="AB349" i="6"/>
  <c r="R481" i="12"/>
  <c r="Y486" i="12"/>
  <c r="Z484" i="12"/>
  <c r="Q499" i="12"/>
  <c r="U499" i="12"/>
  <c r="AZ493" i="12"/>
  <c r="Q500" i="12"/>
  <c r="S500" i="12"/>
  <c r="U500" i="12"/>
  <c r="X500" i="12"/>
  <c r="W496" i="12"/>
  <c r="AN496" i="12"/>
  <c r="V497" i="12"/>
  <c r="AZ497" i="12"/>
  <c r="P508" i="12"/>
  <c r="AB363" i="6"/>
  <c r="AB367" i="6"/>
  <c r="AB369" i="6"/>
  <c r="Y514" i="12"/>
  <c r="AB373" i="6"/>
  <c r="AZ519" i="12"/>
  <c r="AA375" i="6"/>
  <c r="AB377" i="6"/>
  <c r="Y525" i="12"/>
  <c r="Y527" i="12"/>
  <c r="Y535" i="12"/>
  <c r="V538" i="12"/>
  <c r="AZ537" i="12"/>
  <c r="Y546" i="12"/>
  <c r="Z546" i="12"/>
  <c r="V572" i="12"/>
  <c r="AZ577" i="12"/>
  <c r="AA413" i="6"/>
  <c r="Y579" i="12"/>
  <c r="AA417" i="6"/>
  <c r="AN589" i="12"/>
  <c r="AO589" i="12"/>
  <c r="AT588" i="12"/>
  <c r="AT593" i="12"/>
  <c r="AZ594" i="12"/>
  <c r="AB427" i="6"/>
  <c r="AZ595" i="12"/>
  <c r="Y601" i="12"/>
  <c r="AN620" i="12"/>
  <c r="Y612" i="12"/>
  <c r="AZ612" i="12"/>
  <c r="Y616" i="12"/>
  <c r="AZ616" i="12"/>
  <c r="AB210" i="6"/>
  <c r="AB252" i="6"/>
  <c r="AB290" i="6"/>
  <c r="AB299" i="6"/>
  <c r="AC299" i="6" s="1"/>
  <c r="AB326" i="6"/>
  <c r="AB332" i="6"/>
  <c r="AB338" i="6"/>
  <c r="AB348" i="6"/>
  <c r="AB362" i="6"/>
  <c r="AB368" i="6"/>
  <c r="AB374" i="6"/>
  <c r="AB378" i="6"/>
  <c r="AB382" i="6"/>
  <c r="AB388" i="6"/>
  <c r="AB414" i="6"/>
  <c r="AB426" i="6"/>
  <c r="AB443" i="6"/>
  <c r="AB447" i="6"/>
  <c r="AC447" i="6" s="1"/>
  <c r="L229" i="13"/>
  <c r="V20" i="13"/>
  <c r="V97" i="13"/>
  <c r="AZ72" i="13"/>
  <c r="Y72" i="13"/>
  <c r="Z96" i="13"/>
  <c r="Z94" i="13"/>
  <c r="Z92" i="13"/>
  <c r="Z93" i="13"/>
  <c r="Z95" i="13"/>
  <c r="AZ32" i="15"/>
  <c r="Y32" i="15"/>
  <c r="AB209" i="6"/>
  <c r="M333" i="12"/>
  <c r="AH333" i="12"/>
  <c r="AB219" i="6"/>
  <c r="AA221" i="6"/>
  <c r="L334" i="12"/>
  <c r="AT343" i="12"/>
  <c r="AB225" i="6"/>
  <c r="AB231" i="6" s="1"/>
  <c r="AB227" i="6"/>
  <c r="AZ350" i="12"/>
  <c r="X360" i="12"/>
  <c r="AB243" i="6"/>
  <c r="AH360" i="12"/>
  <c r="AT359" i="12"/>
  <c r="AH370" i="12"/>
  <c r="AI369" i="12"/>
  <c r="AA251" i="6"/>
  <c r="P379" i="12"/>
  <c r="AB262" i="6"/>
  <c r="Y383" i="12"/>
  <c r="AA267" i="6"/>
  <c r="AZ384" i="12"/>
  <c r="Y385" i="12"/>
  <c r="AA269" i="6"/>
  <c r="AC269" i="6" s="1"/>
  <c r="Y387" i="12"/>
  <c r="AA271" i="6"/>
  <c r="AZ388" i="12"/>
  <c r="Y389" i="12"/>
  <c r="AA273" i="6"/>
  <c r="Y391" i="12"/>
  <c r="AA275" i="6"/>
  <c r="AZ392" i="12"/>
  <c r="AA277" i="6"/>
  <c r="X409" i="12"/>
  <c r="AB287" i="6"/>
  <c r="S421" i="12"/>
  <c r="Y411" i="12"/>
  <c r="AB298" i="6"/>
  <c r="AA300" i="6"/>
  <c r="AA304" i="6"/>
  <c r="X430" i="12"/>
  <c r="S441" i="12"/>
  <c r="Y433" i="12"/>
  <c r="V441" i="12"/>
  <c r="AT436" i="12"/>
  <c r="AZ437" i="12"/>
  <c r="AT438" i="12"/>
  <c r="AZ440" i="12"/>
  <c r="AB323" i="6"/>
  <c r="AT447" i="12"/>
  <c r="AA325" i="6"/>
  <c r="P460" i="12"/>
  <c r="AZ458" i="12"/>
  <c r="AZ459" i="12"/>
  <c r="AZ460" i="12"/>
  <c r="AB331" i="6"/>
  <c r="AC331" i="6" s="1"/>
  <c r="X460" i="12"/>
  <c r="Y463" i="12"/>
  <c r="AB337" i="6"/>
  <c r="BN337" i="6" s="1"/>
  <c r="AB339" i="6"/>
  <c r="BN339" i="6" s="1"/>
  <c r="AB343" i="6"/>
  <c r="Y474" i="12"/>
  <c r="AT475" i="12"/>
  <c r="Y478" i="12"/>
  <c r="Y479" i="12"/>
  <c r="W490" i="12"/>
  <c r="W493" i="12"/>
  <c r="N500" i="12"/>
  <c r="AN495" i="12"/>
  <c r="X496" i="12"/>
  <c r="AH496" i="12"/>
  <c r="O499" i="12"/>
  <c r="AT504" i="12"/>
  <c r="AA361" i="6"/>
  <c r="AT506" i="12"/>
  <c r="AT507" i="12"/>
  <c r="S515" i="12"/>
  <c r="Y513" i="12"/>
  <c r="AZ514" i="12"/>
  <c r="Y518" i="12"/>
  <c r="AZ520" i="12"/>
  <c r="AB375" i="6"/>
  <c r="AT521" i="12"/>
  <c r="Y522" i="12"/>
  <c r="AZ523" i="12"/>
  <c r="Y524" i="12"/>
  <c r="AA379" i="6"/>
  <c r="AT526" i="12"/>
  <c r="AA381" i="6"/>
  <c r="AZ535" i="12"/>
  <c r="AZ538" i="12"/>
  <c r="BA535" i="12"/>
  <c r="Y536" i="12"/>
  <c r="AA387" i="6"/>
  <c r="AT570" i="12"/>
  <c r="AT576" i="12"/>
  <c r="AB413" i="6"/>
  <c r="AB417" i="6"/>
  <c r="AZ583" i="12"/>
  <c r="Y584" i="12"/>
  <c r="AA419" i="6"/>
  <c r="AT586" i="12"/>
  <c r="Y593" i="12"/>
  <c r="AH607" i="12"/>
  <c r="AA442" i="6"/>
  <c r="AT615" i="12"/>
  <c r="AA446" i="6"/>
  <c r="M620" i="12"/>
  <c r="AT619" i="12"/>
  <c r="AA450" i="6"/>
  <c r="AA208" i="6"/>
  <c r="AA218" i="6"/>
  <c r="AA224" i="6"/>
  <c r="AA250" i="6"/>
  <c r="AA266" i="6"/>
  <c r="AA270" i="6"/>
  <c r="AA274" i="6"/>
  <c r="AA288" i="6"/>
  <c r="AA297" i="6"/>
  <c r="AA317" i="6"/>
  <c r="AA324" i="6"/>
  <c r="AA330" i="6"/>
  <c r="AA340" i="6"/>
  <c r="AA346" i="6"/>
  <c r="AA350" i="6"/>
  <c r="AA364" i="6"/>
  <c r="AA376" i="6"/>
  <c r="AA380" i="6"/>
  <c r="AA412" i="6"/>
  <c r="AA418" i="6"/>
  <c r="AA422" i="6"/>
  <c r="AA428" i="6"/>
  <c r="AA445" i="6"/>
  <c r="AA449" i="6"/>
  <c r="AT50" i="13"/>
  <c r="V174" i="13"/>
  <c r="AT350" i="13"/>
  <c r="Y350" i="13"/>
  <c r="AT358" i="13"/>
  <c r="Y358" i="13"/>
  <c r="Y378" i="13"/>
  <c r="AT378" i="13"/>
  <c r="AG500" i="13"/>
  <c r="AH494" i="13"/>
  <c r="AZ522" i="13"/>
  <c r="Y522" i="13"/>
  <c r="M323" i="12"/>
  <c r="AH323" i="12"/>
  <c r="AN323" i="12"/>
  <c r="AA229" i="6"/>
  <c r="AN354" i="12"/>
  <c r="AO354" i="12"/>
  <c r="AT347" i="12"/>
  <c r="Y352" i="12"/>
  <c r="AZ352" i="12"/>
  <c r="AZ359" i="12"/>
  <c r="M370" i="12"/>
  <c r="AN370" i="12"/>
  <c r="AB251" i="6"/>
  <c r="W379" i="12"/>
  <c r="AT378" i="12"/>
  <c r="AA264" i="6"/>
  <c r="AB267" i="6"/>
  <c r="AB269" i="6"/>
  <c r="AB271" i="6"/>
  <c r="AC271" i="6" s="1"/>
  <c r="AB273" i="6"/>
  <c r="AB275" i="6"/>
  <c r="Y393" i="12"/>
  <c r="AB277" i="6"/>
  <c r="Y402" i="12"/>
  <c r="S407" i="12"/>
  <c r="Y403" i="12"/>
  <c r="AZ404" i="12"/>
  <c r="AA289" i="6"/>
  <c r="AZ406" i="12"/>
  <c r="AT411" i="12"/>
  <c r="Y413" i="12"/>
  <c r="AB300" i="6"/>
  <c r="P430" i="12"/>
  <c r="AZ430" i="12"/>
  <c r="AB304" i="6"/>
  <c r="AB310" i="6" s="1"/>
  <c r="AZ433" i="12"/>
  <c r="AT434" i="12"/>
  <c r="AZ436" i="12"/>
  <c r="AT437" i="12"/>
  <c r="AA316" i="6"/>
  <c r="AC316" i="6" s="1"/>
  <c r="AT439" i="12"/>
  <c r="AA318" i="6"/>
  <c r="AZ447" i="12"/>
  <c r="AB325" i="6"/>
  <c r="AZ448" i="12"/>
  <c r="S460" i="12"/>
  <c r="Y457" i="12"/>
  <c r="R461" i="12"/>
  <c r="V469" i="12"/>
  <c r="AT469" i="12"/>
  <c r="AU468" i="12"/>
  <c r="O470" i="12"/>
  <c r="U470" i="12"/>
  <c r="Y473" i="12"/>
  <c r="AT477" i="12"/>
  <c r="N499" i="12"/>
  <c r="S493" i="12"/>
  <c r="X493" i="12"/>
  <c r="X494" i="12"/>
  <c r="S494" i="12"/>
  <c r="AH495" i="12"/>
  <c r="V496" i="12"/>
  <c r="AB361" i="6"/>
  <c r="AT505" i="12"/>
  <c r="AZ513" i="12"/>
  <c r="AT514" i="12"/>
  <c r="AZ518" i="12"/>
  <c r="AZ522" i="12"/>
  <c r="Y523" i="12"/>
  <c r="AZ524" i="12"/>
  <c r="AB379" i="6"/>
  <c r="AB381" i="6"/>
  <c r="AT535" i="12"/>
  <c r="AB387" i="6"/>
  <c r="AB166" i="23" s="1"/>
  <c r="P572" i="12"/>
  <c r="AZ570" i="12"/>
  <c r="AA455" i="6"/>
  <c r="M580" i="12"/>
  <c r="AT579" i="12"/>
  <c r="AT577" i="12"/>
  <c r="AT578" i="12"/>
  <c r="AT580" i="12"/>
  <c r="Y583" i="12"/>
  <c r="AB419" i="6"/>
  <c r="AT585" i="12"/>
  <c r="AZ586" i="12"/>
  <c r="Y587" i="12"/>
  <c r="AA421" i="6"/>
  <c r="AC421" i="6" s="1"/>
  <c r="AZ587" i="12"/>
  <c r="W597" i="12"/>
  <c r="AA425" i="6"/>
  <c r="AC425" i="6" s="1"/>
  <c r="AT596" i="12"/>
  <c r="AA429" i="6"/>
  <c r="M607" i="12"/>
  <c r="AB442" i="6"/>
  <c r="AC442" i="6" s="1"/>
  <c r="AT613" i="12"/>
  <c r="AA444" i="6"/>
  <c r="AB446" i="6"/>
  <c r="AT617" i="12"/>
  <c r="AA448" i="6"/>
  <c r="AB450" i="6"/>
  <c r="Y634" i="12"/>
  <c r="P636" i="12"/>
  <c r="P637" i="12"/>
  <c r="AB218" i="6"/>
  <c r="AB266" i="6"/>
  <c r="AB270" i="6"/>
  <c r="AB274" i="6"/>
  <c r="AB278" i="6"/>
  <c r="AB288" i="6"/>
  <c r="AB297" i="6"/>
  <c r="AC297" i="6" s="1"/>
  <c r="AB307" i="6"/>
  <c r="AB313" i="6"/>
  <c r="AB317" i="6"/>
  <c r="AB330" i="6"/>
  <c r="AB350" i="6"/>
  <c r="AB364" i="6"/>
  <c r="AB370" i="6"/>
  <c r="AB376" i="6"/>
  <c r="AB380" i="6"/>
  <c r="AB386" i="6"/>
  <c r="AB412" i="6"/>
  <c r="AB415" i="6" s="1"/>
  <c r="AB418" i="6"/>
  <c r="AB423" i="6" s="1"/>
  <c r="AB422" i="6"/>
  <c r="AB428" i="6"/>
  <c r="AB445" i="6"/>
  <c r="AB449" i="6"/>
  <c r="AH15" i="13"/>
  <c r="AI13" i="13"/>
  <c r="J355" i="13"/>
  <c r="AN26" i="13"/>
  <c r="AO24" i="13"/>
  <c r="L27" i="13"/>
  <c r="AT41" i="13"/>
  <c r="W58" i="13"/>
  <c r="P65" i="13"/>
  <c r="W65" i="13"/>
  <c r="AT146" i="13"/>
  <c r="S152" i="13"/>
  <c r="Y151" i="13"/>
  <c r="M166" i="13"/>
  <c r="AT169" i="13"/>
  <c r="Y169" i="13"/>
  <c r="AZ172" i="13"/>
  <c r="AI200" i="13"/>
  <c r="Y209" i="13"/>
  <c r="Q211" i="13"/>
  <c r="AT240" i="13"/>
  <c r="Y242" i="13"/>
  <c r="AT414" i="13"/>
  <c r="Y414" i="13"/>
  <c r="AU425" i="13"/>
  <c r="AU429" i="13"/>
  <c r="AT445" i="13"/>
  <c r="Y445" i="13"/>
  <c r="AG499" i="13"/>
  <c r="AH493" i="13"/>
  <c r="V650" i="13"/>
  <c r="V651" i="13"/>
  <c r="Y648" i="13"/>
  <c r="Y650" i="13"/>
  <c r="Z670" i="13"/>
  <c r="Z665" i="13"/>
  <c r="Z667" i="13"/>
  <c r="Z669" i="13"/>
  <c r="BA292" i="18"/>
  <c r="BA293" i="18"/>
  <c r="BA290" i="18"/>
  <c r="BA294" i="18"/>
  <c r="AO24" i="18"/>
  <c r="AO26" i="18"/>
  <c r="AT294" i="17"/>
  <c r="AU291" i="17"/>
  <c r="AU13" i="18"/>
  <c r="AU15" i="18"/>
  <c r="AU14" i="18"/>
  <c r="M15" i="13"/>
  <c r="Y14" i="13"/>
  <c r="P41" i="13"/>
  <c r="W41" i="13"/>
  <c r="U42" i="13"/>
  <c r="S65" i="13"/>
  <c r="W73" i="13"/>
  <c r="Y68" i="13"/>
  <c r="P73" i="13"/>
  <c r="Y81" i="13"/>
  <c r="V121" i="13"/>
  <c r="V122" i="13"/>
  <c r="AZ169" i="13"/>
  <c r="X174" i="13"/>
  <c r="S187" i="13"/>
  <c r="K204" i="13"/>
  <c r="V210" i="13"/>
  <c r="K224" i="13"/>
  <c r="AT233" i="13"/>
  <c r="Y233" i="13"/>
  <c r="AN333" i="13"/>
  <c r="Y332" i="13"/>
  <c r="K361" i="13"/>
  <c r="Y388" i="13"/>
  <c r="AZ388" i="13"/>
  <c r="Y52" i="13"/>
  <c r="T153" i="13"/>
  <c r="P174" i="13"/>
  <c r="S174" i="13"/>
  <c r="O188" i="13"/>
  <c r="Y353" i="13"/>
  <c r="S379" i="13"/>
  <c r="U380" i="13"/>
  <c r="AT385" i="13"/>
  <c r="Y385" i="13"/>
  <c r="Y394" i="13"/>
  <c r="AT394" i="13"/>
  <c r="P407" i="13"/>
  <c r="Y405" i="13"/>
  <c r="AT405" i="13"/>
  <c r="S441" i="13"/>
  <c r="Y447" i="13"/>
  <c r="AT447" i="13"/>
  <c r="P495" i="13"/>
  <c r="W495" i="13"/>
  <c r="W508" i="13"/>
  <c r="Y506" i="13"/>
  <c r="AT506" i="13"/>
  <c r="Q470" i="13"/>
  <c r="AT479" i="13"/>
  <c r="Y479" i="13"/>
  <c r="W493" i="13"/>
  <c r="W497" i="13"/>
  <c r="Y504" i="13"/>
  <c r="AT504" i="13"/>
  <c r="AT507" i="13"/>
  <c r="AT508" i="13"/>
  <c r="AT571" i="13"/>
  <c r="AT572" i="13"/>
  <c r="Y571" i="13"/>
  <c r="AN597" i="13"/>
  <c r="AO595" i="13"/>
  <c r="AT595" i="13"/>
  <c r="M620" i="13"/>
  <c r="AU316" i="16"/>
  <c r="AU315" i="16"/>
  <c r="AU201" i="15"/>
  <c r="AU208" i="15"/>
  <c r="AU200" i="15"/>
  <c r="AU192" i="14"/>
  <c r="AU194" i="14"/>
  <c r="AU195" i="14"/>
  <c r="AT333" i="13"/>
  <c r="AU327" i="13"/>
  <c r="AH354" i="13"/>
  <c r="Q408" i="13"/>
  <c r="N422" i="13"/>
  <c r="W430" i="13"/>
  <c r="Y424" i="13"/>
  <c r="U455" i="13"/>
  <c r="W469" i="13"/>
  <c r="S480" i="13"/>
  <c r="Y475" i="13"/>
  <c r="AN496" i="13"/>
  <c r="Y512" i="13"/>
  <c r="AT524" i="13"/>
  <c r="Y524" i="13"/>
  <c r="S538" i="13"/>
  <c r="AT287" i="17"/>
  <c r="AU287" i="17"/>
  <c r="Y223" i="18"/>
  <c r="Z226" i="18"/>
  <c r="AU195" i="19"/>
  <c r="AU194" i="19"/>
  <c r="AU191" i="19"/>
  <c r="AU192" i="19"/>
  <c r="AU193" i="19"/>
  <c r="AO56" i="17"/>
  <c r="AZ203" i="16"/>
  <c r="AZ208" i="16"/>
  <c r="BA203" i="16"/>
  <c r="X208" i="16"/>
  <c r="Z77" i="15"/>
  <c r="Z80" i="15"/>
  <c r="Z81" i="15"/>
  <c r="M354" i="13"/>
  <c r="AN354" i="13"/>
  <c r="Y349" i="13"/>
  <c r="AT349" i="13"/>
  <c r="M360" i="13"/>
  <c r="W360" i="13"/>
  <c r="AH370" i="13"/>
  <c r="Y406" i="13"/>
  <c r="P430" i="13"/>
  <c r="X430" i="13"/>
  <c r="W449" i="13"/>
  <c r="S449" i="13"/>
  <c r="U461" i="13"/>
  <c r="S469" i="13"/>
  <c r="P480" i="13"/>
  <c r="AF500" i="13"/>
  <c r="AH495" i="13"/>
  <c r="Q500" i="13"/>
  <c r="S508" i="13"/>
  <c r="AT526" i="13"/>
  <c r="W572" i="13"/>
  <c r="AH589" i="13"/>
  <c r="Y15" i="14"/>
  <c r="Y214" i="16"/>
  <c r="Z211" i="16"/>
  <c r="Y287" i="17"/>
  <c r="Z283" i="17"/>
  <c r="X312" i="19"/>
  <c r="AO55" i="19"/>
  <c r="AO47" i="19"/>
  <c r="AO53" i="19"/>
  <c r="AO45" i="19"/>
  <c r="AO46" i="19"/>
  <c r="Y474" i="13"/>
  <c r="Q481" i="13"/>
  <c r="S490" i="13"/>
  <c r="AE499" i="13"/>
  <c r="AH499" i="13"/>
  <c r="S494" i="13"/>
  <c r="V495" i="13"/>
  <c r="P508" i="13"/>
  <c r="X508" i="13"/>
  <c r="V508" i="13"/>
  <c r="P515" i="13"/>
  <c r="Y527" i="13"/>
  <c r="V572" i="13"/>
  <c r="AH580" i="13"/>
  <c r="M589" i="13"/>
  <c r="Y294" i="14"/>
  <c r="Y318" i="14"/>
  <c r="Z316" i="14"/>
  <c r="Y196" i="15"/>
  <c r="Z191" i="15"/>
  <c r="AT243" i="15"/>
  <c r="AT232" i="15"/>
  <c r="Y294" i="15"/>
  <c r="Z292" i="15"/>
  <c r="X208" i="15"/>
  <c r="Y223" i="16"/>
  <c r="Z227" i="16"/>
  <c r="Y15" i="16"/>
  <c r="X16" i="16"/>
  <c r="AZ196" i="16"/>
  <c r="AI14" i="17"/>
  <c r="Y232" i="18"/>
  <c r="AO138" i="18"/>
  <c r="Y223" i="19"/>
  <c r="AO44" i="19"/>
  <c r="Y232" i="19"/>
  <c r="AT294" i="19"/>
  <c r="AU291" i="19"/>
  <c r="AZ208" i="19"/>
  <c r="S73" i="13"/>
  <c r="R74" i="13"/>
  <c r="P121" i="13"/>
  <c r="P122" i="13"/>
  <c r="Y120" i="13"/>
  <c r="W152" i="13"/>
  <c r="Q153" i="13"/>
  <c r="AH166" i="13"/>
  <c r="Y170" i="13"/>
  <c r="P187" i="13"/>
  <c r="T188" i="13"/>
  <c r="AI194" i="13"/>
  <c r="P210" i="13"/>
  <c r="U211" i="13"/>
  <c r="X228" i="13"/>
  <c r="W236" i="13"/>
  <c r="X323" i="13"/>
  <c r="Y382" i="13"/>
  <c r="P400" i="13"/>
  <c r="Y392" i="13"/>
  <c r="U408" i="13"/>
  <c r="W441" i="13"/>
  <c r="Y436" i="13"/>
  <c r="Y438" i="13"/>
  <c r="Y440" i="13"/>
  <c r="N481" i="13"/>
  <c r="N455" i="13"/>
  <c r="W460" i="13"/>
  <c r="X480" i="13"/>
  <c r="Y486" i="13"/>
  <c r="Z484" i="13"/>
  <c r="P493" i="13"/>
  <c r="R500" i="13"/>
  <c r="S500" i="13"/>
  <c r="AL500" i="13"/>
  <c r="AY500" i="13"/>
  <c r="AZ495" i="13"/>
  <c r="N499" i="13"/>
  <c r="AZ515" i="13"/>
  <c r="BA515" i="13"/>
  <c r="Y514" i="13"/>
  <c r="Y537" i="13"/>
  <c r="Y570" i="13"/>
  <c r="Y572" i="13"/>
  <c r="S572" i="13"/>
  <c r="Y583" i="13"/>
  <c r="AH620" i="13"/>
  <c r="AI615" i="13"/>
  <c r="AZ312" i="14"/>
  <c r="BA306" i="14"/>
  <c r="Y287" i="15"/>
  <c r="Z283" i="15"/>
  <c r="Y214" i="15"/>
  <c r="Z211" i="15"/>
  <c r="X312" i="15"/>
  <c r="Y287" i="16"/>
  <c r="Z286" i="16"/>
  <c r="Y318" i="16"/>
  <c r="AT223" i="16"/>
  <c r="AT196" i="16"/>
  <c r="AU195" i="16"/>
  <c r="AT243" i="16"/>
  <c r="AT243" i="17"/>
  <c r="AU240" i="17"/>
  <c r="AZ287" i="18"/>
  <c r="BA286" i="18"/>
  <c r="AZ243" i="18"/>
  <c r="BA238" i="18"/>
  <c r="AO48" i="19"/>
  <c r="AO138" i="19"/>
  <c r="AO137" i="19"/>
  <c r="AO24" i="19"/>
  <c r="V499" i="11"/>
  <c r="S499" i="13"/>
  <c r="P499" i="9"/>
  <c r="X499" i="12"/>
  <c r="P500" i="9"/>
  <c r="S499" i="12"/>
  <c r="AH500" i="13"/>
  <c r="AZ226" i="11"/>
  <c r="AZ228" i="11"/>
  <c r="AZ228" i="12"/>
  <c r="BA227" i="12"/>
  <c r="AO226" i="9"/>
  <c r="AO228" i="9"/>
  <c r="Y226" i="11"/>
  <c r="Y228" i="11"/>
  <c r="W228" i="13"/>
  <c r="AZ226" i="8"/>
  <c r="AZ228" i="8"/>
  <c r="BA227" i="8"/>
  <c r="Y226" i="8"/>
  <c r="AH226" i="11"/>
  <c r="AH228" i="11"/>
  <c r="AH226" i="12"/>
  <c r="AH228" i="12"/>
  <c r="Y117" i="11"/>
  <c r="Y116" i="11"/>
  <c r="Y117" i="12"/>
  <c r="AU293" i="19"/>
  <c r="AU290" i="19"/>
  <c r="Z283" i="19"/>
  <c r="Z286" i="19"/>
  <c r="Z285" i="19"/>
  <c r="Z284" i="19"/>
  <c r="Z287" i="19"/>
  <c r="Z293" i="19"/>
  <c r="Z290" i="19"/>
  <c r="Z294" i="19"/>
  <c r="Z292" i="19"/>
  <c r="Z291" i="19"/>
  <c r="AU242" i="19"/>
  <c r="AU240" i="19"/>
  <c r="AU236" i="19"/>
  <c r="AU243" i="19"/>
  <c r="AU241" i="19"/>
  <c r="AU239" i="19"/>
  <c r="AU238" i="19"/>
  <c r="AU237" i="19"/>
  <c r="AU235" i="19"/>
  <c r="O313" i="19"/>
  <c r="BA283" i="19"/>
  <c r="BA284" i="19"/>
  <c r="BA286" i="19"/>
  <c r="BA285" i="19"/>
  <c r="BA287" i="19"/>
  <c r="AU211" i="19"/>
  <c r="AU214" i="19"/>
  <c r="AU212" i="19"/>
  <c r="AU213" i="19"/>
  <c r="BA303" i="19"/>
  <c r="BA299" i="19"/>
  <c r="BA307" i="19"/>
  <c r="BA302" i="19"/>
  <c r="BA298" i="19"/>
  <c r="BA297" i="19"/>
  <c r="BA312" i="19"/>
  <c r="BA304" i="19"/>
  <c r="BA300" i="19"/>
  <c r="BA306" i="19"/>
  <c r="BA301" i="19"/>
  <c r="BA305" i="19"/>
  <c r="Z226" i="19"/>
  <c r="Z218" i="19"/>
  <c r="Z231" i="19"/>
  <c r="Z222" i="19"/>
  <c r="Z232" i="19"/>
  <c r="Z223" i="19"/>
  <c r="Z217" i="19"/>
  <c r="Z227" i="19"/>
  <c r="AT181" i="19"/>
  <c r="AT163" i="19"/>
  <c r="BA208" i="19"/>
  <c r="BA203" i="19"/>
  <c r="BA201" i="19"/>
  <c r="BA200" i="19"/>
  <c r="BA207" i="19"/>
  <c r="BA199" i="19"/>
  <c r="BA202" i="19"/>
  <c r="AI33" i="19"/>
  <c r="BA13" i="19"/>
  <c r="BA15" i="19"/>
  <c r="BA14" i="19"/>
  <c r="AU15" i="19"/>
  <c r="AU14" i="19"/>
  <c r="AU13" i="19"/>
  <c r="BA293" i="19"/>
  <c r="BA290" i="19"/>
  <c r="BA294" i="19"/>
  <c r="BA292" i="19"/>
  <c r="BA291" i="19"/>
  <c r="W169" i="19"/>
  <c r="W188" i="19"/>
  <c r="Y30" i="19"/>
  <c r="Y33" i="19" s="1"/>
  <c r="X16" i="19"/>
  <c r="Y16" i="19"/>
  <c r="Z15" i="19"/>
  <c r="Z14" i="19"/>
  <c r="Z13" i="19"/>
  <c r="W16" i="19"/>
  <c r="X208" i="19"/>
  <c r="Y32" i="19"/>
  <c r="AU317" i="19"/>
  <c r="AU315" i="19"/>
  <c r="AU318" i="19"/>
  <c r="AU316" i="19"/>
  <c r="BA315" i="19"/>
  <c r="BA318" i="19"/>
  <c r="BA316" i="19"/>
  <c r="BA317" i="19"/>
  <c r="BA214" i="19"/>
  <c r="BA212" i="19"/>
  <c r="BA213" i="19"/>
  <c r="BA211" i="19"/>
  <c r="AU287" i="19"/>
  <c r="AU285" i="19"/>
  <c r="AU286" i="19"/>
  <c r="AU284" i="19"/>
  <c r="AU283" i="19"/>
  <c r="Y307" i="19"/>
  <c r="Y312" i="19"/>
  <c r="AT307" i="19"/>
  <c r="AT312" i="19"/>
  <c r="Z248" i="19"/>
  <c r="Z246" i="19"/>
  <c r="Z247" i="19"/>
  <c r="Z249" i="19"/>
  <c r="AT203" i="19"/>
  <c r="AT208" i="19"/>
  <c r="Y203" i="19"/>
  <c r="Y208" i="19"/>
  <c r="AT31" i="19"/>
  <c r="Y31" i="19"/>
  <c r="Z243" i="19"/>
  <c r="Z238" i="19"/>
  <c r="Z237" i="19"/>
  <c r="Z242" i="19"/>
  <c r="Z239" i="19"/>
  <c r="Z236" i="19"/>
  <c r="Z235" i="19"/>
  <c r="Z241" i="19"/>
  <c r="Z240" i="19"/>
  <c r="Y214" i="19"/>
  <c r="BA243" i="19"/>
  <c r="BA241" i="19"/>
  <c r="BA238" i="19"/>
  <c r="BA240" i="19"/>
  <c r="BA235" i="19"/>
  <c r="BA237" i="19"/>
  <c r="BA239" i="19"/>
  <c r="BA242" i="19"/>
  <c r="BA236" i="19"/>
  <c r="Z315" i="19"/>
  <c r="Z316" i="19"/>
  <c r="Z318" i="19"/>
  <c r="Z317" i="19"/>
  <c r="Z193" i="19"/>
  <c r="Z196" i="19"/>
  <c r="Z194" i="19"/>
  <c r="Z191" i="19"/>
  <c r="Z195" i="19"/>
  <c r="Z192" i="19"/>
  <c r="W312" i="19"/>
  <c r="AU291" i="18"/>
  <c r="AU294" i="18"/>
  <c r="AU290" i="18"/>
  <c r="AU293" i="18"/>
  <c r="AU292" i="18"/>
  <c r="BA196" i="18"/>
  <c r="BA194" i="18"/>
  <c r="BA193" i="18"/>
  <c r="BA195" i="18"/>
  <c r="BA192" i="18"/>
  <c r="BA191" i="18"/>
  <c r="BA15" i="18"/>
  <c r="BA14" i="18"/>
  <c r="BA13" i="18"/>
  <c r="BA303" i="18"/>
  <c r="BA299" i="18"/>
  <c r="BA307" i="18"/>
  <c r="BA302" i="18"/>
  <c r="BA304" i="18"/>
  <c r="BA301" i="18"/>
  <c r="BA312" i="18"/>
  <c r="BA306" i="18"/>
  <c r="BA298" i="18"/>
  <c r="BA305" i="18"/>
  <c r="BA300" i="18"/>
  <c r="BA297" i="18"/>
  <c r="Z218" i="18"/>
  <c r="Z223" i="18"/>
  <c r="Z231" i="18"/>
  <c r="Z217" i="18"/>
  <c r="BA315" i="18"/>
  <c r="BA318" i="18"/>
  <c r="BA316" i="18"/>
  <c r="BA317" i="18"/>
  <c r="Z213" i="18"/>
  <c r="AU242" i="18"/>
  <c r="AU240" i="18"/>
  <c r="AU236" i="18"/>
  <c r="AU243" i="18"/>
  <c r="AU241" i="18"/>
  <c r="AU237" i="18"/>
  <c r="AU239" i="18"/>
  <c r="AU235" i="18"/>
  <c r="AU238" i="18"/>
  <c r="AU192" i="18"/>
  <c r="AU196" i="18"/>
  <c r="AU194" i="18"/>
  <c r="AU193" i="18"/>
  <c r="AU191" i="18"/>
  <c r="AU195" i="18"/>
  <c r="Y30" i="18"/>
  <c r="AT30" i="18"/>
  <c r="BA284" i="18"/>
  <c r="BA241" i="18"/>
  <c r="BA239" i="18"/>
  <c r="BA242" i="18"/>
  <c r="BA236" i="18"/>
  <c r="AU138" i="18"/>
  <c r="Z196" i="18"/>
  <c r="Z194" i="18"/>
  <c r="Z195" i="18"/>
  <c r="Z192" i="18"/>
  <c r="Z191" i="18"/>
  <c r="Z193" i="18"/>
  <c r="AT203" i="18"/>
  <c r="AT208" i="18"/>
  <c r="Y203" i="18"/>
  <c r="Y208" i="18"/>
  <c r="AO56" i="18"/>
  <c r="AO52" i="18"/>
  <c r="AO48" i="18"/>
  <c r="AO55" i="18"/>
  <c r="AO51" i="18"/>
  <c r="AO47" i="18"/>
  <c r="AO49" i="18"/>
  <c r="AO57" i="18"/>
  <c r="AO46" i="18"/>
  <c r="AO45" i="18"/>
  <c r="AO58" i="18"/>
  <c r="AO53" i="18"/>
  <c r="Z315" i="18"/>
  <c r="Z317" i="18"/>
  <c r="Z316" i="18"/>
  <c r="Z318" i="18"/>
  <c r="Z138" i="18"/>
  <c r="O313" i="18"/>
  <c r="Y287" i="18"/>
  <c r="AT181" i="18"/>
  <c r="AU317" i="18"/>
  <c r="AU315" i="18"/>
  <c r="AU318" i="18"/>
  <c r="AU316" i="18"/>
  <c r="AU214" i="18"/>
  <c r="AU212" i="18"/>
  <c r="AU211" i="18"/>
  <c r="AU213" i="18"/>
  <c r="Q313" i="18"/>
  <c r="Y307" i="18"/>
  <c r="Y312" i="18"/>
  <c r="AT307" i="18"/>
  <c r="AT312" i="18"/>
  <c r="AT287" i="18"/>
  <c r="BA214" i="18"/>
  <c r="BA212" i="18"/>
  <c r="BA211" i="18"/>
  <c r="BA213" i="18"/>
  <c r="X312" i="18"/>
  <c r="Y294" i="18"/>
  <c r="AO32" i="18"/>
  <c r="Y15" i="18"/>
  <c r="AZ208" i="18"/>
  <c r="Y243" i="18"/>
  <c r="BA137" i="18"/>
  <c r="BA139" i="18"/>
  <c r="W208" i="18"/>
  <c r="Z213" i="17"/>
  <c r="Z214" i="17"/>
  <c r="Z212" i="17"/>
  <c r="Z211" i="17"/>
  <c r="AU242" i="17"/>
  <c r="AU236" i="17"/>
  <c r="Z227" i="17"/>
  <c r="AU211" i="17"/>
  <c r="AU212" i="17"/>
  <c r="AU214" i="17"/>
  <c r="AU213" i="17"/>
  <c r="AZ307" i="17"/>
  <c r="AZ312" i="17"/>
  <c r="X312" i="17"/>
  <c r="N313" i="17"/>
  <c r="Y232" i="17"/>
  <c r="Y243" i="17"/>
  <c r="AT196" i="17"/>
  <c r="Z315" i="17"/>
  <c r="Z318" i="17"/>
  <c r="Z316" i="17"/>
  <c r="Z317" i="17"/>
  <c r="Z293" i="17"/>
  <c r="Z290" i="17"/>
  <c r="Z291" i="17"/>
  <c r="Z294" i="17"/>
  <c r="Z292" i="17"/>
  <c r="AZ232" i="17"/>
  <c r="BA213" i="17"/>
  <c r="BA211" i="17"/>
  <c r="BA212" i="17"/>
  <c r="BA214" i="17"/>
  <c r="AT181" i="17"/>
  <c r="W188" i="17"/>
  <c r="Y203" i="17"/>
  <c r="Y208" i="17"/>
  <c r="AT203" i="17"/>
  <c r="AT208" i="17"/>
  <c r="AT30" i="17"/>
  <c r="BA283" i="17"/>
  <c r="BA284" i="17"/>
  <c r="BA286" i="17"/>
  <c r="BA287" i="17"/>
  <c r="BA285" i="17"/>
  <c r="BA192" i="17"/>
  <c r="BA193" i="17"/>
  <c r="BA195" i="17"/>
  <c r="BA196" i="17"/>
  <c r="BA194" i="17"/>
  <c r="BA191" i="17"/>
  <c r="Y16" i="17"/>
  <c r="Z13" i="17"/>
  <c r="W16" i="17"/>
  <c r="Z15" i="17"/>
  <c r="X16" i="17"/>
  <c r="Z14" i="17"/>
  <c r="Z80" i="17"/>
  <c r="Z77" i="17"/>
  <c r="AU13" i="17"/>
  <c r="AU15" i="17"/>
  <c r="AU14" i="17"/>
  <c r="AI31" i="17"/>
  <c r="BA243" i="17"/>
  <c r="BA241" i="17"/>
  <c r="BA242" i="17"/>
  <c r="BA238" i="17"/>
  <c r="BA235" i="17"/>
  <c r="BA237" i="17"/>
  <c r="BA240" i="17"/>
  <c r="BA236" i="17"/>
  <c r="BA239" i="17"/>
  <c r="BA207" i="17"/>
  <c r="BA202" i="17"/>
  <c r="BA203" i="17"/>
  <c r="BA200" i="17"/>
  <c r="BA201" i="17"/>
  <c r="BA199" i="17"/>
  <c r="BA208" i="17"/>
  <c r="AT31" i="17"/>
  <c r="Y31" i="17"/>
  <c r="AT307" i="17"/>
  <c r="AT312" i="17"/>
  <c r="Y307" i="17"/>
  <c r="Y312" i="17"/>
  <c r="BA293" i="17"/>
  <c r="BA290" i="17"/>
  <c r="BA294" i="17"/>
  <c r="BA291" i="17"/>
  <c r="BA292" i="17"/>
  <c r="X208" i="17"/>
  <c r="AI48" i="17"/>
  <c r="AI47" i="17"/>
  <c r="AI45" i="17"/>
  <c r="BA13" i="17"/>
  <c r="BA15" i="17"/>
  <c r="BA14" i="17"/>
  <c r="Y196" i="17"/>
  <c r="AU191" i="16"/>
  <c r="AU196" i="16"/>
  <c r="AU193" i="16"/>
  <c r="AU243" i="16"/>
  <c r="AU241" i="16"/>
  <c r="AU242" i="16"/>
  <c r="AU239" i="16"/>
  <c r="AU235" i="16"/>
  <c r="AU236" i="16"/>
  <c r="AU240" i="16"/>
  <c r="AU237" i="16"/>
  <c r="AU238" i="16"/>
  <c r="Z193" i="16"/>
  <c r="Z196" i="16"/>
  <c r="Z194" i="16"/>
  <c r="Z195" i="16"/>
  <c r="Z192" i="16"/>
  <c r="Z191" i="16"/>
  <c r="BA211" i="16"/>
  <c r="BA213" i="16"/>
  <c r="BA214" i="16"/>
  <c r="BA212" i="16"/>
  <c r="BA243" i="16"/>
  <c r="BA241" i="16"/>
  <c r="BA242" i="16"/>
  <c r="BA237" i="16"/>
  <c r="BA238" i="16"/>
  <c r="BA235" i="16"/>
  <c r="BA240" i="16"/>
  <c r="BA236" i="16"/>
  <c r="BA239" i="16"/>
  <c r="BA293" i="16"/>
  <c r="BA290" i="16"/>
  <c r="BA291" i="16"/>
  <c r="BA294" i="16"/>
  <c r="BA292" i="16"/>
  <c r="AU291" i="16"/>
  <c r="AU294" i="16"/>
  <c r="AU292" i="16"/>
  <c r="AU290" i="16"/>
  <c r="AU293" i="16"/>
  <c r="BA193" i="16"/>
  <c r="BA196" i="16"/>
  <c r="BA194" i="16"/>
  <c r="BA191" i="16"/>
  <c r="BA195" i="16"/>
  <c r="BA192" i="16"/>
  <c r="AU287" i="16"/>
  <c r="AU285" i="16"/>
  <c r="AU286" i="16"/>
  <c r="AU283" i="16"/>
  <c r="AU284" i="16"/>
  <c r="BA138" i="16"/>
  <c r="BA137" i="16"/>
  <c r="BA139" i="16"/>
  <c r="Z284" i="16"/>
  <c r="Z287" i="16"/>
  <c r="AT307" i="16"/>
  <c r="AT312" i="16"/>
  <c r="Y307" i="16"/>
  <c r="Y312" i="16"/>
  <c r="Z248" i="16"/>
  <c r="Z246" i="16"/>
  <c r="Z249" i="16"/>
  <c r="Z247" i="16"/>
  <c r="BA283" i="16"/>
  <c r="BA284" i="16"/>
  <c r="BA286" i="16"/>
  <c r="BA285" i="16"/>
  <c r="BA287" i="16"/>
  <c r="AO33" i="16"/>
  <c r="AO32" i="16"/>
  <c r="AO30" i="16"/>
  <c r="AO31" i="16"/>
  <c r="AT203" i="16"/>
  <c r="AT208" i="16"/>
  <c r="Y203" i="16"/>
  <c r="Y208" i="16"/>
  <c r="BA202" i="16"/>
  <c r="BA207" i="16"/>
  <c r="AZ307" i="16"/>
  <c r="AZ312" i="16"/>
  <c r="X312" i="16"/>
  <c r="Z231" i="16"/>
  <c r="Z226" i="16"/>
  <c r="Z214" i="16"/>
  <c r="Y16" i="16"/>
  <c r="Y294" i="16"/>
  <c r="Y181" i="16"/>
  <c r="AZ181" i="16" s="1"/>
  <c r="Z315" i="16"/>
  <c r="Z318" i="16"/>
  <c r="Z316" i="16"/>
  <c r="Z317" i="16"/>
  <c r="N313" i="16"/>
  <c r="AT214" i="16"/>
  <c r="Y243" i="16"/>
  <c r="AU242" i="15"/>
  <c r="AU240" i="15"/>
  <c r="AU236" i="15"/>
  <c r="AU243" i="15"/>
  <c r="AU241" i="15"/>
  <c r="AU239" i="15"/>
  <c r="AU238" i="15"/>
  <c r="AU237" i="15"/>
  <c r="AU235" i="15"/>
  <c r="Z294" i="15"/>
  <c r="Z285" i="15"/>
  <c r="Z284" i="15"/>
  <c r="AO33" i="15"/>
  <c r="AO30" i="15"/>
  <c r="AU291" i="15"/>
  <c r="AU293" i="15"/>
  <c r="AU292" i="15"/>
  <c r="AU290" i="15"/>
  <c r="AU294" i="15"/>
  <c r="Z208" i="15"/>
  <c r="Z203" i="15"/>
  <c r="Z201" i="15"/>
  <c r="Z207" i="15"/>
  <c r="Z202" i="15"/>
  <c r="Z199" i="15"/>
  <c r="Z200" i="15"/>
  <c r="BA303" i="15"/>
  <c r="BA299" i="15"/>
  <c r="BA307" i="15"/>
  <c r="BA302" i="15"/>
  <c r="BA298" i="15"/>
  <c r="BA297" i="15"/>
  <c r="BA312" i="15"/>
  <c r="BA304" i="15"/>
  <c r="BA300" i="15"/>
  <c r="BA306" i="15"/>
  <c r="BA301" i="15"/>
  <c r="BA305" i="15"/>
  <c r="AU287" i="15"/>
  <c r="AU285" i="15"/>
  <c r="AU286" i="15"/>
  <c r="AU284" i="15"/>
  <c r="AU283" i="15"/>
  <c r="Z315" i="15"/>
  <c r="Z316" i="15"/>
  <c r="Z318" i="15"/>
  <c r="Z317" i="15"/>
  <c r="AT181" i="15"/>
  <c r="AZ208" i="15"/>
  <c r="M33" i="15"/>
  <c r="AU317" i="15"/>
  <c r="AU318" i="15"/>
  <c r="AU315" i="15"/>
  <c r="AU316" i="15"/>
  <c r="Z248" i="15"/>
  <c r="Z246" i="15"/>
  <c r="Z247" i="15"/>
  <c r="Z249" i="15"/>
  <c r="W188" i="15"/>
  <c r="Y243" i="15"/>
  <c r="BA243" i="15"/>
  <c r="BA241" i="15"/>
  <c r="BA238" i="15"/>
  <c r="BA240" i="15"/>
  <c r="BA235" i="15"/>
  <c r="BA237" i="15"/>
  <c r="BA239" i="15"/>
  <c r="BA242" i="15"/>
  <c r="BA236" i="15"/>
  <c r="Y307" i="15"/>
  <c r="AT307" i="15"/>
  <c r="AT312" i="15"/>
  <c r="BA293" i="15"/>
  <c r="BA290" i="15"/>
  <c r="BA292" i="15"/>
  <c r="BA294" i="15"/>
  <c r="BA291" i="15"/>
  <c r="BA315" i="15"/>
  <c r="BA318" i="15"/>
  <c r="BA316" i="15"/>
  <c r="BA317" i="15"/>
  <c r="W312" i="15"/>
  <c r="Z226" i="15"/>
  <c r="Z218" i="15"/>
  <c r="Z231" i="15"/>
  <c r="Z222" i="15"/>
  <c r="Z232" i="15"/>
  <c r="Z223" i="15"/>
  <c r="Z227" i="15"/>
  <c r="Z217" i="15"/>
  <c r="AU15" i="15"/>
  <c r="AU14" i="15"/>
  <c r="AU13" i="15"/>
  <c r="AU211" i="15"/>
  <c r="AU214" i="15"/>
  <c r="AU213" i="15"/>
  <c r="AU212" i="15"/>
  <c r="BA15" i="15"/>
  <c r="BA13" i="15"/>
  <c r="BA14" i="15"/>
  <c r="Y312" i="15"/>
  <c r="AU195" i="15"/>
  <c r="AU191" i="15"/>
  <c r="AU193" i="15"/>
  <c r="AU196" i="15"/>
  <c r="AU192" i="15"/>
  <c r="AU194" i="15"/>
  <c r="AI33" i="15"/>
  <c r="BA214" i="15"/>
  <c r="BA212" i="15"/>
  <c r="BA213" i="15"/>
  <c r="BA211" i="15"/>
  <c r="O313" i="15"/>
  <c r="BA283" i="15"/>
  <c r="BA284" i="15"/>
  <c r="BA286" i="15"/>
  <c r="BA285" i="15"/>
  <c r="BA287" i="15"/>
  <c r="Y163" i="15"/>
  <c r="AT163" i="15"/>
  <c r="AT31" i="15"/>
  <c r="Y31" i="15"/>
  <c r="AT30" i="15"/>
  <c r="Z293" i="14"/>
  <c r="Z291" i="14"/>
  <c r="Z294" i="14"/>
  <c r="Z292" i="14"/>
  <c r="Z290" i="14"/>
  <c r="BA299" i="14"/>
  <c r="BA298" i="14"/>
  <c r="BA305" i="14"/>
  <c r="BA297" i="14"/>
  <c r="BA301" i="14"/>
  <c r="BA304" i="14"/>
  <c r="BA15" i="14"/>
  <c r="BA14" i="14"/>
  <c r="BA13" i="14"/>
  <c r="AU317" i="14"/>
  <c r="AU318" i="14"/>
  <c r="AU316" i="14"/>
  <c r="AU315" i="14"/>
  <c r="Z232" i="14"/>
  <c r="Z231" i="14"/>
  <c r="Z223" i="14"/>
  <c r="Z222" i="14"/>
  <c r="Z226" i="14"/>
  <c r="Z217" i="14"/>
  <c r="Z218" i="14"/>
  <c r="Z227" i="14"/>
  <c r="Z283" i="14"/>
  <c r="Z287" i="14"/>
  <c r="Z284" i="14"/>
  <c r="Z286" i="14"/>
  <c r="Z285" i="14"/>
  <c r="BA283" i="14"/>
  <c r="BA285" i="14"/>
  <c r="BA287" i="14"/>
  <c r="BA286" i="14"/>
  <c r="BA284" i="14"/>
  <c r="Z243" i="14"/>
  <c r="Z240" i="14"/>
  <c r="Z236" i="14"/>
  <c r="Z241" i="14"/>
  <c r="Z237" i="14"/>
  <c r="Z239" i="14"/>
  <c r="Z238" i="14"/>
  <c r="Z235" i="14"/>
  <c r="Z242" i="14"/>
  <c r="BA243" i="14"/>
  <c r="BA241" i="14"/>
  <c r="BA242" i="14"/>
  <c r="BA240" i="14"/>
  <c r="BA236" i="14"/>
  <c r="BA237" i="14"/>
  <c r="BA239" i="14"/>
  <c r="BA238" i="14"/>
  <c r="BA235" i="14"/>
  <c r="BA315" i="14"/>
  <c r="BA317" i="14"/>
  <c r="BA318" i="14"/>
  <c r="BA316" i="14"/>
  <c r="AT203" i="14"/>
  <c r="AT208" i="14"/>
  <c r="Y203" i="14"/>
  <c r="W16" i="14"/>
  <c r="Z14" i="14"/>
  <c r="Y16" i="14"/>
  <c r="X16" i="14"/>
  <c r="Z15" i="14"/>
  <c r="Z13" i="14"/>
  <c r="AU287" i="14"/>
  <c r="AU285" i="14"/>
  <c r="AU286" i="14"/>
  <c r="AU284" i="14"/>
  <c r="AU283" i="14"/>
  <c r="Y208" i="14"/>
  <c r="BA195" i="14"/>
  <c r="BA191" i="14"/>
  <c r="BA192" i="14"/>
  <c r="BA194" i="14"/>
  <c r="BA196" i="14"/>
  <c r="BA193" i="14"/>
  <c r="AT307" i="14"/>
  <c r="AT312" i="14"/>
  <c r="Y307" i="14"/>
  <c r="Y312" i="14"/>
  <c r="M33" i="14"/>
  <c r="AZ208" i="14"/>
  <c r="AO31" i="14"/>
  <c r="AO30" i="14"/>
  <c r="AO33" i="14"/>
  <c r="AO32" i="14"/>
  <c r="Y214" i="14"/>
  <c r="AU214" i="14"/>
  <c r="AU212" i="14"/>
  <c r="AU213" i="14"/>
  <c r="AU211" i="14"/>
  <c r="O313" i="14"/>
  <c r="AO14" i="14"/>
  <c r="AO13" i="14"/>
  <c r="AO15" i="14"/>
  <c r="BA293" i="14"/>
  <c r="BA294" i="14"/>
  <c r="BA292" i="14"/>
  <c r="BA291" i="14"/>
  <c r="BA290" i="14"/>
  <c r="AU291" i="14"/>
  <c r="AU293" i="14"/>
  <c r="AU294" i="14"/>
  <c r="AU292" i="14"/>
  <c r="AU290" i="14"/>
  <c r="Z248" i="14"/>
  <c r="Z246" i="14"/>
  <c r="Z249" i="14"/>
  <c r="Z247" i="14"/>
  <c r="AT243" i="14"/>
  <c r="W208" i="14"/>
  <c r="Y196" i="14"/>
  <c r="N313" i="14"/>
  <c r="X208" i="14"/>
  <c r="AU13" i="14"/>
  <c r="AU14" i="14"/>
  <c r="AU15" i="14"/>
  <c r="BA211" i="14"/>
  <c r="BA213" i="14"/>
  <c r="BA214" i="14"/>
  <c r="BA212" i="14"/>
  <c r="I199" i="7"/>
  <c r="AI617" i="13"/>
  <c r="AI611" i="13"/>
  <c r="AI619" i="13"/>
  <c r="W620" i="13"/>
  <c r="Y612" i="13"/>
  <c r="AI613" i="13"/>
  <c r="Y614" i="13"/>
  <c r="Y593" i="13"/>
  <c r="AT593" i="13"/>
  <c r="AH597" i="13"/>
  <c r="AI597" i="13"/>
  <c r="X589" i="13"/>
  <c r="AZ583" i="13"/>
  <c r="Y579" i="13"/>
  <c r="AN370" i="13"/>
  <c r="Y357" i="13"/>
  <c r="AT357" i="13"/>
  <c r="X360" i="13"/>
  <c r="AH360" i="13"/>
  <c r="AI359" i="13"/>
  <c r="AI351" i="13"/>
  <c r="AI347" i="13"/>
  <c r="AT353" i="13"/>
  <c r="Y346" i="13"/>
  <c r="M343" i="13"/>
  <c r="AH343" i="13"/>
  <c r="AI342" i="13"/>
  <c r="AN343" i="13"/>
  <c r="AO342" i="13"/>
  <c r="Y342" i="13"/>
  <c r="X343" i="13"/>
  <c r="Y336" i="13"/>
  <c r="Y326" i="13"/>
  <c r="AH333" i="13"/>
  <c r="AI326" i="13"/>
  <c r="W333" i="13"/>
  <c r="X333" i="13"/>
  <c r="AI317" i="13"/>
  <c r="AI321" i="13"/>
  <c r="AN323" i="13"/>
  <c r="AO321" i="13"/>
  <c r="AT323" i="13"/>
  <c r="AU323" i="13"/>
  <c r="AH244" i="13"/>
  <c r="AI239" i="13"/>
  <c r="AZ242" i="13"/>
  <c r="Y241" i="13"/>
  <c r="W244" i="13"/>
  <c r="AH236" i="13"/>
  <c r="AI233" i="13"/>
  <c r="Y232" i="13"/>
  <c r="AT232" i="13"/>
  <c r="X236" i="13"/>
  <c r="M223" i="13"/>
  <c r="AI221" i="13"/>
  <c r="AU215" i="13"/>
  <c r="BA215" i="13"/>
  <c r="BA203" i="13"/>
  <c r="AI203" i="13"/>
  <c r="AU201" i="13"/>
  <c r="AO197" i="13"/>
  <c r="AI165" i="13"/>
  <c r="AO165" i="13"/>
  <c r="X166" i="13"/>
  <c r="AZ164" i="13"/>
  <c r="AZ166" i="13"/>
  <c r="BA166" i="13"/>
  <c r="AT155" i="13"/>
  <c r="Y157" i="13"/>
  <c r="AT157" i="13"/>
  <c r="M161" i="13"/>
  <c r="Y159" i="13"/>
  <c r="AN147" i="13"/>
  <c r="AO140" i="13"/>
  <c r="Y138" i="13"/>
  <c r="AT138" i="13"/>
  <c r="AH58" i="13"/>
  <c r="AI55" i="13"/>
  <c r="M58" i="13"/>
  <c r="Y46" i="13"/>
  <c r="AT52" i="13"/>
  <c r="AN58" i="13"/>
  <c r="AO57" i="13"/>
  <c r="Y56" i="13"/>
  <c r="AT56" i="13"/>
  <c r="AT44" i="13"/>
  <c r="Y48" i="13"/>
  <c r="AT48" i="13"/>
  <c r="M26" i="13"/>
  <c r="AO23" i="13"/>
  <c r="Y24" i="13"/>
  <c r="AT24" i="13"/>
  <c r="AT26" i="13"/>
  <c r="J27" i="13"/>
  <c r="M30" i="13"/>
  <c r="L59" i="13"/>
  <c r="J162" i="13"/>
  <c r="J198" i="13"/>
  <c r="J224" i="13"/>
  <c r="J581" i="13"/>
  <c r="AO14" i="13"/>
  <c r="X15" i="13"/>
  <c r="K59" i="13"/>
  <c r="J148" i="13"/>
  <c r="K148" i="13"/>
  <c r="K198" i="13"/>
  <c r="K229" i="13"/>
  <c r="J237" i="13"/>
  <c r="J334" i="13"/>
  <c r="J344" i="13"/>
  <c r="J361" i="13"/>
  <c r="J59" i="13"/>
  <c r="J245" i="13"/>
  <c r="J324" i="13"/>
  <c r="Y13" i="13"/>
  <c r="K27" i="13"/>
  <c r="J167" i="13"/>
  <c r="K218" i="13"/>
  <c r="K324" i="13"/>
  <c r="L344" i="13"/>
  <c r="AO144" i="13"/>
  <c r="AO145" i="13"/>
  <c r="AI223" i="13"/>
  <c r="P89" i="13"/>
  <c r="P97" i="13"/>
  <c r="P82" i="13"/>
  <c r="S122" i="13"/>
  <c r="Y122" i="13"/>
  <c r="Y121" i="13"/>
  <c r="BA217" i="13"/>
  <c r="AO223" i="13"/>
  <c r="AO221" i="13"/>
  <c r="AO220" i="13"/>
  <c r="S97" i="13"/>
  <c r="S89" i="13"/>
  <c r="S82" i="13"/>
  <c r="AU321" i="13"/>
  <c r="AU41" i="13"/>
  <c r="AU39" i="13"/>
  <c r="AU40" i="13"/>
  <c r="AU38" i="13"/>
  <c r="AI147" i="13"/>
  <c r="AI146" i="13"/>
  <c r="AI142" i="13"/>
  <c r="AI138" i="13"/>
  <c r="AI144" i="13"/>
  <c r="AI140" i="13"/>
  <c r="AI141" i="13"/>
  <c r="AI143" i="13"/>
  <c r="AI145" i="13"/>
  <c r="AI137" i="13"/>
  <c r="AI139" i="13"/>
  <c r="AI363" i="13"/>
  <c r="AI370" i="13"/>
  <c r="AI369" i="13"/>
  <c r="AI364" i="13"/>
  <c r="AI368" i="13"/>
  <c r="AZ14" i="13"/>
  <c r="AZ15" i="13"/>
  <c r="Y20" i="13"/>
  <c r="T573" i="13"/>
  <c r="T509" i="13"/>
  <c r="T408" i="13"/>
  <c r="X20" i="13"/>
  <c r="AH26" i="13"/>
  <c r="AZ25" i="13"/>
  <c r="AZ26" i="13"/>
  <c r="Y25" i="13"/>
  <c r="X26" i="13"/>
  <c r="AT32" i="13"/>
  <c r="AT58" i="13"/>
  <c r="X58" i="13"/>
  <c r="Y62" i="13"/>
  <c r="Y64" i="13"/>
  <c r="T66" i="13"/>
  <c r="R66" i="13"/>
  <c r="AU70" i="13"/>
  <c r="AU72" i="13"/>
  <c r="AU68" i="13"/>
  <c r="AU69" i="13"/>
  <c r="AU71" i="13"/>
  <c r="AU73" i="13"/>
  <c r="Z84" i="13"/>
  <c r="Z86" i="13"/>
  <c r="V89" i="13"/>
  <c r="Y119" i="13"/>
  <c r="M147" i="13"/>
  <c r="X147" i="13"/>
  <c r="Y140" i="13"/>
  <c r="AZ141" i="13"/>
  <c r="Y141" i="13"/>
  <c r="AH161" i="13"/>
  <c r="AZ158" i="13"/>
  <c r="Y158" i="13"/>
  <c r="L162" i="13"/>
  <c r="Y164" i="13"/>
  <c r="AT164" i="13"/>
  <c r="Y171" i="13"/>
  <c r="Y174" i="13"/>
  <c r="AT171" i="13"/>
  <c r="AT174" i="13"/>
  <c r="O491" i="13"/>
  <c r="AT177" i="13"/>
  <c r="AT187" i="13"/>
  <c r="AI197" i="13"/>
  <c r="AI195" i="13"/>
  <c r="L204" i="13"/>
  <c r="Y207" i="13"/>
  <c r="AZ208" i="13"/>
  <c r="AZ210" i="13"/>
  <c r="X210" i="13"/>
  <c r="L218" i="13"/>
  <c r="AO228" i="13"/>
  <c r="AO227" i="13"/>
  <c r="AO226" i="13"/>
  <c r="Y231" i="13"/>
  <c r="AT231" i="13"/>
  <c r="Y234" i="13"/>
  <c r="AT234" i="13"/>
  <c r="Y316" i="13"/>
  <c r="W323" i="13"/>
  <c r="M333" i="13"/>
  <c r="AI331" i="13"/>
  <c r="AZ333" i="13"/>
  <c r="Y331" i="13"/>
  <c r="AO343" i="13"/>
  <c r="AO341" i="13"/>
  <c r="AO351" i="13"/>
  <c r="AO347" i="13"/>
  <c r="AO353" i="13"/>
  <c r="AO350" i="13"/>
  <c r="AO349" i="13"/>
  <c r="AO346" i="13"/>
  <c r="AO354" i="13"/>
  <c r="AO352" i="13"/>
  <c r="AO348" i="13"/>
  <c r="Y351" i="13"/>
  <c r="Y390" i="13"/>
  <c r="AT449" i="13"/>
  <c r="Q454" i="13"/>
  <c r="Q455" i="13"/>
  <c r="AZ459" i="13"/>
  <c r="Y459" i="13"/>
  <c r="X469" i="13"/>
  <c r="AZ463" i="13"/>
  <c r="AZ469" i="13"/>
  <c r="L581" i="13"/>
  <c r="AZ19" i="13"/>
  <c r="AZ20" i="13"/>
  <c r="AN20" i="13"/>
  <c r="AO25" i="13"/>
  <c r="R42" i="13"/>
  <c r="Y44" i="13"/>
  <c r="AI47" i="13"/>
  <c r="AO49" i="13"/>
  <c r="AI51" i="13"/>
  <c r="AT62" i="13"/>
  <c r="AT65" i="13"/>
  <c r="P116" i="13"/>
  <c r="L148" i="13"/>
  <c r="AZ152" i="13"/>
  <c r="N153" i="13"/>
  <c r="X152" i="13"/>
  <c r="O153" i="13"/>
  <c r="W161" i="13"/>
  <c r="AN161" i="13"/>
  <c r="BA164" i="13"/>
  <c r="L167" i="13"/>
  <c r="Q489" i="13"/>
  <c r="Q175" i="13"/>
  <c r="U489" i="13"/>
  <c r="U491" i="13"/>
  <c r="U175" i="13"/>
  <c r="O175" i="13"/>
  <c r="P177" i="13"/>
  <c r="Y180" i="13"/>
  <c r="AZ181" i="13"/>
  <c r="AZ187" i="13"/>
  <c r="Y186" i="13"/>
  <c r="L198" i="13"/>
  <c r="BA200" i="13"/>
  <c r="BA201" i="13"/>
  <c r="AT210" i="13"/>
  <c r="N211" i="13"/>
  <c r="AU223" i="13"/>
  <c r="AZ226" i="13"/>
  <c r="Y226" i="13"/>
  <c r="AZ227" i="13"/>
  <c r="L237" i="13"/>
  <c r="Y239" i="13"/>
  <c r="AT239" i="13"/>
  <c r="Y243" i="13"/>
  <c r="AT243" i="13"/>
  <c r="K245" i="13"/>
  <c r="Y322" i="13"/>
  <c r="AI323" i="13"/>
  <c r="AI322" i="13"/>
  <c r="AI316" i="13"/>
  <c r="AO333" i="13"/>
  <c r="AO332" i="13"/>
  <c r="AO326" i="13"/>
  <c r="AO327" i="13"/>
  <c r="AO331" i="13"/>
  <c r="AZ343" i="13"/>
  <c r="Y347" i="13"/>
  <c r="AI354" i="13"/>
  <c r="AI353" i="13"/>
  <c r="AI349" i="13"/>
  <c r="AI350" i="13"/>
  <c r="AI346" i="13"/>
  <c r="AI352" i="13"/>
  <c r="AI348" i="13"/>
  <c r="Y359" i="13"/>
  <c r="AT359" i="13"/>
  <c r="L361" i="13"/>
  <c r="S395" i="13"/>
  <c r="S400" i="13"/>
  <c r="Q400" i="13"/>
  <c r="V395" i="13"/>
  <c r="V400" i="13"/>
  <c r="AZ448" i="13"/>
  <c r="X449" i="13"/>
  <c r="AZ449" i="13"/>
  <c r="AZ453" i="13"/>
  <c r="AZ454" i="13"/>
  <c r="Y448" i="13"/>
  <c r="Y477" i="13"/>
  <c r="AT477" i="13"/>
  <c r="AZ496" i="13"/>
  <c r="BA514" i="13"/>
  <c r="BA513" i="13"/>
  <c r="BA512" i="13"/>
  <c r="BA511" i="13"/>
  <c r="N573" i="13"/>
  <c r="N408" i="13"/>
  <c r="N175" i="13"/>
  <c r="R509" i="13"/>
  <c r="R380" i="13"/>
  <c r="AZ38" i="13"/>
  <c r="AZ41" i="13"/>
  <c r="Y38" i="13"/>
  <c r="X41" i="13"/>
  <c r="AI56" i="13"/>
  <c r="AI52" i="13"/>
  <c r="AI48" i="13"/>
  <c r="AI54" i="13"/>
  <c r="AI50" i="13"/>
  <c r="AI46" i="13"/>
  <c r="AZ47" i="13"/>
  <c r="Y47" i="13"/>
  <c r="AZ51" i="13"/>
  <c r="Y51" i="13"/>
  <c r="AZ55" i="13"/>
  <c r="Y55" i="13"/>
  <c r="AI58" i="13"/>
  <c r="AZ71" i="13"/>
  <c r="AZ73" i="13"/>
  <c r="Y71" i="13"/>
  <c r="N74" i="13"/>
  <c r="X73" i="13"/>
  <c r="V82" i="13"/>
  <c r="AZ137" i="13"/>
  <c r="AZ145" i="13"/>
  <c r="AZ147" i="13"/>
  <c r="Y137" i="13"/>
  <c r="Y145" i="13"/>
  <c r="W147" i="13"/>
  <c r="R153" i="13"/>
  <c r="X161" i="13"/>
  <c r="AO201" i="13"/>
  <c r="AO200" i="13"/>
  <c r="AO215" i="13"/>
  <c r="AO214" i="13"/>
  <c r="AO323" i="13"/>
  <c r="AO316" i="13"/>
  <c r="AU332" i="13"/>
  <c r="AU326" i="13"/>
  <c r="AU333" i="13"/>
  <c r="L334" i="13"/>
  <c r="W379" i="13"/>
  <c r="AT376" i="13"/>
  <c r="N380" i="13"/>
  <c r="Y387" i="13"/>
  <c r="AT387" i="13"/>
  <c r="W409" i="13"/>
  <c r="W407" i="13"/>
  <c r="AT403" i="13"/>
  <c r="AT454" i="13"/>
  <c r="AU460" i="13"/>
  <c r="AU458" i="13"/>
  <c r="AU459" i="13"/>
  <c r="AZ494" i="13"/>
  <c r="AW500" i="13"/>
  <c r="Q509" i="13"/>
  <c r="U509" i="13"/>
  <c r="AT13" i="13"/>
  <c r="AT15" i="13"/>
  <c r="AT18" i="13"/>
  <c r="AT20" i="13"/>
  <c r="O516" i="13"/>
  <c r="O539" i="13"/>
  <c r="W20" i="13"/>
  <c r="AO26" i="13"/>
  <c r="O42" i="13"/>
  <c r="T42" i="13"/>
  <c r="AO50" i="13"/>
  <c r="AO46" i="13"/>
  <c r="AO56" i="13"/>
  <c r="AO48" i="13"/>
  <c r="AO44" i="13"/>
  <c r="AI45" i="13"/>
  <c r="AI49" i="13"/>
  <c r="AO51" i="13"/>
  <c r="AI53" i="13"/>
  <c r="AI57" i="13"/>
  <c r="AO58" i="13"/>
  <c r="AZ61" i="13"/>
  <c r="AZ65" i="13"/>
  <c r="Y61" i="13"/>
  <c r="N66" i="13"/>
  <c r="X65" i="13"/>
  <c r="O66" i="13"/>
  <c r="T74" i="13"/>
  <c r="V116" i="13"/>
  <c r="P117" i="13"/>
  <c r="Y117" i="13"/>
  <c r="AZ161" i="13"/>
  <c r="K162" i="13"/>
  <c r="Y165" i="13"/>
  <c r="AT165" i="13"/>
  <c r="K167" i="13"/>
  <c r="W174" i="13"/>
  <c r="Y177" i="13"/>
  <c r="N188" i="13"/>
  <c r="R188" i="13"/>
  <c r="X187" i="13"/>
  <c r="AU200" i="13"/>
  <c r="O211" i="13"/>
  <c r="AU214" i="13"/>
  <c r="L224" i="13"/>
  <c r="M236" i="13"/>
  <c r="AI232" i="13"/>
  <c r="Y235" i="13"/>
  <c r="AT235" i="13"/>
  <c r="AI235" i="13"/>
  <c r="L245" i="13"/>
  <c r="AO317" i="13"/>
  <c r="L324" i="13"/>
  <c r="AU331" i="13"/>
  <c r="AI343" i="13"/>
  <c r="AI337" i="13"/>
  <c r="W354" i="13"/>
  <c r="AO370" i="13"/>
  <c r="AO369" i="13"/>
  <c r="AO363" i="13"/>
  <c r="AO364" i="13"/>
  <c r="AO368" i="13"/>
  <c r="AT382" i="13"/>
  <c r="P441" i="13"/>
  <c r="X441" i="13"/>
  <c r="N509" i="13"/>
  <c r="Q573" i="13"/>
  <c r="Q516" i="13"/>
  <c r="U516" i="13"/>
  <c r="Y23" i="13"/>
  <c r="Y26" i="13"/>
  <c r="W26" i="13"/>
  <c r="Y40" i="13"/>
  <c r="Y45" i="13"/>
  <c r="Y49" i="13"/>
  <c r="Y53" i="13"/>
  <c r="Y57" i="13"/>
  <c r="Y63" i="13"/>
  <c r="Y69" i="13"/>
  <c r="Y73" i="13"/>
  <c r="Y139" i="13"/>
  <c r="Y143" i="13"/>
  <c r="Y150" i="13"/>
  <c r="Y156" i="13"/>
  <c r="Y160" i="13"/>
  <c r="Y182" i="13"/>
  <c r="Y183" i="13"/>
  <c r="Q188" i="13"/>
  <c r="U188" i="13"/>
  <c r="AI201" i="13"/>
  <c r="W210" i="13"/>
  <c r="Y206" i="13"/>
  <c r="Y210" i="13"/>
  <c r="T211" i="13"/>
  <c r="J218" i="13"/>
  <c r="Y227" i="13"/>
  <c r="J229" i="13"/>
  <c r="AN236" i="13"/>
  <c r="X244" i="13"/>
  <c r="M323" i="13"/>
  <c r="AZ323" i="13"/>
  <c r="Y321" i="13"/>
  <c r="K334" i="13"/>
  <c r="Y337" i="13"/>
  <c r="K344" i="13"/>
  <c r="M370" i="13"/>
  <c r="Y369" i="13"/>
  <c r="AZ370" i="13"/>
  <c r="X370" i="13"/>
  <c r="Y391" i="13"/>
  <c r="AT391" i="13"/>
  <c r="AZ405" i="13"/>
  <c r="AZ407" i="13"/>
  <c r="Y412" i="13"/>
  <c r="O421" i="13"/>
  <c r="O422" i="13"/>
  <c r="X416" i="13"/>
  <c r="W416" i="13"/>
  <c r="AT416" i="13"/>
  <c r="AT421" i="13"/>
  <c r="AU424" i="13"/>
  <c r="AU430" i="13"/>
  <c r="V430" i="13"/>
  <c r="V441" i="13"/>
  <c r="AZ437" i="13"/>
  <c r="Y437" i="13"/>
  <c r="S454" i="13"/>
  <c r="O455" i="13"/>
  <c r="P460" i="13"/>
  <c r="X460" i="13"/>
  <c r="AZ457" i="13"/>
  <c r="AM499" i="13"/>
  <c r="AN499" i="13"/>
  <c r="P494" i="13"/>
  <c r="W494" i="13"/>
  <c r="N500" i="13"/>
  <c r="P496" i="13"/>
  <c r="W496" i="13"/>
  <c r="Y507" i="13"/>
  <c r="Y508" i="13"/>
  <c r="Y511" i="13"/>
  <c r="X515" i="13"/>
  <c r="AZ523" i="13"/>
  <c r="Y523" i="13"/>
  <c r="AO592" i="13"/>
  <c r="AT150" i="13"/>
  <c r="AT152" i="13"/>
  <c r="AO166" i="13"/>
  <c r="S177" i="13"/>
  <c r="Y179" i="13"/>
  <c r="Y185" i="13"/>
  <c r="Y187" i="13"/>
  <c r="W187" i="13"/>
  <c r="J204" i="13"/>
  <c r="S210" i="13"/>
  <c r="AI215" i="13"/>
  <c r="AZ233" i="13"/>
  <c r="AZ236" i="13"/>
  <c r="AZ244" i="13"/>
  <c r="AN244" i="13"/>
  <c r="W343" i="13"/>
  <c r="Y348" i="13"/>
  <c r="AT348" i="13"/>
  <c r="AT352" i="13"/>
  <c r="AT354" i="13"/>
  <c r="Y352" i="13"/>
  <c r="L355" i="13"/>
  <c r="AN360" i="13"/>
  <c r="Y377" i="13"/>
  <c r="Y379" i="13"/>
  <c r="AT377" i="13"/>
  <c r="O380" i="13"/>
  <c r="T380" i="13"/>
  <c r="Y383" i="13"/>
  <c r="AT383" i="13"/>
  <c r="W443" i="13"/>
  <c r="Y404" i="13"/>
  <c r="Y407" i="13"/>
  <c r="AT404" i="13"/>
  <c r="AZ425" i="13"/>
  <c r="AZ430" i="13"/>
  <c r="Y425" i="13"/>
  <c r="AZ433" i="13"/>
  <c r="AZ441" i="13"/>
  <c r="Y433" i="13"/>
  <c r="W454" i="13"/>
  <c r="V460" i="13"/>
  <c r="W480" i="13"/>
  <c r="AT472" i="13"/>
  <c r="P489" i="13"/>
  <c r="P491" i="13"/>
  <c r="N491" i="13"/>
  <c r="W489" i="13"/>
  <c r="U500" i="13"/>
  <c r="V500" i="13"/>
  <c r="V494" i="13"/>
  <c r="N516" i="13"/>
  <c r="R516" i="13"/>
  <c r="AZ519" i="13"/>
  <c r="Y519" i="13"/>
  <c r="N539" i="13"/>
  <c r="R539" i="13"/>
  <c r="U539" i="13"/>
  <c r="Z545" i="13"/>
  <c r="Z543" i="13"/>
  <c r="Z544" i="13"/>
  <c r="AZ592" i="13"/>
  <c r="Y592" i="13"/>
  <c r="X597" i="13"/>
  <c r="R175" i="13"/>
  <c r="AH226" i="13"/>
  <c r="AH228" i="13"/>
  <c r="Y317" i="13"/>
  <c r="Y327" i="13"/>
  <c r="X354" i="13"/>
  <c r="AZ346" i="13"/>
  <c r="AZ354" i="13"/>
  <c r="Y363" i="13"/>
  <c r="AT370" i="13"/>
  <c r="Y364" i="13"/>
  <c r="AZ379" i="13"/>
  <c r="N400" i="13"/>
  <c r="W395" i="13"/>
  <c r="X395" i="13"/>
  <c r="V407" i="13"/>
  <c r="AZ413" i="13"/>
  <c r="Y413" i="13"/>
  <c r="T422" i="13"/>
  <c r="Y434" i="13"/>
  <c r="X443" i="13"/>
  <c r="R455" i="13"/>
  <c r="Y453" i="13"/>
  <c r="Y458" i="13"/>
  <c r="O461" i="13"/>
  <c r="AT469" i="13"/>
  <c r="AZ474" i="13"/>
  <c r="AZ480" i="13"/>
  <c r="Y478" i="13"/>
  <c r="AH498" i="13"/>
  <c r="AZ493" i="13"/>
  <c r="AW499" i="13"/>
  <c r="AZ499" i="13"/>
  <c r="AN495" i="13"/>
  <c r="AZ497" i="13"/>
  <c r="AZ504" i="13"/>
  <c r="AZ508" i="13"/>
  <c r="AT538" i="13"/>
  <c r="AT577" i="13"/>
  <c r="AT580" i="13"/>
  <c r="W580" i="13"/>
  <c r="AN580" i="13"/>
  <c r="Y585" i="13"/>
  <c r="AZ358" i="13"/>
  <c r="AZ360" i="13"/>
  <c r="X379" i="13"/>
  <c r="R408" i="13"/>
  <c r="AT441" i="13"/>
  <c r="P449" i="13"/>
  <c r="P454" i="13"/>
  <c r="R461" i="13"/>
  <c r="O470" i="13"/>
  <c r="Y473" i="13"/>
  <c r="AT473" i="13"/>
  <c r="U481" i="13"/>
  <c r="U499" i="13"/>
  <c r="V499" i="13"/>
  <c r="V493" i="13"/>
  <c r="AM500" i="13"/>
  <c r="AN500" i="13"/>
  <c r="AN497" i="13"/>
  <c r="P499" i="13"/>
  <c r="W499" i="13"/>
  <c r="Q533" i="13"/>
  <c r="W528" i="13"/>
  <c r="AZ536" i="13"/>
  <c r="Y536" i="13"/>
  <c r="X538" i="13"/>
  <c r="AI577" i="13"/>
  <c r="AI580" i="13"/>
  <c r="AI579" i="13"/>
  <c r="AI578" i="13"/>
  <c r="AI576" i="13"/>
  <c r="AT343" i="13"/>
  <c r="Y411" i="13"/>
  <c r="Y415" i="13"/>
  <c r="Y429" i="13"/>
  <c r="Y435" i="13"/>
  <c r="Y439" i="13"/>
  <c r="Y446" i="13"/>
  <c r="V449" i="13"/>
  <c r="V454" i="13"/>
  <c r="Y457" i="13"/>
  <c r="Y463" i="13"/>
  <c r="Y469" i="13"/>
  <c r="V480" i="13"/>
  <c r="AN493" i="13"/>
  <c r="AN494" i="13"/>
  <c r="S515" i="13"/>
  <c r="W515" i="13"/>
  <c r="AT512" i="13"/>
  <c r="T516" i="13"/>
  <c r="W533" i="13"/>
  <c r="O533" i="13"/>
  <c r="X528" i="13"/>
  <c r="AZ528" i="13"/>
  <c r="P528" i="13"/>
  <c r="P533" i="13"/>
  <c r="V528" i="13"/>
  <c r="V533" i="13"/>
  <c r="Y535" i="13"/>
  <c r="T539" i="13"/>
  <c r="AZ570" i="13"/>
  <c r="AZ572" i="13"/>
  <c r="R573" i="13"/>
  <c r="K581" i="13"/>
  <c r="AZ584" i="13"/>
  <c r="Y584" i="13"/>
  <c r="Y587" i="13"/>
  <c r="R481" i="13"/>
  <c r="P490" i="13"/>
  <c r="W490" i="13"/>
  <c r="Y490" i="13"/>
  <c r="X493" i="13"/>
  <c r="Y493" i="13"/>
  <c r="X494" i="13"/>
  <c r="X495" i="13"/>
  <c r="Y495" i="13"/>
  <c r="X496" i="13"/>
  <c r="X497" i="13"/>
  <c r="Y497" i="13"/>
  <c r="O500" i="13"/>
  <c r="O509" i="13"/>
  <c r="AT513" i="13"/>
  <c r="Y513" i="13"/>
  <c r="S533" i="13"/>
  <c r="AZ538" i="13"/>
  <c r="Q539" i="13"/>
  <c r="O573" i="13"/>
  <c r="AI585" i="13"/>
  <c r="AI587" i="13"/>
  <c r="AI583" i="13"/>
  <c r="AI589" i="13"/>
  <c r="AI588" i="13"/>
  <c r="AI586" i="13"/>
  <c r="AI584" i="13"/>
  <c r="X607" i="13"/>
  <c r="Y521" i="13"/>
  <c r="Y525" i="13"/>
  <c r="U573" i="13"/>
  <c r="M580" i="13"/>
  <c r="W589" i="13"/>
  <c r="AT583" i="13"/>
  <c r="AT589" i="13"/>
  <c r="AZ596" i="13"/>
  <c r="Y596" i="13"/>
  <c r="W607" i="13"/>
  <c r="Y634" i="13"/>
  <c r="Y636" i="13"/>
  <c r="AZ576" i="13"/>
  <c r="AZ580" i="13"/>
  <c r="Y576" i="13"/>
  <c r="X580" i="13"/>
  <c r="AZ588" i="13"/>
  <c r="AZ589" i="13"/>
  <c r="AI593" i="13"/>
  <c r="AI595" i="13"/>
  <c r="AI594" i="13"/>
  <c r="AI596" i="13"/>
  <c r="AI592" i="13"/>
  <c r="Z626" i="13"/>
  <c r="Z624" i="13"/>
  <c r="Z627" i="13"/>
  <c r="Z625" i="13"/>
  <c r="Z623" i="13"/>
  <c r="Z628" i="13"/>
  <c r="Y578" i="13"/>
  <c r="AN589" i="13"/>
  <c r="Y588" i="13"/>
  <c r="W597" i="13"/>
  <c r="AH607" i="13"/>
  <c r="AZ611" i="13"/>
  <c r="Y611" i="13"/>
  <c r="AN620" i="13"/>
  <c r="AZ615" i="13"/>
  <c r="Y615" i="13"/>
  <c r="AZ619" i="13"/>
  <c r="Y619" i="13"/>
  <c r="X620" i="13"/>
  <c r="Y663" i="13"/>
  <c r="Z666" i="13"/>
  <c r="Z668" i="13"/>
  <c r="Y600" i="13"/>
  <c r="Y606" i="13"/>
  <c r="Y607" i="13"/>
  <c r="AN607" i="13"/>
  <c r="AI616" i="13"/>
  <c r="AI612" i="13"/>
  <c r="AI618" i="13"/>
  <c r="AI614" i="13"/>
  <c r="AI620" i="13"/>
  <c r="Y643" i="13"/>
  <c r="Y586" i="13"/>
  <c r="Y589" i="13"/>
  <c r="AT592" i="13"/>
  <c r="Y594" i="13"/>
  <c r="AT611" i="13"/>
  <c r="AT620" i="13"/>
  <c r="Y613" i="13"/>
  <c r="Y617" i="13"/>
  <c r="P89" i="12"/>
  <c r="P82" i="12"/>
  <c r="P97" i="12"/>
  <c r="AO144" i="12"/>
  <c r="AO140" i="12"/>
  <c r="AO146" i="12"/>
  <c r="AO143" i="12"/>
  <c r="AO141" i="12"/>
  <c r="AO147" i="12"/>
  <c r="AO138" i="12"/>
  <c r="AO137" i="12"/>
  <c r="AO145" i="12"/>
  <c r="AO139" i="12"/>
  <c r="AO142" i="12"/>
  <c r="V89" i="12"/>
  <c r="V97" i="12"/>
  <c r="V82" i="12"/>
  <c r="AU40" i="12"/>
  <c r="Y13" i="12"/>
  <c r="AO14" i="12"/>
  <c r="K229" i="12"/>
  <c r="K355" i="12"/>
  <c r="K224" i="12"/>
  <c r="K148" i="12"/>
  <c r="BA15" i="12"/>
  <c r="N573" i="12"/>
  <c r="N509" i="12"/>
  <c r="N539" i="12"/>
  <c r="N408" i="12"/>
  <c r="N380" i="12"/>
  <c r="N516" i="12"/>
  <c r="N188" i="12"/>
  <c r="R573" i="12"/>
  <c r="R516" i="12"/>
  <c r="R408" i="12"/>
  <c r="Y24" i="12"/>
  <c r="R42" i="12"/>
  <c r="W41" i="12"/>
  <c r="N42" i="12"/>
  <c r="Y44" i="12"/>
  <c r="AO45" i="12"/>
  <c r="Y48" i="12"/>
  <c r="AO49" i="12"/>
  <c r="Y52" i="12"/>
  <c r="AO53" i="12"/>
  <c r="Y56" i="12"/>
  <c r="M147" i="12"/>
  <c r="AH147" i="12"/>
  <c r="Y157" i="12"/>
  <c r="Y159" i="12"/>
  <c r="Y183" i="12"/>
  <c r="AU203" i="12"/>
  <c r="AU201" i="12"/>
  <c r="AU200" i="12"/>
  <c r="Y208" i="12"/>
  <c r="R211" i="12"/>
  <c r="AO233" i="12"/>
  <c r="AO236" i="12"/>
  <c r="AO235" i="12"/>
  <c r="AO231" i="12"/>
  <c r="AO234" i="12"/>
  <c r="AO232" i="12"/>
  <c r="AU343" i="12"/>
  <c r="AU342" i="12"/>
  <c r="AU336" i="12"/>
  <c r="AU337" i="12"/>
  <c r="AU341" i="12"/>
  <c r="AI13" i="12"/>
  <c r="AI19" i="12"/>
  <c r="AI15" i="12"/>
  <c r="AI18" i="12"/>
  <c r="T539" i="12"/>
  <c r="T380" i="12"/>
  <c r="T573" i="12"/>
  <c r="T188" i="12"/>
  <c r="AZ23" i="12"/>
  <c r="Y23" i="12"/>
  <c r="AN26" i="12"/>
  <c r="AI26" i="12"/>
  <c r="X41" i="12"/>
  <c r="AZ38" i="12"/>
  <c r="AZ40" i="12"/>
  <c r="Y40" i="12"/>
  <c r="AH58" i="12"/>
  <c r="AT65" i="12"/>
  <c r="AZ69" i="12"/>
  <c r="AZ73" i="12"/>
  <c r="Y69" i="12"/>
  <c r="Y72" i="12"/>
  <c r="Y81" i="12"/>
  <c r="Y137" i="12"/>
  <c r="AT137" i="12"/>
  <c r="Y142" i="12"/>
  <c r="AN161" i="12"/>
  <c r="AT166" i="12"/>
  <c r="W174" i="12"/>
  <c r="AT169" i="12"/>
  <c r="AT174" i="12"/>
  <c r="Y171" i="12"/>
  <c r="T489" i="12"/>
  <c r="T175" i="12"/>
  <c r="K198" i="12"/>
  <c r="AO197" i="12"/>
  <c r="AI203" i="12"/>
  <c r="AI201" i="12"/>
  <c r="AI200" i="12"/>
  <c r="N211" i="12"/>
  <c r="K218" i="12"/>
  <c r="AU463" i="12"/>
  <c r="AO15" i="12"/>
  <c r="AZ18" i="12"/>
  <c r="AZ20" i="12"/>
  <c r="Y18" i="12"/>
  <c r="Y20" i="12"/>
  <c r="K33" i="12"/>
  <c r="M31" i="12"/>
  <c r="M32" i="12"/>
  <c r="L33" i="12"/>
  <c r="AO56" i="12"/>
  <c r="AO52" i="12"/>
  <c r="AO48" i="12"/>
  <c r="AO44" i="12"/>
  <c r="AO54" i="12"/>
  <c r="AO50" i="12"/>
  <c r="AO46" i="12"/>
  <c r="AO47" i="12"/>
  <c r="AO51" i="12"/>
  <c r="AO55" i="12"/>
  <c r="AO58" i="12"/>
  <c r="AZ63" i="12"/>
  <c r="AZ65" i="12"/>
  <c r="Y63" i="12"/>
  <c r="X65" i="12"/>
  <c r="Y122" i="12"/>
  <c r="K162" i="12"/>
  <c r="X166" i="12"/>
  <c r="AZ164" i="12"/>
  <c r="AZ166" i="12"/>
  <c r="Y164" i="12"/>
  <c r="Y166" i="12"/>
  <c r="AI166" i="12"/>
  <c r="AI165" i="12"/>
  <c r="AI164" i="12"/>
  <c r="R175" i="12"/>
  <c r="AT179" i="12"/>
  <c r="AT187" i="12"/>
  <c r="W187" i="12"/>
  <c r="BA197" i="12"/>
  <c r="AO203" i="12"/>
  <c r="AO201" i="12"/>
  <c r="AO200" i="12"/>
  <c r="AO217" i="12"/>
  <c r="AO215" i="12"/>
  <c r="AU220" i="12"/>
  <c r="AU221" i="12"/>
  <c r="BA228" i="12"/>
  <c r="BA226" i="12"/>
  <c r="Y241" i="12"/>
  <c r="AT241" i="12"/>
  <c r="AT244" i="12"/>
  <c r="AT13" i="12"/>
  <c r="AT15" i="12"/>
  <c r="X15" i="12"/>
  <c r="S97" i="12"/>
  <c r="AO18" i="12"/>
  <c r="AO20" i="12"/>
  <c r="AT24" i="12"/>
  <c r="AT26" i="12"/>
  <c r="X26" i="12"/>
  <c r="AN31" i="12"/>
  <c r="AN33" i="12"/>
  <c r="AT44" i="12"/>
  <c r="AT58" i="12"/>
  <c r="AZ45" i="12"/>
  <c r="AZ49" i="12"/>
  <c r="AZ53" i="12"/>
  <c r="AZ57" i="12"/>
  <c r="AZ58" i="12"/>
  <c r="Y45" i="12"/>
  <c r="Y49" i="12"/>
  <c r="Y53" i="12"/>
  <c r="Y57" i="12"/>
  <c r="X58" i="12"/>
  <c r="AT68" i="12"/>
  <c r="N74" i="12"/>
  <c r="R74" i="12"/>
  <c r="Z96" i="12"/>
  <c r="Z95" i="12"/>
  <c r="Z93" i="12"/>
  <c r="Z94" i="12"/>
  <c r="Z92" i="12"/>
  <c r="Y121" i="12"/>
  <c r="X147" i="12"/>
  <c r="AZ139" i="12"/>
  <c r="AZ147" i="12"/>
  <c r="Y145" i="12"/>
  <c r="AT145" i="12"/>
  <c r="V152" i="12"/>
  <c r="N153" i="12"/>
  <c r="AO166" i="12"/>
  <c r="AO165" i="12"/>
  <c r="AO164" i="12"/>
  <c r="AZ186" i="12"/>
  <c r="Y186" i="12"/>
  <c r="BA195" i="12"/>
  <c r="W210" i="12"/>
  <c r="AI217" i="12"/>
  <c r="AI215" i="12"/>
  <c r="AI214" i="12"/>
  <c r="AH236" i="12"/>
  <c r="AO241" i="12"/>
  <c r="AO244" i="12"/>
  <c r="AO243" i="12"/>
  <c r="AO239" i="12"/>
  <c r="AO242" i="12"/>
  <c r="AO323" i="12"/>
  <c r="AO322" i="12"/>
  <c r="AO316" i="12"/>
  <c r="AO321" i="12"/>
  <c r="AI333" i="12"/>
  <c r="AI332" i="12"/>
  <c r="AI326" i="12"/>
  <c r="AI331" i="12"/>
  <c r="AI327" i="12"/>
  <c r="AZ331" i="12"/>
  <c r="Y331" i="12"/>
  <c r="AI343" i="12"/>
  <c r="AI342" i="12"/>
  <c r="AI336" i="12"/>
  <c r="X354" i="12"/>
  <c r="AO364" i="12"/>
  <c r="AO368" i="12"/>
  <c r="AO363" i="12"/>
  <c r="W449" i="12"/>
  <c r="N454" i="12"/>
  <c r="N455" i="12"/>
  <c r="S449" i="12"/>
  <c r="X449" i="12"/>
  <c r="X454" i="12"/>
  <c r="R454" i="12"/>
  <c r="R455" i="12"/>
  <c r="Z545" i="12"/>
  <c r="Z543" i="12"/>
  <c r="AO618" i="12"/>
  <c r="AO614" i="12"/>
  <c r="AO616" i="12"/>
  <c r="AO612" i="12"/>
  <c r="AO619" i="12"/>
  <c r="AO615" i="12"/>
  <c r="AO611" i="12"/>
  <c r="AO620" i="12"/>
  <c r="AO617" i="12"/>
  <c r="Y14" i="12"/>
  <c r="AT18" i="12"/>
  <c r="AT20" i="12"/>
  <c r="Y25" i="12"/>
  <c r="Y38" i="12"/>
  <c r="Y47" i="12"/>
  <c r="Y51" i="12"/>
  <c r="Y55" i="12"/>
  <c r="Y61" i="12"/>
  <c r="W65" i="12"/>
  <c r="Q74" i="12"/>
  <c r="U74" i="12"/>
  <c r="Y140" i="12"/>
  <c r="Y141" i="12"/>
  <c r="Y147" i="12"/>
  <c r="W152" i="12"/>
  <c r="Y151" i="12"/>
  <c r="W161" i="12"/>
  <c r="AH161" i="12"/>
  <c r="L162" i="12"/>
  <c r="K167" i="12"/>
  <c r="P187" i="12"/>
  <c r="X187" i="12"/>
  <c r="AZ178" i="12"/>
  <c r="AZ180" i="12"/>
  <c r="Y180" i="12"/>
  <c r="R188" i="12"/>
  <c r="L198" i="12"/>
  <c r="AI197" i="12"/>
  <c r="K204" i="12"/>
  <c r="U211" i="12"/>
  <c r="AO221" i="12"/>
  <c r="Y226" i="12"/>
  <c r="L229" i="12"/>
  <c r="Y231" i="12"/>
  <c r="M244" i="12"/>
  <c r="AZ242" i="12"/>
  <c r="Y242" i="12"/>
  <c r="AZ323" i="12"/>
  <c r="AO317" i="12"/>
  <c r="K324" i="12"/>
  <c r="AI323" i="12"/>
  <c r="AO333" i="12"/>
  <c r="AO332" i="12"/>
  <c r="AO326" i="12"/>
  <c r="AO327" i="12"/>
  <c r="AO331" i="12"/>
  <c r="AN343" i="12"/>
  <c r="AI341" i="12"/>
  <c r="K344" i="12"/>
  <c r="AZ353" i="12"/>
  <c r="Y353" i="12"/>
  <c r="J355" i="12"/>
  <c r="AO370" i="12"/>
  <c r="V379" i="12"/>
  <c r="U380" i="12"/>
  <c r="P400" i="12"/>
  <c r="X395" i="12"/>
  <c r="X400" i="12"/>
  <c r="AZ382" i="12"/>
  <c r="Y382" i="12"/>
  <c r="AZ390" i="12"/>
  <c r="Y390" i="12"/>
  <c r="P421" i="12"/>
  <c r="AZ412" i="12"/>
  <c r="P490" i="12"/>
  <c r="X490" i="12"/>
  <c r="AI223" i="12"/>
  <c r="AO228" i="12"/>
  <c r="AO226" i="12"/>
  <c r="AO227" i="12"/>
  <c r="M236" i="12"/>
  <c r="AZ234" i="12"/>
  <c r="AZ236" i="12"/>
  <c r="Y234" i="12"/>
  <c r="K245" i="12"/>
  <c r="AI244" i="12"/>
  <c r="AI243" i="12"/>
  <c r="AI239" i="12"/>
  <c r="AI241" i="12"/>
  <c r="Y322" i="12"/>
  <c r="X333" i="12"/>
  <c r="AU333" i="12"/>
  <c r="AU332" i="12"/>
  <c r="AU326" i="12"/>
  <c r="AH354" i="12"/>
  <c r="M354" i="12"/>
  <c r="AZ349" i="12"/>
  <c r="AZ354" i="12"/>
  <c r="Y349" i="12"/>
  <c r="W360" i="12"/>
  <c r="AT358" i="12"/>
  <c r="AT360" i="12"/>
  <c r="K361" i="12"/>
  <c r="X370" i="12"/>
  <c r="AO369" i="12"/>
  <c r="AZ414" i="12"/>
  <c r="Y414" i="12"/>
  <c r="AZ445" i="12"/>
  <c r="Y445" i="12"/>
  <c r="P449" i="12"/>
  <c r="P454" i="12"/>
  <c r="Y475" i="12"/>
  <c r="AZ611" i="12"/>
  <c r="Y611" i="12"/>
  <c r="X620" i="12"/>
  <c r="AO613" i="12"/>
  <c r="U573" i="12"/>
  <c r="U408" i="12"/>
  <c r="Y71" i="12"/>
  <c r="T153" i="12"/>
  <c r="AZ160" i="12"/>
  <c r="AZ161" i="12"/>
  <c r="Y160" i="12"/>
  <c r="J162" i="12"/>
  <c r="X161" i="12"/>
  <c r="AZ172" i="12"/>
  <c r="AZ174" i="12"/>
  <c r="Y172" i="12"/>
  <c r="N489" i="12"/>
  <c r="N175" i="12"/>
  <c r="X174" i="12"/>
  <c r="O175" i="12"/>
  <c r="X177" i="12"/>
  <c r="V187" i="12"/>
  <c r="O188" i="12"/>
  <c r="J198" i="12"/>
  <c r="AZ207" i="12"/>
  <c r="AZ210" i="12"/>
  <c r="Y207" i="12"/>
  <c r="Q211" i="12"/>
  <c r="AI221" i="12"/>
  <c r="AO223" i="12"/>
  <c r="K237" i="12"/>
  <c r="Y317" i="12"/>
  <c r="Y323" i="12"/>
  <c r="AU331" i="12"/>
  <c r="W343" i="12"/>
  <c r="L355" i="12"/>
  <c r="AI368" i="12"/>
  <c r="AI364" i="12"/>
  <c r="AI370" i="12"/>
  <c r="AI363" i="12"/>
  <c r="AZ376" i="12"/>
  <c r="AZ379" i="12"/>
  <c r="Y376" i="12"/>
  <c r="X379" i="12"/>
  <c r="AZ386" i="12"/>
  <c r="Y386" i="12"/>
  <c r="Q400" i="12"/>
  <c r="W395" i="12"/>
  <c r="Y405" i="12"/>
  <c r="W407" i="12"/>
  <c r="V421" i="12"/>
  <c r="N421" i="12"/>
  <c r="N422" i="12"/>
  <c r="W416" i="12"/>
  <c r="R421" i="12"/>
  <c r="R422" i="12"/>
  <c r="X416" i="12"/>
  <c r="X489" i="12"/>
  <c r="Y490" i="12"/>
  <c r="U509" i="12"/>
  <c r="W515" i="12"/>
  <c r="Y511" i="12"/>
  <c r="AT511" i="12"/>
  <c r="U516" i="12"/>
  <c r="AT150" i="12"/>
  <c r="Y158" i="12"/>
  <c r="Y161" i="12"/>
  <c r="Y170" i="12"/>
  <c r="Y178" i="12"/>
  <c r="Y182" i="12"/>
  <c r="Y209" i="12"/>
  <c r="Y232" i="12"/>
  <c r="Y240" i="12"/>
  <c r="Y244" i="12"/>
  <c r="K334" i="12"/>
  <c r="X343" i="12"/>
  <c r="Y346" i="12"/>
  <c r="AO351" i="12"/>
  <c r="J361" i="12"/>
  <c r="W370" i="12"/>
  <c r="R380" i="12"/>
  <c r="S400" i="12"/>
  <c r="AZ393" i="12"/>
  <c r="O400" i="12"/>
  <c r="W443" i="12"/>
  <c r="BA429" i="12"/>
  <c r="BA425" i="12"/>
  <c r="BA430" i="12"/>
  <c r="BA424" i="12"/>
  <c r="Y435" i="12"/>
  <c r="Y439" i="12"/>
  <c r="W469" i="12"/>
  <c r="AZ473" i="12"/>
  <c r="Z485" i="12"/>
  <c r="AE500" i="12"/>
  <c r="AH494" i="12"/>
  <c r="P495" i="12"/>
  <c r="X495" i="12"/>
  <c r="X528" i="12"/>
  <c r="X533" i="12"/>
  <c r="R533" i="12"/>
  <c r="Y577" i="12"/>
  <c r="Q491" i="12"/>
  <c r="S489" i="12"/>
  <c r="S491" i="12"/>
  <c r="Q175" i="12"/>
  <c r="X323" i="12"/>
  <c r="AZ341" i="12"/>
  <c r="Y341" i="12"/>
  <c r="AO350" i="12"/>
  <c r="AZ357" i="12"/>
  <c r="AZ360" i="12"/>
  <c r="Y357" i="12"/>
  <c r="AN360" i="12"/>
  <c r="L361" i="12"/>
  <c r="AI360" i="12"/>
  <c r="O380" i="12"/>
  <c r="P407" i="12"/>
  <c r="X407" i="12"/>
  <c r="Q408" i="12"/>
  <c r="P497" i="12"/>
  <c r="X497" i="12"/>
  <c r="Y497" i="12"/>
  <c r="O509" i="12"/>
  <c r="T509" i="12"/>
  <c r="V528" i="12"/>
  <c r="V533" i="12"/>
  <c r="U533" i="12"/>
  <c r="Y578" i="12"/>
  <c r="Y327" i="12"/>
  <c r="Y333" i="12"/>
  <c r="Y337" i="12"/>
  <c r="Y343" i="12"/>
  <c r="Y347" i="12"/>
  <c r="Y351" i="12"/>
  <c r="Y359" i="12"/>
  <c r="Y363" i="12"/>
  <c r="Y369" i="12"/>
  <c r="Y370" i="12"/>
  <c r="Y378" i="12"/>
  <c r="Y384" i="12"/>
  <c r="Y388" i="12"/>
  <c r="Y392" i="12"/>
  <c r="AZ403" i="12"/>
  <c r="T408" i="12"/>
  <c r="AT430" i="12"/>
  <c r="AZ434" i="12"/>
  <c r="Y434" i="12"/>
  <c r="AZ438" i="12"/>
  <c r="Y438" i="12"/>
  <c r="Q455" i="12"/>
  <c r="V449" i="12"/>
  <c r="V454" i="12"/>
  <c r="W454" i="12"/>
  <c r="Q461" i="12"/>
  <c r="X469" i="12"/>
  <c r="AZ464" i="12"/>
  <c r="AZ468" i="12"/>
  <c r="Y468" i="12"/>
  <c r="Y476" i="12"/>
  <c r="Y480" i="12"/>
  <c r="AT476" i="12"/>
  <c r="T481" i="12"/>
  <c r="P499" i="12"/>
  <c r="P500" i="12"/>
  <c r="W494" i="12"/>
  <c r="Y494" i="12"/>
  <c r="AK500" i="12"/>
  <c r="AN500" i="12"/>
  <c r="AN494" i="12"/>
  <c r="AZ506" i="12"/>
  <c r="AZ508" i="12"/>
  <c r="X508" i="12"/>
  <c r="Y519" i="12"/>
  <c r="AT519" i="12"/>
  <c r="Y520" i="12"/>
  <c r="AT520" i="12"/>
  <c r="AZ572" i="12"/>
  <c r="V395" i="12"/>
  <c r="V400" i="12"/>
  <c r="O422" i="12"/>
  <c r="S454" i="12"/>
  <c r="T461" i="12"/>
  <c r="P480" i="12"/>
  <c r="AZ472" i="12"/>
  <c r="X480" i="12"/>
  <c r="T500" i="12"/>
  <c r="V500" i="12"/>
  <c r="BA536" i="12"/>
  <c r="R539" i="12"/>
  <c r="Y412" i="12"/>
  <c r="Y424" i="12"/>
  <c r="W430" i="12"/>
  <c r="Y436" i="12"/>
  <c r="Y440" i="12"/>
  <c r="Y447" i="12"/>
  <c r="Y458" i="12"/>
  <c r="Y460" i="12"/>
  <c r="Y464" i="12"/>
  <c r="S480" i="12"/>
  <c r="N481" i="12"/>
  <c r="Y493" i="12"/>
  <c r="AZ498" i="12"/>
  <c r="AF500" i="12"/>
  <c r="AY499" i="12"/>
  <c r="Y505" i="12"/>
  <c r="W508" i="12"/>
  <c r="V515" i="12"/>
  <c r="AT536" i="12"/>
  <c r="AT537" i="12"/>
  <c r="Q539" i="12"/>
  <c r="U539" i="12"/>
  <c r="AT571" i="12"/>
  <c r="AT572" i="12"/>
  <c r="Y571" i="12"/>
  <c r="X580" i="12"/>
  <c r="AZ576" i="12"/>
  <c r="Y576" i="12"/>
  <c r="Y580" i="12"/>
  <c r="J581" i="12"/>
  <c r="AT618" i="12"/>
  <c r="AZ619" i="12"/>
  <c r="Y619" i="12"/>
  <c r="W480" i="12"/>
  <c r="AT472" i="12"/>
  <c r="U481" i="12"/>
  <c r="V495" i="12"/>
  <c r="W495" i="12"/>
  <c r="Y496" i="12"/>
  <c r="AZ499" i="12"/>
  <c r="V508" i="12"/>
  <c r="AZ512" i="12"/>
  <c r="X515" i="12"/>
  <c r="T516" i="12"/>
  <c r="P528" i="12"/>
  <c r="P533" i="12"/>
  <c r="N533" i="12"/>
  <c r="W528" i="12"/>
  <c r="W538" i="12"/>
  <c r="L581" i="12"/>
  <c r="AO588" i="12"/>
  <c r="AE499" i="12"/>
  <c r="AH499" i="12"/>
  <c r="AH493" i="12"/>
  <c r="AH497" i="12"/>
  <c r="T499" i="12"/>
  <c r="V499" i="12"/>
  <c r="AZ500" i="12"/>
  <c r="Y506" i="12"/>
  <c r="R509" i="12"/>
  <c r="Y512" i="12"/>
  <c r="Q516" i="12"/>
  <c r="S528" i="12"/>
  <c r="S533" i="12"/>
  <c r="O539" i="12"/>
  <c r="Q573" i="12"/>
  <c r="AN580" i="12"/>
  <c r="M589" i="12"/>
  <c r="M597" i="12"/>
  <c r="S643" i="12"/>
  <c r="S644" i="12"/>
  <c r="Y641" i="12"/>
  <c r="Y643" i="12"/>
  <c r="Y663" i="12"/>
  <c r="O573" i="12"/>
  <c r="K581" i="12"/>
  <c r="W620" i="12"/>
  <c r="Q509" i="12"/>
  <c r="O516" i="12"/>
  <c r="AH580" i="12"/>
  <c r="Y586" i="12"/>
  <c r="Y588" i="12"/>
  <c r="Y589" i="12"/>
  <c r="AT587" i="12"/>
  <c r="AZ588" i="12"/>
  <c r="AZ589" i="12"/>
  <c r="AH597" i="12"/>
  <c r="Y628" i="12"/>
  <c r="Y570" i="12"/>
  <c r="W572" i="12"/>
  <c r="W580" i="12"/>
  <c r="X589" i="12"/>
  <c r="Y595" i="12"/>
  <c r="AT595" i="12"/>
  <c r="AI601" i="12"/>
  <c r="AI605" i="12"/>
  <c r="AI606" i="12"/>
  <c r="AI607" i="12"/>
  <c r="AI600" i="12"/>
  <c r="Y606" i="12"/>
  <c r="X607" i="12"/>
  <c r="AT614" i="12"/>
  <c r="AZ615" i="12"/>
  <c r="Y615" i="12"/>
  <c r="S650" i="12"/>
  <c r="S651" i="12"/>
  <c r="Y648" i="12"/>
  <c r="Y650" i="12"/>
  <c r="W589" i="12"/>
  <c r="AH589" i="12"/>
  <c r="AT583" i="12"/>
  <c r="AT589" i="12"/>
  <c r="AZ592" i="12"/>
  <c r="Y592" i="12"/>
  <c r="AN597" i="12"/>
  <c r="AZ596" i="12"/>
  <c r="Y596" i="12"/>
  <c r="X597" i="12"/>
  <c r="W607" i="12"/>
  <c r="Y636" i="12"/>
  <c r="Y600" i="12"/>
  <c r="AN607" i="12"/>
  <c r="AH620" i="12"/>
  <c r="AT592" i="12"/>
  <c r="Y594" i="12"/>
  <c r="AT611" i="12"/>
  <c r="AT620" i="12"/>
  <c r="Y613" i="12"/>
  <c r="Y617" i="12"/>
  <c r="BA26" i="11"/>
  <c r="BA25" i="11"/>
  <c r="BA23" i="11"/>
  <c r="BA24" i="11"/>
  <c r="AO15" i="11"/>
  <c r="AO14" i="11"/>
  <c r="AO13" i="11"/>
  <c r="AI58" i="11"/>
  <c r="AI57" i="11"/>
  <c r="AI53" i="11"/>
  <c r="AI49" i="11"/>
  <c r="AI45" i="11"/>
  <c r="AI55" i="11"/>
  <c r="AI51" i="11"/>
  <c r="AI47" i="11"/>
  <c r="AI56" i="11"/>
  <c r="AI52" i="11"/>
  <c r="AI48" i="11"/>
  <c r="AI44" i="11"/>
  <c r="AI54" i="11"/>
  <c r="AI50" i="11"/>
  <c r="AI46" i="11"/>
  <c r="AU69" i="11"/>
  <c r="AU73" i="11"/>
  <c r="AU71" i="11"/>
  <c r="AU72" i="11"/>
  <c r="AU70" i="11"/>
  <c r="AU68" i="11"/>
  <c r="AI357" i="11"/>
  <c r="AI360" i="11"/>
  <c r="AI359" i="11"/>
  <c r="AI358" i="11"/>
  <c r="AT15" i="11"/>
  <c r="AO26" i="11"/>
  <c r="AO25" i="11"/>
  <c r="AO23" i="11"/>
  <c r="AO24" i="11"/>
  <c r="AU217" i="11"/>
  <c r="AU215" i="11"/>
  <c r="AU214" i="11"/>
  <c r="AO351" i="11"/>
  <c r="AO347" i="11"/>
  <c r="AO354" i="11"/>
  <c r="AO352" i="11"/>
  <c r="AO348" i="11"/>
  <c r="AO353" i="11"/>
  <c r="AO349" i="11"/>
  <c r="AO346" i="11"/>
  <c r="AO350" i="11"/>
  <c r="AI20" i="11"/>
  <c r="AI18" i="11"/>
  <c r="AI15" i="11"/>
  <c r="AI14" i="11"/>
  <c r="V20" i="11"/>
  <c r="AZ19" i="11"/>
  <c r="AZ20" i="11"/>
  <c r="Y19" i="11"/>
  <c r="Y20" i="11"/>
  <c r="Y25" i="11"/>
  <c r="W26" i="11"/>
  <c r="X58" i="11"/>
  <c r="AZ44" i="11"/>
  <c r="Y44" i="11"/>
  <c r="AZ48" i="11"/>
  <c r="Y48" i="11"/>
  <c r="AZ52" i="11"/>
  <c r="Y52" i="11"/>
  <c r="AZ56" i="11"/>
  <c r="Y56" i="11"/>
  <c r="Y61" i="11"/>
  <c r="Y63" i="11"/>
  <c r="W73" i="11"/>
  <c r="Y88" i="11"/>
  <c r="S89" i="11"/>
  <c r="Y137" i="11"/>
  <c r="AZ138" i="11"/>
  <c r="Y138" i="11"/>
  <c r="AO140" i="11"/>
  <c r="Y145" i="11"/>
  <c r="AZ146" i="11"/>
  <c r="Y146" i="11"/>
  <c r="X147" i="11"/>
  <c r="AZ151" i="11"/>
  <c r="AZ152" i="11"/>
  <c r="Y151" i="11"/>
  <c r="AO157" i="11"/>
  <c r="AO159" i="11"/>
  <c r="AO155" i="11"/>
  <c r="AO156" i="11"/>
  <c r="AO158" i="11"/>
  <c r="AO160" i="11"/>
  <c r="W174" i="11"/>
  <c r="AT169" i="11"/>
  <c r="AT174" i="11"/>
  <c r="Y171" i="11"/>
  <c r="Y183" i="11"/>
  <c r="AO197" i="11"/>
  <c r="Q211" i="11"/>
  <c r="AI217" i="11"/>
  <c r="AI215" i="11"/>
  <c r="AI228" i="11"/>
  <c r="AI226" i="11"/>
  <c r="AI227" i="11"/>
  <c r="Z227" i="11"/>
  <c r="Z228" i="11"/>
  <c r="Z226" i="11"/>
  <c r="Y239" i="11"/>
  <c r="Y241" i="11"/>
  <c r="Y243" i="11"/>
  <c r="AI241" i="11"/>
  <c r="AI244" i="11"/>
  <c r="AI243" i="11"/>
  <c r="AI239" i="11"/>
  <c r="AO337" i="11"/>
  <c r="AO341" i="11"/>
  <c r="AO342" i="11"/>
  <c r="Y388" i="11"/>
  <c r="L229" i="11"/>
  <c r="O573" i="11"/>
  <c r="O539" i="11"/>
  <c r="O509" i="11"/>
  <c r="O516" i="11"/>
  <c r="O380" i="11"/>
  <c r="O175" i="11"/>
  <c r="AZ30" i="11"/>
  <c r="AZ41" i="11"/>
  <c r="Q42" i="11"/>
  <c r="AO44" i="11"/>
  <c r="Y47" i="11"/>
  <c r="AO48" i="11"/>
  <c r="AO52" i="11"/>
  <c r="AT61" i="11"/>
  <c r="AT65" i="11"/>
  <c r="U66" i="11"/>
  <c r="X73" i="11"/>
  <c r="AZ68" i="11"/>
  <c r="AZ70" i="11"/>
  <c r="Y70" i="11"/>
  <c r="Y96" i="11"/>
  <c r="S97" i="11"/>
  <c r="P121" i="11"/>
  <c r="AH147" i="11"/>
  <c r="AO138" i="11"/>
  <c r="Y150" i="11"/>
  <c r="Y157" i="11"/>
  <c r="Y159" i="11"/>
  <c r="T489" i="11"/>
  <c r="W489" i="11"/>
  <c r="T175" i="11"/>
  <c r="AO195" i="11"/>
  <c r="Y208" i="11"/>
  <c r="AI214" i="11"/>
  <c r="AU221" i="11"/>
  <c r="AO227" i="11"/>
  <c r="AO228" i="11"/>
  <c r="AO226" i="11"/>
  <c r="X236" i="11"/>
  <c r="AT236" i="11"/>
  <c r="AZ232" i="11"/>
  <c r="AZ236" i="11"/>
  <c r="Y232" i="11"/>
  <c r="AI240" i="11"/>
  <c r="AI242" i="11"/>
  <c r="L324" i="11"/>
  <c r="L334" i="11"/>
  <c r="AO336" i="11"/>
  <c r="L355" i="11"/>
  <c r="Y363" i="11"/>
  <c r="S400" i="11"/>
  <c r="Y390" i="11"/>
  <c r="X469" i="11"/>
  <c r="AZ463" i="11"/>
  <c r="BA498" i="11"/>
  <c r="BA497" i="11"/>
  <c r="BA496" i="11"/>
  <c r="BA495" i="11"/>
  <c r="BA494" i="11"/>
  <c r="BA493" i="11"/>
  <c r="P97" i="11"/>
  <c r="P89" i="11"/>
  <c r="P82" i="11"/>
  <c r="U573" i="11"/>
  <c r="U539" i="11"/>
  <c r="U509" i="11"/>
  <c r="U175" i="11"/>
  <c r="U153" i="11"/>
  <c r="AO20" i="11"/>
  <c r="AO18" i="11"/>
  <c r="AI23" i="11"/>
  <c r="AI26" i="11"/>
  <c r="AI25" i="11"/>
  <c r="X41" i="11"/>
  <c r="AO55" i="11"/>
  <c r="AO51" i="11"/>
  <c r="AO47" i="11"/>
  <c r="AO58" i="11"/>
  <c r="AO57" i="11"/>
  <c r="AO53" i="11"/>
  <c r="AO49" i="11"/>
  <c r="AO45" i="11"/>
  <c r="AO145" i="11"/>
  <c r="AO141" i="11"/>
  <c r="AO137" i="11"/>
  <c r="AO143" i="11"/>
  <c r="AO139" i="11"/>
  <c r="AZ142" i="11"/>
  <c r="Y142" i="11"/>
  <c r="AO144" i="11"/>
  <c r="Y155" i="11"/>
  <c r="X161" i="11"/>
  <c r="AZ155" i="11"/>
  <c r="AU166" i="11"/>
  <c r="AU165" i="11"/>
  <c r="AU164" i="11"/>
  <c r="AI166" i="11"/>
  <c r="AI165" i="11"/>
  <c r="AI164" i="11"/>
  <c r="AO166" i="11"/>
  <c r="AO165" i="11"/>
  <c r="AO164" i="11"/>
  <c r="W187" i="11"/>
  <c r="AT179" i="11"/>
  <c r="U188" i="11"/>
  <c r="AO217" i="11"/>
  <c r="AO215" i="11"/>
  <c r="BA228" i="11"/>
  <c r="BA226" i="11"/>
  <c r="BA227" i="11"/>
  <c r="AO236" i="11"/>
  <c r="AO235" i="11"/>
  <c r="AO231" i="11"/>
  <c r="AO233" i="11"/>
  <c r="AO232" i="11"/>
  <c r="AO234" i="11"/>
  <c r="AO244" i="11"/>
  <c r="AO243" i="11"/>
  <c r="AO239" i="11"/>
  <c r="AO241" i="11"/>
  <c r="BA351" i="11"/>
  <c r="BA347" i="11"/>
  <c r="BA353" i="11"/>
  <c r="BA350" i="11"/>
  <c r="BA349" i="11"/>
  <c r="BA346" i="11"/>
  <c r="Y358" i="11"/>
  <c r="Y359" i="11"/>
  <c r="Y360" i="11"/>
  <c r="X360" i="11"/>
  <c r="AO360" i="11"/>
  <c r="AO359" i="11"/>
  <c r="AO358" i="11"/>
  <c r="BA370" i="11"/>
  <c r="BA369" i="11"/>
  <c r="BA363" i="11"/>
  <c r="BA364" i="11"/>
  <c r="AI368" i="11"/>
  <c r="AI370" i="11"/>
  <c r="AI364" i="11"/>
  <c r="AZ377" i="11"/>
  <c r="AZ379" i="11"/>
  <c r="X379" i="11"/>
  <c r="Q408" i="11"/>
  <c r="AU469" i="11"/>
  <c r="AU464" i="11"/>
  <c r="X15" i="11"/>
  <c r="AZ13" i="11"/>
  <c r="AZ15" i="11"/>
  <c r="J581" i="11"/>
  <c r="AI19" i="11"/>
  <c r="AO46" i="11"/>
  <c r="AO50" i="11"/>
  <c r="AO54" i="11"/>
  <c r="X65" i="11"/>
  <c r="AZ62" i="11"/>
  <c r="AZ64" i="11"/>
  <c r="Y64" i="11"/>
  <c r="Q66" i="11"/>
  <c r="U74" i="11"/>
  <c r="Y81" i="11"/>
  <c r="W147" i="11"/>
  <c r="AO142" i="11"/>
  <c r="AO147" i="11"/>
  <c r="L148" i="11"/>
  <c r="X152" i="11"/>
  <c r="AH161" i="11"/>
  <c r="AO161" i="11"/>
  <c r="X166" i="11"/>
  <c r="AZ164" i="11"/>
  <c r="AZ166" i="11"/>
  <c r="AU203" i="11"/>
  <c r="AU201" i="11"/>
  <c r="AU200" i="11"/>
  <c r="AI203" i="11"/>
  <c r="AI201" i="11"/>
  <c r="AI200" i="11"/>
  <c r="J204" i="11"/>
  <c r="AO203" i="11"/>
  <c r="AO201" i="11"/>
  <c r="AO200" i="11"/>
  <c r="O211" i="11"/>
  <c r="AO214" i="11"/>
  <c r="AI220" i="11"/>
  <c r="AI221" i="11"/>
  <c r="M236" i="11"/>
  <c r="AH236" i="11"/>
  <c r="AO240" i="11"/>
  <c r="AO242" i="11"/>
  <c r="W244" i="11"/>
  <c r="J324" i="11"/>
  <c r="W333" i="11"/>
  <c r="J334" i="11"/>
  <c r="BA348" i="11"/>
  <c r="BA352" i="11"/>
  <c r="AI363" i="11"/>
  <c r="BA368" i="11"/>
  <c r="U380" i="11"/>
  <c r="AT382" i="11"/>
  <c r="Y478" i="11"/>
  <c r="AT478" i="11"/>
  <c r="N491" i="11"/>
  <c r="P489" i="11"/>
  <c r="P491" i="11"/>
  <c r="Y525" i="11"/>
  <c r="AZ525" i="11"/>
  <c r="Y588" i="11"/>
  <c r="AT588" i="11"/>
  <c r="AI616" i="11"/>
  <c r="AI612" i="11"/>
  <c r="AI620" i="11"/>
  <c r="AI619" i="11"/>
  <c r="AI615" i="11"/>
  <c r="AI611" i="11"/>
  <c r="AI614" i="11"/>
  <c r="AI613" i="11"/>
  <c r="AI617" i="11"/>
  <c r="Y13" i="11"/>
  <c r="Y15" i="11"/>
  <c r="R539" i="11"/>
  <c r="R509" i="11"/>
  <c r="Y24" i="11"/>
  <c r="Y26" i="11"/>
  <c r="Y39" i="11"/>
  <c r="Y41" i="11"/>
  <c r="Y46" i="11"/>
  <c r="Y50" i="11"/>
  <c r="Y54" i="11"/>
  <c r="Y62" i="11"/>
  <c r="Y68" i="11"/>
  <c r="Y72" i="11"/>
  <c r="AT138" i="11"/>
  <c r="Y140" i="11"/>
  <c r="Y144" i="11"/>
  <c r="W161" i="11"/>
  <c r="J162" i="11"/>
  <c r="Y165" i="11"/>
  <c r="AZ170" i="11"/>
  <c r="AZ174" i="11"/>
  <c r="Y170" i="11"/>
  <c r="N175" i="11"/>
  <c r="X174" i="11"/>
  <c r="X177" i="11"/>
  <c r="P177" i="11"/>
  <c r="V177" i="11"/>
  <c r="V187" i="11"/>
  <c r="O188" i="11"/>
  <c r="T188" i="11"/>
  <c r="J198" i="11"/>
  <c r="X210" i="11"/>
  <c r="AZ207" i="11"/>
  <c r="AZ209" i="11"/>
  <c r="Y209" i="11"/>
  <c r="AO223" i="11"/>
  <c r="Y233" i="11"/>
  <c r="K237" i="11"/>
  <c r="X244" i="11"/>
  <c r="AZ240" i="11"/>
  <c r="AZ244" i="11"/>
  <c r="Y240" i="11"/>
  <c r="AH323" i="11"/>
  <c r="AZ333" i="11"/>
  <c r="AN333" i="11"/>
  <c r="M354" i="11"/>
  <c r="AH354" i="11"/>
  <c r="J355" i="11"/>
  <c r="AZ359" i="11"/>
  <c r="AZ360" i="11"/>
  <c r="AN370" i="11"/>
  <c r="Y364" i="11"/>
  <c r="V379" i="11"/>
  <c r="V395" i="11"/>
  <c r="V400" i="11"/>
  <c r="S407" i="11"/>
  <c r="O408" i="11"/>
  <c r="Y412" i="11"/>
  <c r="O421" i="11"/>
  <c r="O422" i="11"/>
  <c r="X416" i="11"/>
  <c r="X421" i="11"/>
  <c r="W416" i="11"/>
  <c r="AZ425" i="11"/>
  <c r="Y425" i="11"/>
  <c r="AZ433" i="11"/>
  <c r="Y433" i="11"/>
  <c r="AZ437" i="11"/>
  <c r="Y437" i="11"/>
  <c r="AT449" i="11"/>
  <c r="R454" i="11"/>
  <c r="R455" i="11"/>
  <c r="X449" i="11"/>
  <c r="N454" i="11"/>
  <c r="N455" i="11"/>
  <c r="U461" i="11"/>
  <c r="W480" i="11"/>
  <c r="AT473" i="11"/>
  <c r="AZ479" i="11"/>
  <c r="AF499" i="11"/>
  <c r="AH499" i="11"/>
  <c r="AX499" i="11"/>
  <c r="Y507" i="11"/>
  <c r="V515" i="11"/>
  <c r="N516" i="11"/>
  <c r="P528" i="11"/>
  <c r="W528" i="11"/>
  <c r="S528" i="11"/>
  <c r="Q539" i="11"/>
  <c r="Y458" i="11"/>
  <c r="X460" i="11"/>
  <c r="Y521" i="11"/>
  <c r="AZ521" i="11"/>
  <c r="Y587" i="11"/>
  <c r="W589" i="11"/>
  <c r="AT587" i="11"/>
  <c r="AI618" i="11"/>
  <c r="T516" i="11"/>
  <c r="T573" i="11"/>
  <c r="Q153" i="11"/>
  <c r="AT161" i="11"/>
  <c r="Y156" i="11"/>
  <c r="AZ158" i="11"/>
  <c r="Y158" i="11"/>
  <c r="L162" i="11"/>
  <c r="K167" i="11"/>
  <c r="P187" i="11"/>
  <c r="AZ178" i="11"/>
  <c r="Y178" i="11"/>
  <c r="X187" i="11"/>
  <c r="AZ182" i="11"/>
  <c r="Y182" i="11"/>
  <c r="R188" i="11"/>
  <c r="N188" i="11"/>
  <c r="L198" i="11"/>
  <c r="AI197" i="11"/>
  <c r="K204" i="11"/>
  <c r="U211" i="11"/>
  <c r="AZ323" i="11"/>
  <c r="AN323" i="11"/>
  <c r="AH333" i="11"/>
  <c r="X343" i="11"/>
  <c r="AZ336" i="11"/>
  <c r="X354" i="11"/>
  <c r="Y346" i="11"/>
  <c r="W360" i="11"/>
  <c r="AT357" i="11"/>
  <c r="AT360" i="11"/>
  <c r="K361" i="11"/>
  <c r="AT403" i="11"/>
  <c r="W409" i="11"/>
  <c r="R408" i="11"/>
  <c r="AU424" i="11"/>
  <c r="AU430" i="11"/>
  <c r="V449" i="11"/>
  <c r="V454" i="11"/>
  <c r="U454" i="11"/>
  <c r="U455" i="11"/>
  <c r="W460" i="11"/>
  <c r="AT457" i="11"/>
  <c r="AZ458" i="11"/>
  <c r="AZ460" i="11"/>
  <c r="R461" i="11"/>
  <c r="AH498" i="11"/>
  <c r="T509" i="11"/>
  <c r="P515" i="11"/>
  <c r="X515" i="11"/>
  <c r="AZ512" i="11"/>
  <c r="Y512" i="11"/>
  <c r="Q516" i="11"/>
  <c r="U516" i="11"/>
  <c r="U533" i="11"/>
  <c r="V528" i="11"/>
  <c r="T539" i="11"/>
  <c r="Y160" i="11"/>
  <c r="Y164" i="11"/>
  <c r="Y166" i="11"/>
  <c r="Y172" i="11"/>
  <c r="Q491" i="11"/>
  <c r="S489" i="11"/>
  <c r="Q175" i="11"/>
  <c r="Y180" i="11"/>
  <c r="Y186" i="11"/>
  <c r="Y207" i="11"/>
  <c r="Y234" i="11"/>
  <c r="Y242" i="11"/>
  <c r="Y316" i="11"/>
  <c r="Y322" i="11"/>
  <c r="Y326" i="11"/>
  <c r="Y332" i="11"/>
  <c r="Y342" i="11"/>
  <c r="Y343" i="11"/>
  <c r="Y347" i="11"/>
  <c r="Y348" i="11"/>
  <c r="Y351" i="11"/>
  <c r="Y352" i="11"/>
  <c r="M360" i="11"/>
  <c r="M370" i="11"/>
  <c r="S379" i="11"/>
  <c r="Y376" i="11"/>
  <c r="AT377" i="11"/>
  <c r="Y377" i="11"/>
  <c r="Q380" i="11"/>
  <c r="P400" i="11"/>
  <c r="AZ383" i="11"/>
  <c r="AZ385" i="11"/>
  <c r="Y385" i="11"/>
  <c r="AZ389" i="11"/>
  <c r="Y389" i="11"/>
  <c r="AZ393" i="11"/>
  <c r="Y393" i="11"/>
  <c r="N400" i="11"/>
  <c r="W395" i="11"/>
  <c r="W279" i="6"/>
  <c r="X395" i="11"/>
  <c r="X407" i="11"/>
  <c r="AZ402" i="11"/>
  <c r="Y402" i="11"/>
  <c r="AZ406" i="11"/>
  <c r="Y406" i="11"/>
  <c r="Y424" i="11"/>
  <c r="AT441" i="11"/>
  <c r="Y446" i="11"/>
  <c r="AZ447" i="11"/>
  <c r="O470" i="11"/>
  <c r="P480" i="11"/>
  <c r="X480" i="11"/>
  <c r="Y474" i="11"/>
  <c r="AT474" i="11"/>
  <c r="Y490" i="11"/>
  <c r="V497" i="11"/>
  <c r="AT508" i="11"/>
  <c r="V533" i="11"/>
  <c r="Y524" i="11"/>
  <c r="Y571" i="11"/>
  <c r="AH580" i="11"/>
  <c r="O491" i="11"/>
  <c r="X489" i="11"/>
  <c r="X491" i="11"/>
  <c r="AT326" i="11"/>
  <c r="W343" i="11"/>
  <c r="AH343" i="11"/>
  <c r="AT336" i="11"/>
  <c r="J344" i="11"/>
  <c r="K355" i="11"/>
  <c r="AT376" i="11"/>
  <c r="T380" i="11"/>
  <c r="U408" i="11"/>
  <c r="AZ413" i="11"/>
  <c r="Y413" i="11"/>
  <c r="T422" i="11"/>
  <c r="O455" i="11"/>
  <c r="S469" i="11"/>
  <c r="R470" i="11"/>
  <c r="S499" i="11"/>
  <c r="S508" i="11"/>
  <c r="P533" i="11"/>
  <c r="AZ519" i="11"/>
  <c r="Y383" i="11"/>
  <c r="Y387" i="11"/>
  <c r="Y391" i="11"/>
  <c r="Y404" i="11"/>
  <c r="Y411" i="11"/>
  <c r="Y415" i="11"/>
  <c r="W421" i="11"/>
  <c r="Y429" i="11"/>
  <c r="Y435" i="11"/>
  <c r="Y439" i="11"/>
  <c r="W454" i="11"/>
  <c r="AT453" i="11"/>
  <c r="AT454" i="11"/>
  <c r="Y459" i="11"/>
  <c r="Y463" i="11"/>
  <c r="Z484" i="11"/>
  <c r="S490" i="11"/>
  <c r="W493" i="11"/>
  <c r="X493" i="11"/>
  <c r="AN494" i="11"/>
  <c r="W495" i="11"/>
  <c r="Y495" i="11"/>
  <c r="AN496" i="11"/>
  <c r="W497" i="11"/>
  <c r="Y497" i="11"/>
  <c r="AZ499" i="11"/>
  <c r="R500" i="11"/>
  <c r="X500" i="11"/>
  <c r="X356" i="6"/>
  <c r="AH500" i="11"/>
  <c r="AZ500" i="11"/>
  <c r="AZ515" i="11"/>
  <c r="R516" i="11"/>
  <c r="W538" i="11"/>
  <c r="AT535" i="11"/>
  <c r="AT538" i="11"/>
  <c r="Y537" i="11"/>
  <c r="AI593" i="11"/>
  <c r="AI597" i="11"/>
  <c r="AI596" i="11"/>
  <c r="AI592" i="11"/>
  <c r="AI595" i="11"/>
  <c r="AI594" i="11"/>
  <c r="Z661" i="11"/>
  <c r="AT404" i="11"/>
  <c r="AZ446" i="11"/>
  <c r="S449" i="11"/>
  <c r="S454" i="11"/>
  <c r="Y468" i="11"/>
  <c r="U470" i="11"/>
  <c r="AZ472" i="11"/>
  <c r="AZ480" i="11"/>
  <c r="W494" i="11"/>
  <c r="Y494" i="11"/>
  <c r="W496" i="11"/>
  <c r="Y496" i="11"/>
  <c r="W499" i="11"/>
  <c r="AK499" i="11"/>
  <c r="AN499" i="11"/>
  <c r="N500" i="11"/>
  <c r="AK500" i="11"/>
  <c r="AN500" i="11"/>
  <c r="AZ506" i="11"/>
  <c r="AZ508" i="11"/>
  <c r="Y506" i="11"/>
  <c r="N509" i="11"/>
  <c r="X508" i="11"/>
  <c r="AT572" i="11"/>
  <c r="N573" i="11"/>
  <c r="R573" i="11"/>
  <c r="K581" i="11"/>
  <c r="Y594" i="11"/>
  <c r="AZ594" i="11"/>
  <c r="X620" i="11"/>
  <c r="Z626" i="11"/>
  <c r="Z624" i="11"/>
  <c r="Z628" i="11"/>
  <c r="Z625" i="11"/>
  <c r="Z627" i="11"/>
  <c r="S493" i="11"/>
  <c r="S494" i="11"/>
  <c r="Y504" i="11"/>
  <c r="W508" i="11"/>
  <c r="Y514" i="11"/>
  <c r="AT518" i="11"/>
  <c r="Y522" i="11"/>
  <c r="Y523" i="11"/>
  <c r="N539" i="11"/>
  <c r="X538" i="11"/>
  <c r="AO580" i="11"/>
  <c r="AO576" i="11"/>
  <c r="AO577" i="11"/>
  <c r="Y578" i="11"/>
  <c r="AO579" i="11"/>
  <c r="AH607" i="11"/>
  <c r="Y605" i="11"/>
  <c r="Y613" i="11"/>
  <c r="AZ613" i="11"/>
  <c r="Q509" i="11"/>
  <c r="S533" i="11"/>
  <c r="Y519" i="11"/>
  <c r="Y527" i="11"/>
  <c r="O533" i="11"/>
  <c r="X528" i="11"/>
  <c r="Y546" i="11"/>
  <c r="X580" i="11"/>
  <c r="AZ576" i="11"/>
  <c r="AZ580" i="11"/>
  <c r="Y579" i="11"/>
  <c r="AT579" i="11"/>
  <c r="AT580" i="11"/>
  <c r="X589" i="11"/>
  <c r="AZ583" i="11"/>
  <c r="AZ589" i="11"/>
  <c r="AT589" i="11"/>
  <c r="Y606" i="11"/>
  <c r="Y607" i="11"/>
  <c r="Y536" i="11"/>
  <c r="Y538" i="11"/>
  <c r="Q573" i="11"/>
  <c r="Y576" i="11"/>
  <c r="Y577" i="11"/>
  <c r="L581" i="11"/>
  <c r="BA601" i="11"/>
  <c r="Y570" i="11"/>
  <c r="W572" i="11"/>
  <c r="AH589" i="11"/>
  <c r="X597" i="11"/>
  <c r="AZ597" i="11"/>
  <c r="Y595" i="11"/>
  <c r="AT595" i="11"/>
  <c r="BA606" i="11"/>
  <c r="AZ620" i="11"/>
  <c r="Y614" i="11"/>
  <c r="AT614" i="11"/>
  <c r="W620" i="11"/>
  <c r="Y670" i="11"/>
  <c r="M580" i="11"/>
  <c r="Y583" i="11"/>
  <c r="Y589" i="11"/>
  <c r="AN589" i="11"/>
  <c r="AT592" i="11"/>
  <c r="AT597" i="11"/>
  <c r="W597" i="11"/>
  <c r="AN607" i="11"/>
  <c r="W607" i="11"/>
  <c r="AN620" i="11"/>
  <c r="AT619" i="11"/>
  <c r="Y597" i="11"/>
  <c r="AN597" i="11"/>
  <c r="Y618" i="11"/>
  <c r="X607" i="11"/>
  <c r="Y634" i="11"/>
  <c r="Y636" i="11"/>
  <c r="Y641" i="11"/>
  <c r="Y643" i="11"/>
  <c r="Y648" i="11"/>
  <c r="Y650" i="11"/>
  <c r="BA151" i="10"/>
  <c r="AO157" i="10"/>
  <c r="AO161" i="10"/>
  <c r="AO160" i="10"/>
  <c r="AO156" i="10"/>
  <c r="AO159" i="10"/>
  <c r="AO158" i="10"/>
  <c r="AO155" i="10"/>
  <c r="S489" i="10"/>
  <c r="S490" i="10"/>
  <c r="S491" i="10"/>
  <c r="Q491" i="10"/>
  <c r="AO317" i="10"/>
  <c r="AO316" i="10"/>
  <c r="AO323" i="10"/>
  <c r="AO322" i="10"/>
  <c r="AO321" i="10"/>
  <c r="AU15" i="10"/>
  <c r="AU14" i="10"/>
  <c r="AU13" i="10"/>
  <c r="AO20" i="10"/>
  <c r="AO18" i="10"/>
  <c r="AO19" i="10"/>
  <c r="AI195" i="10"/>
  <c r="AI197" i="10"/>
  <c r="AI194" i="10"/>
  <c r="AO236" i="10"/>
  <c r="AO235" i="10"/>
  <c r="AO231" i="10"/>
  <c r="AO232" i="10"/>
  <c r="AO234" i="10"/>
  <c r="AO233" i="10"/>
  <c r="AO240" i="10"/>
  <c r="AO244" i="10"/>
  <c r="AO243" i="10"/>
  <c r="AO239" i="10"/>
  <c r="AO241" i="10"/>
  <c r="AO242" i="10"/>
  <c r="AO359" i="10"/>
  <c r="AO360" i="10"/>
  <c r="AO357" i="10"/>
  <c r="AO358" i="10"/>
  <c r="AI26" i="10"/>
  <c r="AI25" i="10"/>
  <c r="AI23" i="10"/>
  <c r="AI24" i="10"/>
  <c r="Y121" i="10"/>
  <c r="P122" i="10"/>
  <c r="Y122" i="10"/>
  <c r="AO144" i="10"/>
  <c r="AO140" i="10"/>
  <c r="AO143" i="10"/>
  <c r="AO139" i="10"/>
  <c r="AO138" i="10"/>
  <c r="AO137" i="10"/>
  <c r="AO146" i="10"/>
  <c r="AO145" i="10"/>
  <c r="AO142" i="10"/>
  <c r="AO141" i="10"/>
  <c r="AO147" i="10"/>
  <c r="AI203" i="10"/>
  <c r="AI201" i="10"/>
  <c r="AI200" i="10"/>
  <c r="AO227" i="10"/>
  <c r="AO226" i="10"/>
  <c r="AO228" i="10"/>
  <c r="AO54" i="10"/>
  <c r="AO50" i="10"/>
  <c r="AO46" i="10"/>
  <c r="AO58" i="10"/>
  <c r="AO57" i="10"/>
  <c r="AO53" i="10"/>
  <c r="AO49" i="10"/>
  <c r="AO45" i="10"/>
  <c r="AO48" i="10"/>
  <c r="AO56" i="10"/>
  <c r="AO52" i="10"/>
  <c r="AO47" i="10"/>
  <c r="AO55" i="10"/>
  <c r="AO44" i="10"/>
  <c r="AO51" i="10"/>
  <c r="AI19" i="10"/>
  <c r="AI15" i="10"/>
  <c r="AI14" i="10"/>
  <c r="AI20" i="10"/>
  <c r="AI18" i="10"/>
  <c r="AI13" i="10"/>
  <c r="P82" i="10"/>
  <c r="AZ65" i="10"/>
  <c r="AZ174" i="10"/>
  <c r="AO223" i="10"/>
  <c r="AO220" i="10"/>
  <c r="AO221" i="10"/>
  <c r="BA221" i="10"/>
  <c r="BA220" i="10"/>
  <c r="BA223" i="10"/>
  <c r="BA240" i="10"/>
  <c r="BA244" i="10"/>
  <c r="BA243" i="10"/>
  <c r="BA239" i="10"/>
  <c r="BA241" i="10"/>
  <c r="BA242" i="10"/>
  <c r="BA327" i="10"/>
  <c r="BA326" i="10"/>
  <c r="BA333" i="10"/>
  <c r="BA331" i="10"/>
  <c r="BA332" i="10"/>
  <c r="X65" i="10"/>
  <c r="X73" i="10"/>
  <c r="AZ68" i="10"/>
  <c r="AZ73" i="10"/>
  <c r="W73" i="10"/>
  <c r="V117" i="10"/>
  <c r="AT233" i="10"/>
  <c r="Y233" i="10"/>
  <c r="W360" i="10"/>
  <c r="Y357" i="10"/>
  <c r="AT357" i="10"/>
  <c r="AT360" i="10"/>
  <c r="Y390" i="10"/>
  <c r="AT390" i="10"/>
  <c r="Y445" i="10"/>
  <c r="AT445" i="10"/>
  <c r="V489" i="10"/>
  <c r="V491" i="10"/>
  <c r="T491" i="10"/>
  <c r="AO15" i="10"/>
  <c r="T573" i="10"/>
  <c r="T516" i="10"/>
  <c r="J33" i="10"/>
  <c r="AH30" i="10"/>
  <c r="AH33" i="10"/>
  <c r="BA41" i="10"/>
  <c r="BA39" i="10"/>
  <c r="BA40" i="10"/>
  <c r="Y49" i="10"/>
  <c r="AT50" i="10"/>
  <c r="Z94" i="10"/>
  <c r="L167" i="10"/>
  <c r="P187" i="10"/>
  <c r="BA197" i="10"/>
  <c r="W210" i="10"/>
  <c r="AT206" i="10"/>
  <c r="AT209" i="10"/>
  <c r="AT210" i="10"/>
  <c r="Y206" i="10"/>
  <c r="Z223" i="10"/>
  <c r="Z220" i="10"/>
  <c r="BA228" i="10"/>
  <c r="BA226" i="10"/>
  <c r="BA227" i="10"/>
  <c r="X236" i="10"/>
  <c r="X244" i="10"/>
  <c r="Y317" i="10"/>
  <c r="AI343" i="10"/>
  <c r="AI342" i="10"/>
  <c r="AI336" i="10"/>
  <c r="AI341" i="10"/>
  <c r="AI337" i="10"/>
  <c r="AO352" i="10"/>
  <c r="AO348" i="10"/>
  <c r="AO351" i="10"/>
  <c r="AO347" i="10"/>
  <c r="AO354" i="10"/>
  <c r="AO349" i="10"/>
  <c r="AO350" i="10"/>
  <c r="AO353" i="10"/>
  <c r="Y382" i="10"/>
  <c r="AT382" i="10"/>
  <c r="Y453" i="10"/>
  <c r="W449" i="10"/>
  <c r="W454" i="10"/>
  <c r="AT453" i="10"/>
  <c r="X15" i="10"/>
  <c r="AZ13" i="10"/>
  <c r="AZ15" i="10"/>
  <c r="Y14" i="10"/>
  <c r="AO14" i="10"/>
  <c r="J229" i="10"/>
  <c r="J204" i="10"/>
  <c r="W15" i="10"/>
  <c r="S20" i="10"/>
  <c r="Y18" i="10"/>
  <c r="U539" i="10"/>
  <c r="U516" i="10"/>
  <c r="Y23" i="10"/>
  <c r="Y26" i="10"/>
  <c r="AT24" i="10"/>
  <c r="W26" i="10"/>
  <c r="M30" i="10"/>
  <c r="BA38" i="10"/>
  <c r="Y39" i="10"/>
  <c r="W41" i="10"/>
  <c r="W58" i="10"/>
  <c r="AT51" i="10"/>
  <c r="Y53" i="10"/>
  <c r="AT54" i="10"/>
  <c r="AT62" i="10"/>
  <c r="AT65" i="10"/>
  <c r="T66" i="10"/>
  <c r="AT71" i="10"/>
  <c r="AT72" i="10"/>
  <c r="Q74" i="10"/>
  <c r="U74" i="10"/>
  <c r="T74" i="10"/>
  <c r="Y88" i="10"/>
  <c r="X147" i="10"/>
  <c r="Y139" i="10"/>
  <c r="Y147" i="10"/>
  <c r="AT140" i="10"/>
  <c r="AZ143" i="10"/>
  <c r="AZ147" i="10"/>
  <c r="AT145" i="10"/>
  <c r="T153" i="10"/>
  <c r="W161" i="10"/>
  <c r="AI156" i="10"/>
  <c r="AZ160" i="10"/>
  <c r="AZ161" i="10"/>
  <c r="AZ164" i="10"/>
  <c r="AZ166" i="10"/>
  <c r="W166" i="10"/>
  <c r="W174" i="10"/>
  <c r="Y170" i="10"/>
  <c r="P177" i="10"/>
  <c r="W177" i="10"/>
  <c r="AT182" i="10"/>
  <c r="AZ185" i="10"/>
  <c r="W187" i="10"/>
  <c r="AO203" i="10"/>
  <c r="AO200" i="10"/>
  <c r="AO201" i="10"/>
  <c r="Q211" i="10"/>
  <c r="T211" i="10"/>
  <c r="L224" i="10"/>
  <c r="X228" i="10"/>
  <c r="AH227" i="10"/>
  <c r="Y227" i="10"/>
  <c r="Y228" i="10"/>
  <c r="W228" i="10"/>
  <c r="AZ236" i="10"/>
  <c r="Y235" i="10"/>
  <c r="AI323" i="10"/>
  <c r="AI322" i="10"/>
  <c r="AI316" i="10"/>
  <c r="AI321" i="10"/>
  <c r="AI317" i="10"/>
  <c r="Y321" i="10"/>
  <c r="AO327" i="10"/>
  <c r="AO331" i="10"/>
  <c r="AO332" i="10"/>
  <c r="AO333" i="10"/>
  <c r="AO346" i="10"/>
  <c r="X360" i="10"/>
  <c r="AZ359" i="10"/>
  <c r="AZ360" i="10"/>
  <c r="Y359" i="10"/>
  <c r="AZ370" i="10"/>
  <c r="Y378" i="10"/>
  <c r="AZ378" i="10"/>
  <c r="AZ379" i="10"/>
  <c r="X379" i="10"/>
  <c r="W409" i="10"/>
  <c r="Y403" i="10"/>
  <c r="Y407" i="10"/>
  <c r="AT403" i="10"/>
  <c r="T408" i="10"/>
  <c r="N422" i="10"/>
  <c r="X430" i="10"/>
  <c r="Y429" i="10"/>
  <c r="Y430" i="10"/>
  <c r="AZ429" i="10"/>
  <c r="AT460" i="10"/>
  <c r="Y468" i="10"/>
  <c r="AT468" i="10"/>
  <c r="S340" i="6"/>
  <c r="U340" i="6" s="1"/>
  <c r="W469" i="10"/>
  <c r="S480" i="10"/>
  <c r="W494" i="10"/>
  <c r="Y494" i="10"/>
  <c r="S494" i="10"/>
  <c r="Q500" i="10"/>
  <c r="S500" i="10"/>
  <c r="L27" i="10"/>
  <c r="X58" i="10"/>
  <c r="X152" i="10"/>
  <c r="AO166" i="10"/>
  <c r="AO165" i="10"/>
  <c r="AO164" i="10"/>
  <c r="BA195" i="10"/>
  <c r="AI233" i="10"/>
  <c r="AI236" i="10"/>
  <c r="AI235" i="10"/>
  <c r="AI231" i="10"/>
  <c r="L237" i="10"/>
  <c r="W244" i="10"/>
  <c r="AT239" i="10"/>
  <c r="AT244" i="10"/>
  <c r="Y239" i="10"/>
  <c r="Y323" i="10"/>
  <c r="AZ323" i="10"/>
  <c r="Y414" i="10"/>
  <c r="AT414" i="10"/>
  <c r="X416" i="10"/>
  <c r="Y416" i="10"/>
  <c r="X469" i="10"/>
  <c r="Y463" i="10"/>
  <c r="Y469" i="10"/>
  <c r="AZ463" i="10"/>
  <c r="U500" i="10"/>
  <c r="X500" i="10"/>
  <c r="T356" i="6"/>
  <c r="U356" i="6" s="1"/>
  <c r="X495" i="10"/>
  <c r="AZ576" i="10"/>
  <c r="AZ580" i="10"/>
  <c r="X580" i="10"/>
  <c r="Y15" i="10"/>
  <c r="AO24" i="10"/>
  <c r="AO23" i="10"/>
  <c r="AO26" i="10"/>
  <c r="Y41" i="10"/>
  <c r="AH58" i="10"/>
  <c r="Y63" i="10"/>
  <c r="Z96" i="10"/>
  <c r="Z95" i="10"/>
  <c r="Z93" i="10"/>
  <c r="AH147" i="10"/>
  <c r="W147" i="10"/>
  <c r="AT144" i="10"/>
  <c r="Y150" i="10"/>
  <c r="Y152" i="10"/>
  <c r="AI159" i="10"/>
  <c r="AI155" i="10"/>
  <c r="AI158" i="10"/>
  <c r="Y164" i="10"/>
  <c r="Y166" i="10"/>
  <c r="AT165" i="10"/>
  <c r="AT166" i="10"/>
  <c r="AI166" i="10"/>
  <c r="T175" i="10"/>
  <c r="AT179" i="10"/>
  <c r="Y179" i="10"/>
  <c r="L204" i="10"/>
  <c r="L218" i="10"/>
  <c r="W236" i="10"/>
  <c r="AT232" i="10"/>
  <c r="Y234" i="10"/>
  <c r="Y341" i="10"/>
  <c r="AT341" i="10"/>
  <c r="S229" i="6"/>
  <c r="AO337" i="10"/>
  <c r="AO336" i="10"/>
  <c r="AO343" i="10"/>
  <c r="X515" i="10"/>
  <c r="AZ511" i="10"/>
  <c r="AZ515" i="10"/>
  <c r="S643" i="10"/>
  <c r="S644" i="10"/>
  <c r="Y641" i="10"/>
  <c r="Y643" i="10"/>
  <c r="Y663" i="10"/>
  <c r="V97" i="10"/>
  <c r="V89" i="10"/>
  <c r="V82" i="10"/>
  <c r="AZ18" i="10"/>
  <c r="Q408" i="10"/>
  <c r="Q380" i="10"/>
  <c r="Q573" i="10"/>
  <c r="AZ23" i="10"/>
  <c r="AZ26" i="10"/>
  <c r="AT25" i="10"/>
  <c r="AT26" i="10"/>
  <c r="X41" i="10"/>
  <c r="M58" i="10"/>
  <c r="Y46" i="10"/>
  <c r="Y58" i="10"/>
  <c r="AT55" i="10"/>
  <c r="W65" i="10"/>
  <c r="Y61" i="10"/>
  <c r="Y65" i="10"/>
  <c r="Y68" i="10"/>
  <c r="Y73" i="10"/>
  <c r="Y81" i="10"/>
  <c r="AT141" i="10"/>
  <c r="L148" i="10"/>
  <c r="J148" i="10"/>
  <c r="M161" i="10"/>
  <c r="Y157" i="10"/>
  <c r="Y161" i="10"/>
  <c r="AI160" i="10"/>
  <c r="J162" i="10"/>
  <c r="AI164" i="10"/>
  <c r="S174" i="10"/>
  <c r="Y171" i="10"/>
  <c r="X174" i="10"/>
  <c r="V187" i="10"/>
  <c r="AT178" i="10"/>
  <c r="AT185" i="10"/>
  <c r="Y185" i="10"/>
  <c r="T188" i="10"/>
  <c r="AI217" i="10"/>
  <c r="AI215" i="10"/>
  <c r="AI214" i="10"/>
  <c r="Z221" i="10"/>
  <c r="AH226" i="10"/>
  <c r="AH228" i="10"/>
  <c r="L229" i="10"/>
  <c r="AI232" i="10"/>
  <c r="AI234" i="10"/>
  <c r="L334" i="10"/>
  <c r="Y343" i="10"/>
  <c r="AZ343" i="10"/>
  <c r="AO342" i="10"/>
  <c r="AH354" i="10"/>
  <c r="AI368" i="10"/>
  <c r="AI370" i="10"/>
  <c r="AI369" i="10"/>
  <c r="AI364" i="10"/>
  <c r="U408" i="10"/>
  <c r="W441" i="10"/>
  <c r="Y433" i="10"/>
  <c r="AT433" i="10"/>
  <c r="Y448" i="10"/>
  <c r="AT448" i="10"/>
  <c r="X460" i="10"/>
  <c r="Y457" i="10"/>
  <c r="AZ457" i="10"/>
  <c r="AT469" i="10"/>
  <c r="AZ477" i="10"/>
  <c r="AZ480" i="10"/>
  <c r="Y477" i="10"/>
  <c r="Y506" i="10"/>
  <c r="X508" i="10"/>
  <c r="AZ506" i="10"/>
  <c r="AZ508" i="10"/>
  <c r="AZ537" i="10"/>
  <c r="Y537" i="10"/>
  <c r="AI577" i="10"/>
  <c r="AI578" i="10"/>
  <c r="AI580" i="10"/>
  <c r="AI579" i="10"/>
  <c r="AI576" i="10"/>
  <c r="N509" i="10"/>
  <c r="N539" i="10"/>
  <c r="AT138" i="10"/>
  <c r="W489" i="10"/>
  <c r="N491" i="10"/>
  <c r="P489" i="10"/>
  <c r="P491" i="10"/>
  <c r="R175" i="10"/>
  <c r="N188" i="10"/>
  <c r="AO197" i="10"/>
  <c r="M236" i="10"/>
  <c r="Y240" i="10"/>
  <c r="J245" i="10"/>
  <c r="X323" i="10"/>
  <c r="K334" i="10"/>
  <c r="X343" i="10"/>
  <c r="AZ354" i="10"/>
  <c r="Y348" i="10"/>
  <c r="L355" i="10"/>
  <c r="L361" i="10"/>
  <c r="Y364" i="10"/>
  <c r="Y370" i="10"/>
  <c r="AT385" i="10"/>
  <c r="AT387" i="10"/>
  <c r="Y387" i="10"/>
  <c r="AT393" i="10"/>
  <c r="O421" i="10"/>
  <c r="O422" i="10"/>
  <c r="X421" i="10"/>
  <c r="X454" i="10"/>
  <c r="AZ445" i="10"/>
  <c r="AZ454" i="10"/>
  <c r="S449" i="10"/>
  <c r="S454" i="10"/>
  <c r="Q454" i="10"/>
  <c r="Q455" i="10"/>
  <c r="Y478" i="10"/>
  <c r="AT478" i="10"/>
  <c r="AW499" i="10"/>
  <c r="AZ499" i="10"/>
  <c r="AZ493" i="10"/>
  <c r="AZ498" i="10"/>
  <c r="AN494" i="10"/>
  <c r="AK500" i="10"/>
  <c r="W495" i="10"/>
  <c r="S495" i="10"/>
  <c r="U509" i="10"/>
  <c r="R539" i="10"/>
  <c r="O539" i="10"/>
  <c r="Y570" i="10"/>
  <c r="W572" i="10"/>
  <c r="AT570" i="10"/>
  <c r="AT572" i="10"/>
  <c r="AT18" i="10"/>
  <c r="AT20" i="10"/>
  <c r="O516" i="10"/>
  <c r="O408" i="10"/>
  <c r="AT45" i="10"/>
  <c r="AT58" i="10"/>
  <c r="AT150" i="10"/>
  <c r="AT152" i="10"/>
  <c r="N153" i="10"/>
  <c r="AT156" i="10"/>
  <c r="AT161" i="10"/>
  <c r="O491" i="10"/>
  <c r="X489" i="10"/>
  <c r="X491" i="10"/>
  <c r="N175" i="10"/>
  <c r="L198" i="10"/>
  <c r="K204" i="10"/>
  <c r="R211" i="10"/>
  <c r="AI221" i="10"/>
  <c r="M244" i="10"/>
  <c r="AH244" i="10"/>
  <c r="J324" i="10"/>
  <c r="AH333" i="10"/>
  <c r="J344" i="10"/>
  <c r="Y352" i="10"/>
  <c r="M360" i="10"/>
  <c r="AI360" i="10"/>
  <c r="AI358" i="10"/>
  <c r="AI357" i="10"/>
  <c r="AO364" i="10"/>
  <c r="AO363" i="10"/>
  <c r="N380" i="10"/>
  <c r="P395" i="10"/>
  <c r="P400" i="10"/>
  <c r="N400" i="10"/>
  <c r="W395" i="10"/>
  <c r="S279" i="6"/>
  <c r="T422" i="10"/>
  <c r="Y434" i="10"/>
  <c r="AT434" i="10"/>
  <c r="O509" i="10"/>
  <c r="R516" i="10"/>
  <c r="AT326" i="10"/>
  <c r="AT336" i="10"/>
  <c r="Y376" i="10"/>
  <c r="AT377" i="10"/>
  <c r="AT379" i="10"/>
  <c r="O400" i="10"/>
  <c r="X395" i="10"/>
  <c r="X409" i="10"/>
  <c r="X407" i="10"/>
  <c r="AZ403" i="10"/>
  <c r="AZ407" i="10"/>
  <c r="AT413" i="10"/>
  <c r="U422" i="10"/>
  <c r="AT425" i="10"/>
  <c r="S441" i="10"/>
  <c r="Y438" i="10"/>
  <c r="X441" i="10"/>
  <c r="P449" i="10"/>
  <c r="P454" i="10"/>
  <c r="S327" i="6"/>
  <c r="T455" i="10"/>
  <c r="N454" i="10"/>
  <c r="N455" i="10"/>
  <c r="W490" i="10"/>
  <c r="AN493" i="10"/>
  <c r="AK499" i="10"/>
  <c r="AN499" i="10"/>
  <c r="V496" i="10"/>
  <c r="P499" i="10"/>
  <c r="Y505" i="10"/>
  <c r="AT505" i="10"/>
  <c r="Q509" i="10"/>
  <c r="S515" i="10"/>
  <c r="N516" i="10"/>
  <c r="V533" i="10"/>
  <c r="Y527" i="10"/>
  <c r="R533" i="10"/>
  <c r="Y536" i="10"/>
  <c r="Y538" i="10"/>
  <c r="AT536" i="10"/>
  <c r="X538" i="10"/>
  <c r="J361" i="10"/>
  <c r="R380" i="10"/>
  <c r="S400" i="10"/>
  <c r="Y386" i="10"/>
  <c r="Y394" i="10"/>
  <c r="W407" i="10"/>
  <c r="AT402" i="10"/>
  <c r="P421" i="10"/>
  <c r="V441" i="10"/>
  <c r="AT473" i="10"/>
  <c r="AT480" i="10"/>
  <c r="Y473" i="10"/>
  <c r="Y479" i="10"/>
  <c r="Y480" i="10"/>
  <c r="R481" i="10"/>
  <c r="Z484" i="10"/>
  <c r="Z486" i="10"/>
  <c r="Z483" i="10"/>
  <c r="V493" i="10"/>
  <c r="T499" i="10"/>
  <c r="V499" i="10"/>
  <c r="W508" i="10"/>
  <c r="Y504" i="10"/>
  <c r="AT504" i="10"/>
  <c r="AT508" i="10"/>
  <c r="Y518" i="10"/>
  <c r="P538" i="10"/>
  <c r="N573" i="10"/>
  <c r="J581" i="10"/>
  <c r="AZ611" i="10"/>
  <c r="Y611" i="10"/>
  <c r="X620" i="10"/>
  <c r="W460" i="10"/>
  <c r="O481" i="10"/>
  <c r="V490" i="10"/>
  <c r="V494" i="10"/>
  <c r="AL500" i="10"/>
  <c r="AN495" i="10"/>
  <c r="W496" i="10"/>
  <c r="Y496" i="10"/>
  <c r="S496" i="10"/>
  <c r="AT514" i="10"/>
  <c r="Y519" i="10"/>
  <c r="AT526" i="10"/>
  <c r="P528" i="10"/>
  <c r="P533" i="10"/>
  <c r="W528" i="10"/>
  <c r="S383" i="6"/>
  <c r="N533" i="10"/>
  <c r="AT535" i="10"/>
  <c r="AT538" i="10"/>
  <c r="T539" i="10"/>
  <c r="AN589" i="10"/>
  <c r="AN620" i="10"/>
  <c r="AT618" i="10"/>
  <c r="AZ619" i="10"/>
  <c r="Y619" i="10"/>
  <c r="AT404" i="10"/>
  <c r="P480" i="10"/>
  <c r="X480" i="10"/>
  <c r="Q481" i="10"/>
  <c r="U481" i="10"/>
  <c r="W493" i="10"/>
  <c r="Y493" i="10"/>
  <c r="S493" i="10"/>
  <c r="AF500" i="10"/>
  <c r="AH500" i="10"/>
  <c r="V495" i="10"/>
  <c r="AH495" i="10"/>
  <c r="AN496" i="10"/>
  <c r="W497" i="10"/>
  <c r="Y497" i="10"/>
  <c r="S497" i="10"/>
  <c r="T500" i="10"/>
  <c r="T509" i="10"/>
  <c r="W515" i="10"/>
  <c r="Y511" i="10"/>
  <c r="Y515" i="10"/>
  <c r="Q516" i="10"/>
  <c r="S533" i="10"/>
  <c r="Y523" i="10"/>
  <c r="O533" i="10"/>
  <c r="X528" i="10"/>
  <c r="AZ538" i="10"/>
  <c r="Q539" i="10"/>
  <c r="Z546" i="10"/>
  <c r="Z545" i="10"/>
  <c r="Z543" i="10"/>
  <c r="Y576" i="10"/>
  <c r="Y580" i="10"/>
  <c r="AT576" i="10"/>
  <c r="AT580" i="10"/>
  <c r="W580" i="10"/>
  <c r="AN580" i="10"/>
  <c r="X589" i="10"/>
  <c r="AZ583" i="10"/>
  <c r="AH493" i="10"/>
  <c r="AH494" i="10"/>
  <c r="R509" i="10"/>
  <c r="P572" i="10"/>
  <c r="X572" i="10"/>
  <c r="O573" i="10"/>
  <c r="AH589" i="10"/>
  <c r="AT587" i="10"/>
  <c r="AT589" i="10"/>
  <c r="AZ588" i="10"/>
  <c r="Y588" i="10"/>
  <c r="AH597" i="10"/>
  <c r="Y628" i="10"/>
  <c r="Y571" i="10"/>
  <c r="U573" i="10"/>
  <c r="M580" i="10"/>
  <c r="Y595" i="10"/>
  <c r="AT595" i="10"/>
  <c r="AI601" i="10"/>
  <c r="AI605" i="10"/>
  <c r="AI606" i="10"/>
  <c r="AI607" i="10"/>
  <c r="AI600" i="10"/>
  <c r="Y606" i="10"/>
  <c r="X607" i="10"/>
  <c r="AT614" i="10"/>
  <c r="AZ615" i="10"/>
  <c r="Y615" i="10"/>
  <c r="S650" i="10"/>
  <c r="S651" i="10"/>
  <c r="Y648" i="10"/>
  <c r="Y650" i="10"/>
  <c r="AZ592" i="10"/>
  <c r="AZ597" i="10"/>
  <c r="Y592" i="10"/>
  <c r="AN597" i="10"/>
  <c r="X597" i="10"/>
  <c r="W607" i="10"/>
  <c r="Y636" i="10"/>
  <c r="Y600" i="10"/>
  <c r="Y607" i="10"/>
  <c r="AN607" i="10"/>
  <c r="AH620" i="10"/>
  <c r="Y586" i="10"/>
  <c r="Y589" i="10"/>
  <c r="AT592" i="10"/>
  <c r="Y594" i="10"/>
  <c r="AT596" i="10"/>
  <c r="AT611" i="10"/>
  <c r="Y613" i="10"/>
  <c r="Y617" i="10"/>
  <c r="AU20" i="9"/>
  <c r="AU18" i="9"/>
  <c r="AU19" i="9"/>
  <c r="AO20" i="9"/>
  <c r="AO18" i="9"/>
  <c r="AO19" i="9"/>
  <c r="AI23" i="9"/>
  <c r="AI26" i="9"/>
  <c r="AI25" i="9"/>
  <c r="AI24" i="9"/>
  <c r="AO55" i="9"/>
  <c r="AO51" i="9"/>
  <c r="AO47" i="9"/>
  <c r="AO58" i="9"/>
  <c r="AO57" i="9"/>
  <c r="AO53" i="9"/>
  <c r="AO49" i="9"/>
  <c r="AO45" i="9"/>
  <c r="AO54" i="9"/>
  <c r="AO50" i="9"/>
  <c r="AO46" i="9"/>
  <c r="AO56" i="9"/>
  <c r="AO52" i="9"/>
  <c r="AO48" i="9"/>
  <c r="AO44" i="9"/>
  <c r="AU69" i="9"/>
  <c r="AU73" i="9"/>
  <c r="AU71" i="9"/>
  <c r="AU72" i="9"/>
  <c r="AU70" i="9"/>
  <c r="AU68" i="9"/>
  <c r="AI20" i="9"/>
  <c r="AI18" i="9"/>
  <c r="AI15" i="9"/>
  <c r="AI14" i="9"/>
  <c r="AI19" i="9"/>
  <c r="AI13" i="9"/>
  <c r="AU15" i="9"/>
  <c r="AU14" i="9"/>
  <c r="AU13" i="9"/>
  <c r="S89" i="9"/>
  <c r="S82" i="9"/>
  <c r="S97" i="9"/>
  <c r="AU23" i="9"/>
  <c r="AU26" i="9"/>
  <c r="AU25" i="9"/>
  <c r="AU24" i="9"/>
  <c r="BA26" i="9"/>
  <c r="BA25" i="9"/>
  <c r="BA23" i="9"/>
  <c r="BA24" i="9"/>
  <c r="AU58" i="9"/>
  <c r="AU57" i="9"/>
  <c r="AU53" i="9"/>
  <c r="AU49" i="9"/>
  <c r="AU45" i="9"/>
  <c r="AU55" i="9"/>
  <c r="AU51" i="9"/>
  <c r="AU47" i="9"/>
  <c r="AU54" i="9"/>
  <c r="AU50" i="9"/>
  <c r="AU46" i="9"/>
  <c r="AU56" i="9"/>
  <c r="AU52" i="9"/>
  <c r="AU48" i="9"/>
  <c r="AU44" i="9"/>
  <c r="AU174" i="9"/>
  <c r="AU172" i="9"/>
  <c r="AU170" i="9"/>
  <c r="AU173" i="9"/>
  <c r="AU171" i="9"/>
  <c r="AU169" i="9"/>
  <c r="AU333" i="9"/>
  <c r="AU332" i="9"/>
  <c r="AU326" i="9"/>
  <c r="AU327" i="9"/>
  <c r="AU331" i="9"/>
  <c r="AU65" i="9"/>
  <c r="AU63" i="9"/>
  <c r="AU61" i="9"/>
  <c r="AU64" i="9"/>
  <c r="AU62" i="9"/>
  <c r="AU152" i="9"/>
  <c r="AU150" i="9"/>
  <c r="AU151" i="9"/>
  <c r="AU161" i="9"/>
  <c r="AU160" i="9"/>
  <c r="AU156" i="9"/>
  <c r="AU158" i="9"/>
  <c r="AU157" i="9"/>
  <c r="AU159" i="9"/>
  <c r="AU155" i="9"/>
  <c r="AI343" i="9"/>
  <c r="AI342" i="9"/>
  <c r="AI336" i="9"/>
  <c r="AI337" i="9"/>
  <c r="AI341" i="9"/>
  <c r="X15" i="9"/>
  <c r="AZ13" i="9"/>
  <c r="AZ15" i="9"/>
  <c r="AO26" i="9"/>
  <c r="AO25" i="9"/>
  <c r="AO23" i="9"/>
  <c r="L229" i="9"/>
  <c r="AO15" i="9"/>
  <c r="AO14" i="9"/>
  <c r="O509" i="9"/>
  <c r="O408" i="9"/>
  <c r="O380" i="9"/>
  <c r="O573" i="9"/>
  <c r="O211" i="9"/>
  <c r="AZ30" i="9"/>
  <c r="BA38" i="9"/>
  <c r="BA40" i="9"/>
  <c r="BA39" i="9"/>
  <c r="BA41" i="9"/>
  <c r="Y47" i="9"/>
  <c r="Y51" i="9"/>
  <c r="Y55" i="9"/>
  <c r="AI58" i="9"/>
  <c r="AI57" i="9"/>
  <c r="AI53" i="9"/>
  <c r="AI49" i="9"/>
  <c r="AI45" i="9"/>
  <c r="AI55" i="9"/>
  <c r="AI51" i="9"/>
  <c r="AI47" i="9"/>
  <c r="J59" i="9"/>
  <c r="X73" i="9"/>
  <c r="AZ68" i="9"/>
  <c r="AZ70" i="9"/>
  <c r="Y70" i="9"/>
  <c r="Y96" i="9"/>
  <c r="P121" i="9"/>
  <c r="AH147" i="9"/>
  <c r="AO158" i="9"/>
  <c r="AO161" i="9"/>
  <c r="AO160" i="9"/>
  <c r="AO156" i="9"/>
  <c r="L162" i="9"/>
  <c r="AI164" i="9"/>
  <c r="AI165" i="9"/>
  <c r="L167" i="9"/>
  <c r="L198" i="9"/>
  <c r="L224" i="9"/>
  <c r="L245" i="9"/>
  <c r="AI323" i="9"/>
  <c r="AI322" i="9"/>
  <c r="AI316" i="9"/>
  <c r="AI321" i="9"/>
  <c r="AI317" i="9"/>
  <c r="L324" i="9"/>
  <c r="L334" i="9"/>
  <c r="Y14" i="9"/>
  <c r="P20" i="9"/>
  <c r="X20" i="9"/>
  <c r="P38" i="6"/>
  <c r="Q539" i="9"/>
  <c r="Q380" i="9"/>
  <c r="Q175" i="9"/>
  <c r="Q153" i="9"/>
  <c r="Q408" i="9"/>
  <c r="U509" i="9"/>
  <c r="U408" i="9"/>
  <c r="U380" i="9"/>
  <c r="Y23" i="9"/>
  <c r="AO24" i="9"/>
  <c r="X41" i="9"/>
  <c r="O42" i="9"/>
  <c r="M58" i="9"/>
  <c r="Y69" i="9"/>
  <c r="O74" i="9"/>
  <c r="S117" i="9"/>
  <c r="Y117" i="9"/>
  <c r="Y120" i="9"/>
  <c r="AN147" i="9"/>
  <c r="Y140" i="9"/>
  <c r="AT140" i="9"/>
  <c r="L148" i="9"/>
  <c r="O153" i="9"/>
  <c r="AO155" i="9"/>
  <c r="AO157" i="9"/>
  <c r="AO159" i="9"/>
  <c r="W161" i="9"/>
  <c r="AU165" i="9"/>
  <c r="X166" i="9"/>
  <c r="S174" i="9"/>
  <c r="Y170" i="9"/>
  <c r="O489" i="9"/>
  <c r="P489" i="9"/>
  <c r="O175" i="9"/>
  <c r="S187" i="9"/>
  <c r="Y182" i="9"/>
  <c r="Y226" i="9"/>
  <c r="AZ226" i="9"/>
  <c r="AZ228" i="9"/>
  <c r="X228" i="9"/>
  <c r="AT234" i="9"/>
  <c r="Y234" i="9"/>
  <c r="AH244" i="9"/>
  <c r="BA343" i="9"/>
  <c r="BA341" i="9"/>
  <c r="BA336" i="9"/>
  <c r="BA337" i="9"/>
  <c r="BA342" i="9"/>
  <c r="J229" i="9"/>
  <c r="J344" i="9"/>
  <c r="J148" i="9"/>
  <c r="J334" i="9"/>
  <c r="W58" i="9"/>
  <c r="X65" i="9"/>
  <c r="AZ62" i="9"/>
  <c r="AZ64" i="9"/>
  <c r="Y64" i="9"/>
  <c r="Z79" i="9"/>
  <c r="Z77" i="9"/>
  <c r="Z80" i="9"/>
  <c r="Z78" i="9"/>
  <c r="AI161" i="9"/>
  <c r="AI160" i="9"/>
  <c r="AI156" i="9"/>
  <c r="AI158" i="9"/>
  <c r="J167" i="9"/>
  <c r="AU197" i="9"/>
  <c r="AU195" i="9"/>
  <c r="AU194" i="9"/>
  <c r="AI223" i="9"/>
  <c r="AI221" i="9"/>
  <c r="AI220" i="9"/>
  <c r="J224" i="9"/>
  <c r="AZ241" i="9"/>
  <c r="Y241" i="9"/>
  <c r="AO333" i="9"/>
  <c r="AO332" i="9"/>
  <c r="AO326" i="9"/>
  <c r="AO331" i="9"/>
  <c r="AO13" i="9"/>
  <c r="AN31" i="9"/>
  <c r="AN33" i="9"/>
  <c r="V97" i="9"/>
  <c r="V89" i="9"/>
  <c r="V82" i="9"/>
  <c r="AZ19" i="9"/>
  <c r="AZ20" i="9"/>
  <c r="Y19" i="9"/>
  <c r="Y20" i="9"/>
  <c r="M31" i="9"/>
  <c r="AT38" i="9"/>
  <c r="AT41" i="9"/>
  <c r="X58" i="9"/>
  <c r="AZ44" i="9"/>
  <c r="Y44" i="9"/>
  <c r="AZ48" i="9"/>
  <c r="Y48" i="9"/>
  <c r="AZ52" i="9"/>
  <c r="Y52" i="9"/>
  <c r="AZ56" i="9"/>
  <c r="Y56" i="9"/>
  <c r="O66" i="9"/>
  <c r="Y88" i="9"/>
  <c r="S116" i="9"/>
  <c r="Y116" i="9"/>
  <c r="X147" i="9"/>
  <c r="AZ138" i="9"/>
  <c r="AZ143" i="9"/>
  <c r="AZ146" i="9"/>
  <c r="AZ147" i="9"/>
  <c r="Y138" i="9"/>
  <c r="Y143" i="9"/>
  <c r="AI155" i="9"/>
  <c r="AI157" i="9"/>
  <c r="AI159" i="9"/>
  <c r="AU166" i="9"/>
  <c r="W187" i="9"/>
  <c r="AT178" i="9"/>
  <c r="U188" i="9"/>
  <c r="AI197" i="9"/>
  <c r="AI195" i="9"/>
  <c r="AI194" i="9"/>
  <c r="J198" i="9"/>
  <c r="AO197" i="9"/>
  <c r="AO195" i="9"/>
  <c r="AO194" i="9"/>
  <c r="AU223" i="9"/>
  <c r="AU221" i="9"/>
  <c r="AU220" i="9"/>
  <c r="J324" i="9"/>
  <c r="AO323" i="9"/>
  <c r="AO322" i="9"/>
  <c r="AO316" i="9"/>
  <c r="AO317" i="9"/>
  <c r="AO321" i="9"/>
  <c r="AO327" i="9"/>
  <c r="AO203" i="9"/>
  <c r="AZ208" i="9"/>
  <c r="AZ210" i="9"/>
  <c r="Y208" i="9"/>
  <c r="X210" i="9"/>
  <c r="AO217" i="9"/>
  <c r="AO223" i="9"/>
  <c r="AO221" i="9"/>
  <c r="AZ244" i="9"/>
  <c r="AO240" i="9"/>
  <c r="AO242" i="9"/>
  <c r="J245" i="9"/>
  <c r="X244" i="9"/>
  <c r="M323" i="9"/>
  <c r="Y321" i="9"/>
  <c r="AI333" i="9"/>
  <c r="AI332" i="9"/>
  <c r="AI326" i="9"/>
  <c r="AT341" i="9"/>
  <c r="AT343" i="9"/>
  <c r="Y341" i="9"/>
  <c r="O229" i="6"/>
  <c r="Q229" i="6" s="1"/>
  <c r="AO352" i="9"/>
  <c r="AO348" i="9"/>
  <c r="AO351" i="9"/>
  <c r="AO350" i="9"/>
  <c r="AO347" i="9"/>
  <c r="AO346" i="9"/>
  <c r="AO354" i="9"/>
  <c r="AI350" i="9"/>
  <c r="AI346" i="9"/>
  <c r="AI351" i="9"/>
  <c r="AI347" i="9"/>
  <c r="AO349" i="9"/>
  <c r="AO353" i="9"/>
  <c r="L355" i="9"/>
  <c r="W360" i="9"/>
  <c r="Y357" i="9"/>
  <c r="Y360" i="9"/>
  <c r="AT357" i="9"/>
  <c r="AT360" i="9"/>
  <c r="Y363" i="9"/>
  <c r="X370" i="9"/>
  <c r="AN370" i="9"/>
  <c r="AU376" i="9"/>
  <c r="AU378" i="9"/>
  <c r="AU377" i="9"/>
  <c r="W400" i="9"/>
  <c r="Y382" i="9"/>
  <c r="AT382" i="9"/>
  <c r="Y385" i="9"/>
  <c r="AT395" i="9"/>
  <c r="Y402" i="9"/>
  <c r="W441" i="9"/>
  <c r="AT433" i="9"/>
  <c r="AT441" i="9"/>
  <c r="Y435" i="9"/>
  <c r="Y439" i="9"/>
  <c r="P454" i="9"/>
  <c r="AZ445" i="9"/>
  <c r="X454" i="9"/>
  <c r="N481" i="9"/>
  <c r="AH494" i="9"/>
  <c r="AG500" i="9"/>
  <c r="AH500" i="9"/>
  <c r="AZ494" i="9"/>
  <c r="AW500" i="9"/>
  <c r="AZ500" i="9"/>
  <c r="T500" i="9"/>
  <c r="V500" i="9"/>
  <c r="V495" i="9"/>
  <c r="Q516" i="9"/>
  <c r="U516" i="9"/>
  <c r="AT519" i="9"/>
  <c r="Y519" i="9"/>
  <c r="Z648" i="9"/>
  <c r="Z646" i="9"/>
  <c r="Z649" i="9"/>
  <c r="Z650" i="9"/>
  <c r="Y13" i="9"/>
  <c r="Y15" i="9"/>
  <c r="N539" i="9"/>
  <c r="N516" i="9"/>
  <c r="R509" i="9"/>
  <c r="R408" i="9"/>
  <c r="Y24" i="9"/>
  <c r="Y39" i="9"/>
  <c r="Y41" i="9"/>
  <c r="Y46" i="9"/>
  <c r="Y50" i="9"/>
  <c r="Y54" i="9"/>
  <c r="Y62" i="9"/>
  <c r="Y65" i="9"/>
  <c r="Y68" i="9"/>
  <c r="Y72" i="9"/>
  <c r="W147" i="9"/>
  <c r="AT138" i="9"/>
  <c r="U153" i="9"/>
  <c r="M161" i="9"/>
  <c r="Y164" i="9"/>
  <c r="AZ166" i="9"/>
  <c r="AO165" i="9"/>
  <c r="S489" i="9"/>
  <c r="S491" i="9"/>
  <c r="Q491" i="9"/>
  <c r="U489" i="9"/>
  <c r="U491" i="9"/>
  <c r="U175" i="9"/>
  <c r="W177" i="9"/>
  <c r="Y177" i="9"/>
  <c r="AZ181" i="9"/>
  <c r="AZ187" i="9"/>
  <c r="Y181" i="9"/>
  <c r="Q188" i="9"/>
  <c r="K198" i="9"/>
  <c r="J204" i="9"/>
  <c r="T211" i="9"/>
  <c r="J218" i="9"/>
  <c r="AH236" i="9"/>
  <c r="AZ233" i="9"/>
  <c r="AZ236" i="9"/>
  <c r="Y233" i="9"/>
  <c r="L237" i="9"/>
  <c r="AO239" i="9"/>
  <c r="AO243" i="9"/>
  <c r="K324" i="9"/>
  <c r="X333" i="9"/>
  <c r="AI348" i="9"/>
  <c r="AI352" i="9"/>
  <c r="AN360" i="9"/>
  <c r="Y364" i="9"/>
  <c r="V379" i="9"/>
  <c r="T380" i="9"/>
  <c r="AU379" i="9"/>
  <c r="P400" i="9"/>
  <c r="AZ387" i="9"/>
  <c r="Y391" i="9"/>
  <c r="Y394" i="9"/>
  <c r="AT394" i="9"/>
  <c r="AT402" i="9"/>
  <c r="N408" i="9"/>
  <c r="T408" i="9"/>
  <c r="Y413" i="9"/>
  <c r="AZ415" i="9"/>
  <c r="Y415" i="9"/>
  <c r="Q500" i="9"/>
  <c r="S500" i="9"/>
  <c r="S494" i="9"/>
  <c r="N573" i="9"/>
  <c r="Y349" i="9"/>
  <c r="Y353" i="9"/>
  <c r="Y354" i="9"/>
  <c r="AT349" i="9"/>
  <c r="AT353" i="9"/>
  <c r="J355" i="9"/>
  <c r="S400" i="9"/>
  <c r="Y390" i="9"/>
  <c r="AT390" i="9"/>
  <c r="X421" i="9"/>
  <c r="AZ411" i="9"/>
  <c r="T470" i="9"/>
  <c r="T481" i="9"/>
  <c r="Y472" i="9"/>
  <c r="AZ472" i="9"/>
  <c r="X480" i="9"/>
  <c r="T533" i="9"/>
  <c r="V528" i="9"/>
  <c r="V533" i="9"/>
  <c r="Y570" i="9"/>
  <c r="X572" i="9"/>
  <c r="AZ570" i="9"/>
  <c r="AZ572" i="9"/>
  <c r="Y579" i="9"/>
  <c r="Y578" i="9"/>
  <c r="Y580" i="9"/>
  <c r="AT579" i="9"/>
  <c r="AZ584" i="9"/>
  <c r="Y584" i="9"/>
  <c r="T516" i="9"/>
  <c r="T539" i="9"/>
  <c r="AT144" i="9"/>
  <c r="Y144" i="9"/>
  <c r="Y146" i="9"/>
  <c r="AZ151" i="9"/>
  <c r="AZ152" i="9"/>
  <c r="Y151" i="9"/>
  <c r="Y152" i="9"/>
  <c r="X161" i="9"/>
  <c r="AZ155" i="9"/>
  <c r="Y155" i="9"/>
  <c r="AZ159" i="9"/>
  <c r="Y159" i="9"/>
  <c r="AO166" i="9"/>
  <c r="X174" i="9"/>
  <c r="AZ169" i="9"/>
  <c r="AZ173" i="9"/>
  <c r="AZ174" i="9"/>
  <c r="Y169" i="9"/>
  <c r="Y173" i="9"/>
  <c r="T188" i="9"/>
  <c r="L204" i="9"/>
  <c r="AI203" i="9"/>
  <c r="AT210" i="9"/>
  <c r="Q211" i="9"/>
  <c r="L218" i="9"/>
  <c r="AI217" i="9"/>
  <c r="AO220" i="9"/>
  <c r="K224" i="9"/>
  <c r="AN236" i="9"/>
  <c r="J237" i="9"/>
  <c r="X236" i="9"/>
  <c r="AO241" i="9"/>
  <c r="AO244" i="9"/>
  <c r="AZ331" i="9"/>
  <c r="P220" i="6"/>
  <c r="Y331" i="9"/>
  <c r="W343" i="9"/>
  <c r="AO342" i="9"/>
  <c r="AO336" i="9"/>
  <c r="L344" i="9"/>
  <c r="AO343" i="9"/>
  <c r="AI354" i="9"/>
  <c r="L361" i="9"/>
  <c r="AZ376" i="9"/>
  <c r="AZ379" i="9"/>
  <c r="X379" i="9"/>
  <c r="Y383" i="9"/>
  <c r="Y386" i="9"/>
  <c r="AT386" i="9"/>
  <c r="U400" i="9"/>
  <c r="V395" i="9"/>
  <c r="V400" i="9"/>
  <c r="W409" i="9"/>
  <c r="Y403" i="9"/>
  <c r="AT403" i="9"/>
  <c r="Q499" i="9"/>
  <c r="S499" i="9"/>
  <c r="S493" i="9"/>
  <c r="T509" i="9"/>
  <c r="Y157" i="9"/>
  <c r="Y165" i="9"/>
  <c r="Y171" i="9"/>
  <c r="W489" i="9"/>
  <c r="R175" i="9"/>
  <c r="Y179" i="9"/>
  <c r="Y183" i="9"/>
  <c r="Y185" i="9"/>
  <c r="Y206" i="9"/>
  <c r="W210" i="9"/>
  <c r="AH226" i="9"/>
  <c r="AH228" i="9"/>
  <c r="Y227" i="9"/>
  <c r="Y231" i="9"/>
  <c r="Y235" i="9"/>
  <c r="Y239" i="9"/>
  <c r="Y243" i="9"/>
  <c r="Y317" i="9"/>
  <c r="Y327" i="9"/>
  <c r="Y333" i="9"/>
  <c r="Y337" i="9"/>
  <c r="AZ347" i="9"/>
  <c r="AZ354" i="9"/>
  <c r="J361" i="9"/>
  <c r="X360" i="9"/>
  <c r="W370" i="9"/>
  <c r="AH370" i="9"/>
  <c r="Y406" i="9"/>
  <c r="X407" i="9"/>
  <c r="S421" i="9"/>
  <c r="N421" i="9"/>
  <c r="N422" i="9"/>
  <c r="W416" i="9"/>
  <c r="R422" i="9"/>
  <c r="O422" i="9"/>
  <c r="AZ424" i="9"/>
  <c r="Y424" i="9"/>
  <c r="Y430" i="9"/>
  <c r="AZ447" i="9"/>
  <c r="Y447" i="9"/>
  <c r="T454" i="9"/>
  <c r="T455" i="9"/>
  <c r="V449" i="9"/>
  <c r="V454" i="9"/>
  <c r="AT460" i="9"/>
  <c r="W469" i="9"/>
  <c r="Y476" i="9"/>
  <c r="AZ476" i="9"/>
  <c r="AT479" i="9"/>
  <c r="Y479" i="9"/>
  <c r="AM500" i="9"/>
  <c r="O539" i="9"/>
  <c r="R573" i="9"/>
  <c r="J581" i="9"/>
  <c r="AT587" i="9"/>
  <c r="Y587" i="9"/>
  <c r="T491" i="9"/>
  <c r="AT231" i="9"/>
  <c r="AT236" i="9"/>
  <c r="AT239" i="9"/>
  <c r="AT244" i="9"/>
  <c r="X343" i="9"/>
  <c r="AI359" i="9"/>
  <c r="Y376" i="9"/>
  <c r="Y379" i="9"/>
  <c r="O400" i="9"/>
  <c r="X395" i="9"/>
  <c r="X400" i="9"/>
  <c r="X409" i="9"/>
  <c r="Y411" i="9"/>
  <c r="U422" i="9"/>
  <c r="T461" i="9"/>
  <c r="AT469" i="9"/>
  <c r="V469" i="9"/>
  <c r="AT475" i="9"/>
  <c r="Y475" i="9"/>
  <c r="W490" i="9"/>
  <c r="P490" i="9"/>
  <c r="AH493" i="9"/>
  <c r="AG499" i="9"/>
  <c r="AZ493" i="9"/>
  <c r="AW499" i="9"/>
  <c r="AN494" i="9"/>
  <c r="AK500" i="9"/>
  <c r="AT507" i="9"/>
  <c r="AT508" i="9"/>
  <c r="Y507" i="9"/>
  <c r="AT523" i="9"/>
  <c r="Y523" i="9"/>
  <c r="AT536" i="9"/>
  <c r="AT538" i="9"/>
  <c r="Y536" i="9"/>
  <c r="AO578" i="9"/>
  <c r="AO580" i="9"/>
  <c r="AO577" i="9"/>
  <c r="AO576" i="9"/>
  <c r="AO579" i="9"/>
  <c r="AZ592" i="9"/>
  <c r="Y592" i="9"/>
  <c r="X597" i="9"/>
  <c r="AT430" i="9"/>
  <c r="X441" i="9"/>
  <c r="AZ434" i="9"/>
  <c r="AZ436" i="9"/>
  <c r="Y436" i="9"/>
  <c r="AZ440" i="9"/>
  <c r="Y440" i="9"/>
  <c r="Q455" i="9"/>
  <c r="Q461" i="9"/>
  <c r="AZ464" i="9"/>
  <c r="Y464" i="9"/>
  <c r="W480" i="9"/>
  <c r="V490" i="9"/>
  <c r="AN493" i="9"/>
  <c r="AK499" i="9"/>
  <c r="AN499" i="9"/>
  <c r="S508" i="9"/>
  <c r="R539" i="9"/>
  <c r="L581" i="9"/>
  <c r="AO595" i="9"/>
  <c r="AO593" i="9"/>
  <c r="AO596" i="9"/>
  <c r="AO592" i="9"/>
  <c r="AO597" i="9"/>
  <c r="AO594" i="9"/>
  <c r="W449" i="9"/>
  <c r="O327" i="6"/>
  <c r="Q327" i="6" s="1"/>
  <c r="N454" i="9"/>
  <c r="N455" i="9"/>
  <c r="AZ458" i="9"/>
  <c r="AZ460" i="9"/>
  <c r="Y458" i="9"/>
  <c r="Y460" i="9"/>
  <c r="N461" i="9"/>
  <c r="X460" i="9"/>
  <c r="Z485" i="9"/>
  <c r="Z483" i="9"/>
  <c r="Z484" i="9"/>
  <c r="AN496" i="9"/>
  <c r="Q509" i="9"/>
  <c r="P515" i="9"/>
  <c r="X515" i="9"/>
  <c r="AZ512" i="9"/>
  <c r="Y512" i="9"/>
  <c r="U573" i="9"/>
  <c r="Y434" i="9"/>
  <c r="Y438" i="9"/>
  <c r="Y445" i="9"/>
  <c r="S449" i="9"/>
  <c r="S454" i="9"/>
  <c r="Y468" i="9"/>
  <c r="Y473" i="9"/>
  <c r="Y474" i="9"/>
  <c r="Q481" i="9"/>
  <c r="S490" i="9"/>
  <c r="W493" i="9"/>
  <c r="X493" i="9"/>
  <c r="AF499" i="9"/>
  <c r="AX499" i="9"/>
  <c r="W494" i="9"/>
  <c r="X494" i="9"/>
  <c r="W495" i="9"/>
  <c r="Y495" i="9"/>
  <c r="W496" i="9"/>
  <c r="Y496" i="9"/>
  <c r="W497" i="9"/>
  <c r="Y497" i="9"/>
  <c r="P533" i="9"/>
  <c r="AZ518" i="9"/>
  <c r="AZ520" i="9"/>
  <c r="Y520" i="9"/>
  <c r="AZ524" i="9"/>
  <c r="Y524" i="9"/>
  <c r="U539" i="9"/>
  <c r="AT473" i="9"/>
  <c r="AT480" i="9"/>
  <c r="Y478" i="9"/>
  <c r="AZ506" i="9"/>
  <c r="AZ508" i="9"/>
  <c r="Y506" i="9"/>
  <c r="N509" i="9"/>
  <c r="X508" i="9"/>
  <c r="O516" i="9"/>
  <c r="N533" i="9"/>
  <c r="W528" i="9"/>
  <c r="O383" i="6"/>
  <c r="O162" i="23" s="1"/>
  <c r="R533" i="9"/>
  <c r="S528" i="9"/>
  <c r="S533" i="9"/>
  <c r="X528" i="9"/>
  <c r="X538" i="9"/>
  <c r="AZ535" i="9"/>
  <c r="AZ537" i="9"/>
  <c r="AZ538" i="9"/>
  <c r="Y537" i="9"/>
  <c r="Q573" i="9"/>
  <c r="AT580" i="9"/>
  <c r="Y606" i="9"/>
  <c r="X607" i="9"/>
  <c r="Y504" i="9"/>
  <c r="W508" i="9"/>
  <c r="Y514" i="9"/>
  <c r="R516" i="9"/>
  <c r="Y518" i="9"/>
  <c r="Y522" i="9"/>
  <c r="Y526" i="9"/>
  <c r="Y535" i="9"/>
  <c r="W572" i="9"/>
  <c r="Y571" i="9"/>
  <c r="W580" i="9"/>
  <c r="AH580" i="9"/>
  <c r="AZ580" i="9"/>
  <c r="X589" i="9"/>
  <c r="AZ596" i="9"/>
  <c r="Y596" i="9"/>
  <c r="W607" i="9"/>
  <c r="T573" i="9"/>
  <c r="AI593" i="9"/>
  <c r="AI595" i="9"/>
  <c r="AI594" i="9"/>
  <c r="AI596" i="9"/>
  <c r="AI592" i="9"/>
  <c r="Z626" i="9"/>
  <c r="Z624" i="9"/>
  <c r="Z627" i="9"/>
  <c r="Z625" i="9"/>
  <c r="Z623" i="9"/>
  <c r="Z628" i="9"/>
  <c r="AT570" i="9"/>
  <c r="AT572" i="9"/>
  <c r="AN589" i="9"/>
  <c r="AZ588" i="9"/>
  <c r="Y588" i="9"/>
  <c r="W597" i="9"/>
  <c r="AH607" i="9"/>
  <c r="AZ611" i="9"/>
  <c r="Y611" i="9"/>
  <c r="AN620" i="9"/>
  <c r="AZ615" i="9"/>
  <c r="Y615" i="9"/>
  <c r="AZ619" i="9"/>
  <c r="Y619" i="9"/>
  <c r="X620" i="9"/>
  <c r="Y634" i="9"/>
  <c r="Y636" i="9"/>
  <c r="Y663" i="9"/>
  <c r="Z666" i="9"/>
  <c r="Z668" i="9"/>
  <c r="W589" i="9"/>
  <c r="AI585" i="9"/>
  <c r="AI587" i="9"/>
  <c r="AT583" i="9"/>
  <c r="AI589" i="9"/>
  <c r="Y600" i="9"/>
  <c r="AN607" i="9"/>
  <c r="AI616" i="9"/>
  <c r="AI612" i="9"/>
  <c r="AI618" i="9"/>
  <c r="AI614" i="9"/>
  <c r="AI620" i="9"/>
  <c r="Y643" i="9"/>
  <c r="Y586" i="9"/>
  <c r="AT592" i="9"/>
  <c r="AT597" i="9"/>
  <c r="Y594" i="9"/>
  <c r="AT611" i="9"/>
  <c r="AT620" i="9"/>
  <c r="Y613" i="9"/>
  <c r="Y617" i="9"/>
  <c r="AO15" i="8"/>
  <c r="AO13" i="8"/>
  <c r="AO14" i="8"/>
  <c r="BA20" i="8"/>
  <c r="BA18" i="8"/>
  <c r="BA19" i="8"/>
  <c r="AI26" i="8"/>
  <c r="AI25" i="8"/>
  <c r="AI23" i="8"/>
  <c r="AI24" i="8"/>
  <c r="AU69" i="8"/>
  <c r="AU73" i="8"/>
  <c r="AU71" i="8"/>
  <c r="AU72" i="8"/>
  <c r="AU70" i="8"/>
  <c r="AU68" i="8"/>
  <c r="AI15" i="8"/>
  <c r="AI14" i="8"/>
  <c r="AI20" i="8"/>
  <c r="AI18" i="8"/>
  <c r="AI19" i="8"/>
  <c r="AI13" i="8"/>
  <c r="P97" i="8"/>
  <c r="P89" i="8"/>
  <c r="P82" i="8"/>
  <c r="AO23" i="8"/>
  <c r="AO25" i="8"/>
  <c r="AO24" i="8"/>
  <c r="AO26" i="8"/>
  <c r="AI58" i="8"/>
  <c r="AI57" i="8"/>
  <c r="AI53" i="8"/>
  <c r="AI49" i="8"/>
  <c r="AI45" i="8"/>
  <c r="AI55" i="8"/>
  <c r="AI51" i="8"/>
  <c r="AI47" i="8"/>
  <c r="AI56" i="8"/>
  <c r="AI52" i="8"/>
  <c r="AI48" i="8"/>
  <c r="AI44" i="8"/>
  <c r="AI50" i="8"/>
  <c r="AI54" i="8"/>
  <c r="AI46" i="8"/>
  <c r="AU65" i="8"/>
  <c r="AU63" i="8"/>
  <c r="AU61" i="8"/>
  <c r="AU64" i="8"/>
  <c r="AU62" i="8"/>
  <c r="AU15" i="8"/>
  <c r="AU14" i="8"/>
  <c r="AU13" i="8"/>
  <c r="BA23" i="8"/>
  <c r="BA26" i="8"/>
  <c r="BA24" i="8"/>
  <c r="BA25" i="8"/>
  <c r="AO55" i="8"/>
  <c r="AO51" i="8"/>
  <c r="AO47" i="8"/>
  <c r="AO58" i="8"/>
  <c r="AO57" i="8"/>
  <c r="AO53" i="8"/>
  <c r="AO49" i="8"/>
  <c r="AO45" i="8"/>
  <c r="AO54" i="8"/>
  <c r="AO50" i="8"/>
  <c r="AO46" i="8"/>
  <c r="AO44" i="8"/>
  <c r="AO56" i="8"/>
  <c r="AO48" i="8"/>
  <c r="AO52" i="8"/>
  <c r="AO158" i="8"/>
  <c r="AO161" i="8"/>
  <c r="AO160" i="8"/>
  <c r="AO156" i="8"/>
  <c r="AO157" i="8"/>
  <c r="AO155" i="8"/>
  <c r="AO159" i="8"/>
  <c r="BA370" i="8"/>
  <c r="BA369" i="8"/>
  <c r="BA363" i="8"/>
  <c r="BA364" i="8"/>
  <c r="BA368" i="8"/>
  <c r="AO20" i="8"/>
  <c r="AO18" i="8"/>
  <c r="Y31" i="8"/>
  <c r="AT31" i="8"/>
  <c r="AZ56" i="8"/>
  <c r="Y56" i="8"/>
  <c r="AO145" i="8"/>
  <c r="AO141" i="8"/>
  <c r="AO137" i="8"/>
  <c r="AO143" i="8"/>
  <c r="AO139" i="8"/>
  <c r="AO140" i="8"/>
  <c r="AO147" i="8"/>
  <c r="AO142" i="8"/>
  <c r="AT139" i="8"/>
  <c r="O153" i="8"/>
  <c r="BA164" i="8"/>
  <c r="BA165" i="8"/>
  <c r="BA166" i="8"/>
  <c r="Q489" i="8"/>
  <c r="Q175" i="8"/>
  <c r="W177" i="8"/>
  <c r="Y177" i="8"/>
  <c r="P177" i="8"/>
  <c r="AT182" i="8"/>
  <c r="Y182" i="8"/>
  <c r="AU203" i="8"/>
  <c r="AU201" i="8"/>
  <c r="AU200" i="8"/>
  <c r="BA226" i="8"/>
  <c r="AI357" i="8"/>
  <c r="AI360" i="8"/>
  <c r="AI359" i="8"/>
  <c r="AI358" i="8"/>
  <c r="Z648" i="8"/>
  <c r="Z646" i="8"/>
  <c r="Z649" i="8"/>
  <c r="Z650" i="8"/>
  <c r="T573" i="8"/>
  <c r="T509" i="8"/>
  <c r="M58" i="8"/>
  <c r="AT49" i="8"/>
  <c r="Z85" i="8"/>
  <c r="Y137" i="8"/>
  <c r="AT137" i="8"/>
  <c r="AI161" i="8"/>
  <c r="AI160" i="8"/>
  <c r="AI156" i="8"/>
  <c r="AI158" i="8"/>
  <c r="AI159" i="8"/>
  <c r="AI155" i="8"/>
  <c r="X187" i="8"/>
  <c r="AI195" i="8"/>
  <c r="AI197" i="8"/>
  <c r="AI194" i="8"/>
  <c r="L218" i="8"/>
  <c r="AH227" i="8"/>
  <c r="Y227" i="8"/>
  <c r="Y228" i="8"/>
  <c r="AO236" i="8"/>
  <c r="AO235" i="8"/>
  <c r="AO231" i="8"/>
  <c r="AO232" i="8"/>
  <c r="AO234" i="8"/>
  <c r="AO233" i="8"/>
  <c r="BA244" i="8"/>
  <c r="BA243" i="8"/>
  <c r="BA239" i="8"/>
  <c r="BA240" i="8"/>
  <c r="BA242" i="8"/>
  <c r="BA241" i="8"/>
  <c r="N400" i="8"/>
  <c r="W395" i="8"/>
  <c r="K279" i="6"/>
  <c r="P395" i="8"/>
  <c r="T539" i="8"/>
  <c r="AT570" i="8"/>
  <c r="W572" i="8"/>
  <c r="Y570" i="8"/>
  <c r="AO580" i="8"/>
  <c r="AO579" i="8"/>
  <c r="AO576" i="8"/>
  <c r="AO578" i="8"/>
  <c r="AO577" i="8"/>
  <c r="L581" i="8"/>
  <c r="X15" i="8"/>
  <c r="AZ13" i="8"/>
  <c r="AZ15" i="8"/>
  <c r="Y14" i="8"/>
  <c r="Y15" i="8"/>
  <c r="J229" i="8"/>
  <c r="J361" i="8"/>
  <c r="J237" i="8"/>
  <c r="J218" i="8"/>
  <c r="J198" i="8"/>
  <c r="W15" i="8"/>
  <c r="Y18" i="8"/>
  <c r="AT18" i="8"/>
  <c r="AT20" i="8"/>
  <c r="Y19" i="8"/>
  <c r="Q509" i="8"/>
  <c r="Q408" i="8"/>
  <c r="Q211" i="8"/>
  <c r="Q188" i="8"/>
  <c r="U539" i="8"/>
  <c r="U380" i="8"/>
  <c r="U408" i="8"/>
  <c r="U516" i="8"/>
  <c r="U188" i="8"/>
  <c r="Y23" i="8"/>
  <c r="AT23" i="8"/>
  <c r="AT26" i="8"/>
  <c r="Y24" i="8"/>
  <c r="M30" i="8"/>
  <c r="Q42" i="8"/>
  <c r="W58" i="8"/>
  <c r="Y45" i="8"/>
  <c r="AT45" i="8"/>
  <c r="AZ48" i="8"/>
  <c r="Y48" i="8"/>
  <c r="Y116" i="8"/>
  <c r="AZ142" i="8"/>
  <c r="Y142" i="8"/>
  <c r="Y145" i="8"/>
  <c r="AT145" i="8"/>
  <c r="AO146" i="8"/>
  <c r="W161" i="8"/>
  <c r="Y156" i="8"/>
  <c r="AT156" i="8"/>
  <c r="AT160" i="8"/>
  <c r="AT161" i="8"/>
  <c r="S177" i="8"/>
  <c r="AO194" i="8"/>
  <c r="AO195" i="8"/>
  <c r="AO197" i="8"/>
  <c r="Y240" i="8"/>
  <c r="AT240" i="8"/>
  <c r="L324" i="8"/>
  <c r="X407" i="8"/>
  <c r="Y402" i="8"/>
  <c r="AZ402" i="8"/>
  <c r="L361" i="8"/>
  <c r="L355" i="8"/>
  <c r="L229" i="8"/>
  <c r="L148" i="8"/>
  <c r="O539" i="8"/>
  <c r="O516" i="8"/>
  <c r="O408" i="8"/>
  <c r="O188" i="8"/>
  <c r="O380" i="8"/>
  <c r="L27" i="8"/>
  <c r="AT53" i="8"/>
  <c r="S89" i="8"/>
  <c r="AU174" i="8"/>
  <c r="AU172" i="8"/>
  <c r="AU170" i="8"/>
  <c r="W187" i="8"/>
  <c r="AT178" i="8"/>
  <c r="Y178" i="8"/>
  <c r="AT180" i="8"/>
  <c r="Y180" i="8"/>
  <c r="Y186" i="8"/>
  <c r="AZ186" i="8"/>
  <c r="AO221" i="8"/>
  <c r="AO220" i="8"/>
  <c r="J33" i="8"/>
  <c r="AH30" i="8"/>
  <c r="AH33" i="8"/>
  <c r="AT38" i="8"/>
  <c r="AZ52" i="8"/>
  <c r="Y52" i="8"/>
  <c r="X73" i="8"/>
  <c r="AZ68" i="8"/>
  <c r="O74" i="8"/>
  <c r="Y96" i="8"/>
  <c r="S97" i="8"/>
  <c r="S117" i="8"/>
  <c r="AO138" i="8"/>
  <c r="AU152" i="8"/>
  <c r="AU150" i="8"/>
  <c r="S174" i="8"/>
  <c r="AU173" i="8"/>
  <c r="L204" i="8"/>
  <c r="T211" i="8"/>
  <c r="AH228" i="8"/>
  <c r="W228" i="8"/>
  <c r="AN31" i="8"/>
  <c r="AN33" i="8"/>
  <c r="K33" i="8"/>
  <c r="V97" i="8"/>
  <c r="V89" i="8"/>
  <c r="V82" i="8"/>
  <c r="AO19" i="8"/>
  <c r="M31" i="8"/>
  <c r="Y38" i="8"/>
  <c r="Y39" i="8"/>
  <c r="AT39" i="8"/>
  <c r="Y40" i="8"/>
  <c r="X41" i="8"/>
  <c r="X58" i="8"/>
  <c r="AZ44" i="8"/>
  <c r="Y44" i="8"/>
  <c r="AT57" i="8"/>
  <c r="O66" i="8"/>
  <c r="AZ70" i="8"/>
  <c r="Y70" i="8"/>
  <c r="Y71" i="8"/>
  <c r="W73" i="8"/>
  <c r="P121" i="8"/>
  <c r="AH147" i="8"/>
  <c r="M147" i="8"/>
  <c r="AO144" i="8"/>
  <c r="J162" i="8"/>
  <c r="AU164" i="8"/>
  <c r="AU165" i="8"/>
  <c r="AU166" i="8"/>
  <c r="V174" i="8"/>
  <c r="AU169" i="8"/>
  <c r="O489" i="8"/>
  <c r="P489" i="8"/>
  <c r="P491" i="8"/>
  <c r="O175" i="8"/>
  <c r="U175" i="8"/>
  <c r="U489" i="8"/>
  <c r="U491" i="8"/>
  <c r="T175" i="8"/>
  <c r="P187" i="8"/>
  <c r="AZ181" i="8"/>
  <c r="Y181" i="8"/>
  <c r="L224" i="8"/>
  <c r="AI233" i="8"/>
  <c r="AI236" i="8"/>
  <c r="AI235" i="8"/>
  <c r="AI231" i="8"/>
  <c r="AI232" i="8"/>
  <c r="AT239" i="8"/>
  <c r="Y239" i="8"/>
  <c r="W244" i="8"/>
  <c r="AO244" i="8"/>
  <c r="AO243" i="8"/>
  <c r="AO239" i="8"/>
  <c r="AO242" i="8"/>
  <c r="AO241" i="8"/>
  <c r="AO240" i="8"/>
  <c r="AT243" i="8"/>
  <c r="Y243" i="8"/>
  <c r="AT353" i="8"/>
  <c r="Y353" i="8"/>
  <c r="W354" i="8"/>
  <c r="Y364" i="8"/>
  <c r="W370" i="8"/>
  <c r="AZ41" i="8"/>
  <c r="T42" i="8"/>
  <c r="X65" i="8"/>
  <c r="AZ62" i="8"/>
  <c r="AZ64" i="8"/>
  <c r="AZ65" i="8"/>
  <c r="Y64" i="8"/>
  <c r="U74" i="8"/>
  <c r="Y81" i="8"/>
  <c r="Y119" i="8"/>
  <c r="W147" i="8"/>
  <c r="L167" i="8"/>
  <c r="AI166" i="8"/>
  <c r="AI203" i="8"/>
  <c r="AI201" i="8"/>
  <c r="AI200" i="8"/>
  <c r="J204" i="8"/>
  <c r="W210" i="8"/>
  <c r="AT206" i="8"/>
  <c r="AT210" i="8"/>
  <c r="BA223" i="8"/>
  <c r="BA221" i="8"/>
  <c r="BA220" i="8"/>
  <c r="AO227" i="8"/>
  <c r="AO228" i="8"/>
  <c r="AT233" i="8"/>
  <c r="Y233" i="8"/>
  <c r="AZ234" i="8"/>
  <c r="AZ236" i="8"/>
  <c r="M323" i="8"/>
  <c r="AZ332" i="8"/>
  <c r="L221" i="6"/>
  <c r="Y332" i="8"/>
  <c r="J334" i="8"/>
  <c r="AT354" i="8"/>
  <c r="AT392" i="8"/>
  <c r="Y392" i="8"/>
  <c r="AT412" i="8"/>
  <c r="Y412" i="8"/>
  <c r="AT414" i="8"/>
  <c r="Y414" i="8"/>
  <c r="AU424" i="8"/>
  <c r="AU430" i="8"/>
  <c r="AU429" i="8"/>
  <c r="AU425" i="8"/>
  <c r="V430" i="8"/>
  <c r="V441" i="8"/>
  <c r="AZ437" i="8"/>
  <c r="Y437" i="8"/>
  <c r="AW499" i="8"/>
  <c r="AZ499" i="8"/>
  <c r="AZ493" i="8"/>
  <c r="X496" i="8"/>
  <c r="Y496" i="8"/>
  <c r="AZ138" i="8"/>
  <c r="AZ146" i="8"/>
  <c r="AZ147" i="8"/>
  <c r="Y138" i="8"/>
  <c r="Y146" i="8"/>
  <c r="X147" i="8"/>
  <c r="AZ151" i="8"/>
  <c r="AZ152" i="8"/>
  <c r="Y151" i="8"/>
  <c r="Y152" i="8"/>
  <c r="X161" i="8"/>
  <c r="AZ155" i="8"/>
  <c r="AZ159" i="8"/>
  <c r="AZ161" i="8"/>
  <c r="Y155" i="8"/>
  <c r="Y159" i="8"/>
  <c r="AO166" i="8"/>
  <c r="X174" i="8"/>
  <c r="AZ169" i="8"/>
  <c r="Y169" i="8"/>
  <c r="AZ173" i="8"/>
  <c r="Y173" i="8"/>
  <c r="O211" i="8"/>
  <c r="L237" i="8"/>
  <c r="AI241" i="8"/>
  <c r="AI242" i="8"/>
  <c r="J245" i="8"/>
  <c r="AZ342" i="8"/>
  <c r="L230" i="6"/>
  <c r="Y342" i="8"/>
  <c r="J344" i="8"/>
  <c r="AO351" i="8"/>
  <c r="AO347" i="8"/>
  <c r="AO354" i="8"/>
  <c r="AO352" i="8"/>
  <c r="AO348" i="8"/>
  <c r="AO350" i="8"/>
  <c r="AO353" i="8"/>
  <c r="AO349" i="8"/>
  <c r="AO346" i="8"/>
  <c r="AO360" i="8"/>
  <c r="AO359" i="8"/>
  <c r="AO358" i="8"/>
  <c r="AO357" i="8"/>
  <c r="AT378" i="8"/>
  <c r="AT379" i="8"/>
  <c r="Y378" i="8"/>
  <c r="R400" i="8"/>
  <c r="X395" i="8"/>
  <c r="X400" i="8"/>
  <c r="O421" i="8"/>
  <c r="O422" i="8"/>
  <c r="X416" i="8"/>
  <c r="AE500" i="8"/>
  <c r="AH500" i="8"/>
  <c r="AH494" i="8"/>
  <c r="T188" i="8"/>
  <c r="AO203" i="8"/>
  <c r="AO200" i="8"/>
  <c r="AI217" i="8"/>
  <c r="AI215" i="8"/>
  <c r="M236" i="8"/>
  <c r="L245" i="8"/>
  <c r="W323" i="8"/>
  <c r="Y322" i="8"/>
  <c r="J324" i="8"/>
  <c r="W333" i="8"/>
  <c r="Y347" i="8"/>
  <c r="AZ347" i="8"/>
  <c r="AZ350" i="8"/>
  <c r="AZ358" i="8"/>
  <c r="AZ360" i="8"/>
  <c r="X379" i="8"/>
  <c r="AZ425" i="8"/>
  <c r="Y425" i="8"/>
  <c r="U455" i="8"/>
  <c r="Y473" i="8"/>
  <c r="AZ473" i="8"/>
  <c r="X499" i="8"/>
  <c r="T499" i="8"/>
  <c r="V499" i="8"/>
  <c r="V493" i="8"/>
  <c r="W533" i="8"/>
  <c r="AT518" i="8"/>
  <c r="L334" i="8"/>
  <c r="L344" i="8"/>
  <c r="AI368" i="8"/>
  <c r="AI369" i="8"/>
  <c r="AI363" i="8"/>
  <c r="AZ433" i="8"/>
  <c r="Y433" i="8"/>
  <c r="X441" i="8"/>
  <c r="P496" i="8"/>
  <c r="O500" i="8"/>
  <c r="Q539" i="8"/>
  <c r="J581" i="8"/>
  <c r="R539" i="8"/>
  <c r="Y46" i="8"/>
  <c r="Y50" i="8"/>
  <c r="Y54" i="8"/>
  <c r="Y62" i="8"/>
  <c r="Y65" i="8"/>
  <c r="Y68" i="8"/>
  <c r="Y72" i="8"/>
  <c r="AT138" i="8"/>
  <c r="Y140" i="8"/>
  <c r="Y144" i="8"/>
  <c r="Y157" i="8"/>
  <c r="Y165" i="8"/>
  <c r="Y166" i="8"/>
  <c r="Y171" i="8"/>
  <c r="N491" i="8"/>
  <c r="W489" i="8"/>
  <c r="R175" i="8"/>
  <c r="Y179" i="8"/>
  <c r="Y183" i="8"/>
  <c r="Y185" i="8"/>
  <c r="P210" i="8"/>
  <c r="X210" i="8"/>
  <c r="AZ206" i="8"/>
  <c r="AZ210" i="8"/>
  <c r="Y208" i="8"/>
  <c r="Y209" i="8"/>
  <c r="U211" i="8"/>
  <c r="J224" i="8"/>
  <c r="Y231" i="8"/>
  <c r="AT231" i="8"/>
  <c r="AT236" i="8"/>
  <c r="Y232" i="8"/>
  <c r="Y235" i="8"/>
  <c r="Y316" i="8"/>
  <c r="AN323" i="8"/>
  <c r="AH333" i="8"/>
  <c r="AZ336" i="8"/>
  <c r="L224" i="6"/>
  <c r="Y336" i="8"/>
  <c r="AN343" i="8"/>
  <c r="M354" i="8"/>
  <c r="AH354" i="8"/>
  <c r="W360" i="8"/>
  <c r="AT357" i="8"/>
  <c r="AT360" i="8"/>
  <c r="Y369" i="8"/>
  <c r="S379" i="8"/>
  <c r="V395" i="8"/>
  <c r="V400" i="8"/>
  <c r="W400" i="8"/>
  <c r="S407" i="8"/>
  <c r="T408" i="8"/>
  <c r="S421" i="8"/>
  <c r="P430" i="8"/>
  <c r="X430" i="8"/>
  <c r="AZ448" i="8"/>
  <c r="Y448" i="8"/>
  <c r="P460" i="8"/>
  <c r="X460" i="8"/>
  <c r="AZ457" i="8"/>
  <c r="AU460" i="8"/>
  <c r="AU458" i="8"/>
  <c r="X469" i="8"/>
  <c r="AZ463" i="8"/>
  <c r="R470" i="8"/>
  <c r="Z484" i="8"/>
  <c r="Z485" i="8"/>
  <c r="Z483" i="8"/>
  <c r="Z486" i="8"/>
  <c r="Y514" i="8"/>
  <c r="Y524" i="8"/>
  <c r="AZ538" i="8"/>
  <c r="N573" i="8"/>
  <c r="R573" i="8"/>
  <c r="AH580" i="8"/>
  <c r="Y578" i="8"/>
  <c r="AZ578" i="8"/>
  <c r="AZ579" i="8"/>
  <c r="AZ580" i="8"/>
  <c r="AO595" i="8"/>
  <c r="AO593" i="8"/>
  <c r="AO596" i="8"/>
  <c r="AO592" i="8"/>
  <c r="AO597" i="8"/>
  <c r="AO594" i="8"/>
  <c r="T491" i="8"/>
  <c r="V187" i="8"/>
  <c r="L198" i="8"/>
  <c r="K204" i="8"/>
  <c r="AI221" i="8"/>
  <c r="M244" i="8"/>
  <c r="AH323" i="8"/>
  <c r="AZ326" i="8"/>
  <c r="Y326" i="8"/>
  <c r="Y333" i="8"/>
  <c r="AN333" i="8"/>
  <c r="AH343" i="8"/>
  <c r="X354" i="8"/>
  <c r="Y346" i="8"/>
  <c r="Y351" i="8"/>
  <c r="AZ351" i="8"/>
  <c r="J355" i="8"/>
  <c r="AO370" i="8"/>
  <c r="AO369" i="8"/>
  <c r="AO363" i="8"/>
  <c r="AO368" i="8"/>
  <c r="AZ379" i="8"/>
  <c r="P400" i="8"/>
  <c r="AZ383" i="8"/>
  <c r="AZ404" i="8"/>
  <c r="X443" i="8"/>
  <c r="AT411" i="8"/>
  <c r="W421" i="8"/>
  <c r="Y411" i="8"/>
  <c r="AZ459" i="8"/>
  <c r="Y459" i="8"/>
  <c r="U461" i="8"/>
  <c r="W480" i="8"/>
  <c r="AT472" i="8"/>
  <c r="AT480" i="8"/>
  <c r="Q500" i="8"/>
  <c r="W494" i="8"/>
  <c r="U500" i="8"/>
  <c r="X494" i="8"/>
  <c r="AT508" i="8"/>
  <c r="AT528" i="8"/>
  <c r="AU577" i="8"/>
  <c r="AU576" i="8"/>
  <c r="AU578" i="8"/>
  <c r="AU579" i="8"/>
  <c r="AZ592" i="8"/>
  <c r="AZ597" i="8"/>
  <c r="Y592" i="8"/>
  <c r="X597" i="8"/>
  <c r="AT326" i="8"/>
  <c r="AT336" i="8"/>
  <c r="K355" i="8"/>
  <c r="Y359" i="8"/>
  <c r="Y360" i="8"/>
  <c r="Q380" i="8"/>
  <c r="Y386" i="8"/>
  <c r="Y387" i="8"/>
  <c r="Y394" i="8"/>
  <c r="S395" i="8"/>
  <c r="S400" i="8"/>
  <c r="AT403" i="8"/>
  <c r="AT407" i="8"/>
  <c r="Y424" i="8"/>
  <c r="Y429" i="8"/>
  <c r="Y430" i="8"/>
  <c r="Y445" i="8"/>
  <c r="X449" i="8"/>
  <c r="L327" i="6"/>
  <c r="L328" i="6" s="1"/>
  <c r="P449" i="8"/>
  <c r="P454" i="8"/>
  <c r="R461" i="8"/>
  <c r="R481" i="8"/>
  <c r="W490" i="8"/>
  <c r="AL499" i="8"/>
  <c r="AN499" i="8"/>
  <c r="AZ495" i="8"/>
  <c r="AH496" i="8"/>
  <c r="Q499" i="8"/>
  <c r="S499" i="8"/>
  <c r="S508" i="8"/>
  <c r="Y504" i="8"/>
  <c r="O509" i="8"/>
  <c r="S538" i="8"/>
  <c r="Y583" i="8"/>
  <c r="AT583" i="8"/>
  <c r="AT589" i="8"/>
  <c r="Y585" i="8"/>
  <c r="Y348" i="8"/>
  <c r="Y352" i="8"/>
  <c r="M360" i="8"/>
  <c r="X370" i="8"/>
  <c r="Y377" i="8"/>
  <c r="W379" i="8"/>
  <c r="Y383" i="8"/>
  <c r="Y391" i="8"/>
  <c r="W443" i="8"/>
  <c r="Y404" i="8"/>
  <c r="AZ413" i="8"/>
  <c r="Y413" i="8"/>
  <c r="T422" i="8"/>
  <c r="R455" i="8"/>
  <c r="AZ453" i="8"/>
  <c r="Y453" i="8"/>
  <c r="O455" i="8"/>
  <c r="O461" i="8"/>
  <c r="Y463" i="8"/>
  <c r="Y469" i="8"/>
  <c r="O481" i="8"/>
  <c r="P499" i="8"/>
  <c r="AK500" i="8"/>
  <c r="AN500" i="8"/>
  <c r="AN494" i="8"/>
  <c r="AN498" i="8"/>
  <c r="S515" i="8"/>
  <c r="T516" i="8"/>
  <c r="O533" i="8"/>
  <c r="X528" i="8"/>
  <c r="W538" i="8"/>
  <c r="AT535" i="8"/>
  <c r="AT538" i="8"/>
  <c r="Y415" i="8"/>
  <c r="Y435" i="8"/>
  <c r="Y439" i="8"/>
  <c r="Y446" i="8"/>
  <c r="V449" i="8"/>
  <c r="V454" i="8"/>
  <c r="Y457" i="8"/>
  <c r="Y478" i="8"/>
  <c r="Y479" i="8"/>
  <c r="U481" i="8"/>
  <c r="X493" i="8"/>
  <c r="Y493" i="8"/>
  <c r="AG499" i="8"/>
  <c r="AW500" i="8"/>
  <c r="AH495" i="8"/>
  <c r="X497" i="8"/>
  <c r="Y497" i="8"/>
  <c r="P497" i="8"/>
  <c r="V497" i="8"/>
  <c r="AH497" i="8"/>
  <c r="AZ497" i="8"/>
  <c r="U509" i="8"/>
  <c r="AZ513" i="8"/>
  <c r="Y513" i="8"/>
  <c r="N516" i="8"/>
  <c r="X515" i="8"/>
  <c r="R516" i="8"/>
  <c r="P528" i="8"/>
  <c r="P533" i="8"/>
  <c r="S528" i="8"/>
  <c r="S533" i="8"/>
  <c r="X533" i="8"/>
  <c r="N539" i="8"/>
  <c r="X538" i="8"/>
  <c r="Q573" i="8"/>
  <c r="U573" i="8"/>
  <c r="Y577" i="8"/>
  <c r="Y579" i="8"/>
  <c r="X580" i="8"/>
  <c r="Y587" i="8"/>
  <c r="W469" i="8"/>
  <c r="AT463" i="8"/>
  <c r="P480" i="8"/>
  <c r="X480" i="8"/>
  <c r="AZ472" i="8"/>
  <c r="Y475" i="8"/>
  <c r="AE499" i="8"/>
  <c r="AH493" i="8"/>
  <c r="T500" i="8"/>
  <c r="V500" i="8"/>
  <c r="V494" i="8"/>
  <c r="AY500" i="8"/>
  <c r="X508" i="8"/>
  <c r="AZ505" i="8"/>
  <c r="AZ507" i="8"/>
  <c r="Y507" i="8"/>
  <c r="AZ521" i="8"/>
  <c r="Y521" i="8"/>
  <c r="AZ525" i="8"/>
  <c r="Y525" i="8"/>
  <c r="U533" i="8"/>
  <c r="V528" i="8"/>
  <c r="V533" i="8"/>
  <c r="Y546" i="8"/>
  <c r="Y571" i="8"/>
  <c r="AT571" i="8"/>
  <c r="M580" i="8"/>
  <c r="K581" i="8"/>
  <c r="X607" i="8"/>
  <c r="Y505" i="8"/>
  <c r="R509" i="8"/>
  <c r="Y511" i="8"/>
  <c r="W515" i="8"/>
  <c r="Q516" i="8"/>
  <c r="Y519" i="8"/>
  <c r="Y523" i="8"/>
  <c r="Y536" i="8"/>
  <c r="Y538" i="8"/>
  <c r="P572" i="8"/>
  <c r="X572" i="8"/>
  <c r="O573" i="8"/>
  <c r="AI585" i="8"/>
  <c r="AI587" i="8"/>
  <c r="AI589" i="8"/>
  <c r="AZ584" i="8"/>
  <c r="AZ588" i="8"/>
  <c r="AZ589" i="8"/>
  <c r="Y584" i="8"/>
  <c r="AI586" i="8"/>
  <c r="AI588" i="8"/>
  <c r="W607" i="8"/>
  <c r="Y576" i="8"/>
  <c r="AN589" i="8"/>
  <c r="AI593" i="8"/>
  <c r="AI595" i="8"/>
  <c r="AI594" i="8"/>
  <c r="AI596" i="8"/>
  <c r="AI592" i="8"/>
  <c r="Z626" i="8"/>
  <c r="Z624" i="8"/>
  <c r="Z627" i="8"/>
  <c r="Z625" i="8"/>
  <c r="Z623" i="8"/>
  <c r="Z628" i="8"/>
  <c r="Y588" i="8"/>
  <c r="W597" i="8"/>
  <c r="Y596" i="8"/>
  <c r="AH607" i="8"/>
  <c r="AN620" i="8"/>
  <c r="X620" i="8"/>
  <c r="Y634" i="8"/>
  <c r="Y636" i="8"/>
  <c r="Y663" i="8"/>
  <c r="Z666" i="8"/>
  <c r="Z668" i="8"/>
  <c r="Y600" i="8"/>
  <c r="AN607" i="8"/>
  <c r="Y606" i="8"/>
  <c r="AI616" i="8"/>
  <c r="AI612" i="8"/>
  <c r="AI618" i="8"/>
  <c r="AI614" i="8"/>
  <c r="AZ613" i="8"/>
  <c r="Y613" i="8"/>
  <c r="AZ617" i="8"/>
  <c r="Y617" i="8"/>
  <c r="AI620" i="8"/>
  <c r="Y643" i="8"/>
  <c r="Y586" i="8"/>
  <c r="AT592" i="8"/>
  <c r="Y594" i="8"/>
  <c r="AT596" i="8"/>
  <c r="AT611" i="8"/>
  <c r="AT615" i="8"/>
  <c r="AT619" i="8"/>
  <c r="W620" i="8"/>
  <c r="G236" i="7"/>
  <c r="G239" i="7"/>
  <c r="AI239" i="7" s="1"/>
  <c r="H234" i="7"/>
  <c r="G237" i="7"/>
  <c r="H198" i="7"/>
  <c r="G200" i="7"/>
  <c r="G198" i="7"/>
  <c r="AZ305" i="3"/>
  <c r="H238" i="7"/>
  <c r="Y302" i="3"/>
  <c r="Y301" i="3"/>
  <c r="I198" i="7"/>
  <c r="G240" i="7"/>
  <c r="Y305" i="3"/>
  <c r="Y299" i="3"/>
  <c r="G234" i="7"/>
  <c r="H200" i="7"/>
  <c r="AT231" i="3"/>
  <c r="G197" i="7"/>
  <c r="BA197" i="7" s="1"/>
  <c r="H197" i="7"/>
  <c r="BI197" i="7" s="1"/>
  <c r="I197" i="7"/>
  <c r="Y304" i="3"/>
  <c r="Y298" i="3"/>
  <c r="AT305" i="3"/>
  <c r="H240" i="7"/>
  <c r="H241" i="7"/>
  <c r="AZ306" i="3"/>
  <c r="G199" i="7"/>
  <c r="BA199" i="7" s="1"/>
  <c r="H199" i="7"/>
  <c r="BI199" i="7" s="1"/>
  <c r="Y306" i="3"/>
  <c r="Y300" i="3"/>
  <c r="AT306" i="3"/>
  <c r="H236" i="7"/>
  <c r="Y303" i="3"/>
  <c r="AZ304" i="3"/>
  <c r="G238" i="7"/>
  <c r="V232" i="3"/>
  <c r="G196" i="7"/>
  <c r="AT226" i="3"/>
  <c r="AT232" i="3"/>
  <c r="G195" i="7"/>
  <c r="AZ227" i="3"/>
  <c r="H196" i="7"/>
  <c r="P232" i="3"/>
  <c r="X232" i="3"/>
  <c r="S232" i="3"/>
  <c r="Y226" i="3"/>
  <c r="W232" i="3"/>
  <c r="AZ226" i="3"/>
  <c r="Y227" i="3"/>
  <c r="Y231" i="3"/>
  <c r="AJ16" i="7"/>
  <c r="AI16" i="7"/>
  <c r="AG16" i="7"/>
  <c r="AC16" i="7"/>
  <c r="AD16" i="7"/>
  <c r="Y16" i="7"/>
  <c r="U16" i="7"/>
  <c r="V16" i="7"/>
  <c r="Q16" i="7"/>
  <c r="M16" i="7"/>
  <c r="I16" i="7"/>
  <c r="J16" i="7"/>
  <c r="AG12" i="7"/>
  <c r="AC12" i="7"/>
  <c r="Y12" i="7"/>
  <c r="U12" i="7"/>
  <c r="Q12" i="7"/>
  <c r="Q13" i="7" s="1"/>
  <c r="M12" i="7"/>
  <c r="I12" i="7"/>
  <c r="AG11" i="7"/>
  <c r="AG13" i="7" s="1"/>
  <c r="AC11" i="7"/>
  <c r="AC15" i="7" s="1"/>
  <c r="Y11" i="7"/>
  <c r="U11" i="7"/>
  <c r="Q11" i="7"/>
  <c r="M11" i="7"/>
  <c r="I11" i="7"/>
  <c r="Z212" i="18"/>
  <c r="Z214" i="18"/>
  <c r="BA287" i="18"/>
  <c r="BA283" i="18"/>
  <c r="BA285" i="18"/>
  <c r="AU292" i="17"/>
  <c r="AU283" i="17"/>
  <c r="Z286" i="17"/>
  <c r="Z284" i="17"/>
  <c r="Z231" i="17"/>
  <c r="Z218" i="17"/>
  <c r="Z226" i="17"/>
  <c r="Z222" i="17"/>
  <c r="Z232" i="17"/>
  <c r="Z217" i="17"/>
  <c r="AU293" i="17"/>
  <c r="AU294" i="17"/>
  <c r="AU290" i="17"/>
  <c r="AU238" i="17"/>
  <c r="AU235" i="17"/>
  <c r="Z218" i="16"/>
  <c r="Z222" i="16"/>
  <c r="BA201" i="16"/>
  <c r="BA199" i="16"/>
  <c r="Z286" i="15"/>
  <c r="Z287" i="15"/>
  <c r="Z213" i="15"/>
  <c r="Z194" i="15"/>
  <c r="Z318" i="14"/>
  <c r="Z544" i="12"/>
  <c r="BA538" i="12"/>
  <c r="BA537" i="12"/>
  <c r="BA570" i="12"/>
  <c r="BA571" i="12"/>
  <c r="BA572" i="12"/>
  <c r="AZ515" i="12"/>
  <c r="Y430" i="12"/>
  <c r="AT379" i="12"/>
  <c r="AA353" i="6"/>
  <c r="BA150" i="12"/>
  <c r="AT152" i="12"/>
  <c r="Y152" i="12"/>
  <c r="BA152" i="12"/>
  <c r="S82" i="12"/>
  <c r="Y538" i="12"/>
  <c r="Z538" i="12"/>
  <c r="AZ407" i="12"/>
  <c r="Y407" i="12"/>
  <c r="X491" i="12"/>
  <c r="Z655" i="11"/>
  <c r="Z660" i="11"/>
  <c r="Y210" i="11"/>
  <c r="AU463" i="11"/>
  <c r="AT460" i="11"/>
  <c r="Y416" i="11"/>
  <c r="S491" i="11"/>
  <c r="AT187" i="11"/>
  <c r="Y174" i="11"/>
  <c r="AU152" i="11"/>
  <c r="Z657" i="11"/>
  <c r="Z654" i="11"/>
  <c r="Z662" i="11"/>
  <c r="Z659" i="11"/>
  <c r="Z656" i="11"/>
  <c r="Z663" i="11"/>
  <c r="AT177" i="11"/>
  <c r="AU150" i="11"/>
  <c r="Y210" i="10"/>
  <c r="BA207" i="10"/>
  <c r="BA209" i="10"/>
  <c r="BA210" i="10"/>
  <c r="BA208" i="10"/>
  <c r="BA206" i="10"/>
  <c r="Y187" i="10"/>
  <c r="Z187" i="10"/>
  <c r="Y20" i="10"/>
  <c r="AZ460" i="10"/>
  <c r="Y460" i="10"/>
  <c r="AZ187" i="10"/>
  <c r="BA183" i="10"/>
  <c r="Y177" i="10"/>
  <c r="BA150" i="10"/>
  <c r="P97" i="10"/>
  <c r="AZ20" i="10"/>
  <c r="BA18" i="10"/>
  <c r="Y515" i="9"/>
  <c r="AZ515" i="9"/>
  <c r="P491" i="9"/>
  <c r="Y572" i="8"/>
  <c r="Y460" i="8"/>
  <c r="Y407" i="8"/>
  <c r="Z87" i="8"/>
  <c r="Z84" i="8"/>
  <c r="Z88" i="8"/>
  <c r="AZ515" i="8"/>
  <c r="AZ441" i="8"/>
  <c r="Y379" i="8"/>
  <c r="Y20" i="8"/>
  <c r="AB356" i="6"/>
  <c r="Z649" i="13"/>
  <c r="Z646" i="13"/>
  <c r="Z650" i="13"/>
  <c r="Z648" i="13"/>
  <c r="AU53" i="11"/>
  <c r="AU51" i="11"/>
  <c r="AU48" i="11"/>
  <c r="AU46" i="11"/>
  <c r="AU57" i="11"/>
  <c r="AU52" i="11"/>
  <c r="AU49" i="11"/>
  <c r="AU47" i="11"/>
  <c r="AU44" i="11"/>
  <c r="AU55" i="11"/>
  <c r="AU50" i="11"/>
  <c r="AU58" i="11"/>
  <c r="AU45" i="11"/>
  <c r="AU56" i="11"/>
  <c r="AU54" i="11"/>
  <c r="AU458" i="12"/>
  <c r="AU459" i="12"/>
  <c r="AU457" i="12"/>
  <c r="AU460" i="12"/>
  <c r="AU376" i="12"/>
  <c r="AU378" i="12"/>
  <c r="AU379" i="12"/>
  <c r="AU377" i="12"/>
  <c r="BA403" i="9"/>
  <c r="BA402" i="9"/>
  <c r="BA404" i="9"/>
  <c r="BA405" i="9"/>
  <c r="BA406" i="9"/>
  <c r="BA407" i="9"/>
  <c r="BA49" i="10"/>
  <c r="BA44" i="10"/>
  <c r="BA58" i="10"/>
  <c r="BA45" i="10"/>
  <c r="BA48" i="10"/>
  <c r="BA46" i="10"/>
  <c r="BA55" i="10"/>
  <c r="BA54" i="10"/>
  <c r="BA57" i="10"/>
  <c r="BA56" i="10"/>
  <c r="BA51" i="10"/>
  <c r="BA50" i="10"/>
  <c r="BA53" i="10"/>
  <c r="BA47" i="10"/>
  <c r="BA52" i="10"/>
  <c r="AU40" i="10"/>
  <c r="AU39" i="10"/>
  <c r="AU38" i="10"/>
  <c r="AU41" i="10"/>
  <c r="BA441" i="10"/>
  <c r="BA439" i="10"/>
  <c r="BA436" i="10"/>
  <c r="BA438" i="10"/>
  <c r="BA435" i="10"/>
  <c r="BA433" i="10"/>
  <c r="BA437" i="10"/>
  <c r="BA434" i="10"/>
  <c r="BA440" i="10"/>
  <c r="AZ620" i="9"/>
  <c r="AZ589" i="9"/>
  <c r="BA585" i="9"/>
  <c r="AH499" i="9"/>
  <c r="AT370" i="9"/>
  <c r="AZ395" i="9"/>
  <c r="AZ400" i="9"/>
  <c r="BA387" i="9"/>
  <c r="P279" i="6"/>
  <c r="V489" i="9"/>
  <c r="V491" i="9"/>
  <c r="Y343" i="9"/>
  <c r="Y210" i="9"/>
  <c r="Z209" i="9"/>
  <c r="Y187" i="9"/>
  <c r="Z186" i="9"/>
  <c r="Y589" i="9"/>
  <c r="Y395" i="9"/>
  <c r="AZ370" i="9"/>
  <c r="BA364" i="9"/>
  <c r="AZ589" i="10"/>
  <c r="BA585" i="10"/>
  <c r="AZ528" i="10"/>
  <c r="AZ533" i="10"/>
  <c r="BA524" i="10"/>
  <c r="T383" i="6"/>
  <c r="AT370" i="10"/>
  <c r="AU368" i="10"/>
  <c r="Y354" i="10"/>
  <c r="AZ469" i="10"/>
  <c r="BA468" i="10"/>
  <c r="T335" i="6"/>
  <c r="AZ430" i="10"/>
  <c r="BA430" i="10"/>
  <c r="T309" i="6"/>
  <c r="AT73" i="10"/>
  <c r="AU72" i="10"/>
  <c r="W400" i="10"/>
  <c r="Y117" i="10"/>
  <c r="Y508" i="11"/>
  <c r="Z507" i="11"/>
  <c r="AT333" i="11"/>
  <c r="AU331" i="11"/>
  <c r="W215" i="6"/>
  <c r="Y480" i="11"/>
  <c r="AT416" i="11"/>
  <c r="AT421" i="11"/>
  <c r="AU412" i="11"/>
  <c r="W301" i="6"/>
  <c r="AZ210" i="11"/>
  <c r="BA206" i="11"/>
  <c r="Y73" i="11"/>
  <c r="AZ65" i="11"/>
  <c r="BA71" i="11"/>
  <c r="AZ469" i="11"/>
  <c r="BA468" i="11"/>
  <c r="X335" i="6"/>
  <c r="AT370" i="11"/>
  <c r="Y236" i="11"/>
  <c r="Z233" i="11"/>
  <c r="AO583" i="12"/>
  <c r="AO585" i="12"/>
  <c r="AZ580" i="12"/>
  <c r="BA578" i="12"/>
  <c r="AN498" i="12"/>
  <c r="AO353" i="12"/>
  <c r="AO348" i="12"/>
  <c r="Z483" i="12"/>
  <c r="AO347" i="12"/>
  <c r="AA279" i="6"/>
  <c r="Y379" i="12"/>
  <c r="Z376" i="12"/>
  <c r="Y210" i="12"/>
  <c r="AZ370" i="12"/>
  <c r="BA369" i="12"/>
  <c r="AU469" i="12"/>
  <c r="AU39" i="12"/>
  <c r="Z486" i="13"/>
  <c r="AO596" i="13"/>
  <c r="AZ533" i="13"/>
  <c r="BA528" i="13"/>
  <c r="Y147" i="13"/>
  <c r="AI336" i="13"/>
  <c r="AI20" i="13"/>
  <c r="AZ500" i="13"/>
  <c r="AT379" i="13"/>
  <c r="AO322" i="13"/>
  <c r="AI15" i="13"/>
  <c r="AO143" i="13"/>
  <c r="AO142" i="13"/>
  <c r="AT161" i="13"/>
  <c r="Z315" i="14"/>
  <c r="BA307" i="14"/>
  <c r="BA312" i="14"/>
  <c r="BA303" i="14"/>
  <c r="Z192" i="15"/>
  <c r="Z196" i="15"/>
  <c r="Z212" i="15"/>
  <c r="Z290" i="15"/>
  <c r="Z13" i="16"/>
  <c r="Z212" i="16"/>
  <c r="Z232" i="16"/>
  <c r="Z217" i="16"/>
  <c r="BA208" i="16"/>
  <c r="Z285" i="16"/>
  <c r="Z283" i="16"/>
  <c r="AU192" i="16"/>
  <c r="Z287" i="17"/>
  <c r="AU286" i="17"/>
  <c r="AU241" i="17"/>
  <c r="AU239" i="17"/>
  <c r="BA237" i="18"/>
  <c r="BA235" i="18"/>
  <c r="BA243" i="18"/>
  <c r="Z222" i="18"/>
  <c r="Z227" i="18"/>
  <c r="AU292" i="19"/>
  <c r="AT210" i="12"/>
  <c r="AA230" i="6"/>
  <c r="BA605" i="11"/>
  <c r="BA607" i="11"/>
  <c r="BA600" i="11"/>
  <c r="AT354" i="11"/>
  <c r="AI194" i="11"/>
  <c r="AI195" i="11"/>
  <c r="AT354" i="10"/>
  <c r="AT449" i="8"/>
  <c r="K327" i="6"/>
  <c r="P499" i="11"/>
  <c r="AI588" i="9"/>
  <c r="AI586" i="9"/>
  <c r="AI583" i="9"/>
  <c r="AI584" i="9"/>
  <c r="AZ360" i="9"/>
  <c r="AI200" i="9"/>
  <c r="AI201" i="9"/>
  <c r="AI613" i="9"/>
  <c r="AI619" i="9"/>
  <c r="AI611" i="9"/>
  <c r="AI617" i="9"/>
  <c r="AI615" i="9"/>
  <c r="AO214" i="9"/>
  <c r="AO215" i="9"/>
  <c r="AZ469" i="8"/>
  <c r="BA468" i="8"/>
  <c r="L335" i="6"/>
  <c r="L341" i="6" s="1"/>
  <c r="AZ416" i="8"/>
  <c r="L301" i="6"/>
  <c r="AZ607" i="10"/>
  <c r="BA601" i="10"/>
  <c r="AT480" i="11"/>
  <c r="AT343" i="8"/>
  <c r="K224" i="6"/>
  <c r="Y210" i="8"/>
  <c r="Z206" i="8"/>
  <c r="AZ430" i="8"/>
  <c r="BA425" i="8"/>
  <c r="L305" i="6"/>
  <c r="M305" i="6" s="1"/>
  <c r="AT607" i="8"/>
  <c r="AU601" i="8"/>
  <c r="W499" i="8"/>
  <c r="Y499" i="8"/>
  <c r="AZ421" i="8"/>
  <c r="Y480" i="8"/>
  <c r="Z476" i="8"/>
  <c r="AZ354" i="8"/>
  <c r="BA350" i="8"/>
  <c r="AZ395" i="8"/>
  <c r="L279" i="6"/>
  <c r="Y174" i="8"/>
  <c r="Z170" i="8"/>
  <c r="Y370" i="8"/>
  <c r="Z370" i="8"/>
  <c r="Y244" i="8"/>
  <c r="AZ528" i="9"/>
  <c r="P383" i="6"/>
  <c r="AZ441" i="9"/>
  <c r="BA439" i="9"/>
  <c r="AZ499" i="9"/>
  <c r="AT416" i="9"/>
  <c r="AT421" i="9"/>
  <c r="O301" i="6"/>
  <c r="AZ333" i="9"/>
  <c r="BA332" i="9"/>
  <c r="AZ395" i="10"/>
  <c r="AZ400" i="10"/>
  <c r="T279" i="6"/>
  <c r="AT343" i="10"/>
  <c r="AU341" i="10"/>
  <c r="S224" i="6"/>
  <c r="Y572" i="10"/>
  <c r="Z572" i="10"/>
  <c r="AZ416" i="10"/>
  <c r="AZ421" i="10"/>
  <c r="BA411" i="10"/>
  <c r="T301" i="6"/>
  <c r="Y421" i="10"/>
  <c r="AT620" i="11"/>
  <c r="AU612" i="11"/>
  <c r="AZ528" i="11"/>
  <c r="AZ533" i="11"/>
  <c r="BA524" i="11"/>
  <c r="X383" i="6"/>
  <c r="X533" i="11"/>
  <c r="AT343" i="11"/>
  <c r="AU341" i="11"/>
  <c r="W224" i="6"/>
  <c r="AT323" i="11"/>
  <c r="AT407" i="11"/>
  <c r="AU403" i="11"/>
  <c r="AZ441" i="11"/>
  <c r="AZ147" i="11"/>
  <c r="AT597" i="12"/>
  <c r="AU595" i="12"/>
  <c r="AO586" i="12"/>
  <c r="AO587" i="12"/>
  <c r="AA383" i="6"/>
  <c r="AA162" i="23" s="1"/>
  <c r="AB340" i="6"/>
  <c r="AO349" i="12"/>
  <c r="AO352" i="12"/>
  <c r="Z486" i="12"/>
  <c r="AZ395" i="12"/>
  <c r="AB279" i="6"/>
  <c r="AA301" i="6"/>
  <c r="AZ244" i="12"/>
  <c r="BA243" i="12"/>
  <c r="Y228" i="12"/>
  <c r="Z228" i="12"/>
  <c r="AZ333" i="12"/>
  <c r="AB220" i="6"/>
  <c r="AH30" i="12"/>
  <c r="AH33" i="12"/>
  <c r="AU464" i="12"/>
  <c r="AU41" i="12"/>
  <c r="Y480" i="13"/>
  <c r="Z483" i="13"/>
  <c r="Y597" i="13"/>
  <c r="Z593" i="13"/>
  <c r="AO594" i="13"/>
  <c r="AO593" i="13"/>
  <c r="Y161" i="13"/>
  <c r="Z161" i="13"/>
  <c r="AI241" i="13"/>
  <c r="AT244" i="13"/>
  <c r="AI19" i="13"/>
  <c r="AI14" i="13"/>
  <c r="AI220" i="13"/>
  <c r="AO139" i="13"/>
  <c r="AO146" i="13"/>
  <c r="Y15" i="13"/>
  <c r="Z317" i="14"/>
  <c r="Z195" i="15"/>
  <c r="Z193" i="15"/>
  <c r="Z214" i="15"/>
  <c r="Z291" i="15"/>
  <c r="Z293" i="15"/>
  <c r="Z15" i="16"/>
  <c r="W16" i="16"/>
  <c r="Z213" i="16"/>
  <c r="AU285" i="17"/>
  <c r="AI214" i="13"/>
  <c r="AI217" i="13"/>
  <c r="AI164" i="13"/>
  <c r="AI166" i="13"/>
  <c r="AZ174" i="13"/>
  <c r="AI321" i="12"/>
  <c r="AI317" i="12"/>
  <c r="AI322" i="12"/>
  <c r="AI316" i="12"/>
  <c r="AT161" i="12"/>
  <c r="AI24" i="12"/>
  <c r="AI25" i="12"/>
  <c r="AI23" i="12"/>
  <c r="AA38" i="6"/>
  <c r="AU425" i="11"/>
  <c r="AU429" i="11"/>
  <c r="AO194" i="10"/>
  <c r="AO195" i="10"/>
  <c r="AZ500" i="10"/>
  <c r="AT174" i="10"/>
  <c r="AI243" i="8"/>
  <c r="AI240" i="8"/>
  <c r="AI239" i="8"/>
  <c r="AI244" i="8"/>
  <c r="AT454" i="8"/>
  <c r="AT416" i="10"/>
  <c r="AT421" i="10"/>
  <c r="S301" i="6"/>
  <c r="AI370" i="8"/>
  <c r="AI364" i="8"/>
  <c r="W454" i="8"/>
  <c r="AT430" i="10"/>
  <c r="S305" i="6"/>
  <c r="AT323" i="10"/>
  <c r="AU323" i="10"/>
  <c r="AZ343" i="11"/>
  <c r="X224" i="6"/>
  <c r="W533" i="11"/>
  <c r="W383" i="6"/>
  <c r="AB229" i="6"/>
  <c r="AZ416" i="12"/>
  <c r="AZ421" i="12"/>
  <c r="AB301" i="6"/>
  <c r="AC301" i="6" s="1"/>
  <c r="AZ449" i="12"/>
  <c r="AZ454" i="12"/>
  <c r="AB327" i="6"/>
  <c r="AZ528" i="8"/>
  <c r="AZ533" i="8"/>
  <c r="L383" i="6"/>
  <c r="AZ620" i="8"/>
  <c r="AT469" i="8"/>
  <c r="K335" i="6"/>
  <c r="X454" i="8"/>
  <c r="AT333" i="8"/>
  <c r="K215" i="6"/>
  <c r="AT416" i="8"/>
  <c r="AT421" i="8"/>
  <c r="AU416" i="8"/>
  <c r="Y620" i="8"/>
  <c r="Z612" i="8"/>
  <c r="Y607" i="8"/>
  <c r="Y515" i="8"/>
  <c r="AZ508" i="8"/>
  <c r="BA504" i="8"/>
  <c r="AZ480" i="8"/>
  <c r="BA472" i="8"/>
  <c r="AZ500" i="8"/>
  <c r="AT323" i="8"/>
  <c r="AZ400" i="8"/>
  <c r="BA384" i="8"/>
  <c r="AZ333" i="8"/>
  <c r="L215" i="6"/>
  <c r="Y323" i="8"/>
  <c r="Z323" i="8"/>
  <c r="AT370" i="8"/>
  <c r="AU370" i="8"/>
  <c r="AZ187" i="8"/>
  <c r="AZ407" i="8"/>
  <c r="BA403" i="8"/>
  <c r="AT58" i="8"/>
  <c r="AU57" i="8"/>
  <c r="Y607" i="9"/>
  <c r="Z607" i="9"/>
  <c r="Y508" i="9"/>
  <c r="Z507" i="9"/>
  <c r="Y441" i="9"/>
  <c r="Y469" i="9"/>
  <c r="AZ430" i="9"/>
  <c r="BA425" i="9"/>
  <c r="P304" i="6"/>
  <c r="Y174" i="9"/>
  <c r="Z173" i="9"/>
  <c r="Y572" i="9"/>
  <c r="AZ323" i="9"/>
  <c r="AZ73" i="9"/>
  <c r="BA73" i="9"/>
  <c r="AT333" i="10"/>
  <c r="AU326" i="10"/>
  <c r="S215" i="6"/>
  <c r="AT236" i="10"/>
  <c r="Y236" i="10"/>
  <c r="Z235" i="10"/>
  <c r="AT607" i="11"/>
  <c r="Y620" i="11"/>
  <c r="Z614" i="11"/>
  <c r="AN498" i="11"/>
  <c r="AO494" i="11"/>
  <c r="AZ395" i="11"/>
  <c r="X279" i="6"/>
  <c r="Y460" i="11"/>
  <c r="Z457" i="11"/>
  <c r="AZ416" i="11"/>
  <c r="AZ421" i="11"/>
  <c r="X301" i="6"/>
  <c r="W400" i="11"/>
  <c r="AH498" i="12"/>
  <c r="AO584" i="12"/>
  <c r="Y508" i="12"/>
  <c r="Z508" i="12"/>
  <c r="Y469" i="12"/>
  <c r="Y441" i="12"/>
  <c r="AT370" i="12"/>
  <c r="AZ469" i="12"/>
  <c r="BA463" i="12"/>
  <c r="AB336" i="6"/>
  <c r="AZ441" i="12"/>
  <c r="BA441" i="12"/>
  <c r="Y360" i="12"/>
  <c r="AO346" i="12"/>
  <c r="AZ528" i="12"/>
  <c r="AZ533" i="12"/>
  <c r="BA520" i="12"/>
  <c r="AB383" i="6"/>
  <c r="Y174" i="12"/>
  <c r="Z169" i="12"/>
  <c r="Y515" i="12"/>
  <c r="Z515" i="12"/>
  <c r="AT323" i="12"/>
  <c r="AU322" i="12"/>
  <c r="AZ343" i="12"/>
  <c r="BA342" i="12"/>
  <c r="AA327" i="6"/>
  <c r="AT73" i="12"/>
  <c r="M33" i="12"/>
  <c r="Y73" i="12"/>
  <c r="Z73" i="12"/>
  <c r="J33" i="12"/>
  <c r="AZ26" i="12"/>
  <c r="AT597" i="13"/>
  <c r="AU593" i="13"/>
  <c r="Y460" i="13"/>
  <c r="Z485" i="13"/>
  <c r="Y333" i="13"/>
  <c r="Z326" i="13"/>
  <c r="AT480" i="13"/>
  <c r="AU478" i="13"/>
  <c r="Y441" i="13"/>
  <c r="AO597" i="13"/>
  <c r="Y152" i="13"/>
  <c r="Z150" i="13"/>
  <c r="AI341" i="13"/>
  <c r="AI240" i="13"/>
  <c r="AU217" i="13"/>
  <c r="AI360" i="13"/>
  <c r="Y360" i="13"/>
  <c r="Z359" i="13"/>
  <c r="AI18" i="13"/>
  <c r="AO137" i="13"/>
  <c r="AO147" i="13"/>
  <c r="BA302" i="14"/>
  <c r="BA300" i="14"/>
  <c r="Z14" i="16"/>
  <c r="Z223" i="16"/>
  <c r="BA200" i="16"/>
  <c r="AU194" i="16"/>
  <c r="Z285" i="17"/>
  <c r="AU284" i="17"/>
  <c r="AU243" i="17"/>
  <c r="AU237" i="17"/>
  <c r="BA240" i="18"/>
  <c r="Z232" i="18"/>
  <c r="AU294" i="19"/>
  <c r="AI358" i="12"/>
  <c r="AI359" i="12"/>
  <c r="AI357" i="12"/>
  <c r="AB38" i="6"/>
  <c r="AT354" i="12"/>
  <c r="AB215" i="6"/>
  <c r="AZ572" i="11"/>
  <c r="AZ538" i="11"/>
  <c r="AT244" i="11"/>
  <c r="AI157" i="10"/>
  <c r="AI161" i="10"/>
  <c r="Z670" i="10"/>
  <c r="Z669" i="10"/>
  <c r="Z667" i="10"/>
  <c r="Z665" i="10"/>
  <c r="Z666" i="10"/>
  <c r="Z668" i="10"/>
  <c r="AT20" i="11"/>
  <c r="Y333" i="10"/>
  <c r="AI353" i="9"/>
  <c r="AI349" i="9"/>
  <c r="AT41" i="11"/>
  <c r="AO337" i="9"/>
  <c r="AO341" i="9"/>
  <c r="AZ607" i="8"/>
  <c r="BA606" i="8"/>
  <c r="AZ323" i="8"/>
  <c r="BA321" i="8"/>
  <c r="AT607" i="9"/>
  <c r="AZ607" i="9"/>
  <c r="BA606" i="9"/>
  <c r="AZ469" i="9"/>
  <c r="P336" i="6"/>
  <c r="AT607" i="10"/>
  <c r="AU601" i="10"/>
  <c r="AZ449" i="11"/>
  <c r="AZ454" i="11"/>
  <c r="X327" i="6"/>
  <c r="AZ430" i="11"/>
  <c r="X305" i="6"/>
  <c r="Z81" i="13"/>
  <c r="Z80" i="13"/>
  <c r="Z78" i="13"/>
  <c r="Z77" i="13"/>
  <c r="Z79" i="13"/>
  <c r="AT508" i="12"/>
  <c r="AT441" i="12"/>
  <c r="BA13" i="12"/>
  <c r="BA14" i="12"/>
  <c r="X499" i="11"/>
  <c r="Y499" i="11"/>
  <c r="AT210" i="11"/>
  <c r="AI358" i="9"/>
  <c r="AI360" i="9"/>
  <c r="AI357" i="9"/>
  <c r="K301" i="6"/>
  <c r="AT26" i="11"/>
  <c r="AT323" i="9"/>
  <c r="Y490" i="10"/>
  <c r="S353" i="6"/>
  <c r="AB353" i="6"/>
  <c r="X499" i="13"/>
  <c r="Y499" i="13"/>
  <c r="AZ498" i="8"/>
  <c r="BA493" i="8"/>
  <c r="Y494" i="9"/>
  <c r="Y493" i="9"/>
  <c r="Y498" i="9"/>
  <c r="Y490" i="9"/>
  <c r="O353" i="6"/>
  <c r="V500" i="10"/>
  <c r="AH500" i="12"/>
  <c r="Y490" i="8"/>
  <c r="K353" i="6"/>
  <c r="X500" i="8"/>
  <c r="L356" i="6"/>
  <c r="W499" i="9"/>
  <c r="Y499" i="9"/>
  <c r="AN500" i="9"/>
  <c r="W499" i="10"/>
  <c r="Y499" i="10"/>
  <c r="Y495" i="10"/>
  <c r="Y498" i="10"/>
  <c r="AN498" i="13"/>
  <c r="AO497" i="13"/>
  <c r="BA228" i="8"/>
  <c r="AZ228" i="13"/>
  <c r="BA227" i="13"/>
  <c r="Z303" i="19"/>
  <c r="Z299" i="19"/>
  <c r="Z304" i="19"/>
  <c r="Z301" i="19"/>
  <c r="Z302" i="19"/>
  <c r="Z307" i="19"/>
  <c r="Z306" i="19"/>
  <c r="Z300" i="19"/>
  <c r="Z305" i="19"/>
  <c r="Z298" i="19"/>
  <c r="Z297" i="19"/>
  <c r="Z312" i="19"/>
  <c r="AU307" i="19"/>
  <c r="AU305" i="19"/>
  <c r="AU301" i="19"/>
  <c r="AU297" i="19"/>
  <c r="AU303" i="19"/>
  <c r="AU306" i="19"/>
  <c r="AU300" i="19"/>
  <c r="AU299" i="19"/>
  <c r="AU298" i="19"/>
  <c r="AU312" i="19"/>
  <c r="AU302" i="19"/>
  <c r="AU304" i="19"/>
  <c r="AU199" i="19"/>
  <c r="AU203" i="19"/>
  <c r="AU201" i="19"/>
  <c r="AU200" i="19"/>
  <c r="AU202" i="19"/>
  <c r="AU207" i="19"/>
  <c r="AU208" i="19"/>
  <c r="Z214" i="19"/>
  <c r="Z212" i="19"/>
  <c r="Z213" i="19"/>
  <c r="Z211" i="19"/>
  <c r="Z208" i="19"/>
  <c r="Z203" i="19"/>
  <c r="Z201" i="19"/>
  <c r="Z207" i="19"/>
  <c r="Z202" i="19"/>
  <c r="Z199" i="19"/>
  <c r="Z200" i="19"/>
  <c r="Z303" i="18"/>
  <c r="Z299" i="18"/>
  <c r="Z304" i="18"/>
  <c r="Z301" i="18"/>
  <c r="Z306" i="18"/>
  <c r="Z298" i="18"/>
  <c r="Z307" i="18"/>
  <c r="Z302" i="18"/>
  <c r="Z312" i="18"/>
  <c r="Z300" i="18"/>
  <c r="Z297" i="18"/>
  <c r="Z305" i="18"/>
  <c r="Z208" i="18"/>
  <c r="Z203" i="18"/>
  <c r="Z201" i="18"/>
  <c r="Z200" i="18"/>
  <c r="Z207" i="18"/>
  <c r="Z202" i="18"/>
  <c r="Z199" i="18"/>
  <c r="AU307" i="18"/>
  <c r="AU305" i="18"/>
  <c r="AU301" i="18"/>
  <c r="AU297" i="18"/>
  <c r="AU303" i="18"/>
  <c r="AU312" i="18"/>
  <c r="AU302" i="18"/>
  <c r="AU300" i="18"/>
  <c r="AU299" i="18"/>
  <c r="AU304" i="18"/>
  <c r="AU298" i="18"/>
  <c r="AU306" i="18"/>
  <c r="W16" i="18"/>
  <c r="Z14" i="18"/>
  <c r="Y16" i="18"/>
  <c r="Z15" i="18"/>
  <c r="X16" i="18"/>
  <c r="Z13" i="18"/>
  <c r="Z293" i="18"/>
  <c r="Z290" i="18"/>
  <c r="Z294" i="18"/>
  <c r="Z292" i="18"/>
  <c r="Z291" i="18"/>
  <c r="Z283" i="18"/>
  <c r="Z286" i="18"/>
  <c r="Z285" i="18"/>
  <c r="Z287" i="18"/>
  <c r="Z284" i="18"/>
  <c r="BA208" i="18"/>
  <c r="BA203" i="18"/>
  <c r="BA201" i="18"/>
  <c r="BA207" i="18"/>
  <c r="BA202" i="18"/>
  <c r="BA199" i="18"/>
  <c r="BA200" i="18"/>
  <c r="AU199" i="18"/>
  <c r="AU207" i="18"/>
  <c r="AU202" i="18"/>
  <c r="AU200" i="18"/>
  <c r="AU208" i="18"/>
  <c r="AU203" i="18"/>
  <c r="AU201" i="18"/>
  <c r="Z243" i="18"/>
  <c r="Z238" i="18"/>
  <c r="Z242" i="18"/>
  <c r="Z239" i="18"/>
  <c r="Z235" i="18"/>
  <c r="Z241" i="18"/>
  <c r="Z240" i="18"/>
  <c r="Z237" i="18"/>
  <c r="Z236" i="18"/>
  <c r="AU287" i="18"/>
  <c r="AU285" i="18"/>
  <c r="AU284" i="18"/>
  <c r="AU283" i="18"/>
  <c r="AU286" i="18"/>
  <c r="AU307" i="17"/>
  <c r="AU305" i="17"/>
  <c r="AU301" i="17"/>
  <c r="AU297" i="17"/>
  <c r="AU306" i="17"/>
  <c r="AU302" i="17"/>
  <c r="AU298" i="17"/>
  <c r="AU303" i="17"/>
  <c r="AU299" i="17"/>
  <c r="AU312" i="17"/>
  <c r="AU304" i="17"/>
  <c r="AU300" i="17"/>
  <c r="Z303" i="17"/>
  <c r="Z299" i="17"/>
  <c r="Z312" i="17"/>
  <c r="Z304" i="17"/>
  <c r="Z300" i="17"/>
  <c r="Z306" i="17"/>
  <c r="Z305" i="17"/>
  <c r="Z302" i="17"/>
  <c r="Z301" i="17"/>
  <c r="Z307" i="17"/>
  <c r="Z297" i="17"/>
  <c r="Z298" i="17"/>
  <c r="Z207" i="17"/>
  <c r="Z200" i="17"/>
  <c r="Z208" i="17"/>
  <c r="Z201" i="17"/>
  <c r="Z199" i="17"/>
  <c r="Z202" i="17"/>
  <c r="Z203" i="17"/>
  <c r="AU196" i="17"/>
  <c r="AU194" i="17"/>
  <c r="AU195" i="17"/>
  <c r="AU191" i="17"/>
  <c r="AU193" i="17"/>
  <c r="AU192" i="17"/>
  <c r="Z243" i="17"/>
  <c r="Z241" i="17"/>
  <c r="Z242" i="17"/>
  <c r="Z240" i="17"/>
  <c r="Z238" i="17"/>
  <c r="Z239" i="17"/>
  <c r="Z235" i="17"/>
  <c r="Z237" i="17"/>
  <c r="Z236" i="17"/>
  <c r="Z192" i="17"/>
  <c r="Z193" i="17"/>
  <c r="Z196" i="17"/>
  <c r="Z195" i="17"/>
  <c r="Z194" i="17"/>
  <c r="Z191" i="17"/>
  <c r="AU207" i="17"/>
  <c r="AU202" i="17"/>
  <c r="AU203" i="17"/>
  <c r="AU199" i="17"/>
  <c r="AU208" i="17"/>
  <c r="AU200" i="17"/>
  <c r="AU201" i="17"/>
  <c r="BA303" i="17"/>
  <c r="BA299" i="17"/>
  <c r="BA312" i="17"/>
  <c r="BA304" i="17"/>
  <c r="BA300" i="17"/>
  <c r="BA307" i="17"/>
  <c r="BA297" i="17"/>
  <c r="BA301" i="17"/>
  <c r="BA306" i="17"/>
  <c r="BA305" i="17"/>
  <c r="BA302" i="17"/>
  <c r="BA298" i="17"/>
  <c r="Z303" i="16"/>
  <c r="Z299" i="16"/>
  <c r="Z312" i="16"/>
  <c r="Z304" i="16"/>
  <c r="Z300" i="16"/>
  <c r="Z306" i="16"/>
  <c r="Z305" i="16"/>
  <c r="Z302" i="16"/>
  <c r="Z301" i="16"/>
  <c r="Z298" i="16"/>
  <c r="Z297" i="16"/>
  <c r="Z307" i="16"/>
  <c r="AU207" i="16"/>
  <c r="AU208" i="16"/>
  <c r="AU199" i="16"/>
  <c r="AU200" i="16"/>
  <c r="AU201" i="16"/>
  <c r="AU202" i="16"/>
  <c r="AU203" i="16"/>
  <c r="Z203" i="16"/>
  <c r="Z201" i="16"/>
  <c r="Z208" i="16"/>
  <c r="Z202" i="16"/>
  <c r="Z200" i="16"/>
  <c r="Z199" i="16"/>
  <c r="Z207" i="16"/>
  <c r="Z243" i="16"/>
  <c r="Z242" i="16"/>
  <c r="Z237" i="16"/>
  <c r="Z240" i="16"/>
  <c r="Z239" i="16"/>
  <c r="Z238" i="16"/>
  <c r="Z241" i="16"/>
  <c r="Z236" i="16"/>
  <c r="Z235" i="16"/>
  <c r="Z293" i="16"/>
  <c r="Z290" i="16"/>
  <c r="Z292" i="16"/>
  <c r="Z291" i="16"/>
  <c r="Z294" i="16"/>
  <c r="BA303" i="16"/>
  <c r="BA299" i="16"/>
  <c r="BA312" i="16"/>
  <c r="BA304" i="16"/>
  <c r="BA300" i="16"/>
  <c r="BA307" i="16"/>
  <c r="BA301" i="16"/>
  <c r="BA306" i="16"/>
  <c r="BA297" i="16"/>
  <c r="BA305" i="16"/>
  <c r="BA298" i="16"/>
  <c r="BA302" i="16"/>
  <c r="AU213" i="16"/>
  <c r="AU214" i="16"/>
  <c r="AU212" i="16"/>
  <c r="AU211" i="16"/>
  <c r="AU307" i="16"/>
  <c r="AU305" i="16"/>
  <c r="AU301" i="16"/>
  <c r="AU297" i="16"/>
  <c r="AU306" i="16"/>
  <c r="AU302" i="16"/>
  <c r="AU298" i="16"/>
  <c r="AU303" i="16"/>
  <c r="AU299" i="16"/>
  <c r="AU312" i="16"/>
  <c r="AU304" i="16"/>
  <c r="AU300" i="16"/>
  <c r="AU307" i="15"/>
  <c r="AU305" i="15"/>
  <c r="AU301" i="15"/>
  <c r="AU297" i="15"/>
  <c r="AU303" i="15"/>
  <c r="AU306" i="15"/>
  <c r="AU300" i="15"/>
  <c r="AU299" i="15"/>
  <c r="AU298" i="15"/>
  <c r="AU304" i="15"/>
  <c r="AU312" i="15"/>
  <c r="AU302" i="15"/>
  <c r="BA208" i="15"/>
  <c r="BA203" i="15"/>
  <c r="BA201" i="15"/>
  <c r="BA200" i="15"/>
  <c r="BA207" i="15"/>
  <c r="BA199" i="15"/>
  <c r="BA202" i="15"/>
  <c r="Z243" i="15"/>
  <c r="Z238" i="15"/>
  <c r="Z237" i="15"/>
  <c r="Z242" i="15"/>
  <c r="Z239" i="15"/>
  <c r="Z236" i="15"/>
  <c r="Z235" i="15"/>
  <c r="Z241" i="15"/>
  <c r="Z240" i="15"/>
  <c r="Z303" i="15"/>
  <c r="Z299" i="15"/>
  <c r="Z304" i="15"/>
  <c r="Z301" i="15"/>
  <c r="Z302" i="15"/>
  <c r="Z307" i="15"/>
  <c r="Z306" i="15"/>
  <c r="Z300" i="15"/>
  <c r="Z305" i="15"/>
  <c r="Z298" i="15"/>
  <c r="Z297" i="15"/>
  <c r="Z312" i="15"/>
  <c r="AU307" i="14"/>
  <c r="AU305" i="14"/>
  <c r="AU301" i="14"/>
  <c r="AU297" i="14"/>
  <c r="AU299" i="14"/>
  <c r="AU306" i="14"/>
  <c r="AU304" i="14"/>
  <c r="AU298" i="14"/>
  <c r="AU312" i="14"/>
  <c r="AU300" i="14"/>
  <c r="AU302" i="14"/>
  <c r="AU303" i="14"/>
  <c r="AU208" i="14"/>
  <c r="AU203" i="14"/>
  <c r="AU201" i="14"/>
  <c r="AU207" i="14"/>
  <c r="AU202" i="14"/>
  <c r="AU199" i="14"/>
  <c r="AU200" i="14"/>
  <c r="Z303" i="14"/>
  <c r="Z299" i="14"/>
  <c r="Z312" i="14"/>
  <c r="Z305" i="14"/>
  <c r="Z300" i="14"/>
  <c r="Z297" i="14"/>
  <c r="Z307" i="14"/>
  <c r="Z302" i="14"/>
  <c r="Z298" i="14"/>
  <c r="Z306" i="14"/>
  <c r="Z304" i="14"/>
  <c r="Z301" i="14"/>
  <c r="Z211" i="14"/>
  <c r="Z214" i="14"/>
  <c r="Z213" i="14"/>
  <c r="Z212" i="14"/>
  <c r="Z195" i="14"/>
  <c r="Z191" i="14"/>
  <c r="Z192" i="14"/>
  <c r="Z194" i="14"/>
  <c r="Z196" i="14"/>
  <c r="Z193" i="14"/>
  <c r="BA199" i="14"/>
  <c r="BA200" i="14"/>
  <c r="BA203" i="14"/>
  <c r="BA201" i="14"/>
  <c r="BA208" i="14"/>
  <c r="BA202" i="14"/>
  <c r="BA207" i="14"/>
  <c r="AU238" i="14"/>
  <c r="AU239" i="14"/>
  <c r="AU235" i="14"/>
  <c r="AU243" i="14"/>
  <c r="AU237" i="14"/>
  <c r="AU241" i="14"/>
  <c r="AU240" i="14"/>
  <c r="AU236" i="14"/>
  <c r="AU242" i="14"/>
  <c r="Z199" i="14"/>
  <c r="Z200" i="14"/>
  <c r="Z208" i="14"/>
  <c r="Z207" i="14"/>
  <c r="Z203" i="14"/>
  <c r="Z202" i="14"/>
  <c r="Z201" i="14"/>
  <c r="AI358" i="13"/>
  <c r="AT360" i="13"/>
  <c r="AU360" i="13"/>
  <c r="AI357" i="13"/>
  <c r="Y354" i="13"/>
  <c r="Z346" i="13"/>
  <c r="AO336" i="13"/>
  <c r="Y343" i="13"/>
  <c r="Z337" i="13"/>
  <c r="AO337" i="13"/>
  <c r="AI332" i="13"/>
  <c r="AI327" i="13"/>
  <c r="AI333" i="13"/>
  <c r="AU316" i="13"/>
  <c r="AU322" i="13"/>
  <c r="AU317" i="13"/>
  <c r="Y244" i="13"/>
  <c r="Z242" i="13"/>
  <c r="AI243" i="13"/>
  <c r="AI244" i="13"/>
  <c r="AI242" i="13"/>
  <c r="Y236" i="13"/>
  <c r="Z236" i="13"/>
  <c r="AI231" i="13"/>
  <c r="AI234" i="13"/>
  <c r="AI236" i="13"/>
  <c r="BA221" i="13"/>
  <c r="AU220" i="13"/>
  <c r="AU221" i="13"/>
  <c r="BA214" i="13"/>
  <c r="AU203" i="13"/>
  <c r="AO195" i="13"/>
  <c r="AO194" i="13"/>
  <c r="BA165" i="13"/>
  <c r="AU157" i="13"/>
  <c r="AO141" i="13"/>
  <c r="AO138" i="13"/>
  <c r="AO55" i="13"/>
  <c r="AO47" i="13"/>
  <c r="AO52" i="13"/>
  <c r="AO54" i="13"/>
  <c r="AZ58" i="13"/>
  <c r="BA54" i="13"/>
  <c r="AI44" i="13"/>
  <c r="AO53" i="13"/>
  <c r="AO45" i="13"/>
  <c r="J33" i="13"/>
  <c r="AH30" i="13"/>
  <c r="AH33" i="13"/>
  <c r="AI33" i="13"/>
  <c r="Z407" i="13"/>
  <c r="Z405" i="13"/>
  <c r="Z406" i="13"/>
  <c r="Z403" i="13"/>
  <c r="Z402" i="13"/>
  <c r="Z404" i="13"/>
  <c r="Z144" i="13"/>
  <c r="Z140" i="13"/>
  <c r="Z147" i="13"/>
  <c r="Z146" i="13"/>
  <c r="Z142" i="13"/>
  <c r="Z138" i="13"/>
  <c r="Z145" i="13"/>
  <c r="Z137" i="13"/>
  <c r="Z139" i="13"/>
  <c r="Z141" i="13"/>
  <c r="Z143" i="13"/>
  <c r="Z351" i="13"/>
  <c r="Z347" i="13"/>
  <c r="Z350" i="13"/>
  <c r="Z354" i="13"/>
  <c r="Z353" i="13"/>
  <c r="Z349" i="13"/>
  <c r="Z348" i="13"/>
  <c r="AU354" i="13"/>
  <c r="AU353" i="13"/>
  <c r="AU349" i="13"/>
  <c r="AU351" i="13"/>
  <c r="AU347" i="13"/>
  <c r="AU350" i="13"/>
  <c r="AU346" i="13"/>
  <c r="AU352" i="13"/>
  <c r="AU348" i="13"/>
  <c r="Z72" i="13"/>
  <c r="Z68" i="13"/>
  <c r="Z70" i="13"/>
  <c r="Z73" i="13"/>
  <c r="Z71" i="13"/>
  <c r="Z69" i="13"/>
  <c r="BA220" i="13"/>
  <c r="BA50" i="13"/>
  <c r="BA46" i="13"/>
  <c r="BA56" i="13"/>
  <c r="BA48" i="13"/>
  <c r="BA44" i="13"/>
  <c r="BA57" i="13"/>
  <c r="BA49" i="13"/>
  <c r="BA45" i="13"/>
  <c r="BA58" i="13"/>
  <c r="BA51" i="13"/>
  <c r="BA47" i="13"/>
  <c r="AU64" i="13"/>
  <c r="AU62" i="13"/>
  <c r="AU65" i="13"/>
  <c r="AU63" i="13"/>
  <c r="AU61" i="13"/>
  <c r="AU170" i="13"/>
  <c r="AU174" i="13"/>
  <c r="AU172" i="13"/>
  <c r="AU171" i="13"/>
  <c r="AU169" i="13"/>
  <c r="AU173" i="13"/>
  <c r="Z480" i="13"/>
  <c r="Z478" i="13"/>
  <c r="Z474" i="13"/>
  <c r="Z479" i="13"/>
  <c r="Z476" i="13"/>
  <c r="Z475" i="13"/>
  <c r="Z472" i="13"/>
  <c r="Z473" i="13"/>
  <c r="Z477" i="13"/>
  <c r="BA520" i="13"/>
  <c r="BA518" i="13"/>
  <c r="BA521" i="13"/>
  <c r="Z504" i="13"/>
  <c r="Z505" i="13"/>
  <c r="Z506" i="13"/>
  <c r="Z508" i="13"/>
  <c r="Z507" i="13"/>
  <c r="Z223" i="13"/>
  <c r="Z221" i="13"/>
  <c r="Z220" i="13"/>
  <c r="BA68" i="13"/>
  <c r="BA73" i="13"/>
  <c r="AU359" i="13"/>
  <c r="Z174" i="13"/>
  <c r="Z172" i="13"/>
  <c r="Z169" i="13"/>
  <c r="Z173" i="13"/>
  <c r="Z170" i="13"/>
  <c r="Z171" i="13"/>
  <c r="Z587" i="13"/>
  <c r="Z585" i="13"/>
  <c r="Z583" i="13"/>
  <c r="Z588" i="13"/>
  <c r="Z586" i="13"/>
  <c r="Z584" i="13"/>
  <c r="Z589" i="13"/>
  <c r="Z378" i="13"/>
  <c r="Z376" i="13"/>
  <c r="Z377" i="13"/>
  <c r="Z379" i="13"/>
  <c r="BA234" i="13"/>
  <c r="BA235" i="13"/>
  <c r="BA231" i="13"/>
  <c r="BA236" i="13"/>
  <c r="BA233" i="13"/>
  <c r="BA232" i="13"/>
  <c r="AU412" i="13"/>
  <c r="AU416" i="13"/>
  <c r="AU414" i="13"/>
  <c r="AU415" i="13"/>
  <c r="AU413" i="13"/>
  <c r="AU411" i="13"/>
  <c r="AU421" i="13"/>
  <c r="BA407" i="13"/>
  <c r="BA405" i="13"/>
  <c r="BA404" i="13"/>
  <c r="BA403" i="13"/>
  <c r="BA406" i="13"/>
  <c r="BA402" i="13"/>
  <c r="Z341" i="13"/>
  <c r="Z342" i="13"/>
  <c r="BA332" i="13"/>
  <c r="BA326" i="13"/>
  <c r="BA331" i="13"/>
  <c r="BA327" i="13"/>
  <c r="BA333" i="13"/>
  <c r="BA15" i="13"/>
  <c r="BA14" i="13"/>
  <c r="BA13" i="13"/>
  <c r="AO618" i="13"/>
  <c r="AO614" i="13"/>
  <c r="AO616" i="13"/>
  <c r="AO612" i="13"/>
  <c r="AO620" i="13"/>
  <c r="AO617" i="13"/>
  <c r="AO613" i="13"/>
  <c r="AO619" i="13"/>
  <c r="AO615" i="13"/>
  <c r="AO611" i="13"/>
  <c r="BA587" i="13"/>
  <c r="BA585" i="13"/>
  <c r="BA583" i="13"/>
  <c r="BA589" i="13"/>
  <c r="BA586" i="13"/>
  <c r="BA588" i="13"/>
  <c r="BA584" i="13"/>
  <c r="BA572" i="13"/>
  <c r="BA570" i="13"/>
  <c r="BA537" i="13"/>
  <c r="BA535" i="13"/>
  <c r="BA538" i="13"/>
  <c r="BA536" i="13"/>
  <c r="BA571" i="13"/>
  <c r="AO496" i="13"/>
  <c r="AO495" i="13"/>
  <c r="AO498" i="13"/>
  <c r="BA480" i="13"/>
  <c r="BA478" i="13"/>
  <c r="BA474" i="13"/>
  <c r="BA477" i="13"/>
  <c r="BA473" i="13"/>
  <c r="BA472" i="13"/>
  <c r="BA475" i="13"/>
  <c r="BA479" i="13"/>
  <c r="BA476" i="13"/>
  <c r="Z438" i="13"/>
  <c r="Z434" i="13"/>
  <c r="Z440" i="13"/>
  <c r="Z436" i="13"/>
  <c r="Z441" i="13"/>
  <c r="Z439" i="13"/>
  <c r="Z437" i="13"/>
  <c r="Z435" i="13"/>
  <c r="Z433" i="13"/>
  <c r="AU514" i="13"/>
  <c r="AU512" i="13"/>
  <c r="AU508" i="13"/>
  <c r="AU506" i="13"/>
  <c r="AU511" i="13"/>
  <c r="AU504" i="13"/>
  <c r="AU507" i="13"/>
  <c r="AU513" i="13"/>
  <c r="AU505" i="13"/>
  <c r="P500" i="13"/>
  <c r="W500" i="13"/>
  <c r="BA197" i="13"/>
  <c r="BA194" i="13"/>
  <c r="BA195" i="13"/>
  <c r="Z151" i="13"/>
  <c r="Z152" i="13"/>
  <c r="BA323" i="13"/>
  <c r="BA322" i="13"/>
  <c r="BA316" i="13"/>
  <c r="BA321" i="13"/>
  <c r="BA317" i="13"/>
  <c r="AU376" i="13"/>
  <c r="AU378" i="13"/>
  <c r="AU379" i="13"/>
  <c r="AU377" i="13"/>
  <c r="Z197" i="13"/>
  <c r="Z195" i="13"/>
  <c r="Z194" i="13"/>
  <c r="AU240" i="13"/>
  <c r="AU244" i="13"/>
  <c r="AU242" i="13"/>
  <c r="AU241" i="13"/>
  <c r="AU243" i="13"/>
  <c r="AU239" i="13"/>
  <c r="Y228" i="13"/>
  <c r="BA445" i="13"/>
  <c r="BA454" i="13"/>
  <c r="BA449" i="13"/>
  <c r="BA447" i="13"/>
  <c r="BA448" i="13"/>
  <c r="BA446" i="13"/>
  <c r="BA453" i="13"/>
  <c r="Y323" i="13"/>
  <c r="Z234" i="13"/>
  <c r="Z231" i="13"/>
  <c r="Z235" i="13"/>
  <c r="BA186" i="13"/>
  <c r="BA180" i="13"/>
  <c r="BA181" i="13"/>
  <c r="BA178" i="13"/>
  <c r="BA182" i="13"/>
  <c r="BA177" i="13"/>
  <c r="BA185" i="13"/>
  <c r="BA183" i="13"/>
  <c r="BA179" i="13"/>
  <c r="BA187" i="13"/>
  <c r="AI159" i="13"/>
  <c r="AI155" i="13"/>
  <c r="AI157" i="13"/>
  <c r="AI158" i="13"/>
  <c r="AI160" i="13"/>
  <c r="AI156" i="13"/>
  <c r="AI161" i="13"/>
  <c r="AT607" i="13"/>
  <c r="Z605" i="13"/>
  <c r="Z601" i="13"/>
  <c r="Z607" i="13"/>
  <c r="Z606" i="13"/>
  <c r="Z600" i="13"/>
  <c r="Y620" i="13"/>
  <c r="Z634" i="13"/>
  <c r="Z632" i="13"/>
  <c r="Z635" i="13"/>
  <c r="Z636" i="13"/>
  <c r="W421" i="13"/>
  <c r="AT395" i="13"/>
  <c r="AT400" i="13"/>
  <c r="Y395" i="13"/>
  <c r="Y400" i="13"/>
  <c r="Z333" i="13"/>
  <c r="Z332" i="13"/>
  <c r="Z331" i="13"/>
  <c r="AZ597" i="13"/>
  <c r="W491" i="13"/>
  <c r="AU151" i="13"/>
  <c r="AU152" i="13"/>
  <c r="AU150" i="13"/>
  <c r="Y494" i="13"/>
  <c r="Y416" i="13"/>
  <c r="Y421" i="13"/>
  <c r="AO234" i="13"/>
  <c r="AO236" i="13"/>
  <c r="AO233" i="13"/>
  <c r="AO232" i="13"/>
  <c r="AO231" i="13"/>
  <c r="AO235" i="13"/>
  <c r="AU454" i="13"/>
  <c r="AU449" i="13"/>
  <c r="AU447" i="13"/>
  <c r="AU445" i="13"/>
  <c r="AU453" i="13"/>
  <c r="AU448" i="13"/>
  <c r="AU446" i="13"/>
  <c r="BA228" i="13"/>
  <c r="BA226" i="13"/>
  <c r="AU209" i="13"/>
  <c r="AU210" i="13"/>
  <c r="AU208" i="13"/>
  <c r="AU206" i="13"/>
  <c r="AU207" i="13"/>
  <c r="BA19" i="13"/>
  <c r="BA20" i="13"/>
  <c r="BA18" i="13"/>
  <c r="BA468" i="13"/>
  <c r="BA469" i="13"/>
  <c r="BA464" i="13"/>
  <c r="BA463" i="13"/>
  <c r="AZ607" i="13"/>
  <c r="AZ620" i="13"/>
  <c r="Y538" i="13"/>
  <c r="AU577" i="13"/>
  <c r="AU580" i="13"/>
  <c r="AU579" i="13"/>
  <c r="AU578" i="13"/>
  <c r="AU576" i="13"/>
  <c r="AT528" i="13"/>
  <c r="AT533" i="13"/>
  <c r="Y528" i="13"/>
  <c r="Y533" i="13"/>
  <c r="AU440" i="13"/>
  <c r="AU436" i="13"/>
  <c r="AU438" i="13"/>
  <c r="AU434" i="13"/>
  <c r="AU441" i="13"/>
  <c r="AU439" i="13"/>
  <c r="AU435" i="13"/>
  <c r="AU437" i="13"/>
  <c r="AU433" i="13"/>
  <c r="BA360" i="13"/>
  <c r="BA359" i="13"/>
  <c r="BA357" i="13"/>
  <c r="BA358" i="13"/>
  <c r="BA504" i="13"/>
  <c r="BA508" i="13"/>
  <c r="BA507" i="13"/>
  <c r="BA505" i="13"/>
  <c r="BA506" i="13"/>
  <c r="AZ498" i="13"/>
  <c r="X454" i="13"/>
  <c r="Y370" i="13"/>
  <c r="Y430" i="13"/>
  <c r="AO360" i="13"/>
  <c r="AO359" i="13"/>
  <c r="AO358" i="13"/>
  <c r="AO357" i="13"/>
  <c r="V489" i="13"/>
  <c r="V491" i="13"/>
  <c r="Y496" i="13"/>
  <c r="X421" i="13"/>
  <c r="AZ416" i="13"/>
  <c r="AZ421" i="13"/>
  <c r="M32" i="13"/>
  <c r="L33" i="13"/>
  <c r="AU13" i="13"/>
  <c r="AU14" i="13"/>
  <c r="AU15" i="13"/>
  <c r="AT407" i="13"/>
  <c r="Y41" i="13"/>
  <c r="BA337" i="13"/>
  <c r="BA342" i="13"/>
  <c r="BA341" i="13"/>
  <c r="BA343" i="13"/>
  <c r="BA336" i="13"/>
  <c r="Q491" i="13"/>
  <c r="S489" i="13"/>
  <c r="S491" i="13"/>
  <c r="Y116" i="13"/>
  <c r="Y449" i="13"/>
  <c r="Y454" i="13"/>
  <c r="BA207" i="13"/>
  <c r="BA209" i="13"/>
  <c r="BA210" i="13"/>
  <c r="BA208" i="13"/>
  <c r="BA206" i="13"/>
  <c r="AT166" i="13"/>
  <c r="AO605" i="13"/>
  <c r="AO601" i="13"/>
  <c r="AO607" i="13"/>
  <c r="AO606" i="13"/>
  <c r="AO600" i="13"/>
  <c r="BA580" i="13"/>
  <c r="BA579" i="13"/>
  <c r="BA577" i="13"/>
  <c r="BA576" i="13"/>
  <c r="BA578" i="13"/>
  <c r="AU341" i="13"/>
  <c r="AU337" i="13"/>
  <c r="AU342" i="13"/>
  <c r="AU343" i="13"/>
  <c r="AU336" i="13"/>
  <c r="AO580" i="13"/>
  <c r="AO579" i="13"/>
  <c r="AO577" i="13"/>
  <c r="AO578" i="13"/>
  <c r="AO576" i="13"/>
  <c r="AZ395" i="13"/>
  <c r="AZ400" i="13"/>
  <c r="X400" i="13"/>
  <c r="Z595" i="13"/>
  <c r="Z596" i="13"/>
  <c r="Z592" i="13"/>
  <c r="AU480" i="13"/>
  <c r="AU477" i="13"/>
  <c r="BA242" i="13"/>
  <c r="BA243" i="13"/>
  <c r="BA239" i="13"/>
  <c r="BA241" i="13"/>
  <c r="BA240" i="13"/>
  <c r="BA244" i="13"/>
  <c r="Z186" i="13"/>
  <c r="Z180" i="13"/>
  <c r="Z183" i="13"/>
  <c r="Z187" i="13"/>
  <c r="Z185" i="13"/>
  <c r="Z179" i="13"/>
  <c r="Z182" i="13"/>
  <c r="Z178" i="13"/>
  <c r="Z177" i="13"/>
  <c r="Z181" i="13"/>
  <c r="BA161" i="13"/>
  <c r="BA157" i="13"/>
  <c r="BA159" i="13"/>
  <c r="BA155" i="13"/>
  <c r="BA158" i="13"/>
  <c r="BA160" i="13"/>
  <c r="BA156" i="13"/>
  <c r="BA72" i="13"/>
  <c r="BA62" i="13"/>
  <c r="BA70" i="13"/>
  <c r="BA64" i="13"/>
  <c r="BA65" i="13"/>
  <c r="BA63" i="13"/>
  <c r="BA61" i="13"/>
  <c r="BA71" i="13"/>
  <c r="BA69" i="13"/>
  <c r="BA144" i="13"/>
  <c r="BA140" i="13"/>
  <c r="BA146" i="13"/>
  <c r="BA142" i="13"/>
  <c r="BA138" i="13"/>
  <c r="BA147" i="13"/>
  <c r="BA141" i="13"/>
  <c r="BA143" i="13"/>
  <c r="BA145" i="13"/>
  <c r="BA137" i="13"/>
  <c r="BA139" i="13"/>
  <c r="BA24" i="13"/>
  <c r="BA25" i="13"/>
  <c r="BA26" i="13"/>
  <c r="BA23" i="13"/>
  <c r="BA151" i="13"/>
  <c r="BA152" i="13"/>
  <c r="BA150" i="13"/>
  <c r="Y58" i="13"/>
  <c r="AO19" i="13"/>
  <c r="AO18" i="13"/>
  <c r="AO20" i="13"/>
  <c r="AI24" i="13"/>
  <c r="AI25" i="13"/>
  <c r="AI26" i="13"/>
  <c r="AI23" i="13"/>
  <c r="Z360" i="13"/>
  <c r="Z641" i="13"/>
  <c r="Z639" i="13"/>
  <c r="Z642" i="13"/>
  <c r="Z643" i="13"/>
  <c r="Z662" i="13"/>
  <c r="Z660" i="13"/>
  <c r="Z658" i="13"/>
  <c r="Z656" i="13"/>
  <c r="Z654" i="13"/>
  <c r="Z661" i="13"/>
  <c r="Z659" i="13"/>
  <c r="Z657" i="13"/>
  <c r="Z655" i="13"/>
  <c r="Z663" i="13"/>
  <c r="AU585" i="13"/>
  <c r="AU587" i="13"/>
  <c r="AU583" i="13"/>
  <c r="AU588" i="13"/>
  <c r="AU584" i="13"/>
  <c r="AU589" i="13"/>
  <c r="AU586" i="13"/>
  <c r="X500" i="13"/>
  <c r="AU464" i="13"/>
  <c r="AU468" i="13"/>
  <c r="AU469" i="13"/>
  <c r="AU463" i="13"/>
  <c r="AU368" i="13"/>
  <c r="AU364" i="13"/>
  <c r="AU369" i="13"/>
  <c r="AU363" i="13"/>
  <c r="AU370" i="13"/>
  <c r="AI228" i="13"/>
  <c r="AI227" i="13"/>
  <c r="AI226" i="13"/>
  <c r="BA438" i="13"/>
  <c r="BA434" i="13"/>
  <c r="BA440" i="13"/>
  <c r="BA436" i="13"/>
  <c r="BA441" i="13"/>
  <c r="BA439" i="13"/>
  <c r="BA437" i="13"/>
  <c r="BA435" i="13"/>
  <c r="BA433" i="13"/>
  <c r="BA370" i="13"/>
  <c r="BA369" i="13"/>
  <c r="BA363" i="13"/>
  <c r="BA368" i="13"/>
  <c r="BA364" i="13"/>
  <c r="Y515" i="13"/>
  <c r="AZ460" i="13"/>
  <c r="Z207" i="13"/>
  <c r="Z206" i="13"/>
  <c r="Z209" i="13"/>
  <c r="Z208" i="13"/>
  <c r="Z210" i="13"/>
  <c r="W400" i="13"/>
  <c r="Z159" i="13"/>
  <c r="Z155" i="13"/>
  <c r="Z156" i="13"/>
  <c r="Z158" i="13"/>
  <c r="AU20" i="13"/>
  <c r="AU19" i="13"/>
  <c r="AU18" i="13"/>
  <c r="Z243" i="13"/>
  <c r="Z239" i="13"/>
  <c r="AU24" i="13"/>
  <c r="AU25" i="13"/>
  <c r="AU26" i="13"/>
  <c r="AU23" i="13"/>
  <c r="AU56" i="13"/>
  <c r="AU52" i="13"/>
  <c r="AU48" i="13"/>
  <c r="AU44" i="13"/>
  <c r="AU54" i="13"/>
  <c r="AU50" i="13"/>
  <c r="AU46" i="13"/>
  <c r="AU57" i="13"/>
  <c r="AU53" i="13"/>
  <c r="AU49" i="13"/>
  <c r="AU45" i="13"/>
  <c r="AU58" i="13"/>
  <c r="AU55" i="13"/>
  <c r="AU51" i="13"/>
  <c r="AU47" i="13"/>
  <c r="AU616" i="13"/>
  <c r="AU612" i="13"/>
  <c r="AU618" i="13"/>
  <c r="AU614" i="13"/>
  <c r="AU619" i="13"/>
  <c r="AU615" i="13"/>
  <c r="AU611" i="13"/>
  <c r="AU620" i="13"/>
  <c r="AU617" i="13"/>
  <c r="AU613" i="13"/>
  <c r="AU592" i="13"/>
  <c r="AU596" i="13"/>
  <c r="AI601" i="13"/>
  <c r="AI605" i="13"/>
  <c r="AI606" i="13"/>
  <c r="AI600" i="13"/>
  <c r="AI607" i="13"/>
  <c r="AO587" i="13"/>
  <c r="AO585" i="13"/>
  <c r="AO588" i="13"/>
  <c r="AO586" i="13"/>
  <c r="AO584" i="13"/>
  <c r="AO589" i="13"/>
  <c r="AO583" i="13"/>
  <c r="Y580" i="13"/>
  <c r="Z460" i="13"/>
  <c r="Z458" i="13"/>
  <c r="Z459" i="13"/>
  <c r="Z457" i="13"/>
  <c r="AU572" i="13"/>
  <c r="AU570" i="13"/>
  <c r="AU535" i="13"/>
  <c r="AU537" i="13"/>
  <c r="AU571" i="13"/>
  <c r="AU536" i="13"/>
  <c r="AU538" i="13"/>
  <c r="AI497" i="13"/>
  <c r="AI496" i="13"/>
  <c r="AI495" i="13"/>
  <c r="AI494" i="13"/>
  <c r="AI493" i="13"/>
  <c r="AI498" i="13"/>
  <c r="BA378" i="13"/>
  <c r="BA379" i="13"/>
  <c r="BA377" i="13"/>
  <c r="BA376" i="13"/>
  <c r="BA351" i="13"/>
  <c r="BA347" i="13"/>
  <c r="BA354" i="13"/>
  <c r="BA352" i="13"/>
  <c r="BA348" i="13"/>
  <c r="BA349" i="13"/>
  <c r="BA346" i="13"/>
  <c r="BA353" i="13"/>
  <c r="BA350" i="13"/>
  <c r="BA430" i="13"/>
  <c r="BA424" i="13"/>
  <c r="BA429" i="13"/>
  <c r="BA425" i="13"/>
  <c r="AO242" i="13"/>
  <c r="AO241" i="13"/>
  <c r="AO240" i="13"/>
  <c r="AO244" i="13"/>
  <c r="AO243" i="13"/>
  <c r="AO239" i="13"/>
  <c r="Z217" i="13"/>
  <c r="Z215" i="13"/>
  <c r="Z214" i="13"/>
  <c r="Z24" i="13"/>
  <c r="Z23" i="13"/>
  <c r="Z26" i="13"/>
  <c r="Z25" i="13"/>
  <c r="X533" i="13"/>
  <c r="Y65" i="13"/>
  <c r="K33" i="13"/>
  <c r="M31" i="13"/>
  <c r="AN31" i="13"/>
  <c r="AN33" i="13"/>
  <c r="AU197" i="13"/>
  <c r="AU195" i="13"/>
  <c r="AU194" i="13"/>
  <c r="BA41" i="13"/>
  <c r="BA39" i="13"/>
  <c r="BA40" i="13"/>
  <c r="BA38" i="13"/>
  <c r="AO157" i="13"/>
  <c r="AO159" i="13"/>
  <c r="AO155" i="13"/>
  <c r="AO160" i="13"/>
  <c r="AO156" i="13"/>
  <c r="AO161" i="13"/>
  <c r="AO158" i="13"/>
  <c r="AT236" i="13"/>
  <c r="AU182" i="13"/>
  <c r="AU178" i="13"/>
  <c r="AU187" i="13"/>
  <c r="AU185" i="13"/>
  <c r="AU179" i="13"/>
  <c r="AU177" i="13"/>
  <c r="AU183" i="13"/>
  <c r="AU181" i="13"/>
  <c r="AU186" i="13"/>
  <c r="AU180" i="13"/>
  <c r="X489" i="13"/>
  <c r="X491" i="13"/>
  <c r="Y166" i="13"/>
  <c r="W21" i="13"/>
  <c r="Y21" i="13"/>
  <c r="Z19" i="13"/>
  <c r="X21" i="13"/>
  <c r="Z18" i="13"/>
  <c r="Z20" i="13"/>
  <c r="BA524" i="12"/>
  <c r="Z241" i="12"/>
  <c r="Z244" i="12"/>
  <c r="Z243" i="12"/>
  <c r="Z239" i="12"/>
  <c r="Z242" i="12"/>
  <c r="Z240" i="12"/>
  <c r="Z173" i="12"/>
  <c r="Z174" i="12"/>
  <c r="AU316" i="12"/>
  <c r="AU358" i="12"/>
  <c r="AU359" i="12"/>
  <c r="AU360" i="12"/>
  <c r="AU357" i="12"/>
  <c r="AU24" i="12"/>
  <c r="AU26" i="12"/>
  <c r="AU23" i="12"/>
  <c r="AU25" i="12"/>
  <c r="Z194" i="12"/>
  <c r="Z195" i="12"/>
  <c r="Z197" i="12"/>
  <c r="Z159" i="12"/>
  <c r="Z157" i="12"/>
  <c r="Z156" i="12"/>
  <c r="Z160" i="12"/>
  <c r="Z158" i="12"/>
  <c r="Z155" i="12"/>
  <c r="Z161" i="12"/>
  <c r="BA352" i="12"/>
  <c r="BA348" i="12"/>
  <c r="BA350" i="12"/>
  <c r="BA346" i="12"/>
  <c r="BA354" i="12"/>
  <c r="BA351" i="12"/>
  <c r="BA347" i="12"/>
  <c r="BA353" i="12"/>
  <c r="BA349" i="12"/>
  <c r="BA241" i="12"/>
  <c r="BA244" i="12"/>
  <c r="BA240" i="12"/>
  <c r="BA242" i="12"/>
  <c r="Z144" i="12"/>
  <c r="Z140" i="12"/>
  <c r="Z143" i="12"/>
  <c r="Z142" i="12"/>
  <c r="Z141" i="12"/>
  <c r="Z146" i="12"/>
  <c r="Z137" i="12"/>
  <c r="Z147" i="12"/>
  <c r="Z145" i="12"/>
  <c r="Z139" i="12"/>
  <c r="Z138" i="12"/>
  <c r="BA333" i="12"/>
  <c r="BA332" i="12"/>
  <c r="BA326" i="12"/>
  <c r="BA331" i="12"/>
  <c r="BA327" i="12"/>
  <c r="AU187" i="12"/>
  <c r="AU185" i="12"/>
  <c r="AU183" i="12"/>
  <c r="AU179" i="12"/>
  <c r="AU181" i="12"/>
  <c r="AU182" i="12"/>
  <c r="AU180" i="12"/>
  <c r="AU178" i="12"/>
  <c r="AU186" i="12"/>
  <c r="Z648" i="12"/>
  <c r="Z646" i="12"/>
  <c r="Z649" i="12"/>
  <c r="Z650" i="12"/>
  <c r="Z441" i="12"/>
  <c r="Z439" i="12"/>
  <c r="Z435" i="12"/>
  <c r="Z437" i="12"/>
  <c r="Z433" i="12"/>
  <c r="Z440" i="12"/>
  <c r="Z438" i="12"/>
  <c r="Z436" i="12"/>
  <c r="Z434" i="12"/>
  <c r="Z343" i="12"/>
  <c r="Z342" i="12"/>
  <c r="Z336" i="12"/>
  <c r="Z341" i="12"/>
  <c r="Z337" i="12"/>
  <c r="Z210" i="12"/>
  <c r="Z208" i="12"/>
  <c r="Z206" i="12"/>
  <c r="Z209" i="12"/>
  <c r="Z207" i="12"/>
  <c r="BA173" i="12"/>
  <c r="BA169" i="12"/>
  <c r="BA171" i="12"/>
  <c r="BA170" i="12"/>
  <c r="BA174" i="12"/>
  <c r="BA172" i="12"/>
  <c r="BA159" i="12"/>
  <c r="BA157" i="12"/>
  <c r="BA161" i="12"/>
  <c r="BA160" i="12"/>
  <c r="BA158" i="12"/>
  <c r="BA156" i="12"/>
  <c r="BA155" i="12"/>
  <c r="BA144" i="12"/>
  <c r="BA140" i="12"/>
  <c r="BA147" i="12"/>
  <c r="BA146" i="12"/>
  <c r="BA145" i="12"/>
  <c r="BA139" i="12"/>
  <c r="BA138" i="12"/>
  <c r="BA137" i="12"/>
  <c r="BA143" i="12"/>
  <c r="BA142" i="12"/>
  <c r="BA141" i="12"/>
  <c r="BA56" i="12"/>
  <c r="BA52" i="12"/>
  <c r="BA48" i="12"/>
  <c r="BA44" i="12"/>
  <c r="BA54" i="12"/>
  <c r="BA50" i="12"/>
  <c r="BA46" i="12"/>
  <c r="BA57" i="12"/>
  <c r="BA53" i="12"/>
  <c r="BA49" i="12"/>
  <c r="BA45" i="12"/>
  <c r="BA58" i="12"/>
  <c r="BA55" i="12"/>
  <c r="BA51" i="12"/>
  <c r="BA47" i="12"/>
  <c r="Z457" i="12"/>
  <c r="Z459" i="12"/>
  <c r="Z460" i="12"/>
  <c r="Z458" i="12"/>
  <c r="BA508" i="12"/>
  <c r="BA506" i="12"/>
  <c r="BA507" i="12"/>
  <c r="BA505" i="12"/>
  <c r="BA504" i="12"/>
  <c r="BA468" i="12"/>
  <c r="BA437" i="12"/>
  <c r="BA440" i="12"/>
  <c r="BA210" i="12"/>
  <c r="BA208" i="12"/>
  <c r="BA206" i="12"/>
  <c r="BA207" i="12"/>
  <c r="BA209" i="12"/>
  <c r="BA233" i="12"/>
  <c r="BA236" i="12"/>
  <c r="BA235" i="12"/>
  <c r="BA231" i="12"/>
  <c r="BA232" i="12"/>
  <c r="BA234" i="12"/>
  <c r="AU217" i="12"/>
  <c r="AU215" i="12"/>
  <c r="AU214" i="12"/>
  <c r="AI585" i="12"/>
  <c r="AI587" i="12"/>
  <c r="AI589" i="12"/>
  <c r="AI583" i="12"/>
  <c r="AI586" i="12"/>
  <c r="AI584" i="12"/>
  <c r="AI588" i="12"/>
  <c r="BA498" i="12"/>
  <c r="BA497" i="12"/>
  <c r="BA496" i="12"/>
  <c r="BA495" i="12"/>
  <c r="BA494" i="12"/>
  <c r="BA493" i="12"/>
  <c r="Z203" i="12"/>
  <c r="Z201" i="12"/>
  <c r="Z200" i="12"/>
  <c r="Z512" i="12"/>
  <c r="Z514" i="12"/>
  <c r="Z511" i="12"/>
  <c r="AT416" i="12"/>
  <c r="AT421" i="12"/>
  <c r="W421" i="12"/>
  <c r="Z477" i="12"/>
  <c r="Z473" i="12"/>
  <c r="Z480" i="12"/>
  <c r="Z478" i="12"/>
  <c r="Z475" i="12"/>
  <c r="Z479" i="12"/>
  <c r="Z474" i="12"/>
  <c r="Z476" i="12"/>
  <c r="Z472" i="12"/>
  <c r="Z406" i="12"/>
  <c r="Z402" i="12"/>
  <c r="Z403" i="12"/>
  <c r="Z404" i="12"/>
  <c r="Z407" i="12"/>
  <c r="Z405" i="12"/>
  <c r="AU73" i="12"/>
  <c r="AU71" i="12"/>
  <c r="AU68" i="12"/>
  <c r="AU70" i="12"/>
  <c r="AU69" i="12"/>
  <c r="AU72" i="12"/>
  <c r="Y31" i="12"/>
  <c r="AT31" i="12"/>
  <c r="AZ32" i="12"/>
  <c r="AZ33" i="12"/>
  <c r="Y32" i="12"/>
  <c r="Y21" i="12"/>
  <c r="Z19" i="12"/>
  <c r="W21" i="12"/>
  <c r="Z18" i="12"/>
  <c r="X21" i="12"/>
  <c r="Z20" i="12"/>
  <c r="BA24" i="12"/>
  <c r="BA25" i="12"/>
  <c r="BA26" i="12"/>
  <c r="BA23" i="12"/>
  <c r="Z323" i="12"/>
  <c r="Z322" i="12"/>
  <c r="Z316" i="12"/>
  <c r="Z321" i="12"/>
  <c r="Z317" i="12"/>
  <c r="BA68" i="12"/>
  <c r="BA73" i="12"/>
  <c r="AU616" i="12"/>
  <c r="AU612" i="12"/>
  <c r="AU618" i="12"/>
  <c r="AU614" i="12"/>
  <c r="AU619" i="12"/>
  <c r="AU615" i="12"/>
  <c r="AU611" i="12"/>
  <c r="AU617" i="12"/>
  <c r="AU613" i="12"/>
  <c r="AU620" i="12"/>
  <c r="Y572" i="12"/>
  <c r="Z662" i="12"/>
  <c r="Z660" i="12"/>
  <c r="Z658" i="12"/>
  <c r="Z656" i="12"/>
  <c r="Z654" i="12"/>
  <c r="Z661" i="12"/>
  <c r="Z659" i="12"/>
  <c r="Z657" i="12"/>
  <c r="Z655" i="12"/>
  <c r="Z663" i="12"/>
  <c r="Z576" i="12"/>
  <c r="Z578" i="12"/>
  <c r="Z577" i="12"/>
  <c r="Z579" i="12"/>
  <c r="Z580" i="12"/>
  <c r="W499" i="12"/>
  <c r="Y499" i="12"/>
  <c r="Z333" i="12"/>
  <c r="Z332" i="12"/>
  <c r="Z326" i="12"/>
  <c r="Z327" i="12"/>
  <c r="Z331" i="12"/>
  <c r="BA358" i="12"/>
  <c r="BA360" i="12"/>
  <c r="BA359" i="12"/>
  <c r="BA357" i="12"/>
  <c r="Y395" i="12"/>
  <c r="Y400" i="12"/>
  <c r="W400" i="12"/>
  <c r="AT395" i="12"/>
  <c r="AT400" i="12"/>
  <c r="Z378" i="12"/>
  <c r="Y620" i="12"/>
  <c r="BA220" i="12"/>
  <c r="BA221" i="12"/>
  <c r="BA223" i="12"/>
  <c r="AI236" i="12"/>
  <c r="AI235" i="12"/>
  <c r="AI231" i="12"/>
  <c r="AI233" i="12"/>
  <c r="AI232" i="12"/>
  <c r="AI234" i="12"/>
  <c r="BA19" i="12"/>
  <c r="BA20" i="12"/>
  <c r="BA18" i="12"/>
  <c r="V489" i="12"/>
  <c r="V491" i="12"/>
  <c r="T491" i="12"/>
  <c r="AU166" i="12"/>
  <c r="AU165" i="12"/>
  <c r="AU164" i="12"/>
  <c r="Z81" i="12"/>
  <c r="Z79" i="12"/>
  <c r="Z77" i="12"/>
  <c r="Z80" i="12"/>
  <c r="Z78" i="12"/>
  <c r="AI227" i="12"/>
  <c r="AI228" i="12"/>
  <c r="AI226" i="12"/>
  <c r="Y15" i="12"/>
  <c r="AT607" i="12"/>
  <c r="Z641" i="12"/>
  <c r="Z639" i="12"/>
  <c r="Z642" i="12"/>
  <c r="Z643" i="12"/>
  <c r="AZ607" i="12"/>
  <c r="AZ597" i="12"/>
  <c r="BA587" i="12"/>
  <c r="BA585" i="12"/>
  <c r="BA589" i="12"/>
  <c r="BA586" i="12"/>
  <c r="BA588" i="12"/>
  <c r="BA584" i="12"/>
  <c r="BA583" i="12"/>
  <c r="AO576" i="12"/>
  <c r="AO580" i="12"/>
  <c r="AO577" i="12"/>
  <c r="AO578" i="12"/>
  <c r="AO579" i="12"/>
  <c r="AT480" i="12"/>
  <c r="BA579" i="12"/>
  <c r="BA577" i="12"/>
  <c r="AT538" i="12"/>
  <c r="Z469" i="12"/>
  <c r="Z430" i="12"/>
  <c r="W500" i="12"/>
  <c r="Z217" i="12"/>
  <c r="Z215" i="12"/>
  <c r="Z214" i="12"/>
  <c r="AU151" i="12"/>
  <c r="AU152" i="12"/>
  <c r="AU150" i="12"/>
  <c r="Y416" i="12"/>
  <c r="Y421" i="12"/>
  <c r="BA379" i="12"/>
  <c r="BA377" i="12"/>
  <c r="BA378" i="12"/>
  <c r="BA376" i="12"/>
  <c r="AZ177" i="12"/>
  <c r="Y177" i="12"/>
  <c r="N491" i="12"/>
  <c r="W489" i="12"/>
  <c r="P489" i="12"/>
  <c r="P491" i="12"/>
  <c r="AZ620" i="12"/>
  <c r="BA368" i="12"/>
  <c r="BA363" i="12"/>
  <c r="X421" i="12"/>
  <c r="BA323" i="12"/>
  <c r="BA322" i="12"/>
  <c r="BA316" i="12"/>
  <c r="BA317" i="12"/>
  <c r="BA321" i="12"/>
  <c r="AZ187" i="12"/>
  <c r="Y65" i="12"/>
  <c r="Y41" i="12"/>
  <c r="AT177" i="12"/>
  <c r="AU177" i="12"/>
  <c r="AU54" i="12"/>
  <c r="AU50" i="12"/>
  <c r="AU46" i="12"/>
  <c r="AU56" i="12"/>
  <c r="AU52" i="12"/>
  <c r="AU48" i="12"/>
  <c r="AU44" i="12"/>
  <c r="AU58" i="12"/>
  <c r="AU55" i="12"/>
  <c r="AU51" i="12"/>
  <c r="AU47" i="12"/>
  <c r="AU57" i="12"/>
  <c r="AU53" i="12"/>
  <c r="AU49" i="12"/>
  <c r="AU45" i="12"/>
  <c r="Z166" i="12"/>
  <c r="Z165" i="12"/>
  <c r="Z164" i="12"/>
  <c r="AI31" i="12"/>
  <c r="AI33" i="12"/>
  <c r="AI32" i="12"/>
  <c r="AI30" i="12"/>
  <c r="BA203" i="12"/>
  <c r="BA201" i="12"/>
  <c r="BA200" i="12"/>
  <c r="AU194" i="12"/>
  <c r="AU197" i="12"/>
  <c r="AU195" i="12"/>
  <c r="AO159" i="12"/>
  <c r="AO157" i="12"/>
  <c r="AO156" i="12"/>
  <c r="AO155" i="12"/>
  <c r="AO160" i="12"/>
  <c r="AO158" i="12"/>
  <c r="AO161" i="12"/>
  <c r="AU62" i="12"/>
  <c r="AU64" i="12"/>
  <c r="AU65" i="12"/>
  <c r="AU63" i="12"/>
  <c r="AU61" i="12"/>
  <c r="AZ41" i="12"/>
  <c r="AO24" i="12"/>
  <c r="AO26" i="12"/>
  <c r="AO23" i="12"/>
  <c r="AO25" i="12"/>
  <c r="AU593" i="12"/>
  <c r="AU594" i="12"/>
  <c r="AU596" i="12"/>
  <c r="AO605" i="12"/>
  <c r="AO601" i="12"/>
  <c r="AO607" i="12"/>
  <c r="AO606" i="12"/>
  <c r="AO600" i="12"/>
  <c r="AO595" i="12"/>
  <c r="AO593" i="12"/>
  <c r="AO596" i="12"/>
  <c r="AO592" i="12"/>
  <c r="AO597" i="12"/>
  <c r="AO594" i="12"/>
  <c r="AI593" i="12"/>
  <c r="AI595" i="12"/>
  <c r="AI594" i="12"/>
  <c r="AI592" i="12"/>
  <c r="AI596" i="12"/>
  <c r="AI597" i="12"/>
  <c r="Z587" i="12"/>
  <c r="Z585" i="12"/>
  <c r="Z589" i="12"/>
  <c r="Z588" i="12"/>
  <c r="Z584" i="12"/>
  <c r="Z583" i="12"/>
  <c r="Z586" i="12"/>
  <c r="AI498" i="12"/>
  <c r="AI496" i="12"/>
  <c r="AI497" i="12"/>
  <c r="AI494" i="12"/>
  <c r="AI495" i="12"/>
  <c r="AI493" i="12"/>
  <c r="BA512" i="12"/>
  <c r="BA513" i="12"/>
  <c r="BA514" i="12"/>
  <c r="BA511" i="12"/>
  <c r="BA515" i="12"/>
  <c r="AO497" i="12"/>
  <c r="AO493" i="12"/>
  <c r="AO498" i="12"/>
  <c r="AO494" i="12"/>
  <c r="AO496" i="12"/>
  <c r="AO495" i="12"/>
  <c r="AU425" i="12"/>
  <c r="AU429" i="12"/>
  <c r="AU430" i="12"/>
  <c r="AU424" i="12"/>
  <c r="Z463" i="12"/>
  <c r="Z429" i="12"/>
  <c r="Z425" i="12"/>
  <c r="Z424" i="12"/>
  <c r="Z364" i="12"/>
  <c r="Z368" i="12"/>
  <c r="Z363" i="12"/>
  <c r="Z468" i="12"/>
  <c r="Z464" i="12"/>
  <c r="Z369" i="12"/>
  <c r="Z370" i="12"/>
  <c r="AU580" i="12"/>
  <c r="AU579" i="12"/>
  <c r="AU578" i="12"/>
  <c r="AU576" i="12"/>
  <c r="AU577" i="12"/>
  <c r="Z358" i="12"/>
  <c r="Z359" i="12"/>
  <c r="Z357" i="12"/>
  <c r="Z360" i="12"/>
  <c r="AU404" i="12"/>
  <c r="AU402" i="12"/>
  <c r="AU406" i="12"/>
  <c r="AU405" i="12"/>
  <c r="AU403" i="12"/>
  <c r="AU407" i="12"/>
  <c r="BA343" i="12"/>
  <c r="BA337" i="12"/>
  <c r="BA341" i="12"/>
  <c r="AZ400" i="12"/>
  <c r="AI157" i="12"/>
  <c r="AI159" i="12"/>
  <c r="AI155" i="12"/>
  <c r="AI161" i="12"/>
  <c r="AI156" i="12"/>
  <c r="AI160" i="12"/>
  <c r="AI158" i="12"/>
  <c r="AT449" i="12"/>
  <c r="AT454" i="12"/>
  <c r="Y449" i="12"/>
  <c r="Y454" i="12"/>
  <c r="AU244" i="12"/>
  <c r="AU243" i="12"/>
  <c r="AU239" i="12"/>
  <c r="AU241" i="12"/>
  <c r="AU242" i="12"/>
  <c r="AU240" i="12"/>
  <c r="AU236" i="12"/>
  <c r="AU235" i="12"/>
  <c r="AU231" i="12"/>
  <c r="AU233" i="12"/>
  <c r="AU232" i="12"/>
  <c r="AU234" i="12"/>
  <c r="AI147" i="12"/>
  <c r="AI146" i="12"/>
  <c r="AI142" i="12"/>
  <c r="AI138" i="12"/>
  <c r="AI140" i="12"/>
  <c r="AI143" i="12"/>
  <c r="AI141" i="12"/>
  <c r="AI145" i="12"/>
  <c r="AI139" i="12"/>
  <c r="AI144" i="12"/>
  <c r="AI137" i="12"/>
  <c r="Y607" i="12"/>
  <c r="Y597" i="12"/>
  <c r="AI580" i="12"/>
  <c r="AI579" i="12"/>
  <c r="AI578" i="12"/>
  <c r="AI576" i="12"/>
  <c r="AI577" i="12"/>
  <c r="BA217" i="12"/>
  <c r="BA215" i="12"/>
  <c r="BA214" i="12"/>
  <c r="AO343" i="12"/>
  <c r="AO342" i="12"/>
  <c r="AO336" i="12"/>
  <c r="AO341" i="12"/>
  <c r="AO337" i="12"/>
  <c r="Y236" i="12"/>
  <c r="Y30" i="12"/>
  <c r="AT30" i="12"/>
  <c r="AU13" i="12"/>
  <c r="AU15" i="12"/>
  <c r="AU14" i="12"/>
  <c r="AI616" i="12"/>
  <c r="AI612" i="12"/>
  <c r="AI618" i="12"/>
  <c r="AI614" i="12"/>
  <c r="AI620" i="12"/>
  <c r="AI617" i="12"/>
  <c r="AI613" i="12"/>
  <c r="AI619" i="12"/>
  <c r="AI611" i="12"/>
  <c r="AI615" i="12"/>
  <c r="Z634" i="12"/>
  <c r="Z632" i="12"/>
  <c r="Z635" i="12"/>
  <c r="Z636" i="12"/>
  <c r="AU585" i="12"/>
  <c r="AU587" i="12"/>
  <c r="AU588" i="12"/>
  <c r="AU584" i="12"/>
  <c r="AU583" i="12"/>
  <c r="AU589" i="12"/>
  <c r="AU586" i="12"/>
  <c r="Z626" i="12"/>
  <c r="Z624" i="12"/>
  <c r="Z627" i="12"/>
  <c r="Z625" i="12"/>
  <c r="Z623" i="12"/>
  <c r="Z628" i="12"/>
  <c r="AT528" i="12"/>
  <c r="AT533" i="12"/>
  <c r="Y528" i="12"/>
  <c r="Y533" i="12"/>
  <c r="Y495" i="12"/>
  <c r="Y498" i="12"/>
  <c r="AZ480" i="12"/>
  <c r="AU368" i="12"/>
  <c r="AU364" i="12"/>
  <c r="AU370" i="12"/>
  <c r="AU369" i="12"/>
  <c r="AU363" i="12"/>
  <c r="W533" i="12"/>
  <c r="BA457" i="12"/>
  <c r="BA459" i="12"/>
  <c r="BA460" i="12"/>
  <c r="BA458" i="12"/>
  <c r="AO358" i="12"/>
  <c r="AO359" i="12"/>
  <c r="AO357" i="12"/>
  <c r="AO360" i="12"/>
  <c r="Y354" i="12"/>
  <c r="Y187" i="12"/>
  <c r="BA406" i="12"/>
  <c r="BA402" i="12"/>
  <c r="BA407" i="12"/>
  <c r="BA405" i="12"/>
  <c r="BA403" i="12"/>
  <c r="BA404" i="12"/>
  <c r="AI350" i="12"/>
  <c r="AI346" i="12"/>
  <c r="AI352" i="12"/>
  <c r="AI348" i="12"/>
  <c r="AI351" i="12"/>
  <c r="AI347" i="12"/>
  <c r="AI353" i="12"/>
  <c r="AI349" i="12"/>
  <c r="AI354" i="12"/>
  <c r="Z226" i="12"/>
  <c r="Z227" i="12"/>
  <c r="AU19" i="12"/>
  <c r="AU20" i="12"/>
  <c r="AU18" i="12"/>
  <c r="AO33" i="12"/>
  <c r="AO32" i="12"/>
  <c r="AO30" i="12"/>
  <c r="AO31" i="12"/>
  <c r="BA166" i="12"/>
  <c r="BA165" i="12"/>
  <c r="BA164" i="12"/>
  <c r="BA72" i="12"/>
  <c r="BA70" i="12"/>
  <c r="BA64" i="12"/>
  <c r="BA62" i="12"/>
  <c r="BA71" i="12"/>
  <c r="BA65" i="12"/>
  <c r="BA63" i="12"/>
  <c r="BA61" i="12"/>
  <c r="BA69" i="12"/>
  <c r="AU171" i="12"/>
  <c r="AU173" i="12"/>
  <c r="AU169" i="12"/>
  <c r="AU174" i="12"/>
  <c r="AU172" i="12"/>
  <c r="AU170" i="12"/>
  <c r="Z152" i="12"/>
  <c r="Z150" i="12"/>
  <c r="Z151" i="12"/>
  <c r="AI54" i="12"/>
  <c r="AI50" i="12"/>
  <c r="AI46" i="12"/>
  <c r="AI56" i="12"/>
  <c r="AI52" i="12"/>
  <c r="AI48" i="12"/>
  <c r="AI44" i="12"/>
  <c r="AI57" i="12"/>
  <c r="AI53" i="12"/>
  <c r="AI49" i="12"/>
  <c r="AI45" i="12"/>
  <c r="AI58" i="12"/>
  <c r="AI55" i="12"/>
  <c r="AI51" i="12"/>
  <c r="AI47" i="12"/>
  <c r="Y26" i="12"/>
  <c r="Y58" i="12"/>
  <c r="AU477" i="11"/>
  <c r="AU473" i="11"/>
  <c r="AU475" i="11"/>
  <c r="AU480" i="11"/>
  <c r="AU479" i="11"/>
  <c r="AU478" i="11"/>
  <c r="AU472" i="11"/>
  <c r="AU474" i="11"/>
  <c r="AU476" i="11"/>
  <c r="Z171" i="11"/>
  <c r="Z173" i="11"/>
  <c r="Z169" i="11"/>
  <c r="Z172" i="11"/>
  <c r="Z170" i="11"/>
  <c r="Z174" i="11"/>
  <c r="Z479" i="11"/>
  <c r="Z475" i="11"/>
  <c r="Z476" i="11"/>
  <c r="Z473" i="11"/>
  <c r="Z477" i="11"/>
  <c r="Z472" i="11"/>
  <c r="Z474" i="11"/>
  <c r="Z478" i="11"/>
  <c r="Z480" i="11"/>
  <c r="Z337" i="11"/>
  <c r="Z343" i="11"/>
  <c r="Z341" i="11"/>
  <c r="Z342" i="11"/>
  <c r="Z336" i="11"/>
  <c r="BA171" i="11"/>
  <c r="BA173" i="11"/>
  <c r="BA169" i="11"/>
  <c r="BA170" i="11"/>
  <c r="BA174" i="11"/>
  <c r="BA172" i="11"/>
  <c r="BA526" i="11"/>
  <c r="BA507" i="11"/>
  <c r="BA505" i="11"/>
  <c r="BA506" i="11"/>
  <c r="BA508" i="11"/>
  <c r="BA504" i="11"/>
  <c r="AU453" i="11"/>
  <c r="AU448" i="11"/>
  <c r="AU449" i="11"/>
  <c r="AU447" i="11"/>
  <c r="AU445" i="11"/>
  <c r="AU454" i="11"/>
  <c r="AU446" i="11"/>
  <c r="Z220" i="11"/>
  <c r="Z223" i="11"/>
  <c r="Z221" i="11"/>
  <c r="AU404" i="11"/>
  <c r="BA360" i="11"/>
  <c r="BA359" i="11"/>
  <c r="BA358" i="11"/>
  <c r="BA357" i="11"/>
  <c r="Z194" i="11"/>
  <c r="Z197" i="11"/>
  <c r="Z195" i="11"/>
  <c r="BA69" i="11"/>
  <c r="BA65" i="11"/>
  <c r="BA62" i="11"/>
  <c r="BA72" i="11"/>
  <c r="Y489" i="11"/>
  <c r="Y491" i="11"/>
  <c r="W491" i="11"/>
  <c r="BA147" i="11"/>
  <c r="BA145" i="11"/>
  <c r="BA141" i="11"/>
  <c r="BA137" i="11"/>
  <c r="BA143" i="11"/>
  <c r="BA139" i="11"/>
  <c r="BA146" i="11"/>
  <c r="BA138" i="11"/>
  <c r="BA140" i="11"/>
  <c r="BA142" i="11"/>
  <c r="BA144" i="11"/>
  <c r="AU601" i="11"/>
  <c r="AU607" i="11"/>
  <c r="AU606" i="11"/>
  <c r="AU600" i="11"/>
  <c r="AU605" i="11"/>
  <c r="Z618" i="11"/>
  <c r="Z613" i="11"/>
  <c r="Z616" i="11"/>
  <c r="Z619" i="11"/>
  <c r="Z615" i="11"/>
  <c r="AO495" i="11"/>
  <c r="Z206" i="11"/>
  <c r="Z210" i="11"/>
  <c r="Z208" i="11"/>
  <c r="Z207" i="11"/>
  <c r="Z209" i="11"/>
  <c r="Z460" i="11"/>
  <c r="Z459" i="11"/>
  <c r="BA244" i="11"/>
  <c r="BA243" i="11"/>
  <c r="BA239" i="11"/>
  <c r="BA241" i="11"/>
  <c r="BA242" i="11"/>
  <c r="BA240" i="11"/>
  <c r="BA194" i="11"/>
  <c r="BA195" i="11"/>
  <c r="BA197" i="11"/>
  <c r="Z648" i="11"/>
  <c r="Z646" i="11"/>
  <c r="Z650" i="11"/>
  <c r="Z649" i="11"/>
  <c r="AO618" i="11"/>
  <c r="AO614" i="11"/>
  <c r="AO617" i="11"/>
  <c r="AO613" i="11"/>
  <c r="AO620" i="11"/>
  <c r="AO615" i="11"/>
  <c r="AO612" i="11"/>
  <c r="AO616" i="11"/>
  <c r="AO611" i="11"/>
  <c r="AO619" i="11"/>
  <c r="Z605" i="11"/>
  <c r="Z600" i="11"/>
  <c r="Z601" i="11"/>
  <c r="Z607" i="11"/>
  <c r="Z606" i="11"/>
  <c r="Z587" i="11"/>
  <c r="Z583" i="11"/>
  <c r="Z586" i="11"/>
  <c r="Z584" i="11"/>
  <c r="Z585" i="11"/>
  <c r="Z589" i="11"/>
  <c r="Z588" i="11"/>
  <c r="AU616" i="11"/>
  <c r="AU619" i="11"/>
  <c r="AU615" i="11"/>
  <c r="AU618" i="11"/>
  <c r="AU614" i="11"/>
  <c r="AU585" i="11"/>
  <c r="AU589" i="11"/>
  <c r="AU588" i="11"/>
  <c r="AU584" i="11"/>
  <c r="AU586" i="11"/>
  <c r="AU583" i="11"/>
  <c r="AU587" i="11"/>
  <c r="Z571" i="11"/>
  <c r="Z535" i="11"/>
  <c r="Z570" i="11"/>
  <c r="Z537" i="11"/>
  <c r="Z538" i="11"/>
  <c r="Z536" i="11"/>
  <c r="BA479" i="11"/>
  <c r="BA475" i="11"/>
  <c r="BA474" i="11"/>
  <c r="BA478" i="11"/>
  <c r="BA480" i="11"/>
  <c r="BA476" i="11"/>
  <c r="BA473" i="11"/>
  <c r="BA472" i="11"/>
  <c r="BA477" i="11"/>
  <c r="AU572" i="11"/>
  <c r="AU570" i="11"/>
  <c r="AU537" i="11"/>
  <c r="AU535" i="11"/>
  <c r="AU571" i="11"/>
  <c r="AU538" i="11"/>
  <c r="AU536" i="11"/>
  <c r="AU580" i="11"/>
  <c r="AU578" i="11"/>
  <c r="AU577" i="11"/>
  <c r="AU579" i="11"/>
  <c r="AU576" i="11"/>
  <c r="AU337" i="11"/>
  <c r="AU336" i="11"/>
  <c r="AU321" i="11"/>
  <c r="AU317" i="11"/>
  <c r="AU316" i="11"/>
  <c r="AU322" i="11"/>
  <c r="AU323" i="11"/>
  <c r="AZ407" i="11"/>
  <c r="X400" i="11"/>
  <c r="Y515" i="11"/>
  <c r="AI498" i="11"/>
  <c r="AI497" i="11"/>
  <c r="AI496" i="11"/>
  <c r="AI495" i="11"/>
  <c r="AI494" i="11"/>
  <c r="AI493" i="11"/>
  <c r="Y354" i="11"/>
  <c r="AI331" i="11"/>
  <c r="AI327" i="11"/>
  <c r="AI332" i="11"/>
  <c r="AI333" i="11"/>
  <c r="AI326" i="11"/>
  <c r="Y187" i="11"/>
  <c r="AU159" i="11"/>
  <c r="AU157" i="11"/>
  <c r="AU160" i="11"/>
  <c r="AU156" i="11"/>
  <c r="AU161" i="11"/>
  <c r="AU158" i="11"/>
  <c r="AU155" i="11"/>
  <c r="Y449" i="11"/>
  <c r="Y454" i="11"/>
  <c r="BA430" i="11"/>
  <c r="BA424" i="11"/>
  <c r="BA429" i="11"/>
  <c r="BA425" i="11"/>
  <c r="AO327" i="11"/>
  <c r="AO331" i="11"/>
  <c r="AO332" i="11"/>
  <c r="AO333" i="11"/>
  <c r="AO326" i="11"/>
  <c r="BA217" i="11"/>
  <c r="BA215" i="11"/>
  <c r="BA214" i="11"/>
  <c r="AZ177" i="11"/>
  <c r="Y177" i="11"/>
  <c r="Z73" i="11"/>
  <c r="Z71" i="11"/>
  <c r="Z69" i="11"/>
  <c r="Z72" i="11"/>
  <c r="Z70" i="11"/>
  <c r="Z68" i="11"/>
  <c r="BA151" i="11"/>
  <c r="BA150" i="11"/>
  <c r="BA152" i="11"/>
  <c r="Y42" i="11"/>
  <c r="Z38" i="11"/>
  <c r="W42" i="11"/>
  <c r="Z40" i="11"/>
  <c r="Z41" i="11"/>
  <c r="Z39" i="11"/>
  <c r="X42" i="11"/>
  <c r="BA15" i="11"/>
  <c r="BA14" i="11"/>
  <c r="BA13" i="11"/>
  <c r="AU370" i="11"/>
  <c r="AU369" i="11"/>
  <c r="AU363" i="11"/>
  <c r="AU368" i="11"/>
  <c r="AU364" i="11"/>
  <c r="Z235" i="11"/>
  <c r="Z231" i="11"/>
  <c r="Z234" i="11"/>
  <c r="Y121" i="11"/>
  <c r="P122" i="11"/>
  <c r="Y122" i="11"/>
  <c r="AU65" i="11"/>
  <c r="AU63" i="11"/>
  <c r="AU61" i="11"/>
  <c r="AU64" i="11"/>
  <c r="AU62" i="11"/>
  <c r="L33" i="11"/>
  <c r="M32" i="11"/>
  <c r="Y58" i="11"/>
  <c r="V97" i="11"/>
  <c r="V89" i="11"/>
  <c r="V82" i="11"/>
  <c r="Z26" i="11"/>
  <c r="Z25" i="11"/>
  <c r="Z23" i="11"/>
  <c r="Z24" i="11"/>
  <c r="Z641" i="11"/>
  <c r="Z639" i="11"/>
  <c r="Z643" i="11"/>
  <c r="Z642" i="11"/>
  <c r="AO595" i="11"/>
  <c r="AO594" i="11"/>
  <c r="AO593" i="11"/>
  <c r="AO596" i="11"/>
  <c r="AO592" i="11"/>
  <c r="AO597" i="11"/>
  <c r="AI585" i="11"/>
  <c r="AI589" i="11"/>
  <c r="AI588" i="11"/>
  <c r="AI584" i="11"/>
  <c r="AI587" i="11"/>
  <c r="AI586" i="11"/>
  <c r="AI583" i="11"/>
  <c r="BA587" i="11"/>
  <c r="BA583" i="11"/>
  <c r="BA586" i="11"/>
  <c r="BA585" i="11"/>
  <c r="BA584" i="11"/>
  <c r="BA588" i="11"/>
  <c r="BA589" i="11"/>
  <c r="BA580" i="11"/>
  <c r="BA579" i="11"/>
  <c r="BA578" i="11"/>
  <c r="BA576" i="11"/>
  <c r="BA577" i="11"/>
  <c r="S500" i="11"/>
  <c r="AT379" i="11"/>
  <c r="AI341" i="11"/>
  <c r="AI337" i="11"/>
  <c r="AI342" i="11"/>
  <c r="AI343" i="11"/>
  <c r="AI336" i="11"/>
  <c r="Y379" i="11"/>
  <c r="Y323" i="11"/>
  <c r="AO317" i="11"/>
  <c r="AO321" i="11"/>
  <c r="AO323" i="11"/>
  <c r="AO322" i="11"/>
  <c r="AO316" i="11"/>
  <c r="BA220" i="11"/>
  <c r="BA223" i="11"/>
  <c r="BA221" i="11"/>
  <c r="AZ187" i="11"/>
  <c r="Y441" i="11"/>
  <c r="BA378" i="11"/>
  <c r="BA379" i="11"/>
  <c r="BA377" i="11"/>
  <c r="BA376" i="11"/>
  <c r="AO370" i="11"/>
  <c r="AO369" i="11"/>
  <c r="AO363" i="11"/>
  <c r="AO368" i="11"/>
  <c r="AO364" i="11"/>
  <c r="BA327" i="11"/>
  <c r="BA331" i="11"/>
  <c r="BA333" i="11"/>
  <c r="BA332" i="11"/>
  <c r="BA326" i="11"/>
  <c r="AU181" i="11"/>
  <c r="AU177" i="11"/>
  <c r="AU187" i="11"/>
  <c r="AU185" i="11"/>
  <c r="AU183" i="11"/>
  <c r="AU179" i="11"/>
  <c r="AU182" i="11"/>
  <c r="AU180" i="11"/>
  <c r="AU178" i="11"/>
  <c r="AU186" i="11"/>
  <c r="Y161" i="11"/>
  <c r="Y370" i="11"/>
  <c r="BA236" i="11"/>
  <c r="BA235" i="11"/>
  <c r="BA231" i="11"/>
  <c r="BA233" i="11"/>
  <c r="BA234" i="11"/>
  <c r="BA232" i="11"/>
  <c r="Y152" i="11"/>
  <c r="AZ73" i="11"/>
  <c r="Y147" i="11"/>
  <c r="Z86" i="11"/>
  <c r="Z84" i="11"/>
  <c r="Z87" i="11"/>
  <c r="Z85" i="11"/>
  <c r="Z88" i="11"/>
  <c r="Y65" i="11"/>
  <c r="AZ58" i="11"/>
  <c r="Z634" i="11"/>
  <c r="Z632" i="11"/>
  <c r="Z636" i="11"/>
  <c r="Z635" i="11"/>
  <c r="Z595" i="11"/>
  <c r="Z594" i="11"/>
  <c r="Z592" i="11"/>
  <c r="Z596" i="11"/>
  <c r="Z597" i="11"/>
  <c r="Z593" i="11"/>
  <c r="AU593" i="11"/>
  <c r="AU597" i="11"/>
  <c r="AU596" i="11"/>
  <c r="AU592" i="11"/>
  <c r="AU594" i="11"/>
  <c r="AU595" i="11"/>
  <c r="Z670" i="11"/>
  <c r="Z669" i="11"/>
  <c r="Z667" i="11"/>
  <c r="Z665" i="11"/>
  <c r="Z668" i="11"/>
  <c r="Z666" i="11"/>
  <c r="BA618" i="11"/>
  <c r="BA614" i="11"/>
  <c r="BA617" i="11"/>
  <c r="BA613" i="11"/>
  <c r="BA619" i="11"/>
  <c r="BA612" i="11"/>
  <c r="BA620" i="11"/>
  <c r="BA611" i="11"/>
  <c r="BA616" i="11"/>
  <c r="BA615" i="11"/>
  <c r="Z544" i="11"/>
  <c r="Z545" i="11"/>
  <c r="Z543" i="11"/>
  <c r="Z546" i="11"/>
  <c r="AI601" i="11"/>
  <c r="AI607" i="11"/>
  <c r="AI606" i="11"/>
  <c r="AI600" i="11"/>
  <c r="AI605" i="11"/>
  <c r="Y469" i="11"/>
  <c r="AU440" i="11"/>
  <c r="AU436" i="11"/>
  <c r="AU438" i="11"/>
  <c r="AU434" i="11"/>
  <c r="AU437" i="11"/>
  <c r="AU433" i="11"/>
  <c r="AU441" i="11"/>
  <c r="AU435" i="11"/>
  <c r="AU439" i="11"/>
  <c r="Z166" i="11"/>
  <c r="Z165" i="11"/>
  <c r="Z164" i="11"/>
  <c r="BA457" i="11"/>
  <c r="BA460" i="11"/>
  <c r="BA458" i="11"/>
  <c r="BA459" i="11"/>
  <c r="AU357" i="11"/>
  <c r="AU358" i="11"/>
  <c r="AU359" i="11"/>
  <c r="AU360" i="11"/>
  <c r="BA343" i="11"/>
  <c r="BA337" i="11"/>
  <c r="BA341" i="11"/>
  <c r="BA342" i="11"/>
  <c r="BA336" i="11"/>
  <c r="BA317" i="11"/>
  <c r="BA321" i="11"/>
  <c r="BA322" i="11"/>
  <c r="BA323" i="11"/>
  <c r="BA316" i="11"/>
  <c r="Y528" i="11"/>
  <c r="Y533" i="11"/>
  <c r="AT528" i="11"/>
  <c r="AT533" i="11"/>
  <c r="X454" i="11"/>
  <c r="BA438" i="11"/>
  <c r="BA434" i="11"/>
  <c r="BA440" i="11"/>
  <c r="BA436" i="11"/>
  <c r="BA441" i="11"/>
  <c r="BA439" i="11"/>
  <c r="BA437" i="11"/>
  <c r="BA435" i="11"/>
  <c r="BA433" i="11"/>
  <c r="AI354" i="11"/>
  <c r="AI353" i="11"/>
  <c r="AI349" i="11"/>
  <c r="AI351" i="11"/>
  <c r="AI347" i="11"/>
  <c r="AI352" i="11"/>
  <c r="AI348" i="11"/>
  <c r="AI346" i="11"/>
  <c r="AI350" i="11"/>
  <c r="AI321" i="11"/>
  <c r="AI317" i="11"/>
  <c r="AI322" i="11"/>
  <c r="AI323" i="11"/>
  <c r="AI316" i="11"/>
  <c r="AN31" i="11"/>
  <c r="AN33" i="11"/>
  <c r="K33" i="11"/>
  <c r="M31" i="11"/>
  <c r="Z15" i="11"/>
  <c r="Z14" i="11"/>
  <c r="X16" i="11"/>
  <c r="Y16" i="11"/>
  <c r="W16" i="11"/>
  <c r="Z13" i="11"/>
  <c r="AI233" i="11"/>
  <c r="AI236" i="11"/>
  <c r="AI235" i="11"/>
  <c r="AI231" i="11"/>
  <c r="AI234" i="11"/>
  <c r="AI232" i="11"/>
  <c r="AI159" i="11"/>
  <c r="AI157" i="11"/>
  <c r="AI161" i="11"/>
  <c r="AI156" i="11"/>
  <c r="AI155" i="11"/>
  <c r="AI160" i="11"/>
  <c r="AI158" i="11"/>
  <c r="Z79" i="11"/>
  <c r="Z77" i="11"/>
  <c r="Z80" i="11"/>
  <c r="Z78" i="11"/>
  <c r="Z81" i="11"/>
  <c r="AU411" i="11"/>
  <c r="Z360" i="11"/>
  <c r="Z359" i="11"/>
  <c r="Z357" i="11"/>
  <c r="Z358" i="11"/>
  <c r="AU233" i="11"/>
  <c r="AU236" i="11"/>
  <c r="AU235" i="11"/>
  <c r="AU231" i="11"/>
  <c r="AU234" i="11"/>
  <c r="AU232" i="11"/>
  <c r="T491" i="11"/>
  <c r="V489" i="11"/>
  <c r="V491" i="11"/>
  <c r="Z94" i="11"/>
  <c r="Z92" i="11"/>
  <c r="Z95" i="11"/>
  <c r="Z93" i="11"/>
  <c r="Z96" i="11"/>
  <c r="BA38" i="11"/>
  <c r="BA40" i="11"/>
  <c r="BA41" i="11"/>
  <c r="BA39" i="11"/>
  <c r="Y244" i="11"/>
  <c r="AU194" i="11"/>
  <c r="AU195" i="11"/>
  <c r="AU197" i="11"/>
  <c r="AU173" i="11"/>
  <c r="AU169" i="11"/>
  <c r="AU171" i="11"/>
  <c r="AU174" i="11"/>
  <c r="AU172" i="11"/>
  <c r="AU170" i="11"/>
  <c r="X21" i="11"/>
  <c r="Z20" i="11"/>
  <c r="Z18" i="11"/>
  <c r="Y21" i="11"/>
  <c r="W21" i="11"/>
  <c r="Z19" i="11"/>
  <c r="AO605" i="11"/>
  <c r="AO606" i="11"/>
  <c r="AO601" i="11"/>
  <c r="AO607" i="11"/>
  <c r="AO600" i="11"/>
  <c r="AO587" i="11"/>
  <c r="AO583" i="11"/>
  <c r="AO586" i="11"/>
  <c r="AO588" i="11"/>
  <c r="AO585" i="11"/>
  <c r="AO589" i="11"/>
  <c r="AO584" i="11"/>
  <c r="BA595" i="11"/>
  <c r="BA594" i="11"/>
  <c r="BA592" i="11"/>
  <c r="BA593" i="11"/>
  <c r="BA597" i="11"/>
  <c r="BA596" i="11"/>
  <c r="Y572" i="11"/>
  <c r="Z572" i="11"/>
  <c r="Y580" i="11"/>
  <c r="W500" i="11"/>
  <c r="P500" i="11"/>
  <c r="BA513" i="11"/>
  <c r="BA511" i="11"/>
  <c r="BA515" i="11"/>
  <c r="BA514" i="11"/>
  <c r="BA512" i="11"/>
  <c r="Y493" i="11"/>
  <c r="Y498" i="11"/>
  <c r="Y421" i="11"/>
  <c r="AU326" i="11"/>
  <c r="AU332" i="11"/>
  <c r="AI578" i="11"/>
  <c r="AI576" i="11"/>
  <c r="AI577" i="11"/>
  <c r="AI580" i="11"/>
  <c r="AI579" i="11"/>
  <c r="AU511" i="11"/>
  <c r="AU505" i="11"/>
  <c r="AU513" i="11"/>
  <c r="AU507" i="11"/>
  <c r="AU508" i="11"/>
  <c r="AU506" i="11"/>
  <c r="AU504" i="11"/>
  <c r="AU514" i="11"/>
  <c r="AU512" i="11"/>
  <c r="Y430" i="11"/>
  <c r="Y407" i="11"/>
  <c r="Y395" i="11"/>
  <c r="Y400" i="11"/>
  <c r="AT395" i="11"/>
  <c r="AT400" i="11"/>
  <c r="AZ400" i="11"/>
  <c r="Y333" i="11"/>
  <c r="AU459" i="11"/>
  <c r="AU460" i="11"/>
  <c r="AU458" i="11"/>
  <c r="AU457" i="11"/>
  <c r="Z217" i="11"/>
  <c r="Z215" i="11"/>
  <c r="Z214" i="11"/>
  <c r="BA166" i="11"/>
  <c r="BA165" i="11"/>
  <c r="BA164" i="11"/>
  <c r="J33" i="11"/>
  <c r="AH30" i="11"/>
  <c r="AH33" i="11"/>
  <c r="M30" i="11"/>
  <c r="M33" i="11"/>
  <c r="AZ161" i="11"/>
  <c r="BA463" i="11"/>
  <c r="BA464" i="11"/>
  <c r="AI143" i="11"/>
  <c r="AI139" i="11"/>
  <c r="AI145" i="11"/>
  <c r="AI141" i="11"/>
  <c r="AI137" i="11"/>
  <c r="AI146" i="11"/>
  <c r="AI138" i="11"/>
  <c r="AI147" i="11"/>
  <c r="AI140" i="11"/>
  <c r="AI142" i="11"/>
  <c r="AI144" i="11"/>
  <c r="BA203" i="11"/>
  <c r="BA201" i="11"/>
  <c r="BA200" i="11"/>
  <c r="BA20" i="11"/>
  <c r="BA18" i="11"/>
  <c r="BA19" i="11"/>
  <c r="AU15" i="11"/>
  <c r="AU14" i="11"/>
  <c r="AU13" i="11"/>
  <c r="BA403" i="10"/>
  <c r="BA404" i="10"/>
  <c r="BA406" i="10"/>
  <c r="BA407" i="10"/>
  <c r="BA405" i="10"/>
  <c r="BA402" i="10"/>
  <c r="BA476" i="10"/>
  <c r="BA478" i="10"/>
  <c r="BA473" i="10"/>
  <c r="BA475" i="10"/>
  <c r="BA479" i="10"/>
  <c r="BA472" i="10"/>
  <c r="BA480" i="10"/>
  <c r="BA474" i="10"/>
  <c r="BA477" i="10"/>
  <c r="Z54" i="10"/>
  <c r="Z50" i="10"/>
  <c r="Z46" i="10"/>
  <c r="Z58" i="10"/>
  <c r="Z57" i="10"/>
  <c r="Z53" i="10"/>
  <c r="Z49" i="10"/>
  <c r="Z45" i="10"/>
  <c r="Z55" i="10"/>
  <c r="Z44" i="10"/>
  <c r="Z48" i="10"/>
  <c r="Z56" i="10"/>
  <c r="Z51" i="10"/>
  <c r="Z52" i="10"/>
  <c r="Z47" i="10"/>
  <c r="AU166" i="10"/>
  <c r="AU164" i="10"/>
  <c r="AU165" i="10"/>
  <c r="Z227" i="10"/>
  <c r="Z226" i="10"/>
  <c r="Z228" i="10"/>
  <c r="AU585" i="10"/>
  <c r="AU587" i="10"/>
  <c r="AU583" i="10"/>
  <c r="AU588" i="10"/>
  <c r="AU584" i="10"/>
  <c r="AU589" i="10"/>
  <c r="AU586" i="10"/>
  <c r="BA519" i="10"/>
  <c r="BA525" i="10"/>
  <c r="BA526" i="10"/>
  <c r="AU379" i="10"/>
  <c r="AU377" i="10"/>
  <c r="AU376" i="10"/>
  <c r="AU378" i="10"/>
  <c r="Z236" i="10"/>
  <c r="Z233" i="10"/>
  <c r="Z232" i="10"/>
  <c r="AU56" i="10"/>
  <c r="AU52" i="10"/>
  <c r="AU48" i="10"/>
  <c r="AU44" i="10"/>
  <c r="AU55" i="10"/>
  <c r="AU51" i="10"/>
  <c r="AU47" i="10"/>
  <c r="AU57" i="10"/>
  <c r="AU54" i="10"/>
  <c r="AU46" i="10"/>
  <c r="AU58" i="10"/>
  <c r="AU45" i="10"/>
  <c r="AU53" i="10"/>
  <c r="AU50" i="10"/>
  <c r="AU49" i="10"/>
  <c r="BA425" i="10"/>
  <c r="BA185" i="10"/>
  <c r="BA180" i="10"/>
  <c r="BA177" i="10"/>
  <c r="BA157" i="10"/>
  <c r="BA161" i="10"/>
  <c r="BA160" i="10"/>
  <c r="BA156" i="10"/>
  <c r="BA158" i="10"/>
  <c r="BA155" i="10"/>
  <c r="BA159" i="10"/>
  <c r="AU73" i="10"/>
  <c r="AU71" i="10"/>
  <c r="AU68" i="10"/>
  <c r="Z587" i="10"/>
  <c r="Z585" i="10"/>
  <c r="Z589" i="10"/>
  <c r="Z588" i="10"/>
  <c r="Z584" i="10"/>
  <c r="Z583" i="10"/>
  <c r="Z586" i="10"/>
  <c r="Z648" i="10"/>
  <c r="Z646" i="10"/>
  <c r="Z649" i="10"/>
  <c r="Z650" i="10"/>
  <c r="Z538" i="10"/>
  <c r="Z536" i="10"/>
  <c r="Z537" i="10"/>
  <c r="Z571" i="10"/>
  <c r="Z570" i="10"/>
  <c r="Z535" i="10"/>
  <c r="BA391" i="10"/>
  <c r="BA387" i="10"/>
  <c r="BA383" i="10"/>
  <c r="BA400" i="10"/>
  <c r="BA393" i="10"/>
  <c r="BA388" i="10"/>
  <c r="BA385" i="10"/>
  <c r="BA395" i="10"/>
  <c r="BA390" i="10"/>
  <c r="BA382" i="10"/>
  <c r="BA392" i="10"/>
  <c r="BA384" i="10"/>
  <c r="BA394" i="10"/>
  <c r="BA386" i="10"/>
  <c r="BA389" i="10"/>
  <c r="AU159" i="10"/>
  <c r="AU155" i="10"/>
  <c r="AU158" i="10"/>
  <c r="AU160" i="10"/>
  <c r="AU157" i="10"/>
  <c r="AU161" i="10"/>
  <c r="AU156" i="10"/>
  <c r="Z468" i="10"/>
  <c r="Z463" i="10"/>
  <c r="Z429" i="10"/>
  <c r="Z364" i="10"/>
  <c r="Z464" i="10"/>
  <c r="Z363" i="10"/>
  <c r="Z370" i="10"/>
  <c r="Z424" i="10"/>
  <c r="Z368" i="10"/>
  <c r="Z425" i="10"/>
  <c r="Z369" i="10"/>
  <c r="Z352" i="10"/>
  <c r="Z348" i="10"/>
  <c r="Z351" i="10"/>
  <c r="Z347" i="10"/>
  <c r="Z350" i="10"/>
  <c r="Z346" i="10"/>
  <c r="Z349" i="10"/>
  <c r="Z354" i="10"/>
  <c r="Z353" i="10"/>
  <c r="AU203" i="10"/>
  <c r="AU201" i="10"/>
  <c r="AU200" i="10"/>
  <c r="Z179" i="10"/>
  <c r="Z186" i="10"/>
  <c r="AU26" i="10"/>
  <c r="AU25" i="10"/>
  <c r="AU24" i="10"/>
  <c r="AU23" i="10"/>
  <c r="Z416" i="10"/>
  <c r="Z414" i="10"/>
  <c r="Z415" i="10"/>
  <c r="Z411" i="10"/>
  <c r="Z413" i="10"/>
  <c r="Z421" i="10"/>
  <c r="Z412" i="10"/>
  <c r="BA379" i="10"/>
  <c r="BA377" i="10"/>
  <c r="BA376" i="10"/>
  <c r="BA378" i="10"/>
  <c r="BA144" i="10"/>
  <c r="BA140" i="10"/>
  <c r="BA143" i="10"/>
  <c r="BA139" i="10"/>
  <c r="BA137" i="10"/>
  <c r="BA145" i="10"/>
  <c r="BA147" i="10"/>
  <c r="BA141" i="10"/>
  <c r="BA138" i="10"/>
  <c r="BA142" i="10"/>
  <c r="BA146" i="10"/>
  <c r="AI616" i="10"/>
  <c r="AI612" i="10"/>
  <c r="AI618" i="10"/>
  <c r="AI614" i="10"/>
  <c r="AI620" i="10"/>
  <c r="AI617" i="10"/>
  <c r="AI613" i="10"/>
  <c r="AI619" i="10"/>
  <c r="AI611" i="10"/>
  <c r="AI615" i="10"/>
  <c r="Z634" i="10"/>
  <c r="Z632" i="10"/>
  <c r="Z635" i="10"/>
  <c r="Z636" i="10"/>
  <c r="Y597" i="10"/>
  <c r="AH498" i="10"/>
  <c r="AO580" i="10"/>
  <c r="AO579" i="10"/>
  <c r="AO576" i="10"/>
  <c r="AO578" i="10"/>
  <c r="AO577" i="10"/>
  <c r="AO618" i="10"/>
  <c r="AO614" i="10"/>
  <c r="AO616" i="10"/>
  <c r="AO612" i="10"/>
  <c r="AO619" i="10"/>
  <c r="AO615" i="10"/>
  <c r="AO611" i="10"/>
  <c r="AO620" i="10"/>
  <c r="AO617" i="10"/>
  <c r="AO613" i="10"/>
  <c r="Y528" i="10"/>
  <c r="Y533" i="10"/>
  <c r="AT528" i="10"/>
  <c r="AT533" i="10"/>
  <c r="X533" i="10"/>
  <c r="W533" i="10"/>
  <c r="AU480" i="10"/>
  <c r="AU478" i="10"/>
  <c r="AU474" i="10"/>
  <c r="AU479" i="10"/>
  <c r="AU477" i="10"/>
  <c r="AU472" i="10"/>
  <c r="AU476" i="10"/>
  <c r="AU473" i="10"/>
  <c r="AU475" i="10"/>
  <c r="AT407" i="10"/>
  <c r="AU424" i="10"/>
  <c r="AU425" i="10"/>
  <c r="AU429" i="10"/>
  <c r="AU430" i="10"/>
  <c r="AU342" i="10"/>
  <c r="AU336" i="10"/>
  <c r="Z476" i="10"/>
  <c r="Z480" i="10"/>
  <c r="Z475" i="10"/>
  <c r="Z477" i="10"/>
  <c r="Z474" i="10"/>
  <c r="Z479" i="10"/>
  <c r="Z478" i="10"/>
  <c r="Z473" i="10"/>
  <c r="Z472" i="10"/>
  <c r="BA413" i="10"/>
  <c r="AU151" i="10"/>
  <c r="AU152" i="10"/>
  <c r="AU150" i="10"/>
  <c r="AU19" i="10"/>
  <c r="AU20" i="10"/>
  <c r="AU18" i="10"/>
  <c r="W500" i="10"/>
  <c r="Z215" i="10"/>
  <c r="Z214" i="10"/>
  <c r="Z217" i="10"/>
  <c r="W491" i="10"/>
  <c r="Y489" i="10"/>
  <c r="Y491" i="10"/>
  <c r="BA505" i="10"/>
  <c r="BA508" i="10"/>
  <c r="BA506" i="10"/>
  <c r="BA507" i="10"/>
  <c r="BA504" i="10"/>
  <c r="Y441" i="10"/>
  <c r="AI350" i="10"/>
  <c r="AI346" i="10"/>
  <c r="AI354" i="10"/>
  <c r="AI353" i="10"/>
  <c r="AI349" i="10"/>
  <c r="AI352" i="10"/>
  <c r="AI351" i="10"/>
  <c r="AI347" i="10"/>
  <c r="AI348" i="10"/>
  <c r="Z337" i="10"/>
  <c r="Z341" i="10"/>
  <c r="Z343" i="10"/>
  <c r="Z342" i="10"/>
  <c r="Z336" i="10"/>
  <c r="BA20" i="10"/>
  <c r="Z662" i="10"/>
  <c r="Z660" i="10"/>
  <c r="Z658" i="10"/>
  <c r="Z656" i="10"/>
  <c r="Z654" i="10"/>
  <c r="Z661" i="10"/>
  <c r="Z659" i="10"/>
  <c r="Z657" i="10"/>
  <c r="Z655" i="10"/>
  <c r="Z663" i="10"/>
  <c r="BA580" i="10"/>
  <c r="BA579" i="10"/>
  <c r="BA578" i="10"/>
  <c r="BA577" i="10"/>
  <c r="BA576" i="10"/>
  <c r="AU217" i="10"/>
  <c r="AU215" i="10"/>
  <c r="AU214" i="10"/>
  <c r="AU195" i="10"/>
  <c r="AU194" i="10"/>
  <c r="AU197" i="10"/>
  <c r="Z24" i="10"/>
  <c r="Z23" i="10"/>
  <c r="Z26" i="10"/>
  <c r="Z25" i="10"/>
  <c r="W21" i="10"/>
  <c r="Z20" i="10"/>
  <c r="Z18" i="10"/>
  <c r="X21" i="10"/>
  <c r="Y21" i="10"/>
  <c r="Z19" i="10"/>
  <c r="AI33" i="10"/>
  <c r="AI32" i="10"/>
  <c r="AI30" i="10"/>
  <c r="AI31" i="10"/>
  <c r="BA72" i="10"/>
  <c r="BA62" i="10"/>
  <c r="BA69" i="10"/>
  <c r="BA65" i="10"/>
  <c r="BA63" i="10"/>
  <c r="BA70" i="10"/>
  <c r="BA61" i="10"/>
  <c r="BA71" i="10"/>
  <c r="BA64" i="10"/>
  <c r="AU64" i="10"/>
  <c r="AU61" i="10"/>
  <c r="AU62" i="10"/>
  <c r="AU65" i="10"/>
  <c r="AU63" i="10"/>
  <c r="AT620" i="10"/>
  <c r="AT597" i="10"/>
  <c r="AO605" i="10"/>
  <c r="AO601" i="10"/>
  <c r="AO607" i="10"/>
  <c r="AO606" i="10"/>
  <c r="AO600" i="10"/>
  <c r="BA595" i="10"/>
  <c r="BA593" i="10"/>
  <c r="BA597" i="10"/>
  <c r="BA594" i="10"/>
  <c r="BA596" i="10"/>
  <c r="BA592" i="10"/>
  <c r="Z626" i="10"/>
  <c r="Z624" i="10"/>
  <c r="Z627" i="10"/>
  <c r="Z625" i="10"/>
  <c r="Z623" i="10"/>
  <c r="Z628" i="10"/>
  <c r="Y620" i="10"/>
  <c r="AU333" i="10"/>
  <c r="AU332" i="10"/>
  <c r="AU327" i="10"/>
  <c r="Y395" i="10"/>
  <c r="Y400" i="10"/>
  <c r="AT395" i="10"/>
  <c r="AT400" i="10"/>
  <c r="BA217" i="10"/>
  <c r="BA214" i="10"/>
  <c r="BA215" i="10"/>
  <c r="AN500" i="10"/>
  <c r="BA496" i="10"/>
  <c r="BA495" i="10"/>
  <c r="BA497" i="10"/>
  <c r="BA494" i="10"/>
  <c r="BA498" i="10"/>
  <c r="BA493" i="10"/>
  <c r="BA352" i="10"/>
  <c r="BA348" i="10"/>
  <c r="BA351" i="10"/>
  <c r="BA347" i="10"/>
  <c r="BA353" i="10"/>
  <c r="BA346" i="10"/>
  <c r="BA349" i="10"/>
  <c r="BA350" i="10"/>
  <c r="BA354" i="10"/>
  <c r="BA203" i="10"/>
  <c r="BA200" i="10"/>
  <c r="BA201" i="10"/>
  <c r="AU464" i="10"/>
  <c r="AU469" i="10"/>
  <c r="AU468" i="10"/>
  <c r="AU463" i="10"/>
  <c r="Z81" i="10"/>
  <c r="Z80" i="10"/>
  <c r="Z78" i="10"/>
  <c r="Z79" i="10"/>
  <c r="Z77" i="10"/>
  <c r="AU233" i="10"/>
  <c r="AU234" i="10"/>
  <c r="AU236" i="10"/>
  <c r="AU235" i="10"/>
  <c r="AU231" i="10"/>
  <c r="AU232" i="10"/>
  <c r="AI147" i="10"/>
  <c r="AI146" i="10"/>
  <c r="AI142" i="10"/>
  <c r="AI138" i="10"/>
  <c r="AI145" i="10"/>
  <c r="AI141" i="10"/>
  <c r="AI137" i="10"/>
  <c r="AI144" i="10"/>
  <c r="AI143" i="10"/>
  <c r="AI140" i="10"/>
  <c r="AI139" i="10"/>
  <c r="BA317" i="10"/>
  <c r="BA322" i="10"/>
  <c r="BA323" i="10"/>
  <c r="BA316" i="10"/>
  <c r="BA321" i="10"/>
  <c r="Y244" i="10"/>
  <c r="AU460" i="10"/>
  <c r="AU458" i="10"/>
  <c r="AU459" i="10"/>
  <c r="AU457" i="10"/>
  <c r="BA166" i="10"/>
  <c r="BA165" i="10"/>
  <c r="BA164" i="10"/>
  <c r="Z144" i="10"/>
  <c r="Z140" i="10"/>
  <c r="Z143" i="10"/>
  <c r="Z139" i="10"/>
  <c r="Z142" i="10"/>
  <c r="Z141" i="10"/>
  <c r="Z138" i="10"/>
  <c r="Z137" i="10"/>
  <c r="Z147" i="10"/>
  <c r="Z146" i="10"/>
  <c r="Z145" i="10"/>
  <c r="S97" i="10"/>
  <c r="S82" i="10"/>
  <c r="S89" i="10"/>
  <c r="Z206" i="10"/>
  <c r="Z209" i="10"/>
  <c r="Z208" i="10"/>
  <c r="Z210" i="10"/>
  <c r="Z207" i="10"/>
  <c r="AU358" i="10"/>
  <c r="AU360" i="10"/>
  <c r="AU357" i="10"/>
  <c r="AU359" i="10"/>
  <c r="L33" i="10"/>
  <c r="M32" i="10"/>
  <c r="M31" i="10"/>
  <c r="M33" i="10"/>
  <c r="AU606" i="10"/>
  <c r="AU600" i="10"/>
  <c r="Z605" i="10"/>
  <c r="Z601" i="10"/>
  <c r="Z600" i="10"/>
  <c r="Z606" i="10"/>
  <c r="Z607" i="10"/>
  <c r="AI593" i="10"/>
  <c r="AI595" i="10"/>
  <c r="AI594" i="10"/>
  <c r="AI592" i="10"/>
  <c r="AI596" i="10"/>
  <c r="AI597" i="10"/>
  <c r="AI585" i="10"/>
  <c r="AI587" i="10"/>
  <c r="AI589" i="10"/>
  <c r="AI586" i="10"/>
  <c r="AI583" i="10"/>
  <c r="AI588" i="10"/>
  <c r="AI584" i="10"/>
  <c r="BA587" i="10"/>
  <c r="BA586" i="10"/>
  <c r="BA583" i="10"/>
  <c r="AU577" i="10"/>
  <c r="AU578" i="10"/>
  <c r="AU579" i="10"/>
  <c r="AU580" i="10"/>
  <c r="AU576" i="10"/>
  <c r="BA570" i="10"/>
  <c r="BA538" i="10"/>
  <c r="BA536" i="10"/>
  <c r="BA572" i="10"/>
  <c r="BA537" i="10"/>
  <c r="BA571" i="10"/>
  <c r="BA535" i="10"/>
  <c r="Z511" i="10"/>
  <c r="Z512" i="10"/>
  <c r="Z514" i="10"/>
  <c r="Z515" i="10"/>
  <c r="Z513" i="10"/>
  <c r="AO587" i="10"/>
  <c r="AO585" i="10"/>
  <c r="AO588" i="10"/>
  <c r="AO584" i="10"/>
  <c r="AO583" i="10"/>
  <c r="AO586" i="10"/>
  <c r="AO589" i="10"/>
  <c r="AU572" i="10"/>
  <c r="AU570" i="10"/>
  <c r="AU571" i="10"/>
  <c r="AU535" i="10"/>
  <c r="AU538" i="10"/>
  <c r="AU536" i="10"/>
  <c r="AU537" i="10"/>
  <c r="AZ620" i="10"/>
  <c r="AU513" i="10"/>
  <c r="AU507" i="10"/>
  <c r="AU514" i="10"/>
  <c r="AU504" i="10"/>
  <c r="AU508" i="10"/>
  <c r="AU506" i="10"/>
  <c r="AU511" i="10"/>
  <c r="AU505" i="10"/>
  <c r="AU512" i="10"/>
  <c r="AU316" i="10"/>
  <c r="AU321" i="10"/>
  <c r="AI333" i="10"/>
  <c r="AI332" i="10"/>
  <c r="AI326" i="10"/>
  <c r="AI331" i="10"/>
  <c r="AI327" i="10"/>
  <c r="AI242" i="10"/>
  <c r="AI241" i="10"/>
  <c r="AI244" i="10"/>
  <c r="AI243" i="10"/>
  <c r="AI239" i="10"/>
  <c r="AI240" i="10"/>
  <c r="Z430" i="10"/>
  <c r="Z469" i="10"/>
  <c r="Z404" i="10"/>
  <c r="Z403" i="10"/>
  <c r="Z402" i="10"/>
  <c r="Z407" i="10"/>
  <c r="Z405" i="10"/>
  <c r="Z406" i="10"/>
  <c r="K33" i="10"/>
  <c r="AN31" i="10"/>
  <c r="AN33" i="10"/>
  <c r="BA457" i="10"/>
  <c r="BA459" i="10"/>
  <c r="BA460" i="10"/>
  <c r="BA458" i="10"/>
  <c r="Z72" i="10"/>
  <c r="Z68" i="10"/>
  <c r="Z69" i="10"/>
  <c r="Z71" i="10"/>
  <c r="Z70" i="10"/>
  <c r="Z73" i="10"/>
  <c r="Z166" i="10"/>
  <c r="Z165" i="10"/>
  <c r="Z164" i="10"/>
  <c r="Z152" i="10"/>
  <c r="Z150" i="10"/>
  <c r="Z151" i="10"/>
  <c r="AI56" i="10"/>
  <c r="AI52" i="10"/>
  <c r="AI48" i="10"/>
  <c r="AI44" i="10"/>
  <c r="AI55" i="10"/>
  <c r="AI51" i="10"/>
  <c r="AI47" i="10"/>
  <c r="AI50" i="10"/>
  <c r="AI49" i="10"/>
  <c r="AI54" i="10"/>
  <c r="AI53" i="10"/>
  <c r="AI58" i="10"/>
  <c r="AI46" i="10"/>
  <c r="AI45" i="10"/>
  <c r="AI57" i="10"/>
  <c r="Y16" i="10"/>
  <c r="X16" i="10"/>
  <c r="Z15" i="10"/>
  <c r="Z14" i="10"/>
  <c r="Z13" i="10"/>
  <c r="W16" i="10"/>
  <c r="Z317" i="10"/>
  <c r="Z321" i="10"/>
  <c r="Z323" i="10"/>
  <c r="Z322" i="10"/>
  <c r="Z316" i="10"/>
  <c r="AU242" i="10"/>
  <c r="AU241" i="10"/>
  <c r="AU239" i="10"/>
  <c r="AU244" i="10"/>
  <c r="AU240" i="10"/>
  <c r="AU243" i="10"/>
  <c r="BA364" i="10"/>
  <c r="BA369" i="10"/>
  <c r="BA368" i="10"/>
  <c r="BA363" i="10"/>
  <c r="BA370" i="10"/>
  <c r="BA236" i="10"/>
  <c r="BA235" i="10"/>
  <c r="BA231" i="10"/>
  <c r="BA232" i="10"/>
  <c r="BA234" i="10"/>
  <c r="BA233" i="10"/>
  <c r="Y174" i="10"/>
  <c r="Z88" i="10"/>
  <c r="Z87" i="10"/>
  <c r="Z85" i="10"/>
  <c r="Z84" i="10"/>
  <c r="Z86" i="10"/>
  <c r="AU210" i="10"/>
  <c r="AU208" i="10"/>
  <c r="AU209" i="10"/>
  <c r="AU206" i="10"/>
  <c r="AU207" i="10"/>
  <c r="Y360" i="10"/>
  <c r="BA68" i="10"/>
  <c r="BA73" i="10"/>
  <c r="BA171" i="10"/>
  <c r="BA174" i="10"/>
  <c r="BA172" i="10"/>
  <c r="BA173" i="10"/>
  <c r="BA170" i="10"/>
  <c r="BA169" i="10"/>
  <c r="Z157" i="10"/>
  <c r="Z161" i="10"/>
  <c r="Z160" i="10"/>
  <c r="Z156" i="10"/>
  <c r="Z155" i="10"/>
  <c r="Z159" i="10"/>
  <c r="Z158" i="10"/>
  <c r="Z641" i="10"/>
  <c r="Z639" i="10"/>
  <c r="Z642" i="10"/>
  <c r="Z643" i="10"/>
  <c r="BA605" i="10"/>
  <c r="BA600" i="10"/>
  <c r="BA607" i="10"/>
  <c r="AO595" i="10"/>
  <c r="AO593" i="10"/>
  <c r="AO596" i="10"/>
  <c r="AO592" i="10"/>
  <c r="AO597" i="10"/>
  <c r="AO594" i="10"/>
  <c r="Z580" i="10"/>
  <c r="Z579" i="10"/>
  <c r="Z577" i="10"/>
  <c r="Z576" i="10"/>
  <c r="Z578" i="10"/>
  <c r="AU370" i="10"/>
  <c r="AU363" i="10"/>
  <c r="Y508" i="10"/>
  <c r="AN498" i="10"/>
  <c r="AT449" i="10"/>
  <c r="AT454" i="10"/>
  <c r="Y449" i="10"/>
  <c r="Y454" i="10"/>
  <c r="X400" i="10"/>
  <c r="Y379" i="10"/>
  <c r="BA359" i="10"/>
  <c r="BA360" i="10"/>
  <c r="BA358" i="10"/>
  <c r="BA357" i="10"/>
  <c r="BA445" i="10"/>
  <c r="BA446" i="10"/>
  <c r="BA454" i="10"/>
  <c r="BA453" i="10"/>
  <c r="BA448" i="10"/>
  <c r="BA447" i="10"/>
  <c r="BA449" i="10"/>
  <c r="AU220" i="10"/>
  <c r="AU223" i="10"/>
  <c r="AU221" i="10"/>
  <c r="Z457" i="10"/>
  <c r="Z460" i="10"/>
  <c r="Z459" i="10"/>
  <c r="Z458" i="10"/>
  <c r="AT441" i="10"/>
  <c r="BA337" i="10"/>
  <c r="BA342" i="10"/>
  <c r="BA341" i="10"/>
  <c r="BA343" i="10"/>
  <c r="BA336" i="10"/>
  <c r="AI228" i="10"/>
  <c r="AI226" i="10"/>
  <c r="AI227" i="10"/>
  <c r="AT187" i="10"/>
  <c r="AT177" i="10"/>
  <c r="Z62" i="10"/>
  <c r="Z65" i="10"/>
  <c r="Z63" i="10"/>
  <c r="Z61" i="10"/>
  <c r="Z64" i="10"/>
  <c r="BA24" i="10"/>
  <c r="BA23" i="10"/>
  <c r="BA26" i="10"/>
  <c r="BA25" i="10"/>
  <c r="BA515" i="10"/>
  <c r="BA511" i="10"/>
  <c r="BA512" i="10"/>
  <c r="BA513" i="10"/>
  <c r="BA514" i="10"/>
  <c r="X42" i="10"/>
  <c r="Z41" i="10"/>
  <c r="Z39" i="10"/>
  <c r="W42" i="10"/>
  <c r="Z40" i="10"/>
  <c r="Z38" i="10"/>
  <c r="Y42" i="10"/>
  <c r="BA469" i="10"/>
  <c r="BA464" i="10"/>
  <c r="BA15" i="10"/>
  <c r="BA13" i="10"/>
  <c r="BA14" i="10"/>
  <c r="AT30" i="10"/>
  <c r="Y30" i="10"/>
  <c r="Z343" i="9"/>
  <c r="Z336" i="9"/>
  <c r="Z342" i="9"/>
  <c r="Z337" i="9"/>
  <c r="Z341" i="9"/>
  <c r="Z182" i="9"/>
  <c r="Z178" i="9"/>
  <c r="Z187" i="9"/>
  <c r="Z185" i="9"/>
  <c r="Z183" i="9"/>
  <c r="Z179" i="9"/>
  <c r="Z352" i="9"/>
  <c r="Z348" i="9"/>
  <c r="Z351" i="9"/>
  <c r="Z347" i="9"/>
  <c r="Z354" i="9"/>
  <c r="Z350" i="9"/>
  <c r="Z353" i="9"/>
  <c r="Z349" i="9"/>
  <c r="Z346" i="9"/>
  <c r="BA200" i="9"/>
  <c r="BA201" i="9"/>
  <c r="BA203" i="9"/>
  <c r="Y42" i="9"/>
  <c r="Z38" i="9"/>
  <c r="W42" i="9"/>
  <c r="Z40" i="9"/>
  <c r="Z41" i="9"/>
  <c r="Z39" i="9"/>
  <c r="X42" i="9"/>
  <c r="Z437" i="9"/>
  <c r="Z433" i="9"/>
  <c r="Z441" i="9"/>
  <c r="Z439" i="9"/>
  <c r="Z435" i="9"/>
  <c r="Z440" i="9"/>
  <c r="Z436" i="9"/>
  <c r="Z438" i="9"/>
  <c r="Z434" i="9"/>
  <c r="AU571" i="9"/>
  <c r="AU538" i="9"/>
  <c r="AU536" i="9"/>
  <c r="AU572" i="9"/>
  <c r="AU570" i="9"/>
  <c r="AU537" i="9"/>
  <c r="AU535" i="9"/>
  <c r="AU511" i="9"/>
  <c r="AU505" i="9"/>
  <c r="AU513" i="9"/>
  <c r="AU507" i="9"/>
  <c r="AU508" i="9"/>
  <c r="AU506" i="9"/>
  <c r="AU504" i="9"/>
  <c r="AU514" i="9"/>
  <c r="AU512" i="9"/>
  <c r="BA214" i="9"/>
  <c r="BA215" i="9"/>
  <c r="BA217" i="9"/>
  <c r="AO32" i="9"/>
  <c r="AO31" i="9"/>
  <c r="AO30" i="9"/>
  <c r="AO33" i="9"/>
  <c r="Z634" i="9"/>
  <c r="Z632" i="9"/>
  <c r="Z635" i="9"/>
  <c r="Z636" i="9"/>
  <c r="BA587" i="9"/>
  <c r="BA589" i="9"/>
  <c r="BA586" i="9"/>
  <c r="BA469" i="9"/>
  <c r="BA463" i="9"/>
  <c r="BA464" i="9"/>
  <c r="BA468" i="9"/>
  <c r="BA147" i="9"/>
  <c r="BA145" i="9"/>
  <c r="BA143" i="9"/>
  <c r="BA139" i="9"/>
  <c r="BA144" i="9"/>
  <c r="BA142" i="9"/>
  <c r="BA141" i="9"/>
  <c r="BA140" i="9"/>
  <c r="BA137" i="9"/>
  <c r="BA138" i="9"/>
  <c r="BA146" i="9"/>
  <c r="BA459" i="9"/>
  <c r="BA457" i="9"/>
  <c r="BA460" i="9"/>
  <c r="BA458" i="9"/>
  <c r="BA433" i="9"/>
  <c r="BA441" i="9"/>
  <c r="BA438" i="9"/>
  <c r="BA434" i="9"/>
  <c r="AU415" i="9"/>
  <c r="AU421" i="9"/>
  <c r="AU413" i="9"/>
  <c r="AU416" i="9"/>
  <c r="AU412" i="9"/>
  <c r="AU414" i="9"/>
  <c r="AU411" i="9"/>
  <c r="Z333" i="9"/>
  <c r="Z332" i="9"/>
  <c r="Z326" i="9"/>
  <c r="Z331" i="9"/>
  <c r="Z327" i="9"/>
  <c r="BA152" i="9"/>
  <c r="BA150" i="9"/>
  <c r="BA151" i="9"/>
  <c r="Z587" i="9"/>
  <c r="Z585" i="9"/>
  <c r="Z588" i="9"/>
  <c r="Z586" i="9"/>
  <c r="Z584" i="9"/>
  <c r="Z589" i="9"/>
  <c r="Z583" i="9"/>
  <c r="Z214" i="9"/>
  <c r="Z215" i="9"/>
  <c r="Z217" i="9"/>
  <c r="BA182" i="9"/>
  <c r="BA178" i="9"/>
  <c r="BA186" i="9"/>
  <c r="BA180" i="9"/>
  <c r="BA187" i="9"/>
  <c r="BA185" i="9"/>
  <c r="BA181" i="9"/>
  <c r="BA177" i="9"/>
  <c r="BA183" i="9"/>
  <c r="BA179" i="9"/>
  <c r="BA209" i="9"/>
  <c r="BA207" i="9"/>
  <c r="BA210" i="9"/>
  <c r="BA208" i="9"/>
  <c r="BA206" i="9"/>
  <c r="X21" i="9"/>
  <c r="Z20" i="9"/>
  <c r="Z18" i="9"/>
  <c r="Y21" i="9"/>
  <c r="W21" i="9"/>
  <c r="Z19" i="9"/>
  <c r="AU616" i="9"/>
  <c r="AU612" i="9"/>
  <c r="AU618" i="9"/>
  <c r="AU614" i="9"/>
  <c r="AU619" i="9"/>
  <c r="AU615" i="9"/>
  <c r="AU611" i="9"/>
  <c r="AU620" i="9"/>
  <c r="AU617" i="9"/>
  <c r="AU613" i="9"/>
  <c r="Z605" i="9"/>
  <c r="Z601" i="9"/>
  <c r="Z600" i="9"/>
  <c r="AO618" i="9"/>
  <c r="AO614" i="9"/>
  <c r="AO616" i="9"/>
  <c r="AO612" i="9"/>
  <c r="AO620" i="9"/>
  <c r="AO617" i="9"/>
  <c r="AO613" i="9"/>
  <c r="AO619" i="9"/>
  <c r="AO615" i="9"/>
  <c r="AO611" i="9"/>
  <c r="BA578" i="9"/>
  <c r="BA579" i="9"/>
  <c r="BA580" i="9"/>
  <c r="BA577" i="9"/>
  <c r="BA576" i="9"/>
  <c r="BA507" i="9"/>
  <c r="BA505" i="9"/>
  <c r="BA504" i="9"/>
  <c r="BA506" i="9"/>
  <c r="BA508" i="9"/>
  <c r="AU477" i="9"/>
  <c r="AU473" i="9"/>
  <c r="AU480" i="9"/>
  <c r="AU478" i="9"/>
  <c r="AU476" i="9"/>
  <c r="AU474" i="9"/>
  <c r="AU472" i="9"/>
  <c r="AU475" i="9"/>
  <c r="AU479" i="9"/>
  <c r="X533" i="9"/>
  <c r="Y449" i="9"/>
  <c r="Y454" i="9"/>
  <c r="AT449" i="9"/>
  <c r="AT454" i="9"/>
  <c r="W454" i="9"/>
  <c r="AZ597" i="9"/>
  <c r="AU234" i="9"/>
  <c r="AU232" i="9"/>
  <c r="AU236" i="9"/>
  <c r="AU233" i="9"/>
  <c r="AU235" i="9"/>
  <c r="AU231" i="9"/>
  <c r="AU457" i="9"/>
  <c r="AU459" i="9"/>
  <c r="AU458" i="9"/>
  <c r="AU460" i="9"/>
  <c r="BA352" i="9"/>
  <c r="BA348" i="9"/>
  <c r="BA353" i="9"/>
  <c r="BA349" i="9"/>
  <c r="BA351" i="9"/>
  <c r="BA350" i="9"/>
  <c r="BA347" i="9"/>
  <c r="BA346" i="9"/>
  <c r="BA354" i="9"/>
  <c r="BA379" i="9"/>
  <c r="BA377" i="9"/>
  <c r="BA378" i="9"/>
  <c r="BA376" i="9"/>
  <c r="AU207" i="9"/>
  <c r="AU209" i="9"/>
  <c r="AU210" i="9"/>
  <c r="AU206" i="9"/>
  <c r="AU208" i="9"/>
  <c r="Y161" i="9"/>
  <c r="Y480" i="9"/>
  <c r="W421" i="9"/>
  <c r="BA391" i="9"/>
  <c r="BA395" i="9"/>
  <c r="BA390" i="9"/>
  <c r="BA386" i="9"/>
  <c r="BA385" i="9"/>
  <c r="BA384" i="9"/>
  <c r="BA393" i="9"/>
  <c r="BA164" i="9"/>
  <c r="BA165" i="9"/>
  <c r="BA166" i="9"/>
  <c r="Z61" i="9"/>
  <c r="Z65" i="9"/>
  <c r="Z63" i="9"/>
  <c r="Z64" i="9"/>
  <c r="Z62" i="9"/>
  <c r="Z15" i="9"/>
  <c r="Z14" i="9"/>
  <c r="X16" i="9"/>
  <c r="W16" i="9"/>
  <c r="Z13" i="9"/>
  <c r="Y16" i="9"/>
  <c r="Z459" i="9"/>
  <c r="Z457" i="9"/>
  <c r="Z460" i="9"/>
  <c r="Z458" i="9"/>
  <c r="Y407" i="9"/>
  <c r="AT400" i="9"/>
  <c r="Y370" i="9"/>
  <c r="Z360" i="9"/>
  <c r="Z359" i="9"/>
  <c r="Z358" i="9"/>
  <c r="Z357" i="9"/>
  <c r="Z152" i="9"/>
  <c r="Z150" i="9"/>
  <c r="Z151" i="9"/>
  <c r="AZ58" i="9"/>
  <c r="BA370" i="9"/>
  <c r="BA369" i="9"/>
  <c r="AI242" i="9"/>
  <c r="AI240" i="9"/>
  <c r="AI243" i="9"/>
  <c r="AI239" i="9"/>
  <c r="AI241" i="9"/>
  <c r="AI244" i="9"/>
  <c r="BA228" i="9"/>
  <c r="BA226" i="9"/>
  <c r="BA227" i="9"/>
  <c r="AU601" i="9"/>
  <c r="AU605" i="9"/>
  <c r="AU600" i="9"/>
  <c r="AU606" i="9"/>
  <c r="AU607" i="9"/>
  <c r="Z641" i="9"/>
  <c r="Z639" i="9"/>
  <c r="Z642" i="9"/>
  <c r="Z643" i="9"/>
  <c r="BA605" i="9"/>
  <c r="BA601" i="9"/>
  <c r="BA600" i="9"/>
  <c r="Z662" i="9"/>
  <c r="Z660" i="9"/>
  <c r="Z658" i="9"/>
  <c r="Z656" i="9"/>
  <c r="Z654" i="9"/>
  <c r="Z661" i="9"/>
  <c r="Z659" i="9"/>
  <c r="Z657" i="9"/>
  <c r="Z655" i="9"/>
  <c r="Z663" i="9"/>
  <c r="Y620" i="9"/>
  <c r="Z578" i="9"/>
  <c r="Z577" i="9"/>
  <c r="Z580" i="9"/>
  <c r="Z579" i="9"/>
  <c r="Z576" i="9"/>
  <c r="AI576" i="9"/>
  <c r="AI577" i="9"/>
  <c r="AI578" i="9"/>
  <c r="AI579" i="9"/>
  <c r="AI580" i="9"/>
  <c r="AT528" i="9"/>
  <c r="AT533" i="9"/>
  <c r="Y528" i="9"/>
  <c r="Y533" i="9"/>
  <c r="W500" i="9"/>
  <c r="AN498" i="9"/>
  <c r="AU429" i="9"/>
  <c r="AU425" i="9"/>
  <c r="AU424" i="9"/>
  <c r="AU430" i="9"/>
  <c r="AH498" i="9"/>
  <c r="Z469" i="9"/>
  <c r="Z430" i="9"/>
  <c r="Y416" i="9"/>
  <c r="Y236" i="9"/>
  <c r="Z210" i="9"/>
  <c r="Z208" i="9"/>
  <c r="AO232" i="9"/>
  <c r="AO234" i="9"/>
  <c r="AO235" i="9"/>
  <c r="AO231" i="9"/>
  <c r="AO233" i="9"/>
  <c r="AO236" i="9"/>
  <c r="AZ161" i="9"/>
  <c r="AZ421" i="9"/>
  <c r="AT354" i="9"/>
  <c r="AI234" i="9"/>
  <c r="AI232" i="9"/>
  <c r="AI236" i="9"/>
  <c r="AI233" i="9"/>
  <c r="AI231" i="9"/>
  <c r="AI235" i="9"/>
  <c r="AU200" i="9"/>
  <c r="AU201" i="9"/>
  <c r="AU203" i="9"/>
  <c r="Y166" i="9"/>
  <c r="Y400" i="9"/>
  <c r="Z86" i="9"/>
  <c r="Z84" i="9"/>
  <c r="Z87" i="9"/>
  <c r="Z85" i="9"/>
  <c r="Z88" i="9"/>
  <c r="AT31" i="9"/>
  <c r="Y31" i="9"/>
  <c r="Y228" i="9"/>
  <c r="O491" i="9"/>
  <c r="X489" i="9"/>
  <c r="X491" i="9"/>
  <c r="AI145" i="9"/>
  <c r="AI141" i="9"/>
  <c r="AI144" i="9"/>
  <c r="AI139" i="9"/>
  <c r="AI147" i="9"/>
  <c r="AI143" i="9"/>
  <c r="AI137" i="9"/>
  <c r="AI138" i="9"/>
  <c r="AI140" i="9"/>
  <c r="AI146" i="9"/>
  <c r="AI142" i="9"/>
  <c r="BA618" i="9"/>
  <c r="BA614" i="9"/>
  <c r="BA616" i="9"/>
  <c r="BA612" i="9"/>
  <c r="BA619" i="9"/>
  <c r="BA617" i="9"/>
  <c r="BA615" i="9"/>
  <c r="BA613" i="9"/>
  <c r="BA611" i="9"/>
  <c r="BA620" i="9"/>
  <c r="Z508" i="9"/>
  <c r="AU576" i="9"/>
  <c r="AU578" i="9"/>
  <c r="AU579" i="9"/>
  <c r="AU580" i="9"/>
  <c r="AU577" i="9"/>
  <c r="BA572" i="9"/>
  <c r="BA570" i="9"/>
  <c r="BA571" i="9"/>
  <c r="BA538" i="9"/>
  <c r="BA536" i="9"/>
  <c r="BA537" i="9"/>
  <c r="BA535" i="9"/>
  <c r="AU368" i="9"/>
  <c r="AU370" i="9"/>
  <c r="AU363" i="9"/>
  <c r="AU364" i="9"/>
  <c r="AU369" i="9"/>
  <c r="Z515" i="9"/>
  <c r="Z513" i="9"/>
  <c r="Z511" i="9"/>
  <c r="Z514" i="9"/>
  <c r="Z512" i="9"/>
  <c r="BA513" i="9"/>
  <c r="BA515" i="9"/>
  <c r="BA511" i="9"/>
  <c r="BA514" i="9"/>
  <c r="BA512" i="9"/>
  <c r="Y421" i="9"/>
  <c r="BA430" i="9"/>
  <c r="BA424" i="9"/>
  <c r="Z197" i="9"/>
  <c r="Z195" i="9"/>
  <c r="Z194" i="9"/>
  <c r="BA232" i="9"/>
  <c r="BA234" i="9"/>
  <c r="BA236" i="9"/>
  <c r="BA233" i="9"/>
  <c r="BA231" i="9"/>
  <c r="BA235" i="9"/>
  <c r="Z174" i="9"/>
  <c r="Z172" i="9"/>
  <c r="Z171" i="9"/>
  <c r="AZ454" i="9"/>
  <c r="AU441" i="9"/>
  <c r="AU439" i="9"/>
  <c r="AU435" i="9"/>
  <c r="AU437" i="9"/>
  <c r="AU433" i="9"/>
  <c r="AU440" i="9"/>
  <c r="AU438" i="9"/>
  <c r="AU436" i="9"/>
  <c r="AU434" i="9"/>
  <c r="AO364" i="9"/>
  <c r="AO369" i="9"/>
  <c r="AO368" i="9"/>
  <c r="AO363" i="9"/>
  <c r="AO370" i="9"/>
  <c r="AU343" i="9"/>
  <c r="AU342" i="9"/>
  <c r="AU336" i="9"/>
  <c r="AU341" i="9"/>
  <c r="AU337" i="9"/>
  <c r="BA240" i="9"/>
  <c r="BA242" i="9"/>
  <c r="BA243" i="9"/>
  <c r="BA239" i="9"/>
  <c r="BA244" i="9"/>
  <c r="BA241" i="9"/>
  <c r="BA333" i="9"/>
  <c r="BA327" i="9"/>
  <c r="BA331" i="9"/>
  <c r="AT187" i="9"/>
  <c r="AT177" i="9"/>
  <c r="AU40" i="9"/>
  <c r="AU38" i="9"/>
  <c r="AU41" i="9"/>
  <c r="AU39" i="9"/>
  <c r="BA323" i="9"/>
  <c r="BA322" i="9"/>
  <c r="BA316" i="9"/>
  <c r="BA321" i="9"/>
  <c r="BA317" i="9"/>
  <c r="J33" i="9"/>
  <c r="AH30" i="9"/>
  <c r="AH33" i="9"/>
  <c r="M30" i="9"/>
  <c r="AO145" i="9"/>
  <c r="AO143" i="9"/>
  <c r="AO141" i="9"/>
  <c r="AO137" i="9"/>
  <c r="AO144" i="9"/>
  <c r="AO139" i="9"/>
  <c r="AO140" i="9"/>
  <c r="AO147" i="9"/>
  <c r="AO146" i="9"/>
  <c r="AO142" i="9"/>
  <c r="AO138" i="9"/>
  <c r="Z200" i="9"/>
  <c r="Z201" i="9"/>
  <c r="Z203" i="9"/>
  <c r="Y121" i="9"/>
  <c r="P122" i="9"/>
  <c r="Y122" i="9"/>
  <c r="BA68" i="9"/>
  <c r="L33" i="9"/>
  <c r="M32" i="9"/>
  <c r="BA20" i="9"/>
  <c r="BA18" i="9"/>
  <c r="BA19" i="9"/>
  <c r="AU593" i="9"/>
  <c r="AU595" i="9"/>
  <c r="AU592" i="9"/>
  <c r="AU596" i="9"/>
  <c r="AU594" i="9"/>
  <c r="AU597" i="9"/>
  <c r="AO605" i="9"/>
  <c r="AO601" i="9"/>
  <c r="AO607" i="9"/>
  <c r="AO606" i="9"/>
  <c r="AO600" i="9"/>
  <c r="AT589" i="9"/>
  <c r="AI601" i="9"/>
  <c r="AI605" i="9"/>
  <c r="AI606" i="9"/>
  <c r="AI600" i="9"/>
  <c r="AI607" i="9"/>
  <c r="AO587" i="9"/>
  <c r="AO585" i="9"/>
  <c r="AO588" i="9"/>
  <c r="AO586" i="9"/>
  <c r="AO584" i="9"/>
  <c r="AO589" i="9"/>
  <c r="AO583" i="9"/>
  <c r="Y538" i="9"/>
  <c r="AZ533" i="9"/>
  <c r="Y597" i="9"/>
  <c r="AZ498" i="9"/>
  <c r="AU463" i="9"/>
  <c r="AU469" i="9"/>
  <c r="AU468" i="9"/>
  <c r="AU464" i="9"/>
  <c r="Z379" i="9"/>
  <c r="Z377" i="9"/>
  <c r="Z376" i="9"/>
  <c r="Z378" i="9"/>
  <c r="AU242" i="9"/>
  <c r="AU240" i="9"/>
  <c r="AU244" i="9"/>
  <c r="AU241" i="9"/>
  <c r="AU239" i="9"/>
  <c r="AU243" i="9"/>
  <c r="AI368" i="9"/>
  <c r="AI369" i="9"/>
  <c r="AI364" i="9"/>
  <c r="AI370" i="9"/>
  <c r="AI363" i="9"/>
  <c r="Y323" i="9"/>
  <c r="Y244" i="9"/>
  <c r="AI227" i="9"/>
  <c r="AI228" i="9"/>
  <c r="AI226" i="9"/>
  <c r="W491" i="9"/>
  <c r="Y489" i="9"/>
  <c r="Y491" i="9"/>
  <c r="BA170" i="9"/>
  <c r="BA174" i="9"/>
  <c r="BA172" i="9"/>
  <c r="BA173" i="9"/>
  <c r="BA169" i="9"/>
  <c r="BA171" i="9"/>
  <c r="AZ480" i="9"/>
  <c r="AT407" i="9"/>
  <c r="AO359" i="9"/>
  <c r="AO358" i="9"/>
  <c r="AO360" i="9"/>
  <c r="AO357" i="9"/>
  <c r="AU214" i="9"/>
  <c r="AU215" i="9"/>
  <c r="AU217" i="9"/>
  <c r="Y73" i="9"/>
  <c r="W533" i="9"/>
  <c r="AU358" i="9"/>
  <c r="AU360" i="9"/>
  <c r="AU359" i="9"/>
  <c r="AU357" i="9"/>
  <c r="BA197" i="9"/>
  <c r="BA195" i="9"/>
  <c r="BA194" i="9"/>
  <c r="Y147" i="9"/>
  <c r="Y58" i="9"/>
  <c r="AZ65" i="9"/>
  <c r="Y26" i="9"/>
  <c r="P97" i="9"/>
  <c r="P89" i="9"/>
  <c r="P82" i="9"/>
  <c r="BA223" i="9"/>
  <c r="BA221" i="9"/>
  <c r="BA220" i="9"/>
  <c r="Z94" i="9"/>
  <c r="Z92" i="9"/>
  <c r="Z95" i="9"/>
  <c r="Z93" i="9"/>
  <c r="Z96" i="9"/>
  <c r="BA15" i="9"/>
  <c r="BA14" i="9"/>
  <c r="BA13" i="9"/>
  <c r="BA618" i="8"/>
  <c r="BA614" i="8"/>
  <c r="BA616" i="8"/>
  <c r="BA612" i="8"/>
  <c r="BA619" i="8"/>
  <c r="BA617" i="8"/>
  <c r="BA615" i="8"/>
  <c r="BA613" i="8"/>
  <c r="BA611" i="8"/>
  <c r="BA620" i="8"/>
  <c r="BA587" i="8"/>
  <c r="BA585" i="8"/>
  <c r="BA583" i="8"/>
  <c r="BA589" i="8"/>
  <c r="BA586" i="8"/>
  <c r="BA588" i="8"/>
  <c r="BA584" i="8"/>
  <c r="BA416" i="8"/>
  <c r="BA414" i="8"/>
  <c r="BA412" i="8"/>
  <c r="BA421" i="8"/>
  <c r="BA415" i="8"/>
  <c r="BA413" i="8"/>
  <c r="BA411" i="8"/>
  <c r="Z164" i="8"/>
  <c r="Z165" i="8"/>
  <c r="Z166" i="8"/>
  <c r="AU376" i="8"/>
  <c r="AU379" i="8"/>
  <c r="AU377" i="8"/>
  <c r="AU378" i="8"/>
  <c r="BA147" i="8"/>
  <c r="BA145" i="8"/>
  <c r="BA141" i="8"/>
  <c r="BA137" i="8"/>
  <c r="BA143" i="8"/>
  <c r="BA139" i="8"/>
  <c r="BA144" i="8"/>
  <c r="BA146" i="8"/>
  <c r="BA138" i="8"/>
  <c r="BA142" i="8"/>
  <c r="BA140" i="8"/>
  <c r="Z614" i="8"/>
  <c r="Z616" i="8"/>
  <c r="Z617" i="8"/>
  <c r="Z613" i="8"/>
  <c r="Z611" i="8"/>
  <c r="AO497" i="8"/>
  <c r="AO496" i="8"/>
  <c r="AO498" i="8"/>
  <c r="AO493" i="8"/>
  <c r="AO495" i="8"/>
  <c r="AO494" i="8"/>
  <c r="Z378" i="8"/>
  <c r="Z379" i="8"/>
  <c r="Z377" i="8"/>
  <c r="Z376" i="8"/>
  <c r="BA580" i="8"/>
  <c r="BA579" i="8"/>
  <c r="BA578" i="8"/>
  <c r="BA577" i="8"/>
  <c r="BA576" i="8"/>
  <c r="Z152" i="8"/>
  <c r="Z150" i="8"/>
  <c r="Z151" i="8"/>
  <c r="AU161" i="8"/>
  <c r="AU160" i="8"/>
  <c r="AU156" i="8"/>
  <c r="AU158" i="8"/>
  <c r="AU157" i="8"/>
  <c r="AU159" i="8"/>
  <c r="AU155" i="8"/>
  <c r="Z61" i="8"/>
  <c r="Z65" i="8"/>
  <c r="Z63" i="8"/>
  <c r="Z64" i="8"/>
  <c r="Z62" i="8"/>
  <c r="Z464" i="8"/>
  <c r="Z424" i="8"/>
  <c r="Z363" i="8"/>
  <c r="Z463" i="8"/>
  <c r="Z368" i="8"/>
  <c r="Z364" i="8"/>
  <c r="BA507" i="8"/>
  <c r="Z360" i="8"/>
  <c r="Z359" i="8"/>
  <c r="Z357" i="8"/>
  <c r="Z358" i="8"/>
  <c r="BA392" i="8"/>
  <c r="BA388" i="8"/>
  <c r="BA393" i="8"/>
  <c r="BA390" i="8"/>
  <c r="BA394" i="8"/>
  <c r="BA389" i="8"/>
  <c r="BA383" i="8"/>
  <c r="BA391" i="8"/>
  <c r="Z479" i="8"/>
  <c r="Z480" i="8"/>
  <c r="Z474" i="8"/>
  <c r="Z473" i="8"/>
  <c r="BA347" i="8"/>
  <c r="BA353" i="8"/>
  <c r="BA346" i="8"/>
  <c r="BA348" i="8"/>
  <c r="BA236" i="8"/>
  <c r="BA235" i="8"/>
  <c r="BA231" i="8"/>
  <c r="BA234" i="8"/>
  <c r="BA233" i="8"/>
  <c r="BA232" i="8"/>
  <c r="BA71" i="8"/>
  <c r="BA61" i="8"/>
  <c r="BA69" i="8"/>
  <c r="BA65" i="8"/>
  <c r="BA63" i="8"/>
  <c r="BA72" i="8"/>
  <c r="BA64" i="8"/>
  <c r="BA62" i="8"/>
  <c r="BA70" i="8"/>
  <c r="BA187" i="8"/>
  <c r="BA185" i="8"/>
  <c r="BA186" i="8"/>
  <c r="BA182" i="8"/>
  <c r="BA178" i="8"/>
  <c r="BA180" i="8"/>
  <c r="BA183" i="8"/>
  <c r="BA181" i="8"/>
  <c r="BA179" i="8"/>
  <c r="BA177" i="8"/>
  <c r="AU58" i="8"/>
  <c r="AU49" i="8"/>
  <c r="AU45" i="8"/>
  <c r="AU47" i="8"/>
  <c r="AU48" i="8"/>
  <c r="AU52" i="8"/>
  <c r="AU46" i="8"/>
  <c r="X16" i="8"/>
  <c r="W16" i="8"/>
  <c r="Z14" i="8"/>
  <c r="Z13" i="8"/>
  <c r="Y16" i="8"/>
  <c r="Z15" i="8"/>
  <c r="AU600" i="8"/>
  <c r="AU606" i="8"/>
  <c r="BA514" i="8"/>
  <c r="BA512" i="8"/>
  <c r="BA515" i="8"/>
  <c r="BA513" i="8"/>
  <c r="BA511" i="8"/>
  <c r="Z460" i="8"/>
  <c r="Z458" i="8"/>
  <c r="Z459" i="8"/>
  <c r="Z457" i="8"/>
  <c r="AU317" i="8"/>
  <c r="AU321" i="8"/>
  <c r="AU316" i="8"/>
  <c r="AU323" i="8"/>
  <c r="AU322" i="8"/>
  <c r="AU412" i="8"/>
  <c r="AU421" i="8"/>
  <c r="AU415" i="8"/>
  <c r="AI327" i="8"/>
  <c r="AI331" i="8"/>
  <c r="AI332" i="8"/>
  <c r="AI326" i="8"/>
  <c r="AI333" i="8"/>
  <c r="Y441" i="8"/>
  <c r="Z79" i="8"/>
  <c r="Z77" i="8"/>
  <c r="Z80" i="8"/>
  <c r="Z78" i="8"/>
  <c r="Z81" i="8"/>
  <c r="Y58" i="8"/>
  <c r="Y187" i="8"/>
  <c r="BA201" i="8"/>
  <c r="BA200" i="8"/>
  <c r="BA203" i="8"/>
  <c r="Z641" i="8"/>
  <c r="Z639" i="8"/>
  <c r="Z642" i="8"/>
  <c r="Z643" i="8"/>
  <c r="Z662" i="8"/>
  <c r="Z660" i="8"/>
  <c r="Z658" i="8"/>
  <c r="Z656" i="8"/>
  <c r="Z654" i="8"/>
  <c r="Z661" i="8"/>
  <c r="Z659" i="8"/>
  <c r="Z657" i="8"/>
  <c r="Z655" i="8"/>
  <c r="Z663" i="8"/>
  <c r="AZ449" i="8"/>
  <c r="AZ454" i="8"/>
  <c r="Y449" i="8"/>
  <c r="Y454" i="8"/>
  <c r="Z331" i="8"/>
  <c r="Z327" i="8"/>
  <c r="Z333" i="8"/>
  <c r="Z332" i="8"/>
  <c r="Z326" i="8"/>
  <c r="AO341" i="8"/>
  <c r="AO337" i="8"/>
  <c r="AO342" i="8"/>
  <c r="AO343" i="8"/>
  <c r="AO336" i="8"/>
  <c r="AO321" i="8"/>
  <c r="AO317" i="8"/>
  <c r="AO322" i="8"/>
  <c r="AO323" i="8"/>
  <c r="AO316" i="8"/>
  <c r="AU233" i="8"/>
  <c r="AU234" i="8"/>
  <c r="AU232" i="8"/>
  <c r="AU236" i="8"/>
  <c r="AU231" i="8"/>
  <c r="AU235" i="8"/>
  <c r="BA206" i="8"/>
  <c r="BA207" i="8"/>
  <c r="BA208" i="8"/>
  <c r="BA210" i="8"/>
  <c r="BA209" i="8"/>
  <c r="BA194" i="8"/>
  <c r="BA197" i="8"/>
  <c r="BA195" i="8"/>
  <c r="AU210" i="8"/>
  <c r="AU208" i="8"/>
  <c r="AU209" i="8"/>
  <c r="AU207" i="8"/>
  <c r="AU206" i="8"/>
  <c r="AT244" i="8"/>
  <c r="AZ58" i="8"/>
  <c r="M32" i="8"/>
  <c r="M33" i="8"/>
  <c r="L33" i="8"/>
  <c r="AZ73" i="8"/>
  <c r="Z407" i="8"/>
  <c r="Z405" i="8"/>
  <c r="Z404" i="8"/>
  <c r="Z403" i="8"/>
  <c r="Z402" i="8"/>
  <c r="Z406" i="8"/>
  <c r="Y117" i="8"/>
  <c r="AT620" i="8"/>
  <c r="BA605" i="8"/>
  <c r="BA601" i="8"/>
  <c r="BA600" i="8"/>
  <c r="AI601" i="8"/>
  <c r="AI605" i="8"/>
  <c r="AI606" i="8"/>
  <c r="AI600" i="8"/>
  <c r="AI607" i="8"/>
  <c r="AO587" i="8"/>
  <c r="AO585" i="8"/>
  <c r="AO583" i="8"/>
  <c r="AO588" i="8"/>
  <c r="AO586" i="8"/>
  <c r="AO589" i="8"/>
  <c r="AO584" i="8"/>
  <c r="Z514" i="8"/>
  <c r="Z512" i="8"/>
  <c r="Z511" i="8"/>
  <c r="Z513" i="8"/>
  <c r="Z515" i="8"/>
  <c r="AH499" i="8"/>
  <c r="P500" i="8"/>
  <c r="Y508" i="8"/>
  <c r="AU337" i="8"/>
  <c r="AU341" i="8"/>
  <c r="AU336" i="8"/>
  <c r="AU343" i="8"/>
  <c r="AU342" i="8"/>
  <c r="Y528" i="8"/>
  <c r="Y533" i="8"/>
  <c r="Y494" i="8"/>
  <c r="Y498" i="8"/>
  <c r="BA331" i="8"/>
  <c r="BA327" i="8"/>
  <c r="BA332" i="8"/>
  <c r="BA333" i="8"/>
  <c r="BA326" i="8"/>
  <c r="V489" i="8"/>
  <c r="V491" i="8"/>
  <c r="BA463" i="8"/>
  <c r="BA469" i="8"/>
  <c r="AZ460" i="8"/>
  <c r="Y343" i="8"/>
  <c r="Z321" i="8"/>
  <c r="Z317" i="8"/>
  <c r="Z316" i="8"/>
  <c r="Y236" i="8"/>
  <c r="Y73" i="8"/>
  <c r="AZ174" i="8"/>
  <c r="AU363" i="8"/>
  <c r="AU364" i="8"/>
  <c r="AU368" i="8"/>
  <c r="AU217" i="8"/>
  <c r="AU215" i="8"/>
  <c r="AU214" i="8"/>
  <c r="AT30" i="8"/>
  <c r="AT33" i="8"/>
  <c r="Y30" i="8"/>
  <c r="AU26" i="8"/>
  <c r="AU25" i="8"/>
  <c r="AU23" i="8"/>
  <c r="AU24" i="8"/>
  <c r="AO605" i="8"/>
  <c r="AO601" i="8"/>
  <c r="AO607" i="8"/>
  <c r="AO606" i="8"/>
  <c r="AO600" i="8"/>
  <c r="AO618" i="8"/>
  <c r="AO614" i="8"/>
  <c r="AO616" i="8"/>
  <c r="AO612" i="8"/>
  <c r="AO620" i="8"/>
  <c r="AO617" i="8"/>
  <c r="AO613" i="8"/>
  <c r="AO619" i="8"/>
  <c r="AO615" i="8"/>
  <c r="AO611" i="8"/>
  <c r="Z634" i="8"/>
  <c r="Z632" i="8"/>
  <c r="Z635" i="8"/>
  <c r="Z636" i="8"/>
  <c r="BA476" i="8"/>
  <c r="BA474" i="8"/>
  <c r="BA478" i="8"/>
  <c r="BA479" i="8"/>
  <c r="BA475" i="8"/>
  <c r="AU570" i="8"/>
  <c r="AU537" i="8"/>
  <c r="AU535" i="8"/>
  <c r="AU538" i="8"/>
  <c r="AU536" i="8"/>
  <c r="AU571" i="8"/>
  <c r="AU585" i="8"/>
  <c r="AU587" i="8"/>
  <c r="AU588" i="8"/>
  <c r="AU589" i="8"/>
  <c r="AU586" i="8"/>
  <c r="AU584" i="8"/>
  <c r="AU583" i="8"/>
  <c r="Z469" i="8"/>
  <c r="Z430" i="8"/>
  <c r="BA595" i="8"/>
  <c r="BA593" i="8"/>
  <c r="BA597" i="8"/>
  <c r="BA594" i="8"/>
  <c r="BA596" i="8"/>
  <c r="BA592" i="8"/>
  <c r="Z570" i="8"/>
  <c r="Z535" i="8"/>
  <c r="Z537" i="8"/>
  <c r="Z572" i="8"/>
  <c r="Z571" i="8"/>
  <c r="Z538" i="8"/>
  <c r="Z536" i="8"/>
  <c r="BA360" i="8"/>
  <c r="BA359" i="8"/>
  <c r="BA358" i="8"/>
  <c r="BA357" i="8"/>
  <c r="AO331" i="8"/>
  <c r="AO327" i="8"/>
  <c r="AO333" i="8"/>
  <c r="AO332" i="8"/>
  <c r="AO326" i="8"/>
  <c r="Z201" i="8"/>
  <c r="Z200" i="8"/>
  <c r="Z203" i="8"/>
  <c r="BA158" i="8"/>
  <c r="BA161" i="8"/>
  <c r="BA160" i="8"/>
  <c r="BA156" i="8"/>
  <c r="BA159" i="8"/>
  <c r="BA155" i="8"/>
  <c r="BA157" i="8"/>
  <c r="BA496" i="8"/>
  <c r="BA497" i="8"/>
  <c r="Z217" i="8"/>
  <c r="Z215" i="8"/>
  <c r="Z214" i="8"/>
  <c r="Z244" i="8"/>
  <c r="Z243" i="8"/>
  <c r="Z239" i="8"/>
  <c r="Z242" i="8"/>
  <c r="Z240" i="8"/>
  <c r="Z241" i="8"/>
  <c r="AI143" i="8"/>
  <c r="AI139" i="8"/>
  <c r="AI145" i="8"/>
  <c r="AI141" i="8"/>
  <c r="AI137" i="8"/>
  <c r="AI144" i="8"/>
  <c r="AI146" i="8"/>
  <c r="AI138" i="8"/>
  <c r="AI140" i="8"/>
  <c r="AI147" i="8"/>
  <c r="AI142" i="8"/>
  <c r="AO33" i="8"/>
  <c r="AO32" i="8"/>
  <c r="AO31" i="8"/>
  <c r="AO30" i="8"/>
  <c r="AU18" i="8"/>
  <c r="AU19" i="8"/>
  <c r="AU20" i="8"/>
  <c r="AT395" i="8"/>
  <c r="AT400" i="8"/>
  <c r="Y395" i="8"/>
  <c r="Y400" i="8"/>
  <c r="Z605" i="8"/>
  <c r="Z601" i="8"/>
  <c r="Z607" i="8"/>
  <c r="Z606" i="8"/>
  <c r="Z600" i="8"/>
  <c r="AH498" i="8"/>
  <c r="Y589" i="8"/>
  <c r="X421" i="8"/>
  <c r="AU480" i="8"/>
  <c r="AU478" i="8"/>
  <c r="AU474" i="8"/>
  <c r="AU475" i="8"/>
  <c r="AU473" i="8"/>
  <c r="AU479" i="8"/>
  <c r="AU477" i="8"/>
  <c r="AU472" i="8"/>
  <c r="AU476" i="8"/>
  <c r="Y354" i="8"/>
  <c r="BA571" i="8"/>
  <c r="BA535" i="8"/>
  <c r="BA572" i="8"/>
  <c r="BA537" i="8"/>
  <c r="BA570" i="8"/>
  <c r="BA536" i="8"/>
  <c r="BA538" i="8"/>
  <c r="AU357" i="8"/>
  <c r="AU358" i="8"/>
  <c r="AU360" i="8"/>
  <c r="AU359" i="8"/>
  <c r="Z223" i="8"/>
  <c r="Z221" i="8"/>
  <c r="Z220" i="8"/>
  <c r="W491" i="8"/>
  <c r="BA438" i="8"/>
  <c r="BA434" i="8"/>
  <c r="BA440" i="8"/>
  <c r="BA436" i="8"/>
  <c r="BA441" i="8"/>
  <c r="BA439" i="8"/>
  <c r="BA437" i="8"/>
  <c r="BA435" i="8"/>
  <c r="BA433" i="8"/>
  <c r="AT533" i="8"/>
  <c r="Z171" i="8"/>
  <c r="Z227" i="8"/>
  <c r="Z226" i="8"/>
  <c r="Z228" i="8"/>
  <c r="AU220" i="8"/>
  <c r="AU223" i="8"/>
  <c r="AU221" i="8"/>
  <c r="Y121" i="8"/>
  <c r="P122" i="8"/>
  <c r="Y122" i="8"/>
  <c r="AT41" i="8"/>
  <c r="AT187" i="8"/>
  <c r="AT177" i="8"/>
  <c r="Z20" i="8"/>
  <c r="Z18" i="8"/>
  <c r="Z19" i="8"/>
  <c r="X21" i="8"/>
  <c r="Y21" i="8"/>
  <c r="W21" i="8"/>
  <c r="BA14" i="8"/>
  <c r="BA15" i="8"/>
  <c r="BA13" i="8"/>
  <c r="AT597" i="8"/>
  <c r="Y580" i="8"/>
  <c r="Z544" i="8"/>
  <c r="Z545" i="8"/>
  <c r="Z543" i="8"/>
  <c r="Z546" i="8"/>
  <c r="AU464" i="8"/>
  <c r="AU468" i="8"/>
  <c r="AU469" i="8"/>
  <c r="AU463" i="8"/>
  <c r="AU440" i="8"/>
  <c r="AU436" i="8"/>
  <c r="AU438" i="8"/>
  <c r="AU434" i="8"/>
  <c r="AU439" i="8"/>
  <c r="AU435" i="8"/>
  <c r="AU437" i="8"/>
  <c r="AU433" i="8"/>
  <c r="AU441" i="8"/>
  <c r="AU327" i="8"/>
  <c r="AU331" i="8"/>
  <c r="AU326" i="8"/>
  <c r="AU333" i="8"/>
  <c r="AU332" i="8"/>
  <c r="Y597" i="8"/>
  <c r="AU512" i="8"/>
  <c r="AU508" i="8"/>
  <c r="AU506" i="8"/>
  <c r="AU514" i="8"/>
  <c r="AU504" i="8"/>
  <c r="AU513" i="8"/>
  <c r="AU511" i="8"/>
  <c r="AU507" i="8"/>
  <c r="AU505" i="8"/>
  <c r="W500" i="8"/>
  <c r="S500" i="8"/>
  <c r="AU403" i="8"/>
  <c r="AU404" i="8"/>
  <c r="AU402" i="8"/>
  <c r="AU406" i="8"/>
  <c r="AU407" i="8"/>
  <c r="AU405" i="8"/>
  <c r="BA378" i="8"/>
  <c r="BA376" i="8"/>
  <c r="BA379" i="8"/>
  <c r="BA377" i="8"/>
  <c r="AI337" i="8"/>
  <c r="AI341" i="8"/>
  <c r="AI342" i="8"/>
  <c r="AI343" i="8"/>
  <c r="AI336" i="8"/>
  <c r="AI317" i="8"/>
  <c r="AI321" i="8"/>
  <c r="AI322" i="8"/>
  <c r="AI323" i="8"/>
  <c r="AI316" i="8"/>
  <c r="BA217" i="8"/>
  <c r="BA214" i="8"/>
  <c r="BA215" i="8"/>
  <c r="AI577" i="8"/>
  <c r="AI576" i="8"/>
  <c r="AI580" i="8"/>
  <c r="AI579" i="8"/>
  <c r="AI578" i="8"/>
  <c r="AI354" i="8"/>
  <c r="AI353" i="8"/>
  <c r="AI349" i="8"/>
  <c r="AI352" i="8"/>
  <c r="AI348" i="8"/>
  <c r="AI351" i="8"/>
  <c r="AI347" i="8"/>
  <c r="AI350" i="8"/>
  <c r="AI346" i="8"/>
  <c r="AZ343" i="8"/>
  <c r="BA323" i="8"/>
  <c r="BA322" i="8"/>
  <c r="BA424" i="8"/>
  <c r="BA429" i="8"/>
  <c r="Y416" i="8"/>
  <c r="Y421" i="8"/>
  <c r="Y161" i="8"/>
  <c r="BA152" i="8"/>
  <c r="BA150" i="8"/>
  <c r="BA151" i="8"/>
  <c r="Y147" i="8"/>
  <c r="AU354" i="8"/>
  <c r="AU353" i="8"/>
  <c r="AU349" i="8"/>
  <c r="AU352" i="8"/>
  <c r="AU348" i="8"/>
  <c r="AU350" i="8"/>
  <c r="AU346" i="8"/>
  <c r="AU351" i="8"/>
  <c r="AU347" i="8"/>
  <c r="AU195" i="8"/>
  <c r="AU194" i="8"/>
  <c r="AU197" i="8"/>
  <c r="BA40" i="8"/>
  <c r="BA39" i="8"/>
  <c r="BA38" i="8"/>
  <c r="BA41" i="8"/>
  <c r="O491" i="8"/>
  <c r="X489" i="8"/>
  <c r="X491" i="8"/>
  <c r="Y41" i="8"/>
  <c r="AI228" i="8"/>
  <c r="AI226" i="8"/>
  <c r="AI227" i="8"/>
  <c r="Z94" i="8"/>
  <c r="Z92" i="8"/>
  <c r="Z95" i="8"/>
  <c r="Z93" i="8"/>
  <c r="Z96" i="8"/>
  <c r="AI31" i="8"/>
  <c r="AI33" i="8"/>
  <c r="AI32" i="8"/>
  <c r="AI30" i="8"/>
  <c r="Y26" i="8"/>
  <c r="AT572" i="8"/>
  <c r="AU572" i="8"/>
  <c r="Q491" i="8"/>
  <c r="S489" i="8"/>
  <c r="S491" i="8"/>
  <c r="Q195" i="7"/>
  <c r="Y232" i="3"/>
  <c r="AZ232" i="3"/>
  <c r="R17" i="7"/>
  <c r="R16" i="7"/>
  <c r="AH16" i="7"/>
  <c r="Z17" i="7"/>
  <c r="Z16" i="7"/>
  <c r="AH17" i="7"/>
  <c r="V17" i="7"/>
  <c r="N16" i="7"/>
  <c r="N17" i="7"/>
  <c r="AD17" i="7"/>
  <c r="AK16" i="7"/>
  <c r="AG15" i="7"/>
  <c r="Z570" i="12"/>
  <c r="Z535" i="12"/>
  <c r="Z537" i="12"/>
  <c r="Z536" i="12"/>
  <c r="Z571" i="12"/>
  <c r="Z572" i="12"/>
  <c r="BA519" i="12"/>
  <c r="BA522" i="12"/>
  <c r="BA521" i="12"/>
  <c r="BA525" i="12"/>
  <c r="Z505" i="12"/>
  <c r="Z507" i="12"/>
  <c r="BA464" i="12"/>
  <c r="BA469" i="12"/>
  <c r="Z69" i="12"/>
  <c r="Z70" i="12"/>
  <c r="Z377" i="12"/>
  <c r="Z379" i="12"/>
  <c r="Z170" i="12"/>
  <c r="Z171" i="12"/>
  <c r="Z172" i="12"/>
  <c r="BA519" i="11"/>
  <c r="BA528" i="11"/>
  <c r="BA522" i="11"/>
  <c r="BA525" i="11"/>
  <c r="BA208" i="11"/>
  <c r="BA207" i="11"/>
  <c r="Z508" i="11"/>
  <c r="Z504" i="11"/>
  <c r="Z505" i="11"/>
  <c r="Z506" i="11"/>
  <c r="AU405" i="11"/>
  <c r="AU407" i="11"/>
  <c r="AU402" i="11"/>
  <c r="BA210" i="11"/>
  <c r="BA209" i="11"/>
  <c r="AU421" i="11"/>
  <c r="AU414" i="11"/>
  <c r="BA518" i="10"/>
  <c r="BA533" i="10"/>
  <c r="BA523" i="10"/>
  <c r="BA521" i="10"/>
  <c r="BA520" i="10"/>
  <c r="BA528" i="10"/>
  <c r="BA522" i="10"/>
  <c r="BA424" i="10"/>
  <c r="BA429" i="10"/>
  <c r="BA412" i="10"/>
  <c r="BA415" i="10"/>
  <c r="BA414" i="10"/>
  <c r="Z180" i="10"/>
  <c r="Z183" i="10"/>
  <c r="BA178" i="10"/>
  <c r="BA186" i="10"/>
  <c r="BA187" i="10"/>
  <c r="Z177" i="10"/>
  <c r="Z181" i="10"/>
  <c r="Z185" i="10"/>
  <c r="BA181" i="10"/>
  <c r="BA179" i="10"/>
  <c r="Z178" i="10"/>
  <c r="Z182" i="10"/>
  <c r="BA182" i="10"/>
  <c r="BA19" i="10"/>
  <c r="Z504" i="9"/>
  <c r="Z505" i="9"/>
  <c r="Z506" i="9"/>
  <c r="BA506" i="8"/>
  <c r="Z207" i="8"/>
  <c r="Z210" i="8"/>
  <c r="Z172" i="8"/>
  <c r="L403" i="6"/>
  <c r="K404" i="6"/>
  <c r="K405" i="6" s="1"/>
  <c r="K403" i="6"/>
  <c r="K402" i="6"/>
  <c r="BA406" i="8"/>
  <c r="BA404" i="8"/>
  <c r="BA405" i="8"/>
  <c r="BA402" i="8"/>
  <c r="BA407" i="8"/>
  <c r="BA414" i="11"/>
  <c r="BA413" i="11"/>
  <c r="BA415" i="11"/>
  <c r="BA412" i="11"/>
  <c r="BA421" i="11"/>
  <c r="BA416" i="11"/>
  <c r="BA411" i="11"/>
  <c r="BA415" i="12"/>
  <c r="BA414" i="12"/>
  <c r="BA411" i="12"/>
  <c r="BA412" i="12"/>
  <c r="BA416" i="12"/>
  <c r="BA421" i="12"/>
  <c r="BA413" i="12"/>
  <c r="AU414" i="10"/>
  <c r="AU421" i="10"/>
  <c r="AU411" i="10"/>
  <c r="AU412" i="10"/>
  <c r="AU415" i="10"/>
  <c r="AU416" i="10"/>
  <c r="AU413" i="10"/>
  <c r="BA522" i="8"/>
  <c r="BA533" i="8"/>
  <c r="BA521" i="8"/>
  <c r="BA519" i="8"/>
  <c r="BA525" i="8"/>
  <c r="BA518" i="8"/>
  <c r="BA523" i="8"/>
  <c r="BA524" i="8"/>
  <c r="BA528" i="8"/>
  <c r="BA526" i="8"/>
  <c r="BA520" i="8"/>
  <c r="AU25" i="11"/>
  <c r="AU24" i="11"/>
  <c r="AU23" i="11"/>
  <c r="AU26" i="11"/>
  <c r="AU511" i="12"/>
  <c r="AU505" i="12"/>
  <c r="AU506" i="12"/>
  <c r="AU514" i="12"/>
  <c r="AU508" i="12"/>
  <c r="AU512" i="12"/>
  <c r="AU504" i="12"/>
  <c r="AU507" i="12"/>
  <c r="AU513" i="12"/>
  <c r="W16" i="13"/>
  <c r="Z13" i="13"/>
  <c r="X16" i="13"/>
  <c r="Z15" i="13"/>
  <c r="AU206" i="12"/>
  <c r="AU207" i="12"/>
  <c r="AU210" i="12"/>
  <c r="AU209" i="12"/>
  <c r="AU208" i="12"/>
  <c r="AU160" i="13"/>
  <c r="AU158" i="13"/>
  <c r="AU159" i="13"/>
  <c r="AO497" i="11"/>
  <c r="Z72" i="12"/>
  <c r="AU321" i="12"/>
  <c r="AU479" i="13"/>
  <c r="AU472" i="13"/>
  <c r="BA522" i="13"/>
  <c r="AO496" i="11"/>
  <c r="BA435" i="12"/>
  <c r="Z68" i="12"/>
  <c r="AU323" i="12"/>
  <c r="BA524" i="13"/>
  <c r="AU449" i="8"/>
  <c r="AU447" i="8"/>
  <c r="AU448" i="8"/>
  <c r="AU445" i="8"/>
  <c r="AU446" i="8"/>
  <c r="AU454" i="8"/>
  <c r="AU453" i="8"/>
  <c r="BA430" i="8"/>
  <c r="BA317" i="8"/>
  <c r="Z173" i="8"/>
  <c r="Z174" i="8"/>
  <c r="Z209" i="8"/>
  <c r="BA480" i="8"/>
  <c r="BA477" i="8"/>
  <c r="AU369" i="8"/>
  <c r="Z322" i="8"/>
  <c r="BA464" i="8"/>
  <c r="BA607" i="8"/>
  <c r="AU411" i="8"/>
  <c r="AU414" i="8"/>
  <c r="AU605" i="8"/>
  <c r="AU50" i="8"/>
  <c r="AU44" i="8"/>
  <c r="AU51" i="8"/>
  <c r="AU53" i="8"/>
  <c r="BA354" i="8"/>
  <c r="BA349" i="8"/>
  <c r="BA351" i="8"/>
  <c r="Z478" i="8"/>
  <c r="Z472" i="8"/>
  <c r="BA387" i="8"/>
  <c r="BA382" i="8"/>
  <c r="BA395" i="8"/>
  <c r="BA400" i="8"/>
  <c r="BA508" i="8"/>
  <c r="Z425" i="8"/>
  <c r="Z369" i="8"/>
  <c r="Z468" i="8"/>
  <c r="Z615" i="8"/>
  <c r="Z620" i="8"/>
  <c r="Z618" i="8"/>
  <c r="BA326" i="9"/>
  <c r="Z169" i="9"/>
  <c r="Z170" i="9"/>
  <c r="BA429" i="9"/>
  <c r="Z207" i="9"/>
  <c r="BA607" i="9"/>
  <c r="BA363" i="9"/>
  <c r="BA392" i="9"/>
  <c r="BA389" i="9"/>
  <c r="BA394" i="9"/>
  <c r="BA383" i="9"/>
  <c r="Z606" i="9"/>
  <c r="BA436" i="9"/>
  <c r="BA435" i="9"/>
  <c r="BA437" i="9"/>
  <c r="BA588" i="9"/>
  <c r="BA583" i="9"/>
  <c r="Z177" i="9"/>
  <c r="Z180" i="9"/>
  <c r="BA463" i="10"/>
  <c r="AU364" i="10"/>
  <c r="BA606" i="10"/>
  <c r="AU322" i="10"/>
  <c r="BA584" i="10"/>
  <c r="BA589" i="10"/>
  <c r="AU605" i="10"/>
  <c r="AU331" i="10"/>
  <c r="BA421" i="10"/>
  <c r="BA416" i="10"/>
  <c r="AU337" i="10"/>
  <c r="AU343" i="10"/>
  <c r="AU69" i="10"/>
  <c r="AU70" i="10"/>
  <c r="Z231" i="10"/>
  <c r="BA469" i="11"/>
  <c r="AU327" i="11"/>
  <c r="AU413" i="11"/>
  <c r="AU416" i="11"/>
  <c r="Z232" i="11"/>
  <c r="Z236" i="11"/>
  <c r="AU343" i="11"/>
  <c r="AU613" i="11"/>
  <c r="AU620" i="11"/>
  <c r="Z458" i="11"/>
  <c r="AO493" i="11"/>
  <c r="AO498" i="11"/>
  <c r="Z620" i="11"/>
  <c r="Z617" i="11"/>
  <c r="BA64" i="11"/>
  <c r="BA61" i="11"/>
  <c r="AU406" i="11"/>
  <c r="BA523" i="11"/>
  <c r="BA518" i="11"/>
  <c r="BA520" i="11"/>
  <c r="BA336" i="12"/>
  <c r="AU597" i="12"/>
  <c r="BA370" i="12"/>
  <c r="BA364" i="12"/>
  <c r="BA580" i="12"/>
  <c r="BA576" i="12"/>
  <c r="Z513" i="12"/>
  <c r="BA438" i="12"/>
  <c r="BA439" i="12"/>
  <c r="Z506" i="12"/>
  <c r="Z71" i="12"/>
  <c r="BA239" i="12"/>
  <c r="AU317" i="12"/>
  <c r="BA526" i="12"/>
  <c r="BA523" i="12"/>
  <c r="BA533" i="12"/>
  <c r="AU597" i="13"/>
  <c r="AU595" i="13"/>
  <c r="Z240" i="13"/>
  <c r="Z241" i="13"/>
  <c r="Z160" i="13"/>
  <c r="Z157" i="13"/>
  <c r="Z358" i="13"/>
  <c r="AU473" i="13"/>
  <c r="AU474" i="13"/>
  <c r="AU476" i="13"/>
  <c r="Z597" i="13"/>
  <c r="Z327" i="13"/>
  <c r="Z232" i="13"/>
  <c r="Z336" i="13"/>
  <c r="BA525" i="13"/>
  <c r="BA526" i="13"/>
  <c r="BA223" i="13"/>
  <c r="Y16" i="13"/>
  <c r="Z14" i="13"/>
  <c r="AU155" i="13"/>
  <c r="Z333" i="10"/>
  <c r="Z326" i="10"/>
  <c r="Z332" i="10"/>
  <c r="Z327" i="10"/>
  <c r="Z331" i="10"/>
  <c r="BA537" i="11"/>
  <c r="BA572" i="11"/>
  <c r="BA571" i="11"/>
  <c r="BA536" i="11"/>
  <c r="BA538" i="11"/>
  <c r="BA535" i="11"/>
  <c r="BA570" i="11"/>
  <c r="AU352" i="12"/>
  <c r="AU349" i="12"/>
  <c r="AU348" i="12"/>
  <c r="AU351" i="12"/>
  <c r="AU346" i="12"/>
  <c r="AU347" i="12"/>
  <c r="AU350" i="12"/>
  <c r="AU353" i="12"/>
  <c r="AU354" i="12"/>
  <c r="AU171" i="10"/>
  <c r="AU170" i="10"/>
  <c r="AU169" i="10"/>
  <c r="AU172" i="10"/>
  <c r="AU174" i="10"/>
  <c r="AU173" i="10"/>
  <c r="BA174" i="13"/>
  <c r="BA173" i="13"/>
  <c r="BA172" i="13"/>
  <c r="BA170" i="13"/>
  <c r="BA169" i="13"/>
  <c r="BA171" i="13"/>
  <c r="AU354" i="11"/>
  <c r="AU351" i="11"/>
  <c r="AU353" i="11"/>
  <c r="AU352" i="11"/>
  <c r="AU346" i="11"/>
  <c r="AU349" i="11"/>
  <c r="AU348" i="11"/>
  <c r="AU350" i="11"/>
  <c r="AU347" i="11"/>
  <c r="BA434" i="12"/>
  <c r="Z357" i="13"/>
  <c r="BA523" i="13"/>
  <c r="AU156" i="13"/>
  <c r="AU243" i="11"/>
  <c r="AU244" i="11"/>
  <c r="AU239" i="11"/>
  <c r="AU242" i="11"/>
  <c r="AU241" i="11"/>
  <c r="AU240" i="11"/>
  <c r="AU160" i="12"/>
  <c r="AU155" i="12"/>
  <c r="AU156" i="12"/>
  <c r="AU159" i="12"/>
  <c r="AU161" i="12"/>
  <c r="AU157" i="12"/>
  <c r="AU158" i="12"/>
  <c r="BA316" i="8"/>
  <c r="Z169" i="8"/>
  <c r="Z208" i="8"/>
  <c r="BA473" i="8"/>
  <c r="AU413" i="8"/>
  <c r="AU607" i="8"/>
  <c r="AU56" i="8"/>
  <c r="AU54" i="8"/>
  <c r="AU55" i="8"/>
  <c r="BA352" i="8"/>
  <c r="Z477" i="8"/>
  <c r="Z475" i="8"/>
  <c r="BA386" i="8"/>
  <c r="BA385" i="8"/>
  <c r="BA505" i="8"/>
  <c r="Z429" i="8"/>
  <c r="Z619" i="8"/>
  <c r="Z206" i="9"/>
  <c r="BA368" i="9"/>
  <c r="BA388" i="9"/>
  <c r="BA400" i="9"/>
  <c r="BA382" i="9"/>
  <c r="BA440" i="9"/>
  <c r="BA584" i="9"/>
  <c r="Z181" i="9"/>
  <c r="AU369" i="10"/>
  <c r="AU317" i="10"/>
  <c r="BA588" i="10"/>
  <c r="AU607" i="10"/>
  <c r="Z234" i="10"/>
  <c r="X402" i="6"/>
  <c r="AU333" i="11"/>
  <c r="AU415" i="11"/>
  <c r="AU342" i="11"/>
  <c r="AU617" i="11"/>
  <c r="AU611" i="11"/>
  <c r="Z612" i="11"/>
  <c r="Z611" i="11"/>
  <c r="BA70" i="11"/>
  <c r="BA63" i="11"/>
  <c r="BA533" i="11"/>
  <c r="BA521" i="11"/>
  <c r="AU592" i="12"/>
  <c r="BA436" i="12"/>
  <c r="BA433" i="12"/>
  <c r="Z504" i="12"/>
  <c r="BA518" i="12"/>
  <c r="BA528" i="12"/>
  <c r="AU594" i="13"/>
  <c r="Z244" i="13"/>
  <c r="AU475" i="13"/>
  <c r="Z594" i="13"/>
  <c r="Z233" i="13"/>
  <c r="Z343" i="13"/>
  <c r="BA519" i="13"/>
  <c r="BA533" i="13"/>
  <c r="AU161" i="13"/>
  <c r="AU323" i="9"/>
  <c r="AU317" i="9"/>
  <c r="AU322" i="9"/>
  <c r="AU321" i="9"/>
  <c r="AU316" i="9"/>
  <c r="AU210" i="11"/>
  <c r="AU207" i="11"/>
  <c r="AU209" i="11"/>
  <c r="AU208" i="11"/>
  <c r="AU206" i="11"/>
  <c r="AU435" i="12"/>
  <c r="AU433" i="12"/>
  <c r="AU440" i="12"/>
  <c r="AU441" i="12"/>
  <c r="AU438" i="12"/>
  <c r="AU437" i="12"/>
  <c r="AU434" i="12"/>
  <c r="AU439" i="12"/>
  <c r="AU436" i="12"/>
  <c r="AU41" i="11"/>
  <c r="AU40" i="11"/>
  <c r="AU39" i="11"/>
  <c r="AU38" i="11"/>
  <c r="AU18" i="11"/>
  <c r="AU20" i="11"/>
  <c r="AU19" i="11"/>
  <c r="BA358" i="9"/>
  <c r="BA359" i="9"/>
  <c r="BA357" i="9"/>
  <c r="BA360" i="9"/>
  <c r="AU350" i="10"/>
  <c r="AU346" i="10"/>
  <c r="AU347" i="10"/>
  <c r="AU351" i="10"/>
  <c r="AU354" i="10"/>
  <c r="AU348" i="10"/>
  <c r="AU349" i="10"/>
  <c r="AU353" i="10"/>
  <c r="AU352" i="10"/>
  <c r="AA403" i="6"/>
  <c r="S402" i="6"/>
  <c r="S181" i="23" s="1"/>
  <c r="Z498" i="10"/>
  <c r="Z494" i="10"/>
  <c r="Z497" i="10"/>
  <c r="Z496" i="10"/>
  <c r="Z495" i="10"/>
  <c r="Z493" i="10"/>
  <c r="Y500" i="8"/>
  <c r="K356" i="6"/>
  <c r="BA495" i="8"/>
  <c r="BA494" i="8"/>
  <c r="Y500" i="11"/>
  <c r="W356" i="6"/>
  <c r="Y356" i="6" s="1"/>
  <c r="Y500" i="12"/>
  <c r="AA356" i="6"/>
  <c r="AO494" i="13"/>
  <c r="Y500" i="10"/>
  <c r="S356" i="6"/>
  <c r="Y498" i="13"/>
  <c r="BA498" i="8"/>
  <c r="Y489" i="8"/>
  <c r="Y491" i="8"/>
  <c r="Y500" i="9"/>
  <c r="O356" i="6"/>
  <c r="Y500" i="13"/>
  <c r="AO493" i="13"/>
  <c r="AU357" i="13"/>
  <c r="AU358" i="13"/>
  <c r="Z352" i="13"/>
  <c r="Z200" i="13"/>
  <c r="Z203" i="13"/>
  <c r="Z201" i="13"/>
  <c r="BA55" i="13"/>
  <c r="BA53" i="13"/>
  <c r="BA52" i="13"/>
  <c r="AI31" i="13"/>
  <c r="AI32" i="13"/>
  <c r="M33" i="13"/>
  <c r="AI30" i="13"/>
  <c r="Y30" i="13"/>
  <c r="AT30" i="13"/>
  <c r="Z416" i="13"/>
  <c r="Z414" i="13"/>
  <c r="Z412" i="13"/>
  <c r="Z421" i="13"/>
  <c r="Z415" i="13"/>
  <c r="Z413" i="13"/>
  <c r="Z411" i="13"/>
  <c r="Z400" i="13"/>
  <c r="Z392" i="13"/>
  <c r="Z388" i="13"/>
  <c r="Z384" i="13"/>
  <c r="Z395" i="13"/>
  <c r="Z393" i="13"/>
  <c r="Z390" i="13"/>
  <c r="Z385" i="13"/>
  <c r="Z382" i="13"/>
  <c r="Z394" i="13"/>
  <c r="Z389" i="13"/>
  <c r="Z386" i="13"/>
  <c r="Z391" i="13"/>
  <c r="Z383" i="13"/>
  <c r="Z387" i="13"/>
  <c r="Z498" i="13"/>
  <c r="Z495" i="13"/>
  <c r="Z497" i="13"/>
  <c r="Z493" i="13"/>
  <c r="Z494" i="13"/>
  <c r="Z496" i="13"/>
  <c r="AU394" i="13"/>
  <c r="AU390" i="13"/>
  <c r="AU386" i="13"/>
  <c r="AU382" i="13"/>
  <c r="AU392" i="13"/>
  <c r="AU384" i="13"/>
  <c r="AU400" i="13"/>
  <c r="AU388" i="13"/>
  <c r="AU389" i="13"/>
  <c r="AU387" i="13"/>
  <c r="AU391" i="13"/>
  <c r="AU395" i="13"/>
  <c r="AU393" i="13"/>
  <c r="AU385" i="13"/>
  <c r="AU383" i="13"/>
  <c r="BA416" i="13"/>
  <c r="BA414" i="13"/>
  <c r="BA412" i="13"/>
  <c r="BA415" i="13"/>
  <c r="BA411" i="13"/>
  <c r="BA421" i="13"/>
  <c r="BA413" i="13"/>
  <c r="Z524" i="13"/>
  <c r="Z520" i="13"/>
  <c r="Z528" i="13"/>
  <c r="Z526" i="13"/>
  <c r="Z522" i="13"/>
  <c r="Z518" i="13"/>
  <c r="Z527" i="13"/>
  <c r="Z525" i="13"/>
  <c r="Z523" i="13"/>
  <c r="Z521" i="13"/>
  <c r="Z519" i="13"/>
  <c r="Z533" i="13"/>
  <c r="AZ32" i="13"/>
  <c r="AZ33" i="13"/>
  <c r="Y32" i="13"/>
  <c r="Z430" i="13"/>
  <c r="Z469" i="13"/>
  <c r="BA618" i="13"/>
  <c r="BA614" i="13"/>
  <c r="BA616" i="13"/>
  <c r="BA612" i="13"/>
  <c r="BA619" i="13"/>
  <c r="BA617" i="13"/>
  <c r="BA615" i="13"/>
  <c r="BA613" i="13"/>
  <c r="BA611" i="13"/>
  <c r="BA620" i="13"/>
  <c r="Y31" i="13"/>
  <c r="AT31" i="13"/>
  <c r="BA460" i="13"/>
  <c r="BA458" i="13"/>
  <c r="BA459" i="13"/>
  <c r="BA457" i="13"/>
  <c r="BA400" i="13"/>
  <c r="BA392" i="13"/>
  <c r="BA388" i="13"/>
  <c r="BA384" i="13"/>
  <c r="BA391" i="13"/>
  <c r="BA383" i="13"/>
  <c r="BA387" i="13"/>
  <c r="BA395" i="13"/>
  <c r="BA393" i="13"/>
  <c r="BA382" i="13"/>
  <c r="BA390" i="13"/>
  <c r="BA385" i="13"/>
  <c r="BA389" i="13"/>
  <c r="BA386" i="13"/>
  <c r="BA394" i="13"/>
  <c r="X42" i="13"/>
  <c r="Z41" i="13"/>
  <c r="Z39" i="13"/>
  <c r="Z40" i="13"/>
  <c r="Z38" i="13"/>
  <c r="Y42" i="13"/>
  <c r="W42" i="13"/>
  <c r="Z468" i="13"/>
  <c r="Z464" i="13"/>
  <c r="Z424" i="13"/>
  <c r="Z370" i="13"/>
  <c r="Z369" i="13"/>
  <c r="Z363" i="13"/>
  <c r="Z463" i="13"/>
  <c r="Z429" i="13"/>
  <c r="Z425" i="13"/>
  <c r="Z364" i="13"/>
  <c r="Z368" i="13"/>
  <c r="BA605" i="13"/>
  <c r="BA601" i="13"/>
  <c r="BA606" i="13"/>
  <c r="BA607" i="13"/>
  <c r="BA600" i="13"/>
  <c r="Y489" i="13"/>
  <c r="Y491" i="13"/>
  <c r="AU601" i="13"/>
  <c r="AU605" i="13"/>
  <c r="AU600" i="13"/>
  <c r="AU606" i="13"/>
  <c r="AU607" i="13"/>
  <c r="Z323" i="13"/>
  <c r="Z322" i="13"/>
  <c r="Z316" i="13"/>
  <c r="Z317" i="13"/>
  <c r="Z321" i="13"/>
  <c r="Z164" i="13"/>
  <c r="Z166" i="13"/>
  <c r="Z165" i="13"/>
  <c r="AU232" i="13"/>
  <c r="AU236" i="13"/>
  <c r="AU234" i="13"/>
  <c r="AU233" i="13"/>
  <c r="AU231" i="13"/>
  <c r="AU235" i="13"/>
  <c r="AO31" i="13"/>
  <c r="AO33" i="13"/>
  <c r="AO32" i="13"/>
  <c r="AO30" i="13"/>
  <c r="Z62" i="13"/>
  <c r="Z64" i="13"/>
  <c r="Z65" i="13"/>
  <c r="Z63" i="13"/>
  <c r="Z61" i="13"/>
  <c r="Z580" i="13"/>
  <c r="Z579" i="13"/>
  <c r="Z577" i="13"/>
  <c r="Z578" i="13"/>
  <c r="Z576" i="13"/>
  <c r="Z514" i="13"/>
  <c r="Z515" i="13"/>
  <c r="Z513" i="13"/>
  <c r="Z512" i="13"/>
  <c r="Z511" i="13"/>
  <c r="Z445" i="13"/>
  <c r="Z454" i="13"/>
  <c r="Z449" i="13"/>
  <c r="Z447" i="13"/>
  <c r="Z448" i="13"/>
  <c r="Z446" i="13"/>
  <c r="Z453" i="13"/>
  <c r="AU403" i="13"/>
  <c r="AU407" i="13"/>
  <c r="AU405" i="13"/>
  <c r="AU402" i="13"/>
  <c r="AU404" i="13"/>
  <c r="AU406" i="13"/>
  <c r="Z227" i="13"/>
  <c r="Z228" i="13"/>
  <c r="Z226" i="13"/>
  <c r="Z54" i="13"/>
  <c r="Z50" i="13"/>
  <c r="Z46" i="13"/>
  <c r="Z56" i="13"/>
  <c r="Z52" i="13"/>
  <c r="Z48" i="13"/>
  <c r="Z44" i="13"/>
  <c r="Z55" i="13"/>
  <c r="Z51" i="13"/>
  <c r="Z47" i="13"/>
  <c r="Z58" i="13"/>
  <c r="Z57" i="13"/>
  <c r="Z53" i="13"/>
  <c r="Z49" i="13"/>
  <c r="Z45" i="13"/>
  <c r="AU166" i="13"/>
  <c r="AU164" i="13"/>
  <c r="AU165" i="13"/>
  <c r="BA498" i="13"/>
  <c r="BA497" i="13"/>
  <c r="BA496" i="13"/>
  <c r="BA495" i="13"/>
  <c r="BA494" i="13"/>
  <c r="BA493" i="13"/>
  <c r="AU528" i="13"/>
  <c r="AU526" i="13"/>
  <c r="AU522" i="13"/>
  <c r="AU518" i="13"/>
  <c r="AU524" i="13"/>
  <c r="AU520" i="13"/>
  <c r="AU533" i="13"/>
  <c r="AU525" i="13"/>
  <c r="AU521" i="13"/>
  <c r="AU523" i="13"/>
  <c r="AU519" i="13"/>
  <c r="Z572" i="13"/>
  <c r="Z570" i="13"/>
  <c r="Z571" i="13"/>
  <c r="Z537" i="13"/>
  <c r="Z535" i="13"/>
  <c r="Z538" i="13"/>
  <c r="Z536" i="13"/>
  <c r="BA595" i="13"/>
  <c r="BA593" i="13"/>
  <c r="BA597" i="13"/>
  <c r="BA594" i="13"/>
  <c r="BA596" i="13"/>
  <c r="BA592" i="13"/>
  <c r="Z618" i="13"/>
  <c r="Z614" i="13"/>
  <c r="Z616" i="13"/>
  <c r="Z612" i="13"/>
  <c r="Z620" i="13"/>
  <c r="Z617" i="13"/>
  <c r="Z613" i="13"/>
  <c r="Z619" i="13"/>
  <c r="Z615" i="13"/>
  <c r="Z611" i="13"/>
  <c r="Z524" i="12"/>
  <c r="Z520" i="12"/>
  <c r="Z533" i="12"/>
  <c r="Z525" i="12"/>
  <c r="Z521" i="12"/>
  <c r="Z523" i="12"/>
  <c r="Z522" i="12"/>
  <c r="Z528" i="12"/>
  <c r="Z519" i="12"/>
  <c r="Z518" i="12"/>
  <c r="Z527" i="12"/>
  <c r="Z526" i="12"/>
  <c r="Z395" i="12"/>
  <c r="Z393" i="12"/>
  <c r="Z391" i="12"/>
  <c r="Z387" i="12"/>
  <c r="Z383" i="12"/>
  <c r="Z394" i="12"/>
  <c r="Z389" i="12"/>
  <c r="Z385" i="12"/>
  <c r="Z400" i="12"/>
  <c r="Z392" i="12"/>
  <c r="Z390" i="12"/>
  <c r="Z388" i="12"/>
  <c r="Z386" i="12"/>
  <c r="Z384" i="12"/>
  <c r="Z382" i="12"/>
  <c r="Z497" i="12"/>
  <c r="Z496" i="12"/>
  <c r="Z495" i="12"/>
  <c r="Z494" i="12"/>
  <c r="Z493" i="12"/>
  <c r="Z498" i="12"/>
  <c r="Z415" i="12"/>
  <c r="Z411" i="12"/>
  <c r="Z421" i="12"/>
  <c r="Z413" i="12"/>
  <c r="Z414" i="12"/>
  <c r="Z412" i="12"/>
  <c r="Z416" i="12"/>
  <c r="BA446" i="12"/>
  <c r="BA453" i="12"/>
  <c r="BA448" i="12"/>
  <c r="BA449" i="12"/>
  <c r="BA447" i="12"/>
  <c r="BA445" i="12"/>
  <c r="BA454" i="12"/>
  <c r="Y33" i="12"/>
  <c r="Z605" i="12"/>
  <c r="Z601" i="12"/>
  <c r="Z600" i="12"/>
  <c r="Z607" i="12"/>
  <c r="Z606" i="12"/>
  <c r="Z446" i="12"/>
  <c r="Z453" i="12"/>
  <c r="Z448" i="12"/>
  <c r="Z449" i="12"/>
  <c r="Z447" i="12"/>
  <c r="Z445" i="12"/>
  <c r="Z454" i="12"/>
  <c r="Z220" i="12"/>
  <c r="Z223" i="12"/>
  <c r="Z221" i="12"/>
  <c r="Y489" i="12"/>
  <c r="Y491" i="12"/>
  <c r="W491" i="12"/>
  <c r="AU601" i="12"/>
  <c r="AU605" i="12"/>
  <c r="AU606" i="12"/>
  <c r="AU600" i="12"/>
  <c r="AU607" i="12"/>
  <c r="AU421" i="12"/>
  <c r="AU413" i="12"/>
  <c r="AU415" i="12"/>
  <c r="AU411" i="12"/>
  <c r="AU416" i="12"/>
  <c r="AU414" i="12"/>
  <c r="AU412" i="12"/>
  <c r="Z181" i="12"/>
  <c r="Z177" i="12"/>
  <c r="Z187" i="12"/>
  <c r="Z185" i="12"/>
  <c r="Z183" i="12"/>
  <c r="Z179" i="12"/>
  <c r="Z186" i="12"/>
  <c r="Z180" i="12"/>
  <c r="Z182" i="12"/>
  <c r="Z178" i="12"/>
  <c r="AU528" i="12"/>
  <c r="AU526" i="12"/>
  <c r="AU522" i="12"/>
  <c r="AU518" i="12"/>
  <c r="AU523" i="12"/>
  <c r="AU519" i="12"/>
  <c r="AU533" i="12"/>
  <c r="AU521" i="12"/>
  <c r="AU520" i="12"/>
  <c r="AU524" i="12"/>
  <c r="AU525" i="12"/>
  <c r="AU453" i="12"/>
  <c r="AU448" i="12"/>
  <c r="AU446" i="12"/>
  <c r="AU454" i="12"/>
  <c r="AU445" i="12"/>
  <c r="AU447" i="12"/>
  <c r="AU449" i="12"/>
  <c r="BA395" i="12"/>
  <c r="BA393" i="12"/>
  <c r="BA400" i="12"/>
  <c r="BA391" i="12"/>
  <c r="BA387" i="12"/>
  <c r="BA383" i="12"/>
  <c r="BA392" i="12"/>
  <c r="BA389" i="12"/>
  <c r="BA385" i="12"/>
  <c r="BA390" i="12"/>
  <c r="BA388" i="12"/>
  <c r="BA386" i="12"/>
  <c r="BA384" i="12"/>
  <c r="BA382" i="12"/>
  <c r="BA394" i="12"/>
  <c r="X42" i="12"/>
  <c r="Z41" i="12"/>
  <c r="Z39" i="12"/>
  <c r="W42" i="12"/>
  <c r="Z40" i="12"/>
  <c r="Z38" i="12"/>
  <c r="Y42" i="12"/>
  <c r="AU479" i="12"/>
  <c r="AU475" i="12"/>
  <c r="AU477" i="12"/>
  <c r="AU473" i="12"/>
  <c r="AU474" i="12"/>
  <c r="AU480" i="12"/>
  <c r="AU472" i="12"/>
  <c r="AU478" i="12"/>
  <c r="AU476" i="12"/>
  <c r="Z56" i="12"/>
  <c r="Z52" i="12"/>
  <c r="Z48" i="12"/>
  <c r="Z44" i="12"/>
  <c r="Z54" i="12"/>
  <c r="Z50" i="12"/>
  <c r="Z46" i="12"/>
  <c r="Z55" i="12"/>
  <c r="Z51" i="12"/>
  <c r="Z47" i="12"/>
  <c r="Z58" i="12"/>
  <c r="Z57" i="12"/>
  <c r="Z53" i="12"/>
  <c r="Z49" i="12"/>
  <c r="Z45" i="12"/>
  <c r="BA477" i="12"/>
  <c r="BA473" i="12"/>
  <c r="BA476" i="12"/>
  <c r="BA472" i="12"/>
  <c r="BA478" i="12"/>
  <c r="BA475" i="12"/>
  <c r="BA479" i="12"/>
  <c r="BA480" i="12"/>
  <c r="BA474" i="12"/>
  <c r="Z233" i="12"/>
  <c r="Z236" i="12"/>
  <c r="Z235" i="12"/>
  <c r="Z231" i="12"/>
  <c r="Z234" i="12"/>
  <c r="Z232" i="12"/>
  <c r="Z64" i="12"/>
  <c r="Z62" i="12"/>
  <c r="Z65" i="12"/>
  <c r="Z63" i="12"/>
  <c r="Z61" i="12"/>
  <c r="BA618" i="12"/>
  <c r="BA614" i="12"/>
  <c r="BA616" i="12"/>
  <c r="BA612" i="12"/>
  <c r="BA620" i="12"/>
  <c r="BA617" i="12"/>
  <c r="BA613" i="12"/>
  <c r="BA615" i="12"/>
  <c r="BA611" i="12"/>
  <c r="BA619" i="12"/>
  <c r="BA595" i="12"/>
  <c r="BA593" i="12"/>
  <c r="BA597" i="12"/>
  <c r="BA594" i="12"/>
  <c r="BA596" i="12"/>
  <c r="BA592" i="12"/>
  <c r="W16" i="12"/>
  <c r="Y16" i="12"/>
  <c r="Z13" i="12"/>
  <c r="X16" i="12"/>
  <c r="Z15" i="12"/>
  <c r="Z14" i="12"/>
  <c r="Z618" i="12"/>
  <c r="Z614" i="12"/>
  <c r="Z616" i="12"/>
  <c r="Z612" i="12"/>
  <c r="Z620" i="12"/>
  <c r="Z619" i="12"/>
  <c r="Z615" i="12"/>
  <c r="Z611" i="12"/>
  <c r="Z617" i="12"/>
  <c r="Z613" i="12"/>
  <c r="AU389" i="12"/>
  <c r="AU385" i="12"/>
  <c r="AU395" i="12"/>
  <c r="AU393" i="12"/>
  <c r="AU391" i="12"/>
  <c r="AU387" i="12"/>
  <c r="AU383" i="12"/>
  <c r="AU392" i="12"/>
  <c r="AU384" i="12"/>
  <c r="AU390" i="12"/>
  <c r="AU382" i="12"/>
  <c r="AU400" i="12"/>
  <c r="AU388" i="12"/>
  <c r="AU394" i="12"/>
  <c r="AU386" i="12"/>
  <c r="Z24" i="12"/>
  <c r="Z23" i="12"/>
  <c r="Z26" i="12"/>
  <c r="Z25" i="12"/>
  <c r="Z352" i="12"/>
  <c r="Z348" i="12"/>
  <c r="Z350" i="12"/>
  <c r="Z346" i="12"/>
  <c r="Z354" i="12"/>
  <c r="Z353" i="12"/>
  <c r="Z349" i="12"/>
  <c r="Z351" i="12"/>
  <c r="Z347" i="12"/>
  <c r="AT33" i="12"/>
  <c r="Z595" i="12"/>
  <c r="Z593" i="12"/>
  <c r="Z597" i="12"/>
  <c r="Z596" i="12"/>
  <c r="Z592" i="12"/>
  <c r="Z594" i="12"/>
  <c r="BA41" i="12"/>
  <c r="BA39" i="12"/>
  <c r="BA40" i="12"/>
  <c r="BA38" i="12"/>
  <c r="BA181" i="12"/>
  <c r="BA177" i="12"/>
  <c r="BA187" i="12"/>
  <c r="BA185" i="12"/>
  <c r="BA183" i="12"/>
  <c r="BA179" i="12"/>
  <c r="BA186" i="12"/>
  <c r="BA182" i="12"/>
  <c r="BA178" i="12"/>
  <c r="BA180" i="12"/>
  <c r="AU572" i="12"/>
  <c r="AU570" i="12"/>
  <c r="AU535" i="12"/>
  <c r="AU538" i="12"/>
  <c r="AU536" i="12"/>
  <c r="AU571" i="12"/>
  <c r="AU537" i="12"/>
  <c r="BA605" i="12"/>
  <c r="BA601" i="12"/>
  <c r="BA606" i="12"/>
  <c r="BA600" i="12"/>
  <c r="BA607" i="12"/>
  <c r="BA33" i="12"/>
  <c r="BA32" i="12"/>
  <c r="BA30" i="12"/>
  <c r="BA31" i="12"/>
  <c r="AU400" i="11"/>
  <c r="AU392" i="11"/>
  <c r="AU388" i="11"/>
  <c r="AU384" i="11"/>
  <c r="AU394" i="11"/>
  <c r="AU390" i="11"/>
  <c r="AU386" i="11"/>
  <c r="AU382" i="11"/>
  <c r="AU395" i="11"/>
  <c r="AU393" i="11"/>
  <c r="AU391" i="11"/>
  <c r="AU389" i="11"/>
  <c r="AU387" i="11"/>
  <c r="AU385" i="11"/>
  <c r="AU383" i="11"/>
  <c r="Z524" i="11"/>
  <c r="Z520" i="11"/>
  <c r="Z523" i="11"/>
  <c r="Z527" i="11"/>
  <c r="Z519" i="11"/>
  <c r="Z526" i="11"/>
  <c r="Z525" i="11"/>
  <c r="Z521" i="11"/>
  <c r="Z533" i="11"/>
  <c r="Z528" i="11"/>
  <c r="Z522" i="11"/>
  <c r="Z518" i="11"/>
  <c r="Z394" i="11"/>
  <c r="Z390" i="11"/>
  <c r="Z386" i="11"/>
  <c r="Z382" i="11"/>
  <c r="Z400" i="11"/>
  <c r="Z392" i="11"/>
  <c r="Z388" i="11"/>
  <c r="Z384" i="11"/>
  <c r="Z391" i="11"/>
  <c r="Z387" i="11"/>
  <c r="Z383" i="11"/>
  <c r="Z393" i="11"/>
  <c r="Z389" i="11"/>
  <c r="Z385" i="11"/>
  <c r="Z395" i="11"/>
  <c r="Z446" i="11"/>
  <c r="Z445" i="11"/>
  <c r="Z454" i="11"/>
  <c r="Z453" i="11"/>
  <c r="Z448" i="11"/>
  <c r="Z447" i="11"/>
  <c r="Z449" i="11"/>
  <c r="AU528" i="11"/>
  <c r="AU526" i="11"/>
  <c r="AU522" i="11"/>
  <c r="AU518" i="11"/>
  <c r="AU533" i="11"/>
  <c r="AU525" i="11"/>
  <c r="AU519" i="11"/>
  <c r="AU523" i="11"/>
  <c r="AU521" i="11"/>
  <c r="AU524" i="11"/>
  <c r="AU520" i="11"/>
  <c r="BA55" i="11"/>
  <c r="BA51" i="11"/>
  <c r="BA47" i="11"/>
  <c r="BA58" i="11"/>
  <c r="BA57" i="11"/>
  <c r="BA53" i="11"/>
  <c r="BA49" i="11"/>
  <c r="BA45" i="11"/>
  <c r="BA56" i="11"/>
  <c r="BA52" i="11"/>
  <c r="BA48" i="11"/>
  <c r="BA44" i="11"/>
  <c r="BA54" i="11"/>
  <c r="BA50" i="11"/>
  <c r="BA46" i="11"/>
  <c r="BA73" i="11"/>
  <c r="BA68" i="11"/>
  <c r="BA187" i="11"/>
  <c r="BA185" i="11"/>
  <c r="BA183" i="11"/>
  <c r="BA179" i="11"/>
  <c r="BA181" i="11"/>
  <c r="BA177" i="11"/>
  <c r="BA186" i="11"/>
  <c r="BA182" i="11"/>
  <c r="BA178" i="11"/>
  <c r="BA180" i="11"/>
  <c r="Z351" i="11"/>
  <c r="Z347" i="11"/>
  <c r="Z353" i="11"/>
  <c r="Z352" i="11"/>
  <c r="Z349" i="11"/>
  <c r="Z348" i="11"/>
  <c r="Z354" i="11"/>
  <c r="Z346" i="11"/>
  <c r="Z350" i="11"/>
  <c r="Z515" i="11"/>
  <c r="Z513" i="11"/>
  <c r="Z511" i="11"/>
  <c r="Z514" i="11"/>
  <c r="Z512" i="11"/>
  <c r="Z327" i="11"/>
  <c r="Z331" i="11"/>
  <c r="Z333" i="11"/>
  <c r="Z332" i="11"/>
  <c r="Z326" i="11"/>
  <c r="Z403" i="11"/>
  <c r="Z407" i="11"/>
  <c r="Z405" i="11"/>
  <c r="Z406" i="11"/>
  <c r="Z404" i="11"/>
  <c r="Z402" i="11"/>
  <c r="Z580" i="11"/>
  <c r="Z576" i="11"/>
  <c r="Z578" i="11"/>
  <c r="Z577" i="11"/>
  <c r="Z579" i="11"/>
  <c r="AT31" i="11"/>
  <c r="Y31" i="11"/>
  <c r="Z61" i="11"/>
  <c r="Z65" i="11"/>
  <c r="Z63" i="11"/>
  <c r="Z64" i="11"/>
  <c r="Z62" i="11"/>
  <c r="Z152" i="11"/>
  <c r="Z150" i="11"/>
  <c r="Z151" i="11"/>
  <c r="Z317" i="11"/>
  <c r="Z321" i="11"/>
  <c r="Z323" i="11"/>
  <c r="Z322" i="11"/>
  <c r="Z316" i="11"/>
  <c r="AU378" i="11"/>
  <c r="AU376" i="11"/>
  <c r="AU377" i="11"/>
  <c r="AU379" i="11"/>
  <c r="AZ32" i="11"/>
  <c r="AZ33" i="11"/>
  <c r="Y32" i="11"/>
  <c r="Y30" i="11"/>
  <c r="Y33" i="11"/>
  <c r="AT30" i="11"/>
  <c r="AT33" i="11"/>
  <c r="BA394" i="11"/>
  <c r="BA390" i="11"/>
  <c r="BA386" i="11"/>
  <c r="BA382" i="11"/>
  <c r="BA400" i="11"/>
  <c r="BA392" i="11"/>
  <c r="BA388" i="11"/>
  <c r="BA384" i="11"/>
  <c r="BA395" i="11"/>
  <c r="BA389" i="11"/>
  <c r="BA387" i="11"/>
  <c r="BA393" i="11"/>
  <c r="BA385" i="11"/>
  <c r="BA391" i="11"/>
  <c r="BA383" i="11"/>
  <c r="Z469" i="11"/>
  <c r="Z430" i="11"/>
  <c r="Z416" i="11"/>
  <c r="Z414" i="11"/>
  <c r="Z412" i="11"/>
  <c r="Z421" i="11"/>
  <c r="Z415" i="11"/>
  <c r="Z413" i="11"/>
  <c r="Z411" i="11"/>
  <c r="Z203" i="11"/>
  <c r="Z201" i="11"/>
  <c r="Z200" i="11"/>
  <c r="Z463" i="11"/>
  <c r="Z464" i="11"/>
  <c r="Z468" i="11"/>
  <c r="Z424" i="11"/>
  <c r="Z370" i="11"/>
  <c r="Z369" i="11"/>
  <c r="Z363" i="11"/>
  <c r="Z368" i="11"/>
  <c r="Z429" i="11"/>
  <c r="Z425" i="11"/>
  <c r="Z364" i="11"/>
  <c r="Z157" i="11"/>
  <c r="Z159" i="11"/>
  <c r="Z155" i="11"/>
  <c r="Z156" i="11"/>
  <c r="Z161" i="11"/>
  <c r="Z160" i="11"/>
  <c r="Z158" i="11"/>
  <c r="Z378" i="11"/>
  <c r="Z379" i="11"/>
  <c r="Z377" i="11"/>
  <c r="Z376" i="11"/>
  <c r="Z55" i="11"/>
  <c r="Z51" i="11"/>
  <c r="Z47" i="11"/>
  <c r="Z58" i="11"/>
  <c r="Z57" i="11"/>
  <c r="Z53" i="11"/>
  <c r="Z49" i="11"/>
  <c r="Z45" i="11"/>
  <c r="Z54" i="11"/>
  <c r="Z50" i="11"/>
  <c r="Z46" i="11"/>
  <c r="Z56" i="11"/>
  <c r="Z52" i="11"/>
  <c r="Z48" i="11"/>
  <c r="Z44" i="11"/>
  <c r="BA403" i="11"/>
  <c r="BA407" i="11"/>
  <c r="BA405" i="11"/>
  <c r="BA406" i="11"/>
  <c r="BA402" i="11"/>
  <c r="BA404" i="11"/>
  <c r="BA157" i="11"/>
  <c r="BA159" i="11"/>
  <c r="BA155" i="11"/>
  <c r="BA160" i="11"/>
  <c r="BA158" i="11"/>
  <c r="BA156" i="11"/>
  <c r="BA161" i="11"/>
  <c r="AI30" i="11"/>
  <c r="AI33" i="11"/>
  <c r="AI32" i="11"/>
  <c r="AI31" i="11"/>
  <c r="Z498" i="11"/>
  <c r="Z496" i="11"/>
  <c r="Z495" i="11"/>
  <c r="Z494" i="11"/>
  <c r="Z493" i="11"/>
  <c r="Z497" i="11"/>
  <c r="Z244" i="11"/>
  <c r="Z243" i="11"/>
  <c r="Z239" i="11"/>
  <c r="Z241" i="11"/>
  <c r="Z242" i="11"/>
  <c r="Z240" i="11"/>
  <c r="AO33" i="11"/>
  <c r="AO32" i="11"/>
  <c r="AO31" i="11"/>
  <c r="AO30" i="11"/>
  <c r="Z145" i="11"/>
  <c r="Z141" i="11"/>
  <c r="Z137" i="11"/>
  <c r="Z143" i="11"/>
  <c r="Z139" i="11"/>
  <c r="Z142" i="11"/>
  <c r="Z144" i="11"/>
  <c r="Z147" i="11"/>
  <c r="Z146" i="11"/>
  <c r="Z138" i="11"/>
  <c r="Z140" i="11"/>
  <c r="Z438" i="11"/>
  <c r="Z434" i="11"/>
  <c r="Z440" i="11"/>
  <c r="Z436" i="11"/>
  <c r="Z441" i="11"/>
  <c r="Z439" i="11"/>
  <c r="Z437" i="11"/>
  <c r="Z435" i="11"/>
  <c r="Z433" i="11"/>
  <c r="BA446" i="11"/>
  <c r="BA453" i="11"/>
  <c r="BA448" i="11"/>
  <c r="BA449" i="11"/>
  <c r="BA447" i="11"/>
  <c r="BA445" i="11"/>
  <c r="BA454" i="11"/>
  <c r="Z187" i="11"/>
  <c r="Z185" i="11"/>
  <c r="Z183" i="11"/>
  <c r="Z179" i="11"/>
  <c r="Z181" i="11"/>
  <c r="Z177" i="11"/>
  <c r="Z186" i="11"/>
  <c r="Z180" i="11"/>
  <c r="Z182" i="11"/>
  <c r="Z178" i="11"/>
  <c r="Z445" i="10"/>
  <c r="Z446" i="10"/>
  <c r="Z453" i="10"/>
  <c r="Z449" i="10"/>
  <c r="Z448" i="10"/>
  <c r="Z447" i="10"/>
  <c r="Z454" i="10"/>
  <c r="AU395" i="10"/>
  <c r="AU393" i="10"/>
  <c r="AU389" i="10"/>
  <c r="AU385" i="10"/>
  <c r="AU394" i="10"/>
  <c r="AU392" i="10"/>
  <c r="AU386" i="10"/>
  <c r="AU384" i="10"/>
  <c r="AU391" i="10"/>
  <c r="AU383" i="10"/>
  <c r="AU387" i="10"/>
  <c r="AU382" i="10"/>
  <c r="AU400" i="10"/>
  <c r="AU390" i="10"/>
  <c r="AU388" i="10"/>
  <c r="AU454" i="10"/>
  <c r="AU449" i="10"/>
  <c r="AU447" i="10"/>
  <c r="AU453" i="10"/>
  <c r="AU448" i="10"/>
  <c r="AU445" i="10"/>
  <c r="AU446" i="10"/>
  <c r="AU533" i="10"/>
  <c r="AU525" i="10"/>
  <c r="AU521" i="10"/>
  <c r="AU528" i="10"/>
  <c r="AU526" i="10"/>
  <c r="AU522" i="10"/>
  <c r="AU518" i="10"/>
  <c r="AU523" i="10"/>
  <c r="AU524" i="10"/>
  <c r="AU519" i="10"/>
  <c r="AU520" i="10"/>
  <c r="Z527" i="10"/>
  <c r="Z523" i="10"/>
  <c r="Z519" i="10"/>
  <c r="Z524" i="10"/>
  <c r="Z520" i="10"/>
  <c r="Z528" i="10"/>
  <c r="Z518" i="10"/>
  <c r="Z522" i="10"/>
  <c r="Z533" i="10"/>
  <c r="Z525" i="10"/>
  <c r="Z526" i="10"/>
  <c r="Z521" i="10"/>
  <c r="AU440" i="10"/>
  <c r="AU436" i="10"/>
  <c r="AU437" i="10"/>
  <c r="AU433" i="10"/>
  <c r="AU435" i="10"/>
  <c r="AU434" i="10"/>
  <c r="AU439" i="10"/>
  <c r="AU441" i="10"/>
  <c r="AU438" i="10"/>
  <c r="AO31" i="10"/>
  <c r="AO33" i="10"/>
  <c r="AO32" i="10"/>
  <c r="AO30" i="10"/>
  <c r="Z391" i="10"/>
  <c r="Z387" i="10"/>
  <c r="Z383" i="10"/>
  <c r="Z395" i="10"/>
  <c r="Z390" i="10"/>
  <c r="Z382" i="10"/>
  <c r="Z392" i="10"/>
  <c r="Z389" i="10"/>
  <c r="Z384" i="10"/>
  <c r="Z400" i="10"/>
  <c r="Z388" i="10"/>
  <c r="Z393" i="10"/>
  <c r="Z385" i="10"/>
  <c r="Z386" i="10"/>
  <c r="Z394" i="10"/>
  <c r="Z360" i="10"/>
  <c r="Z359" i="10"/>
  <c r="Z357" i="10"/>
  <c r="Z358" i="10"/>
  <c r="Z618" i="10"/>
  <c r="Z614" i="10"/>
  <c r="Z616" i="10"/>
  <c r="Z612" i="10"/>
  <c r="Z620" i="10"/>
  <c r="Z619" i="10"/>
  <c r="Z615" i="10"/>
  <c r="Z611" i="10"/>
  <c r="Z617" i="10"/>
  <c r="Z613" i="10"/>
  <c r="AU593" i="10"/>
  <c r="AU595" i="10"/>
  <c r="AU597" i="10"/>
  <c r="AU594" i="10"/>
  <c r="AU596" i="10"/>
  <c r="AU592" i="10"/>
  <c r="AU407" i="10"/>
  <c r="AU405" i="10"/>
  <c r="AU406" i="10"/>
  <c r="AU402" i="10"/>
  <c r="AU403" i="10"/>
  <c r="AU404" i="10"/>
  <c r="AI497" i="10"/>
  <c r="AI496" i="10"/>
  <c r="AI495" i="10"/>
  <c r="AI494" i="10"/>
  <c r="AI493" i="10"/>
  <c r="AI498" i="10"/>
  <c r="Z194" i="10"/>
  <c r="Z197" i="10"/>
  <c r="Z195" i="10"/>
  <c r="AU181" i="10"/>
  <c r="AU177" i="10"/>
  <c r="AU183" i="10"/>
  <c r="AU178" i="10"/>
  <c r="AU182" i="10"/>
  <c r="AU179" i="10"/>
  <c r="AU187" i="10"/>
  <c r="AU180" i="10"/>
  <c r="AU186" i="10"/>
  <c r="AU185" i="10"/>
  <c r="Z379" i="10"/>
  <c r="Z377" i="10"/>
  <c r="Z378" i="10"/>
  <c r="Z376" i="10"/>
  <c r="AO498" i="10"/>
  <c r="AO497" i="10"/>
  <c r="AO493" i="10"/>
  <c r="AO496" i="10"/>
  <c r="AO495" i="10"/>
  <c r="AO494" i="10"/>
  <c r="AU616" i="10"/>
  <c r="AU612" i="10"/>
  <c r="AU618" i="10"/>
  <c r="AU614" i="10"/>
  <c r="AU619" i="10"/>
  <c r="AU615" i="10"/>
  <c r="AU611" i="10"/>
  <c r="AU617" i="10"/>
  <c r="AU613" i="10"/>
  <c r="AU620" i="10"/>
  <c r="Z438" i="10"/>
  <c r="Z434" i="10"/>
  <c r="Z441" i="10"/>
  <c r="Z439" i="10"/>
  <c r="Z435" i="10"/>
  <c r="Z437" i="10"/>
  <c r="Z436" i="10"/>
  <c r="Z433" i="10"/>
  <c r="Z440" i="10"/>
  <c r="Z595" i="10"/>
  <c r="Z593" i="10"/>
  <c r="Z597" i="10"/>
  <c r="Z596" i="10"/>
  <c r="Z592" i="10"/>
  <c r="Z594" i="10"/>
  <c r="Z171" i="10"/>
  <c r="Z174" i="10"/>
  <c r="Z172" i="10"/>
  <c r="Z169" i="10"/>
  <c r="Z173" i="10"/>
  <c r="Z170" i="10"/>
  <c r="BA618" i="10"/>
  <c r="BA614" i="10"/>
  <c r="BA616" i="10"/>
  <c r="BA612" i="10"/>
  <c r="BA620" i="10"/>
  <c r="BA617" i="10"/>
  <c r="BA613" i="10"/>
  <c r="BA615" i="10"/>
  <c r="BA611" i="10"/>
  <c r="BA619" i="10"/>
  <c r="Z201" i="10"/>
  <c r="Z200" i="10"/>
  <c r="Z203" i="10"/>
  <c r="Z505" i="10"/>
  <c r="Z508" i="10"/>
  <c r="Z506" i="10"/>
  <c r="Z507" i="10"/>
  <c r="Z504" i="10"/>
  <c r="Y31" i="10"/>
  <c r="AT31" i="10"/>
  <c r="AT33" i="10"/>
  <c r="Y32" i="10"/>
  <c r="AZ32" i="10"/>
  <c r="AZ33" i="10"/>
  <c r="Z240" i="10"/>
  <c r="Z244" i="10"/>
  <c r="Z243" i="10"/>
  <c r="Z239" i="10"/>
  <c r="Z242" i="10"/>
  <c r="Z241" i="10"/>
  <c r="Z533" i="9"/>
  <c r="Z525" i="9"/>
  <c r="Z521" i="9"/>
  <c r="Z527" i="9"/>
  <c r="Z523" i="9"/>
  <c r="Z519" i="9"/>
  <c r="Z528" i="9"/>
  <c r="Z524" i="9"/>
  <c r="Z520" i="9"/>
  <c r="Z526" i="9"/>
  <c r="Z518" i="9"/>
  <c r="Z522" i="9"/>
  <c r="AU523" i="9"/>
  <c r="AU519" i="9"/>
  <c r="AU533" i="9"/>
  <c r="AU525" i="9"/>
  <c r="AU521" i="9"/>
  <c r="AU526" i="9"/>
  <c r="AU524" i="9"/>
  <c r="AU522" i="9"/>
  <c r="AU520" i="9"/>
  <c r="AU518" i="9"/>
  <c r="AU528" i="9"/>
  <c r="Z26" i="9"/>
  <c r="Z25" i="9"/>
  <c r="Z23" i="9"/>
  <c r="Z24" i="9"/>
  <c r="BA71" i="9"/>
  <c r="BA61" i="9"/>
  <c r="BA69" i="9"/>
  <c r="BA65" i="9"/>
  <c r="BA63" i="9"/>
  <c r="BA72" i="9"/>
  <c r="BA70" i="9"/>
  <c r="BA64" i="9"/>
  <c r="BA62" i="9"/>
  <c r="Z73" i="9"/>
  <c r="Z71" i="9"/>
  <c r="Z69" i="9"/>
  <c r="Z72" i="9"/>
  <c r="Z70" i="9"/>
  <c r="Z68" i="9"/>
  <c r="BA533" i="9"/>
  <c r="BA525" i="9"/>
  <c r="BA521" i="9"/>
  <c r="BA523" i="9"/>
  <c r="BA519" i="9"/>
  <c r="BA524" i="9"/>
  <c r="BA520" i="9"/>
  <c r="BA522" i="9"/>
  <c r="BA528" i="9"/>
  <c r="BA526" i="9"/>
  <c r="BA518" i="9"/>
  <c r="Z538" i="9"/>
  <c r="Z536" i="9"/>
  <c r="Z570" i="9"/>
  <c r="Z571" i="9"/>
  <c r="Z535" i="9"/>
  <c r="Z537" i="9"/>
  <c r="Z572" i="9"/>
  <c r="Z223" i="9"/>
  <c r="Z221" i="9"/>
  <c r="Z220" i="9"/>
  <c r="Y30" i="9"/>
  <c r="AT30" i="9"/>
  <c r="AT33" i="9"/>
  <c r="Z421" i="9"/>
  <c r="Z415" i="9"/>
  <c r="Z411" i="9"/>
  <c r="Z413" i="9"/>
  <c r="Z416" i="9"/>
  <c r="Z414" i="9"/>
  <c r="Z412" i="9"/>
  <c r="Z226" i="9"/>
  <c r="Z228" i="9"/>
  <c r="Z227" i="9"/>
  <c r="BA158" i="9"/>
  <c r="BA161" i="9"/>
  <c r="BA160" i="9"/>
  <c r="BA156" i="9"/>
  <c r="BA159" i="9"/>
  <c r="BA157" i="9"/>
  <c r="BA155" i="9"/>
  <c r="Z618" i="9"/>
  <c r="Z614" i="9"/>
  <c r="Z616" i="9"/>
  <c r="Z612" i="9"/>
  <c r="Z620" i="9"/>
  <c r="Z617" i="9"/>
  <c r="Z613" i="9"/>
  <c r="Z619" i="9"/>
  <c r="Z615" i="9"/>
  <c r="Z611" i="9"/>
  <c r="AU395" i="9"/>
  <c r="AU393" i="9"/>
  <c r="AU389" i="9"/>
  <c r="AU385" i="9"/>
  <c r="AU391" i="9"/>
  <c r="AU383" i="9"/>
  <c r="AU387" i="9"/>
  <c r="AU392" i="9"/>
  <c r="AU382" i="9"/>
  <c r="AU386" i="9"/>
  <c r="AU400" i="9"/>
  <c r="AU390" i="9"/>
  <c r="AU384" i="9"/>
  <c r="AU394" i="9"/>
  <c r="AU388" i="9"/>
  <c r="Z479" i="9"/>
  <c r="Z475" i="9"/>
  <c r="Z474" i="9"/>
  <c r="Z480" i="9"/>
  <c r="Z478" i="9"/>
  <c r="Z473" i="9"/>
  <c r="Z477" i="9"/>
  <c r="Z472" i="9"/>
  <c r="Z476" i="9"/>
  <c r="BA595" i="9"/>
  <c r="BA593" i="9"/>
  <c r="BA597" i="9"/>
  <c r="BA594" i="9"/>
  <c r="BA596" i="9"/>
  <c r="BA592" i="9"/>
  <c r="Z55" i="9"/>
  <c r="Z51" i="9"/>
  <c r="Z47" i="9"/>
  <c r="Z58" i="9"/>
  <c r="Z57" i="9"/>
  <c r="Z53" i="9"/>
  <c r="Z49" i="9"/>
  <c r="Z45" i="9"/>
  <c r="Z54" i="9"/>
  <c r="Z50" i="9"/>
  <c r="Z46" i="9"/>
  <c r="Z56" i="9"/>
  <c r="Z52" i="9"/>
  <c r="Z48" i="9"/>
  <c r="Z44" i="9"/>
  <c r="O404" i="6"/>
  <c r="AU406" i="9"/>
  <c r="AU402" i="9"/>
  <c r="AU404" i="9"/>
  <c r="AU407" i="9"/>
  <c r="AU405" i="9"/>
  <c r="AU403" i="9"/>
  <c r="Z240" i="9"/>
  <c r="Z242" i="9"/>
  <c r="Z241" i="9"/>
  <c r="Z244" i="9"/>
  <c r="Z243" i="9"/>
  <c r="Z239" i="9"/>
  <c r="AU585" i="9"/>
  <c r="AU587" i="9"/>
  <c r="AU583" i="9"/>
  <c r="AU588" i="9"/>
  <c r="AU584" i="9"/>
  <c r="AU589" i="9"/>
  <c r="AU586" i="9"/>
  <c r="AZ32" i="9"/>
  <c r="AZ33" i="9"/>
  <c r="Y32" i="9"/>
  <c r="AI31" i="9"/>
  <c r="AI33" i="9"/>
  <c r="AI32" i="9"/>
  <c r="AI30" i="9"/>
  <c r="P403" i="6"/>
  <c r="Z232" i="9"/>
  <c r="Z234" i="9"/>
  <c r="Z236" i="9"/>
  <c r="Z235" i="9"/>
  <c r="Z231" i="9"/>
  <c r="Z233" i="9"/>
  <c r="AI498" i="9"/>
  <c r="AI497" i="9"/>
  <c r="AI496" i="9"/>
  <c r="AI495" i="9"/>
  <c r="AI494" i="9"/>
  <c r="AI493" i="9"/>
  <c r="Z404" i="9"/>
  <c r="Z407" i="9"/>
  <c r="Z405" i="9"/>
  <c r="Z402" i="9"/>
  <c r="Z406" i="9"/>
  <c r="Z403" i="9"/>
  <c r="BA479" i="9"/>
  <c r="BA475" i="9"/>
  <c r="BA477" i="9"/>
  <c r="BA472" i="9"/>
  <c r="BA476" i="9"/>
  <c r="BA473" i="9"/>
  <c r="BA480" i="9"/>
  <c r="BA474" i="9"/>
  <c r="BA478" i="9"/>
  <c r="Z323" i="9"/>
  <c r="Z322" i="9"/>
  <c r="Z316" i="9"/>
  <c r="Z317" i="9"/>
  <c r="Z321" i="9"/>
  <c r="BA498" i="9"/>
  <c r="BA497" i="9"/>
  <c r="BA494" i="9"/>
  <c r="BA495" i="9"/>
  <c r="BA493" i="9"/>
  <c r="BA496" i="9"/>
  <c r="BA453" i="9"/>
  <c r="BA448" i="9"/>
  <c r="BA446" i="9"/>
  <c r="BA454" i="9"/>
  <c r="BA449" i="9"/>
  <c r="BA447" i="9"/>
  <c r="BA445" i="9"/>
  <c r="P404" i="6"/>
  <c r="Z391" i="9"/>
  <c r="Z387" i="9"/>
  <c r="Z383" i="9"/>
  <c r="Z392" i="9"/>
  <c r="Z389" i="9"/>
  <c r="Z384" i="9"/>
  <c r="Z400" i="9"/>
  <c r="Z393" i="9"/>
  <c r="Z388" i="9"/>
  <c r="Z385" i="9"/>
  <c r="Z394" i="9"/>
  <c r="Z382" i="9"/>
  <c r="Z395" i="9"/>
  <c r="Z386" i="9"/>
  <c r="Z390" i="9"/>
  <c r="AU350" i="9"/>
  <c r="AU346" i="9"/>
  <c r="AU354" i="9"/>
  <c r="AU352" i="9"/>
  <c r="AU348" i="9"/>
  <c r="AU351" i="9"/>
  <c r="AU347" i="9"/>
  <c r="AU353" i="9"/>
  <c r="AU349" i="9"/>
  <c r="AO498" i="9"/>
  <c r="AO496" i="9"/>
  <c r="AO495" i="9"/>
  <c r="AO494" i="9"/>
  <c r="AO493" i="9"/>
  <c r="AO497" i="9"/>
  <c r="BA55" i="9"/>
  <c r="BA51" i="9"/>
  <c r="BA47" i="9"/>
  <c r="BA58" i="9"/>
  <c r="BA57" i="9"/>
  <c r="BA53" i="9"/>
  <c r="BA49" i="9"/>
  <c r="BA45" i="9"/>
  <c r="BA56" i="9"/>
  <c r="BA52" i="9"/>
  <c r="BA48" i="9"/>
  <c r="BA44" i="9"/>
  <c r="BA54" i="9"/>
  <c r="BA50" i="9"/>
  <c r="BA46" i="9"/>
  <c r="AU446" i="9"/>
  <c r="AU453" i="9"/>
  <c r="AU448" i="9"/>
  <c r="AU454" i="9"/>
  <c r="AU447" i="9"/>
  <c r="AU449" i="9"/>
  <c r="AU445" i="9"/>
  <c r="Z145" i="9"/>
  <c r="Z143" i="9"/>
  <c r="Z137" i="9"/>
  <c r="Z144" i="9"/>
  <c r="Z139" i="9"/>
  <c r="Z140" i="9"/>
  <c r="Z146" i="9"/>
  <c r="Z142" i="9"/>
  <c r="Z147" i="9"/>
  <c r="Z141" i="9"/>
  <c r="Z138" i="9"/>
  <c r="O403" i="6"/>
  <c r="Z595" i="9"/>
  <c r="Z593" i="9"/>
  <c r="Z597" i="9"/>
  <c r="Z596" i="9"/>
  <c r="Z592" i="9"/>
  <c r="Z594" i="9"/>
  <c r="M33" i="9"/>
  <c r="AU186" i="9"/>
  <c r="AU180" i="9"/>
  <c r="AU182" i="9"/>
  <c r="AU178" i="9"/>
  <c r="AU183" i="9"/>
  <c r="AU181" i="9"/>
  <c r="AU179" i="9"/>
  <c r="AU177" i="9"/>
  <c r="AU187" i="9"/>
  <c r="AU185" i="9"/>
  <c r="P402" i="6"/>
  <c r="Z164" i="9"/>
  <c r="Z166" i="9"/>
  <c r="Z165" i="9"/>
  <c r="BA421" i="9"/>
  <c r="BA415" i="9"/>
  <c r="BA411" i="9"/>
  <c r="BA414" i="9"/>
  <c r="BA413" i="9"/>
  <c r="BA412" i="9"/>
  <c r="BA416" i="9"/>
  <c r="Z425" i="9"/>
  <c r="Z463" i="9"/>
  <c r="Z429" i="9"/>
  <c r="Z364" i="9"/>
  <c r="Z468" i="9"/>
  <c r="Z464" i="9"/>
  <c r="Z370" i="9"/>
  <c r="Z369" i="9"/>
  <c r="Z424" i="9"/>
  <c r="Z363" i="9"/>
  <c r="Z368" i="9"/>
  <c r="Z158" i="9"/>
  <c r="Z161" i="9"/>
  <c r="Z160" i="9"/>
  <c r="Z156" i="9"/>
  <c r="Z159" i="9"/>
  <c r="Z157" i="9"/>
  <c r="Z155" i="9"/>
  <c r="Z453" i="9"/>
  <c r="Z448" i="9"/>
  <c r="Z446" i="9"/>
  <c r="Z449" i="9"/>
  <c r="Z445" i="9"/>
  <c r="Z447" i="9"/>
  <c r="Z454" i="9"/>
  <c r="Z498" i="9"/>
  <c r="Z496" i="9"/>
  <c r="Z495" i="9"/>
  <c r="Z494" i="9"/>
  <c r="Z493" i="9"/>
  <c r="Z497" i="9"/>
  <c r="Z528" i="8"/>
  <c r="Z526" i="8"/>
  <c r="Z522" i="8"/>
  <c r="Z518" i="8"/>
  <c r="Z524" i="8"/>
  <c r="Z520" i="8"/>
  <c r="Z525" i="8"/>
  <c r="Z521" i="8"/>
  <c r="Z527" i="8"/>
  <c r="Z523" i="8"/>
  <c r="Z519" i="8"/>
  <c r="Z533" i="8"/>
  <c r="Z400" i="8"/>
  <c r="Z392" i="8"/>
  <c r="Z388" i="8"/>
  <c r="Z384" i="8"/>
  <c r="Z387" i="8"/>
  <c r="Z391" i="8"/>
  <c r="Z383" i="8"/>
  <c r="Z393" i="8"/>
  <c r="Z386" i="8"/>
  <c r="Z382" i="8"/>
  <c r="Z395" i="8"/>
  <c r="Z394" i="8"/>
  <c r="Z385" i="8"/>
  <c r="Z390" i="8"/>
  <c r="Z389" i="8"/>
  <c r="AU394" i="8"/>
  <c r="AU390" i="8"/>
  <c r="AU386" i="8"/>
  <c r="AU382" i="8"/>
  <c r="AU391" i="8"/>
  <c r="AU389" i="8"/>
  <c r="AU383" i="8"/>
  <c r="AU395" i="8"/>
  <c r="AU393" i="8"/>
  <c r="AU387" i="8"/>
  <c r="AU385" i="8"/>
  <c r="AU400" i="8"/>
  <c r="AU392" i="8"/>
  <c r="AU388" i="8"/>
  <c r="AU384" i="8"/>
  <c r="Z497" i="8"/>
  <c r="Z496" i="8"/>
  <c r="Z495" i="8"/>
  <c r="Z494" i="8"/>
  <c r="Z493" i="8"/>
  <c r="Z498" i="8"/>
  <c r="Z580" i="8"/>
  <c r="Z579" i="8"/>
  <c r="Z577" i="8"/>
  <c r="Z576" i="8"/>
  <c r="Z578" i="8"/>
  <c r="Z587" i="8"/>
  <c r="Z585" i="8"/>
  <c r="Z583" i="8"/>
  <c r="Z588" i="8"/>
  <c r="Z586" i="8"/>
  <c r="Z589" i="8"/>
  <c r="Z584" i="8"/>
  <c r="BA170" i="8"/>
  <c r="BA174" i="8"/>
  <c r="BA172" i="8"/>
  <c r="BA173" i="8"/>
  <c r="BA171" i="8"/>
  <c r="BA169" i="8"/>
  <c r="Z236" i="8"/>
  <c r="Z235" i="8"/>
  <c r="Z231" i="8"/>
  <c r="Z233" i="8"/>
  <c r="Z232" i="8"/>
  <c r="Z234" i="8"/>
  <c r="Z416" i="8"/>
  <c r="Z414" i="8"/>
  <c r="Z412" i="8"/>
  <c r="Z413" i="8"/>
  <c r="Z415" i="8"/>
  <c r="Z411" i="8"/>
  <c r="Z421" i="8"/>
  <c r="Z504" i="8"/>
  <c r="Z508" i="8"/>
  <c r="Z506" i="8"/>
  <c r="Z505" i="8"/>
  <c r="Z507" i="8"/>
  <c r="Z445" i="8"/>
  <c r="Z454" i="8"/>
  <c r="Z449" i="8"/>
  <c r="Z447" i="8"/>
  <c r="Z448" i="8"/>
  <c r="Z446" i="8"/>
  <c r="Z453" i="8"/>
  <c r="AU616" i="8"/>
  <c r="AU612" i="8"/>
  <c r="AU618" i="8"/>
  <c r="AU614" i="8"/>
  <c r="AU619" i="8"/>
  <c r="AU615" i="8"/>
  <c r="AU611" i="8"/>
  <c r="AU620" i="8"/>
  <c r="AU617" i="8"/>
  <c r="AU613" i="8"/>
  <c r="AZ32" i="8"/>
  <c r="AZ33" i="8"/>
  <c r="Y32" i="8"/>
  <c r="BA55" i="8"/>
  <c r="BA51" i="8"/>
  <c r="BA47" i="8"/>
  <c r="BA58" i="8"/>
  <c r="BA57" i="8"/>
  <c r="BA53" i="8"/>
  <c r="BA49" i="8"/>
  <c r="BA45" i="8"/>
  <c r="BA56" i="8"/>
  <c r="BA52" i="8"/>
  <c r="BA48" i="8"/>
  <c r="BA44" i="8"/>
  <c r="BA46" i="8"/>
  <c r="BA54" i="8"/>
  <c r="BA50" i="8"/>
  <c r="Z187" i="8"/>
  <c r="Z182" i="8"/>
  <c r="Z178" i="8"/>
  <c r="Z180" i="8"/>
  <c r="Z185" i="8"/>
  <c r="Z186" i="8"/>
  <c r="Z183" i="8"/>
  <c r="Z181" i="8"/>
  <c r="Z179" i="8"/>
  <c r="Z177" i="8"/>
  <c r="Z23" i="8"/>
  <c r="Z25" i="8"/>
  <c r="Z24" i="8"/>
  <c r="Z26" i="8"/>
  <c r="Y42" i="8"/>
  <c r="W42" i="8"/>
  <c r="Z40" i="8"/>
  <c r="Z41" i="8"/>
  <c r="X42" i="8"/>
  <c r="Z39" i="8"/>
  <c r="Z38" i="8"/>
  <c r="Z145" i="8"/>
  <c r="Z141" i="8"/>
  <c r="Z137" i="8"/>
  <c r="Z143" i="8"/>
  <c r="Z139" i="8"/>
  <c r="Z140" i="8"/>
  <c r="Z142" i="8"/>
  <c r="Z147" i="8"/>
  <c r="Z146" i="8"/>
  <c r="Z138" i="8"/>
  <c r="Z144" i="8"/>
  <c r="Z158" i="8"/>
  <c r="Z161" i="8"/>
  <c r="Z160" i="8"/>
  <c r="Z156" i="8"/>
  <c r="Z157" i="8"/>
  <c r="Z155" i="8"/>
  <c r="Z159" i="8"/>
  <c r="Z595" i="8"/>
  <c r="Z593" i="8"/>
  <c r="Z597" i="8"/>
  <c r="Z596" i="8"/>
  <c r="Z592" i="8"/>
  <c r="Z594" i="8"/>
  <c r="AU593" i="8"/>
  <c r="AU595" i="8"/>
  <c r="AU592" i="8"/>
  <c r="AU596" i="8"/>
  <c r="AU594" i="8"/>
  <c r="AU597" i="8"/>
  <c r="Z351" i="8"/>
  <c r="Z347" i="8"/>
  <c r="Z353" i="8"/>
  <c r="Z352" i="8"/>
  <c r="Z349" i="8"/>
  <c r="Z348" i="8"/>
  <c r="Z354" i="8"/>
  <c r="Z350" i="8"/>
  <c r="Z346" i="8"/>
  <c r="AU33" i="8"/>
  <c r="AU31" i="8"/>
  <c r="AU30" i="8"/>
  <c r="AU32" i="8"/>
  <c r="Z194" i="8"/>
  <c r="Z197" i="8"/>
  <c r="Z195" i="8"/>
  <c r="AU241" i="8"/>
  <c r="AU244" i="8"/>
  <c r="AU243" i="8"/>
  <c r="AU239" i="8"/>
  <c r="AU242" i="8"/>
  <c r="AU240" i="8"/>
  <c r="Z55" i="8"/>
  <c r="Z51" i="8"/>
  <c r="Z47" i="8"/>
  <c r="Z58" i="8"/>
  <c r="Z57" i="8"/>
  <c r="Z53" i="8"/>
  <c r="Z49" i="8"/>
  <c r="Z45" i="8"/>
  <c r="Z54" i="8"/>
  <c r="Z50" i="8"/>
  <c r="Z46" i="8"/>
  <c r="Z48" i="8"/>
  <c r="Z56" i="8"/>
  <c r="Z52" i="8"/>
  <c r="Z44" i="8"/>
  <c r="Z438" i="8"/>
  <c r="Z434" i="8"/>
  <c r="Z440" i="8"/>
  <c r="Z436" i="8"/>
  <c r="Z441" i="8"/>
  <c r="Z439" i="8"/>
  <c r="Z437" i="8"/>
  <c r="Z435" i="8"/>
  <c r="Z433" i="8"/>
  <c r="BA341" i="8"/>
  <c r="BA337" i="8"/>
  <c r="BA343" i="8"/>
  <c r="BA342" i="8"/>
  <c r="BA336" i="8"/>
  <c r="AU180" i="8"/>
  <c r="AU186" i="8"/>
  <c r="AU182" i="8"/>
  <c r="AU178" i="8"/>
  <c r="AU187" i="8"/>
  <c r="AU183" i="8"/>
  <c r="AU181" i="8"/>
  <c r="AU179" i="8"/>
  <c r="AU177" i="8"/>
  <c r="AU185" i="8"/>
  <c r="AU524" i="8"/>
  <c r="AU520" i="8"/>
  <c r="AU528" i="8"/>
  <c r="AU526" i="8"/>
  <c r="AU522" i="8"/>
  <c r="AU518" i="8"/>
  <c r="AU533" i="8"/>
  <c r="AU525" i="8"/>
  <c r="AU523" i="8"/>
  <c r="AU521" i="8"/>
  <c r="AU519" i="8"/>
  <c r="AI496" i="8"/>
  <c r="AI494" i="8"/>
  <c r="AI498" i="8"/>
  <c r="AI493" i="8"/>
  <c r="AI497" i="8"/>
  <c r="AI495" i="8"/>
  <c r="Z341" i="8"/>
  <c r="Z337" i="8"/>
  <c r="Z343" i="8"/>
  <c r="Z342" i="8"/>
  <c r="Z336" i="8"/>
  <c r="BA445" i="8"/>
  <c r="BA454" i="8"/>
  <c r="BA449" i="8"/>
  <c r="BA447" i="8"/>
  <c r="BA448" i="8"/>
  <c r="BA446" i="8"/>
  <c r="BA453" i="8"/>
  <c r="AU40" i="8"/>
  <c r="AU38" i="8"/>
  <c r="AU39" i="8"/>
  <c r="AU41" i="8"/>
  <c r="Y33" i="8"/>
  <c r="Z73" i="8"/>
  <c r="Z71" i="8"/>
  <c r="Z69" i="8"/>
  <c r="Z72" i="8"/>
  <c r="Z68" i="8"/>
  <c r="Z70" i="8"/>
  <c r="BA460" i="8"/>
  <c r="BA458" i="8"/>
  <c r="BA459" i="8"/>
  <c r="BA457" i="8"/>
  <c r="BA73" i="8"/>
  <c r="BA68" i="8"/>
  <c r="AL16" i="7"/>
  <c r="AA402" i="6"/>
  <c r="W402" i="6"/>
  <c r="W403" i="6"/>
  <c r="W404" i="6"/>
  <c r="X404" i="6"/>
  <c r="X405" i="6" s="1"/>
  <c r="X403" i="6"/>
  <c r="T404" i="6"/>
  <c r="Y33" i="9"/>
  <c r="Y33" i="10"/>
  <c r="L404" i="6"/>
  <c r="O402" i="6"/>
  <c r="S403" i="6"/>
  <c r="S182" i="23" s="1"/>
  <c r="AA404" i="6"/>
  <c r="S404" i="6"/>
  <c r="S183" i="23" s="1"/>
  <c r="AT33" i="13"/>
  <c r="AU32" i="13"/>
  <c r="Y33" i="13"/>
  <c r="Z31" i="13"/>
  <c r="BA31" i="13"/>
  <c r="BA33" i="13"/>
  <c r="BA32" i="13"/>
  <c r="BA30" i="13"/>
  <c r="Z33" i="13"/>
  <c r="Z33" i="12"/>
  <c r="Z32" i="12"/>
  <c r="Z30" i="12"/>
  <c r="Z31" i="12"/>
  <c r="AU31" i="12"/>
  <c r="AU33" i="12"/>
  <c r="AU32" i="12"/>
  <c r="AU30" i="12"/>
  <c r="AU31" i="11"/>
  <c r="AU30" i="11"/>
  <c r="AU33" i="11"/>
  <c r="AU32" i="11"/>
  <c r="Z32" i="11"/>
  <c r="Z31" i="11"/>
  <c r="Z30" i="11"/>
  <c r="Z33" i="11"/>
  <c r="BA31" i="11"/>
  <c r="BA30" i="11"/>
  <c r="BA33" i="11"/>
  <c r="BA32" i="11"/>
  <c r="AU33" i="10"/>
  <c r="AU32" i="10"/>
  <c r="AU30" i="10"/>
  <c r="AU31" i="10"/>
  <c r="Z31" i="10"/>
  <c r="Z30" i="10"/>
  <c r="Z32" i="10"/>
  <c r="Z33" i="10"/>
  <c r="BA31" i="10"/>
  <c r="BA33" i="10"/>
  <c r="BA32" i="10"/>
  <c r="BA30" i="10"/>
  <c r="BA31" i="9"/>
  <c r="BA30" i="9"/>
  <c r="BA33" i="9"/>
  <c r="BA32" i="9"/>
  <c r="Z32" i="9"/>
  <c r="Z31" i="9"/>
  <c r="Z30" i="9"/>
  <c r="Z33" i="9"/>
  <c r="AU33" i="9"/>
  <c r="AU32" i="9"/>
  <c r="AU31" i="9"/>
  <c r="AU30" i="9"/>
  <c r="Z32" i="8"/>
  <c r="Z31" i="8"/>
  <c r="Z30" i="8"/>
  <c r="Z33" i="8"/>
  <c r="BA30" i="8"/>
  <c r="BA33" i="8"/>
  <c r="BA31" i="8"/>
  <c r="BA32" i="8"/>
  <c r="AB402" i="6"/>
  <c r="AB404" i="6"/>
  <c r="AB403" i="6"/>
  <c r="T402" i="6"/>
  <c r="T403" i="6"/>
  <c r="L402" i="6"/>
  <c r="AU31" i="13"/>
  <c r="AU33" i="13"/>
  <c r="Z30" i="13"/>
  <c r="AU30" i="13"/>
  <c r="Z32" i="13"/>
  <c r="O493" i="2"/>
  <c r="O494" i="2"/>
  <c r="O495" i="2"/>
  <c r="O496" i="2"/>
  <c r="O497" i="2"/>
  <c r="N494" i="2"/>
  <c r="N495" i="2"/>
  <c r="N496" i="2"/>
  <c r="N497" i="2"/>
  <c r="P497" i="2"/>
  <c r="N493" i="2"/>
  <c r="U490" i="2"/>
  <c r="T490" i="2"/>
  <c r="R490" i="2"/>
  <c r="Q490" i="2"/>
  <c r="N490" i="2"/>
  <c r="O490" i="2"/>
  <c r="AA318" i="2"/>
  <c r="P493" i="2"/>
  <c r="O499" i="2"/>
  <c r="X490" i="2"/>
  <c r="W490" i="2"/>
  <c r="S490" i="2"/>
  <c r="N500" i="2"/>
  <c r="P496" i="2"/>
  <c r="P495" i="2"/>
  <c r="N499" i="2"/>
  <c r="P494" i="2"/>
  <c r="O500" i="2"/>
  <c r="V490" i="2"/>
  <c r="P490" i="2"/>
  <c r="Y490" i="2"/>
  <c r="H353" i="6"/>
  <c r="G353" i="6"/>
  <c r="I353" i="6" s="1"/>
  <c r="P499" i="2"/>
  <c r="P500" i="2"/>
  <c r="V120" i="2"/>
  <c r="V119" i="2"/>
  <c r="S120" i="2"/>
  <c r="S119" i="2"/>
  <c r="P120" i="2"/>
  <c r="P119" i="2"/>
  <c r="AG12" i="6"/>
  <c r="AG11" i="6"/>
  <c r="AG13" i="6" s="1"/>
  <c r="AC12" i="6"/>
  <c r="AC11" i="6"/>
  <c r="AC15" i="6" s="1"/>
  <c r="Y12" i="6"/>
  <c r="Y11" i="6"/>
  <c r="Y15" i="6" s="1"/>
  <c r="U12" i="6"/>
  <c r="U11" i="6"/>
  <c r="Q12" i="6"/>
  <c r="Q11" i="6"/>
  <c r="M12" i="6"/>
  <c r="M11" i="6"/>
  <c r="M15" i="6" s="1"/>
  <c r="I12" i="6"/>
  <c r="I11" i="6"/>
  <c r="I15" i="6" s="1"/>
  <c r="L17" i="5"/>
  <c r="L31" i="5"/>
  <c r="L45" i="5"/>
  <c r="K45" i="5"/>
  <c r="K31" i="5"/>
  <c r="K17" i="5"/>
  <c r="I85" i="6"/>
  <c r="AG16" i="6"/>
  <c r="AJ16" i="6"/>
  <c r="AI16" i="6"/>
  <c r="P121" i="2"/>
  <c r="P122" i="2"/>
  <c r="P117" i="2"/>
  <c r="P116" i="2"/>
  <c r="V121" i="2"/>
  <c r="V122" i="2"/>
  <c r="S116" i="2"/>
  <c r="V117" i="2"/>
  <c r="V116" i="2"/>
  <c r="S121" i="2"/>
  <c r="S122" i="2"/>
  <c r="S117" i="2"/>
  <c r="I124" i="6"/>
  <c r="Y125" i="6"/>
  <c r="Q118" i="6"/>
  <c r="U122" i="6"/>
  <c r="AC125" i="6"/>
  <c r="AG123" i="6"/>
  <c r="I122" i="6"/>
  <c r="AC124" i="6"/>
  <c r="AG124" i="6"/>
  <c r="AI126" i="6"/>
  <c r="AJ120" i="6"/>
  <c r="M126" i="6"/>
  <c r="Y127" i="6"/>
  <c r="AI123" i="6"/>
  <c r="AI119" i="6"/>
  <c r="Y122" i="6"/>
  <c r="AG121" i="6"/>
  <c r="AI127" i="6"/>
  <c r="AI124" i="6"/>
  <c r="M122" i="6"/>
  <c r="U125" i="6"/>
  <c r="AG120" i="6"/>
  <c r="AG125" i="6"/>
  <c r="AJ119" i="6"/>
  <c r="AJ127" i="6"/>
  <c r="Q125" i="6"/>
  <c r="Y123" i="6"/>
  <c r="AG119" i="6"/>
  <c r="I120" i="6"/>
  <c r="U118" i="6"/>
  <c r="I126" i="6"/>
  <c r="AJ125" i="6"/>
  <c r="AI122" i="6"/>
  <c r="AG127" i="6"/>
  <c r="Y120" i="2"/>
  <c r="Y119" i="2"/>
  <c r="AH17" i="6"/>
  <c r="AH16" i="6"/>
  <c r="Q16" i="6"/>
  <c r="AC16" i="6"/>
  <c r="M16" i="6"/>
  <c r="U16" i="6"/>
  <c r="I16" i="6"/>
  <c r="Y16" i="6"/>
  <c r="I118" i="6"/>
  <c r="AD16" i="6"/>
  <c r="N16" i="6"/>
  <c r="R16" i="6"/>
  <c r="Y117" i="2"/>
  <c r="Y121" i="2"/>
  <c r="Y116" i="2"/>
  <c r="R17" i="6"/>
  <c r="N17" i="6"/>
  <c r="AD17" i="6"/>
  <c r="Z16" i="6"/>
  <c r="Z17" i="6"/>
  <c r="AK16" i="6"/>
  <c r="J16" i="6"/>
  <c r="V16" i="6"/>
  <c r="V17" i="6"/>
  <c r="I102" i="6"/>
  <c r="I101" i="6"/>
  <c r="AL16" i="6"/>
  <c r="T9" i="3"/>
  <c r="T9" i="2"/>
  <c r="B15" i="5"/>
  <c r="B14" i="5"/>
  <c r="L3" i="11" s="1"/>
  <c r="B13" i="5"/>
  <c r="L3" i="10" s="1"/>
  <c r="B12" i="5"/>
  <c r="L3" i="15" s="1"/>
  <c r="B11" i="5"/>
  <c r="L3" i="8" s="1"/>
  <c r="B10" i="5"/>
  <c r="B17" i="5" s="1"/>
  <c r="B48" i="5" s="1"/>
  <c r="U8" i="5"/>
  <c r="A3" i="2" s="1"/>
  <c r="U7" i="5"/>
  <c r="A3" i="23" s="1"/>
  <c r="A2" i="22"/>
  <c r="U22" i="5"/>
  <c r="U21" i="5"/>
  <c r="U36" i="5"/>
  <c r="U35" i="5"/>
  <c r="F43" i="5"/>
  <c r="C43" i="5"/>
  <c r="F42" i="5"/>
  <c r="C42" i="5"/>
  <c r="F41" i="5"/>
  <c r="C41" i="5"/>
  <c r="F40" i="5"/>
  <c r="C40" i="5"/>
  <c r="F39" i="5"/>
  <c r="C39" i="5"/>
  <c r="F38" i="5"/>
  <c r="C38" i="5"/>
  <c r="F30" i="5"/>
  <c r="C30" i="5"/>
  <c r="C29" i="5"/>
  <c r="F28" i="5"/>
  <c r="C28" i="5"/>
  <c r="F27" i="5"/>
  <c r="C27" i="5"/>
  <c r="F26" i="5"/>
  <c r="C26" i="5"/>
  <c r="F25" i="5"/>
  <c r="C25" i="5"/>
  <c r="F24" i="5"/>
  <c r="C24" i="5"/>
  <c r="C15" i="5"/>
  <c r="N9" i="18" s="1"/>
  <c r="I14" i="5"/>
  <c r="T9" i="11" s="1"/>
  <c r="F14" i="5"/>
  <c r="Q9" i="17" s="1"/>
  <c r="C14" i="5"/>
  <c r="F13" i="5"/>
  <c r="Q9" i="16" s="1"/>
  <c r="C13" i="5"/>
  <c r="N9" i="16" s="1"/>
  <c r="C12" i="5"/>
  <c r="N9" i="9" s="1"/>
  <c r="F11" i="5"/>
  <c r="C11" i="5"/>
  <c r="N9" i="14" s="1"/>
  <c r="Q9" i="2"/>
  <c r="N9" i="3"/>
  <c r="B45" i="5"/>
  <c r="C45" i="5" s="1"/>
  <c r="B31" i="5"/>
  <c r="C31" i="5"/>
  <c r="B53" i="4"/>
  <c r="C53" i="4"/>
  <c r="B20" i="4"/>
  <c r="C20" i="4"/>
  <c r="B37" i="4"/>
  <c r="C37" i="4"/>
  <c r="D37" i="4"/>
  <c r="D53" i="4"/>
  <c r="D20" i="4"/>
  <c r="Y325" i="3"/>
  <c r="Y324" i="3"/>
  <c r="Y323" i="3"/>
  <c r="V326" i="3"/>
  <c r="S326" i="3"/>
  <c r="P326" i="3"/>
  <c r="X317" i="3"/>
  <c r="W317" i="3"/>
  <c r="X316" i="3"/>
  <c r="W316" i="3"/>
  <c r="X315" i="3"/>
  <c r="W315" i="3"/>
  <c r="V317" i="3"/>
  <c r="V316" i="3"/>
  <c r="V315" i="3"/>
  <c r="S317" i="3"/>
  <c r="S316" i="3"/>
  <c r="S315" i="3"/>
  <c r="P317" i="3"/>
  <c r="P316" i="3"/>
  <c r="P315" i="3"/>
  <c r="O318" i="3"/>
  <c r="Q318" i="3"/>
  <c r="R318" i="3"/>
  <c r="T318" i="3"/>
  <c r="U318" i="3"/>
  <c r="N318" i="3"/>
  <c r="AZ303" i="3"/>
  <c r="AZ302" i="3"/>
  <c r="AZ301" i="3"/>
  <c r="AZ300" i="3"/>
  <c r="AZ299" i="3"/>
  <c r="AZ298" i="3"/>
  <c r="X297" i="3"/>
  <c r="W297" i="3"/>
  <c r="V297" i="3"/>
  <c r="S297" i="3"/>
  <c r="P297" i="3"/>
  <c r="X293" i="3"/>
  <c r="W293" i="3"/>
  <c r="X292" i="3"/>
  <c r="W292" i="3"/>
  <c r="X291" i="3"/>
  <c r="W291" i="3"/>
  <c r="X290" i="3"/>
  <c r="W290" i="3"/>
  <c r="V293" i="3"/>
  <c r="V292" i="3"/>
  <c r="V291" i="3"/>
  <c r="V290" i="3"/>
  <c r="S293" i="3"/>
  <c r="S292" i="3"/>
  <c r="S291" i="3"/>
  <c r="S290" i="3"/>
  <c r="P293" i="3"/>
  <c r="P292" i="3"/>
  <c r="P291" i="3"/>
  <c r="P290" i="3"/>
  <c r="O294" i="3"/>
  <c r="Q294" i="3"/>
  <c r="R294" i="3"/>
  <c r="T294" i="3"/>
  <c r="U294" i="3"/>
  <c r="N294" i="3"/>
  <c r="X286" i="3"/>
  <c r="W286" i="3"/>
  <c r="X285" i="3"/>
  <c r="W285" i="3"/>
  <c r="X284" i="3"/>
  <c r="W284" i="3"/>
  <c r="X283" i="3"/>
  <c r="W283" i="3"/>
  <c r="V286" i="3"/>
  <c r="V285" i="3"/>
  <c r="V284" i="3"/>
  <c r="V283" i="3"/>
  <c r="S286" i="3"/>
  <c r="S285" i="3"/>
  <c r="S284" i="3"/>
  <c r="S283" i="3"/>
  <c r="P286" i="3"/>
  <c r="P285" i="3"/>
  <c r="P284" i="3"/>
  <c r="P283" i="3"/>
  <c r="O287" i="3"/>
  <c r="Q287" i="3"/>
  <c r="R287" i="3"/>
  <c r="T287" i="3"/>
  <c r="U287" i="3"/>
  <c r="N287" i="3"/>
  <c r="V249" i="3"/>
  <c r="S249" i="3"/>
  <c r="P249" i="3"/>
  <c r="Y248" i="3"/>
  <c r="Y247" i="3"/>
  <c r="Y246" i="3"/>
  <c r="X242" i="3"/>
  <c r="W242" i="3"/>
  <c r="X241" i="3"/>
  <c r="W241" i="3"/>
  <c r="X240" i="3"/>
  <c r="W240" i="3"/>
  <c r="X239" i="3"/>
  <c r="W239" i="3"/>
  <c r="X238" i="3"/>
  <c r="W238" i="3"/>
  <c r="X237" i="3"/>
  <c r="W237" i="3"/>
  <c r="X236" i="3"/>
  <c r="W236" i="3"/>
  <c r="X235" i="3"/>
  <c r="W235" i="3"/>
  <c r="V242" i="3"/>
  <c r="V241" i="3"/>
  <c r="V240" i="3"/>
  <c r="V239" i="3"/>
  <c r="V238" i="3"/>
  <c r="V237" i="3"/>
  <c r="V236" i="3"/>
  <c r="V235" i="3"/>
  <c r="S242" i="3"/>
  <c r="S241" i="3"/>
  <c r="S240" i="3"/>
  <c r="S239" i="3"/>
  <c r="S238" i="3"/>
  <c r="S237" i="3"/>
  <c r="S236" i="3"/>
  <c r="S235" i="3"/>
  <c r="O243" i="3"/>
  <c r="O244" i="3"/>
  <c r="Q243" i="3"/>
  <c r="Q244" i="3"/>
  <c r="R243" i="3"/>
  <c r="R244" i="3"/>
  <c r="T243" i="3"/>
  <c r="T244" i="3"/>
  <c r="U243" i="3"/>
  <c r="U244" i="3"/>
  <c r="N243" i="3"/>
  <c r="N244" i="3"/>
  <c r="P242" i="3"/>
  <c r="P241" i="3"/>
  <c r="P240" i="3"/>
  <c r="P239" i="3"/>
  <c r="P238" i="3"/>
  <c r="P237" i="3"/>
  <c r="P236" i="3"/>
  <c r="P235" i="3"/>
  <c r="BA223" i="3"/>
  <c r="AU223" i="3"/>
  <c r="BA222" i="3"/>
  <c r="AU222" i="3"/>
  <c r="BA218" i="3"/>
  <c r="AU218" i="3"/>
  <c r="BA217" i="3"/>
  <c r="AU217" i="3"/>
  <c r="AC221" i="3"/>
  <c r="X221" i="3"/>
  <c r="AY221" i="3"/>
  <c r="W221" i="3"/>
  <c r="AS221" i="3"/>
  <c r="AB220" i="3"/>
  <c r="X220" i="3"/>
  <c r="AX220" i="3"/>
  <c r="W220" i="3"/>
  <c r="AR220" i="3"/>
  <c r="AA219" i="3"/>
  <c r="X219" i="3"/>
  <c r="AW219" i="3"/>
  <c r="W219" i="3"/>
  <c r="AQ219" i="3"/>
  <c r="X222" i="3"/>
  <c r="W222" i="3"/>
  <c r="X218" i="3"/>
  <c r="W218" i="3"/>
  <c r="X217" i="3"/>
  <c r="W217" i="3"/>
  <c r="V222" i="3"/>
  <c r="V218" i="3"/>
  <c r="V217" i="3"/>
  <c r="S222" i="3"/>
  <c r="S218" i="3"/>
  <c r="S217" i="3"/>
  <c r="O223" i="3"/>
  <c r="Q223" i="3"/>
  <c r="R223" i="3"/>
  <c r="T223" i="3"/>
  <c r="U223" i="3"/>
  <c r="N223" i="3"/>
  <c r="P222" i="3"/>
  <c r="P218" i="3"/>
  <c r="P217" i="3"/>
  <c r="X213" i="3"/>
  <c r="W213" i="3"/>
  <c r="X212" i="3"/>
  <c r="W212" i="3"/>
  <c r="X211" i="3"/>
  <c r="W211" i="3"/>
  <c r="V213" i="3"/>
  <c r="V212" i="3"/>
  <c r="V211" i="3"/>
  <c r="S213" i="3"/>
  <c r="S212" i="3"/>
  <c r="S211" i="3"/>
  <c r="P213" i="3"/>
  <c r="P212" i="3"/>
  <c r="P211" i="3"/>
  <c r="O214" i="3"/>
  <c r="Q214" i="3"/>
  <c r="R214" i="3"/>
  <c r="T214" i="3"/>
  <c r="U214" i="3"/>
  <c r="N214" i="3"/>
  <c r="W200" i="3"/>
  <c r="X200" i="3"/>
  <c r="W201" i="3"/>
  <c r="X201" i="3"/>
  <c r="W202" i="3"/>
  <c r="X202" i="3"/>
  <c r="W207" i="3"/>
  <c r="X207" i="3"/>
  <c r="X199" i="3"/>
  <c r="W199" i="3"/>
  <c r="V207" i="3"/>
  <c r="V202" i="3"/>
  <c r="V201" i="3"/>
  <c r="V200" i="3"/>
  <c r="V199" i="3"/>
  <c r="S207" i="3"/>
  <c r="S202" i="3"/>
  <c r="S201" i="3"/>
  <c r="S200" i="3"/>
  <c r="S199" i="3"/>
  <c r="P207" i="3"/>
  <c r="P202" i="3"/>
  <c r="P201" i="3"/>
  <c r="P200" i="3"/>
  <c r="P199" i="3"/>
  <c r="O198" i="3"/>
  <c r="Q198" i="3"/>
  <c r="Q233" i="3"/>
  <c r="R198" i="3"/>
  <c r="R233" i="3"/>
  <c r="T198" i="3"/>
  <c r="T233" i="3"/>
  <c r="U198" i="3"/>
  <c r="U233" i="3"/>
  <c r="N198" i="3"/>
  <c r="X195" i="3"/>
  <c r="W195" i="3"/>
  <c r="X194" i="3"/>
  <c r="W194" i="3"/>
  <c r="X193" i="3"/>
  <c r="W193" i="3"/>
  <c r="X192" i="3"/>
  <c r="W192" i="3"/>
  <c r="X191" i="3"/>
  <c r="W191" i="3"/>
  <c r="V195" i="3"/>
  <c r="V194" i="3"/>
  <c r="V193" i="3"/>
  <c r="V192" i="3"/>
  <c r="V191" i="3"/>
  <c r="S195" i="3"/>
  <c r="S194" i="3"/>
  <c r="S193" i="3"/>
  <c r="S192" i="3"/>
  <c r="S191" i="3"/>
  <c r="P195" i="3"/>
  <c r="P194" i="3"/>
  <c r="P193" i="3"/>
  <c r="P192" i="3"/>
  <c r="P191" i="3"/>
  <c r="O196" i="3"/>
  <c r="Q196" i="3"/>
  <c r="R196" i="3"/>
  <c r="T196" i="3"/>
  <c r="U196" i="3"/>
  <c r="N196" i="3"/>
  <c r="X180" i="3"/>
  <c r="H157" i="7" s="1"/>
  <c r="W180" i="3"/>
  <c r="X179" i="3"/>
  <c r="W179" i="3"/>
  <c r="AT179" i="3" s="1"/>
  <c r="X178" i="3"/>
  <c r="Y178" i="3" s="1"/>
  <c r="AZ178" i="3" s="1"/>
  <c r="W178" i="3"/>
  <c r="X177" i="3"/>
  <c r="H154" i="7" s="1"/>
  <c r="W177" i="3"/>
  <c r="G154" i="7" s="1"/>
  <c r="X176" i="3"/>
  <c r="H153" i="7" s="1"/>
  <c r="W176" i="3"/>
  <c r="X175" i="3"/>
  <c r="AZ175" i="3" s="1"/>
  <c r="W175" i="3"/>
  <c r="Y175" i="3" s="1"/>
  <c r="A3" i="22"/>
  <c r="A2" i="20"/>
  <c r="A2" i="19"/>
  <c r="A2" i="17"/>
  <c r="A2" i="16"/>
  <c r="A2" i="8"/>
  <c r="A2" i="12"/>
  <c r="A2" i="13"/>
  <c r="A3" i="7"/>
  <c r="A2" i="3"/>
  <c r="A3" i="21"/>
  <c r="A3" i="20"/>
  <c r="A3" i="14"/>
  <c r="A3" i="17"/>
  <c r="A3" i="19"/>
  <c r="A3" i="16"/>
  <c r="A3" i="12"/>
  <c r="A3" i="10"/>
  <c r="A3" i="13"/>
  <c r="A3" i="8"/>
  <c r="A3" i="11"/>
  <c r="G3" i="7"/>
  <c r="AI8" i="7" s="1"/>
  <c r="G3" i="6"/>
  <c r="AI8" i="6" s="1"/>
  <c r="Q9" i="14"/>
  <c r="Q9" i="8"/>
  <c r="Q9" i="18"/>
  <c r="Q9" i="12"/>
  <c r="L3" i="9"/>
  <c r="O8" i="23" s="1"/>
  <c r="L3" i="16"/>
  <c r="I17" i="5"/>
  <c r="T9" i="17"/>
  <c r="N9" i="17"/>
  <c r="N9" i="11"/>
  <c r="N9" i="8"/>
  <c r="N9" i="12"/>
  <c r="L3" i="14"/>
  <c r="L3" i="18"/>
  <c r="L3" i="12"/>
  <c r="AA8" i="23" s="1"/>
  <c r="AZ297" i="3"/>
  <c r="H232" i="7"/>
  <c r="AT316" i="3"/>
  <c r="G246" i="7"/>
  <c r="I257" i="7"/>
  <c r="AZ316" i="3"/>
  <c r="H246" i="7"/>
  <c r="AT315" i="3"/>
  <c r="G245" i="7"/>
  <c r="AT317" i="3"/>
  <c r="G247" i="7"/>
  <c r="I255" i="7"/>
  <c r="G232" i="7"/>
  <c r="AZ315" i="3"/>
  <c r="H245" i="7"/>
  <c r="AZ317" i="3"/>
  <c r="H247" i="7"/>
  <c r="I256" i="7"/>
  <c r="AT240" i="3"/>
  <c r="G208" i="7"/>
  <c r="G223" i="7"/>
  <c r="AT292" i="3"/>
  <c r="G228" i="7"/>
  <c r="AZ240" i="3"/>
  <c r="H208" i="7"/>
  <c r="H221" i="7"/>
  <c r="AZ292" i="3"/>
  <c r="H228" i="7"/>
  <c r="AT297" i="3"/>
  <c r="AT301" i="3"/>
  <c r="AT235" i="3"/>
  <c r="G203" i="7"/>
  <c r="G205" i="7"/>
  <c r="AT239" i="3"/>
  <c r="G207" i="7"/>
  <c r="G209" i="7"/>
  <c r="AT283" i="3"/>
  <c r="G220" i="7"/>
  <c r="G222" i="7"/>
  <c r="G227" i="7"/>
  <c r="AT293" i="3"/>
  <c r="G229" i="7"/>
  <c r="AT236" i="3"/>
  <c r="G204" i="7"/>
  <c r="G206" i="7"/>
  <c r="G210" i="7"/>
  <c r="AT284" i="3"/>
  <c r="G221" i="7"/>
  <c r="AT290" i="3"/>
  <c r="G226" i="7"/>
  <c r="AZ236" i="3"/>
  <c r="H204" i="7"/>
  <c r="AZ238" i="3"/>
  <c r="H206" i="7"/>
  <c r="AZ242" i="3"/>
  <c r="H210" i="7"/>
  <c r="AZ286" i="3"/>
  <c r="H223" i="7"/>
  <c r="AZ290" i="3"/>
  <c r="H226" i="7"/>
  <c r="AT299" i="3"/>
  <c r="AT303" i="3"/>
  <c r="H203" i="7"/>
  <c r="AZ237" i="3"/>
  <c r="H205" i="7"/>
  <c r="H207" i="7"/>
  <c r="AZ241" i="3"/>
  <c r="H209" i="7"/>
  <c r="AZ283" i="3"/>
  <c r="H220" i="7"/>
  <c r="AZ285" i="3"/>
  <c r="H222" i="7"/>
  <c r="AZ291" i="3"/>
  <c r="H227" i="7"/>
  <c r="AZ293" i="3"/>
  <c r="H229" i="7"/>
  <c r="H174" i="7"/>
  <c r="I190" i="7"/>
  <c r="I189" i="7"/>
  <c r="Y284" i="3"/>
  <c r="N224" i="3"/>
  <c r="N233" i="3"/>
  <c r="G190" i="7"/>
  <c r="H191" i="7"/>
  <c r="BI191" i="7" s="1"/>
  <c r="H189" i="7"/>
  <c r="BI189" i="7" s="1"/>
  <c r="G191" i="7"/>
  <c r="BA191" i="7" s="1"/>
  <c r="O215" i="3"/>
  <c r="O233" i="3"/>
  <c r="AT199" i="3"/>
  <c r="G174" i="7"/>
  <c r="G189" i="7"/>
  <c r="BA189" i="7" s="1"/>
  <c r="H190" i="7"/>
  <c r="I191" i="7"/>
  <c r="H155" i="7"/>
  <c r="AT192" i="3"/>
  <c r="G168" i="7"/>
  <c r="G176" i="7"/>
  <c r="AT212" i="3"/>
  <c r="G183" i="7"/>
  <c r="H152" i="7"/>
  <c r="H156" i="7"/>
  <c r="AT191" i="3"/>
  <c r="G167" i="7"/>
  <c r="AT193" i="3"/>
  <c r="G169" i="7"/>
  <c r="AT195" i="3"/>
  <c r="G171" i="7"/>
  <c r="AT202" i="3"/>
  <c r="G177" i="7"/>
  <c r="AT200" i="3"/>
  <c r="G175" i="7"/>
  <c r="AT211" i="3"/>
  <c r="G182" i="7"/>
  <c r="G184" i="7"/>
  <c r="H188" i="7"/>
  <c r="AT176" i="3"/>
  <c r="G153" i="7"/>
  <c r="AT178" i="3"/>
  <c r="G155" i="7"/>
  <c r="AT180" i="3"/>
  <c r="G157" i="7"/>
  <c r="AZ191" i="3"/>
  <c r="H167" i="7"/>
  <c r="AZ193" i="3"/>
  <c r="H169" i="7"/>
  <c r="I169" i="7" s="1"/>
  <c r="H171" i="7"/>
  <c r="AZ207" i="3"/>
  <c r="H179" i="7"/>
  <c r="AZ201" i="3"/>
  <c r="H176" i="7"/>
  <c r="H182" i="7"/>
  <c r="AZ213" i="3"/>
  <c r="H184" i="7"/>
  <c r="AT217" i="3"/>
  <c r="G187" i="7"/>
  <c r="AT222" i="3"/>
  <c r="G192" i="7"/>
  <c r="G170" i="7"/>
  <c r="G179" i="7"/>
  <c r="AZ217" i="3"/>
  <c r="H187" i="7"/>
  <c r="H192" i="7"/>
  <c r="AT177" i="3"/>
  <c r="AZ192" i="3"/>
  <c r="H168" i="7"/>
  <c r="AZ194" i="3"/>
  <c r="H170" i="7"/>
  <c r="AZ202" i="3"/>
  <c r="H177" i="7"/>
  <c r="AZ200" i="3"/>
  <c r="H175" i="7"/>
  <c r="AZ212" i="3"/>
  <c r="H183" i="7"/>
  <c r="AT218" i="3"/>
  <c r="G188" i="7"/>
  <c r="Q9" i="3"/>
  <c r="N9" i="2"/>
  <c r="F17" i="5"/>
  <c r="Y326" i="3"/>
  <c r="N215" i="3"/>
  <c r="Q215" i="3"/>
  <c r="Y291" i="3"/>
  <c r="Y199" i="3"/>
  <c r="AT318" i="3"/>
  <c r="AU315" i="3"/>
  <c r="R224" i="3"/>
  <c r="Q224" i="3"/>
  <c r="Y249" i="3"/>
  <c r="Y285" i="3"/>
  <c r="AT285" i="3"/>
  <c r="S318" i="3"/>
  <c r="V318" i="3"/>
  <c r="Y316" i="3"/>
  <c r="AZ199" i="3"/>
  <c r="U215" i="3"/>
  <c r="U224" i="3"/>
  <c r="O224" i="3"/>
  <c r="T224" i="3"/>
  <c r="Y286" i="3"/>
  <c r="P318" i="3"/>
  <c r="Y315" i="3"/>
  <c r="Y317" i="3"/>
  <c r="AT300" i="3"/>
  <c r="P287" i="3"/>
  <c r="S287" i="3"/>
  <c r="V287" i="3"/>
  <c r="P294" i="3"/>
  <c r="Y297" i="3"/>
  <c r="AT302" i="3"/>
  <c r="AT298" i="3"/>
  <c r="AZ284" i="3"/>
  <c r="Y293" i="3"/>
  <c r="Y283" i="3"/>
  <c r="AT286" i="3"/>
  <c r="S294" i="3"/>
  <c r="V294" i="3"/>
  <c r="Y290" i="3"/>
  <c r="Y292" i="3"/>
  <c r="AT291" i="3"/>
  <c r="Y222" i="3"/>
  <c r="AZ222" i="3"/>
  <c r="Y239" i="3"/>
  <c r="Y211" i="3"/>
  <c r="Y236" i="3"/>
  <c r="Y242" i="3"/>
  <c r="Y241" i="3"/>
  <c r="P214" i="3"/>
  <c r="P243" i="3"/>
  <c r="Y238" i="3"/>
  <c r="Y235" i="3"/>
  <c r="Y237" i="3"/>
  <c r="Y240" i="3"/>
  <c r="AZ235" i="3"/>
  <c r="AZ239" i="3"/>
  <c r="Y218" i="3"/>
  <c r="AT242" i="3"/>
  <c r="AT238" i="3"/>
  <c r="Y213" i="3"/>
  <c r="S223" i="3"/>
  <c r="AT241" i="3"/>
  <c r="AT237" i="3"/>
  <c r="S214" i="3"/>
  <c r="Y194" i="3"/>
  <c r="P223" i="3"/>
  <c r="S243" i="3"/>
  <c r="V243" i="3"/>
  <c r="AZ218" i="3"/>
  <c r="Y217" i="3"/>
  <c r="Y212" i="3"/>
  <c r="AT213" i="3"/>
  <c r="V223" i="3"/>
  <c r="AZ211" i="3"/>
  <c r="V196" i="3"/>
  <c r="R215" i="3"/>
  <c r="T215" i="3"/>
  <c r="V214" i="3"/>
  <c r="S196" i="3"/>
  <c r="Y191" i="3"/>
  <c r="Y195" i="3"/>
  <c r="Y201" i="3"/>
  <c r="AZ195" i="3"/>
  <c r="Y192" i="3"/>
  <c r="Y207" i="3"/>
  <c r="Y202" i="3"/>
  <c r="Y200" i="3"/>
  <c r="AT201" i="3"/>
  <c r="AT194" i="3"/>
  <c r="P196" i="3"/>
  <c r="Y193" i="3"/>
  <c r="AT207" i="3"/>
  <c r="Y176" i="3"/>
  <c r="AZ176" i="3" s="1"/>
  <c r="AN138" i="3"/>
  <c r="AN137" i="3"/>
  <c r="AH138" i="3"/>
  <c r="AH137" i="3"/>
  <c r="AN45" i="3"/>
  <c r="AN46" i="3"/>
  <c r="AN47" i="3"/>
  <c r="AN48" i="3"/>
  <c r="AN49" i="3"/>
  <c r="AN50" i="3"/>
  <c r="AN51" i="3"/>
  <c r="AN52" i="3"/>
  <c r="AN53" i="3"/>
  <c r="AN54" i="3"/>
  <c r="AN55" i="3"/>
  <c r="AN56" i="3"/>
  <c r="AN57" i="3"/>
  <c r="AN44" i="3"/>
  <c r="AH45" i="3"/>
  <c r="AH46" i="3"/>
  <c r="AH47" i="3"/>
  <c r="AH48" i="3"/>
  <c r="AH49" i="3"/>
  <c r="AH50" i="3"/>
  <c r="AH51" i="3"/>
  <c r="AH52" i="3"/>
  <c r="AH53" i="3"/>
  <c r="AH54" i="3"/>
  <c r="AH55" i="3"/>
  <c r="AH56" i="3"/>
  <c r="AH57" i="3"/>
  <c r="AH44" i="3"/>
  <c r="AN24" i="2"/>
  <c r="AN25" i="2"/>
  <c r="AN23" i="2"/>
  <c r="AH24" i="2"/>
  <c r="AH25" i="2"/>
  <c r="AH23" i="2"/>
  <c r="AN32" i="3"/>
  <c r="AN30" i="3"/>
  <c r="AH31" i="3"/>
  <c r="AH33" i="3" s="1"/>
  <c r="AH32" i="3"/>
  <c r="AN24" i="3"/>
  <c r="AN25" i="3"/>
  <c r="AN23" i="3"/>
  <c r="AH24" i="3"/>
  <c r="AH25" i="3"/>
  <c r="AH23" i="3"/>
  <c r="AN14" i="3"/>
  <c r="AN13" i="3"/>
  <c r="AH14" i="3"/>
  <c r="AH13" i="3"/>
  <c r="V180" i="3"/>
  <c r="V179" i="3"/>
  <c r="V178" i="3"/>
  <c r="V177" i="3"/>
  <c r="V176" i="3"/>
  <c r="V175" i="3"/>
  <c r="S180" i="3"/>
  <c r="S179" i="3"/>
  <c r="S178" i="3"/>
  <c r="S177" i="3"/>
  <c r="S176" i="3"/>
  <c r="S188" i="3" s="1"/>
  <c r="S175" i="3"/>
  <c r="P180" i="3"/>
  <c r="P179" i="3"/>
  <c r="P178" i="3"/>
  <c r="P177" i="3"/>
  <c r="P176" i="3"/>
  <c r="P175" i="3"/>
  <c r="P527" i="2"/>
  <c r="S527" i="2"/>
  <c r="V527" i="2"/>
  <c r="W527" i="2"/>
  <c r="X527" i="2"/>
  <c r="V486" i="2"/>
  <c r="S486" i="2"/>
  <c r="P486" i="2"/>
  <c r="Y485" i="2"/>
  <c r="Y484" i="2"/>
  <c r="Y483" i="2"/>
  <c r="O416" i="2"/>
  <c r="P416" i="2"/>
  <c r="Q416" i="2"/>
  <c r="R416" i="2"/>
  <c r="S416" i="2"/>
  <c r="T416" i="2"/>
  <c r="U416" i="2"/>
  <c r="V416" i="2"/>
  <c r="U395" i="2"/>
  <c r="T395" i="2"/>
  <c r="R395" i="2"/>
  <c r="Q395" i="2"/>
  <c r="O395" i="2"/>
  <c r="N395" i="2"/>
  <c r="P394" i="2"/>
  <c r="S394" i="2"/>
  <c r="V394" i="2"/>
  <c r="W394" i="2"/>
  <c r="X394" i="2"/>
  <c r="W209" i="2"/>
  <c r="AT209" i="2"/>
  <c r="X209" i="2"/>
  <c r="V209" i="2"/>
  <c r="V208" i="2"/>
  <c r="V207" i="2"/>
  <c r="V206" i="2"/>
  <c r="S209" i="2"/>
  <c r="S208" i="2"/>
  <c r="S207" i="2"/>
  <c r="S206" i="2"/>
  <c r="P207" i="2"/>
  <c r="P208" i="2"/>
  <c r="P209" i="2"/>
  <c r="O210" i="2"/>
  <c r="Q210" i="2"/>
  <c r="R210" i="2"/>
  <c r="T210" i="2"/>
  <c r="U210" i="2"/>
  <c r="N210" i="2"/>
  <c r="U41" i="3"/>
  <c r="T41" i="3"/>
  <c r="R41" i="3"/>
  <c r="Q41" i="3"/>
  <c r="O41" i="3"/>
  <c r="N41" i="3"/>
  <c r="X40" i="3"/>
  <c r="AZ40" i="3" s="1"/>
  <c r="W40" i="3"/>
  <c r="AT40" i="3" s="1"/>
  <c r="V40" i="3"/>
  <c r="S40" i="3"/>
  <c r="P40" i="3"/>
  <c r="X39" i="3"/>
  <c r="AZ39" i="3" s="1"/>
  <c r="W39" i="3"/>
  <c r="AT39" i="3" s="1"/>
  <c r="V39" i="3"/>
  <c r="S39" i="3"/>
  <c r="P39" i="3"/>
  <c r="X38" i="3"/>
  <c r="W38" i="3"/>
  <c r="W41" i="3" s="1"/>
  <c r="V38" i="3"/>
  <c r="S38" i="3"/>
  <c r="P38" i="3"/>
  <c r="W40" i="2"/>
  <c r="X40" i="2"/>
  <c r="AZ40" i="2"/>
  <c r="V40" i="2"/>
  <c r="V39" i="2"/>
  <c r="V38" i="2"/>
  <c r="S40" i="2"/>
  <c r="S39" i="2"/>
  <c r="S38" i="2"/>
  <c r="P39" i="2"/>
  <c r="P40" i="2"/>
  <c r="O41" i="2"/>
  <c r="Q41" i="2"/>
  <c r="R41" i="2"/>
  <c r="T41" i="2"/>
  <c r="U41" i="2"/>
  <c r="N41" i="2"/>
  <c r="AT294" i="3"/>
  <c r="AU292" i="3"/>
  <c r="AT214" i="3"/>
  <c r="AU212" i="3"/>
  <c r="AT223" i="3"/>
  <c r="AT196" i="3"/>
  <c r="AU196" i="3"/>
  <c r="Z325" i="3"/>
  <c r="Z326" i="3"/>
  <c r="Z323" i="3"/>
  <c r="Z324" i="3"/>
  <c r="AZ38" i="3"/>
  <c r="H44" i="7"/>
  <c r="H45" i="7"/>
  <c r="G46" i="7"/>
  <c r="H382" i="6"/>
  <c r="G382" i="6"/>
  <c r="AT394" i="2"/>
  <c r="G278" i="6"/>
  <c r="AZ394" i="2"/>
  <c r="H278" i="6"/>
  <c r="Y527" i="2"/>
  <c r="X395" i="2"/>
  <c r="W395" i="2"/>
  <c r="AT395" i="2"/>
  <c r="V41" i="2"/>
  <c r="G46" i="6"/>
  <c r="Y209" i="2"/>
  <c r="H165" i="6"/>
  <c r="Y40" i="2"/>
  <c r="AT40" i="2"/>
  <c r="G165" i="6"/>
  <c r="H46" i="6"/>
  <c r="AZ209" i="2"/>
  <c r="AN26" i="2"/>
  <c r="S41" i="2"/>
  <c r="V210" i="2"/>
  <c r="S210" i="2"/>
  <c r="AH26" i="2"/>
  <c r="AU317" i="3"/>
  <c r="AU316" i="3"/>
  <c r="AT287" i="3"/>
  <c r="AU287" i="3"/>
  <c r="AU318" i="3"/>
  <c r="Z246" i="3"/>
  <c r="Z247" i="3"/>
  <c r="Z248" i="3"/>
  <c r="Z249" i="3"/>
  <c r="AZ223" i="3"/>
  <c r="AT243" i="3"/>
  <c r="V41" i="3"/>
  <c r="Y486" i="2"/>
  <c r="Z483" i="2"/>
  <c r="Y394" i="2"/>
  <c r="AT38" i="3"/>
  <c r="AU294" i="3"/>
  <c r="AU293" i="3"/>
  <c r="AU211" i="3"/>
  <c r="AU213" i="3"/>
  <c r="AU214" i="3"/>
  <c r="AU290" i="3"/>
  <c r="AU291" i="3"/>
  <c r="AU191" i="3"/>
  <c r="AU192" i="3"/>
  <c r="AU193" i="3"/>
  <c r="AU194" i="3"/>
  <c r="AU195" i="3"/>
  <c r="Q382" i="6"/>
  <c r="G279" i="6"/>
  <c r="AZ395" i="2"/>
  <c r="H279" i="6"/>
  <c r="M278" i="6"/>
  <c r="Y395" i="2"/>
  <c r="AG165" i="6"/>
  <c r="Z484" i="2"/>
  <c r="I46" i="6"/>
  <c r="Z486" i="2"/>
  <c r="AC46" i="6"/>
  <c r="AU283" i="3"/>
  <c r="AU285" i="3"/>
  <c r="AU284" i="3"/>
  <c r="AU286" i="3"/>
  <c r="AU241" i="3"/>
  <c r="AU242" i="3"/>
  <c r="AU239" i="3"/>
  <c r="AU240" i="3"/>
  <c r="AU237" i="3"/>
  <c r="AU238" i="3"/>
  <c r="AU243" i="3"/>
  <c r="AU235" i="3"/>
  <c r="AU236" i="3"/>
  <c r="Z485" i="2"/>
  <c r="X162" i="3"/>
  <c r="H140" i="7" s="1"/>
  <c r="W162" i="3"/>
  <c r="G140" i="7" s="1"/>
  <c r="X161" i="3"/>
  <c r="AZ161" i="3" s="1"/>
  <c r="W161" i="3"/>
  <c r="AT161" i="3" s="1"/>
  <c r="X160" i="3"/>
  <c r="W160" i="3"/>
  <c r="G138" i="7" s="1"/>
  <c r="X159" i="3"/>
  <c r="W159" i="3"/>
  <c r="G137" i="7" s="1"/>
  <c r="X158" i="3"/>
  <c r="AZ158" i="3" s="1"/>
  <c r="W158" i="3"/>
  <c r="Y158" i="3" s="1"/>
  <c r="X157" i="3"/>
  <c r="AZ157" i="3" s="1"/>
  <c r="W157" i="3"/>
  <c r="G135" i="7" s="1"/>
  <c r="X156" i="3"/>
  <c r="W156" i="3"/>
  <c r="G134" i="7" s="1"/>
  <c r="X155" i="3"/>
  <c r="H133" i="7" s="1"/>
  <c r="W155" i="3"/>
  <c r="G133" i="7" s="1"/>
  <c r="X154" i="3"/>
  <c r="AZ154" i="3" s="1"/>
  <c r="W154" i="3"/>
  <c r="AT154" i="3" s="1"/>
  <c r="V162" i="3"/>
  <c r="V161" i="3"/>
  <c r="V160" i="3"/>
  <c r="V159" i="3"/>
  <c r="V158" i="3"/>
  <c r="V157" i="3"/>
  <c r="V156" i="3"/>
  <c r="V155" i="3"/>
  <c r="V154" i="3"/>
  <c r="S162" i="3"/>
  <c r="S161" i="3"/>
  <c r="S160" i="3"/>
  <c r="S159" i="3"/>
  <c r="S158" i="3"/>
  <c r="S157" i="3"/>
  <c r="S156" i="3"/>
  <c r="S155" i="3"/>
  <c r="S154" i="3"/>
  <c r="P162" i="3"/>
  <c r="P161" i="3"/>
  <c r="P160" i="3"/>
  <c r="P159" i="3"/>
  <c r="P158" i="3"/>
  <c r="P157" i="3"/>
  <c r="P156" i="3"/>
  <c r="P155" i="3"/>
  <c r="P154" i="3"/>
  <c r="X150" i="3"/>
  <c r="AZ150" i="3" s="1"/>
  <c r="W150" i="3"/>
  <c r="AT150" i="3" s="1"/>
  <c r="X149" i="3"/>
  <c r="H128" i="7" s="1"/>
  <c r="W149" i="3"/>
  <c r="X148" i="3"/>
  <c r="AZ148" i="3" s="1"/>
  <c r="W148" i="3"/>
  <c r="G127" i="7" s="1"/>
  <c r="O151" i="3"/>
  <c r="Q151" i="3"/>
  <c r="R151" i="3"/>
  <c r="T151" i="3"/>
  <c r="U151" i="3"/>
  <c r="N151" i="3"/>
  <c r="V150" i="3"/>
  <c r="V149" i="3"/>
  <c r="V148" i="3"/>
  <c r="S150" i="3"/>
  <c r="S149" i="3"/>
  <c r="S148" i="3"/>
  <c r="P150" i="3"/>
  <c r="P149" i="3"/>
  <c r="P148" i="3"/>
  <c r="P151" i="3" s="1"/>
  <c r="W143" i="3"/>
  <c r="AT143" i="3" s="1"/>
  <c r="X143" i="3"/>
  <c r="H123" i="7" s="1"/>
  <c r="W144" i="3"/>
  <c r="G124" i="7" s="1"/>
  <c r="G131" i="23" s="1"/>
  <c r="X144" i="3"/>
  <c r="Y144" i="3" s="1"/>
  <c r="X142" i="3"/>
  <c r="W142" i="3"/>
  <c r="O145" i="3"/>
  <c r="Q145" i="3"/>
  <c r="R145" i="3"/>
  <c r="T145" i="3"/>
  <c r="U145" i="3"/>
  <c r="N145" i="3"/>
  <c r="V144" i="3"/>
  <c r="V143" i="3"/>
  <c r="V142" i="3"/>
  <c r="S144" i="3"/>
  <c r="S143" i="3"/>
  <c r="S142" i="3"/>
  <c r="P144" i="3"/>
  <c r="P143" i="3"/>
  <c r="P145" i="3" s="1"/>
  <c r="P142" i="3"/>
  <c r="V81" i="3"/>
  <c r="V82" i="3"/>
  <c r="S81" i="3"/>
  <c r="S82" i="3"/>
  <c r="P81" i="3"/>
  <c r="P82" i="3"/>
  <c r="Y80" i="3"/>
  <c r="I82" i="7" s="1"/>
  <c r="Y79" i="3"/>
  <c r="I81" i="7" s="1"/>
  <c r="Y78" i="3"/>
  <c r="I80" i="7" s="1"/>
  <c r="Y77" i="3"/>
  <c r="K139" i="3"/>
  <c r="L139" i="3"/>
  <c r="M138" i="3"/>
  <c r="M137" i="3"/>
  <c r="Y95" i="3"/>
  <c r="Y94" i="3"/>
  <c r="I94" i="7" s="1"/>
  <c r="Y93" i="3"/>
  <c r="Y92" i="3"/>
  <c r="V96" i="3"/>
  <c r="V97" i="3"/>
  <c r="S96" i="3"/>
  <c r="S97" i="3"/>
  <c r="P96" i="3"/>
  <c r="P97" i="3"/>
  <c r="O73" i="3"/>
  <c r="Q73" i="3"/>
  <c r="R73" i="3"/>
  <c r="T73" i="3"/>
  <c r="U73" i="3"/>
  <c r="N73" i="3"/>
  <c r="V72" i="3"/>
  <c r="V71" i="3"/>
  <c r="V70" i="3"/>
  <c r="V69" i="3"/>
  <c r="V68" i="3"/>
  <c r="S72" i="3"/>
  <c r="S71" i="3"/>
  <c r="S70" i="3"/>
  <c r="S69" i="3"/>
  <c r="S68" i="3"/>
  <c r="P72" i="3"/>
  <c r="P71" i="3"/>
  <c r="P70" i="3"/>
  <c r="P69" i="3"/>
  <c r="P68" i="3"/>
  <c r="X72" i="3"/>
  <c r="AZ72" i="3" s="1"/>
  <c r="W72" i="3"/>
  <c r="G75" i="7" s="1"/>
  <c r="X71" i="3"/>
  <c r="AZ71" i="3" s="1"/>
  <c r="W71" i="3"/>
  <c r="AT71" i="3" s="1"/>
  <c r="X70" i="3"/>
  <c r="H73" i="7" s="1"/>
  <c r="W70" i="3"/>
  <c r="AT70" i="3" s="1"/>
  <c r="X69" i="3"/>
  <c r="AZ69" i="3" s="1"/>
  <c r="W69" i="3"/>
  <c r="AT69" i="3" s="1"/>
  <c r="X68" i="3"/>
  <c r="AZ68" i="3" s="1"/>
  <c r="W68" i="3"/>
  <c r="W73" i="3" s="1"/>
  <c r="X64" i="3"/>
  <c r="AZ64" i="3" s="1"/>
  <c r="W64" i="3"/>
  <c r="G68" i="7" s="1"/>
  <c r="X63" i="3"/>
  <c r="H67" i="7" s="1"/>
  <c r="W63" i="3"/>
  <c r="G67" i="7" s="1"/>
  <c r="X62" i="3"/>
  <c r="W62" i="3"/>
  <c r="G66" i="7" s="1"/>
  <c r="X61" i="3"/>
  <c r="AZ61" i="3" s="1"/>
  <c r="W61" i="3"/>
  <c r="W65" i="3" s="1"/>
  <c r="O65" i="3"/>
  <c r="Q65" i="3"/>
  <c r="R65" i="3"/>
  <c r="T65" i="3"/>
  <c r="U65" i="3"/>
  <c r="N65" i="3"/>
  <c r="V64" i="3"/>
  <c r="V63" i="3"/>
  <c r="V62" i="3"/>
  <c r="V61" i="3"/>
  <c r="S64" i="3"/>
  <c r="S63" i="3"/>
  <c r="S62" i="3"/>
  <c r="S61" i="3"/>
  <c r="P62" i="3"/>
  <c r="P63" i="3"/>
  <c r="P64" i="3"/>
  <c r="P61" i="3"/>
  <c r="K58" i="3"/>
  <c r="L58" i="3"/>
  <c r="M45" i="3"/>
  <c r="M46" i="3"/>
  <c r="M47" i="3"/>
  <c r="M58" i="3" s="1"/>
  <c r="M48" i="3"/>
  <c r="M49" i="3"/>
  <c r="M50" i="3"/>
  <c r="M51" i="3"/>
  <c r="M52" i="3"/>
  <c r="M53" i="3"/>
  <c r="M54" i="3"/>
  <c r="M55" i="3"/>
  <c r="M56" i="3"/>
  <c r="M57" i="3"/>
  <c r="M44" i="3"/>
  <c r="AT32" i="3"/>
  <c r="AZ31" i="3"/>
  <c r="X25" i="3"/>
  <c r="L27" i="7" s="1"/>
  <c r="W25" i="3"/>
  <c r="K27" i="7" s="1"/>
  <c r="X24" i="3"/>
  <c r="L26" i="7" s="1"/>
  <c r="W24" i="3"/>
  <c r="K26" i="7" s="1"/>
  <c r="X23" i="3"/>
  <c r="L25" i="7" s="1"/>
  <c r="W23" i="3"/>
  <c r="G25" i="7" s="1"/>
  <c r="U20" i="3"/>
  <c r="T20" i="3"/>
  <c r="R20" i="3"/>
  <c r="Q20" i="3"/>
  <c r="O20" i="3"/>
  <c r="N20" i="3"/>
  <c r="X19" i="3"/>
  <c r="AZ19" i="3" s="1"/>
  <c r="W19" i="3"/>
  <c r="V19" i="3"/>
  <c r="S19" i="3"/>
  <c r="P19" i="3"/>
  <c r="X18" i="3"/>
  <c r="H31" i="7" s="1"/>
  <c r="W18" i="3"/>
  <c r="AT18" i="3" s="1"/>
  <c r="V18" i="3"/>
  <c r="S18" i="3"/>
  <c r="P18" i="3"/>
  <c r="K26" i="3"/>
  <c r="L26" i="3"/>
  <c r="K620" i="2"/>
  <c r="L620" i="2"/>
  <c r="K607" i="2"/>
  <c r="L607" i="2"/>
  <c r="K597" i="2"/>
  <c r="L597" i="2"/>
  <c r="K589" i="2"/>
  <c r="L589" i="2"/>
  <c r="K580" i="2"/>
  <c r="L580" i="2"/>
  <c r="M619" i="2"/>
  <c r="M618" i="2"/>
  <c r="M617" i="2"/>
  <c r="M616" i="2"/>
  <c r="M615" i="2"/>
  <c r="M614" i="2"/>
  <c r="M613" i="2"/>
  <c r="M612" i="2"/>
  <c r="M611" i="2"/>
  <c r="M606" i="2"/>
  <c r="M605" i="2"/>
  <c r="M601" i="2"/>
  <c r="M600" i="2"/>
  <c r="M596" i="2"/>
  <c r="M595" i="2"/>
  <c r="M594" i="2"/>
  <c r="M593" i="2"/>
  <c r="M592" i="2"/>
  <c r="M588" i="2"/>
  <c r="M587" i="2"/>
  <c r="M586" i="2"/>
  <c r="M585" i="2"/>
  <c r="M584" i="2"/>
  <c r="M583" i="2"/>
  <c r="M577" i="2"/>
  <c r="M578" i="2"/>
  <c r="M579" i="2"/>
  <c r="M576" i="2"/>
  <c r="O572" i="2"/>
  <c r="Q572" i="2"/>
  <c r="R572" i="2"/>
  <c r="T572" i="2"/>
  <c r="U572" i="2"/>
  <c r="O538" i="2"/>
  <c r="Q538" i="2"/>
  <c r="R538" i="2"/>
  <c r="T538" i="2"/>
  <c r="U538" i="2"/>
  <c r="O515" i="2"/>
  <c r="Q515" i="2"/>
  <c r="R515" i="2"/>
  <c r="T515" i="2"/>
  <c r="U515" i="2"/>
  <c r="O508" i="2"/>
  <c r="Q508" i="2"/>
  <c r="R508" i="2"/>
  <c r="T508" i="2"/>
  <c r="U508" i="2"/>
  <c r="O480" i="2"/>
  <c r="Q480" i="2"/>
  <c r="R480" i="2"/>
  <c r="T480" i="2"/>
  <c r="U480" i="2"/>
  <c r="O469" i="2"/>
  <c r="Q469" i="2"/>
  <c r="R469" i="2"/>
  <c r="T469" i="2"/>
  <c r="U469" i="2"/>
  <c r="O460" i="2"/>
  <c r="Q460" i="2"/>
  <c r="R460" i="2"/>
  <c r="T460" i="2"/>
  <c r="U460" i="2"/>
  <c r="O441" i="2"/>
  <c r="Q441" i="2"/>
  <c r="R441" i="2"/>
  <c r="T441" i="2"/>
  <c r="U441" i="2"/>
  <c r="O430" i="2"/>
  <c r="Q430" i="2"/>
  <c r="R430" i="2"/>
  <c r="T430" i="2"/>
  <c r="U430" i="2"/>
  <c r="O421" i="2"/>
  <c r="Q421" i="2"/>
  <c r="R421" i="2"/>
  <c r="T421" i="2"/>
  <c r="U421" i="2"/>
  <c r="O407" i="2"/>
  <c r="Q407" i="2"/>
  <c r="R407" i="2"/>
  <c r="T407" i="2"/>
  <c r="U407" i="2"/>
  <c r="O400" i="2"/>
  <c r="Q400" i="2"/>
  <c r="R400" i="2"/>
  <c r="T400" i="2"/>
  <c r="U400" i="2"/>
  <c r="O379" i="2"/>
  <c r="Q379" i="2"/>
  <c r="R379" i="2"/>
  <c r="T379" i="2"/>
  <c r="U379" i="2"/>
  <c r="M369" i="2"/>
  <c r="M368" i="2"/>
  <c r="M364" i="2"/>
  <c r="M363" i="2"/>
  <c r="M359" i="2"/>
  <c r="M358" i="2"/>
  <c r="M357" i="2"/>
  <c r="K354" i="2"/>
  <c r="L354" i="2"/>
  <c r="M353" i="2"/>
  <c r="M352" i="2"/>
  <c r="M351" i="2"/>
  <c r="M350" i="2"/>
  <c r="M349" i="2"/>
  <c r="M348" i="2"/>
  <c r="M347" i="2"/>
  <c r="M346" i="2"/>
  <c r="M342" i="2"/>
  <c r="M341" i="2"/>
  <c r="M337" i="2"/>
  <c r="M336" i="2"/>
  <c r="M332" i="2"/>
  <c r="M331" i="2"/>
  <c r="M327" i="2"/>
  <c r="M326" i="2"/>
  <c r="M317" i="2"/>
  <c r="M321" i="2"/>
  <c r="M322" i="2"/>
  <c r="M316" i="2"/>
  <c r="K323" i="2"/>
  <c r="L323" i="2"/>
  <c r="K244" i="2"/>
  <c r="L244" i="2"/>
  <c r="K236" i="2"/>
  <c r="L236" i="2"/>
  <c r="O187" i="2"/>
  <c r="Q187" i="2"/>
  <c r="R187" i="2"/>
  <c r="T187" i="2"/>
  <c r="U187" i="2"/>
  <c r="O174" i="2"/>
  <c r="O489" i="2"/>
  <c r="Q174" i="2"/>
  <c r="Q489" i="2"/>
  <c r="R174" i="2"/>
  <c r="R489" i="2"/>
  <c r="R491" i="2"/>
  <c r="T174" i="2"/>
  <c r="T489" i="2"/>
  <c r="U174" i="2"/>
  <c r="U489" i="2"/>
  <c r="U491" i="2"/>
  <c r="K166" i="2"/>
  <c r="L166" i="2"/>
  <c r="K161" i="2"/>
  <c r="L161" i="2"/>
  <c r="O152" i="2"/>
  <c r="Q152" i="2"/>
  <c r="R152" i="2"/>
  <c r="T152" i="2"/>
  <c r="U152" i="2"/>
  <c r="K147" i="2"/>
  <c r="L147" i="2"/>
  <c r="O73" i="2"/>
  <c r="Q73" i="2"/>
  <c r="R73" i="2"/>
  <c r="T73" i="2"/>
  <c r="U73" i="2"/>
  <c r="O65" i="2"/>
  <c r="Q65" i="2"/>
  <c r="R65" i="2"/>
  <c r="T65" i="2"/>
  <c r="U65" i="2"/>
  <c r="K58" i="2"/>
  <c r="L58" i="2"/>
  <c r="K26" i="2"/>
  <c r="L26" i="2"/>
  <c r="O20" i="2"/>
  <c r="Q20" i="2"/>
  <c r="R20" i="2"/>
  <c r="T20" i="2"/>
  <c r="U20" i="2"/>
  <c r="M25" i="3"/>
  <c r="M24" i="3"/>
  <c r="M23" i="3"/>
  <c r="M26" i="3" s="1"/>
  <c r="M14" i="3"/>
  <c r="M13" i="3"/>
  <c r="AC604" i="2"/>
  <c r="X604" i="2"/>
  <c r="X603" i="2"/>
  <c r="X602" i="2"/>
  <c r="AM604" i="2"/>
  <c r="AG604" i="2"/>
  <c r="AL603" i="2"/>
  <c r="AF603" i="2"/>
  <c r="AK602" i="2"/>
  <c r="AE602" i="2"/>
  <c r="AN619" i="2"/>
  <c r="AH619" i="2"/>
  <c r="AN618" i="2"/>
  <c r="AH618" i="2"/>
  <c r="AN617" i="2"/>
  <c r="AH617" i="2"/>
  <c r="AN616" i="2"/>
  <c r="AH616" i="2"/>
  <c r="AN615" i="2"/>
  <c r="AH615" i="2"/>
  <c r="AN614" i="2"/>
  <c r="AH614" i="2"/>
  <c r="AN613" i="2"/>
  <c r="AH613" i="2"/>
  <c r="AN612" i="2"/>
  <c r="AH612" i="2"/>
  <c r="AN611" i="2"/>
  <c r="AH611" i="2"/>
  <c r="AN606" i="2"/>
  <c r="AH606" i="2"/>
  <c r="AN605" i="2"/>
  <c r="AH605" i="2"/>
  <c r="AN601" i="2"/>
  <c r="AH601" i="2"/>
  <c r="AN600" i="2"/>
  <c r="AH600" i="2"/>
  <c r="AN596" i="2"/>
  <c r="AH596" i="2"/>
  <c r="AN595" i="2"/>
  <c r="AH595" i="2"/>
  <c r="AN594" i="2"/>
  <c r="AH594" i="2"/>
  <c r="AN593" i="2"/>
  <c r="AH593" i="2"/>
  <c r="AN592" i="2"/>
  <c r="AH592" i="2"/>
  <c r="AN588" i="2"/>
  <c r="AH588" i="2"/>
  <c r="AN587" i="2"/>
  <c r="AH587" i="2"/>
  <c r="AN586" i="2"/>
  <c r="AH586" i="2"/>
  <c r="AN585" i="2"/>
  <c r="AH585" i="2"/>
  <c r="AN584" i="2"/>
  <c r="AH584" i="2"/>
  <c r="AN583" i="2"/>
  <c r="AH583" i="2"/>
  <c r="AN579" i="2"/>
  <c r="AH579" i="2"/>
  <c r="AN578" i="2"/>
  <c r="AH578" i="2"/>
  <c r="AN577" i="2"/>
  <c r="AH577" i="2"/>
  <c r="AN576" i="2"/>
  <c r="AH576" i="2"/>
  <c r="W577" i="2"/>
  <c r="X577" i="2"/>
  <c r="W578" i="2"/>
  <c r="X578" i="2"/>
  <c r="W579" i="2"/>
  <c r="X579" i="2"/>
  <c r="AY367" i="2"/>
  <c r="AX366" i="2"/>
  <c r="AW365" i="2"/>
  <c r="AN369" i="2"/>
  <c r="AN368" i="2"/>
  <c r="AM367" i="2"/>
  <c r="AL366" i="2"/>
  <c r="AK365" i="2"/>
  <c r="AN364" i="2"/>
  <c r="AN363" i="2"/>
  <c r="AH369" i="2"/>
  <c r="AH368" i="2"/>
  <c r="AG367" i="2"/>
  <c r="AF366" i="2"/>
  <c r="AE365" i="2"/>
  <c r="AH364" i="2"/>
  <c r="AH363" i="2"/>
  <c r="AN359" i="2"/>
  <c r="AH359" i="2"/>
  <c r="AN358" i="2"/>
  <c r="AH358" i="2"/>
  <c r="AN357" i="2"/>
  <c r="AH357" i="2"/>
  <c r="AN353" i="2"/>
  <c r="AH353" i="2"/>
  <c r="AN352" i="2"/>
  <c r="AH352" i="2"/>
  <c r="AN351" i="2"/>
  <c r="AH351" i="2"/>
  <c r="AN350" i="2"/>
  <c r="AH350" i="2"/>
  <c r="AN349" i="2"/>
  <c r="AH349" i="2"/>
  <c r="AN348" i="2"/>
  <c r="AH348" i="2"/>
  <c r="AN347" i="2"/>
  <c r="AH347" i="2"/>
  <c r="AN346" i="2"/>
  <c r="AH346" i="2"/>
  <c r="AN342" i="2"/>
  <c r="AN341" i="2"/>
  <c r="AM340" i="2"/>
  <c r="AL339" i="2"/>
  <c r="AK338" i="2"/>
  <c r="AN337" i="2"/>
  <c r="AN336" i="2"/>
  <c r="AN332" i="2"/>
  <c r="AN331" i="2"/>
  <c r="AM330" i="2"/>
  <c r="AL329" i="2"/>
  <c r="AK328" i="2"/>
  <c r="AN327" i="2"/>
  <c r="AN326" i="2"/>
  <c r="AH342" i="2"/>
  <c r="AH341" i="2"/>
  <c r="AG340" i="2"/>
  <c r="AF339" i="2"/>
  <c r="AE338" i="2"/>
  <c r="AH337" i="2"/>
  <c r="AH336" i="2"/>
  <c r="AH332" i="2"/>
  <c r="AH331" i="2"/>
  <c r="AG330" i="2"/>
  <c r="AF329" i="2"/>
  <c r="AE328" i="2"/>
  <c r="AH327" i="2"/>
  <c r="AH326" i="2"/>
  <c r="AN317" i="2"/>
  <c r="AN321" i="2"/>
  <c r="AN322" i="2"/>
  <c r="AN316" i="2"/>
  <c r="AH317" i="2"/>
  <c r="AH321" i="2"/>
  <c r="AH322" i="2"/>
  <c r="AH316" i="2"/>
  <c r="AN243" i="2"/>
  <c r="AH243" i="2"/>
  <c r="AN242" i="2"/>
  <c r="AH242" i="2"/>
  <c r="AN241" i="2"/>
  <c r="AH241" i="2"/>
  <c r="AN240" i="2"/>
  <c r="AH240" i="2"/>
  <c r="AN239" i="2"/>
  <c r="AH239" i="2"/>
  <c r="AN235" i="2"/>
  <c r="AH235" i="2"/>
  <c r="AN234" i="2"/>
  <c r="AH234" i="2"/>
  <c r="AN233" i="2"/>
  <c r="AH233" i="2"/>
  <c r="AN232" i="2"/>
  <c r="AH232" i="2"/>
  <c r="AN231" i="2"/>
  <c r="AH231" i="2"/>
  <c r="AY190" i="2"/>
  <c r="AX190" i="2"/>
  <c r="AW190" i="2"/>
  <c r="AS190" i="2"/>
  <c r="AR190" i="2"/>
  <c r="AQ190" i="2"/>
  <c r="AH164" i="2"/>
  <c r="AN164" i="2"/>
  <c r="AH165" i="2"/>
  <c r="AN165" i="2"/>
  <c r="AH156" i="2"/>
  <c r="AN156" i="2"/>
  <c r="AH157" i="2"/>
  <c r="AN157" i="2"/>
  <c r="AH158" i="2"/>
  <c r="AN158" i="2"/>
  <c r="AH159" i="2"/>
  <c r="AN159" i="2"/>
  <c r="AH160" i="2"/>
  <c r="AN160" i="2"/>
  <c r="AN155" i="2"/>
  <c r="AH155" i="2"/>
  <c r="AU147" i="2"/>
  <c r="AU146" i="2"/>
  <c r="AU145" i="2"/>
  <c r="AU144" i="2"/>
  <c r="AU143" i="2"/>
  <c r="AU142" i="2"/>
  <c r="AU141" i="2"/>
  <c r="AU140" i="2"/>
  <c r="AU139" i="2"/>
  <c r="AU138" i="2"/>
  <c r="AU137" i="2"/>
  <c r="AH138" i="2"/>
  <c r="AN138" i="2"/>
  <c r="AH139" i="2"/>
  <c r="AN139" i="2"/>
  <c r="AH140" i="2"/>
  <c r="AN140" i="2"/>
  <c r="AH141" i="2"/>
  <c r="AN141" i="2"/>
  <c r="AH142" i="2"/>
  <c r="AN142" i="2"/>
  <c r="AH143" i="2"/>
  <c r="AN143" i="2"/>
  <c r="AH144" i="2"/>
  <c r="AN144" i="2"/>
  <c r="AH145" i="2"/>
  <c r="AN145" i="2"/>
  <c r="AH146" i="2"/>
  <c r="AN146" i="2"/>
  <c r="AN137" i="2"/>
  <c r="AH137" i="2"/>
  <c r="AN57" i="2"/>
  <c r="AN56" i="2"/>
  <c r="AN55" i="2"/>
  <c r="AN54" i="2"/>
  <c r="AN53" i="2"/>
  <c r="AN52" i="2"/>
  <c r="AN51" i="2"/>
  <c r="AN50" i="2"/>
  <c r="AN49" i="2"/>
  <c r="AN48" i="2"/>
  <c r="AN47" i="2"/>
  <c r="AN46" i="2"/>
  <c r="AN45" i="2"/>
  <c r="AN44" i="2"/>
  <c r="AH57" i="2"/>
  <c r="AH56" i="2"/>
  <c r="AH55" i="2"/>
  <c r="AH54" i="2"/>
  <c r="AH53" i="2"/>
  <c r="AH52" i="2"/>
  <c r="AH51" i="2"/>
  <c r="AH50" i="2"/>
  <c r="AH49" i="2"/>
  <c r="AH48" i="2"/>
  <c r="AH47" i="2"/>
  <c r="AH46" i="2"/>
  <c r="AH45" i="2"/>
  <c r="AH44" i="2"/>
  <c r="H122" i="7"/>
  <c r="AT148" i="3"/>
  <c r="AT151" i="3" s="1"/>
  <c r="AZ155" i="3"/>
  <c r="H137" i="7"/>
  <c r="H127" i="7"/>
  <c r="AT160" i="3"/>
  <c r="AT149" i="3"/>
  <c r="G128" i="7"/>
  <c r="AZ156" i="3"/>
  <c r="H134" i="7"/>
  <c r="AZ160" i="3"/>
  <c r="H138" i="7"/>
  <c r="G122" i="7"/>
  <c r="AZ149" i="3"/>
  <c r="AT155" i="3"/>
  <c r="AT157" i="3"/>
  <c r="AT159" i="3"/>
  <c r="G139" i="7"/>
  <c r="AT138" i="3"/>
  <c r="AZ142" i="3"/>
  <c r="AT137" i="3"/>
  <c r="AZ137" i="3"/>
  <c r="AT144" i="3"/>
  <c r="AZ138" i="3"/>
  <c r="AT142" i="3"/>
  <c r="AZ143" i="3"/>
  <c r="AT14" i="3"/>
  <c r="AZ30" i="3"/>
  <c r="AZ14" i="3"/>
  <c r="R146" i="3"/>
  <c r="Q152" i="3"/>
  <c r="Y13" i="3"/>
  <c r="AZ13" i="3"/>
  <c r="I92" i="7"/>
  <c r="I79" i="7"/>
  <c r="AZ44" i="3"/>
  <c r="AZ46" i="3"/>
  <c r="AZ48" i="3"/>
  <c r="AZ52" i="3"/>
  <c r="AZ54" i="3"/>
  <c r="AZ56" i="3"/>
  <c r="H66" i="7"/>
  <c r="H72" i="7"/>
  <c r="I93" i="7"/>
  <c r="AZ24" i="3"/>
  <c r="H26" i="7"/>
  <c r="AT45" i="3"/>
  <c r="AT49" i="3"/>
  <c r="AT51" i="3"/>
  <c r="AT53" i="3"/>
  <c r="G71" i="7"/>
  <c r="AZ18" i="3"/>
  <c r="G32" i="7"/>
  <c r="K25" i="7"/>
  <c r="AT25" i="3"/>
  <c r="G27" i="7"/>
  <c r="AZ45" i="3"/>
  <c r="AZ47" i="3"/>
  <c r="AZ53" i="3"/>
  <c r="AZ55" i="3"/>
  <c r="H65" i="7"/>
  <c r="AZ63" i="3"/>
  <c r="H71" i="7"/>
  <c r="AZ70" i="3"/>
  <c r="H75" i="7"/>
  <c r="I95" i="7"/>
  <c r="AZ23" i="3"/>
  <c r="H27" i="7"/>
  <c r="AT50" i="3"/>
  <c r="AT62" i="3"/>
  <c r="AT64" i="3"/>
  <c r="G72" i="7"/>
  <c r="G74" i="7"/>
  <c r="AZ579" i="2"/>
  <c r="H414" i="6"/>
  <c r="AZ577" i="2"/>
  <c r="H412" i="6"/>
  <c r="Y414" i="6"/>
  <c r="G414" i="6"/>
  <c r="Q414" i="6"/>
  <c r="AT577" i="2"/>
  <c r="Y412" i="6"/>
  <c r="G412" i="6"/>
  <c r="AZ578" i="2"/>
  <c r="H413" i="6"/>
  <c r="AZ576" i="2"/>
  <c r="AT578" i="2"/>
  <c r="AC413" i="6"/>
  <c r="G413" i="6"/>
  <c r="X489" i="2"/>
  <c r="X491" i="2"/>
  <c r="O491" i="2"/>
  <c r="Q491" i="2"/>
  <c r="S489" i="2"/>
  <c r="S491" i="2"/>
  <c r="T491" i="2"/>
  <c r="V489" i="2"/>
  <c r="V491" i="2"/>
  <c r="AT352" i="2"/>
  <c r="AT348" i="2"/>
  <c r="AT346" i="2"/>
  <c r="AZ353" i="2"/>
  <c r="AZ351" i="2"/>
  <c r="AZ347" i="2"/>
  <c r="AT353" i="2"/>
  <c r="AT349" i="2"/>
  <c r="AT347" i="2"/>
  <c r="U234" i="6"/>
  <c r="AZ350" i="2"/>
  <c r="AZ346" i="2"/>
  <c r="Y579" i="2"/>
  <c r="M580" i="2"/>
  <c r="M620" i="2"/>
  <c r="Y576" i="2"/>
  <c r="M589" i="2"/>
  <c r="M597" i="2"/>
  <c r="M607" i="2"/>
  <c r="Y577" i="2"/>
  <c r="AT576" i="2"/>
  <c r="AT579" i="2"/>
  <c r="Y578" i="2"/>
  <c r="U146" i="3"/>
  <c r="O146" i="3"/>
  <c r="N319" i="3"/>
  <c r="N295" i="3"/>
  <c r="N197" i="3"/>
  <c r="N288" i="3"/>
  <c r="N42" i="3"/>
  <c r="T152" i="3"/>
  <c r="T295" i="3"/>
  <c r="T319" i="3"/>
  <c r="T288" i="3"/>
  <c r="T197" i="3"/>
  <c r="T42" i="3"/>
  <c r="O66" i="3"/>
  <c r="O319" i="3"/>
  <c r="O288" i="3"/>
  <c r="O295" i="3"/>
  <c r="O197" i="3"/>
  <c r="O42" i="3"/>
  <c r="U74" i="3"/>
  <c r="U319" i="3"/>
  <c r="U288" i="3"/>
  <c r="U197" i="3"/>
  <c r="U295" i="3"/>
  <c r="U42" i="3"/>
  <c r="T146" i="3"/>
  <c r="Q288" i="3"/>
  <c r="Q197" i="3"/>
  <c r="Q295" i="3"/>
  <c r="Q319" i="3"/>
  <c r="Q42" i="3"/>
  <c r="R295" i="3"/>
  <c r="R197" i="3"/>
  <c r="R319" i="3"/>
  <c r="R288" i="3"/>
  <c r="R42" i="3"/>
  <c r="Q146" i="3"/>
  <c r="R152" i="3"/>
  <c r="Y48" i="3"/>
  <c r="Y54" i="3"/>
  <c r="AT54" i="3"/>
  <c r="W145" i="3"/>
  <c r="Y47" i="3"/>
  <c r="AT47" i="3"/>
  <c r="Y68" i="3"/>
  <c r="AZ159" i="3"/>
  <c r="W151" i="3"/>
  <c r="Y160" i="3"/>
  <c r="Y53" i="3"/>
  <c r="AN166" i="2"/>
  <c r="AO166" i="2"/>
  <c r="M370" i="2"/>
  <c r="AH166" i="2"/>
  <c r="AI166" i="2"/>
  <c r="AO197" i="2"/>
  <c r="AO201" i="2"/>
  <c r="Y353" i="2"/>
  <c r="Y350" i="2"/>
  <c r="M333" i="2"/>
  <c r="M343" i="2"/>
  <c r="M354" i="2"/>
  <c r="Y351" i="2"/>
  <c r="AI200" i="2"/>
  <c r="AT350" i="2"/>
  <c r="M360" i="2"/>
  <c r="AI195" i="2"/>
  <c r="AZ349" i="2"/>
  <c r="Y349" i="2"/>
  <c r="AT351" i="2"/>
  <c r="Y348" i="2"/>
  <c r="AZ348" i="2"/>
  <c r="Y352" i="2"/>
  <c r="Y347" i="2"/>
  <c r="M323" i="2"/>
  <c r="Y346" i="2"/>
  <c r="AZ352" i="2"/>
  <c r="Y71" i="3"/>
  <c r="Y142" i="3"/>
  <c r="U152" i="3"/>
  <c r="Y45" i="3"/>
  <c r="N66" i="3"/>
  <c r="AT13" i="3"/>
  <c r="N146" i="3"/>
  <c r="N152" i="3"/>
  <c r="N74" i="3"/>
  <c r="Y57" i="3"/>
  <c r="AT68" i="3"/>
  <c r="R66" i="3"/>
  <c r="Y49" i="3"/>
  <c r="Y62" i="3"/>
  <c r="AT44" i="3"/>
  <c r="AT63" i="3"/>
  <c r="O152" i="3"/>
  <c r="Q74" i="3"/>
  <c r="U66" i="3"/>
  <c r="T66" i="3"/>
  <c r="R74" i="3"/>
  <c r="Q66" i="3"/>
  <c r="O74" i="3"/>
  <c r="P20" i="3"/>
  <c r="X15" i="3"/>
  <c r="S20" i="3"/>
  <c r="Y138" i="3"/>
  <c r="M15" i="3"/>
  <c r="Y14" i="3"/>
  <c r="V20" i="3"/>
  <c r="T74" i="3"/>
  <c r="Y137" i="3"/>
  <c r="W15" i="3"/>
  <c r="AN32" i="2"/>
  <c r="AN30" i="2"/>
  <c r="AH32" i="2"/>
  <c r="AH31" i="2"/>
  <c r="AO25" i="2"/>
  <c r="AO23" i="2"/>
  <c r="AI25" i="2"/>
  <c r="AO24" i="2"/>
  <c r="AI26" i="2"/>
  <c r="AN19" i="2"/>
  <c r="AH19" i="2"/>
  <c r="AN18" i="2"/>
  <c r="AH18" i="2"/>
  <c r="AN14" i="2"/>
  <c r="AN13" i="2"/>
  <c r="AH14" i="2"/>
  <c r="AH13" i="2"/>
  <c r="Y669" i="2"/>
  <c r="Y668" i="2"/>
  <c r="Y667" i="2"/>
  <c r="Y666" i="2"/>
  <c r="Y665" i="2"/>
  <c r="V670" i="2"/>
  <c r="S670" i="2"/>
  <c r="P670" i="2"/>
  <c r="Y662" i="2"/>
  <c r="Y661" i="2"/>
  <c r="Y660" i="2"/>
  <c r="Y659" i="2"/>
  <c r="Y658" i="2"/>
  <c r="Y657" i="2"/>
  <c r="Y656" i="2"/>
  <c r="Y655" i="2"/>
  <c r="Y654" i="2"/>
  <c r="V663" i="2"/>
  <c r="S663" i="2"/>
  <c r="P663" i="2"/>
  <c r="Y649" i="2"/>
  <c r="V648" i="2"/>
  <c r="V650" i="2"/>
  <c r="V651" i="2"/>
  <c r="S648" i="2"/>
  <c r="S650" i="2"/>
  <c r="S651" i="2"/>
  <c r="P648" i="2"/>
  <c r="P650" i="2"/>
  <c r="P651" i="2"/>
  <c r="AC647" i="2"/>
  <c r="AB647" i="2"/>
  <c r="AA647" i="2"/>
  <c r="Y646" i="2"/>
  <c r="AC640" i="2"/>
  <c r="AB640" i="2"/>
  <c r="AA640" i="2"/>
  <c r="AC633" i="2"/>
  <c r="AB633" i="2"/>
  <c r="AA633" i="2"/>
  <c r="Y642" i="2"/>
  <c r="V641" i="2"/>
  <c r="V643" i="2"/>
  <c r="V644" i="2"/>
  <c r="S641" i="2"/>
  <c r="S643" i="2"/>
  <c r="S644" i="2"/>
  <c r="P641" i="2"/>
  <c r="P643" i="2"/>
  <c r="P644" i="2"/>
  <c r="Y639" i="2"/>
  <c r="V634" i="2"/>
  <c r="V636" i="2"/>
  <c r="V637" i="2"/>
  <c r="S634" i="2"/>
  <c r="P634" i="2"/>
  <c r="P636" i="2"/>
  <c r="P637" i="2"/>
  <c r="Y635" i="2"/>
  <c r="Y632" i="2"/>
  <c r="Y627" i="2"/>
  <c r="Y626" i="2"/>
  <c r="Y624" i="2"/>
  <c r="Y623" i="2"/>
  <c r="Y625" i="2"/>
  <c r="V628" i="2"/>
  <c r="V629" i="2"/>
  <c r="S628" i="2"/>
  <c r="S629" i="2"/>
  <c r="P628" i="2"/>
  <c r="P629" i="2"/>
  <c r="X619" i="2"/>
  <c r="W619" i="2"/>
  <c r="X618" i="2"/>
  <c r="W618" i="2"/>
  <c r="X617" i="2"/>
  <c r="W617" i="2"/>
  <c r="X616" i="2"/>
  <c r="W616" i="2"/>
  <c r="X615" i="2"/>
  <c r="W615" i="2"/>
  <c r="X614" i="2"/>
  <c r="W614" i="2"/>
  <c r="X613" i="2"/>
  <c r="W613" i="2"/>
  <c r="X612" i="2"/>
  <c r="W612" i="2"/>
  <c r="X611" i="2"/>
  <c r="W611" i="2"/>
  <c r="X606" i="2"/>
  <c r="AZ606" i="2"/>
  <c r="W606" i="2"/>
  <c r="AT606" i="2"/>
  <c r="W605" i="2"/>
  <c r="AT605" i="2"/>
  <c r="W600" i="2"/>
  <c r="AT600" i="2"/>
  <c r="X596" i="2"/>
  <c r="W596" i="2"/>
  <c r="X595" i="2"/>
  <c r="W595" i="2"/>
  <c r="X594" i="2"/>
  <c r="W594" i="2"/>
  <c r="X593" i="2"/>
  <c r="W593" i="2"/>
  <c r="X592" i="2"/>
  <c r="W592" i="2"/>
  <c r="X588" i="2"/>
  <c r="W588" i="2"/>
  <c r="X587" i="2"/>
  <c r="W587" i="2"/>
  <c r="X586" i="2"/>
  <c r="W586" i="2"/>
  <c r="X585" i="2"/>
  <c r="W585" i="2"/>
  <c r="X584" i="2"/>
  <c r="W584" i="2"/>
  <c r="X583" i="2"/>
  <c r="W583" i="2"/>
  <c r="X571" i="2"/>
  <c r="W571" i="2"/>
  <c r="X570" i="2"/>
  <c r="W570" i="2"/>
  <c r="N572" i="2"/>
  <c r="V571" i="2"/>
  <c r="S571" i="2"/>
  <c r="P571" i="2"/>
  <c r="V570" i="2"/>
  <c r="S570" i="2"/>
  <c r="P570" i="2"/>
  <c r="Y544" i="2"/>
  <c r="Y545" i="2"/>
  <c r="Y543" i="2"/>
  <c r="V546" i="2"/>
  <c r="V547" i="2"/>
  <c r="S546" i="2"/>
  <c r="S547" i="2"/>
  <c r="P546" i="2"/>
  <c r="P547" i="2"/>
  <c r="X537" i="2"/>
  <c r="W537" i="2"/>
  <c r="X536" i="2"/>
  <c r="W536" i="2"/>
  <c r="X535" i="2"/>
  <c r="W535" i="2"/>
  <c r="V537" i="2"/>
  <c r="V536" i="2"/>
  <c r="V535" i="2"/>
  <c r="S537" i="2"/>
  <c r="S536" i="2"/>
  <c r="S535" i="2"/>
  <c r="N538" i="2"/>
  <c r="P537" i="2"/>
  <c r="P536" i="2"/>
  <c r="P535" i="2"/>
  <c r="X521" i="2"/>
  <c r="W521" i="2"/>
  <c r="V521" i="2"/>
  <c r="S521" i="2"/>
  <c r="P521" i="2"/>
  <c r="X520" i="2"/>
  <c r="W520" i="2"/>
  <c r="V520" i="2"/>
  <c r="S520" i="2"/>
  <c r="P520" i="2"/>
  <c r="X526" i="2"/>
  <c r="W526" i="2"/>
  <c r="X525" i="2"/>
  <c r="W525" i="2"/>
  <c r="X524" i="2"/>
  <c r="W524" i="2"/>
  <c r="X523" i="2"/>
  <c r="W523" i="2"/>
  <c r="X522" i="2"/>
  <c r="W522" i="2"/>
  <c r="X519" i="2"/>
  <c r="W519" i="2"/>
  <c r="X518" i="2"/>
  <c r="W518" i="2"/>
  <c r="V526" i="2"/>
  <c r="V525" i="2"/>
  <c r="V524" i="2"/>
  <c r="V523" i="2"/>
  <c r="V522" i="2"/>
  <c r="V519" i="2"/>
  <c r="V518" i="2"/>
  <c r="S526" i="2"/>
  <c r="S525" i="2"/>
  <c r="S524" i="2"/>
  <c r="S523" i="2"/>
  <c r="S522" i="2"/>
  <c r="S519" i="2"/>
  <c r="S518" i="2"/>
  <c r="P526" i="2"/>
  <c r="P525" i="2"/>
  <c r="P524" i="2"/>
  <c r="P523" i="2"/>
  <c r="P522" i="2"/>
  <c r="P519" i="2"/>
  <c r="P518" i="2"/>
  <c r="N515" i="2"/>
  <c r="X514" i="2"/>
  <c r="W514" i="2"/>
  <c r="V514" i="2"/>
  <c r="S514" i="2"/>
  <c r="P514" i="2"/>
  <c r="X513" i="2"/>
  <c r="W513" i="2"/>
  <c r="V513" i="2"/>
  <c r="S513" i="2"/>
  <c r="P513" i="2"/>
  <c r="X512" i="2"/>
  <c r="W512" i="2"/>
  <c r="V512" i="2"/>
  <c r="S512" i="2"/>
  <c r="P512" i="2"/>
  <c r="X511" i="2"/>
  <c r="W511" i="2"/>
  <c r="V511" i="2"/>
  <c r="S511" i="2"/>
  <c r="P511" i="2"/>
  <c r="X507" i="2"/>
  <c r="W507" i="2"/>
  <c r="X506" i="2"/>
  <c r="W506" i="2"/>
  <c r="X505" i="2"/>
  <c r="W505" i="2"/>
  <c r="X504" i="2"/>
  <c r="W504" i="2"/>
  <c r="V507" i="2"/>
  <c r="V506" i="2"/>
  <c r="V505" i="2"/>
  <c r="V504" i="2"/>
  <c r="S507" i="2"/>
  <c r="S506" i="2"/>
  <c r="S505" i="2"/>
  <c r="S504" i="2"/>
  <c r="N508" i="2"/>
  <c r="P507" i="2"/>
  <c r="P506" i="2"/>
  <c r="P505" i="2"/>
  <c r="P504" i="2"/>
  <c r="X479" i="2"/>
  <c r="W479" i="2"/>
  <c r="X478" i="2"/>
  <c r="W478" i="2"/>
  <c r="X477" i="2"/>
  <c r="W477" i="2"/>
  <c r="X476" i="2"/>
  <c r="W476" i="2"/>
  <c r="X475" i="2"/>
  <c r="W475" i="2"/>
  <c r="X474" i="2"/>
  <c r="W474" i="2"/>
  <c r="X473" i="2"/>
  <c r="W473" i="2"/>
  <c r="X472" i="2"/>
  <c r="W472" i="2"/>
  <c r="V479" i="2"/>
  <c r="V478" i="2"/>
  <c r="V477" i="2"/>
  <c r="V476" i="2"/>
  <c r="V475" i="2"/>
  <c r="V474" i="2"/>
  <c r="V473" i="2"/>
  <c r="V472" i="2"/>
  <c r="S479" i="2"/>
  <c r="S478" i="2"/>
  <c r="S477" i="2"/>
  <c r="S476" i="2"/>
  <c r="S475" i="2"/>
  <c r="S474" i="2"/>
  <c r="S473" i="2"/>
  <c r="S472" i="2"/>
  <c r="N480" i="2"/>
  <c r="P479" i="2"/>
  <c r="P478" i="2"/>
  <c r="P477" i="2"/>
  <c r="P476" i="2"/>
  <c r="P475" i="2"/>
  <c r="P474" i="2"/>
  <c r="P473" i="2"/>
  <c r="P472" i="2"/>
  <c r="N469" i="2"/>
  <c r="X468" i="2"/>
  <c r="AZ468" i="2"/>
  <c r="W468" i="2"/>
  <c r="AT468" i="2"/>
  <c r="V468" i="2"/>
  <c r="S468" i="2"/>
  <c r="P468" i="2"/>
  <c r="AC467" i="2"/>
  <c r="X467" i="2"/>
  <c r="AY467" i="2"/>
  <c r="W467" i="2"/>
  <c r="AS467" i="2"/>
  <c r="AB466" i="2"/>
  <c r="X466" i="2"/>
  <c r="AX466" i="2"/>
  <c r="W466" i="2"/>
  <c r="AR466" i="2"/>
  <c r="AA465" i="2"/>
  <c r="X465" i="2"/>
  <c r="AW465" i="2"/>
  <c r="W465" i="2"/>
  <c r="AQ465" i="2"/>
  <c r="X464" i="2"/>
  <c r="AZ464" i="2"/>
  <c r="W464" i="2"/>
  <c r="AT464" i="2"/>
  <c r="V464" i="2"/>
  <c r="S464" i="2"/>
  <c r="P464" i="2"/>
  <c r="X463" i="2"/>
  <c r="AZ463" i="2"/>
  <c r="W463" i="2"/>
  <c r="AT463" i="2"/>
  <c r="V463" i="2"/>
  <c r="S463" i="2"/>
  <c r="P463" i="2"/>
  <c r="X459" i="2"/>
  <c r="W459" i="2"/>
  <c r="X458" i="2"/>
  <c r="W458" i="2"/>
  <c r="X457" i="2"/>
  <c r="W457" i="2"/>
  <c r="V459" i="2"/>
  <c r="V458" i="2"/>
  <c r="V457" i="2"/>
  <c r="S459" i="2"/>
  <c r="S458" i="2"/>
  <c r="S457" i="2"/>
  <c r="N460" i="2"/>
  <c r="P459" i="2"/>
  <c r="P458" i="2"/>
  <c r="P457" i="2"/>
  <c r="X453" i="2"/>
  <c r="W453" i="2"/>
  <c r="AT453" i="2"/>
  <c r="X448" i="2"/>
  <c r="W448" i="2"/>
  <c r="X447" i="2"/>
  <c r="W447" i="2"/>
  <c r="X446" i="2"/>
  <c r="W446" i="2"/>
  <c r="X445" i="2"/>
  <c r="W445" i="2"/>
  <c r="V453" i="2"/>
  <c r="V448" i="2"/>
  <c r="V447" i="2"/>
  <c r="V446" i="2"/>
  <c r="V445" i="2"/>
  <c r="S453" i="2"/>
  <c r="S448" i="2"/>
  <c r="S447" i="2"/>
  <c r="S446" i="2"/>
  <c r="S445" i="2"/>
  <c r="P453" i="2"/>
  <c r="P448" i="2"/>
  <c r="P447" i="2"/>
  <c r="P446" i="2"/>
  <c r="P445" i="2"/>
  <c r="X440" i="2"/>
  <c r="W440" i="2"/>
  <c r="X439" i="2"/>
  <c r="W439" i="2"/>
  <c r="X438" i="2"/>
  <c r="W438" i="2"/>
  <c r="X437" i="2"/>
  <c r="W437" i="2"/>
  <c r="X436" i="2"/>
  <c r="W436" i="2"/>
  <c r="X435" i="2"/>
  <c r="W435" i="2"/>
  <c r="X434" i="2"/>
  <c r="W434" i="2"/>
  <c r="X433" i="2"/>
  <c r="W433" i="2"/>
  <c r="V440" i="2"/>
  <c r="V439" i="2"/>
  <c r="V438" i="2"/>
  <c r="V437" i="2"/>
  <c r="V436" i="2"/>
  <c r="V435" i="2"/>
  <c r="V434" i="2"/>
  <c r="V433" i="2"/>
  <c r="R442" i="2"/>
  <c r="Q442" i="2"/>
  <c r="S440" i="2"/>
  <c r="S439" i="2"/>
  <c r="S438" i="2"/>
  <c r="S437" i="2"/>
  <c r="S436" i="2"/>
  <c r="S435" i="2"/>
  <c r="S434" i="2"/>
  <c r="S433" i="2"/>
  <c r="U442" i="2"/>
  <c r="T442" i="2"/>
  <c r="O442" i="2"/>
  <c r="N441" i="2"/>
  <c r="N442" i="2"/>
  <c r="P440" i="2"/>
  <c r="P439" i="2"/>
  <c r="P438" i="2"/>
  <c r="P437" i="2"/>
  <c r="P436" i="2"/>
  <c r="P435" i="2"/>
  <c r="P434" i="2"/>
  <c r="P433" i="2"/>
  <c r="AC428" i="2"/>
  <c r="AB427" i="2"/>
  <c r="AA426" i="2"/>
  <c r="X428" i="2"/>
  <c r="AY428" i="2"/>
  <c r="W428" i="2"/>
  <c r="AS428" i="2"/>
  <c r="X427" i="2"/>
  <c r="AX427" i="2"/>
  <c r="W427" i="2"/>
  <c r="AR427" i="2"/>
  <c r="X426" i="2"/>
  <c r="AW426" i="2"/>
  <c r="W426" i="2"/>
  <c r="AQ426" i="2"/>
  <c r="X429" i="2"/>
  <c r="AZ429" i="2"/>
  <c r="W429" i="2"/>
  <c r="AT429" i="2"/>
  <c r="X425" i="2"/>
  <c r="AZ425" i="2"/>
  <c r="W425" i="2"/>
  <c r="AT425" i="2"/>
  <c r="X424" i="2"/>
  <c r="AZ424" i="2"/>
  <c r="W424" i="2"/>
  <c r="AT424" i="2"/>
  <c r="V429" i="2"/>
  <c r="V425" i="2"/>
  <c r="V424" i="2"/>
  <c r="S429" i="2"/>
  <c r="S425" i="2"/>
  <c r="S424" i="2"/>
  <c r="U431" i="2"/>
  <c r="T431" i="2"/>
  <c r="R431" i="2"/>
  <c r="Q431" i="2"/>
  <c r="P425" i="2"/>
  <c r="P429" i="2"/>
  <c r="P424" i="2"/>
  <c r="O431" i="2"/>
  <c r="N430" i="2"/>
  <c r="N431" i="2"/>
  <c r="X415" i="2"/>
  <c r="W415" i="2"/>
  <c r="X414" i="2"/>
  <c r="W414" i="2"/>
  <c r="X413" i="2"/>
  <c r="W413" i="2"/>
  <c r="X412" i="2"/>
  <c r="W412" i="2"/>
  <c r="X411" i="2"/>
  <c r="W411" i="2"/>
  <c r="V415" i="2"/>
  <c r="V414" i="2"/>
  <c r="V413" i="2"/>
  <c r="V412" i="2"/>
  <c r="V411" i="2"/>
  <c r="S415" i="2"/>
  <c r="S414" i="2"/>
  <c r="S413" i="2"/>
  <c r="S412" i="2"/>
  <c r="S411" i="2"/>
  <c r="P415" i="2"/>
  <c r="P414" i="2"/>
  <c r="P413" i="2"/>
  <c r="P412" i="2"/>
  <c r="P411" i="2"/>
  <c r="X406" i="2"/>
  <c r="W406" i="2"/>
  <c r="X405" i="2"/>
  <c r="W405" i="2"/>
  <c r="X404" i="2"/>
  <c r="W404" i="2"/>
  <c r="X403" i="2"/>
  <c r="W403" i="2"/>
  <c r="X402" i="2"/>
  <c r="W402" i="2"/>
  <c r="V406" i="2"/>
  <c r="V405" i="2"/>
  <c r="V404" i="2"/>
  <c r="V403" i="2"/>
  <c r="V402" i="2"/>
  <c r="S406" i="2"/>
  <c r="S405" i="2"/>
  <c r="S404" i="2"/>
  <c r="S403" i="2"/>
  <c r="S402" i="2"/>
  <c r="N407" i="2"/>
  <c r="P406" i="2"/>
  <c r="P405" i="2"/>
  <c r="P404" i="2"/>
  <c r="P403" i="2"/>
  <c r="P402" i="2"/>
  <c r="X393" i="2"/>
  <c r="W393" i="2"/>
  <c r="X392" i="2"/>
  <c r="W392" i="2"/>
  <c r="X391" i="2"/>
  <c r="W391" i="2"/>
  <c r="X390" i="2"/>
  <c r="W390" i="2"/>
  <c r="X389" i="2"/>
  <c r="W389" i="2"/>
  <c r="X388" i="2"/>
  <c r="W388" i="2"/>
  <c r="X387" i="2"/>
  <c r="W387" i="2"/>
  <c r="X386" i="2"/>
  <c r="W386" i="2"/>
  <c r="X385" i="2"/>
  <c r="W385" i="2"/>
  <c r="X384" i="2"/>
  <c r="W384" i="2"/>
  <c r="X383" i="2"/>
  <c r="W383" i="2"/>
  <c r="X382" i="2"/>
  <c r="W382" i="2"/>
  <c r="V395" i="2"/>
  <c r="V393" i="2"/>
  <c r="V392" i="2"/>
  <c r="V391" i="2"/>
  <c r="V390" i="2"/>
  <c r="V389" i="2"/>
  <c r="V388" i="2"/>
  <c r="V387" i="2"/>
  <c r="V386" i="2"/>
  <c r="V385" i="2"/>
  <c r="V384" i="2"/>
  <c r="V383" i="2"/>
  <c r="V382" i="2"/>
  <c r="S395" i="2"/>
  <c r="S393" i="2"/>
  <c r="S392" i="2"/>
  <c r="S391" i="2"/>
  <c r="S390" i="2"/>
  <c r="S389" i="2"/>
  <c r="S388" i="2"/>
  <c r="S387" i="2"/>
  <c r="S386" i="2"/>
  <c r="S385" i="2"/>
  <c r="S384" i="2"/>
  <c r="S383" i="2"/>
  <c r="S382" i="2"/>
  <c r="N400" i="2"/>
  <c r="P395" i="2"/>
  <c r="P383" i="2"/>
  <c r="P384" i="2"/>
  <c r="P385" i="2"/>
  <c r="P386" i="2"/>
  <c r="P387" i="2"/>
  <c r="P388" i="2"/>
  <c r="P389" i="2"/>
  <c r="P390" i="2"/>
  <c r="P391" i="2"/>
  <c r="P392" i="2"/>
  <c r="P393" i="2"/>
  <c r="P382" i="2"/>
  <c r="X378" i="2"/>
  <c r="W378" i="2"/>
  <c r="X377" i="2"/>
  <c r="W377" i="2"/>
  <c r="X376" i="2"/>
  <c r="W376" i="2"/>
  <c r="V378" i="2"/>
  <c r="V377" i="2"/>
  <c r="V376" i="2"/>
  <c r="S378" i="2"/>
  <c r="S377" i="2"/>
  <c r="S376" i="2"/>
  <c r="P377" i="2"/>
  <c r="P378" i="2"/>
  <c r="P376" i="2"/>
  <c r="N379" i="2"/>
  <c r="X369" i="2"/>
  <c r="AZ369" i="2"/>
  <c r="W369" i="2"/>
  <c r="AT369" i="2"/>
  <c r="W368" i="2"/>
  <c r="AT368" i="2"/>
  <c r="AC367" i="2"/>
  <c r="X367" i="2"/>
  <c r="AS367" i="2"/>
  <c r="AB366" i="2"/>
  <c r="X366" i="2"/>
  <c r="AR366" i="2"/>
  <c r="AA365" i="2"/>
  <c r="X365" i="2"/>
  <c r="AQ365" i="2"/>
  <c r="X357" i="2"/>
  <c r="W357" i="2"/>
  <c r="X342" i="2"/>
  <c r="W342" i="2"/>
  <c r="AT342" i="2"/>
  <c r="X341" i="2"/>
  <c r="W341" i="2"/>
  <c r="AT341" i="2"/>
  <c r="X337" i="2"/>
  <c r="W337" i="2"/>
  <c r="AT337" i="2"/>
  <c r="X336" i="2"/>
  <c r="W336" i="2"/>
  <c r="AT336" i="2"/>
  <c r="AC340" i="2"/>
  <c r="X340" i="2"/>
  <c r="W340" i="2"/>
  <c r="AS340" i="2"/>
  <c r="AB339" i="2"/>
  <c r="X339" i="2"/>
  <c r="W339" i="2"/>
  <c r="AR339" i="2"/>
  <c r="AA338" i="2"/>
  <c r="X338" i="2"/>
  <c r="W338" i="2"/>
  <c r="AQ338" i="2"/>
  <c r="AC330" i="2"/>
  <c r="X330" i="2"/>
  <c r="W330" i="2"/>
  <c r="AS330" i="2"/>
  <c r="AB329" i="2"/>
  <c r="X329" i="2"/>
  <c r="W329" i="2"/>
  <c r="AR329" i="2"/>
  <c r="AA328" i="2"/>
  <c r="X328" i="2"/>
  <c r="W328" i="2"/>
  <c r="AQ328" i="2"/>
  <c r="X332" i="2"/>
  <c r="W332" i="2"/>
  <c r="AT332" i="2"/>
  <c r="X331" i="2"/>
  <c r="W331" i="2"/>
  <c r="AT331" i="2"/>
  <c r="X327" i="2"/>
  <c r="W327" i="2"/>
  <c r="AT327" i="2"/>
  <c r="X326" i="2"/>
  <c r="W326" i="2"/>
  <c r="AT326" i="2"/>
  <c r="AC320" i="2"/>
  <c r="AB319" i="2"/>
  <c r="AS320" i="2"/>
  <c r="X319" i="2"/>
  <c r="X320" i="2"/>
  <c r="X318" i="2"/>
  <c r="AR319" i="2"/>
  <c r="AQ318" i="2"/>
  <c r="X322" i="2"/>
  <c r="W322" i="2"/>
  <c r="AT322" i="2"/>
  <c r="AC190" i="2"/>
  <c r="AB190" i="2"/>
  <c r="AA190" i="2"/>
  <c r="AT139" i="3"/>
  <c r="AU137" i="3"/>
  <c r="AU139" i="3"/>
  <c r="AT15" i="3"/>
  <c r="AU15" i="3"/>
  <c r="M414" i="6"/>
  <c r="Y15" i="3"/>
  <c r="Y16" i="3"/>
  <c r="AU138" i="3"/>
  <c r="AU14" i="3"/>
  <c r="AC122" i="7"/>
  <c r="AC118" i="7"/>
  <c r="U118" i="7"/>
  <c r="Q58" i="7"/>
  <c r="Q56" i="7"/>
  <c r="Q54" i="7"/>
  <c r="Q52" i="7"/>
  <c r="Q62" i="7"/>
  <c r="Q60" i="7"/>
  <c r="AA69" i="7"/>
  <c r="P33" i="7"/>
  <c r="M52" i="7"/>
  <c r="AT570" i="2"/>
  <c r="G454" i="6"/>
  <c r="AT614" i="2"/>
  <c r="G445" i="6"/>
  <c r="AI445" i="6" s="1"/>
  <c r="I496" i="6"/>
  <c r="I411" i="6"/>
  <c r="AG411" i="6"/>
  <c r="AT585" i="2"/>
  <c r="G419" i="6"/>
  <c r="AT592" i="2"/>
  <c r="G425" i="6"/>
  <c r="AT618" i="2"/>
  <c r="G449" i="6"/>
  <c r="I466" i="6"/>
  <c r="I470" i="6"/>
  <c r="I503" i="6"/>
  <c r="AK503" i="6" s="1"/>
  <c r="AZ585" i="2"/>
  <c r="H419" i="6"/>
  <c r="I419" i="6" s="1"/>
  <c r="AZ592" i="2"/>
  <c r="H425" i="6"/>
  <c r="I425" i="6" s="1"/>
  <c r="AZ596" i="2"/>
  <c r="H429" i="6"/>
  <c r="AZ612" i="2"/>
  <c r="H443" i="6"/>
  <c r="AJ443" i="6" s="1"/>
  <c r="AZ614" i="2"/>
  <c r="H445" i="6"/>
  <c r="AZ618" i="2"/>
  <c r="H449" i="6"/>
  <c r="I474" i="6"/>
  <c r="AK474" i="6" s="1"/>
  <c r="I476" i="6"/>
  <c r="AT583" i="2"/>
  <c r="G417" i="6"/>
  <c r="AT594" i="2"/>
  <c r="G427" i="6"/>
  <c r="I482" i="6"/>
  <c r="I492" i="6"/>
  <c r="AZ570" i="2"/>
  <c r="H454" i="6"/>
  <c r="AZ587" i="2"/>
  <c r="H421" i="6"/>
  <c r="AZ616" i="2"/>
  <c r="H447" i="6"/>
  <c r="I459" i="6"/>
  <c r="I497" i="6"/>
  <c r="AK497" i="6" s="1"/>
  <c r="Q411" i="6"/>
  <c r="AT571" i="2"/>
  <c r="G455" i="6"/>
  <c r="AT584" i="2"/>
  <c r="G418" i="6"/>
  <c r="AT586" i="2"/>
  <c r="G420" i="6"/>
  <c r="AT588" i="2"/>
  <c r="G422" i="6"/>
  <c r="AT593" i="2"/>
  <c r="G426" i="6"/>
  <c r="AT595" i="2"/>
  <c r="G428" i="6"/>
  <c r="AT611" i="2"/>
  <c r="G442" i="6"/>
  <c r="AT613" i="2"/>
  <c r="G444" i="6"/>
  <c r="AT615" i="2"/>
  <c r="G446" i="6"/>
  <c r="AT617" i="2"/>
  <c r="G448" i="6"/>
  <c r="AT619" i="2"/>
  <c r="G450" i="6"/>
  <c r="I461" i="6"/>
  <c r="I468" i="6"/>
  <c r="I477" i="6"/>
  <c r="I485" i="6"/>
  <c r="I494" i="6"/>
  <c r="AK494" i="6" s="1"/>
  <c r="I498" i="6"/>
  <c r="I505" i="6"/>
  <c r="M411" i="6"/>
  <c r="U411" i="6"/>
  <c r="S415" i="6"/>
  <c r="U414" i="6"/>
  <c r="AT587" i="2"/>
  <c r="U421" i="6"/>
  <c r="G421" i="6"/>
  <c r="AT596" i="2"/>
  <c r="G429" i="6"/>
  <c r="U429" i="6"/>
  <c r="AT612" i="2"/>
  <c r="AC443" i="6"/>
  <c r="G443" i="6"/>
  <c r="AT616" i="2"/>
  <c r="G447" i="6"/>
  <c r="AI447" i="6" s="1"/>
  <c r="I458" i="6"/>
  <c r="AZ583" i="2"/>
  <c r="H417" i="6"/>
  <c r="AZ594" i="2"/>
  <c r="H427" i="6"/>
  <c r="I471" i="6"/>
  <c r="I479" i="6"/>
  <c r="I484" i="6"/>
  <c r="AK484" i="6" s="1"/>
  <c r="I493" i="6"/>
  <c r="AK493" i="6" s="1"/>
  <c r="I504" i="6"/>
  <c r="I414" i="6"/>
  <c r="AZ571" i="2"/>
  <c r="H455" i="6"/>
  <c r="AZ584" i="2"/>
  <c r="H418" i="6"/>
  <c r="AZ586" i="2"/>
  <c r="H420" i="6"/>
  <c r="AZ588" i="2"/>
  <c r="H422" i="6"/>
  <c r="I422" i="6" s="1"/>
  <c r="AZ593" i="2"/>
  <c r="H426" i="6"/>
  <c r="AZ595" i="2"/>
  <c r="H428" i="6"/>
  <c r="H430" i="6" s="1"/>
  <c r="AZ611" i="2"/>
  <c r="H442" i="6"/>
  <c r="AZ613" i="2"/>
  <c r="H444" i="6"/>
  <c r="AJ444" i="6" s="1"/>
  <c r="AZ615" i="2"/>
  <c r="H446" i="6"/>
  <c r="AZ617" i="2"/>
  <c r="H448" i="6"/>
  <c r="I448" i="6" s="1"/>
  <c r="AZ619" i="2"/>
  <c r="H450" i="6"/>
  <c r="I460" i="6"/>
  <c r="I462" i="6"/>
  <c r="I469" i="6"/>
  <c r="I478" i="6"/>
  <c r="AK478" i="6" s="1"/>
  <c r="I486" i="6"/>
  <c r="I487" i="6"/>
  <c r="I491" i="6"/>
  <c r="I495" i="6"/>
  <c r="AK495" i="6" s="1"/>
  <c r="I499" i="6"/>
  <c r="I502" i="6"/>
  <c r="I506" i="6"/>
  <c r="Y411" i="6"/>
  <c r="AC411" i="6"/>
  <c r="AA415" i="6"/>
  <c r="H415" i="6"/>
  <c r="I412" i="6"/>
  <c r="AC414" i="6"/>
  <c r="AZ505" i="2"/>
  <c r="H362" i="6"/>
  <c r="AZ507" i="2"/>
  <c r="H364" i="6"/>
  <c r="AT511" i="2"/>
  <c r="G367" i="6"/>
  <c r="AZ514" i="2"/>
  <c r="H370" i="6"/>
  <c r="AZ518" i="2"/>
  <c r="H373" i="6"/>
  <c r="AZ522" i="2"/>
  <c r="H377" i="6"/>
  <c r="AZ524" i="2"/>
  <c r="H379" i="6"/>
  <c r="H158" i="23" s="1"/>
  <c r="AZ526" i="2"/>
  <c r="H381" i="6"/>
  <c r="AT520" i="2"/>
  <c r="G375" i="6"/>
  <c r="AZ536" i="2"/>
  <c r="H387" i="6"/>
  <c r="AT504" i="2"/>
  <c r="G361" i="6"/>
  <c r="AT506" i="2"/>
  <c r="G363" i="6"/>
  <c r="AZ511" i="2"/>
  <c r="H367" i="6"/>
  <c r="AT512" i="2"/>
  <c r="G368" i="6"/>
  <c r="AT519" i="2"/>
  <c r="G374" i="6"/>
  <c r="AT523" i="2"/>
  <c r="G378" i="6"/>
  <c r="AT525" i="2"/>
  <c r="G380" i="6"/>
  <c r="AZ520" i="2"/>
  <c r="H375" i="6"/>
  <c r="AT521" i="2"/>
  <c r="G376" i="6"/>
  <c r="AT535" i="2"/>
  <c r="G386" i="6"/>
  <c r="AT537" i="2"/>
  <c r="G388" i="6"/>
  <c r="I396" i="6"/>
  <c r="AZ504" i="2"/>
  <c r="H361" i="6"/>
  <c r="AZ506" i="2"/>
  <c r="H363" i="6"/>
  <c r="AZ512" i="2"/>
  <c r="H368" i="6"/>
  <c r="AT513" i="2"/>
  <c r="G369" i="6"/>
  <c r="AZ519" i="2"/>
  <c r="H374" i="6"/>
  <c r="AZ523" i="2"/>
  <c r="H378" i="6"/>
  <c r="AZ525" i="2"/>
  <c r="H380" i="6"/>
  <c r="AZ521" i="2"/>
  <c r="H376" i="6"/>
  <c r="AZ535" i="2"/>
  <c r="H386" i="6"/>
  <c r="AZ537" i="2"/>
  <c r="H388" i="6"/>
  <c r="I398" i="6"/>
  <c r="AT505" i="2"/>
  <c r="G362" i="6"/>
  <c r="AT507" i="2"/>
  <c r="G364" i="6"/>
  <c r="AZ513" i="2"/>
  <c r="H369" i="6"/>
  <c r="AT514" i="2"/>
  <c r="G370" i="6"/>
  <c r="AT518" i="2"/>
  <c r="G373" i="6"/>
  <c r="AT522" i="2"/>
  <c r="G377" i="6"/>
  <c r="AT524" i="2"/>
  <c r="G379" i="6"/>
  <c r="AT526" i="2"/>
  <c r="G381" i="6"/>
  <c r="AT536" i="2"/>
  <c r="G387" i="6"/>
  <c r="AC387" i="6"/>
  <c r="I397" i="6"/>
  <c r="G308" i="6"/>
  <c r="BA308" i="6" s="1"/>
  <c r="G339" i="6"/>
  <c r="BA339" i="6" s="1"/>
  <c r="G344" i="6"/>
  <c r="G348" i="6"/>
  <c r="H308" i="6"/>
  <c r="BI308" i="6" s="1"/>
  <c r="G338" i="6"/>
  <c r="H344" i="6"/>
  <c r="H348" i="6"/>
  <c r="G309" i="6"/>
  <c r="G307" i="6"/>
  <c r="I306" i="6"/>
  <c r="G337" i="6"/>
  <c r="BA337" i="6" s="1"/>
  <c r="AI337" i="6" s="1"/>
  <c r="H338" i="6"/>
  <c r="I339" i="6"/>
  <c r="G340" i="6"/>
  <c r="G343" i="6"/>
  <c r="G345" i="6"/>
  <c r="G347" i="6"/>
  <c r="G349" i="6"/>
  <c r="G306" i="6"/>
  <c r="BA306" i="6" s="1"/>
  <c r="I308" i="6"/>
  <c r="I337" i="6"/>
  <c r="G346" i="6"/>
  <c r="G350" i="6"/>
  <c r="H306" i="6"/>
  <c r="BI306" i="6" s="1"/>
  <c r="H339" i="6"/>
  <c r="BI339" i="6" s="1"/>
  <c r="H346" i="6"/>
  <c r="H350" i="6"/>
  <c r="H309" i="6"/>
  <c r="H307" i="6"/>
  <c r="I307" i="6"/>
  <c r="AK307" i="6" s="1"/>
  <c r="H337" i="6"/>
  <c r="BI337" i="6" s="1"/>
  <c r="I338" i="6"/>
  <c r="H340" i="6"/>
  <c r="H343" i="6"/>
  <c r="H345" i="6"/>
  <c r="H347" i="6"/>
  <c r="H349" i="6"/>
  <c r="AT378" i="2"/>
  <c r="G264" i="6"/>
  <c r="AT385" i="2"/>
  <c r="G269" i="6"/>
  <c r="AT391" i="2"/>
  <c r="G275" i="6"/>
  <c r="AT405" i="2"/>
  <c r="G289" i="6"/>
  <c r="AZ411" i="2"/>
  <c r="H296" i="6"/>
  <c r="G304" i="6"/>
  <c r="AZ440" i="2"/>
  <c r="H319" i="6"/>
  <c r="AT445" i="2"/>
  <c r="G323" i="6"/>
  <c r="AT457" i="2"/>
  <c r="G330" i="6"/>
  <c r="AT478" i="2"/>
  <c r="AZ377" i="2"/>
  <c r="H263" i="6"/>
  <c r="AZ382" i="2"/>
  <c r="H266" i="6"/>
  <c r="AZ384" i="2"/>
  <c r="H268" i="6"/>
  <c r="AZ386" i="2"/>
  <c r="H270" i="6"/>
  <c r="AZ388" i="2"/>
  <c r="H272" i="6"/>
  <c r="AZ390" i="2"/>
  <c r="H274" i="6"/>
  <c r="AZ392" i="2"/>
  <c r="H276" i="6"/>
  <c r="AZ402" i="2"/>
  <c r="H286" i="6"/>
  <c r="AZ404" i="2"/>
  <c r="H288" i="6"/>
  <c r="AZ406" i="2"/>
  <c r="H290" i="6"/>
  <c r="AT411" i="2"/>
  <c r="G296" i="6"/>
  <c r="AT413" i="2"/>
  <c r="G298" i="6"/>
  <c r="AT415" i="2"/>
  <c r="G300" i="6"/>
  <c r="H305" i="6"/>
  <c r="AT434" i="2"/>
  <c r="G313" i="6"/>
  <c r="AT436" i="2"/>
  <c r="G315" i="6"/>
  <c r="AT438" i="2"/>
  <c r="G317" i="6"/>
  <c r="AT440" i="2"/>
  <c r="Y319" i="6"/>
  <c r="G319" i="6"/>
  <c r="AZ446" i="2"/>
  <c r="H324" i="6"/>
  <c r="AZ448" i="2"/>
  <c r="H326" i="6"/>
  <c r="AZ458" i="2"/>
  <c r="H331" i="6"/>
  <c r="H336" i="6"/>
  <c r="AZ473" i="2"/>
  <c r="AZ475" i="2"/>
  <c r="AZ477" i="2"/>
  <c r="AZ479" i="2"/>
  <c r="Q240" i="6"/>
  <c r="AG240" i="6"/>
  <c r="AT383" i="2"/>
  <c r="G267" i="6"/>
  <c r="AT389" i="2"/>
  <c r="G273" i="6"/>
  <c r="AT403" i="2"/>
  <c r="G287" i="6"/>
  <c r="AZ415" i="2"/>
  <c r="H300" i="6"/>
  <c r="AZ436" i="2"/>
  <c r="H315" i="6"/>
  <c r="AT447" i="2"/>
  <c r="G325" i="6"/>
  <c r="AT476" i="2"/>
  <c r="AZ376" i="2"/>
  <c r="H262" i="6"/>
  <c r="I262" i="6" s="1"/>
  <c r="AZ378" i="2"/>
  <c r="H264" i="6"/>
  <c r="AZ383" i="2"/>
  <c r="H267" i="6"/>
  <c r="I267" i="6" s="1"/>
  <c r="AZ385" i="2"/>
  <c r="H269" i="6"/>
  <c r="AZ387" i="2"/>
  <c r="H271" i="6"/>
  <c r="AZ389" i="2"/>
  <c r="H273" i="6"/>
  <c r="AZ391" i="2"/>
  <c r="H275" i="6"/>
  <c r="AZ393" i="2"/>
  <c r="H277" i="6"/>
  <c r="AZ403" i="2"/>
  <c r="H287" i="6"/>
  <c r="AZ405" i="2"/>
  <c r="H289" i="6"/>
  <c r="AT412" i="2"/>
  <c r="G297" i="6"/>
  <c r="AT414" i="2"/>
  <c r="G299" i="6"/>
  <c r="AI299" i="6" s="1"/>
  <c r="H304" i="6"/>
  <c r="AT433" i="2"/>
  <c r="G312" i="6"/>
  <c r="AT435" i="2"/>
  <c r="G314" i="6"/>
  <c r="AT437" i="2"/>
  <c r="G316" i="6"/>
  <c r="AI316" i="6" s="1"/>
  <c r="AT439" i="2"/>
  <c r="G318" i="6"/>
  <c r="AZ445" i="2"/>
  <c r="H323" i="6"/>
  <c r="AZ447" i="2"/>
  <c r="H325" i="6"/>
  <c r="AZ457" i="2"/>
  <c r="H330" i="6"/>
  <c r="AZ459" i="2"/>
  <c r="H332" i="6"/>
  <c r="G335" i="6"/>
  <c r="AZ472" i="2"/>
  <c r="AZ474" i="2"/>
  <c r="AZ476" i="2"/>
  <c r="AZ478" i="2"/>
  <c r="AT376" i="2"/>
  <c r="G262" i="6"/>
  <c r="AT387" i="2"/>
  <c r="G271" i="6"/>
  <c r="Q271" i="6"/>
  <c r="AT393" i="2"/>
  <c r="G277" i="6"/>
  <c r="AG277" i="6"/>
  <c r="AZ413" i="2"/>
  <c r="H298" i="6"/>
  <c r="AZ434" i="2"/>
  <c r="H313" i="6"/>
  <c r="AZ438" i="2"/>
  <c r="H317" i="6"/>
  <c r="AT459" i="2"/>
  <c r="G332" i="6"/>
  <c r="I332" i="6" s="1"/>
  <c r="AT472" i="2"/>
  <c r="AT474" i="2"/>
  <c r="AT377" i="2"/>
  <c r="Q263" i="6"/>
  <c r="G263" i="6"/>
  <c r="AT382" i="2"/>
  <c r="G266" i="6"/>
  <c r="AT384" i="2"/>
  <c r="G268" i="6"/>
  <c r="AT386" i="2"/>
  <c r="G270" i="6"/>
  <c r="AT388" i="2"/>
  <c r="G272" i="6"/>
  <c r="AT390" i="2"/>
  <c r="AC274" i="6"/>
  <c r="G274" i="6"/>
  <c r="AT392" i="2"/>
  <c r="G276" i="6"/>
  <c r="I276" i="6" s="1"/>
  <c r="AT402" i="2"/>
  <c r="G286" i="6"/>
  <c r="I286" i="6" s="1"/>
  <c r="AT404" i="2"/>
  <c r="G288" i="6"/>
  <c r="AT406" i="2"/>
  <c r="G290" i="6"/>
  <c r="I290" i="6" s="1"/>
  <c r="AZ412" i="2"/>
  <c r="H297" i="6"/>
  <c r="AZ414" i="2"/>
  <c r="H299" i="6"/>
  <c r="G305" i="6"/>
  <c r="AZ433" i="2"/>
  <c r="H312" i="6"/>
  <c r="AZ435" i="2"/>
  <c r="H314" i="6"/>
  <c r="AZ437" i="2"/>
  <c r="H316" i="6"/>
  <c r="I316" i="6" s="1"/>
  <c r="AZ439" i="2"/>
  <c r="H318" i="6"/>
  <c r="AT446" i="2"/>
  <c r="G324" i="6"/>
  <c r="AT448" i="2"/>
  <c r="G326" i="6"/>
  <c r="AT458" i="2"/>
  <c r="G331" i="6"/>
  <c r="H335" i="6"/>
  <c r="G336" i="6"/>
  <c r="AT473" i="2"/>
  <c r="AT475" i="2"/>
  <c r="AT477" i="2"/>
  <c r="AT479" i="2"/>
  <c r="Y240" i="6"/>
  <c r="AC235" i="6"/>
  <c r="M238" i="6"/>
  <c r="I218" i="6"/>
  <c r="AK218" i="6" s="1"/>
  <c r="G218" i="6"/>
  <c r="I226" i="6"/>
  <c r="G228" i="6"/>
  <c r="AZ357" i="2"/>
  <c r="H243" i="6"/>
  <c r="AZ359" i="2"/>
  <c r="Y236" i="6"/>
  <c r="U235" i="6"/>
  <c r="Y239" i="6"/>
  <c r="G215" i="6"/>
  <c r="G220" i="6"/>
  <c r="G217" i="6"/>
  <c r="I219" i="6"/>
  <c r="G227" i="6"/>
  <c r="G225" i="6"/>
  <c r="G230" i="6"/>
  <c r="AT358" i="2"/>
  <c r="AC234" i="6"/>
  <c r="I235" i="6"/>
  <c r="G226" i="6"/>
  <c r="I228" i="6"/>
  <c r="AZ358" i="2"/>
  <c r="I238" i="6"/>
  <c r="AC233" i="6"/>
  <c r="G216" i="6"/>
  <c r="G221" i="6"/>
  <c r="I217" i="6"/>
  <c r="G219" i="6"/>
  <c r="AI219" i="6" s="1"/>
  <c r="I227" i="6"/>
  <c r="G224" i="6"/>
  <c r="G229" i="6"/>
  <c r="AT357" i="2"/>
  <c r="G243" i="6"/>
  <c r="I243" i="6" s="1"/>
  <c r="AT359" i="2"/>
  <c r="H241" i="6"/>
  <c r="M234" i="6"/>
  <c r="AE241" i="6"/>
  <c r="AG237" i="6"/>
  <c r="S572" i="2"/>
  <c r="AH20" i="2"/>
  <c r="V379" i="2"/>
  <c r="V430" i="2"/>
  <c r="P469" i="2"/>
  <c r="V538" i="2"/>
  <c r="V572" i="2"/>
  <c r="S469" i="2"/>
  <c r="V469" i="2"/>
  <c r="P572" i="2"/>
  <c r="AT580" i="2"/>
  <c r="AT607" i="2"/>
  <c r="AO164" i="2"/>
  <c r="AO165" i="2"/>
  <c r="AO26" i="2"/>
  <c r="AI24" i="2"/>
  <c r="P508" i="2"/>
  <c r="S515" i="2"/>
  <c r="P538" i="2"/>
  <c r="S538" i="2"/>
  <c r="S508" i="2"/>
  <c r="V508" i="2"/>
  <c r="P515" i="2"/>
  <c r="V515" i="2"/>
  <c r="AI194" i="2"/>
  <c r="AT343" i="2"/>
  <c r="AU336" i="2"/>
  <c r="AI203" i="2"/>
  <c r="AI165" i="2"/>
  <c r="P407" i="2"/>
  <c r="V421" i="2"/>
  <c r="P460" i="2"/>
  <c r="S460" i="2"/>
  <c r="AO195" i="2"/>
  <c r="AI164" i="2"/>
  <c r="S430" i="2"/>
  <c r="P441" i="2"/>
  <c r="S441" i="2"/>
  <c r="P480" i="2"/>
  <c r="AO203" i="2"/>
  <c r="V407" i="2"/>
  <c r="S421" i="2"/>
  <c r="P430" i="2"/>
  <c r="V441" i="2"/>
  <c r="V460" i="2"/>
  <c r="AT469" i="2"/>
  <c r="AI201" i="2"/>
  <c r="AO194" i="2"/>
  <c r="AT354" i="2"/>
  <c r="AU354" i="2"/>
  <c r="S407" i="2"/>
  <c r="AT430" i="2"/>
  <c r="S480" i="2"/>
  <c r="V480" i="2"/>
  <c r="AO200" i="2"/>
  <c r="V400" i="2"/>
  <c r="AT323" i="2"/>
  <c r="AT333" i="2"/>
  <c r="AT370" i="2"/>
  <c r="P379" i="2"/>
  <c r="P400" i="2"/>
  <c r="S400" i="2"/>
  <c r="AI197" i="2"/>
  <c r="S379" i="2"/>
  <c r="W16" i="3"/>
  <c r="AN20" i="2"/>
  <c r="Y670" i="2"/>
  <c r="Z666" i="2"/>
  <c r="Y663" i="2"/>
  <c r="Z656" i="2"/>
  <c r="Y634" i="2"/>
  <c r="Y648" i="2"/>
  <c r="Y641" i="2"/>
  <c r="S636" i="2"/>
  <c r="S637" i="2"/>
  <c r="Y628" i="2"/>
  <c r="Z625" i="2"/>
  <c r="W572" i="2"/>
  <c r="X572" i="2"/>
  <c r="Y571" i="2"/>
  <c r="Y570" i="2"/>
  <c r="Y520" i="2"/>
  <c r="Y521" i="2"/>
  <c r="Y425" i="2"/>
  <c r="Y468" i="2"/>
  <c r="X430" i="2"/>
  <c r="Y429" i="2"/>
  <c r="W515" i="2"/>
  <c r="X515" i="2"/>
  <c r="W430" i="2"/>
  <c r="Y464" i="2"/>
  <c r="Y463" i="2"/>
  <c r="X469" i="2"/>
  <c r="W469" i="2"/>
  <c r="Y424" i="2"/>
  <c r="X323" i="2"/>
  <c r="W333" i="2"/>
  <c r="X333" i="2"/>
  <c r="W323" i="2"/>
  <c r="X343" i="2"/>
  <c r="Y369" i="2"/>
  <c r="W343" i="2"/>
  <c r="Y364" i="2"/>
  <c r="X370" i="2"/>
  <c r="W370" i="2"/>
  <c r="Y363" i="2"/>
  <c r="Y368" i="2"/>
  <c r="U177" i="2"/>
  <c r="T177" i="2"/>
  <c r="R177" i="2"/>
  <c r="Q177" i="2"/>
  <c r="O177" i="2"/>
  <c r="N177" i="2"/>
  <c r="N187" i="2"/>
  <c r="N174" i="2"/>
  <c r="N489" i="2"/>
  <c r="X227" i="2"/>
  <c r="W227" i="2"/>
  <c r="X226" i="2"/>
  <c r="W226" i="2"/>
  <c r="X208" i="2"/>
  <c r="W208" i="2"/>
  <c r="X207" i="2"/>
  <c r="W207" i="2"/>
  <c r="X206" i="2"/>
  <c r="W206" i="2"/>
  <c r="X186" i="2"/>
  <c r="W186" i="2"/>
  <c r="X185" i="2"/>
  <c r="W185" i="2"/>
  <c r="X183" i="2"/>
  <c r="W183" i="2"/>
  <c r="X182" i="2"/>
  <c r="W182" i="2"/>
  <c r="X181" i="2"/>
  <c r="W181" i="2"/>
  <c r="X180" i="2"/>
  <c r="W180" i="2"/>
  <c r="X179" i="2"/>
  <c r="W179" i="2"/>
  <c r="X178" i="2"/>
  <c r="W178" i="2"/>
  <c r="X173" i="2"/>
  <c r="W173" i="2"/>
  <c r="X172" i="2"/>
  <c r="W172" i="2"/>
  <c r="X171" i="2"/>
  <c r="W171" i="2"/>
  <c r="X170" i="2"/>
  <c r="W170" i="2"/>
  <c r="X169" i="2"/>
  <c r="W169" i="2"/>
  <c r="X165" i="2"/>
  <c r="W165" i="2"/>
  <c r="X164" i="2"/>
  <c r="W164" i="2"/>
  <c r="X160" i="2"/>
  <c r="W160" i="2"/>
  <c r="X151" i="2"/>
  <c r="W151" i="2"/>
  <c r="X150" i="2"/>
  <c r="W150" i="2"/>
  <c r="X146" i="2"/>
  <c r="AZ146" i="2"/>
  <c r="W146" i="2"/>
  <c r="AT146" i="2"/>
  <c r="X145" i="2"/>
  <c r="AZ145" i="2"/>
  <c r="W145" i="2"/>
  <c r="AT145" i="2"/>
  <c r="X144" i="2"/>
  <c r="AZ144" i="2"/>
  <c r="W144" i="2"/>
  <c r="AT144" i="2"/>
  <c r="X143" i="2"/>
  <c r="AZ143" i="2"/>
  <c r="W143" i="2"/>
  <c r="AT143" i="2"/>
  <c r="X142" i="2"/>
  <c r="AZ142" i="2"/>
  <c r="W142" i="2"/>
  <c r="AT142" i="2"/>
  <c r="X141" i="2"/>
  <c r="AZ141" i="2"/>
  <c r="W141" i="2"/>
  <c r="AT141" i="2"/>
  <c r="AZ140" i="2"/>
  <c r="AT140" i="2"/>
  <c r="AZ139" i="2"/>
  <c r="AT139" i="2"/>
  <c r="AZ138" i="2"/>
  <c r="W138" i="2"/>
  <c r="AT138" i="2"/>
  <c r="AZ137" i="2"/>
  <c r="AT137" i="2"/>
  <c r="N152" i="2"/>
  <c r="V96" i="2"/>
  <c r="S96" i="2"/>
  <c r="P96" i="2"/>
  <c r="Y95" i="2"/>
  <c r="Y94" i="2"/>
  <c r="Y93" i="2"/>
  <c r="Y92" i="2"/>
  <c r="Y87" i="2"/>
  <c r="Y86" i="2"/>
  <c r="Y85" i="2"/>
  <c r="Y84" i="2"/>
  <c r="Y78" i="2"/>
  <c r="Y79" i="2"/>
  <c r="Y80" i="2"/>
  <c r="Y77" i="2"/>
  <c r="V88" i="2"/>
  <c r="S88" i="2"/>
  <c r="P88" i="2"/>
  <c r="N73" i="2"/>
  <c r="N65" i="2"/>
  <c r="X72" i="2"/>
  <c r="W72" i="2"/>
  <c r="X71" i="2"/>
  <c r="W71" i="2"/>
  <c r="X70" i="2"/>
  <c r="W70" i="2"/>
  <c r="X69" i="2"/>
  <c r="W69" i="2"/>
  <c r="X68" i="2"/>
  <c r="W68" i="2"/>
  <c r="X64" i="2"/>
  <c r="W64" i="2"/>
  <c r="X63" i="2"/>
  <c r="W63" i="2"/>
  <c r="X62" i="2"/>
  <c r="W62" i="2"/>
  <c r="X61" i="2"/>
  <c r="W61" i="2"/>
  <c r="W57" i="2"/>
  <c r="W56" i="2"/>
  <c r="X51" i="2"/>
  <c r="W51" i="2"/>
  <c r="X50" i="2"/>
  <c r="W50" i="2"/>
  <c r="W48" i="2"/>
  <c r="X46" i="2"/>
  <c r="W46" i="2"/>
  <c r="X45" i="2"/>
  <c r="W45" i="2"/>
  <c r="W44" i="2"/>
  <c r="X39" i="2"/>
  <c r="W39" i="2"/>
  <c r="X38" i="2"/>
  <c r="W38" i="2"/>
  <c r="W32" i="2"/>
  <c r="AT32" i="2"/>
  <c r="AZ31" i="2"/>
  <c r="AZ30" i="2"/>
  <c r="X25" i="2"/>
  <c r="W25" i="2"/>
  <c r="X24" i="2"/>
  <c r="W24" i="2"/>
  <c r="X23" i="2"/>
  <c r="W23" i="2"/>
  <c r="X19" i="2"/>
  <c r="W19" i="2"/>
  <c r="X18" i="2"/>
  <c r="W18" i="2"/>
  <c r="AT620" i="2"/>
  <c r="AT597" i="2"/>
  <c r="AU594" i="2"/>
  <c r="AZ572" i="2"/>
  <c r="AT589" i="2"/>
  <c r="AU586" i="2"/>
  <c r="AT572" i="2"/>
  <c r="AK476" i="6"/>
  <c r="X16" i="3"/>
  <c r="Z13" i="3"/>
  <c r="Z14" i="3"/>
  <c r="Z15" i="3"/>
  <c r="AU13" i="3"/>
  <c r="AK468" i="6"/>
  <c r="U500" i="6"/>
  <c r="Y421" i="6"/>
  <c r="Y636" i="2"/>
  <c r="Z635" i="2"/>
  <c r="I467" i="6"/>
  <c r="AK491" i="6"/>
  <c r="AK486" i="6"/>
  <c r="AF451" i="6"/>
  <c r="Q446" i="6"/>
  <c r="Q426" i="6"/>
  <c r="Y418" i="6"/>
  <c r="Q472" i="6"/>
  <c r="R466" i="6" s="1"/>
  <c r="M433" i="6"/>
  <c r="AJ446" i="6"/>
  <c r="U450" i="6"/>
  <c r="U442" i="6"/>
  <c r="Q437" i="6"/>
  <c r="I432" i="6"/>
  <c r="I426" i="6"/>
  <c r="AC420" i="6"/>
  <c r="Y427" i="6"/>
  <c r="AE423" i="6"/>
  <c r="I438" i="6"/>
  <c r="K456" i="6"/>
  <c r="AC454" i="6"/>
  <c r="AG480" i="6"/>
  <c r="I475" i="6"/>
  <c r="M480" i="6"/>
  <c r="N474" i="6" s="1"/>
  <c r="AK499" i="6"/>
  <c r="M500" i="6"/>
  <c r="N494" i="6" s="1"/>
  <c r="AC446" i="6"/>
  <c r="AG437" i="6"/>
  <c r="O439" i="6"/>
  <c r="Y432" i="6"/>
  <c r="AK459" i="6"/>
  <c r="X456" i="6"/>
  <c r="AK482" i="6"/>
  <c r="X430" i="6"/>
  <c r="Q438" i="6"/>
  <c r="Y425" i="6"/>
  <c r="I433" i="6"/>
  <c r="Q433" i="6"/>
  <c r="Q454" i="6"/>
  <c r="AE456" i="6"/>
  <c r="I483" i="6"/>
  <c r="Q488" i="6"/>
  <c r="U444" i="6"/>
  <c r="U437" i="6"/>
  <c r="AE439" i="6"/>
  <c r="AG432" i="6"/>
  <c r="AC422" i="6"/>
  <c r="I420" i="6"/>
  <c r="U417" i="6"/>
  <c r="AK470" i="6"/>
  <c r="AG438" i="6"/>
  <c r="O430" i="6"/>
  <c r="Y433" i="6"/>
  <c r="AG433" i="6"/>
  <c r="AZ538" i="2"/>
  <c r="BA538" i="2"/>
  <c r="U362" i="6"/>
  <c r="Q377" i="6"/>
  <c r="AC370" i="6"/>
  <c r="Q362" i="6"/>
  <c r="U368" i="6"/>
  <c r="AT508" i="2"/>
  <c r="AU512" i="2"/>
  <c r="M374" i="6"/>
  <c r="AT538" i="2"/>
  <c r="AU535" i="2"/>
  <c r="AC381" i="6"/>
  <c r="I379" i="6"/>
  <c r="AF365" i="6"/>
  <c r="Y376" i="6"/>
  <c r="AG363" i="6"/>
  <c r="O365" i="6"/>
  <c r="AT407" i="2"/>
  <c r="AU405" i="2"/>
  <c r="AT400" i="2"/>
  <c r="AU394" i="2"/>
  <c r="AT379" i="2"/>
  <c r="AU379" i="2"/>
  <c r="U399" i="6"/>
  <c r="U381" i="6"/>
  <c r="AG386" i="6"/>
  <c r="U380" i="6"/>
  <c r="U378" i="6"/>
  <c r="U374" i="6"/>
  <c r="U361" i="6"/>
  <c r="AC369" i="6"/>
  <c r="W389" i="6"/>
  <c r="I376" i="6"/>
  <c r="M361" i="6"/>
  <c r="I367" i="6"/>
  <c r="AF341" i="6"/>
  <c r="AZ480" i="2"/>
  <c r="M399" i="6"/>
  <c r="N399" i="6" s="1"/>
  <c r="I373" i="6"/>
  <c r="AC364" i="6"/>
  <c r="AC388" i="6"/>
  <c r="AG376" i="6"/>
  <c r="AC374" i="6"/>
  <c r="AF371" i="6"/>
  <c r="Q363" i="6"/>
  <c r="AF351" i="6"/>
  <c r="M275" i="6"/>
  <c r="M264" i="6"/>
  <c r="Y346" i="6"/>
  <c r="AZ400" i="2"/>
  <c r="BA394" i="2"/>
  <c r="AC348" i="6"/>
  <c r="P489" i="2"/>
  <c r="P491" i="2"/>
  <c r="W489" i="2"/>
  <c r="N491" i="2"/>
  <c r="U276" i="6"/>
  <c r="U277" i="6"/>
  <c r="AC343" i="6"/>
  <c r="AC309" i="6"/>
  <c r="M340" i="6"/>
  <c r="Q309" i="6"/>
  <c r="U348" i="6"/>
  <c r="Q344" i="6"/>
  <c r="AT441" i="2"/>
  <c r="AU438" i="2"/>
  <c r="Y347" i="6"/>
  <c r="AU584" i="2"/>
  <c r="AF333" i="6"/>
  <c r="S351" i="6"/>
  <c r="Q340" i="6"/>
  <c r="AG309" i="6"/>
  <c r="M344" i="6"/>
  <c r="AC290" i="6"/>
  <c r="AG272" i="6"/>
  <c r="AC298" i="6"/>
  <c r="AC324" i="6"/>
  <c r="Q272" i="6"/>
  <c r="Y276" i="6"/>
  <c r="U263" i="6"/>
  <c r="U265" i="6" s="1"/>
  <c r="M332" i="6"/>
  <c r="AC314" i="6"/>
  <c r="U305" i="6"/>
  <c r="U331" i="6"/>
  <c r="Y305" i="6"/>
  <c r="AC300" i="6"/>
  <c r="AT480" i="2"/>
  <c r="AU474" i="2"/>
  <c r="AT460" i="2"/>
  <c r="AU459" i="2"/>
  <c r="M289" i="6"/>
  <c r="U336" i="6"/>
  <c r="M324" i="6"/>
  <c r="AJ298" i="6"/>
  <c r="K320" i="6"/>
  <c r="I299" i="6"/>
  <c r="T265" i="6"/>
  <c r="Y287" i="6"/>
  <c r="AE292" i="6"/>
  <c r="I317" i="6"/>
  <c r="Y315" i="6"/>
  <c r="I323" i="6"/>
  <c r="AT360" i="2"/>
  <c r="AU360" i="2"/>
  <c r="M318" i="6"/>
  <c r="U288" i="6"/>
  <c r="AC286" i="6"/>
  <c r="Y332" i="6"/>
  <c r="AC277" i="6"/>
  <c r="AG271" i="6"/>
  <c r="O265" i="6"/>
  <c r="U262" i="6"/>
  <c r="Q335" i="6"/>
  <c r="Q316" i="6"/>
  <c r="Q312" i="6"/>
  <c r="AG312" i="6"/>
  <c r="AF292" i="6"/>
  <c r="K292" i="6"/>
  <c r="AG273" i="6"/>
  <c r="AC267" i="6"/>
  <c r="M317" i="6"/>
  <c r="U300" i="6"/>
  <c r="AF291" i="6"/>
  <c r="M330" i="6"/>
  <c r="I304" i="6"/>
  <c r="K310" i="6"/>
  <c r="AC289" i="6"/>
  <c r="AC275" i="6"/>
  <c r="U264" i="6"/>
  <c r="U335" i="6"/>
  <c r="Q324" i="6"/>
  <c r="AF320" i="6"/>
  <c r="W291" i="6"/>
  <c r="M272" i="6"/>
  <c r="M268" i="6"/>
  <c r="Q266" i="6"/>
  <c r="AC266" i="6"/>
  <c r="AG263" i="6"/>
  <c r="AC262" i="6"/>
  <c r="W341" i="6"/>
  <c r="L333" i="6"/>
  <c r="S320" i="6"/>
  <c r="Q299" i="6"/>
  <c r="U299" i="6"/>
  <c r="AF265" i="6"/>
  <c r="I347" i="6"/>
  <c r="U325" i="6"/>
  <c r="Y267" i="6"/>
  <c r="Q317" i="6"/>
  <c r="M298" i="6"/>
  <c r="I296" i="6"/>
  <c r="O333" i="6"/>
  <c r="U323" i="6"/>
  <c r="Y323" i="6"/>
  <c r="Q304" i="6"/>
  <c r="AC264" i="6"/>
  <c r="M286" i="6"/>
  <c r="I263" i="6"/>
  <c r="M288" i="6"/>
  <c r="U270" i="6"/>
  <c r="U266" i="6"/>
  <c r="AG335" i="6"/>
  <c r="I318" i="6"/>
  <c r="Y314" i="6"/>
  <c r="I312" i="6"/>
  <c r="U297" i="6"/>
  <c r="P292" i="6"/>
  <c r="H265" i="6"/>
  <c r="O292" i="6"/>
  <c r="U317" i="6"/>
  <c r="U313" i="6"/>
  <c r="Q298" i="6"/>
  <c r="M296" i="6"/>
  <c r="AJ270" i="6"/>
  <c r="AA333" i="6"/>
  <c r="AG323" i="6"/>
  <c r="AG304" i="6"/>
  <c r="Y275" i="6"/>
  <c r="Q269" i="6"/>
  <c r="AC254" i="6"/>
  <c r="U254" i="6"/>
  <c r="U253" i="6"/>
  <c r="M253" i="6"/>
  <c r="AB255" i="6"/>
  <c r="Q245" i="6"/>
  <c r="AC253" i="6"/>
  <c r="T255" i="6"/>
  <c r="U248" i="6"/>
  <c r="S255" i="6"/>
  <c r="O222" i="6"/>
  <c r="Z665" i="2"/>
  <c r="AU587" i="2"/>
  <c r="Y245" i="6"/>
  <c r="W246" i="6"/>
  <c r="Y248" i="6"/>
  <c r="W255" i="6"/>
  <c r="M244" i="6"/>
  <c r="S222" i="6"/>
  <c r="W222" i="6"/>
  <c r="M254" i="6"/>
  <c r="I253" i="6"/>
  <c r="G246" i="6"/>
  <c r="I248" i="6"/>
  <c r="AA255" i="6"/>
  <c r="AC248" i="6"/>
  <c r="AC244" i="6"/>
  <c r="O246" i="6"/>
  <c r="AE231" i="6"/>
  <c r="AG249" i="6"/>
  <c r="AG243" i="6"/>
  <c r="AE246" i="6"/>
  <c r="K255" i="6"/>
  <c r="U244" i="6"/>
  <c r="AA222" i="6"/>
  <c r="Y254" i="6"/>
  <c r="Y255" i="6" s="1"/>
  <c r="Z438" i="6" s="1"/>
  <c r="Q253" i="6"/>
  <c r="Y253" i="6"/>
  <c r="L255" i="6"/>
  <c r="BA537" i="2"/>
  <c r="AU585" i="2"/>
  <c r="AU593" i="2"/>
  <c r="AU588" i="2"/>
  <c r="AU589" i="2"/>
  <c r="AU592" i="2"/>
  <c r="AU595" i="2"/>
  <c r="AU583" i="2"/>
  <c r="AU620" i="2"/>
  <c r="AU616" i="2"/>
  <c r="AU612" i="2"/>
  <c r="AU619" i="2"/>
  <c r="AU618" i="2"/>
  <c r="AU614" i="2"/>
  <c r="AU611" i="2"/>
  <c r="AU617" i="2"/>
  <c r="AU613" i="2"/>
  <c r="AU615" i="2"/>
  <c r="AT14" i="2"/>
  <c r="AU605" i="2"/>
  <c r="AU606" i="2"/>
  <c r="AU601" i="2"/>
  <c r="AU607" i="2"/>
  <c r="AU600" i="2"/>
  <c r="AT13" i="2"/>
  <c r="AO18" i="2"/>
  <c r="AO20" i="2"/>
  <c r="AO19" i="2"/>
  <c r="Z668" i="2"/>
  <c r="AU580" i="2"/>
  <c r="AU576" i="2"/>
  <c r="AU578" i="2"/>
  <c r="AU577" i="2"/>
  <c r="AU579" i="2"/>
  <c r="AZ150" i="2"/>
  <c r="H130" i="6"/>
  <c r="AZ155" i="2"/>
  <c r="AZ157" i="2"/>
  <c r="AZ159" i="2"/>
  <c r="AZ164" i="2"/>
  <c r="H142" i="6"/>
  <c r="H144" i="6" s="1"/>
  <c r="AZ169" i="2"/>
  <c r="H146" i="6"/>
  <c r="AZ171" i="2"/>
  <c r="H148" i="6"/>
  <c r="AZ173" i="2"/>
  <c r="H150" i="6"/>
  <c r="I150" i="6" s="1"/>
  <c r="AZ179" i="2"/>
  <c r="H155" i="6"/>
  <c r="AZ181" i="2"/>
  <c r="H157" i="6"/>
  <c r="AZ183" i="2"/>
  <c r="H159" i="6"/>
  <c r="AZ186" i="2"/>
  <c r="H161" i="6"/>
  <c r="AZ207" i="2"/>
  <c r="H167" i="6"/>
  <c r="AZ231" i="2"/>
  <c r="AZ233" i="2"/>
  <c r="AZ235" i="2"/>
  <c r="AZ240" i="2"/>
  <c r="AZ242" i="2"/>
  <c r="AT151" i="2"/>
  <c r="G131" i="6"/>
  <c r="AI131" i="6" s="1"/>
  <c r="AT156" i="2"/>
  <c r="AT158" i="2"/>
  <c r="AT160" i="2"/>
  <c r="AT165" i="2"/>
  <c r="G143" i="6"/>
  <c r="AT170" i="2"/>
  <c r="G147" i="6"/>
  <c r="AT172" i="2"/>
  <c r="G149" i="6"/>
  <c r="G154" i="6"/>
  <c r="AT180" i="2"/>
  <c r="G156" i="6"/>
  <c r="AI156" i="6" s="1"/>
  <c r="AT182" i="2"/>
  <c r="G158" i="6"/>
  <c r="AT185" i="2"/>
  <c r="G160" i="6"/>
  <c r="G166" i="6"/>
  <c r="AI166" i="6" s="1"/>
  <c r="AT208" i="2"/>
  <c r="G168" i="6"/>
  <c r="AT232" i="2"/>
  <c r="AT234" i="2"/>
  <c r="AT239" i="2"/>
  <c r="AT241" i="2"/>
  <c r="AT243" i="2"/>
  <c r="AZ151" i="2"/>
  <c r="H131" i="6"/>
  <c r="AZ156" i="2"/>
  <c r="AZ158" i="2"/>
  <c r="AZ160" i="2"/>
  <c r="AZ165" i="2"/>
  <c r="H143" i="6"/>
  <c r="AJ143" i="6" s="1"/>
  <c r="AZ170" i="2"/>
  <c r="H147" i="6"/>
  <c r="AZ172" i="2"/>
  <c r="H149" i="6"/>
  <c r="H154" i="6"/>
  <c r="AJ154" i="6" s="1"/>
  <c r="AZ180" i="2"/>
  <c r="H156" i="6"/>
  <c r="AJ156" i="6" s="1"/>
  <c r="AZ182" i="2"/>
  <c r="H158" i="6"/>
  <c r="AJ158" i="6" s="1"/>
  <c r="AZ185" i="2"/>
  <c r="H160" i="6"/>
  <c r="H166" i="6"/>
  <c r="AZ208" i="2"/>
  <c r="H168" i="6"/>
  <c r="AZ232" i="2"/>
  <c r="AZ234" i="2"/>
  <c r="AC176" i="6"/>
  <c r="AZ239" i="2"/>
  <c r="AZ241" i="2"/>
  <c r="AZ243" i="2"/>
  <c r="AT150" i="2"/>
  <c r="AT152" i="2"/>
  <c r="G130" i="6"/>
  <c r="AT155" i="2"/>
  <c r="AT157" i="2"/>
  <c r="AT159" i="2"/>
  <c r="AT164" i="2"/>
  <c r="G142" i="6"/>
  <c r="AT169" i="2"/>
  <c r="G146" i="6"/>
  <c r="AT171" i="2"/>
  <c r="M148" i="6"/>
  <c r="G148" i="6"/>
  <c r="I148" i="6" s="1"/>
  <c r="AT173" i="2"/>
  <c r="G150" i="6"/>
  <c r="M150" i="6"/>
  <c r="AT179" i="2"/>
  <c r="G155" i="6"/>
  <c r="AT181" i="2"/>
  <c r="AG157" i="6"/>
  <c r="Q157" i="6"/>
  <c r="G157" i="6"/>
  <c r="AT183" i="2"/>
  <c r="G159" i="6"/>
  <c r="AT186" i="2"/>
  <c r="AG161" i="6"/>
  <c r="U161" i="6"/>
  <c r="M161" i="6"/>
  <c r="G161" i="6"/>
  <c r="AI161" i="6" s="1"/>
  <c r="AT207" i="2"/>
  <c r="G167" i="6"/>
  <c r="AG167" i="6"/>
  <c r="AT231" i="2"/>
  <c r="AT233" i="2"/>
  <c r="AT235" i="2"/>
  <c r="AT240" i="2"/>
  <c r="AT242" i="2"/>
  <c r="I79" i="6"/>
  <c r="I92" i="6"/>
  <c r="H27" i="6"/>
  <c r="AZ25" i="2"/>
  <c r="AT46" i="2"/>
  <c r="G51" i="6"/>
  <c r="AT52" i="2"/>
  <c r="I82" i="6"/>
  <c r="I83" i="6" s="1"/>
  <c r="J80" i="6" s="1"/>
  <c r="G26" i="6"/>
  <c r="AT24" i="2"/>
  <c r="H44" i="6"/>
  <c r="AZ44" i="2"/>
  <c r="AZ46" i="2"/>
  <c r="H51" i="6"/>
  <c r="AZ48" i="2"/>
  <c r="AZ50" i="2"/>
  <c r="H55" i="6"/>
  <c r="AZ52" i="2"/>
  <c r="AZ54" i="2"/>
  <c r="AZ56" i="2"/>
  <c r="AZ61" i="2"/>
  <c r="H65" i="6"/>
  <c r="AZ63" i="2"/>
  <c r="H67" i="6"/>
  <c r="I67" i="6" s="1"/>
  <c r="I81" i="6"/>
  <c r="I87" i="6"/>
  <c r="I94" i="6"/>
  <c r="G44" i="6"/>
  <c r="AI44" i="6" s="1"/>
  <c r="AT48" i="2"/>
  <c r="AG53" i="6"/>
  <c r="G53" i="6"/>
  <c r="AT54" i="2"/>
  <c r="AG59" i="6"/>
  <c r="AC59" i="6"/>
  <c r="I86" i="6"/>
  <c r="I91" i="23" s="1"/>
  <c r="H26" i="6"/>
  <c r="AJ26" i="6" s="1"/>
  <c r="AZ24" i="2"/>
  <c r="AT39" i="2"/>
  <c r="G45" i="6"/>
  <c r="AT45" i="2"/>
  <c r="G50" i="6"/>
  <c r="AT47" i="2"/>
  <c r="AT49" i="2"/>
  <c r="AT51" i="2"/>
  <c r="G56" i="6"/>
  <c r="AT53" i="2"/>
  <c r="AT55" i="2"/>
  <c r="AT57" i="2"/>
  <c r="G62" i="6"/>
  <c r="AT62" i="2"/>
  <c r="G66" i="6"/>
  <c r="AT64" i="2"/>
  <c r="G68" i="6"/>
  <c r="I80" i="6"/>
  <c r="I88" i="6"/>
  <c r="I93" i="23" s="1"/>
  <c r="AK93" i="23" s="1"/>
  <c r="I95" i="6"/>
  <c r="I96" i="6" s="1"/>
  <c r="H25" i="6"/>
  <c r="AZ23" i="2"/>
  <c r="AT44" i="2"/>
  <c r="G49" i="6"/>
  <c r="AI49" i="6" s="1"/>
  <c r="AT50" i="2"/>
  <c r="G55" i="6"/>
  <c r="AT56" i="2"/>
  <c r="AC61" i="6"/>
  <c r="Q61" i="6"/>
  <c r="G61" i="6"/>
  <c r="AT70" i="2"/>
  <c r="G73" i="6"/>
  <c r="I93" i="6"/>
  <c r="G25" i="6"/>
  <c r="I25" i="6" s="1"/>
  <c r="AT23" i="2"/>
  <c r="G27" i="6"/>
  <c r="I27" i="6" s="1"/>
  <c r="AG27" i="6"/>
  <c r="AT25" i="2"/>
  <c r="AZ39" i="2"/>
  <c r="H45" i="6"/>
  <c r="AZ45" i="2"/>
  <c r="H50" i="6"/>
  <c r="AZ47" i="2"/>
  <c r="AZ49" i="2"/>
  <c r="AZ51" i="2"/>
  <c r="H56" i="6"/>
  <c r="AZ53" i="2"/>
  <c r="AZ55" i="2"/>
  <c r="AZ57" i="2"/>
  <c r="AZ62" i="2"/>
  <c r="H66" i="6"/>
  <c r="AZ64" i="2"/>
  <c r="H68" i="6"/>
  <c r="AZ69" i="2"/>
  <c r="H72" i="6"/>
  <c r="AZ18" i="2"/>
  <c r="AT19" i="2"/>
  <c r="AZ19" i="2"/>
  <c r="AT18" i="2"/>
  <c r="AT20" i="2"/>
  <c r="AU18" i="2"/>
  <c r="AT61" i="2"/>
  <c r="G65" i="6"/>
  <c r="AT63" i="2"/>
  <c r="G67" i="6"/>
  <c r="AZ71" i="2"/>
  <c r="H74" i="6"/>
  <c r="AZ70" i="2"/>
  <c r="H73" i="6"/>
  <c r="AC73" i="6"/>
  <c r="AT69" i="2"/>
  <c r="G72" i="6"/>
  <c r="U72" i="6"/>
  <c r="Q72" i="6"/>
  <c r="AT72" i="2"/>
  <c r="G75" i="6"/>
  <c r="AT68" i="2"/>
  <c r="G71" i="6"/>
  <c r="AI71" i="6" s="1"/>
  <c r="AZ68" i="2"/>
  <c r="H71" i="6"/>
  <c r="AZ72" i="2"/>
  <c r="H75" i="6"/>
  <c r="AT71" i="2"/>
  <c r="G74" i="6"/>
  <c r="AU348" i="2"/>
  <c r="AU337" i="2"/>
  <c r="AU351" i="2"/>
  <c r="AU352" i="2"/>
  <c r="AU341" i="2"/>
  <c r="AU350" i="2"/>
  <c r="AU343" i="2"/>
  <c r="AU353" i="2"/>
  <c r="AU342" i="2"/>
  <c r="AU349" i="2"/>
  <c r="AU346" i="2"/>
  <c r="AU479" i="2"/>
  <c r="AU347" i="2"/>
  <c r="AU430" i="2"/>
  <c r="AU429" i="2"/>
  <c r="AU425" i="2"/>
  <c r="AU424" i="2"/>
  <c r="AU194" i="2"/>
  <c r="AU200" i="2"/>
  <c r="AU468" i="2"/>
  <c r="AU463" i="2"/>
  <c r="AU469" i="2"/>
  <c r="AU464" i="2"/>
  <c r="AU332" i="2"/>
  <c r="AU327" i="2"/>
  <c r="AU331" i="2"/>
  <c r="AU326" i="2"/>
  <c r="AU333" i="2"/>
  <c r="AT206" i="2"/>
  <c r="W210" i="2"/>
  <c r="AU316" i="2"/>
  <c r="AU322" i="2"/>
  <c r="AU323" i="2"/>
  <c r="AU317" i="2"/>
  <c r="AU321" i="2"/>
  <c r="AZ206" i="2"/>
  <c r="X210" i="2"/>
  <c r="AU368" i="2"/>
  <c r="AU370" i="2"/>
  <c r="AU363" i="2"/>
  <c r="AU369" i="2"/>
  <c r="AU364" i="2"/>
  <c r="AT38" i="2"/>
  <c r="W41" i="2"/>
  <c r="X187" i="2"/>
  <c r="AZ178" i="2"/>
  <c r="AZ38" i="2"/>
  <c r="X41" i="2"/>
  <c r="W187" i="2"/>
  <c r="AT178" i="2"/>
  <c r="Z658" i="2"/>
  <c r="Z670" i="2"/>
  <c r="Z667" i="2"/>
  <c r="Z655" i="2"/>
  <c r="Z660" i="2"/>
  <c r="Z669" i="2"/>
  <c r="Z662" i="2"/>
  <c r="Z657" i="2"/>
  <c r="Z659" i="2"/>
  <c r="Z654" i="2"/>
  <c r="Z663" i="2"/>
  <c r="Z661" i="2"/>
  <c r="Z627" i="2"/>
  <c r="Y650" i="2"/>
  <c r="Y643" i="2"/>
  <c r="Z623" i="2"/>
  <c r="Z628" i="2"/>
  <c r="Z624" i="2"/>
  <c r="Z626" i="2"/>
  <c r="S177" i="2"/>
  <c r="Y572" i="2"/>
  <c r="P177" i="2"/>
  <c r="X177" i="2"/>
  <c r="Y430" i="2"/>
  <c r="Y469" i="2"/>
  <c r="Y370" i="2"/>
  <c r="V177" i="2"/>
  <c r="W177" i="2"/>
  <c r="Y88" i="2"/>
  <c r="Y96" i="2"/>
  <c r="M243" i="2"/>
  <c r="M242" i="2"/>
  <c r="M241" i="2"/>
  <c r="M240" i="2"/>
  <c r="M239" i="2"/>
  <c r="M235" i="2"/>
  <c r="M234" i="2"/>
  <c r="M233" i="2"/>
  <c r="M232" i="2"/>
  <c r="M231" i="2"/>
  <c r="M221" i="2"/>
  <c r="M220" i="2"/>
  <c r="M215" i="2"/>
  <c r="M214" i="2"/>
  <c r="P206" i="2"/>
  <c r="P210" i="2"/>
  <c r="Y185" i="2"/>
  <c r="Y180" i="2"/>
  <c r="V186" i="2"/>
  <c r="V185" i="2"/>
  <c r="V183" i="2"/>
  <c r="V182" i="2"/>
  <c r="V181" i="2"/>
  <c r="V180" i="2"/>
  <c r="V179" i="2"/>
  <c r="V178" i="2"/>
  <c r="S186" i="2"/>
  <c r="S185" i="2"/>
  <c r="S183" i="2"/>
  <c r="S182" i="2"/>
  <c r="S181" i="2"/>
  <c r="S180" i="2"/>
  <c r="S179" i="2"/>
  <c r="S178" i="2"/>
  <c r="P186" i="2"/>
  <c r="P185" i="2"/>
  <c r="P183" i="2"/>
  <c r="P182" i="2"/>
  <c r="P181" i="2"/>
  <c r="P180" i="2"/>
  <c r="P179" i="2"/>
  <c r="P178" i="2"/>
  <c r="V173" i="2"/>
  <c r="V172" i="2"/>
  <c r="V171" i="2"/>
  <c r="V170" i="2"/>
  <c r="V169" i="2"/>
  <c r="S173" i="2"/>
  <c r="S172" i="2"/>
  <c r="S171" i="2"/>
  <c r="S170" i="2"/>
  <c r="S169" i="2"/>
  <c r="P173" i="2"/>
  <c r="P172" i="2"/>
  <c r="P171" i="2"/>
  <c r="P170" i="2"/>
  <c r="P169" i="2"/>
  <c r="Y171" i="2"/>
  <c r="Y170" i="2"/>
  <c r="M165" i="2"/>
  <c r="M164" i="2"/>
  <c r="M160" i="2"/>
  <c r="M159" i="2"/>
  <c r="M158" i="2"/>
  <c r="M157" i="2"/>
  <c r="M156" i="2"/>
  <c r="M155" i="2"/>
  <c r="M146" i="2"/>
  <c r="M145" i="2"/>
  <c r="M144" i="2"/>
  <c r="M143" i="2"/>
  <c r="M142" i="2"/>
  <c r="M141" i="2"/>
  <c r="M140" i="2"/>
  <c r="M139" i="2"/>
  <c r="M138" i="2"/>
  <c r="M137" i="2"/>
  <c r="M57" i="2"/>
  <c r="M56" i="2"/>
  <c r="M55" i="2"/>
  <c r="M54" i="2"/>
  <c r="M53" i="2"/>
  <c r="M52" i="2"/>
  <c r="M51" i="2"/>
  <c r="M50" i="2"/>
  <c r="M49" i="2"/>
  <c r="M48" i="2"/>
  <c r="M47" i="2"/>
  <c r="M46" i="2"/>
  <c r="M45" i="2"/>
  <c r="M44" i="2"/>
  <c r="V151" i="2"/>
  <c r="V150" i="2"/>
  <c r="S151" i="2"/>
  <c r="S150" i="2"/>
  <c r="P151" i="2"/>
  <c r="P150" i="2"/>
  <c r="Y71" i="2"/>
  <c r="V72" i="2"/>
  <c r="V71" i="2"/>
  <c r="V70" i="2"/>
  <c r="V69" i="2"/>
  <c r="V68" i="2"/>
  <c r="S72" i="2"/>
  <c r="S71" i="2"/>
  <c r="S70" i="2"/>
  <c r="S69" i="2"/>
  <c r="S68" i="2"/>
  <c r="P72" i="2"/>
  <c r="P71" i="2"/>
  <c r="P70" i="2"/>
  <c r="P69" i="2"/>
  <c r="P68" i="2"/>
  <c r="Y62" i="2"/>
  <c r="V64" i="2"/>
  <c r="V63" i="2"/>
  <c r="V62" i="2"/>
  <c r="V61" i="2"/>
  <c r="S64" i="2"/>
  <c r="S63" i="2"/>
  <c r="S62" i="2"/>
  <c r="S61" i="2"/>
  <c r="P64" i="2"/>
  <c r="P63" i="2"/>
  <c r="P62" i="2"/>
  <c r="P61" i="2"/>
  <c r="Y57" i="2"/>
  <c r="Y53" i="2"/>
  <c r="Y45" i="2"/>
  <c r="P38" i="2"/>
  <c r="P41" i="2"/>
  <c r="M25" i="2"/>
  <c r="M24" i="2"/>
  <c r="M23" i="2"/>
  <c r="V19" i="2"/>
  <c r="V18" i="2"/>
  <c r="S19" i="2"/>
  <c r="S18" i="2"/>
  <c r="P19" i="2"/>
  <c r="P18" i="2"/>
  <c r="N20" i="2"/>
  <c r="M14" i="2"/>
  <c r="M13" i="2"/>
  <c r="Z632" i="2"/>
  <c r="AU596" i="2"/>
  <c r="AU597" i="2"/>
  <c r="R504" i="6"/>
  <c r="AT166" i="2"/>
  <c r="AT161" i="2"/>
  <c r="AU160" i="2"/>
  <c r="Z636" i="2"/>
  <c r="Z634" i="2"/>
  <c r="BA536" i="2"/>
  <c r="J17" i="7"/>
  <c r="R474" i="6"/>
  <c r="V487" i="6"/>
  <c r="V488" i="6"/>
  <c r="V475" i="6"/>
  <c r="V480" i="6"/>
  <c r="AD488" i="6"/>
  <c r="AD483" i="6"/>
  <c r="Z475" i="6"/>
  <c r="Z480" i="6"/>
  <c r="Z459" i="6"/>
  <c r="Z463" i="6"/>
  <c r="Z460" i="6"/>
  <c r="Z498" i="6"/>
  <c r="Z497" i="6"/>
  <c r="Z483" i="6"/>
  <c r="Z488" i="6"/>
  <c r="AD474" i="6"/>
  <c r="AD475" i="6"/>
  <c r="N492" i="6"/>
  <c r="R495" i="6"/>
  <c r="R493" i="6"/>
  <c r="R492" i="6"/>
  <c r="R497" i="6"/>
  <c r="R498" i="6"/>
  <c r="AD467" i="6"/>
  <c r="AD471" i="6"/>
  <c r="V471" i="6"/>
  <c r="V467" i="6"/>
  <c r="AD496" i="6"/>
  <c r="AD494" i="6"/>
  <c r="AD500" i="6"/>
  <c r="AD493" i="6"/>
  <c r="AD492" i="6"/>
  <c r="R472" i="6"/>
  <c r="R459" i="6"/>
  <c r="R458" i="6"/>
  <c r="AD507" i="6"/>
  <c r="AD505" i="6"/>
  <c r="AD503" i="6"/>
  <c r="Z472" i="6"/>
  <c r="Z466" i="6"/>
  <c r="AD463" i="6"/>
  <c r="AD462" i="6"/>
  <c r="AD461" i="6"/>
  <c r="Z506" i="6"/>
  <c r="Z504" i="6"/>
  <c r="Z505" i="6"/>
  <c r="BA535" i="2"/>
  <c r="AU404" i="2"/>
  <c r="AU403" i="2"/>
  <c r="AU571" i="2"/>
  <c r="AU388" i="2"/>
  <c r="AU570" i="2"/>
  <c r="AU387" i="2"/>
  <c r="AU507" i="2"/>
  <c r="AU536" i="2"/>
  <c r="AU478" i="2"/>
  <c r="AU384" i="2"/>
  <c r="AU386" i="2"/>
  <c r="AU389" i="2"/>
  <c r="AU392" i="2"/>
  <c r="AU572" i="2"/>
  <c r="AU393" i="2"/>
  <c r="AU537" i="2"/>
  <c r="AU538" i="2"/>
  <c r="AU407" i="2"/>
  <c r="AU504" i="2"/>
  <c r="AU402" i="2"/>
  <c r="AU505" i="2"/>
  <c r="AU508" i="2"/>
  <c r="AU511" i="2"/>
  <c r="AU513" i="2"/>
  <c r="AU406" i="2"/>
  <c r="AU435" i="2"/>
  <c r="AU506" i="2"/>
  <c r="AU514" i="2"/>
  <c r="AU439" i="2"/>
  <c r="AU440" i="2"/>
  <c r="AU433" i="2"/>
  <c r="AU376" i="2"/>
  <c r="AU437" i="2"/>
  <c r="AU472" i="2"/>
  <c r="AU378" i="2"/>
  <c r="AU434" i="2"/>
  <c r="AU441" i="2"/>
  <c r="AU457" i="2"/>
  <c r="AU385" i="2"/>
  <c r="AU400" i="2"/>
  <c r="AU391" i="2"/>
  <c r="V397" i="6"/>
  <c r="AU377" i="2"/>
  <c r="AU436" i="2"/>
  <c r="AU460" i="2"/>
  <c r="AU395" i="2"/>
  <c r="AU390" i="2"/>
  <c r="AU382" i="2"/>
  <c r="AU383" i="2"/>
  <c r="AU476" i="2"/>
  <c r="AU477" i="2"/>
  <c r="AU473" i="2"/>
  <c r="AU480" i="2"/>
  <c r="Y489" i="2"/>
  <c r="Y491" i="2"/>
  <c r="W491" i="2"/>
  <c r="AU475" i="2"/>
  <c r="AU458" i="2"/>
  <c r="AU358" i="2"/>
  <c r="AU357" i="2"/>
  <c r="AU359" i="2"/>
  <c r="AC255" i="6"/>
  <c r="AT15" i="2"/>
  <c r="AU15" i="2"/>
  <c r="M73" i="6"/>
  <c r="Y53" i="6"/>
  <c r="Q27" i="6"/>
  <c r="AZ210" i="2"/>
  <c r="BA209" i="2"/>
  <c r="AT73" i="2"/>
  <c r="AU70" i="2"/>
  <c r="U175" i="6"/>
  <c r="J183" i="6"/>
  <c r="P152" i="2"/>
  <c r="V152" i="2"/>
  <c r="AG72" i="6"/>
  <c r="M27" i="6"/>
  <c r="M61" i="6"/>
  <c r="Q59" i="6"/>
  <c r="M53" i="6"/>
  <c r="U148" i="6"/>
  <c r="U22" i="6"/>
  <c r="U73" i="6"/>
  <c r="Q55" i="6"/>
  <c r="X28" i="6"/>
  <c r="S73" i="2"/>
  <c r="S174" i="2"/>
  <c r="Q22" i="6"/>
  <c r="AG22" i="6"/>
  <c r="V73" i="2"/>
  <c r="S152" i="2"/>
  <c r="M22" i="6"/>
  <c r="AC22" i="6"/>
  <c r="AJ22" i="6"/>
  <c r="AT174" i="2"/>
  <c r="AU169" i="2"/>
  <c r="Y22" i="6"/>
  <c r="P20" i="2"/>
  <c r="S20" i="2"/>
  <c r="AU13" i="2"/>
  <c r="V174" i="2"/>
  <c r="M15" i="2"/>
  <c r="P65" i="2"/>
  <c r="S65" i="2"/>
  <c r="V65" i="2"/>
  <c r="AI22" i="6"/>
  <c r="AK22" i="6" s="1"/>
  <c r="P174" i="2"/>
  <c r="U150" i="6"/>
  <c r="AC150" i="6"/>
  <c r="Y177" i="6"/>
  <c r="M159" i="6"/>
  <c r="AC148" i="6"/>
  <c r="Y175" i="6"/>
  <c r="U155" i="6"/>
  <c r="AT58" i="2"/>
  <c r="AU44" i="2"/>
  <c r="AT41" i="2"/>
  <c r="AU40" i="2"/>
  <c r="AZ41" i="2"/>
  <c r="BA40" i="2"/>
  <c r="AT236" i="2"/>
  <c r="AU235" i="2"/>
  <c r="AT244" i="2"/>
  <c r="AU243" i="2"/>
  <c r="AT210" i="2"/>
  <c r="AU209" i="2"/>
  <c r="AZ20" i="2"/>
  <c r="BA19" i="2"/>
  <c r="M177" i="6"/>
  <c r="Q177" i="6"/>
  <c r="Y159" i="6"/>
  <c r="Y148" i="6"/>
  <c r="AG175" i="6"/>
  <c r="Q155" i="6"/>
  <c r="Q150" i="6"/>
  <c r="AU58" i="2"/>
  <c r="AC175" i="6"/>
  <c r="M175" i="6"/>
  <c r="M155" i="6"/>
  <c r="Q159" i="6"/>
  <c r="AG148" i="6"/>
  <c r="X169" i="6"/>
  <c r="AC177" i="6"/>
  <c r="I175" i="6"/>
  <c r="S178" i="6"/>
  <c r="Y173" i="6"/>
  <c r="W178" i="6"/>
  <c r="I161" i="6"/>
  <c r="Y146" i="6"/>
  <c r="G144" i="6"/>
  <c r="W132" i="6"/>
  <c r="Y130" i="6"/>
  <c r="L169" i="6"/>
  <c r="Q176" i="6"/>
  <c r="AC174" i="6"/>
  <c r="AE169" i="6"/>
  <c r="S169" i="6"/>
  <c r="U158" i="6"/>
  <c r="Y156" i="6"/>
  <c r="U154" i="6"/>
  <c r="Q149" i="6"/>
  <c r="Y149" i="6"/>
  <c r="Q147" i="6"/>
  <c r="I147" i="6"/>
  <c r="Q143" i="6"/>
  <c r="Y131" i="6"/>
  <c r="L178" i="6"/>
  <c r="AB178" i="6"/>
  <c r="L151" i="6"/>
  <c r="L354" i="6" s="1"/>
  <c r="X144" i="6"/>
  <c r="X132" i="6"/>
  <c r="I173" i="6"/>
  <c r="K178" i="6"/>
  <c r="M173" i="6"/>
  <c r="U146" i="6"/>
  <c r="AC146" i="6"/>
  <c r="M142" i="6"/>
  <c r="AC142" i="6"/>
  <c r="K132" i="6"/>
  <c r="M130" i="6"/>
  <c r="AC130" i="6"/>
  <c r="AC132" i="6" s="1"/>
  <c r="AD131" i="6" s="1"/>
  <c r="AA132" i="6"/>
  <c r="AC166" i="6"/>
  <c r="M176" i="6"/>
  <c r="AG174" i="6"/>
  <c r="I168" i="6"/>
  <c r="I166" i="6"/>
  <c r="M160" i="6"/>
  <c r="AC160" i="6"/>
  <c r="M156" i="6"/>
  <c r="AC156" i="6"/>
  <c r="I149" i="6"/>
  <c r="AI149" i="6"/>
  <c r="Y143" i="6"/>
  <c r="AG143" i="6"/>
  <c r="U131" i="6"/>
  <c r="Q175" i="6"/>
  <c r="AF178" i="6"/>
  <c r="P178" i="6"/>
  <c r="T151" i="6"/>
  <c r="T354" i="6" s="1"/>
  <c r="AF151" i="6"/>
  <c r="AF354" i="6" s="1"/>
  <c r="L132" i="6"/>
  <c r="I177" i="6"/>
  <c r="AA178" i="6"/>
  <c r="AG173" i="6"/>
  <c r="AE178" i="6"/>
  <c r="I167" i="6"/>
  <c r="AI150" i="6"/>
  <c r="AE151" i="6"/>
  <c r="AE354" i="6" s="1"/>
  <c r="AG146" i="6"/>
  <c r="O144" i="6"/>
  <c r="Q142" i="6"/>
  <c r="AE144" i="6"/>
  <c r="AG142" i="6"/>
  <c r="Q130" i="6"/>
  <c r="O132" i="6"/>
  <c r="AE132" i="6"/>
  <c r="AG130" i="6"/>
  <c r="AJ166" i="6"/>
  <c r="Y176" i="6"/>
  <c r="AG176" i="6"/>
  <c r="I174" i="6"/>
  <c r="Y168" i="6"/>
  <c r="M168" i="6"/>
  <c r="W169" i="6"/>
  <c r="Y166" i="6"/>
  <c r="M166" i="6"/>
  <c r="Q160" i="6"/>
  <c r="M158" i="6"/>
  <c r="Q156" i="6"/>
  <c r="AG156" i="6"/>
  <c r="AC154" i="6"/>
  <c r="M149" i="6"/>
  <c r="AC149" i="6"/>
  <c r="M143" i="6"/>
  <c r="I143" i="6"/>
  <c r="U177" i="6"/>
  <c r="X178" i="6"/>
  <c r="H151" i="6"/>
  <c r="P144" i="6"/>
  <c r="P132" i="6"/>
  <c r="O178" i="6"/>
  <c r="Q173" i="6"/>
  <c r="Q146" i="6"/>
  <c r="U142" i="6"/>
  <c r="S144" i="6"/>
  <c r="U130" i="6"/>
  <c r="S132" i="6"/>
  <c r="P169" i="6"/>
  <c r="AJ149" i="6"/>
  <c r="I176" i="6"/>
  <c r="Q174" i="6"/>
  <c r="U174" i="6"/>
  <c r="AC168" i="6"/>
  <c r="Q168" i="6"/>
  <c r="AA169" i="6"/>
  <c r="O169" i="6"/>
  <c r="Q166" i="6"/>
  <c r="U160" i="6"/>
  <c r="Q158" i="6"/>
  <c r="U156" i="6"/>
  <c r="Q154" i="6"/>
  <c r="AC143" i="6"/>
  <c r="AC131" i="6"/>
  <c r="H178" i="6"/>
  <c r="M65" i="6"/>
  <c r="AC55" i="6"/>
  <c r="Q73" i="6"/>
  <c r="AG61" i="6"/>
  <c r="AG25" i="6"/>
  <c r="U61" i="6"/>
  <c r="Y59" i="6"/>
  <c r="U53" i="6"/>
  <c r="Y61" i="6"/>
  <c r="AG55" i="6"/>
  <c r="U59" i="6"/>
  <c r="Q53" i="6"/>
  <c r="U55" i="6"/>
  <c r="AK79" i="6"/>
  <c r="AG83" i="6"/>
  <c r="AH82" i="6" s="1"/>
  <c r="Q68" i="6"/>
  <c r="U68" i="6"/>
  <c r="M62" i="6"/>
  <c r="AC62" i="6"/>
  <c r="AC58" i="6"/>
  <c r="AC56" i="6"/>
  <c r="M54" i="6"/>
  <c r="M50" i="6"/>
  <c r="AC50" i="6"/>
  <c r="Y89" i="6"/>
  <c r="Z85" i="6" s="1"/>
  <c r="M89" i="6"/>
  <c r="AJ57" i="6"/>
  <c r="AJ55" i="6"/>
  <c r="AC26" i="6"/>
  <c r="Y51" i="6"/>
  <c r="AE47" i="6"/>
  <c r="AG65" i="6"/>
  <c r="AC65" i="6"/>
  <c r="S28" i="6"/>
  <c r="S63" i="6"/>
  <c r="AK88" i="6"/>
  <c r="AC68" i="6"/>
  <c r="Y66" i="6"/>
  <c r="Q62" i="6"/>
  <c r="AG62" i="6"/>
  <c r="Q60" i="6"/>
  <c r="AG60" i="6"/>
  <c r="Q58" i="6"/>
  <c r="AG58" i="6"/>
  <c r="Q56" i="6"/>
  <c r="AG56" i="6"/>
  <c r="Q54" i="6"/>
  <c r="AG54" i="6"/>
  <c r="Q52" i="6"/>
  <c r="AG52" i="6"/>
  <c r="Q50" i="6"/>
  <c r="AG50" i="6"/>
  <c r="AG45" i="6"/>
  <c r="AI45" i="6"/>
  <c r="AC89" i="6"/>
  <c r="AD89" i="6" s="1"/>
  <c r="AK94" i="6"/>
  <c r="H47" i="6"/>
  <c r="M57" i="6"/>
  <c r="AC57" i="6"/>
  <c r="AC51" i="6"/>
  <c r="O28" i="6"/>
  <c r="Q25" i="6"/>
  <c r="AC52" i="6"/>
  <c r="Y45" i="6"/>
  <c r="AJ61" i="6"/>
  <c r="AJ59" i="6"/>
  <c r="I57" i="6"/>
  <c r="AI57" i="6"/>
  <c r="AI51" i="6"/>
  <c r="AT65" i="2"/>
  <c r="AU64" i="2"/>
  <c r="AJ58" i="6"/>
  <c r="G28" i="6"/>
  <c r="AC25" i="6"/>
  <c r="I55" i="6"/>
  <c r="Y49" i="6"/>
  <c r="W63" i="6"/>
  <c r="AZ26" i="2"/>
  <c r="BA24" i="2"/>
  <c r="AG68" i="6"/>
  <c r="U62" i="6"/>
  <c r="U60" i="6"/>
  <c r="U56" i="6"/>
  <c r="U54" i="6"/>
  <c r="U52" i="6"/>
  <c r="M45" i="6"/>
  <c r="M59" i="6"/>
  <c r="I53" i="6"/>
  <c r="K47" i="6"/>
  <c r="M44" i="6"/>
  <c r="P63" i="6"/>
  <c r="T63" i="6"/>
  <c r="L47" i="6"/>
  <c r="Q26" i="6"/>
  <c r="Q57" i="6"/>
  <c r="AG57" i="6"/>
  <c r="Q51" i="6"/>
  <c r="AG51" i="6"/>
  <c r="Q49" i="6"/>
  <c r="O63" i="6"/>
  <c r="AG49" i="6"/>
  <c r="AE63" i="6"/>
  <c r="AC60" i="6"/>
  <c r="AA47" i="6"/>
  <c r="AC44" i="6"/>
  <c r="X63" i="6"/>
  <c r="AU20" i="2"/>
  <c r="AJ62" i="6"/>
  <c r="AJ52" i="6"/>
  <c r="AT26" i="2"/>
  <c r="AU26" i="2"/>
  <c r="Y25" i="6"/>
  <c r="M96" i="6"/>
  <c r="N92" i="6" s="1"/>
  <c r="M55" i="6"/>
  <c r="M49" i="6"/>
  <c r="AC49" i="6"/>
  <c r="L28" i="6"/>
  <c r="M68" i="6"/>
  <c r="AC66" i="6"/>
  <c r="AI62" i="6"/>
  <c r="AK62" i="6" s="1"/>
  <c r="Y62" i="6"/>
  <c r="Y60" i="6"/>
  <c r="I58" i="6"/>
  <c r="AI58" i="6"/>
  <c r="AK58" i="6" s="1"/>
  <c r="Y58" i="6"/>
  <c r="AI56" i="6"/>
  <c r="Y56" i="6"/>
  <c r="I54" i="6"/>
  <c r="Y54" i="6"/>
  <c r="I52" i="6"/>
  <c r="Y52" i="6"/>
  <c r="AI50" i="6"/>
  <c r="Y50" i="6"/>
  <c r="Q45" i="6"/>
  <c r="U45" i="6"/>
  <c r="AK86" i="6"/>
  <c r="U89" i="6"/>
  <c r="W47" i="6"/>
  <c r="AK81" i="6"/>
  <c r="T69" i="6"/>
  <c r="AF63" i="6"/>
  <c r="T47" i="6"/>
  <c r="U57" i="6"/>
  <c r="U51" i="6"/>
  <c r="V20" i="2"/>
  <c r="AI31" i="6"/>
  <c r="AK31" i="6" s="1"/>
  <c r="I31" i="6"/>
  <c r="G33" i="6"/>
  <c r="G128" i="23" s="1"/>
  <c r="K33" i="6"/>
  <c r="M31" i="6"/>
  <c r="I32" i="6"/>
  <c r="Q31" i="6"/>
  <c r="U31" i="6"/>
  <c r="Y31" i="6"/>
  <c r="AC31" i="6"/>
  <c r="AG31" i="6"/>
  <c r="AJ31" i="6"/>
  <c r="H33" i="6"/>
  <c r="H128" i="23" s="1"/>
  <c r="AC71" i="6"/>
  <c r="M67" i="6"/>
  <c r="K69" i="6"/>
  <c r="AG67" i="6"/>
  <c r="AE69" i="6"/>
  <c r="U67" i="6"/>
  <c r="Q71" i="6"/>
  <c r="Y71" i="6"/>
  <c r="U71" i="6"/>
  <c r="U75" i="6"/>
  <c r="T76" i="6"/>
  <c r="AF76" i="6"/>
  <c r="M75" i="6"/>
  <c r="L76" i="6"/>
  <c r="Y75" i="6"/>
  <c r="X76" i="6"/>
  <c r="Q75" i="6"/>
  <c r="P73" i="2"/>
  <c r="M74" i="6"/>
  <c r="Y74" i="6"/>
  <c r="AC74" i="6"/>
  <c r="AU19" i="2"/>
  <c r="AU197" i="2"/>
  <c r="AU195" i="2"/>
  <c r="M223" i="2"/>
  <c r="AU201" i="2"/>
  <c r="M217" i="2"/>
  <c r="M236" i="2"/>
  <c r="AU203" i="2"/>
  <c r="M244" i="2"/>
  <c r="AU223" i="2"/>
  <c r="AU220" i="2"/>
  <c r="AU221" i="2"/>
  <c r="AU215" i="2"/>
  <c r="AU217" i="2"/>
  <c r="AU214" i="2"/>
  <c r="AU165" i="2"/>
  <c r="AU164" i="2"/>
  <c r="AU166" i="2"/>
  <c r="M58" i="2"/>
  <c r="AU158" i="2"/>
  <c r="AU155" i="2"/>
  <c r="AU156" i="2"/>
  <c r="AU159" i="2"/>
  <c r="AU157" i="2"/>
  <c r="AU161" i="2"/>
  <c r="S187" i="2"/>
  <c r="V187" i="2"/>
  <c r="M26" i="2"/>
  <c r="M147" i="2"/>
  <c r="M166" i="2"/>
  <c r="M161" i="2"/>
  <c r="AT177" i="2"/>
  <c r="AT187" i="2"/>
  <c r="P187" i="2"/>
  <c r="AU152" i="2"/>
  <c r="AU151" i="2"/>
  <c r="AU150" i="2"/>
  <c r="Z642" i="2"/>
  <c r="Z643" i="2"/>
  <c r="Z639" i="2"/>
  <c r="Z641" i="2"/>
  <c r="Z649" i="2"/>
  <c r="Z648" i="2"/>
  <c r="Z650" i="2"/>
  <c r="Z646" i="2"/>
  <c r="R573" i="2"/>
  <c r="R539" i="2"/>
  <c r="O188" i="2"/>
  <c r="O539" i="2"/>
  <c r="O573" i="2"/>
  <c r="Y177" i="2"/>
  <c r="U539" i="2"/>
  <c r="U573" i="2"/>
  <c r="N539" i="2"/>
  <c r="N573" i="2"/>
  <c r="Q573" i="2"/>
  <c r="Q539" i="2"/>
  <c r="T539" i="2"/>
  <c r="T573" i="2"/>
  <c r="Z469" i="2"/>
  <c r="Q153" i="2"/>
  <c r="Q509" i="2"/>
  <c r="Q408" i="2"/>
  <c r="Q380" i="2"/>
  <c r="Q516" i="2"/>
  <c r="R211" i="2"/>
  <c r="R509" i="2"/>
  <c r="R408" i="2"/>
  <c r="R380" i="2"/>
  <c r="R516" i="2"/>
  <c r="U509" i="2"/>
  <c r="U516" i="2"/>
  <c r="U408" i="2"/>
  <c r="U380" i="2"/>
  <c r="Q188" i="2"/>
  <c r="N74" i="2"/>
  <c r="N516" i="2"/>
  <c r="N380" i="2"/>
  <c r="N509" i="2"/>
  <c r="N408" i="2"/>
  <c r="T509" i="2"/>
  <c r="T516" i="2"/>
  <c r="T408" i="2"/>
  <c r="T380" i="2"/>
  <c r="O509" i="2"/>
  <c r="O516" i="2"/>
  <c r="O408" i="2"/>
  <c r="O380" i="2"/>
  <c r="Z468" i="2"/>
  <c r="Z463" i="2"/>
  <c r="Z464" i="2"/>
  <c r="Z424" i="2"/>
  <c r="Z429" i="2"/>
  <c r="Z425" i="2"/>
  <c r="Z370" i="2"/>
  <c r="Z363" i="2"/>
  <c r="Z364" i="2"/>
  <c r="Z369" i="2"/>
  <c r="Z368" i="2"/>
  <c r="U175" i="2"/>
  <c r="U211" i="2"/>
  <c r="U188" i="2"/>
  <c r="R188" i="2"/>
  <c r="N211" i="2"/>
  <c r="O153" i="2"/>
  <c r="O211" i="2"/>
  <c r="T74" i="2"/>
  <c r="T211" i="2"/>
  <c r="O42" i="2"/>
  <c r="U42" i="2"/>
  <c r="U66" i="2"/>
  <c r="N188" i="2"/>
  <c r="Q211" i="2"/>
  <c r="T188" i="2"/>
  <c r="R74" i="2"/>
  <c r="R175" i="2"/>
  <c r="U153" i="2"/>
  <c r="N66" i="2"/>
  <c r="N175" i="2"/>
  <c r="R66" i="2"/>
  <c r="O175" i="2"/>
  <c r="Q42" i="2"/>
  <c r="Q66" i="2"/>
  <c r="Q175" i="2"/>
  <c r="T175" i="2"/>
  <c r="T66" i="2"/>
  <c r="R153" i="2"/>
  <c r="O66" i="2"/>
  <c r="O74" i="2"/>
  <c r="N42" i="2"/>
  <c r="T42" i="2"/>
  <c r="Q74" i="2"/>
  <c r="T153" i="2"/>
  <c r="N153" i="2"/>
  <c r="U74" i="2"/>
  <c r="R42" i="2"/>
  <c r="Y46" i="2"/>
  <c r="Y49" i="2"/>
  <c r="Y52" i="2"/>
  <c r="Y56" i="2"/>
  <c r="Y64" i="2"/>
  <c r="Y169" i="2"/>
  <c r="Y173" i="2"/>
  <c r="Y178" i="2"/>
  <c r="Y182" i="2"/>
  <c r="Y63" i="2"/>
  <c r="Y44" i="2"/>
  <c r="Y55" i="2"/>
  <c r="Y68" i="2"/>
  <c r="Y72" i="2"/>
  <c r="Y181" i="2"/>
  <c r="Y186" i="2"/>
  <c r="Y39" i="2"/>
  <c r="P81" i="2"/>
  <c r="Y47" i="2"/>
  <c r="Y48" i="2"/>
  <c r="Y54" i="2"/>
  <c r="Y61" i="2"/>
  <c r="Y69" i="2"/>
  <c r="Y70" i="2"/>
  <c r="Y172" i="2"/>
  <c r="Y179" i="2"/>
  <c r="Y183" i="2"/>
  <c r="Y38" i="2"/>
  <c r="Y50" i="2"/>
  <c r="Y51" i="2"/>
  <c r="S81" i="2"/>
  <c r="V81" i="2"/>
  <c r="Y23" i="2"/>
  <c r="Y25" i="2"/>
  <c r="Y24" i="2"/>
  <c r="Y19" i="2"/>
  <c r="X20" i="2"/>
  <c r="Y18" i="2"/>
  <c r="W20" i="2"/>
  <c r="AL17" i="7"/>
  <c r="AU14" i="2"/>
  <c r="AU69" i="2"/>
  <c r="AU71" i="2"/>
  <c r="AU173" i="2"/>
  <c r="R185" i="6"/>
  <c r="J185" i="6"/>
  <c r="R184" i="6"/>
  <c r="AU68" i="2"/>
  <c r="AU73" i="2"/>
  <c r="AU72" i="2"/>
  <c r="AU48" i="2"/>
  <c r="AU171" i="2"/>
  <c r="AU210" i="2"/>
  <c r="AU206" i="2"/>
  <c r="AU41" i="2"/>
  <c r="AU174" i="2"/>
  <c r="BA41" i="2"/>
  <c r="AH182" i="6"/>
  <c r="R183" i="6"/>
  <c r="BA38" i="2"/>
  <c r="BA18" i="2"/>
  <c r="AU54" i="2"/>
  <c r="AU53" i="2"/>
  <c r="AU244" i="2"/>
  <c r="AU45" i="2"/>
  <c r="AU52" i="2"/>
  <c r="AU57" i="2"/>
  <c r="AU233" i="2"/>
  <c r="AU170" i="2"/>
  <c r="AU172" i="2"/>
  <c r="AU51" i="2"/>
  <c r="AU46" i="2"/>
  <c r="AU47" i="2"/>
  <c r="AU50" i="2"/>
  <c r="BA39" i="2"/>
  <c r="AU240" i="2"/>
  <c r="AU49" i="2"/>
  <c r="AU242" i="2"/>
  <c r="AU241" i="2"/>
  <c r="AU239" i="2"/>
  <c r="R182" i="6"/>
  <c r="BA23" i="2"/>
  <c r="BA26" i="2"/>
  <c r="R181" i="6"/>
  <c r="BA25" i="2"/>
  <c r="AU39" i="2"/>
  <c r="AU208" i="2"/>
  <c r="AU207" i="2"/>
  <c r="AU38" i="2"/>
  <c r="AU24" i="2"/>
  <c r="AU23" i="2"/>
  <c r="AU56" i="2"/>
  <c r="AU55" i="2"/>
  <c r="S97" i="2"/>
  <c r="S82" i="2"/>
  <c r="S89" i="2"/>
  <c r="P89" i="2"/>
  <c r="P97" i="2"/>
  <c r="P82" i="2"/>
  <c r="V89" i="2"/>
  <c r="V97" i="2"/>
  <c r="V82" i="2"/>
  <c r="AU231" i="2"/>
  <c r="AU236" i="2"/>
  <c r="AU234" i="2"/>
  <c r="AU232" i="2"/>
  <c r="AU65" i="2"/>
  <c r="BA20" i="2"/>
  <c r="AU25" i="2"/>
  <c r="N181" i="6"/>
  <c r="Z181" i="6"/>
  <c r="Z185" i="6"/>
  <c r="Z182" i="6"/>
  <c r="Z183" i="6"/>
  <c r="Z184" i="6"/>
  <c r="AD181" i="6"/>
  <c r="AH183" i="6"/>
  <c r="AH181" i="6"/>
  <c r="AH185" i="6"/>
  <c r="V182" i="6"/>
  <c r="AH184" i="6"/>
  <c r="Z89" i="6"/>
  <c r="AH80" i="6"/>
  <c r="N86" i="6"/>
  <c r="Z86" i="6"/>
  <c r="AU61" i="2"/>
  <c r="AU62" i="2"/>
  <c r="AU63" i="2"/>
  <c r="N95" i="6"/>
  <c r="H38" i="6"/>
  <c r="G38" i="6"/>
  <c r="I38" i="6" s="1"/>
  <c r="AU179" i="2"/>
  <c r="AU187" i="2"/>
  <c r="AU181" i="2"/>
  <c r="AU177" i="2"/>
  <c r="AU182" i="2"/>
  <c r="AU180" i="2"/>
  <c r="AU186" i="2"/>
  <c r="AU178" i="2"/>
  <c r="AU185" i="2"/>
  <c r="AU183" i="2"/>
  <c r="Y41" i="2"/>
  <c r="Z40" i="2"/>
  <c r="Y187" i="2"/>
  <c r="Y20" i="2"/>
  <c r="AG103" i="6"/>
  <c r="Q38" i="6"/>
  <c r="Z26" i="6"/>
  <c r="AC38" i="6"/>
  <c r="Y38" i="6"/>
  <c r="X39" i="6" s="1"/>
  <c r="U38" i="6"/>
  <c r="U39" i="6" s="1"/>
  <c r="X42" i="2"/>
  <c r="Y42" i="2"/>
  <c r="Z41" i="2"/>
  <c r="Z39" i="2"/>
  <c r="Z38" i="2"/>
  <c r="W42" i="2"/>
  <c r="W21" i="2"/>
  <c r="Z18" i="2"/>
  <c r="Y21" i="2"/>
  <c r="Z20" i="2"/>
  <c r="X21" i="2"/>
  <c r="Z19" i="2"/>
  <c r="O203" i="3"/>
  <c r="Q203" i="3"/>
  <c r="R203" i="3"/>
  <c r="T203" i="3"/>
  <c r="U203" i="3"/>
  <c r="U208" i="3"/>
  <c r="U209" i="3"/>
  <c r="O449" i="2"/>
  <c r="O454" i="2"/>
  <c r="Q449" i="2"/>
  <c r="Q454" i="2"/>
  <c r="R449" i="2"/>
  <c r="R454" i="2"/>
  <c r="T449" i="2"/>
  <c r="T454" i="2"/>
  <c r="U449" i="2"/>
  <c r="U454" i="2"/>
  <c r="N449" i="2"/>
  <c r="AZ453" i="2"/>
  <c r="J139" i="3"/>
  <c r="J58" i="3"/>
  <c r="J26" i="3"/>
  <c r="U307" i="3"/>
  <c r="U312" i="3"/>
  <c r="T307" i="3"/>
  <c r="R307" i="3"/>
  <c r="R312" i="3"/>
  <c r="Q307" i="3"/>
  <c r="O307" i="3"/>
  <c r="N307" i="3"/>
  <c r="N203" i="3"/>
  <c r="U181" i="3"/>
  <c r="U188" i="3"/>
  <c r="U189" i="3"/>
  <c r="T181" i="3"/>
  <c r="R181" i="3"/>
  <c r="R188" i="3"/>
  <c r="R189" i="3"/>
  <c r="Q181" i="3"/>
  <c r="O181" i="3"/>
  <c r="N181" i="3"/>
  <c r="U163" i="3"/>
  <c r="T163" i="3"/>
  <c r="T169" i="3" s="1"/>
  <c r="R163" i="3"/>
  <c r="Q163" i="3"/>
  <c r="Q169" i="3" s="1"/>
  <c r="O163" i="3"/>
  <c r="N163" i="3"/>
  <c r="N169" i="3" s="1"/>
  <c r="U15" i="6"/>
  <c r="AC103" i="6"/>
  <c r="M103" i="6"/>
  <c r="Q15" i="6"/>
  <c r="U114" i="7"/>
  <c r="M114" i="7"/>
  <c r="AG103" i="7"/>
  <c r="AG114" i="7"/>
  <c r="I103" i="7"/>
  <c r="AG112" i="7"/>
  <c r="AK113" i="7"/>
  <c r="I114" i="7"/>
  <c r="W203" i="3"/>
  <c r="R313" i="3"/>
  <c r="U313" i="3"/>
  <c r="W307" i="3"/>
  <c r="AH30" i="3"/>
  <c r="AN31" i="3"/>
  <c r="Y112" i="6"/>
  <c r="AC112" i="6"/>
  <c r="I112" i="6"/>
  <c r="Q112" i="6"/>
  <c r="AC114" i="6"/>
  <c r="AG112" i="6"/>
  <c r="AG99" i="6"/>
  <c r="Y99" i="6"/>
  <c r="M99" i="6"/>
  <c r="AC99" i="6"/>
  <c r="Q99" i="6"/>
  <c r="Q114" i="6"/>
  <c r="M114" i="6"/>
  <c r="M112" i="6"/>
  <c r="P39" i="6"/>
  <c r="U99" i="6"/>
  <c r="AG114" i="6"/>
  <c r="AK113" i="6"/>
  <c r="Y114" i="6"/>
  <c r="I114" i="6"/>
  <c r="I103" i="6"/>
  <c r="I99" i="6"/>
  <c r="AK98" i="6"/>
  <c r="T39" i="6"/>
  <c r="X181" i="3"/>
  <c r="X188" i="3" s="1"/>
  <c r="O188" i="3"/>
  <c r="O189" i="3"/>
  <c r="AT203" i="3"/>
  <c r="AT208" i="3"/>
  <c r="V307" i="3"/>
  <c r="V312" i="3"/>
  <c r="T312" i="3"/>
  <c r="R208" i="3"/>
  <c r="R209" i="3"/>
  <c r="S181" i="3"/>
  <c r="Q188" i="3"/>
  <c r="Q189" i="3"/>
  <c r="X307" i="3"/>
  <c r="O312" i="3"/>
  <c r="Q208" i="3"/>
  <c r="Q209" i="3"/>
  <c r="S203" i="3"/>
  <c r="S208" i="3"/>
  <c r="S307" i="3"/>
  <c r="S312" i="3"/>
  <c r="Q312" i="3"/>
  <c r="O208" i="3"/>
  <c r="O209" i="3"/>
  <c r="X203" i="3"/>
  <c r="W181" i="3"/>
  <c r="N188" i="3"/>
  <c r="N189" i="3"/>
  <c r="P181" i="3"/>
  <c r="T188" i="3"/>
  <c r="T189" i="3"/>
  <c r="V181" i="3"/>
  <c r="V203" i="3"/>
  <c r="V208" i="3"/>
  <c r="T208" i="3"/>
  <c r="T209" i="3"/>
  <c r="N312" i="3"/>
  <c r="P307" i="3"/>
  <c r="P312" i="3"/>
  <c r="N208" i="3"/>
  <c r="N209" i="3"/>
  <c r="P203" i="3"/>
  <c r="P208" i="3"/>
  <c r="X163" i="3"/>
  <c r="H141" i="7" s="1"/>
  <c r="O169" i="3"/>
  <c r="U169" i="3"/>
  <c r="S163" i="3"/>
  <c r="R169" i="3"/>
  <c r="AN139" i="3"/>
  <c r="AO137" i="3"/>
  <c r="M30" i="3"/>
  <c r="K33" i="3"/>
  <c r="M31" i="3"/>
  <c r="M32" i="3"/>
  <c r="L33" i="3"/>
  <c r="AN15" i="3"/>
  <c r="AO14" i="3"/>
  <c r="AZ294" i="3"/>
  <c r="BA292" i="3"/>
  <c r="AZ139" i="3"/>
  <c r="BA137" i="3"/>
  <c r="AH139" i="3"/>
  <c r="AI137" i="3"/>
  <c r="AH15" i="3"/>
  <c r="AZ243" i="3"/>
  <c r="AZ196" i="3"/>
  <c r="AZ318" i="3"/>
  <c r="AZ15" i="3"/>
  <c r="AZ214" i="3"/>
  <c r="X449" i="2"/>
  <c r="P449" i="2"/>
  <c r="P454" i="2"/>
  <c r="W449" i="2"/>
  <c r="N454" i="2"/>
  <c r="S449" i="2"/>
  <c r="S454" i="2"/>
  <c r="V449" i="2"/>
  <c r="V454" i="2"/>
  <c r="AN515" i="2"/>
  <c r="AZ515" i="2"/>
  <c r="Y453" i="2"/>
  <c r="W318" i="3"/>
  <c r="Y294" i="3"/>
  <c r="Y512" i="2"/>
  <c r="Y511" i="2"/>
  <c r="Y514" i="2"/>
  <c r="AH515" i="2"/>
  <c r="Y513" i="2"/>
  <c r="X318" i="3"/>
  <c r="X294" i="3"/>
  <c r="W294" i="3"/>
  <c r="X287" i="3"/>
  <c r="Y287" i="3"/>
  <c r="Y318" i="3"/>
  <c r="W287" i="3"/>
  <c r="X243" i="3"/>
  <c r="Y243" i="3"/>
  <c r="W223" i="3"/>
  <c r="W243" i="3"/>
  <c r="Y223" i="3"/>
  <c r="Y214" i="3"/>
  <c r="X223" i="3"/>
  <c r="X214" i="3"/>
  <c r="W214" i="3"/>
  <c r="X196" i="3"/>
  <c r="Y196" i="3"/>
  <c r="W196" i="3"/>
  <c r="W139" i="3"/>
  <c r="K140" i="3"/>
  <c r="X139" i="3"/>
  <c r="L140" i="3"/>
  <c r="J140" i="3"/>
  <c r="Y139" i="3"/>
  <c r="J33" i="3"/>
  <c r="J59" i="3"/>
  <c r="K59" i="3"/>
  <c r="L59" i="3"/>
  <c r="K27" i="3"/>
  <c r="J27" i="3"/>
  <c r="L27" i="3"/>
  <c r="G178" i="7"/>
  <c r="O313" i="3"/>
  <c r="G242" i="7"/>
  <c r="N313" i="3"/>
  <c r="Q313" i="3"/>
  <c r="AT307" i="3"/>
  <c r="AT312" i="3"/>
  <c r="AU305" i="3"/>
  <c r="AZ307" i="3"/>
  <c r="AZ312" i="3"/>
  <c r="T243" i="7"/>
  <c r="H242" i="7"/>
  <c r="L243" i="7"/>
  <c r="T313" i="3"/>
  <c r="AU304" i="3"/>
  <c r="Z231" i="3"/>
  <c r="Z232" i="3"/>
  <c r="Z227" i="3"/>
  <c r="Z226" i="3"/>
  <c r="AE180" i="7"/>
  <c r="AZ203" i="3"/>
  <c r="AZ208" i="3"/>
  <c r="BA208" i="3"/>
  <c r="X180" i="7"/>
  <c r="L180" i="7"/>
  <c r="H178" i="7"/>
  <c r="O180" i="7"/>
  <c r="G158" i="7"/>
  <c r="AO138" i="3"/>
  <c r="Y203" i="3"/>
  <c r="Y208" i="3"/>
  <c r="Z208" i="3"/>
  <c r="AT30" i="3"/>
  <c r="U111" i="6"/>
  <c r="V109" i="6" s="1"/>
  <c r="AK109" i="6"/>
  <c r="AG111" i="6"/>
  <c r="AH108" i="6" s="1"/>
  <c r="AE328" i="6"/>
  <c r="G327" i="6"/>
  <c r="G328" i="6" s="1"/>
  <c r="T328" i="6"/>
  <c r="AB328" i="6"/>
  <c r="H327" i="6"/>
  <c r="H328" i="6" s="1"/>
  <c r="X328" i="6"/>
  <c r="AK107" i="6"/>
  <c r="AC111" i="6"/>
  <c r="AD109" i="6" s="1"/>
  <c r="M111" i="6"/>
  <c r="N109" i="6" s="1"/>
  <c r="I111" i="6"/>
  <c r="J110" i="6" s="1"/>
  <c r="Q111" i="6"/>
  <c r="Y111" i="6"/>
  <c r="Z111" i="6" s="1"/>
  <c r="AK110" i="6"/>
  <c r="AK108" i="6"/>
  <c r="AT181" i="3"/>
  <c r="AU301" i="3"/>
  <c r="AU199" i="3"/>
  <c r="AU207" i="3"/>
  <c r="AU200" i="3"/>
  <c r="AU202" i="3"/>
  <c r="AU208" i="3"/>
  <c r="AU201" i="3"/>
  <c r="AU203" i="3"/>
  <c r="Y307" i="3"/>
  <c r="Y312" i="3"/>
  <c r="Z317" i="3"/>
  <c r="Z318" i="3"/>
  <c r="Z315" i="3"/>
  <c r="Z316" i="3"/>
  <c r="Z294" i="3"/>
  <c r="Z292" i="3"/>
  <c r="Z293" i="3"/>
  <c r="Z291" i="3"/>
  <c r="Z290" i="3"/>
  <c r="Z285" i="3"/>
  <c r="Z287" i="3"/>
  <c r="Z284" i="3"/>
  <c r="Z286" i="3"/>
  <c r="Z283" i="3"/>
  <c r="Z236" i="3"/>
  <c r="Z240" i="3"/>
  <c r="Z235" i="3"/>
  <c r="Z237" i="3"/>
  <c r="Z241" i="3"/>
  <c r="Z238" i="3"/>
  <c r="Z242" i="3"/>
  <c r="Z239" i="3"/>
  <c r="Z243" i="3"/>
  <c r="Z223" i="3"/>
  <c r="Z218" i="3"/>
  <c r="Z222" i="3"/>
  <c r="Z217" i="3"/>
  <c r="Z214" i="3"/>
  <c r="Z212" i="3"/>
  <c r="Z213" i="3"/>
  <c r="Z211" i="3"/>
  <c r="Z195" i="3"/>
  <c r="Z191" i="3"/>
  <c r="Z194" i="3"/>
  <c r="Z192" i="3"/>
  <c r="Z196" i="3"/>
  <c r="Z193" i="3"/>
  <c r="BA138" i="3"/>
  <c r="W454" i="2"/>
  <c r="AT449" i="2"/>
  <c r="AT454" i="2"/>
  <c r="X454" i="2"/>
  <c r="AZ449" i="2"/>
  <c r="AO139" i="3"/>
  <c r="Z137" i="3"/>
  <c r="Z138" i="3"/>
  <c r="Z139" i="3"/>
  <c r="AI138" i="3"/>
  <c r="BA294" i="3"/>
  <c r="AI139" i="3"/>
  <c r="BA139" i="3"/>
  <c r="AN33" i="3"/>
  <c r="AO33" i="3" s="1"/>
  <c r="Y30" i="3"/>
  <c r="AO15" i="3"/>
  <c r="AO13" i="3"/>
  <c r="BA291" i="3"/>
  <c r="BA290" i="3"/>
  <c r="BA293" i="3"/>
  <c r="AZ287" i="3"/>
  <c r="BA283" i="3"/>
  <c r="X312" i="3"/>
  <c r="BA212" i="3"/>
  <c r="BA214" i="3"/>
  <c r="BA211" i="3"/>
  <c r="BA213" i="3"/>
  <c r="BA202" i="3"/>
  <c r="W312" i="3"/>
  <c r="BA13" i="3"/>
  <c r="BA14" i="3"/>
  <c r="BA15" i="3"/>
  <c r="BA193" i="3"/>
  <c r="BA195" i="3"/>
  <c r="BA191" i="3"/>
  <c r="BA196" i="3"/>
  <c r="BA192" i="3"/>
  <c r="BA194" i="3"/>
  <c r="BA243" i="3"/>
  <c r="BA239" i="3"/>
  <c r="BA235" i="3"/>
  <c r="BA241" i="3"/>
  <c r="BA237" i="3"/>
  <c r="BA238" i="3"/>
  <c r="BA242" i="3"/>
  <c r="BA240" i="3"/>
  <c r="BA236" i="3"/>
  <c r="BA315" i="3"/>
  <c r="BA317" i="3"/>
  <c r="BA318" i="3"/>
  <c r="BA316" i="3"/>
  <c r="AI15" i="3"/>
  <c r="AI13" i="3"/>
  <c r="AI14" i="3"/>
  <c r="Y515" i="2"/>
  <c r="Z513" i="2"/>
  <c r="BA512" i="2"/>
  <c r="BA515" i="2"/>
  <c r="BA511" i="2"/>
  <c r="BA514" i="2"/>
  <c r="BA513" i="2"/>
  <c r="AI515" i="2"/>
  <c r="AO515" i="2"/>
  <c r="W208" i="3"/>
  <c r="X208" i="3"/>
  <c r="AU298" i="3"/>
  <c r="AU297" i="3"/>
  <c r="AU302" i="3"/>
  <c r="AU303" i="3"/>
  <c r="AU307" i="3"/>
  <c r="AU300" i="3"/>
  <c r="AU299" i="3"/>
  <c r="AU312" i="3"/>
  <c r="AU306" i="3"/>
  <c r="AE243" i="7"/>
  <c r="AA243" i="7"/>
  <c r="O243" i="7"/>
  <c r="W243" i="7"/>
  <c r="BA304" i="3"/>
  <c r="BA305" i="3"/>
  <c r="BA306" i="3"/>
  <c r="Z298" i="3"/>
  <c r="Z302" i="3"/>
  <c r="Z306" i="3"/>
  <c r="Z299" i="3"/>
  <c r="Z303" i="3"/>
  <c r="Z300" i="3"/>
  <c r="Z304" i="3"/>
  <c r="Z301" i="3"/>
  <c r="Z305" i="3"/>
  <c r="BA201" i="3"/>
  <c r="BA199" i="3"/>
  <c r="BA200" i="3"/>
  <c r="BA203" i="3"/>
  <c r="BA207" i="3"/>
  <c r="V111" i="6"/>
  <c r="AJ327" i="6"/>
  <c r="M327" i="6"/>
  <c r="O328" i="6"/>
  <c r="U327" i="6"/>
  <c r="Y327" i="6"/>
  <c r="W328" i="6"/>
  <c r="AF328" i="6"/>
  <c r="AC327" i="6"/>
  <c r="AD107" i="6"/>
  <c r="J109" i="6"/>
  <c r="J108" i="6"/>
  <c r="R108" i="6"/>
  <c r="Z297" i="3"/>
  <c r="Z307" i="3"/>
  <c r="Z312" i="3"/>
  <c r="Z200" i="3"/>
  <c r="Z201" i="3"/>
  <c r="Z202" i="3"/>
  <c r="Z203" i="3"/>
  <c r="Z207" i="3"/>
  <c r="Z199" i="3"/>
  <c r="AU453" i="2"/>
  <c r="AU446" i="2"/>
  <c r="AU445" i="2"/>
  <c r="AU454" i="2"/>
  <c r="AU447" i="2"/>
  <c r="AU449" i="2"/>
  <c r="AU448" i="2"/>
  <c r="BA285" i="3"/>
  <c r="AO31" i="3"/>
  <c r="BA284" i="3"/>
  <c r="BA287" i="3"/>
  <c r="BA286" i="3"/>
  <c r="BA312" i="3"/>
  <c r="BA301" i="3"/>
  <c r="BA297" i="3"/>
  <c r="BA303" i="3"/>
  <c r="BA299" i="3"/>
  <c r="BA307" i="3"/>
  <c r="BA302" i="3"/>
  <c r="BA300" i="3"/>
  <c r="BA298" i="3"/>
  <c r="Z512" i="2"/>
  <c r="Z515" i="2"/>
  <c r="Z514" i="2"/>
  <c r="Z511" i="2"/>
  <c r="AY340" i="2"/>
  <c r="AX339" i="2"/>
  <c r="AW338" i="2"/>
  <c r="AY330" i="2"/>
  <c r="AX329" i="2"/>
  <c r="AW328" i="2"/>
  <c r="AY320" i="2"/>
  <c r="AX319" i="2"/>
  <c r="AW318" i="2"/>
  <c r="AM320" i="2"/>
  <c r="AL319" i="2"/>
  <c r="AK318" i="2"/>
  <c r="AG320" i="2"/>
  <c r="AF319" i="2"/>
  <c r="AE318" i="2"/>
  <c r="N443" i="2"/>
  <c r="N481" i="2"/>
  <c r="O443" i="2"/>
  <c r="Q443" i="2"/>
  <c r="H217" i="6"/>
  <c r="H227" i="6"/>
  <c r="AJ227" i="6" s="1"/>
  <c r="H218" i="6"/>
  <c r="AJ218" i="6" s="1"/>
  <c r="H228" i="6"/>
  <c r="AJ228" i="6" s="1"/>
  <c r="H219" i="6"/>
  <c r="H226" i="6"/>
  <c r="Q461" i="2"/>
  <c r="Q481" i="2"/>
  <c r="Q470" i="2"/>
  <c r="Q455" i="2"/>
  <c r="O470" i="2"/>
  <c r="O481" i="2"/>
  <c r="O461" i="2"/>
  <c r="O455" i="2"/>
  <c r="N455" i="2"/>
  <c r="N461" i="2"/>
  <c r="N470" i="2"/>
  <c r="AZ331" i="2"/>
  <c r="AZ341" i="2"/>
  <c r="Y341" i="2"/>
  <c r="Y596" i="2"/>
  <c r="K598" i="2"/>
  <c r="L598" i="2"/>
  <c r="J597" i="2"/>
  <c r="J598" i="2"/>
  <c r="K621" i="2"/>
  <c r="L621" i="2"/>
  <c r="J620" i="2"/>
  <c r="J621" i="2"/>
  <c r="K608" i="2"/>
  <c r="L608" i="2"/>
  <c r="J607" i="2"/>
  <c r="J608" i="2"/>
  <c r="K590" i="2"/>
  <c r="L590" i="2"/>
  <c r="J589" i="2"/>
  <c r="J590" i="2"/>
  <c r="J580" i="2"/>
  <c r="N528" i="2"/>
  <c r="O528" i="2"/>
  <c r="N416" i="2"/>
  <c r="N409" i="2"/>
  <c r="O409" i="2"/>
  <c r="O422" i="2"/>
  <c r="L370" i="2"/>
  <c r="L371" i="2"/>
  <c r="K370" i="2"/>
  <c r="K371" i="2"/>
  <c r="J370" i="2"/>
  <c r="J371" i="2"/>
  <c r="L343" i="2"/>
  <c r="K343" i="2"/>
  <c r="J343" i="2"/>
  <c r="K360" i="2"/>
  <c r="L360" i="2"/>
  <c r="J360" i="2"/>
  <c r="J354" i="2"/>
  <c r="L333" i="2"/>
  <c r="K333" i="2"/>
  <c r="J333" i="2"/>
  <c r="J323" i="2"/>
  <c r="J244" i="2"/>
  <c r="J236" i="2"/>
  <c r="AZ342" i="2"/>
  <c r="AZ337" i="2"/>
  <c r="AZ336" i="2"/>
  <c r="AZ332" i="2"/>
  <c r="AZ327" i="2"/>
  <c r="AZ326" i="2"/>
  <c r="AZ322" i="2"/>
  <c r="AZ227" i="2"/>
  <c r="AN227" i="2"/>
  <c r="AZ226" i="2"/>
  <c r="AN226" i="2"/>
  <c r="AZ184" i="2"/>
  <c r="AZ187" i="2"/>
  <c r="AZ177" i="2"/>
  <c r="AZ14" i="2"/>
  <c r="AZ13" i="2"/>
  <c r="J166" i="2"/>
  <c r="J161" i="2"/>
  <c r="J147" i="2"/>
  <c r="J58" i="2"/>
  <c r="J26" i="2"/>
  <c r="K229" i="2"/>
  <c r="AG221" i="6"/>
  <c r="Y221" i="6"/>
  <c r="Q221" i="6"/>
  <c r="AC221" i="6"/>
  <c r="M221" i="6"/>
  <c r="H221" i="6"/>
  <c r="I221" i="6" s="1"/>
  <c r="H215" i="6"/>
  <c r="I215" i="6" s="1"/>
  <c r="Y225" i="6"/>
  <c r="M225" i="6"/>
  <c r="H225" i="6"/>
  <c r="Q225" i="6"/>
  <c r="AG225" i="6"/>
  <c r="AC216" i="6"/>
  <c r="AG216" i="6"/>
  <c r="U216" i="6"/>
  <c r="Y216" i="6"/>
  <c r="H216" i="6"/>
  <c r="AJ216" i="6" s="1"/>
  <c r="Y230" i="6"/>
  <c r="AG230" i="6"/>
  <c r="AC230" i="6"/>
  <c r="Q230" i="6"/>
  <c r="H230" i="6"/>
  <c r="AJ230" i="6" s="1"/>
  <c r="AJ226" i="6"/>
  <c r="AG229" i="6"/>
  <c r="AC229" i="6"/>
  <c r="H229" i="6"/>
  <c r="AJ229" i="6" s="1"/>
  <c r="M229" i="6"/>
  <c r="Y229" i="6"/>
  <c r="U229" i="6"/>
  <c r="H224" i="6"/>
  <c r="AJ224" i="6" s="1"/>
  <c r="AK224" i="6" s="1"/>
  <c r="AC220" i="6"/>
  <c r="M220" i="6"/>
  <c r="H220" i="6"/>
  <c r="I220" i="6" s="1"/>
  <c r="AG220" i="6"/>
  <c r="Q220" i="6"/>
  <c r="BA185" i="2"/>
  <c r="BA180" i="2"/>
  <c r="BA179" i="2"/>
  <c r="BA186" i="2"/>
  <c r="BA181" i="2"/>
  <c r="BA177" i="2"/>
  <c r="BA183" i="2"/>
  <c r="BA187" i="2"/>
  <c r="BA182" i="2"/>
  <c r="BA178" i="2"/>
  <c r="AZ580" i="2"/>
  <c r="BA576" i="2"/>
  <c r="AZ620" i="2"/>
  <c r="BA619" i="2"/>
  <c r="AZ597" i="2"/>
  <c r="BA594" i="2"/>
  <c r="AZ589" i="2"/>
  <c r="BA583" i="2"/>
  <c r="O533" i="2"/>
  <c r="N533" i="2"/>
  <c r="P528" i="2"/>
  <c r="X416" i="2"/>
  <c r="P421" i="2"/>
  <c r="N421" i="2"/>
  <c r="N422" i="2"/>
  <c r="W416" i="2"/>
  <c r="L334" i="2"/>
  <c r="J229" i="2"/>
  <c r="L361" i="2"/>
  <c r="L344" i="2"/>
  <c r="K198" i="2"/>
  <c r="K237" i="2"/>
  <c r="K224" i="2"/>
  <c r="J334" i="2"/>
  <c r="J324" i="2"/>
  <c r="K334" i="2"/>
  <c r="K355" i="2"/>
  <c r="J344" i="2"/>
  <c r="J581" i="2"/>
  <c r="Y605" i="2"/>
  <c r="AN607" i="2"/>
  <c r="K218" i="2"/>
  <c r="J237" i="2"/>
  <c r="K245" i="2"/>
  <c r="AN620" i="2"/>
  <c r="Y593" i="2"/>
  <c r="AZ430" i="2"/>
  <c r="BA424" i="2"/>
  <c r="K167" i="2"/>
  <c r="X607" i="2"/>
  <c r="AZ607" i="2"/>
  <c r="Y586" i="2"/>
  <c r="Y606" i="2"/>
  <c r="Y321" i="2"/>
  <c r="Y331" i="2"/>
  <c r="W607" i="2"/>
  <c r="Y601" i="2"/>
  <c r="AZ370" i="2"/>
  <c r="BA369" i="2"/>
  <c r="Y317" i="2"/>
  <c r="AN323" i="2"/>
  <c r="AZ333" i="2"/>
  <c r="BA331" i="2"/>
  <c r="AZ360" i="2"/>
  <c r="BA358" i="2"/>
  <c r="AZ65" i="2"/>
  <c r="AZ161" i="2"/>
  <c r="BA208" i="2"/>
  <c r="BA214" i="2"/>
  <c r="AN228" i="2"/>
  <c r="AO227" i="2"/>
  <c r="AZ244" i="2"/>
  <c r="BA241" i="2"/>
  <c r="AZ343" i="2"/>
  <c r="BA341" i="2"/>
  <c r="BA388" i="2"/>
  <c r="AZ407" i="2"/>
  <c r="BA405" i="2"/>
  <c r="AZ441" i="2"/>
  <c r="BA435" i="2"/>
  <c r="AZ73" i="2"/>
  <c r="BA68" i="2"/>
  <c r="AN236" i="2"/>
  <c r="AN333" i="2"/>
  <c r="AO333" i="2"/>
  <c r="AN360" i="2"/>
  <c r="AZ15" i="2"/>
  <c r="AZ152" i="2"/>
  <c r="AZ166" i="2"/>
  <c r="BA220" i="2"/>
  <c r="AZ236" i="2"/>
  <c r="BA234" i="2"/>
  <c r="AZ174" i="2"/>
  <c r="BA169" i="2"/>
  <c r="AZ228" i="2"/>
  <c r="BA226" i="2"/>
  <c r="AZ323" i="2"/>
  <c r="BA322" i="2"/>
  <c r="AZ354" i="2"/>
  <c r="BA347" i="2"/>
  <c r="AZ469" i="2"/>
  <c r="BA469" i="2"/>
  <c r="AN244" i="2"/>
  <c r="AN354" i="2"/>
  <c r="AN147" i="2"/>
  <c r="AN15" i="2"/>
  <c r="AN58" i="2"/>
  <c r="AO50" i="2"/>
  <c r="AN343" i="2"/>
  <c r="AO341" i="2"/>
  <c r="AN370" i="2"/>
  <c r="AO368" i="2"/>
  <c r="AZ58" i="2"/>
  <c r="AZ147" i="2"/>
  <c r="AZ508" i="2"/>
  <c r="AZ460" i="2"/>
  <c r="AN597" i="2"/>
  <c r="AN161" i="2"/>
  <c r="AN589" i="2"/>
  <c r="AN580" i="2"/>
  <c r="L167" i="2"/>
  <c r="L355" i="2"/>
  <c r="L581" i="2"/>
  <c r="K148" i="2"/>
  <c r="K204" i="2"/>
  <c r="L229" i="2"/>
  <c r="K324" i="2"/>
  <c r="Y587" i="2"/>
  <c r="Y595" i="2"/>
  <c r="Y594" i="2"/>
  <c r="J148" i="2"/>
  <c r="J162" i="2"/>
  <c r="J167" i="2"/>
  <c r="L218" i="2"/>
  <c r="L245" i="2"/>
  <c r="J245" i="2"/>
  <c r="K344" i="2"/>
  <c r="J355" i="2"/>
  <c r="J361" i="2"/>
  <c r="K162" i="2"/>
  <c r="J204" i="2"/>
  <c r="J218" i="2"/>
  <c r="L237" i="2"/>
  <c r="L224" i="2"/>
  <c r="J224" i="2"/>
  <c r="L324" i="2"/>
  <c r="K361" i="2"/>
  <c r="K581" i="2"/>
  <c r="Y588" i="2"/>
  <c r="Y585" i="2"/>
  <c r="Y584" i="2"/>
  <c r="Y232" i="2"/>
  <c r="Y240" i="2"/>
  <c r="L59" i="2"/>
  <c r="J198" i="2"/>
  <c r="L148" i="2"/>
  <c r="L162" i="2"/>
  <c r="L198" i="2"/>
  <c r="L204" i="2"/>
  <c r="X244" i="2"/>
  <c r="Y241" i="2"/>
  <c r="Y242" i="2"/>
  <c r="Y235" i="2"/>
  <c r="X236" i="2"/>
  <c r="AH236" i="2"/>
  <c r="Y233" i="2"/>
  <c r="W236" i="2"/>
  <c r="K27" i="2"/>
  <c r="J59" i="2"/>
  <c r="K59" i="2"/>
  <c r="J27" i="2"/>
  <c r="L27" i="2"/>
  <c r="L33" i="2"/>
  <c r="Y239" i="2"/>
  <c r="Y243" i="2"/>
  <c r="W244" i="2"/>
  <c r="Y234" i="2"/>
  <c r="Y231" i="2"/>
  <c r="X166" i="2"/>
  <c r="W166" i="2"/>
  <c r="W161" i="2"/>
  <c r="Y155" i="2"/>
  <c r="Y156" i="2"/>
  <c r="Y160" i="2"/>
  <c r="Y159" i="2"/>
  <c r="Y164" i="2"/>
  <c r="Y165" i="2"/>
  <c r="Y158" i="2"/>
  <c r="X161" i="2"/>
  <c r="Y157" i="2"/>
  <c r="Y616" i="2"/>
  <c r="Y612" i="2"/>
  <c r="X620" i="2"/>
  <c r="P533" i="2"/>
  <c r="AT416" i="2"/>
  <c r="AT421" i="2"/>
  <c r="AU415" i="2"/>
  <c r="G301" i="6"/>
  <c r="G302" i="6" s="1"/>
  <c r="AZ416" i="2"/>
  <c r="AF302" i="6"/>
  <c r="AB302" i="6"/>
  <c r="P302" i="6"/>
  <c r="L302" i="6"/>
  <c r="H301" i="6"/>
  <c r="I229" i="6"/>
  <c r="X222" i="6"/>
  <c r="Y215" i="6"/>
  <c r="AF231" i="6"/>
  <c r="AG224" i="6"/>
  <c r="U215" i="6"/>
  <c r="AF222" i="6"/>
  <c r="AG215" i="6"/>
  <c r="X231" i="6"/>
  <c r="Y224" i="6"/>
  <c r="AB222" i="6"/>
  <c r="AC215" i="6"/>
  <c r="AC224" i="6"/>
  <c r="AJ220" i="6"/>
  <c r="M224" i="6"/>
  <c r="T231" i="6"/>
  <c r="U224" i="6"/>
  <c r="AJ225" i="6"/>
  <c r="P222" i="6"/>
  <c r="Q215" i="6"/>
  <c r="BA580" i="2"/>
  <c r="AO618" i="2"/>
  <c r="AO614" i="2"/>
  <c r="AO620" i="2"/>
  <c r="AO616" i="2"/>
  <c r="AO612" i="2"/>
  <c r="AO613" i="2"/>
  <c r="AO619" i="2"/>
  <c r="AO615" i="2"/>
  <c r="AO611" i="2"/>
  <c r="AO617" i="2"/>
  <c r="AO588" i="2"/>
  <c r="AO584" i="2"/>
  <c r="AO583" i="2"/>
  <c r="AO586" i="2"/>
  <c r="AO589" i="2"/>
  <c r="AO585" i="2"/>
  <c r="AO587" i="2"/>
  <c r="AO596" i="2"/>
  <c r="AO592" i="2"/>
  <c r="AO595" i="2"/>
  <c r="AO594" i="2"/>
  <c r="AO597" i="2"/>
  <c r="AO593" i="2"/>
  <c r="J33" i="2"/>
  <c r="AH30" i="2"/>
  <c r="AO579" i="2"/>
  <c r="AO578" i="2"/>
  <c r="AO577" i="2"/>
  <c r="AO580" i="2"/>
  <c r="AO576" i="2"/>
  <c r="J17" i="6"/>
  <c r="AN31" i="2"/>
  <c r="K33" i="2"/>
  <c r="AO351" i="2"/>
  <c r="AO347" i="2"/>
  <c r="AO353" i="2"/>
  <c r="AO349" i="2"/>
  <c r="AO348" i="2"/>
  <c r="AO354" i="2"/>
  <c r="AO346" i="2"/>
  <c r="AO352" i="2"/>
  <c r="AO350" i="2"/>
  <c r="AO220" i="2"/>
  <c r="AO223" i="2"/>
  <c r="AO221" i="2"/>
  <c r="AI236" i="2"/>
  <c r="AI232" i="2"/>
  <c r="AI234" i="2"/>
  <c r="AI233" i="2"/>
  <c r="AI231" i="2"/>
  <c r="AI235" i="2"/>
  <c r="AO241" i="2"/>
  <c r="AO243" i="2"/>
  <c r="AO239" i="2"/>
  <c r="AO244" i="2"/>
  <c r="AO242" i="2"/>
  <c r="AO240" i="2"/>
  <c r="AO357" i="2"/>
  <c r="AO359" i="2"/>
  <c r="AO360" i="2"/>
  <c r="AO358" i="2"/>
  <c r="AO215" i="2"/>
  <c r="AO214" i="2"/>
  <c r="AO217" i="2"/>
  <c r="AO234" i="2"/>
  <c r="AO236" i="2"/>
  <c r="AO232" i="2"/>
  <c r="AO231" i="2"/>
  <c r="AO235" i="2"/>
  <c r="AO233" i="2"/>
  <c r="BA69" i="2"/>
  <c r="BA62" i="2"/>
  <c r="BA72" i="2"/>
  <c r="BA63" i="2"/>
  <c r="BA61" i="2"/>
  <c r="BA70" i="2"/>
  <c r="BA65" i="2"/>
  <c r="BA64" i="2"/>
  <c r="BA71" i="2"/>
  <c r="AO144" i="2"/>
  <c r="AO140" i="2"/>
  <c r="AO145" i="2"/>
  <c r="AO141" i="2"/>
  <c r="AO137" i="2"/>
  <c r="AO143" i="2"/>
  <c r="AO142" i="2"/>
  <c r="AO147" i="2"/>
  <c r="AO139" i="2"/>
  <c r="AO146" i="2"/>
  <c r="AO138" i="2"/>
  <c r="BA152" i="2"/>
  <c r="BA151" i="2"/>
  <c r="BA150" i="2"/>
  <c r="AO159" i="2"/>
  <c r="AO155" i="2"/>
  <c r="AO160" i="2"/>
  <c r="AO156" i="2"/>
  <c r="AO158" i="2"/>
  <c r="AO157" i="2"/>
  <c r="AO161" i="2"/>
  <c r="BA146" i="2"/>
  <c r="BA142" i="2"/>
  <c r="BA138" i="2"/>
  <c r="BA147" i="2"/>
  <c r="BA143" i="2"/>
  <c r="BA139" i="2"/>
  <c r="BA141" i="2"/>
  <c r="BA140" i="2"/>
  <c r="BA145" i="2"/>
  <c r="BA137" i="2"/>
  <c r="BA144" i="2"/>
  <c r="BA159" i="2"/>
  <c r="BA158" i="2"/>
  <c r="BA155" i="2"/>
  <c r="BA160" i="2"/>
  <c r="BA161" i="2"/>
  <c r="BA156" i="2"/>
  <c r="BA157" i="2"/>
  <c r="AO605" i="2"/>
  <c r="AO600" i="2"/>
  <c r="AO606" i="2"/>
  <c r="AO607" i="2"/>
  <c r="AO601" i="2"/>
  <c r="BA579" i="2"/>
  <c r="BA166" i="2"/>
  <c r="BA164" i="2"/>
  <c r="BA165" i="2"/>
  <c r="BA56" i="2"/>
  <c r="BA55" i="2"/>
  <c r="BA58" i="2"/>
  <c r="BA54" i="2"/>
  <c r="BA50" i="2"/>
  <c r="BA46" i="2"/>
  <c r="BA57" i="2"/>
  <c r="BA53" i="2"/>
  <c r="BA49" i="2"/>
  <c r="BA45" i="2"/>
  <c r="BA52" i="2"/>
  <c r="BA48" i="2"/>
  <c r="BA44" i="2"/>
  <c r="BA51" i="2"/>
  <c r="BA47" i="2"/>
  <c r="BA585" i="2"/>
  <c r="BA578" i="2"/>
  <c r="BA577" i="2"/>
  <c r="BA612" i="2"/>
  <c r="BA618" i="2"/>
  <c r="BA615" i="2"/>
  <c r="BA620" i="2"/>
  <c r="BA617" i="2"/>
  <c r="BA584" i="2"/>
  <c r="BA592" i="2"/>
  <c r="BA588" i="2"/>
  <c r="BA589" i="2"/>
  <c r="BA587" i="2"/>
  <c r="AH589" i="2"/>
  <c r="BA586" i="2"/>
  <c r="BA596" i="2"/>
  <c r="BA616" i="2"/>
  <c r="BA597" i="2"/>
  <c r="BA614" i="2"/>
  <c r="BA613" i="2"/>
  <c r="BA593" i="2"/>
  <c r="BA595" i="2"/>
  <c r="BA611" i="2"/>
  <c r="BA571" i="2"/>
  <c r="BA570" i="2"/>
  <c r="BA572" i="2"/>
  <c r="BA337" i="2"/>
  <c r="BA436" i="2"/>
  <c r="M30" i="2"/>
  <c r="AT30" i="2"/>
  <c r="AZ32" i="2"/>
  <c r="M32" i="2"/>
  <c r="AT31" i="2"/>
  <c r="M31" i="2"/>
  <c r="BA210" i="2"/>
  <c r="BA351" i="2"/>
  <c r="BA350" i="2"/>
  <c r="BA437" i="2"/>
  <c r="BA352" i="2"/>
  <c r="BA439" i="2"/>
  <c r="BA332" i="2"/>
  <c r="BA348" i="2"/>
  <c r="BA354" i="2"/>
  <c r="BA440" i="2"/>
  <c r="BA343" i="2"/>
  <c r="BA221" i="2"/>
  <c r="BA434" i="2"/>
  <c r="BA441" i="2"/>
  <c r="BA206" i="2"/>
  <c r="BA231" i="2"/>
  <c r="BA346" i="2"/>
  <c r="BA327" i="2"/>
  <c r="BA336" i="2"/>
  <c r="BA223" i="2"/>
  <c r="BA433" i="2"/>
  <c r="BA333" i="2"/>
  <c r="BA207" i="2"/>
  <c r="AO56" i="2"/>
  <c r="BA425" i="2"/>
  <c r="BA386" i="2"/>
  <c r="BA228" i="2"/>
  <c r="BA430" i="2"/>
  <c r="BA15" i="2"/>
  <c r="AO14" i="2"/>
  <c r="BA393" i="2"/>
  <c r="AO317" i="2"/>
  <c r="AO316" i="2"/>
  <c r="BA429" i="2"/>
  <c r="BA400" i="2"/>
  <c r="BA392" i="2"/>
  <c r="BA227" i="2"/>
  <c r="BA384" i="2"/>
  <c r="AO226" i="2"/>
  <c r="BA217" i="2"/>
  <c r="BA385" i="2"/>
  <c r="BA395" i="2"/>
  <c r="AO47" i="2"/>
  <c r="BA363" i="2"/>
  <c r="AO331" i="2"/>
  <c r="BA364" i="2"/>
  <c r="BA402" i="2"/>
  <c r="BA349" i="2"/>
  <c r="BA342" i="2"/>
  <c r="BA438" i="2"/>
  <c r="BA326" i="2"/>
  <c r="BA14" i="2"/>
  <c r="BA353" i="2"/>
  <c r="BA368" i="2"/>
  <c r="AO327" i="2"/>
  <c r="BA357" i="2"/>
  <c r="BA215" i="2"/>
  <c r="BA174" i="2"/>
  <c r="AO53" i="2"/>
  <c r="AO54" i="2"/>
  <c r="BA240" i="2"/>
  <c r="AO45" i="2"/>
  <c r="AO46" i="2"/>
  <c r="BA403" i="2"/>
  <c r="BA316" i="2"/>
  <c r="BA73" i="2"/>
  <c r="BA391" i="2"/>
  <c r="BA382" i="2"/>
  <c r="BA390" i="2"/>
  <c r="BA243" i="2"/>
  <c r="BA406" i="2"/>
  <c r="AO57" i="2"/>
  <c r="AO58" i="2"/>
  <c r="BA387" i="2"/>
  <c r="BA383" i="2"/>
  <c r="BA389" i="2"/>
  <c r="BA239" i="2"/>
  <c r="AO228" i="2"/>
  <c r="AO55" i="2"/>
  <c r="AO44" i="2"/>
  <c r="AO52" i="2"/>
  <c r="BA468" i="2"/>
  <c r="BA404" i="2"/>
  <c r="BA360" i="2"/>
  <c r="BA13" i="2"/>
  <c r="BA244" i="2"/>
  <c r="BA171" i="2"/>
  <c r="BA236" i="2"/>
  <c r="BA321" i="2"/>
  <c r="AO332" i="2"/>
  <c r="AO51" i="2"/>
  <c r="AO49" i="2"/>
  <c r="AO48" i="2"/>
  <c r="BA407" i="2"/>
  <c r="BA370" i="2"/>
  <c r="BA359" i="2"/>
  <c r="BA242" i="2"/>
  <c r="BA172" i="2"/>
  <c r="BA235" i="2"/>
  <c r="AO342" i="2"/>
  <c r="AO326" i="2"/>
  <c r="AO322" i="2"/>
  <c r="BA464" i="2"/>
  <c r="BA323" i="2"/>
  <c r="BA170" i="2"/>
  <c r="BA173" i="2"/>
  <c r="BA232" i="2"/>
  <c r="BA233" i="2"/>
  <c r="AO343" i="2"/>
  <c r="BA317" i="2"/>
  <c r="AO13" i="2"/>
  <c r="AO15" i="2"/>
  <c r="BA463" i="2"/>
  <c r="AO336" i="2"/>
  <c r="AO337" i="2"/>
  <c r="AO369" i="2"/>
  <c r="AO364" i="2"/>
  <c r="AO323" i="2"/>
  <c r="AO321" i="2"/>
  <c r="AO370" i="2"/>
  <c r="AO363" i="2"/>
  <c r="BA508" i="2"/>
  <c r="BA506" i="2"/>
  <c r="BA504" i="2"/>
  <c r="BA505" i="2"/>
  <c r="BA507" i="2"/>
  <c r="BA460" i="2"/>
  <c r="BA458" i="2"/>
  <c r="BA459" i="2"/>
  <c r="BA457" i="2"/>
  <c r="BA480" i="2"/>
  <c r="BA478" i="2"/>
  <c r="BA476" i="2"/>
  <c r="BA474" i="2"/>
  <c r="BA472" i="2"/>
  <c r="BA475" i="2"/>
  <c r="BA477" i="2"/>
  <c r="BA473" i="2"/>
  <c r="BA479" i="2"/>
  <c r="BA606" i="2"/>
  <c r="BA601" i="2"/>
  <c r="BA605" i="2"/>
  <c r="BA600" i="2"/>
  <c r="BA607" i="2"/>
  <c r="Z197" i="2"/>
  <c r="Z200" i="2"/>
  <c r="Y236" i="2"/>
  <c r="Z236" i="2"/>
  <c r="Y244" i="2"/>
  <c r="AH244" i="2"/>
  <c r="Y166" i="2"/>
  <c r="Y611" i="2"/>
  <c r="Y615" i="2"/>
  <c r="Y619" i="2"/>
  <c r="Y161" i="2"/>
  <c r="AH161" i="2"/>
  <c r="Y614" i="2"/>
  <c r="Y618" i="2"/>
  <c r="Y613" i="2"/>
  <c r="Y617" i="2"/>
  <c r="W620" i="2"/>
  <c r="Y600" i="2"/>
  <c r="Y607" i="2"/>
  <c r="X580" i="2"/>
  <c r="W580" i="2"/>
  <c r="W589" i="2"/>
  <c r="X589" i="2"/>
  <c r="Y592" i="2"/>
  <c r="W597" i="2"/>
  <c r="X597" i="2"/>
  <c r="Y583" i="2"/>
  <c r="X538" i="2"/>
  <c r="W538" i="2"/>
  <c r="Y537" i="2"/>
  <c r="Y524" i="2"/>
  <c r="Y535" i="2"/>
  <c r="Y522" i="2"/>
  <c r="Y506" i="2"/>
  <c r="Y536" i="2"/>
  <c r="Y518" i="2"/>
  <c r="Y525" i="2"/>
  <c r="Y505" i="2"/>
  <c r="Y507" i="2"/>
  <c r="Y526" i="2"/>
  <c r="X508" i="2"/>
  <c r="Y519" i="2"/>
  <c r="Y523" i="2"/>
  <c r="Y477" i="2"/>
  <c r="Y474" i="2"/>
  <c r="Y473" i="2"/>
  <c r="W480" i="2"/>
  <c r="Y504" i="2"/>
  <c r="W508" i="2"/>
  <c r="Y475" i="2"/>
  <c r="Y479" i="2"/>
  <c r="Y472" i="2"/>
  <c r="Y478" i="2"/>
  <c r="Y476" i="2"/>
  <c r="X480" i="2"/>
  <c r="Y445" i="2"/>
  <c r="W460" i="2"/>
  <c r="X460" i="2"/>
  <c r="Y446" i="2"/>
  <c r="Y458" i="2"/>
  <c r="Y457" i="2"/>
  <c r="Y459" i="2"/>
  <c r="Y447" i="2"/>
  <c r="Y448" i="2"/>
  <c r="Y438" i="2"/>
  <c r="Y440" i="2"/>
  <c r="Y413" i="2"/>
  <c r="Y434" i="2"/>
  <c r="W441" i="2"/>
  <c r="Y436" i="2"/>
  <c r="Y414" i="2"/>
  <c r="Y433" i="2"/>
  <c r="Y439" i="2"/>
  <c r="Y437" i="2"/>
  <c r="X441" i="2"/>
  <c r="Y415" i="2"/>
  <c r="Y435" i="2"/>
  <c r="Y412" i="2"/>
  <c r="Y411" i="2"/>
  <c r="Y404" i="2"/>
  <c r="W407" i="2"/>
  <c r="Y392" i="2"/>
  <c r="Y391" i="2"/>
  <c r="Y403" i="2"/>
  <c r="Y393" i="2"/>
  <c r="Y402" i="2"/>
  <c r="Y405" i="2"/>
  <c r="Y387" i="2"/>
  <c r="Y384" i="2"/>
  <c r="X407" i="2"/>
  <c r="Y406" i="2"/>
  <c r="Y390" i="2"/>
  <c r="Y388" i="2"/>
  <c r="Y385" i="2"/>
  <c r="Y383" i="2"/>
  <c r="Y382" i="2"/>
  <c r="Y386" i="2"/>
  <c r="Y389" i="2"/>
  <c r="Y376" i="2"/>
  <c r="Y377" i="2"/>
  <c r="AH227" i="2"/>
  <c r="AH226" i="2"/>
  <c r="X26" i="2"/>
  <c r="AU413" i="2"/>
  <c r="AU421" i="2"/>
  <c r="AU416" i="2"/>
  <c r="AU414" i="2"/>
  <c r="AU411" i="2"/>
  <c r="AU412" i="2"/>
  <c r="AJ301" i="6"/>
  <c r="H302" i="6"/>
  <c r="M301" i="6"/>
  <c r="K302" i="6"/>
  <c r="Y301" i="6"/>
  <c r="U301" i="6"/>
  <c r="S302" i="6"/>
  <c r="AG301" i="6"/>
  <c r="AE302" i="6"/>
  <c r="AA302" i="6"/>
  <c r="AI301" i="6"/>
  <c r="I301" i="6"/>
  <c r="Q301" i="6"/>
  <c r="O302" i="6"/>
  <c r="AL17" i="6"/>
  <c r="AI589" i="2"/>
  <c r="AI585" i="2"/>
  <c r="AI588" i="2"/>
  <c r="AI587" i="2"/>
  <c r="AI583" i="2"/>
  <c r="AI584" i="2"/>
  <c r="AI586" i="2"/>
  <c r="Y30" i="2"/>
  <c r="AI243" i="2"/>
  <c r="AI239" i="2"/>
  <c r="AI241" i="2"/>
  <c r="AI240" i="2"/>
  <c r="AI244" i="2"/>
  <c r="AI242" i="2"/>
  <c r="AI160" i="2"/>
  <c r="AI156" i="2"/>
  <c r="AI161" i="2"/>
  <c r="AI157" i="2"/>
  <c r="AI155" i="2"/>
  <c r="AI159" i="2"/>
  <c r="AI158" i="2"/>
  <c r="M33" i="2"/>
  <c r="AT33" i="2"/>
  <c r="AU32" i="2"/>
  <c r="Y546" i="2"/>
  <c r="Z546" i="2"/>
  <c r="Y31" i="2"/>
  <c r="Y32" i="2"/>
  <c r="AN33" i="2"/>
  <c r="AZ454" i="2"/>
  <c r="BA203" i="2"/>
  <c r="BA200" i="2"/>
  <c r="BA201" i="2"/>
  <c r="BA195" i="2"/>
  <c r="BA197" i="2"/>
  <c r="BA194" i="2"/>
  <c r="Z194" i="2"/>
  <c r="Z195" i="2"/>
  <c r="Z203" i="2"/>
  <c r="Z201" i="2"/>
  <c r="Z243" i="2"/>
  <c r="Z241" i="2"/>
  <c r="Z242" i="2"/>
  <c r="Z240" i="2"/>
  <c r="Z244" i="2"/>
  <c r="Z239" i="2"/>
  <c r="Z233" i="2"/>
  <c r="Z234" i="2"/>
  <c r="Z231" i="2"/>
  <c r="Z235" i="2"/>
  <c r="Z232" i="2"/>
  <c r="Z164" i="2"/>
  <c r="Z165" i="2"/>
  <c r="Z166" i="2"/>
  <c r="Z158" i="2"/>
  <c r="Z155" i="2"/>
  <c r="Z156" i="2"/>
  <c r="Z161" i="2"/>
  <c r="Z159" i="2"/>
  <c r="Z160" i="2"/>
  <c r="Z157" i="2"/>
  <c r="W26" i="2"/>
  <c r="Y620" i="2"/>
  <c r="Z612" i="2"/>
  <c r="Y597" i="2"/>
  <c r="Y589" i="2"/>
  <c r="AH228" i="2"/>
  <c r="AH360" i="2"/>
  <c r="AH333" i="2"/>
  <c r="AH58" i="2"/>
  <c r="AH370" i="2"/>
  <c r="AH147" i="2"/>
  <c r="AH343" i="2"/>
  <c r="AI341" i="2"/>
  <c r="Y538" i="2"/>
  <c r="Y480" i="2"/>
  <c r="Z479" i="2"/>
  <c r="Y508" i="2"/>
  <c r="Y449" i="2"/>
  <c r="Y460" i="2"/>
  <c r="Z457" i="2"/>
  <c r="Y441" i="2"/>
  <c r="Z441" i="2"/>
  <c r="Y407" i="2"/>
  <c r="Z404" i="2"/>
  <c r="W360" i="2"/>
  <c r="Y357" i="2"/>
  <c r="Y358" i="2"/>
  <c r="X360" i="2"/>
  <c r="Y359" i="2"/>
  <c r="X354" i="2"/>
  <c r="W354" i="2"/>
  <c r="Y326" i="2"/>
  <c r="Y342" i="2"/>
  <c r="Y337" i="2"/>
  <c r="Y316" i="2"/>
  <c r="Y336" i="2"/>
  <c r="Y327" i="2"/>
  <c r="Y332" i="2"/>
  <c r="Y322" i="2"/>
  <c r="X228" i="2"/>
  <c r="W228" i="2"/>
  <c r="Y227" i="2"/>
  <c r="Y226" i="2"/>
  <c r="Y206" i="2"/>
  <c r="Y208" i="2"/>
  <c r="Y207" i="2"/>
  <c r="X152" i="2"/>
  <c r="W174" i="2"/>
  <c r="W152" i="2"/>
  <c r="Y141" i="2"/>
  <c r="X174" i="2"/>
  <c r="Y145" i="2"/>
  <c r="Y151" i="2"/>
  <c r="Y143" i="2"/>
  <c r="X147" i="2"/>
  <c r="Y138" i="2"/>
  <c r="X65" i="2"/>
  <c r="X73" i="2"/>
  <c r="Y144" i="2"/>
  <c r="Y139" i="2"/>
  <c r="Y150" i="2"/>
  <c r="Y146" i="2"/>
  <c r="Y140" i="2"/>
  <c r="W65" i="2"/>
  <c r="Y142" i="2"/>
  <c r="W147" i="2"/>
  <c r="W73" i="2"/>
  <c r="Y137" i="2"/>
  <c r="W58" i="2"/>
  <c r="X58" i="2"/>
  <c r="AU30" i="2"/>
  <c r="AI357" i="2"/>
  <c r="AI359" i="2"/>
  <c r="AI358" i="2"/>
  <c r="AI360" i="2"/>
  <c r="AI223" i="2"/>
  <c r="AI220" i="2"/>
  <c r="AI221" i="2"/>
  <c r="Y210" i="2"/>
  <c r="Z209" i="2"/>
  <c r="AU31" i="2"/>
  <c r="AI47" i="2"/>
  <c r="AI51" i="2"/>
  <c r="AI55" i="2"/>
  <c r="AI44" i="2"/>
  <c r="AI46" i="2"/>
  <c r="AI50" i="2"/>
  <c r="AI54" i="2"/>
  <c r="AI58" i="2"/>
  <c r="AI45" i="2"/>
  <c r="AI53" i="2"/>
  <c r="AI48" i="2"/>
  <c r="AI49" i="2"/>
  <c r="AI57" i="2"/>
  <c r="AI52" i="2"/>
  <c r="AI56" i="2"/>
  <c r="AI138" i="2"/>
  <c r="AI142" i="2"/>
  <c r="AI146" i="2"/>
  <c r="AI141" i="2"/>
  <c r="AI145" i="2"/>
  <c r="AI139" i="2"/>
  <c r="AI147" i="2"/>
  <c r="AI143" i="2"/>
  <c r="AI144" i="2"/>
  <c r="AI140" i="2"/>
  <c r="AI137" i="2"/>
  <c r="AU33" i="2"/>
  <c r="Z538" i="2"/>
  <c r="Z571" i="2"/>
  <c r="Z570" i="2"/>
  <c r="Z572" i="2"/>
  <c r="Y454" i="2"/>
  <c r="Z453" i="2"/>
  <c r="Y33" i="2"/>
  <c r="Z33" i="2"/>
  <c r="AO30" i="2"/>
  <c r="AO33" i="2"/>
  <c r="AO32" i="2"/>
  <c r="AO31" i="2"/>
  <c r="AZ33" i="2"/>
  <c r="Z505" i="2"/>
  <c r="BA453" i="2"/>
  <c r="BA445" i="2"/>
  <c r="BA454" i="2"/>
  <c r="BA447" i="2"/>
  <c r="BA448" i="2"/>
  <c r="BA449" i="2"/>
  <c r="BA446" i="2"/>
  <c r="AI327" i="2"/>
  <c r="AI331" i="2"/>
  <c r="AI368" i="2"/>
  <c r="AI364" i="2"/>
  <c r="Z593" i="2"/>
  <c r="Z594" i="2"/>
  <c r="Z595" i="2"/>
  <c r="Z596" i="2"/>
  <c r="Z601" i="2"/>
  <c r="Z605" i="2"/>
  <c r="Z606" i="2"/>
  <c r="Z589" i="2"/>
  <c r="Z587" i="2"/>
  <c r="Z584" i="2"/>
  <c r="Z588" i="2"/>
  <c r="Z585" i="2"/>
  <c r="Z586" i="2"/>
  <c r="Z615" i="2"/>
  <c r="Z613" i="2"/>
  <c r="Z620" i="2"/>
  <c r="Z618" i="2"/>
  <c r="Z616" i="2"/>
  <c r="Z617" i="2"/>
  <c r="Z619" i="2"/>
  <c r="Z614" i="2"/>
  <c r="Z583" i="2"/>
  <c r="AI332" i="2"/>
  <c r="AI333" i="2"/>
  <c r="AI326" i="2"/>
  <c r="Z430" i="2"/>
  <c r="AI336" i="2"/>
  <c r="AI343" i="2"/>
  <c r="AI337" i="2"/>
  <c r="AI342" i="2"/>
  <c r="AI369" i="2"/>
  <c r="AI363" i="2"/>
  <c r="AI370" i="2"/>
  <c r="Z544" i="2"/>
  <c r="Z545" i="2"/>
  <c r="Z543" i="2"/>
  <c r="Z475" i="2"/>
  <c r="Z537" i="2"/>
  <c r="Z535" i="2"/>
  <c r="Z478" i="2"/>
  <c r="Z536" i="2"/>
  <c r="Z477" i="2"/>
  <c r="Z476" i="2"/>
  <c r="Z504" i="2"/>
  <c r="Z506" i="2"/>
  <c r="Z507" i="2"/>
  <c r="Z474" i="2"/>
  <c r="Z473" i="2"/>
  <c r="Z472" i="2"/>
  <c r="Z508" i="2"/>
  <c r="Z405" i="2"/>
  <c r="Z439" i="2"/>
  <c r="Z434" i="2"/>
  <c r="Z435" i="2"/>
  <c r="Z437" i="2"/>
  <c r="Z458" i="2"/>
  <c r="Z460" i="2"/>
  <c r="Z459" i="2"/>
  <c r="Z436" i="2"/>
  <c r="Z438" i="2"/>
  <c r="Z440" i="2"/>
  <c r="Z433" i="2"/>
  <c r="Z402" i="2"/>
  <c r="Z406" i="2"/>
  <c r="Z403" i="2"/>
  <c r="Y360" i="2"/>
  <c r="Z360" i="2"/>
  <c r="Y354" i="2"/>
  <c r="Y343" i="2"/>
  <c r="Y333" i="2"/>
  <c r="Z331" i="2"/>
  <c r="Y323" i="2"/>
  <c r="Z223" i="2"/>
  <c r="Y228" i="2"/>
  <c r="Z217" i="2"/>
  <c r="Y174" i="2"/>
  <c r="Z174" i="2"/>
  <c r="Y65" i="2"/>
  <c r="Y81" i="2"/>
  <c r="Y152" i="2"/>
  <c r="Y58" i="2"/>
  <c r="W15" i="2"/>
  <c r="X15" i="2"/>
  <c r="Y13" i="2"/>
  <c r="Y14" i="2"/>
  <c r="U528" i="2"/>
  <c r="U533" i="2"/>
  <c r="T528" i="2"/>
  <c r="R528" i="2"/>
  <c r="Q528" i="2"/>
  <c r="U497" i="2"/>
  <c r="T497" i="2"/>
  <c r="R497" i="2"/>
  <c r="Q497" i="2"/>
  <c r="U496" i="2"/>
  <c r="T496" i="2"/>
  <c r="R496" i="2"/>
  <c r="Q496" i="2"/>
  <c r="U495" i="2"/>
  <c r="T495" i="2"/>
  <c r="R495" i="2"/>
  <c r="Q495" i="2"/>
  <c r="U494" i="2"/>
  <c r="U500" i="2"/>
  <c r="T494" i="2"/>
  <c r="R494" i="2"/>
  <c r="Q494" i="2"/>
  <c r="U493" i="2"/>
  <c r="U499" i="2"/>
  <c r="T493" i="2"/>
  <c r="R493" i="2"/>
  <c r="Q493" i="2"/>
  <c r="X443" i="2"/>
  <c r="W443" i="2"/>
  <c r="U443" i="2"/>
  <c r="T443" i="2"/>
  <c r="R443" i="2"/>
  <c r="X409" i="2"/>
  <c r="W409" i="2"/>
  <c r="U409" i="2"/>
  <c r="U422" i="2"/>
  <c r="T409" i="2"/>
  <c r="T422" i="2"/>
  <c r="R409" i="2"/>
  <c r="R422" i="2"/>
  <c r="Q409" i="2"/>
  <c r="Q422" i="2"/>
  <c r="Y26" i="2"/>
  <c r="V495" i="2"/>
  <c r="V496" i="2"/>
  <c r="V497" i="2"/>
  <c r="V493" i="2"/>
  <c r="T499" i="2"/>
  <c r="V499" i="2"/>
  <c r="S493" i="2"/>
  <c r="Q499" i="2"/>
  <c r="W493" i="2"/>
  <c r="Q500" i="2"/>
  <c r="S494" i="2"/>
  <c r="W494" i="2"/>
  <c r="S495" i="2"/>
  <c r="W495" i="2"/>
  <c r="S496" i="2"/>
  <c r="W496" i="2"/>
  <c r="S497" i="2"/>
  <c r="W497" i="2"/>
  <c r="T500" i="2"/>
  <c r="V500" i="2"/>
  <c r="V494" i="2"/>
  <c r="R499" i="2"/>
  <c r="X493" i="2"/>
  <c r="X494" i="2"/>
  <c r="R500" i="2"/>
  <c r="X500" i="2"/>
  <c r="X495" i="2"/>
  <c r="X496" i="2"/>
  <c r="X497" i="2"/>
  <c r="M36" i="6"/>
  <c r="K37" i="6" s="1"/>
  <c r="AC36" i="6"/>
  <c r="AC37" i="6" s="1"/>
  <c r="I36" i="6"/>
  <c r="AI36" i="6"/>
  <c r="Q36" i="6"/>
  <c r="P37" i="6" s="1"/>
  <c r="Y36" i="6"/>
  <c r="W37" i="6" s="1"/>
  <c r="U36" i="6"/>
  <c r="S37" i="6" s="1"/>
  <c r="AG36" i="6"/>
  <c r="Z447" i="2"/>
  <c r="Z454" i="2"/>
  <c r="Z449" i="2"/>
  <c r="Z347" i="2"/>
  <c r="Z351" i="2"/>
  <c r="Z348" i="2"/>
  <c r="Z352" i="2"/>
  <c r="Z349" i="2"/>
  <c r="Z353" i="2"/>
  <c r="Z346" i="2"/>
  <c r="Z350" i="2"/>
  <c r="W528" i="2"/>
  <c r="R533" i="2"/>
  <c r="X528" i="2"/>
  <c r="T470" i="2"/>
  <c r="T461" i="2"/>
  <c r="T481" i="2"/>
  <c r="T455" i="2"/>
  <c r="T533" i="2"/>
  <c r="V528" i="2"/>
  <c r="V533" i="2"/>
  <c r="U481" i="2"/>
  <c r="U461" i="2"/>
  <c r="U470" i="2"/>
  <c r="U455" i="2"/>
  <c r="S528" i="2"/>
  <c r="S533" i="2"/>
  <c r="Q533" i="2"/>
  <c r="R461" i="2"/>
  <c r="R470" i="2"/>
  <c r="R481" i="2"/>
  <c r="R455" i="2"/>
  <c r="Z448" i="2"/>
  <c r="Z445" i="2"/>
  <c r="Z446" i="2"/>
  <c r="Z30" i="2"/>
  <c r="Z31" i="2"/>
  <c r="Z32" i="2"/>
  <c r="Z45" i="2"/>
  <c r="Z49" i="2"/>
  <c r="Z53" i="2"/>
  <c r="Z57" i="2"/>
  <c r="Z46" i="2"/>
  <c r="Z58" i="2"/>
  <c r="Z44" i="2"/>
  <c r="Z48" i="2"/>
  <c r="Z52" i="2"/>
  <c r="Z56" i="2"/>
  <c r="Z50" i="2"/>
  <c r="Z54" i="2"/>
  <c r="Z47" i="2"/>
  <c r="Z51" i="2"/>
  <c r="Z55" i="2"/>
  <c r="Z79" i="2"/>
  <c r="Z80" i="2"/>
  <c r="Z81" i="2"/>
  <c r="Z78" i="2"/>
  <c r="Z77" i="2"/>
  <c r="Z85" i="2"/>
  <c r="Z84" i="2"/>
  <c r="Z88" i="2"/>
  <c r="Z86" i="2"/>
  <c r="Z87" i="2"/>
  <c r="Z64" i="2"/>
  <c r="Z65" i="2"/>
  <c r="Z61" i="2"/>
  <c r="Z63" i="2"/>
  <c r="Z62" i="2"/>
  <c r="Z93" i="2"/>
  <c r="Z92" i="2"/>
  <c r="Z94" i="2"/>
  <c r="Z95" i="2"/>
  <c r="Z96" i="2"/>
  <c r="BA33" i="2"/>
  <c r="BA32" i="2"/>
  <c r="BA31" i="2"/>
  <c r="BA30" i="2"/>
  <c r="Z317" i="2"/>
  <c r="Z321" i="2"/>
  <c r="Z343" i="2"/>
  <c r="Z341" i="2"/>
  <c r="W421" i="2"/>
  <c r="X400" i="2"/>
  <c r="W400" i="2"/>
  <c r="Z177" i="2"/>
  <c r="Z359" i="2"/>
  <c r="Z358" i="2"/>
  <c r="Z357" i="2"/>
  <c r="Z354" i="2"/>
  <c r="Z336" i="2"/>
  <c r="Z342" i="2"/>
  <c r="Z337" i="2"/>
  <c r="Z333" i="2"/>
  <c r="Z327" i="2"/>
  <c r="Z332" i="2"/>
  <c r="Z326" i="2"/>
  <c r="Z323" i="2"/>
  <c r="Y15" i="2"/>
  <c r="Z407" i="2"/>
  <c r="Y73" i="2"/>
  <c r="Y580" i="2"/>
  <c r="Y147" i="2"/>
  <c r="Y494" i="2"/>
  <c r="AT528" i="2"/>
  <c r="AT533" i="2"/>
  <c r="AU526" i="2"/>
  <c r="G383" i="6"/>
  <c r="Y497" i="2"/>
  <c r="Y495" i="2"/>
  <c r="L384" i="6"/>
  <c r="X384" i="6"/>
  <c r="H383" i="6"/>
  <c r="AF384" i="6"/>
  <c r="AF357" i="6"/>
  <c r="H356" i="6"/>
  <c r="T357" i="6"/>
  <c r="Y496" i="2"/>
  <c r="W499" i="2"/>
  <c r="S500" i="2"/>
  <c r="W500" i="2"/>
  <c r="S499" i="2"/>
  <c r="X499" i="2"/>
  <c r="Y493" i="2"/>
  <c r="Y528" i="2"/>
  <c r="Y533" i="2"/>
  <c r="Z527" i="2"/>
  <c r="AZ528" i="2"/>
  <c r="AZ533" i="2"/>
  <c r="BA521" i="2"/>
  <c r="U37" i="6"/>
  <c r="T37" i="6"/>
  <c r="X37" i="6"/>
  <c r="H37" i="6"/>
  <c r="G37" i="6"/>
  <c r="I37" i="6"/>
  <c r="Z577" i="2"/>
  <c r="Z578" i="2"/>
  <c r="Z579" i="2"/>
  <c r="Z576" i="2"/>
  <c r="Z72" i="2"/>
  <c r="Z69" i="2"/>
  <c r="Z71" i="2"/>
  <c r="Z73" i="2"/>
  <c r="Z70" i="2"/>
  <c r="Z68" i="2"/>
  <c r="X421" i="2"/>
  <c r="AZ421" i="2"/>
  <c r="Y416" i="2"/>
  <c r="Y421" i="2"/>
  <c r="Z414" i="2"/>
  <c r="Y400" i="2"/>
  <c r="Z15" i="2"/>
  <c r="X16" i="2"/>
  <c r="Y16" i="2"/>
  <c r="W16" i="2"/>
  <c r="Z26" i="2"/>
  <c r="Z24" i="2"/>
  <c r="Z25" i="2"/>
  <c r="Z179" i="2"/>
  <c r="Z182" i="2"/>
  <c r="Z183" i="2"/>
  <c r="Z181" i="2"/>
  <c r="Z186" i="2"/>
  <c r="Z178" i="2"/>
  <c r="Z187" i="2"/>
  <c r="Z180" i="2"/>
  <c r="Z185" i="2"/>
  <c r="Z14" i="2"/>
  <c r="X533" i="2"/>
  <c r="W533" i="2"/>
  <c r="Z322" i="2"/>
  <c r="Z316" i="2"/>
  <c r="Z227" i="2"/>
  <c r="Z226" i="2"/>
  <c r="Z228" i="2"/>
  <c r="Z215" i="2"/>
  <c r="Z214" i="2"/>
  <c r="Z221" i="2"/>
  <c r="Z220" i="2"/>
  <c r="Z208" i="2"/>
  <c r="Z207" i="2"/>
  <c r="Z206" i="2"/>
  <c r="Z171" i="2"/>
  <c r="Z172" i="2"/>
  <c r="Z173" i="2"/>
  <c r="Z169" i="2"/>
  <c r="Z170" i="2"/>
  <c r="Z150" i="2"/>
  <c r="Z151" i="2"/>
  <c r="Z152" i="2"/>
  <c r="Z138" i="2"/>
  <c r="Z142" i="2"/>
  <c r="Z146" i="2"/>
  <c r="Z139" i="2"/>
  <c r="Z141" i="2"/>
  <c r="Z145" i="2"/>
  <c r="Z143" i="2"/>
  <c r="Z140" i="2"/>
  <c r="Z144" i="2"/>
  <c r="Z147" i="2"/>
  <c r="Z137" i="2"/>
  <c r="Z580" i="2"/>
  <c r="Z210" i="2"/>
  <c r="Z592" i="2"/>
  <c r="Z597" i="2"/>
  <c r="Z13" i="2"/>
  <c r="Z23" i="2"/>
  <c r="Z607" i="2"/>
  <c r="Z600" i="2"/>
  <c r="Z480" i="2"/>
  <c r="AU523" i="2"/>
  <c r="AU521" i="2"/>
  <c r="AU520" i="2"/>
  <c r="AU518" i="2"/>
  <c r="AU525" i="2"/>
  <c r="AU522" i="2"/>
  <c r="AU524" i="2"/>
  <c r="AU528" i="2"/>
  <c r="AU519" i="2"/>
  <c r="Y498" i="2"/>
  <c r="Z497" i="2"/>
  <c r="Q383" i="6"/>
  <c r="AI383" i="6"/>
  <c r="G384" i="6"/>
  <c r="W384" i="6"/>
  <c r="AU533" i="2"/>
  <c r="AG383" i="6"/>
  <c r="AE384" i="6"/>
  <c r="U383" i="6"/>
  <c r="AC383" i="6"/>
  <c r="AA384" i="6"/>
  <c r="Y500" i="2"/>
  <c r="G356" i="6"/>
  <c r="AJ356" i="6"/>
  <c r="Y499" i="2"/>
  <c r="BA528" i="2"/>
  <c r="BA523" i="2"/>
  <c r="BA520" i="2"/>
  <c r="BA524" i="2"/>
  <c r="BA519" i="2"/>
  <c r="BA525" i="2"/>
  <c r="BA533" i="2"/>
  <c r="BA522" i="2"/>
  <c r="BA526" i="2"/>
  <c r="BA518" i="2"/>
  <c r="Z400" i="2"/>
  <c r="Z394" i="2"/>
  <c r="Z521" i="2"/>
  <c r="Z520" i="2"/>
  <c r="BA416" i="2"/>
  <c r="BA411" i="2"/>
  <c r="BA415" i="2"/>
  <c r="BA421" i="2"/>
  <c r="BA412" i="2"/>
  <c r="BA413" i="2"/>
  <c r="BA414" i="2"/>
  <c r="Z412" i="2"/>
  <c r="X379" i="2"/>
  <c r="AZ379" i="2"/>
  <c r="Z415" i="2"/>
  <c r="Z385" i="2"/>
  <c r="Z413" i="2"/>
  <c r="Z421" i="2"/>
  <c r="Z383" i="2"/>
  <c r="Z411" i="2"/>
  <c r="Z386" i="2"/>
  <c r="Z390" i="2"/>
  <c r="Z392" i="2"/>
  <c r="Z382" i="2"/>
  <c r="Z393" i="2"/>
  <c r="Z388" i="2"/>
  <c r="Z391" i="2"/>
  <c r="Z395" i="2"/>
  <c r="Z389" i="2"/>
  <c r="Z384" i="2"/>
  <c r="Z387" i="2"/>
  <c r="W379" i="2"/>
  <c r="Z533" i="2"/>
  <c r="Z524" i="2"/>
  <c r="Z518" i="2"/>
  <c r="Z526" i="2"/>
  <c r="Z519" i="2"/>
  <c r="Z525" i="2"/>
  <c r="Z522" i="2"/>
  <c r="Z523" i="2"/>
  <c r="Z528" i="2"/>
  <c r="Y378" i="2"/>
  <c r="Y379" i="2"/>
  <c r="Z611" i="2"/>
  <c r="AH33" i="2"/>
  <c r="AH580" i="2"/>
  <c r="AH597" i="2"/>
  <c r="AH323" i="2"/>
  <c r="Y122" i="2"/>
  <c r="AH354" i="2"/>
  <c r="AH607" i="2"/>
  <c r="AH15" i="2"/>
  <c r="AG105" i="7"/>
  <c r="U105" i="7"/>
  <c r="Z494" i="2"/>
  <c r="H404" i="6"/>
  <c r="AJ404" i="6" s="1"/>
  <c r="G404" i="6"/>
  <c r="Z498" i="2"/>
  <c r="G402" i="6"/>
  <c r="Z495" i="2"/>
  <c r="G403" i="6"/>
  <c r="Z493" i="2"/>
  <c r="Z496" i="2"/>
  <c r="AC356" i="6"/>
  <c r="I356" i="6"/>
  <c r="Q356" i="6"/>
  <c r="M356" i="6"/>
  <c r="AI578" i="2"/>
  <c r="AI580" i="2"/>
  <c r="AI576" i="2"/>
  <c r="AI579" i="2"/>
  <c r="AI577" i="2"/>
  <c r="AI19" i="2"/>
  <c r="AI18" i="2"/>
  <c r="AI20" i="2"/>
  <c r="AI594" i="2"/>
  <c r="AI597" i="2"/>
  <c r="AI596" i="2"/>
  <c r="AI592" i="2"/>
  <c r="AI595" i="2"/>
  <c r="AI593" i="2"/>
  <c r="Y105" i="6"/>
  <c r="I104" i="6"/>
  <c r="AG105" i="6"/>
  <c r="Q105" i="6"/>
  <c r="AC105" i="6"/>
  <c r="M105" i="6"/>
  <c r="AI215" i="2"/>
  <c r="AI217" i="2"/>
  <c r="AI214" i="2"/>
  <c r="AI354" i="2"/>
  <c r="AI350" i="2"/>
  <c r="AI346" i="2"/>
  <c r="AI352" i="2"/>
  <c r="AI348" i="2"/>
  <c r="AI347" i="2"/>
  <c r="AI353" i="2"/>
  <c r="AI351" i="2"/>
  <c r="AI349" i="2"/>
  <c r="AI605" i="2"/>
  <c r="AI600" i="2"/>
  <c r="AI601" i="2"/>
  <c r="AI607" i="2"/>
  <c r="AI606" i="2"/>
  <c r="AI33" i="2"/>
  <c r="BA379" i="2"/>
  <c r="BA377" i="2"/>
  <c r="BA376" i="2"/>
  <c r="BA378" i="2"/>
  <c r="AI317" i="2"/>
  <c r="AI321" i="2"/>
  <c r="AI322" i="2"/>
  <c r="AI323" i="2"/>
  <c r="AI316" i="2"/>
  <c r="Z379" i="2"/>
  <c r="Z378" i="2"/>
  <c r="Z377" i="2"/>
  <c r="Z376" i="2"/>
  <c r="AI31" i="2"/>
  <c r="Z416" i="2"/>
  <c r="AI30" i="2"/>
  <c r="AI32" i="2"/>
  <c r="AH620" i="2"/>
  <c r="AI23" i="2"/>
  <c r="AI228" i="2"/>
  <c r="AI226" i="2"/>
  <c r="AI227" i="2"/>
  <c r="AI13" i="2"/>
  <c r="AI14" i="2"/>
  <c r="AI15" i="2"/>
  <c r="H402" i="6"/>
  <c r="H403" i="6"/>
  <c r="U405" i="6"/>
  <c r="AI620" i="2"/>
  <c r="AI616" i="2"/>
  <c r="AI612" i="2"/>
  <c r="AI611" i="2"/>
  <c r="AI618" i="2"/>
  <c r="AI614" i="2"/>
  <c r="AI615" i="2"/>
  <c r="AI617" i="2"/>
  <c r="AI613" i="2"/>
  <c r="AI619" i="2"/>
  <c r="I105" i="6"/>
  <c r="T405" i="6"/>
  <c r="I405" i="6"/>
  <c r="K8" i="23" l="1"/>
  <c r="K8" i="6"/>
  <c r="L3" i="2"/>
  <c r="AA8" i="7" s="1"/>
  <c r="L3" i="17"/>
  <c r="N9" i="10"/>
  <c r="N9" i="15"/>
  <c r="A2" i="2"/>
  <c r="A2" i="9"/>
  <c r="A2" i="11"/>
  <c r="A2" i="18"/>
  <c r="A2" i="21"/>
  <c r="F31" i="5"/>
  <c r="C32" i="5" s="1"/>
  <c r="A3" i="24"/>
  <c r="AA8" i="6"/>
  <c r="Q9" i="11"/>
  <c r="A3" i="6"/>
  <c r="A2" i="10"/>
  <c r="A2" i="15"/>
  <c r="A2" i="14"/>
  <c r="F45" i="5"/>
  <c r="C46" i="5" s="1"/>
  <c r="L3" i="3"/>
  <c r="M13" i="23"/>
  <c r="W8" i="23"/>
  <c r="W8" i="6"/>
  <c r="C48" i="5"/>
  <c r="F50" i="5" s="1"/>
  <c r="S8" i="23"/>
  <c r="S8" i="6"/>
  <c r="A4" i="25"/>
  <c r="A4" i="26" s="1"/>
  <c r="Q9" i="10"/>
  <c r="G8" i="7"/>
  <c r="I15" i="23"/>
  <c r="G8" i="6"/>
  <c r="C17" i="5"/>
  <c r="C18" i="5" s="1"/>
  <c r="O8" i="6"/>
  <c r="Q13" i="6"/>
  <c r="AE8" i="6"/>
  <c r="AG13" i="23"/>
  <c r="M15" i="23"/>
  <c r="U121" i="25"/>
  <c r="M27" i="26" s="1"/>
  <c r="N46" i="20"/>
  <c r="L392" i="20"/>
  <c r="N49" i="20"/>
  <c r="L436" i="20"/>
  <c r="L451" i="20" s="1"/>
  <c r="L39" i="20"/>
  <c r="L347" i="20"/>
  <c r="L66" i="20"/>
  <c r="L25" i="20"/>
  <c r="W163" i="16"/>
  <c r="W163" i="18"/>
  <c r="U169" i="16"/>
  <c r="P169" i="16"/>
  <c r="W163" i="14"/>
  <c r="X163" i="14"/>
  <c r="V163" i="14"/>
  <c r="V169" i="14" s="1"/>
  <c r="P163" i="18"/>
  <c r="P169" i="18" s="1"/>
  <c r="W169" i="15"/>
  <c r="V169" i="15"/>
  <c r="V169" i="16"/>
  <c r="P169" i="17"/>
  <c r="W163" i="17"/>
  <c r="Z33" i="19"/>
  <c r="Z31" i="19"/>
  <c r="AI24" i="17"/>
  <c r="AI26" i="17"/>
  <c r="AI25" i="17"/>
  <c r="AU30" i="14"/>
  <c r="AU33" i="14"/>
  <c r="AU31" i="14"/>
  <c r="AO44" i="16"/>
  <c r="AO57" i="16"/>
  <c r="AO50" i="16"/>
  <c r="AO56" i="16"/>
  <c r="AO55" i="16"/>
  <c r="AO46" i="16"/>
  <c r="AO58" i="16"/>
  <c r="AO52" i="16"/>
  <c r="AO51" i="16"/>
  <c r="AO54" i="16"/>
  <c r="AO53" i="16"/>
  <c r="AO48" i="16"/>
  <c r="AO47" i="16"/>
  <c r="AO49" i="16"/>
  <c r="AO45" i="16"/>
  <c r="AB79" i="23"/>
  <c r="T26" i="7"/>
  <c r="AZ24" i="16"/>
  <c r="AZ64" i="16"/>
  <c r="Y64" i="16"/>
  <c r="X45" i="7"/>
  <c r="Y45" i="7" s="1"/>
  <c r="AZ39" i="17"/>
  <c r="AE54" i="7"/>
  <c r="AG54" i="7" s="1"/>
  <c r="AT49" i="19"/>
  <c r="AE58" i="7"/>
  <c r="AE63" i="23" s="1"/>
  <c r="AT53" i="19"/>
  <c r="Y53" i="19"/>
  <c r="AE62" i="7"/>
  <c r="AT57" i="19"/>
  <c r="AF56" i="7"/>
  <c r="AZ51" i="19"/>
  <c r="AZ58" i="19" s="1"/>
  <c r="AF60" i="7"/>
  <c r="AZ55" i="19"/>
  <c r="W119" i="7"/>
  <c r="Y138" i="17"/>
  <c r="W118" i="7"/>
  <c r="Y137" i="17"/>
  <c r="Y139" i="17" s="1"/>
  <c r="X119" i="7"/>
  <c r="X125" i="23" s="1"/>
  <c r="AZ138" i="17"/>
  <c r="X118" i="7"/>
  <c r="AZ137" i="17"/>
  <c r="AZ32" i="14"/>
  <c r="Y32" i="14"/>
  <c r="U21" i="7"/>
  <c r="Y31" i="14"/>
  <c r="AZ32" i="16"/>
  <c r="AZ33" i="16" s="1"/>
  <c r="BA33" i="16" s="1"/>
  <c r="AI53" i="17"/>
  <c r="Y46" i="17"/>
  <c r="Y49" i="19"/>
  <c r="Y138" i="19"/>
  <c r="AO52" i="19"/>
  <c r="AO51" i="19"/>
  <c r="AO49" i="19"/>
  <c r="AO54" i="19"/>
  <c r="AO58" i="19"/>
  <c r="AO57" i="19"/>
  <c r="AO50" i="19"/>
  <c r="AH26" i="14"/>
  <c r="AH33" i="14"/>
  <c r="AI33" i="14" s="1"/>
  <c r="S41" i="14"/>
  <c r="K66" i="7"/>
  <c r="M66" i="7" s="1"/>
  <c r="AT62" i="14"/>
  <c r="K71" i="7"/>
  <c r="M71" i="7" s="1"/>
  <c r="AT68" i="14"/>
  <c r="Y68" i="14"/>
  <c r="K74" i="7"/>
  <c r="AT71" i="14"/>
  <c r="M81" i="7"/>
  <c r="Y81" i="14"/>
  <c r="O25" i="7"/>
  <c r="AT23" i="15"/>
  <c r="P26" i="7"/>
  <c r="AZ24" i="15"/>
  <c r="Y24" i="15"/>
  <c r="P44" i="7"/>
  <c r="P49" i="23" s="1"/>
  <c r="AZ38" i="15"/>
  <c r="O45" i="7"/>
  <c r="Q45" i="7" s="1"/>
  <c r="AT39" i="15"/>
  <c r="O73" i="7"/>
  <c r="O78" i="23" s="1"/>
  <c r="AT70" i="15"/>
  <c r="W129" i="7"/>
  <c r="AT150" i="17"/>
  <c r="W133" i="7"/>
  <c r="Y133" i="7" s="1"/>
  <c r="AT155" i="17"/>
  <c r="AO25" i="18"/>
  <c r="AO23" i="18"/>
  <c r="AI24" i="18"/>
  <c r="AI26" i="18"/>
  <c r="AI30" i="18"/>
  <c r="AI33" i="18"/>
  <c r="AI31" i="18"/>
  <c r="AB66" i="7"/>
  <c r="Y62" i="18"/>
  <c r="AB74" i="7"/>
  <c r="AZ71" i="18"/>
  <c r="AA129" i="7"/>
  <c r="AT150" i="18"/>
  <c r="AA133" i="7"/>
  <c r="Y155" i="18"/>
  <c r="AA137" i="7"/>
  <c r="AT159" i="18"/>
  <c r="AH58" i="19"/>
  <c r="AE136" i="7"/>
  <c r="AG136" i="7" s="1"/>
  <c r="AT158" i="19"/>
  <c r="Y103" i="17"/>
  <c r="T68" i="7"/>
  <c r="W52" i="7"/>
  <c r="Y52" i="7" s="1"/>
  <c r="AT47" i="17"/>
  <c r="Y47" i="17"/>
  <c r="Y58" i="17" s="1"/>
  <c r="W56" i="7"/>
  <c r="AT51" i="17"/>
  <c r="Y51" i="17"/>
  <c r="W60" i="7"/>
  <c r="W65" i="23" s="1"/>
  <c r="Y55" i="17"/>
  <c r="X54" i="7"/>
  <c r="AZ49" i="17"/>
  <c r="X62" i="7"/>
  <c r="AZ57" i="17"/>
  <c r="AB49" i="7"/>
  <c r="AC49" i="7" s="1"/>
  <c r="X58" i="18"/>
  <c r="AZ33" i="14"/>
  <c r="P138" i="7"/>
  <c r="AZ160" i="15"/>
  <c r="S31" i="7"/>
  <c r="S33" i="7" s="1"/>
  <c r="AT18" i="16"/>
  <c r="T32" i="7"/>
  <c r="U32" i="7" s="1"/>
  <c r="AZ19" i="16"/>
  <c r="X20" i="16"/>
  <c r="T38" i="7" s="1"/>
  <c r="T43" i="23" s="1"/>
  <c r="S72" i="7"/>
  <c r="AT69" i="16"/>
  <c r="W73" i="16"/>
  <c r="S133" i="7"/>
  <c r="AT155" i="16"/>
  <c r="W31" i="7"/>
  <c r="Y31" i="7" s="1"/>
  <c r="W20" i="17"/>
  <c r="W38" i="7" s="1"/>
  <c r="Y18" i="17"/>
  <c r="AT25" i="17"/>
  <c r="W26" i="17"/>
  <c r="AO55" i="17"/>
  <c r="AO52" i="17"/>
  <c r="AO47" i="17"/>
  <c r="AZ62" i="19"/>
  <c r="X65" i="19"/>
  <c r="AF72" i="7"/>
  <c r="AG72" i="7" s="1"/>
  <c r="AZ69" i="19"/>
  <c r="Y69" i="19"/>
  <c r="AE73" i="7"/>
  <c r="Y70" i="19"/>
  <c r="Y103" i="16"/>
  <c r="AT51" i="19"/>
  <c r="Y51" i="19"/>
  <c r="AT55" i="19"/>
  <c r="Y55" i="19"/>
  <c r="AF50" i="7"/>
  <c r="AF55" i="23" s="1"/>
  <c r="X58" i="19"/>
  <c r="AF54" i="7"/>
  <c r="AF59" i="23" s="1"/>
  <c r="AZ49" i="19"/>
  <c r="AF58" i="7"/>
  <c r="AF63" i="23" s="1"/>
  <c r="AZ53" i="19"/>
  <c r="AF62" i="7"/>
  <c r="AF67" i="23" s="1"/>
  <c r="AZ57" i="19"/>
  <c r="AG125" i="23"/>
  <c r="O119" i="7"/>
  <c r="AT138" i="15"/>
  <c r="AE118" i="7"/>
  <c r="AE124" i="23" s="1"/>
  <c r="Y137" i="19"/>
  <c r="Y139" i="19" s="1"/>
  <c r="AT137" i="19"/>
  <c r="W139" i="19"/>
  <c r="O118" i="7"/>
  <c r="AT137" i="15"/>
  <c r="AF119" i="7"/>
  <c r="AF125" i="23" s="1"/>
  <c r="AZ138" i="19"/>
  <c r="P119" i="7"/>
  <c r="P125" i="23" s="1"/>
  <c r="AZ138" i="15"/>
  <c r="AZ139" i="15" s="1"/>
  <c r="AF118" i="7"/>
  <c r="X139" i="19"/>
  <c r="P118" i="7"/>
  <c r="X139" i="15"/>
  <c r="W124" i="16"/>
  <c r="Y31" i="16"/>
  <c r="Y33" i="16" s="1"/>
  <c r="Z30" i="16" s="1"/>
  <c r="AG119" i="7"/>
  <c r="AI46" i="17"/>
  <c r="W139" i="15"/>
  <c r="W20" i="16"/>
  <c r="S38" i="7" s="1"/>
  <c r="S43" i="23" s="1"/>
  <c r="AO26" i="16"/>
  <c r="AT33" i="16"/>
  <c r="AU31" i="16" s="1"/>
  <c r="Y69" i="16"/>
  <c r="AT138" i="17"/>
  <c r="AT139" i="17" s="1"/>
  <c r="Y61" i="19"/>
  <c r="AT70" i="19"/>
  <c r="W58" i="19"/>
  <c r="AT138" i="19"/>
  <c r="AT139" i="19" s="1"/>
  <c r="AU138" i="19" s="1"/>
  <c r="W139" i="17"/>
  <c r="AZ68" i="16"/>
  <c r="Y155" i="16"/>
  <c r="L45" i="7"/>
  <c r="M45" i="7" s="1"/>
  <c r="Y39" i="14"/>
  <c r="AZ39" i="14"/>
  <c r="AT46" i="14"/>
  <c r="Y46" i="14"/>
  <c r="Y58" i="14" s="1"/>
  <c r="L68" i="7"/>
  <c r="AZ64" i="14"/>
  <c r="Y64" i="14"/>
  <c r="L136" i="7"/>
  <c r="AZ158" i="14"/>
  <c r="X169" i="14"/>
  <c r="K137" i="7"/>
  <c r="Y159" i="14"/>
  <c r="AT159" i="14"/>
  <c r="W169" i="14"/>
  <c r="AZ33" i="15"/>
  <c r="BA30" i="15" s="1"/>
  <c r="W138" i="7"/>
  <c r="Y138" i="7" s="1"/>
  <c r="Y160" i="17"/>
  <c r="AB26" i="7"/>
  <c r="AZ24" i="18"/>
  <c r="AA45" i="7"/>
  <c r="AA50" i="23" s="1"/>
  <c r="Y39" i="18"/>
  <c r="AB65" i="7"/>
  <c r="AC65" i="7" s="1"/>
  <c r="Y61" i="18"/>
  <c r="X65" i="18"/>
  <c r="AZ61" i="18"/>
  <c r="AB124" i="7"/>
  <c r="AB125" i="7" s="1"/>
  <c r="AZ144" i="18"/>
  <c r="AZ145" i="18" s="1"/>
  <c r="X145" i="18"/>
  <c r="AB127" i="7"/>
  <c r="AZ148" i="18"/>
  <c r="Y148" i="18"/>
  <c r="AB138" i="7"/>
  <c r="AZ160" i="18"/>
  <c r="AA139" i="7"/>
  <c r="Y161" i="18"/>
  <c r="Y103" i="18"/>
  <c r="W54" i="7"/>
  <c r="Y54" i="7" s="1"/>
  <c r="AT49" i="17"/>
  <c r="W58" i="7"/>
  <c r="Y58" i="7" s="1"/>
  <c r="Y53" i="17"/>
  <c r="AT53" i="17"/>
  <c r="W62" i="7"/>
  <c r="Y57" i="17"/>
  <c r="AT57" i="17"/>
  <c r="X56" i="7"/>
  <c r="AJ56" i="7" s="1"/>
  <c r="AZ51" i="17"/>
  <c r="X60" i="7"/>
  <c r="AZ55" i="17"/>
  <c r="AA50" i="7"/>
  <c r="AC50" i="7" s="1"/>
  <c r="Y45" i="18"/>
  <c r="AA57" i="7"/>
  <c r="AC57" i="7" s="1"/>
  <c r="AT52" i="18"/>
  <c r="Y52" i="18"/>
  <c r="AT139" i="14"/>
  <c r="AZ20" i="15"/>
  <c r="M33" i="17"/>
  <c r="AT162" i="14"/>
  <c r="Y155" i="14"/>
  <c r="L73" i="7"/>
  <c r="AJ73" i="7" s="1"/>
  <c r="AZ70" i="14"/>
  <c r="K129" i="7"/>
  <c r="AT150" i="14"/>
  <c r="L137" i="7"/>
  <c r="AZ159" i="14"/>
  <c r="S169" i="14"/>
  <c r="M58" i="15"/>
  <c r="S151" i="15"/>
  <c r="O133" i="7"/>
  <c r="AT155" i="15"/>
  <c r="X31" i="7"/>
  <c r="AZ18" i="17"/>
  <c r="W45" i="7"/>
  <c r="AT39" i="17"/>
  <c r="P145" i="17"/>
  <c r="W123" i="7"/>
  <c r="W130" i="23" s="1"/>
  <c r="Y143" i="17"/>
  <c r="X133" i="7"/>
  <c r="AJ133" i="7" s="1"/>
  <c r="AZ155" i="17"/>
  <c r="AB133" i="7"/>
  <c r="AZ155" i="18"/>
  <c r="L50" i="7"/>
  <c r="L63" i="7" s="1"/>
  <c r="AZ45" i="14"/>
  <c r="L62" i="7"/>
  <c r="L67" i="23" s="1"/>
  <c r="AZ57" i="14"/>
  <c r="O55" i="7"/>
  <c r="Q55" i="7" s="1"/>
  <c r="Y50" i="15"/>
  <c r="Y58" i="15" s="1"/>
  <c r="P49" i="7"/>
  <c r="P63" i="7" s="1"/>
  <c r="AZ44" i="15"/>
  <c r="P61" i="7"/>
  <c r="Q61" i="7" s="1"/>
  <c r="AZ56" i="15"/>
  <c r="S52" i="7"/>
  <c r="U52" i="7" s="1"/>
  <c r="Y47" i="16"/>
  <c r="U60" i="7"/>
  <c r="W55" i="7"/>
  <c r="Y55" i="7" s="1"/>
  <c r="AT50" i="17"/>
  <c r="W59" i="7"/>
  <c r="Y59" i="7" s="1"/>
  <c r="AT54" i="17"/>
  <c r="X49" i="7"/>
  <c r="AZ44" i="17"/>
  <c r="X57" i="7"/>
  <c r="AZ52" i="17"/>
  <c r="X61" i="7"/>
  <c r="AZ56" i="17"/>
  <c r="S141" i="23"/>
  <c r="S153" i="23"/>
  <c r="T73" i="23"/>
  <c r="S159" i="23"/>
  <c r="Y139" i="16"/>
  <c r="AZ151" i="19"/>
  <c r="BA151" i="19" s="1"/>
  <c r="L66" i="7"/>
  <c r="AZ62" i="14"/>
  <c r="P73" i="14"/>
  <c r="L139" i="7"/>
  <c r="Y161" i="14"/>
  <c r="P25" i="7"/>
  <c r="P28" i="7" s="1"/>
  <c r="AZ23" i="15"/>
  <c r="AZ26" i="15" s="1"/>
  <c r="O74" i="7"/>
  <c r="AT71" i="15"/>
  <c r="O75" i="7"/>
  <c r="O80" i="23" s="1"/>
  <c r="AT72" i="15"/>
  <c r="T44" i="7"/>
  <c r="AZ38" i="16"/>
  <c r="AC81" i="7"/>
  <c r="AC86" i="23" s="1"/>
  <c r="Y81" i="18"/>
  <c r="Z78" i="18" s="1"/>
  <c r="M58" i="19"/>
  <c r="AF136" i="7"/>
  <c r="AZ158" i="19"/>
  <c r="S108" i="17"/>
  <c r="S109" i="17" s="1"/>
  <c r="W33" i="16"/>
  <c r="S36" i="7" s="1"/>
  <c r="X185" i="7"/>
  <c r="K54" i="7"/>
  <c r="M54" i="7" s="1"/>
  <c r="AT49" i="14"/>
  <c r="K58" i="7"/>
  <c r="M58" i="7" s="1"/>
  <c r="AT53" i="14"/>
  <c r="Y53" i="14"/>
  <c r="L56" i="7"/>
  <c r="AZ51" i="14"/>
  <c r="O50" i="7"/>
  <c r="AT45" i="15"/>
  <c r="AT58" i="15" s="1"/>
  <c r="O53" i="7"/>
  <c r="Q53" i="7" s="1"/>
  <c r="AT48" i="15"/>
  <c r="O57" i="7"/>
  <c r="Q57" i="7" s="1"/>
  <c r="AT52" i="15"/>
  <c r="P55" i="7"/>
  <c r="AZ50" i="15"/>
  <c r="P59" i="7"/>
  <c r="Q59" i="7" s="1"/>
  <c r="AZ54" i="15"/>
  <c r="T60" i="7"/>
  <c r="AZ55" i="16"/>
  <c r="W50" i="7"/>
  <c r="Y50" i="7" s="1"/>
  <c r="AT45" i="17"/>
  <c r="AT58" i="17" s="1"/>
  <c r="W53" i="7"/>
  <c r="Y53" i="7" s="1"/>
  <c r="AT48" i="17"/>
  <c r="Y57" i="7"/>
  <c r="Y61" i="7"/>
  <c r="X51" i="7"/>
  <c r="X56" i="23" s="1"/>
  <c r="AZ46" i="17"/>
  <c r="AA49" i="7"/>
  <c r="Y44" i="18"/>
  <c r="P65" i="14"/>
  <c r="Y63" i="14"/>
  <c r="V41" i="15"/>
  <c r="S169" i="16"/>
  <c r="Y162" i="16"/>
  <c r="S41" i="17"/>
  <c r="V41" i="17"/>
  <c r="M58" i="17"/>
  <c r="V65" i="17"/>
  <c r="S151" i="17"/>
  <c r="M58" i="18"/>
  <c r="AH58" i="18"/>
  <c r="AI46" i="18" s="1"/>
  <c r="Y143" i="18"/>
  <c r="V145" i="18"/>
  <c r="Y104" i="17"/>
  <c r="Y105" i="15"/>
  <c r="P108" i="15"/>
  <c r="P109" i="15" s="1"/>
  <c r="P129" i="15" s="1"/>
  <c r="P132" i="15" s="1"/>
  <c r="P133" i="15" s="1"/>
  <c r="X124" i="14"/>
  <c r="M242" i="7"/>
  <c r="Q51" i="7"/>
  <c r="S180" i="7"/>
  <c r="AC175" i="7"/>
  <c r="AC177" i="7"/>
  <c r="AC179" i="7"/>
  <c r="AC207" i="7"/>
  <c r="AC242" i="7"/>
  <c r="U55" i="7"/>
  <c r="U59" i="7"/>
  <c r="AC52" i="7"/>
  <c r="AC56" i="7"/>
  <c r="AC60" i="7"/>
  <c r="S65" i="14"/>
  <c r="P145" i="14"/>
  <c r="M58" i="16"/>
  <c r="P41" i="17"/>
  <c r="S73" i="17"/>
  <c r="V151" i="19"/>
  <c r="Y49" i="7"/>
  <c r="V163" i="3"/>
  <c r="W163" i="3"/>
  <c r="P163" i="3"/>
  <c r="AI33" i="3"/>
  <c r="AI31" i="3"/>
  <c r="M21" i="7"/>
  <c r="G152" i="23"/>
  <c r="W58" i="3"/>
  <c r="Y154" i="3"/>
  <c r="Y24" i="3"/>
  <c r="Y61" i="3"/>
  <c r="AT56" i="3"/>
  <c r="AT52" i="3"/>
  <c r="Y156" i="3"/>
  <c r="AT46" i="3"/>
  <c r="G65" i="7"/>
  <c r="AT158" i="3"/>
  <c r="H124" i="7"/>
  <c r="W124" i="3"/>
  <c r="AT31" i="3"/>
  <c r="AT33" i="3" s="1"/>
  <c r="Y18" i="3"/>
  <c r="X58" i="3"/>
  <c r="X151" i="3"/>
  <c r="X145" i="3"/>
  <c r="AT55" i="3"/>
  <c r="AZ162" i="3"/>
  <c r="Y56" i="3"/>
  <c r="Y52" i="3"/>
  <c r="AZ51" i="3"/>
  <c r="AT57" i="3"/>
  <c r="G31" i="7"/>
  <c r="AZ50" i="3"/>
  <c r="G26" i="7"/>
  <c r="G28" i="7" s="1"/>
  <c r="H136" i="7"/>
  <c r="H132" i="7"/>
  <c r="G132" i="7"/>
  <c r="M139" i="3"/>
  <c r="G45" i="7"/>
  <c r="G44" i="7"/>
  <c r="Y103" i="3"/>
  <c r="Y31" i="3"/>
  <c r="Y33" i="3" s="1"/>
  <c r="W169" i="3"/>
  <c r="G60" i="23"/>
  <c r="W20" i="3"/>
  <c r="G38" i="7" s="1"/>
  <c r="Y44" i="3"/>
  <c r="Y58" i="3" s="1"/>
  <c r="Y51" i="3"/>
  <c r="Y50" i="3"/>
  <c r="Y46" i="3"/>
  <c r="Y55" i="3"/>
  <c r="Y162" i="3"/>
  <c r="AT48" i="3"/>
  <c r="AZ57" i="3"/>
  <c r="AZ49" i="3"/>
  <c r="AZ58" i="3" s="1"/>
  <c r="AT72" i="3"/>
  <c r="AT24" i="3"/>
  <c r="AT162" i="3"/>
  <c r="H129" i="7"/>
  <c r="H130" i="7" s="1"/>
  <c r="V65" i="3"/>
  <c r="X65" i="3"/>
  <c r="S73" i="3"/>
  <c r="S145" i="3"/>
  <c r="AT145" i="3"/>
  <c r="V151" i="3"/>
  <c r="P169" i="3"/>
  <c r="V169" i="3"/>
  <c r="Y39" i="3"/>
  <c r="S41" i="3"/>
  <c r="P41" i="3"/>
  <c r="AH58" i="3"/>
  <c r="AI48" i="3" s="1"/>
  <c r="AG152" i="7"/>
  <c r="V129" i="3"/>
  <c r="V132" i="3" s="1"/>
  <c r="V133" i="3" s="1"/>
  <c r="Z138" i="14"/>
  <c r="Z139" i="14"/>
  <c r="BA33" i="14"/>
  <c r="BA31" i="14"/>
  <c r="BA30" i="14"/>
  <c r="AU31" i="3"/>
  <c r="AU33" i="3"/>
  <c r="AU32" i="3"/>
  <c r="AU151" i="3"/>
  <c r="AU149" i="3"/>
  <c r="AU150" i="3"/>
  <c r="AU148" i="3"/>
  <c r="AU33" i="18"/>
  <c r="AU30" i="18"/>
  <c r="AU32" i="18"/>
  <c r="AU144" i="3"/>
  <c r="AU142" i="3"/>
  <c r="AU143" i="3"/>
  <c r="AI52" i="3"/>
  <c r="AI53" i="3"/>
  <c r="AI32" i="14"/>
  <c r="AI30" i="14"/>
  <c r="AI55" i="15"/>
  <c r="AI50" i="15"/>
  <c r="AI47" i="15"/>
  <c r="AI57" i="15"/>
  <c r="AI56" i="15"/>
  <c r="S129" i="7"/>
  <c r="U129" i="7" s="1"/>
  <c r="Y150" i="16"/>
  <c r="AT150" i="16"/>
  <c r="AB32" i="7"/>
  <c r="AZ19" i="18"/>
  <c r="AF134" i="7"/>
  <c r="AZ156" i="19"/>
  <c r="Y156" i="19"/>
  <c r="AO32" i="3"/>
  <c r="H158" i="7"/>
  <c r="I158" i="7" s="1"/>
  <c r="X26" i="3"/>
  <c r="X73" i="3"/>
  <c r="Y148" i="3"/>
  <c r="Y64" i="3"/>
  <c r="Y155" i="3"/>
  <c r="Y161" i="3"/>
  <c r="Y69" i="3"/>
  <c r="AZ25" i="3"/>
  <c r="AZ26" i="3" s="1"/>
  <c r="H32" i="7"/>
  <c r="AZ73" i="3"/>
  <c r="BA71" i="3" s="1"/>
  <c r="AZ20" i="3"/>
  <c r="BA20" i="3" s="1"/>
  <c r="AZ62" i="3"/>
  <c r="AZ65" i="3" s="1"/>
  <c r="H135" i="7"/>
  <c r="G129" i="7"/>
  <c r="G123" i="7"/>
  <c r="I123" i="7" s="1"/>
  <c r="P65" i="3"/>
  <c r="S65" i="3"/>
  <c r="V73" i="3"/>
  <c r="Y145" i="3"/>
  <c r="Z142" i="3" s="1"/>
  <c r="S151" i="3"/>
  <c r="AZ151" i="3"/>
  <c r="P188" i="3"/>
  <c r="V188" i="3"/>
  <c r="AH26" i="3"/>
  <c r="AN58" i="3"/>
  <c r="AT175" i="3"/>
  <c r="AT188" i="3" s="1"/>
  <c r="G152" i="7"/>
  <c r="Y179" i="3"/>
  <c r="AZ179" i="3" s="1"/>
  <c r="Z139" i="18"/>
  <c r="AO50" i="17"/>
  <c r="AO48" i="17"/>
  <c r="AO57" i="17"/>
  <c r="AI49" i="15"/>
  <c r="W151" i="16"/>
  <c r="AO51" i="17"/>
  <c r="AI23" i="17"/>
  <c r="L138" i="7"/>
  <c r="Y160" i="14"/>
  <c r="K139" i="7"/>
  <c r="AI139" i="7" s="1"/>
  <c r="AT161" i="14"/>
  <c r="P45" i="7"/>
  <c r="AZ39" i="15"/>
  <c r="X41" i="15"/>
  <c r="P73" i="7"/>
  <c r="P78" i="23" s="1"/>
  <c r="AZ70" i="15"/>
  <c r="Y70" i="15"/>
  <c r="O122" i="7"/>
  <c r="O129" i="23" s="1"/>
  <c r="AT142" i="15"/>
  <c r="AT46" i="16"/>
  <c r="Y46" i="16"/>
  <c r="W58" i="16"/>
  <c r="X68" i="7"/>
  <c r="X73" i="23" s="1"/>
  <c r="AZ64" i="17"/>
  <c r="X65" i="17"/>
  <c r="Y64" i="17"/>
  <c r="X152" i="7"/>
  <c r="AZ175" i="17"/>
  <c r="Y175" i="17"/>
  <c r="W153" i="7"/>
  <c r="W165" i="7" s="1"/>
  <c r="AT176" i="17"/>
  <c r="AA31" i="7"/>
  <c r="AA33" i="7" s="1"/>
  <c r="W20" i="18"/>
  <c r="AA38" i="7" s="1"/>
  <c r="Y18" i="18"/>
  <c r="Y20" i="18" s="1"/>
  <c r="Z18" i="18" s="1"/>
  <c r="AA73" i="7"/>
  <c r="Y70" i="18"/>
  <c r="AT70" i="18"/>
  <c r="AF123" i="7"/>
  <c r="AF130" i="23" s="1"/>
  <c r="AG130" i="23" s="1"/>
  <c r="AZ143" i="19"/>
  <c r="X145" i="19"/>
  <c r="Y143" i="19"/>
  <c r="AB158" i="7"/>
  <c r="X188" i="18"/>
  <c r="AI24" i="14"/>
  <c r="AI26" i="14"/>
  <c r="AO47" i="14"/>
  <c r="AO53" i="14"/>
  <c r="AT142" i="14"/>
  <c r="W145" i="14"/>
  <c r="P123" i="7"/>
  <c r="Q123" i="7" s="1"/>
  <c r="AZ143" i="15"/>
  <c r="Y143" i="15"/>
  <c r="AZ71" i="16"/>
  <c r="T74" i="7"/>
  <c r="T79" i="23" s="1"/>
  <c r="X73" i="16"/>
  <c r="Y71" i="16"/>
  <c r="U80" i="7"/>
  <c r="Y81" i="16"/>
  <c r="W72" i="7"/>
  <c r="AT69" i="17"/>
  <c r="Y69" i="17"/>
  <c r="W73" i="17"/>
  <c r="AA135" i="7"/>
  <c r="AT157" i="18"/>
  <c r="W169" i="18"/>
  <c r="Y157" i="18"/>
  <c r="AE23" i="7"/>
  <c r="AE17" i="7" s="1"/>
  <c r="AE18" i="23" s="1"/>
  <c r="AO30" i="3"/>
  <c r="X169" i="3"/>
  <c r="Y181" i="3"/>
  <c r="AZ181" i="3" s="1"/>
  <c r="M33" i="3"/>
  <c r="Y81" i="3"/>
  <c r="Y23" i="3"/>
  <c r="Y143" i="3"/>
  <c r="H25" i="7"/>
  <c r="H28" i="7" s="1"/>
  <c r="H74" i="7"/>
  <c r="H76" i="7" s="1"/>
  <c r="H68" i="7"/>
  <c r="AZ33" i="3"/>
  <c r="H139" i="7"/>
  <c r="I139" i="7" s="1"/>
  <c r="H46" i="7"/>
  <c r="I46" i="7" s="1"/>
  <c r="G156" i="7"/>
  <c r="AO54" i="17"/>
  <c r="AO44" i="17"/>
  <c r="AO53" i="17"/>
  <c r="X188" i="14"/>
  <c r="AT73" i="16"/>
  <c r="AI46" i="19"/>
  <c r="AI53" i="19"/>
  <c r="AI51" i="19"/>
  <c r="AI54" i="19"/>
  <c r="AI49" i="19"/>
  <c r="AI58" i="19"/>
  <c r="AI50" i="19"/>
  <c r="AI55" i="19"/>
  <c r="AI44" i="19"/>
  <c r="Z78" i="15"/>
  <c r="Z79" i="15"/>
  <c r="K73" i="7"/>
  <c r="M73" i="7" s="1"/>
  <c r="Y70" i="14"/>
  <c r="AT70" i="14"/>
  <c r="W73" i="14"/>
  <c r="AZ148" i="14"/>
  <c r="X151" i="14"/>
  <c r="O27" i="7"/>
  <c r="O28" i="7" s="1"/>
  <c r="AT25" i="15"/>
  <c r="W26" i="15"/>
  <c r="P71" i="7"/>
  <c r="Q71" i="7" s="1"/>
  <c r="AZ68" i="15"/>
  <c r="X73" i="15"/>
  <c r="P137" i="7"/>
  <c r="AZ159" i="15"/>
  <c r="O138" i="7"/>
  <c r="Q138" i="7" s="1"/>
  <c r="Y160" i="15"/>
  <c r="P155" i="7"/>
  <c r="Y178" i="15"/>
  <c r="AZ178" i="15" s="1"/>
  <c r="P156" i="7"/>
  <c r="Y179" i="15"/>
  <c r="AZ179" i="15" s="1"/>
  <c r="S44" i="7"/>
  <c r="U44" i="7" s="1"/>
  <c r="AT38" i="16"/>
  <c r="Y38" i="16"/>
  <c r="Y41" i="16" s="1"/>
  <c r="AZ40" i="16"/>
  <c r="T46" i="7"/>
  <c r="T51" i="23" s="1"/>
  <c r="X41" i="16"/>
  <c r="X136" i="7"/>
  <c r="Y136" i="7" s="1"/>
  <c r="AZ158" i="17"/>
  <c r="Y158" i="17"/>
  <c r="W137" i="7"/>
  <c r="AT159" i="17"/>
  <c r="X139" i="7"/>
  <c r="Y161" i="17"/>
  <c r="AF32" i="7"/>
  <c r="AG32" i="7" s="1"/>
  <c r="AZ19" i="19"/>
  <c r="AZ20" i="19" s="1"/>
  <c r="Y19" i="19"/>
  <c r="X41" i="19"/>
  <c r="AF44" i="7"/>
  <c r="AZ38" i="19"/>
  <c r="AE45" i="7"/>
  <c r="Y39" i="19"/>
  <c r="AT39" i="19"/>
  <c r="W41" i="19"/>
  <c r="AE157" i="7"/>
  <c r="Y180" i="19"/>
  <c r="AZ180" i="19" s="1"/>
  <c r="AT180" i="19"/>
  <c r="Y20" i="3"/>
  <c r="Z20" i="3" s="1"/>
  <c r="L32" i="7"/>
  <c r="AZ19" i="14"/>
  <c r="AZ20" i="14" s="1"/>
  <c r="X20" i="14"/>
  <c r="L38" i="7" s="1"/>
  <c r="L43" i="23" s="1"/>
  <c r="L44" i="7"/>
  <c r="L49" i="23" s="1"/>
  <c r="Y38" i="14"/>
  <c r="AZ38" i="14"/>
  <c r="AZ41" i="14" s="1"/>
  <c r="X41" i="14"/>
  <c r="L74" i="7"/>
  <c r="AZ71" i="14"/>
  <c r="Y71" i="14"/>
  <c r="L128" i="7"/>
  <c r="AZ149" i="14"/>
  <c r="Y149" i="14"/>
  <c r="AO52" i="15"/>
  <c r="AO50" i="15"/>
  <c r="AO54" i="15"/>
  <c r="U95" i="7"/>
  <c r="Y96" i="16"/>
  <c r="W23" i="7"/>
  <c r="W17" i="7" s="1"/>
  <c r="W18" i="23" s="1"/>
  <c r="W188" i="3"/>
  <c r="Y19" i="3"/>
  <c r="AT73" i="3"/>
  <c r="AU72" i="3" s="1"/>
  <c r="P73" i="3"/>
  <c r="Y96" i="3"/>
  <c r="V145" i="3"/>
  <c r="S169" i="3"/>
  <c r="AZ41" i="3"/>
  <c r="BA41" i="3" s="1"/>
  <c r="AT41" i="3"/>
  <c r="AN26" i="3"/>
  <c r="Y32" i="18"/>
  <c r="Y181" i="18"/>
  <c r="AZ181" i="18" s="1"/>
  <c r="AO49" i="17"/>
  <c r="AO45" i="17"/>
  <c r="AO58" i="17"/>
  <c r="K78" i="23"/>
  <c r="AO46" i="17"/>
  <c r="AI26" i="15"/>
  <c r="AI25" i="15"/>
  <c r="AA141" i="7"/>
  <c r="AT163" i="18"/>
  <c r="L129" i="7"/>
  <c r="AZ150" i="14"/>
  <c r="Y150" i="14"/>
  <c r="L140" i="7"/>
  <c r="AZ162" i="14"/>
  <c r="Y162" i="14"/>
  <c r="P66" i="7"/>
  <c r="Q66" i="7" s="1"/>
  <c r="AZ62" i="15"/>
  <c r="Y62" i="15"/>
  <c r="S73" i="15"/>
  <c r="P75" i="7"/>
  <c r="Q75" i="7" s="1"/>
  <c r="AZ72" i="15"/>
  <c r="Y72" i="15"/>
  <c r="S65" i="15"/>
  <c r="P129" i="7"/>
  <c r="P130" i="7" s="1"/>
  <c r="AZ150" i="15"/>
  <c r="Y150" i="15"/>
  <c r="X151" i="15"/>
  <c r="P169" i="15"/>
  <c r="P132" i="7"/>
  <c r="AZ154" i="15"/>
  <c r="S137" i="7"/>
  <c r="AT159" i="16"/>
  <c r="T152" i="7"/>
  <c r="Y175" i="16"/>
  <c r="AZ175" i="16"/>
  <c r="S157" i="7"/>
  <c r="U157" i="7" s="1"/>
  <c r="AT180" i="16"/>
  <c r="W128" i="7"/>
  <c r="W130" i="7" s="1"/>
  <c r="Y149" i="17"/>
  <c r="AI50" i="18"/>
  <c r="AI45" i="18"/>
  <c r="AI58" i="18"/>
  <c r="AI44" i="18"/>
  <c r="AI48" i="18"/>
  <c r="AB137" i="7"/>
  <c r="AZ159" i="18"/>
  <c r="AA155" i="7"/>
  <c r="AT178" i="18"/>
  <c r="W188" i="18"/>
  <c r="AA156" i="7"/>
  <c r="AC156" i="7" s="1"/>
  <c r="AT179" i="18"/>
  <c r="Y179" i="18"/>
  <c r="AZ179" i="18" s="1"/>
  <c r="AF140" i="7"/>
  <c r="AG140" i="7" s="1"/>
  <c r="AZ162" i="19"/>
  <c r="Y162" i="19"/>
  <c r="AZ139" i="19"/>
  <c r="X188" i="19"/>
  <c r="Y38" i="7"/>
  <c r="Y39" i="7" s="1"/>
  <c r="M139" i="14"/>
  <c r="S151" i="14"/>
  <c r="V151" i="14"/>
  <c r="AZ161" i="14"/>
  <c r="AT19" i="15"/>
  <c r="O32" i="7"/>
  <c r="Q32" i="7" s="1"/>
  <c r="V73" i="15"/>
  <c r="Y71" i="15"/>
  <c r="P145" i="15"/>
  <c r="AZ157" i="15"/>
  <c r="P135" i="7"/>
  <c r="Q135" i="7" s="1"/>
  <c r="S27" i="7"/>
  <c r="AT25" i="16"/>
  <c r="AZ41" i="16"/>
  <c r="BA40" i="16" s="1"/>
  <c r="T65" i="7"/>
  <c r="AZ61" i="16"/>
  <c r="AT64" i="16"/>
  <c r="AZ62" i="17"/>
  <c r="X66" i="7"/>
  <c r="Y66" i="7" s="1"/>
  <c r="AT63" i="17"/>
  <c r="X74" i="7"/>
  <c r="X76" i="7" s="1"/>
  <c r="AZ71" i="17"/>
  <c r="AZ142" i="17"/>
  <c r="X122" i="7"/>
  <c r="X134" i="7"/>
  <c r="Y134" i="7" s="1"/>
  <c r="AZ156" i="17"/>
  <c r="AZ39" i="18"/>
  <c r="AG80" i="7"/>
  <c r="Y81" i="19"/>
  <c r="AE129" i="7"/>
  <c r="AT150" i="19"/>
  <c r="V188" i="19"/>
  <c r="Y105" i="18"/>
  <c r="Y104" i="15"/>
  <c r="S129" i="15"/>
  <c r="S132" i="15" s="1"/>
  <c r="S133" i="15" s="1"/>
  <c r="S125" i="15"/>
  <c r="S126" i="15"/>
  <c r="AE50" i="7"/>
  <c r="AT45" i="19"/>
  <c r="AT58" i="19" s="1"/>
  <c r="AT73" i="19"/>
  <c r="AU70" i="19" s="1"/>
  <c r="V65" i="14"/>
  <c r="S73" i="14"/>
  <c r="AT148" i="14"/>
  <c r="AT151" i="14" s="1"/>
  <c r="Y156" i="14"/>
  <c r="AZ157" i="14"/>
  <c r="M26" i="15"/>
  <c r="AZ58" i="15"/>
  <c r="BA54" i="15" s="1"/>
  <c r="AO25" i="16"/>
  <c r="AO24" i="16"/>
  <c r="S65" i="7"/>
  <c r="Y61" i="16"/>
  <c r="S73" i="16"/>
  <c r="AZ154" i="16"/>
  <c r="W25" i="7"/>
  <c r="AT23" i="17"/>
  <c r="AT26" i="17" s="1"/>
  <c r="W65" i="7"/>
  <c r="W69" i="7" s="1"/>
  <c r="AT61" i="17"/>
  <c r="P73" i="17"/>
  <c r="P151" i="17"/>
  <c r="X132" i="7"/>
  <c r="Y132" i="7" s="1"/>
  <c r="AZ154" i="17"/>
  <c r="AB139" i="7"/>
  <c r="AZ161" i="18"/>
  <c r="P188" i="18"/>
  <c r="AA153" i="7"/>
  <c r="AT176" i="18"/>
  <c r="AE65" i="7"/>
  <c r="AG65" i="7" s="1"/>
  <c r="AT61" i="19"/>
  <c r="S188" i="19"/>
  <c r="V129" i="19"/>
  <c r="V132" i="19" s="1"/>
  <c r="V133" i="19" s="1"/>
  <c r="V127" i="19"/>
  <c r="V125" i="19"/>
  <c r="S129" i="19"/>
  <c r="S132" i="19" s="1"/>
  <c r="S133" i="19" s="1"/>
  <c r="S126" i="19"/>
  <c r="Y104" i="18"/>
  <c r="V129" i="16"/>
  <c r="V132" i="16" s="1"/>
  <c r="V133" i="16" s="1"/>
  <c r="V125" i="16"/>
  <c r="V126" i="16"/>
  <c r="Y103" i="15"/>
  <c r="P133" i="7"/>
  <c r="AT41" i="14"/>
  <c r="Y23" i="14"/>
  <c r="AZ26" i="14"/>
  <c r="M68" i="7"/>
  <c r="X73" i="14"/>
  <c r="M136" i="7"/>
  <c r="Q25" i="7"/>
  <c r="V145" i="15"/>
  <c r="Y157" i="15"/>
  <c r="T31" i="7"/>
  <c r="T34" i="23" s="1"/>
  <c r="AZ18" i="16"/>
  <c r="AZ20" i="16" s="1"/>
  <c r="AZ23" i="16"/>
  <c r="T25" i="7"/>
  <c r="S152" i="7"/>
  <c r="U152" i="7" s="1"/>
  <c r="AT175" i="16"/>
  <c r="P188" i="16"/>
  <c r="Y71" i="17"/>
  <c r="X129" i="7"/>
  <c r="Y129" i="7" s="1"/>
  <c r="AZ150" i="17"/>
  <c r="AZ151" i="17" s="1"/>
  <c r="X138" i="7"/>
  <c r="AZ160" i="17"/>
  <c r="AA124" i="7"/>
  <c r="AA131" i="23" s="1"/>
  <c r="Y144" i="18"/>
  <c r="Y145" i="18" s="1"/>
  <c r="AT144" i="18"/>
  <c r="AT145" i="18" s="1"/>
  <c r="P151" i="19"/>
  <c r="AE135" i="7"/>
  <c r="AG135" i="7" s="1"/>
  <c r="Y157" i="19"/>
  <c r="Y104" i="3"/>
  <c r="V126" i="19"/>
  <c r="X33" i="17"/>
  <c r="X36" i="7" s="1"/>
  <c r="Y36" i="7" s="1"/>
  <c r="Y37" i="7" s="1"/>
  <c r="AZ30" i="17"/>
  <c r="AZ33" i="17" s="1"/>
  <c r="S127" i="15"/>
  <c r="S56" i="7"/>
  <c r="U56" i="7" s="1"/>
  <c r="AT51" i="16"/>
  <c r="AT58" i="16" s="1"/>
  <c r="T54" i="7"/>
  <c r="AZ49" i="16"/>
  <c r="T58" i="7"/>
  <c r="AZ53" i="16"/>
  <c r="T62" i="7"/>
  <c r="Y57" i="16"/>
  <c r="AA53" i="7"/>
  <c r="AC53" i="7" s="1"/>
  <c r="AT48" i="18"/>
  <c r="AA61" i="7"/>
  <c r="AC61" i="7" s="1"/>
  <c r="Y56" i="18"/>
  <c r="AB51" i="7"/>
  <c r="AZ46" i="18"/>
  <c r="AZ58" i="18" s="1"/>
  <c r="AB55" i="7"/>
  <c r="Y50" i="18"/>
  <c r="AB59" i="7"/>
  <c r="Y54" i="18"/>
  <c r="AZ54" i="18"/>
  <c r="X33" i="3"/>
  <c r="H36" i="7" s="1"/>
  <c r="Y103" i="19"/>
  <c r="W33" i="18"/>
  <c r="AA36" i="7" s="1"/>
  <c r="P151" i="15"/>
  <c r="S169" i="15"/>
  <c r="M26" i="16"/>
  <c r="AZ72" i="16"/>
  <c r="AZ144" i="16"/>
  <c r="T124" i="7"/>
  <c r="T131" i="23" s="1"/>
  <c r="V151" i="16"/>
  <c r="Y154" i="16"/>
  <c r="AZ155" i="16"/>
  <c r="Y176" i="16"/>
  <c r="V188" i="16"/>
  <c r="Y33" i="17"/>
  <c r="Y62" i="17"/>
  <c r="S65" i="17"/>
  <c r="AT68" i="17"/>
  <c r="AZ69" i="17"/>
  <c r="Y153" i="7"/>
  <c r="AT39" i="18"/>
  <c r="AT61" i="18"/>
  <c r="AT65" i="18" s="1"/>
  <c r="AU63" i="18" s="1"/>
  <c r="AZ62" i="18"/>
  <c r="AZ65" i="18" s="1"/>
  <c r="Y63" i="18"/>
  <c r="Y65" i="18" s="1"/>
  <c r="AZ64" i="18"/>
  <c r="AZ70" i="18"/>
  <c r="AT71" i="18"/>
  <c r="AZ150" i="18"/>
  <c r="AT155" i="18"/>
  <c r="AZ157" i="18"/>
  <c r="AT19" i="19"/>
  <c r="AZ64" i="19"/>
  <c r="P73" i="19"/>
  <c r="P145" i="19"/>
  <c r="AT142" i="19"/>
  <c r="AE130" i="7"/>
  <c r="AT149" i="19"/>
  <c r="P169" i="19"/>
  <c r="AZ155" i="19"/>
  <c r="Y158" i="19"/>
  <c r="AZ159" i="19"/>
  <c r="AT162" i="19"/>
  <c r="AZ175" i="19"/>
  <c r="Y124" i="19"/>
  <c r="Y104" i="14"/>
  <c r="T138" i="7"/>
  <c r="AJ138" i="7" s="1"/>
  <c r="AG192" i="7"/>
  <c r="AG208" i="7"/>
  <c r="AG223" i="7"/>
  <c r="U54" i="7"/>
  <c r="U58" i="7"/>
  <c r="U62" i="7"/>
  <c r="AC55" i="7"/>
  <c r="AC59" i="7"/>
  <c r="AG58" i="7"/>
  <c r="AH33" i="16"/>
  <c r="S65" i="16"/>
  <c r="V73" i="16"/>
  <c r="S145" i="16"/>
  <c r="P151" i="16"/>
  <c r="Y72" i="7"/>
  <c r="AC32" i="7"/>
  <c r="AC68" i="7"/>
  <c r="P145" i="18"/>
  <c r="Y41" i="19"/>
  <c r="Z41" i="19" s="1"/>
  <c r="S151" i="19"/>
  <c r="X33" i="16"/>
  <c r="T36" i="7" s="1"/>
  <c r="T41" i="23" s="1"/>
  <c r="X124" i="15"/>
  <c r="U168" i="7"/>
  <c r="U178" i="7"/>
  <c r="U53" i="7"/>
  <c r="U57" i="7"/>
  <c r="U61" i="7"/>
  <c r="AC54" i="7"/>
  <c r="AC58" i="7"/>
  <c r="AC62" i="7"/>
  <c r="AG53" i="7"/>
  <c r="AG57" i="7"/>
  <c r="AG61" i="7"/>
  <c r="Y103" i="14"/>
  <c r="S108" i="14"/>
  <c r="S109" i="14" s="1"/>
  <c r="Q179" i="7"/>
  <c r="T211" i="7"/>
  <c r="I56" i="7"/>
  <c r="AE52" i="7"/>
  <c r="AG52" i="7" s="1"/>
  <c r="AE56" i="7"/>
  <c r="AG56" i="7" s="1"/>
  <c r="AE60" i="7"/>
  <c r="AG60" i="7" s="1"/>
  <c r="M176" i="7"/>
  <c r="M178" i="7"/>
  <c r="M206" i="7"/>
  <c r="K224" i="7"/>
  <c r="M223" i="7"/>
  <c r="M227" i="7"/>
  <c r="K243" i="7"/>
  <c r="U234" i="7"/>
  <c r="U242" i="7"/>
  <c r="Y176" i="7"/>
  <c r="Y178" i="7"/>
  <c r="Y184" i="7"/>
  <c r="Y188" i="7"/>
  <c r="Y208" i="7"/>
  <c r="Y223" i="7"/>
  <c r="Y229" i="7"/>
  <c r="AG49" i="7"/>
  <c r="BA30" i="3"/>
  <c r="BA33" i="3"/>
  <c r="BA31" i="3"/>
  <c r="BA32" i="3"/>
  <c r="AU71" i="3"/>
  <c r="Z93" i="3"/>
  <c r="Z92" i="3"/>
  <c r="Z94" i="3"/>
  <c r="Z96" i="3"/>
  <c r="Z95" i="3"/>
  <c r="BA40" i="3"/>
  <c r="AU40" i="3"/>
  <c r="AU38" i="3"/>
  <c r="AU41" i="3"/>
  <c r="AU39" i="3"/>
  <c r="AO26" i="3"/>
  <c r="AO24" i="3"/>
  <c r="AO23" i="3"/>
  <c r="AO25" i="3"/>
  <c r="Z31" i="15"/>
  <c r="Z32" i="15"/>
  <c r="Z33" i="15"/>
  <c r="Z30" i="15"/>
  <c r="AZ176" i="16"/>
  <c r="Z19" i="3"/>
  <c r="Y42" i="19"/>
  <c r="BA73" i="3"/>
  <c r="BA70" i="3"/>
  <c r="BA18" i="3"/>
  <c r="Z143" i="3"/>
  <c r="BA149" i="3"/>
  <c r="BA150" i="3"/>
  <c r="BA148" i="3"/>
  <c r="BA151" i="3"/>
  <c r="AI24" i="3"/>
  <c r="AI25" i="3"/>
  <c r="AI23" i="3"/>
  <c r="AI26" i="3"/>
  <c r="AO51" i="3"/>
  <c r="AO46" i="3"/>
  <c r="AO54" i="3"/>
  <c r="AO50" i="3"/>
  <c r="AO58" i="3"/>
  <c r="AO57" i="3"/>
  <c r="AO47" i="3"/>
  <c r="AO45" i="3"/>
  <c r="AO52" i="3"/>
  <c r="AO53" i="3"/>
  <c r="AO48" i="3"/>
  <c r="AO49" i="3"/>
  <c r="AO56" i="3"/>
  <c r="AO44" i="3"/>
  <c r="AO55" i="3"/>
  <c r="AU176" i="3"/>
  <c r="AU181" i="3"/>
  <c r="AU188" i="3"/>
  <c r="AU180" i="3"/>
  <c r="AU179" i="3"/>
  <c r="AU177" i="3"/>
  <c r="AU178" i="3"/>
  <c r="Z137" i="15"/>
  <c r="Z139" i="15"/>
  <c r="Z77" i="14"/>
  <c r="S158" i="7"/>
  <c r="U158" i="7" s="1"/>
  <c r="AT181" i="16"/>
  <c r="AU33" i="16"/>
  <c r="AF141" i="7"/>
  <c r="AZ163" i="19"/>
  <c r="Y163" i="19"/>
  <c r="S141" i="7"/>
  <c r="AT163" i="16"/>
  <c r="Y163" i="16"/>
  <c r="K32" i="7"/>
  <c r="M32" i="7" s="1"/>
  <c r="AT19" i="14"/>
  <c r="Y19" i="14"/>
  <c r="K157" i="7"/>
  <c r="M157" i="7" s="1"/>
  <c r="Y180" i="14"/>
  <c r="AZ180" i="14" s="1"/>
  <c r="AT180" i="14"/>
  <c r="AI32" i="15"/>
  <c r="AI30" i="15"/>
  <c r="Y40" i="15"/>
  <c r="AT40" i="15"/>
  <c r="AT41" i="15" s="1"/>
  <c r="O46" i="7"/>
  <c r="Q46" i="7" s="1"/>
  <c r="AZ63" i="15"/>
  <c r="P67" i="7"/>
  <c r="P72" i="23" s="1"/>
  <c r="Y63" i="15"/>
  <c r="X65" i="15"/>
  <c r="O68" i="7"/>
  <c r="AT64" i="15"/>
  <c r="O72" i="7"/>
  <c r="AT69" i="15"/>
  <c r="W73" i="15"/>
  <c r="Y69" i="15"/>
  <c r="AT145" i="15"/>
  <c r="V151" i="15"/>
  <c r="P134" i="7"/>
  <c r="AZ156" i="15"/>
  <c r="Y156" i="15"/>
  <c r="X169" i="15"/>
  <c r="AB71" i="7"/>
  <c r="AZ68" i="18"/>
  <c r="Y68" i="18"/>
  <c r="X73" i="18"/>
  <c r="AA72" i="7"/>
  <c r="AA76" i="7" s="1"/>
  <c r="W73" i="18"/>
  <c r="Y69" i="18"/>
  <c r="AI25" i="19"/>
  <c r="AI24" i="19"/>
  <c r="AI23" i="19"/>
  <c r="AI32" i="19"/>
  <c r="AI30" i="19"/>
  <c r="X124" i="18"/>
  <c r="AZ31" i="18"/>
  <c r="AZ33" i="18" s="1"/>
  <c r="Y31" i="18"/>
  <c r="Y33" i="18" s="1"/>
  <c r="V125" i="18"/>
  <c r="V126" i="18"/>
  <c r="V127" i="18"/>
  <c r="V129" i="18"/>
  <c r="V132" i="18" s="1"/>
  <c r="V133" i="18" s="1"/>
  <c r="S129" i="16"/>
  <c r="S132" i="16" s="1"/>
  <c r="S133" i="16" s="1"/>
  <c r="S124" i="16"/>
  <c r="Y124" i="16" s="1"/>
  <c r="S126" i="16"/>
  <c r="S127" i="16"/>
  <c r="S125" i="16"/>
  <c r="Y109" i="16"/>
  <c r="P127" i="16"/>
  <c r="P125" i="16"/>
  <c r="P126" i="16"/>
  <c r="P129" i="16"/>
  <c r="P132" i="16" s="1"/>
  <c r="P133" i="16" s="1"/>
  <c r="AI30" i="3"/>
  <c r="AI32" i="3"/>
  <c r="AU30" i="3"/>
  <c r="AZ163" i="3"/>
  <c r="AZ169" i="3" s="1"/>
  <c r="X39" i="7"/>
  <c r="X20" i="3"/>
  <c r="H38" i="7" s="1"/>
  <c r="I38" i="7" s="1"/>
  <c r="I39" i="7" s="1"/>
  <c r="W26" i="3"/>
  <c r="AT19" i="3"/>
  <c r="AT20" i="3" s="1"/>
  <c r="AT61" i="3"/>
  <c r="AT65" i="3" s="1"/>
  <c r="Y25" i="3"/>
  <c r="Y26" i="3" s="1"/>
  <c r="Y149" i="3"/>
  <c r="Y157" i="3"/>
  <c r="Y159" i="3"/>
  <c r="Y70" i="3"/>
  <c r="AT23" i="3"/>
  <c r="AT26" i="3" s="1"/>
  <c r="G73" i="7"/>
  <c r="AZ144" i="3"/>
  <c r="AZ145" i="3" s="1"/>
  <c r="G136" i="7"/>
  <c r="I136" i="7" s="1"/>
  <c r="Y38" i="3"/>
  <c r="Y40" i="3"/>
  <c r="Y177" i="3"/>
  <c r="AU31" i="18"/>
  <c r="BA32" i="14"/>
  <c r="AU32" i="14"/>
  <c r="Z138" i="15"/>
  <c r="Z78" i="14"/>
  <c r="AI31" i="15"/>
  <c r="BA47" i="15"/>
  <c r="Z52" i="15"/>
  <c r="Z57" i="15"/>
  <c r="Z49" i="15"/>
  <c r="Z51" i="15"/>
  <c r="Z44" i="15"/>
  <c r="Z53" i="15"/>
  <c r="Z45" i="15"/>
  <c r="AU32" i="16"/>
  <c r="AI31" i="19"/>
  <c r="BA33" i="15"/>
  <c r="BA32" i="15"/>
  <c r="BA31" i="15"/>
  <c r="Z20" i="18"/>
  <c r="AO31" i="15"/>
  <c r="AO32" i="15"/>
  <c r="Y64" i="15"/>
  <c r="AI56" i="17"/>
  <c r="AI58" i="17"/>
  <c r="AI50" i="17"/>
  <c r="AI52" i="17"/>
  <c r="AI51" i="17"/>
  <c r="AI49" i="17"/>
  <c r="AI44" i="17"/>
  <c r="AI57" i="17"/>
  <c r="AI54" i="17"/>
  <c r="AI32" i="17"/>
  <c r="AI30" i="17"/>
  <c r="AT69" i="18"/>
  <c r="AO31" i="18"/>
  <c r="AO30" i="18"/>
  <c r="AO33" i="18"/>
  <c r="Y58" i="19"/>
  <c r="AU73" i="19"/>
  <c r="AU69" i="19"/>
  <c r="AO24" i="15"/>
  <c r="AO23" i="15"/>
  <c r="AO26" i="15"/>
  <c r="AU19" i="18"/>
  <c r="AU20" i="18"/>
  <c r="P158" i="7"/>
  <c r="Q158" i="7" s="1"/>
  <c r="X188" i="15"/>
  <c r="Y181" i="15"/>
  <c r="AZ181" i="15" s="1"/>
  <c r="AT25" i="14"/>
  <c r="W26" i="14"/>
  <c r="Y25" i="14"/>
  <c r="AT58" i="14"/>
  <c r="M58" i="14"/>
  <c r="AH58" i="14"/>
  <c r="L122" i="7"/>
  <c r="L129" i="23" s="1"/>
  <c r="AZ142" i="14"/>
  <c r="X145" i="14"/>
  <c r="K123" i="7"/>
  <c r="K130" i="23" s="1"/>
  <c r="M130" i="23" s="1"/>
  <c r="AT143" i="14"/>
  <c r="AI25" i="16"/>
  <c r="AI26" i="16"/>
  <c r="AI23" i="16"/>
  <c r="BA39" i="16"/>
  <c r="AZ143" i="16"/>
  <c r="T123" i="7"/>
  <c r="T130" i="23" s="1"/>
  <c r="Y143" i="16"/>
  <c r="S124" i="7"/>
  <c r="AT144" i="16"/>
  <c r="Y144" i="16"/>
  <c r="S188" i="16"/>
  <c r="T155" i="7"/>
  <c r="Y178" i="16"/>
  <c r="AZ178" i="16" s="1"/>
  <c r="X188" i="16"/>
  <c r="T156" i="7"/>
  <c r="Y179" i="16"/>
  <c r="AZ179" i="16" s="1"/>
  <c r="AO26" i="17"/>
  <c r="AO24" i="17"/>
  <c r="AO23" i="17"/>
  <c r="AE132" i="7"/>
  <c r="Y154" i="19"/>
  <c r="AT154" i="19"/>
  <c r="V169" i="19"/>
  <c r="S169" i="19"/>
  <c r="Z30" i="19"/>
  <c r="Z32" i="19"/>
  <c r="BA31" i="16"/>
  <c r="BA32" i="16"/>
  <c r="Z31" i="16"/>
  <c r="Z33" i="16"/>
  <c r="AO33" i="19"/>
  <c r="AO32" i="19"/>
  <c r="AO31" i="19"/>
  <c r="AO23" i="19"/>
  <c r="AO26" i="19"/>
  <c r="O31" i="7"/>
  <c r="Q31" i="7" s="1"/>
  <c r="W20" i="15"/>
  <c r="O38" i="7" s="1"/>
  <c r="Q38" i="7" s="1"/>
  <c r="Q39" i="7" s="1"/>
  <c r="Y18" i="15"/>
  <c r="Y20" i="15" s="1"/>
  <c r="AO51" i="15"/>
  <c r="AO46" i="15"/>
  <c r="AO57" i="15"/>
  <c r="AO45" i="15"/>
  <c r="AO47" i="15"/>
  <c r="AO56" i="15"/>
  <c r="AO58" i="15"/>
  <c r="AO53" i="15"/>
  <c r="AO48" i="15"/>
  <c r="AO49" i="15"/>
  <c r="AO55" i="15"/>
  <c r="AO44" i="15"/>
  <c r="BA52" i="15"/>
  <c r="BA46" i="15"/>
  <c r="BA44" i="15"/>
  <c r="BA57" i="15"/>
  <c r="P122" i="7"/>
  <c r="X145" i="15"/>
  <c r="Y142" i="15"/>
  <c r="AZ144" i="15"/>
  <c r="P124" i="7"/>
  <c r="O128" i="7"/>
  <c r="Q128" i="7" s="1"/>
  <c r="AT149" i="15"/>
  <c r="Y149" i="15"/>
  <c r="Y151" i="15" s="1"/>
  <c r="W151" i="15"/>
  <c r="O139" i="7"/>
  <c r="Y161" i="15"/>
  <c r="AT161" i="15"/>
  <c r="AA46" i="7"/>
  <c r="Y40" i="18"/>
  <c r="Y41" i="18" s="1"/>
  <c r="AT40" i="18"/>
  <c r="AT41" i="18" s="1"/>
  <c r="AB75" i="7"/>
  <c r="AZ72" i="18"/>
  <c r="Y72" i="18"/>
  <c r="Z80" i="18"/>
  <c r="Z81" i="18"/>
  <c r="Z79" i="18"/>
  <c r="AA123" i="7"/>
  <c r="AT143" i="18"/>
  <c r="W145" i="18"/>
  <c r="BA142" i="18"/>
  <c r="BA143" i="18"/>
  <c r="AF31" i="7"/>
  <c r="AF33" i="7" s="1"/>
  <c r="X20" i="19"/>
  <c r="AF38" i="7" s="1"/>
  <c r="AE27" i="7"/>
  <c r="AG27" i="7" s="1"/>
  <c r="Y25" i="19"/>
  <c r="AT25" i="19"/>
  <c r="W26" i="19"/>
  <c r="Y163" i="3"/>
  <c r="AU145" i="3"/>
  <c r="Y72" i="3"/>
  <c r="Y150" i="3"/>
  <c r="Y63" i="3"/>
  <c r="AT156" i="3"/>
  <c r="X41" i="3"/>
  <c r="Y180" i="3"/>
  <c r="AZ180" i="3" s="1"/>
  <c r="BA30" i="16"/>
  <c r="Z137" i="14"/>
  <c r="BA55" i="15"/>
  <c r="AO25" i="19"/>
  <c r="BA139" i="14"/>
  <c r="BA137" i="14"/>
  <c r="AZ163" i="15"/>
  <c r="P141" i="7"/>
  <c r="Q141" i="7" s="1"/>
  <c r="AZ142" i="15"/>
  <c r="AZ151" i="15"/>
  <c r="Z81" i="17"/>
  <c r="Z79" i="17"/>
  <c r="Z78" i="17"/>
  <c r="W41" i="18"/>
  <c r="Z77" i="18"/>
  <c r="AU139" i="18"/>
  <c r="AU137" i="18"/>
  <c r="BA148" i="19"/>
  <c r="AT18" i="15"/>
  <c r="K31" i="7"/>
  <c r="M31" i="7" s="1"/>
  <c r="AT18" i="14"/>
  <c r="W20" i="14"/>
  <c r="K38" i="7" s="1"/>
  <c r="K43" i="23" s="1"/>
  <c r="Y18" i="14"/>
  <c r="AI23" i="14"/>
  <c r="AI25" i="14"/>
  <c r="AO45" i="14"/>
  <c r="AO51" i="14"/>
  <c r="AO57" i="14"/>
  <c r="AO46" i="14"/>
  <c r="AO44" i="14"/>
  <c r="AO54" i="14"/>
  <c r="AO49" i="14"/>
  <c r="AO58" i="14"/>
  <c r="AO56" i="14"/>
  <c r="AO50" i="14"/>
  <c r="AO55" i="14"/>
  <c r="AO48" i="14"/>
  <c r="AO52" i="14"/>
  <c r="L65" i="7"/>
  <c r="Y61" i="14"/>
  <c r="Y65" i="14" s="1"/>
  <c r="AZ61" i="14"/>
  <c r="X65" i="14"/>
  <c r="L67" i="7"/>
  <c r="AZ63" i="14"/>
  <c r="L72" i="7"/>
  <c r="AZ69" i="14"/>
  <c r="Y69" i="14"/>
  <c r="L75" i="7"/>
  <c r="AZ72" i="14"/>
  <c r="M93" i="7"/>
  <c r="M98" i="23" s="1"/>
  <c r="Y96" i="14"/>
  <c r="Y25" i="16"/>
  <c r="Y26" i="16" s="1"/>
  <c r="T27" i="7"/>
  <c r="AZ25" i="16"/>
  <c r="AI30" i="16"/>
  <c r="AI32" i="16"/>
  <c r="S46" i="7"/>
  <c r="AT40" i="16"/>
  <c r="W41" i="16"/>
  <c r="AZ62" i="16"/>
  <c r="T66" i="7"/>
  <c r="X65" i="16"/>
  <c r="S67" i="7"/>
  <c r="Y63" i="16"/>
  <c r="AT63" i="16"/>
  <c r="AZ70" i="16"/>
  <c r="AZ73" i="16" s="1"/>
  <c r="T73" i="7"/>
  <c r="Y70" i="16"/>
  <c r="AZ142" i="16"/>
  <c r="T122" i="7"/>
  <c r="T129" i="23" s="1"/>
  <c r="U129" i="23" s="1"/>
  <c r="X145" i="16"/>
  <c r="T127" i="7"/>
  <c r="X151" i="16"/>
  <c r="Y148" i="16"/>
  <c r="AZ148" i="16"/>
  <c r="S153" i="7"/>
  <c r="U153" i="7" s="1"/>
  <c r="AT176" i="16"/>
  <c r="W188" i="16"/>
  <c r="S154" i="7"/>
  <c r="AT177" i="16"/>
  <c r="Y177" i="16"/>
  <c r="AZ177" i="16" s="1"/>
  <c r="W32" i="7"/>
  <c r="AT19" i="17"/>
  <c r="AT20" i="17" s="1"/>
  <c r="Y19" i="17"/>
  <c r="Y20" i="17" s="1"/>
  <c r="X26" i="7"/>
  <c r="X28" i="7" s="1"/>
  <c r="AZ24" i="17"/>
  <c r="AZ26" i="17" s="1"/>
  <c r="X26" i="17"/>
  <c r="Z33" i="17"/>
  <c r="Z32" i="17"/>
  <c r="X44" i="7"/>
  <c r="AZ38" i="17"/>
  <c r="AZ41" i="17" s="1"/>
  <c r="X41" i="17"/>
  <c r="Y38" i="17"/>
  <c r="X67" i="7"/>
  <c r="Y63" i="17"/>
  <c r="AZ63" i="17"/>
  <c r="AF139" i="7"/>
  <c r="AZ161" i="19"/>
  <c r="X169" i="19"/>
  <c r="AT73" i="15"/>
  <c r="AO44" i="18"/>
  <c r="AO54" i="18"/>
  <c r="AO50" i="18"/>
  <c r="AE158" i="7"/>
  <c r="AG158" i="7" s="1"/>
  <c r="Y181" i="19"/>
  <c r="AZ181" i="19" s="1"/>
  <c r="AI24" i="15"/>
  <c r="AI23" i="15"/>
  <c r="AU137" i="16"/>
  <c r="AU139" i="16"/>
  <c r="AI46" i="15"/>
  <c r="AI45" i="15"/>
  <c r="AI58" i="15"/>
  <c r="AI44" i="15"/>
  <c r="AI54" i="15"/>
  <c r="AI53" i="15"/>
  <c r="AI51" i="15"/>
  <c r="AI52" i="15"/>
  <c r="AT58" i="18"/>
  <c r="Y24" i="14"/>
  <c r="AN26" i="14"/>
  <c r="Y154" i="14"/>
  <c r="AT154" i="14"/>
  <c r="S188" i="14"/>
  <c r="L153" i="7"/>
  <c r="Y176" i="14"/>
  <c r="AZ176" i="14" s="1"/>
  <c r="V188" i="14"/>
  <c r="P153" i="7"/>
  <c r="Q153" i="7" s="1"/>
  <c r="Y176" i="15"/>
  <c r="AZ176" i="15" s="1"/>
  <c r="O154" i="7"/>
  <c r="Q154" i="7" s="1"/>
  <c r="Y177" i="15"/>
  <c r="AZ177" i="15" s="1"/>
  <c r="AT177" i="15"/>
  <c r="Y19" i="16"/>
  <c r="Y20" i="16" s="1"/>
  <c r="S128" i="7"/>
  <c r="S130" i="7" s="1"/>
  <c r="Y149" i="16"/>
  <c r="AT149" i="16"/>
  <c r="AT151" i="16" s="1"/>
  <c r="T139" i="7"/>
  <c r="AZ161" i="16"/>
  <c r="Y161" i="16"/>
  <c r="X169" i="16"/>
  <c r="S140" i="7"/>
  <c r="AT162" i="16"/>
  <c r="W73" i="7"/>
  <c r="AT70" i="17"/>
  <c r="Y70" i="17"/>
  <c r="Y73" i="17" s="1"/>
  <c r="Y93" i="7"/>
  <c r="Y96" i="7" s="1"/>
  <c r="Z95" i="7" s="1"/>
  <c r="Y96" i="17"/>
  <c r="W122" i="7"/>
  <c r="W129" i="23" s="1"/>
  <c r="AT142" i="17"/>
  <c r="AT145" i="17" s="1"/>
  <c r="W145" i="17"/>
  <c r="W127" i="7"/>
  <c r="AT148" i="17"/>
  <c r="AT151" i="17" s="1"/>
  <c r="W151" i="17"/>
  <c r="Y148" i="17"/>
  <c r="Y151" i="17" s="1"/>
  <c r="W155" i="7"/>
  <c r="AT178" i="17"/>
  <c r="AT188" i="17" s="1"/>
  <c r="Y178" i="17"/>
  <c r="AZ178" i="17" s="1"/>
  <c r="AB31" i="7"/>
  <c r="AB33" i="7" s="1"/>
  <c r="AZ18" i="18"/>
  <c r="X20" i="18"/>
  <c r="AB38" i="7" s="1"/>
  <c r="AB43" i="23" s="1"/>
  <c r="AB25" i="7"/>
  <c r="AZ23" i="18"/>
  <c r="AA27" i="7"/>
  <c r="AT25" i="18"/>
  <c r="AT26" i="18" s="1"/>
  <c r="AA128" i="7"/>
  <c r="Y149" i="18"/>
  <c r="Y151" i="18" s="1"/>
  <c r="AT149" i="18"/>
  <c r="W151" i="18"/>
  <c r="V151" i="18"/>
  <c r="AB132" i="7"/>
  <c r="AC132" i="7" s="1"/>
  <c r="Y154" i="18"/>
  <c r="AZ154" i="18"/>
  <c r="AZ158" i="18"/>
  <c r="AB136" i="7"/>
  <c r="Y158" i="18"/>
  <c r="AA152" i="7"/>
  <c r="AC152" i="7" s="1"/>
  <c r="AT175" i="18"/>
  <c r="Y175" i="18"/>
  <c r="V188" i="18"/>
  <c r="AA154" i="7"/>
  <c r="AC154" i="7" s="1"/>
  <c r="AT177" i="18"/>
  <c r="Y177" i="18"/>
  <c r="AZ177" i="18" s="1"/>
  <c r="AF25" i="7"/>
  <c r="AZ23" i="19"/>
  <c r="Y23" i="19"/>
  <c r="AE26" i="7"/>
  <c r="AG26" i="7" s="1"/>
  <c r="Y24" i="19"/>
  <c r="AE71" i="7"/>
  <c r="W73" i="19"/>
  <c r="AF73" i="7"/>
  <c r="AF78" i="23" s="1"/>
  <c r="AZ70" i="19"/>
  <c r="X73" i="19"/>
  <c r="V145" i="19"/>
  <c r="X151" i="19"/>
  <c r="AE153" i="7"/>
  <c r="Y176" i="19"/>
  <c r="AT176" i="19"/>
  <c r="AT188" i="19" s="1"/>
  <c r="Y179" i="19"/>
  <c r="AZ179" i="19" s="1"/>
  <c r="AF156" i="7"/>
  <c r="Y109" i="3"/>
  <c r="P129" i="3"/>
  <c r="P132" i="3" s="1"/>
  <c r="P133" i="3" s="1"/>
  <c r="P124" i="3"/>
  <c r="Y124" i="3" s="1"/>
  <c r="P125" i="3"/>
  <c r="P126" i="3"/>
  <c r="P127" i="3"/>
  <c r="Y104" i="19"/>
  <c r="W124" i="19"/>
  <c r="AT32" i="19"/>
  <c r="AT33" i="19" s="1"/>
  <c r="P108" i="18"/>
  <c r="P109" i="18" s="1"/>
  <c r="W124" i="15"/>
  <c r="AT32" i="15"/>
  <c r="AT33" i="15" s="1"/>
  <c r="V129" i="14"/>
  <c r="V132" i="14" s="1"/>
  <c r="V133" i="14" s="1"/>
  <c r="V125" i="14"/>
  <c r="V126" i="14"/>
  <c r="V127" i="14"/>
  <c r="Y109" i="14"/>
  <c r="P125" i="14"/>
  <c r="P129" i="14"/>
  <c r="P132" i="14" s="1"/>
  <c r="P133" i="14" s="1"/>
  <c r="P124" i="14"/>
  <c r="P126" i="14"/>
  <c r="P127" i="14"/>
  <c r="AF66" i="7"/>
  <c r="AG66" i="7" s="1"/>
  <c r="AT26" i="14"/>
  <c r="Y41" i="15"/>
  <c r="AN33" i="17"/>
  <c r="AZ26" i="16"/>
  <c r="T141" i="7"/>
  <c r="U141" i="7" s="1"/>
  <c r="AZ163" i="16"/>
  <c r="L133" i="7"/>
  <c r="AZ155" i="14"/>
  <c r="P169" i="14"/>
  <c r="L152" i="7"/>
  <c r="AJ152" i="7" s="1"/>
  <c r="AZ175" i="14"/>
  <c r="W65" i="15"/>
  <c r="O140" i="7"/>
  <c r="AT162" i="15"/>
  <c r="P152" i="7"/>
  <c r="AZ175" i="15"/>
  <c r="AZ188" i="15" s="1"/>
  <c r="Y175" i="15"/>
  <c r="S25" i="7"/>
  <c r="S28" i="7" s="1"/>
  <c r="AT23" i="16"/>
  <c r="W26" i="16"/>
  <c r="AZ150" i="16"/>
  <c r="T129" i="7"/>
  <c r="S135" i="7"/>
  <c r="AT157" i="16"/>
  <c r="AT169" i="16" s="1"/>
  <c r="W169" i="16"/>
  <c r="S136" i="7"/>
  <c r="AI136" i="7" s="1"/>
  <c r="Y158" i="16"/>
  <c r="S138" i="7"/>
  <c r="Y160" i="16"/>
  <c r="X75" i="7"/>
  <c r="Y75" i="7" s="1"/>
  <c r="AZ72" i="17"/>
  <c r="X73" i="17"/>
  <c r="X123" i="7"/>
  <c r="AZ143" i="17"/>
  <c r="X145" i="17"/>
  <c r="W124" i="7"/>
  <c r="W131" i="23" s="1"/>
  <c r="Y131" i="23" s="1"/>
  <c r="Y144" i="17"/>
  <c r="Y145" i="17" s="1"/>
  <c r="X135" i="7"/>
  <c r="AZ157" i="17"/>
  <c r="W140" i="7"/>
  <c r="AT162" i="17"/>
  <c r="V169" i="18"/>
  <c r="AE31" i="7"/>
  <c r="AT18" i="19"/>
  <c r="AT20" i="19" s="1"/>
  <c r="Y18" i="19"/>
  <c r="Y20" i="19" s="1"/>
  <c r="W20" i="19"/>
  <c r="AE38" i="7" s="1"/>
  <c r="AE43" i="23" s="1"/>
  <c r="AF46" i="7"/>
  <c r="AZ40" i="19"/>
  <c r="AF67" i="7"/>
  <c r="AZ63" i="19"/>
  <c r="AZ65" i="19" s="1"/>
  <c r="Y63" i="19"/>
  <c r="Y65" i="19" s="1"/>
  <c r="AF75" i="7"/>
  <c r="AG75" i="7" s="1"/>
  <c r="AZ72" i="19"/>
  <c r="Y72" i="19"/>
  <c r="Y96" i="19"/>
  <c r="AG93" i="7"/>
  <c r="AG96" i="7" s="1"/>
  <c r="AT145" i="19"/>
  <c r="AF124" i="7"/>
  <c r="AZ144" i="19"/>
  <c r="AZ145" i="19" s="1"/>
  <c r="V126" i="3"/>
  <c r="V127" i="3"/>
  <c r="X33" i="19"/>
  <c r="AF36" i="7" s="1"/>
  <c r="X124" i="19"/>
  <c r="AZ30" i="19"/>
  <c r="AZ33" i="19" s="1"/>
  <c r="K132" i="7"/>
  <c r="AB134" i="7"/>
  <c r="AB71" i="23"/>
  <c r="K73" i="23"/>
  <c r="L51" i="23"/>
  <c r="S169" i="17"/>
  <c r="AI51" i="18"/>
  <c r="AI53" i="18"/>
  <c r="AI52" i="19"/>
  <c r="AI56" i="19"/>
  <c r="AI45" i="19"/>
  <c r="W41" i="15"/>
  <c r="Y175" i="14"/>
  <c r="Y179" i="14"/>
  <c r="AZ179" i="14" s="1"/>
  <c r="Y142" i="14"/>
  <c r="Y145" i="14" s="1"/>
  <c r="L127" i="7"/>
  <c r="M127" i="7" s="1"/>
  <c r="Y148" i="14"/>
  <c r="Y25" i="15"/>
  <c r="Y26" i="15" s="1"/>
  <c r="P65" i="15"/>
  <c r="O156" i="7"/>
  <c r="AI156" i="7" s="1"/>
  <c r="AT179" i="15"/>
  <c r="O157" i="7"/>
  <c r="AT180" i="15"/>
  <c r="S45" i="7"/>
  <c r="S50" i="23" s="1"/>
  <c r="AT39" i="16"/>
  <c r="S66" i="7"/>
  <c r="Y62" i="16"/>
  <c r="S122" i="7"/>
  <c r="S129" i="23" s="1"/>
  <c r="Y142" i="16"/>
  <c r="AT142" i="16"/>
  <c r="S123" i="7"/>
  <c r="S130" i="23" s="1"/>
  <c r="AT143" i="16"/>
  <c r="T136" i="7"/>
  <c r="AZ158" i="16"/>
  <c r="S156" i="7"/>
  <c r="AT179" i="16"/>
  <c r="W44" i="7"/>
  <c r="AT38" i="17"/>
  <c r="W46" i="7"/>
  <c r="Y46" i="7" s="1"/>
  <c r="AT40" i="17"/>
  <c r="Y40" i="17"/>
  <c r="AZ144" i="17"/>
  <c r="X124" i="7"/>
  <c r="X131" i="23" s="1"/>
  <c r="X140" i="7"/>
  <c r="AZ162" i="17"/>
  <c r="W154" i="7"/>
  <c r="Y154" i="7" s="1"/>
  <c r="Y177" i="17"/>
  <c r="AZ177" i="17" s="1"/>
  <c r="X156" i="7"/>
  <c r="Y156" i="7" s="1"/>
  <c r="Y179" i="17"/>
  <c r="AZ179" i="17" s="1"/>
  <c r="AA26" i="7"/>
  <c r="AC26" i="7" s="1"/>
  <c r="Y24" i="18"/>
  <c r="Y26" i="18" s="1"/>
  <c r="AZ149" i="18"/>
  <c r="AZ151" i="18" s="1"/>
  <c r="X151" i="18"/>
  <c r="AE25" i="7"/>
  <c r="AI25" i="7" s="1"/>
  <c r="AT23" i="19"/>
  <c r="AT26" i="19" s="1"/>
  <c r="AE67" i="7"/>
  <c r="AT63" i="19"/>
  <c r="AT65" i="19" s="1"/>
  <c r="AF71" i="7"/>
  <c r="AF76" i="7" s="1"/>
  <c r="AZ68" i="19"/>
  <c r="AE74" i="7"/>
  <c r="AE79" i="23" s="1"/>
  <c r="Y71" i="19"/>
  <c r="AE124" i="7"/>
  <c r="AE131" i="23" s="1"/>
  <c r="Y144" i="19"/>
  <c r="AG132" i="7"/>
  <c r="AE139" i="7"/>
  <c r="Y161" i="19"/>
  <c r="X124" i="3"/>
  <c r="S126" i="3"/>
  <c r="Y105" i="19"/>
  <c r="Y109" i="17"/>
  <c r="P124" i="17"/>
  <c r="P125" i="17"/>
  <c r="P126" i="17"/>
  <c r="P127" i="17"/>
  <c r="P129" i="17"/>
  <c r="P132" i="17" s="1"/>
  <c r="P133" i="17" s="1"/>
  <c r="X124" i="16"/>
  <c r="Y109" i="15"/>
  <c r="P124" i="15"/>
  <c r="Y124" i="15" s="1"/>
  <c r="P125" i="15"/>
  <c r="P126" i="15"/>
  <c r="P127" i="15"/>
  <c r="K72" i="7"/>
  <c r="M72" i="7" s="1"/>
  <c r="K138" i="7"/>
  <c r="O44" i="7"/>
  <c r="T135" i="7"/>
  <c r="AB128" i="7"/>
  <c r="W33" i="14"/>
  <c r="K36" i="7" s="1"/>
  <c r="W124" i="14"/>
  <c r="W124" i="18"/>
  <c r="K67" i="7"/>
  <c r="K72" i="23" s="1"/>
  <c r="AT63" i="14"/>
  <c r="AT65" i="14" s="1"/>
  <c r="AT72" i="14"/>
  <c r="K75" i="7"/>
  <c r="S145" i="14"/>
  <c r="L123" i="7"/>
  <c r="L130" i="23" s="1"/>
  <c r="AZ143" i="14"/>
  <c r="L132" i="7"/>
  <c r="AZ154" i="14"/>
  <c r="P46" i="7"/>
  <c r="AZ40" i="15"/>
  <c r="O65" i="7"/>
  <c r="AT61" i="15"/>
  <c r="O67" i="7"/>
  <c r="AT63" i="15"/>
  <c r="P68" i="7"/>
  <c r="Q68" i="7" s="1"/>
  <c r="AZ64" i="15"/>
  <c r="AZ65" i="15" s="1"/>
  <c r="P72" i="7"/>
  <c r="AZ69" i="15"/>
  <c r="O124" i="7"/>
  <c r="O131" i="23" s="1"/>
  <c r="Y144" i="15"/>
  <c r="O127" i="7"/>
  <c r="AT148" i="15"/>
  <c r="AT151" i="15" s="1"/>
  <c r="O134" i="7"/>
  <c r="AT156" i="15"/>
  <c r="O152" i="7"/>
  <c r="AT175" i="15"/>
  <c r="AZ63" i="16"/>
  <c r="T67" i="7"/>
  <c r="S71" i="7"/>
  <c r="S76" i="7" s="1"/>
  <c r="Y68" i="16"/>
  <c r="T140" i="7"/>
  <c r="AZ162" i="16"/>
  <c r="X32" i="7"/>
  <c r="X33" i="7" s="1"/>
  <c r="AZ19" i="17"/>
  <c r="AZ20" i="17" s="1"/>
  <c r="W27" i="7"/>
  <c r="Y27" i="7" s="1"/>
  <c r="Y25" i="17"/>
  <c r="Y26" i="17" s="1"/>
  <c r="W75" i="7"/>
  <c r="AT72" i="17"/>
  <c r="W135" i="7"/>
  <c r="AT157" i="17"/>
  <c r="AB27" i="7"/>
  <c r="AZ25" i="18"/>
  <c r="AB46" i="7"/>
  <c r="AB51" i="23" s="1"/>
  <c r="AZ40" i="18"/>
  <c r="AZ41" i="18" s="1"/>
  <c r="AC94" i="7"/>
  <c r="Y96" i="18"/>
  <c r="AA127" i="7"/>
  <c r="AC127" i="7" s="1"/>
  <c r="AT148" i="18"/>
  <c r="AT151" i="18" s="1"/>
  <c r="AA134" i="7"/>
  <c r="Y156" i="18"/>
  <c r="AA136" i="7"/>
  <c r="AT158" i="18"/>
  <c r="AA138" i="7"/>
  <c r="AT160" i="18"/>
  <c r="Y178" i="18"/>
  <c r="AZ178" i="18" s="1"/>
  <c r="AB155" i="7"/>
  <c r="AB165" i="7" s="1"/>
  <c r="AF26" i="7"/>
  <c r="AZ24" i="19"/>
  <c r="AE44" i="7"/>
  <c r="AG44" i="7" s="1"/>
  <c r="AT38" i="19"/>
  <c r="AT41" i="19" s="1"/>
  <c r="AE46" i="7"/>
  <c r="AT40" i="19"/>
  <c r="AF129" i="7"/>
  <c r="AG129" i="7" s="1"/>
  <c r="Y150" i="19"/>
  <c r="Y151" i="19" s="1"/>
  <c r="S125" i="3"/>
  <c r="S127" i="3"/>
  <c r="AT32" i="17"/>
  <c r="AT33" i="17" s="1"/>
  <c r="W124" i="17"/>
  <c r="V124" i="17"/>
  <c r="V125" i="17"/>
  <c r="V126" i="17"/>
  <c r="V127" i="17"/>
  <c r="L31" i="7"/>
  <c r="K122" i="7"/>
  <c r="K129" i="23" s="1"/>
  <c r="P139" i="7"/>
  <c r="T128" i="7"/>
  <c r="W139" i="7"/>
  <c r="AB72" i="7"/>
  <c r="Y40" i="14"/>
  <c r="Y41" i="14" s="1"/>
  <c r="Y178" i="14"/>
  <c r="AZ178" i="14" s="1"/>
  <c r="Y96" i="15"/>
  <c r="Y154" i="15"/>
  <c r="Y169" i="15" s="1"/>
  <c r="AZ162" i="15"/>
  <c r="AT19" i="16"/>
  <c r="AT20" i="16" s="1"/>
  <c r="Y72" i="16"/>
  <c r="AT62" i="17"/>
  <c r="AT64" i="17"/>
  <c r="P188" i="17"/>
  <c r="Y176" i="18"/>
  <c r="AZ176" i="18" s="1"/>
  <c r="AF130" i="7"/>
  <c r="AF165" i="7"/>
  <c r="S127" i="19"/>
  <c r="S125" i="19"/>
  <c r="S127" i="17"/>
  <c r="S125" i="17"/>
  <c r="S124" i="17"/>
  <c r="V125" i="15"/>
  <c r="V126" i="15"/>
  <c r="V127" i="15"/>
  <c r="P193" i="7"/>
  <c r="P243" i="7"/>
  <c r="P248" i="7"/>
  <c r="AF172" i="7"/>
  <c r="AF193" i="7"/>
  <c r="AF211" i="7"/>
  <c r="AF243" i="7"/>
  <c r="M56" i="7"/>
  <c r="M60" i="7"/>
  <c r="W28" i="7"/>
  <c r="Y159" i="17"/>
  <c r="X137" i="7"/>
  <c r="Y137" i="7" s="1"/>
  <c r="Y109" i="19"/>
  <c r="P125" i="19"/>
  <c r="P126" i="19"/>
  <c r="Y126" i="19" s="1"/>
  <c r="P127" i="19"/>
  <c r="X33" i="18"/>
  <c r="AB36" i="7" s="1"/>
  <c r="AB41" i="23" s="1"/>
  <c r="X124" i="17"/>
  <c r="O248" i="7"/>
  <c r="S243" i="7"/>
  <c r="W172" i="7"/>
  <c r="W211" i="7"/>
  <c r="W230" i="7"/>
  <c r="W248" i="7"/>
  <c r="AB180" i="7"/>
  <c r="AB193" i="7"/>
  <c r="X33" i="15"/>
  <c r="P36" i="7" s="1"/>
  <c r="P41" i="23" s="1"/>
  <c r="X33" i="14"/>
  <c r="L36" i="7" s="1"/>
  <c r="W33" i="15"/>
  <c r="O36" i="7" s="1"/>
  <c r="W33" i="17"/>
  <c r="W36" i="7" s="1"/>
  <c r="W41" i="23" s="1"/>
  <c r="W33" i="19"/>
  <c r="AE36" i="7" s="1"/>
  <c r="AE41" i="23" s="1"/>
  <c r="M53" i="7"/>
  <c r="M57" i="7"/>
  <c r="AH58" i="16"/>
  <c r="W33" i="3"/>
  <c r="G36" i="7" s="1"/>
  <c r="X211" i="7"/>
  <c r="I239" i="7"/>
  <c r="K130" i="7"/>
  <c r="K185" i="7"/>
  <c r="W63" i="7"/>
  <c r="AJ242" i="7"/>
  <c r="T165" i="7"/>
  <c r="T180" i="7"/>
  <c r="W180" i="7"/>
  <c r="AC51" i="7"/>
  <c r="AB243" i="7"/>
  <c r="AF180" i="7"/>
  <c r="X243" i="7"/>
  <c r="Q242" i="7"/>
  <c r="I135" i="7"/>
  <c r="I179" i="7"/>
  <c r="L211" i="7"/>
  <c r="AK107" i="7"/>
  <c r="Y124" i="7"/>
  <c r="AB131" i="23"/>
  <c r="AF47" i="7"/>
  <c r="AA63" i="7"/>
  <c r="Q105" i="7"/>
  <c r="G243" i="7"/>
  <c r="Q15" i="7"/>
  <c r="Y25" i="7"/>
  <c r="AG122" i="7"/>
  <c r="AK79" i="7"/>
  <c r="I106" i="23"/>
  <c r="Y114" i="7"/>
  <c r="Y112" i="7"/>
  <c r="L33" i="7"/>
  <c r="K69" i="7"/>
  <c r="X130" i="23"/>
  <c r="T63" i="7"/>
  <c r="U49" i="7"/>
  <c r="AK14" i="7"/>
  <c r="AK114" i="7" s="1"/>
  <c r="AI38" i="7"/>
  <c r="H157" i="23"/>
  <c r="AB154" i="23"/>
  <c r="AB148" i="23"/>
  <c r="K71" i="23"/>
  <c r="M74" i="7"/>
  <c r="M132" i="7"/>
  <c r="M140" i="7"/>
  <c r="M179" i="7"/>
  <c r="M207" i="7"/>
  <c r="Q136" i="7"/>
  <c r="O185" i="7"/>
  <c r="Q188" i="7"/>
  <c r="U223" i="7"/>
  <c r="U241" i="7"/>
  <c r="Y139" i="7"/>
  <c r="Y210" i="7"/>
  <c r="Y237" i="7"/>
  <c r="Y245" i="7"/>
  <c r="Y247" i="7"/>
  <c r="AC184" i="7"/>
  <c r="AC245" i="7"/>
  <c r="AG45" i="7"/>
  <c r="AJ262" i="7"/>
  <c r="I51" i="7"/>
  <c r="Q50" i="7"/>
  <c r="M83" i="7"/>
  <c r="N80" i="7" s="1"/>
  <c r="Q83" i="7"/>
  <c r="R82" i="7" s="1"/>
  <c r="Q96" i="7"/>
  <c r="R95" i="7" s="1"/>
  <c r="U83" i="7"/>
  <c r="U96" i="7"/>
  <c r="V96" i="7" s="1"/>
  <c r="Y83" i="7"/>
  <c r="Z82" i="7" s="1"/>
  <c r="AC96" i="7"/>
  <c r="AC258" i="7"/>
  <c r="AD255" i="7" s="1"/>
  <c r="I36" i="7"/>
  <c r="H37" i="7" s="1"/>
  <c r="Q112" i="7"/>
  <c r="I112" i="7"/>
  <c r="AJ178" i="7"/>
  <c r="H159" i="23"/>
  <c r="H147" i="23"/>
  <c r="I168" i="7"/>
  <c r="AJ157" i="7"/>
  <c r="I226" i="7"/>
  <c r="W162" i="23"/>
  <c r="AG87" i="23"/>
  <c r="AG100" i="23"/>
  <c r="I178" i="7"/>
  <c r="H142" i="23"/>
  <c r="M122" i="7"/>
  <c r="L131" i="23"/>
  <c r="M131" i="23" s="1"/>
  <c r="M124" i="7"/>
  <c r="L172" i="7"/>
  <c r="M167" i="7"/>
  <c r="W125" i="7"/>
  <c r="M51" i="7"/>
  <c r="G166" i="23"/>
  <c r="H148" i="23"/>
  <c r="G47" i="7"/>
  <c r="M13" i="7"/>
  <c r="AC13" i="7"/>
  <c r="I241" i="7"/>
  <c r="M38" i="7"/>
  <c r="M39" i="7" s="1"/>
  <c r="L165" i="7"/>
  <c r="Q72" i="7"/>
  <c r="Q74" i="7"/>
  <c r="Q132" i="7"/>
  <c r="Q140" i="7"/>
  <c r="Q170" i="7"/>
  <c r="Q174" i="7"/>
  <c r="Q178" i="7"/>
  <c r="Q182" i="7"/>
  <c r="Q223" i="7"/>
  <c r="U38" i="7"/>
  <c r="T39" i="7" s="1"/>
  <c r="U65" i="7"/>
  <c r="U71" i="7"/>
  <c r="U73" i="7"/>
  <c r="U75" i="7"/>
  <c r="U127" i="7"/>
  <c r="U133" i="7"/>
  <c r="U137" i="7"/>
  <c r="U139" i="7"/>
  <c r="U169" i="7"/>
  <c r="U175" i="7"/>
  <c r="U183" i="7"/>
  <c r="Y73" i="7"/>
  <c r="Y127" i="7"/>
  <c r="Y152" i="7"/>
  <c r="AC67" i="7"/>
  <c r="AC75" i="7"/>
  <c r="AC129" i="7"/>
  <c r="AC133" i="7"/>
  <c r="AC158" i="7"/>
  <c r="AC170" i="7"/>
  <c r="AC178" i="7"/>
  <c r="AG127" i="7"/>
  <c r="AG137" i="7"/>
  <c r="AG139" i="7"/>
  <c r="AG141" i="7"/>
  <c r="AG175" i="7"/>
  <c r="AG177" i="7"/>
  <c r="AG179" i="7"/>
  <c r="AG183" i="7"/>
  <c r="AG220" i="7"/>
  <c r="AG228" i="7"/>
  <c r="AG242" i="7"/>
  <c r="I107" i="23"/>
  <c r="L152" i="23"/>
  <c r="O157" i="23"/>
  <c r="W25" i="23"/>
  <c r="Y25" i="23" s="1"/>
  <c r="O25" i="23"/>
  <c r="Q25" i="23" s="1"/>
  <c r="K66" i="23"/>
  <c r="M61" i="7"/>
  <c r="AA125" i="23"/>
  <c r="AA126" i="23" s="1"/>
  <c r="AA120" i="7"/>
  <c r="H124" i="23"/>
  <c r="AJ118" i="7"/>
  <c r="AK93" i="7"/>
  <c r="X25" i="23"/>
  <c r="Y22" i="7"/>
  <c r="P131" i="23"/>
  <c r="U31" i="7"/>
  <c r="AB69" i="7"/>
  <c r="N81" i="7"/>
  <c r="AB155" i="23"/>
  <c r="Q49" i="7"/>
  <c r="AG22" i="7"/>
  <c r="P129" i="23"/>
  <c r="Q129" i="23" s="1"/>
  <c r="U26" i="7"/>
  <c r="AG123" i="7"/>
  <c r="Y105" i="7"/>
  <c r="H162" i="23"/>
  <c r="AI242" i="7"/>
  <c r="G79" i="23"/>
  <c r="AI56" i="7"/>
  <c r="Y32" i="7"/>
  <c r="Y33" i="7" s="1"/>
  <c r="Q22" i="7"/>
  <c r="AB130" i="7"/>
  <c r="Y246" i="7"/>
  <c r="AJ175" i="7"/>
  <c r="H165" i="7"/>
  <c r="AJ229" i="7"/>
  <c r="AK104" i="7"/>
  <c r="Q103" i="7"/>
  <c r="M44" i="7"/>
  <c r="M46" i="7"/>
  <c r="L76" i="7"/>
  <c r="M137" i="7"/>
  <c r="M156" i="7"/>
  <c r="M168" i="7"/>
  <c r="AJ170" i="7"/>
  <c r="L185" i="7"/>
  <c r="M188" i="7"/>
  <c r="M192" i="7"/>
  <c r="M196" i="7"/>
  <c r="M221" i="7"/>
  <c r="M241" i="7"/>
  <c r="Q26" i="7"/>
  <c r="P47" i="7"/>
  <c r="Q133" i="7"/>
  <c r="O172" i="7"/>
  <c r="Q169" i="7"/>
  <c r="AI205" i="7"/>
  <c r="O224" i="7"/>
  <c r="Q226" i="7"/>
  <c r="U72" i="7"/>
  <c r="S185" i="7"/>
  <c r="U184" i="7"/>
  <c r="U222" i="7"/>
  <c r="U228" i="7"/>
  <c r="W76" i="7"/>
  <c r="Y140" i="7"/>
  <c r="Y155" i="7"/>
  <c r="Y157" i="7"/>
  <c r="Y175" i="7"/>
  <c r="Y179" i="7"/>
  <c r="X224" i="7"/>
  <c r="Y228" i="7"/>
  <c r="AC27" i="7"/>
  <c r="AB47" i="7"/>
  <c r="AC66" i="7"/>
  <c r="AC74" i="7"/>
  <c r="AC138" i="7"/>
  <c r="AC140" i="7"/>
  <c r="AC153" i="7"/>
  <c r="AC167" i="7"/>
  <c r="AC169" i="7"/>
  <c r="AC183" i="7"/>
  <c r="AC195" i="7"/>
  <c r="AC234" i="7"/>
  <c r="AG46" i="7"/>
  <c r="AG68" i="7"/>
  <c r="AG128" i="7"/>
  <c r="AG134" i="7"/>
  <c r="AG184" i="7"/>
  <c r="AG188" i="7"/>
  <c r="AG200" i="7"/>
  <c r="AG204" i="7"/>
  <c r="AE230" i="7"/>
  <c r="AG233" i="7"/>
  <c r="AG237" i="7"/>
  <c r="AG239" i="7"/>
  <c r="AG241" i="7"/>
  <c r="AG245" i="7"/>
  <c r="AI53" i="7"/>
  <c r="AG258" i="7"/>
  <c r="AK81" i="7"/>
  <c r="AJ68" i="7"/>
  <c r="AI45" i="7"/>
  <c r="I156" i="7"/>
  <c r="AJ192" i="7"/>
  <c r="I182" i="7"/>
  <c r="AJ188" i="7"/>
  <c r="AI175" i="7"/>
  <c r="AI176" i="7"/>
  <c r="AJ203" i="7"/>
  <c r="AI207" i="7"/>
  <c r="AJ246" i="7"/>
  <c r="S162" i="23"/>
  <c r="W51" i="23"/>
  <c r="O50" i="23"/>
  <c r="K157" i="23"/>
  <c r="T72" i="23"/>
  <c r="P143" i="23"/>
  <c r="P155" i="23"/>
  <c r="T76" i="23"/>
  <c r="T50" i="23"/>
  <c r="T80" i="23"/>
  <c r="X78" i="23"/>
  <c r="K172" i="7"/>
  <c r="O33" i="7"/>
  <c r="P172" i="7"/>
  <c r="P180" i="7"/>
  <c r="P185" i="7"/>
  <c r="U36" i="7"/>
  <c r="S37" i="7" s="1"/>
  <c r="H61" i="23"/>
  <c r="H56" i="23"/>
  <c r="AK94" i="7"/>
  <c r="AI138" i="7"/>
  <c r="I177" i="7"/>
  <c r="I170" i="7"/>
  <c r="K143" i="23"/>
  <c r="S160" i="23"/>
  <c r="P77" i="23"/>
  <c r="P159" i="23"/>
  <c r="M155" i="7"/>
  <c r="Y196" i="7"/>
  <c r="Y200" i="7"/>
  <c r="Y239" i="7"/>
  <c r="AC139" i="7"/>
  <c r="AC174" i="7"/>
  <c r="AC176" i="7"/>
  <c r="AC182" i="7"/>
  <c r="AC188" i="7"/>
  <c r="AC192" i="7"/>
  <c r="AC223" i="7"/>
  <c r="AC227" i="7"/>
  <c r="AG73" i="7"/>
  <c r="AG133" i="7"/>
  <c r="AG153" i="7"/>
  <c r="AG155" i="7"/>
  <c r="AG157" i="7"/>
  <c r="AG167" i="7"/>
  <c r="AG169" i="7"/>
  <c r="AG171" i="7"/>
  <c r="AG232" i="7"/>
  <c r="AG236" i="7"/>
  <c r="AD92" i="7"/>
  <c r="O130" i="23"/>
  <c r="S131" i="23"/>
  <c r="U124" i="7"/>
  <c r="Y167" i="7"/>
  <c r="X172" i="7"/>
  <c r="AE129" i="23"/>
  <c r="AE125" i="7"/>
  <c r="K125" i="23"/>
  <c r="AI119" i="7"/>
  <c r="K120" i="7"/>
  <c r="W124" i="23"/>
  <c r="W120" i="7"/>
  <c r="G124" i="23"/>
  <c r="I118" i="7"/>
  <c r="T125" i="23"/>
  <c r="U125" i="23" s="1"/>
  <c r="T120" i="7"/>
  <c r="H25" i="23"/>
  <c r="I22" i="7"/>
  <c r="M119" i="7"/>
  <c r="I167" i="7"/>
  <c r="I155" i="7"/>
  <c r="I222" i="7"/>
  <c r="H50" i="23"/>
  <c r="I75" i="7"/>
  <c r="I204" i="7"/>
  <c r="AK255" i="7"/>
  <c r="AC105" i="7"/>
  <c r="I15" i="7"/>
  <c r="AC103" i="7"/>
  <c r="H153" i="23"/>
  <c r="M105" i="7"/>
  <c r="AE120" i="7"/>
  <c r="G120" i="7"/>
  <c r="K47" i="7"/>
  <c r="I154" i="7"/>
  <c r="AK82" i="7"/>
  <c r="AJ127" i="7"/>
  <c r="AJ221" i="7"/>
  <c r="X162" i="23"/>
  <c r="AA166" i="23"/>
  <c r="AC166" i="23" s="1"/>
  <c r="AA156" i="23"/>
  <c r="AA148" i="23"/>
  <c r="W77" i="23"/>
  <c r="T166" i="23"/>
  <c r="O156" i="23"/>
  <c r="O152" i="23"/>
  <c r="T140" i="23"/>
  <c r="L147" i="23"/>
  <c r="L161" i="23"/>
  <c r="L153" i="23"/>
  <c r="T154" i="23"/>
  <c r="L201" i="7"/>
  <c r="AI184" i="7"/>
  <c r="AI196" i="7"/>
  <c r="E166" i="25" s="1"/>
  <c r="AA211" i="7"/>
  <c r="AE47" i="7"/>
  <c r="AK95" i="7"/>
  <c r="I13" i="7"/>
  <c r="P43" i="23"/>
  <c r="W79" i="23"/>
  <c r="O154" i="23"/>
  <c r="X143" i="23"/>
  <c r="O158" i="23"/>
  <c r="L77" i="23"/>
  <c r="X165" i="23"/>
  <c r="AC137" i="7"/>
  <c r="M106" i="23"/>
  <c r="AG106" i="23"/>
  <c r="AG175" i="23"/>
  <c r="M169" i="7"/>
  <c r="M171" i="7"/>
  <c r="M183" i="7"/>
  <c r="M187" i="7"/>
  <c r="M209" i="7"/>
  <c r="M220" i="7"/>
  <c r="M228" i="7"/>
  <c r="M236" i="7"/>
  <c r="Q127" i="7"/>
  <c r="Q137" i="7"/>
  <c r="Q171" i="7"/>
  <c r="Q187" i="7"/>
  <c r="Q207" i="7"/>
  <c r="Q220" i="7"/>
  <c r="Q236" i="7"/>
  <c r="Q246" i="7"/>
  <c r="U25" i="7"/>
  <c r="U46" i="7"/>
  <c r="U68" i="7"/>
  <c r="T76" i="7"/>
  <c r="T130" i="7"/>
  <c r="U134" i="7"/>
  <c r="U136" i="7"/>
  <c r="U170" i="7"/>
  <c r="T185" i="7"/>
  <c r="T193" i="7"/>
  <c r="U206" i="7"/>
  <c r="U210" i="7"/>
  <c r="U221" i="7"/>
  <c r="AI223" i="7"/>
  <c r="U227" i="7"/>
  <c r="U237" i="7"/>
  <c r="U245" i="7"/>
  <c r="Y68" i="7"/>
  <c r="Y74" i="7"/>
  <c r="U112" i="7"/>
  <c r="M112" i="7"/>
  <c r="AC112" i="7"/>
  <c r="Y111" i="7"/>
  <c r="Z108" i="7" s="1"/>
  <c r="M111" i="7"/>
  <c r="N110" i="7" s="1"/>
  <c r="Y112" i="23"/>
  <c r="Q112" i="23"/>
  <c r="I112" i="23"/>
  <c r="AB23" i="7"/>
  <c r="AB17" i="7" s="1"/>
  <c r="S23" i="7"/>
  <c r="S17" i="7" s="1"/>
  <c r="S29" i="7" s="1"/>
  <c r="P23" i="7"/>
  <c r="P17" i="7" s="1"/>
  <c r="P29" i="7" s="1"/>
  <c r="AA153" i="23"/>
  <c r="M177" i="23"/>
  <c r="Y175" i="23"/>
  <c r="AC175" i="23"/>
  <c r="Y103" i="7"/>
  <c r="Y121" i="7"/>
  <c r="M129" i="7"/>
  <c r="M133" i="7"/>
  <c r="M135" i="7"/>
  <c r="M153" i="7"/>
  <c r="Y169" i="7"/>
  <c r="Y171" i="7"/>
  <c r="Y177" i="7"/>
  <c r="Y195" i="7"/>
  <c r="Y205" i="7"/>
  <c r="Y209" i="7"/>
  <c r="Y220" i="7"/>
  <c r="Y226" i="7"/>
  <c r="Y236" i="7"/>
  <c r="Y240" i="7"/>
  <c r="AC73" i="7"/>
  <c r="AC135" i="7"/>
  <c r="O188" i="17"/>
  <c r="O189" i="17" s="1"/>
  <c r="X181" i="17"/>
  <c r="P188" i="14"/>
  <c r="W181" i="14"/>
  <c r="W188" i="14" s="1"/>
  <c r="AZ177" i="14"/>
  <c r="AT177" i="14"/>
  <c r="K154" i="7"/>
  <c r="Y159" i="18"/>
  <c r="AI137" i="7"/>
  <c r="AI178" i="7"/>
  <c r="G76" i="7"/>
  <c r="K76" i="7"/>
  <c r="K125" i="7"/>
  <c r="M175" i="7"/>
  <c r="K180" i="7"/>
  <c r="M177" i="7"/>
  <c r="AI177" i="7"/>
  <c r="M203" i="7"/>
  <c r="K211" i="7"/>
  <c r="AI46" i="7"/>
  <c r="P130" i="23"/>
  <c r="P125" i="7"/>
  <c r="Q203" i="7"/>
  <c r="P211" i="7"/>
  <c r="T47" i="7"/>
  <c r="X129" i="23"/>
  <c r="W185" i="7"/>
  <c r="Y183" i="7"/>
  <c r="W193" i="7"/>
  <c r="Y187" i="7"/>
  <c r="AC44" i="7"/>
  <c r="AB130" i="23"/>
  <c r="AC123" i="7"/>
  <c r="AC168" i="7"/>
  <c r="AA172" i="7"/>
  <c r="AC221" i="7"/>
  <c r="AA224" i="7"/>
  <c r="AG31" i="7"/>
  <c r="AG33" i="7" s="1"/>
  <c r="AH32" i="7" s="1"/>
  <c r="AE193" i="7"/>
  <c r="AG187" i="7"/>
  <c r="L125" i="23"/>
  <c r="L120" i="7"/>
  <c r="AF124" i="23"/>
  <c r="AG124" i="23" s="1"/>
  <c r="AF120" i="7"/>
  <c r="AG118" i="7"/>
  <c r="AG120" i="7" s="1"/>
  <c r="X124" i="23"/>
  <c r="Y118" i="7"/>
  <c r="X120" i="7"/>
  <c r="P124" i="23"/>
  <c r="P120" i="7"/>
  <c r="AD94" i="7"/>
  <c r="G129" i="23"/>
  <c r="I122" i="7"/>
  <c r="H129" i="23"/>
  <c r="AJ177" i="7"/>
  <c r="I203" i="7"/>
  <c r="AJ135" i="7"/>
  <c r="H180" i="7"/>
  <c r="I84" i="23"/>
  <c r="H165" i="23"/>
  <c r="I67" i="7"/>
  <c r="AK80" i="7"/>
  <c r="AJ72" i="7"/>
  <c r="I26" i="7"/>
  <c r="I128" i="7"/>
  <c r="I45" i="7"/>
  <c r="I44" i="7"/>
  <c r="AI192" i="7"/>
  <c r="AJ184" i="7"/>
  <c r="AI168" i="7"/>
  <c r="AJ153" i="7"/>
  <c r="AI174" i="7"/>
  <c r="AJ220" i="7"/>
  <c r="AI210" i="7"/>
  <c r="AI229" i="7"/>
  <c r="AI220" i="7"/>
  <c r="AJ232" i="7"/>
  <c r="AA167" i="23"/>
  <c r="W160" i="23"/>
  <c r="S165" i="23"/>
  <c r="S143" i="23"/>
  <c r="K162" i="23"/>
  <c r="P166" i="23"/>
  <c r="S161" i="23"/>
  <c r="G201" i="7"/>
  <c r="AI235" i="7"/>
  <c r="Q87" i="23"/>
  <c r="Q100" i="23"/>
  <c r="U176" i="23"/>
  <c r="AC99" i="23"/>
  <c r="AJ154" i="7"/>
  <c r="AJ168" i="7"/>
  <c r="L193" i="7"/>
  <c r="L224" i="7"/>
  <c r="Q155" i="7"/>
  <c r="Q167" i="7"/>
  <c r="AI169" i="7"/>
  <c r="Q175" i="7"/>
  <c r="Q177" i="7"/>
  <c r="AI179" i="7"/>
  <c r="O193" i="7"/>
  <c r="O201" i="7"/>
  <c r="Q205" i="7"/>
  <c r="Q209" i="7"/>
  <c r="Q222" i="7"/>
  <c r="O230" i="7"/>
  <c r="Q228" i="7"/>
  <c r="Q232" i="7"/>
  <c r="AI236" i="7"/>
  <c r="Q238" i="7"/>
  <c r="U154" i="7"/>
  <c r="S172" i="7"/>
  <c r="U174" i="7"/>
  <c r="U176" i="7"/>
  <c r="U182" i="7"/>
  <c r="S193" i="7"/>
  <c r="U192" i="7"/>
  <c r="U196" i="7"/>
  <c r="AJ222" i="7"/>
  <c r="X193" i="7"/>
  <c r="X230" i="7"/>
  <c r="AB172" i="7"/>
  <c r="AB185" i="7"/>
  <c r="AF185" i="7"/>
  <c r="W58" i="23"/>
  <c r="W60" i="23"/>
  <c r="W61" i="23"/>
  <c r="W62" i="23"/>
  <c r="W64" i="23"/>
  <c r="W66" i="23"/>
  <c r="W67" i="23"/>
  <c r="X54" i="23"/>
  <c r="X55" i="23"/>
  <c r="X57" i="23"/>
  <c r="X58" i="23"/>
  <c r="X59" i="23"/>
  <c r="X63" i="23"/>
  <c r="X64" i="23"/>
  <c r="X65" i="23"/>
  <c r="X66" i="23"/>
  <c r="X67" i="23"/>
  <c r="AA54" i="23"/>
  <c r="AA55" i="23"/>
  <c r="AG50" i="7"/>
  <c r="M258" i="7"/>
  <c r="N256" i="7" s="1"/>
  <c r="M87" i="23"/>
  <c r="M100" i="23"/>
  <c r="U87" i="23"/>
  <c r="U100" i="23"/>
  <c r="M205" i="7"/>
  <c r="M222" i="7"/>
  <c r="U200" i="7"/>
  <c r="U208" i="7"/>
  <c r="U233" i="7"/>
  <c r="Y203" i="7"/>
  <c r="Y207" i="7"/>
  <c r="Y222" i="7"/>
  <c r="Y232" i="7"/>
  <c r="AC206" i="7"/>
  <c r="AC208" i="7"/>
  <c r="AC229" i="7"/>
  <c r="AC233" i="7"/>
  <c r="AC237" i="7"/>
  <c r="AC241" i="7"/>
  <c r="AC247" i="7"/>
  <c r="AG203" i="7"/>
  <c r="AG205" i="7"/>
  <c r="AG207" i="7"/>
  <c r="AG209" i="7"/>
  <c r="AG222" i="7"/>
  <c r="AG234" i="7"/>
  <c r="AG238" i="7"/>
  <c r="AG240" i="7"/>
  <c r="BH197" i="7"/>
  <c r="I195" i="7"/>
  <c r="AJ237" i="7"/>
  <c r="M84" i="23"/>
  <c r="M97" i="23"/>
  <c r="Q171" i="23"/>
  <c r="BC171" i="23" s="1"/>
  <c r="Q177" i="23"/>
  <c r="U84" i="23"/>
  <c r="U97" i="23"/>
  <c r="U175" i="23"/>
  <c r="Y86" i="23"/>
  <c r="Y99" i="23"/>
  <c r="AC98" i="23"/>
  <c r="K193" i="7"/>
  <c r="K230" i="7"/>
  <c r="Q168" i="7"/>
  <c r="Q176" i="7"/>
  <c r="Q184" i="7"/>
  <c r="Q192" i="7"/>
  <c r="Q200" i="7"/>
  <c r="Q204" i="7"/>
  <c r="Q208" i="7"/>
  <c r="P224" i="7"/>
  <c r="Q229" i="7"/>
  <c r="Q237" i="7"/>
  <c r="Q239" i="7"/>
  <c r="U155" i="7"/>
  <c r="U177" i="7"/>
  <c r="AJ183" i="7"/>
  <c r="U187" i="7"/>
  <c r="U195" i="7"/>
  <c r="AA185" i="7"/>
  <c r="AA201" i="7"/>
  <c r="AE211" i="7"/>
  <c r="U258" i="7"/>
  <c r="V258" i="7" s="1"/>
  <c r="Y258" i="7"/>
  <c r="Z255" i="7" s="1"/>
  <c r="I184" i="7"/>
  <c r="AJ223" i="7"/>
  <c r="I223" i="7"/>
  <c r="H152" i="23"/>
  <c r="I152" i="23" s="1"/>
  <c r="AI171" i="7"/>
  <c r="I171" i="7"/>
  <c r="AI228" i="7"/>
  <c r="I228" i="7"/>
  <c r="Q86" i="23"/>
  <c r="Q99" i="23"/>
  <c r="AC84" i="23"/>
  <c r="M121" i="7"/>
  <c r="U121" i="7"/>
  <c r="AC121" i="7"/>
  <c r="M170" i="7"/>
  <c r="M174" i="7"/>
  <c r="M182" i="7"/>
  <c r="M184" i="7"/>
  <c r="M200" i="7"/>
  <c r="M204" i="7"/>
  <c r="M208" i="7"/>
  <c r="M210" i="7"/>
  <c r="M229" i="7"/>
  <c r="M233" i="7"/>
  <c r="M235" i="7"/>
  <c r="M237" i="7"/>
  <c r="M239" i="7"/>
  <c r="M245" i="7"/>
  <c r="M247" i="7"/>
  <c r="Q227" i="7"/>
  <c r="P230" i="7"/>
  <c r="AJ167" i="7"/>
  <c r="U167" i="7"/>
  <c r="T172" i="7"/>
  <c r="U171" i="7"/>
  <c r="AJ171" i="7"/>
  <c r="U179" i="7"/>
  <c r="AJ179" i="7"/>
  <c r="S211" i="7"/>
  <c r="U203" i="7"/>
  <c r="U205" i="7"/>
  <c r="U207" i="7"/>
  <c r="U209" i="7"/>
  <c r="S224" i="7"/>
  <c r="U220" i="7"/>
  <c r="U226" i="7"/>
  <c r="S230" i="7"/>
  <c r="U232" i="7"/>
  <c r="U236" i="7"/>
  <c r="U238" i="7"/>
  <c r="U240" i="7"/>
  <c r="U246" i="7"/>
  <c r="S248" i="7"/>
  <c r="Y168" i="7"/>
  <c r="Y170" i="7"/>
  <c r="Y174" i="7"/>
  <c r="Y182" i="7"/>
  <c r="Y192" i="7"/>
  <c r="Y204" i="7"/>
  <c r="Y206" i="7"/>
  <c r="Y221" i="7"/>
  <c r="W224" i="7"/>
  <c r="Y227" i="7"/>
  <c r="Y233" i="7"/>
  <c r="Y235" i="7"/>
  <c r="AC157" i="7"/>
  <c r="AC171" i="7"/>
  <c r="AC187" i="7"/>
  <c r="AA193" i="7"/>
  <c r="AC203" i="7"/>
  <c r="AC205" i="7"/>
  <c r="AC209" i="7"/>
  <c r="AC220" i="7"/>
  <c r="AC222" i="7"/>
  <c r="AA230" i="7"/>
  <c r="AC226" i="7"/>
  <c r="AC228" i="7"/>
  <c r="AC232" i="7"/>
  <c r="AC236" i="7"/>
  <c r="AC238" i="7"/>
  <c r="AC240" i="7"/>
  <c r="AC246" i="7"/>
  <c r="AA248" i="7"/>
  <c r="AG154" i="7"/>
  <c r="AG156" i="7"/>
  <c r="AE172" i="7"/>
  <c r="AG168" i="7"/>
  <c r="AG170" i="7"/>
  <c r="AG174" i="7"/>
  <c r="AG176" i="7"/>
  <c r="AG182" i="7"/>
  <c r="AE185" i="7"/>
  <c r="AG196" i="7"/>
  <c r="AG206" i="7"/>
  <c r="AG210" i="7"/>
  <c r="AG221" i="7"/>
  <c r="AE224" i="7"/>
  <c r="AG227" i="7"/>
  <c r="AG229" i="7"/>
  <c r="AG235" i="7"/>
  <c r="AG247" i="7"/>
  <c r="AJ241" i="7"/>
  <c r="AH255" i="7"/>
  <c r="AH257" i="7"/>
  <c r="I157" i="7"/>
  <c r="I207" i="7"/>
  <c r="AJ207" i="7"/>
  <c r="AK109" i="7"/>
  <c r="U111" i="7"/>
  <c r="V108" i="7" s="1"/>
  <c r="AK108" i="7"/>
  <c r="AC111" i="7"/>
  <c r="AD109" i="7" s="1"/>
  <c r="T25" i="23"/>
  <c r="T23" i="7"/>
  <c r="T17" i="7" s="1"/>
  <c r="AC22" i="7"/>
  <c r="G162" i="23"/>
  <c r="I176" i="23"/>
  <c r="I127" i="7"/>
  <c r="I132" i="7"/>
  <c r="I133" i="7"/>
  <c r="AH258" i="7"/>
  <c r="I152" i="7"/>
  <c r="I153" i="7"/>
  <c r="I192" i="7"/>
  <c r="I174" i="7"/>
  <c r="G165" i="7"/>
  <c r="M15" i="7"/>
  <c r="I97" i="23"/>
  <c r="N83" i="7"/>
  <c r="I73" i="7"/>
  <c r="AI133" i="7"/>
  <c r="I134" i="7"/>
  <c r="M26" i="7"/>
  <c r="AH256" i="7"/>
  <c r="AI167" i="7"/>
  <c r="E74" i="25" s="1"/>
  <c r="G185" i="7"/>
  <c r="AJ155" i="7"/>
  <c r="AJ169" i="7"/>
  <c r="AI222" i="7"/>
  <c r="Q183" i="7"/>
  <c r="AI183" i="7"/>
  <c r="O211" i="7"/>
  <c r="AI203" i="7"/>
  <c r="AK203" i="7" s="1"/>
  <c r="T230" i="7"/>
  <c r="AJ226" i="7"/>
  <c r="AI182" i="7"/>
  <c r="AJ189" i="7"/>
  <c r="AJ174" i="7"/>
  <c r="AJ210" i="7"/>
  <c r="I221" i="7"/>
  <c r="AI227" i="7"/>
  <c r="AI209" i="7"/>
  <c r="I246" i="7"/>
  <c r="AI246" i="7"/>
  <c r="AB162" i="23"/>
  <c r="AC162" i="23" s="1"/>
  <c r="AK12" i="7"/>
  <c r="BH199" i="7"/>
  <c r="AI199" i="7" s="1"/>
  <c r="AB158" i="23"/>
  <c r="AB140" i="23"/>
  <c r="AB152" i="23"/>
  <c r="X157" i="23"/>
  <c r="X141" i="23"/>
  <c r="T158" i="23"/>
  <c r="K159" i="23"/>
  <c r="Q258" i="7"/>
  <c r="R256" i="7" s="1"/>
  <c r="L71" i="23"/>
  <c r="L149" i="23"/>
  <c r="L155" i="23"/>
  <c r="AI62" i="7"/>
  <c r="AJ51" i="7"/>
  <c r="M62" i="7"/>
  <c r="AG83" i="7"/>
  <c r="H172" i="7"/>
  <c r="AI170" i="7"/>
  <c r="AJ205" i="7"/>
  <c r="I206" i="7"/>
  <c r="AJ208" i="7"/>
  <c r="AK257" i="7"/>
  <c r="AA43" i="23"/>
  <c r="T162" i="23"/>
  <c r="I200" i="7"/>
  <c r="AI240" i="7"/>
  <c r="AB160" i="23"/>
  <c r="AA160" i="23"/>
  <c r="AB146" i="23"/>
  <c r="AA80" i="23"/>
  <c r="AB73" i="23"/>
  <c r="AA78" i="23"/>
  <c r="AA76" i="23"/>
  <c r="W71" i="23"/>
  <c r="W167" i="23"/>
  <c r="S77" i="23"/>
  <c r="O76" i="23"/>
  <c r="O142" i="23"/>
  <c r="K153" i="23"/>
  <c r="K79" i="23"/>
  <c r="S148" i="23"/>
  <c r="T78" i="23"/>
  <c r="P50" i="23"/>
  <c r="T152" i="23"/>
  <c r="S73" i="23"/>
  <c r="U73" i="23" s="1"/>
  <c r="T70" i="23"/>
  <c r="L73" i="23"/>
  <c r="Q84" i="23"/>
  <c r="Q97" i="23"/>
  <c r="AG86" i="23"/>
  <c r="AG99" i="23"/>
  <c r="AC124" i="23"/>
  <c r="V109" i="7"/>
  <c r="V107" i="7"/>
  <c r="AD110" i="7"/>
  <c r="V95" i="7"/>
  <c r="I119" i="7"/>
  <c r="H125" i="23"/>
  <c r="I125" i="23" s="1"/>
  <c r="H120" i="7"/>
  <c r="AJ119" i="7"/>
  <c r="Q114" i="23"/>
  <c r="Q111" i="7"/>
  <c r="S18" i="23"/>
  <c r="I111" i="7"/>
  <c r="AC119" i="7"/>
  <c r="AC120" i="7" s="1"/>
  <c r="AB125" i="23"/>
  <c r="AK110" i="7"/>
  <c r="U119" i="7"/>
  <c r="U120" i="7" s="1"/>
  <c r="V120" i="7" s="1"/>
  <c r="L28" i="7"/>
  <c r="H69" i="7"/>
  <c r="M27" i="7"/>
  <c r="I83" i="7"/>
  <c r="J79" i="7" s="1"/>
  <c r="G33" i="7"/>
  <c r="U15" i="7"/>
  <c r="U13" i="7"/>
  <c r="AI238" i="7"/>
  <c r="I238" i="7"/>
  <c r="I234" i="7"/>
  <c r="AI234" i="7"/>
  <c r="AI54" i="7"/>
  <c r="V80" i="7"/>
  <c r="V83" i="7"/>
  <c r="Y13" i="7"/>
  <c r="Y15" i="7"/>
  <c r="BI252" i="7"/>
  <c r="AK250" i="7"/>
  <c r="AG111" i="7"/>
  <c r="AH111" i="7" s="1"/>
  <c r="AI22" i="7"/>
  <c r="W39" i="7"/>
  <c r="AK92" i="7"/>
  <c r="I96" i="7"/>
  <c r="I138" i="7"/>
  <c r="AI188" i="7"/>
  <c r="AK188" i="7" s="1"/>
  <c r="I188" i="7"/>
  <c r="I187" i="7"/>
  <c r="AJ187" i="7"/>
  <c r="AJ176" i="7"/>
  <c r="I176" i="7"/>
  <c r="I205" i="7"/>
  <c r="I247" i="7"/>
  <c r="H248" i="7"/>
  <c r="AJ247" i="7"/>
  <c r="I232" i="7"/>
  <c r="AI232" i="7"/>
  <c r="I245" i="7"/>
  <c r="G248" i="7"/>
  <c r="U50" i="7"/>
  <c r="S55" i="23"/>
  <c r="G78" i="23"/>
  <c r="H167" i="23"/>
  <c r="I236" i="7"/>
  <c r="G55" i="23"/>
  <c r="I86" i="23"/>
  <c r="I71" i="7"/>
  <c r="I72" i="7"/>
  <c r="I66" i="7"/>
  <c r="I175" i="7"/>
  <c r="H230" i="7"/>
  <c r="I209" i="7"/>
  <c r="I208" i="7"/>
  <c r="S124" i="23"/>
  <c r="U124" i="23" s="1"/>
  <c r="S120" i="7"/>
  <c r="K124" i="23"/>
  <c r="M124" i="23" s="1"/>
  <c r="M118" i="7"/>
  <c r="H193" i="7"/>
  <c r="G172" i="7"/>
  <c r="I183" i="7"/>
  <c r="H224" i="7"/>
  <c r="I229" i="7"/>
  <c r="Y87" i="23"/>
  <c r="Y100" i="23"/>
  <c r="AG85" i="23"/>
  <c r="AK252" i="7"/>
  <c r="H243" i="7"/>
  <c r="I242" i="7"/>
  <c r="G180" i="7"/>
  <c r="H77" i="23"/>
  <c r="G58" i="23"/>
  <c r="I99" i="23"/>
  <c r="H49" i="23"/>
  <c r="AK190" i="7"/>
  <c r="I170" i="23"/>
  <c r="BA170" i="23" s="1"/>
  <c r="M175" i="23"/>
  <c r="Y171" i="23"/>
  <c r="BE171" i="23" s="1"/>
  <c r="Y177" i="23"/>
  <c r="AC171" i="23"/>
  <c r="BF171" i="23" s="1"/>
  <c r="AC177" i="23"/>
  <c r="AG84" i="23"/>
  <c r="AG97" i="23"/>
  <c r="AI215" i="7"/>
  <c r="L167" i="23"/>
  <c r="O72" i="23"/>
  <c r="P147" i="23"/>
  <c r="O148" i="23"/>
  <c r="P153" i="23"/>
  <c r="P167" i="23"/>
  <c r="T148" i="23"/>
  <c r="X147" i="23"/>
  <c r="W153" i="23"/>
  <c r="X161" i="23"/>
  <c r="AF73" i="23"/>
  <c r="AE155" i="23"/>
  <c r="AG155" i="23" s="1"/>
  <c r="AC87" i="23"/>
  <c r="AC107" i="23"/>
  <c r="AC108" i="23" s="1"/>
  <c r="AJ195" i="7"/>
  <c r="AJ209" i="7"/>
  <c r="AJ228" i="7"/>
  <c r="AJ234" i="7"/>
  <c r="AJ236" i="7"/>
  <c r="Q196" i="7"/>
  <c r="Q201" i="7" s="1"/>
  <c r="R195" i="7" s="1"/>
  <c r="AI200" i="7"/>
  <c r="AI204" i="7"/>
  <c r="AI208" i="7"/>
  <c r="Q210" i="7"/>
  <c r="Q235" i="7"/>
  <c r="S201" i="7"/>
  <c r="T224" i="7"/>
  <c r="X201" i="7"/>
  <c r="X248" i="7"/>
  <c r="AC129" i="23"/>
  <c r="AB201" i="7"/>
  <c r="AB211" i="7"/>
  <c r="AB224" i="7"/>
  <c r="AB230" i="7"/>
  <c r="AB248" i="7"/>
  <c r="AF201" i="7"/>
  <c r="AF224" i="7"/>
  <c r="O34" i="23"/>
  <c r="G57" i="23"/>
  <c r="AJ57" i="7"/>
  <c r="AJ58" i="7"/>
  <c r="AJ59" i="7"/>
  <c r="AJ60" i="7"/>
  <c r="K56" i="23"/>
  <c r="K58" i="23"/>
  <c r="K59" i="23"/>
  <c r="K60" i="23"/>
  <c r="K61" i="23"/>
  <c r="K62" i="23"/>
  <c r="K63" i="23"/>
  <c r="K64" i="23"/>
  <c r="L79" i="23"/>
  <c r="P79" i="23"/>
  <c r="P161" i="23"/>
  <c r="T160" i="23"/>
  <c r="S156" i="23"/>
  <c r="X76" i="23"/>
  <c r="X155" i="23"/>
  <c r="Y155" i="23" s="1"/>
  <c r="AE51" i="23"/>
  <c r="AE71" i="23"/>
  <c r="AE73" i="23"/>
  <c r="AE77" i="23"/>
  <c r="I172" i="23"/>
  <c r="BA172" i="23" s="1"/>
  <c r="M86" i="23"/>
  <c r="M99" i="23"/>
  <c r="Q175" i="23"/>
  <c r="U86" i="23"/>
  <c r="U99" i="23"/>
  <c r="U109" i="23"/>
  <c r="U110" i="23" s="1"/>
  <c r="U171" i="23"/>
  <c r="BD171" i="23" s="1"/>
  <c r="U177" i="23"/>
  <c r="Y84" i="23"/>
  <c r="Y97" i="23"/>
  <c r="Y106" i="23"/>
  <c r="AC100" i="23"/>
  <c r="AG177" i="23"/>
  <c r="K248" i="7"/>
  <c r="P201" i="7"/>
  <c r="Q234" i="7"/>
  <c r="Q240" i="7"/>
  <c r="U188" i="7"/>
  <c r="W201" i="7"/>
  <c r="AE248" i="7"/>
  <c r="BG216" i="7"/>
  <c r="AI216" i="7" s="1"/>
  <c r="E168" i="25" s="1"/>
  <c r="E169" i="25" s="1"/>
  <c r="O56" i="23"/>
  <c r="O57" i="23"/>
  <c r="O58" i="23"/>
  <c r="O59" i="23"/>
  <c r="Q59" i="23" s="1"/>
  <c r="O61" i="23"/>
  <c r="O62" i="23"/>
  <c r="O63" i="23"/>
  <c r="O64" i="23"/>
  <c r="O65" i="23"/>
  <c r="O66" i="23"/>
  <c r="O67" i="23"/>
  <c r="P55" i="23"/>
  <c r="P56" i="23"/>
  <c r="P57" i="23"/>
  <c r="P58" i="23"/>
  <c r="X41" i="23"/>
  <c r="Y41" i="23" s="1"/>
  <c r="Y42" i="23" s="1"/>
  <c r="AG115" i="23"/>
  <c r="U115" i="23"/>
  <c r="U117" i="23" s="1"/>
  <c r="M115" i="23"/>
  <c r="M117" i="23" s="1"/>
  <c r="AC115" i="23"/>
  <c r="AC117" i="23" s="1"/>
  <c r="Y114" i="23"/>
  <c r="G62" i="23"/>
  <c r="G63" i="7"/>
  <c r="I57" i="7"/>
  <c r="I58" i="7"/>
  <c r="I59" i="7"/>
  <c r="AI59" i="7"/>
  <c r="I60" i="7"/>
  <c r="I61" i="7"/>
  <c r="AI61" i="7"/>
  <c r="I49" i="7"/>
  <c r="H63" i="7"/>
  <c r="AJ50" i="7"/>
  <c r="I50" i="7"/>
  <c r="I52" i="7"/>
  <c r="AJ52" i="7"/>
  <c r="I53" i="7"/>
  <c r="AJ53" i="7"/>
  <c r="AJ54" i="7"/>
  <c r="I54" i="7"/>
  <c r="I55" i="7"/>
  <c r="AJ55" i="7"/>
  <c r="I62" i="7"/>
  <c r="AI49" i="7"/>
  <c r="M49" i="7"/>
  <c r="AI50" i="7"/>
  <c r="I27" i="7"/>
  <c r="K28" i="7"/>
  <c r="M25" i="7"/>
  <c r="G69" i="7"/>
  <c r="I65" i="7"/>
  <c r="L23" i="7"/>
  <c r="L17" i="7" s="1"/>
  <c r="AJ22" i="7"/>
  <c r="K23" i="7"/>
  <c r="K17" i="7" s="1"/>
  <c r="M22" i="7"/>
  <c r="AF23" i="7"/>
  <c r="AF17" i="7" s="1"/>
  <c r="AG21" i="7"/>
  <c r="X23" i="7"/>
  <c r="X17" i="7" s="1"/>
  <c r="Y21" i="7"/>
  <c r="H23" i="7"/>
  <c r="H17" i="7" s="1"/>
  <c r="AJ21" i="7"/>
  <c r="AA23" i="7"/>
  <c r="AA17" i="7" s="1"/>
  <c r="AC21" i="7"/>
  <c r="O23" i="7"/>
  <c r="O17" i="7" s="1"/>
  <c r="Q21" i="7"/>
  <c r="Q23" i="7" s="1"/>
  <c r="G23" i="7"/>
  <c r="G17" i="7" s="1"/>
  <c r="AI21" i="7"/>
  <c r="I21" i="7"/>
  <c r="G70" i="23"/>
  <c r="U22" i="7"/>
  <c r="U23" i="7" s="1"/>
  <c r="AI68" i="7"/>
  <c r="I68" i="7"/>
  <c r="I32" i="7"/>
  <c r="AJ32" i="7"/>
  <c r="I140" i="7"/>
  <c r="I137" i="7"/>
  <c r="AJ137" i="7"/>
  <c r="AK137" i="7" s="1"/>
  <c r="V110" i="7"/>
  <c r="AD93" i="7"/>
  <c r="H130" i="23"/>
  <c r="H125" i="7"/>
  <c r="H131" i="23"/>
  <c r="I124" i="7"/>
  <c r="G125" i="7"/>
  <c r="O124" i="23"/>
  <c r="O120" i="7"/>
  <c r="AI118" i="7"/>
  <c r="Q118" i="7"/>
  <c r="G73" i="23"/>
  <c r="H60" i="23"/>
  <c r="I60" i="23" s="1"/>
  <c r="I31" i="7"/>
  <c r="H33" i="7"/>
  <c r="H47" i="7"/>
  <c r="BH191" i="7"/>
  <c r="AI214" i="7"/>
  <c r="H55" i="23"/>
  <c r="AI187" i="7"/>
  <c r="G193" i="7"/>
  <c r="AJ182" i="7"/>
  <c r="H185" i="7"/>
  <c r="BP189" i="7"/>
  <c r="AJ227" i="7"/>
  <c r="I227" i="7"/>
  <c r="H211" i="7"/>
  <c r="AI226" i="7"/>
  <c r="G230" i="7"/>
  <c r="G211" i="7"/>
  <c r="I210" i="7"/>
  <c r="G224" i="7"/>
  <c r="I220" i="7"/>
  <c r="AK256" i="7"/>
  <c r="I258" i="7"/>
  <c r="AI237" i="7"/>
  <c r="I237" i="7"/>
  <c r="I235" i="7"/>
  <c r="AJ235" i="7"/>
  <c r="AJ233" i="7"/>
  <c r="I233" i="7"/>
  <c r="AK198" i="7"/>
  <c r="AJ121" i="7"/>
  <c r="Q121" i="7"/>
  <c r="I121" i="7"/>
  <c r="AI121" i="7"/>
  <c r="L230" i="7"/>
  <c r="M226" i="7"/>
  <c r="L248" i="7"/>
  <c r="M246" i="7"/>
  <c r="AI206" i="7"/>
  <c r="Q206" i="7"/>
  <c r="Q221" i="7"/>
  <c r="AI221" i="7"/>
  <c r="Q233" i="7"/>
  <c r="AI233" i="7"/>
  <c r="Q241" i="7"/>
  <c r="AI241" i="7"/>
  <c r="AI245" i="7"/>
  <c r="Q245" i="7"/>
  <c r="AI247" i="7"/>
  <c r="Q247" i="7"/>
  <c r="AJ204" i="7"/>
  <c r="U204" i="7"/>
  <c r="U239" i="7"/>
  <c r="AJ239" i="7"/>
  <c r="AK239" i="7" s="1"/>
  <c r="T248" i="7"/>
  <c r="AJ245" i="7"/>
  <c r="AF230" i="7"/>
  <c r="AG226" i="7"/>
  <c r="AG246" i="7"/>
  <c r="AF248" i="7"/>
  <c r="G35" i="23"/>
  <c r="AJ206" i="7"/>
  <c r="AK11" i="7"/>
  <c r="AJ196" i="7"/>
  <c r="F166" i="25" s="1"/>
  <c r="I196" i="7"/>
  <c r="H201" i="7"/>
  <c r="AJ190" i="7"/>
  <c r="BP191" i="7"/>
  <c r="AJ191" i="7" s="1"/>
  <c r="U131" i="23"/>
  <c r="W56" i="23"/>
  <c r="Y56" i="23" s="1"/>
  <c r="AE55" i="23"/>
  <c r="AJ240" i="7"/>
  <c r="AJ200" i="7"/>
  <c r="I240" i="7"/>
  <c r="AJ238" i="7"/>
  <c r="AB159" i="23"/>
  <c r="AB141" i="23"/>
  <c r="AA73" i="23"/>
  <c r="W80" i="23"/>
  <c r="X158" i="23"/>
  <c r="X43" i="23"/>
  <c r="K49" i="23"/>
  <c r="X156" i="23"/>
  <c r="P51" i="23"/>
  <c r="S80" i="23"/>
  <c r="U80" i="23" s="1"/>
  <c r="L156" i="23"/>
  <c r="AF140" i="23"/>
  <c r="AF142" i="23"/>
  <c r="AF146" i="23"/>
  <c r="AF148" i="23"/>
  <c r="AF152" i="23"/>
  <c r="AF154" i="23"/>
  <c r="AF156" i="23"/>
  <c r="AF158" i="23"/>
  <c r="AF160" i="23"/>
  <c r="AF162" i="23"/>
  <c r="AF166" i="23"/>
  <c r="M109" i="23"/>
  <c r="M110" i="23" s="1"/>
  <c r="AG109" i="23"/>
  <c r="AK102" i="7"/>
  <c r="AK101" i="7"/>
  <c r="AG121" i="7"/>
  <c r="K201" i="7"/>
  <c r="M195" i="7"/>
  <c r="AI195" i="7"/>
  <c r="M232" i="7"/>
  <c r="M234" i="7"/>
  <c r="M238" i="7"/>
  <c r="M240" i="7"/>
  <c r="T201" i="7"/>
  <c r="U229" i="7"/>
  <c r="U235" i="7"/>
  <c r="U247" i="7"/>
  <c r="Y234" i="7"/>
  <c r="Y238" i="7"/>
  <c r="AC196" i="7"/>
  <c r="AC200" i="7"/>
  <c r="AC210" i="7"/>
  <c r="AC235" i="7"/>
  <c r="AC239" i="7"/>
  <c r="AG195" i="7"/>
  <c r="AE201" i="7"/>
  <c r="G34" i="23"/>
  <c r="W34" i="23"/>
  <c r="L162" i="23"/>
  <c r="AA143" i="23"/>
  <c r="AA79" i="23"/>
  <c r="AA71" i="23"/>
  <c r="AA49" i="23"/>
  <c r="AB76" i="23"/>
  <c r="W72" i="23"/>
  <c r="X154" i="23"/>
  <c r="W50" i="23"/>
  <c r="T149" i="23"/>
  <c r="W43" i="23"/>
  <c r="S78" i="23"/>
  <c r="S76" i="23"/>
  <c r="O141" i="23"/>
  <c r="L160" i="23"/>
  <c r="L50" i="23"/>
  <c r="O71" i="23"/>
  <c r="K158" i="23"/>
  <c r="K70" i="23"/>
  <c r="K142" i="23"/>
  <c r="L70" i="23"/>
  <c r="L140" i="23"/>
  <c r="K140" i="23"/>
  <c r="T49" i="23"/>
  <c r="AA161" i="23"/>
  <c r="AE142" i="23"/>
  <c r="AE162" i="23"/>
  <c r="AG107" i="23"/>
  <c r="H35" i="23"/>
  <c r="L35" i="23"/>
  <c r="P35" i="23"/>
  <c r="G63" i="23"/>
  <c r="G64" i="23"/>
  <c r="G65" i="23"/>
  <c r="H54" i="23"/>
  <c r="H57" i="23"/>
  <c r="H58" i="23"/>
  <c r="H59" i="23"/>
  <c r="H62" i="23"/>
  <c r="H63" i="23"/>
  <c r="H64" i="23"/>
  <c r="H65" i="23"/>
  <c r="H66" i="23"/>
  <c r="H67" i="23"/>
  <c r="K54" i="23"/>
  <c r="K55" i="23"/>
  <c r="O54" i="23"/>
  <c r="O55" i="23"/>
  <c r="T67" i="23"/>
  <c r="W54" i="23"/>
  <c r="W55" i="23"/>
  <c r="AA56" i="23"/>
  <c r="AA57" i="23"/>
  <c r="AA58" i="23"/>
  <c r="AA59" i="23"/>
  <c r="AA60" i="23"/>
  <c r="AI197" i="7"/>
  <c r="AK189" i="7"/>
  <c r="BH189" i="7"/>
  <c r="AI189" i="7"/>
  <c r="AI190" i="7"/>
  <c r="P162" i="23"/>
  <c r="Q162" i="23" s="1"/>
  <c r="AI198" i="7"/>
  <c r="AB149" i="23"/>
  <c r="AB153" i="23"/>
  <c r="AB49" i="23"/>
  <c r="AB78" i="23"/>
  <c r="W76" i="23"/>
  <c r="T77" i="23"/>
  <c r="T157" i="23"/>
  <c r="T155" i="23"/>
  <c r="L166" i="23"/>
  <c r="L80" i="23"/>
  <c r="P156" i="23"/>
  <c r="O73" i="23"/>
  <c r="S72" i="23"/>
  <c r="L72" i="23"/>
  <c r="L76" i="23"/>
  <c r="L154" i="23"/>
  <c r="O161" i="23"/>
  <c r="S157" i="23"/>
  <c r="T159" i="23"/>
  <c r="X146" i="23"/>
  <c r="W148" i="23"/>
  <c r="AA149" i="23"/>
  <c r="AA157" i="23"/>
  <c r="BP199" i="7"/>
  <c r="AE50" i="23"/>
  <c r="AE78" i="23"/>
  <c r="AE80" i="23"/>
  <c r="U106" i="23"/>
  <c r="Y109" i="23"/>
  <c r="Y110" i="23" s="1"/>
  <c r="AC109" i="23"/>
  <c r="AC110" i="23" s="1"/>
  <c r="H34" i="23"/>
  <c r="L34" i="23"/>
  <c r="P34" i="23"/>
  <c r="X34" i="23"/>
  <c r="AF34" i="23"/>
  <c r="G59" i="23"/>
  <c r="K67" i="23"/>
  <c r="M67" i="23" s="1"/>
  <c r="L54" i="23"/>
  <c r="L55" i="23"/>
  <c r="L57" i="23"/>
  <c r="L58" i="23"/>
  <c r="L59" i="23"/>
  <c r="L60" i="23"/>
  <c r="L61" i="23"/>
  <c r="L62" i="23"/>
  <c r="L64" i="23"/>
  <c r="L66" i="23"/>
  <c r="P60" i="23"/>
  <c r="P61" i="23"/>
  <c r="P62" i="23"/>
  <c r="P63" i="23"/>
  <c r="P64" i="23"/>
  <c r="Q64" i="23" s="1"/>
  <c r="P65" i="23"/>
  <c r="P67" i="23"/>
  <c r="S54" i="23"/>
  <c r="S57" i="23"/>
  <c r="S58" i="23"/>
  <c r="S59" i="23"/>
  <c r="S60" i="23"/>
  <c r="S61" i="23"/>
  <c r="S62" i="23"/>
  <c r="S64" i="23"/>
  <c r="S65" i="23"/>
  <c r="S66" i="23"/>
  <c r="U66" i="23" s="1"/>
  <c r="S67" i="23"/>
  <c r="T56" i="23"/>
  <c r="T57" i="23"/>
  <c r="T58" i="23"/>
  <c r="T59" i="23"/>
  <c r="T60" i="23"/>
  <c r="T61" i="23"/>
  <c r="T62" i="23"/>
  <c r="T63" i="23"/>
  <c r="T64" i="23"/>
  <c r="T65" i="23"/>
  <c r="AK251" i="7"/>
  <c r="AE54" i="23"/>
  <c r="L41" i="23"/>
  <c r="AB25" i="23"/>
  <c r="L25" i="23"/>
  <c r="AA25" i="23"/>
  <c r="S25" i="23"/>
  <c r="K25" i="23"/>
  <c r="AA61" i="23"/>
  <c r="AA63" i="23"/>
  <c r="AA64" i="23"/>
  <c r="AA65" i="23"/>
  <c r="AA66" i="23"/>
  <c r="AA67" i="23"/>
  <c r="AB55" i="23"/>
  <c r="AB56" i="23"/>
  <c r="AB57" i="23"/>
  <c r="AB58" i="23"/>
  <c r="AB59" i="23"/>
  <c r="AB60" i="23"/>
  <c r="AB61" i="23"/>
  <c r="AB62" i="23"/>
  <c r="AB63" i="23"/>
  <c r="AB64" i="23"/>
  <c r="AB65" i="23"/>
  <c r="AB66" i="23"/>
  <c r="AB67" i="23"/>
  <c r="AE58" i="23"/>
  <c r="AE60" i="23"/>
  <c r="AE61" i="23"/>
  <c r="AE62" i="23"/>
  <c r="AE64" i="23"/>
  <c r="AE66" i="23"/>
  <c r="AE67" i="23"/>
  <c r="AF54" i="23"/>
  <c r="AF56" i="23"/>
  <c r="AF57" i="23"/>
  <c r="AF58" i="23"/>
  <c r="AF60" i="23"/>
  <c r="AF61" i="23"/>
  <c r="AF62" i="23"/>
  <c r="AF64" i="23"/>
  <c r="AF65" i="23"/>
  <c r="AF66" i="23"/>
  <c r="I114" i="23"/>
  <c r="AG113" i="23"/>
  <c r="U113" i="23"/>
  <c r="M113" i="23"/>
  <c r="AC113" i="23"/>
  <c r="H41" i="23"/>
  <c r="M114" i="23"/>
  <c r="AC114" i="23"/>
  <c r="Y113" i="23"/>
  <c r="Q113" i="23"/>
  <c r="I113" i="23"/>
  <c r="AG118" i="23"/>
  <c r="AC118" i="23"/>
  <c r="AC119" i="23" s="1"/>
  <c r="Y118" i="23"/>
  <c r="Y119" i="23" s="1"/>
  <c r="U118" i="23"/>
  <c r="U119" i="23" s="1"/>
  <c r="Q118" i="23"/>
  <c r="Q119" i="23" s="1"/>
  <c r="M118" i="23"/>
  <c r="M119" i="23" s="1"/>
  <c r="I118" i="23"/>
  <c r="I119" i="23" s="1"/>
  <c r="P24" i="23"/>
  <c r="P26" i="23" s="1"/>
  <c r="L24" i="23"/>
  <c r="H24" i="23"/>
  <c r="H26" i="23" s="1"/>
  <c r="K41" i="23"/>
  <c r="S41" i="23"/>
  <c r="U41" i="23" s="1"/>
  <c r="Y115" i="23"/>
  <c r="Y117" i="23" s="1"/>
  <c r="Q115" i="23"/>
  <c r="Q117" i="23" s="1"/>
  <c r="I115" i="23"/>
  <c r="AG114" i="23"/>
  <c r="U114" i="23"/>
  <c r="AG112" i="23"/>
  <c r="U112" i="23"/>
  <c r="M112" i="23"/>
  <c r="AC112" i="23"/>
  <c r="S163" i="18"/>
  <c r="S169" i="18" s="1"/>
  <c r="X163" i="18"/>
  <c r="T169" i="17"/>
  <c r="X163" i="17"/>
  <c r="AT163" i="17"/>
  <c r="W141" i="7"/>
  <c r="W169" i="17"/>
  <c r="Y163" i="17"/>
  <c r="V163" i="17"/>
  <c r="V169" i="17" s="1"/>
  <c r="L210" i="20"/>
  <c r="N210" i="20" s="1"/>
  <c r="L61" i="20"/>
  <c r="L63" i="20" s="1"/>
  <c r="L64" i="20" s="1"/>
  <c r="L207" i="20"/>
  <c r="V58" i="20"/>
  <c r="U61" i="20"/>
  <c r="U63" i="20" s="1"/>
  <c r="L209" i="20"/>
  <c r="N209" i="20" s="1"/>
  <c r="N201" i="20"/>
  <c r="L211" i="20"/>
  <c r="N211" i="20" s="1"/>
  <c r="I39" i="6"/>
  <c r="G39" i="6"/>
  <c r="AA39" i="6"/>
  <c r="AC39" i="6"/>
  <c r="AB39" i="6"/>
  <c r="G66" i="23"/>
  <c r="AI61" i="6"/>
  <c r="AK61" i="6" s="1"/>
  <c r="AG21" i="6"/>
  <c r="AG23" i="6" s="1"/>
  <c r="AH21" i="6" s="1"/>
  <c r="AI55" i="6"/>
  <c r="AK55" i="6" s="1"/>
  <c r="AG178" i="6"/>
  <c r="AH175" i="6" s="1"/>
  <c r="AJ21" i="6"/>
  <c r="AJ23" i="6" s="1"/>
  <c r="G67" i="23"/>
  <c r="I62" i="6"/>
  <c r="G61" i="23"/>
  <c r="I56" i="6"/>
  <c r="G151" i="6"/>
  <c r="I313" i="6"/>
  <c r="I488" i="6"/>
  <c r="J482" i="6" s="1"/>
  <c r="AI356" i="6"/>
  <c r="AK356" i="6" s="1"/>
  <c r="AC330" i="6"/>
  <c r="AB333" i="6"/>
  <c r="AC270" i="6"/>
  <c r="AC225" i="6"/>
  <c r="AA320" i="6"/>
  <c r="AB72" i="23"/>
  <c r="AB69" i="6"/>
  <c r="Y142" i="6"/>
  <c r="Y144" i="6" s="1"/>
  <c r="Z144" i="6" s="1"/>
  <c r="W144" i="6"/>
  <c r="W357" i="6"/>
  <c r="W354" i="6"/>
  <c r="U166" i="6"/>
  <c r="T169" i="6"/>
  <c r="T302" i="6"/>
  <c r="M157" i="6"/>
  <c r="M162" i="6" s="1"/>
  <c r="K162" i="6"/>
  <c r="Q286" i="6"/>
  <c r="P291" i="6"/>
  <c r="AJ168" i="6"/>
  <c r="AJ147" i="6"/>
  <c r="M147" i="6"/>
  <c r="L222" i="6"/>
  <c r="M333" i="6"/>
  <c r="N331" i="6" s="1"/>
  <c r="Q267" i="6"/>
  <c r="AJ267" i="6"/>
  <c r="P328" i="6"/>
  <c r="Q323" i="6"/>
  <c r="Q328" i="6" s="1"/>
  <c r="AJ142" i="6"/>
  <c r="X302" i="6"/>
  <c r="AI233" i="6"/>
  <c r="AE76" i="6"/>
  <c r="AG134" i="6"/>
  <c r="AG140" i="6" s="1"/>
  <c r="AH136" i="6" s="1"/>
  <c r="AF189" i="6"/>
  <c r="AF140" i="6"/>
  <c r="AF190" i="6" s="1"/>
  <c r="AF241" i="6"/>
  <c r="AG233" i="6"/>
  <c r="AF165" i="23"/>
  <c r="AF389" i="6"/>
  <c r="L56" i="23"/>
  <c r="L63" i="6"/>
  <c r="M51" i="6"/>
  <c r="L63" i="23"/>
  <c r="M58" i="6"/>
  <c r="L65" i="23"/>
  <c r="AJ60" i="6"/>
  <c r="S63" i="23"/>
  <c r="U58" i="6"/>
  <c r="T54" i="23"/>
  <c r="U49" i="6"/>
  <c r="AJ49" i="6"/>
  <c r="AK49" i="6" s="1"/>
  <c r="T55" i="23"/>
  <c r="U50" i="6"/>
  <c r="X60" i="23"/>
  <c r="Y55" i="6"/>
  <c r="X62" i="23"/>
  <c r="Y57" i="6"/>
  <c r="AI245" i="6"/>
  <c r="I245" i="6"/>
  <c r="U173" i="6"/>
  <c r="T178" i="6"/>
  <c r="G178" i="6"/>
  <c r="V181" i="6"/>
  <c r="V185" i="6"/>
  <c r="AH110" i="6"/>
  <c r="AD110" i="6"/>
  <c r="Q39" i="6"/>
  <c r="O39" i="6"/>
  <c r="AD86" i="6"/>
  <c r="V183" i="6"/>
  <c r="N183" i="6"/>
  <c r="I50" i="6"/>
  <c r="I61" i="6"/>
  <c r="AJ50" i="6"/>
  <c r="AJ56" i="6"/>
  <c r="AK56" i="6" s="1"/>
  <c r="Q178" i="6"/>
  <c r="M144" i="6"/>
  <c r="N142" i="6" s="1"/>
  <c r="G77" i="23"/>
  <c r="AI72" i="6"/>
  <c r="AD185" i="6"/>
  <c r="AD184" i="6"/>
  <c r="AF24" i="23"/>
  <c r="AF26" i="23" s="1"/>
  <c r="AF23" i="6"/>
  <c r="AF17" i="6" s="1"/>
  <c r="AF17" i="23" s="1"/>
  <c r="AF32" i="23" s="1"/>
  <c r="M21" i="6"/>
  <c r="L357" i="6"/>
  <c r="AD111" i="6"/>
  <c r="AD88" i="6"/>
  <c r="AD183" i="6"/>
  <c r="N182" i="6"/>
  <c r="AE357" i="6"/>
  <c r="I383" i="6"/>
  <c r="Y37" i="6"/>
  <c r="Z107" i="6"/>
  <c r="AD108" i="6"/>
  <c r="V184" i="6"/>
  <c r="N185" i="6"/>
  <c r="I33" i="6"/>
  <c r="J31" i="6" s="1"/>
  <c r="AK57" i="6"/>
  <c r="AG144" i="6"/>
  <c r="AC144" i="6"/>
  <c r="AD144" i="6" s="1"/>
  <c r="G71" i="23"/>
  <c r="AI66" i="6"/>
  <c r="G50" i="23"/>
  <c r="I45" i="6"/>
  <c r="I159" i="6"/>
  <c r="I142" i="6"/>
  <c r="I144" i="6" s="1"/>
  <c r="J142" i="6" s="1"/>
  <c r="H169" i="6"/>
  <c r="AI135" i="6"/>
  <c r="AC240" i="6"/>
  <c r="AG137" i="6"/>
  <c r="Y128" i="6"/>
  <c r="M120" i="6"/>
  <c r="AI120" i="6"/>
  <c r="AK120" i="6" s="1"/>
  <c r="I121" i="6"/>
  <c r="I128" i="6" s="1"/>
  <c r="J128" i="6" s="1"/>
  <c r="AI121" i="6"/>
  <c r="Q128" i="6"/>
  <c r="AJ126" i="6"/>
  <c r="AJ124" i="6"/>
  <c r="AK124" i="6" s="1"/>
  <c r="M124" i="6"/>
  <c r="AJ122" i="6"/>
  <c r="AJ121" i="6"/>
  <c r="M121" i="6"/>
  <c r="M128" i="6" s="1"/>
  <c r="AJ118" i="6"/>
  <c r="AJ174" i="6"/>
  <c r="W439" i="6"/>
  <c r="Y437" i="6"/>
  <c r="G439" i="6"/>
  <c r="I437" i="6"/>
  <c r="I439" i="6" s="1"/>
  <c r="AI125" i="6"/>
  <c r="AK125" i="6" s="1"/>
  <c r="I125" i="6"/>
  <c r="I123" i="6"/>
  <c r="AJ123" i="6"/>
  <c r="AC106" i="23"/>
  <c r="AK101" i="6"/>
  <c r="I314" i="6"/>
  <c r="I298" i="6"/>
  <c r="AJ274" i="6"/>
  <c r="I266" i="6"/>
  <c r="I442" i="6"/>
  <c r="I455" i="6"/>
  <c r="AG128" i="6"/>
  <c r="AC137" i="6"/>
  <c r="M137" i="6"/>
  <c r="H189" i="6"/>
  <c r="AI235" i="6"/>
  <c r="AG26" i="6"/>
  <c r="AG28" i="6" s="1"/>
  <c r="AG131" i="6"/>
  <c r="AG132" i="6" s="1"/>
  <c r="AG147" i="6"/>
  <c r="AG149" i="6"/>
  <c r="AG158" i="6"/>
  <c r="AG267" i="6"/>
  <c r="AG269" i="6"/>
  <c r="AG279" i="6"/>
  <c r="AG287" i="6"/>
  <c r="AG296" i="6"/>
  <c r="AG302" i="6" s="1"/>
  <c r="AG298" i="6"/>
  <c r="U212" i="6"/>
  <c r="I212" i="6"/>
  <c r="AJ437" i="6"/>
  <c r="AG248" i="6"/>
  <c r="Q248" i="6"/>
  <c r="G169" i="6"/>
  <c r="AK201" i="6"/>
  <c r="AC185" i="6"/>
  <c r="M185" i="6"/>
  <c r="Y185" i="6"/>
  <c r="Q185" i="6"/>
  <c r="AG25" i="23"/>
  <c r="P23" i="6"/>
  <c r="P17" i="6" s="1"/>
  <c r="H23" i="6"/>
  <c r="H17" i="6" s="1"/>
  <c r="AJ288" i="6"/>
  <c r="F79" i="25" s="1"/>
  <c r="AJ307" i="6"/>
  <c r="I278" i="6"/>
  <c r="M297" i="6"/>
  <c r="AE140" i="6"/>
  <c r="AE190" i="6" s="1"/>
  <c r="AI137" i="6"/>
  <c r="X140" i="6"/>
  <c r="X190" i="6" s="1"/>
  <c r="Y136" i="6"/>
  <c r="Q136" i="6"/>
  <c r="I136" i="6"/>
  <c r="AB213" i="6"/>
  <c r="L213" i="6"/>
  <c r="Y211" i="6"/>
  <c r="U206" i="6"/>
  <c r="U213" i="6" s="1"/>
  <c r="AG206" i="6"/>
  <c r="Q206" i="6"/>
  <c r="Y207" i="6"/>
  <c r="I207" i="6"/>
  <c r="AK150" i="6"/>
  <c r="AC231" i="6"/>
  <c r="AD231" i="6" s="1"/>
  <c r="U222" i="6"/>
  <c r="V215" i="6" s="1"/>
  <c r="AJ38" i="6"/>
  <c r="U63" i="6"/>
  <c r="V59" i="6" s="1"/>
  <c r="U178" i="6"/>
  <c r="H140" i="23"/>
  <c r="I361" i="6"/>
  <c r="AJ361" i="6"/>
  <c r="I449" i="6"/>
  <c r="AJ449" i="6"/>
  <c r="AI215" i="6"/>
  <c r="AA159" i="23"/>
  <c r="AC380" i="6"/>
  <c r="AC304" i="6"/>
  <c r="AC243" i="6"/>
  <c r="AA146" i="23"/>
  <c r="AC367" i="6"/>
  <c r="AA72" i="23"/>
  <c r="AA69" i="6"/>
  <c r="AB162" i="6"/>
  <c r="AB76" i="6"/>
  <c r="AB265" i="6"/>
  <c r="AC263" i="6"/>
  <c r="AA162" i="6"/>
  <c r="AC158" i="6"/>
  <c r="W320" i="6"/>
  <c r="Y313" i="6"/>
  <c r="W142" i="23"/>
  <c r="Y363" i="6"/>
  <c r="W333" i="6"/>
  <c r="Y330" i="6"/>
  <c r="W78" i="23"/>
  <c r="W76" i="6"/>
  <c r="S149" i="23"/>
  <c r="S371" i="6"/>
  <c r="U370" i="6"/>
  <c r="U168" i="6"/>
  <c r="U169" i="6" s="1"/>
  <c r="AI168" i="6"/>
  <c r="AK168" i="6" s="1"/>
  <c r="U66" i="6"/>
  <c r="X70" i="23"/>
  <c r="X69" i="6"/>
  <c r="S49" i="23"/>
  <c r="U44" i="6"/>
  <c r="P149" i="23"/>
  <c r="Q370" i="6"/>
  <c r="K149" i="23"/>
  <c r="M370" i="6"/>
  <c r="K357" i="6"/>
  <c r="K354" i="6"/>
  <c r="P354" i="6"/>
  <c r="Q148" i="6"/>
  <c r="O151" i="6"/>
  <c r="O357" i="6" s="1"/>
  <c r="AI148" i="6"/>
  <c r="O79" i="23"/>
  <c r="O76" i="6"/>
  <c r="K154" i="23"/>
  <c r="M375" i="6"/>
  <c r="K144" i="6"/>
  <c r="AI143" i="6"/>
  <c r="AK143" i="6" s="1"/>
  <c r="K28" i="6"/>
  <c r="AI25" i="6"/>
  <c r="AI28" i="6" s="1"/>
  <c r="AJ299" i="6"/>
  <c r="AK299" i="6" s="1"/>
  <c r="M299" i="6"/>
  <c r="L142" i="23"/>
  <c r="M363" i="6"/>
  <c r="M312" i="6"/>
  <c r="M320" i="6" s="1"/>
  <c r="L320" i="6"/>
  <c r="M343" i="6"/>
  <c r="AJ349" i="6"/>
  <c r="AI270" i="6"/>
  <c r="AK270" i="6" s="1"/>
  <c r="Q349" i="6"/>
  <c r="P158" i="23"/>
  <c r="Q379" i="6"/>
  <c r="AJ379" i="6"/>
  <c r="P320" i="6"/>
  <c r="Q313" i="6"/>
  <c r="U330" i="6"/>
  <c r="U333" i="6" s="1"/>
  <c r="V333" i="6" s="1"/>
  <c r="T333" i="6"/>
  <c r="X51" i="23"/>
  <c r="Y51" i="23" s="1"/>
  <c r="Y46" i="6"/>
  <c r="Y47" i="6" s="1"/>
  <c r="Y147" i="6"/>
  <c r="Y151" i="6" s="1"/>
  <c r="X151" i="6"/>
  <c r="X265" i="6"/>
  <c r="Y263" i="6"/>
  <c r="X351" i="6"/>
  <c r="S384" i="6"/>
  <c r="K384" i="6"/>
  <c r="Y383" i="6"/>
  <c r="AJ383" i="6"/>
  <c r="AK383" i="6" s="1"/>
  <c r="Q37" i="6"/>
  <c r="P384" i="6"/>
  <c r="T384" i="6"/>
  <c r="Q224" i="6"/>
  <c r="Q231" i="6" s="1"/>
  <c r="R224" i="6" s="1"/>
  <c r="M215" i="6"/>
  <c r="M230" i="6"/>
  <c r="M216" i="6"/>
  <c r="U225" i="6"/>
  <c r="J107" i="6"/>
  <c r="I327" i="6"/>
  <c r="AH111" i="6"/>
  <c r="S39" i="6"/>
  <c r="AC67" i="6"/>
  <c r="AC69" i="6" s="1"/>
  <c r="I65" i="6"/>
  <c r="AJ27" i="6"/>
  <c r="W28" i="6"/>
  <c r="P47" i="6"/>
  <c r="L69" i="6"/>
  <c r="AI73" i="6"/>
  <c r="Y73" i="6"/>
  <c r="Y65" i="6"/>
  <c r="AJ167" i="6"/>
  <c r="AK167" i="6" s="1"/>
  <c r="I131" i="6"/>
  <c r="Y150" i="6"/>
  <c r="AA246" i="6"/>
  <c r="AJ314" i="6"/>
  <c r="S333" i="6"/>
  <c r="AC265" i="6"/>
  <c r="AD264" i="6" s="1"/>
  <c r="AI290" i="6"/>
  <c r="AI266" i="6"/>
  <c r="AK266" i="6" s="1"/>
  <c r="U369" i="6"/>
  <c r="AI229" i="6"/>
  <c r="AK229" i="6" s="1"/>
  <c r="AI225" i="6"/>
  <c r="I331" i="6"/>
  <c r="G333" i="6"/>
  <c r="AJ312" i="6"/>
  <c r="AI277" i="6"/>
  <c r="I277" i="6"/>
  <c r="I325" i="6"/>
  <c r="AJ325" i="6"/>
  <c r="AI297" i="6"/>
  <c r="I297" i="6"/>
  <c r="I287" i="6"/>
  <c r="H292" i="6"/>
  <c r="H293" i="6" s="1"/>
  <c r="AJ275" i="6"/>
  <c r="AJ271" i="6"/>
  <c r="AJ326" i="6"/>
  <c r="AJ290" i="6"/>
  <c r="AJ286" i="6"/>
  <c r="I350" i="6"/>
  <c r="I348" i="6"/>
  <c r="I443" i="6"/>
  <c r="M231" i="6"/>
  <c r="N225" i="6" s="1"/>
  <c r="AJ144" i="6"/>
  <c r="J483" i="6"/>
  <c r="AB157" i="23"/>
  <c r="AC378" i="6"/>
  <c r="AB142" i="23"/>
  <c r="AC363" i="6"/>
  <c r="AA152" i="23"/>
  <c r="AC373" i="6"/>
  <c r="AA77" i="23"/>
  <c r="AA76" i="6"/>
  <c r="AC27" i="6"/>
  <c r="AC28" i="6" s="1"/>
  <c r="AI27" i="6"/>
  <c r="AK27" i="6" s="1"/>
  <c r="AB169" i="6"/>
  <c r="AJ150" i="6"/>
  <c r="AB151" i="6"/>
  <c r="AC147" i="6"/>
  <c r="AC151" i="6" s="1"/>
  <c r="AA151" i="6"/>
  <c r="AB50" i="23"/>
  <c r="AC45" i="6"/>
  <c r="AC47" i="6" s="1"/>
  <c r="AB47" i="6"/>
  <c r="W141" i="23"/>
  <c r="Y362" i="6"/>
  <c r="Y320" i="6"/>
  <c r="Z318" i="6" s="1"/>
  <c r="Y160" i="6"/>
  <c r="W162" i="6"/>
  <c r="Y161" i="6"/>
  <c r="T351" i="6"/>
  <c r="U344" i="6"/>
  <c r="S79" i="23"/>
  <c r="U74" i="6"/>
  <c r="S76" i="6"/>
  <c r="W73" i="23"/>
  <c r="W69" i="6"/>
  <c r="Y68" i="6"/>
  <c r="U25" i="6"/>
  <c r="U28" i="6" s="1"/>
  <c r="T28" i="6"/>
  <c r="U143" i="6"/>
  <c r="U144" i="6" s="1"/>
  <c r="V143" i="6" s="1"/>
  <c r="Q65" i="6"/>
  <c r="O69" i="6"/>
  <c r="K77" i="23"/>
  <c r="M72" i="6"/>
  <c r="K341" i="6"/>
  <c r="M336" i="6"/>
  <c r="M341" i="6" s="1"/>
  <c r="AJ155" i="6"/>
  <c r="Y155" i="6"/>
  <c r="S70" i="23"/>
  <c r="S69" i="6"/>
  <c r="O167" i="23"/>
  <c r="Q388" i="6"/>
  <c r="M290" i="6"/>
  <c r="K291" i="6"/>
  <c r="AI147" i="6"/>
  <c r="U147" i="6"/>
  <c r="P160" i="23"/>
  <c r="AJ381" i="6"/>
  <c r="Q44" i="6"/>
  <c r="O47" i="6"/>
  <c r="K166" i="23"/>
  <c r="M387" i="6"/>
  <c r="K169" i="6"/>
  <c r="M167" i="6"/>
  <c r="K76" i="23"/>
  <c r="M71" i="6"/>
  <c r="K76" i="6"/>
  <c r="T162" i="6"/>
  <c r="U159" i="6"/>
  <c r="AI26" i="6"/>
  <c r="M26" i="6"/>
  <c r="M154" i="6"/>
  <c r="L162" i="6"/>
  <c r="M263" i="6"/>
  <c r="K265" i="6"/>
  <c r="K146" i="23"/>
  <c r="M367" i="6"/>
  <c r="L157" i="23"/>
  <c r="M378" i="6"/>
  <c r="Q66" i="6"/>
  <c r="Q69" i="6" s="1"/>
  <c r="P69" i="6"/>
  <c r="P76" i="23"/>
  <c r="P76" i="6"/>
  <c r="U304" i="6"/>
  <c r="T310" i="6"/>
  <c r="T456" i="6"/>
  <c r="U454" i="6"/>
  <c r="U456" i="6" s="1"/>
  <c r="X47" i="6"/>
  <c r="Y154" i="6"/>
  <c r="X162" i="6"/>
  <c r="Y309" i="6"/>
  <c r="Y310" i="6" s="1"/>
  <c r="X310" i="6"/>
  <c r="Y336" i="6"/>
  <c r="X341" i="6"/>
  <c r="X159" i="23"/>
  <c r="Y159" i="23" s="1"/>
  <c r="Y380" i="6"/>
  <c r="X167" i="23"/>
  <c r="Y388" i="6"/>
  <c r="AB351" i="6"/>
  <c r="M383" i="6"/>
  <c r="O384" i="6"/>
  <c r="O37" i="6"/>
  <c r="AB384" i="6"/>
  <c r="W302" i="6"/>
  <c r="AC222" i="6"/>
  <c r="I216" i="6"/>
  <c r="I222" i="6" s="1"/>
  <c r="H231" i="6"/>
  <c r="AJ219" i="6"/>
  <c r="AJ217" i="6"/>
  <c r="J111" i="6"/>
  <c r="AH109" i="6"/>
  <c r="M38" i="6"/>
  <c r="Q74" i="6"/>
  <c r="Q76" i="6" s="1"/>
  <c r="AC75" i="6"/>
  <c r="Q67" i="6"/>
  <c r="Y67" i="6"/>
  <c r="S47" i="6"/>
  <c r="AI68" i="6"/>
  <c r="M66" i="6"/>
  <c r="AA28" i="6"/>
  <c r="M25" i="6"/>
  <c r="M28" i="6" s="1"/>
  <c r="AJ44" i="6"/>
  <c r="Z87" i="6"/>
  <c r="Z88" i="6"/>
  <c r="AI154" i="6"/>
  <c r="AK154" i="6" s="1"/>
  <c r="S151" i="6"/>
  <c r="M146" i="6"/>
  <c r="M151" i="6" s="1"/>
  <c r="I178" i="6"/>
  <c r="U65" i="6"/>
  <c r="U69" i="6" s="1"/>
  <c r="AI157" i="6"/>
  <c r="AI155" i="6"/>
  <c r="AK155" i="6" s="1"/>
  <c r="I155" i="6"/>
  <c r="S246" i="6"/>
  <c r="AA310" i="6"/>
  <c r="U286" i="6"/>
  <c r="Q427" i="6"/>
  <c r="AK301" i="6"/>
  <c r="Y222" i="6"/>
  <c r="Z221" i="6" s="1"/>
  <c r="AH107" i="6"/>
  <c r="Z27" i="6"/>
  <c r="Z28" i="6"/>
  <c r="AC76" i="6"/>
  <c r="AJ74" i="6"/>
  <c r="H71" i="23"/>
  <c r="AJ66" i="6"/>
  <c r="AK44" i="6"/>
  <c r="Z128" i="6"/>
  <c r="Z123" i="6"/>
  <c r="M69" i="6"/>
  <c r="N65" i="6" s="1"/>
  <c r="Y178" i="6"/>
  <c r="Z177" i="6" s="1"/>
  <c r="H78" i="23"/>
  <c r="I73" i="6"/>
  <c r="G72" i="23"/>
  <c r="AI67" i="6"/>
  <c r="H73" i="23"/>
  <c r="AJ68" i="6"/>
  <c r="I68" i="6"/>
  <c r="AG439" i="6"/>
  <c r="I288" i="6"/>
  <c r="AI288" i="6"/>
  <c r="AK288" i="6" s="1"/>
  <c r="H155" i="23"/>
  <c r="AJ376" i="6"/>
  <c r="G148" i="23"/>
  <c r="I369" i="6"/>
  <c r="I175" i="23"/>
  <c r="AK396" i="6"/>
  <c r="I446" i="6"/>
  <c r="AJ420" i="6"/>
  <c r="I427" i="6"/>
  <c r="I429" i="6"/>
  <c r="AJ429" i="6"/>
  <c r="G456" i="6"/>
  <c r="AJ160" i="6"/>
  <c r="AJ131" i="6"/>
  <c r="AK131" i="6" s="1"/>
  <c r="N493" i="6"/>
  <c r="N500" i="6"/>
  <c r="N497" i="6"/>
  <c r="AH474" i="6"/>
  <c r="AH479" i="6"/>
  <c r="AJ243" i="6"/>
  <c r="I326" i="6"/>
  <c r="AJ318" i="6"/>
  <c r="AJ330" i="6"/>
  <c r="AI269" i="6"/>
  <c r="BP339" i="6"/>
  <c r="AJ339" i="6" s="1"/>
  <c r="I444" i="6"/>
  <c r="AK50" i="6"/>
  <c r="M302" i="6"/>
  <c r="N296" i="6" s="1"/>
  <c r="U341" i="6"/>
  <c r="V335" i="6" s="1"/>
  <c r="I480" i="6"/>
  <c r="J474" i="6" s="1"/>
  <c r="I272" i="6"/>
  <c r="I336" i="6"/>
  <c r="I315" i="6"/>
  <c r="I305" i="6"/>
  <c r="I330" i="6"/>
  <c r="I333" i="6" s="1"/>
  <c r="I319" i="6"/>
  <c r="I343" i="6"/>
  <c r="I346" i="6"/>
  <c r="I349" i="6"/>
  <c r="AJ344" i="6"/>
  <c r="I344" i="6"/>
  <c r="G389" i="6"/>
  <c r="I378" i="6"/>
  <c r="I368" i="6"/>
  <c r="I363" i="6"/>
  <c r="AJ387" i="6"/>
  <c r="H371" i="6"/>
  <c r="AJ279" i="6"/>
  <c r="AK121" i="6"/>
  <c r="AK118" i="6"/>
  <c r="Q353" i="6"/>
  <c r="AC317" i="6"/>
  <c r="AC345" i="6"/>
  <c r="Y286" i="6"/>
  <c r="Y273" i="6"/>
  <c r="U319" i="6"/>
  <c r="Y266" i="6"/>
  <c r="Q330" i="6"/>
  <c r="Q343" i="6"/>
  <c r="M132" i="6"/>
  <c r="N131" i="6" s="1"/>
  <c r="U151" i="6"/>
  <c r="V147" i="6" s="1"/>
  <c r="Y132" i="6"/>
  <c r="Z130" i="6" s="1"/>
  <c r="I270" i="6"/>
  <c r="I279" i="6"/>
  <c r="H51" i="23"/>
  <c r="AJ46" i="6"/>
  <c r="M335" i="6"/>
  <c r="T341" i="6"/>
  <c r="AC323" i="6"/>
  <c r="AC312" i="6"/>
  <c r="AC344" i="6"/>
  <c r="Y447" i="6"/>
  <c r="U275" i="6"/>
  <c r="U290" i="6"/>
  <c r="Q444" i="6"/>
  <c r="Q268" i="6"/>
  <c r="Q277" i="6"/>
  <c r="O51" i="23"/>
  <c r="Q46" i="6"/>
  <c r="M428" i="6"/>
  <c r="I135" i="6"/>
  <c r="Y137" i="6"/>
  <c r="Q137" i="6"/>
  <c r="G189" i="6"/>
  <c r="M235" i="6"/>
  <c r="AI433" i="6"/>
  <c r="AK228" i="6"/>
  <c r="AK460" i="6"/>
  <c r="AK498" i="6"/>
  <c r="AK504" i="6"/>
  <c r="G128" i="6"/>
  <c r="G123" i="23" s="1"/>
  <c r="AJ211" i="6"/>
  <c r="F129" i="25" s="1"/>
  <c r="AB23" i="6"/>
  <c r="AB17" i="6" s="1"/>
  <c r="AB24" i="23"/>
  <c r="X23" i="6"/>
  <c r="X17" i="6" s="1"/>
  <c r="X24" i="23"/>
  <c r="X26" i="23" s="1"/>
  <c r="L185" i="23"/>
  <c r="L186" i="23" s="1"/>
  <c r="L407" i="6"/>
  <c r="W185" i="23"/>
  <c r="W186" i="23" s="1"/>
  <c r="W407" i="6"/>
  <c r="K128" i="6"/>
  <c r="K123" i="23" s="1"/>
  <c r="AB128" i="6"/>
  <c r="AB123" i="23" s="1"/>
  <c r="M442" i="6"/>
  <c r="Q262" i="6"/>
  <c r="P456" i="6"/>
  <c r="U425" i="6"/>
  <c r="U422" i="6"/>
  <c r="Y422" i="6"/>
  <c r="W189" i="6"/>
  <c r="O189" i="6"/>
  <c r="Q189" i="6" s="1"/>
  <c r="AI201" i="6"/>
  <c r="AI237" i="6"/>
  <c r="AC212" i="6"/>
  <c r="AJ184" i="6"/>
  <c r="AB185" i="23"/>
  <c r="AB186" i="23" s="1"/>
  <c r="Q15" i="23"/>
  <c r="Y15" i="23"/>
  <c r="Y13" i="6"/>
  <c r="AC353" i="6"/>
  <c r="Y279" i="6"/>
  <c r="U279" i="6"/>
  <c r="Q279" i="6"/>
  <c r="AC278" i="6"/>
  <c r="AC429" i="6"/>
  <c r="AC449" i="6"/>
  <c r="AC418" i="6"/>
  <c r="AC417" i="6"/>
  <c r="X423" i="6"/>
  <c r="Y455" i="6"/>
  <c r="W423" i="6"/>
  <c r="AJ345" i="6"/>
  <c r="U278" i="6"/>
  <c r="Y353" i="6"/>
  <c r="U346" i="6"/>
  <c r="U420" i="6"/>
  <c r="Q448" i="6"/>
  <c r="P415" i="6"/>
  <c r="M420" i="6"/>
  <c r="L265" i="6"/>
  <c r="L310" i="6"/>
  <c r="M349" i="6"/>
  <c r="M419" i="6"/>
  <c r="M426" i="6"/>
  <c r="Q332" i="6"/>
  <c r="AJ347" i="6"/>
  <c r="Q421" i="6"/>
  <c r="U271" i="6"/>
  <c r="U349" i="6"/>
  <c r="S456" i="6"/>
  <c r="U446" i="6"/>
  <c r="Y274" i="6"/>
  <c r="Y278" i="6"/>
  <c r="Y428" i="6"/>
  <c r="AC139" i="6"/>
  <c r="U139" i="6"/>
  <c r="M139" i="6"/>
  <c r="AJ200" i="6"/>
  <c r="AK197" i="6"/>
  <c r="I211" i="6"/>
  <c r="M171" i="23"/>
  <c r="BB171" i="23" s="1"/>
  <c r="BB392" i="6"/>
  <c r="AG171" i="23"/>
  <c r="BG171" i="23" s="1"/>
  <c r="BG392" i="6"/>
  <c r="L128" i="6"/>
  <c r="L123" i="23" s="1"/>
  <c r="M249" i="6"/>
  <c r="M255" i="6" s="1"/>
  <c r="AJ177" i="6"/>
  <c r="F93" i="25" s="1"/>
  <c r="AI411" i="6"/>
  <c r="AC135" i="6"/>
  <c r="AC237" i="6"/>
  <c r="U237" i="6"/>
  <c r="M237" i="6"/>
  <c r="AF132" i="6"/>
  <c r="AG150" i="6"/>
  <c r="AG155" i="6"/>
  <c r="AG166" i="6"/>
  <c r="AG168" i="6"/>
  <c r="AG266" i="6"/>
  <c r="AG270" i="6"/>
  <c r="AI272" i="6"/>
  <c r="AG276" i="6"/>
  <c r="AG278" i="6"/>
  <c r="AG288" i="6"/>
  <c r="AG290" i="6"/>
  <c r="AG297" i="6"/>
  <c r="AG299" i="6"/>
  <c r="AG305" i="6"/>
  <c r="AG310" i="6" s="1"/>
  <c r="AG313" i="6"/>
  <c r="AG315" i="6"/>
  <c r="AG317" i="6"/>
  <c r="AG319" i="6"/>
  <c r="AG326" i="6"/>
  <c r="AG332" i="6"/>
  <c r="AG336" i="6"/>
  <c r="AG340" i="6"/>
  <c r="AG341" i="6" s="1"/>
  <c r="AH340" i="6" s="1"/>
  <c r="AG344" i="6"/>
  <c r="AG348" i="6"/>
  <c r="AG356" i="6"/>
  <c r="AG362" i="6"/>
  <c r="AI380" i="6"/>
  <c r="AG454" i="6"/>
  <c r="X213" i="6"/>
  <c r="AF439" i="6"/>
  <c r="S128" i="6"/>
  <c r="S123" i="23" s="1"/>
  <c r="T128" i="6"/>
  <c r="T123" i="23" s="1"/>
  <c r="AC15" i="23"/>
  <c r="AJ194" i="6"/>
  <c r="F118" i="25" s="1"/>
  <c r="AG300" i="6"/>
  <c r="AG316" i="6"/>
  <c r="AG318" i="6"/>
  <c r="AG325" i="6"/>
  <c r="AG331" i="6"/>
  <c r="AG345" i="6"/>
  <c r="AG349" i="6"/>
  <c r="AF415" i="6"/>
  <c r="AG455" i="6"/>
  <c r="S213" i="6"/>
  <c r="X255" i="6"/>
  <c r="Q110" i="23"/>
  <c r="AB186" i="6"/>
  <c r="T186" i="6"/>
  <c r="L186" i="6"/>
  <c r="Y32" i="6"/>
  <c r="Y33" i="6" s="1"/>
  <c r="Z33" i="6" s="1"/>
  <c r="AG32" i="6"/>
  <c r="AG33" i="6" s="1"/>
  <c r="AH33" i="6" s="1"/>
  <c r="AG253" i="6"/>
  <c r="AC245" i="6"/>
  <c r="T246" i="6"/>
  <c r="M245" i="6"/>
  <c r="AG244" i="6"/>
  <c r="AG246" i="6" s="1"/>
  <c r="AH246" i="6" s="1"/>
  <c r="Y244" i="6"/>
  <c r="Q244" i="6"/>
  <c r="Q246" i="6" s="1"/>
  <c r="AJ244" i="6"/>
  <c r="U21" i="6"/>
  <c r="U23" i="6" s="1"/>
  <c r="V22" i="6" s="1"/>
  <c r="M23" i="6"/>
  <c r="N21" i="6" s="1"/>
  <c r="BH436" i="6"/>
  <c r="AG472" i="6"/>
  <c r="AG488" i="6"/>
  <c r="AH488" i="6" s="1"/>
  <c r="AG507" i="6"/>
  <c r="AH503" i="6" s="1"/>
  <c r="Q249" i="6"/>
  <c r="AI175" i="6"/>
  <c r="Z22" i="6"/>
  <c r="Z23" i="6"/>
  <c r="Z21" i="6"/>
  <c r="N230" i="6"/>
  <c r="V216" i="6"/>
  <c r="N299" i="6"/>
  <c r="AG293" i="6"/>
  <c r="R173" i="6"/>
  <c r="R174" i="6"/>
  <c r="J174" i="6"/>
  <c r="J177" i="6"/>
  <c r="J176" i="6"/>
  <c r="J175" i="6"/>
  <c r="J93" i="6"/>
  <c r="J96" i="6"/>
  <c r="U354" i="6"/>
  <c r="I177" i="23"/>
  <c r="AK398" i="6"/>
  <c r="I399" i="6"/>
  <c r="AA23" i="6"/>
  <c r="AA17" i="6" s="1"/>
  <c r="AA24" i="23"/>
  <c r="O23" i="6"/>
  <c r="O17" i="6" s="1"/>
  <c r="O24" i="23"/>
  <c r="AD230" i="6"/>
  <c r="AK111" i="6"/>
  <c r="AL110" i="6" s="1"/>
  <c r="Z110" i="6"/>
  <c r="N107" i="6"/>
  <c r="H39" i="6"/>
  <c r="W39" i="6"/>
  <c r="N96" i="6"/>
  <c r="J83" i="6"/>
  <c r="Z248" i="6"/>
  <c r="Z320" i="6"/>
  <c r="N315" i="6"/>
  <c r="I72" i="6"/>
  <c r="G69" i="6"/>
  <c r="AI65" i="6"/>
  <c r="AJ32" i="6"/>
  <c r="AJ33" i="6" s="1"/>
  <c r="P33" i="6"/>
  <c r="P128" i="23" s="1"/>
  <c r="AB63" i="6"/>
  <c r="AI54" i="6"/>
  <c r="I60" i="6"/>
  <c r="AJ53" i="6"/>
  <c r="Q151" i="6"/>
  <c r="AC178" i="6"/>
  <c r="AI159" i="6"/>
  <c r="AK147" i="6"/>
  <c r="U76" i="6"/>
  <c r="V76" i="6" s="1"/>
  <c r="P246" i="6"/>
  <c r="AB246" i="6"/>
  <c r="I244" i="6"/>
  <c r="I246" i="6" s="1"/>
  <c r="J246" i="6" s="1"/>
  <c r="AJ336" i="6"/>
  <c r="AI330" i="6"/>
  <c r="I472" i="6"/>
  <c r="J466" i="6" s="1"/>
  <c r="AK466" i="6"/>
  <c r="Z125" i="6"/>
  <c r="AC428" i="6"/>
  <c r="AB430" i="6"/>
  <c r="AB165" i="23"/>
  <c r="AB389" i="6"/>
  <c r="AB143" i="23"/>
  <c r="AB365" i="6"/>
  <c r="AC450" i="6"/>
  <c r="AA140" i="23"/>
  <c r="AC361" i="6"/>
  <c r="AC365" i="6" s="1"/>
  <c r="AD362" i="6" s="1"/>
  <c r="AB167" i="23"/>
  <c r="AJ388" i="6"/>
  <c r="AB147" i="23"/>
  <c r="AC368" i="6"/>
  <c r="AC371" i="6" s="1"/>
  <c r="AB371" i="6"/>
  <c r="AA154" i="23"/>
  <c r="AC154" i="23" s="1"/>
  <c r="AI375" i="6"/>
  <c r="AC375" i="6"/>
  <c r="AA141" i="23"/>
  <c r="AC362" i="6"/>
  <c r="AA430" i="6"/>
  <c r="W140" i="23"/>
  <c r="Y140" i="23" s="1"/>
  <c r="Y361" i="6"/>
  <c r="W149" i="23"/>
  <c r="Y149" i="23" s="1"/>
  <c r="W371" i="6"/>
  <c r="Y370" i="6"/>
  <c r="Y165" i="6"/>
  <c r="Y169" i="6" s="1"/>
  <c r="AI165" i="6"/>
  <c r="X166" i="23"/>
  <c r="X389" i="6"/>
  <c r="X152" i="23"/>
  <c r="AJ373" i="6"/>
  <c r="Y454" i="6"/>
  <c r="W456" i="6"/>
  <c r="T423" i="6"/>
  <c r="U418" i="6"/>
  <c r="S155" i="23"/>
  <c r="U376" i="6"/>
  <c r="U426" i="6"/>
  <c r="T430" i="6"/>
  <c r="O140" i="23"/>
  <c r="Q361" i="6"/>
  <c r="K451" i="6"/>
  <c r="M445" i="6"/>
  <c r="K165" i="23"/>
  <c r="M386" i="6"/>
  <c r="K155" i="23"/>
  <c r="M376" i="6"/>
  <c r="S167" i="23"/>
  <c r="S389" i="6"/>
  <c r="U388" i="6"/>
  <c r="Q443" i="6"/>
  <c r="O451" i="6"/>
  <c r="O160" i="23"/>
  <c r="Q381" i="6"/>
  <c r="AJ455" i="6"/>
  <c r="L456" i="6"/>
  <c r="AJ353" i="6"/>
  <c r="M353" i="6"/>
  <c r="P140" i="23"/>
  <c r="P365" i="6"/>
  <c r="O146" i="23"/>
  <c r="AI367" i="6"/>
  <c r="O371" i="6"/>
  <c r="K430" i="6"/>
  <c r="M425" i="6"/>
  <c r="K351" i="6"/>
  <c r="M345" i="6"/>
  <c r="L165" i="23"/>
  <c r="AJ386" i="6"/>
  <c r="AJ389" i="6" s="1"/>
  <c r="L389" i="6"/>
  <c r="L415" i="6"/>
  <c r="M412" i="6"/>
  <c r="M415" i="6" s="1"/>
  <c r="M417" i="6"/>
  <c r="K423" i="6"/>
  <c r="M429" i="6"/>
  <c r="AI450" i="6"/>
  <c r="Q350" i="6"/>
  <c r="O351" i="6"/>
  <c r="P141" i="23"/>
  <c r="P144" i="23" s="1"/>
  <c r="AJ362" i="6"/>
  <c r="AJ365" i="6" s="1"/>
  <c r="O153" i="23"/>
  <c r="AI374" i="6"/>
  <c r="Q374" i="6"/>
  <c r="P154" i="23"/>
  <c r="Q375" i="6"/>
  <c r="P157" i="23"/>
  <c r="Q378" i="6"/>
  <c r="AJ378" i="6"/>
  <c r="O166" i="23"/>
  <c r="Q166" i="23" s="1"/>
  <c r="Q387" i="6"/>
  <c r="O389" i="6"/>
  <c r="T142" i="23"/>
  <c r="AJ363" i="6"/>
  <c r="T156" i="23"/>
  <c r="U377" i="6"/>
  <c r="T161" i="23"/>
  <c r="U382" i="6"/>
  <c r="T165" i="23"/>
  <c r="U386" i="6"/>
  <c r="AI449" i="6"/>
  <c r="AK449" i="6" s="1"/>
  <c r="U449" i="6"/>
  <c r="Y345" i="6"/>
  <c r="X148" i="23"/>
  <c r="X371" i="6"/>
  <c r="Y369" i="6"/>
  <c r="W152" i="23"/>
  <c r="Y373" i="6"/>
  <c r="W157" i="23"/>
  <c r="Y378" i="6"/>
  <c r="X160" i="23"/>
  <c r="Y381" i="6"/>
  <c r="W161" i="23"/>
  <c r="Y382" i="6"/>
  <c r="AI382" i="6"/>
  <c r="W415" i="6"/>
  <c r="Y430" i="6"/>
  <c r="Z430" i="6" s="1"/>
  <c r="X451" i="6"/>
  <c r="Y442" i="6"/>
  <c r="AA165" i="23"/>
  <c r="AA389" i="6"/>
  <c r="AC386" i="6"/>
  <c r="AC136" i="6"/>
  <c r="U136" i="6"/>
  <c r="M136" i="6"/>
  <c r="AB257" i="6"/>
  <c r="AB258" i="6"/>
  <c r="L258" i="6"/>
  <c r="L257" i="6"/>
  <c r="Q432" i="6"/>
  <c r="Q439" i="6" s="1"/>
  <c r="P439" i="6"/>
  <c r="X439" i="6"/>
  <c r="Y438" i="6"/>
  <c r="Y439" i="6" s="1"/>
  <c r="AJ438" i="6"/>
  <c r="H439" i="6"/>
  <c r="AK483" i="6"/>
  <c r="M488" i="6"/>
  <c r="N483" i="6" s="1"/>
  <c r="U172" i="23"/>
  <c r="BD172" i="23" s="1"/>
  <c r="BD393" i="6"/>
  <c r="Y170" i="23"/>
  <c r="BE170" i="23" s="1"/>
  <c r="BE391" i="6"/>
  <c r="G149" i="23"/>
  <c r="I370" i="6"/>
  <c r="H160" i="23"/>
  <c r="I381" i="6"/>
  <c r="H143" i="23"/>
  <c r="AJ364" i="6"/>
  <c r="T213" i="6"/>
  <c r="AJ207" i="6"/>
  <c r="F131" i="25" s="1"/>
  <c r="U207" i="6"/>
  <c r="U15" i="23"/>
  <c r="P357" i="6"/>
  <c r="I225" i="6"/>
  <c r="Y231" i="6"/>
  <c r="Z231" i="6" s="1"/>
  <c r="AG231" i="6"/>
  <c r="AH230" i="6" s="1"/>
  <c r="Z109" i="6"/>
  <c r="AK14" i="6"/>
  <c r="AK114" i="6" s="1"/>
  <c r="U114" i="6"/>
  <c r="N93" i="6"/>
  <c r="Z254" i="6"/>
  <c r="Z316" i="6"/>
  <c r="N316" i="6"/>
  <c r="Z439" i="6"/>
  <c r="I74" i="6"/>
  <c r="L33" i="6"/>
  <c r="AI60" i="6"/>
  <c r="AK60" i="6" s="1"/>
  <c r="I59" i="6"/>
  <c r="H69" i="6"/>
  <c r="AC54" i="6"/>
  <c r="U132" i="6"/>
  <c r="V132" i="6" s="1"/>
  <c r="M178" i="6"/>
  <c r="AC21" i="6"/>
  <c r="AC23" i="6" s="1"/>
  <c r="AC53" i="6"/>
  <c r="AK156" i="6"/>
  <c r="H246" i="6"/>
  <c r="AF246" i="6"/>
  <c r="H351" i="6"/>
  <c r="U245" i="6"/>
  <c r="U246" i="6" s="1"/>
  <c r="V244" i="6" s="1"/>
  <c r="I387" i="6"/>
  <c r="I463" i="6"/>
  <c r="J462" i="6" s="1"/>
  <c r="AK461" i="6"/>
  <c r="R122" i="6"/>
  <c r="R123" i="6"/>
  <c r="AH126" i="6"/>
  <c r="AH118" i="6"/>
  <c r="AH128" i="6"/>
  <c r="AK126" i="6"/>
  <c r="AJ234" i="6"/>
  <c r="Y234" i="6"/>
  <c r="Q234" i="6"/>
  <c r="AJ25" i="6"/>
  <c r="AJ146" i="6"/>
  <c r="AJ151" i="6" s="1"/>
  <c r="AJ357" i="6" s="1"/>
  <c r="AJ148" i="6"/>
  <c r="AJ157" i="6"/>
  <c r="AK157" i="6" s="1"/>
  <c r="AJ161" i="6"/>
  <c r="AK161" i="6" s="1"/>
  <c r="AJ215" i="6"/>
  <c r="AI226" i="6"/>
  <c r="AI350" i="6"/>
  <c r="AG350" i="6"/>
  <c r="AI418" i="6"/>
  <c r="AG418" i="6"/>
  <c r="AG423" i="6" s="1"/>
  <c r="AH422" i="6" s="1"/>
  <c r="AI421" i="6"/>
  <c r="AK421" i="6" s="1"/>
  <c r="AG421" i="6"/>
  <c r="AG425" i="6"/>
  <c r="AE430" i="6"/>
  <c r="AI69" i="6"/>
  <c r="AK68" i="6"/>
  <c r="G143" i="23"/>
  <c r="I364" i="6"/>
  <c r="H154" i="23"/>
  <c r="AJ375" i="6"/>
  <c r="U105" i="6"/>
  <c r="H384" i="6"/>
  <c r="I230" i="6"/>
  <c r="Z108" i="6"/>
  <c r="U112" i="6"/>
  <c r="Y39" i="6"/>
  <c r="N94" i="6"/>
  <c r="AK66" i="6"/>
  <c r="H76" i="6"/>
  <c r="AA63" i="6"/>
  <c r="AG63" i="6"/>
  <c r="AH63" i="6" s="1"/>
  <c r="AI53" i="6"/>
  <c r="AI59" i="6"/>
  <c r="AK59" i="6" s="1"/>
  <c r="I66" i="6"/>
  <c r="AJ54" i="6"/>
  <c r="H162" i="6"/>
  <c r="Q132" i="6"/>
  <c r="R131" i="6" s="1"/>
  <c r="X246" i="6"/>
  <c r="AI349" i="6"/>
  <c r="AK349" i="6" s="1"/>
  <c r="I418" i="6"/>
  <c r="AJ418" i="6"/>
  <c r="AI325" i="6"/>
  <c r="AK325" i="6" s="1"/>
  <c r="AJ276" i="6"/>
  <c r="AJ272" i="6"/>
  <c r="AJ263" i="6"/>
  <c r="I289" i="6"/>
  <c r="I269" i="6"/>
  <c r="AJ340" i="6"/>
  <c r="AJ278" i="6"/>
  <c r="AJ128" i="6"/>
  <c r="AK122" i="6"/>
  <c r="U128" i="6"/>
  <c r="M13" i="6"/>
  <c r="U13" i="6"/>
  <c r="AC13" i="6"/>
  <c r="AB341" i="6"/>
  <c r="AA291" i="6"/>
  <c r="AC326" i="6"/>
  <c r="AC427" i="6"/>
  <c r="AC426" i="6"/>
  <c r="AC444" i="6"/>
  <c r="AC305" i="6"/>
  <c r="W430" i="6"/>
  <c r="W451" i="6"/>
  <c r="W351" i="6"/>
  <c r="Y269" i="6"/>
  <c r="U314" i="6"/>
  <c r="AJ368" i="6"/>
  <c r="M450" i="6"/>
  <c r="K333" i="6"/>
  <c r="M449" i="6"/>
  <c r="AJ289" i="6"/>
  <c r="F80" i="25" s="1"/>
  <c r="F81" i="25" s="1"/>
  <c r="M269" i="6"/>
  <c r="M165" i="6"/>
  <c r="M169" i="6" s="1"/>
  <c r="N168" i="6" s="1"/>
  <c r="M270" i="6"/>
  <c r="M309" i="6"/>
  <c r="M326" i="6"/>
  <c r="AI217" i="6"/>
  <c r="M262" i="6"/>
  <c r="M265" i="6" s="1"/>
  <c r="N265" i="6" s="1"/>
  <c r="M304" i="6"/>
  <c r="M310" i="6" s="1"/>
  <c r="Q336" i="6"/>
  <c r="Q341" i="6" s="1"/>
  <c r="O456" i="6"/>
  <c r="Q422" i="6"/>
  <c r="Q270" i="6"/>
  <c r="AJ138" i="6"/>
  <c r="Y138" i="6"/>
  <c r="Y140" i="6" s="1"/>
  <c r="W140" i="6"/>
  <c r="W190" i="6" s="1"/>
  <c r="Q138" i="6"/>
  <c r="G140" i="6"/>
  <c r="G190" i="6" s="1"/>
  <c r="P189" i="6"/>
  <c r="AJ192" i="6"/>
  <c r="AJ198" i="6"/>
  <c r="AJ240" i="6"/>
  <c r="AC236" i="6"/>
  <c r="U236" i="6"/>
  <c r="AJ182" i="6"/>
  <c r="W128" i="6"/>
  <c r="W123" i="23" s="1"/>
  <c r="AF128" i="6"/>
  <c r="AF123" i="23" s="1"/>
  <c r="AC207" i="6"/>
  <c r="AC213" i="6" s="1"/>
  <c r="AC257" i="6" s="1"/>
  <c r="AA213" i="6"/>
  <c r="M207" i="6"/>
  <c r="M213" i="6" s="1"/>
  <c r="K213" i="6"/>
  <c r="AI221" i="6"/>
  <c r="AK226" i="6"/>
  <c r="AJ338" i="6"/>
  <c r="BP308" i="6"/>
  <c r="AJ308" i="6" s="1"/>
  <c r="BH308" i="6"/>
  <c r="BR308" i="6" s="1"/>
  <c r="AK308" i="6" s="1"/>
  <c r="AK477" i="6"/>
  <c r="AK496" i="6"/>
  <c r="AC128" i="6"/>
  <c r="AD118" i="6" s="1"/>
  <c r="AJ136" i="6"/>
  <c r="O140" i="6"/>
  <c r="O190" i="6" s="1"/>
  <c r="Q135" i="6"/>
  <c r="AJ238" i="6"/>
  <c r="Y238" i="6"/>
  <c r="Q238" i="6"/>
  <c r="AJ317" i="6"/>
  <c r="AJ315" i="6"/>
  <c r="I274" i="6"/>
  <c r="AJ296" i="6"/>
  <c r="I275" i="6"/>
  <c r="I264" i="6"/>
  <c r="I265" i="6" s="1"/>
  <c r="AJ350" i="6"/>
  <c r="H456" i="6"/>
  <c r="AI427" i="6"/>
  <c r="AK427" i="6" s="1"/>
  <c r="AK127" i="6"/>
  <c r="P310" i="6"/>
  <c r="AC279" i="6"/>
  <c r="AC288" i="6"/>
  <c r="AC332" i="6"/>
  <c r="AC333" i="6" s="1"/>
  <c r="AD331" i="6" s="1"/>
  <c r="AC455" i="6"/>
  <c r="AC456" i="6" s="1"/>
  <c r="AC349" i="6"/>
  <c r="AC296" i="6"/>
  <c r="AC302" i="6" s="1"/>
  <c r="AJ309" i="6"/>
  <c r="AC165" i="6"/>
  <c r="AC169" i="6" s="1"/>
  <c r="Y288" i="6"/>
  <c r="Y446" i="6"/>
  <c r="Y448" i="6"/>
  <c r="X415" i="6"/>
  <c r="AJ319" i="6"/>
  <c r="Y298" i="6"/>
  <c r="P341" i="6"/>
  <c r="M325" i="6"/>
  <c r="U445" i="6"/>
  <c r="U157" i="6"/>
  <c r="Q276" i="6"/>
  <c r="U324" i="6"/>
  <c r="Q319" i="6"/>
  <c r="M446" i="6"/>
  <c r="AI228" i="6"/>
  <c r="AJ297" i="6"/>
  <c r="AK297" i="6" s="1"/>
  <c r="M346" i="6"/>
  <c r="M287" i="6"/>
  <c r="M291" i="6" s="1"/>
  <c r="Q161" i="6"/>
  <c r="Q162" i="6" s="1"/>
  <c r="Q296" i="6"/>
  <c r="O310" i="6"/>
  <c r="Q325" i="6"/>
  <c r="Q413" i="6"/>
  <c r="Q449" i="6"/>
  <c r="Q451" i="6" s="1"/>
  <c r="AJ135" i="6"/>
  <c r="AK202" i="6"/>
  <c r="AI202" i="6"/>
  <c r="BA193" i="6"/>
  <c r="AI193" i="6"/>
  <c r="BA197" i="6"/>
  <c r="AI197" i="6"/>
  <c r="BI201" i="6"/>
  <c r="AJ201" i="6"/>
  <c r="U240" i="6"/>
  <c r="M240" i="6"/>
  <c r="AJ236" i="6"/>
  <c r="AI432" i="6"/>
  <c r="AI438" i="6"/>
  <c r="AK438" i="6" s="1"/>
  <c r="AI249" i="6"/>
  <c r="E142" i="25" s="1"/>
  <c r="U249" i="6"/>
  <c r="U255" i="6" s="1"/>
  <c r="Q428" i="6"/>
  <c r="U298" i="6"/>
  <c r="U302" i="6" s="1"/>
  <c r="V300" i="6" s="1"/>
  <c r="S341" i="6"/>
  <c r="U345" i="6"/>
  <c r="W310" i="6"/>
  <c r="AJ332" i="6"/>
  <c r="Y417" i="6"/>
  <c r="AC346" i="6"/>
  <c r="AJ197" i="6"/>
  <c r="AF405" i="6"/>
  <c r="AF255" i="6"/>
  <c r="BA393" i="6"/>
  <c r="AC123" i="23"/>
  <c r="M170" i="23"/>
  <c r="BB170" i="23" s="1"/>
  <c r="O128" i="6"/>
  <c r="O123" i="23" s="1"/>
  <c r="X128" i="6"/>
  <c r="X123" i="23" s="1"/>
  <c r="AI244" i="6"/>
  <c r="AG110" i="23"/>
  <c r="AG117" i="23"/>
  <c r="AG104" i="23"/>
  <c r="U134" i="25"/>
  <c r="M34" i="26" s="1"/>
  <c r="G135" i="25"/>
  <c r="AC138" i="6"/>
  <c r="U138" i="6"/>
  <c r="M138" i="6"/>
  <c r="AC238" i="6"/>
  <c r="U238" i="6"/>
  <c r="Q236" i="6"/>
  <c r="AI218" i="6"/>
  <c r="AI323" i="6"/>
  <c r="AJ413" i="6"/>
  <c r="AJ414" i="6"/>
  <c r="AJ442" i="6"/>
  <c r="AJ447" i="6"/>
  <c r="AK447" i="6" s="1"/>
  <c r="I213" i="6"/>
  <c r="I258" i="6" s="1"/>
  <c r="AJ433" i="6"/>
  <c r="AF186" i="6"/>
  <c r="P186" i="6"/>
  <c r="M185" i="23"/>
  <c r="M186" i="23" s="1"/>
  <c r="S185" i="23"/>
  <c r="S186" i="23" s="1"/>
  <c r="P128" i="6"/>
  <c r="P123" i="23" s="1"/>
  <c r="AJ206" i="6"/>
  <c r="F130" i="25" s="1"/>
  <c r="AJ245" i="6"/>
  <c r="AK245" i="6" s="1"/>
  <c r="AI173" i="6"/>
  <c r="T24" i="23"/>
  <c r="T23" i="6"/>
  <c r="T17" i="6" s="1"/>
  <c r="Q278" i="6"/>
  <c r="T292" i="6"/>
  <c r="U318" i="6"/>
  <c r="U447" i="6"/>
  <c r="W231" i="6"/>
  <c r="Y340" i="6"/>
  <c r="Y341" i="6" s="1"/>
  <c r="AA456" i="6"/>
  <c r="H140" i="6"/>
  <c r="P140" i="6"/>
  <c r="P190" i="6" s="1"/>
  <c r="AJ196" i="6"/>
  <c r="AJ202" i="6"/>
  <c r="AF213" i="6"/>
  <c r="AF258" i="6" s="1"/>
  <c r="P213" i="6"/>
  <c r="AI437" i="6"/>
  <c r="AE128" i="6"/>
  <c r="AE123" i="23" s="1"/>
  <c r="AJ253" i="6"/>
  <c r="AI176" i="6"/>
  <c r="L23" i="6"/>
  <c r="L17" i="6" s="1"/>
  <c r="AI248" i="6"/>
  <c r="AJ248" i="6"/>
  <c r="AK14" i="23"/>
  <c r="AJ36" i="6"/>
  <c r="AK36" i="6" s="1"/>
  <c r="AG37" i="6"/>
  <c r="AF37" i="6"/>
  <c r="V49" i="6"/>
  <c r="V54" i="6"/>
  <c r="V61" i="6"/>
  <c r="AD432" i="6"/>
  <c r="AD438" i="6"/>
  <c r="AD249" i="6"/>
  <c r="AD439" i="6"/>
  <c r="AD248" i="6"/>
  <c r="AD433" i="6"/>
  <c r="AD253" i="6"/>
  <c r="AD437" i="6"/>
  <c r="AD255" i="6"/>
  <c r="I90" i="23"/>
  <c r="AK85" i="6"/>
  <c r="I89" i="6"/>
  <c r="AK12" i="6"/>
  <c r="I13" i="6"/>
  <c r="G23" i="6"/>
  <c r="G17" i="6" s="1"/>
  <c r="G24" i="23"/>
  <c r="I21" i="6"/>
  <c r="AE37" i="6"/>
  <c r="AD229" i="6"/>
  <c r="AD224" i="6"/>
  <c r="AD225" i="6"/>
  <c r="AG222" i="6"/>
  <c r="Q222" i="6"/>
  <c r="U231" i="6"/>
  <c r="R110" i="6"/>
  <c r="R111" i="6"/>
  <c r="R107" i="6"/>
  <c r="R109" i="6"/>
  <c r="AH143" i="6"/>
  <c r="AH142" i="6"/>
  <c r="AH144" i="6"/>
  <c r="R149" i="6"/>
  <c r="R150" i="6"/>
  <c r="R146" i="6"/>
  <c r="R148" i="6"/>
  <c r="Q357" i="6"/>
  <c r="R151" i="6"/>
  <c r="AD176" i="6"/>
  <c r="AD173" i="6"/>
  <c r="AD177" i="6"/>
  <c r="AI21" i="6"/>
  <c r="R21" i="6"/>
  <c r="R22" i="6"/>
  <c r="R23" i="6"/>
  <c r="N286" i="6"/>
  <c r="N288" i="6"/>
  <c r="N291" i="6"/>
  <c r="N287" i="6"/>
  <c r="N289" i="6"/>
  <c r="N290" i="6"/>
  <c r="AC134" i="23"/>
  <c r="AC136" i="23" s="1"/>
  <c r="AD222" i="6"/>
  <c r="AD215" i="6"/>
  <c r="AD220" i="6"/>
  <c r="Z220" i="6"/>
  <c r="Z215" i="6"/>
  <c r="Z216" i="6"/>
  <c r="AD73" i="6"/>
  <c r="AD76" i="6"/>
  <c r="AD71" i="6"/>
  <c r="AD74" i="6"/>
  <c r="AD75" i="6"/>
  <c r="AD72" i="6"/>
  <c r="AD130" i="6"/>
  <c r="AD132" i="6"/>
  <c r="AB37" i="6"/>
  <c r="AA37" i="6"/>
  <c r="AD221" i="6"/>
  <c r="V302" i="6"/>
  <c r="V299" i="6"/>
  <c r="AK112" i="6"/>
  <c r="AD68" i="6"/>
  <c r="AD67" i="6"/>
  <c r="AD65" i="6"/>
  <c r="AD69" i="6"/>
  <c r="AD66" i="6"/>
  <c r="Z175" i="6"/>
  <c r="AH174" i="6"/>
  <c r="AH177" i="6"/>
  <c r="AH176" i="6"/>
  <c r="AH173" i="6"/>
  <c r="AH178" i="6"/>
  <c r="Q63" i="6"/>
  <c r="N89" i="6"/>
  <c r="N85" i="6"/>
  <c r="N87" i="6"/>
  <c r="N88" i="6"/>
  <c r="H354" i="6"/>
  <c r="H357" i="6"/>
  <c r="N173" i="6"/>
  <c r="N175" i="6"/>
  <c r="N177" i="6"/>
  <c r="N178" i="6"/>
  <c r="V74" i="6"/>
  <c r="V75" i="6"/>
  <c r="V72" i="6"/>
  <c r="V71" i="6"/>
  <c r="V73" i="6"/>
  <c r="AH423" i="6"/>
  <c r="AH419" i="6"/>
  <c r="AH417" i="6"/>
  <c r="AH418" i="6"/>
  <c r="AH420" i="6"/>
  <c r="AH421" i="6"/>
  <c r="AK225" i="6"/>
  <c r="R488" i="6"/>
  <c r="R482" i="6"/>
  <c r="R487" i="6"/>
  <c r="R483" i="6"/>
  <c r="AH466" i="6"/>
  <c r="AH472" i="6"/>
  <c r="AH471" i="6"/>
  <c r="AH467" i="6"/>
  <c r="AJ421" i="6"/>
  <c r="H423" i="6"/>
  <c r="I421" i="6"/>
  <c r="I500" i="6"/>
  <c r="AK492" i="6"/>
  <c r="AI417" i="6"/>
  <c r="I417" i="6"/>
  <c r="I423" i="6" s="1"/>
  <c r="G423" i="6"/>
  <c r="J207" i="6"/>
  <c r="AL111" i="6"/>
  <c r="N111" i="6"/>
  <c r="N108" i="6"/>
  <c r="N110" i="6"/>
  <c r="Z132" i="6"/>
  <c r="Z131" i="6"/>
  <c r="M37" i="6"/>
  <c r="L37" i="6"/>
  <c r="Z222" i="6"/>
  <c r="AD216" i="6"/>
  <c r="N297" i="6"/>
  <c r="N302" i="6"/>
  <c r="N300" i="6"/>
  <c r="N301" i="6"/>
  <c r="N224" i="6"/>
  <c r="N229" i="6"/>
  <c r="N231" i="6"/>
  <c r="Z229" i="6"/>
  <c r="Z230" i="6"/>
  <c r="Z224" i="6"/>
  <c r="Z225" i="6"/>
  <c r="V221" i="6"/>
  <c r="V220" i="6"/>
  <c r="V222" i="6"/>
  <c r="H222" i="6"/>
  <c r="AJ221" i="6"/>
  <c r="V107" i="6"/>
  <c r="V108" i="6"/>
  <c r="V110" i="6"/>
  <c r="AD45" i="6"/>
  <c r="AD46" i="6"/>
  <c r="AD44" i="6"/>
  <c r="AD47" i="6"/>
  <c r="R175" i="6"/>
  <c r="R178" i="6"/>
  <c r="R177" i="6"/>
  <c r="R176" i="6"/>
  <c r="AD254" i="6"/>
  <c r="Z32" i="6"/>
  <c r="Z31" i="6"/>
  <c r="L128" i="23"/>
  <c r="L293" i="6"/>
  <c r="V88" i="6"/>
  <c r="V86" i="6"/>
  <c r="V85" i="6"/>
  <c r="V87" i="6"/>
  <c r="V89" i="6"/>
  <c r="AK26" i="6"/>
  <c r="J330" i="6"/>
  <c r="J331" i="6"/>
  <c r="J333" i="6"/>
  <c r="J332" i="6"/>
  <c r="AD332" i="6"/>
  <c r="J480" i="6"/>
  <c r="AH245" i="6"/>
  <c r="AH243" i="6"/>
  <c r="AH244" i="6"/>
  <c r="V330" i="6"/>
  <c r="N333" i="6"/>
  <c r="E79" i="25"/>
  <c r="AI184" i="6"/>
  <c r="AK184" i="6" s="1"/>
  <c r="I184" i="6"/>
  <c r="J184" i="6" s="1"/>
  <c r="U357" i="6"/>
  <c r="V21" i="6"/>
  <c r="V23" i="6"/>
  <c r="M76" i="6"/>
  <c r="N66" i="6"/>
  <c r="N68" i="6"/>
  <c r="N69" i="6"/>
  <c r="N67" i="6"/>
  <c r="J92" i="6"/>
  <c r="J95" i="6"/>
  <c r="J94" i="6"/>
  <c r="AH60" i="6"/>
  <c r="AH57" i="6"/>
  <c r="AH61" i="6"/>
  <c r="AH56" i="6"/>
  <c r="AH50" i="6"/>
  <c r="AH51" i="6"/>
  <c r="AH49" i="6"/>
  <c r="Q144" i="6"/>
  <c r="G354" i="6"/>
  <c r="G357" i="6"/>
  <c r="N475" i="6"/>
  <c r="N480" i="6"/>
  <c r="N479" i="6"/>
  <c r="J463" i="6"/>
  <c r="AJ237" i="6"/>
  <c r="I237" i="6"/>
  <c r="M236" i="6"/>
  <c r="K241" i="6"/>
  <c r="AC438" i="6"/>
  <c r="M438" i="6"/>
  <c r="K57" i="23"/>
  <c r="K63" i="6"/>
  <c r="AI52" i="6"/>
  <c r="M52" i="6"/>
  <c r="K65" i="23"/>
  <c r="M60" i="6"/>
  <c r="L39" i="6"/>
  <c r="K39" i="6"/>
  <c r="M39" i="6"/>
  <c r="J144" i="6"/>
  <c r="J143" i="6"/>
  <c r="N144" i="6"/>
  <c r="N143" i="6"/>
  <c r="J79" i="6"/>
  <c r="J81" i="6"/>
  <c r="J82" i="6"/>
  <c r="Y63" i="6"/>
  <c r="Z142" i="6"/>
  <c r="Z143" i="6"/>
  <c r="AK149" i="6"/>
  <c r="AK166" i="6"/>
  <c r="N132" i="6"/>
  <c r="N130" i="6"/>
  <c r="AD263" i="6"/>
  <c r="V265" i="6"/>
  <c r="V264" i="6"/>
  <c r="V263" i="6"/>
  <c r="V262" i="6"/>
  <c r="V454" i="6"/>
  <c r="V456" i="6"/>
  <c r="V455" i="6"/>
  <c r="H80" i="23"/>
  <c r="AJ75" i="6"/>
  <c r="G76" i="23"/>
  <c r="I71" i="6"/>
  <c r="G76" i="6"/>
  <c r="G54" i="23"/>
  <c r="G63" i="6"/>
  <c r="I49" i="6"/>
  <c r="I100" i="23"/>
  <c r="AK95" i="6"/>
  <c r="I26" i="6"/>
  <c r="I28" i="6" s="1"/>
  <c r="H28" i="6"/>
  <c r="G49" i="23"/>
  <c r="I44" i="6"/>
  <c r="G47" i="6"/>
  <c r="H72" i="23"/>
  <c r="AJ67" i="6"/>
  <c r="AK67" i="6" s="1"/>
  <c r="I87" i="23"/>
  <c r="AK82" i="6"/>
  <c r="AI146" i="6"/>
  <c r="I146" i="6"/>
  <c r="I151" i="6" s="1"/>
  <c r="G132" i="6"/>
  <c r="AI130" i="6"/>
  <c r="I130" i="6"/>
  <c r="AI158" i="6"/>
  <c r="I158" i="6"/>
  <c r="G162" i="6"/>
  <c r="I154" i="6"/>
  <c r="Z437" i="6"/>
  <c r="Z253" i="6"/>
  <c r="Z433" i="6"/>
  <c r="Z255" i="6"/>
  <c r="Z432" i="6"/>
  <c r="Z249" i="6"/>
  <c r="Y328" i="6"/>
  <c r="V495" i="6"/>
  <c r="V498" i="6"/>
  <c r="V491" i="6"/>
  <c r="V500" i="6"/>
  <c r="V499" i="6"/>
  <c r="V492" i="6"/>
  <c r="V497" i="6"/>
  <c r="V494" i="6"/>
  <c r="V496" i="6"/>
  <c r="V493" i="6"/>
  <c r="AI196" i="6"/>
  <c r="AK196" i="6"/>
  <c r="J403" i="6"/>
  <c r="AJ231" i="6"/>
  <c r="G43" i="23"/>
  <c r="AI38" i="6"/>
  <c r="V142" i="6"/>
  <c r="V144" i="6"/>
  <c r="AI74" i="6"/>
  <c r="Q28" i="6"/>
  <c r="AJ51" i="6"/>
  <c r="AJ63" i="6" s="1"/>
  <c r="M56" i="6"/>
  <c r="AK92" i="6"/>
  <c r="AI142" i="6"/>
  <c r="I157" i="6"/>
  <c r="J243" i="6"/>
  <c r="J244" i="6"/>
  <c r="J245" i="6"/>
  <c r="N313" i="6"/>
  <c r="N318" i="6"/>
  <c r="N317" i="6"/>
  <c r="N319" i="6"/>
  <c r="N314" i="6"/>
  <c r="Z495" i="6"/>
  <c r="G430" i="6"/>
  <c r="Z462" i="6"/>
  <c r="Z458" i="6"/>
  <c r="Z461" i="6"/>
  <c r="N496" i="6"/>
  <c r="N498" i="6"/>
  <c r="N491" i="6"/>
  <c r="N495" i="6"/>
  <c r="N499" i="6"/>
  <c r="R467" i="6"/>
  <c r="R471" i="6"/>
  <c r="G265" i="6"/>
  <c r="AI262" i="6"/>
  <c r="AJ304" i="6"/>
  <c r="H310" i="6"/>
  <c r="AI287" i="6"/>
  <c r="G291" i="6"/>
  <c r="G292" i="6"/>
  <c r="AI267" i="6"/>
  <c r="AK267" i="6" s="1"/>
  <c r="AI345" i="6"/>
  <c r="I345" i="6"/>
  <c r="G310" i="6"/>
  <c r="I309" i="6"/>
  <c r="AI309" i="6"/>
  <c r="AK309" i="6" s="1"/>
  <c r="AK505" i="6"/>
  <c r="I507" i="6"/>
  <c r="Q169" i="6"/>
  <c r="AH124" i="6"/>
  <c r="AH121" i="6"/>
  <c r="AH122" i="6"/>
  <c r="AH123" i="6"/>
  <c r="AH127" i="6"/>
  <c r="AH120" i="6"/>
  <c r="AH125" i="6"/>
  <c r="AH119" i="6"/>
  <c r="R124" i="6"/>
  <c r="R125" i="6"/>
  <c r="R120" i="6"/>
  <c r="R118" i="6"/>
  <c r="R121" i="6"/>
  <c r="R126" i="6"/>
  <c r="R119" i="6"/>
  <c r="R128" i="6"/>
  <c r="R127" i="6"/>
  <c r="Z118" i="6"/>
  <c r="Z126" i="6"/>
  <c r="Z119" i="6"/>
  <c r="Z127" i="6"/>
  <c r="Z121" i="6"/>
  <c r="Z120" i="6"/>
  <c r="Z122" i="6"/>
  <c r="Z124" i="6"/>
  <c r="AG190" i="6"/>
  <c r="AH137" i="6"/>
  <c r="AH135" i="6"/>
  <c r="AB189" i="6"/>
  <c r="AB140" i="6"/>
  <c r="AB190" i="6" s="1"/>
  <c r="AA189" i="6"/>
  <c r="AC134" i="6"/>
  <c r="AA140" i="6"/>
  <c r="AA190" i="6" s="1"/>
  <c r="I189" i="6"/>
  <c r="AI240" i="6"/>
  <c r="I240" i="6"/>
  <c r="X241" i="6"/>
  <c r="Y233" i="6"/>
  <c r="P241" i="6"/>
  <c r="Q233" i="6"/>
  <c r="AJ233" i="6"/>
  <c r="I233" i="6"/>
  <c r="AF49" i="23"/>
  <c r="AF47" i="6"/>
  <c r="AG44" i="6"/>
  <c r="AG46" i="6"/>
  <c r="AF71" i="23"/>
  <c r="AG66" i="6"/>
  <c r="AG69" i="6" s="1"/>
  <c r="AF77" i="23"/>
  <c r="AJ72" i="6"/>
  <c r="AK72" i="6" s="1"/>
  <c r="AF79" i="23"/>
  <c r="AG74" i="6"/>
  <c r="AG159" i="6"/>
  <c r="AJ159" i="6"/>
  <c r="AE222" i="6"/>
  <c r="AI220" i="6"/>
  <c r="AK220" i="6" s="1"/>
  <c r="AG268" i="6"/>
  <c r="AI268" i="6"/>
  <c r="AG274" i="6"/>
  <c r="AI274" i="6"/>
  <c r="AK274" i="6" s="1"/>
  <c r="AE291" i="6"/>
  <c r="AI286" i="6"/>
  <c r="AG286" i="6"/>
  <c r="AG324" i="6"/>
  <c r="AI324" i="6"/>
  <c r="AG330" i="6"/>
  <c r="AG333" i="6" s="1"/>
  <c r="AE333" i="6"/>
  <c r="AG346" i="6"/>
  <c r="AI346" i="6"/>
  <c r="AE141" i="23"/>
  <c r="AG141" i="23" s="1"/>
  <c r="AI362" i="6"/>
  <c r="AE143" i="23"/>
  <c r="AG143" i="23" s="1"/>
  <c r="AG364" i="6"/>
  <c r="AE147" i="23"/>
  <c r="AG147" i="23" s="1"/>
  <c r="AG368" i="6"/>
  <c r="AE149" i="23"/>
  <c r="AG149" i="23" s="1"/>
  <c r="AG370" i="6"/>
  <c r="AE153" i="23"/>
  <c r="AG153" i="23" s="1"/>
  <c r="AG374" i="6"/>
  <c r="AE157" i="23"/>
  <c r="AG157" i="23" s="1"/>
  <c r="AG378" i="6"/>
  <c r="AE159" i="23"/>
  <c r="AG159" i="23" s="1"/>
  <c r="AG380" i="6"/>
  <c r="AE161" i="23"/>
  <c r="AG161" i="23" s="1"/>
  <c r="AG382" i="6"/>
  <c r="AE165" i="23"/>
  <c r="AE389" i="6"/>
  <c r="AE167" i="23"/>
  <c r="AG167" i="23" s="1"/>
  <c r="AG388" i="6"/>
  <c r="AI388" i="6"/>
  <c r="AK388" i="6" s="1"/>
  <c r="AG412" i="6"/>
  <c r="AE415" i="6"/>
  <c r="AG413" i="6"/>
  <c r="AI413" i="6"/>
  <c r="AG428" i="6"/>
  <c r="AI428" i="6"/>
  <c r="AG442" i="6"/>
  <c r="AE451" i="6"/>
  <c r="AI442" i="6"/>
  <c r="AG446" i="6"/>
  <c r="AI446" i="6"/>
  <c r="AK446" i="6" s="1"/>
  <c r="M257" i="6"/>
  <c r="N213" i="6"/>
  <c r="AD207" i="6"/>
  <c r="AE213" i="6"/>
  <c r="AG212" i="6"/>
  <c r="AG213" i="6" s="1"/>
  <c r="O213" i="6"/>
  <c r="Q212" i="6"/>
  <c r="Q213" i="6" s="1"/>
  <c r="T439" i="6"/>
  <c r="AC432" i="6"/>
  <c r="AA439" i="6"/>
  <c r="K439" i="6"/>
  <c r="M432" i="6"/>
  <c r="M172" i="23"/>
  <c r="BB172" i="23" s="1"/>
  <c r="BB393" i="6"/>
  <c r="AK467" i="6"/>
  <c r="M472" i="6"/>
  <c r="Q85" i="23"/>
  <c r="Q83" i="6"/>
  <c r="Q91" i="23"/>
  <c r="AK91" i="23" s="1"/>
  <c r="Q89" i="6"/>
  <c r="Q98" i="23"/>
  <c r="Q96" i="6"/>
  <c r="Q107" i="23"/>
  <c r="Q108" i="23" s="1"/>
  <c r="Q103" i="6"/>
  <c r="Q170" i="23"/>
  <c r="BC170" i="23" s="1"/>
  <c r="BC391" i="6"/>
  <c r="Q176" i="23"/>
  <c r="Q399" i="6"/>
  <c r="R480" i="6"/>
  <c r="R479" i="6"/>
  <c r="R475" i="6"/>
  <c r="R494" i="6"/>
  <c r="R491" i="6"/>
  <c r="R496" i="6"/>
  <c r="R500" i="6"/>
  <c r="R499" i="6"/>
  <c r="R505" i="6"/>
  <c r="R503" i="6"/>
  <c r="R506" i="6"/>
  <c r="R502" i="6"/>
  <c r="R507" i="6"/>
  <c r="V466" i="6"/>
  <c r="V472" i="6"/>
  <c r="V482" i="6"/>
  <c r="V483" i="6"/>
  <c r="Y85" i="23"/>
  <c r="Y83" i="6"/>
  <c r="Y98" i="23"/>
  <c r="Y96" i="6"/>
  <c r="Y107" i="23"/>
  <c r="Y108" i="23" s="1"/>
  <c r="Y103" i="6"/>
  <c r="Y176" i="23"/>
  <c r="Y399" i="6"/>
  <c r="Z479" i="6"/>
  <c r="Z474" i="6"/>
  <c r="Z503" i="6"/>
  <c r="Z502" i="6"/>
  <c r="Z507" i="6"/>
  <c r="AC97" i="23"/>
  <c r="AC96" i="6"/>
  <c r="AC170" i="23"/>
  <c r="BF170" i="23" s="1"/>
  <c r="BF391" i="6"/>
  <c r="AC176" i="23"/>
  <c r="AC399" i="6"/>
  <c r="AD458" i="6"/>
  <c r="AD459" i="6"/>
  <c r="AD460" i="6"/>
  <c r="AD480" i="6"/>
  <c r="AD479" i="6"/>
  <c r="AD491" i="6"/>
  <c r="AD495" i="6"/>
  <c r="AD497" i="6"/>
  <c r="AD498" i="6"/>
  <c r="AD499" i="6"/>
  <c r="AD506" i="6"/>
  <c r="AD502" i="6"/>
  <c r="AD504" i="6"/>
  <c r="AG172" i="23"/>
  <c r="BG172" i="23" s="1"/>
  <c r="BG393" i="6"/>
  <c r="AH482" i="6"/>
  <c r="AH483" i="6"/>
  <c r="AH487" i="6"/>
  <c r="X186" i="6"/>
  <c r="Y181" i="6"/>
  <c r="AJ181" i="6"/>
  <c r="H186" i="6"/>
  <c r="I181" i="6"/>
  <c r="T35" i="23"/>
  <c r="T33" i="6"/>
  <c r="X35" i="23"/>
  <c r="X33" i="6"/>
  <c r="AB35" i="23"/>
  <c r="AB33" i="6"/>
  <c r="AF35" i="23"/>
  <c r="AF33" i="6"/>
  <c r="H76" i="23"/>
  <c r="AJ71" i="6"/>
  <c r="G80" i="23"/>
  <c r="I75" i="6"/>
  <c r="I98" i="23"/>
  <c r="AK93" i="6"/>
  <c r="I85" i="23"/>
  <c r="AK80" i="6"/>
  <c r="I92" i="23"/>
  <c r="AK92" i="23" s="1"/>
  <c r="AK87" i="6"/>
  <c r="H70" i="23"/>
  <c r="AJ65" i="6"/>
  <c r="G56" i="23"/>
  <c r="I51" i="6"/>
  <c r="AI160" i="6"/>
  <c r="AK160" i="6" s="1"/>
  <c r="I160" i="6"/>
  <c r="I156" i="6"/>
  <c r="H132" i="6"/>
  <c r="Z315" i="6"/>
  <c r="Z314" i="6"/>
  <c r="Z312" i="6"/>
  <c r="Z319" i="6"/>
  <c r="N397" i="6"/>
  <c r="N396" i="6"/>
  <c r="V398" i="6"/>
  <c r="V399" i="6"/>
  <c r="N482" i="6"/>
  <c r="AH480" i="6"/>
  <c r="AH475" i="6"/>
  <c r="Z500" i="6"/>
  <c r="Z499" i="6"/>
  <c r="Z494" i="6"/>
  <c r="Z493" i="6"/>
  <c r="Z496" i="6"/>
  <c r="R462" i="6"/>
  <c r="R461" i="6"/>
  <c r="R463" i="6"/>
  <c r="N412" i="6"/>
  <c r="N415" i="6"/>
  <c r="N413" i="6"/>
  <c r="N411" i="6"/>
  <c r="G231" i="6"/>
  <c r="I224" i="6"/>
  <c r="AJ454" i="6"/>
  <c r="I454" i="6"/>
  <c r="I456" i="6" s="1"/>
  <c r="AJ445" i="6"/>
  <c r="AK445" i="6" s="1"/>
  <c r="I445" i="6"/>
  <c r="AI236" i="6"/>
  <c r="I236" i="6"/>
  <c r="AJ254" i="6"/>
  <c r="H255" i="6"/>
  <c r="U438" i="6"/>
  <c r="AC184" i="6"/>
  <c r="AA186" i="6"/>
  <c r="U184" i="6"/>
  <c r="S186" i="6"/>
  <c r="M184" i="6"/>
  <c r="K186" i="6"/>
  <c r="G25" i="23"/>
  <c r="I22" i="6"/>
  <c r="H405" i="6"/>
  <c r="I109" i="23"/>
  <c r="AK104" i="6"/>
  <c r="J173" i="6"/>
  <c r="J178" i="6"/>
  <c r="AD25" i="6"/>
  <c r="AD28" i="6"/>
  <c r="Z317" i="6"/>
  <c r="Z313" i="6"/>
  <c r="AI75" i="6"/>
  <c r="AK75" i="6" s="1"/>
  <c r="K128" i="23"/>
  <c r="K293" i="6"/>
  <c r="H63" i="6"/>
  <c r="AD85" i="6"/>
  <c r="AD87" i="6"/>
  <c r="AH83" i="6"/>
  <c r="AH81" i="6"/>
  <c r="AH79" i="6"/>
  <c r="O354" i="6"/>
  <c r="AJ130" i="6"/>
  <c r="AJ132" i="6" s="1"/>
  <c r="V341" i="6"/>
  <c r="V396" i="6"/>
  <c r="N398" i="6"/>
  <c r="R460" i="6"/>
  <c r="Z491" i="6"/>
  <c r="N414" i="6"/>
  <c r="R454" i="6"/>
  <c r="R455" i="6"/>
  <c r="G241" i="6"/>
  <c r="AJ335" i="6"/>
  <c r="AJ341" i="6" s="1"/>
  <c r="H341" i="6"/>
  <c r="AJ313" i="6"/>
  <c r="H320" i="6"/>
  <c r="AI271" i="6"/>
  <c r="AK271" i="6" s="1"/>
  <c r="I271" i="6"/>
  <c r="I335" i="6"/>
  <c r="AI335" i="6"/>
  <c r="G341" i="6"/>
  <c r="AJ300" i="6"/>
  <c r="I300" i="6"/>
  <c r="I302" i="6" s="1"/>
  <c r="I273" i="6"/>
  <c r="AI273" i="6"/>
  <c r="I340" i="6"/>
  <c r="AI340" i="6"/>
  <c r="AK340" i="6" s="1"/>
  <c r="AI344" i="6"/>
  <c r="AK344" i="6" s="1"/>
  <c r="G351" i="6"/>
  <c r="AC389" i="6"/>
  <c r="G156" i="23"/>
  <c r="I377" i="6"/>
  <c r="AI377" i="6"/>
  <c r="I447" i="6"/>
  <c r="G451" i="6"/>
  <c r="H161" i="23"/>
  <c r="AJ382" i="6"/>
  <c r="AK382" i="6" s="1"/>
  <c r="AD128" i="6"/>
  <c r="AD127" i="6"/>
  <c r="AI139" i="6"/>
  <c r="I139" i="6"/>
  <c r="AI138" i="6"/>
  <c r="I138" i="6"/>
  <c r="L189" i="6"/>
  <c r="L140" i="6"/>
  <c r="L190" i="6" s="1"/>
  <c r="AJ134" i="6"/>
  <c r="Y189" i="6"/>
  <c r="K189" i="6"/>
  <c r="M189" i="6" s="1"/>
  <c r="AI134" i="6"/>
  <c r="M134" i="6"/>
  <c r="K140" i="6"/>
  <c r="K190" i="6" s="1"/>
  <c r="AK192" i="6"/>
  <c r="AI192" i="6"/>
  <c r="AI200" i="6"/>
  <c r="AB241" i="6"/>
  <c r="T241" i="6"/>
  <c r="U233" i="6"/>
  <c r="M233" i="6"/>
  <c r="L241" i="6"/>
  <c r="AK233" i="6"/>
  <c r="AG38" i="6"/>
  <c r="AF50" i="23"/>
  <c r="AJ45" i="6"/>
  <c r="AJ47" i="6" s="1"/>
  <c r="AF70" i="23"/>
  <c r="AF69" i="6"/>
  <c r="AG71" i="6"/>
  <c r="AG73" i="6"/>
  <c r="AJ73" i="6"/>
  <c r="AG75" i="6"/>
  <c r="AF162" i="6"/>
  <c r="AG154" i="6"/>
  <c r="AF169" i="6"/>
  <c r="AG262" i="6"/>
  <c r="AG265" i="6" s="1"/>
  <c r="AE265" i="6"/>
  <c r="AG264" i="6"/>
  <c r="AI264" i="6"/>
  <c r="AG275" i="6"/>
  <c r="AI275" i="6"/>
  <c r="AK275" i="6" s="1"/>
  <c r="AG289" i="6"/>
  <c r="AI289" i="6"/>
  <c r="AE310" i="6"/>
  <c r="AI304" i="6"/>
  <c r="AE320" i="6"/>
  <c r="AG314" i="6"/>
  <c r="AI314" i="6"/>
  <c r="AK314" i="6" s="1"/>
  <c r="AI327" i="6"/>
  <c r="AK327" i="6" s="1"/>
  <c r="AG327" i="6"/>
  <c r="AE341" i="6"/>
  <c r="AE351" i="6"/>
  <c r="AI343" i="6"/>
  <c r="AG343" i="6"/>
  <c r="AI347" i="6"/>
  <c r="AK347" i="6" s="1"/>
  <c r="AG347" i="6"/>
  <c r="AG353" i="6"/>
  <c r="AI353" i="6"/>
  <c r="AE140" i="23"/>
  <c r="AG361" i="6"/>
  <c r="AE365" i="6"/>
  <c r="AE146" i="23"/>
  <c r="AG367" i="6"/>
  <c r="AE371" i="6"/>
  <c r="AE148" i="23"/>
  <c r="AG369" i="6"/>
  <c r="AE152" i="23"/>
  <c r="AG373" i="6"/>
  <c r="AE154" i="23"/>
  <c r="AG375" i="6"/>
  <c r="AE156" i="23"/>
  <c r="AG377" i="6"/>
  <c r="AE158" i="23"/>
  <c r="AG379" i="6"/>
  <c r="AE160" i="23"/>
  <c r="AG381" i="6"/>
  <c r="AE166" i="23"/>
  <c r="AG387" i="6"/>
  <c r="AE405" i="6"/>
  <c r="W213" i="6"/>
  <c r="Y212" i="6"/>
  <c r="Y213" i="6" s="1"/>
  <c r="AI212" i="6"/>
  <c r="G213" i="6"/>
  <c r="AJ432" i="6"/>
  <c r="AB439" i="6"/>
  <c r="L439" i="6"/>
  <c r="U432" i="6"/>
  <c r="U439" i="6" s="1"/>
  <c r="AC437" i="6"/>
  <c r="M85" i="23"/>
  <c r="M83" i="6"/>
  <c r="M107" i="23"/>
  <c r="M108" i="23" s="1"/>
  <c r="AK102" i="6"/>
  <c r="AK217" i="6"/>
  <c r="AK227" i="6"/>
  <c r="M176" i="23"/>
  <c r="AK397" i="6"/>
  <c r="AK399" i="6" s="1"/>
  <c r="AK458" i="6"/>
  <c r="M463" i="6"/>
  <c r="AK469" i="6"/>
  <c r="AK475" i="6"/>
  <c r="AK479" i="6"/>
  <c r="AK485" i="6"/>
  <c r="M507" i="6"/>
  <c r="AK506" i="6"/>
  <c r="Q172" i="23"/>
  <c r="BC172" i="23" s="1"/>
  <c r="BC393" i="6"/>
  <c r="U85" i="23"/>
  <c r="U83" i="6"/>
  <c r="U98" i="23"/>
  <c r="U96" i="6"/>
  <c r="U107" i="23"/>
  <c r="U108" i="23" s="1"/>
  <c r="U103" i="6"/>
  <c r="U170" i="23"/>
  <c r="BD170" i="23" s="1"/>
  <c r="BD391" i="6"/>
  <c r="U463" i="6"/>
  <c r="V474" i="6"/>
  <c r="V479" i="6"/>
  <c r="U507" i="6"/>
  <c r="Y172" i="23"/>
  <c r="BE172" i="23" s="1"/>
  <c r="BE393" i="6"/>
  <c r="Z467" i="6"/>
  <c r="Z471" i="6"/>
  <c r="Z482" i="6"/>
  <c r="Z487" i="6"/>
  <c r="AC85" i="23"/>
  <c r="AC83" i="6"/>
  <c r="AC172" i="23"/>
  <c r="BF172" i="23" s="1"/>
  <c r="BF393" i="6"/>
  <c r="AD466" i="6"/>
  <c r="AD472" i="6"/>
  <c r="AD482" i="6"/>
  <c r="AD487" i="6"/>
  <c r="AG91" i="23"/>
  <c r="AG94" i="23" s="1"/>
  <c r="AG89" i="6"/>
  <c r="AG96" i="6"/>
  <c r="AG170" i="23"/>
  <c r="BG170" i="23" s="1"/>
  <c r="BG391" i="6"/>
  <c r="AG176" i="23"/>
  <c r="AG399" i="6"/>
  <c r="AG463" i="6"/>
  <c r="AG500" i="6"/>
  <c r="M32" i="6"/>
  <c r="M33" i="6" s="1"/>
  <c r="AI32" i="6"/>
  <c r="O33" i="6"/>
  <c r="Q32" i="6"/>
  <c r="Q33" i="6" s="1"/>
  <c r="S35" i="23"/>
  <c r="U32" i="6"/>
  <c r="U33" i="6" s="1"/>
  <c r="S33" i="6"/>
  <c r="W33" i="6"/>
  <c r="AA35" i="23"/>
  <c r="AA33" i="6"/>
  <c r="AC32" i="6"/>
  <c r="AC33" i="6" s="1"/>
  <c r="AE35" i="23"/>
  <c r="AE33" i="6"/>
  <c r="G405" i="6"/>
  <c r="G222" i="6"/>
  <c r="H333" i="6"/>
  <c r="AJ331" i="6"/>
  <c r="I324" i="6"/>
  <c r="AJ324" i="6"/>
  <c r="AI300" i="6"/>
  <c r="AK300" i="6" s="1"/>
  <c r="AI296" i="6"/>
  <c r="I268" i="6"/>
  <c r="AJ268" i="6"/>
  <c r="G158" i="23"/>
  <c r="AI379" i="6"/>
  <c r="AK379" i="6" s="1"/>
  <c r="G165" i="23"/>
  <c r="AI386" i="6"/>
  <c r="I386" i="6"/>
  <c r="G157" i="23"/>
  <c r="AI378" i="6"/>
  <c r="G147" i="23"/>
  <c r="AI368" i="6"/>
  <c r="AK368" i="6" s="1"/>
  <c r="G142" i="23"/>
  <c r="AI363" i="6"/>
  <c r="AK363" i="6" s="1"/>
  <c r="H166" i="23"/>
  <c r="H389" i="6"/>
  <c r="H156" i="23"/>
  <c r="AJ377" i="6"/>
  <c r="H149" i="23"/>
  <c r="AJ370" i="6"/>
  <c r="AK502" i="6"/>
  <c r="AK487" i="6"/>
  <c r="AK462" i="6"/>
  <c r="AJ448" i="6"/>
  <c r="AJ428" i="6"/>
  <c r="I428" i="6"/>
  <c r="I430" i="6" s="1"/>
  <c r="AJ422" i="6"/>
  <c r="AJ419" i="6"/>
  <c r="I413" i="6"/>
  <c r="I415" i="6" s="1"/>
  <c r="G415" i="6"/>
  <c r="G51" i="23"/>
  <c r="AI46" i="6"/>
  <c r="AI278" i="6"/>
  <c r="AK278" i="6" s="1"/>
  <c r="V120" i="6"/>
  <c r="V125" i="6"/>
  <c r="V127" i="6"/>
  <c r="V123" i="6"/>
  <c r="V118" i="6"/>
  <c r="V122" i="6"/>
  <c r="V126" i="6"/>
  <c r="AC405" i="6"/>
  <c r="Y405" i="6"/>
  <c r="M279" i="6"/>
  <c r="AI279" i="6"/>
  <c r="AK279" i="6" s="1"/>
  <c r="AC318" i="6"/>
  <c r="AI318" i="6"/>
  <c r="AK318" i="6" s="1"/>
  <c r="AA155" i="23"/>
  <c r="AC155" i="23" s="1"/>
  <c r="AC376" i="6"/>
  <c r="AC340" i="6"/>
  <c r="AA158" i="23"/>
  <c r="AC379" i="6"/>
  <c r="AC325" i="6"/>
  <c r="AC328" i="6" s="1"/>
  <c r="AB292" i="6"/>
  <c r="AC287" i="6"/>
  <c r="AA423" i="6"/>
  <c r="AB156" i="23"/>
  <c r="AC377" i="6"/>
  <c r="AA265" i="6"/>
  <c r="AA147" i="23"/>
  <c r="AA371" i="6"/>
  <c r="AA142" i="23"/>
  <c r="AA365" i="6"/>
  <c r="AC161" i="6"/>
  <c r="W156" i="23"/>
  <c r="Y377" i="6"/>
  <c r="Y271" i="6"/>
  <c r="Y296" i="6"/>
  <c r="W146" i="23"/>
  <c r="Y367" i="6"/>
  <c r="X77" i="23"/>
  <c r="Y72" i="6"/>
  <c r="Y76" i="6" s="1"/>
  <c r="AI444" i="6"/>
  <c r="AK444" i="6" s="1"/>
  <c r="W154" i="23"/>
  <c r="Y375" i="6"/>
  <c r="T143" i="23"/>
  <c r="U364" i="6"/>
  <c r="AI422" i="6"/>
  <c r="AK422" i="6" s="1"/>
  <c r="K167" i="23"/>
  <c r="M388" i="6"/>
  <c r="K389" i="6"/>
  <c r="K147" i="23"/>
  <c r="K371" i="6"/>
  <c r="M368" i="6"/>
  <c r="AJ348" i="6"/>
  <c r="M348" i="6"/>
  <c r="O147" i="23"/>
  <c r="Q368" i="6"/>
  <c r="O155" i="23"/>
  <c r="Q376" i="6"/>
  <c r="AJ287" i="6"/>
  <c r="F98" i="25" s="1"/>
  <c r="S146" i="23"/>
  <c r="U367" i="6"/>
  <c r="O291" i="6"/>
  <c r="AI263" i="6"/>
  <c r="AK263" i="6" s="1"/>
  <c r="Q419" i="6"/>
  <c r="AI419" i="6"/>
  <c r="K160" i="23"/>
  <c r="M381" i="6"/>
  <c r="K152" i="23"/>
  <c r="M373" i="6"/>
  <c r="AI373" i="6"/>
  <c r="M277" i="6"/>
  <c r="AJ277" i="6"/>
  <c r="AK277" i="6" s="1"/>
  <c r="AJ264" i="6"/>
  <c r="K148" i="23"/>
  <c r="M369" i="6"/>
  <c r="AI369" i="6"/>
  <c r="K51" i="23"/>
  <c r="M46" i="6"/>
  <c r="M47" i="6" s="1"/>
  <c r="K222" i="6"/>
  <c r="AI216" i="6"/>
  <c r="M271" i="6"/>
  <c r="L141" i="23"/>
  <c r="L365" i="6"/>
  <c r="L148" i="23"/>
  <c r="AJ369" i="6"/>
  <c r="L158" i="23"/>
  <c r="M379" i="6"/>
  <c r="L159" i="23"/>
  <c r="M159" i="23" s="1"/>
  <c r="AJ380" i="6"/>
  <c r="AK380" i="6" s="1"/>
  <c r="M380" i="6"/>
  <c r="M455" i="6"/>
  <c r="AI455" i="6"/>
  <c r="AK455" i="6" s="1"/>
  <c r="M421" i="6"/>
  <c r="L423" i="6"/>
  <c r="AI312" i="6"/>
  <c r="O320" i="6"/>
  <c r="P333" i="6"/>
  <c r="Q331" i="6"/>
  <c r="Q333" i="6" s="1"/>
  <c r="AI332" i="6"/>
  <c r="AK332" i="6" s="1"/>
  <c r="P146" i="23"/>
  <c r="Q367" i="6"/>
  <c r="P371" i="6"/>
  <c r="P148" i="23"/>
  <c r="Q369" i="6"/>
  <c r="P152" i="23"/>
  <c r="Q373" i="6"/>
  <c r="AJ417" i="6"/>
  <c r="AJ425" i="6"/>
  <c r="P430" i="6"/>
  <c r="AI426" i="6"/>
  <c r="P451" i="6"/>
  <c r="AJ346" i="6"/>
  <c r="O159" i="23"/>
  <c r="Q159" i="23" s="1"/>
  <c r="Q380" i="6"/>
  <c r="Q412" i="6"/>
  <c r="AI412" i="6"/>
  <c r="U274" i="6"/>
  <c r="AI326" i="6"/>
  <c r="AK326" i="6" s="1"/>
  <c r="U326" i="6"/>
  <c r="U328" i="6" s="1"/>
  <c r="S140" i="23"/>
  <c r="S365" i="6"/>
  <c r="S152" i="23"/>
  <c r="U373" i="6"/>
  <c r="U273" i="6"/>
  <c r="AJ273" i="6"/>
  <c r="T141" i="23"/>
  <c r="U141" i="23" s="1"/>
  <c r="T365" i="6"/>
  <c r="S154" i="23"/>
  <c r="U375" i="6"/>
  <c r="T415" i="6"/>
  <c r="U419" i="6"/>
  <c r="U423" i="6" s="1"/>
  <c r="U427" i="6"/>
  <c r="U430" i="6" s="1"/>
  <c r="S451" i="6"/>
  <c r="AI448" i="6"/>
  <c r="U448" i="6"/>
  <c r="W265" i="6"/>
  <c r="Y264" i="6"/>
  <c r="Y265" i="6" s="1"/>
  <c r="Y349" i="6"/>
  <c r="Y351" i="6" s="1"/>
  <c r="X153" i="23"/>
  <c r="Y374" i="6"/>
  <c r="AC336" i="6"/>
  <c r="AA341" i="6"/>
  <c r="AB456" i="6"/>
  <c r="AI136" i="6"/>
  <c r="AK136" i="6" s="1"/>
  <c r="AK198" i="6"/>
  <c r="AI198" i="6"/>
  <c r="AI238" i="6"/>
  <c r="AK238" i="6" s="1"/>
  <c r="AJ235" i="6"/>
  <c r="AK235" i="6" s="1"/>
  <c r="AA241" i="6"/>
  <c r="S241" i="6"/>
  <c r="AF257" i="6"/>
  <c r="AJ212" i="6"/>
  <c r="H213" i="6"/>
  <c r="X185" i="23"/>
  <c r="X186" i="23" s="1"/>
  <c r="X407" i="6"/>
  <c r="AE255" i="6"/>
  <c r="AG254" i="6"/>
  <c r="AG255" i="6" s="1"/>
  <c r="Q254" i="6"/>
  <c r="Q255" i="6" s="1"/>
  <c r="O255" i="6"/>
  <c r="AI253" i="6"/>
  <c r="E140" i="25" s="1"/>
  <c r="G255" i="6"/>
  <c r="T147" i="23"/>
  <c r="U145" i="25"/>
  <c r="M35" i="26" s="1"/>
  <c r="G146" i="25"/>
  <c r="I128" i="23"/>
  <c r="AK219" i="6"/>
  <c r="AG241" i="6"/>
  <c r="AI336" i="6"/>
  <c r="AK336" i="6" s="1"/>
  <c r="AI319" i="6"/>
  <c r="AK319" i="6" s="1"/>
  <c r="G320" i="6"/>
  <c r="AI298" i="6"/>
  <c r="AK298" i="6" s="1"/>
  <c r="H291" i="6"/>
  <c r="BP337" i="6"/>
  <c r="AJ337" i="6"/>
  <c r="BH306" i="6"/>
  <c r="AI306" i="6"/>
  <c r="AK306" i="6"/>
  <c r="G160" i="23"/>
  <c r="AI381" i="6"/>
  <c r="G141" i="23"/>
  <c r="I362" i="6"/>
  <c r="G167" i="23"/>
  <c r="I388" i="6"/>
  <c r="G155" i="23"/>
  <c r="AI376" i="6"/>
  <c r="AK376" i="6" s="1"/>
  <c r="G159" i="23"/>
  <c r="I380" i="6"/>
  <c r="G153" i="23"/>
  <c r="I374" i="6"/>
  <c r="H146" i="23"/>
  <c r="AJ367" i="6"/>
  <c r="AK367" i="6" s="1"/>
  <c r="G140" i="23"/>
  <c r="AI361" i="6"/>
  <c r="G365" i="6"/>
  <c r="G154" i="23"/>
  <c r="I375" i="6"/>
  <c r="G146" i="23"/>
  <c r="G371" i="6"/>
  <c r="H141" i="23"/>
  <c r="H365" i="6"/>
  <c r="Y415" i="6"/>
  <c r="I450" i="6"/>
  <c r="AJ450" i="6"/>
  <c r="AK450" i="6" s="1"/>
  <c r="H451" i="6"/>
  <c r="AJ426" i="6"/>
  <c r="AK471" i="6"/>
  <c r="AI429" i="6"/>
  <c r="AK429" i="6" s="1"/>
  <c r="AJ412" i="6"/>
  <c r="I165" i="6"/>
  <c r="I169" i="6" s="1"/>
  <c r="AJ165" i="6"/>
  <c r="G161" i="23"/>
  <c r="I382" i="6"/>
  <c r="AK119" i="6"/>
  <c r="AK123" i="6"/>
  <c r="AG15" i="6"/>
  <c r="AK11" i="6"/>
  <c r="P405" i="6"/>
  <c r="AC445" i="6"/>
  <c r="AC412" i="6"/>
  <c r="AC415" i="6" s="1"/>
  <c r="AC350" i="6"/>
  <c r="AA231" i="6"/>
  <c r="AA451" i="6"/>
  <c r="AC419" i="6"/>
  <c r="AC273" i="6"/>
  <c r="AB451" i="6"/>
  <c r="AB161" i="23"/>
  <c r="AC382" i="6"/>
  <c r="AA351" i="6"/>
  <c r="AC347" i="6"/>
  <c r="AB291" i="6"/>
  <c r="AC157" i="6"/>
  <c r="W166" i="23"/>
  <c r="Y387" i="6"/>
  <c r="W143" i="23"/>
  <c r="Y364" i="6"/>
  <c r="W365" i="6"/>
  <c r="AI331" i="6"/>
  <c r="Y331" i="6"/>
  <c r="Y333" i="6" s="1"/>
  <c r="AI243" i="6"/>
  <c r="Y243" i="6"/>
  <c r="Y246" i="6" s="1"/>
  <c r="W158" i="23"/>
  <c r="Y379" i="6"/>
  <c r="W292" i="6"/>
  <c r="Y289" i="6"/>
  <c r="T153" i="23"/>
  <c r="AJ374" i="6"/>
  <c r="X291" i="6"/>
  <c r="S158" i="23"/>
  <c r="U379" i="6"/>
  <c r="U350" i="6"/>
  <c r="U46" i="6"/>
  <c r="U47" i="6" s="1"/>
  <c r="W147" i="23"/>
  <c r="Y368" i="6"/>
  <c r="U413" i="6"/>
  <c r="U415" i="6" s="1"/>
  <c r="AI276" i="6"/>
  <c r="AJ343" i="6"/>
  <c r="S292" i="6"/>
  <c r="U289" i="6"/>
  <c r="AI313" i="6"/>
  <c r="AK313" i="6" s="1"/>
  <c r="AI230" i="6"/>
  <c r="AK230" i="6" s="1"/>
  <c r="M443" i="6"/>
  <c r="AI443" i="6"/>
  <c r="AK443" i="6" s="1"/>
  <c r="K161" i="23"/>
  <c r="M382" i="6"/>
  <c r="K141" i="23"/>
  <c r="K365" i="6"/>
  <c r="M362" i="6"/>
  <c r="T320" i="6"/>
  <c r="U312" i="6"/>
  <c r="U320" i="6" s="1"/>
  <c r="Q420" i="6"/>
  <c r="AI420" i="6"/>
  <c r="AK420" i="6" s="1"/>
  <c r="L430" i="6"/>
  <c r="M427" i="6"/>
  <c r="L146" i="23"/>
  <c r="L371" i="6"/>
  <c r="AI315" i="6"/>
  <c r="U269" i="6"/>
  <c r="AJ269" i="6"/>
  <c r="AK269" i="6" s="1"/>
  <c r="AI348" i="6"/>
  <c r="AK348" i="6" s="1"/>
  <c r="Q264" i="6"/>
  <c r="K156" i="23"/>
  <c r="M377" i="6"/>
  <c r="M323" i="6"/>
  <c r="M328" i="6" s="1"/>
  <c r="AJ323" i="6"/>
  <c r="L246" i="6"/>
  <c r="M243" i="6"/>
  <c r="L291" i="6"/>
  <c r="L351" i="6"/>
  <c r="L143" i="23"/>
  <c r="M364" i="6"/>
  <c r="AI454" i="6"/>
  <c r="M454" i="6"/>
  <c r="M456" i="6" s="1"/>
  <c r="AI414" i="6"/>
  <c r="AK414" i="6" s="1"/>
  <c r="O231" i="6"/>
  <c r="AJ262" i="6"/>
  <c r="Q287" i="6"/>
  <c r="Q292" i="6" s="1"/>
  <c r="Q300" i="6"/>
  <c r="Q305" i="6"/>
  <c r="Q310" i="6" s="1"/>
  <c r="AJ305" i="6"/>
  <c r="AK305" i="6" s="1"/>
  <c r="P351" i="6"/>
  <c r="O143" i="23"/>
  <c r="Q143" i="23" s="1"/>
  <c r="Q364" i="6"/>
  <c r="AI364" i="6"/>
  <c r="P165" i="23"/>
  <c r="P389" i="6"/>
  <c r="AI425" i="6"/>
  <c r="Q425" i="6"/>
  <c r="AI370" i="6"/>
  <c r="O165" i="23"/>
  <c r="Q386" i="6"/>
  <c r="Q389" i="6" s="1"/>
  <c r="Q418" i="6"/>
  <c r="O423" i="6"/>
  <c r="U309" i="6"/>
  <c r="S310" i="6"/>
  <c r="AI317" i="6"/>
  <c r="T146" i="23"/>
  <c r="T371" i="6"/>
  <c r="S166" i="23"/>
  <c r="AI387" i="6"/>
  <c r="AK387" i="6" s="1"/>
  <c r="U387" i="6"/>
  <c r="U389" i="6" s="1"/>
  <c r="T167" i="23"/>
  <c r="T389" i="6"/>
  <c r="T451" i="6"/>
  <c r="S265" i="6"/>
  <c r="U343" i="6"/>
  <c r="S142" i="23"/>
  <c r="U363" i="6"/>
  <c r="S423" i="6"/>
  <c r="X320" i="6"/>
  <c r="AJ316" i="6"/>
  <c r="AK316" i="6" s="1"/>
  <c r="X333" i="6"/>
  <c r="X142" i="23"/>
  <c r="X365" i="6"/>
  <c r="W165" i="23"/>
  <c r="Y386" i="6"/>
  <c r="Y445" i="6"/>
  <c r="Y449" i="6"/>
  <c r="H190" i="6"/>
  <c r="AJ139" i="6"/>
  <c r="I137" i="6"/>
  <c r="AJ137" i="6"/>
  <c r="AK137" i="6" s="1"/>
  <c r="T189" i="6"/>
  <c r="T140" i="6"/>
  <c r="T190" i="6" s="1"/>
  <c r="AG189" i="6"/>
  <c r="S140" i="6"/>
  <c r="S190" i="6" s="1"/>
  <c r="S189" i="6"/>
  <c r="U189" i="6" s="1"/>
  <c r="U134" i="6"/>
  <c r="U140" i="6" s="1"/>
  <c r="AJ193" i="6"/>
  <c r="BJ193" i="6"/>
  <c r="AJ239" i="6"/>
  <c r="AK239" i="6" s="1"/>
  <c r="I239" i="6"/>
  <c r="W241" i="6"/>
  <c r="O241" i="6"/>
  <c r="AI234" i="6"/>
  <c r="I234" i="6"/>
  <c r="AK433" i="6"/>
  <c r="AC433" i="6"/>
  <c r="AI254" i="6"/>
  <c r="I254" i="6"/>
  <c r="I255" i="6" s="1"/>
  <c r="I171" i="23"/>
  <c r="BA171" i="23" s="1"/>
  <c r="BA392" i="6"/>
  <c r="AK392" i="6" s="1"/>
  <c r="AG182" i="6"/>
  <c r="AE186" i="6"/>
  <c r="Y182" i="6"/>
  <c r="W186" i="6"/>
  <c r="Q182" i="6"/>
  <c r="O186" i="6"/>
  <c r="AI182" i="6"/>
  <c r="G186" i="6"/>
  <c r="I108" i="23"/>
  <c r="O149" i="23"/>
  <c r="BH337" i="6"/>
  <c r="AK337" i="6"/>
  <c r="Y94" i="23"/>
  <c r="AG181" i="6"/>
  <c r="Q181" i="6"/>
  <c r="AI181" i="6"/>
  <c r="AK338" i="6"/>
  <c r="AJ306" i="6"/>
  <c r="BP306" i="6"/>
  <c r="AI307" i="6"/>
  <c r="AI338" i="6"/>
  <c r="BH339" i="6"/>
  <c r="AB405" i="6"/>
  <c r="O405" i="6"/>
  <c r="AK406" i="6"/>
  <c r="AK407" i="6" s="1"/>
  <c r="M94" i="23"/>
  <c r="U94" i="23"/>
  <c r="AC94" i="23"/>
  <c r="AI183" i="6"/>
  <c r="AC181" i="6"/>
  <c r="U181" i="6"/>
  <c r="U186" i="6" s="1"/>
  <c r="V186" i="6" s="1"/>
  <c r="M181" i="6"/>
  <c r="AJ183" i="6"/>
  <c r="G185" i="23"/>
  <c r="G186" i="23" s="1"/>
  <c r="O185" i="23"/>
  <c r="O186" i="23" s="1"/>
  <c r="AC185" i="23"/>
  <c r="AC186" i="23" s="1"/>
  <c r="AJ185" i="6"/>
  <c r="F95" i="25" s="1"/>
  <c r="AI206" i="6"/>
  <c r="H128" i="6"/>
  <c r="H123" i="23" s="1"/>
  <c r="AI211" i="6"/>
  <c r="AJ175" i="6"/>
  <c r="AK175" i="6" s="1"/>
  <c r="AI174" i="6"/>
  <c r="AI207" i="6"/>
  <c r="BP436" i="6"/>
  <c r="W24" i="23"/>
  <c r="W23" i="6"/>
  <c r="W17" i="6" s="1"/>
  <c r="AI185" i="6"/>
  <c r="AJ176" i="6"/>
  <c r="AE23" i="6"/>
  <c r="AE17" i="6" s="1"/>
  <c r="AE24" i="23"/>
  <c r="AJ249" i="6"/>
  <c r="AK194" i="6"/>
  <c r="G118" i="25" s="1"/>
  <c r="AI194" i="6"/>
  <c r="E118" i="25" s="1"/>
  <c r="E114" i="25"/>
  <c r="E150" i="25"/>
  <c r="AJ173" i="6"/>
  <c r="AI177" i="6"/>
  <c r="S23" i="6"/>
  <c r="S17" i="6" s="1"/>
  <c r="S24" i="23"/>
  <c r="AJ411" i="6"/>
  <c r="K23" i="6"/>
  <c r="K17" i="6" s="1"/>
  <c r="K24" i="23"/>
  <c r="B14" i="22"/>
  <c r="M26" i="25"/>
  <c r="AJ406" i="6"/>
  <c r="AJ407" i="6" s="1"/>
  <c r="Y185" i="23"/>
  <c r="Y186" i="23" s="1"/>
  <c r="AI406" i="6"/>
  <c r="AI407" i="6" s="1"/>
  <c r="H185" i="23"/>
  <c r="H186" i="23" s="1"/>
  <c r="P185" i="23"/>
  <c r="P186" i="23" s="1"/>
  <c r="U185" i="23"/>
  <c r="U186" i="23" s="1"/>
  <c r="T185" i="23"/>
  <c r="T186" i="23" s="1"/>
  <c r="I407" i="6"/>
  <c r="L405" i="6"/>
  <c r="S405" i="6"/>
  <c r="AI404" i="6"/>
  <c r="Q185" i="23"/>
  <c r="Q186" i="23" s="1"/>
  <c r="AA185" i="23"/>
  <c r="AA186" i="23" s="1"/>
  <c r="AK265" i="7"/>
  <c r="AK266" i="7" s="1"/>
  <c r="H266" i="7"/>
  <c r="AB264" i="7"/>
  <c r="K185" i="23"/>
  <c r="K186" i="23" s="1"/>
  <c r="I185" i="23"/>
  <c r="W264" i="7"/>
  <c r="AI265" i="7"/>
  <c r="AI266" i="7" s="1"/>
  <c r="O264" i="7"/>
  <c r="P266" i="7"/>
  <c r="U266" i="7"/>
  <c r="AJ265" i="7"/>
  <c r="AJ266" i="7" s="1"/>
  <c r="AE264" i="7"/>
  <c r="AA264" i="7"/>
  <c r="U264" i="7"/>
  <c r="V264" i="7" s="1"/>
  <c r="L264" i="7"/>
  <c r="AI263" i="7"/>
  <c r="AF264" i="7"/>
  <c r="T264" i="7"/>
  <c r="T181" i="23" s="1"/>
  <c r="J402" i="6"/>
  <c r="AG264" i="7"/>
  <c r="AH264" i="7" s="1"/>
  <c r="P264" i="7"/>
  <c r="Q264" i="7"/>
  <c r="R261" i="7" s="1"/>
  <c r="G264" i="7"/>
  <c r="AI261" i="7"/>
  <c r="AC264" i="7"/>
  <c r="AD262" i="7" s="1"/>
  <c r="K264" i="7"/>
  <c r="K183" i="23" s="1"/>
  <c r="Y264" i="7"/>
  <c r="Z264" i="7" s="1"/>
  <c r="J404" i="6"/>
  <c r="J405" i="6"/>
  <c r="V262" i="7"/>
  <c r="AF184" i="23"/>
  <c r="AJ263" i="7"/>
  <c r="AJ261" i="7"/>
  <c r="X264" i="7"/>
  <c r="X183" i="23" s="1"/>
  <c r="I264" i="7"/>
  <c r="I181" i="23" s="1"/>
  <c r="S264" i="7"/>
  <c r="M264" i="7"/>
  <c r="H264" i="7"/>
  <c r="AI262" i="7"/>
  <c r="V402" i="6"/>
  <c r="V405" i="6"/>
  <c r="V404" i="6"/>
  <c r="V403" i="6"/>
  <c r="AD405" i="6"/>
  <c r="AD403" i="6"/>
  <c r="AD402" i="6"/>
  <c r="AD404" i="6"/>
  <c r="Z402" i="6"/>
  <c r="Z405" i="6"/>
  <c r="Z404" i="6"/>
  <c r="Z403" i="6"/>
  <c r="O184" i="23"/>
  <c r="AJ402" i="6"/>
  <c r="Q405" i="6"/>
  <c r="AI402" i="6"/>
  <c r="AA405" i="6"/>
  <c r="AJ403" i="6"/>
  <c r="W405" i="6"/>
  <c r="AI403" i="6"/>
  <c r="AG405" i="6"/>
  <c r="M335" i="20"/>
  <c r="M336" i="20" s="1"/>
  <c r="M376" i="20"/>
  <c r="M382" i="20" s="1"/>
  <c r="M385" i="20" s="1"/>
  <c r="N330" i="20"/>
  <c r="L335" i="20"/>
  <c r="L336" i="20" s="1"/>
  <c r="L376" i="20"/>
  <c r="L382" i="20" s="1"/>
  <c r="L385" i="20" s="1"/>
  <c r="L384" i="20" s="1"/>
  <c r="I376" i="20"/>
  <c r="I382" i="20" s="1"/>
  <c r="I385" i="20" s="1"/>
  <c r="I384" i="20" s="1"/>
  <c r="N335" i="20"/>
  <c r="O335" i="20" s="1"/>
  <c r="M384" i="20"/>
  <c r="K384" i="20"/>
  <c r="J384" i="20"/>
  <c r="O329" i="20"/>
  <c r="O326" i="20"/>
  <c r="AW278" i="16"/>
  <c r="T214" i="7" s="1"/>
  <c r="BL214" i="7" s="1"/>
  <c r="AJ214" i="7" s="1"/>
  <c r="AY278" i="16"/>
  <c r="T216" i="7" s="1"/>
  <c r="BL216" i="7" s="1"/>
  <c r="AJ216" i="7" s="1"/>
  <c r="F168" i="25" s="1"/>
  <c r="F169" i="25" s="1"/>
  <c r="AA278" i="16"/>
  <c r="U214" i="7" s="1"/>
  <c r="AX229" i="16"/>
  <c r="T198" i="7" s="1"/>
  <c r="AJ198" i="7" s="1"/>
  <c r="AK197" i="7"/>
  <c r="BP197" i="7"/>
  <c r="AJ197" i="7"/>
  <c r="AX278" i="16"/>
  <c r="T215" i="7" s="1"/>
  <c r="BL215" i="7" s="1"/>
  <c r="AB278" i="16"/>
  <c r="U215" i="7" s="1"/>
  <c r="AC278" i="16"/>
  <c r="U216" i="7" s="1"/>
  <c r="L312" i="20"/>
  <c r="L314" i="20"/>
  <c r="N314" i="20" s="1"/>
  <c r="O314" i="20" s="1"/>
  <c r="L313" i="20"/>
  <c r="N313" i="20" s="1"/>
  <c r="O313" i="20" s="1"/>
  <c r="A3" i="3"/>
  <c r="G3" i="24"/>
  <c r="A3" i="9"/>
  <c r="A3" i="15"/>
  <c r="A3" i="18"/>
  <c r="G123" i="25"/>
  <c r="X123" i="25" s="1"/>
  <c r="W8" i="7" l="1"/>
  <c r="O8" i="7"/>
  <c r="K8" i="7"/>
  <c r="G8" i="23"/>
  <c r="AE8" i="7"/>
  <c r="S8" i="7"/>
  <c r="U123" i="25"/>
  <c r="M28" i="26" s="1"/>
  <c r="N64" i="20"/>
  <c r="P63" i="20" s="1"/>
  <c r="R63" i="20" s="1"/>
  <c r="L399" i="20"/>
  <c r="L426" i="20"/>
  <c r="L412" i="20"/>
  <c r="L406" i="20"/>
  <c r="L415" i="20"/>
  <c r="L420" i="20"/>
  <c r="B23" i="22"/>
  <c r="N73" i="20"/>
  <c r="O43" i="20"/>
  <c r="O46" i="20"/>
  <c r="O44" i="20"/>
  <c r="N51" i="20"/>
  <c r="O42" i="20"/>
  <c r="O41" i="20"/>
  <c r="L219" i="20"/>
  <c r="L150" i="20"/>
  <c r="N50" i="20"/>
  <c r="AA147" i="7"/>
  <c r="L141" i="7"/>
  <c r="AZ163" i="14"/>
  <c r="K141" i="7"/>
  <c r="M141" i="7" s="1"/>
  <c r="M147" i="7" s="1"/>
  <c r="Y163" i="14"/>
  <c r="AT163" i="14"/>
  <c r="AD96" i="7"/>
  <c r="AD95" i="7"/>
  <c r="Z47" i="14"/>
  <c r="Z54" i="14"/>
  <c r="Z53" i="14"/>
  <c r="Z56" i="14"/>
  <c r="Z58" i="14"/>
  <c r="Z51" i="14"/>
  <c r="Z48" i="14"/>
  <c r="Z49" i="14"/>
  <c r="Z46" i="14"/>
  <c r="Z50" i="14"/>
  <c r="Z44" i="14"/>
  <c r="Z52" i="14"/>
  <c r="Z57" i="14"/>
  <c r="Z55" i="14"/>
  <c r="Z45" i="14"/>
  <c r="AU138" i="17"/>
  <c r="AU139" i="17"/>
  <c r="AU137" i="17"/>
  <c r="AC50" i="23"/>
  <c r="AC159" i="23"/>
  <c r="AU52" i="17"/>
  <c r="AU47" i="17"/>
  <c r="AU53" i="17"/>
  <c r="AU48" i="17"/>
  <c r="AU54" i="17"/>
  <c r="AU49" i="17"/>
  <c r="AU55" i="17"/>
  <c r="AU50" i="17"/>
  <c r="AU45" i="17"/>
  <c r="AU56" i="17"/>
  <c r="AU51" i="17"/>
  <c r="AU46" i="17"/>
  <c r="AU44" i="17"/>
  <c r="AU57" i="17"/>
  <c r="AU58" i="17"/>
  <c r="AU51" i="15"/>
  <c r="AU44" i="15"/>
  <c r="AU55" i="15"/>
  <c r="AU56" i="15"/>
  <c r="AU46" i="15"/>
  <c r="AU57" i="15"/>
  <c r="AU52" i="15"/>
  <c r="AU50" i="15"/>
  <c r="AU58" i="15"/>
  <c r="AU53" i="15"/>
  <c r="AU48" i="15"/>
  <c r="AU47" i="15"/>
  <c r="AU45" i="15"/>
  <c r="AU49" i="15"/>
  <c r="AU54" i="15"/>
  <c r="Q78" i="23"/>
  <c r="BA49" i="19"/>
  <c r="BA56" i="19"/>
  <c r="BA47" i="19"/>
  <c r="BA44" i="19"/>
  <c r="BA58" i="19"/>
  <c r="BA57" i="19"/>
  <c r="BA46" i="19"/>
  <c r="BA53" i="19"/>
  <c r="BA51" i="19"/>
  <c r="BA54" i="19"/>
  <c r="BA45" i="19"/>
  <c r="BA50" i="19"/>
  <c r="BA52" i="19"/>
  <c r="N79" i="7"/>
  <c r="N82" i="7"/>
  <c r="AH92" i="7"/>
  <c r="AH93" i="7"/>
  <c r="AU26" i="17"/>
  <c r="AU24" i="17"/>
  <c r="BA137" i="15"/>
  <c r="BA139" i="15"/>
  <c r="BA138" i="15"/>
  <c r="AK50" i="7"/>
  <c r="V81" i="7"/>
  <c r="V82" i="7"/>
  <c r="V79" i="7"/>
  <c r="AT41" i="17"/>
  <c r="AG71" i="7"/>
  <c r="AZ58" i="17"/>
  <c r="BA18" i="15"/>
  <c r="BA20" i="15"/>
  <c r="BA19" i="15"/>
  <c r="U153" i="23"/>
  <c r="M51" i="23"/>
  <c r="K35" i="23"/>
  <c r="AG98" i="23"/>
  <c r="AF80" i="23"/>
  <c r="AF81" i="23" s="1"/>
  <c r="AF76" i="23"/>
  <c r="P71" i="23"/>
  <c r="AE59" i="23"/>
  <c r="AB54" i="23"/>
  <c r="AJ54" i="23" s="1"/>
  <c r="U159" i="23"/>
  <c r="X79" i="23"/>
  <c r="AC79" i="23"/>
  <c r="S34" i="23"/>
  <c r="AJ124" i="7"/>
  <c r="M50" i="7"/>
  <c r="AJ62" i="7"/>
  <c r="AK62" i="7" s="1"/>
  <c r="AJ49" i="7"/>
  <c r="AI57" i="7"/>
  <c r="AA34" i="23"/>
  <c r="AJ45" i="7"/>
  <c r="AK45" i="7" s="1"/>
  <c r="X61" i="23"/>
  <c r="W57" i="23"/>
  <c r="P76" i="7"/>
  <c r="Q129" i="7"/>
  <c r="AI73" i="7"/>
  <c r="M123" i="7"/>
  <c r="M139" i="7"/>
  <c r="Q122" i="7"/>
  <c r="Q125" i="7" s="1"/>
  <c r="O63" i="7"/>
  <c r="U45" i="7"/>
  <c r="AC83" i="7"/>
  <c r="AC45" i="7"/>
  <c r="AC47" i="7" s="1"/>
  <c r="Q27" i="7"/>
  <c r="Y135" i="7"/>
  <c r="AJ140" i="7"/>
  <c r="AI134" i="7"/>
  <c r="O69" i="7"/>
  <c r="L147" i="7"/>
  <c r="AI75" i="7"/>
  <c r="AT41" i="16"/>
  <c r="AU39" i="16" s="1"/>
  <c r="Y151" i="14"/>
  <c r="AT26" i="16"/>
  <c r="AZ20" i="18"/>
  <c r="AT169" i="14"/>
  <c r="AU159" i="14" s="1"/>
  <c r="AF147" i="7"/>
  <c r="AZ145" i="16"/>
  <c r="AT65" i="16"/>
  <c r="AJ66" i="7"/>
  <c r="S47" i="7"/>
  <c r="AJ27" i="7"/>
  <c r="AA47" i="7"/>
  <c r="BA49" i="15"/>
  <c r="Z32" i="16"/>
  <c r="AT169" i="19"/>
  <c r="AU68" i="19"/>
  <c r="Y125" i="16"/>
  <c r="O76" i="7"/>
  <c r="Z40" i="19"/>
  <c r="AF63" i="7"/>
  <c r="AZ73" i="17"/>
  <c r="BA69" i="17" s="1"/>
  <c r="Q33" i="7"/>
  <c r="AI56" i="18"/>
  <c r="AT26" i="15"/>
  <c r="AI129" i="7"/>
  <c r="AI31" i="14"/>
  <c r="S129" i="17"/>
  <c r="S132" i="17" s="1"/>
  <c r="S133" i="17" s="1"/>
  <c r="S126" i="17"/>
  <c r="X63" i="7"/>
  <c r="Z58" i="15"/>
  <c r="Z55" i="15"/>
  <c r="Z54" i="15"/>
  <c r="Z47" i="15"/>
  <c r="Z56" i="15"/>
  <c r="Z50" i="15"/>
  <c r="Z48" i="15"/>
  <c r="Z46" i="15"/>
  <c r="AZ58" i="14"/>
  <c r="AU138" i="14"/>
  <c r="AU137" i="14"/>
  <c r="AU139" i="14"/>
  <c r="Y62" i="7"/>
  <c r="BA145" i="18"/>
  <c r="BA144" i="18"/>
  <c r="O125" i="23"/>
  <c r="Q125" i="23" s="1"/>
  <c r="Q119" i="7"/>
  <c r="Y56" i="7"/>
  <c r="AI47" i="19"/>
  <c r="AI57" i="19"/>
  <c r="AI48" i="19"/>
  <c r="W125" i="23"/>
  <c r="Y125" i="23" s="1"/>
  <c r="Y119" i="7"/>
  <c r="Y120" i="7" s="1"/>
  <c r="Q36" i="7"/>
  <c r="P37" i="7" s="1"/>
  <c r="AG38" i="7"/>
  <c r="AJ75" i="7"/>
  <c r="AC36" i="7"/>
  <c r="AB37" i="7" s="1"/>
  <c r="AZ58" i="16"/>
  <c r="BA44" i="16" s="1"/>
  <c r="AJ31" i="7"/>
  <c r="Y26" i="14"/>
  <c r="AI49" i="18"/>
  <c r="AI54" i="18"/>
  <c r="AI47" i="18"/>
  <c r="BA26" i="15"/>
  <c r="BA23" i="15"/>
  <c r="BA25" i="15"/>
  <c r="BA24" i="15"/>
  <c r="BA149" i="19"/>
  <c r="BA150" i="19"/>
  <c r="AT139" i="15"/>
  <c r="Z138" i="19"/>
  <c r="Z139" i="19"/>
  <c r="Z137" i="19"/>
  <c r="AB70" i="23"/>
  <c r="AC70" i="23" s="1"/>
  <c r="Y60" i="7"/>
  <c r="Z79" i="14"/>
  <c r="Z81" i="14"/>
  <c r="Y33" i="14"/>
  <c r="AZ139" i="17"/>
  <c r="AF43" i="23"/>
  <c r="O41" i="23"/>
  <c r="Q41" i="23" s="1"/>
  <c r="AE65" i="23"/>
  <c r="AI65" i="23" s="1"/>
  <c r="AE57" i="23"/>
  <c r="AA62" i="23"/>
  <c r="P66" i="23"/>
  <c r="AB34" i="23"/>
  <c r="AJ34" i="23" s="1"/>
  <c r="P80" i="23"/>
  <c r="X71" i="23"/>
  <c r="L78" i="23"/>
  <c r="M78" i="23" s="1"/>
  <c r="X50" i="23"/>
  <c r="Y50" i="23" s="1"/>
  <c r="Q120" i="7"/>
  <c r="M23" i="7"/>
  <c r="K63" i="7"/>
  <c r="AI60" i="7"/>
  <c r="AI58" i="7"/>
  <c r="P54" i="23"/>
  <c r="O60" i="23"/>
  <c r="Q60" i="23" s="1"/>
  <c r="AJ61" i="7"/>
  <c r="AJ63" i="7" s="1"/>
  <c r="K34" i="23"/>
  <c r="U148" i="23"/>
  <c r="AI55" i="7"/>
  <c r="W63" i="23"/>
  <c r="AI63" i="23" s="1"/>
  <c r="W59" i="23"/>
  <c r="Y122" i="7"/>
  <c r="L47" i="7"/>
  <c r="U74" i="7"/>
  <c r="U76" i="7" s="1"/>
  <c r="Q73" i="7"/>
  <c r="K33" i="7"/>
  <c r="X80" i="23"/>
  <c r="AK175" i="7"/>
  <c r="M96" i="7"/>
  <c r="N95" i="7" s="1"/>
  <c r="AI36" i="7"/>
  <c r="M138" i="7"/>
  <c r="U156" i="7"/>
  <c r="U165" i="7" s="1"/>
  <c r="V165" i="7" s="1"/>
  <c r="Y65" i="16"/>
  <c r="AI55" i="18"/>
  <c r="AF69" i="7"/>
  <c r="Y123" i="7"/>
  <c r="Y26" i="19"/>
  <c r="Y65" i="17"/>
  <c r="Y73" i="14"/>
  <c r="Z70" i="14" s="1"/>
  <c r="L69" i="7"/>
  <c r="Y20" i="14"/>
  <c r="AT20" i="15"/>
  <c r="BA53" i="15"/>
  <c r="BA50" i="15"/>
  <c r="AT145" i="14"/>
  <c r="M129" i="23"/>
  <c r="Z19" i="18"/>
  <c r="AU30" i="16"/>
  <c r="Z80" i="14"/>
  <c r="AT151" i="19"/>
  <c r="AI155" i="7"/>
  <c r="AK155" i="7" s="1"/>
  <c r="AI57" i="18"/>
  <c r="AI52" i="18"/>
  <c r="AJ128" i="7"/>
  <c r="AC38" i="7"/>
  <c r="AA39" i="7" s="1"/>
  <c r="Y58" i="16"/>
  <c r="Z137" i="16"/>
  <c r="Z139" i="16"/>
  <c r="Z138" i="16"/>
  <c r="Y51" i="7"/>
  <c r="Y63" i="7" s="1"/>
  <c r="Z50" i="7" s="1"/>
  <c r="AG62" i="7"/>
  <c r="G141" i="7"/>
  <c r="AT163" i="3"/>
  <c r="BA48" i="3"/>
  <c r="BA54" i="3"/>
  <c r="BA53" i="3"/>
  <c r="BA45" i="3"/>
  <c r="BA56" i="3"/>
  <c r="BA50" i="3"/>
  <c r="BA46" i="3"/>
  <c r="BA51" i="3"/>
  <c r="BA52" i="3"/>
  <c r="BA55" i="3"/>
  <c r="BA58" i="3"/>
  <c r="BA57" i="3"/>
  <c r="BA49" i="3"/>
  <c r="BA44" i="3"/>
  <c r="BA47" i="3"/>
  <c r="Z46" i="3"/>
  <c r="Z55" i="3"/>
  <c r="Z54" i="3"/>
  <c r="Z58" i="3"/>
  <c r="Z48" i="3"/>
  <c r="Z53" i="3"/>
  <c r="Z56" i="3"/>
  <c r="Z51" i="3"/>
  <c r="Z47" i="3"/>
  <c r="Z52" i="3"/>
  <c r="Z44" i="3"/>
  <c r="Z57" i="3"/>
  <c r="Z50" i="3"/>
  <c r="Z49" i="3"/>
  <c r="Z45" i="3"/>
  <c r="Z30" i="3"/>
  <c r="Z32" i="3"/>
  <c r="Z33" i="3"/>
  <c r="Z31" i="3"/>
  <c r="I25" i="7"/>
  <c r="AK118" i="7"/>
  <c r="I129" i="7"/>
  <c r="G130" i="7"/>
  <c r="AC155" i="7"/>
  <c r="M152" i="7"/>
  <c r="H147" i="7"/>
  <c r="AI153" i="7"/>
  <c r="AI47" i="3"/>
  <c r="AI54" i="3"/>
  <c r="BA68" i="3"/>
  <c r="Z18" i="3"/>
  <c r="BA39" i="3"/>
  <c r="Q156" i="7"/>
  <c r="AI51" i="3"/>
  <c r="AI57" i="3"/>
  <c r="AI49" i="3"/>
  <c r="AJ129" i="7"/>
  <c r="AJ130" i="7" s="1"/>
  <c r="AJ156" i="7"/>
  <c r="AT169" i="3"/>
  <c r="AU161" i="3" s="1"/>
  <c r="AI45" i="3"/>
  <c r="AI46" i="3"/>
  <c r="BA69" i="3"/>
  <c r="BA38" i="3"/>
  <c r="AI56" i="3"/>
  <c r="AI55" i="3"/>
  <c r="AT58" i="3"/>
  <c r="AI58" i="3"/>
  <c r="AI44" i="3"/>
  <c r="BA72" i="3"/>
  <c r="AK138" i="7"/>
  <c r="AI50" i="3"/>
  <c r="BA47" i="18"/>
  <c r="BA55" i="18"/>
  <c r="BA45" i="18"/>
  <c r="BA52" i="18"/>
  <c r="BA49" i="18"/>
  <c r="BA50" i="18"/>
  <c r="BA44" i="18"/>
  <c r="BA46" i="18"/>
  <c r="BA57" i="18"/>
  <c r="BA51" i="18"/>
  <c r="BA53" i="18"/>
  <c r="BA54" i="18"/>
  <c r="BA58" i="18"/>
  <c r="BA56" i="18"/>
  <c r="BA48" i="18"/>
  <c r="AU53" i="16"/>
  <c r="AU51" i="16"/>
  <c r="AU45" i="16"/>
  <c r="AU58" i="16"/>
  <c r="AU49" i="16"/>
  <c r="AU57" i="16"/>
  <c r="AU47" i="16"/>
  <c r="AU55" i="16"/>
  <c r="AU52" i="16"/>
  <c r="AU56" i="16"/>
  <c r="AU48" i="16"/>
  <c r="AU50" i="16"/>
  <c r="AU44" i="16"/>
  <c r="AU46" i="16"/>
  <c r="AU54" i="16"/>
  <c r="BA151" i="17"/>
  <c r="BA149" i="17"/>
  <c r="BA150" i="17"/>
  <c r="BA148" i="17"/>
  <c r="R32" i="7"/>
  <c r="R33" i="7"/>
  <c r="BA62" i="3"/>
  <c r="BA65" i="3"/>
  <c r="BA63" i="3"/>
  <c r="BA61" i="3"/>
  <c r="BA64" i="3"/>
  <c r="AF39" i="7"/>
  <c r="AE39" i="7"/>
  <c r="AU148" i="14"/>
  <c r="AU150" i="14"/>
  <c r="AU149" i="14"/>
  <c r="AU151" i="14"/>
  <c r="BA63" i="18"/>
  <c r="BA62" i="18"/>
  <c r="BA61" i="18"/>
  <c r="BA64" i="18"/>
  <c r="BA65" i="18"/>
  <c r="Z144" i="18"/>
  <c r="Z145" i="18"/>
  <c r="Z142" i="18"/>
  <c r="Z143" i="18"/>
  <c r="BA26" i="3"/>
  <c r="BA24" i="3"/>
  <c r="BA23" i="3"/>
  <c r="BA25" i="3"/>
  <c r="Z65" i="18"/>
  <c r="Z63" i="18"/>
  <c r="Z61" i="18"/>
  <c r="Z62" i="18"/>
  <c r="Z64" i="18"/>
  <c r="BA18" i="19"/>
  <c r="BA19" i="19"/>
  <c r="BA20" i="19"/>
  <c r="U79" i="23"/>
  <c r="S129" i="14"/>
  <c r="S132" i="14" s="1"/>
  <c r="S133" i="14" s="1"/>
  <c r="S124" i="14"/>
  <c r="S126" i="14"/>
  <c r="S125" i="14"/>
  <c r="S127" i="14"/>
  <c r="Z77" i="19"/>
  <c r="Z81" i="19"/>
  <c r="Z79" i="19"/>
  <c r="Z80" i="19"/>
  <c r="Z78" i="19"/>
  <c r="AU72" i="16"/>
  <c r="AU70" i="16"/>
  <c r="AU68" i="16"/>
  <c r="AU69" i="16"/>
  <c r="AU73" i="16"/>
  <c r="AU71" i="16"/>
  <c r="Z77" i="3"/>
  <c r="Z80" i="3"/>
  <c r="Z78" i="3"/>
  <c r="Z79" i="3"/>
  <c r="G41" i="23"/>
  <c r="I41" i="23" s="1"/>
  <c r="AE70" i="23"/>
  <c r="O77" i="23"/>
  <c r="T71" i="23"/>
  <c r="AF72" i="23"/>
  <c r="AF74" i="23" s="1"/>
  <c r="M49" i="23"/>
  <c r="AK235" i="7"/>
  <c r="AI123" i="7"/>
  <c r="AI26" i="7"/>
  <c r="Y23" i="7"/>
  <c r="Z21" i="7" s="1"/>
  <c r="K39" i="7"/>
  <c r="M56" i="23"/>
  <c r="AI52" i="7"/>
  <c r="U185" i="7"/>
  <c r="V184" i="7" s="1"/>
  <c r="AI65" i="7"/>
  <c r="R79" i="7"/>
  <c r="Y129" i="23"/>
  <c r="AC46" i="7"/>
  <c r="X130" i="7"/>
  <c r="U138" i="7"/>
  <c r="AJ26" i="7"/>
  <c r="L130" i="7"/>
  <c r="P73" i="23"/>
  <c r="AJ74" i="7"/>
  <c r="AG25" i="7"/>
  <c r="T28" i="7"/>
  <c r="Q63" i="7"/>
  <c r="T33" i="7"/>
  <c r="AJ132" i="7"/>
  <c r="AK132" i="7" s="1"/>
  <c r="Y130" i="23"/>
  <c r="L125" i="7"/>
  <c r="M128" i="7"/>
  <c r="AC124" i="7"/>
  <c r="AC125" i="7" s="1"/>
  <c r="W29" i="7"/>
  <c r="AA28" i="7"/>
  <c r="AZ188" i="18"/>
  <c r="AT188" i="15"/>
  <c r="AZ73" i="15"/>
  <c r="BA73" i="15" s="1"/>
  <c r="AZ41" i="15"/>
  <c r="AT73" i="14"/>
  <c r="Y126" i="15"/>
  <c r="Y125" i="17"/>
  <c r="AZ169" i="16"/>
  <c r="BA157" i="16" s="1"/>
  <c r="AT145" i="16"/>
  <c r="AZ41" i="19"/>
  <c r="BA38" i="19" s="1"/>
  <c r="Y124" i="14"/>
  <c r="AZ65" i="17"/>
  <c r="AZ73" i="14"/>
  <c r="AZ145" i="15"/>
  <c r="BA142" i="15" s="1"/>
  <c r="Z81" i="3"/>
  <c r="Y127" i="16"/>
  <c r="Y73" i="15"/>
  <c r="Z145" i="3"/>
  <c r="BA19" i="3"/>
  <c r="W42" i="19"/>
  <c r="AU137" i="19"/>
  <c r="AU69" i="3"/>
  <c r="AU70" i="3"/>
  <c r="AI31" i="16"/>
  <c r="AI33" i="16"/>
  <c r="AB63" i="7"/>
  <c r="BA48" i="19"/>
  <c r="BA55" i="19"/>
  <c r="BA56" i="15"/>
  <c r="BA51" i="15"/>
  <c r="BA58" i="15"/>
  <c r="BA48" i="15"/>
  <c r="BA45" i="15"/>
  <c r="BA139" i="19"/>
  <c r="BA138" i="19"/>
  <c r="BA137" i="19"/>
  <c r="Z93" i="16"/>
  <c r="Z94" i="16"/>
  <c r="Z95" i="16"/>
  <c r="Z92" i="16"/>
  <c r="Z96" i="16"/>
  <c r="BA39" i="14"/>
  <c r="BA40" i="14"/>
  <c r="BA38" i="14"/>
  <c r="BA41" i="14"/>
  <c r="BA19" i="14"/>
  <c r="BA20" i="14"/>
  <c r="BA18" i="14"/>
  <c r="AU65" i="18"/>
  <c r="AU64" i="18"/>
  <c r="W70" i="23"/>
  <c r="G130" i="23"/>
  <c r="L39" i="7"/>
  <c r="AE49" i="23"/>
  <c r="AG49" i="23" s="1"/>
  <c r="I74" i="7"/>
  <c r="AI127" i="7"/>
  <c r="AC63" i="7"/>
  <c r="AD57" i="7" s="1"/>
  <c r="H43" i="23"/>
  <c r="AJ43" i="23" s="1"/>
  <c r="M75" i="7"/>
  <c r="U27" i="7"/>
  <c r="M125" i="23"/>
  <c r="O125" i="7"/>
  <c r="O43" i="23"/>
  <c r="U66" i="7"/>
  <c r="P39" i="7"/>
  <c r="AJ38" i="7"/>
  <c r="AK38" i="7" s="1"/>
  <c r="AJ39" i="7" s="1"/>
  <c r="Q124" i="7"/>
  <c r="AJ136" i="7"/>
  <c r="AK136" i="7" s="1"/>
  <c r="S125" i="7"/>
  <c r="AC131" i="23"/>
  <c r="Y145" i="19"/>
  <c r="AZ73" i="19"/>
  <c r="Y26" i="7"/>
  <c r="Y28" i="7" s="1"/>
  <c r="Z27" i="7" s="1"/>
  <c r="Y169" i="16"/>
  <c r="Z162" i="16" s="1"/>
  <c r="P165" i="7"/>
  <c r="Y169" i="14"/>
  <c r="Z163" i="14" s="1"/>
  <c r="AU61" i="18"/>
  <c r="AE147" i="7"/>
  <c r="BA41" i="16"/>
  <c r="AB76" i="7"/>
  <c r="Z144" i="3"/>
  <c r="X42" i="19"/>
  <c r="Z39" i="19"/>
  <c r="AU139" i="19"/>
  <c r="AU73" i="3"/>
  <c r="AU68" i="3"/>
  <c r="Y58" i="18"/>
  <c r="AU38" i="14"/>
  <c r="AU39" i="14"/>
  <c r="AU41" i="14"/>
  <c r="AU40" i="14"/>
  <c r="AU72" i="19"/>
  <c r="AU71" i="19"/>
  <c r="AU46" i="19"/>
  <c r="AE51" i="7" s="1"/>
  <c r="AU54" i="19"/>
  <c r="AU49" i="19"/>
  <c r="AU48" i="19"/>
  <c r="AU47" i="19"/>
  <c r="AU51" i="19"/>
  <c r="AU50" i="19"/>
  <c r="AU45" i="19"/>
  <c r="AU55" i="19"/>
  <c r="AU44" i="19"/>
  <c r="AU56" i="19"/>
  <c r="AU57" i="19"/>
  <c r="AU58" i="19"/>
  <c r="AU52" i="19"/>
  <c r="AU53" i="19"/>
  <c r="AZ151" i="14"/>
  <c r="Z77" i="16"/>
  <c r="Z78" i="16"/>
  <c r="Z80" i="16"/>
  <c r="Z81" i="16"/>
  <c r="Z79" i="16"/>
  <c r="S51" i="23"/>
  <c r="M167" i="23"/>
  <c r="O35" i="23"/>
  <c r="Q35" i="23" s="1"/>
  <c r="H79" i="23"/>
  <c r="I79" i="23" s="1"/>
  <c r="O70" i="23"/>
  <c r="Q70" i="23" s="1"/>
  <c r="AB80" i="23"/>
  <c r="AE76" i="23"/>
  <c r="AE81" i="23" s="1"/>
  <c r="AA41" i="23"/>
  <c r="AC41" i="23" s="1"/>
  <c r="K80" i="23"/>
  <c r="AG23" i="7"/>
  <c r="U37" i="7"/>
  <c r="M73" i="23"/>
  <c r="Y59" i="23"/>
  <c r="Y64" i="23"/>
  <c r="AI124" i="7"/>
  <c r="X125" i="7"/>
  <c r="AI71" i="7"/>
  <c r="M125" i="7"/>
  <c r="N122" i="7" s="1"/>
  <c r="Y128" i="7"/>
  <c r="Y130" i="7" s="1"/>
  <c r="Q28" i="7"/>
  <c r="R27" i="7" s="1"/>
  <c r="AK242" i="7"/>
  <c r="U123" i="7"/>
  <c r="Q131" i="23"/>
  <c r="Y65" i="7"/>
  <c r="AI122" i="7"/>
  <c r="O39" i="7"/>
  <c r="Y125" i="19"/>
  <c r="AT169" i="18"/>
  <c r="AU160" i="18" s="1"/>
  <c r="AT169" i="15"/>
  <c r="AU155" i="15" s="1"/>
  <c r="AC134" i="7"/>
  <c r="Y127" i="14"/>
  <c r="Y125" i="14"/>
  <c r="Y127" i="3"/>
  <c r="T147" i="7"/>
  <c r="AZ169" i="19"/>
  <c r="BA156" i="19" s="1"/>
  <c r="Y151" i="16"/>
  <c r="Z150" i="16" s="1"/>
  <c r="AU62" i="18"/>
  <c r="Y65" i="3"/>
  <c r="BA38" i="16"/>
  <c r="AT73" i="18"/>
  <c r="AU72" i="18" s="1"/>
  <c r="AU23" i="17"/>
  <c r="Y41" i="3"/>
  <c r="AU25" i="17"/>
  <c r="Z38" i="19"/>
  <c r="Z30" i="17"/>
  <c r="Z31" i="17"/>
  <c r="BA32" i="17"/>
  <c r="BA31" i="17"/>
  <c r="BA33" i="17"/>
  <c r="BA30" i="17"/>
  <c r="BA18" i="16"/>
  <c r="BA19" i="16"/>
  <c r="BA20" i="16"/>
  <c r="BA26" i="14"/>
  <c r="BA24" i="14"/>
  <c r="BA25" i="14"/>
  <c r="BA23" i="14"/>
  <c r="AU23" i="15"/>
  <c r="AU26" i="15"/>
  <c r="AU25" i="15"/>
  <c r="AU24" i="15"/>
  <c r="AU150" i="15"/>
  <c r="AU148" i="15"/>
  <c r="AU149" i="15"/>
  <c r="AU151" i="15"/>
  <c r="Q44" i="7"/>
  <c r="O47" i="7"/>
  <c r="AI44" i="7"/>
  <c r="AG74" i="7"/>
  <c r="AG76" i="7" s="1"/>
  <c r="AI74" i="7"/>
  <c r="AE76" i="7"/>
  <c r="AG67" i="7"/>
  <c r="AG69" i="7" s="1"/>
  <c r="AI67" i="7"/>
  <c r="AE72" i="23"/>
  <c r="AE69" i="7"/>
  <c r="W49" i="23"/>
  <c r="W47" i="7"/>
  <c r="Y44" i="7"/>
  <c r="BA160" i="16"/>
  <c r="BA163" i="16"/>
  <c r="BA161" i="16"/>
  <c r="BA155" i="16"/>
  <c r="BA175" i="16"/>
  <c r="BA156" i="16"/>
  <c r="AU142" i="16"/>
  <c r="AU145" i="16"/>
  <c r="AU144" i="16"/>
  <c r="AU143" i="16"/>
  <c r="S69" i="7"/>
  <c r="S71" i="23"/>
  <c r="S74" i="23" s="1"/>
  <c r="AI66" i="7"/>
  <c r="Q157" i="7"/>
  <c r="AI157" i="7"/>
  <c r="AK157" i="7" s="1"/>
  <c r="Z25" i="15"/>
  <c r="Z24" i="15"/>
  <c r="Z26" i="15"/>
  <c r="Z23" i="15"/>
  <c r="BA181" i="15"/>
  <c r="BA178" i="15"/>
  <c r="BA188" i="15"/>
  <c r="BA176" i="15"/>
  <c r="BA179" i="15"/>
  <c r="BA180" i="15"/>
  <c r="BA177" i="15"/>
  <c r="BA24" i="16"/>
  <c r="BA26" i="16"/>
  <c r="BA23" i="16"/>
  <c r="BA25" i="16"/>
  <c r="BA73" i="17"/>
  <c r="BA71" i="17"/>
  <c r="AU23" i="14"/>
  <c r="AU26" i="14"/>
  <c r="AU24" i="14"/>
  <c r="AU25" i="14"/>
  <c r="AU32" i="15"/>
  <c r="AU31" i="15"/>
  <c r="AU30" i="15"/>
  <c r="AU33" i="15"/>
  <c r="Z148" i="15"/>
  <c r="Z149" i="15"/>
  <c r="Z150" i="15"/>
  <c r="Z151" i="15"/>
  <c r="BA65" i="17"/>
  <c r="BA64" i="17"/>
  <c r="BA61" i="17"/>
  <c r="BA62" i="17"/>
  <c r="BA63" i="17"/>
  <c r="Z26" i="16"/>
  <c r="Z25" i="16"/>
  <c r="Z23" i="16"/>
  <c r="Z24" i="16"/>
  <c r="BA142" i="3"/>
  <c r="BA144" i="3"/>
  <c r="BA145" i="3"/>
  <c r="BA143" i="3"/>
  <c r="O49" i="23"/>
  <c r="O165" i="7"/>
  <c r="Q152" i="7"/>
  <c r="AI152" i="7"/>
  <c r="AU64" i="14"/>
  <c r="AU65" i="14"/>
  <c r="AU62" i="14"/>
  <c r="AU63" i="14"/>
  <c r="AU61" i="14"/>
  <c r="Z144" i="19"/>
  <c r="Z145" i="19"/>
  <c r="Z142" i="19"/>
  <c r="Z143" i="19"/>
  <c r="AU38" i="16"/>
  <c r="BA144" i="19"/>
  <c r="BA145" i="19"/>
  <c r="BA142" i="19"/>
  <c r="BA143" i="19"/>
  <c r="Z63" i="19"/>
  <c r="Z64" i="19"/>
  <c r="Z65" i="19"/>
  <c r="Z61" i="19"/>
  <c r="Z62" i="19"/>
  <c r="AF51" i="23"/>
  <c r="AF52" i="23" s="1"/>
  <c r="AJ46" i="7"/>
  <c r="AE33" i="7"/>
  <c r="AI31" i="7"/>
  <c r="AE34" i="23"/>
  <c r="AE36" i="23" s="1"/>
  <c r="Z154" i="16"/>
  <c r="Z158" i="16"/>
  <c r="S147" i="7"/>
  <c r="U135" i="7"/>
  <c r="AI135" i="7"/>
  <c r="AB39" i="7"/>
  <c r="Z155" i="14"/>
  <c r="Z159" i="14"/>
  <c r="Z169" i="14"/>
  <c r="Z162" i="14"/>
  <c r="Z161" i="14"/>
  <c r="Z154" i="14"/>
  <c r="AU156" i="3"/>
  <c r="AU162" i="3"/>
  <c r="AU175" i="3"/>
  <c r="Z40" i="18"/>
  <c r="X42" i="18"/>
  <c r="W42" i="18"/>
  <c r="Y42" i="18"/>
  <c r="Z41" i="18"/>
  <c r="Z38" i="18"/>
  <c r="Z39" i="18"/>
  <c r="AU19" i="3"/>
  <c r="AU20" i="3"/>
  <c r="AU18" i="3"/>
  <c r="BA160" i="3"/>
  <c r="BA156" i="3"/>
  <c r="BA155" i="3"/>
  <c r="BA175" i="3"/>
  <c r="BA154" i="3"/>
  <c r="BA159" i="3"/>
  <c r="BA162" i="3"/>
  <c r="BA161" i="3"/>
  <c r="BA157" i="3"/>
  <c r="BA163" i="3"/>
  <c r="BA158" i="3"/>
  <c r="BA169" i="3"/>
  <c r="P147" i="7"/>
  <c r="BA40" i="15"/>
  <c r="BA41" i="15"/>
  <c r="BA38" i="15"/>
  <c r="BA39" i="15"/>
  <c r="U162" i="23"/>
  <c r="X37" i="7"/>
  <c r="W37" i="7"/>
  <c r="Z40" i="14"/>
  <c r="X42" i="14"/>
  <c r="Y42" i="14"/>
  <c r="Z41" i="14"/>
  <c r="Z38" i="14"/>
  <c r="W42" i="14"/>
  <c r="Z39" i="14"/>
  <c r="Q139" i="7"/>
  <c r="AJ139" i="7"/>
  <c r="AK139" i="7" s="1"/>
  <c r="Z149" i="19"/>
  <c r="Z148" i="19"/>
  <c r="Z151" i="19"/>
  <c r="Z150" i="19"/>
  <c r="AU38" i="19"/>
  <c r="AU39" i="19"/>
  <c r="AU41" i="19"/>
  <c r="AU40" i="19"/>
  <c r="AU162" i="18"/>
  <c r="AU156" i="18"/>
  <c r="AU155" i="18"/>
  <c r="AU150" i="18"/>
  <c r="AU151" i="18"/>
  <c r="AU148" i="18"/>
  <c r="AU149" i="18"/>
  <c r="BA40" i="18"/>
  <c r="BA39" i="18"/>
  <c r="BA38" i="18"/>
  <c r="BA41" i="18"/>
  <c r="Z26" i="17"/>
  <c r="Z24" i="17"/>
  <c r="Z23" i="17"/>
  <c r="Z25" i="17"/>
  <c r="T69" i="7"/>
  <c r="U67" i="7"/>
  <c r="AU157" i="15"/>
  <c r="AU169" i="15"/>
  <c r="AU162" i="15"/>
  <c r="BA61" i="15"/>
  <c r="BA64" i="15"/>
  <c r="BA63" i="15"/>
  <c r="BA62" i="15"/>
  <c r="BA65" i="15"/>
  <c r="Z26" i="18"/>
  <c r="Z23" i="18"/>
  <c r="Z25" i="18"/>
  <c r="Z24" i="18"/>
  <c r="AG36" i="7"/>
  <c r="AF41" i="23"/>
  <c r="AG41" i="23" s="1"/>
  <c r="AG42" i="23" s="1"/>
  <c r="AF131" i="23"/>
  <c r="AF125" i="7"/>
  <c r="AG124" i="7"/>
  <c r="BA63" i="19"/>
  <c r="BA62" i="19"/>
  <c r="BA61" i="19"/>
  <c r="BA64" i="19"/>
  <c r="BA65" i="19"/>
  <c r="Y109" i="18"/>
  <c r="P125" i="18"/>
  <c r="Y125" i="18" s="1"/>
  <c r="P127" i="18"/>
  <c r="Y127" i="18" s="1"/>
  <c r="P129" i="18"/>
  <c r="P132" i="18" s="1"/>
  <c r="P133" i="18" s="1"/>
  <c r="P124" i="18"/>
  <c r="Y124" i="18" s="1"/>
  <c r="P126" i="18"/>
  <c r="Y126" i="18" s="1"/>
  <c r="AU180" i="19"/>
  <c r="AU176" i="19"/>
  <c r="AU179" i="19"/>
  <c r="AU178" i="19"/>
  <c r="AU177" i="19"/>
  <c r="AU181" i="19"/>
  <c r="AU188" i="19"/>
  <c r="Z26" i="19"/>
  <c r="Z23" i="19"/>
  <c r="Z25" i="19"/>
  <c r="Z24" i="19"/>
  <c r="AT188" i="18"/>
  <c r="AC128" i="7"/>
  <c r="AA130" i="7"/>
  <c r="AB28" i="7"/>
  <c r="AC25" i="7"/>
  <c r="AC28" i="7" s="1"/>
  <c r="AJ25" i="7"/>
  <c r="AU143" i="17"/>
  <c r="AU144" i="17"/>
  <c r="AU142" i="17"/>
  <c r="AU145" i="17"/>
  <c r="Z70" i="17"/>
  <c r="Z72" i="17"/>
  <c r="Z71" i="17"/>
  <c r="Z69" i="17"/>
  <c r="Z73" i="17"/>
  <c r="Z68" i="17"/>
  <c r="AI140" i="7"/>
  <c r="AK140" i="7" s="1"/>
  <c r="U140" i="7"/>
  <c r="BA163" i="19"/>
  <c r="BA159" i="19"/>
  <c r="BA154" i="19"/>
  <c r="Y67" i="7"/>
  <c r="X69" i="7"/>
  <c r="X72" i="23"/>
  <c r="AJ44" i="7"/>
  <c r="AK44" i="7" s="1"/>
  <c r="X47" i="7"/>
  <c r="X49" i="23"/>
  <c r="BA23" i="17"/>
  <c r="BA26" i="17"/>
  <c r="BA25" i="17"/>
  <c r="BA24" i="17"/>
  <c r="W33" i="7"/>
  <c r="W35" i="23"/>
  <c r="AI32" i="7"/>
  <c r="AK32" i="7" s="1"/>
  <c r="Z151" i="16"/>
  <c r="T125" i="7"/>
  <c r="U122" i="7"/>
  <c r="U125" i="7" s="1"/>
  <c r="AJ122" i="7"/>
  <c r="AK122" i="7" s="1"/>
  <c r="BA68" i="16"/>
  <c r="BA72" i="16"/>
  <c r="BA69" i="16"/>
  <c r="BA71" i="16"/>
  <c r="BA73" i="16"/>
  <c r="BA70" i="16"/>
  <c r="Z65" i="3"/>
  <c r="Z61" i="3"/>
  <c r="Z62" i="3"/>
  <c r="Z64" i="3"/>
  <c r="Z63" i="3"/>
  <c r="BA70" i="15"/>
  <c r="AU70" i="14"/>
  <c r="AU68" i="14"/>
  <c r="AU73" i="14"/>
  <c r="AU69" i="14"/>
  <c r="AU71" i="14"/>
  <c r="AU72" i="14"/>
  <c r="AU159" i="16"/>
  <c r="AU156" i="16"/>
  <c r="AU157" i="16"/>
  <c r="AU169" i="16"/>
  <c r="AU161" i="16"/>
  <c r="AU158" i="16"/>
  <c r="AU163" i="16"/>
  <c r="AU162" i="16"/>
  <c r="AU155" i="16"/>
  <c r="AU175" i="16"/>
  <c r="AU160" i="16"/>
  <c r="AU154" i="16"/>
  <c r="AG129" i="23"/>
  <c r="AI129" i="23"/>
  <c r="M36" i="7"/>
  <c r="AJ36" i="7"/>
  <c r="AK36" i="7" s="1"/>
  <c r="AG98" i="7"/>
  <c r="AG103" i="23" s="1"/>
  <c r="Y129" i="19"/>
  <c r="Y132" i="19" s="1"/>
  <c r="Y133" i="19" s="1"/>
  <c r="AU61" i="19"/>
  <c r="AU62" i="19"/>
  <c r="AU63" i="19"/>
  <c r="AU65" i="19"/>
  <c r="AU64" i="19"/>
  <c r="Z64" i="16"/>
  <c r="Z62" i="16"/>
  <c r="Z61" i="16"/>
  <c r="Z65" i="16"/>
  <c r="Z63" i="16"/>
  <c r="Z143" i="17"/>
  <c r="Z144" i="17"/>
  <c r="Z142" i="17"/>
  <c r="Z145" i="17"/>
  <c r="AU25" i="18"/>
  <c r="AU24" i="18"/>
  <c r="AU23" i="18"/>
  <c r="AU26" i="18"/>
  <c r="AU149" i="16"/>
  <c r="AU148" i="16"/>
  <c r="AU151" i="16"/>
  <c r="AU150" i="16"/>
  <c r="AU62" i="16"/>
  <c r="AU64" i="16"/>
  <c r="AU65" i="16"/>
  <c r="AU63" i="16"/>
  <c r="AU61" i="16"/>
  <c r="AJ67" i="7"/>
  <c r="AU40" i="15"/>
  <c r="AU41" i="15"/>
  <c r="AU39" i="15"/>
  <c r="AU38" i="15"/>
  <c r="AZ145" i="14"/>
  <c r="Z139" i="17"/>
  <c r="Z137" i="17"/>
  <c r="Z138" i="17"/>
  <c r="AU69" i="18"/>
  <c r="AU70" i="18"/>
  <c r="Z63" i="17"/>
  <c r="Z65" i="17"/>
  <c r="Z61" i="17"/>
  <c r="Z62" i="17"/>
  <c r="Z64" i="17"/>
  <c r="AZ177" i="3"/>
  <c r="AZ188" i="3" s="1"/>
  <c r="Y188" i="3"/>
  <c r="AU65" i="3"/>
  <c r="AU63" i="3"/>
  <c r="AU62" i="3"/>
  <c r="AU61" i="3"/>
  <c r="AU64" i="3"/>
  <c r="AJ123" i="7"/>
  <c r="AK123" i="7" s="1"/>
  <c r="AI27" i="7"/>
  <c r="AK27" i="7" s="1"/>
  <c r="AI128" i="7"/>
  <c r="AK177" i="7"/>
  <c r="Q47" i="7"/>
  <c r="M65" i="7"/>
  <c r="M69" i="7" s="1"/>
  <c r="AI72" i="7"/>
  <c r="AI76" i="7" s="1"/>
  <c r="AI132" i="7"/>
  <c r="I61" i="23"/>
  <c r="Q134" i="7"/>
  <c r="AI46" i="16"/>
  <c r="S51" i="7" s="1"/>
  <c r="AI50" i="16"/>
  <c r="AI49" i="16"/>
  <c r="AI56" i="16"/>
  <c r="AI52" i="16"/>
  <c r="AI57" i="16"/>
  <c r="AI48" i="16"/>
  <c r="AI51" i="16"/>
  <c r="AI45" i="16"/>
  <c r="AI58" i="16"/>
  <c r="AI55" i="16"/>
  <c r="AI53" i="16"/>
  <c r="AI47" i="16"/>
  <c r="AI44" i="16"/>
  <c r="AI54" i="16"/>
  <c r="Y127" i="19"/>
  <c r="Y128" i="19" s="1"/>
  <c r="AT65" i="17"/>
  <c r="Z161" i="15"/>
  <c r="Z160" i="15"/>
  <c r="Z162" i="15"/>
  <c r="Z158" i="15"/>
  <c r="Z169" i="15"/>
  <c r="Z155" i="15"/>
  <c r="Z154" i="15"/>
  <c r="Z163" i="15"/>
  <c r="Z159" i="15"/>
  <c r="Z157" i="15"/>
  <c r="Z156" i="15"/>
  <c r="AC72" i="7"/>
  <c r="AU31" i="17"/>
  <c r="AU33" i="17"/>
  <c r="AU32" i="17"/>
  <c r="AU30" i="17"/>
  <c r="O130" i="7"/>
  <c r="Y125" i="15"/>
  <c r="Y124" i="17"/>
  <c r="BA71" i="19"/>
  <c r="BA70" i="19"/>
  <c r="BA69" i="19"/>
  <c r="BA68" i="19"/>
  <c r="BA73" i="19"/>
  <c r="BA72" i="19"/>
  <c r="BA148" i="18"/>
  <c r="BA149" i="18"/>
  <c r="BA150" i="18"/>
  <c r="BA151" i="18"/>
  <c r="Y145" i="16"/>
  <c r="Z150" i="14"/>
  <c r="Z149" i="14"/>
  <c r="Z148" i="14"/>
  <c r="Z151" i="14"/>
  <c r="AB77" i="23"/>
  <c r="AB81" i="23" s="1"/>
  <c r="AU143" i="19"/>
  <c r="AU142" i="19"/>
  <c r="AU144" i="19"/>
  <c r="AU145" i="19"/>
  <c r="AZ145" i="17"/>
  <c r="AU24" i="16"/>
  <c r="AU26" i="16"/>
  <c r="AU23" i="16"/>
  <c r="AU25" i="16"/>
  <c r="AU143" i="18"/>
  <c r="AU142" i="18"/>
  <c r="AU144" i="18"/>
  <c r="AU145" i="18"/>
  <c r="Z50" i="17"/>
  <c r="Z58" i="17"/>
  <c r="Z47" i="17"/>
  <c r="Z49" i="17"/>
  <c r="Z54" i="17"/>
  <c r="Z55" i="17"/>
  <c r="Z57" i="17"/>
  <c r="Z56" i="17"/>
  <c r="Z48" i="17"/>
  <c r="Z45" i="17"/>
  <c r="Z51" i="17"/>
  <c r="Z52" i="17"/>
  <c r="Z44" i="17"/>
  <c r="Z46" i="17"/>
  <c r="Z53" i="17"/>
  <c r="AA51" i="23"/>
  <c r="AC51" i="23" s="1"/>
  <c r="Y126" i="14"/>
  <c r="M98" i="7"/>
  <c r="Y129" i="14"/>
  <c r="Y132" i="14" s="1"/>
  <c r="Y133" i="14" s="1"/>
  <c r="AU31" i="19"/>
  <c r="AU33" i="19"/>
  <c r="AU30" i="19"/>
  <c r="AU32" i="19"/>
  <c r="Y126" i="3"/>
  <c r="I98" i="7"/>
  <c r="Y129" i="3"/>
  <c r="Y132" i="3" s="1"/>
  <c r="Y133" i="3" s="1"/>
  <c r="AZ176" i="19"/>
  <c r="AZ188" i="19" s="1"/>
  <c r="Y188" i="19"/>
  <c r="AZ26" i="19"/>
  <c r="AA165" i="7"/>
  <c r="AU148" i="17"/>
  <c r="AU150" i="17"/>
  <c r="AU151" i="17"/>
  <c r="AU149" i="17"/>
  <c r="AT73" i="17"/>
  <c r="Z19" i="16"/>
  <c r="Z20" i="16"/>
  <c r="Z18" i="16"/>
  <c r="AO23" i="14"/>
  <c r="AO25" i="14"/>
  <c r="AO26" i="14"/>
  <c r="AO24" i="14"/>
  <c r="Y41" i="17"/>
  <c r="AT188" i="16"/>
  <c r="BA143" i="16"/>
  <c r="BA144" i="16"/>
  <c r="BA142" i="16"/>
  <c r="BA145" i="16"/>
  <c r="AU18" i="15"/>
  <c r="AU20" i="15"/>
  <c r="AU19" i="15"/>
  <c r="AC31" i="7"/>
  <c r="AC33" i="7" s="1"/>
  <c r="Z19" i="15"/>
  <c r="Z20" i="15"/>
  <c r="Z18" i="15"/>
  <c r="AU145" i="14"/>
  <c r="AU142" i="14"/>
  <c r="AU144" i="14"/>
  <c r="AU143" i="14"/>
  <c r="Y169" i="3"/>
  <c r="Y126" i="16"/>
  <c r="AZ188" i="16"/>
  <c r="BA70" i="14"/>
  <c r="BA72" i="14"/>
  <c r="BA69" i="14"/>
  <c r="BA68" i="14"/>
  <c r="BA73" i="14"/>
  <c r="BA71" i="14"/>
  <c r="AU177" i="17"/>
  <c r="AU188" i="17"/>
  <c r="AU180" i="17"/>
  <c r="AU181" i="17"/>
  <c r="AU176" i="17"/>
  <c r="AU178" i="17"/>
  <c r="AU179" i="17"/>
  <c r="Y147" i="23"/>
  <c r="Q153" i="23"/>
  <c r="AT169" i="17"/>
  <c r="M61" i="23"/>
  <c r="AC71" i="23"/>
  <c r="AC125" i="23"/>
  <c r="AJ134" i="7"/>
  <c r="AJ71" i="7"/>
  <c r="AK71" i="7" s="1"/>
  <c r="M67" i="7"/>
  <c r="AI154" i="7"/>
  <c r="Q67" i="7"/>
  <c r="AI131" i="23"/>
  <c r="AC180" i="7"/>
  <c r="AK56" i="7"/>
  <c r="Y162" i="23"/>
  <c r="BA180" i="18"/>
  <c r="BA179" i="18"/>
  <c r="BA188" i="18"/>
  <c r="BA181" i="18"/>
  <c r="BA176" i="18"/>
  <c r="BA177" i="18"/>
  <c r="BA178" i="18"/>
  <c r="Z96" i="15"/>
  <c r="Z95" i="15"/>
  <c r="Z92" i="15"/>
  <c r="Z93" i="15"/>
  <c r="Z94" i="15"/>
  <c r="Z92" i="18"/>
  <c r="Z93" i="18"/>
  <c r="Z96" i="18"/>
  <c r="Z94" i="18"/>
  <c r="Z95" i="18"/>
  <c r="BA18" i="17"/>
  <c r="BA19" i="17"/>
  <c r="BA20" i="17"/>
  <c r="Y73" i="16"/>
  <c r="O147" i="7"/>
  <c r="AT65" i="15"/>
  <c r="AZ169" i="14"/>
  <c r="Y127" i="17"/>
  <c r="Y98" i="7"/>
  <c r="Y129" i="17"/>
  <c r="Y132" i="17" s="1"/>
  <c r="Y133" i="17" s="1"/>
  <c r="AU23" i="19"/>
  <c r="AU26" i="19"/>
  <c r="AU25" i="19"/>
  <c r="AU24" i="19"/>
  <c r="BA33" i="19"/>
  <c r="BA30" i="19"/>
  <c r="BA32" i="19"/>
  <c r="BA31" i="19"/>
  <c r="Z18" i="19"/>
  <c r="Z19" i="19"/>
  <c r="Z20" i="19"/>
  <c r="AO30" i="17"/>
  <c r="AO31" i="17"/>
  <c r="AO32" i="17"/>
  <c r="AO33" i="17"/>
  <c r="Y42" i="16"/>
  <c r="Z39" i="16"/>
  <c r="Z41" i="16"/>
  <c r="W42" i="16"/>
  <c r="X42" i="16"/>
  <c r="Z38" i="16"/>
  <c r="Z40" i="16"/>
  <c r="Y125" i="3"/>
  <c r="AE165" i="7"/>
  <c r="BA19" i="18"/>
  <c r="BA20" i="18"/>
  <c r="BA18" i="18"/>
  <c r="Z95" i="17"/>
  <c r="Z96" i="17"/>
  <c r="Z94" i="17"/>
  <c r="Z93" i="17"/>
  <c r="Z92" i="17"/>
  <c r="AU46" i="18"/>
  <c r="AU49" i="18"/>
  <c r="AU55" i="18"/>
  <c r="AU48" i="18"/>
  <c r="AU54" i="18"/>
  <c r="AU57" i="18"/>
  <c r="AU47" i="18"/>
  <c r="AU52" i="18"/>
  <c r="AU50" i="18"/>
  <c r="AU44" i="18"/>
  <c r="AU58" i="18"/>
  <c r="AU56" i="18"/>
  <c r="AU53" i="18"/>
  <c r="AU51" i="18"/>
  <c r="AU45" i="18"/>
  <c r="Z19" i="17"/>
  <c r="Z18" i="17"/>
  <c r="Z20" i="17"/>
  <c r="S165" i="7"/>
  <c r="AZ65" i="16"/>
  <c r="AZ65" i="14"/>
  <c r="AT20" i="14"/>
  <c r="AU41" i="18"/>
  <c r="AU39" i="18"/>
  <c r="AU38" i="18"/>
  <c r="AU40" i="18"/>
  <c r="AU155" i="19"/>
  <c r="AU163" i="19"/>
  <c r="AU169" i="19"/>
  <c r="AU157" i="19"/>
  <c r="AU158" i="19"/>
  <c r="AU154" i="19"/>
  <c r="AU159" i="19"/>
  <c r="AU160" i="19"/>
  <c r="AU175" i="19"/>
  <c r="AU161" i="19"/>
  <c r="AU156" i="19"/>
  <c r="AU162" i="19"/>
  <c r="AI58" i="14"/>
  <c r="AI45" i="14"/>
  <c r="AI54" i="14"/>
  <c r="AI44" i="14"/>
  <c r="AI53" i="14"/>
  <c r="AI52" i="14"/>
  <c r="AI50" i="14"/>
  <c r="AI47" i="14"/>
  <c r="AI57" i="14"/>
  <c r="AI51" i="14"/>
  <c r="AI49" i="14"/>
  <c r="AI48" i="14"/>
  <c r="AI56" i="14"/>
  <c r="AI46" i="14"/>
  <c r="AI55" i="14"/>
  <c r="Z52" i="19"/>
  <c r="Z53" i="19"/>
  <c r="Z57" i="19"/>
  <c r="Z49" i="19"/>
  <c r="Z44" i="19"/>
  <c r="Z46" i="19"/>
  <c r="Z50" i="19"/>
  <c r="Z51" i="19"/>
  <c r="Z47" i="19"/>
  <c r="Z56" i="19"/>
  <c r="Z54" i="19"/>
  <c r="Z48" i="19"/>
  <c r="Z55" i="19"/>
  <c r="Z58" i="19"/>
  <c r="Z45" i="19"/>
  <c r="X42" i="3"/>
  <c r="Z40" i="3"/>
  <c r="Z41" i="3"/>
  <c r="Y42" i="3"/>
  <c r="Z39" i="3"/>
  <c r="Z38" i="3"/>
  <c r="W42" i="3"/>
  <c r="AU26" i="3"/>
  <c r="AU23" i="3"/>
  <c r="AU24" i="3"/>
  <c r="AU25" i="3"/>
  <c r="Y151" i="3"/>
  <c r="Z31" i="18"/>
  <c r="Z33" i="18"/>
  <c r="Z32" i="18"/>
  <c r="Z30" i="18"/>
  <c r="Y73" i="18"/>
  <c r="P69" i="7"/>
  <c r="Z19" i="14"/>
  <c r="Z18" i="14"/>
  <c r="Z20" i="14"/>
  <c r="BA144" i="15"/>
  <c r="Z23" i="14"/>
  <c r="Z26" i="14"/>
  <c r="Z25" i="14"/>
  <c r="Z24" i="14"/>
  <c r="AU51" i="14"/>
  <c r="AU46" i="14"/>
  <c r="AU50" i="14"/>
  <c r="AU48" i="14"/>
  <c r="AU53" i="14"/>
  <c r="AU56" i="14"/>
  <c r="AU45" i="14"/>
  <c r="AU55" i="14"/>
  <c r="AU57" i="14"/>
  <c r="AU54" i="14"/>
  <c r="AU52" i="14"/>
  <c r="AU44" i="14"/>
  <c r="AU49" i="14"/>
  <c r="AU47" i="14"/>
  <c r="AU58" i="14"/>
  <c r="U98" i="7"/>
  <c r="Y129" i="16"/>
  <c r="Y132" i="16" s="1"/>
  <c r="Y133" i="16" s="1"/>
  <c r="Z72" i="15"/>
  <c r="Z68" i="15"/>
  <c r="Z73" i="15"/>
  <c r="Z69" i="15"/>
  <c r="Z71" i="15"/>
  <c r="Z70" i="15"/>
  <c r="Y188" i="16"/>
  <c r="U55" i="23"/>
  <c r="Y169" i="17"/>
  <c r="Z159" i="17" s="1"/>
  <c r="BR199" i="7"/>
  <c r="AK199" i="7" s="1"/>
  <c r="AK241" i="7"/>
  <c r="I248" i="7"/>
  <c r="R255" i="7"/>
  <c r="M43" i="23"/>
  <c r="M44" i="23" s="1"/>
  <c r="AJ65" i="7"/>
  <c r="AJ69" i="7" s="1"/>
  <c r="AC71" i="7"/>
  <c r="AG185" i="7"/>
  <c r="AH185" i="7" s="1"/>
  <c r="AU19" i="16"/>
  <c r="AU18" i="16"/>
  <c r="AU20" i="16"/>
  <c r="U128" i="7"/>
  <c r="U130" i="7" s="1"/>
  <c r="AU177" i="15"/>
  <c r="AU188" i="15"/>
  <c r="AU181" i="15"/>
  <c r="AU178" i="15"/>
  <c r="AU176" i="15"/>
  <c r="AU180" i="15"/>
  <c r="AU179" i="15"/>
  <c r="Y127" i="15"/>
  <c r="Y129" i="15"/>
  <c r="Y132" i="15" s="1"/>
  <c r="Y133" i="15" s="1"/>
  <c r="Q98" i="7"/>
  <c r="Y126" i="17"/>
  <c r="Y73" i="19"/>
  <c r="AU40" i="17"/>
  <c r="AU39" i="17"/>
  <c r="AU41" i="17"/>
  <c r="AU38" i="17"/>
  <c r="Z143" i="14"/>
  <c r="Z144" i="14"/>
  <c r="Z145" i="14"/>
  <c r="Z142" i="14"/>
  <c r="Z92" i="19"/>
  <c r="Z94" i="19"/>
  <c r="Z95" i="19"/>
  <c r="Z93" i="19"/>
  <c r="Z96" i="19"/>
  <c r="BA39" i="19"/>
  <c r="AU19" i="19"/>
  <c r="AU18" i="19"/>
  <c r="AU20" i="19"/>
  <c r="Y188" i="15"/>
  <c r="Z39" i="15"/>
  <c r="Z40" i="15"/>
  <c r="Z41" i="15"/>
  <c r="X42" i="15"/>
  <c r="W42" i="15"/>
  <c r="Z38" i="15"/>
  <c r="Y42" i="15"/>
  <c r="Q65" i="7"/>
  <c r="Q69" i="7" s="1"/>
  <c r="Y188" i="18"/>
  <c r="AC136" i="7"/>
  <c r="Z148" i="18"/>
  <c r="Z149" i="18"/>
  <c r="Z151" i="18"/>
  <c r="Z150" i="18"/>
  <c r="AZ26" i="18"/>
  <c r="Z150" i="17"/>
  <c r="Z148" i="17"/>
  <c r="Z151" i="17"/>
  <c r="Z149" i="17"/>
  <c r="AU160" i="14"/>
  <c r="AU156" i="14"/>
  <c r="AU161" i="14"/>
  <c r="AU68" i="15"/>
  <c r="AU70" i="15"/>
  <c r="AU73" i="15"/>
  <c r="AU71" i="15"/>
  <c r="AU72" i="15"/>
  <c r="AU69" i="15"/>
  <c r="BA40" i="17"/>
  <c r="BA39" i="17"/>
  <c r="BA41" i="17"/>
  <c r="BA38" i="17"/>
  <c r="AU20" i="17"/>
  <c r="AU18" i="17"/>
  <c r="AU19" i="17"/>
  <c r="AZ151" i="16"/>
  <c r="Z96" i="14"/>
  <c r="Z95" i="14"/>
  <c r="Z92" i="14"/>
  <c r="Z94" i="14"/>
  <c r="Z93" i="14"/>
  <c r="Z68" i="14"/>
  <c r="Z61" i="14"/>
  <c r="Z64" i="14"/>
  <c r="Z65" i="14"/>
  <c r="Z63" i="14"/>
  <c r="Z62" i="14"/>
  <c r="BA148" i="15"/>
  <c r="BA151" i="15"/>
  <c r="BA149" i="15"/>
  <c r="BA150" i="15"/>
  <c r="AA130" i="23"/>
  <c r="AC130" i="23" s="1"/>
  <c r="AA125" i="7"/>
  <c r="Y145" i="15"/>
  <c r="Y169" i="19"/>
  <c r="BA52" i="16"/>
  <c r="BA56" i="16"/>
  <c r="BA55" i="16"/>
  <c r="Y73" i="3"/>
  <c r="Z24" i="3"/>
  <c r="Z23" i="3"/>
  <c r="Z25" i="3"/>
  <c r="Z26" i="3"/>
  <c r="BA31" i="18"/>
  <c r="BA32" i="18"/>
  <c r="BA30" i="18"/>
  <c r="BA33" i="18"/>
  <c r="AZ73" i="18"/>
  <c r="AZ169" i="15"/>
  <c r="AU142" i="15"/>
  <c r="AU145" i="15"/>
  <c r="AU144" i="15"/>
  <c r="AU143" i="15"/>
  <c r="Y65" i="15"/>
  <c r="Z44" i="16"/>
  <c r="Z53" i="16"/>
  <c r="Z49" i="16"/>
  <c r="Z52" i="16"/>
  <c r="Z51" i="16"/>
  <c r="Z45" i="16"/>
  <c r="Z57" i="16"/>
  <c r="Z47" i="16"/>
  <c r="Z46" i="16"/>
  <c r="Z56" i="16"/>
  <c r="Z50" i="16"/>
  <c r="Z48" i="16"/>
  <c r="Z54" i="16"/>
  <c r="Z55" i="16"/>
  <c r="Z58" i="16"/>
  <c r="R31" i="7"/>
  <c r="U160" i="23"/>
  <c r="AH94" i="7"/>
  <c r="AD79" i="7"/>
  <c r="R94" i="7"/>
  <c r="AK74" i="7"/>
  <c r="AC156" i="23"/>
  <c r="U25" i="23"/>
  <c r="I64" i="23"/>
  <c r="AK103" i="7"/>
  <c r="AK58" i="7"/>
  <c r="R257" i="7"/>
  <c r="AH96" i="7"/>
  <c r="AK170" i="7"/>
  <c r="AC193" i="7"/>
  <c r="AD187" i="7" s="1"/>
  <c r="AD81" i="7"/>
  <c r="AD83" i="7"/>
  <c r="AK152" i="7"/>
  <c r="AK73" i="7"/>
  <c r="R93" i="7"/>
  <c r="Q193" i="7"/>
  <c r="R193" i="7" s="1"/>
  <c r="Y125" i="7"/>
  <c r="Z122" i="7" s="1"/>
  <c r="M156" i="23"/>
  <c r="M147" i="23"/>
  <c r="O36" i="23"/>
  <c r="AG79" i="23"/>
  <c r="U156" i="23"/>
  <c r="Q157" i="23"/>
  <c r="Q67" i="23"/>
  <c r="Q63" i="23"/>
  <c r="AG224" i="7"/>
  <c r="AH224" i="7" s="1"/>
  <c r="Y201" i="7"/>
  <c r="Z195" i="7" s="1"/>
  <c r="Q130" i="7"/>
  <c r="R127" i="7" s="1"/>
  <c r="R96" i="7"/>
  <c r="R92" i="7"/>
  <c r="U154" i="23"/>
  <c r="U143" i="23"/>
  <c r="I166" i="23"/>
  <c r="Y35" i="23"/>
  <c r="Y157" i="23"/>
  <c r="Q154" i="23"/>
  <c r="G132" i="23"/>
  <c r="Z83" i="7"/>
  <c r="R81" i="7"/>
  <c r="M79" i="23"/>
  <c r="AK183" i="7"/>
  <c r="AK133" i="7"/>
  <c r="AK223" i="7"/>
  <c r="AH95" i="7"/>
  <c r="G37" i="7"/>
  <c r="R83" i="7"/>
  <c r="Z80" i="7"/>
  <c r="W52" i="23"/>
  <c r="M143" i="23"/>
  <c r="P126" i="23"/>
  <c r="AC54" i="23"/>
  <c r="AC153" i="23"/>
  <c r="Z94" i="7"/>
  <c r="H39" i="7"/>
  <c r="AK236" i="7"/>
  <c r="Z256" i="7"/>
  <c r="AK210" i="7"/>
  <c r="AK168" i="7"/>
  <c r="AG39" i="7"/>
  <c r="U47" i="7"/>
  <c r="V47" i="7" s="1"/>
  <c r="AG47" i="7"/>
  <c r="AH44" i="7" s="1"/>
  <c r="AK105" i="7"/>
  <c r="Q76" i="23"/>
  <c r="Z79" i="7"/>
  <c r="R80" i="7"/>
  <c r="AG147" i="7"/>
  <c r="AH139" i="7" s="1"/>
  <c r="Y77" i="23"/>
  <c r="Y161" i="23"/>
  <c r="AC55" i="23"/>
  <c r="Y80" i="23"/>
  <c r="AJ33" i="7"/>
  <c r="I37" i="7"/>
  <c r="AD256" i="7"/>
  <c r="Z81" i="7"/>
  <c r="S39" i="7"/>
  <c r="AK112" i="7"/>
  <c r="N94" i="7"/>
  <c r="Z107" i="7"/>
  <c r="M153" i="23"/>
  <c r="M71" i="23"/>
  <c r="AK246" i="7"/>
  <c r="Y67" i="23"/>
  <c r="Q43" i="23"/>
  <c r="P44" i="23" s="1"/>
  <c r="AC148" i="23"/>
  <c r="AD180" i="7"/>
  <c r="AD176" i="7"/>
  <c r="AD179" i="7"/>
  <c r="AK214" i="7"/>
  <c r="Y153" i="23"/>
  <c r="Q178" i="23"/>
  <c r="R178" i="23" s="1"/>
  <c r="L132" i="23"/>
  <c r="Q140" i="23"/>
  <c r="AB150" i="23"/>
  <c r="AF150" i="23"/>
  <c r="AK237" i="7"/>
  <c r="AD258" i="7"/>
  <c r="U39" i="7"/>
  <c r="V92" i="7"/>
  <c r="N93" i="7"/>
  <c r="Z257" i="7"/>
  <c r="V93" i="7"/>
  <c r="Q50" i="23"/>
  <c r="AC160" i="23"/>
  <c r="K52" i="23"/>
  <c r="I143" i="23"/>
  <c r="Q49" i="23"/>
  <c r="Y78" i="23"/>
  <c r="Z258" i="7"/>
  <c r="N96" i="7"/>
  <c r="T37" i="7"/>
  <c r="Y185" i="7"/>
  <c r="Z184" i="7" s="1"/>
  <c r="U33" i="7"/>
  <c r="V32" i="7" s="1"/>
  <c r="M185" i="7"/>
  <c r="N184" i="7" s="1"/>
  <c r="AK127" i="7"/>
  <c r="Y47" i="7"/>
  <c r="Z46" i="7" s="1"/>
  <c r="AC185" i="7"/>
  <c r="AD183" i="7" s="1"/>
  <c r="Y248" i="7"/>
  <c r="Z248" i="7" s="1"/>
  <c r="M33" i="7"/>
  <c r="N31" i="7" s="1"/>
  <c r="Y76" i="7"/>
  <c r="Z73" i="7" s="1"/>
  <c r="Q155" i="23"/>
  <c r="M88" i="23"/>
  <c r="N87" i="23" s="1"/>
  <c r="AG158" i="23"/>
  <c r="AG148" i="23"/>
  <c r="AC78" i="23"/>
  <c r="Q55" i="23"/>
  <c r="I57" i="23"/>
  <c r="AG230" i="7"/>
  <c r="AH229" i="7" s="1"/>
  <c r="AD257" i="7"/>
  <c r="N92" i="7"/>
  <c r="AH31" i="7"/>
  <c r="V94" i="7"/>
  <c r="AI162" i="23"/>
  <c r="AK207" i="7"/>
  <c r="AG172" i="7"/>
  <c r="AH167" i="7" s="1"/>
  <c r="Q230" i="7"/>
  <c r="R226" i="7" s="1"/>
  <c r="AH33" i="7"/>
  <c r="Q76" i="7"/>
  <c r="R71" i="7" s="1"/>
  <c r="U130" i="23"/>
  <c r="AD184" i="7"/>
  <c r="AH120" i="7"/>
  <c r="AH118" i="7"/>
  <c r="R45" i="7"/>
  <c r="R44" i="7"/>
  <c r="AH46" i="7"/>
  <c r="Z32" i="7"/>
  <c r="Z33" i="7"/>
  <c r="U178" i="23"/>
  <c r="V178" i="23" s="1"/>
  <c r="AG156" i="23"/>
  <c r="T126" i="23"/>
  <c r="I148" i="23"/>
  <c r="M77" i="23"/>
  <c r="Q77" i="23"/>
  <c r="U72" i="23"/>
  <c r="I58" i="23"/>
  <c r="AC76" i="23"/>
  <c r="AC201" i="7"/>
  <c r="AD201" i="7" s="1"/>
  <c r="Q124" i="23"/>
  <c r="AK55" i="7"/>
  <c r="AK53" i="7"/>
  <c r="Q57" i="23"/>
  <c r="N258" i="7"/>
  <c r="AK96" i="7"/>
  <c r="AL92" i="7" s="1"/>
  <c r="AD111" i="7"/>
  <c r="U224" i="7"/>
  <c r="Y60" i="23"/>
  <c r="M76" i="7"/>
  <c r="N74" i="7" s="1"/>
  <c r="M224" i="7"/>
  <c r="N223" i="7" s="1"/>
  <c r="I172" i="7"/>
  <c r="J171" i="7" s="1"/>
  <c r="AC130" i="7"/>
  <c r="AD128" i="7" s="1"/>
  <c r="Q130" i="23"/>
  <c r="AG130" i="7"/>
  <c r="AH127" i="7" s="1"/>
  <c r="AG28" i="7"/>
  <c r="AH25" i="7" s="1"/>
  <c r="M193" i="7"/>
  <c r="N188" i="7" s="1"/>
  <c r="M47" i="7"/>
  <c r="N44" i="7" s="1"/>
  <c r="U166" i="23"/>
  <c r="I162" i="23"/>
  <c r="Y178" i="23"/>
  <c r="Z175" i="23" s="1"/>
  <c r="M155" i="23"/>
  <c r="L126" i="23"/>
  <c r="Q80" i="23"/>
  <c r="U50" i="23"/>
  <c r="U230" i="7"/>
  <c r="V228" i="7" s="1"/>
  <c r="AG71" i="23"/>
  <c r="AK209" i="7"/>
  <c r="AK176" i="7"/>
  <c r="AD107" i="7"/>
  <c r="AK156" i="7"/>
  <c r="Q185" i="7"/>
  <c r="R185" i="7" s="1"/>
  <c r="I47" i="7"/>
  <c r="J46" i="7" s="1"/>
  <c r="Y193" i="7"/>
  <c r="Z187" i="7" s="1"/>
  <c r="U69" i="7"/>
  <c r="V68" i="7" s="1"/>
  <c r="I124" i="23"/>
  <c r="AG35" i="23"/>
  <c r="AG166" i="23"/>
  <c r="AC152" i="23"/>
  <c r="AF168" i="23"/>
  <c r="M66" i="23"/>
  <c r="Y55" i="23"/>
  <c r="N257" i="7"/>
  <c r="AK68" i="7"/>
  <c r="AD108" i="7"/>
  <c r="AK205" i="7"/>
  <c r="AC248" i="7"/>
  <c r="AD248" i="7" s="1"/>
  <c r="AC224" i="7"/>
  <c r="AD224" i="7" s="1"/>
  <c r="Y230" i="7"/>
  <c r="Z227" i="7" s="1"/>
  <c r="N192" i="7"/>
  <c r="R26" i="7"/>
  <c r="N222" i="7"/>
  <c r="N221" i="7"/>
  <c r="R54" i="7"/>
  <c r="R63" i="7"/>
  <c r="R57" i="7"/>
  <c r="R49" i="7"/>
  <c r="R58" i="7"/>
  <c r="R62" i="7"/>
  <c r="AA36" i="23"/>
  <c r="AF126" i="23"/>
  <c r="AA168" i="23"/>
  <c r="P132" i="23"/>
  <c r="Y167" i="23"/>
  <c r="Q158" i="23"/>
  <c r="M142" i="23"/>
  <c r="Q54" i="23"/>
  <c r="U76" i="23"/>
  <c r="I23" i="7"/>
  <c r="J21" i="7" s="1"/>
  <c r="Z92" i="7"/>
  <c r="Z110" i="7"/>
  <c r="AG131" i="23"/>
  <c r="AJ124" i="23"/>
  <c r="AI180" i="7"/>
  <c r="AC76" i="7"/>
  <c r="AD71" i="7" s="1"/>
  <c r="U147" i="7"/>
  <c r="V137" i="7" s="1"/>
  <c r="U28" i="7"/>
  <c r="V25" i="7" s="1"/>
  <c r="M172" i="7"/>
  <c r="N172" i="7" s="1"/>
  <c r="AK184" i="7"/>
  <c r="H52" i="23"/>
  <c r="AJ67" i="23"/>
  <c r="K144" i="23"/>
  <c r="Q152" i="23"/>
  <c r="AC88" i="23"/>
  <c r="AD87" i="23" s="1"/>
  <c r="U101" i="23"/>
  <c r="AC178" i="23"/>
  <c r="AD177" i="23" s="1"/>
  <c r="AC101" i="23"/>
  <c r="AD99" i="23" s="1"/>
  <c r="AK100" i="23"/>
  <c r="AC167" i="23"/>
  <c r="M157" i="23"/>
  <c r="Q167" i="23"/>
  <c r="AC34" i="23"/>
  <c r="Y54" i="23"/>
  <c r="Y79" i="23"/>
  <c r="G39" i="7"/>
  <c r="Q56" i="23"/>
  <c r="Q58" i="23"/>
  <c r="AJ193" i="7"/>
  <c r="Z93" i="7"/>
  <c r="I120" i="7"/>
  <c r="J120" i="7" s="1"/>
  <c r="Z109" i="7"/>
  <c r="AK192" i="7"/>
  <c r="AC69" i="7"/>
  <c r="L183" i="23"/>
  <c r="I149" i="23"/>
  <c r="Q160" i="23"/>
  <c r="M62" i="23"/>
  <c r="M58" i="23"/>
  <c r="Q224" i="7"/>
  <c r="R223" i="7" s="1"/>
  <c r="AJ131" i="23"/>
  <c r="Z96" i="7"/>
  <c r="Z111" i="7"/>
  <c r="Y180" i="7"/>
  <c r="Z180" i="7" s="1"/>
  <c r="Q180" i="7"/>
  <c r="R180" i="7" s="1"/>
  <c r="M162" i="23"/>
  <c r="AK229" i="7"/>
  <c r="I129" i="23"/>
  <c r="AG193" i="7"/>
  <c r="AH193" i="7" s="1"/>
  <c r="AC165" i="7"/>
  <c r="AD165" i="7" s="1"/>
  <c r="AK83" i="7"/>
  <c r="AL83" i="7" s="1"/>
  <c r="AG125" i="7"/>
  <c r="AH125" i="7" s="1"/>
  <c r="AB168" i="23"/>
  <c r="I50" i="23"/>
  <c r="X144" i="23"/>
  <c r="M161" i="23"/>
  <c r="Y158" i="23"/>
  <c r="AA150" i="23"/>
  <c r="L168" i="23"/>
  <c r="U155" i="23"/>
  <c r="X168" i="23"/>
  <c r="AA144" i="23"/>
  <c r="Y62" i="23"/>
  <c r="AC60" i="23"/>
  <c r="AC56" i="23"/>
  <c r="I34" i="23"/>
  <c r="T74" i="23"/>
  <c r="AC73" i="23"/>
  <c r="N255" i="7"/>
  <c r="AK196" i="7"/>
  <c r="G36" i="23"/>
  <c r="P18" i="23"/>
  <c r="M28" i="7"/>
  <c r="N28" i="7" s="1"/>
  <c r="AK178" i="7"/>
  <c r="AG88" i="23"/>
  <c r="AH85" i="23" s="1"/>
  <c r="Z75" i="7"/>
  <c r="R110" i="7"/>
  <c r="R111" i="7"/>
  <c r="AK119" i="7"/>
  <c r="AA37" i="7"/>
  <c r="AB18" i="23"/>
  <c r="AB29" i="7"/>
  <c r="N109" i="7"/>
  <c r="N111" i="7"/>
  <c r="N107" i="7"/>
  <c r="N108" i="7"/>
  <c r="M130" i="7"/>
  <c r="Y124" i="23"/>
  <c r="Z53" i="7"/>
  <c r="Z54" i="7"/>
  <c r="Y143" i="23"/>
  <c r="Y156" i="23"/>
  <c r="G126" i="23"/>
  <c r="M34" i="23"/>
  <c r="Q156" i="23"/>
  <c r="AC49" i="23"/>
  <c r="M140" i="23"/>
  <c r="Y70" i="23"/>
  <c r="AK221" i="7"/>
  <c r="AK258" i="7"/>
  <c r="AL256" i="7" s="1"/>
  <c r="AI185" i="7"/>
  <c r="R47" i="7"/>
  <c r="R46" i="7"/>
  <c r="N224" i="7"/>
  <c r="J44" i="7"/>
  <c r="Y172" i="7"/>
  <c r="Z171" i="7" s="1"/>
  <c r="V256" i="7"/>
  <c r="V255" i="7"/>
  <c r="N187" i="7"/>
  <c r="Z28" i="7"/>
  <c r="AD174" i="7"/>
  <c r="AD175" i="7"/>
  <c r="AD178" i="7"/>
  <c r="U51" i="23"/>
  <c r="AC158" i="23"/>
  <c r="Y160" i="23"/>
  <c r="Y152" i="23"/>
  <c r="AK175" i="23"/>
  <c r="Q71" i="23"/>
  <c r="U149" i="23"/>
  <c r="M201" i="7"/>
  <c r="N201" i="7" s="1"/>
  <c r="AF144" i="23"/>
  <c r="P52" i="23"/>
  <c r="V257" i="7"/>
  <c r="AC37" i="7"/>
  <c r="AD177" i="7"/>
  <c r="M120" i="7"/>
  <c r="N120" i="7" s="1"/>
  <c r="Z25" i="7"/>
  <c r="Y224" i="7"/>
  <c r="V223" i="7"/>
  <c r="V224" i="7"/>
  <c r="U180" i="7"/>
  <c r="V178" i="7" s="1"/>
  <c r="AG243" i="7"/>
  <c r="AH238" i="7" s="1"/>
  <c r="AK169" i="7"/>
  <c r="AK153" i="7"/>
  <c r="AJ120" i="7"/>
  <c r="AG180" i="7"/>
  <c r="AH176" i="7" s="1"/>
  <c r="AG165" i="7"/>
  <c r="AH157" i="7" s="1"/>
  <c r="AC172" i="7"/>
  <c r="AD172" i="7" s="1"/>
  <c r="AK167" i="7"/>
  <c r="M211" i="7"/>
  <c r="N204" i="7" s="1"/>
  <c r="M180" i="7"/>
  <c r="N179" i="7" s="1"/>
  <c r="AK52" i="7"/>
  <c r="AK57" i="7"/>
  <c r="AK208" i="7"/>
  <c r="AK232" i="7"/>
  <c r="R258" i="7"/>
  <c r="AC43" i="23"/>
  <c r="AC230" i="7"/>
  <c r="AD230" i="7" s="1"/>
  <c r="U201" i="7"/>
  <c r="V196" i="7" s="1"/>
  <c r="Y66" i="23"/>
  <c r="Y65" i="23"/>
  <c r="Y61" i="23"/>
  <c r="Y57" i="23"/>
  <c r="AK222" i="7"/>
  <c r="AK179" i="7"/>
  <c r="Q172" i="7"/>
  <c r="R172" i="7" s="1"/>
  <c r="U165" i="23"/>
  <c r="AK220" i="7"/>
  <c r="AK174" i="7"/>
  <c r="AK84" i="23"/>
  <c r="X158" i="7"/>
  <c r="X188" i="17"/>
  <c r="Y181" i="17"/>
  <c r="K158" i="7"/>
  <c r="K165" i="7" s="1"/>
  <c r="AT181" i="14"/>
  <c r="AT188" i="14" s="1"/>
  <c r="Y181" i="14"/>
  <c r="M154" i="7"/>
  <c r="AG162" i="23"/>
  <c r="I35" i="23"/>
  <c r="Q141" i="23"/>
  <c r="P168" i="23"/>
  <c r="AJ147" i="23"/>
  <c r="AB36" i="23"/>
  <c r="Y101" i="23"/>
  <c r="Z97" i="23" s="1"/>
  <c r="AG77" i="23"/>
  <c r="T163" i="23"/>
  <c r="O150" i="23"/>
  <c r="AC157" i="23"/>
  <c r="U62" i="23"/>
  <c r="I63" i="23"/>
  <c r="AK124" i="7"/>
  <c r="U193" i="7"/>
  <c r="V192" i="7" s="1"/>
  <c r="I185" i="7"/>
  <c r="J184" i="7" s="1"/>
  <c r="AK171" i="7"/>
  <c r="AJ224" i="7"/>
  <c r="Y58" i="23"/>
  <c r="AJ129" i="23"/>
  <c r="AI143" i="23"/>
  <c r="Q148" i="23"/>
  <c r="K126" i="23"/>
  <c r="AI61" i="23"/>
  <c r="AG62" i="23"/>
  <c r="AG50" i="23"/>
  <c r="U157" i="23"/>
  <c r="T81" i="23"/>
  <c r="AC58" i="23"/>
  <c r="AI55" i="23"/>
  <c r="L36" i="23"/>
  <c r="AG142" i="23"/>
  <c r="Y71" i="23"/>
  <c r="Y72" i="23"/>
  <c r="I33" i="7"/>
  <c r="J31" i="7" s="1"/>
  <c r="AJ130" i="23"/>
  <c r="AI47" i="7"/>
  <c r="Y88" i="23"/>
  <c r="Z84" i="23" s="1"/>
  <c r="AK135" i="7"/>
  <c r="Z246" i="7"/>
  <c r="AK65" i="7"/>
  <c r="AK46" i="7"/>
  <c r="AK75" i="7"/>
  <c r="Q62" i="23"/>
  <c r="AK107" i="23"/>
  <c r="AK108" i="23" s="1"/>
  <c r="AJ167" i="23"/>
  <c r="Y154" i="23"/>
  <c r="U88" i="23"/>
  <c r="V86" i="23" s="1"/>
  <c r="X126" i="23"/>
  <c r="U116" i="23"/>
  <c r="V115" i="23" s="1"/>
  <c r="Y116" i="23"/>
  <c r="Z113" i="23" s="1"/>
  <c r="AC63" i="23"/>
  <c r="AC59" i="23"/>
  <c r="U59" i="23"/>
  <c r="U54" i="23"/>
  <c r="K74" i="23"/>
  <c r="M70" i="23"/>
  <c r="I193" i="7"/>
  <c r="J188" i="7" s="1"/>
  <c r="AK154" i="7"/>
  <c r="AI64" i="23"/>
  <c r="N47" i="7"/>
  <c r="AD168" i="7"/>
  <c r="AD171" i="7"/>
  <c r="AD169" i="7"/>
  <c r="F164" i="25"/>
  <c r="F167" i="25" s="1"/>
  <c r="F74" i="25"/>
  <c r="G74" i="25" s="1"/>
  <c r="AI50" i="23"/>
  <c r="U243" i="7"/>
  <c r="V242" i="7" s="1"/>
  <c r="U43" i="23"/>
  <c r="AJ201" i="7"/>
  <c r="I76" i="7"/>
  <c r="J74" i="7" s="1"/>
  <c r="N182" i="7"/>
  <c r="N185" i="7"/>
  <c r="E164" i="25"/>
  <c r="AI172" i="7"/>
  <c r="N121" i="7"/>
  <c r="N125" i="7"/>
  <c r="N123" i="7"/>
  <c r="N124" i="7"/>
  <c r="V31" i="7"/>
  <c r="Q142" i="23"/>
  <c r="O144" i="23"/>
  <c r="AI77" i="23"/>
  <c r="I77" i="23"/>
  <c r="L68" i="23"/>
  <c r="AD120" i="7"/>
  <c r="AD119" i="7"/>
  <c r="J81" i="7"/>
  <c r="J82" i="7"/>
  <c r="BP216" i="7"/>
  <c r="M248" i="7"/>
  <c r="N246" i="7" s="1"/>
  <c r="I230" i="7"/>
  <c r="J227" i="7" s="1"/>
  <c r="AD118" i="7"/>
  <c r="AJ172" i="7"/>
  <c r="M101" i="23"/>
  <c r="N98" i="23" s="1"/>
  <c r="AK99" i="23"/>
  <c r="AI60" i="23"/>
  <c r="M60" i="23"/>
  <c r="J245" i="7"/>
  <c r="J248" i="7"/>
  <c r="Y211" i="7"/>
  <c r="U158" i="23"/>
  <c r="U167" i="23"/>
  <c r="I71" i="23"/>
  <c r="U60" i="23"/>
  <c r="AI59" i="23"/>
  <c r="Y148" i="23"/>
  <c r="AK240" i="7"/>
  <c r="I224" i="7"/>
  <c r="J224" i="7" s="1"/>
  <c r="AC23" i="7"/>
  <c r="AD21" i="7" s="1"/>
  <c r="AK54" i="7"/>
  <c r="Q61" i="23"/>
  <c r="AH82" i="7"/>
  <c r="AH79" i="7"/>
  <c r="AH83" i="7"/>
  <c r="AH80" i="7"/>
  <c r="AH81" i="7"/>
  <c r="T18" i="23"/>
  <c r="U18" i="23" s="1"/>
  <c r="V18" i="23" s="1"/>
  <c r="T29" i="7"/>
  <c r="Y166" i="23"/>
  <c r="M160" i="23"/>
  <c r="X36" i="23"/>
  <c r="W42" i="23"/>
  <c r="Q51" i="23"/>
  <c r="I73" i="23"/>
  <c r="I78" i="23"/>
  <c r="Y141" i="23"/>
  <c r="AC80" i="23"/>
  <c r="AG64" i="23"/>
  <c r="AG60" i="23"/>
  <c r="AG66" i="23"/>
  <c r="AG58" i="23"/>
  <c r="AC66" i="23"/>
  <c r="AJ58" i="23"/>
  <c r="AC64" i="23"/>
  <c r="U63" i="23"/>
  <c r="U67" i="23"/>
  <c r="O74" i="23"/>
  <c r="AC211" i="7"/>
  <c r="AD207" i="7" s="1"/>
  <c r="AK238" i="7"/>
  <c r="I201" i="7"/>
  <c r="J196" i="7" s="1"/>
  <c r="U211" i="7"/>
  <c r="V204" i="7" s="1"/>
  <c r="M230" i="7"/>
  <c r="N227" i="7" s="1"/>
  <c r="AD221" i="7"/>
  <c r="I130" i="7"/>
  <c r="J130" i="7" s="1"/>
  <c r="Z31" i="7"/>
  <c r="AL82" i="7"/>
  <c r="N220" i="7"/>
  <c r="AH135" i="7"/>
  <c r="AK228" i="7"/>
  <c r="AK86" i="23"/>
  <c r="I165" i="7"/>
  <c r="J157" i="7" s="1"/>
  <c r="Q116" i="23"/>
  <c r="R114" i="23" s="1"/>
  <c r="AJ180" i="7"/>
  <c r="V111" i="7"/>
  <c r="AK171" i="23"/>
  <c r="L150" i="23"/>
  <c r="AG80" i="23"/>
  <c r="Q101" i="23"/>
  <c r="R99" i="23" s="1"/>
  <c r="Q88" i="23"/>
  <c r="R86" i="23" s="1"/>
  <c r="AK177" i="23"/>
  <c r="Q79" i="23"/>
  <c r="M149" i="23"/>
  <c r="U71" i="23"/>
  <c r="AC146" i="23"/>
  <c r="U61" i="23"/>
  <c r="I66" i="23"/>
  <c r="T52" i="23"/>
  <c r="AG201" i="7"/>
  <c r="AH201" i="7" s="1"/>
  <c r="U248" i="7"/>
  <c r="V246" i="7" s="1"/>
  <c r="AG248" i="7"/>
  <c r="AH245" i="7" s="1"/>
  <c r="I28" i="7"/>
  <c r="J25" i="7" s="1"/>
  <c r="AI124" i="23"/>
  <c r="R53" i="7"/>
  <c r="AH119" i="7"/>
  <c r="AL80" i="7"/>
  <c r="AK59" i="7"/>
  <c r="I180" i="7"/>
  <c r="J178" i="7" s="1"/>
  <c r="U17" i="7"/>
  <c r="U29" i="7" s="1"/>
  <c r="AG211" i="7"/>
  <c r="U172" i="7"/>
  <c r="U181" i="23"/>
  <c r="I117" i="23"/>
  <c r="AK115" i="23"/>
  <c r="AK117" i="23" s="1"/>
  <c r="I116" i="23"/>
  <c r="J113" i="23" s="1"/>
  <c r="AK113" i="23"/>
  <c r="G64" i="25" s="1"/>
  <c r="H64" i="25" s="1"/>
  <c r="AJ61" i="23"/>
  <c r="AK61" i="23" s="1"/>
  <c r="AJ65" i="23"/>
  <c r="I65" i="23"/>
  <c r="L52" i="23"/>
  <c r="AI78" i="23"/>
  <c r="U78" i="23"/>
  <c r="AA68" i="23"/>
  <c r="AJ71" i="23"/>
  <c r="T36" i="23"/>
  <c r="W68" i="23"/>
  <c r="AI67" i="23"/>
  <c r="AK67" i="23" s="1"/>
  <c r="AJ56" i="23"/>
  <c r="M25" i="23"/>
  <c r="AI58" i="23"/>
  <c r="Q72" i="23"/>
  <c r="P74" i="23"/>
  <c r="W81" i="23"/>
  <c r="V119" i="7"/>
  <c r="V182" i="7"/>
  <c r="W182" i="23"/>
  <c r="V261" i="7"/>
  <c r="O81" i="23"/>
  <c r="AK216" i="7"/>
  <c r="G168" i="25" s="1"/>
  <c r="U168" i="25" s="1"/>
  <c r="M37" i="26" s="1"/>
  <c r="T168" i="23"/>
  <c r="AB182" i="23"/>
  <c r="AJ73" i="23"/>
  <c r="O52" i="23"/>
  <c r="AJ157" i="23"/>
  <c r="U77" i="23"/>
  <c r="K182" i="23"/>
  <c r="O68" i="23"/>
  <c r="Z51" i="7"/>
  <c r="R109" i="7"/>
  <c r="R108" i="7"/>
  <c r="R107" i="7"/>
  <c r="J119" i="7"/>
  <c r="J118" i="7"/>
  <c r="V263" i="7"/>
  <c r="U183" i="23"/>
  <c r="AJ59" i="23"/>
  <c r="M80" i="23"/>
  <c r="AH221" i="7"/>
  <c r="AK111" i="7"/>
  <c r="J110" i="7"/>
  <c r="J108" i="7"/>
  <c r="J111" i="7"/>
  <c r="J107" i="7"/>
  <c r="J109" i="7"/>
  <c r="R200" i="7"/>
  <c r="R196" i="7"/>
  <c r="AJ35" i="23"/>
  <c r="P81" i="23"/>
  <c r="M165" i="23"/>
  <c r="T68" i="23"/>
  <c r="L26" i="23"/>
  <c r="AJ25" i="23"/>
  <c r="Q34" i="23"/>
  <c r="P36" i="23"/>
  <c r="X150" i="23"/>
  <c r="L81" i="23"/>
  <c r="AK200" i="7"/>
  <c r="AK22" i="7"/>
  <c r="Z56" i="7"/>
  <c r="Z59" i="7"/>
  <c r="Z55" i="7"/>
  <c r="Z61" i="7"/>
  <c r="Z62" i="7"/>
  <c r="Z60" i="7"/>
  <c r="Z57" i="7"/>
  <c r="Z58" i="7"/>
  <c r="Z52" i="7"/>
  <c r="AD129" i="7"/>
  <c r="AD130" i="7"/>
  <c r="AD127" i="7"/>
  <c r="J96" i="7"/>
  <c r="J93" i="7"/>
  <c r="J94" i="7"/>
  <c r="J92" i="7"/>
  <c r="J95" i="7"/>
  <c r="AH108" i="7"/>
  <c r="AH110" i="7"/>
  <c r="AH109" i="7"/>
  <c r="AC140" i="23"/>
  <c r="AB126" i="23"/>
  <c r="AF163" i="23"/>
  <c r="AK247" i="7"/>
  <c r="R201" i="7"/>
  <c r="AJ55" i="23"/>
  <c r="V118" i="7"/>
  <c r="Z63" i="7"/>
  <c r="Z49" i="7"/>
  <c r="AH107" i="7"/>
  <c r="AG73" i="23"/>
  <c r="N169" i="7"/>
  <c r="Z125" i="7"/>
  <c r="AG178" i="23"/>
  <c r="AH176" i="23" s="1"/>
  <c r="AG101" i="23"/>
  <c r="AH98" i="23" s="1"/>
  <c r="AK87" i="23"/>
  <c r="M65" i="23"/>
  <c r="AJ155" i="23"/>
  <c r="AI72" i="23"/>
  <c r="AC116" i="23"/>
  <c r="AD115" i="23" s="1"/>
  <c r="AK114" i="23"/>
  <c r="G65" i="25" s="1"/>
  <c r="H65" i="25" s="1"/>
  <c r="AG67" i="23"/>
  <c r="AG63" i="23"/>
  <c r="AG61" i="23"/>
  <c r="AG57" i="23"/>
  <c r="AJ57" i="23"/>
  <c r="AC67" i="23"/>
  <c r="Q66" i="23"/>
  <c r="P68" i="23"/>
  <c r="M64" i="23"/>
  <c r="M59" i="23"/>
  <c r="AK106" i="23"/>
  <c r="AE74" i="23"/>
  <c r="Q161" i="23"/>
  <c r="AC149" i="23"/>
  <c r="M54" i="23"/>
  <c r="AJ64" i="23"/>
  <c r="H36" i="23"/>
  <c r="AG78" i="23"/>
  <c r="U49" i="23"/>
  <c r="L74" i="23"/>
  <c r="AC143" i="23"/>
  <c r="Y34" i="23"/>
  <c r="AJ248" i="7"/>
  <c r="Q211" i="7"/>
  <c r="R206" i="7" s="1"/>
  <c r="I211" i="7"/>
  <c r="J207" i="7" s="1"/>
  <c r="J246" i="7"/>
  <c r="J247" i="7"/>
  <c r="J83" i="7"/>
  <c r="J80" i="7"/>
  <c r="Q147" i="23"/>
  <c r="U35" i="23"/>
  <c r="H181" i="23"/>
  <c r="M57" i="23"/>
  <c r="AC126" i="23"/>
  <c r="AD125" i="23" s="1"/>
  <c r="AB52" i="23"/>
  <c r="M154" i="23"/>
  <c r="M63" i="23"/>
  <c r="M116" i="23"/>
  <c r="N114" i="23" s="1"/>
  <c r="AG116" i="23"/>
  <c r="AH115" i="23" s="1"/>
  <c r="Q65" i="23"/>
  <c r="AJ162" i="23"/>
  <c r="Y43" i="23"/>
  <c r="Y44" i="23" s="1"/>
  <c r="AI120" i="7"/>
  <c r="I125" i="7"/>
  <c r="J125" i="7" s="1"/>
  <c r="AJ23" i="7"/>
  <c r="I63" i="7"/>
  <c r="J63" i="7" s="1"/>
  <c r="AK60" i="7"/>
  <c r="AI62" i="23"/>
  <c r="V187" i="7"/>
  <c r="R61" i="7"/>
  <c r="R60" i="7"/>
  <c r="R52" i="7"/>
  <c r="R56" i="7"/>
  <c r="R59" i="7"/>
  <c r="R55" i="7"/>
  <c r="R51" i="7"/>
  <c r="R50" i="7"/>
  <c r="V27" i="7"/>
  <c r="AK234" i="7"/>
  <c r="AK31" i="7"/>
  <c r="AJ125" i="23"/>
  <c r="J228" i="7"/>
  <c r="N21" i="7"/>
  <c r="N22" i="7"/>
  <c r="N23" i="7"/>
  <c r="AD206" i="7"/>
  <c r="AD205" i="7"/>
  <c r="I182" i="23"/>
  <c r="J72" i="7"/>
  <c r="V23" i="7"/>
  <c r="V22" i="7"/>
  <c r="V21" i="7"/>
  <c r="R23" i="7"/>
  <c r="R21" i="7"/>
  <c r="R22" i="7"/>
  <c r="Z23" i="7"/>
  <c r="AD153" i="7"/>
  <c r="AD152" i="7"/>
  <c r="AD155" i="7"/>
  <c r="AD154" i="7"/>
  <c r="AD158" i="7"/>
  <c r="AD156" i="7"/>
  <c r="AF68" i="23"/>
  <c r="U70" i="23"/>
  <c r="X68" i="23"/>
  <c r="AJ152" i="23"/>
  <c r="H132" i="23"/>
  <c r="Y76" i="23"/>
  <c r="X181" i="23"/>
  <c r="I183" i="23"/>
  <c r="I59" i="23"/>
  <c r="Q73" i="23"/>
  <c r="AC72" i="23"/>
  <c r="I62" i="23"/>
  <c r="U58" i="23"/>
  <c r="J256" i="7"/>
  <c r="J258" i="7"/>
  <c r="J255" i="7"/>
  <c r="J257" i="7"/>
  <c r="AK187" i="7"/>
  <c r="AI193" i="7"/>
  <c r="H18" i="23"/>
  <c r="H29" i="7"/>
  <c r="AJ17" i="7"/>
  <c r="K18" i="23"/>
  <c r="M17" i="7"/>
  <c r="M29" i="7" s="1"/>
  <c r="K29" i="7"/>
  <c r="AJ199" i="7"/>
  <c r="AK112" i="23"/>
  <c r="G63" i="25" s="1"/>
  <c r="H63" i="25" s="1"/>
  <c r="AK118" i="23"/>
  <c r="AK119" i="23" s="1"/>
  <c r="H68" i="23"/>
  <c r="AG70" i="23"/>
  <c r="S81" i="23"/>
  <c r="K181" i="23"/>
  <c r="T182" i="23"/>
  <c r="I55" i="23"/>
  <c r="I67" i="23"/>
  <c r="T150" i="23"/>
  <c r="X182" i="23"/>
  <c r="AC147" i="23"/>
  <c r="G182" i="23"/>
  <c r="M35" i="23"/>
  <c r="AF36" i="23"/>
  <c r="AC165" i="23"/>
  <c r="AJ72" i="23"/>
  <c r="U182" i="23"/>
  <c r="AJ63" i="23"/>
  <c r="AG54" i="23"/>
  <c r="AI71" i="23"/>
  <c r="AJ62" i="23"/>
  <c r="AB26" i="23"/>
  <c r="AJ78" i="23"/>
  <c r="AA81" i="23"/>
  <c r="AJ60" i="23"/>
  <c r="M41" i="23"/>
  <c r="AC62" i="23"/>
  <c r="AC25" i="23"/>
  <c r="U57" i="23"/>
  <c r="U65" i="23"/>
  <c r="U34" i="23"/>
  <c r="Y243" i="7"/>
  <c r="M243" i="7"/>
  <c r="Q248" i="7"/>
  <c r="AK233" i="7"/>
  <c r="AI243" i="7"/>
  <c r="AK121" i="7"/>
  <c r="AI224" i="7"/>
  <c r="AI125" i="7"/>
  <c r="AK21" i="7"/>
  <c r="AI23" i="7"/>
  <c r="AH23" i="7"/>
  <c r="AH22" i="7"/>
  <c r="AH21" i="7"/>
  <c r="AH226" i="7"/>
  <c r="AJ243" i="7"/>
  <c r="AI230" i="7"/>
  <c r="AK226" i="7"/>
  <c r="AI191" i="7"/>
  <c r="BR191" i="7"/>
  <c r="AK191" i="7" s="1"/>
  <c r="R229" i="7"/>
  <c r="M55" i="23"/>
  <c r="P181" i="23"/>
  <c r="AJ166" i="23"/>
  <c r="AG154" i="23"/>
  <c r="M50" i="23"/>
  <c r="AJ66" i="23"/>
  <c r="X74" i="23"/>
  <c r="AC57" i="23"/>
  <c r="AC243" i="7"/>
  <c r="AK13" i="7"/>
  <c r="AK15" i="7"/>
  <c r="I131" i="23"/>
  <c r="R120" i="7"/>
  <c r="R119" i="7"/>
  <c r="R118" i="7"/>
  <c r="O18" i="23"/>
  <c r="Q17" i="7"/>
  <c r="Q29" i="7" s="1"/>
  <c r="O29" i="7"/>
  <c r="X18" i="23"/>
  <c r="Y18" i="23" s="1"/>
  <c r="Z18" i="23" s="1"/>
  <c r="Y17" i="7"/>
  <c r="Y29" i="7" s="1"/>
  <c r="X29" i="7"/>
  <c r="N27" i="7"/>
  <c r="AK49" i="7"/>
  <c r="AA181" i="23"/>
  <c r="T183" i="23"/>
  <c r="H168" i="23"/>
  <c r="S168" i="23"/>
  <c r="AJ158" i="23"/>
  <c r="L144" i="23"/>
  <c r="AC35" i="23"/>
  <c r="AG160" i="23"/>
  <c r="AC141" i="23"/>
  <c r="K81" i="23"/>
  <c r="M166" i="23"/>
  <c r="AI73" i="23"/>
  <c r="AI66" i="23"/>
  <c r="AG59" i="23"/>
  <c r="AC65" i="23"/>
  <c r="AC61" i="23"/>
  <c r="U64" i="23"/>
  <c r="M72" i="23"/>
  <c r="AI201" i="7"/>
  <c r="AK195" i="7"/>
  <c r="AG55" i="23"/>
  <c r="AK204" i="7"/>
  <c r="AJ211" i="7"/>
  <c r="AI248" i="7"/>
  <c r="AK245" i="7"/>
  <c r="Q243" i="7"/>
  <c r="AK206" i="7"/>
  <c r="AI211" i="7"/>
  <c r="N226" i="7"/>
  <c r="N229" i="7"/>
  <c r="I243" i="7"/>
  <c r="AK227" i="7"/>
  <c r="AJ230" i="7"/>
  <c r="AK182" i="7"/>
  <c r="AJ185" i="7"/>
  <c r="I130" i="23"/>
  <c r="AI130" i="23"/>
  <c r="G166" i="25"/>
  <c r="AD54" i="7"/>
  <c r="AD51" i="7"/>
  <c r="AD61" i="7"/>
  <c r="AD56" i="7"/>
  <c r="G18" i="23"/>
  <c r="G29" i="7"/>
  <c r="AI17" i="7"/>
  <c r="I17" i="7"/>
  <c r="I29" i="7" s="1"/>
  <c r="AA18" i="23"/>
  <c r="AA29" i="7"/>
  <c r="AC17" i="7"/>
  <c r="AC29" i="7" s="1"/>
  <c r="AF18" i="23"/>
  <c r="AG17" i="7"/>
  <c r="AG29" i="7" s="1"/>
  <c r="L18" i="23"/>
  <c r="L29" i="7"/>
  <c r="I69" i="7"/>
  <c r="M63" i="7"/>
  <c r="AB141" i="7"/>
  <c r="AZ163" i="18"/>
  <c r="AZ169" i="18" s="1"/>
  <c r="Y163" i="18"/>
  <c r="Y169" i="18" s="1"/>
  <c r="X169" i="18"/>
  <c r="AZ163" i="17"/>
  <c r="AZ169" i="17" s="1"/>
  <c r="X141" i="7"/>
  <c r="Y141" i="7" s="1"/>
  <c r="Y147" i="7" s="1"/>
  <c r="X169" i="17"/>
  <c r="AI141" i="7"/>
  <c r="W147" i="7"/>
  <c r="AU162" i="17"/>
  <c r="AU155" i="17"/>
  <c r="AU169" i="17"/>
  <c r="AU154" i="17"/>
  <c r="AU159" i="17"/>
  <c r="AU156" i="17"/>
  <c r="AU160" i="17"/>
  <c r="AU158" i="17"/>
  <c r="AU163" i="17"/>
  <c r="AU157" i="17"/>
  <c r="AU161" i="17"/>
  <c r="AU175" i="17"/>
  <c r="Z58" i="20"/>
  <c r="Z63" i="20" s="1"/>
  <c r="V61" i="20"/>
  <c r="V63" i="20" s="1"/>
  <c r="L214" i="20"/>
  <c r="L215" i="20"/>
  <c r="N207" i="20"/>
  <c r="N128" i="6"/>
  <c r="N121" i="6"/>
  <c r="N126" i="6"/>
  <c r="AD148" i="6"/>
  <c r="AC357" i="6"/>
  <c r="AD146" i="6"/>
  <c r="AD147" i="6"/>
  <c r="AD149" i="6"/>
  <c r="AD151" i="6"/>
  <c r="AH130" i="6"/>
  <c r="AH131" i="6"/>
  <c r="AH132" i="6"/>
  <c r="N25" i="6"/>
  <c r="N26" i="6"/>
  <c r="R71" i="6"/>
  <c r="R73" i="6"/>
  <c r="Z150" i="6"/>
  <c r="Z148" i="6"/>
  <c r="AH28" i="6"/>
  <c r="AH25" i="6"/>
  <c r="AH26" i="6"/>
  <c r="AH27" i="6"/>
  <c r="M451" i="6"/>
  <c r="AK480" i="6"/>
  <c r="AJ439" i="6"/>
  <c r="AG292" i="6"/>
  <c r="AK73" i="6"/>
  <c r="AD123" i="6"/>
  <c r="AD119" i="6"/>
  <c r="AH502" i="6"/>
  <c r="AK105" i="6"/>
  <c r="J472" i="6"/>
  <c r="AK97" i="23"/>
  <c r="AG47" i="6"/>
  <c r="I310" i="6"/>
  <c r="I47" i="6"/>
  <c r="R130" i="6"/>
  <c r="AH62" i="6"/>
  <c r="AD364" i="6"/>
  <c r="N330" i="6"/>
  <c r="J475" i="6"/>
  <c r="J206" i="6"/>
  <c r="I257" i="6"/>
  <c r="V131" i="6"/>
  <c r="N23" i="6"/>
  <c r="R229" i="6"/>
  <c r="V297" i="6"/>
  <c r="V55" i="6"/>
  <c r="V56" i="6"/>
  <c r="V50" i="6"/>
  <c r="AH231" i="6"/>
  <c r="M123" i="23"/>
  <c r="M134" i="23" s="1"/>
  <c r="M136" i="23" s="1"/>
  <c r="AI128" i="6"/>
  <c r="I292" i="6"/>
  <c r="I293" i="6" s="1"/>
  <c r="AK148" i="6"/>
  <c r="AC63" i="6"/>
  <c r="J33" i="6"/>
  <c r="AH32" i="6"/>
  <c r="N298" i="6"/>
  <c r="AC246" i="6"/>
  <c r="AG456" i="6"/>
  <c r="AG151" i="6"/>
  <c r="I320" i="6"/>
  <c r="I69" i="6"/>
  <c r="Q320" i="6"/>
  <c r="AJ140" i="23"/>
  <c r="AD143" i="6"/>
  <c r="H17" i="23"/>
  <c r="H29" i="6"/>
  <c r="Q94" i="23"/>
  <c r="K36" i="23"/>
  <c r="S52" i="23"/>
  <c r="U147" i="23"/>
  <c r="AJ141" i="23"/>
  <c r="G163" i="23"/>
  <c r="I328" i="6"/>
  <c r="U241" i="6"/>
  <c r="AD124" i="6"/>
  <c r="AD121" i="6"/>
  <c r="AD120" i="6"/>
  <c r="AH507" i="6"/>
  <c r="AH23" i="6"/>
  <c r="R132" i="6"/>
  <c r="V331" i="6"/>
  <c r="J479" i="6"/>
  <c r="V57" i="6"/>
  <c r="J213" i="6"/>
  <c r="N22" i="6"/>
  <c r="R231" i="6"/>
  <c r="V52" i="6"/>
  <c r="V58" i="6"/>
  <c r="V62" i="6"/>
  <c r="AK215" i="6"/>
  <c r="J32" i="6"/>
  <c r="AH31" i="6"/>
  <c r="AK237" i="6"/>
  <c r="Q265" i="6"/>
  <c r="Y162" i="6"/>
  <c r="J487" i="6"/>
  <c r="AD142" i="6"/>
  <c r="P17" i="23"/>
  <c r="P29" i="6"/>
  <c r="AH139" i="6"/>
  <c r="AH134" i="6"/>
  <c r="AH138" i="6"/>
  <c r="I140" i="6"/>
  <c r="AJ143" i="23"/>
  <c r="U371" i="6"/>
  <c r="AJ333" i="6"/>
  <c r="G181" i="23"/>
  <c r="AG320" i="6"/>
  <c r="AJ189" i="6"/>
  <c r="AD125" i="6"/>
  <c r="I101" i="23"/>
  <c r="J100" i="23" s="1"/>
  <c r="AK413" i="6"/>
  <c r="AI308" i="6"/>
  <c r="I132" i="6"/>
  <c r="N264" i="6"/>
  <c r="AI169" i="6"/>
  <c r="AH22" i="6"/>
  <c r="N332" i="6"/>
  <c r="V332" i="6"/>
  <c r="V51" i="6"/>
  <c r="V63" i="6"/>
  <c r="AH224" i="6"/>
  <c r="V53" i="6"/>
  <c r="V60" i="6"/>
  <c r="AK437" i="6"/>
  <c r="AK135" i="6"/>
  <c r="AG169" i="6"/>
  <c r="AB144" i="23"/>
  <c r="J488" i="6"/>
  <c r="AH140" i="6"/>
  <c r="V432" i="6"/>
  <c r="V437" i="6"/>
  <c r="V255" i="6"/>
  <c r="AH309" i="6"/>
  <c r="AH305" i="6"/>
  <c r="AH310" i="6"/>
  <c r="AH304" i="6"/>
  <c r="R67" i="6"/>
  <c r="R66" i="6"/>
  <c r="R69" i="6"/>
  <c r="R68" i="6"/>
  <c r="R65" i="6"/>
  <c r="N335" i="6"/>
  <c r="N340" i="6"/>
  <c r="AH150" i="6"/>
  <c r="AH149" i="6"/>
  <c r="AH148" i="6"/>
  <c r="AG354" i="6"/>
  <c r="AG357" i="6"/>
  <c r="AH151" i="6"/>
  <c r="AH147" i="6"/>
  <c r="AH146" i="6"/>
  <c r="R319" i="6"/>
  <c r="R318" i="6"/>
  <c r="R317" i="6"/>
  <c r="N151" i="6"/>
  <c r="M354" i="6"/>
  <c r="N148" i="6"/>
  <c r="N147" i="6"/>
  <c r="N149" i="6"/>
  <c r="N146" i="6"/>
  <c r="N150" i="6"/>
  <c r="M357" i="6"/>
  <c r="Z156" i="6"/>
  <c r="Z154" i="6"/>
  <c r="Z157" i="6"/>
  <c r="Z158" i="6"/>
  <c r="Z159" i="6"/>
  <c r="Z162" i="6"/>
  <c r="Z160" i="6"/>
  <c r="Z161" i="6"/>
  <c r="Z155" i="6"/>
  <c r="Z139" i="6"/>
  <c r="Z138" i="6"/>
  <c r="N249" i="6"/>
  <c r="N254" i="6"/>
  <c r="N437" i="6"/>
  <c r="N433" i="6"/>
  <c r="N255" i="6"/>
  <c r="N438" i="6"/>
  <c r="N248" i="6"/>
  <c r="N253" i="6"/>
  <c r="N432" i="6"/>
  <c r="N439" i="6"/>
  <c r="Z305" i="6"/>
  <c r="Z309" i="6"/>
  <c r="Z310" i="6"/>
  <c r="Z304" i="6"/>
  <c r="AJ186" i="6"/>
  <c r="S258" i="6"/>
  <c r="S257" i="6"/>
  <c r="AA354" i="6"/>
  <c r="AA357" i="6"/>
  <c r="V167" i="6"/>
  <c r="V166" i="6"/>
  <c r="BR436" i="6"/>
  <c r="M76" i="23"/>
  <c r="W74" i="23"/>
  <c r="AG186" i="6"/>
  <c r="AH186" i="6" s="1"/>
  <c r="G74" i="23"/>
  <c r="AK182" i="6"/>
  <c r="U365" i="6"/>
  <c r="AK317" i="6"/>
  <c r="Q430" i="6"/>
  <c r="AJ384" i="6"/>
  <c r="Y365" i="6"/>
  <c r="AK381" i="6"/>
  <c r="AJ213" i="6"/>
  <c r="Q415" i="6"/>
  <c r="Y302" i="6"/>
  <c r="Z298" i="6" s="1"/>
  <c r="AC142" i="23"/>
  <c r="AJ292" i="6"/>
  <c r="AJ293" i="6" s="1"/>
  <c r="AK46" i="6"/>
  <c r="I389" i="6"/>
  <c r="J389" i="6" s="1"/>
  <c r="AG351" i="6"/>
  <c r="N119" i="6"/>
  <c r="N120" i="6"/>
  <c r="AJ302" i="6"/>
  <c r="V340" i="6"/>
  <c r="N488" i="6"/>
  <c r="AK83" i="6"/>
  <c r="Q241" i="6"/>
  <c r="AC140" i="6"/>
  <c r="AK38" i="6"/>
  <c r="AI39" i="6" s="1"/>
  <c r="R75" i="6"/>
  <c r="AD262" i="6"/>
  <c r="N167" i="6"/>
  <c r="V146" i="6"/>
  <c r="N27" i="6"/>
  <c r="AL109" i="6"/>
  <c r="AK500" i="6"/>
  <c r="Z178" i="6"/>
  <c r="Z176" i="6"/>
  <c r="AK99" i="6"/>
  <c r="AH169" i="6"/>
  <c r="F141" i="25"/>
  <c r="F132" i="25"/>
  <c r="F133" i="25" s="1"/>
  <c r="Y423" i="6"/>
  <c r="AC310" i="6"/>
  <c r="AD304" i="6" s="1"/>
  <c r="V169" i="6"/>
  <c r="V168" i="6"/>
  <c r="AJ160" i="23"/>
  <c r="Y456" i="6"/>
  <c r="AK330" i="6"/>
  <c r="V149" i="6"/>
  <c r="AH504" i="6"/>
  <c r="AH506" i="6"/>
  <c r="AH505" i="6"/>
  <c r="X258" i="6"/>
  <c r="X257" i="6"/>
  <c r="X17" i="23"/>
  <c r="X29" i="6"/>
  <c r="Y69" i="6"/>
  <c r="V27" i="6"/>
  <c r="V26" i="6"/>
  <c r="V28" i="6"/>
  <c r="V25" i="6"/>
  <c r="V175" i="6"/>
  <c r="V178" i="6"/>
  <c r="V174" i="6"/>
  <c r="V173" i="6"/>
  <c r="V177" i="6"/>
  <c r="V176" i="6"/>
  <c r="AJ246" i="6"/>
  <c r="M158" i="23"/>
  <c r="Q149" i="23"/>
  <c r="U142" i="23"/>
  <c r="Q365" i="6"/>
  <c r="AK231" i="6"/>
  <c r="AL231" i="6" s="1"/>
  <c r="Y73" i="23"/>
  <c r="U451" i="6"/>
  <c r="V451" i="6" s="1"/>
  <c r="AJ148" i="23"/>
  <c r="AC320" i="6"/>
  <c r="AA182" i="23"/>
  <c r="AJ149" i="23"/>
  <c r="AK103" i="6"/>
  <c r="N123" i="6"/>
  <c r="N124" i="6"/>
  <c r="V336" i="6"/>
  <c r="I231" i="6"/>
  <c r="N487" i="6"/>
  <c r="AC189" i="6"/>
  <c r="I351" i="6"/>
  <c r="AH336" i="6"/>
  <c r="R74" i="6"/>
  <c r="N169" i="6"/>
  <c r="V151" i="6"/>
  <c r="AI439" i="6"/>
  <c r="V243" i="6"/>
  <c r="N28" i="6"/>
  <c r="AL107" i="6"/>
  <c r="Z429" i="6"/>
  <c r="Z173" i="6"/>
  <c r="M126" i="23"/>
  <c r="N124" i="23" s="1"/>
  <c r="AH167" i="6"/>
  <c r="AK244" i="6"/>
  <c r="Q140" i="6"/>
  <c r="R139" i="6" s="1"/>
  <c r="AK221" i="6"/>
  <c r="AK272" i="6"/>
  <c r="AH341" i="6"/>
  <c r="AG430" i="6"/>
  <c r="AH430" i="6" s="1"/>
  <c r="AH335" i="6"/>
  <c r="I371" i="6"/>
  <c r="V148" i="6"/>
  <c r="Q47" i="6"/>
  <c r="AB354" i="6"/>
  <c r="AB357" i="6"/>
  <c r="AD26" i="6"/>
  <c r="AD27" i="6"/>
  <c r="M222" i="6"/>
  <c r="X357" i="6"/>
  <c r="X354" i="6"/>
  <c r="N320" i="6"/>
  <c r="N312" i="6"/>
  <c r="AC354" i="6"/>
  <c r="AD150" i="6"/>
  <c r="AK139" i="6"/>
  <c r="AA74" i="23"/>
  <c r="U161" i="23"/>
  <c r="AA163" i="23"/>
  <c r="U310" i="6"/>
  <c r="V304" i="6" s="1"/>
  <c r="M246" i="6"/>
  <c r="AK331" i="6"/>
  <c r="AK333" i="6" s="1"/>
  <c r="AC423" i="6"/>
  <c r="AJ169" i="6"/>
  <c r="I365" i="6"/>
  <c r="AK369" i="6"/>
  <c r="N125" i="6"/>
  <c r="Y241" i="6"/>
  <c r="Z241" i="6" s="1"/>
  <c r="AK345" i="6"/>
  <c r="I63" i="6"/>
  <c r="AD265" i="6"/>
  <c r="M63" i="6"/>
  <c r="V150" i="6"/>
  <c r="AL108" i="6"/>
  <c r="Z174" i="6"/>
  <c r="AH166" i="6"/>
  <c r="F140" i="25"/>
  <c r="AC241" i="6"/>
  <c r="AD234" i="6" s="1"/>
  <c r="U162" i="6"/>
  <c r="AJ154" i="23"/>
  <c r="Q351" i="6"/>
  <c r="V165" i="6"/>
  <c r="O42" i="23"/>
  <c r="Q42" i="23"/>
  <c r="U123" i="23"/>
  <c r="S126" i="23"/>
  <c r="AB17" i="23"/>
  <c r="AB29" i="6"/>
  <c r="AI79" i="23"/>
  <c r="S354" i="6"/>
  <c r="S357" i="6"/>
  <c r="AK290" i="6"/>
  <c r="R230" i="6"/>
  <c r="R225" i="6"/>
  <c r="AK37" i="6"/>
  <c r="AJ37" i="6"/>
  <c r="AI37" i="6"/>
  <c r="Z417" i="6"/>
  <c r="Z420" i="6"/>
  <c r="Z421" i="6"/>
  <c r="Z419" i="6"/>
  <c r="Z423" i="6"/>
  <c r="Z418" i="6"/>
  <c r="Z422" i="6"/>
  <c r="AD310" i="6"/>
  <c r="Z341" i="6"/>
  <c r="Z336" i="6"/>
  <c r="Z335" i="6"/>
  <c r="Z340" i="6"/>
  <c r="R275" i="6"/>
  <c r="R276" i="6"/>
  <c r="R284" i="6"/>
  <c r="R269" i="6"/>
  <c r="R272" i="6"/>
  <c r="R270" i="6"/>
  <c r="R268" i="6"/>
  <c r="R274" i="6"/>
  <c r="R279" i="6"/>
  <c r="R277" i="6"/>
  <c r="R273" i="6"/>
  <c r="R271" i="6"/>
  <c r="R266" i="6"/>
  <c r="R267" i="6"/>
  <c r="R278" i="6"/>
  <c r="AD456" i="6"/>
  <c r="AD455" i="6"/>
  <c r="AD454" i="6"/>
  <c r="R138" i="6"/>
  <c r="Q190" i="6"/>
  <c r="J370" i="6"/>
  <c r="J369" i="6"/>
  <c r="J368" i="6"/>
  <c r="J371" i="6"/>
  <c r="J367" i="6"/>
  <c r="R450" i="6"/>
  <c r="R446" i="6"/>
  <c r="R449" i="6"/>
  <c r="R442" i="6"/>
  <c r="R445" i="6"/>
  <c r="R451" i="6"/>
  <c r="R447" i="6"/>
  <c r="R444" i="6"/>
  <c r="R443" i="6"/>
  <c r="R448" i="6"/>
  <c r="J264" i="6"/>
  <c r="J262" i="6"/>
  <c r="J263" i="6"/>
  <c r="J265" i="6"/>
  <c r="Z168" i="6"/>
  <c r="Z167" i="6"/>
  <c r="Z166" i="6"/>
  <c r="Z165" i="6"/>
  <c r="Z169" i="6"/>
  <c r="BI172" i="23"/>
  <c r="Q123" i="23"/>
  <c r="J118" i="6"/>
  <c r="J125" i="6"/>
  <c r="J122" i="6"/>
  <c r="J120" i="6"/>
  <c r="J119" i="6"/>
  <c r="K258" i="6"/>
  <c r="K257" i="6"/>
  <c r="K168" i="23"/>
  <c r="X163" i="23"/>
  <c r="AJ153" i="23"/>
  <c r="Y451" i="6"/>
  <c r="AJ142" i="23"/>
  <c r="X81" i="23"/>
  <c r="U351" i="6"/>
  <c r="V349" i="6" s="1"/>
  <c r="Q302" i="6"/>
  <c r="M430" i="6"/>
  <c r="N429" i="6" s="1"/>
  <c r="AK276" i="6"/>
  <c r="AI166" i="23"/>
  <c r="AK448" i="6"/>
  <c r="AK426" i="6"/>
  <c r="AK419" i="6"/>
  <c r="M351" i="6"/>
  <c r="N344" i="6" s="1"/>
  <c r="Y371" i="6"/>
  <c r="AK165" i="6"/>
  <c r="AK169" i="6" s="1"/>
  <c r="AG389" i="6"/>
  <c r="AK353" i="6"/>
  <c r="AK264" i="6"/>
  <c r="P293" i="6"/>
  <c r="AK236" i="6"/>
  <c r="J126" i="6"/>
  <c r="M439" i="6"/>
  <c r="AJ241" i="6"/>
  <c r="N262" i="6"/>
  <c r="J460" i="6"/>
  <c r="Y357" i="6"/>
  <c r="Z147" i="6"/>
  <c r="AK374" i="6"/>
  <c r="AD365" i="6"/>
  <c r="V246" i="6"/>
  <c r="V254" i="6"/>
  <c r="V439" i="6"/>
  <c r="AD333" i="6"/>
  <c r="R313" i="6"/>
  <c r="R315" i="6"/>
  <c r="AJ222" i="6"/>
  <c r="V157" i="6"/>
  <c r="V156" i="6"/>
  <c r="Z428" i="6"/>
  <c r="V130" i="6"/>
  <c r="AH229" i="6"/>
  <c r="Z135" i="6"/>
  <c r="AG123" i="23"/>
  <c r="AE126" i="23"/>
  <c r="T17" i="23"/>
  <c r="T29" i="6"/>
  <c r="V298" i="6"/>
  <c r="V296" i="6"/>
  <c r="V301" i="6"/>
  <c r="AD166" i="6"/>
  <c r="AD168" i="6"/>
  <c r="AD169" i="6"/>
  <c r="AD167" i="6"/>
  <c r="AD165" i="6"/>
  <c r="Z47" i="6"/>
  <c r="Z44" i="6"/>
  <c r="Z45" i="6"/>
  <c r="Z46" i="6"/>
  <c r="M258" i="6"/>
  <c r="N206" i="6"/>
  <c r="N211" i="6"/>
  <c r="N212" i="6"/>
  <c r="N207" i="6"/>
  <c r="N166" i="6"/>
  <c r="N165" i="6"/>
  <c r="AK418" i="6"/>
  <c r="AK25" i="6"/>
  <c r="AK28" i="6" s="1"/>
  <c r="AJ28" i="6"/>
  <c r="I291" i="6"/>
  <c r="AK375" i="6"/>
  <c r="AC430" i="6"/>
  <c r="AD175" i="6"/>
  <c r="AD178" i="6"/>
  <c r="AD174" i="6"/>
  <c r="AA26" i="23"/>
  <c r="AC24" i="23"/>
  <c r="M292" i="6"/>
  <c r="N292" i="6" s="1"/>
  <c r="I451" i="6"/>
  <c r="J448" i="6" s="1"/>
  <c r="AK51" i="6"/>
  <c r="Z137" i="6"/>
  <c r="Z140" i="6"/>
  <c r="J467" i="6"/>
  <c r="J471" i="6"/>
  <c r="W36" i="23"/>
  <c r="Q146" i="23"/>
  <c r="W144" i="23"/>
  <c r="AJ159" i="23"/>
  <c r="AK234" i="6"/>
  <c r="AK370" i="6"/>
  <c r="AK371" i="6" s="1"/>
  <c r="AK315" i="6"/>
  <c r="M365" i="6"/>
  <c r="AC351" i="6"/>
  <c r="AD348" i="6" s="1"/>
  <c r="AB163" i="23"/>
  <c r="AC341" i="6"/>
  <c r="Q384" i="6"/>
  <c r="AI152" i="23"/>
  <c r="AK152" i="23" s="1"/>
  <c r="AK488" i="6"/>
  <c r="AL488" i="6" s="1"/>
  <c r="AK378" i="6"/>
  <c r="M241" i="6"/>
  <c r="M140" i="6"/>
  <c r="N137" i="6" s="1"/>
  <c r="AK138" i="6"/>
  <c r="J121" i="6"/>
  <c r="J127" i="6"/>
  <c r="I72" i="23"/>
  <c r="AG451" i="6"/>
  <c r="AH450" i="6" s="1"/>
  <c r="AG415" i="6"/>
  <c r="AK362" i="6"/>
  <c r="AH275" i="6"/>
  <c r="AK96" i="6"/>
  <c r="AL92" i="6" s="1"/>
  <c r="J458" i="6"/>
  <c r="AD361" i="6"/>
  <c r="AD363" i="6"/>
  <c r="V245" i="6"/>
  <c r="V253" i="6"/>
  <c r="V438" i="6"/>
  <c r="V433" i="6"/>
  <c r="AD330" i="6"/>
  <c r="R320" i="6"/>
  <c r="R314" i="6"/>
  <c r="V155" i="6"/>
  <c r="V162" i="6"/>
  <c r="Z427" i="6"/>
  <c r="Z425" i="6"/>
  <c r="AJ354" i="6"/>
  <c r="Z136" i="6"/>
  <c r="Y190" i="6"/>
  <c r="H183" i="23"/>
  <c r="AH225" i="6"/>
  <c r="L17" i="23"/>
  <c r="L29" i="6"/>
  <c r="P258" i="6"/>
  <c r="P257" i="6"/>
  <c r="T26" i="23"/>
  <c r="AJ24" i="23"/>
  <c r="AJ17" i="6"/>
  <c r="N127" i="6"/>
  <c r="N118" i="6"/>
  <c r="N122" i="6"/>
  <c r="AA258" i="6"/>
  <c r="AA257" i="6"/>
  <c r="R336" i="6"/>
  <c r="R335" i="6"/>
  <c r="R341" i="6"/>
  <c r="R340" i="6"/>
  <c r="V119" i="6"/>
  <c r="V128" i="6"/>
  <c r="V121" i="6"/>
  <c r="V124" i="6"/>
  <c r="AK53" i="6"/>
  <c r="AK350" i="6"/>
  <c r="AD22" i="6"/>
  <c r="AD23" i="6"/>
  <c r="AD21" i="6"/>
  <c r="Q354" i="6"/>
  <c r="R147" i="6"/>
  <c r="AK54" i="6"/>
  <c r="AA17" i="23"/>
  <c r="AC17" i="6"/>
  <c r="AC29" i="6" s="1"/>
  <c r="AA29" i="6"/>
  <c r="J396" i="6"/>
  <c r="J397" i="6"/>
  <c r="J399" i="6"/>
  <c r="J398" i="6"/>
  <c r="R72" i="6"/>
  <c r="R76" i="6"/>
  <c r="Z149" i="6"/>
  <c r="Z151" i="6"/>
  <c r="Y354" i="6"/>
  <c r="AD371" i="6"/>
  <c r="AD370" i="6"/>
  <c r="AD368" i="6"/>
  <c r="AD369" i="6"/>
  <c r="AD367" i="6"/>
  <c r="O17" i="23"/>
  <c r="O29" i="6"/>
  <c r="Q17" i="6"/>
  <c r="Q29" i="6" s="1"/>
  <c r="I178" i="23"/>
  <c r="J176" i="23" s="1"/>
  <c r="Q186" i="6"/>
  <c r="R186" i="6" s="1"/>
  <c r="AJ77" i="23"/>
  <c r="AK364" i="6"/>
  <c r="AC451" i="6"/>
  <c r="AD451" i="6" s="1"/>
  <c r="AK128" i="6"/>
  <c r="H163" i="23"/>
  <c r="P163" i="23"/>
  <c r="M423" i="6"/>
  <c r="N418" i="6" s="1"/>
  <c r="M371" i="6"/>
  <c r="M389" i="6"/>
  <c r="N386" i="6" s="1"/>
  <c r="AK172" i="23"/>
  <c r="G49" i="25" s="1"/>
  <c r="Y49" i="25" s="1"/>
  <c r="Z49" i="25" s="1"/>
  <c r="AK176" i="23"/>
  <c r="J124" i="6"/>
  <c r="J123" i="6"/>
  <c r="BI393" i="6"/>
  <c r="AK393" i="6"/>
  <c r="AK159" i="6"/>
  <c r="AK240" i="6"/>
  <c r="N263" i="6"/>
  <c r="J461" i="6"/>
  <c r="J459" i="6"/>
  <c r="Z146" i="6"/>
  <c r="V248" i="6"/>
  <c r="V249" i="6"/>
  <c r="R316" i="6"/>
  <c r="R312" i="6"/>
  <c r="V159" i="6"/>
  <c r="V161" i="6"/>
  <c r="Z426" i="6"/>
  <c r="Z134" i="6"/>
  <c r="G32" i="25"/>
  <c r="AK15" i="23"/>
  <c r="E141" i="25"/>
  <c r="G141" i="25" s="1"/>
  <c r="AK248" i="6"/>
  <c r="J211" i="6"/>
  <c r="J212" i="6"/>
  <c r="AD116" i="23"/>
  <c r="AD113" i="23"/>
  <c r="AI123" i="23"/>
  <c r="AD122" i="6"/>
  <c r="AD126" i="6"/>
  <c r="AC258" i="6"/>
  <c r="AD213" i="6"/>
  <c r="AD212" i="6"/>
  <c r="AD211" i="6"/>
  <c r="AD206" i="6"/>
  <c r="W126" i="23"/>
  <c r="Y123" i="23"/>
  <c r="N304" i="6"/>
  <c r="N310" i="6"/>
  <c r="N309" i="6"/>
  <c r="N305" i="6"/>
  <c r="N341" i="6"/>
  <c r="N336" i="6"/>
  <c r="AH59" i="6"/>
  <c r="AH53" i="6"/>
  <c r="AH52" i="6"/>
  <c r="AH58" i="6"/>
  <c r="AH55" i="6"/>
  <c r="AH54" i="6"/>
  <c r="N174" i="6"/>
  <c r="N176" i="6"/>
  <c r="T257" i="6"/>
  <c r="T258" i="6"/>
  <c r="R350" i="6"/>
  <c r="R345" i="6"/>
  <c r="R347" i="6"/>
  <c r="R346" i="6"/>
  <c r="O26" i="23"/>
  <c r="Q24" i="23"/>
  <c r="Q26" i="23" s="1"/>
  <c r="AL333" i="6"/>
  <c r="AL330" i="6"/>
  <c r="AL332" i="6"/>
  <c r="AL331" i="6"/>
  <c r="AD346" i="6"/>
  <c r="AD343" i="6"/>
  <c r="Z264" i="6"/>
  <c r="Z263" i="6"/>
  <c r="Z265" i="6"/>
  <c r="Z262" i="6"/>
  <c r="AL483" i="6"/>
  <c r="Q258" i="6"/>
  <c r="R212" i="6"/>
  <c r="R211" i="6"/>
  <c r="R206" i="6"/>
  <c r="Q257" i="6"/>
  <c r="R213" i="6"/>
  <c r="R207" i="6"/>
  <c r="AH269" i="6"/>
  <c r="AH272" i="6"/>
  <c r="AH267" i="6"/>
  <c r="AH284" i="6"/>
  <c r="AD449" i="6"/>
  <c r="AD446" i="6"/>
  <c r="AL119" i="6"/>
  <c r="AL123" i="6"/>
  <c r="AL127" i="6"/>
  <c r="AL121" i="6"/>
  <c r="AL125" i="6"/>
  <c r="AL128" i="6"/>
  <c r="AL124" i="6"/>
  <c r="AL120" i="6"/>
  <c r="AL118" i="6"/>
  <c r="AL122" i="6"/>
  <c r="AL126" i="6"/>
  <c r="V430" i="6"/>
  <c r="V425" i="6"/>
  <c r="V429" i="6"/>
  <c r="V426" i="6"/>
  <c r="V428" i="6"/>
  <c r="V427" i="6"/>
  <c r="N370" i="6"/>
  <c r="N368" i="6"/>
  <c r="N369" i="6"/>
  <c r="N367" i="6"/>
  <c r="N371" i="6"/>
  <c r="N387" i="6"/>
  <c r="Z73" i="6"/>
  <c r="Z75" i="6"/>
  <c r="Z71" i="6"/>
  <c r="Z72" i="6"/>
  <c r="Z76" i="6"/>
  <c r="Z74" i="6"/>
  <c r="V87" i="23"/>
  <c r="V88" i="23"/>
  <c r="J304" i="6"/>
  <c r="J309" i="6"/>
  <c r="J305" i="6"/>
  <c r="J310" i="6"/>
  <c r="I190" i="6"/>
  <c r="J134" i="6"/>
  <c r="J137" i="6"/>
  <c r="J139" i="6"/>
  <c r="J140" i="6"/>
  <c r="J136" i="6"/>
  <c r="J135" i="6"/>
  <c r="J138" i="6"/>
  <c r="R363" i="6"/>
  <c r="R364" i="6"/>
  <c r="R365" i="6"/>
  <c r="R361" i="6"/>
  <c r="R362" i="6"/>
  <c r="N448" i="6"/>
  <c r="N447" i="6"/>
  <c r="N451" i="6"/>
  <c r="N449" i="6"/>
  <c r="N445" i="6"/>
  <c r="N450" i="6"/>
  <c r="N443" i="6"/>
  <c r="N444" i="6"/>
  <c r="N442" i="6"/>
  <c r="N446" i="6"/>
  <c r="AD284" i="6"/>
  <c r="AD267" i="6"/>
  <c r="AD268" i="6"/>
  <c r="AD279" i="6"/>
  <c r="AD269" i="6"/>
  <c r="AD278" i="6"/>
  <c r="AD270" i="6"/>
  <c r="AD275" i="6"/>
  <c r="AD276" i="6"/>
  <c r="AD273" i="6"/>
  <c r="AD274" i="6"/>
  <c r="AD271" i="6"/>
  <c r="AD272" i="6"/>
  <c r="AD266" i="6"/>
  <c r="AD277" i="6"/>
  <c r="V448" i="6"/>
  <c r="V447" i="6"/>
  <c r="AD324" i="6"/>
  <c r="AD325" i="6"/>
  <c r="AD323" i="6"/>
  <c r="AD326" i="6"/>
  <c r="AD327" i="6"/>
  <c r="AD328" i="6"/>
  <c r="M293" i="6"/>
  <c r="N31" i="6"/>
  <c r="N33" i="6"/>
  <c r="N32" i="6"/>
  <c r="J442" i="6"/>
  <c r="J450" i="6"/>
  <c r="Z443" i="6"/>
  <c r="Z447" i="6"/>
  <c r="Z450" i="6"/>
  <c r="Z451" i="6"/>
  <c r="Z442" i="6"/>
  <c r="Z449" i="6"/>
  <c r="Z444" i="6"/>
  <c r="Z446" i="6"/>
  <c r="Z448" i="6"/>
  <c r="Z445" i="6"/>
  <c r="V309" i="6"/>
  <c r="R301" i="6"/>
  <c r="R302" i="6"/>
  <c r="R296" i="6"/>
  <c r="R298" i="6"/>
  <c r="R297" i="6"/>
  <c r="R299" i="6"/>
  <c r="R300" i="6"/>
  <c r="AL224" i="6"/>
  <c r="AH433" i="6"/>
  <c r="AH248" i="6"/>
  <c r="AH432" i="6"/>
  <c r="AH439" i="6"/>
  <c r="AH249" i="6"/>
  <c r="AH253" i="6"/>
  <c r="AH437" i="6"/>
  <c r="AH254" i="6"/>
  <c r="AH438" i="6"/>
  <c r="AH255" i="6"/>
  <c r="Z349" i="6"/>
  <c r="Z350" i="6"/>
  <c r="Z346" i="6"/>
  <c r="Z351" i="6"/>
  <c r="Z347" i="6"/>
  <c r="Z345" i="6"/>
  <c r="Z348" i="6"/>
  <c r="Z343" i="6"/>
  <c r="Z344" i="6"/>
  <c r="N347" i="6"/>
  <c r="N348" i="6"/>
  <c r="J300" i="6"/>
  <c r="J299" i="6"/>
  <c r="J302" i="6"/>
  <c r="J298" i="6"/>
  <c r="J301" i="6"/>
  <c r="J296" i="6"/>
  <c r="J297" i="6"/>
  <c r="AH69" i="6"/>
  <c r="AH68" i="6"/>
  <c r="AH65" i="6"/>
  <c r="AH67" i="6"/>
  <c r="AH66" i="6"/>
  <c r="AL497" i="6"/>
  <c r="AL498" i="6"/>
  <c r="AL496" i="6"/>
  <c r="AL491" i="6"/>
  <c r="AL499" i="6"/>
  <c r="AL492" i="6"/>
  <c r="AL500" i="6"/>
  <c r="AL494" i="6"/>
  <c r="AL495" i="6"/>
  <c r="AL493" i="6"/>
  <c r="AL26" i="6"/>
  <c r="AL27" i="6"/>
  <c r="AL28" i="6"/>
  <c r="AL25" i="6"/>
  <c r="AK85" i="23"/>
  <c r="Z399" i="6"/>
  <c r="Z396" i="6"/>
  <c r="Z397" i="6"/>
  <c r="Z398" i="6"/>
  <c r="AH44" i="6"/>
  <c r="AH47" i="6"/>
  <c r="AH46" i="6"/>
  <c r="AH45" i="6"/>
  <c r="J315" i="6"/>
  <c r="J313" i="6"/>
  <c r="J319" i="6"/>
  <c r="J317" i="6"/>
  <c r="J320" i="6"/>
  <c r="J312" i="6"/>
  <c r="J318" i="6"/>
  <c r="J314" i="6"/>
  <c r="J316" i="6"/>
  <c r="AL93" i="6"/>
  <c r="AD32" i="6"/>
  <c r="AD31" i="6"/>
  <c r="AD33" i="6"/>
  <c r="AK90" i="23"/>
  <c r="AK94" i="23" s="1"/>
  <c r="I94" i="23"/>
  <c r="K26" i="23"/>
  <c r="M24" i="23"/>
  <c r="S17" i="23"/>
  <c r="S29" i="6"/>
  <c r="U17" i="6"/>
  <c r="U29" i="6" s="1"/>
  <c r="S42" i="23"/>
  <c r="U42" i="23"/>
  <c r="AK174" i="6"/>
  <c r="AI178" i="6"/>
  <c r="E130" i="25"/>
  <c r="G130" i="25" s="1"/>
  <c r="AK206" i="6"/>
  <c r="AI213" i="6"/>
  <c r="S36" i="23"/>
  <c r="AC186" i="6"/>
  <c r="AD186" i="6" s="1"/>
  <c r="AD93" i="23"/>
  <c r="AD92" i="23"/>
  <c r="AD91" i="23"/>
  <c r="AD90" i="23"/>
  <c r="AD94" i="23"/>
  <c r="N88" i="23"/>
  <c r="T144" i="23"/>
  <c r="O163" i="23"/>
  <c r="AI149" i="23"/>
  <c r="AK181" i="6"/>
  <c r="AI186" i="6"/>
  <c r="R177" i="23"/>
  <c r="R176" i="23"/>
  <c r="L163" i="23"/>
  <c r="Y142" i="23"/>
  <c r="AA183" i="23"/>
  <c r="I88" i="23"/>
  <c r="AK254" i="6"/>
  <c r="Q423" i="6"/>
  <c r="R429" i="6"/>
  <c r="R430" i="6"/>
  <c r="R425" i="6"/>
  <c r="R427" i="6"/>
  <c r="R426" i="6"/>
  <c r="R428" i="6"/>
  <c r="AJ265" i="6"/>
  <c r="E151" i="25"/>
  <c r="E115" i="25"/>
  <c r="AI456" i="6"/>
  <c r="AK454" i="6"/>
  <c r="AK456" i="6" s="1"/>
  <c r="AK323" i="6"/>
  <c r="AJ328" i="6"/>
  <c r="AJ351" i="6"/>
  <c r="Y291" i="6"/>
  <c r="Y292" i="6"/>
  <c r="Y293" i="6" s="1"/>
  <c r="Z244" i="6"/>
  <c r="Z243" i="6"/>
  <c r="Z245" i="6"/>
  <c r="Z246" i="6"/>
  <c r="W181" i="23"/>
  <c r="AK13" i="6"/>
  <c r="AK15" i="6"/>
  <c r="AK361" i="6"/>
  <c r="AK365" i="6" s="1"/>
  <c r="AI365" i="6"/>
  <c r="I384" i="6"/>
  <c r="J363" i="6"/>
  <c r="J365" i="6"/>
  <c r="J362" i="6"/>
  <c r="J364" i="6"/>
  <c r="J361" i="6"/>
  <c r="R432" i="6"/>
  <c r="R439" i="6"/>
  <c r="R249" i="6"/>
  <c r="R253" i="6"/>
  <c r="R433" i="6"/>
  <c r="R248" i="6"/>
  <c r="R438" i="6"/>
  <c r="R255" i="6"/>
  <c r="R254" i="6"/>
  <c r="R437" i="6"/>
  <c r="Y384" i="6"/>
  <c r="R413" i="6"/>
  <c r="R412" i="6"/>
  <c r="R411" i="6"/>
  <c r="R415" i="6"/>
  <c r="R414" i="6"/>
  <c r="AJ430" i="6"/>
  <c r="Q371" i="6"/>
  <c r="N423" i="6"/>
  <c r="N274" i="6"/>
  <c r="N270" i="6"/>
  <c r="N266" i="6"/>
  <c r="N279" i="6"/>
  <c r="N284" i="6"/>
  <c r="N268" i="6"/>
  <c r="N276" i="6"/>
  <c r="N267" i="6"/>
  <c r="N272" i="6"/>
  <c r="N275" i="6"/>
  <c r="N271" i="6"/>
  <c r="N273" i="6"/>
  <c r="N277" i="6"/>
  <c r="N278" i="6"/>
  <c r="N269" i="6"/>
  <c r="N44" i="6"/>
  <c r="N47" i="6"/>
  <c r="N46" i="6"/>
  <c r="N45" i="6"/>
  <c r="M148" i="23"/>
  <c r="AI148" i="23"/>
  <c r="W150" i="23"/>
  <c r="Y146" i="23"/>
  <c r="AC292" i="6"/>
  <c r="AC293" i="6" s="1"/>
  <c r="AC291" i="6"/>
  <c r="L182" i="23"/>
  <c r="AC182" i="23"/>
  <c r="AC183" i="23"/>
  <c r="AC181" i="23"/>
  <c r="AB183" i="23"/>
  <c r="AI147" i="23"/>
  <c r="I147" i="23"/>
  <c r="AK386" i="6"/>
  <c r="AK389" i="6" s="1"/>
  <c r="AI389" i="6"/>
  <c r="R31" i="6"/>
  <c r="R32" i="6"/>
  <c r="R33" i="6"/>
  <c r="Q293" i="6"/>
  <c r="AH494" i="6"/>
  <c r="AH495" i="6"/>
  <c r="AH498" i="6"/>
  <c r="AH499" i="6"/>
  <c r="AH492" i="6"/>
  <c r="AH493" i="6"/>
  <c r="AH491" i="6"/>
  <c r="AH497" i="6"/>
  <c r="AH500" i="6"/>
  <c r="AH496" i="6"/>
  <c r="AH85" i="6"/>
  <c r="AH88" i="6"/>
  <c r="AH86" i="6"/>
  <c r="AH87" i="6"/>
  <c r="AH89" i="6"/>
  <c r="AD80" i="6"/>
  <c r="AD79" i="6"/>
  <c r="AD81" i="6"/>
  <c r="AD82" i="6"/>
  <c r="AD83" i="6"/>
  <c r="V502" i="6"/>
  <c r="V504" i="6"/>
  <c r="V507" i="6"/>
  <c r="V505" i="6"/>
  <c r="V503" i="6"/>
  <c r="V506" i="6"/>
  <c r="V93" i="6"/>
  <c r="V96" i="6"/>
  <c r="V95" i="6"/>
  <c r="V94" i="6"/>
  <c r="V92" i="6"/>
  <c r="N461" i="6"/>
  <c r="N462" i="6"/>
  <c r="N460" i="6"/>
  <c r="N459" i="6"/>
  <c r="N463" i="6"/>
  <c r="N458" i="6"/>
  <c r="N80" i="6"/>
  <c r="N82" i="6"/>
  <c r="N79" i="6"/>
  <c r="N81" i="6"/>
  <c r="N83" i="6"/>
  <c r="AK212" i="6"/>
  <c r="AJ451" i="6"/>
  <c r="AG384" i="6"/>
  <c r="AG365" i="6"/>
  <c r="AG162" i="6"/>
  <c r="AG39" i="6"/>
  <c r="AF39" i="6"/>
  <c r="AE39" i="6"/>
  <c r="AD388" i="6"/>
  <c r="AD387" i="6"/>
  <c r="AD389" i="6"/>
  <c r="AD386" i="6"/>
  <c r="I341" i="6"/>
  <c r="AJ320" i="6"/>
  <c r="AK109" i="23"/>
  <c r="I110" i="23"/>
  <c r="AI25" i="23"/>
  <c r="I25" i="23"/>
  <c r="AG43" i="23"/>
  <c r="K68" i="23"/>
  <c r="J455" i="6"/>
  <c r="J456" i="6"/>
  <c r="J454" i="6"/>
  <c r="AJ76" i="6"/>
  <c r="Y186" i="6"/>
  <c r="Z186" i="6" s="1"/>
  <c r="AD398" i="6"/>
  <c r="AD399" i="6"/>
  <c r="AD397" i="6"/>
  <c r="AD396" i="6"/>
  <c r="AD92" i="6"/>
  <c r="AD94" i="6"/>
  <c r="AD96" i="6"/>
  <c r="AD93" i="6"/>
  <c r="AD95" i="6"/>
  <c r="R398" i="6"/>
  <c r="R399" i="6"/>
  <c r="R396" i="6"/>
  <c r="R397" i="6"/>
  <c r="R86" i="6"/>
  <c r="R88" i="6"/>
  <c r="R87" i="6"/>
  <c r="R89" i="6"/>
  <c r="R85" i="6"/>
  <c r="AC439" i="6"/>
  <c r="O257" i="6"/>
  <c r="O258" i="6"/>
  <c r="AK428" i="6"/>
  <c r="AE168" i="23"/>
  <c r="AG165" i="23"/>
  <c r="AH332" i="6"/>
  <c r="AH330" i="6"/>
  <c r="AH331" i="6"/>
  <c r="AH333" i="6"/>
  <c r="AK286" i="6"/>
  <c r="AI291" i="6"/>
  <c r="AK268" i="6"/>
  <c r="R238" i="6"/>
  <c r="R234" i="6"/>
  <c r="R235" i="6"/>
  <c r="R240" i="6"/>
  <c r="R236" i="6"/>
  <c r="R239" i="6"/>
  <c r="R241" i="6"/>
  <c r="R237" i="6"/>
  <c r="R233" i="6"/>
  <c r="R165" i="6"/>
  <c r="R167" i="6"/>
  <c r="R169" i="6"/>
  <c r="R168" i="6"/>
  <c r="R166" i="6"/>
  <c r="J344" i="6"/>
  <c r="J350" i="6"/>
  <c r="J351" i="6"/>
  <c r="J343" i="6"/>
  <c r="J349" i="6"/>
  <c r="J348" i="6"/>
  <c r="J345" i="6"/>
  <c r="J346" i="6"/>
  <c r="J347" i="6"/>
  <c r="AI292" i="6"/>
  <c r="AK292" i="6" s="1"/>
  <c r="G293" i="6"/>
  <c r="AJ310" i="6"/>
  <c r="AK74" i="6"/>
  <c r="AI76" i="6"/>
  <c r="G183" i="23"/>
  <c r="AK158" i="6"/>
  <c r="AK162" i="6" s="1"/>
  <c r="AI162" i="6"/>
  <c r="I354" i="6"/>
  <c r="J147" i="6"/>
  <c r="J151" i="6"/>
  <c r="I357" i="6"/>
  <c r="J148" i="6"/>
  <c r="J150" i="6"/>
  <c r="J146" i="6"/>
  <c r="J149" i="6"/>
  <c r="AI49" i="23"/>
  <c r="G52" i="23"/>
  <c r="I49" i="23"/>
  <c r="J69" i="6"/>
  <c r="J68" i="6"/>
  <c r="J67" i="6"/>
  <c r="J66" i="6"/>
  <c r="J65" i="6"/>
  <c r="AD299" i="6"/>
  <c r="AD297" i="6"/>
  <c r="AD296" i="6"/>
  <c r="AD300" i="6"/>
  <c r="AD301" i="6"/>
  <c r="AD298" i="6"/>
  <c r="AD302" i="6"/>
  <c r="AJ291" i="6"/>
  <c r="AJ162" i="6"/>
  <c r="AK45" i="6"/>
  <c r="AK47" i="6" s="1"/>
  <c r="J492" i="6"/>
  <c r="J498" i="6"/>
  <c r="J493" i="6"/>
  <c r="J491" i="6"/>
  <c r="J494" i="6"/>
  <c r="J499" i="6"/>
  <c r="J495" i="6"/>
  <c r="J500" i="6"/>
  <c r="J496" i="6"/>
  <c r="J497" i="6"/>
  <c r="AH221" i="6"/>
  <c r="AH215" i="6"/>
  <c r="AH216" i="6"/>
  <c r="AH220" i="6"/>
  <c r="AH222" i="6"/>
  <c r="J220" i="6"/>
  <c r="J215" i="6"/>
  <c r="J216" i="6"/>
  <c r="J221" i="6"/>
  <c r="J222" i="6"/>
  <c r="I23" i="6"/>
  <c r="Q183" i="23"/>
  <c r="Q182" i="23"/>
  <c r="Q181" i="23"/>
  <c r="S26" i="23"/>
  <c r="U24" i="23"/>
  <c r="AJ178" i="6"/>
  <c r="F180" i="25" s="1"/>
  <c r="AK173" i="6"/>
  <c r="E131" i="25"/>
  <c r="G131" i="25" s="1"/>
  <c r="AK207" i="6"/>
  <c r="Z86" i="23"/>
  <c r="V363" i="6"/>
  <c r="V362" i="6"/>
  <c r="V364" i="6"/>
  <c r="V365" i="6"/>
  <c r="V361" i="6"/>
  <c r="V46" i="6"/>
  <c r="V44" i="6"/>
  <c r="V47" i="6"/>
  <c r="V45" i="6"/>
  <c r="AD421" i="6"/>
  <c r="AD420" i="6"/>
  <c r="AD418" i="6"/>
  <c r="AD419" i="6"/>
  <c r="AD422" i="6"/>
  <c r="AD417" i="6"/>
  <c r="AD423" i="6"/>
  <c r="H150" i="23"/>
  <c r="AJ146" i="23"/>
  <c r="AI160" i="23"/>
  <c r="I160" i="23"/>
  <c r="AG258" i="6"/>
  <c r="AH206" i="6"/>
  <c r="AH212" i="6"/>
  <c r="AH213" i="6"/>
  <c r="AG257" i="6"/>
  <c r="AH207" i="6"/>
  <c r="AH211" i="6"/>
  <c r="AC384" i="6"/>
  <c r="W128" i="23"/>
  <c r="W293" i="6"/>
  <c r="V458" i="6"/>
  <c r="V463" i="6"/>
  <c r="V462" i="6"/>
  <c r="V460" i="6"/>
  <c r="V461" i="6"/>
  <c r="V459" i="6"/>
  <c r="N505" i="6"/>
  <c r="N502" i="6"/>
  <c r="N504" i="6"/>
  <c r="N503" i="6"/>
  <c r="N507" i="6"/>
  <c r="N506" i="6"/>
  <c r="U257" i="6"/>
  <c r="U258" i="6"/>
  <c r="V206" i="6"/>
  <c r="V211" i="6"/>
  <c r="V212" i="6"/>
  <c r="V207" i="6"/>
  <c r="V213" i="6"/>
  <c r="AI351" i="6"/>
  <c r="AK343" i="6"/>
  <c r="AK304" i="6"/>
  <c r="AK310" i="6" s="1"/>
  <c r="AI310" i="6"/>
  <c r="AI156" i="23"/>
  <c r="I156" i="23"/>
  <c r="AJ70" i="23"/>
  <c r="H74" i="23"/>
  <c r="X128" i="23"/>
  <c r="X132" i="23" s="1"/>
  <c r="X293" i="6"/>
  <c r="AH412" i="6"/>
  <c r="AH411" i="6"/>
  <c r="AH413" i="6"/>
  <c r="AH414" i="6"/>
  <c r="AH415" i="6"/>
  <c r="AG291" i="6"/>
  <c r="AC161" i="23"/>
  <c r="Q291" i="6"/>
  <c r="J47" i="6"/>
  <c r="J46" i="6"/>
  <c r="J45" i="6"/>
  <c r="J44" i="6"/>
  <c r="I54" i="23"/>
  <c r="G68" i="23"/>
  <c r="AI54" i="23"/>
  <c r="I76" i="23"/>
  <c r="G81" i="23"/>
  <c r="AD58" i="6"/>
  <c r="AD63" i="6"/>
  <c r="AD57" i="6"/>
  <c r="AD62" i="6"/>
  <c r="AD52" i="6"/>
  <c r="AD50" i="6"/>
  <c r="AD59" i="6"/>
  <c r="AD49" i="6"/>
  <c r="AD60" i="6"/>
  <c r="AD56" i="6"/>
  <c r="AD55" i="6"/>
  <c r="AD51" i="6"/>
  <c r="AD53" i="6"/>
  <c r="AD61" i="6"/>
  <c r="AD54" i="6"/>
  <c r="Z266" i="6"/>
  <c r="Z270" i="6"/>
  <c r="Z277" i="6"/>
  <c r="Z274" i="6"/>
  <c r="Z279" i="6"/>
  <c r="Z276" i="6"/>
  <c r="Z272" i="6"/>
  <c r="Z275" i="6"/>
  <c r="Z267" i="6"/>
  <c r="Z278" i="6"/>
  <c r="Z271" i="6"/>
  <c r="Z284" i="6"/>
  <c r="Z269" i="6"/>
  <c r="Z268" i="6"/>
  <c r="Z273" i="6"/>
  <c r="R243" i="6"/>
  <c r="R245" i="6"/>
  <c r="R246" i="6"/>
  <c r="R244" i="6"/>
  <c r="N55" i="6"/>
  <c r="N49" i="6"/>
  <c r="N54" i="6"/>
  <c r="N59" i="6"/>
  <c r="N50" i="6"/>
  <c r="N51" i="6"/>
  <c r="N61" i="6"/>
  <c r="N60" i="6"/>
  <c r="N53" i="6"/>
  <c r="N57" i="6"/>
  <c r="N52" i="6"/>
  <c r="N63" i="6"/>
  <c r="N56" i="6"/>
  <c r="N58" i="6"/>
  <c r="N62" i="6"/>
  <c r="AK21" i="6"/>
  <c r="AK23" i="6" s="1"/>
  <c r="AI23" i="6"/>
  <c r="R216" i="6"/>
  <c r="R220" i="6"/>
  <c r="R215" i="6"/>
  <c r="R222" i="6"/>
  <c r="R221" i="6"/>
  <c r="K17" i="23"/>
  <c r="K29" i="6"/>
  <c r="M17" i="6"/>
  <c r="M29" i="6" s="1"/>
  <c r="E152" i="25"/>
  <c r="AE26" i="23"/>
  <c r="AG24" i="23"/>
  <c r="AG26" i="23" s="1"/>
  <c r="E95" i="25"/>
  <c r="AK185" i="6"/>
  <c r="AK183" i="6"/>
  <c r="AD86" i="23"/>
  <c r="M178" i="23"/>
  <c r="AK170" i="23"/>
  <c r="W163" i="23"/>
  <c r="AB181" i="23"/>
  <c r="H144" i="23"/>
  <c r="AJ165" i="23"/>
  <c r="U190" i="6"/>
  <c r="V134" i="6"/>
  <c r="V135" i="6"/>
  <c r="V137" i="6"/>
  <c r="V136" i="6"/>
  <c r="V139" i="6"/>
  <c r="V140" i="6"/>
  <c r="V138" i="6"/>
  <c r="V346" i="6"/>
  <c r="V343" i="6"/>
  <c r="R389" i="6"/>
  <c r="R387" i="6"/>
  <c r="R388" i="6"/>
  <c r="R386" i="6"/>
  <c r="AK425" i="6"/>
  <c r="AI430" i="6"/>
  <c r="R304" i="6"/>
  <c r="R310" i="6"/>
  <c r="R309" i="6"/>
  <c r="R305" i="6"/>
  <c r="N328" i="6"/>
  <c r="N327" i="6"/>
  <c r="N325" i="6"/>
  <c r="N323" i="6"/>
  <c r="N324" i="6"/>
  <c r="N326" i="6"/>
  <c r="V274" i="6"/>
  <c r="V266" i="6"/>
  <c r="V275" i="6"/>
  <c r="V271" i="6"/>
  <c r="V268" i="6"/>
  <c r="V272" i="6"/>
  <c r="V279" i="6"/>
  <c r="V284" i="6"/>
  <c r="V267" i="6"/>
  <c r="V269" i="6"/>
  <c r="V276" i="6"/>
  <c r="V278" i="6"/>
  <c r="V270" i="6"/>
  <c r="V273" i="6"/>
  <c r="V277" i="6"/>
  <c r="M141" i="23"/>
  <c r="AK243" i="6"/>
  <c r="AK246" i="6" s="1"/>
  <c r="AI246" i="6"/>
  <c r="Z364" i="6"/>
  <c r="Z362" i="6"/>
  <c r="Z363" i="6"/>
  <c r="Z365" i="6"/>
  <c r="Z361" i="6"/>
  <c r="AC162" i="6"/>
  <c r="I161" i="23"/>
  <c r="AI161" i="23"/>
  <c r="Z414" i="6"/>
  <c r="Z412" i="6"/>
  <c r="Z411" i="6"/>
  <c r="Z413" i="6"/>
  <c r="Z415" i="6"/>
  <c r="AI146" i="23"/>
  <c r="I146" i="23"/>
  <c r="G150" i="23"/>
  <c r="AI140" i="23"/>
  <c r="I140" i="23"/>
  <c r="G144" i="23"/>
  <c r="I153" i="23"/>
  <c r="AI153" i="23"/>
  <c r="I155" i="23"/>
  <c r="AI155" i="23"/>
  <c r="I141" i="23"/>
  <c r="AI141" i="23"/>
  <c r="AI57" i="23"/>
  <c r="H258" i="6"/>
  <c r="H257" i="6"/>
  <c r="Z206" i="6"/>
  <c r="Y257" i="6"/>
  <c r="Z211" i="6"/>
  <c r="Y258" i="6"/>
  <c r="Z212" i="6"/>
  <c r="Z207" i="6"/>
  <c r="Z213" i="6"/>
  <c r="Y158" i="25"/>
  <c r="V422" i="6"/>
  <c r="V417" i="6"/>
  <c r="V418" i="6"/>
  <c r="V419" i="6"/>
  <c r="V423" i="6"/>
  <c r="V420" i="6"/>
  <c r="V421" i="6"/>
  <c r="S144" i="23"/>
  <c r="U140" i="23"/>
  <c r="AJ423" i="6"/>
  <c r="P150" i="23"/>
  <c r="AI222" i="6"/>
  <c r="AK216" i="6"/>
  <c r="AK222" i="6" s="1"/>
  <c r="AK373" i="6"/>
  <c r="AI384" i="6"/>
  <c r="Z301" i="6"/>
  <c r="Z296" i="6"/>
  <c r="P182" i="23"/>
  <c r="L181" i="23"/>
  <c r="AK507" i="6"/>
  <c r="I165" i="23"/>
  <c r="AI165" i="23"/>
  <c r="G168" i="23"/>
  <c r="J327" i="6"/>
  <c r="J326" i="6"/>
  <c r="J324" i="6"/>
  <c r="J325" i="6"/>
  <c r="J328" i="6"/>
  <c r="J323" i="6"/>
  <c r="J426" i="6"/>
  <c r="J430" i="6"/>
  <c r="J427" i="6"/>
  <c r="J428" i="6"/>
  <c r="J429" i="6"/>
  <c r="J425" i="6"/>
  <c r="H182" i="23"/>
  <c r="AA128" i="23"/>
  <c r="AA293" i="6"/>
  <c r="S128" i="23"/>
  <c r="S293" i="6"/>
  <c r="O128" i="23"/>
  <c r="O293" i="6"/>
  <c r="AH463" i="6"/>
  <c r="AH458" i="6"/>
  <c r="AH460" i="6"/>
  <c r="AH462" i="6"/>
  <c r="AH459" i="6"/>
  <c r="AH461" i="6"/>
  <c r="AH94" i="23"/>
  <c r="AH93" i="23"/>
  <c r="AH91" i="23"/>
  <c r="AH92" i="23"/>
  <c r="AH90" i="23"/>
  <c r="V100" i="23"/>
  <c r="V99" i="23"/>
  <c r="V98" i="23"/>
  <c r="V97" i="23"/>
  <c r="V101" i="23"/>
  <c r="AK463" i="6"/>
  <c r="AE163" i="23"/>
  <c r="AG152" i="23"/>
  <c r="AG371" i="6"/>
  <c r="AG140" i="23"/>
  <c r="AE144" i="23"/>
  <c r="AH296" i="6"/>
  <c r="AH300" i="6"/>
  <c r="AH297" i="6"/>
  <c r="AH302" i="6"/>
  <c r="AH301" i="6"/>
  <c r="AH299" i="6"/>
  <c r="AH298" i="6"/>
  <c r="N241" i="6"/>
  <c r="N240" i="6"/>
  <c r="N237" i="6"/>
  <c r="N234" i="6"/>
  <c r="N239" i="6"/>
  <c r="N233" i="6"/>
  <c r="N235" i="6"/>
  <c r="N238" i="6"/>
  <c r="N236" i="6"/>
  <c r="N138" i="6"/>
  <c r="N139" i="6"/>
  <c r="AJ140" i="6"/>
  <c r="AJ190" i="6" s="1"/>
  <c r="M146" i="23"/>
  <c r="AK377" i="6"/>
  <c r="AK273" i="6"/>
  <c r="AI333" i="6"/>
  <c r="R154" i="6"/>
  <c r="R160" i="6"/>
  <c r="R159" i="6"/>
  <c r="R161" i="6"/>
  <c r="R157" i="6"/>
  <c r="R162" i="6"/>
  <c r="R156" i="6"/>
  <c r="R155" i="6"/>
  <c r="R158" i="6"/>
  <c r="K132" i="23"/>
  <c r="M128" i="23"/>
  <c r="M132" i="23" s="1"/>
  <c r="F115" i="25"/>
  <c r="F151" i="25"/>
  <c r="AJ456" i="6"/>
  <c r="AI231" i="6"/>
  <c r="I56" i="23"/>
  <c r="AK98" i="23"/>
  <c r="AJ76" i="23"/>
  <c r="AB128" i="23"/>
  <c r="AB132" i="23" s="1"/>
  <c r="AB293" i="6"/>
  <c r="T128" i="23"/>
  <c r="T132" i="23" s="1"/>
  <c r="T293" i="6"/>
  <c r="I186" i="6"/>
  <c r="J186" i="6" s="1"/>
  <c r="J181" i="6"/>
  <c r="Z80" i="6"/>
  <c r="Z82" i="6"/>
  <c r="Z79" i="6"/>
  <c r="Z83" i="6"/>
  <c r="Z81" i="6"/>
  <c r="N471" i="6"/>
  <c r="N467" i="6"/>
  <c r="N466" i="6"/>
  <c r="N472" i="6"/>
  <c r="AK432" i="6"/>
  <c r="AK439" i="6" s="1"/>
  <c r="AI451" i="6"/>
  <c r="AK442" i="6"/>
  <c r="AK451" i="6" s="1"/>
  <c r="AK346" i="6"/>
  <c r="AK324" i="6"/>
  <c r="AI328" i="6"/>
  <c r="AJ49" i="23"/>
  <c r="AC190" i="6"/>
  <c r="AD135" i="6"/>
  <c r="AD138" i="6"/>
  <c r="AD140" i="6"/>
  <c r="AD136" i="6"/>
  <c r="AD137" i="6"/>
  <c r="AD134" i="6"/>
  <c r="AD139" i="6"/>
  <c r="AC168" i="23"/>
  <c r="J503" i="6"/>
  <c r="J505" i="6"/>
  <c r="J502" i="6"/>
  <c r="J504" i="6"/>
  <c r="J506" i="6"/>
  <c r="J507" i="6"/>
  <c r="AI265" i="6"/>
  <c r="AK262" i="6"/>
  <c r="AJ39" i="6"/>
  <c r="I162" i="6"/>
  <c r="J131" i="6"/>
  <c r="J132" i="6"/>
  <c r="J130" i="6"/>
  <c r="AK146" i="6"/>
  <c r="AK151" i="6" s="1"/>
  <c r="AI151" i="6"/>
  <c r="J49" i="6"/>
  <c r="J61" i="6"/>
  <c r="J55" i="6"/>
  <c r="J54" i="6"/>
  <c r="J60" i="6"/>
  <c r="J56" i="6"/>
  <c r="J51" i="6"/>
  <c r="J50" i="6"/>
  <c r="J59" i="6"/>
  <c r="J63" i="6"/>
  <c r="J52" i="6"/>
  <c r="J62" i="6"/>
  <c r="J53" i="6"/>
  <c r="J58" i="6"/>
  <c r="J57" i="6"/>
  <c r="AJ80" i="23"/>
  <c r="AK52" i="6"/>
  <c r="AI63" i="6"/>
  <c r="N74" i="6"/>
  <c r="N76" i="6"/>
  <c r="N73" i="6"/>
  <c r="N72" i="6"/>
  <c r="N71" i="6"/>
  <c r="N75" i="6"/>
  <c r="AI371" i="6"/>
  <c r="G79" i="25"/>
  <c r="J421" i="6"/>
  <c r="J422" i="6"/>
  <c r="J418" i="6"/>
  <c r="J417" i="6"/>
  <c r="J423" i="6"/>
  <c r="J420" i="6"/>
  <c r="J419" i="6"/>
  <c r="V67" i="6"/>
  <c r="V65" i="6"/>
  <c r="V66" i="6"/>
  <c r="V68" i="6"/>
  <c r="V69" i="6"/>
  <c r="AI24" i="23"/>
  <c r="I24" i="23"/>
  <c r="G26" i="23"/>
  <c r="J87" i="6"/>
  <c r="J88" i="6"/>
  <c r="J89" i="6"/>
  <c r="J86" i="6"/>
  <c r="J85" i="6"/>
  <c r="F142" i="25"/>
  <c r="G142" i="25" s="1"/>
  <c r="AK249" i="6"/>
  <c r="AJ255" i="6"/>
  <c r="W26" i="23"/>
  <c r="Y24" i="23"/>
  <c r="Y26" i="23" s="1"/>
  <c r="H126" i="23"/>
  <c r="AJ123" i="23"/>
  <c r="I123" i="23"/>
  <c r="G140" i="25"/>
  <c r="V93" i="23"/>
  <c r="V92" i="23"/>
  <c r="V91" i="23"/>
  <c r="V90" i="23"/>
  <c r="V94" i="23"/>
  <c r="N93" i="23"/>
  <c r="N92" i="23"/>
  <c r="N91" i="23"/>
  <c r="N90" i="23"/>
  <c r="N94" i="23"/>
  <c r="J433" i="6"/>
  <c r="J254" i="6"/>
  <c r="J432" i="6"/>
  <c r="J249" i="6"/>
  <c r="J437" i="6"/>
  <c r="J255" i="6"/>
  <c r="J438" i="6"/>
  <c r="J439" i="6"/>
  <c r="J253" i="6"/>
  <c r="J248" i="6"/>
  <c r="W168" i="23"/>
  <c r="Y165" i="23"/>
  <c r="N454" i="6"/>
  <c r="N455" i="6"/>
  <c r="N456" i="6"/>
  <c r="N363" i="6"/>
  <c r="N361" i="6"/>
  <c r="N362" i="6"/>
  <c r="N365" i="6"/>
  <c r="N364" i="6"/>
  <c r="V413" i="6"/>
  <c r="V415" i="6"/>
  <c r="V411" i="6"/>
  <c r="V412" i="6"/>
  <c r="V414" i="6"/>
  <c r="AD413" i="6"/>
  <c r="AD415" i="6"/>
  <c r="AD414" i="6"/>
  <c r="AD411" i="6"/>
  <c r="AD412" i="6"/>
  <c r="J167" i="6"/>
  <c r="J169" i="6"/>
  <c r="J168" i="6"/>
  <c r="J166" i="6"/>
  <c r="J165" i="6"/>
  <c r="I159" i="23"/>
  <c r="AI159" i="23"/>
  <c r="I167" i="23"/>
  <c r="AI167" i="23"/>
  <c r="AH234" i="6"/>
  <c r="AH233" i="6"/>
  <c r="AH236" i="6"/>
  <c r="AH238" i="6"/>
  <c r="AH237" i="6"/>
  <c r="AH235" i="6"/>
  <c r="AH240" i="6"/>
  <c r="AH241" i="6"/>
  <c r="AH239" i="6"/>
  <c r="AD336" i="6"/>
  <c r="AD341" i="6"/>
  <c r="AD335" i="6"/>
  <c r="AD340" i="6"/>
  <c r="U152" i="23"/>
  <c r="S163" i="23"/>
  <c r="AI415" i="6"/>
  <c r="AK412" i="6"/>
  <c r="R384" i="6"/>
  <c r="R378" i="6"/>
  <c r="R380" i="6"/>
  <c r="R375" i="6"/>
  <c r="R382" i="6"/>
  <c r="R379" i="6"/>
  <c r="R376" i="6"/>
  <c r="R374" i="6"/>
  <c r="R373" i="6"/>
  <c r="R377" i="6"/>
  <c r="R381" i="6"/>
  <c r="R383" i="6"/>
  <c r="R333" i="6"/>
  <c r="R331" i="6"/>
  <c r="R332" i="6"/>
  <c r="R330" i="6"/>
  <c r="M152" i="23"/>
  <c r="K163" i="23"/>
  <c r="S150" i="23"/>
  <c r="U146" i="23"/>
  <c r="Z367" i="6"/>
  <c r="Z369" i="6"/>
  <c r="Z370" i="6"/>
  <c r="Z371" i="6"/>
  <c r="Z368" i="6"/>
  <c r="AC44" i="23"/>
  <c r="AA44" i="23"/>
  <c r="AB44" i="23"/>
  <c r="W183" i="23"/>
  <c r="AL167" i="6"/>
  <c r="AL166" i="6"/>
  <c r="AL165" i="6"/>
  <c r="AL169" i="6"/>
  <c r="AL168" i="6"/>
  <c r="J386" i="6"/>
  <c r="AI158" i="23"/>
  <c r="I158" i="23"/>
  <c r="AK32" i="6"/>
  <c r="AK33" i="6" s="1"/>
  <c r="AI33" i="6"/>
  <c r="AI293" i="6" s="1"/>
  <c r="AH178" i="23"/>
  <c r="G258" i="6"/>
  <c r="G257" i="6"/>
  <c r="AI341" i="6"/>
  <c r="AK335" i="6"/>
  <c r="AK341" i="6" s="1"/>
  <c r="J225" i="6"/>
  <c r="J229" i="6"/>
  <c r="J231" i="6"/>
  <c r="J224" i="6"/>
  <c r="J230" i="6"/>
  <c r="AI80" i="23"/>
  <c r="I80" i="23"/>
  <c r="AF128" i="23"/>
  <c r="AF132" i="23" s="1"/>
  <c r="AF293" i="6"/>
  <c r="Z93" i="6"/>
  <c r="Z96" i="6"/>
  <c r="Z94" i="6"/>
  <c r="Z92" i="6"/>
  <c r="Z95" i="6"/>
  <c r="AH448" i="6"/>
  <c r="AH451" i="6"/>
  <c r="AH446" i="6"/>
  <c r="R262" i="6"/>
  <c r="R265" i="6"/>
  <c r="R263" i="6"/>
  <c r="R264" i="6"/>
  <c r="AD240" i="6"/>
  <c r="AD241" i="6"/>
  <c r="AJ185" i="23"/>
  <c r="F179" i="25" s="1"/>
  <c r="F114" i="25"/>
  <c r="F116" i="25" s="1"/>
  <c r="F150" i="25"/>
  <c r="G150" i="25" s="1"/>
  <c r="AJ415" i="6"/>
  <c r="AK411" i="6"/>
  <c r="AK415" i="6" s="1"/>
  <c r="AK177" i="6"/>
  <c r="E93" i="25"/>
  <c r="E180" i="25"/>
  <c r="E116" i="25"/>
  <c r="G114" i="25"/>
  <c r="AK176" i="6"/>
  <c r="AE17" i="23"/>
  <c r="AG17" i="6"/>
  <c r="AG29" i="6" s="1"/>
  <c r="W17" i="23"/>
  <c r="W29" i="6"/>
  <c r="Y17" i="6"/>
  <c r="Y29" i="6" s="1"/>
  <c r="E129" i="25"/>
  <c r="AK211" i="6"/>
  <c r="M186" i="6"/>
  <c r="N186" i="6" s="1"/>
  <c r="BR339" i="6"/>
  <c r="AK339" i="6" s="1"/>
  <c r="AI339" i="6"/>
  <c r="Z94" i="23"/>
  <c r="Z93" i="23"/>
  <c r="Z92" i="23"/>
  <c r="Z91" i="23"/>
  <c r="Z90" i="23"/>
  <c r="R94" i="23"/>
  <c r="R92" i="23"/>
  <c r="R90" i="23"/>
  <c r="R93" i="23"/>
  <c r="R91" i="23"/>
  <c r="I70" i="23"/>
  <c r="Y389" i="6"/>
  <c r="V388" i="6"/>
  <c r="V387" i="6"/>
  <c r="V386" i="6"/>
  <c r="V389" i="6"/>
  <c r="O168" i="23"/>
  <c r="Q165" i="23"/>
  <c r="N243" i="6"/>
  <c r="N245" i="6"/>
  <c r="N244" i="6"/>
  <c r="N246" i="6"/>
  <c r="N428" i="6"/>
  <c r="V315" i="6"/>
  <c r="V319" i="6"/>
  <c r="V317" i="6"/>
  <c r="V314" i="6"/>
  <c r="V318" i="6"/>
  <c r="V320" i="6"/>
  <c r="V316" i="6"/>
  <c r="V312" i="6"/>
  <c r="V313" i="6"/>
  <c r="U292" i="6"/>
  <c r="U291" i="6"/>
  <c r="U44" i="23"/>
  <c r="S44" i="23"/>
  <c r="T44" i="23"/>
  <c r="Z330" i="6"/>
  <c r="Z333" i="6"/>
  <c r="Z332" i="6"/>
  <c r="Z331" i="6"/>
  <c r="P183" i="23"/>
  <c r="J414" i="6"/>
  <c r="J411" i="6"/>
  <c r="J413" i="6"/>
  <c r="J415" i="6"/>
  <c r="J412" i="6"/>
  <c r="AI154" i="23"/>
  <c r="I154" i="23"/>
  <c r="AJ371" i="6"/>
  <c r="AK253" i="6"/>
  <c r="AI255" i="6"/>
  <c r="AJ257" i="6"/>
  <c r="AJ258" i="6"/>
  <c r="U384" i="6"/>
  <c r="V324" i="6"/>
  <c r="V325" i="6"/>
  <c r="V326" i="6"/>
  <c r="V327" i="6"/>
  <c r="V323" i="6"/>
  <c r="V328" i="6"/>
  <c r="AK312" i="6"/>
  <c r="AI320" i="6"/>
  <c r="M384" i="6"/>
  <c r="V370" i="6"/>
  <c r="V367" i="6"/>
  <c r="V368" i="6"/>
  <c r="V371" i="6"/>
  <c r="V369" i="6"/>
  <c r="AD313" i="6"/>
  <c r="AD319" i="6"/>
  <c r="AD320" i="6"/>
  <c r="AD316" i="6"/>
  <c r="AD314" i="6"/>
  <c r="AD317" i="6"/>
  <c r="AD312" i="6"/>
  <c r="AD315" i="6"/>
  <c r="AD318" i="6"/>
  <c r="Y183" i="23"/>
  <c r="Y182" i="23"/>
  <c r="Y181" i="23"/>
  <c r="I51" i="23"/>
  <c r="AJ156" i="23"/>
  <c r="AI142" i="23"/>
  <c r="I142" i="23"/>
  <c r="I157" i="23"/>
  <c r="AI157" i="23"/>
  <c r="AK157" i="23" s="1"/>
  <c r="AK296" i="6"/>
  <c r="AK302" i="6" s="1"/>
  <c r="AI302" i="6"/>
  <c r="AE128" i="23"/>
  <c r="AE293" i="6"/>
  <c r="U293" i="6"/>
  <c r="V31" i="6"/>
  <c r="V32" i="6"/>
  <c r="V33" i="6"/>
  <c r="AH397" i="6"/>
  <c r="AH396" i="6"/>
  <c r="AH399" i="6"/>
  <c r="AH398" i="6"/>
  <c r="AH94" i="6"/>
  <c r="AH95" i="6"/>
  <c r="AH96" i="6"/>
  <c r="AH92" i="6"/>
  <c r="AH93" i="6"/>
  <c r="V82" i="6"/>
  <c r="V79" i="6"/>
  <c r="V81" i="6"/>
  <c r="V80" i="6"/>
  <c r="V83" i="6"/>
  <c r="AL479" i="6"/>
  <c r="AL480" i="6"/>
  <c r="AL475" i="6"/>
  <c r="AL474" i="6"/>
  <c r="AL396" i="6"/>
  <c r="AL397" i="6"/>
  <c r="AL398" i="6"/>
  <c r="AL399" i="6"/>
  <c r="W258" i="6"/>
  <c r="W257" i="6"/>
  <c r="AH387" i="6"/>
  <c r="AH386" i="6"/>
  <c r="AH389" i="6"/>
  <c r="AH388" i="6"/>
  <c r="AE150" i="23"/>
  <c r="AG146" i="23"/>
  <c r="AH351" i="6"/>
  <c r="AH348" i="6"/>
  <c r="AH345" i="6"/>
  <c r="AH346" i="6"/>
  <c r="AH349" i="6"/>
  <c r="AH344" i="6"/>
  <c r="AH343" i="6"/>
  <c r="AH347" i="6"/>
  <c r="AH350" i="6"/>
  <c r="E80" i="25"/>
  <c r="G80" i="25" s="1"/>
  <c r="V80" i="25" s="1"/>
  <c r="AK289" i="6"/>
  <c r="AH265" i="6"/>
  <c r="AH263" i="6"/>
  <c r="AH264" i="6"/>
  <c r="AH262" i="6"/>
  <c r="AG76" i="6"/>
  <c r="AI241" i="6"/>
  <c r="V241" i="6"/>
  <c r="V236" i="6"/>
  <c r="V239" i="6"/>
  <c r="V235" i="6"/>
  <c r="V240" i="6"/>
  <c r="V233" i="6"/>
  <c r="V238" i="6"/>
  <c r="V237" i="6"/>
  <c r="V234" i="6"/>
  <c r="AI140" i="6"/>
  <c r="AK134" i="6"/>
  <c r="AK140" i="6" s="1"/>
  <c r="K150" i="23"/>
  <c r="AJ161" i="23"/>
  <c r="R324" i="6"/>
  <c r="R327" i="6"/>
  <c r="R328" i="6"/>
  <c r="R326" i="6"/>
  <c r="R325" i="6"/>
  <c r="R323" i="6"/>
  <c r="N156" i="6"/>
  <c r="N162" i="6"/>
  <c r="N160" i="6"/>
  <c r="N158" i="6"/>
  <c r="N154" i="6"/>
  <c r="N155" i="6"/>
  <c r="N161" i="6"/>
  <c r="N159" i="6"/>
  <c r="N157" i="6"/>
  <c r="AH320" i="6"/>
  <c r="AH316" i="6"/>
  <c r="AH312" i="6"/>
  <c r="AH319" i="6"/>
  <c r="AH317" i="6"/>
  <c r="AH315" i="6"/>
  <c r="AH318" i="6"/>
  <c r="AH313" i="6"/>
  <c r="AH314" i="6"/>
  <c r="AJ69" i="6"/>
  <c r="AK65" i="6"/>
  <c r="AK69" i="6" s="1"/>
  <c r="AL81" i="6"/>
  <c r="AL80" i="6"/>
  <c r="AL79" i="6"/>
  <c r="AL83" i="6"/>
  <c r="AL82" i="6"/>
  <c r="AK391" i="6"/>
  <c r="R93" i="6"/>
  <c r="R95" i="6"/>
  <c r="R94" i="6"/>
  <c r="R96" i="6"/>
  <c r="R92" i="6"/>
  <c r="R79" i="6"/>
  <c r="R83" i="6"/>
  <c r="R81" i="6"/>
  <c r="R82" i="6"/>
  <c r="R80" i="6"/>
  <c r="AK472" i="6"/>
  <c r="AE257" i="6"/>
  <c r="AE258" i="6"/>
  <c r="AH427" i="6"/>
  <c r="AG328" i="6"/>
  <c r="I241" i="6"/>
  <c r="Z236" i="6"/>
  <c r="Z235" i="6"/>
  <c r="Z233" i="6"/>
  <c r="AI189" i="6"/>
  <c r="AK189" i="6" s="1"/>
  <c r="E98" i="25"/>
  <c r="AK287" i="6"/>
  <c r="AI144" i="6"/>
  <c r="AK142" i="6"/>
  <c r="AK144" i="6" s="1"/>
  <c r="R28" i="6"/>
  <c r="R26" i="6"/>
  <c r="R25" i="6"/>
  <c r="R27" i="6"/>
  <c r="AI43" i="23"/>
  <c r="Z324" i="6"/>
  <c r="Z325" i="6"/>
  <c r="Z327" i="6"/>
  <c r="Z328" i="6"/>
  <c r="Z326" i="6"/>
  <c r="Z323" i="6"/>
  <c r="AI132" i="6"/>
  <c r="AK130" i="6"/>
  <c r="AK132" i="6" s="1"/>
  <c r="J26" i="6"/>
  <c r="J27" i="6"/>
  <c r="J28" i="6"/>
  <c r="J25" i="6"/>
  <c r="I76" i="6"/>
  <c r="Z59" i="6"/>
  <c r="Z50" i="6"/>
  <c r="Z54" i="6"/>
  <c r="Z49" i="6"/>
  <c r="Z52" i="6"/>
  <c r="Z55" i="6"/>
  <c r="Z51" i="6"/>
  <c r="Z61" i="6"/>
  <c r="Z58" i="6"/>
  <c r="Z60" i="6"/>
  <c r="Z62" i="6"/>
  <c r="Z63" i="6"/>
  <c r="Z53" i="6"/>
  <c r="Z57" i="6"/>
  <c r="Z56" i="6"/>
  <c r="AI47" i="6"/>
  <c r="R144" i="6"/>
  <c r="R143" i="6"/>
  <c r="R142" i="6"/>
  <c r="AK71" i="6"/>
  <c r="AK76" i="6" s="1"/>
  <c r="AK417" i="6"/>
  <c r="AI423" i="6"/>
  <c r="R55" i="6"/>
  <c r="R51" i="6"/>
  <c r="R62" i="6"/>
  <c r="R58" i="6"/>
  <c r="R54" i="6"/>
  <c r="R49" i="6"/>
  <c r="R59" i="6"/>
  <c r="R52" i="6"/>
  <c r="R61" i="6"/>
  <c r="R50" i="6"/>
  <c r="R63" i="6"/>
  <c r="R53" i="6"/>
  <c r="R60" i="6"/>
  <c r="R57" i="6"/>
  <c r="R56" i="6"/>
  <c r="V231" i="6"/>
  <c r="V225" i="6"/>
  <c r="V224" i="6"/>
  <c r="V229" i="6"/>
  <c r="V230" i="6"/>
  <c r="AI17" i="6"/>
  <c r="G17" i="23"/>
  <c r="G29" i="6"/>
  <c r="I17" i="6"/>
  <c r="I29" i="6" s="1"/>
  <c r="AK89" i="6"/>
  <c r="S63" i="20"/>
  <c r="U43" i="25" s="1"/>
  <c r="M43" i="25" s="1"/>
  <c r="L43" i="25" s="1"/>
  <c r="M16" i="25"/>
  <c r="AK185" i="23"/>
  <c r="I186" i="23"/>
  <c r="AI185" i="23"/>
  <c r="AH261" i="7"/>
  <c r="R262" i="7"/>
  <c r="AJ264" i="7"/>
  <c r="Z262" i="7"/>
  <c r="AH262" i="7"/>
  <c r="AH263" i="7"/>
  <c r="AD263" i="7"/>
  <c r="Z261" i="7"/>
  <c r="Z263" i="7"/>
  <c r="R264" i="7"/>
  <c r="R263" i="7"/>
  <c r="AD264" i="7"/>
  <c r="AD261" i="7"/>
  <c r="AK264" i="7"/>
  <c r="AE184" i="23"/>
  <c r="S184" i="23"/>
  <c r="N264" i="7"/>
  <c r="N263" i="7"/>
  <c r="N261" i="7"/>
  <c r="N262" i="7"/>
  <c r="J263" i="7"/>
  <c r="J264" i="7"/>
  <c r="J262" i="7"/>
  <c r="J261" i="7"/>
  <c r="AI264" i="7"/>
  <c r="AI405" i="6"/>
  <c r="AK405" i="6"/>
  <c r="AJ405" i="6"/>
  <c r="M405" i="6"/>
  <c r="AG184" i="23"/>
  <c r="R402" i="6"/>
  <c r="R403" i="6"/>
  <c r="R405" i="6"/>
  <c r="R404" i="6"/>
  <c r="AH404" i="6"/>
  <c r="AH403" i="6"/>
  <c r="AH402" i="6"/>
  <c r="AH405" i="6"/>
  <c r="O325" i="20"/>
  <c r="O321" i="20"/>
  <c r="O330" i="20"/>
  <c r="O328" i="20"/>
  <c r="O323" i="20"/>
  <c r="O324" i="20"/>
  <c r="N385" i="20"/>
  <c r="O327" i="20"/>
  <c r="O322" i="20"/>
  <c r="M387" i="20"/>
  <c r="M386" i="20"/>
  <c r="M388" i="20"/>
  <c r="L388" i="20"/>
  <c r="L387" i="20"/>
  <c r="L386" i="20"/>
  <c r="K387" i="20"/>
  <c r="K388" i="20"/>
  <c r="K386" i="20"/>
  <c r="J386" i="20"/>
  <c r="J387" i="20"/>
  <c r="J388" i="20"/>
  <c r="I386" i="20"/>
  <c r="I388" i="20"/>
  <c r="N384" i="20"/>
  <c r="P384" i="20" s="1"/>
  <c r="I387" i="20"/>
  <c r="AJ215" i="7"/>
  <c r="AK215" i="7"/>
  <c r="L316" i="20"/>
  <c r="P316" i="20" s="1"/>
  <c r="Y107" i="25" s="1"/>
  <c r="U107" i="25" s="1"/>
  <c r="N312" i="20"/>
  <c r="O68" i="20" l="1"/>
  <c r="O69" i="20"/>
  <c r="O73" i="20"/>
  <c r="O71" i="20"/>
  <c r="L271" i="20"/>
  <c r="L230" i="20"/>
  <c r="L288" i="20"/>
  <c r="L276" i="20"/>
  <c r="L225" i="20"/>
  <c r="L283" i="20"/>
  <c r="L252" i="20"/>
  <c r="L294" i="20"/>
  <c r="L265" i="20"/>
  <c r="B24" i="22"/>
  <c r="M24" i="25"/>
  <c r="P51" i="20"/>
  <c r="O145" i="20"/>
  <c r="P50" i="20"/>
  <c r="N61" i="20"/>
  <c r="N62" i="20" s="1"/>
  <c r="Z158" i="17"/>
  <c r="AU156" i="15"/>
  <c r="AU159" i="15"/>
  <c r="AU161" i="15"/>
  <c r="Z160" i="14"/>
  <c r="Z158" i="14"/>
  <c r="Z156" i="14"/>
  <c r="BA154" i="16"/>
  <c r="BA169" i="16"/>
  <c r="BA159" i="16"/>
  <c r="Z162" i="17"/>
  <c r="AU160" i="15"/>
  <c r="AU154" i="15"/>
  <c r="AU163" i="15"/>
  <c r="Z157" i="14"/>
  <c r="BA162" i="16"/>
  <c r="BA158" i="16"/>
  <c r="K147" i="7"/>
  <c r="Z163" i="17"/>
  <c r="AU175" i="15"/>
  <c r="AU158" i="15"/>
  <c r="N67" i="7"/>
  <c r="N66" i="7"/>
  <c r="N69" i="7"/>
  <c r="N65" i="7"/>
  <c r="N68" i="7"/>
  <c r="Z128" i="7"/>
  <c r="Z127" i="7"/>
  <c r="Z120" i="7"/>
  <c r="Z118" i="7"/>
  <c r="Z119" i="7"/>
  <c r="AD121" i="7"/>
  <c r="AD123" i="7"/>
  <c r="AD125" i="7"/>
  <c r="AD124" i="7"/>
  <c r="AD122" i="7"/>
  <c r="V71" i="7"/>
  <c r="V72" i="7"/>
  <c r="V73" i="7"/>
  <c r="V75" i="7"/>
  <c r="V76" i="7"/>
  <c r="V74" i="7"/>
  <c r="R123" i="7"/>
  <c r="R121" i="7"/>
  <c r="R125" i="7"/>
  <c r="AI33" i="7"/>
  <c r="AG76" i="23"/>
  <c r="AI76" i="23"/>
  <c r="O126" i="23"/>
  <c r="AC77" i="23"/>
  <c r="AD49" i="7"/>
  <c r="AD52" i="7"/>
  <c r="AD58" i="7"/>
  <c r="R230" i="7"/>
  <c r="AH230" i="7"/>
  <c r="AH228" i="7"/>
  <c r="AK61" i="7"/>
  <c r="V177" i="7"/>
  <c r="AG65" i="23"/>
  <c r="Z72" i="7"/>
  <c r="Y63" i="23"/>
  <c r="Y68" i="23" s="1"/>
  <c r="BA46" i="16"/>
  <c r="BA49" i="16"/>
  <c r="BA53" i="16"/>
  <c r="BA57" i="16"/>
  <c r="Z72" i="14"/>
  <c r="Z69" i="14"/>
  <c r="AU169" i="14"/>
  <c r="AU162" i="14"/>
  <c r="AU157" i="14"/>
  <c r="BA40" i="19"/>
  <c r="BA143" i="15"/>
  <c r="AK134" i="7"/>
  <c r="BA155" i="19"/>
  <c r="BA175" i="19"/>
  <c r="BA169" i="19"/>
  <c r="AJ28" i="7"/>
  <c r="Q147" i="7"/>
  <c r="O37" i="7"/>
  <c r="AC39" i="7"/>
  <c r="AU40" i="16"/>
  <c r="BA72" i="17"/>
  <c r="AU150" i="19"/>
  <c r="AU151" i="19"/>
  <c r="AU148" i="19"/>
  <c r="AU149" i="19"/>
  <c r="AD80" i="7"/>
  <c r="AD82" i="7"/>
  <c r="AK26" i="7"/>
  <c r="AK28" i="7" s="1"/>
  <c r="Z31" i="14"/>
  <c r="Z32" i="14"/>
  <c r="Z33" i="14"/>
  <c r="Z30" i="14"/>
  <c r="AU139" i="15"/>
  <c r="AU137" i="15"/>
  <c r="AU138" i="15"/>
  <c r="BA50" i="17"/>
  <c r="BA45" i="17"/>
  <c r="BA49" i="17"/>
  <c r="BA44" i="17"/>
  <c r="BA52" i="17"/>
  <c r="BA47" i="17"/>
  <c r="BA55" i="17"/>
  <c r="BA46" i="17"/>
  <c r="BA56" i="17"/>
  <c r="BA54" i="17"/>
  <c r="BA48" i="17"/>
  <c r="BA51" i="17"/>
  <c r="BA57" i="17"/>
  <c r="BA53" i="17"/>
  <c r="BA58" i="17"/>
  <c r="AG150" i="23"/>
  <c r="AI35" i="23"/>
  <c r="AD59" i="7"/>
  <c r="AD62" i="7"/>
  <c r="AD60" i="7"/>
  <c r="AD50" i="7"/>
  <c r="R228" i="7"/>
  <c r="AH227" i="7"/>
  <c r="AB68" i="23"/>
  <c r="V175" i="7"/>
  <c r="AH133" i="7"/>
  <c r="Z71" i="7"/>
  <c r="R187" i="7"/>
  <c r="V67" i="7"/>
  <c r="AH27" i="7"/>
  <c r="AH137" i="7"/>
  <c r="AG72" i="23"/>
  <c r="R129" i="7"/>
  <c r="AI125" i="23"/>
  <c r="BA47" i="16"/>
  <c r="BA48" i="16"/>
  <c r="BA58" i="16"/>
  <c r="BA54" i="16"/>
  <c r="Z71" i="14"/>
  <c r="Z73" i="14"/>
  <c r="AU155" i="14"/>
  <c r="AU158" i="14"/>
  <c r="AU175" i="14"/>
  <c r="BA41" i="19"/>
  <c r="Y128" i="15"/>
  <c r="Z127" i="15" s="1"/>
  <c r="BA145" i="15"/>
  <c r="Y128" i="16"/>
  <c r="BA158" i="19"/>
  <c r="BA162" i="19"/>
  <c r="BA160" i="19"/>
  <c r="Q37" i="7"/>
  <c r="AU41" i="16"/>
  <c r="BA68" i="17"/>
  <c r="AK66" i="7"/>
  <c r="AD88" i="23"/>
  <c r="AD53" i="7"/>
  <c r="AD63" i="7"/>
  <c r="AD55" i="7"/>
  <c r="R227" i="7"/>
  <c r="AJ125" i="7"/>
  <c r="X52" i="23"/>
  <c r="AJ50" i="23"/>
  <c r="AH147" i="7"/>
  <c r="Z74" i="7"/>
  <c r="Z26" i="7"/>
  <c r="AL79" i="7"/>
  <c r="Z76" i="7"/>
  <c r="AB74" i="23"/>
  <c r="Z245" i="7"/>
  <c r="BA50" i="16"/>
  <c r="BA45" i="16"/>
  <c r="BA51" i="16"/>
  <c r="AU154" i="14"/>
  <c r="AU163" i="14"/>
  <c r="AI130" i="7"/>
  <c r="BA157" i="19"/>
  <c r="BA161" i="19"/>
  <c r="BA70" i="17"/>
  <c r="Y49" i="23"/>
  <c r="Y52" i="23" s="1"/>
  <c r="Y69" i="7"/>
  <c r="Z67" i="7" s="1"/>
  <c r="Y128" i="14"/>
  <c r="Z124" i="14" s="1"/>
  <c r="AI70" i="23"/>
  <c r="BA137" i="17"/>
  <c r="BA138" i="17"/>
  <c r="BA139" i="17"/>
  <c r="BA51" i="14"/>
  <c r="BA56" i="14"/>
  <c r="BA49" i="14"/>
  <c r="BA55" i="14"/>
  <c r="BA48" i="14"/>
  <c r="BA47" i="14"/>
  <c r="BA45" i="14"/>
  <c r="BA50" i="14"/>
  <c r="BA57" i="14"/>
  <c r="BA44" i="14"/>
  <c r="BA52" i="14"/>
  <c r="BA53" i="14"/>
  <c r="BA54" i="14"/>
  <c r="BA46" i="14"/>
  <c r="BA58" i="14"/>
  <c r="AU160" i="3"/>
  <c r="AU154" i="3"/>
  <c r="AU159" i="3"/>
  <c r="AU157" i="3"/>
  <c r="AU163" i="3"/>
  <c r="AU158" i="3"/>
  <c r="AU169" i="3"/>
  <c r="AU155" i="3"/>
  <c r="G147" i="7"/>
  <c r="I141" i="7"/>
  <c r="I147" i="7" s="1"/>
  <c r="G42" i="23"/>
  <c r="I42" i="23"/>
  <c r="AI28" i="7"/>
  <c r="AJ29" i="7"/>
  <c r="J73" i="7"/>
  <c r="J75" i="7"/>
  <c r="N171" i="7"/>
  <c r="Z201" i="7"/>
  <c r="AD182" i="7"/>
  <c r="AD185" i="7"/>
  <c r="AJ47" i="7"/>
  <c r="AK129" i="7"/>
  <c r="AK25" i="7"/>
  <c r="J71" i="7"/>
  <c r="N168" i="7"/>
  <c r="Z196" i="7"/>
  <c r="AK130" i="23"/>
  <c r="N211" i="7"/>
  <c r="AL257" i="7"/>
  <c r="J76" i="7"/>
  <c r="N167" i="7"/>
  <c r="Z170" i="7"/>
  <c r="N170" i="7"/>
  <c r="Z200" i="7"/>
  <c r="Q165" i="7"/>
  <c r="R156" i="7" s="1"/>
  <c r="AU58" i="3"/>
  <c r="AU52" i="3"/>
  <c r="AU49" i="3"/>
  <c r="AU44" i="3"/>
  <c r="AU57" i="3"/>
  <c r="AU50" i="3"/>
  <c r="AU45" i="3"/>
  <c r="AU48" i="3"/>
  <c r="AU53" i="3"/>
  <c r="AU55" i="3"/>
  <c r="AU54" i="3"/>
  <c r="AU47" i="3"/>
  <c r="AU56" i="3"/>
  <c r="AU51" i="3"/>
  <c r="AU46" i="3"/>
  <c r="AH65" i="7"/>
  <c r="AH67" i="7"/>
  <c r="AH66" i="7"/>
  <c r="AH68" i="7"/>
  <c r="AH69" i="7"/>
  <c r="AC42" i="23"/>
  <c r="AA42" i="23"/>
  <c r="R66" i="7"/>
  <c r="R65" i="7"/>
  <c r="V121" i="7"/>
  <c r="V124" i="7"/>
  <c r="V125" i="7"/>
  <c r="R132" i="7"/>
  <c r="R141" i="7"/>
  <c r="R139" i="7"/>
  <c r="R140" i="7"/>
  <c r="R137" i="7"/>
  <c r="R136" i="7"/>
  <c r="AK37" i="7"/>
  <c r="AJ37" i="7"/>
  <c r="AI37" i="7"/>
  <c r="AD26" i="7"/>
  <c r="AD27" i="7"/>
  <c r="K44" i="23"/>
  <c r="Z129" i="7"/>
  <c r="AI41" i="23"/>
  <c r="AE52" i="23"/>
  <c r="Z176" i="7"/>
  <c r="R28" i="7"/>
  <c r="Y128" i="3"/>
  <c r="AU71" i="18"/>
  <c r="AU68" i="18"/>
  <c r="BA68" i="15"/>
  <c r="Z148" i="16"/>
  <c r="Y128" i="18"/>
  <c r="Z125" i="18" s="1"/>
  <c r="AU157" i="18"/>
  <c r="AU158" i="18"/>
  <c r="AU159" i="18"/>
  <c r="Z160" i="16"/>
  <c r="Z156" i="16"/>
  <c r="Z161" i="16"/>
  <c r="BA149" i="14"/>
  <c r="BA150" i="14"/>
  <c r="BA151" i="14"/>
  <c r="BA148" i="14"/>
  <c r="AK131" i="23"/>
  <c r="AG51" i="7"/>
  <c r="AG63" i="7" s="1"/>
  <c r="AH62" i="7" s="1"/>
  <c r="AE63" i="7"/>
  <c r="AE56" i="23"/>
  <c r="AH86" i="23"/>
  <c r="H81" i="23"/>
  <c r="L44" i="23"/>
  <c r="Z130" i="7"/>
  <c r="AK73" i="23"/>
  <c r="AJ79" i="23"/>
  <c r="AK79" i="23" s="1"/>
  <c r="M52" i="23"/>
  <c r="N51" i="23" s="1"/>
  <c r="AD22" i="7"/>
  <c r="Z22" i="7"/>
  <c r="Y36" i="23"/>
  <c r="Z34" i="23" s="1"/>
  <c r="V185" i="7"/>
  <c r="Z175" i="7"/>
  <c r="AH47" i="7"/>
  <c r="AH28" i="7"/>
  <c r="R25" i="7"/>
  <c r="AU73" i="18"/>
  <c r="BA72" i="15"/>
  <c r="BA69" i="15"/>
  <c r="Z149" i="16"/>
  <c r="AU175" i="18"/>
  <c r="AU169" i="18"/>
  <c r="AU154" i="18"/>
  <c r="Z163" i="16"/>
  <c r="Z157" i="16"/>
  <c r="Z159" i="16"/>
  <c r="I43" i="23"/>
  <c r="R87" i="23"/>
  <c r="J175" i="7"/>
  <c r="V193" i="7"/>
  <c r="AH220" i="7"/>
  <c r="V183" i="7"/>
  <c r="AH222" i="7"/>
  <c r="Z177" i="7"/>
  <c r="AH26" i="7"/>
  <c r="AH45" i="7"/>
  <c r="BA71" i="15"/>
  <c r="AU163" i="18"/>
  <c r="AU161" i="18"/>
  <c r="Z169" i="16"/>
  <c r="Z155" i="16"/>
  <c r="AK67" i="7"/>
  <c r="Z55" i="18"/>
  <c r="Z46" i="18"/>
  <c r="Z53" i="18"/>
  <c r="Z44" i="18"/>
  <c r="Z45" i="18"/>
  <c r="Z54" i="18"/>
  <c r="Z50" i="18"/>
  <c r="Z57" i="18"/>
  <c r="Z58" i="18"/>
  <c r="Z51" i="18"/>
  <c r="Z49" i="18"/>
  <c r="Z56" i="18"/>
  <c r="Z52" i="18"/>
  <c r="Z48" i="18"/>
  <c r="Z47" i="18"/>
  <c r="AH73" i="7"/>
  <c r="AH76" i="7"/>
  <c r="Z124" i="15"/>
  <c r="V130" i="7"/>
  <c r="V129" i="7"/>
  <c r="V127" i="7"/>
  <c r="V128" i="7"/>
  <c r="Z128" i="3"/>
  <c r="Z124" i="3"/>
  <c r="Z126" i="3"/>
  <c r="Z127" i="3"/>
  <c r="Z125" i="3"/>
  <c r="Z125" i="19"/>
  <c r="Z124" i="19"/>
  <c r="Z127" i="19"/>
  <c r="Z126" i="19"/>
  <c r="Z128" i="19"/>
  <c r="Z159" i="3"/>
  <c r="Z160" i="3"/>
  <c r="Z158" i="3"/>
  <c r="Z163" i="3"/>
  <c r="Z169" i="3"/>
  <c r="Z162" i="3"/>
  <c r="Z161" i="3"/>
  <c r="Z157" i="3"/>
  <c r="Z155" i="3"/>
  <c r="Z156" i="3"/>
  <c r="Z154" i="3"/>
  <c r="AU177" i="16"/>
  <c r="AU180" i="16"/>
  <c r="AU178" i="16"/>
  <c r="AU179" i="16"/>
  <c r="AU181" i="16"/>
  <c r="AU176" i="16"/>
  <c r="AU188" i="16"/>
  <c r="Z181" i="19"/>
  <c r="Z188" i="19"/>
  <c r="Z175" i="19"/>
  <c r="Z178" i="19"/>
  <c r="Z180" i="19"/>
  <c r="Z177" i="19"/>
  <c r="Z179" i="19"/>
  <c r="Z176" i="19"/>
  <c r="U51" i="7"/>
  <c r="U63" i="7" s="1"/>
  <c r="AI51" i="7"/>
  <c r="S56" i="23"/>
  <c r="S63" i="7"/>
  <c r="Z128" i="16"/>
  <c r="Z124" i="16"/>
  <c r="Z126" i="16"/>
  <c r="Z125" i="16"/>
  <c r="Z127" i="16"/>
  <c r="AD175" i="23"/>
  <c r="N85" i="23"/>
  <c r="V84" i="23"/>
  <c r="Z161" i="17"/>
  <c r="Z155" i="17"/>
  <c r="AI69" i="7"/>
  <c r="Z192" i="7"/>
  <c r="J139" i="7"/>
  <c r="AD28" i="7"/>
  <c r="AJ51" i="23"/>
  <c r="AJ52" i="23" s="1"/>
  <c r="AH183" i="7"/>
  <c r="AH179" i="7"/>
  <c r="Y163" i="23"/>
  <c r="Z161" i="23" s="1"/>
  <c r="Z183" i="7"/>
  <c r="AK128" i="7"/>
  <c r="AG51" i="23"/>
  <c r="AG52" i="23" s="1"/>
  <c r="Z73" i="3"/>
  <c r="Z68" i="3"/>
  <c r="Z69" i="3"/>
  <c r="Z72" i="3"/>
  <c r="Z71" i="3"/>
  <c r="Z70" i="3"/>
  <c r="Z161" i="19"/>
  <c r="Z160" i="19"/>
  <c r="Z156" i="19"/>
  <c r="Z158" i="19"/>
  <c r="Z169" i="19"/>
  <c r="Z157" i="19"/>
  <c r="Z162" i="19"/>
  <c r="Z155" i="19"/>
  <c r="Z154" i="19"/>
  <c r="Z163" i="19"/>
  <c r="Z159" i="19"/>
  <c r="BA150" i="16"/>
  <c r="BA151" i="16"/>
  <c r="BA148" i="16"/>
  <c r="BA149" i="16"/>
  <c r="Z188" i="18"/>
  <c r="Z178" i="18"/>
  <c r="Z180" i="18"/>
  <c r="Z181" i="18"/>
  <c r="Z176" i="18"/>
  <c r="Z177" i="18"/>
  <c r="Z179" i="18"/>
  <c r="Z175" i="18"/>
  <c r="AU18" i="14"/>
  <c r="AU19" i="14"/>
  <c r="AU20" i="14"/>
  <c r="Z125" i="14"/>
  <c r="Y99" i="7"/>
  <c r="Y103" i="23"/>
  <c r="Y104" i="23" s="1"/>
  <c r="AU61" i="15"/>
  <c r="AU65" i="15"/>
  <c r="AU63" i="15"/>
  <c r="AU64" i="15"/>
  <c r="AU62" i="15"/>
  <c r="Z39" i="17"/>
  <c r="Y42" i="17"/>
  <c r="X42" i="17"/>
  <c r="Z38" i="17"/>
  <c r="Z41" i="17"/>
  <c r="W42" i="17"/>
  <c r="Z40" i="17"/>
  <c r="AU73" i="17"/>
  <c r="AU69" i="17"/>
  <c r="AU72" i="17"/>
  <c r="AU70" i="17"/>
  <c r="AU68" i="17"/>
  <c r="AU71" i="17"/>
  <c r="BA181" i="19"/>
  <c r="BA178" i="19"/>
  <c r="BA188" i="19"/>
  <c r="BA176" i="19"/>
  <c r="BA179" i="19"/>
  <c r="BA180" i="19"/>
  <c r="BA177" i="19"/>
  <c r="Y128" i="17"/>
  <c r="AF37" i="7"/>
  <c r="AG37" i="7"/>
  <c r="AE37" i="7"/>
  <c r="Z73" i="19"/>
  <c r="Z70" i="19"/>
  <c r="Z71" i="19"/>
  <c r="Z69" i="19"/>
  <c r="Z68" i="19"/>
  <c r="Z72" i="19"/>
  <c r="BA158" i="14"/>
  <c r="BA161" i="14"/>
  <c r="BA157" i="14"/>
  <c r="BA169" i="14"/>
  <c r="BA159" i="14"/>
  <c r="BA156" i="14"/>
  <c r="BA155" i="14"/>
  <c r="BA163" i="14"/>
  <c r="BA154" i="14"/>
  <c r="BA162" i="14"/>
  <c r="BA175" i="14"/>
  <c r="BA160" i="14"/>
  <c r="AD33" i="7"/>
  <c r="AD32" i="7"/>
  <c r="AI51" i="23"/>
  <c r="V85" i="23"/>
  <c r="Z156" i="17"/>
  <c r="Z169" i="17"/>
  <c r="Z160" i="17"/>
  <c r="AK185" i="7"/>
  <c r="AL184" i="7" s="1"/>
  <c r="AG34" i="23"/>
  <c r="AG36" i="23" s="1"/>
  <c r="AH36" i="23" s="1"/>
  <c r="AD188" i="7"/>
  <c r="N195" i="7"/>
  <c r="AK125" i="23"/>
  <c r="R165" i="7"/>
  <c r="Z66" i="7"/>
  <c r="AH182" i="7"/>
  <c r="AC150" i="23"/>
  <c r="AD150" i="23" s="1"/>
  <c r="AI34" i="23"/>
  <c r="AK34" i="23" s="1"/>
  <c r="AH243" i="7"/>
  <c r="AJ76" i="7"/>
  <c r="R130" i="7"/>
  <c r="AK72" i="7"/>
  <c r="AK76" i="7" s="1"/>
  <c r="AD31" i="7"/>
  <c r="Z65" i="15"/>
  <c r="Z64" i="15"/>
  <c r="Z62" i="15"/>
  <c r="Z63" i="15"/>
  <c r="Z61" i="15"/>
  <c r="Z144" i="15"/>
  <c r="Z143" i="15"/>
  <c r="Z142" i="15"/>
  <c r="Z145" i="15"/>
  <c r="Q99" i="7"/>
  <c r="Q103" i="23"/>
  <c r="Q104" i="23" s="1"/>
  <c r="Z176" i="16"/>
  <c r="Z179" i="16"/>
  <c r="Z178" i="16"/>
  <c r="Z177" i="16"/>
  <c r="Z188" i="16"/>
  <c r="Z181" i="16"/>
  <c r="Z180" i="16"/>
  <c r="Z175" i="16"/>
  <c r="U99" i="7"/>
  <c r="U103" i="23"/>
  <c r="U104" i="23" s="1"/>
  <c r="Z70" i="18"/>
  <c r="Z69" i="18"/>
  <c r="Z73" i="18"/>
  <c r="Z72" i="18"/>
  <c r="Z68" i="18"/>
  <c r="Z71" i="18"/>
  <c r="BA63" i="14"/>
  <c r="BA62" i="14"/>
  <c r="BA61" i="14"/>
  <c r="BA65" i="14"/>
  <c r="BA64" i="14"/>
  <c r="BA181" i="16"/>
  <c r="BA178" i="16"/>
  <c r="BA180" i="16"/>
  <c r="BA188" i="16"/>
  <c r="BA176" i="16"/>
  <c r="BA177" i="16"/>
  <c r="BA179" i="16"/>
  <c r="M99" i="7"/>
  <c r="M103" i="23"/>
  <c r="M104" i="23" s="1"/>
  <c r="Z142" i="16"/>
  <c r="Z143" i="16"/>
  <c r="Z145" i="16"/>
  <c r="Z144" i="16"/>
  <c r="Z178" i="3"/>
  <c r="Z181" i="3"/>
  <c r="Z175" i="3"/>
  <c r="Z180" i="3"/>
  <c r="Z177" i="3"/>
  <c r="Z176" i="3"/>
  <c r="Z188" i="3"/>
  <c r="Z179" i="3"/>
  <c r="BA144" i="14"/>
  <c r="BA143" i="14"/>
  <c r="BA145" i="14"/>
  <c r="BA142" i="14"/>
  <c r="K37" i="7"/>
  <c r="L37" i="7"/>
  <c r="M37" i="7"/>
  <c r="AU177" i="18"/>
  <c r="AU178" i="18"/>
  <c r="AU180" i="18"/>
  <c r="AU176" i="18"/>
  <c r="AU181" i="18"/>
  <c r="AU179" i="18"/>
  <c r="AU188" i="18"/>
  <c r="BA72" i="18"/>
  <c r="BA69" i="18"/>
  <c r="BA73" i="18"/>
  <c r="BA70" i="18"/>
  <c r="BA71" i="18"/>
  <c r="BA68" i="18"/>
  <c r="BA143" i="17"/>
  <c r="BA142" i="17"/>
  <c r="BA144" i="17"/>
  <c r="BA145" i="17"/>
  <c r="AU62" i="17"/>
  <c r="AU65" i="17"/>
  <c r="AU63" i="17"/>
  <c r="AU64" i="17"/>
  <c r="AU61" i="17"/>
  <c r="R100" i="23"/>
  <c r="O44" i="23"/>
  <c r="Z157" i="17"/>
  <c r="Z154" i="17"/>
  <c r="AK125" i="7"/>
  <c r="AL121" i="7" s="1"/>
  <c r="AD192" i="7"/>
  <c r="AJ41" i="23"/>
  <c r="Y81" i="23"/>
  <c r="Z80" i="23" s="1"/>
  <c r="N196" i="7"/>
  <c r="N33" i="7"/>
  <c r="N76" i="7"/>
  <c r="Z68" i="7"/>
  <c r="AH184" i="7"/>
  <c r="R192" i="7"/>
  <c r="J193" i="7"/>
  <c r="AD170" i="7"/>
  <c r="R168" i="7"/>
  <c r="Z182" i="7"/>
  <c r="AC52" i="23"/>
  <c r="AD220" i="7"/>
  <c r="Z69" i="7"/>
  <c r="BA163" i="15"/>
  <c r="BA156" i="15"/>
  <c r="BA157" i="15"/>
  <c r="BA162" i="15"/>
  <c r="BA154" i="15"/>
  <c r="BA161" i="15"/>
  <c r="BA160" i="15"/>
  <c r="BA169" i="15"/>
  <c r="BA159" i="15"/>
  <c r="BA158" i="15"/>
  <c r="BA175" i="15"/>
  <c r="BA155" i="15"/>
  <c r="BA24" i="18"/>
  <c r="BA26" i="18"/>
  <c r="BA23" i="18"/>
  <c r="BA25" i="18"/>
  <c r="Z181" i="15"/>
  <c r="Z188" i="15"/>
  <c r="Z175" i="15"/>
  <c r="Z178" i="15"/>
  <c r="Z180" i="15"/>
  <c r="Z177" i="15"/>
  <c r="Z179" i="15"/>
  <c r="Z176" i="15"/>
  <c r="Z150" i="3"/>
  <c r="Z151" i="3"/>
  <c r="Z149" i="3"/>
  <c r="Z148" i="3"/>
  <c r="BA64" i="16"/>
  <c r="BA62" i="16"/>
  <c r="BA63" i="16"/>
  <c r="BA61" i="16"/>
  <c r="BA65" i="16"/>
  <c r="Z72" i="16"/>
  <c r="Z71" i="16"/>
  <c r="Z73" i="16"/>
  <c r="Z70" i="16"/>
  <c r="Z69" i="16"/>
  <c r="Z68" i="16"/>
  <c r="BA26" i="19"/>
  <c r="BA23" i="19"/>
  <c r="BA25" i="19"/>
  <c r="BA24" i="19"/>
  <c r="I103" i="23"/>
  <c r="I99" i="7"/>
  <c r="AA52" i="23"/>
  <c r="BA178" i="3"/>
  <c r="BA177" i="3"/>
  <c r="BA188" i="3"/>
  <c r="BA179" i="3"/>
  <c r="BA176" i="3"/>
  <c r="BA180" i="3"/>
  <c r="BA181" i="3"/>
  <c r="Z128" i="18"/>
  <c r="AC98" i="7"/>
  <c r="AK98" i="7" s="1"/>
  <c r="AK99" i="7" s="1"/>
  <c r="Y129" i="18"/>
  <c r="Y132" i="18" s="1"/>
  <c r="Y133" i="18" s="1"/>
  <c r="AL255" i="7"/>
  <c r="AD195" i="7"/>
  <c r="N71" i="7"/>
  <c r="Z121" i="7"/>
  <c r="AD223" i="7"/>
  <c r="AH180" i="7"/>
  <c r="AH242" i="7"/>
  <c r="AH241" i="7"/>
  <c r="AK180" i="7"/>
  <c r="AL179" i="7" s="1"/>
  <c r="R76" i="7"/>
  <c r="AD178" i="23"/>
  <c r="N86" i="23"/>
  <c r="N113" i="23"/>
  <c r="Q44" i="23"/>
  <c r="N205" i="7"/>
  <c r="N210" i="7"/>
  <c r="AH188" i="7"/>
  <c r="J33" i="7"/>
  <c r="AD193" i="7"/>
  <c r="J200" i="7"/>
  <c r="V229" i="7"/>
  <c r="AD157" i="7"/>
  <c r="R183" i="7"/>
  <c r="N32" i="7"/>
  <c r="AD25" i="7"/>
  <c r="J185" i="7"/>
  <c r="AD228" i="7"/>
  <c r="AH223" i="7"/>
  <c r="V61" i="7"/>
  <c r="V63" i="7"/>
  <c r="AD222" i="7"/>
  <c r="AH134" i="7"/>
  <c r="J170" i="7"/>
  <c r="Z168" i="7"/>
  <c r="V45" i="7"/>
  <c r="AD72" i="7"/>
  <c r="AH178" i="7"/>
  <c r="AH236" i="7"/>
  <c r="V33" i="7"/>
  <c r="AL93" i="7"/>
  <c r="R169" i="7"/>
  <c r="R69" i="7"/>
  <c r="Z65" i="7"/>
  <c r="Z185" i="7"/>
  <c r="M144" i="23"/>
  <c r="N143" i="23" s="1"/>
  <c r="U26" i="23"/>
  <c r="V25" i="23" s="1"/>
  <c r="N209" i="7"/>
  <c r="R153" i="7"/>
  <c r="U81" i="23"/>
  <c r="V78" i="23" s="1"/>
  <c r="V52" i="7"/>
  <c r="V53" i="7"/>
  <c r="Z124" i="7"/>
  <c r="AH128" i="7"/>
  <c r="AH59" i="7"/>
  <c r="R171" i="7"/>
  <c r="AE42" i="23"/>
  <c r="Z98" i="23"/>
  <c r="N84" i="23"/>
  <c r="N116" i="23"/>
  <c r="N207" i="7"/>
  <c r="AK63" i="23"/>
  <c r="AH187" i="7"/>
  <c r="J201" i="7"/>
  <c r="AK71" i="23"/>
  <c r="J23" i="7"/>
  <c r="R184" i="7"/>
  <c r="Z123" i="7"/>
  <c r="AH74" i="7"/>
  <c r="AD247" i="7"/>
  <c r="V56" i="7"/>
  <c r="Z167" i="7"/>
  <c r="AH51" i="7"/>
  <c r="V46" i="7"/>
  <c r="AD74" i="7"/>
  <c r="AH174" i="7"/>
  <c r="AH239" i="7"/>
  <c r="N73" i="7"/>
  <c r="R152" i="7"/>
  <c r="J169" i="7"/>
  <c r="R73" i="7"/>
  <c r="R188" i="7"/>
  <c r="AH136" i="7"/>
  <c r="R128" i="7"/>
  <c r="AD51" i="23"/>
  <c r="AD52" i="23"/>
  <c r="AH196" i="7"/>
  <c r="J174" i="7"/>
  <c r="AD176" i="23"/>
  <c r="AD85" i="23"/>
  <c r="Z88" i="23"/>
  <c r="R175" i="23"/>
  <c r="Z178" i="23"/>
  <c r="Q18" i="23"/>
  <c r="R18" i="23" s="1"/>
  <c r="AH192" i="7"/>
  <c r="Z229" i="7"/>
  <c r="AL258" i="7"/>
  <c r="J22" i="7"/>
  <c r="R182" i="7"/>
  <c r="J226" i="7"/>
  <c r="V28" i="7"/>
  <c r="N75" i="7"/>
  <c r="R133" i="7"/>
  <c r="V188" i="7"/>
  <c r="Z44" i="7"/>
  <c r="AH169" i="7"/>
  <c r="V123" i="7"/>
  <c r="V54" i="7"/>
  <c r="V62" i="7"/>
  <c r="V59" i="7"/>
  <c r="V49" i="7"/>
  <c r="J168" i="7"/>
  <c r="AK124" i="23"/>
  <c r="Q81" i="23"/>
  <c r="R80" i="23" s="1"/>
  <c r="J167" i="7"/>
  <c r="Z172" i="7"/>
  <c r="AD75" i="7"/>
  <c r="Z179" i="7"/>
  <c r="N183" i="7"/>
  <c r="Z247" i="7"/>
  <c r="AH170" i="7"/>
  <c r="N72" i="7"/>
  <c r="R68" i="7"/>
  <c r="AL81" i="7"/>
  <c r="AC74" i="23"/>
  <c r="AD74" i="23" s="1"/>
  <c r="AH141" i="7"/>
  <c r="R134" i="7"/>
  <c r="AH129" i="7"/>
  <c r="AK43" i="23"/>
  <c r="AJ44" i="23" s="1"/>
  <c r="V177" i="23"/>
  <c r="AD84" i="23"/>
  <c r="AD114" i="23"/>
  <c r="Z112" i="23"/>
  <c r="AK33" i="7"/>
  <c r="AL32" i="7" s="1"/>
  <c r="AH247" i="7"/>
  <c r="AH195" i="7"/>
  <c r="AC36" i="23"/>
  <c r="AD36" i="23" s="1"/>
  <c r="J177" i="7"/>
  <c r="U184" i="23"/>
  <c r="V184" i="23" s="1"/>
  <c r="M36" i="23"/>
  <c r="N36" i="23" s="1"/>
  <c r="V26" i="7"/>
  <c r="R147" i="7"/>
  <c r="R135" i="7"/>
  <c r="AK162" i="23"/>
  <c r="AD245" i="7"/>
  <c r="V122" i="7"/>
  <c r="AD246" i="7"/>
  <c r="J165" i="7"/>
  <c r="V51" i="7"/>
  <c r="V50" i="7"/>
  <c r="V60" i="7"/>
  <c r="R67" i="7"/>
  <c r="AH140" i="7"/>
  <c r="AH132" i="7"/>
  <c r="AH138" i="7"/>
  <c r="Q52" i="23"/>
  <c r="AH130" i="7"/>
  <c r="Z169" i="7"/>
  <c r="V44" i="7"/>
  <c r="AD73" i="7"/>
  <c r="Z174" i="7"/>
  <c r="Z178" i="7"/>
  <c r="AD227" i="7"/>
  <c r="J172" i="7"/>
  <c r="AD76" i="7"/>
  <c r="R138" i="7"/>
  <c r="AK39" i="7"/>
  <c r="AI39" i="7"/>
  <c r="AL177" i="7"/>
  <c r="AD70" i="23"/>
  <c r="AD73" i="23"/>
  <c r="AD72" i="23"/>
  <c r="V175" i="23"/>
  <c r="AH87" i="23"/>
  <c r="Z176" i="23"/>
  <c r="Z155" i="23"/>
  <c r="N26" i="7"/>
  <c r="J32" i="7"/>
  <c r="Z193" i="7"/>
  <c r="Z228" i="7"/>
  <c r="R224" i="7"/>
  <c r="J229" i="7"/>
  <c r="Z45" i="7"/>
  <c r="AH172" i="7"/>
  <c r="AD229" i="7"/>
  <c r="AD226" i="7"/>
  <c r="Q144" i="23"/>
  <c r="R143" i="23" s="1"/>
  <c r="R155" i="7"/>
  <c r="R75" i="7"/>
  <c r="N193" i="7"/>
  <c r="R72" i="7"/>
  <c r="V176" i="23"/>
  <c r="AH84" i="23"/>
  <c r="AH88" i="23"/>
  <c r="AD100" i="23"/>
  <c r="AG144" i="23"/>
  <c r="AH142" i="23" s="1"/>
  <c r="Z177" i="23"/>
  <c r="N25" i="7"/>
  <c r="Z188" i="7"/>
  <c r="Z230" i="7"/>
  <c r="Z226" i="7"/>
  <c r="J230" i="7"/>
  <c r="Z47" i="7"/>
  <c r="R74" i="7"/>
  <c r="AK224" i="7"/>
  <c r="AL222" i="7" s="1"/>
  <c r="N99" i="23"/>
  <c r="AK77" i="23"/>
  <c r="AK120" i="7"/>
  <c r="AH171" i="7"/>
  <c r="AH168" i="7"/>
  <c r="Q163" i="23"/>
  <c r="Z101" i="23"/>
  <c r="AJ74" i="23"/>
  <c r="AG168" i="23"/>
  <c r="AH168" i="23" s="1"/>
  <c r="T184" i="23"/>
  <c r="V227" i="7"/>
  <c r="V226" i="7"/>
  <c r="AL176" i="7"/>
  <c r="AD196" i="7"/>
  <c r="AH72" i="7"/>
  <c r="V65" i="7"/>
  <c r="N45" i="7"/>
  <c r="AL94" i="7"/>
  <c r="F37" i="25"/>
  <c r="F75" i="25" s="1"/>
  <c r="R122" i="7"/>
  <c r="J205" i="7"/>
  <c r="V230" i="7"/>
  <c r="AD200" i="7"/>
  <c r="AH116" i="23"/>
  <c r="R179" i="7"/>
  <c r="G59" i="25"/>
  <c r="H59" i="25" s="1"/>
  <c r="AH75" i="7"/>
  <c r="AH71" i="7"/>
  <c r="U74" i="23"/>
  <c r="V72" i="23" s="1"/>
  <c r="V69" i="7"/>
  <c r="N46" i="7"/>
  <c r="AL96" i="7"/>
  <c r="R124" i="7"/>
  <c r="R176" i="7"/>
  <c r="J45" i="7"/>
  <c r="J47" i="7"/>
  <c r="V220" i="7"/>
  <c r="V222" i="7"/>
  <c r="V221" i="7"/>
  <c r="AD101" i="23"/>
  <c r="J206" i="7"/>
  <c r="E28" i="25"/>
  <c r="AK193" i="7"/>
  <c r="V66" i="7"/>
  <c r="AL95" i="7"/>
  <c r="AK47" i="7"/>
  <c r="AL46" i="7" s="1"/>
  <c r="V133" i="7"/>
  <c r="G184" i="23"/>
  <c r="AH121" i="7"/>
  <c r="AH122" i="7"/>
  <c r="J112" i="23"/>
  <c r="N101" i="23"/>
  <c r="N100" i="23"/>
  <c r="R84" i="23"/>
  <c r="R88" i="23"/>
  <c r="AD97" i="23"/>
  <c r="Z100" i="23"/>
  <c r="M81" i="23"/>
  <c r="N80" i="23" s="1"/>
  <c r="AH246" i="7"/>
  <c r="V155" i="7"/>
  <c r="R221" i="7"/>
  <c r="R220" i="7"/>
  <c r="I184" i="23"/>
  <c r="J182" i="23" s="1"/>
  <c r="V241" i="7"/>
  <c r="R175" i="7"/>
  <c r="J153" i="7"/>
  <c r="AH124" i="7"/>
  <c r="AK60" i="23"/>
  <c r="AK50" i="23"/>
  <c r="AD167" i="7"/>
  <c r="V134" i="7"/>
  <c r="Y74" i="23"/>
  <c r="Z71" i="23" s="1"/>
  <c r="R174" i="7"/>
  <c r="V132" i="7"/>
  <c r="U168" i="23"/>
  <c r="V166" i="23" s="1"/>
  <c r="N125" i="23"/>
  <c r="N97" i="23"/>
  <c r="R85" i="23"/>
  <c r="AD98" i="23"/>
  <c r="Z99" i="23"/>
  <c r="AC163" i="23"/>
  <c r="AD163" i="23" s="1"/>
  <c r="Y150" i="23"/>
  <c r="Z150" i="23" s="1"/>
  <c r="AH248" i="7"/>
  <c r="V153" i="7"/>
  <c r="R222" i="7"/>
  <c r="V195" i="7"/>
  <c r="V233" i="7"/>
  <c r="AH156" i="7"/>
  <c r="V139" i="7"/>
  <c r="V136" i="7"/>
  <c r="R178" i="7"/>
  <c r="V147" i="7"/>
  <c r="V140" i="7"/>
  <c r="AD65" i="7"/>
  <c r="AD66" i="7"/>
  <c r="AD68" i="7"/>
  <c r="AD69" i="7"/>
  <c r="AD67" i="7"/>
  <c r="J98" i="23"/>
  <c r="Q168" i="23"/>
  <c r="R167" i="23" s="1"/>
  <c r="M163" i="23"/>
  <c r="N163" i="23" s="1"/>
  <c r="H184" i="23"/>
  <c r="V114" i="23"/>
  <c r="W44" i="23"/>
  <c r="AK129" i="23"/>
  <c r="AK41" i="23"/>
  <c r="AI42" i="23" s="1"/>
  <c r="V232" i="7"/>
  <c r="V116" i="23"/>
  <c r="AH158" i="7"/>
  <c r="N118" i="7"/>
  <c r="R177" i="7"/>
  <c r="J183" i="7"/>
  <c r="AK55" i="23"/>
  <c r="K184" i="23"/>
  <c r="AH123" i="7"/>
  <c r="V141" i="7"/>
  <c r="AK172" i="7"/>
  <c r="AL171" i="7" s="1"/>
  <c r="V135" i="7"/>
  <c r="V138" i="7"/>
  <c r="AC144" i="23"/>
  <c r="AD142" i="23" s="1"/>
  <c r="N178" i="7"/>
  <c r="N175" i="7"/>
  <c r="Y168" i="23"/>
  <c r="Z167" i="23" s="1"/>
  <c r="Z85" i="23"/>
  <c r="AK147" i="23"/>
  <c r="R101" i="23"/>
  <c r="AK178" i="23"/>
  <c r="AL175" i="23" s="1"/>
  <c r="Z116" i="23"/>
  <c r="N230" i="7"/>
  <c r="V157" i="7"/>
  <c r="J204" i="7"/>
  <c r="J203" i="7"/>
  <c r="V238" i="7"/>
  <c r="V240" i="7"/>
  <c r="AD204" i="7"/>
  <c r="AH165" i="7"/>
  <c r="AK64" i="23"/>
  <c r="AG74" i="23"/>
  <c r="AH73" i="23" s="1"/>
  <c r="N177" i="7"/>
  <c r="J187" i="7"/>
  <c r="Z87" i="23"/>
  <c r="R98" i="23"/>
  <c r="R49" i="23"/>
  <c r="N112" i="23"/>
  <c r="Z114" i="23"/>
  <c r="AC81" i="23"/>
  <c r="AD80" i="23" s="1"/>
  <c r="AC18" i="23"/>
  <c r="AD18" i="23" s="1"/>
  <c r="N208" i="7"/>
  <c r="N203" i="7"/>
  <c r="N228" i="7"/>
  <c r="J179" i="7"/>
  <c r="J176" i="7"/>
  <c r="V152" i="7"/>
  <c r="V154" i="7"/>
  <c r="J208" i="7"/>
  <c r="J209" i="7"/>
  <c r="AD23" i="7"/>
  <c r="V201" i="7"/>
  <c r="N200" i="7"/>
  <c r="V235" i="7"/>
  <c r="V237" i="7"/>
  <c r="V234" i="7"/>
  <c r="AD210" i="7"/>
  <c r="AD203" i="7"/>
  <c r="AH154" i="7"/>
  <c r="R157" i="7"/>
  <c r="N119" i="7"/>
  <c r="U52" i="23"/>
  <c r="V51" i="23" s="1"/>
  <c r="J182" i="7"/>
  <c r="AK69" i="7"/>
  <c r="AL69" i="7" s="1"/>
  <c r="AH232" i="7"/>
  <c r="AH177" i="7"/>
  <c r="AH235" i="7"/>
  <c r="AH234" i="7"/>
  <c r="N176" i="7"/>
  <c r="N180" i="7"/>
  <c r="AH152" i="7"/>
  <c r="J192" i="7"/>
  <c r="R170" i="7"/>
  <c r="R154" i="7"/>
  <c r="Z223" i="7"/>
  <c r="Z220" i="7"/>
  <c r="Z224" i="7"/>
  <c r="Z222" i="7"/>
  <c r="Z221" i="7"/>
  <c r="AD46" i="7"/>
  <c r="AD44" i="7"/>
  <c r="AD45" i="7"/>
  <c r="AD47" i="7"/>
  <c r="N128" i="7"/>
  <c r="N129" i="7"/>
  <c r="N127" i="7"/>
  <c r="N130" i="7"/>
  <c r="G169" i="25"/>
  <c r="R97" i="23"/>
  <c r="R52" i="23"/>
  <c r="Z159" i="23"/>
  <c r="N115" i="23"/>
  <c r="Z115" i="23"/>
  <c r="V156" i="7"/>
  <c r="J211" i="7"/>
  <c r="V200" i="7"/>
  <c r="V236" i="7"/>
  <c r="AD211" i="7"/>
  <c r="N140" i="7"/>
  <c r="N134" i="7"/>
  <c r="N132" i="7"/>
  <c r="N135" i="7"/>
  <c r="N136" i="7"/>
  <c r="N137" i="7"/>
  <c r="N139" i="7"/>
  <c r="N147" i="7"/>
  <c r="N138" i="7"/>
  <c r="N133" i="7"/>
  <c r="N141" i="7"/>
  <c r="I150" i="23"/>
  <c r="J147" i="23" s="1"/>
  <c r="AH99" i="23"/>
  <c r="Z163" i="23"/>
  <c r="N206" i="7"/>
  <c r="J180" i="7"/>
  <c r="V158" i="7"/>
  <c r="J210" i="7"/>
  <c r="R208" i="7"/>
  <c r="U36" i="23"/>
  <c r="V36" i="23" s="1"/>
  <c r="J52" i="7"/>
  <c r="V243" i="7"/>
  <c r="V239" i="7"/>
  <c r="AD208" i="7"/>
  <c r="AD209" i="7"/>
  <c r="AH153" i="7"/>
  <c r="R158" i="7"/>
  <c r="AK59" i="23"/>
  <c r="AH175" i="7"/>
  <c r="AH237" i="7"/>
  <c r="AH240" i="7"/>
  <c r="AH233" i="7"/>
  <c r="G164" i="25"/>
  <c r="Y166" i="25" s="1"/>
  <c r="N174" i="7"/>
  <c r="AH155" i="7"/>
  <c r="I36" i="23"/>
  <c r="J34" i="23" s="1"/>
  <c r="R167" i="7"/>
  <c r="V179" i="7"/>
  <c r="V176" i="7"/>
  <c r="V174" i="7"/>
  <c r="V180" i="7"/>
  <c r="Y188" i="17"/>
  <c r="AZ181" i="17"/>
  <c r="AZ188" i="17" s="1"/>
  <c r="Y158" i="7"/>
  <c r="Y165" i="7" s="1"/>
  <c r="X165" i="7"/>
  <c r="AJ158" i="7"/>
  <c r="AJ165" i="7" s="1"/>
  <c r="AU180" i="14"/>
  <c r="AU176" i="14"/>
  <c r="AU178" i="14"/>
  <c r="AU177" i="14"/>
  <c r="AU181" i="14"/>
  <c r="AU188" i="14"/>
  <c r="AU179" i="14"/>
  <c r="M158" i="7"/>
  <c r="M165" i="7" s="1"/>
  <c r="AI158" i="7"/>
  <c r="AZ181" i="14"/>
  <c r="AZ188" i="14" s="1"/>
  <c r="Y188" i="14"/>
  <c r="AL44" i="7"/>
  <c r="J35" i="23"/>
  <c r="AJ68" i="23"/>
  <c r="AK101" i="23"/>
  <c r="AL98" i="23" s="1"/>
  <c r="AD49" i="23"/>
  <c r="Z154" i="23"/>
  <c r="Z158" i="23"/>
  <c r="Z162" i="23"/>
  <c r="AK143" i="23"/>
  <c r="V112" i="23"/>
  <c r="I132" i="23"/>
  <c r="J129" i="23" s="1"/>
  <c r="AK66" i="23"/>
  <c r="N247" i="7"/>
  <c r="AK62" i="23"/>
  <c r="Q74" i="23"/>
  <c r="R71" i="23" s="1"/>
  <c r="X184" i="23"/>
  <c r="AH113" i="23"/>
  <c r="V113" i="23"/>
  <c r="AI182" i="23"/>
  <c r="J152" i="7"/>
  <c r="AK78" i="23"/>
  <c r="J99" i="23"/>
  <c r="AK116" i="23"/>
  <c r="AL114" i="23" s="1"/>
  <c r="N35" i="23"/>
  <c r="Z152" i="23"/>
  <c r="Z156" i="23"/>
  <c r="Z160" i="23"/>
  <c r="J221" i="7"/>
  <c r="J127" i="7"/>
  <c r="AJ36" i="23"/>
  <c r="F33" i="25" s="1"/>
  <c r="F34" i="25" s="1"/>
  <c r="R204" i="7"/>
  <c r="V209" i="7"/>
  <c r="J49" i="7"/>
  <c r="M68" i="23"/>
  <c r="N68" i="23" s="1"/>
  <c r="Q68" i="23"/>
  <c r="R55" i="23" s="1"/>
  <c r="J101" i="23"/>
  <c r="AK167" i="23"/>
  <c r="AD126" i="23"/>
  <c r="AK88" i="23"/>
  <c r="AL84" i="23" s="1"/>
  <c r="Z153" i="23"/>
  <c r="Z157" i="23"/>
  <c r="V247" i="7"/>
  <c r="M74" i="23"/>
  <c r="N73" i="23" s="1"/>
  <c r="J121" i="7"/>
  <c r="V203" i="7"/>
  <c r="J59" i="7"/>
  <c r="J28" i="7"/>
  <c r="R77" i="23"/>
  <c r="R76" i="23"/>
  <c r="AH177" i="23"/>
  <c r="R116" i="23"/>
  <c r="V245" i="7"/>
  <c r="N248" i="7"/>
  <c r="J128" i="7"/>
  <c r="V207" i="7"/>
  <c r="V208" i="7"/>
  <c r="J27" i="7"/>
  <c r="V169" i="7"/>
  <c r="V170" i="7"/>
  <c r="V168" i="7"/>
  <c r="V171" i="7"/>
  <c r="V167" i="7"/>
  <c r="V172" i="7"/>
  <c r="J97" i="23"/>
  <c r="G66" i="25"/>
  <c r="H66" i="25" s="1"/>
  <c r="AK155" i="23"/>
  <c r="AK35" i="23"/>
  <c r="AK160" i="23"/>
  <c r="M26" i="23"/>
  <c r="AD112" i="23"/>
  <c r="AJ26" i="23"/>
  <c r="R113" i="23"/>
  <c r="R115" i="23"/>
  <c r="AL119" i="7"/>
  <c r="E37" i="25"/>
  <c r="G37" i="25" s="1"/>
  <c r="G75" i="25" s="1"/>
  <c r="G76" i="25" s="1"/>
  <c r="H76" i="25" s="1"/>
  <c r="J222" i="7"/>
  <c r="V248" i="7"/>
  <c r="AH200" i="7"/>
  <c r="R112" i="23"/>
  <c r="N245" i="7"/>
  <c r="AC68" i="23"/>
  <c r="AD58" i="23" s="1"/>
  <c r="J129" i="7"/>
  <c r="E167" i="25"/>
  <c r="V206" i="7"/>
  <c r="V205" i="7"/>
  <c r="J195" i="7"/>
  <c r="J26" i="7"/>
  <c r="AH112" i="23"/>
  <c r="J132" i="7"/>
  <c r="AK72" i="23"/>
  <c r="J154" i="7"/>
  <c r="AK58" i="23"/>
  <c r="J158" i="7"/>
  <c r="J220" i="7"/>
  <c r="AK201" i="7"/>
  <c r="AL201" i="7" s="1"/>
  <c r="V210" i="7"/>
  <c r="AH210" i="7"/>
  <c r="AH206" i="7"/>
  <c r="AH209" i="7"/>
  <c r="AH204" i="7"/>
  <c r="AH208" i="7"/>
  <c r="AH211" i="7"/>
  <c r="AH207" i="7"/>
  <c r="AH203" i="7"/>
  <c r="AH205" i="7"/>
  <c r="Z203" i="7"/>
  <c r="Z210" i="7"/>
  <c r="Z205" i="7"/>
  <c r="Z208" i="7"/>
  <c r="Z209" i="7"/>
  <c r="Z204" i="7"/>
  <c r="Z207" i="7"/>
  <c r="Z211" i="7"/>
  <c r="Z206" i="7"/>
  <c r="AG81" i="23"/>
  <c r="AH78" i="23" s="1"/>
  <c r="L184" i="23"/>
  <c r="AB184" i="23"/>
  <c r="AK25" i="23"/>
  <c r="Y144" i="23"/>
  <c r="Z142" i="23" s="1"/>
  <c r="X44" i="23"/>
  <c r="J223" i="7"/>
  <c r="V211" i="7"/>
  <c r="AH114" i="23"/>
  <c r="J156" i="7"/>
  <c r="F28" i="25"/>
  <c r="M168" i="23"/>
  <c r="N165" i="23" s="1"/>
  <c r="J155" i="7"/>
  <c r="Z52" i="23"/>
  <c r="Z50" i="23"/>
  <c r="Z51" i="23"/>
  <c r="Z49" i="23"/>
  <c r="N167" i="23"/>
  <c r="AD123" i="23"/>
  <c r="AJ42" i="23"/>
  <c r="AH100" i="23"/>
  <c r="J124" i="7"/>
  <c r="R211" i="7"/>
  <c r="R209" i="7"/>
  <c r="J51" i="7"/>
  <c r="J53" i="7"/>
  <c r="J141" i="7"/>
  <c r="J135" i="7"/>
  <c r="J115" i="23"/>
  <c r="AH175" i="23"/>
  <c r="U144" i="23"/>
  <c r="V143" i="23" s="1"/>
  <c r="AK57" i="23"/>
  <c r="V79" i="23"/>
  <c r="AD124" i="23"/>
  <c r="AD50" i="23"/>
  <c r="AH97" i="23"/>
  <c r="AH101" i="23"/>
  <c r="AJ144" i="23"/>
  <c r="AK248" i="7"/>
  <c r="AL247" i="7" s="1"/>
  <c r="J123" i="7"/>
  <c r="J122" i="7"/>
  <c r="R203" i="7"/>
  <c r="R205" i="7"/>
  <c r="J60" i="7"/>
  <c r="J55" i="7"/>
  <c r="J58" i="7"/>
  <c r="J57" i="7"/>
  <c r="J140" i="7"/>
  <c r="J138" i="7"/>
  <c r="J133" i="7"/>
  <c r="Q36" i="23"/>
  <c r="AL107" i="7"/>
  <c r="AL108" i="7"/>
  <c r="AL109" i="7"/>
  <c r="AL111" i="7"/>
  <c r="AL110" i="7"/>
  <c r="J114" i="23"/>
  <c r="J177" i="23"/>
  <c r="AK65" i="23"/>
  <c r="R207" i="7"/>
  <c r="J56" i="7"/>
  <c r="J54" i="7"/>
  <c r="J134" i="7"/>
  <c r="J116" i="23"/>
  <c r="N34" i="23"/>
  <c r="AL177" i="23"/>
  <c r="AC26" i="23"/>
  <c r="AD24" i="23" s="1"/>
  <c r="AK23" i="7"/>
  <c r="AL23" i="7" s="1"/>
  <c r="R210" i="7"/>
  <c r="AK243" i="7"/>
  <c r="AL237" i="7" s="1"/>
  <c r="J50" i="7"/>
  <c r="J62" i="7"/>
  <c r="J61" i="7"/>
  <c r="J136" i="7"/>
  <c r="AL182" i="7"/>
  <c r="R245" i="7"/>
  <c r="R246" i="7"/>
  <c r="R248" i="7"/>
  <c r="R247" i="7"/>
  <c r="U163" i="23"/>
  <c r="V163" i="23" s="1"/>
  <c r="AD63" i="23"/>
  <c r="AI181" i="23"/>
  <c r="M18" i="23"/>
  <c r="N18" i="23" s="1"/>
  <c r="AJ186" i="23"/>
  <c r="AK142" i="23"/>
  <c r="P184" i="23"/>
  <c r="AG163" i="23"/>
  <c r="AH159" i="23" s="1"/>
  <c r="AD61" i="23"/>
  <c r="AK141" i="23"/>
  <c r="AI74" i="23"/>
  <c r="N54" i="7"/>
  <c r="N53" i="7"/>
  <c r="N63" i="7"/>
  <c r="N57" i="7"/>
  <c r="N49" i="7"/>
  <c r="N50" i="7"/>
  <c r="N51" i="7"/>
  <c r="N56" i="7"/>
  <c r="N62" i="7"/>
  <c r="N52" i="7"/>
  <c r="N55" i="7"/>
  <c r="N61" i="7"/>
  <c r="N58" i="7"/>
  <c r="N60" i="7"/>
  <c r="N59" i="7"/>
  <c r="AI29" i="7"/>
  <c r="AK17" i="7"/>
  <c r="AK29" i="7" s="1"/>
  <c r="AK230" i="7"/>
  <c r="Z239" i="7"/>
  <c r="Z243" i="7"/>
  <c r="Z234" i="7"/>
  <c r="Z242" i="7"/>
  <c r="Z236" i="7"/>
  <c r="Z233" i="7"/>
  <c r="Z235" i="7"/>
  <c r="Z240" i="7"/>
  <c r="Z237" i="7"/>
  <c r="Z238" i="7"/>
  <c r="Z241" i="7"/>
  <c r="Z232" i="7"/>
  <c r="AJ18" i="23"/>
  <c r="G67" i="25"/>
  <c r="G68" i="25" s="1"/>
  <c r="U67" i="25" s="1"/>
  <c r="M21" i="26" s="1"/>
  <c r="AK159" i="23"/>
  <c r="N168" i="23"/>
  <c r="AA184" i="23"/>
  <c r="J68" i="7"/>
  <c r="J65" i="7"/>
  <c r="J69" i="7"/>
  <c r="J66" i="7"/>
  <c r="J67" i="7"/>
  <c r="AI18" i="23"/>
  <c r="I18" i="23"/>
  <c r="J18" i="23" s="1"/>
  <c r="AD238" i="7"/>
  <c r="AD234" i="7"/>
  <c r="AD235" i="7"/>
  <c r="AD240" i="7"/>
  <c r="AD232" i="7"/>
  <c r="AD243" i="7"/>
  <c r="AD241" i="7"/>
  <c r="AD239" i="7"/>
  <c r="AD237" i="7"/>
  <c r="AD242" i="7"/>
  <c r="AD236" i="7"/>
  <c r="AD233" i="7"/>
  <c r="AL188" i="7"/>
  <c r="AL192" i="7"/>
  <c r="AL187" i="7"/>
  <c r="AL193" i="7"/>
  <c r="AK158" i="23"/>
  <c r="U150" i="23"/>
  <c r="V150" i="23" s="1"/>
  <c r="AD64" i="23"/>
  <c r="AJ168" i="23"/>
  <c r="AK148" i="23"/>
  <c r="Q150" i="23"/>
  <c r="R150" i="23" s="1"/>
  <c r="AK166" i="23"/>
  <c r="AF19" i="23"/>
  <c r="AG18" i="23"/>
  <c r="Z166" i="25"/>
  <c r="H166" i="25"/>
  <c r="J239" i="7"/>
  <c r="J233" i="7"/>
  <c r="J234" i="7"/>
  <c r="J243" i="7"/>
  <c r="J237" i="7"/>
  <c r="J238" i="7"/>
  <c r="J241" i="7"/>
  <c r="J232" i="7"/>
  <c r="J242" i="7"/>
  <c r="J240" i="7"/>
  <c r="J236" i="7"/>
  <c r="J235" i="7"/>
  <c r="R233" i="7"/>
  <c r="R243" i="7"/>
  <c r="R239" i="7"/>
  <c r="R235" i="7"/>
  <c r="R238" i="7"/>
  <c r="R241" i="7"/>
  <c r="R234" i="7"/>
  <c r="R242" i="7"/>
  <c r="R236" i="7"/>
  <c r="R232" i="7"/>
  <c r="R237" i="7"/>
  <c r="R240" i="7"/>
  <c r="AK211" i="7"/>
  <c r="N236" i="7"/>
  <c r="N235" i="7"/>
  <c r="N232" i="7"/>
  <c r="N240" i="7"/>
  <c r="N238" i="7"/>
  <c r="N234" i="7"/>
  <c r="N243" i="7"/>
  <c r="N242" i="7"/>
  <c r="N237" i="7"/>
  <c r="N239" i="7"/>
  <c r="N241" i="7"/>
  <c r="N233" i="7"/>
  <c r="K42" i="23"/>
  <c r="M42" i="23"/>
  <c r="Z154" i="18"/>
  <c r="Z163" i="18"/>
  <c r="Z160" i="18"/>
  <c r="Z169" i="18"/>
  <c r="Z161" i="18"/>
  <c r="Z162" i="18"/>
  <c r="Z159" i="18"/>
  <c r="Z155" i="18"/>
  <c r="Z158" i="18"/>
  <c r="Z156" i="18"/>
  <c r="Z157" i="18"/>
  <c r="BA175" i="18"/>
  <c r="BA156" i="18"/>
  <c r="BA163" i="18"/>
  <c r="BA162" i="18"/>
  <c r="BA157" i="18"/>
  <c r="BA161" i="18"/>
  <c r="BA158" i="18"/>
  <c r="BA169" i="18"/>
  <c r="BA155" i="18"/>
  <c r="BA154" i="18"/>
  <c r="BA159" i="18"/>
  <c r="BA160" i="18"/>
  <c r="AB147" i="7"/>
  <c r="AC141" i="7"/>
  <c r="AC147" i="7" s="1"/>
  <c r="X147" i="7"/>
  <c r="AJ141" i="7"/>
  <c r="AJ147" i="7" s="1"/>
  <c r="BA175" i="17"/>
  <c r="BA154" i="17"/>
  <c r="BA159" i="17"/>
  <c r="BA169" i="17"/>
  <c r="BA156" i="17"/>
  <c r="BA157" i="17"/>
  <c r="BA155" i="17"/>
  <c r="BA163" i="17"/>
  <c r="BA158" i="17"/>
  <c r="BA160" i="17"/>
  <c r="BA161" i="17"/>
  <c r="BA162" i="17"/>
  <c r="Z132" i="7"/>
  <c r="Z138" i="7"/>
  <c r="Z133" i="7"/>
  <c r="Z136" i="7"/>
  <c r="Z137" i="7"/>
  <c r="Z139" i="7"/>
  <c r="Z134" i="7"/>
  <c r="Z140" i="7"/>
  <c r="Z135" i="7"/>
  <c r="Z141" i="7"/>
  <c r="Z147" i="7"/>
  <c r="AI147" i="7"/>
  <c r="P215" i="20"/>
  <c r="O215" i="20"/>
  <c r="N215" i="20"/>
  <c r="L217" i="20"/>
  <c r="L216" i="20" s="1"/>
  <c r="P214" i="20"/>
  <c r="O214" i="20"/>
  <c r="N214" i="20"/>
  <c r="AH168" i="6"/>
  <c r="AH165" i="6"/>
  <c r="AH455" i="6"/>
  <c r="AH456" i="6"/>
  <c r="AH454" i="6"/>
  <c r="H19" i="23"/>
  <c r="H20" i="23" s="1"/>
  <c r="H32" i="23"/>
  <c r="AD243" i="6"/>
  <c r="AD246" i="6"/>
  <c r="AD245" i="6"/>
  <c r="AD244" i="6"/>
  <c r="Q184" i="23"/>
  <c r="R182" i="23" s="1"/>
  <c r="P19" i="23"/>
  <c r="P20" i="23" s="1"/>
  <c r="P32" i="23"/>
  <c r="AL371" i="6"/>
  <c r="AL367" i="6"/>
  <c r="X19" i="23"/>
  <c r="X20" i="23" s="1"/>
  <c r="X32" i="23"/>
  <c r="N126" i="23"/>
  <c r="AK423" i="6"/>
  <c r="AL418" i="6" s="1"/>
  <c r="Z234" i="6"/>
  <c r="Z239" i="6"/>
  <c r="AH425" i="6"/>
  <c r="AH428" i="6"/>
  <c r="Y184" i="23"/>
  <c r="Z184" i="23" s="1"/>
  <c r="N430" i="6"/>
  <c r="AD235" i="6"/>
  <c r="AD239" i="6"/>
  <c r="J387" i="6"/>
  <c r="N140" i="6"/>
  <c r="M190" i="6"/>
  <c r="Z297" i="6"/>
  <c r="AI183" i="23"/>
  <c r="AC184" i="23"/>
  <c r="AD182" i="23" s="1"/>
  <c r="AK149" i="23"/>
  <c r="N345" i="6"/>
  <c r="N350" i="6"/>
  <c r="AL225" i="6"/>
  <c r="V305" i="6"/>
  <c r="J446" i="6"/>
  <c r="J447" i="6"/>
  <c r="J445" i="6"/>
  <c r="V450" i="6"/>
  <c r="V449" i="6"/>
  <c r="V444" i="6"/>
  <c r="N389" i="6"/>
  <c r="AD447" i="6"/>
  <c r="AD448" i="6"/>
  <c r="AH266" i="6"/>
  <c r="AH277" i="6"/>
  <c r="AH270" i="6"/>
  <c r="AD344" i="6"/>
  <c r="AD351" i="6"/>
  <c r="R135" i="6"/>
  <c r="R140" i="6"/>
  <c r="AD305" i="6"/>
  <c r="AB32" i="23"/>
  <c r="AB19" i="23"/>
  <c r="AB20" i="23" s="1"/>
  <c r="R59" i="23"/>
  <c r="N222" i="6"/>
  <c r="N220" i="6"/>
  <c r="N215" i="6"/>
  <c r="N221" i="6"/>
  <c r="N216" i="6"/>
  <c r="Z456" i="6"/>
  <c r="Z454" i="6"/>
  <c r="Z455" i="6"/>
  <c r="Z237" i="6"/>
  <c r="AH426" i="6"/>
  <c r="AK154" i="23"/>
  <c r="N425" i="6"/>
  <c r="N427" i="6"/>
  <c r="I74" i="23"/>
  <c r="J73" i="23" s="1"/>
  <c r="AD238" i="6"/>
  <c r="AD237" i="6"/>
  <c r="AD236" i="6"/>
  <c r="J388" i="6"/>
  <c r="AK39" i="6"/>
  <c r="N134" i="6"/>
  <c r="N136" i="6"/>
  <c r="Z300" i="6"/>
  <c r="Z302" i="6"/>
  <c r="N346" i="6"/>
  <c r="N343" i="6"/>
  <c r="N351" i="6"/>
  <c r="AL230" i="6"/>
  <c r="AL229" i="6"/>
  <c r="V310" i="6"/>
  <c r="J451" i="6"/>
  <c r="J449" i="6"/>
  <c r="J444" i="6"/>
  <c r="V445" i="6"/>
  <c r="V443" i="6"/>
  <c r="V442" i="6"/>
  <c r="N388" i="6"/>
  <c r="AD445" i="6"/>
  <c r="AD444" i="6"/>
  <c r="AD443" i="6"/>
  <c r="AH274" i="6"/>
  <c r="AH279" i="6"/>
  <c r="AH278" i="6"/>
  <c r="AH271" i="6"/>
  <c r="AD350" i="6"/>
  <c r="AD345" i="6"/>
  <c r="AK241" i="6"/>
  <c r="R137" i="6"/>
  <c r="R134" i="6"/>
  <c r="AD309" i="6"/>
  <c r="R46" i="6"/>
  <c r="R44" i="6"/>
  <c r="R47" i="6"/>
  <c r="R45" i="6"/>
  <c r="Z66" i="6"/>
  <c r="Z67" i="6"/>
  <c r="Z65" i="6"/>
  <c r="Z69" i="6"/>
  <c r="Z68" i="6"/>
  <c r="AJ183" i="23"/>
  <c r="AJ182" i="23"/>
  <c r="N123" i="23"/>
  <c r="Z238" i="6"/>
  <c r="AH429" i="6"/>
  <c r="Z240" i="6"/>
  <c r="N426" i="6"/>
  <c r="AD233" i="6"/>
  <c r="E143" i="25"/>
  <c r="E144" i="25" s="1"/>
  <c r="N135" i="6"/>
  <c r="Z299" i="6"/>
  <c r="AJ150" i="23"/>
  <c r="N349" i="6"/>
  <c r="J443" i="6"/>
  <c r="V446" i="6"/>
  <c r="AD450" i="6"/>
  <c r="AD442" i="6"/>
  <c r="AH273" i="6"/>
  <c r="AH276" i="6"/>
  <c r="AH268" i="6"/>
  <c r="AD349" i="6"/>
  <c r="AD347" i="6"/>
  <c r="R136" i="6"/>
  <c r="U126" i="23"/>
  <c r="U134" i="23"/>
  <c r="U136" i="23" s="1"/>
  <c r="R351" i="6"/>
  <c r="R344" i="6"/>
  <c r="R348" i="6"/>
  <c r="R349" i="6"/>
  <c r="R343" i="6"/>
  <c r="V160" i="6"/>
  <c r="V154" i="6"/>
  <c r="V158" i="6"/>
  <c r="AK320" i="6"/>
  <c r="J178" i="23"/>
  <c r="AH443" i="6"/>
  <c r="AH444" i="6"/>
  <c r="AK80" i="23"/>
  <c r="I26" i="23"/>
  <c r="J25" i="23" s="1"/>
  <c r="V350" i="6"/>
  <c r="V348" i="6"/>
  <c r="V347" i="6"/>
  <c r="N422" i="6"/>
  <c r="N417" i="6"/>
  <c r="AL95" i="6"/>
  <c r="AD148" i="23"/>
  <c r="AL370" i="6"/>
  <c r="AL487" i="6"/>
  <c r="AD425" i="6"/>
  <c r="AD429" i="6"/>
  <c r="AD427" i="6"/>
  <c r="AD430" i="6"/>
  <c r="AD426" i="6"/>
  <c r="AD428" i="6"/>
  <c r="AG126" i="23"/>
  <c r="AG134" i="23"/>
  <c r="AG136" i="23" s="1"/>
  <c r="R26" i="23"/>
  <c r="R25" i="23"/>
  <c r="R24" i="23"/>
  <c r="AA32" i="23"/>
  <c r="AC17" i="23"/>
  <c r="AA19" i="23"/>
  <c r="AA20" i="23" s="1"/>
  <c r="AJ163" i="23"/>
  <c r="J175" i="23"/>
  <c r="AH447" i="6"/>
  <c r="AH449" i="6"/>
  <c r="AK63" i="6"/>
  <c r="AL57" i="6" s="1"/>
  <c r="AI128" i="23"/>
  <c r="AI132" i="23" s="1"/>
  <c r="AK153" i="23"/>
  <c r="V351" i="6"/>
  <c r="V344" i="6"/>
  <c r="N420" i="6"/>
  <c r="N421" i="6"/>
  <c r="AL94" i="6"/>
  <c r="AL96" i="6"/>
  <c r="AL368" i="6"/>
  <c r="AL482" i="6"/>
  <c r="Y126" i="23"/>
  <c r="Y134" i="23"/>
  <c r="Y136" i="23" s="1"/>
  <c r="F111" i="25"/>
  <c r="AJ29" i="6"/>
  <c r="L19" i="23"/>
  <c r="L20" i="23" s="1"/>
  <c r="L32" i="23"/>
  <c r="AJ17" i="23"/>
  <c r="Q134" i="23"/>
  <c r="Q136" i="23" s="1"/>
  <c r="Q126" i="23"/>
  <c r="AH445" i="6"/>
  <c r="AH442" i="6"/>
  <c r="I163" i="23"/>
  <c r="J161" i="23" s="1"/>
  <c r="V345" i="6"/>
  <c r="I52" i="23"/>
  <c r="J49" i="23" s="1"/>
  <c r="N419" i="6"/>
  <c r="AL369" i="6"/>
  <c r="E27" i="25"/>
  <c r="AI126" i="23"/>
  <c r="O32" i="23"/>
  <c r="O19" i="23"/>
  <c r="O20" i="23" s="1"/>
  <c r="Q17" i="23"/>
  <c r="J288" i="6"/>
  <c r="J292" i="6"/>
  <c r="J289" i="6"/>
  <c r="J287" i="6"/>
  <c r="J290" i="6"/>
  <c r="J286" i="6"/>
  <c r="J291" i="6"/>
  <c r="T19" i="23"/>
  <c r="T20" i="23" s="1"/>
  <c r="T32" i="23"/>
  <c r="AL51" i="6"/>
  <c r="AL62" i="6"/>
  <c r="AL50" i="6"/>
  <c r="AL59" i="6"/>
  <c r="AL56" i="6"/>
  <c r="AL61" i="6"/>
  <c r="AL52" i="6"/>
  <c r="AL58" i="6"/>
  <c r="Z144" i="23"/>
  <c r="AD157" i="23"/>
  <c r="AD160" i="23"/>
  <c r="AD152" i="23"/>
  <c r="AL143" i="6"/>
  <c r="AL142" i="6"/>
  <c r="AL144" i="6"/>
  <c r="J236" i="6"/>
  <c r="J238" i="6"/>
  <c r="J237" i="6"/>
  <c r="J234" i="6"/>
  <c r="J241" i="6"/>
  <c r="J240" i="6"/>
  <c r="J239" i="6"/>
  <c r="J235" i="6"/>
  <c r="J233" i="6"/>
  <c r="Z25" i="23"/>
  <c r="Z24" i="23"/>
  <c r="Z26" i="23"/>
  <c r="AL460" i="6"/>
  <c r="AL463" i="6"/>
  <c r="AL461" i="6"/>
  <c r="AL462" i="6"/>
  <c r="AL459" i="6"/>
  <c r="AL458" i="6"/>
  <c r="AL507" i="6"/>
  <c r="AL506" i="6"/>
  <c r="AL503" i="6"/>
  <c r="AL505" i="6"/>
  <c r="AL502" i="6"/>
  <c r="AL504" i="6"/>
  <c r="N140" i="23"/>
  <c r="AL21" i="6"/>
  <c r="AL22" i="6"/>
  <c r="AL23" i="6"/>
  <c r="AH286" i="6"/>
  <c r="AH288" i="6"/>
  <c r="AH291" i="6"/>
  <c r="AH287" i="6"/>
  <c r="AH292" i="6"/>
  <c r="AH289" i="6"/>
  <c r="AH290" i="6"/>
  <c r="AL309" i="6"/>
  <c r="AL305" i="6"/>
  <c r="AL304" i="6"/>
  <c r="AL310" i="6"/>
  <c r="V24" i="23"/>
  <c r="AL44" i="6"/>
  <c r="AL46" i="6"/>
  <c r="AL45" i="6"/>
  <c r="AL47" i="6"/>
  <c r="AI52" i="23"/>
  <c r="AK49" i="23"/>
  <c r="AG44" i="23"/>
  <c r="AE44" i="23"/>
  <c r="AF44" i="23"/>
  <c r="G61" i="25"/>
  <c r="H61" i="25" s="1"/>
  <c r="AK110" i="23"/>
  <c r="AH380" i="6"/>
  <c r="AH379" i="6"/>
  <c r="AH378" i="6"/>
  <c r="AH381" i="6"/>
  <c r="AH375" i="6"/>
  <c r="AH382" i="6"/>
  <c r="AH377" i="6"/>
  <c r="AH384" i="6"/>
  <c r="AH374" i="6"/>
  <c r="AH383" i="6"/>
  <c r="AH373" i="6"/>
  <c r="AH376" i="6"/>
  <c r="AD286" i="6"/>
  <c r="AD289" i="6"/>
  <c r="AD290" i="6"/>
  <c r="AD291" i="6"/>
  <c r="AD292" i="6"/>
  <c r="AD288" i="6"/>
  <c r="AD287" i="6"/>
  <c r="N52" i="23"/>
  <c r="AI258" i="6"/>
  <c r="AI257" i="6"/>
  <c r="J94" i="23"/>
  <c r="J93" i="23"/>
  <c r="J92" i="23"/>
  <c r="J91" i="23"/>
  <c r="J90" i="23"/>
  <c r="M182" i="23"/>
  <c r="AK182" i="23" s="1"/>
  <c r="M183" i="23"/>
  <c r="AK183" i="23" s="1"/>
  <c r="M181" i="23"/>
  <c r="AK181" i="23" s="1"/>
  <c r="AJ181" i="23"/>
  <c r="W184" i="23"/>
  <c r="AL89" i="6"/>
  <c r="AL87" i="6"/>
  <c r="AL88" i="6"/>
  <c r="AL85" i="6"/>
  <c r="AL86" i="6"/>
  <c r="E111" i="25"/>
  <c r="AK17" i="6"/>
  <c r="AK29" i="6" s="1"/>
  <c r="AI29" i="6"/>
  <c r="AL131" i="6"/>
  <c r="AL132" i="6"/>
  <c r="AL130" i="6"/>
  <c r="AL67" i="6"/>
  <c r="AL69" i="6"/>
  <c r="AL66" i="6"/>
  <c r="AL68" i="6"/>
  <c r="AL65" i="6"/>
  <c r="AE132" i="23"/>
  <c r="AG128" i="23"/>
  <c r="AG132" i="23" s="1"/>
  <c r="N373" i="6"/>
  <c r="N378" i="6"/>
  <c r="N382" i="6"/>
  <c r="N380" i="6"/>
  <c r="N379" i="6"/>
  <c r="N377" i="6"/>
  <c r="N376" i="6"/>
  <c r="N375" i="6"/>
  <c r="N381" i="6"/>
  <c r="N383" i="6"/>
  <c r="N384" i="6"/>
  <c r="N374" i="6"/>
  <c r="E132" i="25"/>
  <c r="E133" i="25" s="1"/>
  <c r="G129" i="25"/>
  <c r="G132" i="25" s="1"/>
  <c r="G116" i="25"/>
  <c r="AL413" i="6"/>
  <c r="AL412" i="6"/>
  <c r="AL411" i="6"/>
  <c r="AL415" i="6"/>
  <c r="AL414" i="6"/>
  <c r="Z168" i="23"/>
  <c r="I126" i="23"/>
  <c r="I134" i="23" s="1"/>
  <c r="I136" i="23" s="1"/>
  <c r="AK265" i="6"/>
  <c r="AD167" i="23"/>
  <c r="AD166" i="23"/>
  <c r="AD165" i="23"/>
  <c r="AD168" i="23"/>
  <c r="N131" i="23"/>
  <c r="N130" i="23"/>
  <c r="N129" i="23"/>
  <c r="N128" i="23"/>
  <c r="N132" i="23"/>
  <c r="AH371" i="6"/>
  <c r="AH367" i="6"/>
  <c r="AH370" i="6"/>
  <c r="AH369" i="6"/>
  <c r="AH368" i="6"/>
  <c r="Z158" i="25"/>
  <c r="U158" i="25" s="1"/>
  <c r="M36" i="26" s="1"/>
  <c r="M32" i="26" s="1"/>
  <c r="AB158" i="25"/>
  <c r="AL245" i="6"/>
  <c r="AL243" i="6"/>
  <c r="AL244" i="6"/>
  <c r="AL246" i="6"/>
  <c r="AK430" i="6"/>
  <c r="K32" i="23"/>
  <c r="M17" i="23"/>
  <c r="K19" i="23"/>
  <c r="K20" i="23" s="1"/>
  <c r="I81" i="23"/>
  <c r="I68" i="23"/>
  <c r="AK156" i="23"/>
  <c r="AK351" i="6"/>
  <c r="AD384" i="6"/>
  <c r="AD373" i="6"/>
  <c r="AD377" i="6"/>
  <c r="AD374" i="6"/>
  <c r="AD376" i="6"/>
  <c r="AD380" i="6"/>
  <c r="AD382" i="6"/>
  <c r="AD381" i="6"/>
  <c r="AD383" i="6"/>
  <c r="AD375" i="6"/>
  <c r="AD379" i="6"/>
  <c r="AD378" i="6"/>
  <c r="AK70" i="23"/>
  <c r="AK291" i="6"/>
  <c r="AL365" i="6"/>
  <c r="AL362" i="6"/>
  <c r="AL363" i="6"/>
  <c r="AL364" i="6"/>
  <c r="AL361" i="6"/>
  <c r="G115" i="25"/>
  <c r="R149" i="23"/>
  <c r="AK213" i="6"/>
  <c r="F143" i="25"/>
  <c r="F144" i="25" s="1"/>
  <c r="S32" i="23"/>
  <c r="U17" i="23"/>
  <c r="S19" i="23"/>
  <c r="S20" i="23" s="1"/>
  <c r="AL93" i="23"/>
  <c r="AL92" i="23"/>
  <c r="AL91" i="23"/>
  <c r="AL90" i="23"/>
  <c r="AL94" i="23"/>
  <c r="N61" i="23"/>
  <c r="AI163" i="23"/>
  <c r="AI17" i="23"/>
  <c r="I17" i="23"/>
  <c r="G32" i="23"/>
  <c r="G19" i="23"/>
  <c r="G20" i="23" s="1"/>
  <c r="J71" i="6"/>
  <c r="J74" i="6"/>
  <c r="J76" i="6"/>
  <c r="J73" i="6"/>
  <c r="J75" i="6"/>
  <c r="J72" i="6"/>
  <c r="AL466" i="6"/>
  <c r="AL472" i="6"/>
  <c r="AL467" i="6"/>
  <c r="AL471" i="6"/>
  <c r="V291" i="6"/>
  <c r="V286" i="6"/>
  <c r="V290" i="6"/>
  <c r="V292" i="6"/>
  <c r="V287" i="6"/>
  <c r="V289" i="6"/>
  <c r="V288" i="6"/>
  <c r="W32" i="23"/>
  <c r="Y17" i="23"/>
  <c r="W19" i="23"/>
  <c r="W20" i="23" s="1"/>
  <c r="E81" i="25"/>
  <c r="AK161" i="23"/>
  <c r="N178" i="23"/>
  <c r="N176" i="23"/>
  <c r="N175" i="23"/>
  <c r="N177" i="23"/>
  <c r="AI44" i="23"/>
  <c r="AL115" i="23"/>
  <c r="V373" i="6"/>
  <c r="V381" i="6"/>
  <c r="V376" i="6"/>
  <c r="V380" i="6"/>
  <c r="V375" i="6"/>
  <c r="V384" i="6"/>
  <c r="V379" i="6"/>
  <c r="V374" i="6"/>
  <c r="V382" i="6"/>
  <c r="V378" i="6"/>
  <c r="V377" i="6"/>
  <c r="V383" i="6"/>
  <c r="AE32" i="23"/>
  <c r="AG17" i="23"/>
  <c r="AE19" i="23"/>
  <c r="F27" i="25"/>
  <c r="AJ126" i="23"/>
  <c r="AK123" i="23"/>
  <c r="AA132" i="23"/>
  <c r="AC128" i="23"/>
  <c r="AC132" i="23" s="1"/>
  <c r="AK165" i="23"/>
  <c r="AI168" i="23"/>
  <c r="AK384" i="6"/>
  <c r="I144" i="23"/>
  <c r="AD156" i="6"/>
  <c r="AD158" i="6"/>
  <c r="AD162" i="6"/>
  <c r="AD155" i="6"/>
  <c r="AD161" i="6"/>
  <c r="AD157" i="6"/>
  <c r="AD154" i="6"/>
  <c r="AD160" i="6"/>
  <c r="AD159" i="6"/>
  <c r="R162" i="23"/>
  <c r="R161" i="23"/>
  <c r="R160" i="23"/>
  <c r="R159" i="23"/>
  <c r="R158" i="23"/>
  <c r="R157" i="23"/>
  <c r="R156" i="23"/>
  <c r="R155" i="23"/>
  <c r="R154" i="23"/>
  <c r="R153" i="23"/>
  <c r="R152" i="23"/>
  <c r="R163" i="23"/>
  <c r="AH70" i="23"/>
  <c r="G95" i="25"/>
  <c r="E96" i="25"/>
  <c r="AI81" i="23"/>
  <c r="AK76" i="23"/>
  <c r="AL239" i="6"/>
  <c r="AL233" i="6"/>
  <c r="AL237" i="6"/>
  <c r="AL236" i="6"/>
  <c r="AL240" i="6"/>
  <c r="AL235" i="6"/>
  <c r="AL234" i="6"/>
  <c r="AL238" i="6"/>
  <c r="AL241" i="6"/>
  <c r="AK178" i="6"/>
  <c r="AL154" i="6"/>
  <c r="AL155" i="6"/>
  <c r="AL161" i="6"/>
  <c r="AL158" i="6"/>
  <c r="AL162" i="6"/>
  <c r="AL160" i="6"/>
  <c r="AL156" i="6"/>
  <c r="AL157" i="6"/>
  <c r="AL159" i="6"/>
  <c r="J336" i="6"/>
  <c r="J341" i="6"/>
  <c r="J340" i="6"/>
  <c r="J335" i="6"/>
  <c r="AH160" i="6"/>
  <c r="AH159" i="6"/>
  <c r="AH154" i="6"/>
  <c r="AH156" i="6"/>
  <c r="AH157" i="6"/>
  <c r="AH155" i="6"/>
  <c r="AH161" i="6"/>
  <c r="AH158" i="6"/>
  <c r="AH162" i="6"/>
  <c r="AL386" i="6"/>
  <c r="AL389" i="6"/>
  <c r="AL388" i="6"/>
  <c r="AL387" i="6"/>
  <c r="Z148" i="23"/>
  <c r="Z377" i="6"/>
  <c r="Z378" i="6"/>
  <c r="Z379" i="6"/>
  <c r="Z376" i="6"/>
  <c r="Z383" i="6"/>
  <c r="Z381" i="6"/>
  <c r="Z373" i="6"/>
  <c r="Z374" i="6"/>
  <c r="Z375" i="6"/>
  <c r="Z382" i="6"/>
  <c r="Z384" i="6"/>
  <c r="Z380" i="6"/>
  <c r="Z290" i="6"/>
  <c r="Z288" i="6"/>
  <c r="Z289" i="6"/>
  <c r="Z291" i="6"/>
  <c r="Z292" i="6"/>
  <c r="Z287" i="6"/>
  <c r="Z286" i="6"/>
  <c r="AK328" i="6"/>
  <c r="G151" i="25"/>
  <c r="R419" i="6"/>
  <c r="R417" i="6"/>
  <c r="R423" i="6"/>
  <c r="R421" i="6"/>
  <c r="R420" i="6"/>
  <c r="R422" i="6"/>
  <c r="R418" i="6"/>
  <c r="N77" i="23"/>
  <c r="N25" i="23"/>
  <c r="N24" i="23"/>
  <c r="N26" i="23"/>
  <c r="AL72" i="6"/>
  <c r="AL76" i="6"/>
  <c r="AL75" i="6"/>
  <c r="AL71" i="6"/>
  <c r="AL73" i="6"/>
  <c r="AL74" i="6"/>
  <c r="AK24" i="23"/>
  <c r="AI26" i="23"/>
  <c r="AL449" i="6"/>
  <c r="AL445" i="6"/>
  <c r="AL451" i="6"/>
  <c r="AL450" i="6"/>
  <c r="AL446" i="6"/>
  <c r="AL444" i="6"/>
  <c r="AL442" i="6"/>
  <c r="AL443" i="6"/>
  <c r="AL447" i="6"/>
  <c r="AL448" i="6"/>
  <c r="S132" i="23"/>
  <c r="U128" i="23"/>
  <c r="U132" i="23" s="1"/>
  <c r="J268" i="6"/>
  <c r="J278" i="6"/>
  <c r="J277" i="6"/>
  <c r="J279" i="6"/>
  <c r="J271" i="6"/>
  <c r="J272" i="6"/>
  <c r="J274" i="6"/>
  <c r="J284" i="6"/>
  <c r="J276" i="6"/>
  <c r="J273" i="6"/>
  <c r="J275" i="6"/>
  <c r="J266" i="6"/>
  <c r="J267" i="6"/>
  <c r="J269" i="6"/>
  <c r="J270" i="6"/>
  <c r="AK190" i="6"/>
  <c r="AL139" i="6"/>
  <c r="AL135" i="6"/>
  <c r="AL137" i="6"/>
  <c r="AL136" i="6"/>
  <c r="AL140" i="6"/>
  <c r="AL134" i="6"/>
  <c r="AL138" i="6"/>
  <c r="AH72" i="6"/>
  <c r="AH75" i="6"/>
  <c r="AH73" i="6"/>
  <c r="AH74" i="6"/>
  <c r="AH71" i="6"/>
  <c r="AH76" i="6"/>
  <c r="AH150" i="23"/>
  <c r="AH149" i="23"/>
  <c r="AH148" i="23"/>
  <c r="AH147" i="23"/>
  <c r="AH146" i="23"/>
  <c r="AK293" i="6"/>
  <c r="AL31" i="6"/>
  <c r="AL32" i="6"/>
  <c r="AL33" i="6"/>
  <c r="N152" i="23"/>
  <c r="N155" i="23"/>
  <c r="N157" i="23"/>
  <c r="AI357" i="6"/>
  <c r="AI354" i="6"/>
  <c r="AH156" i="23"/>
  <c r="O132" i="23"/>
  <c r="Q128" i="23"/>
  <c r="Q132" i="23" s="1"/>
  <c r="AI150" i="23"/>
  <c r="AK146" i="23"/>
  <c r="R291" i="6"/>
  <c r="R292" i="6"/>
  <c r="R288" i="6"/>
  <c r="R290" i="6"/>
  <c r="R286" i="6"/>
  <c r="R289" i="6"/>
  <c r="R287" i="6"/>
  <c r="AL422" i="6"/>
  <c r="I44" i="23"/>
  <c r="G44" i="23"/>
  <c r="H44" i="23"/>
  <c r="G98" i="25"/>
  <c r="AH324" i="6"/>
  <c r="AH327" i="6"/>
  <c r="AH328" i="6"/>
  <c r="AH326" i="6"/>
  <c r="AH325" i="6"/>
  <c r="AH323" i="6"/>
  <c r="AI190" i="6"/>
  <c r="AL302" i="6"/>
  <c r="AL299" i="6"/>
  <c r="AL300" i="6"/>
  <c r="AL297" i="6"/>
  <c r="AL301" i="6"/>
  <c r="AL298" i="6"/>
  <c r="AL296" i="6"/>
  <c r="Z78" i="23"/>
  <c r="AL314" i="6"/>
  <c r="AL313" i="6"/>
  <c r="AL317" i="6"/>
  <c r="AL316" i="6"/>
  <c r="AL320" i="6"/>
  <c r="AL318" i="6"/>
  <c r="AL312" i="6"/>
  <c r="AL319" i="6"/>
  <c r="AL315" i="6"/>
  <c r="AJ128" i="23"/>
  <c r="Z389" i="6"/>
  <c r="Z386" i="6"/>
  <c r="Z388" i="6"/>
  <c r="Z387" i="6"/>
  <c r="G180" i="25"/>
  <c r="G93" i="25"/>
  <c r="E94" i="25"/>
  <c r="F152" i="25"/>
  <c r="AL341" i="6"/>
  <c r="AL335" i="6"/>
  <c r="AL340" i="6"/>
  <c r="AL336" i="6"/>
  <c r="G143" i="25"/>
  <c r="G144" i="25" s="1"/>
  <c r="AK255" i="6"/>
  <c r="G81" i="25"/>
  <c r="V79" i="25"/>
  <c r="V81" i="25" s="1"/>
  <c r="AL149" i="6"/>
  <c r="AK354" i="6"/>
  <c r="AL147" i="6"/>
  <c r="AL150" i="6"/>
  <c r="AK357" i="6"/>
  <c r="AL151" i="6"/>
  <c r="AL146" i="6"/>
  <c r="AL148" i="6"/>
  <c r="J158" i="6"/>
  <c r="J162" i="6"/>
  <c r="J156" i="6"/>
  <c r="J160" i="6"/>
  <c r="J161" i="6"/>
  <c r="J157" i="6"/>
  <c r="J159" i="6"/>
  <c r="J155" i="6"/>
  <c r="J154" i="6"/>
  <c r="AJ81" i="23"/>
  <c r="M150" i="23"/>
  <c r="I168" i="23"/>
  <c r="AL222" i="6"/>
  <c r="AL220" i="6"/>
  <c r="AL215" i="6"/>
  <c r="AL216" i="6"/>
  <c r="AL221" i="6"/>
  <c r="AK140" i="23"/>
  <c r="AI144" i="23"/>
  <c r="AH25" i="23"/>
  <c r="AH24" i="23"/>
  <c r="AH26" i="23"/>
  <c r="AK54" i="23"/>
  <c r="W132" i="23"/>
  <c r="Y128" i="23"/>
  <c r="Y132" i="23" s="1"/>
  <c r="J21" i="6"/>
  <c r="J23" i="6"/>
  <c r="J22" i="6"/>
  <c r="AH365" i="6"/>
  <c r="AH364" i="6"/>
  <c r="AH363" i="6"/>
  <c r="AH361" i="6"/>
  <c r="AH362" i="6"/>
  <c r="R369" i="6"/>
  <c r="R371" i="6"/>
  <c r="R368" i="6"/>
  <c r="R370" i="6"/>
  <c r="R367" i="6"/>
  <c r="J375" i="6"/>
  <c r="J382" i="6"/>
  <c r="J378" i="6"/>
  <c r="J376" i="6"/>
  <c r="J374" i="6"/>
  <c r="J383" i="6"/>
  <c r="J373" i="6"/>
  <c r="J379" i="6"/>
  <c r="J377" i="6"/>
  <c r="J381" i="6"/>
  <c r="J380" i="6"/>
  <c r="J384" i="6"/>
  <c r="AL454" i="6"/>
  <c r="AL455" i="6"/>
  <c r="AL456" i="6"/>
  <c r="J84" i="23"/>
  <c r="J88" i="23"/>
  <c r="J86" i="23"/>
  <c r="J85" i="23"/>
  <c r="J87" i="23"/>
  <c r="AK186" i="6"/>
  <c r="AL186" i="6" s="1"/>
  <c r="M16" i="26"/>
  <c r="M11" i="26" s="1"/>
  <c r="M76" i="25"/>
  <c r="L76" i="25" s="1"/>
  <c r="M83" i="25"/>
  <c r="L83" i="25" s="1"/>
  <c r="E179" i="25"/>
  <c r="AI186" i="23"/>
  <c r="G179" i="25"/>
  <c r="AK186" i="23"/>
  <c r="J183" i="23"/>
  <c r="AL262" i="7"/>
  <c r="AL261" i="7"/>
  <c r="AL264" i="7"/>
  <c r="AL263" i="7"/>
  <c r="AL402" i="6"/>
  <c r="AL405" i="6"/>
  <c r="AL403" i="6"/>
  <c r="AL404" i="6"/>
  <c r="N403" i="6"/>
  <c r="N404" i="6"/>
  <c r="N405" i="6"/>
  <c r="N402" i="6"/>
  <c r="AH183" i="23"/>
  <c r="AH182" i="23"/>
  <c r="AH181" i="23"/>
  <c r="AH184" i="23"/>
  <c r="M390" i="20"/>
  <c r="J390" i="20"/>
  <c r="N388" i="20"/>
  <c r="L390" i="20"/>
  <c r="K390" i="20"/>
  <c r="N387" i="20"/>
  <c r="N386" i="20"/>
  <c r="I390" i="20"/>
  <c r="O312" i="20"/>
  <c r="N315" i="20"/>
  <c r="O315" i="20" s="1"/>
  <c r="M30" i="26"/>
  <c r="M107" i="25"/>
  <c r="L107" i="25" s="1"/>
  <c r="L24" i="25" l="1"/>
  <c r="L25" i="25" s="1"/>
  <c r="M25" i="25"/>
  <c r="Z56" i="23"/>
  <c r="Z61" i="23"/>
  <c r="Z59" i="23"/>
  <c r="Z62" i="23"/>
  <c r="Z64" i="23"/>
  <c r="Z55" i="23"/>
  <c r="Z68" i="23"/>
  <c r="Z65" i="23"/>
  <c r="Z63" i="23"/>
  <c r="Z66" i="23"/>
  <c r="Z67" i="23"/>
  <c r="Z57" i="23"/>
  <c r="Z54" i="23"/>
  <c r="Z60" i="23"/>
  <c r="Z58" i="23"/>
  <c r="AL27" i="7"/>
  <c r="AL26" i="7"/>
  <c r="Z77" i="23"/>
  <c r="AH161" i="23"/>
  <c r="V26" i="23"/>
  <c r="Z143" i="23"/>
  <c r="AD146" i="23"/>
  <c r="N72" i="23"/>
  <c r="Z35" i="23"/>
  <c r="R141" i="23"/>
  <c r="AH52" i="7"/>
  <c r="AH50" i="7"/>
  <c r="Z124" i="18"/>
  <c r="Z127" i="18"/>
  <c r="Z126" i="14"/>
  <c r="Z127" i="14"/>
  <c r="Z128" i="15"/>
  <c r="Z36" i="23"/>
  <c r="AH55" i="7"/>
  <c r="AH63" i="7"/>
  <c r="Z126" i="18"/>
  <c r="Z128" i="14"/>
  <c r="Z125" i="15"/>
  <c r="V181" i="23"/>
  <c r="AH79" i="23"/>
  <c r="AL85" i="23"/>
  <c r="AH57" i="7"/>
  <c r="AH49" i="7"/>
  <c r="AH58" i="7"/>
  <c r="Z126" i="15"/>
  <c r="J147" i="7"/>
  <c r="J137" i="7"/>
  <c r="AL45" i="7"/>
  <c r="AK130" i="7"/>
  <c r="AL129" i="7" s="1"/>
  <c r="G28" i="25"/>
  <c r="X166" i="25" s="1"/>
  <c r="AB166" i="25" s="1"/>
  <c r="AL176" i="23"/>
  <c r="G51" i="25" s="1"/>
  <c r="Y51" i="25" s="1"/>
  <c r="Z51" i="25" s="1"/>
  <c r="Z53" i="25" s="1"/>
  <c r="U53" i="25" s="1"/>
  <c r="V53" i="25" s="1"/>
  <c r="G53" i="25" s="1"/>
  <c r="AL47" i="7"/>
  <c r="AL123" i="7"/>
  <c r="AL169" i="7"/>
  <c r="AL75" i="7"/>
  <c r="AL74" i="7"/>
  <c r="AL76" i="7"/>
  <c r="AL73" i="7"/>
  <c r="AL72" i="7"/>
  <c r="AL71" i="7"/>
  <c r="N65" i="23"/>
  <c r="J149" i="23"/>
  <c r="N49" i="23"/>
  <c r="AL25" i="7"/>
  <c r="AD55" i="23"/>
  <c r="AL122" i="7"/>
  <c r="AL124" i="7"/>
  <c r="AL66" i="7"/>
  <c r="AH53" i="7"/>
  <c r="AH61" i="7"/>
  <c r="AH56" i="7"/>
  <c r="AH54" i="7"/>
  <c r="AH60" i="7"/>
  <c r="R168" i="23"/>
  <c r="N50" i="23"/>
  <c r="AL28" i="7"/>
  <c r="AL125" i="7"/>
  <c r="AI36" i="23"/>
  <c r="E33" i="25" s="1"/>
  <c r="E34" i="25" s="1"/>
  <c r="AL67" i="7"/>
  <c r="AD77" i="23"/>
  <c r="N57" i="23"/>
  <c r="AD59" i="23"/>
  <c r="AE68" i="23"/>
  <c r="AG56" i="23"/>
  <c r="AG68" i="23" s="1"/>
  <c r="AH68" i="23" s="1"/>
  <c r="AL128" i="7"/>
  <c r="AL127" i="7"/>
  <c r="AL130" i="7"/>
  <c r="AH50" i="23"/>
  <c r="AH49" i="23"/>
  <c r="AH52" i="23"/>
  <c r="AH51" i="23"/>
  <c r="V182" i="23"/>
  <c r="Z79" i="23"/>
  <c r="Z81" i="23"/>
  <c r="AK44" i="23"/>
  <c r="N141" i="23"/>
  <c r="V80" i="23"/>
  <c r="AD60" i="23"/>
  <c r="AD65" i="23"/>
  <c r="AL183" i="7"/>
  <c r="G33" i="25"/>
  <c r="G34" i="25" s="1"/>
  <c r="V81" i="23"/>
  <c r="AK36" i="23"/>
  <c r="AL34" i="23" s="1"/>
  <c r="R78" i="23"/>
  <c r="R81" i="23"/>
  <c r="Z127" i="17"/>
  <c r="Z125" i="17"/>
  <c r="Z128" i="17"/>
  <c r="Z124" i="17"/>
  <c r="Z126" i="17"/>
  <c r="U56" i="23"/>
  <c r="U68" i="23" s="1"/>
  <c r="V62" i="23" s="1"/>
  <c r="S68" i="23"/>
  <c r="AI56" i="23"/>
  <c r="R72" i="23"/>
  <c r="Z76" i="23"/>
  <c r="V161" i="23"/>
  <c r="N142" i="23"/>
  <c r="AD149" i="23"/>
  <c r="V77" i="23"/>
  <c r="V76" i="23"/>
  <c r="AL185" i="7"/>
  <c r="AD147" i="23"/>
  <c r="R79" i="23"/>
  <c r="AL175" i="7"/>
  <c r="AK51" i="23"/>
  <c r="AK52" i="23" s="1"/>
  <c r="AL51" i="23" s="1"/>
  <c r="AI63" i="7"/>
  <c r="AK51" i="7"/>
  <c r="AK63" i="7" s="1"/>
  <c r="AL61" i="7" s="1"/>
  <c r="V183" i="23"/>
  <c r="N144" i="23"/>
  <c r="AL180" i="7"/>
  <c r="AL178" i="7"/>
  <c r="AL174" i="7"/>
  <c r="AC99" i="7"/>
  <c r="AC103" i="23"/>
  <c r="AC104" i="23" s="1"/>
  <c r="I104" i="23"/>
  <c r="V57" i="7"/>
  <c r="V58" i="7"/>
  <c r="V55" i="7"/>
  <c r="AH144" i="23"/>
  <c r="AL33" i="7"/>
  <c r="AD71" i="23"/>
  <c r="AH143" i="23"/>
  <c r="AD183" i="23"/>
  <c r="AK74" i="23"/>
  <c r="AL70" i="23" s="1"/>
  <c r="V167" i="23"/>
  <c r="AD140" i="23"/>
  <c r="AD35" i="23"/>
  <c r="R74" i="23"/>
  <c r="R73" i="23"/>
  <c r="AL99" i="23"/>
  <c r="AH165" i="23"/>
  <c r="AH140" i="23"/>
  <c r="V168" i="23"/>
  <c r="AL31" i="7"/>
  <c r="R50" i="23"/>
  <c r="R51" i="23"/>
  <c r="R70" i="23"/>
  <c r="AH141" i="23"/>
  <c r="V165" i="23"/>
  <c r="AD34" i="23"/>
  <c r="V70" i="23"/>
  <c r="AL238" i="7"/>
  <c r="AD62" i="23"/>
  <c r="AD144" i="23"/>
  <c r="AL101" i="23"/>
  <c r="AL100" i="23"/>
  <c r="AH152" i="23"/>
  <c r="AH157" i="23"/>
  <c r="AH162" i="23"/>
  <c r="N159" i="23"/>
  <c r="N154" i="23"/>
  <c r="N156" i="23"/>
  <c r="N78" i="23"/>
  <c r="N54" i="23"/>
  <c r="N58" i="23"/>
  <c r="N62" i="23"/>
  <c r="N66" i="23"/>
  <c r="AD154" i="23"/>
  <c r="AD162" i="23"/>
  <c r="AD159" i="23"/>
  <c r="AL243" i="7"/>
  <c r="R142" i="23"/>
  <c r="AL168" i="7"/>
  <c r="AL167" i="7"/>
  <c r="AL223" i="7"/>
  <c r="AL221" i="7"/>
  <c r="AL172" i="7"/>
  <c r="AL224" i="7"/>
  <c r="AL118" i="7"/>
  <c r="AL120" i="7"/>
  <c r="AH34" i="23"/>
  <c r="AH35" i="23"/>
  <c r="AL97" i="23"/>
  <c r="AH153" i="23"/>
  <c r="AH158" i="23"/>
  <c r="N153" i="23"/>
  <c r="N158" i="23"/>
  <c r="N160" i="23"/>
  <c r="N81" i="23"/>
  <c r="N79" i="23"/>
  <c r="N55" i="23"/>
  <c r="N59" i="23"/>
  <c r="N63" i="23"/>
  <c r="N67" i="23"/>
  <c r="R147" i="23"/>
  <c r="AD156" i="23"/>
  <c r="AD153" i="23"/>
  <c r="AD161" i="23"/>
  <c r="AL170" i="7"/>
  <c r="AD141" i="23"/>
  <c r="AL220" i="7"/>
  <c r="AD143" i="23"/>
  <c r="AH154" i="23"/>
  <c r="AH160" i="23"/>
  <c r="N161" i="23"/>
  <c r="N162" i="23"/>
  <c r="N76" i="23"/>
  <c r="N56" i="23"/>
  <c r="N60" i="23"/>
  <c r="N64" i="23"/>
  <c r="R148" i="23"/>
  <c r="AD158" i="23"/>
  <c r="AD155" i="23"/>
  <c r="AD25" i="23"/>
  <c r="R140" i="23"/>
  <c r="R144" i="23"/>
  <c r="J26" i="23"/>
  <c r="AH166" i="23"/>
  <c r="AD78" i="23"/>
  <c r="Z147" i="23"/>
  <c r="AL55" i="7"/>
  <c r="V74" i="23"/>
  <c r="R58" i="23"/>
  <c r="AL68" i="7"/>
  <c r="R62" i="23"/>
  <c r="J181" i="23"/>
  <c r="J184" i="23"/>
  <c r="AH167" i="23"/>
  <c r="AD81" i="23"/>
  <c r="AD79" i="23"/>
  <c r="Z149" i="23"/>
  <c r="J50" i="23"/>
  <c r="V73" i="23"/>
  <c r="AK42" i="23"/>
  <c r="R54" i="23"/>
  <c r="AL65" i="7"/>
  <c r="AD76" i="23"/>
  <c r="Z146" i="23"/>
  <c r="N70" i="23"/>
  <c r="V71" i="23"/>
  <c r="Z166" i="23"/>
  <c r="R165" i="23"/>
  <c r="G167" i="25"/>
  <c r="AL178" i="23"/>
  <c r="J130" i="23"/>
  <c r="Z70" i="23"/>
  <c r="V49" i="23"/>
  <c r="AD54" i="23"/>
  <c r="Z72" i="23"/>
  <c r="V50" i="23"/>
  <c r="V153" i="23"/>
  <c r="Z165" i="23"/>
  <c r="R166" i="23"/>
  <c r="Z73" i="23"/>
  <c r="V52" i="23"/>
  <c r="V156" i="23"/>
  <c r="AK18" i="23"/>
  <c r="AL18" i="23" s="1"/>
  <c r="Z74" i="23"/>
  <c r="AH71" i="23"/>
  <c r="J146" i="23"/>
  <c r="J150" i="23"/>
  <c r="AL86" i="23"/>
  <c r="R60" i="23"/>
  <c r="AL246" i="7"/>
  <c r="V35" i="23"/>
  <c r="N71" i="23"/>
  <c r="R56" i="23"/>
  <c r="R57" i="23"/>
  <c r="J36" i="23"/>
  <c r="AH72" i="23"/>
  <c r="J148" i="23"/>
  <c r="AL88" i="23"/>
  <c r="AL87" i="23"/>
  <c r="R68" i="23"/>
  <c r="AL196" i="7"/>
  <c r="V34" i="23"/>
  <c r="N74" i="23"/>
  <c r="R61" i="23"/>
  <c r="R64" i="23"/>
  <c r="AH74" i="23"/>
  <c r="R67" i="23"/>
  <c r="R66" i="23"/>
  <c r="R65" i="23"/>
  <c r="R63" i="23"/>
  <c r="Z153" i="7"/>
  <c r="Z152" i="7"/>
  <c r="Z157" i="7"/>
  <c r="Z165" i="7"/>
  <c r="Z154" i="7"/>
  <c r="Z158" i="7"/>
  <c r="Z155" i="7"/>
  <c r="Z156" i="7"/>
  <c r="BA178" i="17"/>
  <c r="BA177" i="17"/>
  <c r="BA181" i="17"/>
  <c r="BA176" i="17"/>
  <c r="BA179" i="17"/>
  <c r="BA188" i="17"/>
  <c r="BA180" i="17"/>
  <c r="Z188" i="17"/>
  <c r="Z175" i="17"/>
  <c r="Z178" i="17"/>
  <c r="Z176" i="17"/>
  <c r="Z181" i="17"/>
  <c r="Z177" i="17"/>
  <c r="Z179" i="17"/>
  <c r="Z180" i="17"/>
  <c r="N153" i="7"/>
  <c r="N156" i="7"/>
  <c r="N157" i="7"/>
  <c r="N155" i="7"/>
  <c r="N158" i="7"/>
  <c r="N165" i="7"/>
  <c r="N152" i="7"/>
  <c r="N154" i="7"/>
  <c r="Z175" i="14"/>
  <c r="Z179" i="14"/>
  <c r="Z178" i="14"/>
  <c r="Z177" i="14"/>
  <c r="Z188" i="14"/>
  <c r="Z180" i="14"/>
  <c r="Z176" i="14"/>
  <c r="Z181" i="14"/>
  <c r="BA178" i="14"/>
  <c r="BA179" i="14"/>
  <c r="BA177" i="14"/>
  <c r="BA181" i="14"/>
  <c r="BA188" i="14"/>
  <c r="BA180" i="14"/>
  <c r="BA176" i="14"/>
  <c r="AK158" i="7"/>
  <c r="AI165" i="7"/>
  <c r="AL112" i="23"/>
  <c r="AL116" i="23"/>
  <c r="AL248" i="7"/>
  <c r="J131" i="23"/>
  <c r="J132" i="23"/>
  <c r="AL113" i="23"/>
  <c r="AL200" i="7"/>
  <c r="AL22" i="7"/>
  <c r="J128" i="23"/>
  <c r="AK26" i="23"/>
  <c r="AL24" i="23" s="1"/>
  <c r="AL195" i="7"/>
  <c r="Z181" i="23"/>
  <c r="AH76" i="23"/>
  <c r="AH80" i="23"/>
  <c r="Z140" i="23"/>
  <c r="AH65" i="23"/>
  <c r="N166" i="23"/>
  <c r="Z182" i="23"/>
  <c r="V140" i="23"/>
  <c r="V147" i="23"/>
  <c r="AH163" i="23"/>
  <c r="AH155" i="23"/>
  <c r="AH77" i="23"/>
  <c r="AH81" i="23"/>
  <c r="R146" i="23"/>
  <c r="J158" i="23"/>
  <c r="Z141" i="23"/>
  <c r="E75" i="25"/>
  <c r="AD56" i="23"/>
  <c r="AL236" i="7"/>
  <c r="AL21" i="7"/>
  <c r="AL245" i="7"/>
  <c r="AD57" i="23"/>
  <c r="AI184" i="23"/>
  <c r="AD66" i="23"/>
  <c r="AD68" i="23"/>
  <c r="V142" i="23"/>
  <c r="AD67" i="23"/>
  <c r="AK150" i="23"/>
  <c r="AL149" i="23" s="1"/>
  <c r="AL234" i="7"/>
  <c r="V141" i="23"/>
  <c r="V144" i="23"/>
  <c r="J52" i="23"/>
  <c r="V157" i="23"/>
  <c r="AH61" i="23"/>
  <c r="AL241" i="7"/>
  <c r="AL235" i="7"/>
  <c r="AL239" i="7"/>
  <c r="AH67" i="23"/>
  <c r="J51" i="23"/>
  <c r="AD26" i="23"/>
  <c r="AL240" i="7"/>
  <c r="AL242" i="7"/>
  <c r="V152" i="23"/>
  <c r="V160" i="23"/>
  <c r="J155" i="23"/>
  <c r="AH63" i="23"/>
  <c r="AL232" i="7"/>
  <c r="AL233" i="7"/>
  <c r="R35" i="23"/>
  <c r="R36" i="23"/>
  <c r="R34" i="23"/>
  <c r="V148" i="23"/>
  <c r="V149" i="23"/>
  <c r="H67" i="25"/>
  <c r="AK168" i="23"/>
  <c r="AL168" i="23" s="1"/>
  <c r="V154" i="23"/>
  <c r="V158" i="23"/>
  <c r="V162" i="23"/>
  <c r="J163" i="23"/>
  <c r="J159" i="23"/>
  <c r="AL205" i="7"/>
  <c r="AL208" i="7"/>
  <c r="AL207" i="7"/>
  <c r="AL211" i="7"/>
  <c r="AL204" i="7"/>
  <c r="AL206" i="7"/>
  <c r="AL209" i="7"/>
  <c r="AL210" i="7"/>
  <c r="AL203" i="7"/>
  <c r="AL227" i="7"/>
  <c r="AL229" i="7"/>
  <c r="AL230" i="7"/>
  <c r="AL228" i="7"/>
  <c r="AL226" i="7"/>
  <c r="J70" i="23"/>
  <c r="AK81" i="23"/>
  <c r="AL78" i="23" s="1"/>
  <c r="Z183" i="23"/>
  <c r="AK144" i="23"/>
  <c r="AL141" i="23" s="1"/>
  <c r="V146" i="23"/>
  <c r="V155" i="23"/>
  <c r="V159" i="23"/>
  <c r="J154" i="23"/>
  <c r="J162" i="23"/>
  <c r="AD166" i="25"/>
  <c r="AE166" i="25" s="1"/>
  <c r="V166" i="25" s="1"/>
  <c r="AA166" i="25"/>
  <c r="AC166" i="25"/>
  <c r="AK141" i="7"/>
  <c r="AD133" i="7"/>
  <c r="AD132" i="7"/>
  <c r="AD137" i="7"/>
  <c r="AD135" i="7"/>
  <c r="AD141" i="7"/>
  <c r="AD139" i="7"/>
  <c r="AD134" i="7"/>
  <c r="AD136" i="7"/>
  <c r="AD138" i="7"/>
  <c r="AD140" i="7"/>
  <c r="AD147" i="7"/>
  <c r="N216" i="20"/>
  <c r="P216" i="20"/>
  <c r="B17" i="22" s="1"/>
  <c r="B18" i="22" s="1"/>
  <c r="B19" i="22" s="1"/>
  <c r="B15" i="22" s="1"/>
  <c r="B16" i="22" s="1"/>
  <c r="M17" i="25" s="1"/>
  <c r="O216" i="20"/>
  <c r="AD184" i="23"/>
  <c r="R183" i="23"/>
  <c r="AL421" i="6"/>
  <c r="AL417" i="6"/>
  <c r="AD181" i="23"/>
  <c r="R184" i="23"/>
  <c r="AL423" i="6"/>
  <c r="AL419" i="6"/>
  <c r="AJ184" i="23"/>
  <c r="R181" i="23"/>
  <c r="AK128" i="23"/>
  <c r="AK132" i="23" s="1"/>
  <c r="AL130" i="23" s="1"/>
  <c r="AL420" i="6"/>
  <c r="J71" i="23"/>
  <c r="J24" i="23"/>
  <c r="J72" i="23"/>
  <c r="J74" i="23"/>
  <c r="V123" i="23"/>
  <c r="V126" i="23"/>
  <c r="V124" i="23"/>
  <c r="V125" i="23"/>
  <c r="AK163" i="23"/>
  <c r="AL162" i="23" s="1"/>
  <c r="J152" i="23"/>
  <c r="J156" i="23"/>
  <c r="J160" i="23"/>
  <c r="M20" i="26"/>
  <c r="M18" i="26" s="1"/>
  <c r="E36" i="25"/>
  <c r="AL49" i="6"/>
  <c r="AL63" i="6"/>
  <c r="AL53" i="6"/>
  <c r="R124" i="23"/>
  <c r="R125" i="23"/>
  <c r="R123" i="23"/>
  <c r="R126" i="23"/>
  <c r="AJ19" i="23"/>
  <c r="AJ32" i="23"/>
  <c r="AH125" i="23"/>
  <c r="AH124" i="23"/>
  <c r="AH126" i="23"/>
  <c r="AH123" i="23"/>
  <c r="M184" i="23"/>
  <c r="N184" i="23" s="1"/>
  <c r="AL181" i="6"/>
  <c r="J153" i="23"/>
  <c r="J157" i="23"/>
  <c r="AL55" i="6"/>
  <c r="AL60" i="6"/>
  <c r="AL54" i="6"/>
  <c r="R17" i="23"/>
  <c r="Q19" i="23"/>
  <c r="Q32" i="23"/>
  <c r="E29" i="25"/>
  <c r="E30" i="25" s="1"/>
  <c r="E153" i="25"/>
  <c r="Z126" i="23"/>
  <c r="Z124" i="23"/>
  <c r="Z123" i="23"/>
  <c r="Z125" i="23"/>
  <c r="AC32" i="23"/>
  <c r="AC19" i="23"/>
  <c r="AD17" i="23"/>
  <c r="AL132" i="23"/>
  <c r="Z132" i="23"/>
  <c r="Z130" i="23"/>
  <c r="Z128" i="23"/>
  <c r="Z131" i="23"/>
  <c r="Z129" i="23"/>
  <c r="AL327" i="6"/>
  <c r="AL328" i="6"/>
  <c r="AL326" i="6"/>
  <c r="AL325" i="6"/>
  <c r="AL324" i="6"/>
  <c r="AL323" i="6"/>
  <c r="J143" i="23"/>
  <c r="J142" i="23"/>
  <c r="J141" i="23"/>
  <c r="J140" i="23"/>
  <c r="J144" i="23"/>
  <c r="Z17" i="23"/>
  <c r="Y32" i="23"/>
  <c r="Y19" i="23"/>
  <c r="E112" i="25"/>
  <c r="E113" i="25" s="1"/>
  <c r="E154" i="25"/>
  <c r="E82" i="25"/>
  <c r="E38" i="25"/>
  <c r="E39" i="25" s="1"/>
  <c r="AL279" i="6"/>
  <c r="AL267" i="6"/>
  <c r="AL278" i="6"/>
  <c r="AL275" i="6"/>
  <c r="AL273" i="6"/>
  <c r="AL274" i="6"/>
  <c r="AL269" i="6"/>
  <c r="AL276" i="6"/>
  <c r="AL268" i="6"/>
  <c r="AL270" i="6"/>
  <c r="AL266" i="6"/>
  <c r="AL284" i="6"/>
  <c r="AL271" i="6"/>
  <c r="AL272" i="6"/>
  <c r="AL277" i="6"/>
  <c r="E100" i="25"/>
  <c r="AL26" i="23"/>
  <c r="AL183" i="6"/>
  <c r="AL182" i="6"/>
  <c r="AL374" i="6"/>
  <c r="AL377" i="6"/>
  <c r="AL383" i="6"/>
  <c r="AL380" i="6"/>
  <c r="AL381" i="6"/>
  <c r="AL378" i="6"/>
  <c r="AL376" i="6"/>
  <c r="AL373" i="6"/>
  <c r="AL379" i="6"/>
  <c r="AL375" i="6"/>
  <c r="AL382" i="6"/>
  <c r="AL384" i="6"/>
  <c r="J68" i="23"/>
  <c r="J67" i="23"/>
  <c r="J66" i="23"/>
  <c r="J65" i="23"/>
  <c r="J64" i="23"/>
  <c r="J63" i="23"/>
  <c r="J62" i="23"/>
  <c r="J61" i="23"/>
  <c r="J60" i="23"/>
  <c r="J59" i="23"/>
  <c r="J58" i="23"/>
  <c r="J57" i="23"/>
  <c r="J56" i="23"/>
  <c r="J55" i="23"/>
  <c r="J54" i="23"/>
  <c r="AL253" i="6"/>
  <c r="AL248" i="6"/>
  <c r="AL249" i="6"/>
  <c r="AL255" i="6"/>
  <c r="AL254" i="6"/>
  <c r="G152" i="25"/>
  <c r="F153" i="25"/>
  <c r="F96" i="25"/>
  <c r="F94" i="25"/>
  <c r="F29" i="25"/>
  <c r="F30" i="25" s="1"/>
  <c r="G27" i="25"/>
  <c r="M32" i="23"/>
  <c r="N17" i="23"/>
  <c r="M19" i="23"/>
  <c r="AL185" i="6"/>
  <c r="AK126" i="23"/>
  <c r="AK134" i="23" s="1"/>
  <c r="AK136" i="23" s="1"/>
  <c r="AG19" i="23"/>
  <c r="AG32" i="23"/>
  <c r="AK258" i="6"/>
  <c r="AK257" i="6"/>
  <c r="AL211" i="6"/>
  <c r="AL213" i="6"/>
  <c r="AL206" i="6"/>
  <c r="AL207" i="6"/>
  <c r="AL212" i="6"/>
  <c r="AL71" i="23"/>
  <c r="J81" i="23"/>
  <c r="J79" i="23"/>
  <c r="J77" i="23"/>
  <c r="J80" i="23"/>
  <c r="J78" i="23"/>
  <c r="J76" i="23"/>
  <c r="AL427" i="6"/>
  <c r="AL425" i="6"/>
  <c r="AL429" i="6"/>
  <c r="AL430" i="6"/>
  <c r="AL426" i="6"/>
  <c r="AL428" i="6"/>
  <c r="J126" i="23"/>
  <c r="J124" i="23"/>
  <c r="J125" i="23"/>
  <c r="J123" i="23"/>
  <c r="AH132" i="23"/>
  <c r="AH131" i="23"/>
  <c r="AH130" i="23"/>
  <c r="AH129" i="23"/>
  <c r="AH128" i="23"/>
  <c r="N150" i="23"/>
  <c r="N149" i="23"/>
  <c r="N148" i="23"/>
  <c r="N147" i="23"/>
  <c r="N146" i="23"/>
  <c r="R132" i="23"/>
  <c r="R131" i="23"/>
  <c r="R130" i="23"/>
  <c r="R129" i="23"/>
  <c r="R128" i="23"/>
  <c r="V132" i="23"/>
  <c r="V131" i="23"/>
  <c r="V130" i="23"/>
  <c r="V129" i="23"/>
  <c r="V128" i="23"/>
  <c r="AD131" i="23"/>
  <c r="AD130" i="23"/>
  <c r="AD129" i="23"/>
  <c r="AD128" i="23"/>
  <c r="AD132" i="23"/>
  <c r="AI19" i="23"/>
  <c r="AK17" i="23"/>
  <c r="AI32" i="23"/>
  <c r="AL290" i="6"/>
  <c r="AL287" i="6"/>
  <c r="AL291" i="6"/>
  <c r="AL288" i="6"/>
  <c r="AL292" i="6"/>
  <c r="AL289" i="6"/>
  <c r="AL286" i="6"/>
  <c r="H130" i="25"/>
  <c r="H132" i="25"/>
  <c r="H131" i="25"/>
  <c r="H129" i="25"/>
  <c r="G133" i="25"/>
  <c r="G111" i="25"/>
  <c r="H114" i="25" s="1"/>
  <c r="J168" i="23"/>
  <c r="J166" i="23"/>
  <c r="J167" i="23"/>
  <c r="J165" i="23"/>
  <c r="V180" i="25"/>
  <c r="W180" i="25" s="1"/>
  <c r="U180" i="25"/>
  <c r="F36" i="25"/>
  <c r="G36" i="25" s="1"/>
  <c r="AJ132" i="23"/>
  <c r="AL173" i="6"/>
  <c r="AL174" i="6"/>
  <c r="AL175" i="6"/>
  <c r="AL177" i="6"/>
  <c r="AL178" i="6"/>
  <c r="AL176" i="6"/>
  <c r="AL184" i="6"/>
  <c r="J17" i="23"/>
  <c r="I32" i="23"/>
  <c r="I19" i="23"/>
  <c r="U32" i="23"/>
  <c r="U19" i="23"/>
  <c r="V17" i="23"/>
  <c r="AL343" i="6"/>
  <c r="AL348" i="6"/>
  <c r="AL347" i="6"/>
  <c r="AL344" i="6"/>
  <c r="AL345" i="6"/>
  <c r="AL346" i="6"/>
  <c r="AL350" i="6"/>
  <c r="AL351" i="6"/>
  <c r="AL349" i="6"/>
  <c r="AL262" i="6"/>
  <c r="AL264" i="6"/>
  <c r="AL263" i="6"/>
  <c r="AL265" i="6"/>
  <c r="V179" i="25"/>
  <c r="U179" i="25"/>
  <c r="AK184" i="23"/>
  <c r="AL184" i="23" s="1"/>
  <c r="N389" i="20"/>
  <c r="P390" i="20"/>
  <c r="U174" i="25" s="1"/>
  <c r="U183" i="25" s="1"/>
  <c r="AH59" i="23" l="1"/>
  <c r="AH57" i="23"/>
  <c r="AH55" i="23"/>
  <c r="AH58" i="23"/>
  <c r="AH54" i="23"/>
  <c r="AL36" i="23"/>
  <c r="AH56" i="23"/>
  <c r="AH64" i="23"/>
  <c r="AH60" i="23"/>
  <c r="V57" i="23"/>
  <c r="V58" i="23"/>
  <c r="AH66" i="23"/>
  <c r="AH62" i="23"/>
  <c r="V67" i="23"/>
  <c r="AL56" i="7"/>
  <c r="AL72" i="23"/>
  <c r="AK103" i="23"/>
  <c r="AL73" i="23"/>
  <c r="AL74" i="23"/>
  <c r="AL49" i="23"/>
  <c r="V54" i="23"/>
  <c r="V64" i="23"/>
  <c r="AL60" i="7"/>
  <c r="AL62" i="7"/>
  <c r="AL63" i="7"/>
  <c r="V59" i="23"/>
  <c r="V65" i="23"/>
  <c r="AL35" i="23"/>
  <c r="V68" i="23"/>
  <c r="V60" i="23"/>
  <c r="AL49" i="7"/>
  <c r="AL59" i="7"/>
  <c r="V55" i="23"/>
  <c r="AI68" i="23"/>
  <c r="AK56" i="23"/>
  <c r="AK68" i="23" s="1"/>
  <c r="AL64" i="23" s="1"/>
  <c r="AL50" i="7"/>
  <c r="AL57" i="7"/>
  <c r="AL52" i="7"/>
  <c r="AL54" i="7"/>
  <c r="AL51" i="7"/>
  <c r="V56" i="23"/>
  <c r="V63" i="23"/>
  <c r="V61" i="23"/>
  <c r="V66" i="23"/>
  <c r="AL53" i="7"/>
  <c r="AL58" i="7"/>
  <c r="G57" i="25"/>
  <c r="H57" i="25" s="1"/>
  <c r="AK104" i="23"/>
  <c r="AL50" i="23"/>
  <c r="AL52" i="23"/>
  <c r="AL146" i="23"/>
  <c r="AL147" i="23"/>
  <c r="AL76" i="23"/>
  <c r="AL25" i="23"/>
  <c r="AN132" i="23"/>
  <c r="AL80" i="23"/>
  <c r="AL128" i="23"/>
  <c r="AL131" i="23"/>
  <c r="AL153" i="23"/>
  <c r="AL157" i="23"/>
  <c r="AK165" i="7"/>
  <c r="AL140" i="23"/>
  <c r="AK147" i="7"/>
  <c r="AL135" i="7" s="1"/>
  <c r="AL165" i="23"/>
  <c r="AL148" i="23"/>
  <c r="AL150" i="23"/>
  <c r="AL79" i="23"/>
  <c r="AL161" i="23"/>
  <c r="AL77" i="23"/>
  <c r="AL81" i="23"/>
  <c r="AL159" i="23"/>
  <c r="AL142" i="23"/>
  <c r="AL143" i="23"/>
  <c r="AL144" i="23"/>
  <c r="AL129" i="23"/>
  <c r="N183" i="23"/>
  <c r="AL166" i="23"/>
  <c r="AL167" i="23"/>
  <c r="AL155" i="23"/>
  <c r="AL163" i="23"/>
  <c r="M89" i="25"/>
  <c r="L89" i="25" s="1"/>
  <c r="Y89" i="25" s="1"/>
  <c r="M104" i="25"/>
  <c r="L104" i="25" s="1"/>
  <c r="Y104" i="25" s="1"/>
  <c r="AL152" i="23"/>
  <c r="AL156" i="23"/>
  <c r="AL160" i="23"/>
  <c r="AL154" i="23"/>
  <c r="AL158" i="23"/>
  <c r="R19" i="23"/>
  <c r="Q20" i="23"/>
  <c r="F24" i="25"/>
  <c r="F25" i="25" s="1"/>
  <c r="AJ20" i="23"/>
  <c r="N182" i="23"/>
  <c r="N181" i="23"/>
  <c r="AC20" i="23"/>
  <c r="AD19" i="23"/>
  <c r="G82" i="25"/>
  <c r="G83" i="25" s="1"/>
  <c r="H98" i="25"/>
  <c r="G38" i="25"/>
  <c r="G100" i="25"/>
  <c r="G101" i="25" s="1"/>
  <c r="U20" i="23"/>
  <c r="V19" i="23"/>
  <c r="E117" i="25"/>
  <c r="E155" i="25"/>
  <c r="Y20" i="23"/>
  <c r="Z19" i="23"/>
  <c r="E24" i="25"/>
  <c r="AI20" i="23"/>
  <c r="I20" i="23"/>
  <c r="J19" i="23"/>
  <c r="F112" i="25"/>
  <c r="F113" i="25" s="1"/>
  <c r="F117" i="25" s="1"/>
  <c r="F38" i="25"/>
  <c r="F39" i="25" s="1"/>
  <c r="F154" i="25"/>
  <c r="G154" i="25" s="1"/>
  <c r="F82" i="25"/>
  <c r="F100" i="25"/>
  <c r="AL17" i="23"/>
  <c r="AK32" i="23"/>
  <c r="AK19" i="23"/>
  <c r="AN126" i="23"/>
  <c r="AL125" i="23"/>
  <c r="AL124" i="23"/>
  <c r="AL123" i="23"/>
  <c r="AL126" i="23"/>
  <c r="M20" i="23"/>
  <c r="N19" i="23"/>
  <c r="G29" i="25"/>
  <c r="G96" i="25"/>
  <c r="G94" i="25"/>
  <c r="V82" i="25"/>
  <c r="V83" i="25" s="1"/>
  <c r="V85" i="25" s="1"/>
  <c r="V87" i="25" s="1"/>
  <c r="V89" i="25" s="1"/>
  <c r="G153" i="25"/>
  <c r="V181" i="25"/>
  <c r="W179" i="25"/>
  <c r="W181" i="25" s="1"/>
  <c r="W182" i="25" s="1"/>
  <c r="U182" i="25" s="1"/>
  <c r="M45" i="26" s="1"/>
  <c r="AL183" i="23"/>
  <c r="AL182" i="23"/>
  <c r="AL181" i="23"/>
  <c r="M174" i="25"/>
  <c r="L174" i="25" s="1"/>
  <c r="M41" i="26"/>
  <c r="M183" i="25"/>
  <c r="L183" i="25" s="1"/>
  <c r="M46" i="26"/>
  <c r="AL59" i="23" l="1"/>
  <c r="AL56" i="23"/>
  <c r="AL140" i="7"/>
  <c r="AL61" i="23"/>
  <c r="AL57" i="23"/>
  <c r="AL63" i="23"/>
  <c r="AL58" i="23"/>
  <c r="AL54" i="23"/>
  <c r="AL60" i="23"/>
  <c r="AL67" i="23"/>
  <c r="AL65" i="23"/>
  <c r="AL68" i="23"/>
  <c r="AL55" i="23"/>
  <c r="AL62" i="23"/>
  <c r="AL66" i="23"/>
  <c r="AL165" i="7"/>
  <c r="AL153" i="7"/>
  <c r="AL154" i="7"/>
  <c r="AL157" i="7"/>
  <c r="AL155" i="7"/>
  <c r="AL152" i="7"/>
  <c r="AL156" i="7"/>
  <c r="AL158" i="7"/>
  <c r="AL133" i="7"/>
  <c r="AL139" i="7"/>
  <c r="AL138" i="7"/>
  <c r="AL141" i="7"/>
  <c r="AL134" i="7"/>
  <c r="AL137" i="7"/>
  <c r="AL132" i="7"/>
  <c r="AL147" i="7"/>
  <c r="AL136" i="7"/>
  <c r="AA104" i="25"/>
  <c r="Z104" i="25"/>
  <c r="AA89" i="25"/>
  <c r="Z89" i="25"/>
  <c r="F155" i="25"/>
  <c r="F156" i="25" s="1"/>
  <c r="H101" i="25"/>
  <c r="G103" i="25"/>
  <c r="G24" i="25"/>
  <c r="G25" i="25" s="1"/>
  <c r="E25" i="25"/>
  <c r="E156" i="25"/>
  <c r="H37" i="25"/>
  <c r="G39" i="25"/>
  <c r="H38" i="25"/>
  <c r="H36" i="25"/>
  <c r="H29" i="25"/>
  <c r="H27" i="25"/>
  <c r="G30" i="25"/>
  <c r="H28" i="25"/>
  <c r="AK20" i="23"/>
  <c r="AL19" i="23"/>
  <c r="G112" i="25"/>
  <c r="H115" i="25" s="1"/>
  <c r="G113" i="25"/>
  <c r="G85" i="25"/>
  <c r="G87" i="25" s="1"/>
  <c r="G89" i="25" s="1"/>
  <c r="X89" i="25" s="1"/>
  <c r="H83" i="25"/>
  <c r="U184" i="25"/>
  <c r="U185" i="25" s="1"/>
  <c r="M39" i="26"/>
  <c r="M43" i="26"/>
  <c r="U89" i="25" l="1"/>
  <c r="M25" i="26" s="1"/>
  <c r="G155" i="25"/>
  <c r="G156" i="25" s="1"/>
  <c r="H103" i="25"/>
  <c r="G104" i="25"/>
  <c r="X104" i="25" s="1"/>
  <c r="U104" i="25" s="1"/>
  <c r="M26" i="26" s="1"/>
  <c r="H116" i="25"/>
  <c r="G117" i="25"/>
  <c r="G119" i="25" s="1"/>
  <c r="M23" i="26" l="1"/>
</calcChain>
</file>

<file path=xl/sharedStrings.xml><?xml version="1.0" encoding="utf-8"?>
<sst xmlns="http://schemas.openxmlformats.org/spreadsheetml/2006/main" count="14998" uniqueCount="1846">
  <si>
    <t>SANITATION DEMAND AND SUPPLY STUDY</t>
  </si>
  <si>
    <t>DATA ENTRY BY</t>
  </si>
  <si>
    <t>DATE DATA ENTRIES</t>
  </si>
  <si>
    <t>GENERAL INFORMATION</t>
  </si>
  <si>
    <t>TOTALS</t>
  </si>
  <si>
    <t>IN %</t>
  </si>
  <si>
    <t>AVERAGE</t>
  </si>
  <si>
    <t>0.2.1</t>
  </si>
  <si>
    <t>0.2.2</t>
  </si>
  <si>
    <t>YES</t>
  </si>
  <si>
    <t xml:space="preserve">NO </t>
  </si>
  <si>
    <t>NO</t>
  </si>
  <si>
    <t>CONCLUSIONS</t>
  </si>
  <si>
    <t>A</t>
  </si>
  <si>
    <t xml:space="preserve">SOCIO ECONOMIC STATUS </t>
  </si>
  <si>
    <t>A.1</t>
  </si>
  <si>
    <t xml:space="preserve">What is the socio-economic status of this household? </t>
  </si>
  <si>
    <t>A.1.1</t>
  </si>
  <si>
    <t>A.1.2</t>
  </si>
  <si>
    <t>A.1.3</t>
  </si>
  <si>
    <t>B</t>
  </si>
  <si>
    <t>ENVIRONMENTAL FACTORS</t>
  </si>
  <si>
    <t>B.1</t>
  </si>
  <si>
    <t>WATER CONDITIONS</t>
  </si>
  <si>
    <t>B.1.1</t>
  </si>
  <si>
    <t>B.1.1.1</t>
  </si>
  <si>
    <t>Less than 15 minutes</t>
  </si>
  <si>
    <t>B.1.1.2</t>
  </si>
  <si>
    <t>In between 15 and 30 minutes</t>
  </si>
  <si>
    <t>B.1.1.3</t>
  </si>
  <si>
    <t>In between 30 and 60 minutes</t>
  </si>
  <si>
    <t>B.1.1.4</t>
  </si>
  <si>
    <t>More than 60 minutes</t>
  </si>
  <si>
    <t>B.1.2</t>
  </si>
  <si>
    <t>B.1.2.1</t>
  </si>
  <si>
    <t>NO, never</t>
  </si>
  <si>
    <t>B.1.2.2</t>
  </si>
  <si>
    <t>YES, maximum one (&lt;1) week per year</t>
  </si>
  <si>
    <t>B.1.2.3</t>
  </si>
  <si>
    <t>YES, one to four (1-4) weeks per year</t>
  </si>
  <si>
    <t>B.1.2.4</t>
  </si>
  <si>
    <t>YES, four to eight (4-8) weeks per year</t>
  </si>
  <si>
    <t>YES, more than eight (&gt;8) weeks per year</t>
  </si>
  <si>
    <t>B.2</t>
  </si>
  <si>
    <t>FLOOD CONDITIONS</t>
  </si>
  <si>
    <t>B.2.1</t>
  </si>
  <si>
    <t>Does your house or yard ever gets flooded?</t>
  </si>
  <si>
    <t>B.2.1.1</t>
  </si>
  <si>
    <t>B.2.1.2</t>
  </si>
  <si>
    <t>YES, once or several times every 2 to 3 years</t>
  </si>
  <si>
    <t>B.2.1.3</t>
  </si>
  <si>
    <t xml:space="preserve">YES, once a year </t>
  </si>
  <si>
    <t>B.2.1.4</t>
  </si>
  <si>
    <t>YES, several times each year</t>
  </si>
  <si>
    <t>B.2.2</t>
  </si>
  <si>
    <t>If your house or yard gets flooded, does your toilet gets flooded as well?</t>
  </si>
  <si>
    <t>B.2.2.1</t>
  </si>
  <si>
    <t>B.2.2.2</t>
  </si>
  <si>
    <t>YES, sometimes</t>
  </si>
  <si>
    <t>B.2.2.3</t>
  </si>
  <si>
    <t>YES, most of the times</t>
  </si>
  <si>
    <t>B.2.2.4</t>
  </si>
  <si>
    <t>YES, always</t>
  </si>
  <si>
    <t>B.3</t>
  </si>
  <si>
    <t>SOIL CONDITIONS</t>
  </si>
  <si>
    <t>B.3.1</t>
  </si>
  <si>
    <t>What type of soil is found around the house?</t>
  </si>
  <si>
    <t>B.3.1.1</t>
  </si>
  <si>
    <t>Stable when digging a hole (hard, tightly packed or compacted soil)</t>
  </si>
  <si>
    <t>B.3.1.2</t>
  </si>
  <si>
    <t>Unstable when digging a hole (loose soil)</t>
  </si>
  <si>
    <t>B.3.1.3</t>
  </si>
  <si>
    <t>Difficult to dig (rocky or soil mixed with boulders)</t>
  </si>
  <si>
    <t>B.3.1.4</t>
  </si>
  <si>
    <t>B.4</t>
  </si>
  <si>
    <t>WATER SCARCITY</t>
  </si>
  <si>
    <t>Under normal circumstances (30-60 min)</t>
  </si>
  <si>
    <t>Under normal circumstances (&gt; 60 min)</t>
  </si>
  <si>
    <t>Periodic water scarcity (4-8 weeks per year)</t>
  </si>
  <si>
    <t>Periodic water scarcity (&gt; 8 weeks per year)</t>
  </si>
  <si>
    <t>B.4.1</t>
  </si>
  <si>
    <t># of HH with water availability constraints</t>
  </si>
  <si>
    <t>RISKS OF FLOODING</t>
  </si>
  <si>
    <t>Toilet floods sometimes</t>
  </si>
  <si>
    <t>Toilet floods most of the times</t>
  </si>
  <si>
    <t>Toilet floods always</t>
  </si>
  <si>
    <t>B.4.2</t>
  </si>
  <si>
    <t># of HH with risks of toilet flooding</t>
  </si>
  <si>
    <t>SOIL AND PIT LINING</t>
  </si>
  <si>
    <t>Unstable soils</t>
  </si>
  <si>
    <t>Stable soils</t>
  </si>
  <si>
    <t xml:space="preserve"># of HH that may not require full pit lining </t>
  </si>
  <si>
    <t>B.4.3</t>
  </si>
  <si>
    <t>B.4.4</t>
  </si>
  <si>
    <t># of HH with multiple conditions</t>
  </si>
  <si>
    <t># of HH with not one condition</t>
  </si>
  <si>
    <t># of HH with one condition</t>
  </si>
  <si>
    <t># of HH with two conditions</t>
  </si>
  <si>
    <t># of HH with three conditions</t>
  </si>
  <si>
    <t>B.4.5</t>
  </si>
  <si>
    <t>C</t>
  </si>
  <si>
    <t>EXISTENCE OF TOILET</t>
  </si>
  <si>
    <t>C.1</t>
  </si>
  <si>
    <t xml:space="preserve">What type of toilet does the household have? </t>
  </si>
  <si>
    <t>C.1.1</t>
  </si>
  <si>
    <t>C.1.2</t>
  </si>
  <si>
    <t>C.1.3</t>
  </si>
  <si>
    <t>C.1.4</t>
  </si>
  <si>
    <t>C.1.5</t>
  </si>
  <si>
    <t>Other type of toilet (specify below)</t>
  </si>
  <si>
    <t>C.2</t>
  </si>
  <si>
    <t xml:space="preserve">Is the toilet combined with a bathing facility? </t>
  </si>
  <si>
    <t>C.2.1</t>
  </si>
  <si>
    <t>NO, toilet only</t>
  </si>
  <si>
    <t>C.2.2</t>
  </si>
  <si>
    <t>YES, toilet is combined with bathing facility (bathroom)</t>
  </si>
  <si>
    <t>C.3</t>
  </si>
  <si>
    <t>C.3.1</t>
  </si>
  <si>
    <t>C.3.2</t>
  </si>
  <si>
    <t>C.3.3</t>
  </si>
  <si>
    <t>C.3.4</t>
  </si>
  <si>
    <t>C.3.5</t>
  </si>
  <si>
    <t>C.3.6</t>
  </si>
  <si>
    <t>C.4</t>
  </si>
  <si>
    <t xml:space="preserve">What is the volume of the pit or tank? </t>
  </si>
  <si>
    <t>C.4.1</t>
  </si>
  <si>
    <t>C.4.2</t>
  </si>
  <si>
    <t>5 rings</t>
  </si>
  <si>
    <t>Rectangular tank (septic tank)</t>
  </si>
  <si>
    <t>DON'T KNOW</t>
  </si>
  <si>
    <t>C.5</t>
  </si>
  <si>
    <t>C.5.1</t>
  </si>
  <si>
    <t>C.5.2</t>
  </si>
  <si>
    <t>C.5.3</t>
  </si>
  <si>
    <t>C.5.4</t>
  </si>
  <si>
    <t>C.5.5</t>
  </si>
  <si>
    <t>Combination of durable and non-durable materials</t>
  </si>
  <si>
    <t>C.6</t>
  </si>
  <si>
    <t xml:space="preserve">Quality of existing toilet </t>
  </si>
  <si>
    <t>C.6.1</t>
  </si>
  <si>
    <t>C.6.1.1</t>
  </si>
  <si>
    <t>C.6.2</t>
  </si>
  <si>
    <t>C.6.2.1</t>
  </si>
  <si>
    <t>C.6.2.2</t>
  </si>
  <si>
    <t>C.6.3</t>
  </si>
  <si>
    <t>C.7</t>
  </si>
  <si>
    <t>C.7.1</t>
  </si>
  <si>
    <t>C.7.2</t>
  </si>
  <si>
    <t>NO, the toilet is only used by members of this household</t>
  </si>
  <si>
    <t>YES, the toilet is also used by other people</t>
  </si>
  <si>
    <t>D</t>
  </si>
  <si>
    <t>MONEY SPENT ON EXISTING TOILET</t>
  </si>
  <si>
    <t>D.1</t>
  </si>
  <si>
    <t>D.1.1</t>
  </si>
  <si>
    <t>D.1.2</t>
  </si>
  <si>
    <t>D.1.3</t>
  </si>
  <si>
    <t>D.1.4</t>
  </si>
  <si>
    <t>D.1.5</t>
  </si>
  <si>
    <t>D.1.6</t>
  </si>
  <si>
    <t>D.1.7</t>
  </si>
  <si>
    <t>D.2</t>
  </si>
  <si>
    <t>D.2.1</t>
  </si>
  <si>
    <t>Others paid for it</t>
  </si>
  <si>
    <t>D.2.2</t>
  </si>
  <si>
    <t>D.2.3</t>
  </si>
  <si>
    <t>By paying cash</t>
  </si>
  <si>
    <t>D.2.4</t>
  </si>
  <si>
    <t>By paying in instalments</t>
  </si>
  <si>
    <t>D.2.5</t>
  </si>
  <si>
    <t>D.2.6</t>
  </si>
  <si>
    <t>D.2.7</t>
  </si>
  <si>
    <t>D.3</t>
  </si>
  <si>
    <t>D.3.1</t>
  </si>
  <si>
    <t>NOTHING</t>
  </si>
  <si>
    <t>D.3.2</t>
  </si>
  <si>
    <t>D.3.3</t>
  </si>
  <si>
    <t>D.3.4</t>
  </si>
  <si>
    <t>D.3.5</t>
  </si>
  <si>
    <t>D.3.6</t>
  </si>
  <si>
    <t>D.3.7</t>
  </si>
  <si>
    <t>D.4</t>
  </si>
  <si>
    <t>MIN</t>
  </si>
  <si>
    <t>MAX</t>
  </si>
  <si>
    <t>E</t>
  </si>
  <si>
    <t>SATISFACTION WITH EXISTING TOILET FACILITIES</t>
  </si>
  <si>
    <t>E.1</t>
  </si>
  <si>
    <t>Are you satisfied with your existing toilet?</t>
  </si>
  <si>
    <t>E.1.1</t>
  </si>
  <si>
    <t>E.1.2</t>
  </si>
  <si>
    <t>YES, I am satisfied</t>
  </si>
  <si>
    <t>E.1.3</t>
  </si>
  <si>
    <t>E.1.3.1</t>
  </si>
  <si>
    <t>E.1.3.2</t>
  </si>
  <si>
    <t>E.1.3.3</t>
  </si>
  <si>
    <t>E.1.3.4</t>
  </si>
  <si>
    <t>E.1.3.5</t>
  </si>
  <si>
    <t>E.1.3.6</t>
  </si>
  <si>
    <t>E.1.3.7</t>
  </si>
  <si>
    <t>Superstructure is not durable</t>
  </si>
  <si>
    <t>E.1.3.8</t>
  </si>
  <si>
    <t>E.1.3.9</t>
  </si>
  <si>
    <t>E.1.3.10</t>
  </si>
  <si>
    <t>E.1.3.11</t>
  </si>
  <si>
    <t>E.1.3.12</t>
  </si>
  <si>
    <t>E.1.3.13</t>
  </si>
  <si>
    <t>Other reasons (specify below)</t>
  </si>
  <si>
    <t>E.2</t>
  </si>
  <si>
    <t>E.2.1</t>
  </si>
  <si>
    <t>E.2.2</t>
  </si>
  <si>
    <t>IMPROVE existing toilet</t>
  </si>
  <si>
    <t>E.2.3</t>
  </si>
  <si>
    <t>REPLACE existing toilet</t>
  </si>
  <si>
    <t>E.2.4</t>
  </si>
  <si>
    <t>BUILD AN ADDITIONAL TOILET</t>
  </si>
  <si>
    <t>E.2.5</t>
  </si>
  <si>
    <t>E.3</t>
  </si>
  <si>
    <t>IMPROVING EXISTING TOILET</t>
  </si>
  <si>
    <t>E.3.1</t>
  </si>
  <si>
    <t xml:space="preserve">What do you intend to IMPROVE? </t>
  </si>
  <si>
    <t>E.3.1.1</t>
  </si>
  <si>
    <t>E.3.1.2</t>
  </si>
  <si>
    <t>The slab (user interface)</t>
  </si>
  <si>
    <t>E.3.1.3</t>
  </si>
  <si>
    <t>The water seal or syphon</t>
  </si>
  <si>
    <t>E.3.1.4</t>
  </si>
  <si>
    <t>The superstructure</t>
  </si>
  <si>
    <t>E.3.1.5</t>
  </si>
  <si>
    <t>Incorporate or attach a bathroom</t>
  </si>
  <si>
    <t>E.3.1.6</t>
  </si>
  <si>
    <t>Other improvements (specify below)</t>
  </si>
  <si>
    <t>E.3.2</t>
  </si>
  <si>
    <t>How much money do you intend to spend on making IMPROVEMENTS to your existing toilet?</t>
  </si>
  <si>
    <t>E.3.2.1</t>
  </si>
  <si>
    <t>E.3.2.2</t>
  </si>
  <si>
    <t>E.3.2.3</t>
  </si>
  <si>
    <t>E.3.2.4</t>
  </si>
  <si>
    <t>E.3.2.5</t>
  </si>
  <si>
    <t>E.3.2.6</t>
  </si>
  <si>
    <t>E.3.3</t>
  </si>
  <si>
    <t>E.3.3.1</t>
  </si>
  <si>
    <t>E.3.3.2</t>
  </si>
  <si>
    <t>E.3.3.3</t>
  </si>
  <si>
    <t>E.3.3.4</t>
  </si>
  <si>
    <t>E.3.3.5</t>
  </si>
  <si>
    <t>E.3.3.6</t>
  </si>
  <si>
    <t>E.4</t>
  </si>
  <si>
    <t>REPLACING EXISTING TOILET or BUILDING AN ADDITIONAL TOILET</t>
  </si>
  <si>
    <t>E.4.1</t>
  </si>
  <si>
    <t>What type of toilet do you intend to construct?</t>
  </si>
  <si>
    <t>E.4.1.1</t>
  </si>
  <si>
    <t>E.4.1.2</t>
  </si>
  <si>
    <t>E.4.1.3</t>
  </si>
  <si>
    <t>E.4.1.4</t>
  </si>
  <si>
    <t>E.4.1.5</t>
  </si>
  <si>
    <t>E.4.2</t>
  </si>
  <si>
    <t>Do you intend to combine your new toilet with a bathing facility?</t>
  </si>
  <si>
    <t>E.4.2.1</t>
  </si>
  <si>
    <t>E.4.2.2</t>
  </si>
  <si>
    <t>YES, toilet combined with bathing facility (bathroom)</t>
  </si>
  <si>
    <t>E.4.2.3</t>
  </si>
  <si>
    <t>E.4.3</t>
  </si>
  <si>
    <t>E.4.3.1</t>
  </si>
  <si>
    <t>E.4.3.2</t>
  </si>
  <si>
    <t>E.4.3.3</t>
  </si>
  <si>
    <t>E.4.3.4</t>
  </si>
  <si>
    <t>E.4.3.5</t>
  </si>
  <si>
    <t>E.4.3.6</t>
  </si>
  <si>
    <t>E.4.4</t>
  </si>
  <si>
    <t>E.4.4.1</t>
  </si>
  <si>
    <t>E.4.4.2</t>
  </si>
  <si>
    <t>E.4.4.3</t>
  </si>
  <si>
    <t>E.4.4.4</t>
  </si>
  <si>
    <t>E.4.4.5</t>
  </si>
  <si>
    <t>E.4.4.6</t>
  </si>
  <si>
    <t>E.4.4.7</t>
  </si>
  <si>
    <t>How much money do you intend to spend on REPLACING your existing toilet or constructing an AN ADDITIONAL TOILET?</t>
  </si>
  <si>
    <t>If you intend to spend money on REPLACING your existing toilet or constructing a ADDITIONAL TOILET, how would you get the money to pay for it? (Max 2 options!)</t>
  </si>
  <si>
    <t>E.5.1</t>
  </si>
  <si>
    <t># of HH that are satisfied with their existing toilet</t>
  </si>
  <si>
    <t>E.5.2</t>
  </si>
  <si>
    <t>Plans for the coming two years</t>
  </si>
  <si>
    <t># of HH considering to do NOTHING</t>
  </si>
  <si>
    <t xml:space="preserve"># of HH considering to IMPROVE their existing toilet </t>
  </si>
  <si>
    <t xml:space="preserve"># of HH considering to REPLACE their existing toilet </t>
  </si>
  <si>
    <t xml:space="preserve"># of HH considering to construct an ADDITIONAL toilet </t>
  </si>
  <si>
    <t xml:space="preserve"># of HH with no plans </t>
  </si>
  <si>
    <t xml:space="preserve"># of HH with plans </t>
  </si>
  <si>
    <t>F</t>
  </si>
  <si>
    <t>KNOWLEDGE ABOUT SANITATION TECHNOLOGIES</t>
  </si>
  <si>
    <t>F.1</t>
  </si>
  <si>
    <t>Do you have enough INFORMATION to decide which type of toilet is best for you? (considering water availability, risk of flooding, soil types, etc.)</t>
  </si>
  <si>
    <t>F.1.1</t>
  </si>
  <si>
    <t>DON'T KNOW / NOT SURE</t>
  </si>
  <si>
    <t>F.1.2</t>
  </si>
  <si>
    <t>F.1.3</t>
  </si>
  <si>
    <t>A LITTLE BIT</t>
  </si>
  <si>
    <t>F.1.4</t>
  </si>
  <si>
    <t>F.2</t>
  </si>
  <si>
    <t>F.2.1</t>
  </si>
  <si>
    <t>F.2.2</t>
  </si>
  <si>
    <t>From myself (I know)</t>
  </si>
  <si>
    <t>F.2.3</t>
  </si>
  <si>
    <t>From relatives / neighbours</t>
  </si>
  <si>
    <t>F.2.4</t>
  </si>
  <si>
    <t xml:space="preserve">From hardware store </t>
  </si>
  <si>
    <t>Other sources (specify below)</t>
  </si>
  <si>
    <t>F.3</t>
  </si>
  <si>
    <t>Do you know where to buy toilet materials?</t>
  </si>
  <si>
    <t>F.3.1</t>
  </si>
  <si>
    <t>F.3.2</t>
  </si>
  <si>
    <t>F.4</t>
  </si>
  <si>
    <t>F.4.1</t>
  </si>
  <si>
    <t>F.4.2</t>
  </si>
  <si>
    <t>F.5</t>
  </si>
  <si>
    <t>F.5.1</t>
  </si>
  <si>
    <t>Knowledge or information about sanitation technologies</t>
  </si>
  <si>
    <t>HH has some information to decide</t>
  </si>
  <si>
    <t>HH has enough information to decide</t>
  </si>
  <si>
    <t>HH knows who to contact</t>
  </si>
  <si>
    <t>HH knows where to buy sanitation products</t>
  </si>
  <si>
    <t>Totals</t>
  </si>
  <si>
    <t>Maximum possible score</t>
  </si>
  <si>
    <t>Overall score on knowledge</t>
  </si>
  <si>
    <t>Score</t>
  </si>
  <si>
    <t># of HH with sufficient (access to) knowledge</t>
  </si>
  <si>
    <t># of HH with some (access to) knowledge</t>
  </si>
  <si>
    <t># of HH with no or insufficient (access to) knowledge</t>
  </si>
  <si>
    <t>F.5.2</t>
  </si>
  <si>
    <t>F.5.3</t>
  </si>
  <si>
    <t>G</t>
  </si>
  <si>
    <t>PIT EMPTYING</t>
  </si>
  <si>
    <t>G.1</t>
  </si>
  <si>
    <t>Has your toilet ever been emptied?</t>
  </si>
  <si>
    <t>G.1.1</t>
  </si>
  <si>
    <t>G.1.2</t>
  </si>
  <si>
    <t>NO, NEVER</t>
  </si>
  <si>
    <t>G.1.3</t>
  </si>
  <si>
    <t>G.2</t>
  </si>
  <si>
    <t>G.3</t>
  </si>
  <si>
    <t>G.3.1</t>
  </si>
  <si>
    <t>G.3.2</t>
  </si>
  <si>
    <t>G.3.3</t>
  </si>
  <si>
    <t>G.3.4</t>
  </si>
  <si>
    <t>G.4</t>
  </si>
  <si>
    <t>G.4.1</t>
  </si>
  <si>
    <t>G.4.2</t>
  </si>
  <si>
    <t>G.4.3</t>
  </si>
  <si>
    <t>G.4.4</t>
  </si>
  <si>
    <t>G.4.5</t>
  </si>
  <si>
    <t>G.4.6</t>
  </si>
  <si>
    <t>G.5</t>
  </si>
  <si>
    <t>G.5.1</t>
  </si>
  <si>
    <t>G.5.1.1</t>
  </si>
  <si>
    <t>G.5.1.2</t>
  </si>
  <si>
    <t>G.5.1.3</t>
  </si>
  <si>
    <t>G.5.1.4</t>
  </si>
  <si>
    <t>G.5.1.5</t>
  </si>
  <si>
    <t>Dumped on a drying bed for later use</t>
  </si>
  <si>
    <t>Is there a door?</t>
  </si>
  <si>
    <t>Does the toilet pan or slab allow flies to go in and out of the pit?</t>
  </si>
  <si>
    <t>Who emptied the pit?</t>
  </si>
  <si>
    <t>When was it emptied?</t>
  </si>
  <si>
    <t>What was it emptied into?</t>
  </si>
  <si>
    <t>SNV CAMBODIA WASH PROGRAMME</t>
  </si>
  <si>
    <t>VILLAGE #1</t>
  </si>
  <si>
    <t>VILLAGE #2</t>
  </si>
  <si>
    <t>VILLAGE #3</t>
  </si>
  <si>
    <t>Gender of respondent</t>
  </si>
  <si>
    <t># of male respondents</t>
  </si>
  <si>
    <t># of female respondents</t>
  </si>
  <si>
    <t>Respondent  is head of the household</t>
  </si>
  <si>
    <t>0.1.1</t>
  </si>
  <si>
    <t>0.1.2</t>
  </si>
  <si>
    <t>Main source of drinking water</t>
  </si>
  <si>
    <t>B.1.1.5</t>
  </si>
  <si>
    <t>B.1.1.6</t>
  </si>
  <si>
    <t>B.1.1.7</t>
  </si>
  <si>
    <t>B.1.1.8</t>
  </si>
  <si>
    <t>B.1.1.9</t>
  </si>
  <si>
    <t>B.1.1.10</t>
  </si>
  <si>
    <t>B.1.1.11</t>
  </si>
  <si>
    <t>B.1.1.12</t>
  </si>
  <si>
    <t>B.1.1.13</t>
  </si>
  <si>
    <t>B.1.1.14</t>
  </si>
  <si>
    <t>Piped into dwelling</t>
  </si>
  <si>
    <t>Piped into Yard/Plot</t>
  </si>
  <si>
    <t>Public tap/standpipe</t>
  </si>
  <si>
    <t>Protected spring</t>
  </si>
  <si>
    <t>Unprotected spring</t>
  </si>
  <si>
    <t>Tanker truck</t>
  </si>
  <si>
    <t>Cart with small tank</t>
  </si>
  <si>
    <t>Bottled water</t>
  </si>
  <si>
    <t>Other</t>
  </si>
  <si>
    <t>B.1.3</t>
  </si>
  <si>
    <t>B.1.3.1</t>
  </si>
  <si>
    <t>B.1.3.2</t>
  </si>
  <si>
    <t>B.1.3.3</t>
  </si>
  <si>
    <t>B.1.3.4</t>
  </si>
  <si>
    <t>B.1.3.5</t>
  </si>
  <si>
    <t>C.1.6</t>
  </si>
  <si>
    <t>C.1.7</t>
  </si>
  <si>
    <t>C.1.8</t>
  </si>
  <si>
    <t>C.1.9</t>
  </si>
  <si>
    <t>C.1.10</t>
  </si>
  <si>
    <t>Flush/pour flush toilet</t>
  </si>
  <si>
    <t>Ventilated improved pit latrine (VIP)</t>
  </si>
  <si>
    <t>Pit latrine with slab</t>
  </si>
  <si>
    <t>Pit latrine without slab</t>
  </si>
  <si>
    <t>Composting toilet</t>
  </si>
  <si>
    <t>Urine diversion toilet</t>
  </si>
  <si>
    <t>Bucket</t>
  </si>
  <si>
    <t>Hanging toilet or hanging latrine</t>
  </si>
  <si>
    <t>Toilet connected to biodigester</t>
  </si>
  <si>
    <t>What are the most common type of toilet sub-structures?</t>
  </si>
  <si>
    <t xml:space="preserve">2 rings </t>
  </si>
  <si>
    <t xml:space="preserve">3 rings </t>
  </si>
  <si>
    <t xml:space="preserve">4 rings </t>
  </si>
  <si>
    <t>6 rings</t>
  </si>
  <si>
    <t>More than 6 rings</t>
  </si>
  <si>
    <t xml:space="preserve">Information on the toilet's superstructure </t>
  </si>
  <si>
    <t>Does the toilet provide privacy?</t>
  </si>
  <si>
    <t>Superstructure is build of what kind of materials?</t>
  </si>
  <si>
    <t>Non-durable materials (bamboo, plastic sheeting, etc.)</t>
  </si>
  <si>
    <t>Durable materials (e.g. bricks, metal sheets, concrete, etec.)</t>
  </si>
  <si>
    <t>Is the toilet free from faecal smears on pan, wall and floor?</t>
  </si>
  <si>
    <t>Is the nearest water source less than 10 m away from the toilet?</t>
  </si>
  <si>
    <t>Is the toilet also used by other people on a regular basis (e.g. neighbours or relatives)?</t>
  </si>
  <si>
    <t>How long have you had this toilet?</t>
  </si>
  <si>
    <t>Up to one year</t>
  </si>
  <si>
    <t>From one to two years</t>
  </si>
  <si>
    <t>More than two and up to five years</t>
  </si>
  <si>
    <t>More than five and up to ten years</t>
  </si>
  <si>
    <t>More than ten years</t>
  </si>
  <si>
    <t>How much money did you spent on constructing this toilet?</t>
  </si>
  <si>
    <t>How much money was spent on materials?</t>
  </si>
  <si>
    <t>How much money was spent on labour?</t>
  </si>
  <si>
    <t xml:space="preserve">How did you pay for this toilet? </t>
  </si>
  <si>
    <t>By borrowing from relatives/friends</t>
  </si>
  <si>
    <t>By obtaining a loan</t>
  </si>
  <si>
    <t>By getting subsidy</t>
  </si>
  <si>
    <t>D.4.1</t>
  </si>
  <si>
    <t>D.4.2</t>
  </si>
  <si>
    <t>D.4.3</t>
  </si>
  <si>
    <t>D.4.4</t>
  </si>
  <si>
    <t>D.4.5</t>
  </si>
  <si>
    <t>D.4.6</t>
  </si>
  <si>
    <t>D.4.7</t>
  </si>
  <si>
    <t>D.5</t>
  </si>
  <si>
    <t>Did you carry out any repairs on your toilet?</t>
  </si>
  <si>
    <t>D.5.1</t>
  </si>
  <si>
    <t>D.5.2</t>
  </si>
  <si>
    <t>D.5.3</t>
  </si>
  <si>
    <t>D.6</t>
  </si>
  <si>
    <t>How much money did you spent on repairing, improving or upgrading this toilet?</t>
  </si>
  <si>
    <t>D.6.1</t>
  </si>
  <si>
    <t>D.6.2</t>
  </si>
  <si>
    <t>D.6.3</t>
  </si>
  <si>
    <t>Connected to the open environment (e.g. drain, water body, etc.)</t>
  </si>
  <si>
    <t>Connected to a rectangular tank (septic tank)</t>
  </si>
  <si>
    <t>Connected to a pit or tank located directly under the toilet</t>
  </si>
  <si>
    <t>Connected to a single off-set pit or tank located behind the toilet</t>
  </si>
  <si>
    <t>Connected to double (two separate) off-set pits located behind the toilet</t>
  </si>
  <si>
    <t>Toilet is used by too many people</t>
  </si>
  <si>
    <t>Toilet is difficult to access during the night or when it rains</t>
  </si>
  <si>
    <t>Toilet is located too far from the house</t>
  </si>
  <si>
    <t>Toilet is located too close to the house</t>
  </si>
  <si>
    <t xml:space="preserve">Toilet does not provide sufficient privacy </t>
  </si>
  <si>
    <t>Toilet is difficult to clean / maintain</t>
  </si>
  <si>
    <t>Toilet fills up too quickly</t>
  </si>
  <si>
    <t>Toilet makes the surroundings dirty / unhealthy</t>
  </si>
  <si>
    <t>Toilet looks too simple / too cheap</t>
  </si>
  <si>
    <t>Toilet is not convenient to use for children, elderly andor disabled</t>
  </si>
  <si>
    <t xml:space="preserve">SO SO / NO, I am not (fully) satisfied because: </t>
  </si>
  <si>
    <t>Do you have any plans concerning your existing toilet for the next two years?</t>
  </si>
  <si>
    <t>The sub-structure (pit or tank underground)</t>
  </si>
  <si>
    <t>E.3.3.7</t>
  </si>
  <si>
    <t>E.3.3.8</t>
  </si>
  <si>
    <t xml:space="preserve">If you intend to spend money on making IMPROVEMENTS to your toilet, how would you pay for it? </t>
  </si>
  <si>
    <t>Others will pay for it</t>
  </si>
  <si>
    <t>Non-flush or dry toilet (requires no water for flushing)</t>
  </si>
  <si>
    <t>Flush/pour-flush toilet (requires water for flushing )</t>
  </si>
  <si>
    <t>Composting toilet or urine diversion toilet</t>
  </si>
  <si>
    <t>E.4.4.8</t>
  </si>
  <si>
    <t>Other means</t>
  </si>
  <si>
    <t>Minimum amount mentioned</t>
  </si>
  <si>
    <t>Maximum amount mentioned</t>
  </si>
  <si>
    <t xml:space="preserve">How will you get the information to make the right decision? </t>
  </si>
  <si>
    <t>From skilled labour (mason or artisan)</t>
  </si>
  <si>
    <t>From toilet component producer</t>
  </si>
  <si>
    <t>F.3.3</t>
  </si>
  <si>
    <t>F.4.3</t>
  </si>
  <si>
    <t>Materials are delivered to my house</t>
  </si>
  <si>
    <t xml:space="preserve">How do you get the toilet construction materials  to your house? </t>
  </si>
  <si>
    <t xml:space="preserve">I need to collect the materials myself </t>
  </si>
  <si>
    <t>SO SO / NO, I am not (fully) satisfied</t>
  </si>
  <si>
    <t>Less than 12 month ago</t>
  </si>
  <si>
    <t>Between 1-3 years ago</t>
  </si>
  <si>
    <t>Between 3-5 years ago</t>
  </si>
  <si>
    <t>More than 5 years ago</t>
  </si>
  <si>
    <t>G.2.1</t>
  </si>
  <si>
    <t>G.2.2</t>
  </si>
  <si>
    <t>G.2.3</t>
  </si>
  <si>
    <t>G.2.4</t>
  </si>
  <si>
    <t>G.2.5</t>
  </si>
  <si>
    <t>The house owner/ tenants</t>
  </si>
  <si>
    <t>A sweeper (manual emptying)</t>
  </si>
  <si>
    <t>A mechanised service provider (tanker)</t>
  </si>
  <si>
    <t>How much did you pay for emptying the pit?</t>
  </si>
  <si>
    <t>G.5.1.6</t>
  </si>
  <si>
    <t>G.5.1.7</t>
  </si>
  <si>
    <t>G.5.1.8</t>
  </si>
  <si>
    <t>G.5.1.9</t>
  </si>
  <si>
    <t>Direct into drain/water body</t>
  </si>
  <si>
    <t>Direct on common ground</t>
  </si>
  <si>
    <t>Direct on agricultural field or fish pond</t>
  </si>
  <si>
    <t>Into a pit on the compound that is then covered</t>
  </si>
  <si>
    <t>Into a pit on the compound that is left open</t>
  </si>
  <si>
    <t>Directly into drum/open container and taken away</t>
  </si>
  <si>
    <t>Directly into closed container/tanker and taken away</t>
  </si>
  <si>
    <t>C.7.3</t>
  </si>
  <si>
    <t>C.7.3.1</t>
  </si>
  <si>
    <t>C.7.3.2</t>
  </si>
  <si>
    <t>C.7.3.3</t>
  </si>
  <si>
    <t>Level 0</t>
  </si>
  <si>
    <t>Access to a sanitary toilet (Impact indicator #1)</t>
  </si>
  <si>
    <t>Level 1</t>
  </si>
  <si>
    <t>Level 2</t>
  </si>
  <si>
    <t>Level 3</t>
  </si>
  <si>
    <t>Level 4</t>
  </si>
  <si>
    <t>Hygienic use of toilet (Impact indicator #2)</t>
  </si>
  <si>
    <t>MISSING DATA</t>
  </si>
  <si>
    <t>0.2.3</t>
  </si>
  <si>
    <t>Rainwater [51]</t>
  </si>
  <si>
    <t>Tube well or borehole [21]</t>
  </si>
  <si>
    <t>Protected dug well [31]</t>
  </si>
  <si>
    <t>Unprotected dug well [32]</t>
  </si>
  <si>
    <t>Surface water (river, dam, lake, pond, stream, canal, irrigation channel) [81]</t>
  </si>
  <si>
    <t>C.7.1.1</t>
  </si>
  <si>
    <t>C.7.1.2</t>
  </si>
  <si>
    <t>C.7.2.1</t>
  </si>
  <si>
    <t>C.7.2.2</t>
  </si>
  <si>
    <t>TOTALS FROM COMMUNE</t>
  </si>
  <si>
    <t>FROM AkvoFLOW</t>
  </si>
  <si>
    <t>Calculated average amount</t>
  </si>
  <si>
    <t># of respondents who mentioned an amount</t>
  </si>
  <si>
    <t>D.4.8</t>
  </si>
  <si>
    <t>D.6.4</t>
  </si>
  <si>
    <t>D.6.5</t>
  </si>
  <si>
    <t>D.6.6</t>
  </si>
  <si>
    <t>D.6.7</t>
  </si>
  <si>
    <t xml:space="preserve">MISSING DATA </t>
  </si>
  <si>
    <t>G.2.6</t>
  </si>
  <si>
    <t>G.4.7</t>
  </si>
  <si>
    <t>G.3.5</t>
  </si>
  <si>
    <t>G.1.4</t>
  </si>
  <si>
    <t xml:space="preserve">NAME COMMUNE </t>
  </si>
  <si>
    <t>Non Poor</t>
  </si>
  <si>
    <t>SOCIO ECONOMIC STATUS OF HOUSEHOLD</t>
  </si>
  <si>
    <t>Hard, tightly packed or compacted soil (stable)</t>
  </si>
  <si>
    <t>Loose soil (unstable when digging a hole)</t>
  </si>
  <si>
    <t>Rocky or soil mixed with boulders (difficult to dig)</t>
  </si>
  <si>
    <t xml:space="preserve">Difficult to judge / between stable and unstable </t>
  </si>
  <si>
    <t>DEFECATION PRACTICES</t>
  </si>
  <si>
    <t>Where does your family defecate? (Note: there could be more than one answer)</t>
  </si>
  <si>
    <t>Do not use any toilet (open defecation)</t>
  </si>
  <si>
    <t>Are you satisfied with the existing situation?</t>
  </si>
  <si>
    <t>DON'T KNOW / Never thought about it</t>
  </si>
  <si>
    <t xml:space="preserve">YES I am okay </t>
  </si>
  <si>
    <t>C.2.3</t>
  </si>
  <si>
    <t>C.2.3.1</t>
  </si>
  <si>
    <t xml:space="preserve">It is inconvenient having to use the toilet of others </t>
  </si>
  <si>
    <t>C.2.3.2</t>
  </si>
  <si>
    <t>It is embarrassing not to have a toilet</t>
  </si>
  <si>
    <t>C.2.3.3</t>
  </si>
  <si>
    <t>Every house should have a toilet</t>
  </si>
  <si>
    <t>C.2.3.4</t>
  </si>
  <si>
    <t>Other villagers do not respect us</t>
  </si>
  <si>
    <t>C.2.3.5</t>
  </si>
  <si>
    <t xml:space="preserve">It is inconvenient having to go outside particularly during the night </t>
  </si>
  <si>
    <t>C.2.3.6</t>
  </si>
  <si>
    <t>It is inconvenient having to go outside particularly when it rains</t>
  </si>
  <si>
    <t>C.2.3.7</t>
  </si>
  <si>
    <t>It is dangerous to go outside particularly for women, girls and small children</t>
  </si>
  <si>
    <t>C.2.3.8</t>
  </si>
  <si>
    <t>Defecating in the open makes the surroundings dirty</t>
  </si>
  <si>
    <t>C.2.3.9</t>
  </si>
  <si>
    <t>Defecating in the open is not healthy / creates unhealthy conditions</t>
  </si>
  <si>
    <t>C.2.3.10</t>
  </si>
  <si>
    <t xml:space="preserve">Other reasons </t>
  </si>
  <si>
    <t>TOILET DREAMS</t>
  </si>
  <si>
    <t>No ownership over land to construct a toilet</t>
  </si>
  <si>
    <t>Insufficient space / land to construct a toilet</t>
  </si>
  <si>
    <t>Insufficient financial resources to construct a toilet</t>
  </si>
  <si>
    <t>Insufficient technical knowledge to construct a toilet</t>
  </si>
  <si>
    <t>Toilet components are difficult to obtain</t>
  </si>
  <si>
    <t>Nobody to construct or to help me to construct a toilet</t>
  </si>
  <si>
    <t xml:space="preserve">Other constraints </t>
  </si>
  <si>
    <t>Are you considering to construct a toilet?</t>
  </si>
  <si>
    <t>DON'T KNOW / NEED TO THINK ABOUT IT</t>
  </si>
  <si>
    <t>NEED TO THINK ABOUT IT</t>
  </si>
  <si>
    <t>NOT NOW MAY BE LATER</t>
  </si>
  <si>
    <t>If you are considering to construct a toilet, what is your desired toilet?</t>
  </si>
  <si>
    <t xml:space="preserve">YES, toilet combined with bathing facility </t>
  </si>
  <si>
    <t>D.5.4</t>
  </si>
  <si>
    <t>D.5.5</t>
  </si>
  <si>
    <t>D.5.6</t>
  </si>
  <si>
    <t>How much do you think your dream toilet will cost?</t>
  </si>
  <si>
    <t>How will you get the INFORMATION to make the right decision? (Max 3 answers!)</t>
  </si>
  <si>
    <t>NAME OF DATA ENTRY PERSON</t>
  </si>
  <si>
    <t>ID POOR 1</t>
  </si>
  <si>
    <t>ID POOR 2</t>
  </si>
  <si>
    <t>NON POOR</t>
  </si>
  <si>
    <t>Use toilet of others (neighbours or relatives)</t>
  </si>
  <si>
    <t xml:space="preserve">NO I am not satisfied, because: </t>
  </si>
  <si>
    <t>NO I am not satisfied</t>
  </si>
  <si>
    <t xml:space="preserve">What are the reasons that you did not construct a toilet? </t>
  </si>
  <si>
    <t>E.4.1.6</t>
  </si>
  <si>
    <t>NOT AVAILABLE at a reasonably nearby location</t>
  </si>
  <si>
    <r>
      <t xml:space="preserve">HOUSEHOLDS </t>
    </r>
    <r>
      <rPr>
        <b/>
        <sz val="16"/>
        <color rgb="FF008000"/>
        <rFont val="Calibri"/>
        <family val="2"/>
        <scheme val="minor"/>
      </rPr>
      <t>WITH TOILET</t>
    </r>
  </si>
  <si>
    <r>
      <t xml:space="preserve">HOUSEHOLDS </t>
    </r>
    <r>
      <rPr>
        <b/>
        <sz val="16"/>
        <color rgb="FFFF0000"/>
        <rFont val="Calibri"/>
        <family val="2"/>
        <scheme val="minor"/>
      </rPr>
      <t>WITHOUT TOILET</t>
    </r>
  </si>
  <si>
    <t>Do know what different toilet options are available?</t>
  </si>
  <si>
    <t>F.3.4</t>
  </si>
  <si>
    <t>F.3.5</t>
  </si>
  <si>
    <t>F.3.6</t>
  </si>
  <si>
    <t>F.3.7</t>
  </si>
  <si>
    <t>F.3.8</t>
  </si>
  <si>
    <t>0.0.1</t>
  </si>
  <si>
    <t>0.0.2</t>
  </si>
  <si>
    <t>Participants of FGDs</t>
  </si>
  <si>
    <t># of males above the age of 18</t>
  </si>
  <si>
    <t># of females above the age of 18</t>
  </si>
  <si>
    <t>B.1.0</t>
  </si>
  <si>
    <t>B.1.0.1</t>
  </si>
  <si>
    <t>B.1.0.2</t>
  </si>
  <si>
    <t>Water source is located away from house or yard</t>
  </si>
  <si>
    <t>C.8</t>
  </si>
  <si>
    <t>C.8.1</t>
  </si>
  <si>
    <t>C.8.1.1</t>
  </si>
  <si>
    <t>C.8.1.2</t>
  </si>
  <si>
    <t>C.8.2</t>
  </si>
  <si>
    <t>C.8.2.1</t>
  </si>
  <si>
    <t>C.8.2.2</t>
  </si>
  <si>
    <t>C.8.3</t>
  </si>
  <si>
    <t>C.8.3.1</t>
  </si>
  <si>
    <t>C.8.3.2</t>
  </si>
  <si>
    <t>C.8.4</t>
  </si>
  <si>
    <t>C.8.4.1</t>
  </si>
  <si>
    <t>C.8.4.2</t>
  </si>
  <si>
    <t>C.8.4.3</t>
  </si>
  <si>
    <t>C.8.4.4</t>
  </si>
  <si>
    <t>C.8.4.5</t>
  </si>
  <si>
    <t>C.8.5</t>
  </si>
  <si>
    <t>C.8.5.1</t>
  </si>
  <si>
    <t>C.8.5.2</t>
  </si>
  <si>
    <t>C.8.5.3</t>
  </si>
  <si>
    <t>C.8.5.4</t>
  </si>
  <si>
    <t>C.8.5.5</t>
  </si>
  <si>
    <t>Non-poor</t>
  </si>
  <si>
    <t>Main source of water used for toilet purposes</t>
  </si>
  <si>
    <t>Water source is located inside house or in the yard</t>
  </si>
  <si>
    <t>C.6.1.2</t>
  </si>
  <si>
    <t>C.6.1.3</t>
  </si>
  <si>
    <t>C.6.1.4</t>
  </si>
  <si>
    <t>C.6.1.5</t>
  </si>
  <si>
    <t>C.6.1.6</t>
  </si>
  <si>
    <t>Rectangular tank of any dimension</t>
  </si>
  <si>
    <t>Round pits (combined volume of all pits])</t>
  </si>
  <si>
    <t>What is the average size of the rectangular tanks that you looked at / observed?</t>
  </si>
  <si>
    <t>F.3.9</t>
  </si>
  <si>
    <t>F.3.10</t>
  </si>
  <si>
    <t>From Commune Council / Village Chief</t>
  </si>
  <si>
    <t xml:space="preserve">From sales agent </t>
  </si>
  <si>
    <t>F.4.4</t>
  </si>
  <si>
    <t xml:space="preserve">What is the average distance in hours for one round trip to this producer? </t>
  </si>
  <si>
    <t>Has your toilet ever  been emptied</t>
  </si>
  <si>
    <t>G.0</t>
  </si>
  <si>
    <t>G.01</t>
  </si>
  <si>
    <t>G.02</t>
  </si>
  <si>
    <t>G.6</t>
  </si>
  <si>
    <t>When toilets fill up in this village, how are these usually emptied ?</t>
  </si>
  <si>
    <t>G.6.1</t>
  </si>
  <si>
    <t>G.6.2</t>
  </si>
  <si>
    <t>G.6.3</t>
  </si>
  <si>
    <t>A mechanised service provider (pump or tanker)</t>
  </si>
  <si>
    <t>G.6.4</t>
  </si>
  <si>
    <t>I don’t empty the pit, I dig a new pit</t>
  </si>
  <si>
    <t>G.6.5</t>
  </si>
  <si>
    <t>G.7</t>
  </si>
  <si>
    <t>If you need to hire someone to empty your pit, how much would it cost?</t>
  </si>
  <si>
    <t>G.7.1</t>
  </si>
  <si>
    <t>How much would it cost when hiring a sweeper (someone who would empty the pit manually)</t>
  </si>
  <si>
    <t>G.7.1.1</t>
  </si>
  <si>
    <t>NOT RELEVANT / NOT AVAILABLE</t>
  </si>
  <si>
    <t>G.7.2.2</t>
  </si>
  <si>
    <t xml:space="preserve">Amount mentioned (this should include costs for onsite disposal or transportation of the premises if relevant) </t>
  </si>
  <si>
    <t>G.7.1.3</t>
  </si>
  <si>
    <t>DON’T KNOW</t>
  </si>
  <si>
    <t>Amount provided</t>
  </si>
  <si>
    <t>G.7.2</t>
  </si>
  <si>
    <t>How much would it cost when hiring someone with a pump and long hose similar to what is used to pump irigation water</t>
  </si>
  <si>
    <t>G.7.3</t>
  </si>
  <si>
    <t xml:space="preserve">How much would it cost when hiring a mechanised service provider (either public or private entity) who operates septage or faecal sludge collection tanker truck(s). </t>
  </si>
  <si>
    <t>G.7.2.1</t>
  </si>
  <si>
    <t>G.7.2.3</t>
  </si>
  <si>
    <t>G.7.1.2</t>
  </si>
  <si>
    <t>G.7.3.1</t>
  </si>
  <si>
    <t>G.7.3.2</t>
  </si>
  <si>
    <t>G.7.3.3</t>
  </si>
  <si>
    <t>G.8</t>
  </si>
  <si>
    <t>What is the common practice in this village concerning where to take or dispose the content of the pit?</t>
  </si>
  <si>
    <t>G.8.1</t>
  </si>
  <si>
    <t>Where are the contents of the toilet pit disposed off if emptied by yourself or when hiring someone else to empty it either manually or with a pump and hose?</t>
  </si>
  <si>
    <t>G.8.1.1</t>
  </si>
  <si>
    <t>G.8.1.2</t>
  </si>
  <si>
    <t>G.8.1.3</t>
  </si>
  <si>
    <t>G.8.1.4</t>
  </si>
  <si>
    <t>G.8.1.5</t>
  </si>
  <si>
    <t>G.8.1.6</t>
  </si>
  <si>
    <t>G.8.1.7</t>
  </si>
  <si>
    <t>G.8.1.8</t>
  </si>
  <si>
    <t>G.8.1.9</t>
  </si>
  <si>
    <t>G.8.2</t>
  </si>
  <si>
    <t>Where are the contents of the toilet pit disposed off if emptied by a mechanised service provider with a collection tanker truck?</t>
  </si>
  <si>
    <t>G.8.2.1</t>
  </si>
  <si>
    <t>G.8.2.2</t>
  </si>
  <si>
    <t>Directly into tanker and taken away from village</t>
  </si>
  <si>
    <t>G.8.2.3</t>
  </si>
  <si>
    <t xml:space="preserve">Taken away but dumped on agricultural fields in or near the village </t>
  </si>
  <si>
    <t>G.8.2.4</t>
  </si>
  <si>
    <t xml:space="preserve">Taken away but dumped into a water body or on common ground </t>
  </si>
  <si>
    <t>G.8.2.5</t>
  </si>
  <si>
    <t>Original performance monitoring data</t>
  </si>
  <si>
    <t>ID Poor 1 + 2 combined</t>
  </si>
  <si>
    <t>ID Poor 1</t>
  </si>
  <si>
    <t>ID Poor 2</t>
  </si>
  <si>
    <t>ID Poor</t>
  </si>
  <si>
    <t>In the driest months of the year (e.g. March to July), how much time do you spend per day to collect water?</t>
  </si>
  <si>
    <t>Are there times during the year that you face problems in collecting sufficient water for flushing and cleaning the toilet? For example because the source dries up.</t>
  </si>
  <si>
    <t>C.0</t>
  </si>
  <si>
    <t>C.0.1</t>
  </si>
  <si>
    <t>C.0.2</t>
  </si>
  <si>
    <t>Do not use any toilet (defecate in the open in or around the village)</t>
  </si>
  <si>
    <t>Sometimes use toilet of others, sometimes do not use and defecate in the open</t>
  </si>
  <si>
    <t>DEMAND SIDE DATA ENTRIES | VERSION 2.2</t>
  </si>
  <si>
    <t>B.1.0.3</t>
  </si>
  <si>
    <t>I (have to) buy water from a water vendor which is brought inside the yard</t>
  </si>
  <si>
    <t>C.7.3.4</t>
  </si>
  <si>
    <t>Unsure or unknow as the superstructure is not (yet) complete or under construction</t>
  </si>
  <si>
    <t>E.1.3.14</t>
  </si>
  <si>
    <t>Toilet smells unpleasant and or attracts many flies</t>
  </si>
  <si>
    <t>Superstructure is not (yet) complete or under construction</t>
  </si>
  <si>
    <t>Provide names of loan institution (s)</t>
  </si>
  <si>
    <t>VisionFund</t>
  </si>
  <si>
    <t>a)</t>
  </si>
  <si>
    <t>b)</t>
  </si>
  <si>
    <t>c)</t>
  </si>
  <si>
    <t>F.3.11</t>
  </si>
  <si>
    <t>I did not get any information from anyone</t>
  </si>
  <si>
    <t>From a programme</t>
  </si>
  <si>
    <r>
      <t xml:space="preserve">If you intend to </t>
    </r>
    <r>
      <rPr>
        <b/>
        <u/>
        <sz val="10"/>
        <rFont val="Calibri"/>
        <family val="2"/>
        <scheme val="minor"/>
      </rPr>
      <t>construct a toilet</t>
    </r>
    <r>
      <rPr>
        <b/>
        <sz val="10"/>
        <rFont val="Calibri"/>
        <family val="2"/>
        <scheme val="minor"/>
      </rPr>
      <t xml:space="preserve">, how would you get the MONEY to pay for it? </t>
    </r>
  </si>
  <si>
    <t>Banteay Meas</t>
  </si>
  <si>
    <t>Communes</t>
  </si>
  <si>
    <t>Villages</t>
  </si>
  <si>
    <t>Samraong Leu</t>
  </si>
  <si>
    <t>Damnak Chambak</t>
  </si>
  <si>
    <t>Tram Sasar</t>
  </si>
  <si>
    <t>SK Khang Lech</t>
  </si>
  <si>
    <t>Chamlang Chrey</t>
  </si>
  <si>
    <t>Prey Ta Prit</t>
  </si>
  <si>
    <t>SK Khang Tboung</t>
  </si>
  <si>
    <t>Phnum Touch</t>
  </si>
  <si>
    <t>T M Khang Kaeut</t>
  </si>
  <si>
    <t>Angk Mli</t>
  </si>
  <si>
    <t>Chrak Sdau</t>
  </si>
  <si>
    <t>Tnaot Cheung Srang</t>
  </si>
  <si>
    <t>Kouk Veaeng</t>
  </si>
  <si>
    <t>Ruessei Chum</t>
  </si>
  <si>
    <t>Ta Lang</t>
  </si>
  <si>
    <t>V A Khang Cheung</t>
  </si>
  <si>
    <t>Ponhea Angkor</t>
  </si>
  <si>
    <t>Sou Peng</t>
  </si>
  <si>
    <t>Chum Kiri</t>
  </si>
  <si>
    <t>Chres</t>
  </si>
  <si>
    <t>Trapeang Cheuteal</t>
  </si>
  <si>
    <t>Chumpu Voan</t>
  </si>
  <si>
    <t>Chek</t>
  </si>
  <si>
    <t>Thmei</t>
  </si>
  <si>
    <t>Snay Anhchit</t>
  </si>
  <si>
    <t>Damnak Chheu Kram</t>
  </si>
  <si>
    <t>Dou Ov</t>
  </si>
  <si>
    <t>Srae Chaeng</t>
  </si>
  <si>
    <t>Kamnab</t>
  </si>
  <si>
    <t>Srae Knong</t>
  </si>
  <si>
    <t>Prey Yav</t>
  </si>
  <si>
    <t>Tbaeng Pok</t>
  </si>
  <si>
    <t>Srae Samraong</t>
  </si>
  <si>
    <t>Trapaing Raing</t>
  </si>
  <si>
    <t>Rovieng</t>
  </si>
  <si>
    <t>Ta Reach</t>
  </si>
  <si>
    <t>Basedth</t>
  </si>
  <si>
    <t>Kok</t>
  </si>
  <si>
    <t>Krang Troak</t>
  </si>
  <si>
    <t>Trapeang Krosang</t>
  </si>
  <si>
    <t>Nitean</t>
  </si>
  <si>
    <t>Poh Tbaeng</t>
  </si>
  <si>
    <t>Trapeang Tuk</t>
  </si>
  <si>
    <t>Pheak Kdei</t>
  </si>
  <si>
    <t>Prey Khla</t>
  </si>
  <si>
    <t>Prey Romdel</t>
  </si>
  <si>
    <t>Pheary Meanchey</t>
  </si>
  <si>
    <t>Prey Roang</t>
  </si>
  <si>
    <t>Sach Trey</t>
  </si>
  <si>
    <t>Phreah Khe</t>
  </si>
  <si>
    <t>Boeung</t>
  </si>
  <si>
    <t>Trapeang Veng</t>
  </si>
  <si>
    <t>Svay Chachip</t>
  </si>
  <si>
    <t>Trapeang Khtum</t>
  </si>
  <si>
    <t>Troyeung Te</t>
  </si>
  <si>
    <t xml:space="preserve">Totals </t>
  </si>
  <si>
    <t>OVERVIEW OF STUDY AREAS</t>
  </si>
  <si>
    <t>Villages #1</t>
  </si>
  <si>
    <t>Villages #2</t>
  </si>
  <si>
    <t>Villages #3</t>
  </si>
  <si>
    <t>KAMPONG SPEU</t>
  </si>
  <si>
    <t>BASEDTH</t>
  </si>
  <si>
    <t xml:space="preserve"> PROVINCE</t>
  </si>
  <si>
    <t xml:space="preserve"> DISTRICT</t>
  </si>
  <si>
    <t>KAMPOT</t>
  </si>
  <si>
    <t>BANTEAY MEAS</t>
  </si>
  <si>
    <t>CHUM KIRI</t>
  </si>
  <si>
    <t>SAMRAONG LEU</t>
  </si>
  <si>
    <t>SK KHANG LECH</t>
  </si>
  <si>
    <t>SK KHANG TBOUNG</t>
  </si>
  <si>
    <t>T M KHANG KAEUT</t>
  </si>
  <si>
    <t>TNAOT CHEUNG SRANG</t>
  </si>
  <si>
    <t>V A KHANG CHEUNG</t>
  </si>
  <si>
    <t>CHRES</t>
  </si>
  <si>
    <t>CHUMPU VOAN</t>
  </si>
  <si>
    <t>SNAY ANHCHIT</t>
  </si>
  <si>
    <t>SRAE CHAENG</t>
  </si>
  <si>
    <t>SRAE KNONG</t>
  </si>
  <si>
    <t>SRAE SAMRAONG</t>
  </si>
  <si>
    <t>TRAPAING RAING</t>
  </si>
  <si>
    <t>KOK</t>
  </si>
  <si>
    <t>NITEAN</t>
  </si>
  <si>
    <t>PHEAK KDEI</t>
  </si>
  <si>
    <t>PHEARY MEANCHEY</t>
  </si>
  <si>
    <t>PHREAH KHE</t>
  </si>
  <si>
    <t>SVAY CHACHIP</t>
  </si>
  <si>
    <t>NON-POOR</t>
  </si>
  <si>
    <t>X</t>
  </si>
  <si>
    <t>SURVEY INFORMATON</t>
  </si>
  <si>
    <t>X.1</t>
  </si>
  <si>
    <t>X.2</t>
  </si>
  <si>
    <t>In % of total # of HH surveyed</t>
  </si>
  <si>
    <t>YES in % of total # of HH surveyed</t>
  </si>
  <si>
    <t>A.2</t>
  </si>
  <si>
    <t>Stable soil (hard, tightly packed or compacted soil)</t>
  </si>
  <si>
    <t>Unstable soil (loose soil)</t>
  </si>
  <si>
    <t>Difficult to dig soil (rocky or soil mixed with boulders)</t>
  </si>
  <si>
    <t xml:space="preserve">Other type of toilet </t>
  </si>
  <si>
    <t>Toilet or toilet combined with a bathing facility</t>
  </si>
  <si>
    <t>Toilet only</t>
  </si>
  <si>
    <t>Toilet combined with bathing facility (bathroom)</t>
  </si>
  <si>
    <t>Volume of the pit or tank</t>
  </si>
  <si>
    <t>TECHNOLOGY related issues</t>
  </si>
  <si>
    <t>TOILET HYGIENE related issues</t>
  </si>
  <si>
    <t>D.1.0</t>
  </si>
  <si>
    <t>Method of payment for constructing existing toilets</t>
  </si>
  <si>
    <t>Satisfacton with existing toilets</t>
  </si>
  <si>
    <t>IMPROVING EXISTING TOILETS</t>
  </si>
  <si>
    <t>Planned IMPROVEMENTS</t>
  </si>
  <si>
    <t>Type of toilet HH intend to construct</t>
  </si>
  <si>
    <t>Intention to construct a toilet or a toilet combined with a bathing facility</t>
  </si>
  <si>
    <t xml:space="preserve">DON’T' KNOW </t>
  </si>
  <si>
    <t>Amount of money HH intend to spend on REPLACING existing toilets or constructing ADDITIONAL toilets</t>
  </si>
  <si>
    <t>E.5</t>
  </si>
  <si>
    <t>HH that are satisfied in % of total # of HH surveyed</t>
  </si>
  <si>
    <t>Means of obtaining information to make the right decision</t>
  </si>
  <si>
    <t>Knowledge about where to buy the goods to IMPROVE or REPLACE existing toilets</t>
  </si>
  <si>
    <t>Overall score on (access to) knowledge</t>
  </si>
  <si>
    <t>Amount paid for pit emptying</t>
  </si>
  <si>
    <t>What was done with the content of the pit</t>
  </si>
  <si>
    <t>SANITATION SUPPLY AND DEMAND STUDY</t>
  </si>
  <si>
    <t>SAMPLE COMMUNE #1</t>
  </si>
  <si>
    <t>SAMPLE COMMUNE #2</t>
  </si>
  <si>
    <t>SAMPLE COMMUNE #3</t>
  </si>
  <si>
    <t>SAMPLE COMMUNE #4</t>
  </si>
  <si>
    <t>SAMPLE COMMUNE #5</t>
  </si>
  <si>
    <t>SAMPLE COMMUNE #6</t>
  </si>
  <si>
    <t>SAMPLE COMMUNE #7</t>
  </si>
  <si>
    <t>ID POOR</t>
  </si>
  <si>
    <t>TOTALS FOR DISTRICT</t>
  </si>
  <si>
    <t>SOCIO-ECONOMIC STATUS OF SURVEYED HOUSEHOLDS</t>
  </si>
  <si>
    <t>SOCIO-ECONOMIC STATUS OF FGD HHs</t>
  </si>
  <si>
    <t># of villages with conditions that may influence the type of toilet required</t>
  </si>
  <si>
    <t># of villages with water availability constraints</t>
  </si>
  <si>
    <t>Total number of villages included in PM survey</t>
  </si>
  <si>
    <t>X.0</t>
  </si>
  <si>
    <t>Total number of villages included in SS&amp;D rapid assessment</t>
  </si>
  <si>
    <t xml:space="preserve"># of villages &gt;&gt; </t>
  </si>
  <si>
    <t>As % of total # of villages in the commune</t>
  </si>
  <si>
    <t>Total # of villages in commune</t>
  </si>
  <si>
    <t>Total number of villages in this commune</t>
  </si>
  <si>
    <t>Total # of sample villages in PM</t>
  </si>
  <si>
    <t>B.4.2.1</t>
  </si>
  <si>
    <t>B.4.2.2</t>
  </si>
  <si>
    <t># of villages with risks of toilet flooding</t>
  </si>
  <si>
    <t>Some risk</t>
  </si>
  <si>
    <t>Potential high risk</t>
  </si>
  <si>
    <t>House or yard floods several times each year</t>
  </si>
  <si>
    <t># of villages with risks of toilets flooding</t>
  </si>
  <si>
    <t>High risk in % of total # of villages surveyed</t>
  </si>
  <si>
    <t>In % of total # of villages surveyed</t>
  </si>
  <si>
    <t xml:space="preserve"># of villages that are expected to require full pit lining </t>
  </si>
  <si>
    <t># of villages with multiple conditions</t>
  </si>
  <si>
    <t># of villages with no conditions (0)</t>
  </si>
  <si>
    <t># of villages with one condition (1)</t>
  </si>
  <si>
    <t># of villages with two conditions (2)</t>
  </si>
  <si>
    <t># of villages with three conditions (3)</t>
  </si>
  <si>
    <t>Villages with 3 conditions in % of total # of villages surveyed</t>
  </si>
  <si>
    <t># of villages that may require alternative technologies</t>
  </si>
  <si>
    <t>SUM</t>
  </si>
  <si>
    <t># of HH that may require full pit lining (ignore as all pits are lined)</t>
  </si>
  <si>
    <t>Type of toilets owned by the HH</t>
  </si>
  <si>
    <t xml:space="preserve">Connected to the open environment </t>
  </si>
  <si>
    <t>Connected to a pit located directly under the toilet</t>
  </si>
  <si>
    <t xml:space="preserve">Connected to a single off-set pit </t>
  </si>
  <si>
    <t xml:space="preserve">Connected to double (two separate) off-set pits </t>
  </si>
  <si>
    <t>Rectangular tank (septic tank) of any dimension</t>
  </si>
  <si>
    <t>Superstructure is not complete or under construction</t>
  </si>
  <si>
    <t>Durable materials</t>
  </si>
  <si>
    <t>Non-durable materials</t>
  </si>
  <si>
    <t>Volume of 1 pit with a diameter of 100 cm and 50 cm high</t>
  </si>
  <si>
    <t>Storing capacity of top pit is only 50% due to low pipe</t>
  </si>
  <si>
    <t xml:space="preserve">Connected to a single direct pit </t>
  </si>
  <si>
    <t xml:space="preserve">Connected to double off-set pits </t>
  </si>
  <si>
    <t>Calculated pit volumes</t>
  </si>
  <si>
    <t>Average rings</t>
  </si>
  <si>
    <t>Calculated average # of rings per toilet</t>
  </si>
  <si>
    <t>Storing capacity of a single direct pit top ring</t>
  </si>
  <si>
    <t>Storing capacity of a single direct pit for 1 ring</t>
  </si>
  <si>
    <t>Storing capacity of a single offset pit top ring</t>
  </si>
  <si>
    <t>Storing capacity of a single offset pit for 1 ring</t>
  </si>
  <si>
    <t>Storing capacity of a double offset pit top ring</t>
  </si>
  <si>
    <t>Storing capacity of a double offset pit for 1 ring</t>
  </si>
  <si>
    <t>Adjusted average</t>
  </si>
  <si>
    <t>For one single direct pit</t>
  </si>
  <si>
    <t>For one single offset pits</t>
  </si>
  <si>
    <t>For one double offset pits</t>
  </si>
  <si>
    <t>Volume for all single direct pits</t>
  </si>
  <si>
    <t>Volume for all single offset pits</t>
  </si>
  <si>
    <t>Volume for all double offset pits</t>
  </si>
  <si>
    <t>Total calculated pit storing capacity</t>
  </si>
  <si>
    <t>Calculated average for one family</t>
  </si>
  <si>
    <t>Calculated volume of sub-structures</t>
  </si>
  <si>
    <t>C.9</t>
  </si>
  <si>
    <t>C.9.1</t>
  </si>
  <si>
    <t>Calculated average age of toilet</t>
  </si>
  <si>
    <t>Average age</t>
  </si>
  <si>
    <t>From one to two years (1.5 year)</t>
  </si>
  <si>
    <t>Up to one year (0.75 year)</t>
  </si>
  <si>
    <t>More than two and up to five years (3.5 years)</t>
  </si>
  <si>
    <t>More than five and up to ten years (7.5 years)</t>
  </si>
  <si>
    <t>More than ten years (12.5 years)</t>
  </si>
  <si>
    <t>SUM minus DON'T KNOW</t>
  </si>
  <si>
    <t>Calculated volume of toilet pits in cubic metres</t>
  </si>
  <si>
    <t>C.9.1.1</t>
  </si>
  <si>
    <t>Minimum pit size</t>
  </si>
  <si>
    <t>Maximum pit size</t>
  </si>
  <si>
    <t>Average pit size</t>
  </si>
  <si>
    <t>C.9.1.2</t>
  </si>
  <si>
    <t>C.9.1.3</t>
  </si>
  <si>
    <t>C.9.2</t>
  </si>
  <si>
    <t>Calculated average age of toilets</t>
  </si>
  <si>
    <t>C.9.2.1</t>
  </si>
  <si>
    <t>C.9.2.2</t>
  </si>
  <si>
    <t>C.9.2.3</t>
  </si>
  <si>
    <t>Minimum age</t>
  </si>
  <si>
    <t>Maximum age</t>
  </si>
  <si>
    <t xml:space="preserve">Minimum age </t>
  </si>
  <si>
    <t>Calculated age</t>
  </si>
  <si>
    <t>Money spent on CONSTRUCTING existing toilets</t>
  </si>
  <si>
    <t>Money spent on MATERIALS</t>
  </si>
  <si>
    <t>D.2.0</t>
  </si>
  <si>
    <t>Money spent on labour</t>
  </si>
  <si>
    <t xml:space="preserve">Money spent on REPARING, IMPROVING or UPGRADING existing toilets </t>
  </si>
  <si>
    <t>Age ot toilets</t>
  </si>
  <si>
    <t>Number of toilets constructed in past two years</t>
  </si>
  <si>
    <t>In % of total # of toilets</t>
  </si>
  <si>
    <t>C.9.1.4</t>
  </si>
  <si>
    <t>By borrowing from relatives, friends or other villagers</t>
  </si>
  <si>
    <t>Toilet is not convenient for children, elderly andor disabled</t>
  </si>
  <si>
    <t>Toilet is difficult to access during the night or rains</t>
  </si>
  <si>
    <t>Toilet smells unpleasant and or attracts flies</t>
  </si>
  <si>
    <t xml:space="preserve">Superstructure is not (yet) complete </t>
  </si>
  <si>
    <t>Plans for the next two years</t>
  </si>
  <si>
    <t>HH with plans in % of total # of HH participating in FGDs</t>
  </si>
  <si>
    <t>In % of total # of HH in the commune</t>
  </si>
  <si>
    <t>Total number of HH in commune</t>
  </si>
  <si>
    <t>Other improvements</t>
  </si>
  <si>
    <t>Amount of money HH intend to spend on toilet IMPROVEMENTS</t>
  </si>
  <si>
    <t xml:space="preserve">How to pay for IMPROVEMENTS </t>
  </si>
  <si>
    <t xml:space="preserve">Non-flush or dry toilet </t>
  </si>
  <si>
    <t xml:space="preserve">Flush/pour-flush toilet </t>
  </si>
  <si>
    <t>How to pay for NEW toilets</t>
  </si>
  <si>
    <t># of HH with toilet</t>
  </si>
  <si>
    <t>% of HH that are satisfied with their existing toilet</t>
  </si>
  <si>
    <t># of HH that have plans in the next two years</t>
  </si>
  <si>
    <t xml:space="preserve">Knowledge of different toilet options </t>
  </si>
  <si>
    <t xml:space="preserve">Existence of enough INFORMATION to decide on type of toilet </t>
  </si>
  <si>
    <t xml:space="preserve">Other sources </t>
  </si>
  <si>
    <t>Round trip in hours to concrete producer</t>
  </si>
  <si>
    <t>Minimum # of hours</t>
  </si>
  <si>
    <t>Maximum # of hours</t>
  </si>
  <si>
    <t xml:space="preserve">Average # of hours </t>
  </si>
  <si>
    <t>How are construction materials  brought to the house</t>
  </si>
  <si>
    <t>HH has some knowledge about toilets</t>
  </si>
  <si>
    <t>HH has enough knowledge about toilets</t>
  </si>
  <si>
    <t>HH does not get any information</t>
  </si>
  <si>
    <t xml:space="preserve">HH with sufficient knowledge in % of total # of HH </t>
  </si>
  <si>
    <t>Have toilets ever been emptied (FGD HH)</t>
  </si>
  <si>
    <t>Have toilets ever been emptied (PM survey HH)</t>
  </si>
  <si>
    <t>Pit was emptied</t>
  </si>
  <si>
    <t>The contents of the toilets was emptied by</t>
  </si>
  <si>
    <t xml:space="preserve">Disposed or used </t>
  </si>
  <si>
    <t>Costs to hire someone to empty pits</t>
  </si>
  <si>
    <t>Sweeper (someone who empties pits manually)</t>
  </si>
  <si>
    <t>G.7.1.4</t>
  </si>
  <si>
    <t xml:space="preserve">Minimum amount mentioned </t>
  </si>
  <si>
    <t xml:space="preserve">Maximum amount mentioned </t>
  </si>
  <si>
    <t xml:space="preserve">Average amount mentioned </t>
  </si>
  <si>
    <t>Service provider with pump and hose</t>
  </si>
  <si>
    <t>G.7.2.4</t>
  </si>
  <si>
    <t>Service provider with vacuum tanker truck</t>
  </si>
  <si>
    <t>G.7.3.4</t>
  </si>
  <si>
    <t xml:space="preserve">Common practice in villages concerning disposing off pit contents </t>
  </si>
  <si>
    <t>Disposal of pit contents if emptied manually or with pump</t>
  </si>
  <si>
    <t>Disposal of pit contents if emptied with tanker truck</t>
  </si>
  <si>
    <t>SUMMARY OVERVIEW FOR DISTRICT</t>
  </si>
  <si>
    <t>HOUSEHOLDS WITH TOILETS</t>
  </si>
  <si>
    <t>HOUSEHOLDS WITHOUT TOILETS</t>
  </si>
  <si>
    <t>Villages with some risk</t>
  </si>
  <si>
    <t>Villages with potential high risk</t>
  </si>
  <si>
    <t>Villages with risks of toilets flooding</t>
  </si>
  <si>
    <t>Villages with water availability constraints</t>
  </si>
  <si>
    <t xml:space="preserve">Villages that are expected to require full pit lining </t>
  </si>
  <si>
    <t xml:space="preserve">Inconvenient having to use the toilet of others </t>
  </si>
  <si>
    <t>Embarrassing not to have a toilet</t>
  </si>
  <si>
    <t>Inconvenient particularly when it rains</t>
  </si>
  <si>
    <t>Inconvenient particularly at night</t>
  </si>
  <si>
    <t>Dangerous particularly for women, girls and small children</t>
  </si>
  <si>
    <t>It makes the surroundings dirty</t>
  </si>
  <si>
    <t>It is not healthy / creates unhealthy conditions</t>
  </si>
  <si>
    <t>Reasons for not constructing a toilet</t>
  </si>
  <si>
    <t>Desired toilet</t>
  </si>
  <si>
    <t>Amount of money HH intend to spend on toilet</t>
  </si>
  <si>
    <t xml:space="preserve">How much do you think you can spent on your toilet? </t>
  </si>
  <si>
    <t>D.7</t>
  </si>
  <si>
    <t>D.7.1</t>
  </si>
  <si>
    <t>D.7.2</t>
  </si>
  <si>
    <t>D.7.3</t>
  </si>
  <si>
    <t>D.7.4</t>
  </si>
  <si>
    <t>D.7.5</t>
  </si>
  <si>
    <t>D.7.6</t>
  </si>
  <si>
    <t>D.7.7</t>
  </si>
  <si>
    <t>D.7.8</t>
  </si>
  <si>
    <t>How to pay for toilet</t>
  </si>
  <si>
    <t>#1</t>
  </si>
  <si>
    <t>#2</t>
  </si>
  <si>
    <t>#3</t>
  </si>
  <si>
    <t>#4</t>
  </si>
  <si>
    <t>#5</t>
  </si>
  <si>
    <t>#6</t>
  </si>
  <si>
    <t>#7</t>
  </si>
  <si>
    <t>Work sheet</t>
  </si>
  <si>
    <t>PRODUCER</t>
  </si>
  <si>
    <t xml:space="preserve">PROVIDE DATA ENTRY NUMBER ON QUESTIONNAIRE &gt;&gt; </t>
  </si>
  <si>
    <t># 1</t>
  </si>
  <si>
    <t># 2</t>
  </si>
  <si>
    <t># 3</t>
  </si>
  <si>
    <t># 4</t>
  </si>
  <si>
    <t># 5</t>
  </si>
  <si>
    <t>NAME of business</t>
  </si>
  <si>
    <t>Male</t>
  </si>
  <si>
    <t>Female</t>
  </si>
  <si>
    <t xml:space="preserve">How long have you been running this business? </t>
  </si>
  <si>
    <t>0.3.1</t>
  </si>
  <si>
    <t>Provide number of years</t>
  </si>
  <si>
    <t>0.3.2</t>
  </si>
  <si>
    <t>0.3.2.1</t>
  </si>
  <si>
    <t xml:space="preserve">If YES, provide the number of years </t>
  </si>
  <si>
    <t xml:space="preserve">What the background of the entrepreneur </t>
  </si>
  <si>
    <t>0.4.1</t>
  </si>
  <si>
    <t xml:space="preserve">No or limited background in producing/selling toilet parts </t>
  </si>
  <si>
    <t>0.4.2</t>
  </si>
  <si>
    <t xml:space="preserve">Background in working for a toilet part producer </t>
  </si>
  <si>
    <t>0.4.3</t>
  </si>
  <si>
    <t>Background in setting up &amp; running a toilet part production business</t>
  </si>
  <si>
    <t>0.4.4</t>
  </si>
  <si>
    <t xml:space="preserve">Background in setting up &amp; running different businesses </t>
  </si>
  <si>
    <t>0.5.1</t>
  </si>
  <si>
    <t># of entrepreneurs interviewed</t>
  </si>
  <si>
    <t>Years running this business</t>
  </si>
  <si>
    <t>Relevant background</t>
  </si>
  <si>
    <t>Business range</t>
  </si>
  <si>
    <t>Production of toilet parts</t>
  </si>
  <si>
    <t>Production of other concrete parts</t>
  </si>
  <si>
    <t>Other types of businesses</t>
  </si>
  <si>
    <t>Total scores</t>
  </si>
  <si>
    <t>0.5.2</t>
  </si>
  <si>
    <t>Score for experience of entrepreneur</t>
  </si>
  <si>
    <t>PRODUCT</t>
  </si>
  <si>
    <t xml:space="preserve">BUSINESS RANGE: What kind of business are you running? </t>
  </si>
  <si>
    <t>Production of other concrete products</t>
  </si>
  <si>
    <t>A.1.3.1</t>
  </si>
  <si>
    <t>A.1.4</t>
  </si>
  <si>
    <t>A.1.4.1</t>
  </si>
  <si>
    <t>A.1.4.2</t>
  </si>
  <si>
    <t>Less than half of the time spent on toilet parts</t>
  </si>
  <si>
    <t>A.1.4.3</t>
  </si>
  <si>
    <t>A.1.4.4</t>
  </si>
  <si>
    <t>More than half of the time spent on toilet parts</t>
  </si>
  <si>
    <t>A.1.4.5</t>
  </si>
  <si>
    <t>A.2.1</t>
  </si>
  <si>
    <t>A.2.1.1</t>
  </si>
  <si>
    <t>Concrete rings</t>
  </si>
  <si>
    <t>A.2.1.2</t>
  </si>
  <si>
    <t>A.2.1.3</t>
  </si>
  <si>
    <t>A.2.2</t>
  </si>
  <si>
    <t>A.2.1.4</t>
  </si>
  <si>
    <t>A.4</t>
  </si>
  <si>
    <t>EMPLOYEES</t>
  </si>
  <si>
    <t>Number of SKILLED labourers</t>
  </si>
  <si>
    <t>Number of UNSKILLED labourers</t>
  </si>
  <si>
    <t xml:space="preserve">Is the slab with pan casted in one go or in two separate stages? </t>
  </si>
  <si>
    <t>In one go</t>
  </si>
  <si>
    <t xml:space="preserve">In two separate stages </t>
  </si>
  <si>
    <t xml:space="preserve">YES, the slab is able to withstand the weight </t>
  </si>
  <si>
    <t xml:space="preserve">NO, the slab is not able to withstand the weight </t>
  </si>
  <si>
    <t>Somewhere in between strong and weak</t>
  </si>
  <si>
    <t>Maximum score</t>
  </si>
  <si>
    <t>B.2.3</t>
  </si>
  <si>
    <t>B.2.4</t>
  </si>
  <si>
    <t>Others (specify below)</t>
  </si>
  <si>
    <t>PROMOTION</t>
  </si>
  <si>
    <t>How do potential customers know wat you are producing and/or selling? (max 3 answers)</t>
  </si>
  <si>
    <t>I just sit and wait for customers</t>
  </si>
  <si>
    <t>By show-casing products in the business venue</t>
  </si>
  <si>
    <t>By providing discount to customers</t>
  </si>
  <si>
    <t>Quality of promotion</t>
  </si>
  <si>
    <t>Others</t>
  </si>
  <si>
    <t>LOCATION</t>
  </si>
  <si>
    <t>In Upazila HQ</t>
  </si>
  <si>
    <t>In Union HQ</t>
  </si>
  <si>
    <t>In other small bazar (non HQ)</t>
  </si>
  <si>
    <t>In village</t>
  </si>
  <si>
    <t>Score for intensity of promotion</t>
  </si>
  <si>
    <t>Promotion is "Good"</t>
  </si>
  <si>
    <t>Production is "Average"</t>
  </si>
  <si>
    <t>Production is "Poor"</t>
  </si>
  <si>
    <t>Promotion quality score</t>
  </si>
  <si>
    <t>PLACE</t>
  </si>
  <si>
    <t>LOCATION of business premises</t>
  </si>
  <si>
    <t>Provide name of location</t>
  </si>
  <si>
    <t>D.1.7.1</t>
  </si>
  <si>
    <t>D.1.7.2</t>
  </si>
  <si>
    <t>Location of business</t>
  </si>
  <si>
    <t>Number of producers operating in study Union</t>
  </si>
  <si>
    <t>Low sales volume (limited # of customers)</t>
  </si>
  <si>
    <t>High competition from other producers</t>
  </si>
  <si>
    <t xml:space="preserve">Low profit margins </t>
  </si>
  <si>
    <t>E.1.4</t>
  </si>
  <si>
    <t>E.1.5</t>
  </si>
  <si>
    <t>Problems related to access to finance (working capital or investments)</t>
  </si>
  <si>
    <t>E.1.6</t>
  </si>
  <si>
    <t>Difficult to obtain raw materials (e.g. sand, bricks, etc.)</t>
  </si>
  <si>
    <t>E.1.7</t>
  </si>
  <si>
    <t xml:space="preserve">Experience &gt; </t>
  </si>
  <si>
    <t xml:space="preserve">Quality of products &gt; </t>
  </si>
  <si>
    <t xml:space="preserve">Promotion &gt; </t>
  </si>
  <si>
    <t xml:space="preserve">AVERAGE SCORE &gt; </t>
  </si>
  <si>
    <t>SUPPLY SIDE DATA ENTRIES | VERSION 2.2</t>
  </si>
  <si>
    <t>CONCRETE TOILET PART PRODUCERS</t>
  </si>
  <si>
    <t>NAME of entrepreneur</t>
  </si>
  <si>
    <t>Mobile telephone number of entrepreneur interviewed</t>
  </si>
  <si>
    <t>Is the main entrepreneur a male or a female?</t>
  </si>
  <si>
    <t>Is your business affiliated with any WASH programme?</t>
  </si>
  <si>
    <t>0.3.2.2</t>
  </si>
  <si>
    <t>If YES, with what programme or organisation</t>
  </si>
  <si>
    <t>Affiliation with WASH programme</t>
  </si>
  <si>
    <t>Production of concrete toilet parts</t>
  </si>
  <si>
    <t>A.1.3.2</t>
  </si>
  <si>
    <t xml:space="preserve">If A.1.3 is YES, write down the nature of the other types of businesses and provide a tick in the right producer column. </t>
  </si>
  <si>
    <t>A.1.5</t>
  </si>
  <si>
    <t>A.1.6</t>
  </si>
  <si>
    <t>A.1.7</t>
  </si>
  <si>
    <t>A.1.8</t>
  </si>
  <si>
    <t>If you are producing or selling different products and services and not only toilet parts, how much of the business portfolio's effort is spent on the production, marketing and selling of concrete toilet parts?</t>
  </si>
  <si>
    <t>Almost no time spent on toilet parts (&lt;25%)</t>
  </si>
  <si>
    <t>Half of the time spent on toilet parts (50%)</t>
  </si>
  <si>
    <t>Almost all the time spent on toilet parts (&gt;75%)</t>
  </si>
  <si>
    <t xml:space="preserve">PRODUCT RANGE AND PRICES: What are the average sales volumes per month AND the average sales prices for the following products? </t>
  </si>
  <si>
    <t>Average monthly sales volume</t>
  </si>
  <si>
    <t>Average sales price per piece (sold separately)</t>
  </si>
  <si>
    <t>Ring with an outside diameter of 80 cm</t>
  </si>
  <si>
    <t>Ring with an outside diameter of 100 cm</t>
  </si>
  <si>
    <t>What are the standard concrete toilet products you produce and sell and how much do you sell them for?</t>
  </si>
  <si>
    <t xml:space="preserve">Average sales price per piece </t>
  </si>
  <si>
    <t xml:space="preserve">Concrete round cover slab </t>
  </si>
  <si>
    <t>Round slab outside diameter of 100 cm</t>
  </si>
  <si>
    <t>Round slab outside diameter of 80 cm</t>
  </si>
  <si>
    <t>Concrete square slab with ceramic toilet pan</t>
  </si>
  <si>
    <t>Square slab with pan of 80 x 80 cm</t>
  </si>
  <si>
    <t>Concrete connection or catchment box</t>
  </si>
  <si>
    <t>Are sales (and production) volumes for toilet parts the same throughout the year?</t>
  </si>
  <si>
    <t>A.2.2.1</t>
  </si>
  <si>
    <t>A.2.2.2</t>
  </si>
  <si>
    <t>Dry season (January to July)</t>
  </si>
  <si>
    <t>Wet season (August to October)</t>
  </si>
  <si>
    <t>Festive season after harvesting (November and December)</t>
  </si>
  <si>
    <t xml:space="preserve">NO, the peak months for toilet parts are: </t>
  </si>
  <si>
    <t>A.2.3</t>
  </si>
  <si>
    <t>Do you sell complete toilet sets and if yes at what price?</t>
  </si>
  <si>
    <t>A.2.3.1</t>
  </si>
  <si>
    <t>Easy latrine set</t>
  </si>
  <si>
    <t>This set is promoted by what organisation or programme?</t>
  </si>
  <si>
    <t>What does the set consits of?</t>
  </si>
  <si>
    <t>Number of concrete rings</t>
  </si>
  <si>
    <t>Number of closed cover slabs</t>
  </si>
  <si>
    <t>Concrete slab with pan</t>
  </si>
  <si>
    <t>d)</t>
  </si>
  <si>
    <t>Connection or catchment box</t>
  </si>
  <si>
    <t>e)</t>
  </si>
  <si>
    <t>90 mm (3.5 inches) blue PVC pipe in meters</t>
  </si>
  <si>
    <t>f)</t>
  </si>
  <si>
    <t>27 mm (1 inche) blue PVC pipe in meters</t>
  </si>
  <si>
    <t>What is the sales price of this set?</t>
  </si>
  <si>
    <t>Sales price for one complete set</t>
  </si>
  <si>
    <t xml:space="preserve">How many years ago was this price fixed? </t>
  </si>
  <si>
    <t>Does this price include free home delivery services?</t>
  </si>
  <si>
    <t>A.3</t>
  </si>
  <si>
    <t>What other toilet associated services do you provide to your customers and what does it cost?</t>
  </si>
  <si>
    <t>A.3.1</t>
  </si>
  <si>
    <t>What type of services do you provide to customers interested to buy a toilet?</t>
  </si>
  <si>
    <t>A.3.1.1</t>
  </si>
  <si>
    <t>If YES, at what cost?</t>
  </si>
  <si>
    <r>
      <rPr>
        <b/>
        <sz val="10"/>
        <rFont val="Wingdings"/>
        <charset val="2"/>
      </rPr>
      <t>è</t>
    </r>
    <r>
      <rPr>
        <b/>
        <sz val="10"/>
        <rFont val="Calibri"/>
        <family val="2"/>
        <scheme val="minor"/>
      </rPr>
      <t xml:space="preserve"> At a cost (consumer pays for transportation)</t>
    </r>
  </si>
  <si>
    <t>A.3.1.2</t>
  </si>
  <si>
    <t xml:space="preserve">Installation services for concrete toilet set (sub-structure) sold by the entrepreneur </t>
  </si>
  <si>
    <t>A.3.1.3</t>
  </si>
  <si>
    <t>Full toilet construction services including superstructure</t>
  </si>
  <si>
    <t>A.3.1.4</t>
  </si>
  <si>
    <t>Others (please specify below)</t>
  </si>
  <si>
    <t>Provide type of service and sales prices of other services</t>
  </si>
  <si>
    <t>Home delivery services of toilet concrete parts for one customer</t>
  </si>
  <si>
    <t xml:space="preserve">Type of service &gt;&gt; </t>
  </si>
  <si>
    <t>At what costs?</t>
  </si>
  <si>
    <r>
      <rPr>
        <b/>
        <sz val="10"/>
        <rFont val="Wingdings"/>
        <charset val="2"/>
      </rPr>
      <t>è</t>
    </r>
    <r>
      <rPr>
        <b/>
        <sz val="9"/>
        <rFont val="Calibri"/>
        <family val="2"/>
      </rPr>
      <t xml:space="preserve"> </t>
    </r>
    <r>
      <rPr>
        <b/>
        <sz val="10"/>
        <rFont val="Calibri"/>
        <family val="2"/>
        <scheme val="minor"/>
      </rPr>
      <t xml:space="preserve">Free of charge: limited number of nearby communes </t>
    </r>
  </si>
  <si>
    <r>
      <rPr>
        <b/>
        <sz val="10"/>
        <rFont val="Wingdings"/>
        <charset val="2"/>
      </rPr>
      <t>è</t>
    </r>
    <r>
      <rPr>
        <b/>
        <sz val="9"/>
        <rFont val="Calibri"/>
        <family val="2"/>
      </rPr>
      <t xml:space="preserve"> </t>
    </r>
    <r>
      <rPr>
        <b/>
        <sz val="10"/>
        <rFont val="Calibri"/>
        <family val="2"/>
        <scheme val="minor"/>
      </rPr>
      <t>Free of charge: to all communes in district</t>
    </r>
  </si>
  <si>
    <t>PRODUCTION</t>
  </si>
  <si>
    <t>Is this a one-family run business</t>
  </si>
  <si>
    <t>If NO, how many partners run this business?</t>
  </si>
  <si>
    <t># of male partners</t>
  </si>
  <si>
    <t># of female partners</t>
  </si>
  <si>
    <t>How many people are involved in the production of concrete toilet parts?</t>
  </si>
  <si>
    <t xml:space="preserve">How many SKILLED labourers do you have in the peak months? These are the labourers who produce the concrete products. </t>
  </si>
  <si>
    <t>How many UNSKILLED labourers do you have in the peak months? These are the helpers that do all sort of odd jobs (mixing cement, loading trucks, etc.)</t>
  </si>
  <si>
    <t>Average # of DAYS per person per month</t>
  </si>
  <si>
    <t>B.1.4</t>
  </si>
  <si>
    <t>Do you employ any masons (artisans) that provide toilet  installation services to your customers?</t>
  </si>
  <si>
    <t>B.1.4.1</t>
  </si>
  <si>
    <t>NO NOT AT ALL</t>
  </si>
  <si>
    <t>B.1.4.2</t>
  </si>
  <si>
    <t>B.1.4.3</t>
  </si>
  <si>
    <t>YES I employ skilled masons separately</t>
  </si>
  <si>
    <t>If YES, give number of SKILLED masons</t>
  </si>
  <si>
    <t>Number of SKILLED masons</t>
  </si>
  <si>
    <t>B.1.4.4</t>
  </si>
  <si>
    <t>I DO NOT EMPLOY ANY MASONS but if requested I bring customers in contact with skilled masons</t>
  </si>
  <si>
    <t>NO RELEVANT as I employ skilled masons</t>
  </si>
  <si>
    <t>NOT SEPARATELY (same as concrete producers)</t>
  </si>
  <si>
    <t>QUALITY OF PRODUCTS (OBSERVE FIRST and where necessary ask additional questions!)</t>
  </si>
  <si>
    <t xml:space="preserve">Does the toilet pan have a functioning water seal? </t>
  </si>
  <si>
    <t>Carry out a simple strength test by placing the slab on four corner stones or on a ring. Stand on the slab with 4 persons to test the strength of the slab. 
Does the slab stand the test?</t>
  </si>
  <si>
    <t>B.2.3.1</t>
  </si>
  <si>
    <t>B.2.3.2</t>
  </si>
  <si>
    <t>B.2.3.3</t>
  </si>
  <si>
    <t>B.2.3.4</t>
  </si>
  <si>
    <t>B.2.3.5</t>
  </si>
  <si>
    <t>Could not carry out the test</t>
  </si>
  <si>
    <t>Products are sold before they are sufficiently strong</t>
  </si>
  <si>
    <t>How is the appearance of the toilet slab and pan? Imagine if you were going to construct a similar toilet would you buy these products?</t>
  </si>
  <si>
    <t>B.2.4.1</t>
  </si>
  <si>
    <t>The rings and slabs look good</t>
  </si>
  <si>
    <t>B.2.4.2</t>
  </si>
  <si>
    <t>The rings and slabs look a bit okay</t>
  </si>
  <si>
    <t>B.2.4.3</t>
  </si>
  <si>
    <t>The rings and slabs do not look very good</t>
  </si>
  <si>
    <t>PROMOTION AND FINANCING OPTIONS</t>
  </si>
  <si>
    <t>The customers hear from others: Word of mouth</t>
  </si>
  <si>
    <t>I use my own sales agents</t>
  </si>
  <si>
    <t xml:space="preserve">Sales agents working for any programme (e.g. WaterSHED) </t>
  </si>
  <si>
    <t>By participating in fairs</t>
  </si>
  <si>
    <t>By ensuring that the business is situated at the best location</t>
  </si>
  <si>
    <t>If sales agents or others are used to get customers, is this at any costs to the entrepreneur?</t>
  </si>
  <si>
    <t>C.1.5.1</t>
  </si>
  <si>
    <t>NO, at no cost to the entrepreneur</t>
  </si>
  <si>
    <t>If NO, who pays commission to the sales agents?</t>
  </si>
  <si>
    <t>Provide name of organisation or programme</t>
  </si>
  <si>
    <t>C.1.5.2</t>
  </si>
  <si>
    <t>YES, at a cost to the entrepreneur</t>
  </si>
  <si>
    <t>If YES, how much?</t>
  </si>
  <si>
    <t>Provide amount given to sales agent</t>
  </si>
  <si>
    <t xml:space="preserve">Charges to microfinance institute or bank </t>
  </si>
  <si>
    <t xml:space="preserve">Full payment in cash </t>
  </si>
  <si>
    <t>Payment in instalments</t>
  </si>
  <si>
    <t>Delayed payment or on credit</t>
  </si>
  <si>
    <t>C.2.4</t>
  </si>
  <si>
    <t>Providing discounts</t>
  </si>
  <si>
    <t>C.2.5</t>
  </si>
  <si>
    <t>C.2.6</t>
  </si>
  <si>
    <t>C.2.7</t>
  </si>
  <si>
    <t>C.2.8</t>
  </si>
  <si>
    <t>C.2.9</t>
  </si>
  <si>
    <t>What financing options do you provide  to your customers on a regular basis?  (max 3 answers)</t>
  </si>
  <si>
    <t>In Provincial HQ</t>
  </si>
  <si>
    <t>In District HQ</t>
  </si>
  <si>
    <t>In any other location on a main road (non HQ)</t>
  </si>
  <si>
    <t>Is this the same district where the study is conducted?</t>
  </si>
  <si>
    <t>Provide name of district</t>
  </si>
  <si>
    <t>OUTREACH AREA</t>
  </si>
  <si>
    <t>Do you sell your concrete toilet products to ALL the communes in this district?</t>
  </si>
  <si>
    <t>D.2.1.1</t>
  </si>
  <si>
    <t>D.2.1.2</t>
  </si>
  <si>
    <t>D.2.1.3</t>
  </si>
  <si>
    <t>If NO, how many communes do you serve/reach?</t>
  </si>
  <si>
    <t>Do you also sell your products in neighbouring districts?</t>
  </si>
  <si>
    <t>How many other concrete producers are selling toilet parts in this district?</t>
  </si>
  <si>
    <t xml:space="preserve">Indicate the number of OTHER producers </t>
  </si>
  <si>
    <t xml:space="preserve">Inside the study District </t>
  </si>
  <si>
    <t>Outside the study District</t>
  </si>
  <si>
    <t>CHALLENGES AND CONSTRAINTS</t>
  </si>
  <si>
    <t>What challenges or constraints are you experiencing (max 3 answers)</t>
  </si>
  <si>
    <t>Problems related to avalilabilty of skilled production workers</t>
  </si>
  <si>
    <t>Other challenges or constraints (specify below)</t>
  </si>
  <si>
    <t>HARDWARE STORES</t>
  </si>
  <si>
    <t>HARDWARE STORE</t>
  </si>
  <si>
    <t>GENERAL</t>
  </si>
  <si>
    <t>What type of business do you run?</t>
  </si>
  <si>
    <t>RETAILER</t>
  </si>
  <si>
    <t>WHOLESALER (and retailer)</t>
  </si>
  <si>
    <t>Ceramic toilet pan</t>
  </si>
  <si>
    <t>A.2.4</t>
  </si>
  <si>
    <t>Cement (50 kg bag)</t>
  </si>
  <si>
    <t>A.2.5</t>
  </si>
  <si>
    <t>Average # of hardware stores</t>
  </si>
  <si>
    <t>Other (specify below)</t>
  </si>
  <si>
    <t>0.3.3</t>
  </si>
  <si>
    <t>Average sales price per 50 kg bag</t>
  </si>
  <si>
    <t>90 mm (3.5") PVC drainage pipe (in meters)</t>
  </si>
  <si>
    <t>PVC pipes</t>
  </si>
  <si>
    <t>27 mm (1") PVC drainage pipe (in meters)</t>
  </si>
  <si>
    <t>Average sales price per meter</t>
  </si>
  <si>
    <t>Any other products relevant to customers interested to construct a toilet? (Specify below)</t>
  </si>
  <si>
    <t>???</t>
  </si>
  <si>
    <t>A.2.3.2</t>
  </si>
  <si>
    <t>A.2.4.1</t>
  </si>
  <si>
    <t>A.2.4.2</t>
  </si>
  <si>
    <t>A.2.5.1</t>
  </si>
  <si>
    <t>A.2.5.2</t>
  </si>
  <si>
    <t>How many other hardware stores are located in this district?</t>
  </si>
  <si>
    <t>Number of hardware stores in this location</t>
  </si>
  <si>
    <t>Number of hardware stores in other parts of this district</t>
  </si>
  <si>
    <t># of interviewed entrepreneurs located in study district</t>
  </si>
  <si>
    <t>Number of entrepreneurs operating in study distict</t>
  </si>
  <si>
    <t>Average sales price</t>
  </si>
  <si>
    <t>SUPPLY SIDE DATA ENTRIES</t>
  </si>
  <si>
    <t>DATA ENTRIES BY</t>
  </si>
  <si>
    <t>WHO ARE THE SUPPLY CHAIN ACTORS</t>
  </si>
  <si>
    <t>HARDWARE SHOPS</t>
  </si>
  <si>
    <t>RETAILERS</t>
  </si>
  <si>
    <t>WHOLESALERS</t>
  </si>
  <si>
    <t>GUESTIMATES</t>
  </si>
  <si>
    <t xml:space="preserve"># OF COMPETITORS </t>
  </si>
  <si>
    <t># OF SUPPLY CHAIN ACTORS (CORRECTED)</t>
  </si>
  <si>
    <t>POTENTIAL % INCREASE</t>
  </si>
  <si>
    <t>POTENTIAL # OF CUSTOMERS PER YEAR</t>
  </si>
  <si>
    <t>ACTUALS ON BASIS OF INTERVIEWS</t>
  </si>
  <si>
    <t># OF SUPPLY CHAIN ACTORS INTERVIEWED</t>
  </si>
  <si>
    <t>PIT EMPTIERS</t>
  </si>
  <si>
    <t>MANUAL</t>
  </si>
  <si>
    <t>PUMP &amp; HOSE</t>
  </si>
  <si>
    <t>TANKER TRUCK</t>
  </si>
  <si>
    <t># OF AVERAGE CUSTOMERS PER ENTREPRENEUR</t>
  </si>
  <si>
    <t>COMBINED AVERAGE # OF CUSTOMERS PER MONTH</t>
  </si>
  <si>
    <t>CONCRETE PRODUCERS</t>
  </si>
  <si>
    <t>Days</t>
  </si>
  <si>
    <t>USED FOR THIS DATABASE!!!</t>
  </si>
  <si>
    <t>(a=1.5m,b=2.1m,h=1.5m),(a=1.4,b=1.6m,h=1.5m)</t>
  </si>
  <si>
    <t>Brak Thorn</t>
  </si>
  <si>
    <t>Meas San</t>
  </si>
  <si>
    <t>Kong Rithy Phal</t>
  </si>
  <si>
    <t>Seng Try</t>
  </si>
  <si>
    <t>Tham Siphanith</t>
  </si>
  <si>
    <t>097 883 8384</t>
  </si>
  <si>
    <t>092 346 640</t>
  </si>
  <si>
    <t>031 544 402</t>
  </si>
  <si>
    <t>017 289 998</t>
  </si>
  <si>
    <t>097 506 0264</t>
  </si>
  <si>
    <t>SNV</t>
  </si>
  <si>
    <t>No sale agent</t>
  </si>
  <si>
    <t>Ang Mlee village, Touk Meas Khang Keurt commune</t>
  </si>
  <si>
    <t>Ta Tein village, Samrong Krom commune</t>
  </si>
  <si>
    <t>Prey Krala Khang Lich village, Touk Meas Khang Lich</t>
  </si>
  <si>
    <t>Prey Krala village, Touk Meas commune</t>
  </si>
  <si>
    <t>Srea Treng village, Wat Ang Khang Lich commune</t>
  </si>
  <si>
    <t>Bantey Meas district, Kampot province</t>
  </si>
  <si>
    <t>Kim Ngeit</t>
  </si>
  <si>
    <t>Seik Kunthea</t>
  </si>
  <si>
    <t>Din Chamnuch</t>
  </si>
  <si>
    <t>Depo Srey Pov</t>
  </si>
  <si>
    <t>Srey Pov</t>
  </si>
  <si>
    <t>097 761 06 21</t>
  </si>
  <si>
    <t>012 272 335</t>
  </si>
  <si>
    <t>092 322 686</t>
  </si>
  <si>
    <t>077 664 747</t>
  </si>
  <si>
    <t>Door, ការ៉ូ (កេះ)</t>
  </si>
  <si>
    <t>Brick, Metal door, Zine (3m)</t>
  </si>
  <si>
    <t>Touk Meas village/Commune</t>
  </si>
  <si>
    <t>Trapang Pong village, Bantey Meas commune</t>
  </si>
  <si>
    <t>Preykrala village, Touk Meas commune</t>
  </si>
  <si>
    <t>Don't know</t>
  </si>
  <si>
    <t>C.7.1.3</t>
  </si>
  <si>
    <t>C.7.2.3</t>
  </si>
  <si>
    <t>MISSING DATA / BLANK</t>
  </si>
  <si>
    <t>C.8.1.3</t>
  </si>
  <si>
    <t>C.8.2.3</t>
  </si>
  <si>
    <t xml:space="preserve">I (have to) buy water from a water vendor </t>
  </si>
  <si>
    <t>Total # of HH</t>
  </si>
  <si>
    <t>% of HH with water constraints</t>
  </si>
  <si>
    <t>Total # of rings</t>
  </si>
  <si>
    <t>Upto one year</t>
  </si>
  <si>
    <t>F.6</t>
  </si>
  <si>
    <t>F.6.1</t>
  </si>
  <si>
    <t>G.9</t>
  </si>
  <si>
    <t>D.8</t>
  </si>
  <si>
    <t>D.8.1</t>
  </si>
  <si>
    <t>Willingness to spent on toilet</t>
  </si>
  <si>
    <t>Average amount</t>
  </si>
  <si>
    <t>Nothing</t>
  </si>
  <si>
    <t>CALCULATED AVERAGE</t>
  </si>
  <si>
    <t>X.3</t>
  </si>
  <si>
    <t>X.4</t>
  </si>
  <si>
    <t>Number of HH with toilet interviewed during PM survey</t>
  </si>
  <si>
    <t>In % of total # of HH participating in FGDs</t>
  </si>
  <si>
    <t>C.8.1.4</t>
  </si>
  <si>
    <t>C.8.1.5</t>
  </si>
  <si>
    <t>C.8.2.4</t>
  </si>
  <si>
    <t>C.8.2.5</t>
  </si>
  <si>
    <t>Level 0 (no toilet)</t>
  </si>
  <si>
    <t>Level 1 (unimproved toilet)</t>
  </si>
  <si>
    <t>Level 2 (improved toilet)</t>
  </si>
  <si>
    <t>Level 4 (environmentally safe)</t>
  </si>
  <si>
    <t>Level 0 (no toilet or not in use as toilet)</t>
  </si>
  <si>
    <t>Level 1 (toilet in use as toilet)</t>
  </si>
  <si>
    <t>Level 2 (functional toilet)</t>
  </si>
  <si>
    <t>Level 3 (functional and clean toilet)</t>
  </si>
  <si>
    <t>Level 4 (functional, clean and private toilet)</t>
  </si>
  <si>
    <t>SEE COLUMN AB</t>
  </si>
  <si>
    <t>Calculated number of pit rings</t>
  </si>
  <si>
    <t>Minimum # of rings</t>
  </si>
  <si>
    <t>Maximum # of rings</t>
  </si>
  <si>
    <t>Average # of rings</t>
  </si>
  <si>
    <t>C.9.3</t>
  </si>
  <si>
    <t>C.9.3.1</t>
  </si>
  <si>
    <t>C.9.3.2</t>
  </si>
  <si>
    <t>C.9.3.3</t>
  </si>
  <si>
    <t>Actual # of HH that spent money on repairs and so on</t>
  </si>
  <si>
    <t>Number of HH without toilet interviewed during PM survey</t>
  </si>
  <si>
    <t>Calculated amount HH want to spent on new toilet</t>
  </si>
  <si>
    <t>Minimum amount</t>
  </si>
  <si>
    <t>SEE COLUMN BA</t>
  </si>
  <si>
    <t xml:space="preserve">Maximum amount </t>
  </si>
  <si>
    <t>Calculated amount</t>
  </si>
  <si>
    <t>Score in percentage for (access to) knowledge</t>
  </si>
  <si>
    <t>ALL HOUSEHOLDS</t>
  </si>
  <si>
    <t>X.5</t>
  </si>
  <si>
    <t>Gender of respondents interviewed during PM survey</t>
  </si>
  <si>
    <t>Gender of participants involved in FGDs</t>
  </si>
  <si>
    <t>A.0</t>
  </si>
  <si>
    <t>SOCIO-ECONOMIC STATUS (Commune Database 2011)</t>
  </si>
  <si>
    <t xml:space="preserve">In % of total # of HH </t>
  </si>
  <si>
    <t>Where do families defecate who were interviewed during PM survey?</t>
  </si>
  <si>
    <t>C.0.0</t>
  </si>
  <si>
    <t>Use own toilet</t>
  </si>
  <si>
    <t>Where do families defecate who participated in FGDs?</t>
  </si>
  <si>
    <t>C.1.0</t>
  </si>
  <si>
    <t>HH with toilet according to PM survey</t>
  </si>
  <si>
    <t>HH with toilet according to Commune Database 2011</t>
  </si>
  <si>
    <t>Difference</t>
  </si>
  <si>
    <t>Commune Name</t>
  </si>
  <si>
    <t>Commune selected</t>
  </si>
  <si>
    <t>Sanitation coverage</t>
  </si>
  <si>
    <t>ID Poor HH (2013)</t>
  </si>
  <si>
    <t># of HH</t>
  </si>
  <si>
    <t># of villages per commune</t>
  </si>
  <si>
    <t>HH</t>
  </si>
  <si>
    <t>Sanitation coverage selected villages</t>
  </si>
  <si>
    <t>Yes = 1</t>
  </si>
  <si>
    <t>%</t>
  </si>
  <si>
    <t>HH with</t>
  </si>
  <si>
    <t>HH without</t>
  </si>
  <si>
    <t>#8</t>
  </si>
  <si>
    <t>#9</t>
  </si>
  <si>
    <t>#10</t>
  </si>
  <si>
    <t>#11</t>
  </si>
  <si>
    <t>#12</t>
  </si>
  <si>
    <t>#13</t>
  </si>
  <si>
    <t>#14</t>
  </si>
  <si>
    <t>#15</t>
  </si>
  <si>
    <t>Averages</t>
  </si>
  <si>
    <t>Where GSF Yes (September 2014 figures)</t>
  </si>
  <si>
    <t>Other % Commune data base 2011</t>
  </si>
  <si>
    <t>Sdach Kong Khang Lech</t>
  </si>
  <si>
    <t>no flood</t>
  </si>
  <si>
    <t>Samraung Leu</t>
  </si>
  <si>
    <t>Touk Meas Khang Koeut</t>
  </si>
  <si>
    <t>Vath Ang Khang Cheung</t>
  </si>
  <si>
    <t>Sdach Kong Khang Tbong</t>
  </si>
  <si>
    <t xml:space="preserve">flood </t>
  </si>
  <si>
    <t>Thnoat Chong Srang</t>
  </si>
  <si>
    <t>Trapeang Sala Khang Lech</t>
  </si>
  <si>
    <t>Vath Ang Khang Tbong</t>
  </si>
  <si>
    <t>Samraung Kroam</t>
  </si>
  <si>
    <t>Banteay Meas Khang Leck</t>
  </si>
  <si>
    <t>Banteay Meas Khang Kouet</t>
  </si>
  <si>
    <t>Touk Meas Khang Leck</t>
  </si>
  <si>
    <t>Trapeang Sala Khang Kouet</t>
  </si>
  <si>
    <t xml:space="preserve">Sdach Kong Khang Cheung </t>
  </si>
  <si>
    <t>Prey Tonle</t>
  </si>
  <si>
    <t>ODF Communes ODF</t>
  </si>
  <si>
    <t>Rout # 3( closed/ far)</t>
  </si>
  <si>
    <t>Geography context (flood/not flood)</t>
  </si>
  <si>
    <t># of selected villages for baseline</t>
  </si>
  <si>
    <t>??</t>
  </si>
  <si>
    <t>A.4.1</t>
  </si>
  <si>
    <t>ONLY production of toilet parts</t>
  </si>
  <si>
    <t>Production of toilet parts and other concrete products</t>
  </si>
  <si>
    <t>Production of toilet parts and other business</t>
  </si>
  <si>
    <t>Toilet parts other concrete parts and other business</t>
  </si>
  <si>
    <t>A.4.2</t>
  </si>
  <si>
    <t>Toilet parts production as % of total business</t>
  </si>
  <si>
    <t>75-99%</t>
  </si>
  <si>
    <t>50_74%</t>
  </si>
  <si>
    <t>25-49%</t>
  </si>
  <si>
    <t>0-24%</t>
  </si>
  <si>
    <t>Minimum time spent on production of toilet parts</t>
  </si>
  <si>
    <t>Maximum time spent on production of toilet parts</t>
  </si>
  <si>
    <t>Average time spent on production of toilet parts</t>
  </si>
  <si>
    <t>A.6.6</t>
  </si>
  <si>
    <t>Production quality</t>
  </si>
  <si>
    <t xml:space="preserve">Slab with pan is casted in one go </t>
  </si>
  <si>
    <t>Slab with pan is casted in two stages</t>
  </si>
  <si>
    <t xml:space="preserve">Pan has a functioning water seal </t>
  </si>
  <si>
    <t xml:space="preserve">Pan has no functioning water seal </t>
  </si>
  <si>
    <t xml:space="preserve">The slab is able to withstand the weight </t>
  </si>
  <si>
    <t xml:space="preserve">The slab is not able to withstand the weight </t>
  </si>
  <si>
    <t>The slab is somewhere in between strong and weak</t>
  </si>
  <si>
    <t>Score for production quality</t>
  </si>
  <si>
    <t>Production quality is "Good"</t>
  </si>
  <si>
    <t>Production quality is "Average"</t>
  </si>
  <si>
    <t>Production quality is "Poor"</t>
  </si>
  <si>
    <t>Production quality score</t>
  </si>
  <si>
    <t xml:space="preserve"> DISTRICT IN </t>
  </si>
  <si>
    <t>DEMAND SIDE</t>
  </si>
  <si>
    <t>SUPPLY SIDE</t>
  </si>
  <si>
    <t>Exchange rate</t>
  </si>
  <si>
    <t>PRODUCERS</t>
  </si>
  <si>
    <t>GENERAL INFO ON DISTRICT</t>
  </si>
  <si>
    <t xml:space="preserve">GENERAL INFO ON DISTRICT </t>
  </si>
  <si>
    <t>1.1.1</t>
  </si>
  <si>
    <t>POPULATION</t>
  </si>
  <si>
    <t xml:space="preserve">SUPPLY CHAIN ACTORS </t>
  </si>
  <si>
    <t>Total # of people in District</t>
  </si>
  <si>
    <t>Total # of HH in District</t>
  </si>
  <si>
    <t xml:space="preserve">Guestimated # of sanitation supply chain actors </t>
  </si>
  <si>
    <t>1.1.2</t>
  </si>
  <si>
    <t>EXISTENCE OF TOILETS</t>
  </si>
  <si>
    <t xml:space="preserve">SANITATION CUSTOMERS </t>
  </si>
  <si>
    <r>
      <rPr>
        <sz val="10"/>
        <color theme="1"/>
        <rFont val="Webdings"/>
        <family val="1"/>
        <charset val="2"/>
      </rPr>
      <t>4</t>
    </r>
    <r>
      <rPr>
        <sz val="10"/>
        <color theme="1"/>
        <rFont val="Calibri"/>
        <family val="2"/>
        <scheme val="minor"/>
      </rPr>
      <t xml:space="preserve"> # of HH with toilet</t>
    </r>
  </si>
  <si>
    <t xml:space="preserve">Calculated # of current customers per year </t>
  </si>
  <si>
    <r>
      <rPr>
        <sz val="10"/>
        <color theme="1"/>
        <rFont val="Webdings"/>
        <family val="1"/>
        <charset val="2"/>
      </rPr>
      <t>4</t>
    </r>
    <r>
      <rPr>
        <sz val="10"/>
        <color theme="1"/>
        <rFont val="Calibri"/>
        <family val="2"/>
        <scheme val="minor"/>
      </rPr>
      <t xml:space="preserve"> # of HH without toilet</t>
    </r>
  </si>
  <si>
    <t xml:space="preserve">Potential # of customers per year </t>
  </si>
  <si>
    <r>
      <rPr>
        <sz val="10"/>
        <color theme="1"/>
        <rFont val="Webdings"/>
        <family val="1"/>
        <charset val="2"/>
      </rPr>
      <t>4</t>
    </r>
    <r>
      <rPr>
        <sz val="10"/>
        <color theme="1"/>
        <rFont val="Calibri"/>
        <family val="2"/>
        <scheme val="minor"/>
      </rPr>
      <t xml:space="preserve"> Totals</t>
    </r>
  </si>
  <si>
    <t xml:space="preserve">GENERAL INFO ON SURVEY SAMPLE </t>
  </si>
  <si>
    <t>1.2.1</t>
  </si>
  <si>
    <t>SAMPLE SIZE PM SURVEY</t>
  </si>
  <si>
    <t xml:space="preserve">SAMPLE SIZE </t>
  </si>
  <si>
    <t>Total # of villages included in PM survey</t>
  </si>
  <si>
    <t>Total # of HH included in PM survey</t>
  </si>
  <si>
    <t>As % of total # of HH in District</t>
  </si>
  <si>
    <t xml:space="preserve">As % of total # of SSC actors in Union </t>
  </si>
  <si>
    <t>Existence of toilets</t>
  </si>
  <si>
    <t xml:space="preserve">Calculated # of current customers per month </t>
  </si>
  <si>
    <t>HH with toilet as % of sampled consumer segment</t>
  </si>
  <si>
    <t>1.2.2</t>
  </si>
  <si>
    <t>SAMPLE SIZE SSDS RAPID ASSESSMENT</t>
  </si>
  <si>
    <t>Total # of villages included in SS&amp;D rapid assessment</t>
  </si>
  <si>
    <t>Total # of HH participating in FGD</t>
  </si>
  <si>
    <t xml:space="preserve">BACKGROUND AND EXPERIENCE OF KEY SUPPLY SIDE ACTORS </t>
  </si>
  <si>
    <t xml:space="preserve">OVERALL JUDGEMENT </t>
  </si>
  <si>
    <t>1.3.1</t>
  </si>
  <si>
    <t xml:space="preserve">Background and experience of producers </t>
  </si>
  <si>
    <t xml:space="preserve">PLACE: Where are the customers? </t>
  </si>
  <si>
    <t xml:space="preserve">PLACE: Where are the supply side actors? </t>
  </si>
  <si>
    <t>DISTANCE AND ACCESSIBILITY</t>
  </si>
  <si>
    <t>2.1.1</t>
  </si>
  <si>
    <t xml:space="preserve">DISTANCE TO NEAREST PRODUCERS </t>
  </si>
  <si>
    <t>Average distance to nearest producer in hours</t>
  </si>
  <si>
    <t>2.1.2</t>
  </si>
  <si>
    <t>HOME DELIVERY SERVICES</t>
  </si>
  <si>
    <t>% of villages where home delivery services are available</t>
  </si>
  <si>
    <t>2.1.3</t>
  </si>
  <si>
    <t xml:space="preserve">OVERAL JUDGEMENT </t>
  </si>
  <si>
    <t>Overal score for distance and accessibility</t>
  </si>
  <si>
    <t>2.2.1</t>
  </si>
  <si>
    <t>2.2.2</t>
  </si>
  <si>
    <t>FLOOD PRONE</t>
  </si>
  <si>
    <t>2.2.3</t>
  </si>
  <si>
    <t xml:space="preserve"># of villages expected to require full pit lining </t>
  </si>
  <si>
    <t>2.2.4</t>
  </si>
  <si>
    <t>OVERALL JUDGEMENT</t>
  </si>
  <si>
    <t>As % of total # of villages included in survey</t>
  </si>
  <si>
    <t>PRODUCTS: What do they need now and in future?</t>
  </si>
  <si>
    <t xml:space="preserve">PRODUCTS: What products and services are made available? </t>
  </si>
  <si>
    <t>DEMAND FOR NEW TOILETS</t>
  </si>
  <si>
    <t xml:space="preserve">SUPPLY OF NEW TOILET COMPONENTS </t>
  </si>
  <si>
    <t>3.1.1</t>
  </si>
  <si>
    <t>FIRST-TIME BUYERS</t>
  </si>
  <si>
    <t xml:space="preserve">SUPPLY OF TOILET PARTS </t>
  </si>
  <si>
    <t>FIRST-TIME BUYERS INTERESTED TO CONSTRUCT TOILET</t>
  </si>
  <si>
    <r>
      <rPr>
        <sz val="10"/>
        <rFont val="Webdings"/>
        <family val="1"/>
        <charset val="2"/>
      </rPr>
      <t>4</t>
    </r>
    <r>
      <rPr>
        <sz val="10"/>
        <rFont val="Calibri"/>
        <family val="2"/>
        <scheme val="minor"/>
      </rPr>
      <t xml:space="preserve"> # of HH interested to construct a toilet</t>
    </r>
  </si>
  <si>
    <t xml:space="preserve">% of 'have-nots' interested to construct a toilet </t>
  </si>
  <si>
    <t>Calculated demand for total population</t>
  </si>
  <si>
    <t xml:space="preserve">Calculated # of existing customers per year </t>
  </si>
  <si>
    <t>3.1.2</t>
  </si>
  <si>
    <t>REPEAT CUSTOMERS</t>
  </si>
  <si>
    <t>HH INTERESTED OR REQUIRED TO REPLACE THEIR TOILET</t>
  </si>
  <si>
    <r>
      <rPr>
        <sz val="10"/>
        <rFont val="Webdings"/>
        <family val="1"/>
        <charset val="2"/>
      </rPr>
      <t>4</t>
    </r>
    <r>
      <rPr>
        <sz val="10"/>
        <rFont val="Calibri"/>
        <family val="2"/>
        <scheme val="minor"/>
      </rPr>
      <t xml:space="preserve"> HH interested to replace their toilet</t>
    </r>
  </si>
  <si>
    <r>
      <rPr>
        <sz val="10"/>
        <rFont val="Webdings"/>
        <family val="1"/>
        <charset val="2"/>
      </rPr>
      <t>4</t>
    </r>
    <r>
      <rPr>
        <sz val="10"/>
        <rFont val="Calibri"/>
        <family val="2"/>
        <scheme val="minor"/>
      </rPr>
      <t xml:space="preserve"> HH interested to construct an additional toilet</t>
    </r>
  </si>
  <si>
    <r>
      <rPr>
        <sz val="10"/>
        <color theme="1"/>
        <rFont val="Webdings"/>
        <family val="1"/>
        <charset val="2"/>
      </rPr>
      <t>4</t>
    </r>
    <r>
      <rPr>
        <sz val="10"/>
        <color theme="1"/>
        <rFont val="Calibri"/>
        <family val="2"/>
        <scheme val="minor"/>
      </rPr>
      <t xml:space="preserve"> Combined totals</t>
    </r>
  </si>
  <si>
    <t>% of 'haves' interested to replace or add toilet</t>
  </si>
  <si>
    <t>3.1.3</t>
  </si>
  <si>
    <t>CALCULATED DEMAND FOR TOTAL POPULATION</t>
  </si>
  <si>
    <t xml:space="preserve">CALCULATED SUPPLY </t>
  </si>
  <si>
    <t>Calculated demand first timers and repeat customers</t>
  </si>
  <si>
    <t>Desired target for toilet coverage</t>
  </si>
  <si>
    <t>Total demand for District population</t>
  </si>
  <si>
    <t>Remaing years to achieve universal coverage</t>
  </si>
  <si>
    <t>Annual demand for total District population</t>
  </si>
  <si>
    <t xml:space="preserve">Maximum # of customers per year </t>
  </si>
  <si>
    <t>DEMAND FOR IMPROVING / UPGRADING EXISTING TOILETS</t>
  </si>
  <si>
    <t xml:space="preserve">SUPPLY FOR JMPROVING / UPGRADING EXISTING TOILETS </t>
  </si>
  <si>
    <t>3.2.1</t>
  </si>
  <si>
    <r>
      <rPr>
        <sz val="10"/>
        <color rgb="FFFF0000"/>
        <rFont val="Webdings"/>
        <family val="1"/>
        <charset val="2"/>
      </rPr>
      <t>4</t>
    </r>
    <r>
      <rPr>
        <sz val="10"/>
        <color rgb="FFFF0000"/>
        <rFont val="Calibri"/>
        <family val="2"/>
        <scheme val="minor"/>
      </rPr>
      <t xml:space="preserve"> # of existing toilets that score level 4 or indicator 1</t>
    </r>
  </si>
  <si>
    <t>% of toilets that are environmentally safe</t>
  </si>
  <si>
    <r>
      <rPr>
        <sz val="10"/>
        <color rgb="FFFF0000"/>
        <rFont val="Webdings"/>
        <family val="1"/>
        <charset val="2"/>
      </rPr>
      <t>4</t>
    </r>
    <r>
      <rPr>
        <sz val="10"/>
        <color rgb="FFFF0000"/>
        <rFont val="Calibri"/>
        <family val="2"/>
        <scheme val="minor"/>
      </rPr>
      <t xml:space="preserve"> # of existing toilets that score level 4 or indicator 2</t>
    </r>
  </si>
  <si>
    <t>% of toilets that are used hygienically</t>
  </si>
  <si>
    <t>HH INTERESTED TO UPGRADE THEIR TOILET</t>
  </si>
  <si>
    <r>
      <rPr>
        <sz val="10"/>
        <rFont val="Webdings"/>
        <family val="1"/>
        <charset val="2"/>
      </rPr>
      <t>4</t>
    </r>
    <r>
      <rPr>
        <sz val="10"/>
        <rFont val="Calibri"/>
        <family val="2"/>
        <scheme val="minor"/>
      </rPr>
      <t xml:space="preserve"> HH interested to improve or upgrade their toilet</t>
    </r>
  </si>
  <si>
    <t>3.2.2</t>
  </si>
  <si>
    <t>% of HH interested to improve their toilet</t>
  </si>
  <si>
    <t>Annual demand for total population</t>
  </si>
  <si>
    <t>COMBINED DEMAND NEW TOILETS AND UPGRADES</t>
  </si>
  <si>
    <t xml:space="preserve">QUALITY OF AVAILABLE PRODUCTS AND SERVICES </t>
  </si>
  <si>
    <t xml:space="preserve">Quality of concrete toilet part products </t>
  </si>
  <si>
    <t>3.3.1</t>
  </si>
  <si>
    <t>DEMAND FOR PIT EMPTYING SERVICES</t>
  </si>
  <si>
    <t xml:space="preserve">SUPPLY OF PIT EMPTYING SERVICES </t>
  </si>
  <si>
    <t>3.4.1</t>
  </si>
  <si>
    <t>CURRENT DEMAND</t>
  </si>
  <si>
    <t xml:space="preserve">CURRENT SUPPLY </t>
  </si>
  <si>
    <r>
      <rPr>
        <sz val="10"/>
        <color rgb="FFFF0000"/>
        <rFont val="Webdings"/>
        <family val="1"/>
        <charset val="2"/>
      </rPr>
      <t>4</t>
    </r>
    <r>
      <rPr>
        <sz val="10"/>
        <color rgb="FFFF0000"/>
        <rFont val="Calibri"/>
        <family val="2"/>
        <scheme val="minor"/>
      </rPr>
      <t xml:space="preserve"> # of toilets (PM)</t>
    </r>
  </si>
  <si>
    <r>
      <rPr>
        <sz val="10"/>
        <color rgb="FFFF0000"/>
        <rFont val="Webdings"/>
        <family val="1"/>
        <charset val="2"/>
      </rPr>
      <t>4</t>
    </r>
    <r>
      <rPr>
        <sz val="10"/>
        <color rgb="FFFF0000"/>
        <rFont val="Calibri"/>
        <family val="2"/>
        <scheme val="minor"/>
      </rPr>
      <t xml:space="preserve"> # of toilets (FGD)</t>
    </r>
  </si>
  <si>
    <r>
      <rPr>
        <b/>
        <sz val="10"/>
        <color rgb="FFFF0000"/>
        <rFont val="Webdings"/>
        <family val="1"/>
        <charset val="2"/>
      </rPr>
      <t>4</t>
    </r>
    <r>
      <rPr>
        <b/>
        <sz val="10"/>
        <color rgb="FFFF0000"/>
        <rFont val="Calibri"/>
        <family val="2"/>
        <scheme val="minor"/>
      </rPr>
      <t xml:space="preserve"> # of toilets combined</t>
    </r>
  </si>
  <si>
    <r>
      <rPr>
        <sz val="10"/>
        <color rgb="FFFF0000"/>
        <rFont val="Webdings"/>
        <family val="1"/>
        <charset val="2"/>
      </rPr>
      <t>4</t>
    </r>
    <r>
      <rPr>
        <sz val="10"/>
        <color rgb="FFFF0000"/>
        <rFont val="Calibri"/>
        <family val="2"/>
        <scheme val="minor"/>
      </rPr>
      <t xml:space="preserve"> # of toilet pits that have been emptied (PM)</t>
    </r>
  </si>
  <si>
    <r>
      <rPr>
        <sz val="10"/>
        <color rgb="FFFF0000"/>
        <rFont val="Webdings"/>
        <family val="1"/>
        <charset val="2"/>
      </rPr>
      <t>4</t>
    </r>
    <r>
      <rPr>
        <sz val="10"/>
        <color rgb="FFFF0000"/>
        <rFont val="Calibri"/>
        <family val="2"/>
        <scheme val="minor"/>
      </rPr>
      <t xml:space="preserve"> # of toilet pits that have been emptied (FGD)</t>
    </r>
  </si>
  <si>
    <r>
      <rPr>
        <b/>
        <sz val="10"/>
        <color rgb="FFFF0000"/>
        <rFont val="Webdings"/>
        <family val="1"/>
        <charset val="2"/>
      </rPr>
      <t>4</t>
    </r>
    <r>
      <rPr>
        <b/>
        <sz val="10"/>
        <color rgb="FFFF0000"/>
        <rFont val="Calibri"/>
        <family val="2"/>
        <scheme val="minor"/>
      </rPr>
      <t xml:space="preserve"> # of toilet pits that have been emptied combined</t>
    </r>
  </si>
  <si>
    <r>
      <rPr>
        <sz val="10"/>
        <color rgb="FFFF0000"/>
        <rFont val="Webdings"/>
        <family val="1"/>
        <charset val="2"/>
      </rPr>
      <t>4</t>
    </r>
    <r>
      <rPr>
        <sz val="10"/>
        <color rgb="FFFF0000"/>
        <rFont val="Calibri"/>
        <family val="2"/>
        <scheme val="minor"/>
      </rPr>
      <t xml:space="preserve"> % of toilet pits that have been emptied</t>
    </r>
  </si>
  <si>
    <r>
      <rPr>
        <sz val="10"/>
        <color rgb="FFFF0000"/>
        <rFont val="Webdings"/>
        <family val="1"/>
        <charset val="2"/>
      </rPr>
      <t>4</t>
    </r>
    <r>
      <rPr>
        <sz val="10"/>
        <color rgb="FFFF0000"/>
        <rFont val="Calibri"/>
        <family val="2"/>
        <scheme val="minor"/>
      </rPr>
      <t xml:space="preserve"> Average age of toilets </t>
    </r>
  </si>
  <si>
    <t>Average pit emptying frequency per year</t>
  </si>
  <si>
    <t xml:space="preserve">Existing pit emptying occurrences per year </t>
  </si>
  <si>
    <t>3.4.2</t>
  </si>
  <si>
    <t>FUTURE DEMAND</t>
  </si>
  <si>
    <t xml:space="preserve">FUTURE SUPPLY </t>
  </si>
  <si>
    <t>Estimated future annual demand (100%)</t>
  </si>
  <si>
    <t xml:space="preserve">PRICE: How much can they afford? </t>
  </si>
  <si>
    <t xml:space="preserve">PRICE: How much does it cost? </t>
  </si>
  <si>
    <t>ABILITY TO PAY FOR NEW TOILETS</t>
  </si>
  <si>
    <t xml:space="preserve">COSTS OF A NEW TOILET </t>
  </si>
  <si>
    <t>4.1.1</t>
  </si>
  <si>
    <t>MONEY SPENT ON TOILETS CONSTRUCTED DURING PAST TWO YEARS</t>
  </si>
  <si>
    <t># of HH that have spent money on toilets</t>
  </si>
  <si>
    <r>
      <rPr>
        <sz val="10"/>
        <color theme="1"/>
        <rFont val="Webdings"/>
        <family val="1"/>
        <charset val="2"/>
      </rPr>
      <t>4</t>
    </r>
    <r>
      <rPr>
        <sz val="10"/>
        <color theme="1"/>
        <rFont val="Calibri"/>
        <family val="2"/>
        <scheme val="minor"/>
      </rPr>
      <t xml:space="preserve"> Don't know / Can't remember</t>
    </r>
  </si>
  <si>
    <r>
      <rPr>
        <sz val="10"/>
        <color theme="1"/>
        <rFont val="Webdings"/>
        <family val="1"/>
        <charset val="2"/>
      </rPr>
      <t>4</t>
    </r>
    <r>
      <rPr>
        <sz val="10"/>
        <color theme="1"/>
        <rFont val="Calibri"/>
        <family val="2"/>
        <scheme val="minor"/>
      </rPr>
      <t xml:space="preserve"> Nothing / Paid for by others</t>
    </r>
  </si>
  <si>
    <r>
      <rPr>
        <sz val="10"/>
        <color theme="1"/>
        <rFont val="Webdings"/>
        <family val="1"/>
        <charset val="2"/>
      </rPr>
      <t>4</t>
    </r>
    <r>
      <rPr>
        <sz val="10"/>
        <color theme="1"/>
        <rFont val="Calibri"/>
        <family val="2"/>
        <scheme val="minor"/>
      </rPr>
      <t xml:space="preserve"> (Partly) Paid by HH</t>
    </r>
  </si>
  <si>
    <t>% of HH that have spent money on their toilet</t>
  </si>
  <si>
    <t>Average amount spent on existing toilet in Riel</t>
  </si>
  <si>
    <t xml:space="preserve">Estimated costs of "Easy Latrine" with superstructure in Riel </t>
  </si>
  <si>
    <t>Average amount spent on existing toilet in USD</t>
  </si>
  <si>
    <t xml:space="preserve">Estimated costs of "Easy Latrine" with superstructure in USD </t>
  </si>
  <si>
    <t>ABILITY TO PAY FOR IMPROVEMENTS / UPGRADES</t>
  </si>
  <si>
    <t>COSTS OF TOILET UPGRADES</t>
  </si>
  <si>
    <t>4.2.1</t>
  </si>
  <si>
    <t>MONEY SPENT ON IMPROVING EXISTING TOILETS</t>
  </si>
  <si>
    <t xml:space="preserve">COSTS OF TOILET UPGRADES </t>
  </si>
  <si>
    <t># of HH that have spent money on repairs/upgrades</t>
  </si>
  <si>
    <r>
      <rPr>
        <sz val="10"/>
        <rFont val="Webdings"/>
        <family val="1"/>
        <charset val="2"/>
      </rPr>
      <t>4</t>
    </r>
    <r>
      <rPr>
        <sz val="10"/>
        <rFont val="Calibri"/>
        <family val="2"/>
        <scheme val="minor"/>
      </rPr>
      <t xml:space="preserve"> Don't know / Can't remember</t>
    </r>
  </si>
  <si>
    <r>
      <rPr>
        <sz val="10"/>
        <rFont val="Webdings"/>
        <family val="1"/>
        <charset val="2"/>
      </rPr>
      <t>4</t>
    </r>
    <r>
      <rPr>
        <sz val="10"/>
        <rFont val="Calibri"/>
        <family val="2"/>
        <scheme val="minor"/>
      </rPr>
      <t xml:space="preserve"> Nothing </t>
    </r>
  </si>
  <si>
    <r>
      <rPr>
        <sz val="10"/>
        <rFont val="Webdings"/>
        <family val="1"/>
        <charset val="2"/>
      </rPr>
      <t>4</t>
    </r>
    <r>
      <rPr>
        <sz val="10"/>
        <rFont val="Calibri"/>
        <family val="2"/>
        <scheme val="minor"/>
      </rPr>
      <t xml:space="preserve"> (Partly) Paid by HH</t>
    </r>
  </si>
  <si>
    <t>% of HH that have spent money on improvements</t>
  </si>
  <si>
    <t>Average amount spent on improvements in Riel</t>
  </si>
  <si>
    <t xml:space="preserve">Estimated annual costs for operation &amp; maintenance (5% of CAPEX) in Riel </t>
  </si>
  <si>
    <t>Average amount spent on improvements in USD</t>
  </si>
  <si>
    <t xml:space="preserve">Estimated annual costs for operation &amp; maintenance (5% of CAPEX) in USD </t>
  </si>
  <si>
    <t>ABILITY TO PAY FOR EMPTYING SERVICES</t>
  </si>
  <si>
    <t>COSTS OF EMPTYING SERVICES</t>
  </si>
  <si>
    <t>4.3.1</t>
  </si>
  <si>
    <t>MONEY SPENT ON PIT EMPTYING</t>
  </si>
  <si>
    <t>PIT EMPTYING CHARGES</t>
  </si>
  <si>
    <r>
      <rPr>
        <sz val="10"/>
        <color rgb="FFFF0000"/>
        <rFont val="Webdings"/>
        <family val="1"/>
        <charset val="2"/>
      </rPr>
      <t>4</t>
    </r>
    <r>
      <rPr>
        <sz val="10"/>
        <color rgb="FFFF0000"/>
        <rFont val="Calibri"/>
        <family val="2"/>
        <scheme val="minor"/>
      </rPr>
      <t xml:space="preserve"> # of HH that had their pit emptied (PM)</t>
    </r>
  </si>
  <si>
    <r>
      <rPr>
        <sz val="10"/>
        <color rgb="FFFF0000"/>
        <rFont val="Webdings"/>
        <family val="1"/>
        <charset val="2"/>
      </rPr>
      <t>4</t>
    </r>
    <r>
      <rPr>
        <sz val="10"/>
        <color rgb="FFFF0000"/>
        <rFont val="Calibri"/>
        <family val="2"/>
        <scheme val="minor"/>
      </rPr>
      <t xml:space="preserve"> # of HH that had their pit emptied (FGD)</t>
    </r>
  </si>
  <si>
    <r>
      <rPr>
        <sz val="10"/>
        <color rgb="FFFF0000"/>
        <rFont val="Webdings"/>
        <family val="1"/>
        <charset val="2"/>
      </rPr>
      <t>4</t>
    </r>
    <r>
      <rPr>
        <sz val="10"/>
        <color rgb="FFFF0000"/>
        <rFont val="Calibri"/>
        <family val="2"/>
        <scheme val="minor"/>
      </rPr>
      <t xml:space="preserve"> # of HH that had their pit emptied combined</t>
    </r>
  </si>
  <si>
    <r>
      <rPr>
        <sz val="10"/>
        <color rgb="FFFF0000"/>
        <rFont val="Webdings"/>
        <family val="1"/>
        <charset val="2"/>
      </rPr>
      <t>4</t>
    </r>
    <r>
      <rPr>
        <sz val="10"/>
        <color rgb="FFFF0000"/>
        <rFont val="Calibri"/>
        <family val="2"/>
        <scheme val="minor"/>
      </rPr>
      <t xml:space="preserve"> # of HH with toilet (PM)</t>
    </r>
  </si>
  <si>
    <r>
      <rPr>
        <sz val="10"/>
        <color rgb="FFFF0000"/>
        <rFont val="Webdings"/>
        <family val="1"/>
        <charset val="2"/>
      </rPr>
      <t>4</t>
    </r>
    <r>
      <rPr>
        <sz val="10"/>
        <color rgb="FFFF0000"/>
        <rFont val="Calibri"/>
        <family val="2"/>
        <scheme val="minor"/>
      </rPr>
      <t xml:space="preserve"> # of HH with toilet (FGD)</t>
    </r>
  </si>
  <si>
    <r>
      <rPr>
        <sz val="10"/>
        <color rgb="FFFF0000"/>
        <rFont val="Webdings"/>
        <family val="1"/>
        <charset val="2"/>
      </rPr>
      <t>4</t>
    </r>
    <r>
      <rPr>
        <sz val="10"/>
        <color rgb="FFFF0000"/>
        <rFont val="Calibri"/>
        <family val="2"/>
        <scheme val="minor"/>
      </rPr>
      <t xml:space="preserve"> # of HH with toilet combined</t>
    </r>
  </si>
  <si>
    <t>% of HH that had their pit emptied</t>
  </si>
  <si>
    <t xml:space="preserve">Average costs of pit emptying per one ring </t>
  </si>
  <si>
    <t xml:space="preserve">Average rings used per toilet </t>
  </si>
  <si>
    <t>Average amount spent on pit emptying in Riel</t>
  </si>
  <si>
    <t xml:space="preserve">Average costs of pit emptying in Riel </t>
  </si>
  <si>
    <t>Average amount spent on pit emptying in USD</t>
  </si>
  <si>
    <t xml:space="preserve">Average costs of pit emptying in USD </t>
  </si>
  <si>
    <t>WILLINGNESS TO PAY</t>
  </si>
  <si>
    <t>COSTS OF SANITATION FACILITIES</t>
  </si>
  <si>
    <t>4.4.1</t>
  </si>
  <si>
    <t>WILLINGNESS TO PAY FOR NEW TOILETS</t>
  </si>
  <si>
    <t>HH interested to construct a (new) toilet</t>
  </si>
  <si>
    <r>
      <rPr>
        <sz val="10"/>
        <rFont val="Webdings"/>
        <family val="1"/>
        <charset val="2"/>
      </rPr>
      <t>4</t>
    </r>
    <r>
      <rPr>
        <sz val="10"/>
        <rFont val="Calibri"/>
        <family val="2"/>
        <scheme val="minor"/>
      </rPr>
      <t xml:space="preserve"> # of HH interested to construct their first toilet</t>
    </r>
  </si>
  <si>
    <t># of HH that are willing to pay for new toilets</t>
  </si>
  <si>
    <r>
      <rPr>
        <sz val="10"/>
        <rFont val="Webdings"/>
        <family val="1"/>
        <charset val="2"/>
      </rPr>
      <t>4</t>
    </r>
    <r>
      <rPr>
        <sz val="10"/>
        <rFont val="Calibri"/>
        <family val="2"/>
        <scheme val="minor"/>
      </rPr>
      <t xml:space="preserve"> First-time buyers</t>
    </r>
  </si>
  <si>
    <t>% of HH willing to pay for new toilets</t>
  </si>
  <si>
    <t>Amount HH intend to spent on new toilet in Riel</t>
  </si>
  <si>
    <t>Amount HH intend to spent on new toilet in USD</t>
  </si>
  <si>
    <t>PROMOTION: Do they promote their products?</t>
  </si>
  <si>
    <t>PROMOTION BY KEY SUPPLY SIDE ACTORS</t>
  </si>
  <si>
    <t>5.1.1</t>
  </si>
  <si>
    <t xml:space="preserve">Intensity of promotion activities </t>
  </si>
  <si>
    <t xml:space="preserve">Do they have the KNOWLEDGE to make an informed decision? </t>
  </si>
  <si>
    <t xml:space="preserve">Do they have the KNOWHOW and experience to inform their customers? </t>
  </si>
  <si>
    <t>TECHNICAL EXPERIENCE</t>
  </si>
  <si>
    <t>6.1.1</t>
  </si>
  <si>
    <t>KNOWHOW OR INFORMATION ABOUT TOILET OPTIONS</t>
  </si>
  <si>
    <t>RELEVANT TECHNICAL EXPERIENCE</t>
  </si>
  <si>
    <t xml:space="preserve">% of HH with sufficient (access to) knowledge </t>
  </si>
  <si>
    <t>% of HH with acceptable toilet (Levels 3 + 4)</t>
  </si>
  <si>
    <t>Overall judgement on customers' knowledge</t>
  </si>
  <si>
    <t xml:space="preserve">Overall judgement on producers </t>
  </si>
  <si>
    <t>Overall judgement on knowledge</t>
  </si>
  <si>
    <t xml:space="preserve">Overall judgement on knowledge </t>
  </si>
  <si>
    <r>
      <rPr>
        <b/>
        <sz val="12"/>
        <color theme="1"/>
        <rFont val="Calibri"/>
        <family val="2"/>
        <scheme val="minor"/>
      </rPr>
      <t>WHO</t>
    </r>
    <r>
      <rPr>
        <b/>
        <sz val="11"/>
        <color theme="1"/>
        <rFont val="Calibri"/>
        <family val="2"/>
        <scheme val="minor"/>
      </rPr>
      <t xml:space="preserve"> are the supply side actors selling sanitation products and services?</t>
    </r>
  </si>
  <si>
    <r>
      <rPr>
        <b/>
        <sz val="11"/>
        <color theme="1"/>
        <rFont val="Wingdings"/>
        <charset val="2"/>
      </rPr>
      <t>è</t>
    </r>
    <r>
      <rPr>
        <b/>
        <sz val="11"/>
        <color theme="1"/>
        <rFont val="Calibri"/>
        <family val="2"/>
        <scheme val="minor"/>
      </rPr>
      <t>   Type and quantity of potential customers / consumers</t>
    </r>
  </si>
  <si>
    <r>
      <rPr>
        <b/>
        <sz val="11"/>
        <color theme="1"/>
        <rFont val="Wingdings"/>
        <charset val="2"/>
      </rPr>
      <t>è</t>
    </r>
    <r>
      <rPr>
        <b/>
        <sz val="11"/>
        <color theme="1"/>
        <rFont val="Calibri"/>
        <family val="2"/>
        <scheme val="minor"/>
      </rPr>
      <t>   Type and quantity of supply side actors</t>
    </r>
  </si>
  <si>
    <r>
      <t xml:space="preserve">      </t>
    </r>
    <r>
      <rPr>
        <sz val="11"/>
        <color theme="1"/>
        <rFont val="Webdings"/>
        <family val="1"/>
        <charset val="2"/>
      </rPr>
      <t>4</t>
    </r>
    <r>
      <rPr>
        <sz val="11"/>
        <color theme="1"/>
        <rFont val="Calibri"/>
        <family val="2"/>
        <scheme val="minor"/>
      </rPr>
      <t>  Hard-core poor, poor and non-poor households</t>
    </r>
  </si>
  <si>
    <r>
      <t xml:space="preserve">        </t>
    </r>
    <r>
      <rPr>
        <sz val="11"/>
        <color theme="1"/>
        <rFont val="Webdings"/>
        <family val="1"/>
        <charset val="2"/>
      </rPr>
      <t>4</t>
    </r>
    <r>
      <rPr>
        <sz val="11"/>
        <color theme="1"/>
        <rFont val="Calibri"/>
        <family val="2"/>
        <scheme val="minor"/>
      </rPr>
      <t>  Producers, hardware stores and pit emptying services</t>
    </r>
  </si>
  <si>
    <r>
      <t xml:space="preserve">      </t>
    </r>
    <r>
      <rPr>
        <sz val="11"/>
        <color theme="1"/>
        <rFont val="Webdings"/>
        <family val="1"/>
        <charset val="2"/>
      </rPr>
      <t>4</t>
    </r>
    <r>
      <rPr>
        <sz val="11"/>
        <color theme="1"/>
        <rFont val="Calibri"/>
        <family val="2"/>
        <scheme val="minor"/>
      </rPr>
      <t>  Households with and without toilets</t>
    </r>
  </si>
  <si>
    <r>
      <rPr>
        <b/>
        <sz val="11"/>
        <color theme="1"/>
        <rFont val="Wingdings"/>
        <charset val="2"/>
      </rPr>
      <t>è</t>
    </r>
    <r>
      <rPr>
        <b/>
        <sz val="11"/>
        <color theme="1"/>
        <rFont val="Calibri"/>
        <family val="2"/>
        <scheme val="minor"/>
      </rPr>
      <t xml:space="preserve">   Background and experience of key supply side actors </t>
    </r>
  </si>
  <si>
    <r>
      <rPr>
        <b/>
        <sz val="14"/>
        <color theme="1"/>
        <rFont val="Calibri"/>
        <family val="2"/>
        <scheme val="minor"/>
      </rPr>
      <t>PLACE:</t>
    </r>
    <r>
      <rPr>
        <b/>
        <sz val="11"/>
        <color theme="1"/>
        <rFont val="Calibri"/>
        <family val="2"/>
        <scheme val="minor"/>
      </rPr>
      <t xml:space="preserve"> Where are the customers? </t>
    </r>
  </si>
  <si>
    <r>
      <rPr>
        <b/>
        <sz val="14"/>
        <color theme="1"/>
        <rFont val="Calibri"/>
        <family val="2"/>
        <scheme val="minor"/>
      </rPr>
      <t>PLACE:</t>
    </r>
    <r>
      <rPr>
        <b/>
        <sz val="11"/>
        <color theme="1"/>
        <rFont val="Calibri"/>
        <family val="2"/>
        <scheme val="minor"/>
      </rPr>
      <t xml:space="preserve"> Where are the supply side actors?</t>
    </r>
  </si>
  <si>
    <r>
      <rPr>
        <b/>
        <sz val="11"/>
        <color theme="1"/>
        <rFont val="Wingdings"/>
        <charset val="2"/>
      </rPr>
      <t>è</t>
    </r>
    <r>
      <rPr>
        <b/>
        <sz val="11"/>
        <color theme="1"/>
        <rFont val="Calibri"/>
        <family val="2"/>
        <scheme val="minor"/>
      </rPr>
      <t xml:space="preserve">   Location </t>
    </r>
  </si>
  <si>
    <r>
      <t xml:space="preserve">      </t>
    </r>
    <r>
      <rPr>
        <sz val="11"/>
        <color theme="1"/>
        <rFont val="Webdings"/>
        <family val="1"/>
        <charset val="2"/>
      </rPr>
      <t>4</t>
    </r>
    <r>
      <rPr>
        <sz val="11"/>
        <color theme="1"/>
        <rFont val="Calibri"/>
        <family val="2"/>
        <scheme val="minor"/>
      </rPr>
      <t>  Distance and accessibility</t>
    </r>
  </si>
  <si>
    <r>
      <rPr>
        <b/>
        <sz val="14"/>
        <color theme="1"/>
        <rFont val="Calibri"/>
        <family val="2"/>
        <scheme val="minor"/>
      </rPr>
      <t>PRODUCTS:</t>
    </r>
    <r>
      <rPr>
        <b/>
        <sz val="11"/>
        <color theme="1"/>
        <rFont val="Calibri"/>
        <family val="2"/>
        <scheme val="minor"/>
      </rPr>
      <t xml:space="preserve"> What do they need now and in future? </t>
    </r>
  </si>
  <si>
    <r>
      <rPr>
        <b/>
        <sz val="14"/>
        <color theme="1"/>
        <rFont val="Calibri"/>
        <family val="2"/>
        <scheme val="minor"/>
      </rPr>
      <t>PRODUCTS:</t>
    </r>
    <r>
      <rPr>
        <b/>
        <sz val="11"/>
        <color theme="1"/>
        <rFont val="Calibri"/>
        <family val="2"/>
        <scheme val="minor"/>
      </rPr>
      <t xml:space="preserve"> What products and services are made available? </t>
    </r>
  </si>
  <si>
    <r>
      <rPr>
        <b/>
        <sz val="11"/>
        <color theme="1"/>
        <rFont val="Wingdings"/>
        <charset val="2"/>
      </rPr>
      <t>è</t>
    </r>
    <r>
      <rPr>
        <b/>
        <sz val="11"/>
        <color theme="1"/>
        <rFont val="Calibri"/>
        <family val="2"/>
        <scheme val="minor"/>
      </rPr>
      <t>   Type and volume of products and services</t>
    </r>
  </si>
  <si>
    <r>
      <t xml:space="preserve">      </t>
    </r>
    <r>
      <rPr>
        <sz val="11"/>
        <color theme="1"/>
        <rFont val="Webdings"/>
        <family val="1"/>
        <charset val="2"/>
      </rPr>
      <t>4</t>
    </r>
    <r>
      <rPr>
        <sz val="11"/>
        <color theme="1"/>
        <rFont val="Calibri"/>
        <family val="2"/>
        <scheme val="minor"/>
      </rPr>
      <t>  Demand for new toilets by first-timers and repeat customers</t>
    </r>
  </si>
  <si>
    <r>
      <t xml:space="preserve">      </t>
    </r>
    <r>
      <rPr>
        <sz val="11"/>
        <color theme="1"/>
        <rFont val="Webdings"/>
        <family val="1"/>
        <charset val="2"/>
      </rPr>
      <t>4</t>
    </r>
    <r>
      <rPr>
        <sz val="11"/>
        <color theme="1"/>
        <rFont val="Calibri"/>
        <family val="2"/>
        <scheme val="minor"/>
      </rPr>
      <t>  Demand for new toilets by first-timers and repeat customers</t>
    </r>
  </si>
  <si>
    <r>
      <t xml:space="preserve">      </t>
    </r>
    <r>
      <rPr>
        <sz val="11"/>
        <color theme="1"/>
        <rFont val="Webdings"/>
        <family val="1"/>
        <charset val="2"/>
      </rPr>
      <t>4</t>
    </r>
    <r>
      <rPr>
        <sz val="11"/>
        <color theme="1"/>
        <rFont val="Calibri"/>
        <family val="2"/>
        <scheme val="minor"/>
      </rPr>
      <t xml:space="preserve">  Combined demand for new toilets and upgrades </t>
    </r>
  </si>
  <si>
    <r>
      <t xml:space="preserve">      </t>
    </r>
    <r>
      <rPr>
        <sz val="11"/>
        <color theme="1"/>
        <rFont val="Webdings"/>
        <family val="1"/>
        <charset val="2"/>
      </rPr>
      <t>4</t>
    </r>
    <r>
      <rPr>
        <sz val="11"/>
        <color theme="1"/>
        <rFont val="Calibri"/>
        <family val="2"/>
        <scheme val="minor"/>
      </rPr>
      <t>  Pit emptying services current demand</t>
    </r>
  </si>
  <si>
    <r>
      <t xml:space="preserve">      </t>
    </r>
    <r>
      <rPr>
        <sz val="11"/>
        <color theme="1"/>
        <rFont val="Webdings"/>
        <family val="1"/>
        <charset val="2"/>
      </rPr>
      <t>4</t>
    </r>
    <r>
      <rPr>
        <sz val="11"/>
        <color theme="1"/>
        <rFont val="Calibri"/>
        <family val="2"/>
        <scheme val="minor"/>
      </rPr>
      <t>  Pit emptying services future demand</t>
    </r>
  </si>
  <si>
    <r>
      <rPr>
        <b/>
        <sz val="11"/>
        <color theme="1"/>
        <rFont val="Wingdings"/>
        <charset val="2"/>
      </rPr>
      <t>è</t>
    </r>
    <r>
      <rPr>
        <b/>
        <sz val="11"/>
        <color theme="1"/>
        <rFont val="Calibri"/>
        <family val="2"/>
        <scheme val="minor"/>
      </rPr>
      <t>   Quality of available products and services</t>
    </r>
  </si>
  <si>
    <r>
      <rPr>
        <b/>
        <sz val="14"/>
        <color theme="1"/>
        <rFont val="Calibri"/>
        <family val="2"/>
        <scheme val="minor"/>
      </rPr>
      <t>PRICE:</t>
    </r>
    <r>
      <rPr>
        <b/>
        <sz val="11"/>
        <color theme="1"/>
        <rFont val="Calibri"/>
        <family val="2"/>
        <scheme val="minor"/>
      </rPr>
      <t xml:space="preserve"> How much can they afford? </t>
    </r>
  </si>
  <si>
    <r>
      <rPr>
        <b/>
        <sz val="14"/>
        <color theme="1"/>
        <rFont val="Calibri"/>
        <family val="2"/>
        <scheme val="minor"/>
      </rPr>
      <t>PRICE:</t>
    </r>
    <r>
      <rPr>
        <b/>
        <sz val="11"/>
        <color theme="1"/>
        <rFont val="Calibri"/>
        <family val="2"/>
        <scheme val="minor"/>
      </rPr>
      <t xml:space="preserve"> How much does it cost? </t>
    </r>
  </si>
  <si>
    <r>
      <rPr>
        <b/>
        <sz val="11"/>
        <color theme="1"/>
        <rFont val="Wingdings"/>
        <charset val="2"/>
      </rPr>
      <t>è</t>
    </r>
    <r>
      <rPr>
        <b/>
        <sz val="11"/>
        <color theme="1"/>
        <rFont val="Calibri"/>
        <family val="2"/>
        <scheme val="minor"/>
      </rPr>
      <t>   Ability and willingness to pay</t>
    </r>
  </si>
  <si>
    <r>
      <rPr>
        <b/>
        <sz val="11"/>
        <color theme="1"/>
        <rFont val="Wingdings"/>
        <charset val="2"/>
      </rPr>
      <t>è</t>
    </r>
    <r>
      <rPr>
        <b/>
        <sz val="11"/>
        <color theme="1"/>
        <rFont val="Calibri"/>
        <family val="2"/>
        <scheme val="minor"/>
      </rPr>
      <t>   Costs of products and services</t>
    </r>
  </si>
  <si>
    <r>
      <t xml:space="preserve">      </t>
    </r>
    <r>
      <rPr>
        <sz val="11"/>
        <color theme="1"/>
        <rFont val="Webdings"/>
        <family val="1"/>
        <charset val="2"/>
      </rPr>
      <t>4</t>
    </r>
    <r>
      <rPr>
        <sz val="11"/>
        <color theme="1"/>
        <rFont val="Calibri"/>
        <family val="2"/>
        <scheme val="minor"/>
      </rPr>
      <t>  Ability to pay for new toilets</t>
    </r>
  </si>
  <si>
    <r>
      <t xml:space="preserve">      </t>
    </r>
    <r>
      <rPr>
        <sz val="11"/>
        <color theme="1"/>
        <rFont val="Webdings"/>
        <family val="1"/>
        <charset val="2"/>
      </rPr>
      <t>4</t>
    </r>
    <r>
      <rPr>
        <sz val="11"/>
        <color theme="1"/>
        <rFont val="Calibri"/>
        <family val="2"/>
        <scheme val="minor"/>
      </rPr>
      <t>  Costs of a new toilet</t>
    </r>
  </si>
  <si>
    <r>
      <t xml:space="preserve">      </t>
    </r>
    <r>
      <rPr>
        <sz val="11"/>
        <color theme="1"/>
        <rFont val="Webdings"/>
        <family val="1"/>
        <charset val="2"/>
      </rPr>
      <t>4</t>
    </r>
    <r>
      <rPr>
        <sz val="11"/>
        <color theme="1"/>
        <rFont val="Calibri"/>
        <family val="2"/>
        <scheme val="minor"/>
      </rPr>
      <t>  Costs for operation, maintenance and repairs</t>
    </r>
  </si>
  <si>
    <r>
      <t xml:space="preserve">      </t>
    </r>
    <r>
      <rPr>
        <sz val="11"/>
        <color theme="1"/>
        <rFont val="Webdings"/>
        <family val="1"/>
        <charset val="2"/>
      </rPr>
      <t>4</t>
    </r>
    <r>
      <rPr>
        <sz val="11"/>
        <color theme="1"/>
        <rFont val="Calibri"/>
        <family val="2"/>
        <scheme val="minor"/>
      </rPr>
      <t>  Ability to pay for pit emptying services</t>
    </r>
  </si>
  <si>
    <r>
      <t xml:space="preserve">      </t>
    </r>
    <r>
      <rPr>
        <sz val="11"/>
        <color theme="1"/>
        <rFont val="Webdings"/>
        <family val="1"/>
        <charset val="2"/>
      </rPr>
      <t>4</t>
    </r>
    <r>
      <rPr>
        <sz val="11"/>
        <color theme="1"/>
        <rFont val="Calibri"/>
        <family val="2"/>
        <scheme val="minor"/>
      </rPr>
      <t>  Costs of pit emptying</t>
    </r>
  </si>
  <si>
    <r>
      <t xml:space="preserve">      </t>
    </r>
    <r>
      <rPr>
        <sz val="11"/>
        <color theme="1"/>
        <rFont val="Webdings"/>
        <family val="1"/>
        <charset val="2"/>
      </rPr>
      <t>4</t>
    </r>
    <r>
      <rPr>
        <sz val="11"/>
        <color theme="1"/>
        <rFont val="Calibri"/>
        <family val="2"/>
        <scheme val="minor"/>
      </rPr>
      <t>  Willingness to pay for new toilets</t>
    </r>
  </si>
  <si>
    <r>
      <rPr>
        <b/>
        <sz val="14"/>
        <color theme="1"/>
        <rFont val="Calibri"/>
        <family val="2"/>
        <scheme val="minor"/>
      </rPr>
      <t>PROMOTION:</t>
    </r>
    <r>
      <rPr>
        <b/>
        <sz val="11"/>
        <color theme="1"/>
        <rFont val="Calibri"/>
        <family val="2"/>
        <scheme val="minor"/>
      </rPr>
      <t xml:space="preserve"> Do they promote and market their products?</t>
    </r>
  </si>
  <si>
    <r>
      <rPr>
        <b/>
        <sz val="11"/>
        <color theme="1"/>
        <rFont val="Wingdings"/>
        <charset val="2"/>
      </rPr>
      <t>è</t>
    </r>
    <r>
      <rPr>
        <b/>
        <sz val="11"/>
        <color theme="1"/>
        <rFont val="Calibri"/>
        <family val="2"/>
        <scheme val="minor"/>
      </rPr>
      <t xml:space="preserve">   Promotion by key supply chain actors </t>
    </r>
  </si>
  <si>
    <r>
      <t xml:space="preserve">      </t>
    </r>
    <r>
      <rPr>
        <sz val="11"/>
        <color theme="1"/>
        <rFont val="Webdings"/>
        <family val="1"/>
        <charset val="2"/>
      </rPr>
      <t>4</t>
    </r>
    <r>
      <rPr>
        <sz val="11"/>
        <color theme="1"/>
        <rFont val="Calibri"/>
        <family val="2"/>
        <scheme val="minor"/>
      </rPr>
      <t>  Intensity of promotion activities by producers</t>
    </r>
  </si>
  <si>
    <r>
      <t xml:space="preserve">Do they have the </t>
    </r>
    <r>
      <rPr>
        <b/>
        <sz val="12"/>
        <color theme="1"/>
        <rFont val="Calibri"/>
        <family val="2"/>
        <scheme val="minor"/>
      </rPr>
      <t>KNOWLEDGE</t>
    </r>
    <r>
      <rPr>
        <b/>
        <sz val="11"/>
        <color theme="1"/>
        <rFont val="Calibri"/>
        <family val="2"/>
        <scheme val="minor"/>
      </rPr>
      <t xml:space="preserve"> to make an informed decision? </t>
    </r>
  </si>
  <si>
    <r>
      <t xml:space="preserve">Do they have the </t>
    </r>
    <r>
      <rPr>
        <b/>
        <sz val="12"/>
        <color theme="1"/>
        <rFont val="Calibri"/>
        <family val="2"/>
        <scheme val="minor"/>
      </rPr>
      <t>KNOWHOW and experience to advise</t>
    </r>
    <r>
      <rPr>
        <b/>
        <sz val="11"/>
        <color theme="1"/>
        <rFont val="Calibri"/>
        <family val="2"/>
        <scheme val="minor"/>
      </rPr>
      <t>?</t>
    </r>
  </si>
  <si>
    <r>
      <rPr>
        <b/>
        <sz val="11"/>
        <color theme="1"/>
        <rFont val="Wingdings"/>
        <charset val="2"/>
      </rPr>
      <t>è</t>
    </r>
    <r>
      <rPr>
        <b/>
        <sz val="11"/>
        <color theme="1"/>
        <rFont val="Calibri"/>
        <family val="2"/>
        <scheme val="minor"/>
      </rPr>
      <t>   Knowledge about sanitation technologies</t>
    </r>
  </si>
  <si>
    <r>
      <rPr>
        <b/>
        <sz val="11"/>
        <color theme="1"/>
        <rFont val="Wingdings"/>
        <charset val="2"/>
      </rPr>
      <t>è</t>
    </r>
    <r>
      <rPr>
        <b/>
        <sz val="11"/>
        <color theme="1"/>
        <rFont val="Calibri"/>
        <family val="2"/>
        <scheme val="minor"/>
      </rPr>
      <t>   Technical experience and knowhow</t>
    </r>
  </si>
  <si>
    <r>
      <t xml:space="preserve">      </t>
    </r>
    <r>
      <rPr>
        <sz val="11"/>
        <color theme="1"/>
        <rFont val="Webdings"/>
        <family val="1"/>
        <charset val="2"/>
      </rPr>
      <t>4</t>
    </r>
    <r>
      <rPr>
        <sz val="11"/>
        <color theme="1"/>
        <rFont val="Calibri"/>
        <family val="2"/>
        <scheme val="minor"/>
      </rPr>
      <t>  Overall judgement on customers' knowledge</t>
    </r>
  </si>
  <si>
    <r>
      <t xml:space="preserve">      </t>
    </r>
    <r>
      <rPr>
        <sz val="11"/>
        <color theme="1"/>
        <rFont val="Webdings"/>
        <family val="1"/>
        <charset val="2"/>
      </rPr>
      <t>4</t>
    </r>
    <r>
      <rPr>
        <sz val="11"/>
        <color theme="1"/>
        <rFont val="Calibri"/>
        <family val="2"/>
        <scheme val="minor"/>
      </rPr>
      <t>  Overall judgement on producers</t>
    </r>
  </si>
  <si>
    <t xml:space="preserve">Total # of supply chain actors included in SS&amp;D </t>
  </si>
  <si>
    <r>
      <rPr>
        <b/>
        <sz val="10"/>
        <color theme="1"/>
        <rFont val="Webdings"/>
        <family val="1"/>
        <charset val="2"/>
      </rPr>
      <t>4</t>
    </r>
    <r>
      <rPr>
        <b/>
        <sz val="10"/>
        <color theme="1"/>
        <rFont val="Calibri"/>
        <family val="2"/>
        <scheme val="minor"/>
      </rPr>
      <t xml:space="preserve"> Totals</t>
    </r>
  </si>
  <si>
    <t>Total number of HH in sample communes</t>
  </si>
  <si>
    <t>HH with toilet as % of total HH</t>
  </si>
  <si>
    <t>DASHBOARD | 4 P's +</t>
  </si>
  <si>
    <r>
      <t xml:space="preserve">      </t>
    </r>
    <r>
      <rPr>
        <sz val="11"/>
        <color theme="1"/>
        <rFont val="Webdings"/>
        <family val="1"/>
        <charset val="2"/>
      </rPr>
      <t>4</t>
    </r>
    <r>
      <rPr>
        <sz val="11"/>
        <color theme="1"/>
        <rFont val="Calibri"/>
        <family val="2"/>
        <scheme val="minor"/>
      </rPr>
      <t>  Background and experience of concrete producers</t>
    </r>
  </si>
  <si>
    <r>
      <t xml:space="preserve">      </t>
    </r>
    <r>
      <rPr>
        <sz val="11"/>
        <color theme="1"/>
        <rFont val="Webdings"/>
        <family val="1"/>
        <charset val="2"/>
      </rPr>
      <t>4</t>
    </r>
    <r>
      <rPr>
        <sz val="11"/>
        <color theme="1"/>
        <rFont val="Calibri"/>
        <family val="2"/>
        <scheme val="minor"/>
      </rPr>
      <t>  Quality of concrete toilet products</t>
    </r>
  </si>
  <si>
    <t>COSTS OF POUR-FLUSH TOILET</t>
  </si>
  <si>
    <t>Max</t>
  </si>
  <si>
    <t>AVERAGE # OF CUSTOMERS PER MONTH</t>
  </si>
  <si>
    <t>ESTIMATED # OF ANNUAL CUSTOMERS</t>
  </si>
  <si>
    <t>Knowledge about where to buy concrete products</t>
  </si>
  <si>
    <t>Red cross</t>
  </si>
  <si>
    <t>Damnak trayeong (substitute)</t>
  </si>
  <si>
    <t>Bra Phung (substitute)</t>
  </si>
  <si>
    <t>All HH in village have toilets</t>
  </si>
  <si>
    <t>Have NGO to promote on latrine but don't remember the name</t>
  </si>
  <si>
    <t>Svay Pa am (substitute)</t>
  </si>
  <si>
    <t>Remaing years to achieve desired target</t>
  </si>
  <si>
    <t>Guestimated annual demand for pit emptying services</t>
  </si>
  <si>
    <r>
      <t xml:space="preserve">      </t>
    </r>
    <r>
      <rPr>
        <sz val="11"/>
        <color theme="1"/>
        <rFont val="Webdings"/>
        <family val="1"/>
        <charset val="2"/>
      </rPr>
      <t>4</t>
    </r>
    <r>
      <rPr>
        <sz val="11"/>
        <color theme="1"/>
        <rFont val="Calibri"/>
        <family val="2"/>
        <scheme val="minor"/>
      </rPr>
      <t>  Ability to pay for operation, maintenance and repairs</t>
    </r>
  </si>
  <si>
    <t>give own contact number</t>
  </si>
  <si>
    <t>Promote to find the place for sanitation training</t>
  </si>
  <si>
    <t>To promote in village/ conduct meeting</t>
  </si>
  <si>
    <t>Level 3 (improved + fly management)</t>
  </si>
  <si>
    <t>Superstructure is too small</t>
  </si>
  <si>
    <t>Superstrucure is too small or too low</t>
  </si>
  <si>
    <t>Guesthouse</t>
  </si>
  <si>
    <t>Dangerous because of snakes</t>
  </si>
  <si>
    <t>It is inconcenient to have to walk far</t>
  </si>
  <si>
    <t>It is hot outside</t>
  </si>
  <si>
    <t>It is inconvenient as it will be muddy during the rainy season</t>
  </si>
  <si>
    <t>Will construct toilet together with my (new) house</t>
  </si>
  <si>
    <t>Difficult to deliver toilet materials due to narrow road</t>
  </si>
  <si>
    <t>Actual # of HH that spent money on constructing a toilet</t>
  </si>
  <si>
    <r>
      <t xml:space="preserve">      </t>
    </r>
    <r>
      <rPr>
        <sz val="11"/>
        <color theme="1"/>
        <rFont val="Webdings"/>
        <family val="1"/>
        <charset val="2"/>
      </rPr>
      <t>4</t>
    </r>
    <r>
      <rPr>
        <sz val="11"/>
        <color theme="1"/>
        <rFont val="Calibri"/>
        <family val="2"/>
        <scheme val="minor"/>
      </rPr>
      <t xml:space="preserve">  Appropriateness of standard sanitation technology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</si>
</sst>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409]d\-mmm\-yyyy;@"/>
    <numFmt numFmtId="165" formatCode="#,##0.0_);\(#,##0.0\)"/>
    <numFmt numFmtId="166" formatCode="00"/>
    <numFmt numFmtId="167" formatCode="#,##0.0;\-#,##0.0"/>
    <numFmt numFmtId="168" formatCode="#,##0_ ;\-#,##0\ "/>
    <numFmt numFmtId="169" formatCode="#,##0.0_ ;\-#,##0.0\ "/>
    <numFmt numFmtId="170" formatCode="0.0"/>
    <numFmt numFmtId="171" formatCode="0.0%"/>
    <numFmt numFmtId="172" formatCode="#,##0.00_ ;\-#,##0.00\ "/>
    <numFmt numFmtId="173" formatCode="[$-409]mmm\-yy;@"/>
    <numFmt numFmtId="174" formatCode="#,##0_);\(#,##0\)"/>
  </numFmts>
  <fonts count="56"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sz val="10"/>
      <color theme="1"/>
      <name val="Calibri"/>
      <family val="2"/>
      <scheme val="minor"/>
    </font>
    <font>
      <b/>
      <sz val="10"/>
      <color theme="1"/>
      <name val="Calibri"/>
      <family val="2"/>
      <scheme val="minor"/>
    </font>
    <font>
      <b/>
      <sz val="10"/>
      <name val="Calibri"/>
      <family val="2"/>
      <scheme val="minor"/>
    </font>
    <font>
      <sz val="12"/>
      <color theme="1"/>
      <name val="Calibri"/>
      <family val="2"/>
      <scheme val="minor"/>
    </font>
    <font>
      <b/>
      <sz val="12"/>
      <color theme="1"/>
      <name val="Calibri"/>
      <family val="2"/>
      <scheme val="minor"/>
    </font>
    <font>
      <b/>
      <i/>
      <sz val="10"/>
      <color theme="1"/>
      <name val="Calibri"/>
      <family val="2"/>
      <scheme val="minor"/>
    </font>
    <font>
      <sz val="9"/>
      <name val="Calibri"/>
      <family val="2"/>
      <scheme val="minor"/>
    </font>
    <font>
      <sz val="10"/>
      <name val="Calibri"/>
      <family val="2"/>
      <scheme val="minor"/>
    </font>
    <font>
      <i/>
      <sz val="10"/>
      <color theme="1"/>
      <name val="Calibri"/>
      <family val="2"/>
      <scheme val="minor"/>
    </font>
    <font>
      <b/>
      <sz val="10"/>
      <color theme="0"/>
      <name val="Calibri"/>
      <family val="2"/>
      <scheme val="minor"/>
    </font>
    <font>
      <sz val="10"/>
      <color rgb="FFFF0000"/>
      <name val="Calibri"/>
      <family val="2"/>
      <scheme val="minor"/>
    </font>
    <font>
      <sz val="11"/>
      <name val="Calibri"/>
      <family val="2"/>
      <scheme val="minor"/>
    </font>
    <font>
      <sz val="11"/>
      <color indexed="8"/>
      <name val="Calibri"/>
      <family val="2"/>
      <scheme val="minor"/>
    </font>
    <font>
      <b/>
      <sz val="10"/>
      <color theme="0"/>
      <name val="Calibri"/>
      <family val="2"/>
    </font>
    <font>
      <b/>
      <sz val="16"/>
      <color rgb="FF008000"/>
      <name val="Calibri"/>
      <family val="2"/>
      <scheme val="minor"/>
    </font>
    <font>
      <b/>
      <sz val="16"/>
      <color rgb="FFFF0000"/>
      <name val="Calibri"/>
      <family val="2"/>
      <scheme val="minor"/>
    </font>
    <font>
      <b/>
      <u/>
      <sz val="10"/>
      <name val="Calibri"/>
      <family val="2"/>
      <scheme val="minor"/>
    </font>
    <font>
      <b/>
      <sz val="11"/>
      <color rgb="FF000000"/>
      <name val="Calibri"/>
      <family val="2"/>
      <scheme val="minor"/>
    </font>
    <font>
      <b/>
      <sz val="16"/>
      <color theme="1"/>
      <name val="Calibri"/>
      <family val="2"/>
      <scheme val="minor"/>
    </font>
    <font>
      <b/>
      <sz val="11"/>
      <name val="Calibri"/>
      <family val="2"/>
      <scheme val="minor"/>
    </font>
    <font>
      <b/>
      <sz val="14"/>
      <name val="Calibri"/>
      <family val="2"/>
      <scheme val="minor"/>
    </font>
    <font>
      <b/>
      <sz val="9"/>
      <name val="Calibri"/>
      <family val="2"/>
      <scheme val="minor"/>
    </font>
    <font>
      <b/>
      <i/>
      <sz val="10"/>
      <name val="Calibri"/>
      <family val="2"/>
      <scheme val="minor"/>
    </font>
    <font>
      <b/>
      <sz val="12"/>
      <name val="Calibri"/>
      <family val="2"/>
      <scheme val="minor"/>
    </font>
    <font>
      <b/>
      <sz val="16"/>
      <name val="Calibri"/>
      <family val="2"/>
      <scheme val="minor"/>
    </font>
    <font>
      <b/>
      <sz val="10"/>
      <name val="Wingdings"/>
      <charset val="2"/>
    </font>
    <font>
      <b/>
      <sz val="9"/>
      <name val="Calibri"/>
      <family val="2"/>
    </font>
    <font>
      <sz val="10"/>
      <color theme="0"/>
      <name val="Calibri"/>
      <family val="2"/>
      <scheme val="minor"/>
    </font>
    <font>
      <sz val="12"/>
      <name val="Calibri"/>
      <family val="2"/>
      <scheme val="minor"/>
    </font>
    <font>
      <sz val="10"/>
      <color rgb="FF000000"/>
      <name val="Calibri"/>
      <family val="2"/>
      <scheme val="minor"/>
    </font>
    <font>
      <sz val="10"/>
      <color indexed="8"/>
      <name val="Calibri"/>
      <family val="2"/>
      <scheme val="minor"/>
    </font>
    <font>
      <b/>
      <sz val="10"/>
      <color rgb="FFFF0000"/>
      <name val="Calibri"/>
      <family val="2"/>
      <scheme val="minor"/>
    </font>
    <font>
      <b/>
      <sz val="16"/>
      <color rgb="FF0070C0"/>
      <name val="Calibri"/>
      <family val="2"/>
      <scheme val="minor"/>
    </font>
    <font>
      <b/>
      <sz val="10"/>
      <color rgb="FF000000"/>
      <name val="Calibri"/>
      <family val="2"/>
      <scheme val="minor"/>
    </font>
    <font>
      <sz val="16"/>
      <color theme="1"/>
      <name val="Calibri"/>
      <family val="2"/>
      <scheme val="minor"/>
    </font>
    <font>
      <b/>
      <sz val="20"/>
      <color theme="1"/>
      <name val="Calibri"/>
      <family val="2"/>
      <scheme val="minor"/>
    </font>
    <font>
      <b/>
      <sz val="16"/>
      <color theme="0"/>
      <name val="Arial Rounded MT Bold"/>
      <family val="2"/>
    </font>
    <font>
      <b/>
      <sz val="16"/>
      <color theme="1"/>
      <name val="Arial Rounded MT Bold"/>
      <family val="2"/>
    </font>
    <font>
      <sz val="9"/>
      <color theme="1"/>
      <name val="Calibri"/>
      <family val="2"/>
      <scheme val="minor"/>
    </font>
    <font>
      <b/>
      <sz val="9"/>
      <color theme="1"/>
      <name val="Calibri"/>
      <family val="2"/>
      <scheme val="minor"/>
    </font>
    <font>
      <sz val="14"/>
      <color theme="1"/>
      <name val="Calibri"/>
      <family val="2"/>
      <scheme val="minor"/>
    </font>
    <font>
      <sz val="10"/>
      <color theme="1"/>
      <name val="Webdings"/>
      <family val="1"/>
      <charset val="2"/>
    </font>
    <font>
      <sz val="10"/>
      <name val="Webdings"/>
      <family val="1"/>
      <charset val="2"/>
    </font>
    <font>
      <sz val="10"/>
      <color rgb="FFFF0000"/>
      <name val="Webdings"/>
      <family val="1"/>
      <charset val="2"/>
    </font>
    <font>
      <b/>
      <sz val="10"/>
      <color rgb="FFFF0000"/>
      <name val="Webdings"/>
      <family val="1"/>
      <charset val="2"/>
    </font>
    <font>
      <b/>
      <sz val="20"/>
      <color theme="1" tint="0.34998626667073579"/>
      <name val="Arial Rounded MT Bold"/>
      <family val="2"/>
    </font>
    <font>
      <b/>
      <sz val="11"/>
      <color theme="1"/>
      <name val="Symbol"/>
      <family val="1"/>
      <charset val="2"/>
    </font>
    <font>
      <b/>
      <sz val="11"/>
      <color theme="1"/>
      <name val="Wingdings"/>
      <charset val="2"/>
    </font>
    <font>
      <sz val="11"/>
      <color theme="1"/>
      <name val="Symbol"/>
      <family val="1"/>
      <charset val="2"/>
    </font>
    <font>
      <sz val="11"/>
      <color theme="1"/>
      <name val="Webdings"/>
      <family val="1"/>
      <charset val="2"/>
    </font>
    <font>
      <b/>
      <sz val="10"/>
      <color theme="1"/>
      <name val="Webdings"/>
      <family val="1"/>
      <charset val="2"/>
    </font>
    <font>
      <sz val="11"/>
      <color indexed="8"/>
      <name val="Calibri"/>
      <family val="2"/>
      <charset val="1"/>
    </font>
  </fonts>
  <fills count="36">
    <fill>
      <patternFill patternType="none"/>
    </fill>
    <fill>
      <patternFill patternType="gray125"/>
    </fill>
    <fill>
      <patternFill patternType="solid">
        <fgColor rgb="FF99CCFF"/>
        <bgColor indexed="64"/>
      </patternFill>
    </fill>
    <fill>
      <patternFill patternType="solid">
        <fgColor rgb="FF99FF99"/>
        <bgColor indexed="64"/>
      </patternFill>
    </fill>
    <fill>
      <patternFill patternType="solid">
        <fgColor rgb="FF66FF66"/>
        <bgColor indexed="64"/>
      </patternFill>
    </fill>
    <fill>
      <patternFill patternType="solid">
        <fgColor rgb="FFFFC000"/>
        <bgColor indexed="64"/>
      </patternFill>
    </fill>
    <fill>
      <patternFill patternType="solid">
        <fgColor rgb="FF538DD5"/>
        <bgColor indexed="64"/>
      </patternFill>
    </fill>
    <fill>
      <patternFill patternType="solid">
        <fgColor rgb="FF76933C"/>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FFFF66"/>
        <bgColor indexed="64"/>
      </patternFill>
    </fill>
    <fill>
      <patternFill patternType="solid">
        <fgColor rgb="FF008000"/>
        <bgColor indexed="64"/>
      </patternFill>
    </fill>
    <fill>
      <patternFill patternType="solid">
        <fgColor rgb="FFFF0000"/>
        <bgColor indexed="64"/>
      </patternFill>
    </fill>
    <fill>
      <patternFill patternType="solid">
        <fgColor rgb="FF002060"/>
        <bgColor indexed="64"/>
      </patternFill>
    </fill>
    <fill>
      <patternFill patternType="solid">
        <fgColor theme="0"/>
        <bgColor indexed="64"/>
      </patternFill>
    </fill>
    <fill>
      <patternFill patternType="solid">
        <fgColor rgb="FFFF6600"/>
        <bgColor indexed="64"/>
      </patternFill>
    </fill>
    <fill>
      <patternFill patternType="solid">
        <fgColor rgb="FFFFCCFF"/>
        <bgColor indexed="64"/>
      </patternFill>
    </fill>
    <fill>
      <patternFill patternType="solid">
        <fgColor rgb="FFFF9BFF"/>
        <bgColor indexed="64"/>
      </patternFill>
    </fill>
    <fill>
      <patternFill patternType="solid">
        <fgColor theme="2" tint="-0.499984740745262"/>
        <bgColor indexed="64"/>
      </patternFill>
    </fill>
    <fill>
      <patternFill patternType="solid">
        <fgColor rgb="FF00FFFF"/>
        <bgColor indexed="64"/>
      </patternFill>
    </fill>
    <fill>
      <patternFill patternType="solid">
        <fgColor rgb="FF009900"/>
        <bgColor indexed="64"/>
      </patternFill>
    </fill>
    <fill>
      <patternFill patternType="solid">
        <fgColor rgb="FFBFBFBF"/>
        <bgColor rgb="FFBFBFBF"/>
      </patternFill>
    </fill>
    <fill>
      <patternFill patternType="solid">
        <fgColor rgb="FFFFFF99"/>
        <bgColor indexed="64"/>
      </patternFill>
    </fill>
    <fill>
      <patternFill patternType="solid">
        <fgColor rgb="FFFFFF99"/>
        <bgColor rgb="FFFFFFFF"/>
      </patternFill>
    </fill>
    <fill>
      <patternFill patternType="solid">
        <fgColor rgb="FFFFFFFF"/>
        <bgColor rgb="FFFFFFFF"/>
      </patternFill>
    </fill>
    <fill>
      <patternFill patternType="solid">
        <fgColor rgb="FF00B0F0"/>
        <bgColor indexed="64"/>
      </patternFill>
    </fill>
    <fill>
      <patternFill patternType="solid">
        <fgColor rgb="FF0066FF"/>
        <bgColor indexed="64"/>
      </patternFill>
    </fill>
    <fill>
      <patternFill patternType="solid">
        <fgColor theme="9" tint="-0.249977111117893"/>
        <bgColor indexed="64"/>
      </patternFill>
    </fill>
    <fill>
      <patternFill patternType="solid">
        <fgColor theme="0" tint="-0.24994659260841701"/>
        <bgColor indexed="64"/>
      </patternFill>
    </fill>
    <fill>
      <patternFill patternType="solid">
        <fgColor rgb="FF33CC33"/>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rgb="FFB6DDE8"/>
        <bgColor indexed="64"/>
      </patternFill>
    </fill>
    <fill>
      <patternFill patternType="solid">
        <fgColor theme="0" tint="-0.14996795556505021"/>
        <bgColor indexed="64"/>
      </patternFill>
    </fill>
  </fills>
  <borders count="6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medium">
        <color auto="1"/>
      </right>
      <top style="thin">
        <color indexed="64"/>
      </top>
      <bottom style="thin">
        <color indexed="64"/>
      </bottom>
      <diagonal/>
    </border>
    <border>
      <left/>
      <right style="thin">
        <color indexed="64"/>
      </right>
      <top style="thin">
        <color indexed="64"/>
      </top>
      <bottom/>
      <diagonal/>
    </border>
    <border>
      <left style="medium">
        <color auto="1"/>
      </left>
      <right/>
      <top/>
      <bottom/>
      <diagonal/>
    </border>
    <border>
      <left style="thin">
        <color indexed="64"/>
      </left>
      <right/>
      <top style="medium">
        <color indexed="64"/>
      </top>
      <bottom style="thin">
        <color indexed="64"/>
      </bottom>
      <diagonal/>
    </border>
    <border>
      <left style="medium">
        <color auto="1"/>
      </left>
      <right style="thin">
        <color indexed="64"/>
      </right>
      <top/>
      <bottom style="thin">
        <color indexed="64"/>
      </bottom>
      <diagonal/>
    </border>
    <border>
      <left style="medium">
        <color auto="1"/>
      </left>
      <right style="thin">
        <color indexed="64"/>
      </right>
      <top style="thin">
        <color indexed="64"/>
      </top>
      <bottom style="medium">
        <color indexed="64"/>
      </bottom>
      <diagonal/>
    </border>
    <border>
      <left style="medium">
        <color auto="1"/>
      </left>
      <right style="thin">
        <color indexed="64"/>
      </right>
      <top style="medium">
        <color indexed="64"/>
      </top>
      <bottom style="thin">
        <color indexed="64"/>
      </bottom>
      <diagonal/>
    </border>
    <border>
      <left style="medium">
        <color auto="1"/>
      </left>
      <right style="thin">
        <color indexed="64"/>
      </right>
      <top style="thin">
        <color indexed="64"/>
      </top>
      <bottom style="thin">
        <color indexed="64"/>
      </bottom>
      <diagonal/>
    </border>
    <border>
      <left style="medium">
        <color auto="1"/>
      </left>
      <right/>
      <top style="thin">
        <color indexed="64"/>
      </top>
      <bottom style="thin">
        <color indexed="64"/>
      </bottom>
      <diagonal/>
    </border>
    <border>
      <left style="medium">
        <color auto="1"/>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rgb="FFFF0000"/>
      </left>
      <right style="thin">
        <color rgb="FFFF0000"/>
      </right>
      <top style="thin">
        <color rgb="FFFF0000"/>
      </top>
      <bottom style="thin">
        <color rgb="FFFF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medium">
        <color theme="1" tint="0.499984740745262"/>
      </left>
      <right style="thin">
        <color indexed="64"/>
      </right>
      <top style="medium">
        <color theme="1" tint="0.499984740745262"/>
      </top>
      <bottom style="medium">
        <color theme="1" tint="0.499984740745262"/>
      </bottom>
      <diagonal/>
    </border>
    <border>
      <left style="thin">
        <color indexed="64"/>
      </left>
      <right style="thin">
        <color indexed="64"/>
      </right>
      <top style="medium">
        <color theme="1" tint="0.499984740745262"/>
      </top>
      <bottom style="medium">
        <color theme="1" tint="0.499984740745262"/>
      </bottom>
      <diagonal/>
    </border>
    <border>
      <left style="thin">
        <color indexed="64"/>
      </left>
      <right style="medium">
        <color theme="1" tint="0.499984740745262"/>
      </right>
      <top style="medium">
        <color theme="1" tint="0.499984740745262"/>
      </top>
      <bottom style="medium">
        <color theme="1" tint="0.499984740745262"/>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style="medium">
        <color rgb="FFFF0000"/>
      </left>
      <right style="medium">
        <color rgb="FFFF0000"/>
      </right>
      <top style="medium">
        <color rgb="FFFF0000"/>
      </top>
      <bottom style="medium">
        <color rgb="FFFF0000"/>
      </bottom>
      <diagonal/>
    </border>
    <border>
      <left/>
      <right/>
      <top/>
      <bottom style="medium">
        <color theme="1" tint="0.499984740745262"/>
      </bottom>
      <diagonal/>
    </border>
    <border>
      <left style="thin">
        <color indexed="64"/>
      </left>
      <right/>
      <top/>
      <bottom/>
      <diagonal/>
    </border>
    <border>
      <left style="medium">
        <color theme="1" tint="0.34998626667073579"/>
      </left>
      <right/>
      <top style="medium">
        <color theme="1" tint="0.34998626667073579"/>
      </top>
      <bottom style="medium">
        <color theme="1" tint="0.34998626667073579"/>
      </bottom>
      <diagonal/>
    </border>
    <border>
      <left/>
      <right/>
      <top style="medium">
        <color theme="1" tint="0.34998626667073579"/>
      </top>
      <bottom style="medium">
        <color theme="1" tint="0.34998626667073579"/>
      </bottom>
      <diagonal/>
    </border>
    <border>
      <left/>
      <right style="medium">
        <color theme="1" tint="0.34998626667073579"/>
      </right>
      <top style="medium">
        <color theme="1" tint="0.34998626667073579"/>
      </top>
      <bottom style="medium">
        <color theme="1" tint="0.34998626667073579"/>
      </bottom>
      <diagonal/>
    </border>
    <border>
      <left style="medium">
        <color theme="1" tint="0.34998626667073579"/>
      </left>
      <right style="medium">
        <color theme="1" tint="0.34998626667073579"/>
      </right>
      <top style="medium">
        <color theme="1" tint="0.34998626667073579"/>
      </top>
      <bottom style="medium">
        <color theme="1" tint="0.34998626667073579"/>
      </bottom>
      <diagonal/>
    </border>
    <border>
      <left/>
      <right/>
      <top style="medium">
        <color theme="1" tint="0.24994659260841701"/>
      </top>
      <bottom style="medium">
        <color theme="1" tint="0.24994659260841701"/>
      </bottom>
      <diagonal/>
    </border>
    <border>
      <left style="medium">
        <color theme="1" tint="0.34998626667073579"/>
      </left>
      <right style="medium">
        <color theme="1" tint="0.34998626667073579"/>
      </right>
      <top style="medium">
        <color theme="1" tint="0.34998626667073579"/>
      </top>
      <bottom style="thin">
        <color theme="1" tint="0.34998626667073579"/>
      </bottom>
      <diagonal/>
    </border>
    <border>
      <left style="medium">
        <color theme="1" tint="0.34998626667073579"/>
      </left>
      <right style="medium">
        <color theme="1" tint="0.34998626667073579"/>
      </right>
      <top style="thin">
        <color theme="1" tint="0.34998626667073579"/>
      </top>
      <bottom style="thin">
        <color theme="1" tint="0.34998626667073579"/>
      </bottom>
      <diagonal/>
    </border>
    <border>
      <left/>
      <right/>
      <top/>
      <bottom style="medium">
        <color theme="0"/>
      </bottom>
      <diagonal/>
    </border>
    <border>
      <left style="medium">
        <color theme="1" tint="0.34998626667073579"/>
      </left>
      <right style="medium">
        <color theme="1" tint="0.34998626667073579"/>
      </right>
      <top style="thin">
        <color theme="1" tint="0.34998626667073579"/>
      </top>
      <bottom/>
      <diagonal/>
    </border>
    <border>
      <left/>
      <right/>
      <top style="medium">
        <color theme="0"/>
      </top>
      <bottom style="medium">
        <color theme="0"/>
      </bottom>
      <diagonal/>
    </border>
    <border>
      <left style="medium">
        <color theme="1" tint="0.34998626667073579"/>
      </left>
      <right style="medium">
        <color theme="1" tint="0.34998626667073579"/>
      </right>
      <top/>
      <bottom style="thin">
        <color theme="1" tint="0.34998626667073579"/>
      </bottom>
      <diagonal/>
    </border>
    <border>
      <left style="medium">
        <color theme="1" tint="0.34998626667073579"/>
      </left>
      <right style="medium">
        <color theme="1" tint="0.34998626667073579"/>
      </right>
      <top style="thin">
        <color theme="1" tint="0.34998626667073579"/>
      </top>
      <bottom style="medium">
        <color theme="1" tint="0.34998626667073579"/>
      </bottom>
      <diagonal/>
    </border>
    <border>
      <left/>
      <right/>
      <top style="medium">
        <color theme="0"/>
      </top>
      <bottom/>
      <diagonal/>
    </border>
    <border>
      <left style="medium">
        <color theme="1" tint="0.24994659260841701"/>
      </left>
      <right style="medium">
        <color theme="1" tint="0.24994659260841701"/>
      </right>
      <top style="medium">
        <color theme="1" tint="0.24994659260841701"/>
      </top>
      <bottom style="medium">
        <color theme="1" tint="0.24994659260841701"/>
      </bottom>
      <diagonal/>
    </border>
    <border>
      <left style="medium">
        <color theme="1" tint="0.24994659260841701"/>
      </left>
      <right style="medium">
        <color theme="1" tint="0.24994659260841701"/>
      </right>
      <top style="medium">
        <color theme="1" tint="0.24994659260841701"/>
      </top>
      <bottom style="thin">
        <color theme="1" tint="0.24994659260841701"/>
      </bottom>
      <diagonal/>
    </border>
    <border>
      <left style="medium">
        <color theme="1" tint="0.24994659260841701"/>
      </left>
      <right style="medium">
        <color theme="1" tint="0.24994659260841701"/>
      </right>
      <top style="thin">
        <color theme="1" tint="0.24994659260841701"/>
      </top>
      <bottom style="thin">
        <color theme="1" tint="0.24994659260841701"/>
      </bottom>
      <diagonal/>
    </border>
    <border>
      <left style="medium">
        <color theme="1" tint="0.24994659260841701"/>
      </left>
      <right style="medium">
        <color theme="1" tint="0.24994659260841701"/>
      </right>
      <top style="thin">
        <color theme="1" tint="0.24994659260841701"/>
      </top>
      <bottom style="medium">
        <color theme="1" tint="0.24994659260841701"/>
      </bottom>
      <diagonal/>
    </border>
    <border>
      <left style="medium">
        <color theme="1" tint="0.24994659260841701"/>
      </left>
      <right style="medium">
        <color theme="1" tint="0.24994659260841701"/>
      </right>
      <top/>
      <bottom/>
      <diagonal/>
    </border>
    <border>
      <left style="medium">
        <color theme="1" tint="0.34998626667073579"/>
      </left>
      <right style="medium">
        <color theme="1" tint="0.34998626667073579"/>
      </right>
      <top style="thin">
        <color theme="1" tint="0.34998626667073579"/>
      </top>
      <bottom style="medium">
        <color theme="1" tint="0.24994659260841701"/>
      </bottom>
      <diagonal/>
    </border>
    <border>
      <left style="medium">
        <color theme="1" tint="0.24994659260841701"/>
      </left>
      <right style="medium">
        <color theme="1" tint="0.24994659260841701"/>
      </right>
      <top style="thin">
        <color theme="1" tint="0.24994659260841701"/>
      </top>
      <bottom/>
      <diagonal/>
    </border>
  </borders>
  <cellStyleXfs count="5">
    <xf numFmtId="0" fontId="0" fillId="0" borderId="0"/>
    <xf numFmtId="9" fontId="1" fillId="0" borderId="0" applyFont="0" applyFill="0" applyBorder="0" applyAlignment="0" applyProtection="0"/>
    <xf numFmtId="0" fontId="16" fillId="0" borderId="0"/>
    <xf numFmtId="43" fontId="1" fillId="0" borderId="0" applyFont="0" applyFill="0" applyBorder="0" applyAlignment="0" applyProtection="0"/>
    <xf numFmtId="0" fontId="55" fillId="0" borderId="0"/>
  </cellStyleXfs>
  <cellXfs count="1420">
    <xf numFmtId="0" fontId="0" fillId="0" borderId="0" xfId="0"/>
    <xf numFmtId="0" fontId="3" fillId="0" borderId="0" xfId="0" applyFont="1" applyAlignment="1" applyProtection="1">
      <alignment vertical="center"/>
    </xf>
    <xf numFmtId="0" fontId="4" fillId="0" borderId="0" xfId="0" applyFont="1" applyAlignment="1" applyProtection="1">
      <alignment horizontal="center" vertical="center"/>
    </xf>
    <xf numFmtId="0" fontId="4" fillId="0" borderId="0" xfId="0" applyFont="1" applyAlignment="1" applyProtection="1">
      <alignment vertical="center"/>
    </xf>
    <xf numFmtId="0" fontId="4" fillId="0" borderId="0" xfId="0" applyFont="1" applyBorder="1" applyAlignment="1" applyProtection="1">
      <alignment vertical="center"/>
    </xf>
    <xf numFmtId="0" fontId="3" fillId="0" borderId="0" xfId="0" applyFont="1" applyAlignment="1" applyProtection="1">
      <alignment horizontal="left" vertical="center"/>
    </xf>
    <xf numFmtId="37" fontId="4" fillId="0" borderId="0" xfId="0" applyNumberFormat="1" applyFont="1" applyAlignment="1" applyProtection="1">
      <alignment horizontal="center" vertical="center"/>
    </xf>
    <xf numFmtId="37" fontId="5" fillId="0" borderId="0" xfId="0" applyNumberFormat="1" applyFont="1" applyAlignment="1" applyProtection="1">
      <alignment vertical="center"/>
    </xf>
    <xf numFmtId="37" fontId="4" fillId="0" borderId="0" xfId="0" applyNumberFormat="1" applyFont="1" applyAlignment="1" applyProtection="1">
      <alignment vertical="center"/>
    </xf>
    <xf numFmtId="37" fontId="5" fillId="2" borderId="1" xfId="0" applyNumberFormat="1" applyFont="1" applyFill="1" applyBorder="1" applyAlignment="1" applyProtection="1">
      <alignment horizontal="left" vertical="center"/>
    </xf>
    <xf numFmtId="37" fontId="4" fillId="2" borderId="2" xfId="0" applyNumberFormat="1" applyFont="1" applyFill="1" applyBorder="1" applyAlignment="1" applyProtection="1">
      <alignment horizontal="center" vertical="center"/>
    </xf>
    <xf numFmtId="37" fontId="6" fillId="2" borderId="3" xfId="0" applyNumberFormat="1" applyFont="1" applyFill="1" applyBorder="1" applyAlignment="1" applyProtection="1">
      <alignment horizontal="left" vertical="center"/>
    </xf>
    <xf numFmtId="0" fontId="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7" fillId="0" borderId="0" xfId="0" applyFont="1" applyFill="1" applyBorder="1" applyAlignment="1" applyProtection="1">
      <alignment vertical="center"/>
    </xf>
    <xf numFmtId="0" fontId="8" fillId="0" borderId="0" xfId="0" applyFont="1" applyFill="1" applyBorder="1" applyAlignment="1" applyProtection="1">
      <alignment horizontal="left" vertical="center"/>
    </xf>
    <xf numFmtId="0" fontId="8" fillId="0" borderId="0" xfId="0" applyFont="1" applyFill="1" applyBorder="1" applyAlignment="1" applyProtection="1">
      <alignment horizontal="left" vertical="center" indent="1"/>
    </xf>
    <xf numFmtId="37" fontId="4" fillId="0" borderId="3" xfId="0" applyNumberFormat="1" applyFont="1" applyFill="1" applyBorder="1" applyAlignment="1" applyProtection="1">
      <alignment horizontal="center" vertical="center"/>
    </xf>
    <xf numFmtId="37" fontId="5" fillId="0" borderId="3" xfId="0" applyNumberFormat="1" applyFont="1" applyBorder="1" applyAlignment="1" applyProtection="1">
      <alignment horizontal="center" vertical="center"/>
    </xf>
    <xf numFmtId="9" fontId="4" fillId="0" borderId="3" xfId="1" applyFont="1" applyBorder="1" applyAlignment="1" applyProtection="1">
      <alignment horizontal="center" vertical="center"/>
    </xf>
    <xf numFmtId="0" fontId="4" fillId="0" borderId="3" xfId="0" applyFont="1" applyBorder="1" applyAlignment="1" applyProtection="1">
      <alignment vertical="center"/>
    </xf>
    <xf numFmtId="0" fontId="4" fillId="0" borderId="0" xfId="0" applyFont="1" applyBorder="1" applyAlignment="1" applyProtection="1">
      <alignment horizontal="center" vertical="center"/>
    </xf>
    <xf numFmtId="0" fontId="9" fillId="0" borderId="0" xfId="0" applyFont="1" applyBorder="1" applyAlignment="1" applyProtection="1">
      <alignment horizontal="right" vertical="center"/>
    </xf>
    <xf numFmtId="0" fontId="5" fillId="0" borderId="3" xfId="0" applyFont="1" applyFill="1" applyBorder="1" applyAlignment="1" applyProtection="1">
      <alignment vertical="center"/>
    </xf>
    <xf numFmtId="0" fontId="2" fillId="9" borderId="4" xfId="0" applyFont="1" applyFill="1" applyBorder="1" applyAlignment="1" applyProtection="1">
      <alignment horizontal="center" vertical="center"/>
    </xf>
    <xf numFmtId="0" fontId="2" fillId="9" borderId="5" xfId="0" applyFont="1" applyFill="1" applyBorder="1" applyAlignment="1" applyProtection="1">
      <alignment vertical="center"/>
    </xf>
    <xf numFmtId="0" fontId="8" fillId="9" borderId="6" xfId="0" applyFont="1" applyFill="1" applyBorder="1" applyAlignment="1" applyProtection="1">
      <alignment horizontal="center" vertical="center"/>
    </xf>
    <xf numFmtId="0" fontId="7" fillId="9" borderId="6" xfId="0" applyFont="1" applyFill="1" applyBorder="1" applyAlignment="1" applyProtection="1">
      <alignment vertical="center"/>
    </xf>
    <xf numFmtId="0" fontId="7" fillId="9" borderId="7" xfId="0" applyFont="1" applyFill="1" applyBorder="1" applyAlignment="1" applyProtection="1">
      <alignment vertical="center"/>
    </xf>
    <xf numFmtId="37" fontId="7" fillId="9" borderId="4" xfId="0" applyNumberFormat="1" applyFont="1" applyFill="1" applyBorder="1" applyAlignment="1" applyProtection="1">
      <alignment horizontal="center" vertical="center"/>
    </xf>
    <xf numFmtId="37" fontId="5" fillId="9" borderId="4" xfId="0" applyNumberFormat="1" applyFont="1" applyFill="1" applyBorder="1" applyAlignment="1" applyProtection="1">
      <alignment horizontal="center" vertical="center"/>
    </xf>
    <xf numFmtId="0" fontId="5" fillId="9" borderId="4" xfId="0" applyFont="1" applyFill="1" applyBorder="1" applyAlignment="1" applyProtection="1">
      <alignment horizontal="center" vertical="center"/>
    </xf>
    <xf numFmtId="0" fontId="7" fillId="0" borderId="0" xfId="0" applyFont="1" applyAlignment="1" applyProtection="1">
      <alignment vertical="center"/>
    </xf>
    <xf numFmtId="37" fontId="5" fillId="5" borderId="4" xfId="0" applyNumberFormat="1" applyFont="1" applyFill="1" applyBorder="1" applyAlignment="1" applyProtection="1">
      <alignment horizontal="center" vertical="center"/>
    </xf>
    <xf numFmtId="0" fontId="5" fillId="5" borderId="4" xfId="0" applyFont="1" applyFill="1" applyBorder="1" applyAlignment="1" applyProtection="1">
      <alignment horizontal="center" vertical="center"/>
    </xf>
    <xf numFmtId="0" fontId="0" fillId="0" borderId="0" xfId="0" applyFont="1" applyAlignment="1" applyProtection="1">
      <alignment vertical="center"/>
    </xf>
    <xf numFmtId="37" fontId="5" fillId="6" borderId="4" xfId="0" applyNumberFormat="1" applyFont="1" applyFill="1" applyBorder="1" applyAlignment="1" applyProtection="1">
      <alignment horizontal="center" vertical="center"/>
    </xf>
    <xf numFmtId="0" fontId="5" fillId="6" borderId="4" xfId="0" applyFont="1" applyFill="1" applyBorder="1" applyAlignment="1" applyProtection="1">
      <alignment horizontal="center" vertical="center"/>
    </xf>
    <xf numFmtId="37" fontId="5" fillId="7" borderId="4" xfId="0" applyNumberFormat="1" applyFont="1" applyFill="1" applyBorder="1" applyAlignment="1" applyProtection="1">
      <alignment horizontal="center" vertical="center"/>
    </xf>
    <xf numFmtId="0" fontId="5" fillId="7" borderId="4"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5" fillId="10" borderId="3" xfId="0" applyFont="1" applyFill="1" applyBorder="1" applyAlignment="1" applyProtection="1">
      <alignment horizontal="center" vertical="center"/>
    </xf>
    <xf numFmtId="0" fontId="5" fillId="10" borderId="1" xfId="0" applyFont="1" applyFill="1" applyBorder="1" applyAlignment="1" applyProtection="1">
      <alignment horizontal="left" vertical="center"/>
    </xf>
    <xf numFmtId="0" fontId="5" fillId="10" borderId="8" xfId="0" applyFont="1" applyFill="1" applyBorder="1" applyAlignment="1" applyProtection="1">
      <alignment vertical="center"/>
    </xf>
    <xf numFmtId="0" fontId="5" fillId="10" borderId="2" xfId="0" applyFont="1" applyFill="1" applyBorder="1" applyAlignment="1" applyProtection="1">
      <alignment vertical="center"/>
    </xf>
    <xf numFmtId="0" fontId="4" fillId="0" borderId="10" xfId="0" applyFont="1" applyBorder="1" applyAlignment="1" applyProtection="1">
      <alignment vertical="center"/>
    </xf>
    <xf numFmtId="37" fontId="11" fillId="0" borderId="3" xfId="0" applyNumberFormat="1" applyFont="1" applyFill="1" applyBorder="1" applyAlignment="1" applyProtection="1">
      <alignment horizontal="center" vertical="center" wrapText="1"/>
    </xf>
    <xf numFmtId="0" fontId="4" fillId="0" borderId="10" xfId="0" applyFont="1" applyBorder="1" applyAlignment="1" applyProtection="1">
      <alignment horizontal="center" vertical="center"/>
    </xf>
    <xf numFmtId="0" fontId="6" fillId="10" borderId="3" xfId="0" applyFont="1" applyFill="1" applyBorder="1" applyAlignment="1" applyProtection="1">
      <alignment horizontal="center" vertical="center"/>
    </xf>
    <xf numFmtId="0" fontId="6" fillId="10" borderId="1" xfId="0" applyFont="1" applyFill="1" applyBorder="1" applyAlignment="1" applyProtection="1">
      <alignment horizontal="left" vertical="center"/>
    </xf>
    <xf numFmtId="0" fontId="6" fillId="10" borderId="8" xfId="0" applyFont="1" applyFill="1" applyBorder="1" applyAlignment="1" applyProtection="1">
      <alignment vertical="center"/>
    </xf>
    <xf numFmtId="0" fontId="4" fillId="10" borderId="10" xfId="0" applyFont="1" applyFill="1" applyBorder="1" applyAlignment="1" applyProtection="1">
      <alignment vertical="center"/>
    </xf>
    <xf numFmtId="37" fontId="11" fillId="10" borderId="10" xfId="0" applyNumberFormat="1" applyFont="1" applyFill="1" applyBorder="1" applyAlignment="1" applyProtection="1">
      <alignment horizontal="center" vertical="center" wrapText="1"/>
    </xf>
    <xf numFmtId="37" fontId="5" fillId="10" borderId="10" xfId="0" applyNumberFormat="1" applyFont="1" applyFill="1" applyBorder="1" applyAlignment="1" applyProtection="1">
      <alignment horizontal="center" vertical="center"/>
    </xf>
    <xf numFmtId="9" fontId="12" fillId="10" borderId="10" xfId="1" applyFont="1" applyFill="1" applyBorder="1" applyAlignment="1" applyProtection="1">
      <alignment horizontal="center" vertical="center"/>
    </xf>
    <xf numFmtId="0" fontId="11" fillId="0" borderId="3" xfId="0" applyFont="1" applyBorder="1" applyAlignment="1" applyProtection="1">
      <alignment horizontal="center" vertical="center"/>
    </xf>
    <xf numFmtId="0" fontId="6" fillId="8" borderId="3" xfId="0" applyFont="1" applyFill="1" applyBorder="1" applyAlignment="1" applyProtection="1">
      <alignment horizontal="center" vertical="center"/>
    </xf>
    <xf numFmtId="0" fontId="6" fillId="8" borderId="1" xfId="0" applyFont="1" applyFill="1" applyBorder="1" applyAlignment="1" applyProtection="1">
      <alignment horizontal="left" vertical="center"/>
    </xf>
    <xf numFmtId="0" fontId="5" fillId="8" borderId="11" xfId="0" applyFont="1" applyFill="1" applyBorder="1" applyAlignment="1" applyProtection="1">
      <alignment vertical="center"/>
    </xf>
    <xf numFmtId="0" fontId="5" fillId="8" borderId="12" xfId="0" applyFont="1" applyFill="1" applyBorder="1" applyAlignment="1" applyProtection="1">
      <alignment vertical="center"/>
    </xf>
    <xf numFmtId="37" fontId="4" fillId="3" borderId="3" xfId="0" applyNumberFormat="1" applyFont="1" applyFill="1" applyBorder="1" applyAlignment="1" applyProtection="1">
      <alignment horizontal="center" vertical="center"/>
      <protection locked="0"/>
    </xf>
    <xf numFmtId="37" fontId="4" fillId="4" borderId="3" xfId="0" applyNumberFormat="1" applyFont="1" applyFill="1" applyBorder="1" applyAlignment="1" applyProtection="1">
      <alignment horizontal="center" vertical="center"/>
      <protection locked="0"/>
    </xf>
    <xf numFmtId="0" fontId="5" fillId="12" borderId="11" xfId="0" applyFont="1" applyFill="1" applyBorder="1" applyAlignment="1" applyProtection="1">
      <alignment vertical="center"/>
    </xf>
    <xf numFmtId="0" fontId="5" fillId="12" borderId="12" xfId="0" applyFont="1" applyFill="1" applyBorder="1" applyAlignment="1" applyProtection="1">
      <alignment vertical="center"/>
    </xf>
    <xf numFmtId="37" fontId="11" fillId="12" borderId="3" xfId="0" applyNumberFormat="1" applyFont="1" applyFill="1" applyBorder="1" applyAlignment="1" applyProtection="1">
      <alignment horizontal="center" vertical="center"/>
    </xf>
    <xf numFmtId="37" fontId="5" fillId="12" borderId="10" xfId="0" applyNumberFormat="1" applyFont="1" applyFill="1" applyBorder="1" applyAlignment="1" applyProtection="1">
      <alignment horizontal="center" vertical="center"/>
    </xf>
    <xf numFmtId="9" fontId="4" fillId="12" borderId="3" xfId="1" applyFont="1" applyFill="1" applyBorder="1" applyAlignment="1" applyProtection="1">
      <alignment horizontal="center" vertical="center"/>
    </xf>
    <xf numFmtId="0" fontId="4" fillId="12" borderId="10" xfId="0" applyFont="1" applyFill="1" applyBorder="1" applyAlignment="1" applyProtection="1">
      <alignment vertical="center"/>
    </xf>
    <xf numFmtId="0" fontId="4" fillId="0" borderId="8" xfId="0" applyFont="1" applyFill="1" applyBorder="1" applyAlignment="1" applyProtection="1">
      <alignment horizontal="center" vertical="center"/>
    </xf>
    <xf numFmtId="0" fontId="6" fillId="10" borderId="8" xfId="0" applyFont="1" applyFill="1" applyBorder="1" applyAlignment="1" applyProtection="1">
      <alignment horizontal="left" vertical="center"/>
    </xf>
    <xf numFmtId="0" fontId="4" fillId="10" borderId="8" xfId="0" applyFont="1" applyFill="1" applyBorder="1" applyAlignment="1" applyProtection="1">
      <alignment vertical="center"/>
    </xf>
    <xf numFmtId="37" fontId="4" fillId="10" borderId="3" xfId="0" applyNumberFormat="1" applyFont="1" applyFill="1" applyBorder="1" applyAlignment="1" applyProtection="1">
      <alignment horizontal="center" vertical="center"/>
    </xf>
    <xf numFmtId="37" fontId="5" fillId="10" borderId="3" xfId="0" applyNumberFormat="1" applyFont="1" applyFill="1" applyBorder="1" applyAlignment="1" applyProtection="1">
      <alignment vertical="center"/>
    </xf>
    <xf numFmtId="0" fontId="4" fillId="10" borderId="3" xfId="0" applyFont="1" applyFill="1" applyBorder="1" applyAlignment="1" applyProtection="1">
      <alignment vertical="center"/>
    </xf>
    <xf numFmtId="0" fontId="5" fillId="8" borderId="3" xfId="0" applyFont="1" applyFill="1" applyBorder="1" applyAlignment="1" applyProtection="1">
      <alignment horizontal="center" vertical="center"/>
    </xf>
    <xf numFmtId="0" fontId="5" fillId="8" borderId="8" xfId="0" applyFont="1" applyFill="1" applyBorder="1" applyAlignment="1" applyProtection="1">
      <alignment vertical="center"/>
    </xf>
    <xf numFmtId="0" fontId="5" fillId="8" borderId="2" xfId="0" applyFont="1" applyFill="1" applyBorder="1" applyAlignment="1" applyProtection="1">
      <alignment vertical="center"/>
    </xf>
    <xf numFmtId="0" fontId="5" fillId="12" borderId="3" xfId="0" applyFont="1" applyFill="1" applyBorder="1" applyAlignment="1" applyProtection="1">
      <alignment horizontal="center" vertical="center"/>
    </xf>
    <xf numFmtId="0" fontId="5" fillId="12" borderId="8" xfId="0" applyFont="1" applyFill="1" applyBorder="1" applyAlignment="1" applyProtection="1">
      <alignment horizontal="left" vertical="center" wrapText="1"/>
    </xf>
    <xf numFmtId="0" fontId="5" fillId="12" borderId="2" xfId="0" applyFont="1" applyFill="1" applyBorder="1" applyAlignment="1" applyProtection="1">
      <alignment horizontal="left" vertical="center" wrapText="1"/>
    </xf>
    <xf numFmtId="37" fontId="11" fillId="12" borderId="3" xfId="0" applyNumberFormat="1" applyFont="1" applyFill="1" applyBorder="1" applyAlignment="1" applyProtection="1">
      <alignment horizontal="center" vertical="center" wrapText="1"/>
    </xf>
    <xf numFmtId="37" fontId="4" fillId="12" borderId="3" xfId="0" applyNumberFormat="1" applyFont="1" applyFill="1" applyBorder="1" applyAlignment="1" applyProtection="1">
      <alignment horizontal="center" vertical="center"/>
    </xf>
    <xf numFmtId="37" fontId="5" fillId="12" borderId="3" xfId="0" applyNumberFormat="1" applyFont="1" applyFill="1" applyBorder="1" applyAlignment="1" applyProtection="1">
      <alignment horizontal="center" vertical="center"/>
    </xf>
    <xf numFmtId="0" fontId="4" fillId="12" borderId="3" xfId="0" applyFont="1" applyFill="1" applyBorder="1" applyAlignment="1" applyProtection="1">
      <alignment vertical="center"/>
    </xf>
    <xf numFmtId="0" fontId="4" fillId="0" borderId="3" xfId="0" applyFont="1" applyFill="1" applyBorder="1" applyAlignment="1" applyProtection="1">
      <alignment vertical="center"/>
    </xf>
    <xf numFmtId="0" fontId="5" fillId="8" borderId="1" xfId="0" applyFont="1" applyFill="1" applyBorder="1" applyAlignment="1" applyProtection="1">
      <alignment vertical="center"/>
    </xf>
    <xf numFmtId="37" fontId="5" fillId="0" borderId="3" xfId="0" applyNumberFormat="1" applyFont="1" applyBorder="1" applyAlignment="1" applyProtection="1">
      <alignment vertical="center"/>
    </xf>
    <xf numFmtId="37" fontId="11" fillId="10" borderId="3" xfId="0" applyNumberFormat="1" applyFont="1" applyFill="1" applyBorder="1" applyAlignment="1" applyProtection="1">
      <alignment horizontal="center" vertical="center" wrapText="1"/>
    </xf>
    <xf numFmtId="37" fontId="11" fillId="10" borderId="3" xfId="0" applyNumberFormat="1" applyFont="1" applyFill="1" applyBorder="1" applyAlignment="1" applyProtection="1">
      <alignment horizontal="center" vertical="center"/>
    </xf>
    <xf numFmtId="37" fontId="5" fillId="10" borderId="3" xfId="0" applyNumberFormat="1" applyFont="1" applyFill="1" applyBorder="1" applyAlignment="1" applyProtection="1">
      <alignment horizontal="center" vertical="center"/>
    </xf>
    <xf numFmtId="9" fontId="4" fillId="10" borderId="3" xfId="1" applyFont="1" applyFill="1" applyBorder="1" applyAlignment="1" applyProtection="1">
      <alignment horizontal="center" vertical="center"/>
    </xf>
    <xf numFmtId="9" fontId="4" fillId="0" borderId="3" xfId="1" applyFont="1" applyFill="1" applyBorder="1" applyAlignment="1" applyProtection="1">
      <alignment horizontal="center" vertical="center"/>
    </xf>
    <xf numFmtId="0" fontId="5" fillId="0" borderId="8" xfId="0" applyFont="1" applyFill="1" applyBorder="1" applyAlignment="1" applyProtection="1">
      <alignment horizontal="center" vertical="center"/>
    </xf>
    <xf numFmtId="0" fontId="5" fillId="0" borderId="8" xfId="0" applyFont="1" applyFill="1" applyBorder="1" applyAlignment="1" applyProtection="1">
      <alignment vertical="center"/>
    </xf>
    <xf numFmtId="37" fontId="4" fillId="0" borderId="11" xfId="0" applyNumberFormat="1" applyFont="1" applyFill="1" applyBorder="1" applyAlignment="1" applyProtection="1">
      <alignment horizontal="center" vertical="center"/>
    </xf>
    <xf numFmtId="37" fontId="4" fillId="0" borderId="0" xfId="0" applyNumberFormat="1" applyFont="1" applyFill="1" applyBorder="1" applyAlignment="1" applyProtection="1">
      <alignment horizontal="center" vertical="center"/>
    </xf>
    <xf numFmtId="37" fontId="5"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37" fontId="0" fillId="0" borderId="0" xfId="0" applyNumberFormat="1" applyFont="1" applyProtection="1"/>
    <xf numFmtId="37" fontId="2" fillId="0" borderId="0" xfId="0" applyNumberFormat="1" applyFont="1" applyProtection="1"/>
    <xf numFmtId="0" fontId="0" fillId="0" borderId="0" xfId="0" applyProtection="1"/>
    <xf numFmtId="37" fontId="4" fillId="9" borderId="7" xfId="0" applyNumberFormat="1" applyFont="1" applyFill="1" applyBorder="1" applyAlignment="1" applyProtection="1">
      <alignment horizontal="center" vertical="center"/>
    </xf>
    <xf numFmtId="0" fontId="5" fillId="0" borderId="3" xfId="0" applyFont="1" applyBorder="1" applyAlignment="1" applyProtection="1">
      <alignment horizontal="center" vertical="center"/>
    </xf>
    <xf numFmtId="0" fontId="5" fillId="8" borderId="3" xfId="0" quotePrefix="1" applyFont="1" applyFill="1" applyBorder="1" applyAlignment="1" applyProtection="1">
      <alignment horizontal="center" vertical="center"/>
    </xf>
    <xf numFmtId="0" fontId="5" fillId="8" borderId="1" xfId="0" quotePrefix="1" applyFont="1" applyFill="1" applyBorder="1" applyAlignment="1" applyProtection="1">
      <alignment horizontal="left" vertical="center"/>
    </xf>
    <xf numFmtId="0" fontId="4" fillId="8" borderId="8" xfId="0" applyFont="1" applyFill="1" applyBorder="1" applyAlignment="1" applyProtection="1">
      <alignment vertical="center"/>
    </xf>
    <xf numFmtId="0" fontId="4" fillId="8" borderId="2" xfId="0" applyFont="1" applyFill="1" applyBorder="1" applyAlignment="1" applyProtection="1">
      <alignment vertical="center"/>
    </xf>
    <xf numFmtId="37" fontId="4" fillId="12" borderId="3" xfId="0" applyNumberFormat="1" applyFont="1" applyFill="1" applyBorder="1" applyAlignment="1" applyProtection="1">
      <alignment vertical="center"/>
    </xf>
    <xf numFmtId="0" fontId="5" fillId="8" borderId="8" xfId="0" quotePrefix="1" applyFont="1" applyFill="1" applyBorder="1" applyAlignment="1" applyProtection="1">
      <alignment horizontal="left" vertical="center"/>
    </xf>
    <xf numFmtId="37" fontId="4" fillId="0" borderId="0" xfId="0" applyNumberFormat="1" applyFont="1" applyFill="1" applyBorder="1" applyAlignment="1" applyProtection="1">
      <alignment vertical="center"/>
    </xf>
    <xf numFmtId="0" fontId="6" fillId="8" borderId="1" xfId="0" quotePrefix="1" applyFont="1" applyFill="1" applyBorder="1" applyAlignment="1" applyProtection="1">
      <alignment vertical="center"/>
    </xf>
    <xf numFmtId="37" fontId="4" fillId="8" borderId="3" xfId="0" applyNumberFormat="1" applyFont="1" applyFill="1" applyBorder="1" applyAlignment="1" applyProtection="1">
      <alignment horizontal="center" vertical="center"/>
    </xf>
    <xf numFmtId="37" fontId="5" fillId="8" borderId="3" xfId="0" applyNumberFormat="1" applyFont="1" applyFill="1" applyBorder="1" applyAlignment="1" applyProtection="1">
      <alignment vertical="center"/>
    </xf>
    <xf numFmtId="0" fontId="4" fillId="8" borderId="3" xfId="0" applyFont="1" applyFill="1" applyBorder="1" applyAlignment="1" applyProtection="1">
      <alignment vertical="center"/>
    </xf>
    <xf numFmtId="37" fontId="4" fillId="8" borderId="3" xfId="0" applyNumberFormat="1" applyFont="1" applyFill="1" applyBorder="1" applyAlignment="1" applyProtection="1">
      <alignment vertical="center"/>
    </xf>
    <xf numFmtId="0" fontId="5" fillId="0" borderId="3" xfId="0" applyFont="1" applyFill="1" applyBorder="1" applyAlignment="1" applyProtection="1">
      <alignment horizontal="center" vertical="center"/>
    </xf>
    <xf numFmtId="37" fontId="5" fillId="0" borderId="3" xfId="0" applyNumberFormat="1" applyFont="1" applyFill="1" applyBorder="1" applyAlignment="1" applyProtection="1">
      <alignment horizontal="center" vertical="center"/>
    </xf>
    <xf numFmtId="0" fontId="4" fillId="0" borderId="0" xfId="0" applyFont="1" applyFill="1" applyAlignment="1" applyProtection="1">
      <alignment vertical="center"/>
    </xf>
    <xf numFmtId="0" fontId="5" fillId="0" borderId="1" xfId="0" applyFont="1" applyBorder="1" applyAlignment="1" applyProtection="1">
      <alignment horizontal="center" vertical="center"/>
    </xf>
    <xf numFmtId="0" fontId="4" fillId="0" borderId="3" xfId="0" applyFont="1" applyFill="1" applyBorder="1" applyAlignment="1" applyProtection="1">
      <alignment horizontal="center" vertical="center"/>
    </xf>
    <xf numFmtId="0" fontId="5" fillId="8" borderId="3" xfId="0" applyFont="1" applyFill="1" applyBorder="1" applyAlignment="1" applyProtection="1">
      <alignment horizontal="left" vertical="center"/>
    </xf>
    <xf numFmtId="0" fontId="5" fillId="11" borderId="1" xfId="0" applyFont="1" applyFill="1" applyBorder="1" applyAlignment="1" applyProtection="1">
      <alignment vertical="center"/>
    </xf>
    <xf numFmtId="0" fontId="5" fillId="11" borderId="8" xfId="0" applyFont="1" applyFill="1" applyBorder="1" applyAlignment="1" applyProtection="1">
      <alignment vertical="center"/>
    </xf>
    <xf numFmtId="37" fontId="4" fillId="11" borderId="3" xfId="0" applyNumberFormat="1" applyFont="1" applyFill="1" applyBorder="1" applyAlignment="1" applyProtection="1">
      <alignment horizontal="center" vertical="center"/>
    </xf>
    <xf numFmtId="37" fontId="5" fillId="11" borderId="3" xfId="0" applyNumberFormat="1" applyFont="1" applyFill="1" applyBorder="1" applyAlignment="1" applyProtection="1">
      <alignment vertical="center"/>
    </xf>
    <xf numFmtId="0" fontId="4" fillId="11" borderId="3" xfId="0" applyFont="1" applyFill="1" applyBorder="1" applyAlignment="1" applyProtection="1">
      <alignment vertical="center"/>
    </xf>
    <xf numFmtId="37" fontId="4" fillId="11" borderId="3" xfId="0" applyNumberFormat="1" applyFont="1" applyFill="1" applyBorder="1" applyAlignment="1" applyProtection="1">
      <alignment vertical="center"/>
    </xf>
    <xf numFmtId="0" fontId="4" fillId="11" borderId="1" xfId="0" applyFont="1" applyFill="1" applyBorder="1" applyAlignment="1" applyProtection="1">
      <alignment vertical="center"/>
    </xf>
    <xf numFmtId="0" fontId="4" fillId="11" borderId="8" xfId="0" applyFont="1" applyFill="1" applyBorder="1" applyAlignment="1" applyProtection="1">
      <alignment vertical="center"/>
    </xf>
    <xf numFmtId="37" fontId="5" fillId="11" borderId="3" xfId="0" applyNumberFormat="1" applyFont="1" applyFill="1" applyBorder="1" applyAlignment="1" applyProtection="1">
      <alignment horizontal="center" vertical="center"/>
    </xf>
    <xf numFmtId="9" fontId="4" fillId="11" borderId="3" xfId="1" applyFont="1" applyFill="1" applyBorder="1" applyAlignment="1" applyProtection="1">
      <alignment horizontal="center" vertical="center"/>
    </xf>
    <xf numFmtId="9" fontId="4" fillId="8" borderId="3" xfId="1" applyFont="1" applyFill="1" applyBorder="1" applyAlignment="1" applyProtection="1">
      <alignment horizontal="center" vertical="center"/>
    </xf>
    <xf numFmtId="0" fontId="11" fillId="13" borderId="3" xfId="0" applyFont="1" applyFill="1" applyBorder="1" applyAlignment="1" applyProtection="1">
      <alignment horizontal="center" vertical="center"/>
    </xf>
    <xf numFmtId="0" fontId="5" fillId="12" borderId="1" xfId="0" applyFont="1" applyFill="1" applyBorder="1" applyAlignment="1" applyProtection="1">
      <alignment vertical="center"/>
    </xf>
    <xf numFmtId="0" fontId="5" fillId="12" borderId="8" xfId="0" applyFont="1" applyFill="1" applyBorder="1" applyAlignment="1" applyProtection="1">
      <alignment vertical="center"/>
    </xf>
    <xf numFmtId="0" fontId="4" fillId="3" borderId="3" xfId="0" applyFont="1" applyFill="1" applyBorder="1" applyAlignment="1" applyProtection="1">
      <alignment horizontal="center" vertical="center"/>
    </xf>
    <xf numFmtId="0" fontId="4" fillId="5" borderId="3" xfId="0" applyFont="1" applyFill="1" applyBorder="1" applyAlignment="1" applyProtection="1">
      <alignment horizontal="center" vertical="center"/>
    </xf>
    <xf numFmtId="0" fontId="4" fillId="14" borderId="3"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37" fontId="4" fillId="9" borderId="4" xfId="0" applyNumberFormat="1" applyFont="1" applyFill="1" applyBorder="1" applyAlignment="1" applyProtection="1">
      <alignment horizontal="center" vertical="center"/>
    </xf>
    <xf numFmtId="0" fontId="5" fillId="8" borderId="2" xfId="0" applyFont="1" applyFill="1" applyBorder="1" applyAlignment="1" applyProtection="1">
      <alignment horizontal="center" vertical="center"/>
    </xf>
    <xf numFmtId="37" fontId="11" fillId="11" borderId="8" xfId="0" applyNumberFormat="1" applyFont="1" applyFill="1" applyBorder="1" applyAlignment="1" applyProtection="1">
      <alignment horizontal="center" vertical="center" wrapText="1"/>
    </xf>
    <xf numFmtId="0" fontId="4" fillId="11" borderId="8" xfId="0" applyFont="1" applyFill="1" applyBorder="1" applyAlignment="1" applyProtection="1">
      <alignment horizontal="center" vertical="center"/>
    </xf>
    <xf numFmtId="37" fontId="11" fillId="12" borderId="8" xfId="0" applyNumberFormat="1" applyFont="1" applyFill="1" applyBorder="1" applyAlignment="1" applyProtection="1">
      <alignment horizontal="center" vertical="center" wrapText="1"/>
    </xf>
    <xf numFmtId="0" fontId="4" fillId="12" borderId="8" xfId="0" applyFont="1" applyFill="1" applyBorder="1" applyAlignment="1" applyProtection="1">
      <alignment horizontal="center" vertical="center"/>
    </xf>
    <xf numFmtId="0" fontId="6" fillId="8" borderId="1" xfId="0" applyFont="1" applyFill="1" applyBorder="1" applyAlignment="1" applyProtection="1">
      <alignment vertical="center"/>
    </xf>
    <xf numFmtId="0" fontId="6" fillId="8" borderId="8" xfId="0" applyFont="1" applyFill="1" applyBorder="1" applyAlignment="1" applyProtection="1">
      <alignment horizontal="left" vertical="center"/>
    </xf>
    <xf numFmtId="37" fontId="4" fillId="8" borderId="0" xfId="0" applyNumberFormat="1" applyFont="1" applyFill="1" applyAlignment="1" applyProtection="1">
      <alignment horizontal="center" vertical="center"/>
    </xf>
    <xf numFmtId="0" fontId="6" fillId="8" borderId="8" xfId="0" applyFont="1" applyFill="1" applyBorder="1" applyAlignment="1" applyProtection="1">
      <alignment vertical="center"/>
    </xf>
    <xf numFmtId="37" fontId="11" fillId="8" borderId="8" xfId="0" applyNumberFormat="1" applyFont="1" applyFill="1" applyBorder="1" applyAlignment="1" applyProtection="1">
      <alignment horizontal="center" vertical="center" wrapText="1"/>
    </xf>
    <xf numFmtId="0" fontId="4" fillId="8" borderId="8" xfId="0" applyFont="1" applyFill="1" applyBorder="1" applyAlignment="1" applyProtection="1">
      <alignment horizontal="center" vertical="center"/>
    </xf>
    <xf numFmtId="37" fontId="11" fillId="8" borderId="3" xfId="0" applyNumberFormat="1" applyFont="1" applyFill="1" applyBorder="1" applyAlignment="1" applyProtection="1">
      <alignment horizontal="center" vertical="center" wrapText="1"/>
    </xf>
    <xf numFmtId="37" fontId="11" fillId="11" borderId="1" xfId="0" applyNumberFormat="1" applyFont="1" applyFill="1" applyBorder="1" applyAlignment="1" applyProtection="1">
      <alignment horizontal="left" vertical="center"/>
    </xf>
    <xf numFmtId="37" fontId="11" fillId="11" borderId="3" xfId="0" applyNumberFormat="1" applyFont="1" applyFill="1" applyBorder="1" applyAlignment="1" applyProtection="1">
      <alignment horizontal="center" vertical="center" wrapText="1"/>
    </xf>
    <xf numFmtId="37" fontId="6" fillId="0" borderId="3" xfId="0" applyNumberFormat="1" applyFont="1" applyFill="1" applyBorder="1" applyAlignment="1" applyProtection="1">
      <alignment horizontal="center" vertical="center" wrapText="1"/>
    </xf>
    <xf numFmtId="0" fontId="5" fillId="8" borderId="8" xfId="0" applyFont="1" applyFill="1" applyBorder="1" applyAlignment="1" applyProtection="1">
      <alignment horizontal="center" vertical="center"/>
    </xf>
    <xf numFmtId="0" fontId="5" fillId="3" borderId="3" xfId="0" applyFont="1" applyFill="1" applyBorder="1" applyAlignment="1" applyProtection="1">
      <alignment horizontal="center" vertical="center"/>
    </xf>
    <xf numFmtId="0" fontId="5" fillId="0" borderId="0" xfId="0" applyFont="1" applyAlignment="1" applyProtection="1">
      <alignment vertical="center"/>
    </xf>
    <xf numFmtId="37" fontId="11" fillId="11" borderId="1" xfId="0" applyNumberFormat="1" applyFont="1" applyFill="1" applyBorder="1" applyAlignment="1" applyProtection="1">
      <alignment horizontal="center" vertical="center" wrapText="1"/>
    </xf>
    <xf numFmtId="37" fontId="6" fillId="11" borderId="3" xfId="0" applyNumberFormat="1" applyFont="1" applyFill="1" applyBorder="1" applyAlignment="1" applyProtection="1">
      <alignment horizontal="center" vertical="center" wrapText="1"/>
    </xf>
    <xf numFmtId="37" fontId="11" fillId="11" borderId="3" xfId="0" applyNumberFormat="1" applyFont="1" applyFill="1" applyBorder="1" applyAlignment="1" applyProtection="1">
      <alignment horizontal="center" vertical="center"/>
    </xf>
    <xf numFmtId="37" fontId="6" fillId="11" borderId="3" xfId="0" applyNumberFormat="1" applyFont="1" applyFill="1" applyBorder="1" applyAlignment="1" applyProtection="1">
      <alignment horizontal="center" vertical="center"/>
    </xf>
    <xf numFmtId="0" fontId="5" fillId="12" borderId="8" xfId="0" applyFont="1" applyFill="1" applyBorder="1" applyAlignment="1" applyProtection="1">
      <alignment horizontal="center" vertical="center"/>
    </xf>
    <xf numFmtId="37" fontId="6" fillId="0" borderId="3"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1" xfId="0" applyFont="1" applyFill="1" applyBorder="1" applyAlignment="1" applyProtection="1">
      <alignment vertical="center"/>
    </xf>
    <xf numFmtId="0" fontId="11" fillId="8" borderId="8" xfId="0" applyFont="1" applyFill="1" applyBorder="1" applyAlignment="1" applyProtection="1">
      <alignment vertical="center"/>
    </xf>
    <xf numFmtId="37" fontId="4" fillId="3" borderId="1" xfId="0" applyNumberFormat="1" applyFont="1" applyFill="1" applyBorder="1" applyAlignment="1" applyProtection="1">
      <alignment horizontal="left" vertical="center"/>
      <protection locked="0"/>
    </xf>
    <xf numFmtId="37" fontId="4" fillId="3" borderId="8" xfId="0" applyNumberFormat="1" applyFont="1" applyFill="1" applyBorder="1" applyAlignment="1" applyProtection="1">
      <alignment horizontal="center" vertical="center"/>
      <protection locked="0"/>
    </xf>
    <xf numFmtId="37" fontId="4" fillId="4" borderId="1" xfId="0" applyNumberFormat="1" applyFont="1" applyFill="1" applyBorder="1" applyAlignment="1" applyProtection="1">
      <alignment horizontal="left" vertical="center"/>
      <protection locked="0"/>
    </xf>
    <xf numFmtId="37" fontId="4" fillId="4" borderId="8" xfId="0" applyNumberFormat="1" applyFont="1" applyFill="1" applyBorder="1" applyAlignment="1" applyProtection="1">
      <alignment horizontal="center" vertical="center"/>
      <protection locked="0"/>
    </xf>
    <xf numFmtId="9" fontId="5" fillId="8" borderId="3" xfId="1" applyFont="1" applyFill="1" applyBorder="1" applyAlignment="1" applyProtection="1">
      <alignment horizontal="center" vertical="center"/>
    </xf>
    <xf numFmtId="0" fontId="5" fillId="0" borderId="0" xfId="0" applyFont="1" applyBorder="1" applyAlignment="1" applyProtection="1">
      <alignment vertical="center"/>
    </xf>
    <xf numFmtId="37" fontId="11" fillId="8" borderId="3" xfId="0" applyNumberFormat="1" applyFont="1" applyFill="1" applyBorder="1" applyAlignment="1" applyProtection="1">
      <alignment horizontal="center" vertical="center"/>
    </xf>
    <xf numFmtId="0" fontId="4" fillId="0" borderId="8" xfId="0" applyFont="1" applyBorder="1" applyAlignment="1" applyProtection="1">
      <alignment horizontal="center" vertical="center"/>
    </xf>
    <xf numFmtId="0" fontId="6" fillId="10" borderId="8" xfId="0" applyFont="1" applyFill="1" applyBorder="1" applyAlignment="1" applyProtection="1">
      <alignment horizontal="center" vertical="center"/>
    </xf>
    <xf numFmtId="0" fontId="14" fillId="0" borderId="3" xfId="0" applyFont="1" applyBorder="1" applyAlignment="1" applyProtection="1">
      <alignment horizontal="center" vertical="center"/>
    </xf>
    <xf numFmtId="0" fontId="5" fillId="8" borderId="3" xfId="0" applyFont="1" applyFill="1" applyBorder="1" applyAlignment="1" applyProtection="1">
      <alignment vertical="center"/>
    </xf>
    <xf numFmtId="0" fontId="4" fillId="0" borderId="1" xfId="0" applyFont="1" applyBorder="1" applyAlignment="1" applyProtection="1">
      <alignment horizontal="center" vertical="center"/>
    </xf>
    <xf numFmtId="0" fontId="6" fillId="8" borderId="1" xfId="0" applyFont="1" applyFill="1" applyBorder="1" applyAlignment="1" applyProtection="1">
      <alignment horizontal="center" vertical="center"/>
    </xf>
    <xf numFmtId="37" fontId="6" fillId="8" borderId="3" xfId="0" applyNumberFormat="1" applyFont="1" applyFill="1" applyBorder="1" applyAlignment="1" applyProtection="1">
      <alignment horizontal="center" vertical="center" wrapText="1"/>
    </xf>
    <xf numFmtId="0" fontId="6" fillId="0" borderId="3" xfId="0" applyFont="1" applyFill="1" applyBorder="1" applyAlignment="1" applyProtection="1">
      <alignment horizontal="center" vertical="center"/>
    </xf>
    <xf numFmtId="0" fontId="11" fillId="11" borderId="8" xfId="0" applyFont="1" applyFill="1" applyBorder="1" applyAlignment="1" applyProtection="1">
      <alignment horizontal="left" vertical="center"/>
    </xf>
    <xf numFmtId="0" fontId="4" fillId="12" borderId="8" xfId="0" applyFont="1" applyFill="1" applyBorder="1" applyAlignment="1" applyProtection="1">
      <alignment vertical="center"/>
    </xf>
    <xf numFmtId="0" fontId="4" fillId="12" borderId="1" xfId="0" applyFont="1" applyFill="1" applyBorder="1" applyAlignment="1" applyProtection="1">
      <alignment vertical="center"/>
    </xf>
    <xf numFmtId="0" fontId="4" fillId="0" borderId="11" xfId="0" applyFont="1" applyFill="1" applyBorder="1" applyAlignment="1" applyProtection="1">
      <alignment horizontal="center" vertical="center"/>
    </xf>
    <xf numFmtId="0" fontId="5" fillId="0" borderId="11" xfId="0" applyFont="1" applyFill="1" applyBorder="1" applyAlignment="1" applyProtection="1">
      <alignment horizontal="left" vertical="center"/>
    </xf>
    <xf numFmtId="0" fontId="7" fillId="9" borderId="4" xfId="0" applyFont="1" applyFill="1" applyBorder="1" applyAlignment="1" applyProtection="1">
      <alignment vertical="center"/>
    </xf>
    <xf numFmtId="165" fontId="5" fillId="0" borderId="3" xfId="0" applyNumberFormat="1" applyFont="1" applyBorder="1" applyAlignment="1" applyProtection="1">
      <alignment horizontal="center" vertical="center"/>
    </xf>
    <xf numFmtId="165" fontId="11" fillId="11" borderId="3" xfId="0" applyNumberFormat="1" applyFont="1" applyFill="1" applyBorder="1" applyAlignment="1" applyProtection="1">
      <alignment horizontal="center" vertical="center" wrapText="1"/>
    </xf>
    <xf numFmtId="9" fontId="11" fillId="0" borderId="1" xfId="1" applyFont="1" applyFill="1" applyBorder="1" applyAlignment="1" applyProtection="1">
      <alignment horizontal="center" vertical="center"/>
    </xf>
    <xf numFmtId="0" fontId="15" fillId="0" borderId="3" xfId="0" applyFont="1" applyFill="1" applyBorder="1" applyAlignment="1" applyProtection="1">
      <alignment vertical="center"/>
    </xf>
    <xf numFmtId="9" fontId="6" fillId="9" borderId="3" xfId="1" applyFont="1" applyFill="1" applyBorder="1" applyAlignment="1" applyProtection="1">
      <alignment horizontal="center" vertical="center"/>
    </xf>
    <xf numFmtId="9" fontId="11" fillId="11" borderId="1" xfId="1" applyFont="1" applyFill="1" applyBorder="1" applyAlignment="1" applyProtection="1">
      <alignment horizontal="center" vertical="center"/>
    </xf>
    <xf numFmtId="0" fontId="15" fillId="11" borderId="3" xfId="0" applyFont="1" applyFill="1" applyBorder="1" applyAlignment="1" applyProtection="1">
      <alignment vertical="center"/>
    </xf>
    <xf numFmtId="0" fontId="4" fillId="13" borderId="3" xfId="0" applyFont="1" applyFill="1" applyBorder="1" applyAlignment="1" applyProtection="1">
      <alignment horizontal="center" vertical="center"/>
    </xf>
    <xf numFmtId="9" fontId="11" fillId="0" borderId="3" xfId="1" applyFont="1" applyFill="1" applyBorder="1" applyAlignment="1" applyProtection="1">
      <alignment horizontal="center" vertical="center"/>
    </xf>
    <xf numFmtId="37" fontId="11" fillId="0" borderId="3" xfId="0" applyNumberFormat="1" applyFont="1" applyFill="1" applyBorder="1" applyAlignment="1" applyProtection="1">
      <alignment horizontal="center" vertical="center"/>
    </xf>
    <xf numFmtId="165" fontId="5" fillId="0" borderId="3" xfId="0" applyNumberFormat="1" applyFont="1" applyFill="1" applyBorder="1" applyAlignment="1" applyProtection="1">
      <alignment horizontal="center" vertical="center"/>
    </xf>
    <xf numFmtId="165" fontId="5" fillId="8" borderId="3" xfId="0" applyNumberFormat="1" applyFont="1" applyFill="1" applyBorder="1" applyAlignment="1" applyProtection="1">
      <alignment horizontal="center" vertical="center"/>
    </xf>
    <xf numFmtId="9" fontId="5" fillId="0" borderId="3" xfId="1" applyFont="1" applyFill="1" applyBorder="1" applyAlignment="1" applyProtection="1">
      <alignment horizontal="center" vertical="center"/>
    </xf>
    <xf numFmtId="0" fontId="5" fillId="8" borderId="1" xfId="0" applyFont="1" applyFill="1" applyBorder="1" applyAlignment="1" applyProtection="1">
      <alignment horizontal="center" vertical="center"/>
    </xf>
    <xf numFmtId="0" fontId="5" fillId="12" borderId="1" xfId="0" applyFont="1" applyFill="1" applyBorder="1" applyAlignment="1" applyProtection="1">
      <alignment horizontal="left" vertical="center"/>
    </xf>
    <xf numFmtId="165" fontId="5" fillId="12" borderId="3" xfId="0" applyNumberFormat="1" applyFont="1" applyFill="1" applyBorder="1" applyAlignment="1" applyProtection="1">
      <alignment horizontal="center" vertical="center"/>
    </xf>
    <xf numFmtId="9" fontId="5" fillId="12" borderId="3" xfId="1" applyFont="1" applyFill="1" applyBorder="1" applyAlignment="1" applyProtection="1">
      <alignment horizontal="center" vertical="center"/>
    </xf>
    <xf numFmtId="37" fontId="5" fillId="0" borderId="0" xfId="0" applyNumberFormat="1" applyFont="1" applyAlignment="1" applyProtection="1">
      <alignment horizontal="center" vertical="center"/>
    </xf>
    <xf numFmtId="0" fontId="5" fillId="0" borderId="0" xfId="0" applyFont="1" applyFill="1" applyBorder="1" applyAlignment="1" applyProtection="1">
      <alignment horizontal="left" vertical="center"/>
    </xf>
    <xf numFmtId="0" fontId="9" fillId="0" borderId="0" xfId="0" applyFont="1" applyFill="1" applyBorder="1" applyAlignment="1" applyProtection="1">
      <alignment horizontal="right" vertical="center"/>
    </xf>
    <xf numFmtId="0" fontId="5" fillId="0" borderId="2" xfId="0" applyFont="1" applyFill="1" applyBorder="1" applyAlignment="1" applyProtection="1">
      <alignment vertical="center"/>
    </xf>
    <xf numFmtId="0" fontId="4" fillId="0" borderId="2"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0" fontId="5" fillId="0" borderId="8"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0" fontId="8" fillId="0" borderId="0" xfId="0" applyFont="1" applyFill="1" applyBorder="1" applyAlignment="1" applyProtection="1">
      <alignment horizontal="center" vertical="center"/>
    </xf>
    <xf numFmtId="0" fontId="7" fillId="0" borderId="7"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0" fontId="5" fillId="0" borderId="2" xfId="0" applyFont="1" applyFill="1" applyBorder="1" applyAlignment="1" applyProtection="1">
      <alignment horizontal="center" vertical="center" wrapText="1"/>
    </xf>
    <xf numFmtId="166" fontId="13" fillId="15" borderId="12" xfId="0" applyNumberFormat="1" applyFont="1" applyFill="1" applyBorder="1" applyAlignment="1" applyProtection="1">
      <alignment horizontal="center" vertical="center"/>
    </xf>
    <xf numFmtId="0" fontId="5" fillId="10" borderId="12" xfId="0" applyFont="1" applyFill="1" applyBorder="1" applyAlignment="1" applyProtection="1">
      <alignment horizontal="center" vertical="center"/>
    </xf>
    <xf numFmtId="37" fontId="5" fillId="10" borderId="10" xfId="0" applyNumberFormat="1" applyFont="1" applyFill="1" applyBorder="1" applyAlignment="1" applyProtection="1">
      <alignment vertical="center"/>
    </xf>
    <xf numFmtId="9" fontId="5" fillId="0" borderId="3" xfId="1" applyFont="1" applyBorder="1" applyAlignment="1" applyProtection="1">
      <alignment horizontal="center" vertical="center"/>
    </xf>
    <xf numFmtId="0" fontId="5" fillId="5" borderId="3" xfId="0" applyFont="1" applyFill="1" applyBorder="1" applyAlignment="1" applyProtection="1">
      <alignment horizontal="center" vertical="center"/>
    </xf>
    <xf numFmtId="0" fontId="6" fillId="8" borderId="8" xfId="0" applyFont="1" applyFill="1" applyBorder="1" applyAlignment="1" applyProtection="1">
      <alignment horizontal="left" vertical="center" wrapText="1"/>
    </xf>
    <xf numFmtId="37" fontId="6" fillId="12" borderId="3" xfId="0" applyNumberFormat="1" applyFont="1" applyFill="1" applyBorder="1" applyAlignment="1" applyProtection="1">
      <alignment horizontal="center" vertical="center"/>
    </xf>
    <xf numFmtId="0" fontId="14" fillId="8" borderId="8" xfId="0" applyFont="1" applyFill="1" applyBorder="1" applyAlignment="1" applyProtection="1">
      <alignment vertical="center"/>
    </xf>
    <xf numFmtId="0" fontId="6" fillId="8" borderId="8" xfId="0" quotePrefix="1" applyFont="1" applyFill="1" applyBorder="1" applyAlignment="1" applyProtection="1">
      <alignment horizontal="left" vertical="center"/>
    </xf>
    <xf numFmtId="165" fontId="5" fillId="10" borderId="3" xfId="0" applyNumberFormat="1" applyFont="1" applyFill="1" applyBorder="1" applyAlignment="1" applyProtection="1">
      <alignment horizontal="center" vertical="center"/>
    </xf>
    <xf numFmtId="0" fontId="7" fillId="0" borderId="13" xfId="0" applyFont="1" applyFill="1" applyBorder="1" applyAlignment="1" applyProtection="1">
      <alignment vertical="center"/>
    </xf>
    <xf numFmtId="0" fontId="5" fillId="0" borderId="13" xfId="0" applyFont="1" applyFill="1" applyBorder="1" applyAlignment="1" applyProtection="1">
      <alignment vertical="center"/>
    </xf>
    <xf numFmtId="0" fontId="5" fillId="0" borderId="13" xfId="0" applyFont="1" applyFill="1" applyBorder="1" applyAlignment="1" applyProtection="1">
      <alignment horizontal="left" vertical="center" wrapText="1"/>
    </xf>
    <xf numFmtId="0" fontId="4" fillId="0" borderId="13" xfId="0" applyFont="1" applyFill="1" applyBorder="1" applyAlignment="1" applyProtection="1">
      <alignment vertical="center"/>
    </xf>
    <xf numFmtId="0" fontId="5" fillId="0" borderId="13" xfId="0" quotePrefix="1" applyFont="1" applyFill="1" applyBorder="1" applyAlignment="1" applyProtection="1">
      <alignment horizontal="left" vertical="center"/>
    </xf>
    <xf numFmtId="0" fontId="6" fillId="0" borderId="13" xfId="0" quotePrefix="1" applyFont="1" applyFill="1" applyBorder="1" applyAlignment="1" applyProtection="1">
      <alignment horizontal="left" vertical="center" wrapText="1"/>
    </xf>
    <xf numFmtId="0" fontId="6" fillId="0" borderId="13" xfId="0" quotePrefix="1" applyFont="1" applyFill="1" applyBorder="1" applyAlignment="1" applyProtection="1">
      <alignment horizontal="left" vertical="center"/>
    </xf>
    <xf numFmtId="0" fontId="5" fillId="0" borderId="13" xfId="0" applyFont="1" applyFill="1" applyBorder="1" applyAlignment="1" applyProtection="1">
      <alignment horizontal="left" vertical="center"/>
    </xf>
    <xf numFmtId="0" fontId="4" fillId="0" borderId="13" xfId="0" applyFont="1" applyFill="1" applyBorder="1" applyAlignment="1" applyProtection="1">
      <alignment horizontal="center" vertical="center"/>
    </xf>
    <xf numFmtId="0" fontId="6" fillId="0" borderId="13" xfId="0" applyFont="1" applyFill="1" applyBorder="1" applyAlignment="1" applyProtection="1">
      <alignment horizontal="left" vertical="center"/>
    </xf>
    <xf numFmtId="0" fontId="6" fillId="0" borderId="13" xfId="0" applyFont="1" applyFill="1" applyBorder="1" applyAlignment="1" applyProtection="1">
      <alignment horizontal="left" vertical="center" wrapText="1"/>
    </xf>
    <xf numFmtId="0" fontId="4" fillId="0" borderId="13" xfId="0" applyFont="1" applyFill="1" applyBorder="1" applyAlignment="1" applyProtection="1">
      <alignment horizontal="left" vertical="center" wrapText="1"/>
    </xf>
    <xf numFmtId="0" fontId="6" fillId="0" borderId="13" xfId="0" applyFont="1" applyFill="1" applyBorder="1" applyAlignment="1" applyProtection="1">
      <alignment horizontal="center" vertical="center"/>
    </xf>
    <xf numFmtId="0" fontId="6" fillId="0" borderId="13" xfId="0" applyFont="1" applyFill="1" applyBorder="1" applyAlignment="1" applyProtection="1">
      <alignment vertical="center"/>
    </xf>
    <xf numFmtId="0" fontId="5" fillId="0" borderId="3" xfId="0" applyFont="1" applyFill="1" applyBorder="1" applyAlignment="1" applyProtection="1">
      <alignment horizontal="center" vertical="center" wrapText="1"/>
    </xf>
    <xf numFmtId="0" fontId="13" fillId="14" borderId="3" xfId="0" applyFont="1" applyFill="1" applyBorder="1" applyAlignment="1" applyProtection="1">
      <alignment horizontal="center" vertical="center"/>
    </xf>
    <xf numFmtId="0" fontId="6" fillId="0" borderId="3"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xf>
    <xf numFmtId="0" fontId="4" fillId="8" borderId="0" xfId="0" applyFont="1" applyFill="1" applyBorder="1" applyAlignment="1" applyProtection="1">
      <alignment vertical="center"/>
    </xf>
    <xf numFmtId="0" fontId="13" fillId="10" borderId="3" xfId="0" applyFont="1" applyFill="1" applyBorder="1" applyAlignment="1" applyProtection="1">
      <alignment horizontal="center" vertical="center"/>
    </xf>
    <xf numFmtId="0" fontId="4" fillId="16" borderId="3" xfId="0" applyFont="1" applyFill="1" applyBorder="1" applyAlignment="1" applyProtection="1">
      <alignment horizontal="center" vertical="center"/>
    </xf>
    <xf numFmtId="0" fontId="5" fillId="16" borderId="3" xfId="0" applyFont="1" applyFill="1" applyBorder="1" applyAlignment="1" applyProtection="1">
      <alignment horizontal="center" vertical="center"/>
    </xf>
    <xf numFmtId="0" fontId="6" fillId="13" borderId="3" xfId="0" applyFont="1" applyFill="1" applyBorder="1" applyAlignment="1" applyProtection="1">
      <alignment horizontal="center" vertical="center"/>
    </xf>
    <xf numFmtId="0" fontId="4" fillId="17" borderId="3" xfId="0" applyFont="1" applyFill="1" applyBorder="1" applyAlignment="1" applyProtection="1">
      <alignment horizontal="center" vertical="center"/>
    </xf>
    <xf numFmtId="0" fontId="5" fillId="12" borderId="3" xfId="0" applyFont="1" applyFill="1" applyBorder="1" applyAlignment="1" applyProtection="1">
      <alignment horizontal="left" vertical="center"/>
    </xf>
    <xf numFmtId="0" fontId="4" fillId="0" borderId="10" xfId="0" applyFont="1" applyFill="1" applyBorder="1" applyAlignment="1" applyProtection="1">
      <alignment horizontal="center" vertical="center"/>
    </xf>
    <xf numFmtId="0" fontId="5" fillId="0" borderId="3" xfId="0" applyFont="1" applyFill="1" applyBorder="1" applyAlignment="1" applyProtection="1">
      <alignment horizontal="left" vertical="center"/>
    </xf>
    <xf numFmtId="0" fontId="5" fillId="0" borderId="1" xfId="0" applyFont="1" applyFill="1" applyBorder="1" applyAlignment="1" applyProtection="1">
      <alignment vertical="center"/>
    </xf>
    <xf numFmtId="0" fontId="4" fillId="0" borderId="10" xfId="0" applyFont="1" applyFill="1" applyBorder="1" applyAlignment="1" applyProtection="1">
      <alignment vertical="center"/>
    </xf>
    <xf numFmtId="37" fontId="5" fillId="0" borderId="10" xfId="0" applyNumberFormat="1" applyFont="1" applyFill="1" applyBorder="1" applyAlignment="1" applyProtection="1">
      <alignment horizontal="center" vertical="center"/>
    </xf>
    <xf numFmtId="0" fontId="5" fillId="0" borderId="3" xfId="0" quotePrefix="1" applyFont="1" applyFill="1" applyBorder="1" applyAlignment="1" applyProtection="1">
      <alignment horizontal="center" vertical="center"/>
    </xf>
    <xf numFmtId="0" fontId="6" fillId="0" borderId="3" xfId="0" quotePrefix="1" applyFont="1" applyFill="1" applyBorder="1" applyAlignment="1" applyProtection="1">
      <alignment horizontal="center" vertical="center" wrapText="1"/>
    </xf>
    <xf numFmtId="0" fontId="6" fillId="0" borderId="3" xfId="0" quotePrefix="1" applyFont="1" applyFill="1" applyBorder="1" applyAlignment="1" applyProtection="1">
      <alignment horizontal="center" vertical="center"/>
    </xf>
    <xf numFmtId="37" fontId="11" fillId="0" borderId="8" xfId="0" applyNumberFormat="1" applyFont="1" applyFill="1" applyBorder="1" applyAlignment="1" applyProtection="1">
      <alignment horizontal="center" vertical="center" wrapText="1"/>
    </xf>
    <xf numFmtId="0" fontId="13" fillId="0" borderId="3" xfId="0" applyFont="1" applyFill="1" applyBorder="1" applyAlignment="1" applyProtection="1">
      <alignment horizontal="center" vertical="center"/>
    </xf>
    <xf numFmtId="0" fontId="13" fillId="14" borderId="9"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4" fillId="10" borderId="11" xfId="0" applyFont="1" applyFill="1" applyBorder="1" applyAlignment="1" applyProtection="1">
      <alignment vertical="center"/>
    </xf>
    <xf numFmtId="0" fontId="7" fillId="0" borderId="4" xfId="0" applyFont="1" applyFill="1" applyBorder="1" applyAlignment="1" applyProtection="1">
      <alignment horizontal="center" vertical="center"/>
    </xf>
    <xf numFmtId="37" fontId="3" fillId="0" borderId="0" xfId="0" applyNumberFormat="1" applyFont="1" applyAlignment="1" applyProtection="1">
      <alignment horizontal="left" vertical="center"/>
    </xf>
    <xf numFmtId="0" fontId="3" fillId="0" borderId="0" xfId="0" applyFont="1" applyFill="1" applyBorder="1" applyAlignment="1" applyProtection="1">
      <alignment horizontal="left" vertical="center"/>
    </xf>
    <xf numFmtId="0" fontId="5" fillId="10" borderId="11" xfId="0" applyFont="1" applyFill="1" applyBorder="1" applyAlignment="1" applyProtection="1">
      <alignment vertical="center"/>
    </xf>
    <xf numFmtId="0" fontId="5" fillId="10" borderId="12" xfId="0" applyFont="1" applyFill="1" applyBorder="1" applyAlignment="1" applyProtection="1">
      <alignment vertical="center"/>
    </xf>
    <xf numFmtId="37" fontId="10" fillId="10" borderId="10" xfId="0" applyNumberFormat="1" applyFont="1" applyFill="1" applyBorder="1" applyAlignment="1" applyProtection="1">
      <alignment horizontal="center" vertical="center" wrapText="1"/>
    </xf>
    <xf numFmtId="37" fontId="4" fillId="10" borderId="10" xfId="0" applyNumberFormat="1" applyFont="1" applyFill="1" applyBorder="1" applyAlignment="1" applyProtection="1">
      <alignment horizontal="center" vertical="center"/>
    </xf>
    <xf numFmtId="37" fontId="4" fillId="10" borderId="3" xfId="0" applyNumberFormat="1" applyFont="1" applyFill="1" applyBorder="1" applyAlignment="1" applyProtection="1">
      <alignment vertical="center"/>
    </xf>
    <xf numFmtId="0" fontId="6" fillId="10" borderId="1" xfId="0" applyFont="1" applyFill="1" applyBorder="1" applyAlignment="1" applyProtection="1">
      <alignment vertical="center"/>
    </xf>
    <xf numFmtId="0" fontId="5" fillId="0" borderId="10" xfId="0" applyFont="1" applyFill="1" applyBorder="1" applyAlignment="1" applyProtection="1">
      <alignment horizontal="center" vertical="center"/>
    </xf>
    <xf numFmtId="0" fontId="5" fillId="10" borderId="14" xfId="0" applyFont="1" applyFill="1" applyBorder="1" applyAlignment="1" applyProtection="1">
      <alignment vertical="center"/>
    </xf>
    <xf numFmtId="37" fontId="4" fillId="10" borderId="10" xfId="0" applyNumberFormat="1" applyFont="1" applyFill="1" applyBorder="1" applyAlignment="1" applyProtection="1">
      <alignment vertical="center"/>
    </xf>
    <xf numFmtId="0" fontId="5" fillId="8" borderId="1" xfId="0" quotePrefix="1" applyFont="1" applyFill="1" applyBorder="1" applyAlignment="1" applyProtection="1">
      <alignment vertical="center"/>
    </xf>
    <xf numFmtId="0" fontId="5" fillId="11" borderId="2" xfId="0" applyFont="1" applyFill="1" applyBorder="1" applyAlignment="1" applyProtection="1">
      <alignment vertical="center"/>
    </xf>
    <xf numFmtId="0" fontId="5" fillId="12" borderId="2" xfId="0" applyFont="1" applyFill="1" applyBorder="1" applyAlignment="1" applyProtection="1">
      <alignment vertical="center"/>
    </xf>
    <xf numFmtId="0" fontId="5" fillId="8" borderId="2" xfId="0" applyFont="1" applyFill="1" applyBorder="1" applyAlignment="1" applyProtection="1">
      <alignment horizontal="left" vertical="center"/>
    </xf>
    <xf numFmtId="0" fontId="6" fillId="8" borderId="2" xfId="0" applyFont="1" applyFill="1" applyBorder="1" applyAlignment="1" applyProtection="1">
      <alignment horizontal="center" vertical="center"/>
    </xf>
    <xf numFmtId="0" fontId="4" fillId="12" borderId="2" xfId="0" applyFont="1" applyFill="1" applyBorder="1" applyAlignment="1" applyProtection="1">
      <alignment horizontal="center" vertical="center"/>
    </xf>
    <xf numFmtId="0" fontId="5" fillId="8" borderId="8" xfId="0" applyFont="1" applyFill="1" applyBorder="1" applyAlignment="1" applyProtection="1">
      <alignment vertical="center" wrapText="1"/>
    </xf>
    <xf numFmtId="0" fontId="5" fillId="8" borderId="2" xfId="0" applyFont="1" applyFill="1" applyBorder="1" applyAlignment="1" applyProtection="1">
      <alignment vertical="center" wrapText="1"/>
    </xf>
    <xf numFmtId="37" fontId="11" fillId="3" borderId="1" xfId="0" applyNumberFormat="1" applyFont="1" applyFill="1" applyBorder="1" applyAlignment="1" applyProtection="1">
      <alignment horizontal="left" vertical="center" wrapText="1"/>
      <protection locked="0"/>
    </xf>
    <xf numFmtId="37" fontId="11" fillId="3" borderId="8" xfId="0" applyNumberFormat="1" applyFont="1" applyFill="1" applyBorder="1" applyAlignment="1" applyProtection="1">
      <alignment horizontal="center" vertical="center" wrapText="1"/>
      <protection locked="0"/>
    </xf>
    <xf numFmtId="37" fontId="11" fillId="3" borderId="2" xfId="0" applyNumberFormat="1" applyFont="1" applyFill="1" applyBorder="1" applyAlignment="1" applyProtection="1">
      <alignment horizontal="center" vertical="center" wrapText="1"/>
      <protection locked="0"/>
    </xf>
    <xf numFmtId="37" fontId="11" fillId="4" borderId="1" xfId="0" applyNumberFormat="1" applyFont="1" applyFill="1" applyBorder="1" applyAlignment="1" applyProtection="1">
      <alignment horizontal="left" vertical="center" wrapText="1"/>
      <protection locked="0"/>
    </xf>
    <xf numFmtId="37" fontId="11" fillId="4" borderId="8" xfId="0" applyNumberFormat="1" applyFont="1" applyFill="1" applyBorder="1" applyAlignment="1" applyProtection="1">
      <alignment horizontal="center" vertical="center" wrapText="1"/>
      <protection locked="0"/>
    </xf>
    <xf numFmtId="37" fontId="11" fillId="4" borderId="2" xfId="0" applyNumberFormat="1" applyFont="1" applyFill="1" applyBorder="1" applyAlignment="1" applyProtection="1">
      <alignment horizontal="center" vertical="center" wrapText="1"/>
      <protection locked="0"/>
    </xf>
    <xf numFmtId="0" fontId="4" fillId="12" borderId="3" xfId="0" applyFont="1" applyFill="1" applyBorder="1" applyAlignment="1" applyProtection="1">
      <alignment horizontal="center" vertical="center"/>
    </xf>
    <xf numFmtId="37" fontId="11" fillId="11" borderId="8" xfId="0" applyNumberFormat="1" applyFont="1" applyFill="1" applyBorder="1" applyAlignment="1" applyProtection="1">
      <alignment horizontal="left" vertical="center"/>
    </xf>
    <xf numFmtId="37" fontId="11" fillId="3" borderId="1" xfId="0" applyNumberFormat="1" applyFont="1" applyFill="1" applyBorder="1" applyAlignment="1" applyProtection="1">
      <alignment horizontal="left" vertical="center"/>
      <protection locked="0"/>
    </xf>
    <xf numFmtId="37" fontId="11" fillId="3" borderId="8" xfId="0" applyNumberFormat="1" applyFont="1" applyFill="1" applyBorder="1" applyAlignment="1" applyProtection="1">
      <alignment horizontal="center" vertical="center"/>
      <protection locked="0"/>
    </xf>
    <xf numFmtId="37" fontId="11" fillId="4" borderId="1" xfId="0" applyNumberFormat="1" applyFont="1" applyFill="1" applyBorder="1" applyAlignment="1" applyProtection="1">
      <alignment horizontal="left" vertical="center"/>
      <protection locked="0"/>
    </xf>
    <xf numFmtId="37" fontId="11" fillId="4" borderId="8" xfId="0" applyNumberFormat="1" applyFont="1" applyFill="1" applyBorder="1" applyAlignment="1" applyProtection="1">
      <alignment horizontal="center" vertical="center"/>
      <protection locked="0"/>
    </xf>
    <xf numFmtId="37" fontId="11" fillId="3" borderId="8" xfId="0" applyNumberFormat="1" applyFont="1" applyFill="1" applyBorder="1" applyAlignment="1" applyProtection="1">
      <alignment horizontal="left" vertical="center"/>
      <protection locked="0"/>
    </xf>
    <xf numFmtId="0" fontId="6" fillId="10" borderId="1" xfId="0" applyFont="1" applyFill="1" applyBorder="1" applyAlignment="1" applyProtection="1">
      <alignment horizontal="center" vertical="center"/>
    </xf>
    <xf numFmtId="0" fontId="11" fillId="10" borderId="8" xfId="0" applyFont="1" applyFill="1" applyBorder="1" applyAlignment="1" applyProtection="1">
      <alignment vertical="center"/>
    </xf>
    <xf numFmtId="0" fontId="4" fillId="10" borderId="8" xfId="0" applyFont="1" applyFill="1" applyBorder="1" applyAlignment="1" applyProtection="1">
      <alignment horizontal="center" vertical="center"/>
    </xf>
    <xf numFmtId="0" fontId="11" fillId="0" borderId="15" xfId="0" applyFont="1" applyBorder="1" applyAlignment="1" applyProtection="1">
      <alignment horizontal="center" vertical="center"/>
    </xf>
    <xf numFmtId="0" fontId="4" fillId="8" borderId="8" xfId="0" applyFont="1" applyFill="1" applyBorder="1" applyAlignment="1" applyProtection="1">
      <alignment horizontal="left" vertical="center"/>
    </xf>
    <xf numFmtId="0" fontId="4" fillId="11" borderId="8" xfId="0" applyFont="1" applyFill="1" applyBorder="1" applyAlignment="1" applyProtection="1">
      <alignment horizontal="left" vertical="center"/>
    </xf>
    <xf numFmtId="0" fontId="5" fillId="0" borderId="8" xfId="0" applyFont="1" applyFill="1" applyBorder="1" applyAlignment="1" applyProtection="1">
      <alignment horizontal="left" vertical="center"/>
    </xf>
    <xf numFmtId="37" fontId="4" fillId="0" borderId="3" xfId="0" applyNumberFormat="1" applyFont="1" applyBorder="1" applyAlignment="1" applyProtection="1">
      <alignment vertical="center"/>
    </xf>
    <xf numFmtId="0" fontId="5" fillId="0" borderId="13" xfId="0" quotePrefix="1" applyFont="1" applyFill="1" applyBorder="1" applyAlignment="1" applyProtection="1">
      <alignment horizontal="left" vertical="center" wrapText="1"/>
    </xf>
    <xf numFmtId="0" fontId="5" fillId="0" borderId="13" xfId="0" applyFont="1" applyFill="1" applyBorder="1" applyAlignment="1" applyProtection="1">
      <alignment vertical="center" wrapText="1"/>
    </xf>
    <xf numFmtId="0" fontId="4" fillId="0" borderId="0" xfId="0" applyFont="1" applyFill="1" applyBorder="1" applyAlignment="1" applyProtection="1">
      <alignment horizontal="left" vertical="center"/>
    </xf>
    <xf numFmtId="0" fontId="7" fillId="9" borderId="7" xfId="0" applyFont="1" applyFill="1" applyBorder="1" applyAlignment="1" applyProtection="1">
      <alignment horizontal="center" vertical="center"/>
    </xf>
    <xf numFmtId="166" fontId="13" fillId="15" borderId="3" xfId="0" applyNumberFormat="1" applyFont="1" applyFill="1" applyBorder="1" applyAlignment="1" applyProtection="1">
      <alignment horizontal="center" vertical="center"/>
    </xf>
    <xf numFmtId="0" fontId="5" fillId="8" borderId="8" xfId="0" quotePrefix="1" applyFont="1" applyFill="1" applyBorder="1" applyAlignment="1" applyProtection="1">
      <alignment vertical="center"/>
    </xf>
    <xf numFmtId="0" fontId="6" fillId="8" borderId="8" xfId="0" quotePrefix="1" applyFont="1" applyFill="1" applyBorder="1" applyAlignment="1" applyProtection="1">
      <alignment vertical="center"/>
    </xf>
    <xf numFmtId="0" fontId="6" fillId="8" borderId="2" xfId="0" quotePrefix="1" applyFont="1" applyFill="1" applyBorder="1" applyAlignment="1" applyProtection="1">
      <alignment vertical="center"/>
    </xf>
    <xf numFmtId="0" fontId="5" fillId="0" borderId="3" xfId="0" quotePrefix="1" applyFont="1" applyFill="1" applyBorder="1" applyAlignment="1" applyProtection="1">
      <alignment horizontal="left" vertical="center"/>
    </xf>
    <xf numFmtId="0" fontId="5" fillId="0" borderId="3" xfId="0" applyFont="1" applyFill="1" applyBorder="1" applyAlignment="1" applyProtection="1">
      <alignment horizontal="left" vertical="center" wrapText="1"/>
    </xf>
    <xf numFmtId="0" fontId="5" fillId="0" borderId="3" xfId="0" quotePrefix="1" applyFont="1" applyFill="1" applyBorder="1" applyAlignment="1" applyProtection="1">
      <alignment horizontal="left" vertical="center" wrapText="1"/>
    </xf>
    <xf numFmtId="0" fontId="4" fillId="8" borderId="2" xfId="0" applyFont="1" applyFill="1" applyBorder="1" applyAlignment="1" applyProtection="1">
      <alignment horizontal="center" vertical="center"/>
    </xf>
    <xf numFmtId="0" fontId="5" fillId="0" borderId="3" xfId="0" applyFont="1" applyFill="1" applyBorder="1" applyAlignment="1" applyProtection="1">
      <alignment vertical="center" wrapText="1"/>
    </xf>
    <xf numFmtId="0" fontId="4" fillId="0" borderId="3" xfId="0" applyFont="1" applyFill="1" applyBorder="1" applyAlignment="1" applyProtection="1">
      <alignment horizontal="left" vertical="center"/>
    </xf>
    <xf numFmtId="0" fontId="13" fillId="0" borderId="9" xfId="0" applyFont="1" applyFill="1" applyBorder="1" applyAlignment="1" applyProtection="1">
      <alignment horizontal="center" vertical="center"/>
    </xf>
    <xf numFmtId="37" fontId="11" fillId="10" borderId="8" xfId="0" applyNumberFormat="1" applyFont="1" applyFill="1" applyBorder="1" applyAlignment="1" applyProtection="1">
      <alignment horizontal="center" vertical="center" wrapText="1"/>
    </xf>
    <xf numFmtId="9" fontId="5" fillId="10" borderId="3" xfId="1" applyFont="1" applyFill="1" applyBorder="1" applyAlignment="1" applyProtection="1">
      <alignment horizontal="center" vertical="center"/>
    </xf>
    <xf numFmtId="168" fontId="5" fillId="12" borderId="3" xfId="1" applyNumberFormat="1" applyFont="1" applyFill="1" applyBorder="1" applyAlignment="1" applyProtection="1">
      <alignment horizontal="center" vertical="center"/>
    </xf>
    <xf numFmtId="0" fontId="6" fillId="12" borderId="3" xfId="0" applyFont="1" applyFill="1" applyBorder="1" applyAlignment="1" applyProtection="1">
      <alignment horizontal="center" vertical="center"/>
    </xf>
    <xf numFmtId="0" fontId="6" fillId="12" borderId="8" xfId="0" applyFont="1" applyFill="1" applyBorder="1" applyAlignment="1" applyProtection="1">
      <alignment vertical="center"/>
    </xf>
    <xf numFmtId="168" fontId="4" fillId="3" borderId="3" xfId="0" applyNumberFormat="1" applyFont="1" applyFill="1" applyBorder="1" applyAlignment="1" applyProtection="1">
      <alignment horizontal="center" vertical="center"/>
      <protection locked="0"/>
    </xf>
    <xf numFmtId="168" fontId="5" fillId="0" borderId="3" xfId="0" applyNumberFormat="1" applyFont="1" applyBorder="1" applyAlignment="1" applyProtection="1">
      <alignment horizontal="center" vertical="center"/>
    </xf>
    <xf numFmtId="168" fontId="4" fillId="4" borderId="3" xfId="0" applyNumberFormat="1" applyFont="1" applyFill="1" applyBorder="1" applyAlignment="1" applyProtection="1">
      <alignment horizontal="center" vertical="center"/>
      <protection locked="0"/>
    </xf>
    <xf numFmtId="0" fontId="2" fillId="9" borderId="15" xfId="0" applyFont="1" applyFill="1" applyBorder="1" applyAlignment="1" applyProtection="1">
      <alignment vertical="center"/>
    </xf>
    <xf numFmtId="0" fontId="8" fillId="9" borderId="17" xfId="0" applyFont="1" applyFill="1" applyBorder="1" applyAlignment="1" applyProtection="1">
      <alignment horizontal="center" vertical="center"/>
    </xf>
    <xf numFmtId="0" fontId="6" fillId="10" borderId="3" xfId="0" applyFont="1" applyFill="1" applyBorder="1" applyAlignment="1" applyProtection="1">
      <alignment horizontal="left" vertical="center"/>
    </xf>
    <xf numFmtId="0" fontId="4" fillId="14" borderId="8" xfId="0" applyFont="1" applyFill="1" applyBorder="1" applyAlignment="1" applyProtection="1">
      <alignment horizontal="center" vertical="center"/>
    </xf>
    <xf numFmtId="37" fontId="5" fillId="2" borderId="3" xfId="0" applyNumberFormat="1" applyFont="1" applyFill="1" applyBorder="1" applyAlignment="1" applyProtection="1">
      <alignment horizontal="center" vertical="center"/>
    </xf>
    <xf numFmtId="37" fontId="13" fillId="13" borderId="10" xfId="0" applyNumberFormat="1" applyFont="1" applyFill="1" applyBorder="1" applyAlignment="1" applyProtection="1">
      <alignment horizontal="center" vertical="center"/>
    </xf>
    <xf numFmtId="169" fontId="4" fillId="3" borderId="3" xfId="0" applyNumberFormat="1" applyFont="1" applyFill="1" applyBorder="1" applyAlignment="1" applyProtection="1">
      <alignment horizontal="center" vertical="center"/>
      <protection locked="0"/>
    </xf>
    <xf numFmtId="169" fontId="5" fillId="0" borderId="3" xfId="0" applyNumberFormat="1" applyFont="1" applyBorder="1" applyAlignment="1" applyProtection="1">
      <alignment horizontal="center" vertical="center"/>
    </xf>
    <xf numFmtId="37" fontId="5" fillId="12" borderId="18" xfId="0" applyNumberFormat="1" applyFont="1" applyFill="1" applyBorder="1" applyAlignment="1" applyProtection="1">
      <alignment horizontal="center" vertical="center"/>
    </xf>
    <xf numFmtId="37" fontId="4" fillId="0" borderId="0" xfId="0" applyNumberFormat="1" applyFont="1" applyBorder="1" applyAlignment="1" applyProtection="1">
      <alignment horizontal="center" vertical="center"/>
    </xf>
    <xf numFmtId="169" fontId="5" fillId="0" borderId="3" xfId="1" applyNumberFormat="1" applyFont="1" applyFill="1" applyBorder="1" applyAlignment="1" applyProtection="1">
      <alignment horizontal="center" vertical="center"/>
    </xf>
    <xf numFmtId="169" fontId="4" fillId="8" borderId="3" xfId="0" applyNumberFormat="1" applyFont="1" applyFill="1" applyBorder="1" applyAlignment="1" applyProtection="1">
      <alignment horizontal="center" vertical="center"/>
    </xf>
    <xf numFmtId="0" fontId="2" fillId="9" borderId="17" xfId="0" applyFont="1" applyFill="1" applyBorder="1" applyAlignment="1" applyProtection="1">
      <alignment horizontal="center" vertical="center"/>
    </xf>
    <xf numFmtId="0" fontId="7" fillId="9" borderId="17" xfId="0" applyFont="1" applyFill="1" applyBorder="1" applyAlignment="1" applyProtection="1">
      <alignment vertical="center"/>
    </xf>
    <xf numFmtId="0" fontId="7" fillId="0" borderId="13" xfId="0" applyFont="1" applyFill="1" applyBorder="1" applyAlignment="1" applyProtection="1">
      <alignment horizontal="center" vertical="center"/>
    </xf>
    <xf numFmtId="37" fontId="4" fillId="9" borderId="19" xfId="0" applyNumberFormat="1" applyFont="1" applyFill="1" applyBorder="1" applyAlignment="1" applyProtection="1">
      <alignment horizontal="center" vertical="center"/>
    </xf>
    <xf numFmtId="37" fontId="5" fillId="9" borderId="16" xfId="0" applyNumberFormat="1" applyFont="1" applyFill="1" applyBorder="1" applyAlignment="1" applyProtection="1">
      <alignment horizontal="center" vertical="center"/>
    </xf>
    <xf numFmtId="37" fontId="5" fillId="5" borderId="16"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37" fontId="5" fillId="6" borderId="16" xfId="0" applyNumberFormat="1" applyFont="1" applyFill="1" applyBorder="1" applyAlignment="1" applyProtection="1">
      <alignment horizontal="center" vertical="center"/>
    </xf>
    <xf numFmtId="0" fontId="5" fillId="6" borderId="16" xfId="0" applyFont="1" applyFill="1" applyBorder="1" applyAlignment="1" applyProtection="1">
      <alignment horizontal="center" vertical="center"/>
    </xf>
    <xf numFmtId="37" fontId="5" fillId="7" borderId="16" xfId="0" applyNumberFormat="1" applyFont="1" applyFill="1" applyBorder="1" applyAlignment="1" applyProtection="1">
      <alignment horizontal="center" vertical="center"/>
    </xf>
    <xf numFmtId="0" fontId="5" fillId="7" borderId="16" xfId="0" applyFont="1" applyFill="1" applyBorder="1" applyAlignment="1" applyProtection="1">
      <alignment horizontal="center" vertical="center"/>
    </xf>
    <xf numFmtId="168" fontId="5" fillId="0" borderId="3" xfId="1" applyNumberFormat="1" applyFont="1" applyFill="1" applyBorder="1" applyAlignment="1" applyProtection="1">
      <alignment horizontal="center" vertical="center"/>
    </xf>
    <xf numFmtId="37" fontId="7" fillId="9" borderId="5" xfId="0" applyNumberFormat="1" applyFont="1" applyFill="1" applyBorder="1" applyAlignment="1" applyProtection="1">
      <alignment horizontal="center" vertical="center"/>
    </xf>
    <xf numFmtId="37" fontId="4" fillId="10" borderId="1" xfId="0" applyNumberFormat="1" applyFont="1" applyFill="1" applyBorder="1" applyAlignment="1" applyProtection="1">
      <alignment horizontal="center" vertical="center"/>
    </xf>
    <xf numFmtId="37" fontId="4" fillId="12" borderId="1" xfId="0" applyNumberFormat="1" applyFont="1" applyFill="1" applyBorder="1" applyAlignment="1" applyProtection="1">
      <alignment horizontal="center" vertical="center"/>
    </xf>
    <xf numFmtId="37" fontId="4" fillId="9" borderId="6" xfId="0" applyNumberFormat="1" applyFont="1" applyFill="1" applyBorder="1" applyAlignment="1" applyProtection="1">
      <alignment horizontal="center" vertical="center"/>
    </xf>
    <xf numFmtId="37" fontId="4" fillId="8" borderId="1" xfId="0" applyNumberFormat="1" applyFont="1" applyFill="1" applyBorder="1" applyAlignment="1" applyProtection="1">
      <alignment horizontal="center" vertical="center"/>
    </xf>
    <xf numFmtId="37" fontId="4" fillId="0" borderId="1" xfId="0" applyNumberFormat="1" applyFont="1" applyFill="1" applyBorder="1" applyAlignment="1" applyProtection="1">
      <alignment horizontal="center" vertical="center"/>
    </xf>
    <xf numFmtId="37" fontId="5" fillId="12" borderId="1" xfId="0" applyNumberFormat="1" applyFont="1" applyFill="1" applyBorder="1" applyAlignment="1" applyProtection="1">
      <alignment horizontal="center" vertical="center"/>
    </xf>
    <xf numFmtId="37" fontId="4" fillId="3" borderId="1" xfId="0" applyNumberFormat="1" applyFont="1" applyFill="1" applyBorder="1" applyAlignment="1" applyProtection="1">
      <alignment horizontal="center" vertical="center"/>
      <protection locked="0"/>
    </xf>
    <xf numFmtId="37" fontId="4" fillId="4" borderId="1" xfId="0" applyNumberFormat="1" applyFont="1" applyFill="1" applyBorder="1" applyAlignment="1" applyProtection="1">
      <alignment horizontal="center" vertical="center"/>
      <protection locked="0"/>
    </xf>
    <xf numFmtId="37" fontId="4" fillId="11" borderId="1" xfId="0" applyNumberFormat="1" applyFont="1" applyFill="1" applyBorder="1" applyAlignment="1" applyProtection="1">
      <alignment horizontal="center" vertical="center"/>
    </xf>
    <xf numFmtId="37" fontId="5" fillId="8" borderId="1" xfId="0" applyNumberFormat="1" applyFont="1" applyFill="1" applyBorder="1" applyAlignment="1" applyProtection="1">
      <alignment horizontal="center" vertical="center"/>
    </xf>
    <xf numFmtId="37" fontId="4" fillId="9" borderId="5" xfId="0" applyNumberFormat="1" applyFont="1" applyFill="1" applyBorder="1" applyAlignment="1" applyProtection="1">
      <alignment horizontal="center" vertical="center"/>
    </xf>
    <xf numFmtId="37" fontId="6" fillId="0" borderId="1" xfId="0" applyNumberFormat="1" applyFont="1" applyFill="1" applyBorder="1" applyAlignment="1" applyProtection="1">
      <alignment horizontal="center" vertical="center" wrapText="1"/>
    </xf>
    <xf numFmtId="37" fontId="6" fillId="8" borderId="1" xfId="0" applyNumberFormat="1" applyFont="1" applyFill="1" applyBorder="1" applyAlignment="1" applyProtection="1">
      <alignment horizontal="center" vertical="center" wrapText="1"/>
    </xf>
    <xf numFmtId="169" fontId="4" fillId="3" borderId="1" xfId="0" applyNumberFormat="1" applyFont="1" applyFill="1" applyBorder="1" applyAlignment="1" applyProtection="1">
      <alignment horizontal="center" vertical="center"/>
      <protection locked="0"/>
    </xf>
    <xf numFmtId="168" fontId="4" fillId="3" borderId="1" xfId="0" applyNumberFormat="1" applyFont="1" applyFill="1" applyBorder="1" applyAlignment="1" applyProtection="1">
      <alignment horizontal="center" vertical="center"/>
      <protection locked="0"/>
    </xf>
    <xf numFmtId="168" fontId="4" fillId="4" borderId="1" xfId="0" applyNumberFormat="1" applyFont="1" applyFill="1" applyBorder="1" applyAlignment="1" applyProtection="1">
      <alignment horizontal="center" vertical="center"/>
      <protection locked="0"/>
    </xf>
    <xf numFmtId="165" fontId="11" fillId="11" borderId="1" xfId="0" applyNumberFormat="1" applyFont="1" applyFill="1" applyBorder="1" applyAlignment="1" applyProtection="1">
      <alignment horizontal="center" vertical="center" wrapText="1"/>
    </xf>
    <xf numFmtId="0" fontId="11" fillId="0" borderId="1" xfId="0" applyFont="1" applyBorder="1" applyAlignment="1" applyProtection="1">
      <alignment horizontal="center" vertical="center"/>
    </xf>
    <xf numFmtId="9" fontId="4" fillId="0" borderId="1" xfId="1" applyFont="1" applyFill="1" applyBorder="1" applyAlignment="1" applyProtection="1">
      <alignment horizontal="center" vertical="center"/>
    </xf>
    <xf numFmtId="37" fontId="4" fillId="9" borderId="17" xfId="0" applyNumberFormat="1" applyFont="1" applyFill="1" applyBorder="1" applyAlignment="1" applyProtection="1">
      <alignment horizontal="center" vertical="center"/>
    </xf>
    <xf numFmtId="37" fontId="13" fillId="14" borderId="22" xfId="0" applyNumberFormat="1" applyFont="1" applyFill="1" applyBorder="1" applyAlignment="1" applyProtection="1">
      <alignment horizontal="center" vertical="center"/>
    </xf>
    <xf numFmtId="37" fontId="7" fillId="9" borderId="23" xfId="0" applyNumberFormat="1" applyFont="1" applyFill="1" applyBorder="1" applyAlignment="1" applyProtection="1">
      <alignment horizontal="center" vertical="center"/>
    </xf>
    <xf numFmtId="37" fontId="4" fillId="10" borderId="25" xfId="0" applyNumberFormat="1" applyFont="1" applyFill="1" applyBorder="1" applyAlignment="1" applyProtection="1">
      <alignment horizontal="center" vertical="center"/>
    </xf>
    <xf numFmtId="37" fontId="4" fillId="0" borderId="20" xfId="0" applyNumberFormat="1" applyFont="1" applyFill="1" applyBorder="1" applyAlignment="1" applyProtection="1">
      <alignment horizontal="center" vertical="center"/>
    </xf>
    <xf numFmtId="37" fontId="4" fillId="9" borderId="23" xfId="0" applyNumberFormat="1" applyFont="1" applyFill="1" applyBorder="1" applyAlignment="1" applyProtection="1">
      <alignment horizontal="center" vertical="center"/>
    </xf>
    <xf numFmtId="37" fontId="4" fillId="8" borderId="25" xfId="0" applyNumberFormat="1" applyFont="1" applyFill="1" applyBorder="1" applyAlignment="1" applyProtection="1">
      <alignment horizontal="center" vertical="center"/>
    </xf>
    <xf numFmtId="37" fontId="5" fillId="12" borderId="25" xfId="0" applyNumberFormat="1" applyFont="1" applyFill="1" applyBorder="1" applyAlignment="1" applyProtection="1">
      <alignment horizontal="center" vertical="center"/>
    </xf>
    <xf numFmtId="37" fontId="5" fillId="0" borderId="25" xfId="0" applyNumberFormat="1" applyFont="1" applyFill="1" applyBorder="1" applyAlignment="1" applyProtection="1">
      <alignment horizontal="center" vertical="center"/>
    </xf>
    <xf numFmtId="37" fontId="4" fillId="11" borderId="25" xfId="0" applyNumberFormat="1" applyFont="1" applyFill="1" applyBorder="1" applyAlignment="1" applyProtection="1">
      <alignment horizontal="center" vertical="center"/>
    </xf>
    <xf numFmtId="37" fontId="5" fillId="11" borderId="25" xfId="0" applyNumberFormat="1" applyFont="1" applyFill="1" applyBorder="1" applyAlignment="1" applyProtection="1">
      <alignment horizontal="center" vertical="center"/>
    </xf>
    <xf numFmtId="37" fontId="5" fillId="8" borderId="25" xfId="0" applyNumberFormat="1" applyFont="1" applyFill="1" applyBorder="1" applyAlignment="1" applyProtection="1">
      <alignment horizontal="center" vertical="center"/>
    </xf>
    <xf numFmtId="0" fontId="4" fillId="8" borderId="25" xfId="0" applyFont="1" applyFill="1" applyBorder="1" applyAlignment="1" applyProtection="1">
      <alignment vertical="center"/>
    </xf>
    <xf numFmtId="37" fontId="11" fillId="11" borderId="25" xfId="0" applyNumberFormat="1" applyFont="1" applyFill="1" applyBorder="1" applyAlignment="1" applyProtection="1">
      <alignment horizontal="center" vertical="center" wrapText="1"/>
    </xf>
    <xf numFmtId="37" fontId="6" fillId="0" borderId="25" xfId="0" applyNumberFormat="1" applyFont="1" applyFill="1" applyBorder="1" applyAlignment="1" applyProtection="1">
      <alignment horizontal="center" vertical="center" wrapText="1"/>
    </xf>
    <xf numFmtId="37" fontId="11" fillId="8" borderId="25" xfId="0" applyNumberFormat="1" applyFont="1" applyFill="1" applyBorder="1" applyAlignment="1" applyProtection="1">
      <alignment horizontal="center" vertical="center" wrapText="1"/>
    </xf>
    <xf numFmtId="37" fontId="6" fillId="12" borderId="25" xfId="0" applyNumberFormat="1" applyFont="1" applyFill="1" applyBorder="1" applyAlignment="1" applyProtection="1">
      <alignment horizontal="center" vertical="center"/>
    </xf>
    <xf numFmtId="37" fontId="4" fillId="0" borderId="25" xfId="0" applyNumberFormat="1" applyFont="1" applyFill="1" applyBorder="1" applyAlignment="1" applyProtection="1">
      <alignment horizontal="center" vertical="center"/>
    </xf>
    <xf numFmtId="37" fontId="6" fillId="8" borderId="25" xfId="0" applyNumberFormat="1" applyFont="1" applyFill="1" applyBorder="1" applyAlignment="1" applyProtection="1">
      <alignment horizontal="center" vertical="center" wrapText="1"/>
    </xf>
    <xf numFmtId="165" fontId="11" fillId="11" borderId="25" xfId="0" applyNumberFormat="1" applyFont="1" applyFill="1" applyBorder="1" applyAlignment="1" applyProtection="1">
      <alignment horizontal="center" vertical="center" wrapText="1"/>
    </xf>
    <xf numFmtId="9" fontId="11" fillId="0" borderId="26" xfId="1" applyFont="1" applyFill="1" applyBorder="1" applyAlignment="1" applyProtection="1">
      <alignment horizontal="center" vertical="center"/>
    </xf>
    <xf numFmtId="9" fontId="4" fillId="0" borderId="25" xfId="1" applyFont="1" applyFill="1" applyBorder="1" applyAlignment="1" applyProtection="1">
      <alignment horizontal="center" vertical="center"/>
    </xf>
    <xf numFmtId="37" fontId="4" fillId="9" borderId="27" xfId="0" applyNumberFormat="1" applyFont="1" applyFill="1" applyBorder="1" applyAlignment="1" applyProtection="1">
      <alignment horizontal="center" vertical="center"/>
    </xf>
    <xf numFmtId="37" fontId="5" fillId="3" borderId="2" xfId="0" applyNumberFormat="1" applyFont="1" applyFill="1" applyBorder="1" applyAlignment="1" applyProtection="1">
      <alignment horizontal="center" vertical="center"/>
      <protection locked="0"/>
    </xf>
    <xf numFmtId="37" fontId="5" fillId="14" borderId="4" xfId="0" applyNumberFormat="1" applyFont="1" applyFill="1" applyBorder="1" applyAlignment="1" applyProtection="1">
      <alignment horizontal="center" vertical="center"/>
    </xf>
    <xf numFmtId="0" fontId="5" fillId="14" borderId="4" xfId="0" applyFont="1" applyFill="1" applyBorder="1" applyAlignment="1" applyProtection="1">
      <alignment horizontal="center" vertical="center"/>
    </xf>
    <xf numFmtId="37" fontId="5" fillId="13" borderId="4" xfId="0" applyNumberFormat="1" applyFont="1" applyFill="1" applyBorder="1" applyAlignment="1" applyProtection="1">
      <alignment horizontal="center" vertical="center"/>
    </xf>
    <xf numFmtId="0" fontId="5" fillId="13" borderId="4" xfId="0" applyFont="1" applyFill="1" applyBorder="1" applyAlignment="1" applyProtection="1">
      <alignment horizontal="center" vertical="center"/>
    </xf>
    <xf numFmtId="169" fontId="11" fillId="0" borderId="3" xfId="0" applyNumberFormat="1" applyFont="1" applyFill="1" applyBorder="1" applyAlignment="1" applyProtection="1">
      <alignment horizontal="center" vertical="center" wrapText="1"/>
    </xf>
    <xf numFmtId="169" fontId="4" fillId="0" borderId="3" xfId="0" applyNumberFormat="1" applyFont="1" applyFill="1" applyBorder="1" applyAlignment="1" applyProtection="1">
      <alignment horizontal="center" vertical="center"/>
    </xf>
    <xf numFmtId="9" fontId="11" fillId="8" borderId="3" xfId="1" applyFont="1" applyFill="1" applyBorder="1" applyAlignment="1" applyProtection="1">
      <alignment horizontal="center" vertical="center"/>
    </xf>
    <xf numFmtId="37" fontId="6" fillId="8" borderId="3" xfId="0" applyNumberFormat="1" applyFont="1" applyFill="1" applyBorder="1" applyAlignment="1" applyProtection="1">
      <alignment horizontal="center" vertical="center"/>
    </xf>
    <xf numFmtId="0" fontId="0" fillId="0" borderId="0" xfId="0" applyFont="1" applyFill="1" applyAlignment="1" applyProtection="1">
      <alignment vertical="center"/>
    </xf>
    <xf numFmtId="0" fontId="0" fillId="0" borderId="0" xfId="0" applyFill="1" applyProtection="1"/>
    <xf numFmtId="0" fontId="7" fillId="0" borderId="0" xfId="0" applyFont="1" applyFill="1" applyAlignment="1" applyProtection="1">
      <alignment vertical="center"/>
    </xf>
    <xf numFmtId="0" fontId="5" fillId="0" borderId="0" xfId="0" applyFont="1" applyFill="1" applyAlignment="1" applyProtection="1">
      <alignment vertical="center"/>
    </xf>
    <xf numFmtId="37" fontId="6" fillId="9" borderId="3" xfId="0" applyNumberFormat="1" applyFont="1" applyFill="1" applyBorder="1" applyAlignment="1" applyProtection="1">
      <alignment horizontal="center" vertical="center"/>
    </xf>
    <xf numFmtId="9" fontId="4" fillId="0" borderId="10" xfId="1" applyFont="1" applyBorder="1" applyAlignment="1" applyProtection="1">
      <alignment horizontal="center" vertical="center"/>
    </xf>
    <xf numFmtId="9" fontId="5" fillId="12" borderId="10" xfId="1" applyFont="1" applyFill="1" applyBorder="1" applyAlignment="1" applyProtection="1">
      <alignment horizontal="center" vertical="center"/>
    </xf>
    <xf numFmtId="9" fontId="5" fillId="0" borderId="10" xfId="1" applyFont="1" applyFill="1" applyBorder="1" applyAlignment="1" applyProtection="1">
      <alignment horizontal="center" vertical="center"/>
    </xf>
    <xf numFmtId="170" fontId="5" fillId="10" borderId="3" xfId="0" applyNumberFormat="1" applyFont="1" applyFill="1" applyBorder="1" applyAlignment="1" applyProtection="1">
      <alignment horizontal="center" vertical="center"/>
    </xf>
    <xf numFmtId="37" fontId="5" fillId="9" borderId="7" xfId="0" applyNumberFormat="1" applyFont="1" applyFill="1" applyBorder="1" applyAlignment="1" applyProtection="1">
      <alignment horizontal="center" vertical="center"/>
    </xf>
    <xf numFmtId="0" fontId="5" fillId="8" borderId="1" xfId="0" applyFont="1" applyFill="1" applyBorder="1" applyAlignment="1" applyProtection="1">
      <alignment horizontal="left" vertical="center"/>
    </xf>
    <xf numFmtId="0" fontId="5" fillId="8" borderId="8" xfId="0" applyFont="1" applyFill="1" applyBorder="1" applyAlignment="1" applyProtection="1">
      <alignment horizontal="left" vertical="center"/>
    </xf>
    <xf numFmtId="0" fontId="4" fillId="11" borderId="8" xfId="0" applyFont="1" applyFill="1" applyBorder="1" applyAlignment="1" applyProtection="1">
      <alignment horizontal="left" vertical="center" wrapText="1"/>
    </xf>
    <xf numFmtId="37" fontId="5" fillId="8" borderId="3" xfId="0" applyNumberFormat="1"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4" fillId="10" borderId="3" xfId="0" applyFont="1" applyFill="1" applyBorder="1" applyAlignment="1" applyProtection="1">
      <alignment horizontal="center" vertical="center"/>
    </xf>
    <xf numFmtId="0" fontId="4" fillId="12" borderId="1" xfId="0" applyFont="1" applyFill="1" applyBorder="1" applyAlignment="1" applyProtection="1">
      <alignment horizontal="center" vertical="center"/>
    </xf>
    <xf numFmtId="37" fontId="4" fillId="7" borderId="4" xfId="0" applyNumberFormat="1" applyFont="1" applyFill="1" applyBorder="1" applyAlignment="1" applyProtection="1">
      <alignment horizontal="center" vertical="center"/>
    </xf>
    <xf numFmtId="37" fontId="4" fillId="0" borderId="3" xfId="0" applyNumberFormat="1" applyFont="1" applyBorder="1" applyAlignment="1" applyProtection="1">
      <alignment horizontal="center" vertical="center"/>
    </xf>
    <xf numFmtId="37" fontId="4" fillId="0" borderId="10" xfId="0" applyNumberFormat="1" applyFont="1" applyFill="1" applyBorder="1" applyAlignment="1" applyProtection="1">
      <alignment horizontal="center" vertical="center"/>
    </xf>
    <xf numFmtId="168" fontId="4" fillId="12" borderId="3" xfId="1" applyNumberFormat="1" applyFont="1" applyFill="1" applyBorder="1" applyAlignment="1" applyProtection="1">
      <alignment horizontal="center" vertical="center"/>
    </xf>
    <xf numFmtId="0" fontId="6" fillId="0" borderId="8" xfId="0" applyFont="1" applyFill="1" applyBorder="1" applyAlignment="1" applyProtection="1">
      <alignment vertical="center"/>
    </xf>
    <xf numFmtId="0" fontId="4" fillId="0" borderId="8" xfId="0" applyFont="1" applyFill="1" applyBorder="1" applyAlignment="1" applyProtection="1">
      <alignment vertical="center"/>
    </xf>
    <xf numFmtId="0" fontId="6" fillId="0" borderId="1" xfId="0" applyFont="1" applyFill="1" applyBorder="1" applyAlignment="1" applyProtection="1">
      <alignment horizontal="center" vertical="center"/>
    </xf>
    <xf numFmtId="0" fontId="0" fillId="0" borderId="0" xfId="0" applyFont="1" applyAlignment="1">
      <alignment vertical="center"/>
    </xf>
    <xf numFmtId="0" fontId="8" fillId="9" borderId="3" xfId="0" applyFont="1" applyFill="1" applyBorder="1" applyAlignment="1">
      <alignment vertical="center"/>
    </xf>
    <xf numFmtId="0" fontId="2" fillId="9" borderId="3" xfId="0" applyFont="1" applyFill="1" applyBorder="1" applyAlignment="1">
      <alignment vertical="center"/>
    </xf>
    <xf numFmtId="0" fontId="21" fillId="9" borderId="3" xfId="0" applyFont="1" applyFill="1" applyBorder="1" applyAlignment="1">
      <alignment vertical="center"/>
    </xf>
    <xf numFmtId="0" fontId="21" fillId="0" borderId="3" xfId="0" applyFont="1" applyBorder="1" applyAlignment="1">
      <alignment horizontal="center" vertical="center"/>
    </xf>
    <xf numFmtId="0" fontId="21" fillId="0" borderId="3" xfId="0" applyFont="1" applyFill="1" applyBorder="1" applyAlignment="1">
      <alignment vertical="center"/>
    </xf>
    <xf numFmtId="0" fontId="2" fillId="0" borderId="3" xfId="0" applyFont="1" applyBorder="1" applyAlignment="1">
      <alignment vertical="center"/>
    </xf>
    <xf numFmtId="0" fontId="21" fillId="0" borderId="16" xfId="0" applyFont="1" applyFill="1" applyBorder="1" applyAlignment="1">
      <alignment vertical="center"/>
    </xf>
    <xf numFmtId="0" fontId="21" fillId="8" borderId="3" xfId="0" applyFont="1" applyFill="1" applyBorder="1" applyAlignment="1">
      <alignment vertical="center"/>
    </xf>
    <xf numFmtId="0" fontId="21" fillId="0" borderId="3" xfId="0" applyFont="1" applyFill="1" applyBorder="1" applyAlignment="1">
      <alignment horizontal="center" vertical="center"/>
    </xf>
    <xf numFmtId="0" fontId="21" fillId="8" borderId="16" xfId="0" applyFont="1" applyFill="1" applyBorder="1" applyAlignment="1">
      <alignment vertical="center"/>
    </xf>
    <xf numFmtId="0" fontId="2" fillId="0" borderId="0" xfId="0" applyFont="1" applyAlignment="1">
      <alignment vertical="center"/>
    </xf>
    <xf numFmtId="0" fontId="21" fillId="0" borderId="3" xfId="0" applyFont="1" applyBorder="1" applyAlignment="1">
      <alignment vertical="center"/>
    </xf>
    <xf numFmtId="0" fontId="22" fillId="0" borderId="0" xfId="0" applyFont="1" applyAlignment="1" applyProtection="1">
      <alignment horizontal="left" vertical="center"/>
    </xf>
    <xf numFmtId="0" fontId="22" fillId="0" borderId="0" xfId="0" applyFont="1" applyAlignment="1" applyProtection="1">
      <alignment vertical="center"/>
    </xf>
    <xf numFmtId="0" fontId="21" fillId="9" borderId="3" xfId="0" applyFont="1" applyFill="1" applyBorder="1" applyAlignment="1">
      <alignment horizontal="center" vertical="center"/>
    </xf>
    <xf numFmtId="0" fontId="2" fillId="0" borderId="3" xfId="0" applyFont="1" applyBorder="1" applyAlignment="1">
      <alignment horizontal="center" vertical="center"/>
    </xf>
    <xf numFmtId="0" fontId="21" fillId="0" borderId="16" xfId="0" applyFont="1" applyFill="1" applyBorder="1" applyAlignment="1">
      <alignment horizontal="center" vertical="center"/>
    </xf>
    <xf numFmtId="0" fontId="2" fillId="8" borderId="3" xfId="0" applyFont="1" applyFill="1" applyBorder="1" applyAlignment="1">
      <alignment horizontal="center" vertical="center"/>
    </xf>
    <xf numFmtId="0" fontId="2" fillId="8" borderId="3" xfId="0" applyFont="1" applyFill="1" applyBorder="1" applyAlignment="1">
      <alignment vertical="center"/>
    </xf>
    <xf numFmtId="0" fontId="5" fillId="0" borderId="0" xfId="0" applyFont="1" applyFill="1" applyBorder="1" applyAlignment="1" applyProtection="1">
      <alignment horizontal="left" vertical="center" indent="1"/>
    </xf>
    <xf numFmtId="0" fontId="4" fillId="0" borderId="13" xfId="0" applyFont="1" applyBorder="1" applyAlignment="1" applyProtection="1">
      <alignment vertical="center"/>
    </xf>
    <xf numFmtId="0" fontId="5" fillId="2" borderId="3" xfId="0" applyFont="1" applyFill="1" applyBorder="1" applyAlignment="1" applyProtection="1">
      <alignment horizontal="center" vertical="center"/>
    </xf>
    <xf numFmtId="0" fontId="2" fillId="9" borderId="5" xfId="0" applyFont="1" applyFill="1" applyBorder="1" applyAlignment="1" applyProtection="1">
      <alignment horizontal="left" vertical="center"/>
    </xf>
    <xf numFmtId="0" fontId="8" fillId="9" borderId="6" xfId="0" applyFont="1" applyFill="1" applyBorder="1" applyAlignment="1" applyProtection="1">
      <alignment vertical="center"/>
    </xf>
    <xf numFmtId="0" fontId="8" fillId="9" borderId="7" xfId="0" applyFont="1" applyFill="1" applyBorder="1" applyAlignment="1" applyProtection="1">
      <alignment vertical="center"/>
    </xf>
    <xf numFmtId="0" fontId="2" fillId="0" borderId="0" xfId="0" applyFont="1" applyFill="1" applyAlignment="1" applyProtection="1">
      <alignment vertical="center"/>
    </xf>
    <xf numFmtId="0" fontId="5" fillId="0" borderId="29" xfId="0" applyFont="1" applyFill="1" applyBorder="1" applyAlignment="1" applyProtection="1">
      <alignment horizontal="left" vertical="center"/>
    </xf>
    <xf numFmtId="0" fontId="4" fillId="0" borderId="11" xfId="0" applyFont="1" applyFill="1" applyBorder="1" applyAlignment="1" applyProtection="1">
      <alignment vertical="center"/>
    </xf>
    <xf numFmtId="0" fontId="4" fillId="0" borderId="12" xfId="0" applyFont="1" applyFill="1" applyBorder="1" applyAlignment="1" applyProtection="1">
      <alignment vertical="center"/>
    </xf>
    <xf numFmtId="9" fontId="4" fillId="0" borderId="10" xfId="1" applyFont="1" applyFill="1" applyBorder="1" applyAlignment="1" applyProtection="1">
      <alignment horizontal="center" vertical="center"/>
    </xf>
    <xf numFmtId="0" fontId="5" fillId="0" borderId="1" xfId="0" applyFont="1" applyFill="1" applyBorder="1" applyAlignment="1" applyProtection="1">
      <alignment horizontal="left" vertical="center"/>
    </xf>
    <xf numFmtId="0" fontId="4" fillId="0" borderId="2" xfId="0" applyFont="1" applyFill="1" applyBorder="1" applyAlignment="1" applyProtection="1">
      <alignment vertical="center"/>
    </xf>
    <xf numFmtId="171" fontId="4" fillId="0" borderId="3" xfId="1" applyNumberFormat="1" applyFont="1" applyFill="1" applyBorder="1" applyAlignment="1" applyProtection="1">
      <alignment horizontal="center" vertical="center"/>
    </xf>
    <xf numFmtId="0" fontId="4" fillId="12" borderId="11" xfId="0" applyFont="1" applyFill="1" applyBorder="1" applyAlignment="1" applyProtection="1">
      <alignment vertical="center"/>
    </xf>
    <xf numFmtId="0" fontId="4" fillId="12" borderId="12" xfId="0" applyFont="1" applyFill="1" applyBorder="1" applyAlignment="1" applyProtection="1">
      <alignment vertical="center"/>
    </xf>
    <xf numFmtId="9" fontId="4" fillId="0" borderId="8" xfId="1" applyFont="1" applyFill="1" applyBorder="1" applyAlignment="1" applyProtection="1">
      <alignment horizontal="center" vertical="center"/>
    </xf>
    <xf numFmtId="0" fontId="11" fillId="8" borderId="3" xfId="0" applyFont="1" applyFill="1" applyBorder="1" applyAlignment="1" applyProtection="1">
      <alignment horizontal="center" vertical="center"/>
    </xf>
    <xf numFmtId="0" fontId="11" fillId="8" borderId="1" xfId="0" applyFont="1" applyFill="1" applyBorder="1" applyAlignment="1" applyProtection="1">
      <alignment horizontal="left" vertical="center"/>
    </xf>
    <xf numFmtId="0" fontId="4" fillId="12" borderId="2" xfId="0" applyFont="1" applyFill="1" applyBorder="1" applyAlignment="1" applyProtection="1">
      <alignment vertical="center"/>
    </xf>
    <xf numFmtId="0" fontId="4" fillId="0" borderId="29" xfId="0" applyFont="1" applyBorder="1" applyAlignment="1" applyProtection="1">
      <alignment horizontal="center" vertical="center"/>
    </xf>
    <xf numFmtId="0" fontId="5" fillId="10" borderId="10" xfId="0" applyFont="1" applyFill="1" applyBorder="1" applyAlignment="1" applyProtection="1">
      <alignment horizontal="center" vertical="center"/>
    </xf>
    <xf numFmtId="0" fontId="5" fillId="10" borderId="29" xfId="0" applyFont="1" applyFill="1" applyBorder="1" applyAlignment="1" applyProtection="1">
      <alignment horizontal="left" vertical="center"/>
    </xf>
    <xf numFmtId="0" fontId="4" fillId="8" borderId="3" xfId="0" applyFont="1" applyFill="1" applyBorder="1" applyAlignment="1" applyProtection="1">
      <alignment horizontal="center" vertical="center"/>
    </xf>
    <xf numFmtId="0" fontId="4" fillId="8" borderId="3" xfId="0" quotePrefix="1" applyFont="1" applyFill="1" applyBorder="1" applyAlignment="1" applyProtection="1">
      <alignment horizontal="center" vertical="center"/>
    </xf>
    <xf numFmtId="0" fontId="4" fillId="8" borderId="8" xfId="0" quotePrefix="1" applyFont="1" applyFill="1" applyBorder="1" applyAlignment="1" applyProtection="1">
      <alignment horizontal="left" vertical="center"/>
    </xf>
    <xf numFmtId="0" fontId="5" fillId="10" borderId="8" xfId="0" applyFont="1" applyFill="1" applyBorder="1" applyAlignment="1" applyProtection="1">
      <alignment horizontal="left" vertical="center"/>
    </xf>
    <xf numFmtId="0" fontId="5" fillId="10" borderId="8" xfId="0" quotePrefix="1" applyFont="1" applyFill="1" applyBorder="1" applyAlignment="1" applyProtection="1">
      <alignment horizontal="center" vertical="center"/>
    </xf>
    <xf numFmtId="0" fontId="5" fillId="10" borderId="8" xfId="0" quotePrefix="1" applyFont="1" applyFill="1" applyBorder="1" applyAlignment="1" applyProtection="1">
      <alignment horizontal="left" vertical="center"/>
    </xf>
    <xf numFmtId="0" fontId="5" fillId="12" borderId="1" xfId="0" applyFont="1" applyFill="1" applyBorder="1" applyAlignment="1" applyProtection="1">
      <alignment horizontal="left" vertical="center" wrapText="1"/>
    </xf>
    <xf numFmtId="0" fontId="4" fillId="8" borderId="1" xfId="0" quotePrefix="1" applyFont="1" applyFill="1" applyBorder="1" applyAlignment="1" applyProtection="1">
      <alignment horizontal="left" vertical="center"/>
    </xf>
    <xf numFmtId="37" fontId="4" fillId="0" borderId="2" xfId="0" quotePrefix="1" applyNumberFormat="1" applyFont="1" applyFill="1" applyBorder="1" applyAlignment="1" applyProtection="1">
      <alignment horizontal="center" vertical="center" wrapText="1"/>
    </xf>
    <xf numFmtId="0" fontId="4" fillId="8" borderId="1" xfId="0" quotePrefix="1" applyFont="1" applyFill="1" applyBorder="1" applyAlignment="1" applyProtection="1">
      <alignment vertical="center"/>
    </xf>
    <xf numFmtId="0" fontId="4" fillId="8" borderId="8" xfId="0" quotePrefix="1" applyFont="1" applyFill="1" applyBorder="1" applyAlignment="1" applyProtection="1">
      <alignment vertical="center"/>
    </xf>
    <xf numFmtId="0" fontId="4" fillId="8" borderId="1" xfId="0" applyFont="1" applyFill="1" applyBorder="1" applyAlignment="1" applyProtection="1">
      <alignment vertical="center"/>
    </xf>
    <xf numFmtId="0" fontId="4" fillId="12" borderId="1" xfId="0" applyFont="1" applyFill="1" applyBorder="1" applyAlignment="1" applyProtection="1">
      <alignment horizontal="left" vertical="center" wrapText="1"/>
    </xf>
    <xf numFmtId="0" fontId="4" fillId="12" borderId="8" xfId="0" applyFont="1" applyFill="1" applyBorder="1" applyAlignment="1" applyProtection="1">
      <alignment horizontal="left" vertical="center" wrapText="1"/>
    </xf>
    <xf numFmtId="0" fontId="4" fillId="8" borderId="11" xfId="0" applyFont="1" applyFill="1" applyBorder="1" applyAlignment="1" applyProtection="1">
      <alignment vertical="center"/>
    </xf>
    <xf numFmtId="0" fontId="4" fillId="8" borderId="12" xfId="0" applyFont="1" applyFill="1" applyBorder="1" applyAlignment="1" applyProtection="1">
      <alignment vertical="center"/>
    </xf>
    <xf numFmtId="0" fontId="4" fillId="8" borderId="1" xfId="0" applyFont="1" applyFill="1" applyBorder="1" applyAlignment="1" applyProtection="1">
      <alignment horizontal="left" vertical="center"/>
    </xf>
    <xf numFmtId="0" fontId="5" fillId="12" borderId="8" xfId="0" applyFont="1" applyFill="1" applyBorder="1" applyAlignment="1" applyProtection="1">
      <alignment horizontal="left" vertical="center"/>
    </xf>
    <xf numFmtId="0" fontId="5" fillId="12" borderId="2" xfId="0" applyFont="1" applyFill="1" applyBorder="1" applyAlignment="1" applyProtection="1">
      <alignment horizontal="left" vertical="center"/>
    </xf>
    <xf numFmtId="0" fontId="4" fillId="8" borderId="8" xfId="0" applyFont="1" applyFill="1" applyBorder="1" applyAlignment="1" applyProtection="1">
      <alignment horizontal="left" vertical="center"/>
      <protection locked="0"/>
    </xf>
    <xf numFmtId="0" fontId="5" fillId="8" borderId="8" xfId="0" applyFont="1" applyFill="1" applyBorder="1" applyAlignment="1" applyProtection="1">
      <alignment horizontal="left" vertical="center"/>
      <protection locked="0"/>
    </xf>
    <xf numFmtId="0" fontId="4" fillId="8" borderId="2" xfId="0" applyFont="1" applyFill="1" applyBorder="1" applyAlignment="1" applyProtection="1">
      <alignment vertical="center"/>
      <protection locked="0"/>
    </xf>
    <xf numFmtId="0" fontId="11" fillId="8" borderId="8" xfId="0" applyFont="1" applyFill="1" applyBorder="1" applyAlignment="1" applyProtection="1">
      <alignment horizontal="left" vertical="center"/>
    </xf>
    <xf numFmtId="0" fontId="4" fillId="8" borderId="2" xfId="0" applyFont="1" applyFill="1" applyBorder="1" applyAlignment="1" applyProtection="1">
      <alignment vertical="center" wrapText="1"/>
    </xf>
    <xf numFmtId="37" fontId="5" fillId="12" borderId="3" xfId="1" applyNumberFormat="1" applyFont="1" applyFill="1" applyBorder="1" applyAlignment="1" applyProtection="1">
      <alignment horizontal="center" vertical="center"/>
    </xf>
    <xf numFmtId="0" fontId="11" fillId="8" borderId="1" xfId="0" applyFont="1" applyFill="1" applyBorder="1" applyAlignment="1" applyProtection="1">
      <alignment vertical="center"/>
    </xf>
    <xf numFmtId="165" fontId="4" fillId="8" borderId="3" xfId="0" applyNumberFormat="1" applyFont="1" applyFill="1" applyBorder="1" applyAlignment="1" applyProtection="1">
      <alignment horizontal="center" vertical="center"/>
    </xf>
    <xf numFmtId="9" fontId="11" fillId="12" borderId="3" xfId="1" applyFont="1" applyFill="1" applyBorder="1" applyAlignment="1" applyProtection="1">
      <alignment horizontal="center" vertical="center"/>
    </xf>
    <xf numFmtId="0" fontId="4" fillId="11" borderId="2" xfId="0" applyFont="1" applyFill="1" applyBorder="1" applyAlignment="1" applyProtection="1">
      <alignment vertical="center"/>
    </xf>
    <xf numFmtId="37" fontId="4" fillId="11" borderId="3" xfId="1" applyNumberFormat="1" applyFont="1" applyFill="1" applyBorder="1" applyAlignment="1" applyProtection="1">
      <alignment horizontal="center" vertical="center"/>
    </xf>
    <xf numFmtId="37" fontId="5" fillId="11" borderId="3" xfId="1" applyNumberFormat="1" applyFont="1" applyFill="1" applyBorder="1" applyAlignment="1" applyProtection="1">
      <alignment horizontal="center" vertical="center"/>
    </xf>
    <xf numFmtId="9" fontId="11" fillId="11" borderId="3" xfId="1" applyFont="1" applyFill="1" applyBorder="1" applyAlignment="1" applyProtection="1">
      <alignment horizontal="center" vertical="center"/>
    </xf>
    <xf numFmtId="0" fontId="11" fillId="8" borderId="1" xfId="0" applyFont="1" applyFill="1" applyBorder="1" applyAlignment="1" applyProtection="1">
      <alignment horizontal="center" vertical="center"/>
    </xf>
    <xf numFmtId="0" fontId="4" fillId="8" borderId="1" xfId="0" applyFont="1" applyFill="1" applyBorder="1" applyAlignment="1" applyProtection="1">
      <alignment horizontal="center" vertical="center"/>
    </xf>
    <xf numFmtId="0" fontId="5" fillId="8" borderId="2" xfId="0" applyFont="1" applyFill="1" applyBorder="1" applyAlignment="1" applyProtection="1">
      <alignment horizontal="left" vertical="center"/>
      <protection locked="0"/>
    </xf>
    <xf numFmtId="165" fontId="4" fillId="0" borderId="3" xfId="0" applyNumberFormat="1" applyFont="1" applyFill="1" applyBorder="1" applyAlignment="1" applyProtection="1">
      <alignment horizontal="center" vertical="center"/>
    </xf>
    <xf numFmtId="37" fontId="5" fillId="12" borderId="2" xfId="1" applyNumberFormat="1" applyFont="1" applyFill="1" applyBorder="1" applyAlignment="1" applyProtection="1">
      <alignment horizontal="center" vertical="center"/>
    </xf>
    <xf numFmtId="9" fontId="6" fillId="8" borderId="3" xfId="1" applyFont="1" applyFill="1" applyBorder="1" applyAlignment="1" applyProtection="1">
      <alignment horizontal="center" vertical="center"/>
    </xf>
    <xf numFmtId="0" fontId="4" fillId="8" borderId="3" xfId="0" applyFont="1" applyFill="1" applyBorder="1" applyAlignment="1" applyProtection="1">
      <alignment horizontal="left" vertical="center"/>
    </xf>
    <xf numFmtId="37" fontId="4" fillId="8" borderId="10" xfId="0" applyNumberFormat="1" applyFont="1" applyFill="1" applyBorder="1" applyAlignment="1" applyProtection="1">
      <alignment horizontal="center" vertical="center"/>
    </xf>
    <xf numFmtId="0" fontId="5" fillId="0" borderId="0" xfId="0" applyFont="1" applyAlignment="1" applyProtection="1">
      <alignment horizontal="right" vertical="center"/>
    </xf>
    <xf numFmtId="37" fontId="5" fillId="9" borderId="3" xfId="0" applyNumberFormat="1"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9" fontId="4" fillId="0" borderId="17" xfId="1" applyFont="1" applyFill="1" applyBorder="1" applyAlignment="1" applyProtection="1">
      <alignment horizontal="center" vertical="center"/>
    </xf>
    <xf numFmtId="0" fontId="2" fillId="9" borderId="3" xfId="0" applyFont="1" applyFill="1" applyBorder="1" applyAlignment="1">
      <alignment horizontal="center" vertical="center" wrapText="1"/>
    </xf>
    <xf numFmtId="168" fontId="2" fillId="0" borderId="3" xfId="0" applyNumberFormat="1" applyFont="1" applyBorder="1" applyAlignment="1">
      <alignment horizontal="center" vertical="center"/>
    </xf>
    <xf numFmtId="0" fontId="22" fillId="0" borderId="0" xfId="0" applyFont="1" applyAlignment="1" applyProtection="1">
      <alignment horizontal="center" vertical="center"/>
    </xf>
    <xf numFmtId="0" fontId="2" fillId="0" borderId="0" xfId="0" applyFont="1" applyAlignment="1">
      <alignment horizontal="center" vertical="center"/>
    </xf>
    <xf numFmtId="168" fontId="2" fillId="8" borderId="3" xfId="0" applyNumberFormat="1" applyFont="1" applyFill="1" applyBorder="1" applyAlignment="1">
      <alignment horizontal="center" vertical="center"/>
    </xf>
    <xf numFmtId="0" fontId="4" fillId="0" borderId="29" xfId="0" applyFont="1" applyFill="1" applyBorder="1" applyAlignment="1" applyProtection="1">
      <alignment horizontal="center" vertical="center"/>
    </xf>
    <xf numFmtId="0" fontId="4" fillId="8" borderId="11" xfId="0" quotePrefix="1" applyFont="1" applyFill="1" applyBorder="1" applyAlignment="1" applyProtection="1">
      <alignment horizontal="left" vertical="center"/>
    </xf>
    <xf numFmtId="0" fontId="5" fillId="8" borderId="11" xfId="0" quotePrefix="1" applyFont="1" applyFill="1" applyBorder="1" applyAlignment="1" applyProtection="1">
      <alignment horizontal="left" vertical="center"/>
    </xf>
    <xf numFmtId="0" fontId="5" fillId="11" borderId="3" xfId="0" applyFont="1" applyFill="1" applyBorder="1" applyAlignment="1" applyProtection="1">
      <alignment horizontal="center" vertical="center"/>
    </xf>
    <xf numFmtId="0" fontId="4" fillId="8" borderId="8" xfId="0" applyFont="1" applyFill="1" applyBorder="1" applyAlignment="1">
      <alignment vertical="center"/>
    </xf>
    <xf numFmtId="172" fontId="11" fillId="11" borderId="3" xfId="0" applyNumberFormat="1" applyFont="1" applyFill="1" applyBorder="1" applyAlignment="1" applyProtection="1">
      <alignment horizontal="center" vertical="center" wrapText="1"/>
    </xf>
    <xf numFmtId="172" fontId="11" fillId="11" borderId="3" xfId="3" applyNumberFormat="1" applyFont="1" applyFill="1" applyBorder="1" applyAlignment="1" applyProtection="1">
      <alignment horizontal="center" vertical="center" wrapText="1"/>
    </xf>
    <xf numFmtId="172" fontId="11" fillId="10" borderId="3" xfId="0" applyNumberFormat="1" applyFont="1" applyFill="1" applyBorder="1" applyAlignment="1" applyProtection="1">
      <alignment horizontal="center" vertical="center" wrapText="1"/>
    </xf>
    <xf numFmtId="37" fontId="11" fillId="10" borderId="1" xfId="0" applyNumberFormat="1" applyFont="1" applyFill="1" applyBorder="1" applyAlignment="1" applyProtection="1">
      <alignment horizontal="center" vertical="center" wrapText="1"/>
    </xf>
    <xf numFmtId="37" fontId="11" fillId="10" borderId="25" xfId="0" applyNumberFormat="1" applyFont="1" applyFill="1" applyBorder="1" applyAlignment="1" applyProtection="1">
      <alignment horizontal="center" vertical="center" wrapText="1"/>
    </xf>
    <xf numFmtId="168" fontId="11" fillId="11" borderId="3" xfId="0" applyNumberFormat="1" applyFont="1" applyFill="1" applyBorder="1" applyAlignment="1" applyProtection="1">
      <alignment horizontal="center" vertical="center" wrapText="1"/>
    </xf>
    <xf numFmtId="169" fontId="11" fillId="11" borderId="3" xfId="0" applyNumberFormat="1" applyFont="1" applyFill="1" applyBorder="1" applyAlignment="1" applyProtection="1">
      <alignment horizontal="center" vertical="center" wrapText="1"/>
    </xf>
    <xf numFmtId="167" fontId="11" fillId="11" borderId="3" xfId="0" applyNumberFormat="1" applyFont="1" applyFill="1" applyBorder="1" applyAlignment="1" applyProtection="1">
      <alignment horizontal="center" vertical="center" wrapText="1"/>
    </xf>
    <xf numFmtId="0" fontId="4" fillId="11" borderId="1" xfId="0" applyFont="1" applyFill="1" applyBorder="1" applyAlignment="1" applyProtection="1">
      <alignment horizontal="left" vertical="center"/>
    </xf>
    <xf numFmtId="167" fontId="6" fillId="0" borderId="3" xfId="0" applyNumberFormat="1" applyFont="1" applyFill="1" applyBorder="1" applyAlignment="1" applyProtection="1">
      <alignment horizontal="center" vertical="center" wrapText="1"/>
    </xf>
    <xf numFmtId="169" fontId="6" fillId="0" borderId="3" xfId="0" applyNumberFormat="1" applyFont="1" applyFill="1" applyBorder="1" applyAlignment="1" applyProtection="1">
      <alignment horizontal="center" vertical="center" wrapText="1"/>
    </xf>
    <xf numFmtId="0" fontId="5" fillId="2" borderId="3" xfId="0" applyFont="1" applyFill="1" applyBorder="1" applyAlignment="1" applyProtection="1">
      <alignment horizontal="center" vertical="center"/>
    </xf>
    <xf numFmtId="37" fontId="5" fillId="0" borderId="3" xfId="0" applyNumberFormat="1"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5" fillId="8" borderId="1" xfId="0" applyFont="1" applyFill="1" applyBorder="1" applyAlignment="1" applyProtection="1">
      <alignment horizontal="left" vertical="center"/>
    </xf>
    <xf numFmtId="0" fontId="5" fillId="8" borderId="8" xfId="0" applyFont="1" applyFill="1" applyBorder="1" applyAlignment="1" applyProtection="1">
      <alignment horizontal="left" vertical="center"/>
    </xf>
    <xf numFmtId="0" fontId="5" fillId="8" borderId="8" xfId="0" applyFont="1" applyFill="1" applyBorder="1" applyAlignment="1" applyProtection="1">
      <alignment horizontal="left" vertical="center" wrapText="1"/>
    </xf>
    <xf numFmtId="37" fontId="5" fillId="2" borderId="1" xfId="0" applyNumberFormat="1" applyFont="1" applyFill="1" applyBorder="1" applyAlignment="1" applyProtection="1">
      <alignment horizontal="center" vertical="center"/>
    </xf>
    <xf numFmtId="37" fontId="5" fillId="8" borderId="3" xfId="0" applyNumberFormat="1" applyFont="1" applyFill="1" applyBorder="1" applyAlignment="1" applyProtection="1">
      <alignment horizontal="center" vertical="center"/>
    </xf>
    <xf numFmtId="9" fontId="6" fillId="0" borderId="3" xfId="1" applyFont="1" applyFill="1" applyBorder="1" applyAlignment="1" applyProtection="1">
      <alignment horizontal="center" vertical="center"/>
    </xf>
    <xf numFmtId="0" fontId="6" fillId="0" borderId="3" xfId="0" applyFont="1" applyFill="1" applyBorder="1" applyAlignment="1" applyProtection="1">
      <alignment vertical="center"/>
    </xf>
    <xf numFmtId="169" fontId="6" fillId="0" borderId="3" xfId="0" applyNumberFormat="1" applyFont="1" applyFill="1" applyBorder="1" applyAlignment="1" applyProtection="1">
      <alignment horizontal="center" vertical="center"/>
    </xf>
    <xf numFmtId="167" fontId="6" fillId="0" borderId="25" xfId="0" applyNumberFormat="1" applyFont="1" applyFill="1" applyBorder="1" applyAlignment="1" applyProtection="1">
      <alignment horizontal="center" vertical="center" wrapText="1"/>
    </xf>
    <xf numFmtId="169" fontId="6" fillId="0" borderId="25" xfId="0" applyNumberFormat="1" applyFont="1" applyFill="1" applyBorder="1" applyAlignment="1" applyProtection="1">
      <alignment horizontal="center" vertical="center" wrapText="1"/>
    </xf>
    <xf numFmtId="0" fontId="5" fillId="10" borderId="1" xfId="0" applyFont="1" applyFill="1" applyBorder="1" applyAlignment="1" applyProtection="1">
      <alignment vertical="center"/>
    </xf>
    <xf numFmtId="37" fontId="6" fillId="10" borderId="3" xfId="0" applyNumberFormat="1" applyFont="1" applyFill="1" applyBorder="1" applyAlignment="1" applyProtection="1">
      <alignment horizontal="center" vertical="center" wrapText="1"/>
    </xf>
    <xf numFmtId="37" fontId="6" fillId="10" borderId="1" xfId="0" applyNumberFormat="1" applyFont="1" applyFill="1" applyBorder="1" applyAlignment="1" applyProtection="1">
      <alignment horizontal="center" vertical="center" wrapText="1"/>
    </xf>
    <xf numFmtId="37" fontId="6" fillId="10" borderId="25" xfId="0" applyNumberFormat="1" applyFont="1" applyFill="1" applyBorder="1" applyAlignment="1" applyProtection="1">
      <alignment horizontal="center" vertical="center" wrapText="1"/>
    </xf>
    <xf numFmtId="172" fontId="4" fillId="11" borderId="8" xfId="0" applyNumberFormat="1" applyFont="1" applyFill="1" applyBorder="1" applyAlignment="1" applyProtection="1">
      <alignment horizontal="center" vertical="center"/>
    </xf>
    <xf numFmtId="37" fontId="6" fillId="0" borderId="8" xfId="0" applyNumberFormat="1" applyFont="1" applyFill="1" applyBorder="1" applyAlignment="1" applyProtection="1">
      <alignment horizontal="center" vertical="center" wrapText="1"/>
    </xf>
    <xf numFmtId="172" fontId="11" fillId="0" borderId="3" xfId="0" applyNumberFormat="1" applyFont="1" applyFill="1" applyBorder="1" applyAlignment="1" applyProtection="1">
      <alignment horizontal="center" vertical="center" wrapText="1"/>
    </xf>
    <xf numFmtId="167" fontId="4" fillId="0" borderId="11" xfId="0" applyNumberFormat="1" applyFont="1" applyFill="1" applyBorder="1" applyAlignment="1" applyProtection="1">
      <alignment horizontal="center" vertical="center"/>
    </xf>
    <xf numFmtId="37" fontId="6" fillId="0" borderId="8" xfId="0" applyNumberFormat="1" applyFont="1" applyFill="1" applyBorder="1" applyAlignment="1" applyProtection="1">
      <alignment horizontal="left" vertical="center"/>
    </xf>
    <xf numFmtId="169" fontId="5" fillId="0" borderId="3" xfId="0" applyNumberFormat="1" applyFont="1" applyFill="1" applyBorder="1" applyAlignment="1" applyProtection="1">
      <alignment horizontal="center" vertical="center"/>
    </xf>
    <xf numFmtId="169" fontId="5" fillId="0" borderId="0" xfId="0" applyNumberFormat="1" applyFont="1" applyFill="1" applyAlignment="1" applyProtection="1">
      <alignment vertical="center"/>
    </xf>
    <xf numFmtId="0" fontId="4" fillId="8" borderId="1" xfId="0" applyFont="1" applyFill="1" applyBorder="1" applyAlignment="1">
      <alignment vertical="center"/>
    </xf>
    <xf numFmtId="37" fontId="4" fillId="0" borderId="3" xfId="1" applyNumberFormat="1" applyFont="1" applyFill="1" applyBorder="1" applyAlignment="1" applyProtection="1">
      <alignment horizontal="center" vertical="center"/>
    </xf>
    <xf numFmtId="37" fontId="4" fillId="0" borderId="2" xfId="0" applyNumberFormat="1" applyFont="1" applyFill="1" applyBorder="1" applyAlignment="1" applyProtection="1">
      <alignment horizontal="center" vertical="center"/>
    </xf>
    <xf numFmtId="9" fontId="4" fillId="0" borderId="3" xfId="1" applyNumberFormat="1" applyFont="1" applyFill="1" applyBorder="1" applyAlignment="1" applyProtection="1">
      <alignment horizontal="center" vertical="center"/>
    </xf>
    <xf numFmtId="0" fontId="4" fillId="8" borderId="8" xfId="0" applyFont="1" applyFill="1" applyBorder="1" applyAlignment="1" applyProtection="1">
      <alignment horizontal="left" vertical="center" wrapText="1"/>
    </xf>
    <xf numFmtId="37" fontId="4" fillId="8" borderId="1" xfId="0" applyNumberFormat="1" applyFont="1" applyFill="1" applyBorder="1" applyAlignment="1" applyProtection="1">
      <alignment horizontal="left" vertical="center"/>
      <protection locked="0"/>
    </xf>
    <xf numFmtId="37" fontId="5" fillId="0" borderId="3" xfId="0" applyNumberFormat="1" applyFont="1" applyFill="1" applyBorder="1" applyAlignment="1" applyProtection="1">
      <alignment vertical="center"/>
    </xf>
    <xf numFmtId="168" fontId="4" fillId="0" borderId="3" xfId="1" applyNumberFormat="1" applyFont="1" applyFill="1" applyBorder="1" applyAlignment="1" applyProtection="1">
      <alignment horizontal="center" vertical="center"/>
    </xf>
    <xf numFmtId="9" fontId="11" fillId="11" borderId="3" xfId="1" applyFont="1" applyFill="1" applyBorder="1" applyAlignment="1" applyProtection="1">
      <alignment horizontal="center" vertical="center" wrapText="1"/>
    </xf>
    <xf numFmtId="0" fontId="11" fillId="8" borderId="2" xfId="0" applyFont="1" applyFill="1" applyBorder="1" applyAlignment="1" applyProtection="1">
      <alignment horizontal="center" vertical="center"/>
    </xf>
    <xf numFmtId="37" fontId="5" fillId="0" borderId="16" xfId="0" applyNumberFormat="1" applyFont="1" applyFill="1" applyBorder="1" applyAlignment="1" applyProtection="1">
      <alignment horizontal="center" vertical="center"/>
    </xf>
    <xf numFmtId="37" fontId="4" fillId="0" borderId="16" xfId="0" applyNumberFormat="1" applyFont="1" applyFill="1" applyBorder="1" applyAlignment="1" applyProtection="1">
      <alignment horizontal="center" vertical="center"/>
    </xf>
    <xf numFmtId="0" fontId="5" fillId="8" borderId="17" xfId="0" applyFont="1" applyFill="1" applyBorder="1" applyAlignment="1" applyProtection="1">
      <alignment vertical="center"/>
    </xf>
    <xf numFmtId="37" fontId="5" fillId="16" borderId="3" xfId="0" applyNumberFormat="1" applyFont="1" applyFill="1" applyBorder="1" applyAlignment="1" applyProtection="1">
      <alignment horizontal="center" vertical="center"/>
    </xf>
    <xf numFmtId="0" fontId="11" fillId="8" borderId="3" xfId="0" applyFont="1" applyFill="1" applyBorder="1" applyAlignment="1" applyProtection="1">
      <alignment horizontal="left" vertical="center"/>
    </xf>
    <xf numFmtId="37" fontId="10" fillId="10" borderId="9" xfId="0" applyNumberFormat="1" applyFont="1" applyFill="1" applyBorder="1" applyAlignment="1" applyProtection="1">
      <alignment horizontal="center" vertical="center" wrapText="1"/>
    </xf>
    <xf numFmtId="37" fontId="4" fillId="10" borderId="9" xfId="0" applyNumberFormat="1" applyFont="1" applyFill="1" applyBorder="1" applyAlignment="1" applyProtection="1">
      <alignment horizontal="center" vertical="center"/>
    </xf>
    <xf numFmtId="37" fontId="4" fillId="10" borderId="21" xfId="0" applyNumberFormat="1" applyFont="1" applyFill="1" applyBorder="1" applyAlignment="1" applyProtection="1">
      <alignment horizontal="center" vertical="center"/>
    </xf>
    <xf numFmtId="37" fontId="4" fillId="10" borderId="24" xfId="0" applyNumberFormat="1" applyFont="1" applyFill="1" applyBorder="1" applyAlignment="1" applyProtection="1">
      <alignment horizontal="center" vertical="center"/>
    </xf>
    <xf numFmtId="37" fontId="11" fillId="18" borderId="3" xfId="0" applyNumberFormat="1" applyFont="1" applyFill="1" applyBorder="1" applyAlignment="1" applyProtection="1">
      <alignment horizontal="center" vertical="center"/>
    </xf>
    <xf numFmtId="37" fontId="4" fillId="18" borderId="3" xfId="0" applyNumberFormat="1" applyFont="1" applyFill="1" applyBorder="1" applyAlignment="1" applyProtection="1">
      <alignment horizontal="center" vertical="center"/>
    </xf>
    <xf numFmtId="37" fontId="11" fillId="19" borderId="3" xfId="0" applyNumberFormat="1" applyFont="1" applyFill="1" applyBorder="1" applyAlignment="1" applyProtection="1">
      <alignment horizontal="center" vertical="center"/>
    </xf>
    <xf numFmtId="37" fontId="4" fillId="19" borderId="3" xfId="0" applyNumberFormat="1" applyFont="1" applyFill="1" applyBorder="1" applyAlignment="1" applyProtection="1">
      <alignment horizontal="center" vertical="center"/>
    </xf>
    <xf numFmtId="37" fontId="10" fillId="0" borderId="3" xfId="0" applyNumberFormat="1" applyFont="1" applyFill="1" applyBorder="1" applyAlignment="1" applyProtection="1">
      <alignment horizontal="center" vertical="center" wrapText="1"/>
    </xf>
    <xf numFmtId="37" fontId="10" fillId="10" borderId="3" xfId="0" applyNumberFormat="1" applyFont="1" applyFill="1" applyBorder="1" applyAlignment="1" applyProtection="1">
      <alignment horizontal="center" vertical="center" wrapText="1"/>
    </xf>
    <xf numFmtId="37" fontId="4" fillId="3" borderId="3" xfId="0" applyNumberFormat="1" applyFont="1" applyFill="1" applyBorder="1" applyAlignment="1" applyProtection="1">
      <alignment horizontal="center" vertical="center"/>
    </xf>
    <xf numFmtId="37" fontId="4" fillId="4" borderId="3" xfId="0" applyNumberFormat="1" applyFont="1" applyFill="1" applyBorder="1" applyAlignment="1" applyProtection="1">
      <alignment horizontal="center" vertical="center"/>
    </xf>
    <xf numFmtId="166" fontId="17" fillId="15" borderId="0" xfId="2" applyNumberFormat="1" applyFont="1" applyFill="1" applyAlignment="1" applyProtection="1">
      <alignment horizontal="center" vertical="center" wrapText="1"/>
    </xf>
    <xf numFmtId="37" fontId="4" fillId="3" borderId="1" xfId="0" applyNumberFormat="1" applyFont="1" applyFill="1" applyBorder="1" applyAlignment="1" applyProtection="1">
      <alignment horizontal="center" vertical="center"/>
    </xf>
    <xf numFmtId="37" fontId="4" fillId="4" borderId="1" xfId="0" applyNumberFormat="1" applyFont="1" applyFill="1" applyBorder="1" applyAlignment="1" applyProtection="1">
      <alignment horizontal="center" vertical="center"/>
    </xf>
    <xf numFmtId="169" fontId="4" fillId="8" borderId="1" xfId="0" applyNumberFormat="1" applyFont="1" applyFill="1" applyBorder="1" applyAlignment="1" applyProtection="1">
      <alignment horizontal="center" vertical="center"/>
    </xf>
    <xf numFmtId="37" fontId="4" fillId="16" borderId="3" xfId="0" applyNumberFormat="1" applyFont="1" applyFill="1" applyBorder="1" applyAlignment="1" applyProtection="1">
      <alignment horizontal="center" vertical="center"/>
    </xf>
    <xf numFmtId="37" fontId="4" fillId="0" borderId="13" xfId="0" applyNumberFormat="1" applyFont="1" applyFill="1" applyBorder="1" applyAlignment="1" applyProtection="1">
      <alignment horizontal="center" vertical="center"/>
    </xf>
    <xf numFmtId="37" fontId="4" fillId="8" borderId="8" xfId="0" applyNumberFormat="1" applyFont="1" applyFill="1" applyBorder="1" applyAlignment="1" applyProtection="1">
      <alignment horizontal="center" vertical="center"/>
    </xf>
    <xf numFmtId="37" fontId="5" fillId="8" borderId="1" xfId="0" applyNumberFormat="1" applyFont="1" applyFill="1" applyBorder="1" applyAlignment="1" applyProtection="1">
      <alignment horizontal="left" vertical="center"/>
    </xf>
    <xf numFmtId="37" fontId="5" fillId="8" borderId="8" xfId="0" applyNumberFormat="1" applyFont="1" applyFill="1" applyBorder="1" applyAlignment="1" applyProtection="1">
      <alignment horizontal="center" vertical="center"/>
    </xf>
    <xf numFmtId="168" fontId="4" fillId="8" borderId="3" xfId="0" applyNumberFormat="1" applyFont="1" applyFill="1" applyBorder="1" applyAlignment="1" applyProtection="1">
      <alignment horizontal="center" vertical="center"/>
    </xf>
    <xf numFmtId="39" fontId="4" fillId="8" borderId="3" xfId="0" applyNumberFormat="1" applyFont="1" applyFill="1" applyBorder="1" applyAlignment="1" applyProtection="1">
      <alignment horizontal="center" vertical="center"/>
    </xf>
    <xf numFmtId="39" fontId="4" fillId="12" borderId="3" xfId="0" applyNumberFormat="1" applyFont="1" applyFill="1" applyBorder="1" applyAlignment="1" applyProtection="1">
      <alignment horizontal="center" vertical="center"/>
    </xf>
    <xf numFmtId="168" fontId="4" fillId="12" borderId="3" xfId="0" applyNumberFormat="1" applyFont="1" applyFill="1" applyBorder="1" applyAlignment="1" applyProtection="1">
      <alignment horizontal="center" vertical="center"/>
    </xf>
    <xf numFmtId="168" fontId="4" fillId="12" borderId="1" xfId="0" applyNumberFormat="1" applyFont="1" applyFill="1" applyBorder="1" applyAlignment="1" applyProtection="1">
      <alignment horizontal="center" vertical="center"/>
    </xf>
    <xf numFmtId="0" fontId="6" fillId="3" borderId="8" xfId="0" applyFont="1" applyFill="1" applyBorder="1" applyAlignment="1" applyProtection="1">
      <alignment vertical="center"/>
      <protection locked="0"/>
    </xf>
    <xf numFmtId="0" fontId="6" fillId="4" borderId="8" xfId="0" applyFont="1" applyFill="1" applyBorder="1" applyAlignment="1" applyProtection="1">
      <alignment vertical="center"/>
      <protection locked="0"/>
    </xf>
    <xf numFmtId="0" fontId="5" fillId="2" borderId="1" xfId="0" applyFont="1" applyFill="1" applyBorder="1" applyAlignment="1" applyProtection="1">
      <alignment horizontal="center" vertical="center"/>
    </xf>
    <xf numFmtId="0" fontId="2" fillId="9" borderId="5" xfId="0" applyFont="1" applyFill="1" applyBorder="1" applyAlignment="1" applyProtection="1">
      <alignment horizontal="center" vertical="center"/>
    </xf>
    <xf numFmtId="9" fontId="4" fillId="0" borderId="29" xfId="1" applyFont="1" applyFill="1" applyBorder="1" applyAlignment="1" applyProtection="1">
      <alignment horizontal="center" vertical="center"/>
    </xf>
    <xf numFmtId="9" fontId="4" fillId="12" borderId="1" xfId="1" applyFont="1" applyFill="1" applyBorder="1" applyAlignment="1" applyProtection="1">
      <alignment horizontal="center" vertical="center"/>
    </xf>
    <xf numFmtId="9" fontId="4" fillId="0" borderId="1" xfId="1" applyNumberFormat="1" applyFont="1" applyFill="1" applyBorder="1" applyAlignment="1" applyProtection="1">
      <alignment horizontal="center" vertical="center"/>
    </xf>
    <xf numFmtId="37" fontId="4" fillId="10" borderId="29" xfId="0" applyNumberFormat="1" applyFont="1" applyFill="1" applyBorder="1" applyAlignment="1" applyProtection="1">
      <alignment horizontal="center" vertical="center"/>
    </xf>
    <xf numFmtId="37" fontId="4" fillId="0" borderId="29" xfId="0" applyNumberFormat="1" applyFont="1" applyFill="1" applyBorder="1" applyAlignment="1" applyProtection="1">
      <alignment horizontal="center" vertical="center"/>
    </xf>
    <xf numFmtId="37" fontId="4" fillId="8" borderId="29" xfId="0" applyNumberFormat="1" applyFont="1" applyFill="1" applyBorder="1" applyAlignment="1" applyProtection="1">
      <alignment horizontal="center" vertical="center"/>
    </xf>
    <xf numFmtId="9" fontId="4" fillId="8" borderId="1" xfId="1" applyFont="1" applyFill="1" applyBorder="1" applyAlignment="1" applyProtection="1">
      <alignment horizontal="center" vertical="center"/>
    </xf>
    <xf numFmtId="9" fontId="11" fillId="12" borderId="1" xfId="1" applyFont="1" applyFill="1" applyBorder="1" applyAlignment="1" applyProtection="1">
      <alignment horizontal="center" vertical="center"/>
    </xf>
    <xf numFmtId="9" fontId="11" fillId="8" borderId="1" xfId="1" applyFont="1" applyFill="1" applyBorder="1" applyAlignment="1" applyProtection="1">
      <alignment horizontal="center" vertical="center"/>
    </xf>
    <xf numFmtId="168" fontId="4" fillId="0" borderId="1" xfId="1" applyNumberFormat="1" applyFont="1" applyFill="1" applyBorder="1" applyAlignment="1" applyProtection="1">
      <alignment horizontal="center" vertical="center"/>
    </xf>
    <xf numFmtId="9" fontId="6" fillId="8" borderId="1" xfId="1" applyFont="1" applyFill="1" applyBorder="1" applyAlignment="1" applyProtection="1">
      <alignment horizontal="center" vertical="center"/>
    </xf>
    <xf numFmtId="0" fontId="5" fillId="2" borderId="25" xfId="0" applyFont="1" applyFill="1" applyBorder="1" applyAlignment="1" applyProtection="1">
      <alignment horizontal="center" vertical="center"/>
    </xf>
    <xf numFmtId="9" fontId="4" fillId="12" borderId="25" xfId="1" applyFont="1" applyFill="1" applyBorder="1" applyAlignment="1" applyProtection="1">
      <alignment horizontal="center" vertical="center"/>
    </xf>
    <xf numFmtId="0" fontId="5" fillId="8" borderId="25" xfId="0" applyFont="1" applyFill="1" applyBorder="1" applyAlignment="1" applyProtection="1">
      <alignment horizontal="center" vertical="center"/>
    </xf>
    <xf numFmtId="169" fontId="4" fillId="0" borderId="25" xfId="0" applyNumberFormat="1" applyFont="1" applyFill="1" applyBorder="1" applyAlignment="1" applyProtection="1">
      <alignment horizontal="center" vertical="center"/>
    </xf>
    <xf numFmtId="37" fontId="5" fillId="12" borderId="25" xfId="1" applyNumberFormat="1" applyFont="1" applyFill="1" applyBorder="1" applyAlignment="1" applyProtection="1">
      <alignment horizontal="center" vertical="center"/>
    </xf>
    <xf numFmtId="37" fontId="4" fillId="11" borderId="25" xfId="1" applyNumberFormat="1" applyFont="1" applyFill="1" applyBorder="1" applyAlignment="1" applyProtection="1">
      <alignment horizontal="center" vertical="center"/>
    </xf>
    <xf numFmtId="165" fontId="4" fillId="8" borderId="25" xfId="0" applyNumberFormat="1" applyFont="1" applyFill="1" applyBorder="1" applyAlignment="1" applyProtection="1">
      <alignment horizontal="center" vertical="center"/>
    </xf>
    <xf numFmtId="165" fontId="4" fillId="0" borderId="25" xfId="0" applyNumberFormat="1" applyFont="1" applyFill="1" applyBorder="1" applyAlignment="1" applyProtection="1">
      <alignment horizontal="center" vertical="center"/>
    </xf>
    <xf numFmtId="0" fontId="5" fillId="8" borderId="25" xfId="0" applyFont="1" applyFill="1" applyBorder="1" applyAlignment="1" applyProtection="1">
      <alignment horizontal="left" vertical="center"/>
      <protection locked="0"/>
    </xf>
    <xf numFmtId="0" fontId="4" fillId="0" borderId="25" xfId="0" applyFont="1" applyBorder="1" applyAlignment="1" applyProtection="1">
      <alignment horizontal="center" vertical="center"/>
    </xf>
    <xf numFmtId="37" fontId="5" fillId="16" borderId="25" xfId="0" applyNumberFormat="1" applyFont="1" applyFill="1" applyBorder="1" applyAlignment="1" applyProtection="1">
      <alignment horizontal="center" vertical="center"/>
    </xf>
    <xf numFmtId="37" fontId="4" fillId="0" borderId="22" xfId="0" applyNumberFormat="1" applyFont="1" applyFill="1" applyBorder="1" applyAlignment="1" applyProtection="1">
      <alignment horizontal="center" vertical="center"/>
    </xf>
    <xf numFmtId="0" fontId="2" fillId="9" borderId="23" xfId="0" applyFont="1" applyFill="1" applyBorder="1" applyAlignment="1" applyProtection="1">
      <alignment horizontal="center" vertical="center"/>
    </xf>
    <xf numFmtId="37" fontId="4" fillId="10" borderId="22" xfId="0" applyNumberFormat="1" applyFont="1" applyFill="1" applyBorder="1" applyAlignment="1" applyProtection="1">
      <alignment horizontal="center" vertical="center"/>
    </xf>
    <xf numFmtId="0" fontId="18" fillId="0" borderId="0" xfId="0" applyFont="1" applyAlignment="1" applyProtection="1">
      <alignment vertical="center"/>
    </xf>
    <xf numFmtId="0" fontId="19" fillId="0" borderId="0" xfId="0" applyFont="1" applyAlignment="1" applyProtection="1">
      <alignment vertical="center"/>
    </xf>
    <xf numFmtId="0" fontId="4" fillId="8" borderId="2" xfId="0" applyFont="1" applyFill="1" applyBorder="1" applyAlignment="1" applyProtection="1">
      <alignment horizontal="left" vertical="center"/>
    </xf>
    <xf numFmtId="0" fontId="5" fillId="10" borderId="3" xfId="0" applyFont="1" applyFill="1" applyBorder="1" applyAlignment="1" applyProtection="1">
      <alignment horizontal="left" vertical="center"/>
    </xf>
    <xf numFmtId="0" fontId="11" fillId="8" borderId="1" xfId="0" applyFont="1" applyFill="1" applyBorder="1" applyAlignment="1">
      <alignment vertical="center"/>
    </xf>
    <xf numFmtId="37" fontId="4" fillId="12" borderId="10" xfId="0" applyNumberFormat="1" applyFont="1" applyFill="1" applyBorder="1" applyAlignment="1" applyProtection="1">
      <alignment horizontal="center" vertical="center"/>
    </xf>
    <xf numFmtId="37" fontId="10" fillId="0" borderId="10" xfId="0" applyNumberFormat="1" applyFont="1" applyFill="1" applyBorder="1" applyAlignment="1" applyProtection="1">
      <alignment horizontal="center" vertical="center" wrapText="1"/>
    </xf>
    <xf numFmtId="9" fontId="4" fillId="0" borderId="2" xfId="1" applyFont="1" applyFill="1" applyBorder="1" applyAlignment="1" applyProtection="1">
      <alignment horizontal="center" vertical="center"/>
    </xf>
    <xf numFmtId="166" fontId="17" fillId="15" borderId="3" xfId="2" applyNumberFormat="1" applyFont="1" applyFill="1" applyBorder="1" applyAlignment="1" applyProtection="1">
      <alignment horizontal="center" vertical="center" wrapText="1"/>
    </xf>
    <xf numFmtId="37" fontId="11" fillId="0" borderId="13" xfId="0" applyNumberFormat="1" applyFont="1" applyFill="1" applyBorder="1" applyAlignment="1" applyProtection="1">
      <alignment horizontal="center" vertical="center" wrapText="1"/>
    </xf>
    <xf numFmtId="37" fontId="11" fillId="0" borderId="13" xfId="0" applyNumberFormat="1" applyFont="1" applyFill="1" applyBorder="1" applyAlignment="1" applyProtection="1">
      <alignment horizontal="center" vertical="center"/>
    </xf>
    <xf numFmtId="39" fontId="4" fillId="0" borderId="3" xfId="0" applyNumberFormat="1" applyFont="1" applyFill="1" applyBorder="1" applyAlignment="1" applyProtection="1">
      <alignment horizontal="center" vertical="center"/>
    </xf>
    <xf numFmtId="0" fontId="2" fillId="0" borderId="3" xfId="0" applyFont="1" applyFill="1" applyBorder="1" applyAlignment="1">
      <alignment horizontal="center" vertical="center"/>
    </xf>
    <xf numFmtId="0" fontId="21" fillId="9" borderId="3" xfId="0" applyFont="1" applyFill="1" applyBorder="1" applyAlignment="1">
      <alignment horizontal="center" vertical="center" wrapText="1"/>
    </xf>
    <xf numFmtId="37" fontId="5" fillId="0" borderId="3" xfId="0" applyNumberFormat="1"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5" fillId="8" borderId="1" xfId="0" applyFont="1" applyFill="1" applyBorder="1" applyAlignment="1" applyProtection="1">
      <alignment horizontal="left" vertical="center"/>
    </xf>
    <xf numFmtId="0" fontId="5" fillId="8" borderId="8" xfId="0" applyFont="1" applyFill="1" applyBorder="1" applyAlignment="1" applyProtection="1">
      <alignment horizontal="left" vertical="center"/>
    </xf>
    <xf numFmtId="0" fontId="5" fillId="8" borderId="8" xfId="0" applyFont="1" applyFill="1" applyBorder="1" applyAlignment="1" applyProtection="1">
      <alignment horizontal="left" vertical="center" wrapText="1"/>
    </xf>
    <xf numFmtId="37" fontId="5" fillId="8" borderId="3" xfId="0" applyNumberFormat="1" applyFont="1" applyFill="1" applyBorder="1" applyAlignment="1" applyProtection="1">
      <alignment horizontal="center" vertical="center"/>
    </xf>
    <xf numFmtId="37" fontId="22" fillId="0" borderId="0" xfId="0" applyNumberFormat="1" applyFont="1" applyAlignment="1" applyProtection="1">
      <alignment horizontal="center" vertical="center"/>
    </xf>
    <xf numFmtId="37" fontId="5" fillId="3" borderId="1" xfId="0" applyNumberFormat="1" applyFont="1" applyFill="1" applyBorder="1" applyAlignment="1" applyProtection="1">
      <alignment horizontal="left" vertical="center"/>
      <protection locked="0"/>
    </xf>
    <xf numFmtId="0" fontId="24" fillId="0" borderId="0" xfId="0" applyFont="1" applyAlignment="1" applyProtection="1">
      <alignment vertical="center"/>
    </xf>
    <xf numFmtId="0" fontId="11" fillId="0" borderId="0" xfId="0" applyFont="1" applyAlignment="1" applyProtection="1">
      <alignment vertical="center"/>
    </xf>
    <xf numFmtId="0" fontId="24" fillId="0" borderId="0" xfId="0" applyFont="1" applyAlignment="1" applyProtection="1">
      <alignment horizontal="left" vertical="center"/>
    </xf>
    <xf numFmtId="0" fontId="11" fillId="0" borderId="0" xfId="0" applyFont="1" applyAlignment="1" applyProtection="1">
      <alignment horizontal="center" vertical="center"/>
    </xf>
    <xf numFmtId="37" fontId="25" fillId="3" borderId="3" xfId="0" applyNumberFormat="1" applyFont="1" applyFill="1" applyBorder="1" applyAlignment="1" applyProtection="1">
      <alignment horizontal="center" vertical="center" wrapText="1"/>
      <protection locked="0"/>
    </xf>
    <xf numFmtId="164" fontId="6" fillId="4" borderId="3" xfId="0" applyNumberFormat="1"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xf>
    <xf numFmtId="0" fontId="6" fillId="2" borderId="3" xfId="0" applyFont="1" applyFill="1" applyBorder="1" applyAlignment="1" applyProtection="1">
      <alignment horizontal="center" vertical="center"/>
    </xf>
    <xf numFmtId="0" fontId="11" fillId="0" borderId="0" xfId="0" applyFont="1" applyBorder="1" applyAlignment="1" applyProtection="1">
      <alignment vertical="center"/>
    </xf>
    <xf numFmtId="0" fontId="26" fillId="0" borderId="0" xfId="0" applyFont="1" applyBorder="1" applyAlignment="1" applyProtection="1">
      <alignment horizontal="right" vertical="center"/>
    </xf>
    <xf numFmtId="0" fontId="6" fillId="2" borderId="15" xfId="0" applyFont="1" applyFill="1" applyBorder="1" applyAlignment="1" applyProtection="1">
      <alignment horizontal="center" vertical="center"/>
    </xf>
    <xf numFmtId="0" fontId="23" fillId="9" borderId="4" xfId="0" applyFont="1" applyFill="1" applyBorder="1" applyAlignment="1" applyProtection="1">
      <alignment horizontal="center" vertical="center"/>
    </xf>
    <xf numFmtId="0" fontId="23" fillId="9" borderId="5" xfId="0" applyFont="1" applyFill="1" applyBorder="1" applyAlignment="1" applyProtection="1">
      <alignment vertical="center"/>
    </xf>
    <xf numFmtId="0" fontId="27" fillId="9" borderId="6" xfId="0" applyFont="1" applyFill="1" applyBorder="1" applyAlignment="1" applyProtection="1">
      <alignment vertical="center"/>
    </xf>
    <xf numFmtId="0" fontId="27" fillId="9" borderId="7" xfId="0" applyFont="1" applyFill="1" applyBorder="1" applyAlignment="1" applyProtection="1">
      <alignment vertical="center"/>
    </xf>
    <xf numFmtId="0" fontId="6" fillId="9" borderId="4" xfId="0" applyFont="1" applyFill="1" applyBorder="1" applyAlignment="1" applyProtection="1">
      <alignment horizontal="center" vertical="center"/>
    </xf>
    <xf numFmtId="0" fontId="11" fillId="0" borderId="10" xfId="0" applyFont="1" applyBorder="1" applyAlignment="1" applyProtection="1">
      <alignment vertical="center"/>
    </xf>
    <xf numFmtId="170" fontId="6" fillId="10" borderId="10" xfId="0" applyNumberFormat="1" applyFont="1" applyFill="1" applyBorder="1" applyAlignment="1" applyProtection="1">
      <alignment horizontal="center" vertical="center"/>
    </xf>
    <xf numFmtId="0" fontId="6" fillId="10" borderId="14" xfId="0" applyFont="1" applyFill="1" applyBorder="1" applyAlignment="1" applyProtection="1">
      <alignment vertical="center"/>
    </xf>
    <xf numFmtId="0" fontId="6" fillId="10" borderId="11" xfId="0" applyFont="1" applyFill="1" applyBorder="1" applyAlignment="1" applyProtection="1">
      <alignment vertical="center"/>
    </xf>
    <xf numFmtId="0" fontId="6" fillId="8" borderId="11" xfId="0" applyFont="1" applyFill="1" applyBorder="1" applyAlignment="1" applyProtection="1">
      <alignment vertical="center"/>
    </xf>
    <xf numFmtId="9" fontId="11" fillId="0" borderId="3" xfId="1" applyFont="1" applyBorder="1" applyAlignment="1" applyProtection="1">
      <alignment horizontal="center" vertical="center"/>
    </xf>
    <xf numFmtId="0" fontId="6" fillId="11" borderId="8" xfId="0" applyFont="1" applyFill="1" applyBorder="1" applyAlignment="1" applyProtection="1">
      <alignment vertical="center"/>
    </xf>
    <xf numFmtId="0" fontId="6" fillId="11" borderId="8" xfId="0" applyFont="1" applyFill="1" applyBorder="1" applyAlignment="1" applyProtection="1">
      <alignment horizontal="center" vertical="center"/>
    </xf>
    <xf numFmtId="0" fontId="6" fillId="11" borderId="3" xfId="0" applyFont="1" applyFill="1" applyBorder="1" applyAlignment="1" applyProtection="1">
      <alignment horizontal="center" vertical="center"/>
    </xf>
    <xf numFmtId="0" fontId="11" fillId="0" borderId="3" xfId="0" applyFont="1" applyBorder="1" applyAlignment="1" applyProtection="1">
      <alignment vertical="center"/>
    </xf>
    <xf numFmtId="0" fontId="11" fillId="12" borderId="3" xfId="0" applyFont="1" applyFill="1" applyBorder="1" applyAlignment="1" applyProtection="1">
      <alignment vertical="center"/>
    </xf>
    <xf numFmtId="173" fontId="11" fillId="10" borderId="3" xfId="0" applyNumberFormat="1" applyFont="1" applyFill="1" applyBorder="1" applyAlignment="1" applyProtection="1">
      <alignment horizontal="center" vertical="center"/>
    </xf>
    <xf numFmtId="0" fontId="11" fillId="10" borderId="3" xfId="0" applyFont="1" applyFill="1" applyBorder="1" applyAlignment="1" applyProtection="1">
      <alignment vertical="center"/>
    </xf>
    <xf numFmtId="37" fontId="11" fillId="3" borderId="3" xfId="0" applyNumberFormat="1" applyFont="1" applyFill="1" applyBorder="1" applyAlignment="1" applyProtection="1">
      <alignment horizontal="center" vertical="center"/>
      <protection locked="0"/>
    </xf>
    <xf numFmtId="165" fontId="6" fillId="0" borderId="3" xfId="0" applyNumberFormat="1" applyFont="1" applyBorder="1" applyAlignment="1" applyProtection="1">
      <alignment horizontal="center" vertical="center"/>
    </xf>
    <xf numFmtId="0" fontId="6" fillId="10" borderId="2" xfId="0" applyFont="1" applyFill="1" applyBorder="1" applyAlignment="1" applyProtection="1">
      <alignment vertical="center"/>
    </xf>
    <xf numFmtId="165" fontId="6" fillId="10" borderId="3" xfId="0" applyNumberFormat="1" applyFont="1" applyFill="1" applyBorder="1" applyAlignment="1" applyProtection="1">
      <alignment horizontal="center" vertical="center"/>
    </xf>
    <xf numFmtId="0" fontId="6" fillId="8" borderId="8" xfId="0" applyFont="1" applyFill="1" applyBorder="1" applyAlignment="1" applyProtection="1">
      <alignment horizontal="left" vertical="center" wrapText="1"/>
    </xf>
    <xf numFmtId="37" fontId="11" fillId="4" borderId="3" xfId="0" applyNumberFormat="1" applyFont="1" applyFill="1" applyBorder="1" applyAlignment="1" applyProtection="1">
      <alignment horizontal="center" vertical="center"/>
      <protection locked="0"/>
    </xf>
    <xf numFmtId="0" fontId="11" fillId="0" borderId="3" xfId="0" applyFont="1" applyFill="1" applyBorder="1" applyAlignment="1" applyProtection="1">
      <alignment vertical="center"/>
    </xf>
    <xf numFmtId="0" fontId="11" fillId="11" borderId="3" xfId="0" applyFont="1" applyFill="1" applyBorder="1" applyAlignment="1" applyProtection="1">
      <alignment vertical="center"/>
    </xf>
    <xf numFmtId="0" fontId="11" fillId="10" borderId="3" xfId="0" applyFont="1" applyFill="1" applyBorder="1" applyAlignment="1" applyProtection="1">
      <alignment horizontal="center" vertical="center"/>
    </xf>
    <xf numFmtId="0" fontId="6" fillId="8" borderId="2" xfId="0" applyFont="1" applyFill="1" applyBorder="1" applyAlignment="1" applyProtection="1">
      <alignment vertical="center"/>
    </xf>
    <xf numFmtId="0" fontId="11" fillId="10" borderId="1" xfId="0" applyFont="1" applyFill="1" applyBorder="1" applyAlignment="1" applyProtection="1">
      <alignment horizontal="center" vertical="center"/>
    </xf>
    <xf numFmtId="0" fontId="11" fillId="21" borderId="3" xfId="0" applyFont="1" applyFill="1" applyBorder="1" applyAlignment="1" applyProtection="1">
      <alignment vertical="center"/>
    </xf>
    <xf numFmtId="37" fontId="11" fillId="0" borderId="1" xfId="1" applyNumberFormat="1" applyFont="1" applyFill="1" applyBorder="1" applyAlignment="1" applyProtection="1">
      <alignment horizontal="center" vertical="center"/>
    </xf>
    <xf numFmtId="0" fontId="11" fillId="11" borderId="8" xfId="0" applyFont="1" applyFill="1" applyBorder="1" applyAlignment="1" applyProtection="1">
      <alignment vertical="center"/>
    </xf>
    <xf numFmtId="37" fontId="11" fillId="11" borderId="1" xfId="0" applyNumberFormat="1" applyFont="1" applyFill="1" applyBorder="1" applyAlignment="1" applyProtection="1">
      <alignment horizontal="center" vertical="center"/>
    </xf>
    <xf numFmtId="165" fontId="11" fillId="11" borderId="3" xfId="0" applyNumberFormat="1" applyFont="1" applyFill="1" applyBorder="1" applyAlignment="1" applyProtection="1">
      <alignment horizontal="center" vertical="center"/>
    </xf>
    <xf numFmtId="165" fontId="11" fillId="11" borderId="1" xfId="0" applyNumberFormat="1" applyFont="1" applyFill="1" applyBorder="1" applyAlignment="1" applyProtection="1">
      <alignment horizontal="center" vertical="center"/>
    </xf>
    <xf numFmtId="0" fontId="11" fillId="11" borderId="1" xfId="0" applyFont="1" applyFill="1" applyBorder="1" applyAlignment="1" applyProtection="1">
      <alignment vertical="center"/>
    </xf>
    <xf numFmtId="0" fontId="6" fillId="12" borderId="1" xfId="0" applyFont="1" applyFill="1" applyBorder="1" applyAlignment="1" applyProtection="1">
      <alignment vertical="center"/>
    </xf>
    <xf numFmtId="0" fontId="6" fillId="12" borderId="2" xfId="0" applyFont="1" applyFill="1" applyBorder="1" applyAlignment="1" applyProtection="1">
      <alignment vertical="center"/>
    </xf>
    <xf numFmtId="9" fontId="6" fillId="12" borderId="3" xfId="1" applyFont="1" applyFill="1" applyBorder="1" applyAlignment="1" applyProtection="1">
      <alignment horizontal="center" vertical="center"/>
    </xf>
    <xf numFmtId="0" fontId="6" fillId="0" borderId="11"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37" fontId="11" fillId="9" borderId="5" xfId="0" applyNumberFormat="1" applyFont="1" applyFill="1" applyBorder="1" applyAlignment="1" applyProtection="1">
      <alignment horizontal="center" vertical="center"/>
    </xf>
    <xf numFmtId="37" fontId="11" fillId="3" borderId="1" xfId="0" applyNumberFormat="1" applyFont="1" applyFill="1" applyBorder="1" applyAlignment="1" applyProtection="1">
      <alignment horizontal="center" vertical="center"/>
      <protection locked="0"/>
    </xf>
    <xf numFmtId="37" fontId="11" fillId="4" borderId="1" xfId="0" applyNumberFormat="1" applyFont="1" applyFill="1" applyBorder="1" applyAlignment="1" applyProtection="1">
      <alignment horizontal="center" vertical="center"/>
      <protection locked="0"/>
    </xf>
    <xf numFmtId="37" fontId="11" fillId="12" borderId="1" xfId="0" applyNumberFormat="1" applyFont="1" applyFill="1" applyBorder="1" applyAlignment="1" applyProtection="1">
      <alignment horizontal="center" vertical="center"/>
    </xf>
    <xf numFmtId="0" fontId="11" fillId="8" borderId="3" xfId="0" applyFont="1" applyFill="1" applyBorder="1" applyAlignment="1" applyProtection="1">
      <alignment vertical="center"/>
    </xf>
    <xf numFmtId="0" fontId="6" fillId="0" borderId="0" xfId="0" applyFont="1" applyAlignment="1" applyProtection="1">
      <alignment vertical="center"/>
    </xf>
    <xf numFmtId="37" fontId="11" fillId="8" borderId="1" xfId="0" applyNumberFormat="1" applyFont="1" applyFill="1" applyBorder="1" applyAlignment="1" applyProtection="1">
      <alignment horizontal="center" vertical="center"/>
    </xf>
    <xf numFmtId="0" fontId="6" fillId="0" borderId="1" xfId="0" applyFont="1" applyFill="1" applyBorder="1" applyAlignment="1" applyProtection="1">
      <alignment vertical="center"/>
    </xf>
    <xf numFmtId="0" fontId="6" fillId="8" borderId="2" xfId="0" applyFont="1" applyFill="1" applyBorder="1" applyAlignment="1" applyProtection="1">
      <alignment horizontal="left" vertical="center" wrapText="1"/>
    </xf>
    <xf numFmtId="37" fontId="11" fillId="0" borderId="1" xfId="0" applyNumberFormat="1" applyFont="1" applyFill="1" applyBorder="1" applyAlignment="1" applyProtection="1">
      <alignment horizontal="center" vertical="center"/>
    </xf>
    <xf numFmtId="9" fontId="6" fillId="0" borderId="3" xfId="0" applyNumberFormat="1" applyFont="1" applyFill="1" applyBorder="1" applyAlignment="1" applyProtection="1">
      <alignment horizontal="center" vertical="center"/>
    </xf>
    <xf numFmtId="0" fontId="6" fillId="11" borderId="2" xfId="0" applyFont="1" applyFill="1" applyBorder="1" applyAlignment="1" applyProtection="1">
      <alignment vertical="center"/>
    </xf>
    <xf numFmtId="0" fontId="11" fillId="11" borderId="3" xfId="0" applyFont="1" applyFill="1" applyBorder="1" applyAlignment="1" applyProtection="1">
      <alignment horizontal="center" vertical="center"/>
    </xf>
    <xf numFmtId="165" fontId="6" fillId="0" borderId="3" xfId="0" applyNumberFormat="1" applyFont="1" applyFill="1" applyBorder="1" applyAlignment="1" applyProtection="1">
      <alignment horizontal="center" vertical="center"/>
    </xf>
    <xf numFmtId="0" fontId="11" fillId="11" borderId="8" xfId="0" applyFont="1" applyFill="1" applyBorder="1" applyAlignment="1" applyProtection="1">
      <alignment horizontal="left" vertical="center" wrapText="1"/>
    </xf>
    <xf numFmtId="0" fontId="11" fillId="11" borderId="2" xfId="0" applyFont="1" applyFill="1" applyBorder="1" applyAlignment="1" applyProtection="1">
      <alignment horizontal="left" vertical="center" wrapText="1"/>
    </xf>
    <xf numFmtId="0" fontId="6" fillId="12" borderId="8" xfId="0" applyFont="1" applyFill="1" applyBorder="1" applyAlignment="1" applyProtection="1">
      <alignment horizontal="left" vertical="center" wrapText="1"/>
    </xf>
    <xf numFmtId="0" fontId="6" fillId="12" borderId="2" xfId="0" applyFont="1" applyFill="1" applyBorder="1" applyAlignment="1" applyProtection="1">
      <alignment horizontal="left" vertical="center" wrapText="1"/>
    </xf>
    <xf numFmtId="165" fontId="6" fillId="9" borderId="3" xfId="0" applyNumberFormat="1" applyFont="1" applyFill="1" applyBorder="1" applyAlignment="1" applyProtection="1">
      <alignment horizontal="center" vertical="center"/>
    </xf>
    <xf numFmtId="0" fontId="6" fillId="13" borderId="3" xfId="0" applyFont="1" applyFill="1" applyBorder="1" applyAlignment="1" applyProtection="1">
      <alignment vertical="center"/>
    </xf>
    <xf numFmtId="0" fontId="6" fillId="14" borderId="3" xfId="0" applyFont="1" applyFill="1" applyBorder="1" applyAlignment="1" applyProtection="1">
      <alignment vertical="center"/>
    </xf>
    <xf numFmtId="0" fontId="6" fillId="5" borderId="3" xfId="0" applyFont="1" applyFill="1" applyBorder="1" applyAlignment="1" applyProtection="1">
      <alignment vertical="center"/>
    </xf>
    <xf numFmtId="0" fontId="6" fillId="12" borderId="1" xfId="0" applyFont="1" applyFill="1" applyBorder="1" applyAlignment="1" applyProtection="1">
      <alignment horizontal="left" vertical="center" wrapText="1"/>
    </xf>
    <xf numFmtId="9" fontId="6" fillId="12" borderId="1" xfId="1" applyFont="1" applyFill="1" applyBorder="1" applyAlignment="1" applyProtection="1">
      <alignment horizontal="center" vertical="center"/>
    </xf>
    <xf numFmtId="37" fontId="6" fillId="0" borderId="1" xfId="1" applyNumberFormat="1" applyFont="1" applyFill="1" applyBorder="1" applyAlignment="1" applyProtection="1">
      <alignment horizontal="center" vertical="center"/>
    </xf>
    <xf numFmtId="0" fontId="6" fillId="0" borderId="0" xfId="0" applyFont="1" applyFill="1" applyBorder="1" applyAlignment="1" applyProtection="1">
      <alignment vertical="center"/>
    </xf>
    <xf numFmtId="0" fontId="6" fillId="10" borderId="8" xfId="0" applyFont="1" applyFill="1" applyBorder="1" applyAlignment="1" applyProtection="1">
      <alignment horizontal="left" vertical="center" wrapText="1"/>
    </xf>
    <xf numFmtId="0" fontId="6" fillId="10" borderId="2" xfId="0" applyFont="1" applyFill="1" applyBorder="1" applyAlignment="1" applyProtection="1">
      <alignment horizontal="left" vertical="center" wrapText="1"/>
    </xf>
    <xf numFmtId="37" fontId="11" fillId="10" borderId="1" xfId="0" applyNumberFormat="1" applyFont="1" applyFill="1" applyBorder="1" applyAlignment="1" applyProtection="1">
      <alignment horizontal="center" vertical="center"/>
    </xf>
    <xf numFmtId="37" fontId="11" fillId="3" borderId="2" xfId="0" applyNumberFormat="1" applyFont="1" applyFill="1" applyBorder="1" applyAlignment="1" applyProtection="1">
      <alignment horizontal="center" vertical="center"/>
      <protection locked="0"/>
    </xf>
    <xf numFmtId="37" fontId="11" fillId="4" borderId="2" xfId="0" applyNumberFormat="1" applyFont="1" applyFill="1" applyBorder="1" applyAlignment="1" applyProtection="1">
      <alignment horizontal="center" vertical="center"/>
      <protection locked="0"/>
    </xf>
    <xf numFmtId="37" fontId="11" fillId="11" borderId="1" xfId="0" applyNumberFormat="1" applyFont="1" applyFill="1" applyBorder="1" applyAlignment="1" applyProtection="1">
      <alignment vertical="center" wrapText="1"/>
    </xf>
    <xf numFmtId="37" fontId="11" fillId="11" borderId="8" xfId="0" applyNumberFormat="1" applyFont="1" applyFill="1" applyBorder="1" applyAlignment="1" applyProtection="1">
      <alignment vertical="center" wrapText="1"/>
    </xf>
    <xf numFmtId="37" fontId="11" fillId="11" borderId="2" xfId="0" applyNumberFormat="1" applyFont="1" applyFill="1" applyBorder="1" applyAlignment="1" applyProtection="1">
      <alignment vertical="center" wrapText="1"/>
    </xf>
    <xf numFmtId="37" fontId="6" fillId="8" borderId="1" xfId="0" applyNumberFormat="1" applyFont="1" applyFill="1" applyBorder="1" applyAlignment="1" applyProtection="1">
      <alignment horizontal="left" vertical="center"/>
    </xf>
    <xf numFmtId="37" fontId="11" fillId="8" borderId="2" xfId="0" applyNumberFormat="1" applyFont="1" applyFill="1" applyBorder="1" applyAlignment="1" applyProtection="1">
      <alignment horizontal="center" vertical="center" wrapText="1"/>
    </xf>
    <xf numFmtId="0" fontId="6" fillId="11" borderId="1" xfId="0" applyFont="1" applyFill="1" applyBorder="1" applyAlignment="1" applyProtection="1">
      <alignment vertical="center"/>
    </xf>
    <xf numFmtId="37" fontId="11" fillId="3" borderId="8" xfId="0" applyNumberFormat="1" applyFont="1" applyFill="1" applyBorder="1" applyAlignment="1" applyProtection="1">
      <alignment vertical="center"/>
      <protection locked="0"/>
    </xf>
    <xf numFmtId="37" fontId="11" fillId="3" borderId="2" xfId="0" applyNumberFormat="1" applyFont="1" applyFill="1" applyBorder="1" applyAlignment="1" applyProtection="1">
      <alignment vertical="center"/>
      <protection locked="0"/>
    </xf>
    <xf numFmtId="37" fontId="11" fillId="4" borderId="8" xfId="0" applyNumberFormat="1" applyFont="1" applyFill="1" applyBorder="1" applyAlignment="1" applyProtection="1">
      <alignment vertical="center"/>
      <protection locked="0"/>
    </xf>
    <xf numFmtId="37" fontId="11" fillId="4" borderId="2" xfId="0" applyNumberFormat="1" applyFont="1" applyFill="1" applyBorder="1" applyAlignment="1" applyProtection="1">
      <alignment vertical="center"/>
      <protection locked="0"/>
    </xf>
    <xf numFmtId="37" fontId="11" fillId="12" borderId="1" xfId="0" applyNumberFormat="1" applyFont="1" applyFill="1" applyBorder="1" applyAlignment="1" applyProtection="1">
      <alignment vertical="center" wrapText="1"/>
    </xf>
    <xf numFmtId="37" fontId="11" fillId="12" borderId="8" xfId="0" applyNumberFormat="1" applyFont="1" applyFill="1" applyBorder="1" applyAlignment="1" applyProtection="1">
      <alignment vertical="center" wrapText="1"/>
    </xf>
    <xf numFmtId="37" fontId="11" fillId="12" borderId="2" xfId="0" applyNumberFormat="1" applyFont="1" applyFill="1" applyBorder="1" applyAlignment="1" applyProtection="1">
      <alignment vertical="center" wrapText="1"/>
    </xf>
    <xf numFmtId="0" fontId="6" fillId="14" borderId="3" xfId="0" applyFont="1" applyFill="1" applyBorder="1" applyAlignment="1" applyProtection="1">
      <alignment horizontal="center" vertical="center"/>
    </xf>
    <xf numFmtId="0" fontId="6" fillId="5" borderId="3" xfId="0" applyFont="1" applyFill="1" applyBorder="1" applyAlignment="1" applyProtection="1">
      <alignment horizontal="center" vertical="center"/>
    </xf>
    <xf numFmtId="0" fontId="6" fillId="22" borderId="3" xfId="0" applyFont="1" applyFill="1" applyBorder="1" applyAlignment="1" applyProtection="1">
      <alignment horizontal="center" vertical="center"/>
    </xf>
    <xf numFmtId="0" fontId="6" fillId="11" borderId="2" xfId="0" applyFont="1" applyFill="1" applyBorder="1" applyAlignment="1" applyProtection="1">
      <alignment horizontal="left" vertical="center" wrapText="1"/>
    </xf>
    <xf numFmtId="37" fontId="11" fillId="3" borderId="1" xfId="0" applyNumberFormat="1" applyFont="1" applyFill="1" applyBorder="1" applyAlignment="1" applyProtection="1">
      <alignment horizontal="center" vertical="center" wrapText="1"/>
      <protection locked="0"/>
    </xf>
    <xf numFmtId="37" fontId="11" fillId="4" borderId="1" xfId="0" applyNumberFormat="1" applyFont="1" applyFill="1" applyBorder="1" applyAlignment="1" applyProtection="1">
      <alignment horizontal="center" vertical="center" wrapText="1"/>
      <protection locked="0"/>
    </xf>
    <xf numFmtId="0" fontId="6" fillId="0" borderId="0" xfId="0" applyFont="1" applyAlignment="1" applyProtection="1">
      <alignment horizontal="right" vertical="center"/>
    </xf>
    <xf numFmtId="0" fontId="11" fillId="0" borderId="0" xfId="0" applyFont="1" applyFill="1" applyAlignment="1" applyProtection="1">
      <alignment vertical="center"/>
    </xf>
    <xf numFmtId="0" fontId="26" fillId="0" borderId="0" xfId="0" applyFont="1" applyFill="1" applyBorder="1" applyAlignment="1" applyProtection="1">
      <alignment horizontal="right" vertical="center"/>
    </xf>
    <xf numFmtId="0" fontId="6" fillId="0" borderId="2" xfId="0" applyFont="1" applyFill="1" applyBorder="1" applyAlignment="1" applyProtection="1">
      <alignment vertical="center"/>
    </xf>
    <xf numFmtId="0" fontId="11" fillId="0" borderId="0" xfId="0" applyFont="1" applyFill="1" applyBorder="1" applyAlignment="1" applyProtection="1">
      <alignment vertical="center"/>
    </xf>
    <xf numFmtId="0" fontId="28" fillId="0" borderId="0" xfId="0" applyFont="1" applyAlignment="1" applyProtection="1">
      <alignment vertical="center"/>
    </xf>
    <xf numFmtId="0" fontId="23" fillId="9" borderId="7" xfId="0" applyFont="1" applyFill="1" applyBorder="1" applyAlignment="1" applyProtection="1">
      <alignment vertical="center"/>
    </xf>
    <xf numFmtId="0" fontId="15" fillId="9" borderId="6" xfId="0" applyFont="1" applyFill="1" applyBorder="1" applyAlignment="1" applyProtection="1">
      <alignment horizontal="center" vertical="center"/>
    </xf>
    <xf numFmtId="0" fontId="15" fillId="0" borderId="0" xfId="0" applyFont="1" applyAlignment="1" applyProtection="1">
      <alignment vertical="center"/>
    </xf>
    <xf numFmtId="0" fontId="11" fillId="0" borderId="10" xfId="0" applyFont="1" applyFill="1" applyBorder="1" applyAlignment="1" applyProtection="1">
      <alignment vertical="center"/>
    </xf>
    <xf numFmtId="0" fontId="6" fillId="10" borderId="3" xfId="0" applyFont="1" applyFill="1" applyBorder="1" applyAlignment="1" applyProtection="1">
      <alignment vertical="center"/>
    </xf>
    <xf numFmtId="170" fontId="6" fillId="10" borderId="3" xfId="0" applyNumberFormat="1" applyFont="1" applyFill="1" applyBorder="1" applyAlignment="1" applyProtection="1">
      <alignment horizontal="center" vertical="center"/>
    </xf>
    <xf numFmtId="0" fontId="11" fillId="11" borderId="2" xfId="0" applyFont="1" applyFill="1" applyBorder="1" applyAlignment="1" applyProtection="1">
      <alignment vertical="center"/>
    </xf>
    <xf numFmtId="0" fontId="6" fillId="10" borderId="10" xfId="0" applyFont="1" applyFill="1" applyBorder="1" applyAlignment="1" applyProtection="1">
      <alignment vertical="center"/>
    </xf>
    <xf numFmtId="0" fontId="15" fillId="9" borderId="4" xfId="0" applyFont="1" applyFill="1" applyBorder="1" applyAlignment="1" applyProtection="1">
      <alignment horizontal="center" vertical="center"/>
    </xf>
    <xf numFmtId="0" fontId="23" fillId="0" borderId="0" xfId="0" applyFont="1" applyFill="1" applyBorder="1" applyAlignment="1" applyProtection="1">
      <alignment vertical="center"/>
    </xf>
    <xf numFmtId="0" fontId="6" fillId="0" borderId="0" xfId="0" applyFont="1" applyFill="1" applyBorder="1" applyAlignment="1" applyProtection="1">
      <alignment horizontal="left" vertical="center" wrapText="1"/>
    </xf>
    <xf numFmtId="0" fontId="27" fillId="0" borderId="0" xfId="0" applyFont="1" applyFill="1" applyBorder="1" applyAlignment="1" applyProtection="1">
      <alignment vertical="center"/>
    </xf>
    <xf numFmtId="0" fontId="11" fillId="0" borderId="0" xfId="0" applyFont="1" applyFill="1" applyBorder="1" applyAlignment="1" applyProtection="1">
      <alignment horizontal="left" vertical="center" wrapText="1"/>
    </xf>
    <xf numFmtId="37" fontId="11" fillId="0" borderId="0" xfId="0" applyNumberFormat="1" applyFont="1" applyFill="1" applyBorder="1" applyAlignment="1" applyProtection="1">
      <alignment vertical="center" wrapText="1"/>
    </xf>
    <xf numFmtId="37" fontId="11" fillId="0" borderId="0" xfId="0" applyNumberFormat="1" applyFont="1" applyFill="1" applyBorder="1" applyAlignment="1" applyProtection="1">
      <alignment horizontal="center" vertical="center" wrapText="1"/>
    </xf>
    <xf numFmtId="37" fontId="11" fillId="0" borderId="13" xfId="0" applyNumberFormat="1" applyFont="1" applyFill="1" applyBorder="1" applyAlignment="1" applyProtection="1">
      <alignment vertical="center" wrapText="1"/>
    </xf>
    <xf numFmtId="0" fontId="6" fillId="10" borderId="21" xfId="0" applyFont="1" applyFill="1" applyBorder="1" applyAlignment="1" applyProtection="1">
      <alignment vertical="center"/>
    </xf>
    <xf numFmtId="0" fontId="6" fillId="10" borderId="30" xfId="0" applyFont="1" applyFill="1" applyBorder="1" applyAlignment="1" applyProtection="1">
      <alignment vertical="center"/>
    </xf>
    <xf numFmtId="167" fontId="11" fillId="11" borderId="1" xfId="0" applyNumberFormat="1" applyFont="1" applyFill="1" applyBorder="1" applyAlignment="1" applyProtection="1">
      <alignment horizontal="center" vertical="center"/>
    </xf>
    <xf numFmtId="170" fontId="6" fillId="11" borderId="3" xfId="0" applyNumberFormat="1" applyFont="1" applyFill="1" applyBorder="1" applyAlignment="1" applyProtection="1">
      <alignment horizontal="center" vertical="center"/>
    </xf>
    <xf numFmtId="0" fontId="6" fillId="8" borderId="0" xfId="0" applyFont="1" applyFill="1" applyBorder="1" applyAlignment="1" applyProtection="1">
      <alignment vertical="center"/>
    </xf>
    <xf numFmtId="37" fontId="6" fillId="10" borderId="3" xfId="0" applyNumberFormat="1" applyFont="1" applyFill="1" applyBorder="1" applyAlignment="1" applyProtection="1">
      <alignment horizontal="center" vertical="center"/>
    </xf>
    <xf numFmtId="9" fontId="11" fillId="10" borderId="3" xfId="1" applyFont="1" applyFill="1" applyBorder="1" applyAlignment="1" applyProtection="1">
      <alignment horizontal="center" vertical="center"/>
    </xf>
    <xf numFmtId="0" fontId="6" fillId="8" borderId="3" xfId="0" applyFont="1" applyFill="1" applyBorder="1" applyAlignment="1" applyProtection="1">
      <alignment vertical="center"/>
    </xf>
    <xf numFmtId="0" fontId="6" fillId="9" borderId="3" xfId="0" applyFont="1" applyFill="1" applyBorder="1" applyAlignment="1" applyProtection="1">
      <alignment horizontal="center" vertical="center"/>
    </xf>
    <xf numFmtId="0" fontId="11" fillId="0" borderId="3" xfId="0" applyFont="1" applyFill="1" applyBorder="1" applyAlignment="1" applyProtection="1">
      <alignment horizontal="center" vertical="center"/>
    </xf>
    <xf numFmtId="0" fontId="11" fillId="11" borderId="8" xfId="0" applyFont="1" applyFill="1" applyBorder="1" applyAlignment="1" applyProtection="1">
      <alignment horizontal="center" vertical="center"/>
    </xf>
    <xf numFmtId="170" fontId="6" fillId="0" borderId="3" xfId="0" applyNumberFormat="1" applyFont="1" applyFill="1" applyBorder="1" applyAlignment="1" applyProtection="1">
      <alignment horizontal="center" vertical="center"/>
    </xf>
    <xf numFmtId="0" fontId="6" fillId="8" borderId="3" xfId="0" applyFont="1" applyFill="1" applyBorder="1" applyAlignment="1" applyProtection="1">
      <alignment horizontal="center" vertical="center" wrapText="1"/>
    </xf>
    <xf numFmtId="0" fontId="6" fillId="8" borderId="8" xfId="0" applyFont="1" applyFill="1" applyBorder="1" applyAlignment="1" applyProtection="1">
      <alignment vertical="center" wrapText="1"/>
    </xf>
    <xf numFmtId="0" fontId="6" fillId="0" borderId="3" xfId="0" applyFont="1" applyFill="1" applyBorder="1" applyAlignment="1" applyProtection="1">
      <alignment horizontal="right" vertical="center"/>
    </xf>
    <xf numFmtId="0" fontId="6" fillId="0" borderId="8" xfId="0" applyFont="1" applyFill="1" applyBorder="1" applyAlignment="1" applyProtection="1">
      <alignment horizontal="center" vertical="center"/>
    </xf>
    <xf numFmtId="37" fontId="6" fillId="0" borderId="3" xfId="0" applyNumberFormat="1" applyFont="1" applyBorder="1" applyAlignment="1" applyProtection="1">
      <alignment horizontal="center" vertical="center"/>
    </xf>
    <xf numFmtId="37" fontId="6" fillId="12" borderId="1" xfId="0" applyNumberFormat="1" applyFont="1" applyFill="1" applyBorder="1" applyAlignment="1" applyProtection="1">
      <alignment horizontal="center" vertical="center"/>
    </xf>
    <xf numFmtId="37" fontId="31" fillId="12" borderId="1" xfId="0" applyNumberFormat="1" applyFont="1" applyFill="1" applyBorder="1" applyAlignment="1" applyProtection="1">
      <alignment horizontal="center" vertical="center"/>
    </xf>
    <xf numFmtId="165" fontId="6" fillId="8" borderId="3" xfId="0" applyNumberFormat="1" applyFont="1" applyFill="1" applyBorder="1" applyAlignment="1" applyProtection="1">
      <alignment horizontal="center" vertical="center"/>
    </xf>
    <xf numFmtId="0" fontId="11" fillId="0" borderId="8" xfId="0" applyFont="1" applyFill="1" applyBorder="1" applyAlignment="1" applyProtection="1">
      <alignment vertical="center"/>
    </xf>
    <xf numFmtId="37" fontId="11" fillId="0" borderId="8" xfId="0" applyNumberFormat="1" applyFont="1" applyFill="1" applyBorder="1" applyAlignment="1" applyProtection="1">
      <alignment horizontal="center" vertical="center"/>
    </xf>
    <xf numFmtId="0" fontId="23" fillId="9" borderId="3" xfId="0" applyFont="1" applyFill="1" applyBorder="1" applyAlignment="1" applyProtection="1">
      <alignment horizontal="center" vertical="center"/>
    </xf>
    <xf numFmtId="0" fontId="23" fillId="9" borderId="1" xfId="0" applyFont="1" applyFill="1" applyBorder="1" applyAlignment="1" applyProtection="1">
      <alignment vertical="center"/>
    </xf>
    <xf numFmtId="0" fontId="27" fillId="9" borderId="8" xfId="0" applyFont="1" applyFill="1" applyBorder="1" applyAlignment="1" applyProtection="1">
      <alignment vertical="center"/>
    </xf>
    <xf numFmtId="0" fontId="27" fillId="9" borderId="2" xfId="0" applyFont="1" applyFill="1" applyBorder="1" applyAlignment="1" applyProtection="1">
      <alignment vertical="center"/>
    </xf>
    <xf numFmtId="49" fontId="10" fillId="3" borderId="9" xfId="0" applyNumberFormat="1" applyFont="1" applyFill="1" applyBorder="1" applyAlignment="1" applyProtection="1">
      <alignment horizontal="center" vertical="center" wrapText="1"/>
      <protection locked="0"/>
    </xf>
    <xf numFmtId="0" fontId="11" fillId="0" borderId="9" xfId="0" applyFont="1" applyBorder="1" applyAlignment="1" applyProtection="1">
      <alignment vertical="center"/>
    </xf>
    <xf numFmtId="49" fontId="10" fillId="4" borderId="3" xfId="0" applyNumberFormat="1" applyFont="1" applyFill="1" applyBorder="1" applyAlignment="1" applyProtection="1">
      <alignment horizontal="center" vertical="center" wrapText="1"/>
      <protection locked="0"/>
    </xf>
    <xf numFmtId="37" fontId="11" fillId="0" borderId="3" xfId="1" applyNumberFormat="1" applyFont="1" applyFill="1" applyBorder="1" applyAlignment="1" applyProtection="1">
      <alignment horizontal="center" vertical="center"/>
    </xf>
    <xf numFmtId="167" fontId="11" fillId="11" borderId="3" xfId="0" applyNumberFormat="1" applyFont="1" applyFill="1" applyBorder="1" applyAlignment="1" applyProtection="1">
      <alignment horizontal="center" vertical="center"/>
    </xf>
    <xf numFmtId="0" fontId="11" fillId="10" borderId="9" xfId="0" applyFont="1" applyFill="1" applyBorder="1" applyAlignment="1" applyProtection="1">
      <alignment horizontal="center" vertical="center"/>
    </xf>
    <xf numFmtId="0" fontId="11" fillId="10" borderId="9" xfId="0" applyFont="1" applyFill="1" applyBorder="1" applyAlignment="1" applyProtection="1">
      <alignment vertical="center"/>
    </xf>
    <xf numFmtId="0" fontId="6" fillId="10" borderId="9" xfId="0" applyFont="1" applyFill="1" applyBorder="1" applyAlignment="1" applyProtection="1">
      <alignment horizontal="center" vertical="center" wrapText="1"/>
    </xf>
    <xf numFmtId="37" fontId="31" fillId="12" borderId="3" xfId="0" applyNumberFormat="1" applyFont="1" applyFill="1" applyBorder="1" applyAlignment="1" applyProtection="1">
      <alignment horizontal="center" vertical="center"/>
    </xf>
    <xf numFmtId="37" fontId="11" fillId="0" borderId="1" xfId="0" applyNumberFormat="1" applyFont="1" applyFill="1" applyBorder="1" applyAlignment="1" applyProtection="1">
      <alignment vertical="center" wrapText="1"/>
    </xf>
    <xf numFmtId="37" fontId="11" fillId="0" borderId="8" xfId="0" applyNumberFormat="1" applyFont="1" applyFill="1" applyBorder="1" applyAlignment="1" applyProtection="1">
      <alignment vertical="center" wrapText="1"/>
    </xf>
    <xf numFmtId="37" fontId="11" fillId="0" borderId="2" xfId="0" applyNumberFormat="1" applyFont="1" applyFill="1" applyBorder="1" applyAlignment="1" applyProtection="1">
      <alignment vertical="center" wrapText="1"/>
    </xf>
    <xf numFmtId="170" fontId="6" fillId="8" borderId="3" xfId="0" applyNumberFormat="1" applyFont="1" applyFill="1" applyBorder="1" applyAlignment="1" applyProtection="1">
      <alignment horizontal="center" vertical="center"/>
    </xf>
    <xf numFmtId="37" fontId="11" fillId="8" borderId="2" xfId="0" applyNumberFormat="1" applyFont="1" applyFill="1" applyBorder="1" applyAlignment="1" applyProtection="1">
      <alignment vertical="center" wrapText="1"/>
    </xf>
    <xf numFmtId="37" fontId="11" fillId="8" borderId="2" xfId="0" applyNumberFormat="1" applyFont="1" applyFill="1" applyBorder="1" applyAlignment="1" applyProtection="1">
      <alignment vertical="center"/>
    </xf>
    <xf numFmtId="37" fontId="11" fillId="8" borderId="8" xfId="0" applyNumberFormat="1" applyFont="1" applyFill="1" applyBorder="1" applyAlignment="1" applyProtection="1">
      <alignment vertical="center" wrapText="1"/>
    </xf>
    <xf numFmtId="37" fontId="11" fillId="10" borderId="8" xfId="0" applyNumberFormat="1" applyFont="1" applyFill="1" applyBorder="1" applyAlignment="1" applyProtection="1">
      <alignment vertical="center" wrapText="1"/>
    </xf>
    <xf numFmtId="37" fontId="11" fillId="10" borderId="2" xfId="0" applyNumberFormat="1" applyFont="1" applyFill="1" applyBorder="1" applyAlignment="1" applyProtection="1">
      <alignment vertical="center" wrapText="1"/>
    </xf>
    <xf numFmtId="168" fontId="11" fillId="11" borderId="1" xfId="0" applyNumberFormat="1" applyFont="1" applyFill="1" applyBorder="1" applyAlignment="1" applyProtection="1">
      <alignment horizontal="center" vertical="center"/>
    </xf>
    <xf numFmtId="169" fontId="6" fillId="0" borderId="3" xfId="1" applyNumberFormat="1" applyFont="1" applyFill="1" applyBorder="1" applyAlignment="1" applyProtection="1">
      <alignment horizontal="center" vertical="center"/>
    </xf>
    <xf numFmtId="0" fontId="27" fillId="9" borderId="5" xfId="0" applyFont="1" applyFill="1" applyBorder="1" applyAlignment="1" applyProtection="1">
      <alignment vertical="center"/>
    </xf>
    <xf numFmtId="37" fontId="11" fillId="3" borderId="3" xfId="0" applyNumberFormat="1" applyFont="1" applyFill="1" applyBorder="1" applyAlignment="1" applyProtection="1">
      <alignment horizontal="center" vertical="center" wrapText="1"/>
      <protection locked="0"/>
    </xf>
    <xf numFmtId="37" fontId="11" fillId="4" borderId="3" xfId="0" applyNumberFormat="1" applyFont="1" applyFill="1" applyBorder="1" applyAlignment="1" applyProtection="1">
      <alignment horizontal="center" vertical="center" wrapText="1"/>
      <protection locked="0"/>
    </xf>
    <xf numFmtId="168" fontId="11" fillId="11" borderId="3" xfId="0" applyNumberFormat="1" applyFont="1" applyFill="1" applyBorder="1" applyAlignment="1" applyProtection="1">
      <alignment horizontal="center" vertical="center"/>
    </xf>
    <xf numFmtId="0" fontId="6" fillId="0" borderId="9" xfId="0" applyFont="1" applyFill="1" applyBorder="1" applyAlignment="1" applyProtection="1">
      <alignment horizontal="center" vertical="center"/>
    </xf>
    <xf numFmtId="0" fontId="6" fillId="10" borderId="9" xfId="0" applyFont="1" applyFill="1" applyBorder="1" applyAlignment="1" applyProtection="1">
      <alignment horizontal="center" vertical="center"/>
    </xf>
    <xf numFmtId="37" fontId="6" fillId="0" borderId="3" xfId="1" applyNumberFormat="1" applyFont="1" applyFill="1" applyBorder="1" applyAlignment="1" applyProtection="1">
      <alignment horizontal="center" vertical="center"/>
    </xf>
    <xf numFmtId="49" fontId="10" fillId="3" borderId="21" xfId="0" applyNumberFormat="1" applyFont="1" applyFill="1" applyBorder="1" applyAlignment="1" applyProtection="1">
      <alignment horizontal="center" vertical="center" wrapText="1"/>
      <protection locked="0"/>
    </xf>
    <xf numFmtId="49" fontId="10" fillId="4" borderId="1" xfId="0" applyNumberFormat="1" applyFont="1" applyFill="1" applyBorder="1" applyAlignment="1" applyProtection="1">
      <alignment horizontal="center" vertical="center" wrapText="1"/>
      <protection locked="0"/>
    </xf>
    <xf numFmtId="173" fontId="11" fillId="10" borderId="1" xfId="0" applyNumberFormat="1" applyFont="1" applyFill="1" applyBorder="1" applyAlignment="1" applyProtection="1">
      <alignment horizontal="center" vertical="center"/>
    </xf>
    <xf numFmtId="165" fontId="6" fillId="10" borderId="1" xfId="0" applyNumberFormat="1" applyFont="1" applyFill="1" applyBorder="1" applyAlignment="1" applyProtection="1">
      <alignment horizontal="center" vertical="center"/>
    </xf>
    <xf numFmtId="37" fontId="23" fillId="9" borderId="23" xfId="0" applyNumberFormat="1" applyFont="1" applyFill="1" applyBorder="1" applyAlignment="1" applyProtection="1">
      <alignment horizontal="center" vertical="center"/>
    </xf>
    <xf numFmtId="0" fontId="6" fillId="0" borderId="24" xfId="0" applyFont="1" applyBorder="1" applyAlignment="1" applyProtection="1">
      <alignment vertical="center"/>
    </xf>
    <xf numFmtId="0" fontId="6" fillId="0" borderId="25" xfId="0" applyFont="1" applyBorder="1" applyAlignment="1" applyProtection="1">
      <alignment vertical="center"/>
    </xf>
    <xf numFmtId="0" fontId="6" fillId="0" borderId="25" xfId="0" applyFont="1" applyFill="1" applyBorder="1" applyAlignment="1" applyProtection="1">
      <alignment vertical="center"/>
    </xf>
    <xf numFmtId="0" fontId="6" fillId="10" borderId="25" xfId="0" applyFont="1" applyFill="1" applyBorder="1" applyAlignment="1" applyProtection="1">
      <alignment vertical="center"/>
    </xf>
    <xf numFmtId="37" fontId="6" fillId="0" borderId="25" xfId="0" applyNumberFormat="1" applyFont="1" applyBorder="1" applyAlignment="1" applyProtection="1">
      <alignment horizontal="center" vertical="center"/>
    </xf>
    <xf numFmtId="37" fontId="6" fillId="11" borderId="25" xfId="0" applyNumberFormat="1" applyFont="1" applyFill="1" applyBorder="1" applyAlignment="1" applyProtection="1">
      <alignment horizontal="center" vertical="center"/>
    </xf>
    <xf numFmtId="37" fontId="6" fillId="0" borderId="25" xfId="0" applyNumberFormat="1" applyFont="1" applyFill="1" applyBorder="1" applyAlignment="1" applyProtection="1">
      <alignment horizontal="center" vertical="center"/>
    </xf>
    <xf numFmtId="165" fontId="6" fillId="11" borderId="25" xfId="0" applyNumberFormat="1" applyFont="1" applyFill="1" applyBorder="1" applyAlignment="1" applyProtection="1">
      <alignment horizontal="center" vertical="center"/>
    </xf>
    <xf numFmtId="9" fontId="6" fillId="0" borderId="25" xfId="1" applyFont="1" applyFill="1" applyBorder="1" applyAlignment="1" applyProtection="1">
      <alignment horizontal="center" vertical="center"/>
    </xf>
    <xf numFmtId="9" fontId="6" fillId="12" borderId="25" xfId="1" applyFont="1" applyFill="1" applyBorder="1" applyAlignment="1" applyProtection="1">
      <alignment horizontal="center" vertical="center"/>
    </xf>
    <xf numFmtId="0" fontId="11" fillId="10" borderId="21" xfId="0" applyFont="1" applyFill="1" applyBorder="1" applyAlignment="1" applyProtection="1">
      <alignment horizontal="center" vertical="center"/>
    </xf>
    <xf numFmtId="37" fontId="6" fillId="9" borderId="23" xfId="0" applyNumberFormat="1" applyFont="1" applyFill="1" applyBorder="1" applyAlignment="1" applyProtection="1">
      <alignment horizontal="center" vertical="center"/>
    </xf>
    <xf numFmtId="0" fontId="6" fillId="10" borderId="24" xfId="0" applyFont="1" applyFill="1" applyBorder="1" applyAlignment="1" applyProtection="1">
      <alignment vertical="center"/>
    </xf>
    <xf numFmtId="37" fontId="6" fillId="8" borderId="25" xfId="0" applyNumberFormat="1" applyFont="1" applyFill="1" applyBorder="1" applyAlignment="1" applyProtection="1">
      <alignment horizontal="center" vertical="center"/>
    </xf>
    <xf numFmtId="0" fontId="6" fillId="8" borderId="25" xfId="0" applyFont="1" applyFill="1" applyBorder="1" applyAlignment="1" applyProtection="1">
      <alignment vertical="center"/>
    </xf>
    <xf numFmtId="37" fontId="6" fillId="10" borderId="25" xfId="0" applyNumberFormat="1" applyFont="1" applyFill="1" applyBorder="1" applyAlignment="1" applyProtection="1">
      <alignment horizontal="center" vertical="center"/>
    </xf>
    <xf numFmtId="0" fontId="6" fillId="10" borderId="21" xfId="0" applyFont="1" applyFill="1" applyBorder="1" applyAlignment="1" applyProtection="1">
      <alignment horizontal="center" vertical="center" wrapText="1"/>
    </xf>
    <xf numFmtId="0" fontId="11" fillId="0" borderId="25" xfId="0" applyFont="1" applyFill="1" applyBorder="1" applyAlignment="1" applyProtection="1">
      <alignment vertical="center"/>
    </xf>
    <xf numFmtId="0" fontId="11" fillId="8" borderId="25" xfId="0" applyFont="1" applyFill="1" applyBorder="1" applyAlignment="1" applyProtection="1">
      <alignment vertical="center"/>
    </xf>
    <xf numFmtId="0" fontId="11" fillId="0" borderId="25" xfId="0" applyFont="1" applyFill="1" applyBorder="1" applyAlignment="1" applyProtection="1">
      <alignment horizontal="center" vertical="center"/>
    </xf>
    <xf numFmtId="0" fontId="11" fillId="10" borderId="25" xfId="0" applyFont="1" applyFill="1" applyBorder="1" applyAlignment="1" applyProtection="1">
      <alignment vertical="center"/>
    </xf>
    <xf numFmtId="0" fontId="6" fillId="10" borderId="25" xfId="0" applyFont="1" applyFill="1" applyBorder="1" applyAlignment="1" applyProtection="1">
      <alignment horizontal="center" vertical="center"/>
    </xf>
    <xf numFmtId="0" fontId="6" fillId="8" borderId="25" xfId="0" applyFont="1" applyFill="1" applyBorder="1" applyAlignment="1" applyProtection="1">
      <alignment horizontal="center" vertical="center"/>
    </xf>
    <xf numFmtId="0" fontId="6" fillId="11" borderId="25" xfId="0" applyFont="1" applyFill="1" applyBorder="1" applyAlignment="1" applyProtection="1">
      <alignment horizontal="center" vertical="center"/>
    </xf>
    <xf numFmtId="0" fontId="6" fillId="12" borderId="25" xfId="0" applyFont="1" applyFill="1" applyBorder="1" applyAlignment="1" applyProtection="1">
      <alignment horizontal="center" vertical="center"/>
    </xf>
    <xf numFmtId="168" fontId="6" fillId="11" borderId="25" xfId="0" applyNumberFormat="1" applyFont="1" applyFill="1" applyBorder="1" applyAlignment="1" applyProtection="1">
      <alignment horizontal="center" vertical="center"/>
    </xf>
    <xf numFmtId="0" fontId="6" fillId="11" borderId="25" xfId="0" applyFont="1" applyFill="1" applyBorder="1" applyAlignment="1" applyProtection="1">
      <alignment vertical="center"/>
    </xf>
    <xf numFmtId="49" fontId="10" fillId="0" borderId="3" xfId="0" applyNumberFormat="1" applyFont="1" applyFill="1" applyBorder="1" applyAlignment="1" applyProtection="1">
      <alignment horizontal="center" vertical="center" wrapText="1"/>
    </xf>
    <xf numFmtId="49" fontId="10" fillId="0" borderId="1" xfId="0" applyNumberFormat="1" applyFont="1" applyFill="1" applyBorder="1" applyAlignment="1" applyProtection="1">
      <alignment horizontal="center" vertical="center" wrapText="1"/>
    </xf>
    <xf numFmtId="37" fontId="10" fillId="10" borderId="1" xfId="0" applyNumberFormat="1" applyFont="1" applyFill="1" applyBorder="1" applyAlignment="1" applyProtection="1">
      <alignment horizontal="center" vertical="center" wrapText="1"/>
    </xf>
    <xf numFmtId="37" fontId="11" fillId="8" borderId="2" xfId="0" applyNumberFormat="1" applyFont="1" applyFill="1" applyBorder="1" applyAlignment="1" applyProtection="1">
      <alignment horizontal="center" vertical="center"/>
    </xf>
    <xf numFmtId="37" fontId="13" fillId="10" borderId="3" xfId="0" applyNumberFormat="1" applyFont="1" applyFill="1" applyBorder="1" applyAlignment="1" applyProtection="1">
      <alignment horizontal="center" vertical="center"/>
    </xf>
    <xf numFmtId="37" fontId="13" fillId="8" borderId="3" xfId="0" applyNumberFormat="1" applyFont="1" applyFill="1" applyBorder="1" applyAlignment="1" applyProtection="1">
      <alignment horizontal="center" vertical="center"/>
    </xf>
    <xf numFmtId="49" fontId="10" fillId="0" borderId="8" xfId="0" applyNumberFormat="1" applyFont="1" applyFill="1" applyBorder="1" applyAlignment="1" applyProtection="1">
      <alignment horizontal="center" vertical="center" wrapText="1"/>
    </xf>
    <xf numFmtId="49" fontId="10" fillId="0" borderId="0" xfId="0" applyNumberFormat="1" applyFont="1" applyFill="1" applyBorder="1" applyAlignment="1" applyProtection="1">
      <alignment horizontal="center" vertical="center" wrapText="1"/>
    </xf>
    <xf numFmtId="37" fontId="11" fillId="0" borderId="0" xfId="0" applyNumberFormat="1" applyFont="1" applyFill="1" applyBorder="1" applyAlignment="1" applyProtection="1">
      <alignment vertical="center"/>
    </xf>
    <xf numFmtId="37" fontId="25" fillId="3" borderId="3" xfId="0" applyNumberFormat="1" applyFont="1" applyFill="1" applyBorder="1" applyAlignment="1" applyProtection="1">
      <alignment horizontal="center" vertical="center"/>
      <protection locked="0"/>
    </xf>
    <xf numFmtId="0" fontId="6" fillId="3" borderId="2" xfId="0" applyFont="1" applyFill="1" applyBorder="1" applyAlignment="1" applyProtection="1">
      <alignment vertical="center"/>
      <protection locked="0"/>
    </xf>
    <xf numFmtId="0" fontId="6" fillId="4" borderId="2" xfId="0" applyFont="1" applyFill="1" applyBorder="1" applyAlignment="1" applyProtection="1">
      <alignment vertical="center"/>
      <protection locked="0"/>
    </xf>
    <xf numFmtId="0" fontId="11" fillId="0" borderId="11" xfId="0" applyFont="1" applyBorder="1" applyAlignment="1" applyProtection="1">
      <alignment vertical="center"/>
    </xf>
    <xf numFmtId="0" fontId="26" fillId="0" borderId="11" xfId="0" applyFont="1" applyBorder="1" applyAlignment="1" applyProtection="1">
      <alignment horizontal="right" vertical="center"/>
    </xf>
    <xf numFmtId="0" fontId="32" fillId="9" borderId="5" xfId="0" applyFont="1" applyFill="1" applyBorder="1" applyAlignment="1" applyProtection="1">
      <alignment vertical="center"/>
    </xf>
    <xf numFmtId="0" fontId="32" fillId="9" borderId="4" xfId="0" applyFont="1" applyFill="1" applyBorder="1" applyAlignment="1" applyProtection="1">
      <alignment vertical="center"/>
    </xf>
    <xf numFmtId="0" fontId="32" fillId="0" borderId="0" xfId="0" applyFont="1" applyAlignment="1" applyProtection="1">
      <alignment vertical="center"/>
    </xf>
    <xf numFmtId="37" fontId="11" fillId="0" borderId="3" xfId="1" applyNumberFormat="1" applyFont="1" applyFill="1" applyBorder="1" applyAlignment="1" applyProtection="1">
      <alignment vertical="center"/>
    </xf>
    <xf numFmtId="165" fontId="11" fillId="0" borderId="3" xfId="1" applyNumberFormat="1" applyFont="1" applyFill="1" applyBorder="1" applyAlignment="1" applyProtection="1">
      <alignment vertical="center"/>
    </xf>
    <xf numFmtId="0" fontId="6" fillId="0" borderId="11" xfId="0" applyFont="1" applyFill="1" applyBorder="1" applyAlignment="1" applyProtection="1">
      <alignment vertical="center"/>
    </xf>
    <xf numFmtId="170" fontId="6" fillId="0" borderId="10" xfId="0" applyNumberFormat="1" applyFont="1" applyFill="1" applyBorder="1" applyAlignment="1" applyProtection="1">
      <alignment horizontal="center" vertical="center"/>
    </xf>
    <xf numFmtId="0" fontId="6" fillId="0" borderId="29" xfId="0" applyFont="1" applyFill="1" applyBorder="1" applyAlignment="1" applyProtection="1">
      <alignment vertical="center"/>
    </xf>
    <xf numFmtId="49" fontId="10" fillId="3" borderId="9" xfId="0" applyNumberFormat="1" applyFont="1" applyFill="1" applyBorder="1" applyAlignment="1" applyProtection="1">
      <alignment horizontal="center" vertical="center"/>
      <protection locked="0"/>
    </xf>
    <xf numFmtId="49" fontId="10" fillId="3" borderId="3"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protection locked="0"/>
    </xf>
    <xf numFmtId="173" fontId="6" fillId="10" borderId="3" xfId="0" quotePrefix="1" applyNumberFormat="1" applyFont="1" applyFill="1" applyBorder="1" applyAlignment="1" applyProtection="1">
      <alignment horizontal="center" vertical="center" wrapText="1"/>
    </xf>
    <xf numFmtId="37" fontId="11" fillId="3" borderId="3" xfId="0" quotePrefix="1" applyNumberFormat="1" applyFont="1" applyFill="1" applyBorder="1" applyAlignment="1" applyProtection="1">
      <alignment horizontal="center" vertical="center" wrapText="1"/>
      <protection locked="0"/>
    </xf>
    <xf numFmtId="37" fontId="11" fillId="4" borderId="3" xfId="0" quotePrefix="1" applyNumberFormat="1" applyFont="1" applyFill="1" applyBorder="1" applyAlignment="1" applyProtection="1">
      <alignment horizontal="center" vertical="center" wrapText="1"/>
      <protection locked="0"/>
    </xf>
    <xf numFmtId="49" fontId="10" fillId="3" borderId="21" xfId="0" applyNumberFormat="1" applyFont="1" applyFill="1" applyBorder="1" applyAlignment="1" applyProtection="1">
      <alignment horizontal="center" vertical="center"/>
      <protection locked="0"/>
    </xf>
    <xf numFmtId="49" fontId="10" fillId="3" borderId="1" xfId="0" applyNumberFormat="1" applyFont="1" applyFill="1" applyBorder="1" applyAlignment="1" applyProtection="1">
      <alignment horizontal="center" vertical="center"/>
      <protection locked="0"/>
    </xf>
    <xf numFmtId="0" fontId="11" fillId="0" borderId="24" xfId="0" applyFont="1" applyBorder="1" applyAlignment="1" applyProtection="1">
      <alignment vertical="center"/>
    </xf>
    <xf numFmtId="0" fontId="11" fillId="0" borderId="25" xfId="0" applyFont="1" applyBorder="1" applyAlignment="1" applyProtection="1">
      <alignment vertical="center"/>
    </xf>
    <xf numFmtId="164" fontId="5" fillId="4" borderId="3" xfId="0" applyNumberFormat="1" applyFont="1" applyFill="1" applyBorder="1" applyAlignment="1" applyProtection="1">
      <alignment horizontal="center" vertical="center"/>
      <protection locked="0"/>
    </xf>
    <xf numFmtId="0" fontId="8" fillId="9" borderId="1" xfId="0" applyFont="1" applyFill="1" applyBorder="1" applyAlignment="1">
      <alignment vertical="center"/>
    </xf>
    <xf numFmtId="0" fontId="2" fillId="9" borderId="2" xfId="0" applyFont="1" applyFill="1" applyBorder="1" applyAlignment="1">
      <alignment vertical="center"/>
    </xf>
    <xf numFmtId="0" fontId="3" fillId="0" borderId="0" xfId="0" applyFont="1" applyAlignment="1" applyProtection="1">
      <alignment horizontal="right" vertical="center"/>
    </xf>
    <xf numFmtId="37" fontId="5" fillId="3" borderId="3" xfId="0" applyNumberFormat="1" applyFont="1" applyFill="1" applyBorder="1" applyAlignment="1" applyProtection="1">
      <alignment horizontal="left" vertical="center"/>
      <protection locked="0"/>
    </xf>
    <xf numFmtId="0" fontId="5" fillId="2" borderId="16" xfId="0" applyFont="1" applyFill="1" applyBorder="1" applyAlignment="1" applyProtection="1">
      <alignment horizontal="center" vertical="center" wrapText="1"/>
    </xf>
    <xf numFmtId="0" fontId="5" fillId="9" borderId="4" xfId="0" applyFont="1" applyFill="1" applyBorder="1" applyAlignment="1" applyProtection="1">
      <alignment horizontal="center" vertical="center" wrapText="1"/>
    </xf>
    <xf numFmtId="0" fontId="5" fillId="8" borderId="10" xfId="0" applyFont="1" applyFill="1" applyBorder="1" applyAlignment="1" applyProtection="1">
      <alignment vertical="center"/>
    </xf>
    <xf numFmtId="37" fontId="5" fillId="3" borderId="3" xfId="0" applyNumberFormat="1" applyFont="1" applyFill="1" applyBorder="1" applyAlignment="1" applyProtection="1">
      <alignment horizontal="center" vertical="center"/>
      <protection locked="0"/>
    </xf>
    <xf numFmtId="0" fontId="5" fillId="11" borderId="3" xfId="0" applyFont="1" applyFill="1" applyBorder="1" applyAlignment="1" applyProtection="1">
      <alignment vertical="center"/>
    </xf>
    <xf numFmtId="37" fontId="5" fillId="3" borderId="3" xfId="0" applyNumberFormat="1" applyFont="1" applyFill="1" applyBorder="1" applyAlignment="1" applyProtection="1">
      <alignment horizontal="center" vertical="center"/>
    </xf>
    <xf numFmtId="0" fontId="2" fillId="9" borderId="4" xfId="0" applyFont="1" applyFill="1" applyBorder="1" applyAlignment="1" applyProtection="1">
      <alignment vertical="center"/>
    </xf>
    <xf numFmtId="0" fontId="33" fillId="0" borderId="0" xfId="0" applyFont="1" applyBorder="1" applyAlignment="1">
      <alignment horizontal="left" vertical="center"/>
    </xf>
    <xf numFmtId="0" fontId="23" fillId="9" borderId="6" xfId="0" applyFont="1" applyFill="1" applyBorder="1" applyAlignment="1" applyProtection="1">
      <alignment vertical="center"/>
    </xf>
    <xf numFmtId="0" fontId="2" fillId="0" borderId="0" xfId="0" applyFont="1" applyAlignment="1">
      <alignment horizontal="right" vertical="center"/>
    </xf>
    <xf numFmtId="0" fontId="8" fillId="2" borderId="1" xfId="0" applyFont="1" applyFill="1" applyBorder="1" applyAlignment="1">
      <alignment vertical="center"/>
    </xf>
    <xf numFmtId="0" fontId="2" fillId="2" borderId="2" xfId="0" applyFont="1" applyFill="1" applyBorder="1" applyAlignment="1">
      <alignment vertical="center"/>
    </xf>
    <xf numFmtId="0" fontId="21" fillId="2" borderId="3" xfId="0" applyFont="1" applyFill="1" applyBorder="1" applyAlignment="1">
      <alignment horizontal="center" vertical="center" wrapText="1"/>
    </xf>
    <xf numFmtId="0" fontId="21" fillId="2" borderId="3" xfId="0" applyFont="1" applyFill="1" applyBorder="1" applyAlignment="1">
      <alignment vertical="center"/>
    </xf>
    <xf numFmtId="0" fontId="21" fillId="2" borderId="3" xfId="0" applyFont="1" applyFill="1" applyBorder="1" applyAlignment="1">
      <alignment horizontal="center" vertical="center"/>
    </xf>
    <xf numFmtId="0" fontId="2" fillId="2" borderId="3" xfId="0" applyFont="1" applyFill="1" applyBorder="1" applyAlignment="1">
      <alignment horizontal="center" vertical="center" wrapText="1"/>
    </xf>
    <xf numFmtId="0" fontId="21" fillId="0" borderId="8" xfId="0" applyFont="1" applyFill="1" applyBorder="1" applyAlignment="1">
      <alignment vertical="center"/>
    </xf>
    <xf numFmtId="0" fontId="21" fillId="0" borderId="2" xfId="0" applyFont="1" applyFill="1" applyBorder="1" applyAlignment="1">
      <alignment vertical="center"/>
    </xf>
    <xf numFmtId="0" fontId="2" fillId="0" borderId="0" xfId="0" applyFont="1" applyFill="1" applyAlignment="1">
      <alignment vertical="center"/>
    </xf>
    <xf numFmtId="168" fontId="2" fillId="0" borderId="3" xfId="0" applyNumberFormat="1" applyFont="1" applyFill="1" applyBorder="1" applyAlignment="1">
      <alignment horizontal="center" vertical="center"/>
    </xf>
    <xf numFmtId="0" fontId="21" fillId="0" borderId="10" xfId="0" applyFont="1" applyFill="1" applyBorder="1" applyAlignment="1">
      <alignment horizontal="center" vertical="center"/>
    </xf>
    <xf numFmtId="37" fontId="5" fillId="0" borderId="3" xfId="0" applyNumberFormat="1"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5" fillId="8" borderId="8" xfId="0" applyFont="1" applyFill="1" applyBorder="1" applyAlignment="1" applyProtection="1">
      <alignment horizontal="left" vertical="center"/>
    </xf>
    <xf numFmtId="0" fontId="4" fillId="0" borderId="16"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2" borderId="1" xfId="0" applyFont="1" applyFill="1" applyBorder="1" applyAlignment="1" applyProtection="1">
      <alignment horizontal="center" vertical="center"/>
    </xf>
    <xf numFmtId="37" fontId="5" fillId="0" borderId="3" xfId="0" applyNumberFormat="1"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5" fillId="2" borderId="25" xfId="0" applyFont="1" applyFill="1" applyBorder="1" applyAlignment="1" applyProtection="1">
      <alignment horizontal="center" vertical="center"/>
    </xf>
    <xf numFmtId="0" fontId="5" fillId="8" borderId="1" xfId="0" applyFont="1" applyFill="1" applyBorder="1" applyAlignment="1" applyProtection="1">
      <alignment horizontal="left" vertical="center"/>
    </xf>
    <xf numFmtId="0" fontId="5" fillId="8" borderId="8" xfId="0" applyFont="1" applyFill="1" applyBorder="1" applyAlignment="1" applyProtection="1">
      <alignment horizontal="left" vertical="center"/>
    </xf>
    <xf numFmtId="37" fontId="5" fillId="8" borderId="3" xfId="0" applyNumberFormat="1" applyFont="1" applyFill="1" applyBorder="1" applyAlignment="1" applyProtection="1">
      <alignment horizontal="center" vertical="center"/>
    </xf>
    <xf numFmtId="0" fontId="6" fillId="8" borderId="3" xfId="0" applyFont="1" applyFill="1" applyBorder="1" applyAlignment="1" applyProtection="1">
      <alignment horizontal="center" vertical="center"/>
    </xf>
    <xf numFmtId="0" fontId="5" fillId="2" borderId="28" xfId="0" applyFont="1" applyFill="1" applyBorder="1" applyAlignment="1" applyProtection="1">
      <alignment horizontal="center" vertical="center" wrapText="1"/>
    </xf>
    <xf numFmtId="37" fontId="5" fillId="0" borderId="3" xfId="0" applyNumberFormat="1"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37" fontId="5" fillId="8" borderId="3" xfId="0" applyNumberFormat="1" applyFont="1" applyFill="1" applyBorder="1" applyAlignment="1" applyProtection="1">
      <alignment horizontal="center" vertical="center"/>
    </xf>
    <xf numFmtId="0" fontId="6" fillId="8" borderId="8" xfId="0" applyFont="1" applyFill="1" applyBorder="1" applyAlignment="1" applyProtection="1">
      <alignment horizontal="left" vertical="center" wrapText="1"/>
    </xf>
    <xf numFmtId="0" fontId="6" fillId="8" borderId="2" xfId="0" applyFont="1" applyFill="1" applyBorder="1" applyAlignment="1" applyProtection="1">
      <alignment horizontal="left" vertical="center" wrapText="1"/>
    </xf>
    <xf numFmtId="0" fontId="6" fillId="8" borderId="3" xfId="0" applyFont="1" applyFill="1" applyBorder="1" applyAlignment="1" applyProtection="1">
      <alignment horizontal="center" vertical="center"/>
    </xf>
    <xf numFmtId="0" fontId="34" fillId="11" borderId="1" xfId="0" applyFont="1" applyFill="1" applyBorder="1" applyAlignment="1" applyProtection="1">
      <alignment vertical="center"/>
    </xf>
    <xf numFmtId="168" fontId="5" fillId="11" borderId="3" xfId="1" applyNumberFormat="1" applyFont="1" applyFill="1" applyBorder="1" applyAlignment="1" applyProtection="1">
      <alignment horizontal="center" vertical="center"/>
    </xf>
    <xf numFmtId="168" fontId="4" fillId="11" borderId="3" xfId="1" applyNumberFormat="1" applyFont="1" applyFill="1" applyBorder="1" applyAlignment="1" applyProtection="1">
      <alignment horizontal="center" vertical="center"/>
    </xf>
    <xf numFmtId="37" fontId="6" fillId="11" borderId="8" xfId="0" applyNumberFormat="1" applyFont="1" applyFill="1" applyBorder="1" applyAlignment="1" applyProtection="1">
      <alignment horizontal="left" vertical="center"/>
    </xf>
    <xf numFmtId="37" fontId="6" fillId="11" borderId="8" xfId="0" applyNumberFormat="1" applyFont="1" applyFill="1" applyBorder="1" applyAlignment="1" applyProtection="1">
      <alignment horizontal="center" vertical="center" wrapText="1"/>
    </xf>
    <xf numFmtId="0" fontId="5" fillId="11" borderId="8" xfId="0" applyFont="1" applyFill="1" applyBorder="1" applyAlignment="1" applyProtection="1">
      <alignment horizontal="center" vertical="center"/>
    </xf>
    <xf numFmtId="37" fontId="6" fillId="11" borderId="1" xfId="0" applyNumberFormat="1" applyFont="1" applyFill="1" applyBorder="1" applyAlignment="1" applyProtection="1">
      <alignment horizontal="center" vertical="center" wrapText="1"/>
    </xf>
    <xf numFmtId="37" fontId="6" fillId="11" borderId="25" xfId="0" applyNumberFormat="1" applyFont="1" applyFill="1" applyBorder="1" applyAlignment="1" applyProtection="1">
      <alignment horizontal="center" vertical="center" wrapText="1"/>
    </xf>
    <xf numFmtId="9" fontId="5" fillId="11" borderId="3" xfId="1" applyFont="1" applyFill="1" applyBorder="1" applyAlignment="1" applyProtection="1">
      <alignment horizontal="center" vertical="center"/>
    </xf>
    <xf numFmtId="37" fontId="14" fillId="11" borderId="3" xfId="0" applyNumberFormat="1" applyFont="1" applyFill="1" applyBorder="1" applyAlignment="1" applyProtection="1">
      <alignment horizontal="center" vertical="center" wrapText="1"/>
    </xf>
    <xf numFmtId="0" fontId="11" fillId="14" borderId="3" xfId="0" applyFont="1" applyFill="1" applyBorder="1" applyAlignment="1" applyProtection="1">
      <alignment horizontal="center" vertical="center"/>
    </xf>
    <xf numFmtId="167" fontId="14" fillId="11" borderId="3" xfId="0" applyNumberFormat="1"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xf>
    <xf numFmtId="37" fontId="14" fillId="11" borderId="8" xfId="0" applyNumberFormat="1" applyFont="1" applyFill="1" applyBorder="1" applyAlignment="1" applyProtection="1">
      <alignment horizontal="left" vertical="center"/>
    </xf>
    <xf numFmtId="37" fontId="14" fillId="11" borderId="8" xfId="0" applyNumberFormat="1" applyFont="1" applyFill="1" applyBorder="1" applyAlignment="1" applyProtection="1">
      <alignment horizontal="center" vertical="center" wrapText="1"/>
    </xf>
    <xf numFmtId="0" fontId="14" fillId="11" borderId="8" xfId="0" applyFont="1" applyFill="1" applyBorder="1" applyAlignment="1" applyProtection="1">
      <alignment horizontal="center" vertical="center"/>
    </xf>
    <xf numFmtId="0" fontId="14" fillId="0" borderId="3" xfId="0" applyFont="1" applyFill="1" applyBorder="1" applyAlignment="1" applyProtection="1">
      <alignment horizontal="center" vertical="center" wrapText="1"/>
    </xf>
    <xf numFmtId="0" fontId="14" fillId="0" borderId="13" xfId="0" applyFont="1" applyFill="1" applyBorder="1" applyAlignment="1" applyProtection="1">
      <alignment horizontal="left" vertical="center" wrapText="1"/>
    </xf>
    <xf numFmtId="37" fontId="14" fillId="11" borderId="1" xfId="0" applyNumberFormat="1" applyFont="1" applyFill="1" applyBorder="1" applyAlignment="1" applyProtection="1">
      <alignment horizontal="center" vertical="center" wrapText="1"/>
    </xf>
    <xf numFmtId="37" fontId="14" fillId="11" borderId="25" xfId="0" applyNumberFormat="1" applyFont="1" applyFill="1" applyBorder="1" applyAlignment="1" applyProtection="1">
      <alignment horizontal="center" vertical="center" wrapText="1"/>
    </xf>
    <xf numFmtId="37" fontId="35" fillId="11" borderId="3" xfId="0" applyNumberFormat="1" applyFont="1" applyFill="1" applyBorder="1" applyAlignment="1" applyProtection="1">
      <alignment horizontal="center" vertical="center"/>
    </xf>
    <xf numFmtId="9" fontId="14" fillId="11" borderId="3" xfId="1" applyFont="1" applyFill="1" applyBorder="1" applyAlignment="1" applyProtection="1">
      <alignment horizontal="center" vertical="center"/>
    </xf>
    <xf numFmtId="0" fontId="14" fillId="11" borderId="3" xfId="0" applyFont="1" applyFill="1" applyBorder="1" applyAlignment="1" applyProtection="1">
      <alignment vertical="center"/>
    </xf>
    <xf numFmtId="0" fontId="14" fillId="0" borderId="0" xfId="0" applyFont="1" applyAlignment="1" applyProtection="1">
      <alignment vertical="center"/>
    </xf>
    <xf numFmtId="0" fontId="14" fillId="0" borderId="0" xfId="0" applyFont="1" applyFill="1" applyAlignment="1" applyProtection="1">
      <alignment vertical="center"/>
    </xf>
    <xf numFmtId="169" fontId="35" fillId="0" borderId="3" xfId="0" applyNumberFormat="1" applyFont="1" applyFill="1" applyBorder="1" applyAlignment="1" applyProtection="1">
      <alignment horizontal="center" vertical="center" wrapText="1"/>
    </xf>
    <xf numFmtId="0" fontId="5" fillId="14" borderId="3" xfId="0" applyFont="1" applyFill="1" applyBorder="1" applyAlignment="1" applyProtection="1">
      <alignment horizontal="center" vertical="center"/>
    </xf>
    <xf numFmtId="169" fontId="6" fillId="9" borderId="3" xfId="0" applyNumberFormat="1" applyFont="1" applyFill="1" applyBorder="1" applyAlignment="1" applyProtection="1">
      <alignment horizontal="center" vertical="center" wrapText="1"/>
    </xf>
    <xf numFmtId="9" fontId="11" fillId="11" borderId="25" xfId="1" applyFont="1" applyFill="1" applyBorder="1" applyAlignment="1" applyProtection="1">
      <alignment horizontal="center" vertical="center"/>
    </xf>
    <xf numFmtId="0" fontId="4" fillId="10" borderId="1" xfId="0" applyFont="1" applyFill="1" applyBorder="1" applyAlignment="1" applyProtection="1">
      <alignment vertical="center"/>
    </xf>
    <xf numFmtId="0" fontId="4" fillId="10" borderId="25" xfId="0" applyFont="1" applyFill="1" applyBorder="1" applyAlignment="1" applyProtection="1">
      <alignment vertical="center"/>
    </xf>
    <xf numFmtId="37" fontId="11" fillId="8" borderId="25" xfId="0" applyNumberFormat="1" applyFont="1" applyFill="1" applyBorder="1" applyAlignment="1" applyProtection="1">
      <alignment horizontal="center" vertical="center"/>
    </xf>
    <xf numFmtId="37" fontId="11" fillId="11" borderId="25" xfId="0" applyNumberFormat="1" applyFont="1" applyFill="1" applyBorder="1" applyAlignment="1" applyProtection="1">
      <alignment horizontal="center" vertical="center"/>
    </xf>
    <xf numFmtId="0" fontId="5" fillId="11" borderId="8" xfId="0" applyFont="1" applyFill="1" applyBorder="1" applyAlignment="1" applyProtection="1">
      <alignment horizontal="left" vertical="center"/>
    </xf>
    <xf numFmtId="168" fontId="5" fillId="11" borderId="3" xfId="3" applyNumberFormat="1" applyFont="1" applyFill="1" applyBorder="1" applyAlignment="1" applyProtection="1">
      <alignment horizontal="center" vertical="center"/>
    </xf>
    <xf numFmtId="0" fontId="14" fillId="0" borderId="0" xfId="0" applyFont="1" applyAlignment="1" applyProtection="1">
      <alignment horizontal="left" vertical="center"/>
    </xf>
    <xf numFmtId="172" fontId="4" fillId="0" borderId="0" xfId="0" applyNumberFormat="1" applyFont="1" applyFill="1" applyAlignment="1" applyProtection="1">
      <alignment horizontal="center" vertical="center"/>
    </xf>
    <xf numFmtId="172" fontId="4" fillId="0" borderId="0" xfId="0" applyNumberFormat="1" applyFont="1" applyFill="1" applyAlignment="1" applyProtection="1">
      <alignment vertical="center"/>
    </xf>
    <xf numFmtId="0" fontId="11" fillId="8" borderId="2" xfId="0" applyFont="1" applyFill="1" applyBorder="1" applyAlignment="1" applyProtection="1">
      <alignment vertical="center"/>
    </xf>
    <xf numFmtId="169" fontId="11" fillId="0" borderId="3" xfId="0" applyNumberFormat="1" applyFont="1" applyFill="1" applyBorder="1" applyAlignment="1" applyProtection="1">
      <alignment horizontal="center" vertical="center"/>
    </xf>
    <xf numFmtId="0" fontId="11" fillId="0" borderId="0" xfId="0" applyFont="1" applyFill="1" applyAlignment="1" applyProtection="1">
      <alignment horizontal="center" vertical="center"/>
    </xf>
    <xf numFmtId="0" fontId="14" fillId="0" borderId="0" xfId="0" applyFont="1" applyAlignment="1" applyProtection="1">
      <alignment horizontal="center" vertical="center"/>
    </xf>
    <xf numFmtId="165" fontId="4" fillId="0" borderId="0" xfId="0" applyNumberFormat="1" applyFont="1" applyAlignment="1" applyProtection="1">
      <alignment vertical="center"/>
    </xf>
    <xf numFmtId="165" fontId="11" fillId="0" borderId="25" xfId="0" applyNumberFormat="1" applyFont="1" applyFill="1" applyBorder="1" applyAlignment="1" applyProtection="1">
      <alignment horizontal="center" vertical="center"/>
    </xf>
    <xf numFmtId="165" fontId="11" fillId="0" borderId="3" xfId="0" applyNumberFormat="1" applyFont="1" applyFill="1" applyBorder="1" applyAlignment="1" applyProtection="1">
      <alignment horizontal="center" vertical="center"/>
    </xf>
    <xf numFmtId="165" fontId="11" fillId="0" borderId="0" xfId="0" applyNumberFormat="1" applyFont="1" applyAlignment="1" applyProtection="1">
      <alignment vertical="center"/>
    </xf>
    <xf numFmtId="168" fontId="14" fillId="0" borderId="31" xfId="3" applyNumberFormat="1" applyFont="1" applyBorder="1" applyAlignment="1" applyProtection="1">
      <alignment horizontal="center" vertical="center"/>
    </xf>
    <xf numFmtId="0" fontId="14" fillId="0" borderId="0" xfId="0" applyFont="1" applyBorder="1" applyAlignment="1" applyProtection="1">
      <alignment vertical="center"/>
    </xf>
    <xf numFmtId="37" fontId="4" fillId="14" borderId="0" xfId="0" applyNumberFormat="1" applyFont="1" applyFill="1" applyAlignment="1" applyProtection="1">
      <alignment vertical="center"/>
    </xf>
    <xf numFmtId="37" fontId="4" fillId="14" borderId="3" xfId="0" applyNumberFormat="1" applyFont="1" applyFill="1" applyBorder="1" applyAlignment="1" applyProtection="1">
      <alignment horizontal="center" vertical="center"/>
      <protection locked="0"/>
    </xf>
    <xf numFmtId="0" fontId="36" fillId="0" borderId="0" xfId="0" applyFont="1" applyAlignment="1" applyProtection="1">
      <alignment vertical="center"/>
    </xf>
    <xf numFmtId="171" fontId="4" fillId="0" borderId="1" xfId="1" applyNumberFormat="1" applyFont="1" applyFill="1" applyBorder="1" applyAlignment="1" applyProtection="1">
      <alignment horizontal="center" vertical="center"/>
    </xf>
    <xf numFmtId="171" fontId="4" fillId="12" borderId="3" xfId="1" applyNumberFormat="1" applyFont="1" applyFill="1" applyBorder="1" applyAlignment="1" applyProtection="1">
      <alignment horizontal="center" vertical="center"/>
    </xf>
    <xf numFmtId="171" fontId="4" fillId="12" borderId="1" xfId="1" applyNumberFormat="1" applyFont="1" applyFill="1" applyBorder="1" applyAlignment="1" applyProtection="1">
      <alignment horizontal="center" vertical="center"/>
    </xf>
    <xf numFmtId="171" fontId="4" fillId="12" borderId="25" xfId="1" applyNumberFormat="1" applyFont="1" applyFill="1" applyBorder="1" applyAlignment="1" applyProtection="1">
      <alignment horizontal="center" vertical="center"/>
    </xf>
    <xf numFmtId="167" fontId="5" fillId="0" borderId="3" xfId="0" applyNumberFormat="1" applyFont="1" applyFill="1" applyBorder="1" applyAlignment="1" applyProtection="1">
      <alignment horizontal="center" vertical="center"/>
    </xf>
    <xf numFmtId="0" fontId="5" fillId="8" borderId="11" xfId="0" applyFont="1" applyFill="1" applyBorder="1" applyAlignment="1" applyProtection="1">
      <alignment horizontal="left" vertical="center"/>
    </xf>
    <xf numFmtId="0" fontId="5" fillId="12" borderId="11" xfId="0" applyFont="1" applyFill="1" applyBorder="1" applyAlignment="1" applyProtection="1">
      <alignment horizontal="left" vertical="center"/>
    </xf>
    <xf numFmtId="165" fontId="4" fillId="0" borderId="0" xfId="0" applyNumberFormat="1" applyFont="1" applyAlignment="1" applyProtection="1">
      <alignment horizontal="center" vertical="center"/>
    </xf>
    <xf numFmtId="167" fontId="4" fillId="0" borderId="3" xfId="0" applyNumberFormat="1" applyFont="1" applyFill="1" applyBorder="1" applyAlignment="1" applyProtection="1">
      <alignment horizontal="center" vertical="center"/>
    </xf>
    <xf numFmtId="0" fontId="4" fillId="0" borderId="3" xfId="0" applyFont="1" applyFill="1" applyBorder="1" applyAlignment="1">
      <alignment horizontal="center" vertical="center" wrapText="1"/>
    </xf>
    <xf numFmtId="0" fontId="37" fillId="23" borderId="3" xfId="0" applyFont="1" applyFill="1" applyBorder="1" applyAlignment="1">
      <alignment horizontal="center" vertical="center" wrapText="1"/>
    </xf>
    <xf numFmtId="0" fontId="5" fillId="10" borderId="3" xfId="0" applyFont="1" applyFill="1" applyBorder="1" applyAlignment="1">
      <alignment horizontal="center" vertical="center" wrapText="1"/>
    </xf>
    <xf numFmtId="0" fontId="4" fillId="0" borderId="3" xfId="0" applyFont="1" applyFill="1" applyBorder="1" applyAlignment="1">
      <alignment horizontal="center" vertical="center"/>
    </xf>
    <xf numFmtId="0" fontId="5" fillId="10" borderId="3" xfId="0" applyFont="1" applyFill="1" applyBorder="1" applyAlignment="1">
      <alignment horizontal="center" vertical="center"/>
    </xf>
    <xf numFmtId="0" fontId="5" fillId="0" borderId="3" xfId="0" applyFont="1" applyFill="1" applyBorder="1" applyAlignment="1">
      <alignment horizontal="center" vertical="center"/>
    </xf>
    <xf numFmtId="0" fontId="5" fillId="2" borderId="3" xfId="0" applyFont="1" applyFill="1" applyBorder="1" applyAlignment="1">
      <alignment horizontal="center" vertical="center"/>
    </xf>
    <xf numFmtId="9" fontId="4" fillId="24" borderId="3" xfId="1" applyFont="1" applyFill="1" applyBorder="1" applyAlignment="1">
      <alignment horizontal="center" vertical="center"/>
    </xf>
    <xf numFmtId="0" fontId="4" fillId="24" borderId="3" xfId="0" applyFont="1" applyFill="1" applyBorder="1" applyAlignment="1">
      <alignment horizontal="center" vertical="center"/>
    </xf>
    <xf numFmtId="168" fontId="4" fillId="24" borderId="3" xfId="0" applyNumberFormat="1" applyFont="1" applyFill="1" applyBorder="1" applyAlignment="1">
      <alignment horizontal="center" vertical="center"/>
    </xf>
    <xf numFmtId="168" fontId="5" fillId="0" borderId="3" xfId="0" applyNumberFormat="1" applyFont="1" applyBorder="1" applyAlignment="1">
      <alignment horizontal="center" vertical="center"/>
    </xf>
    <xf numFmtId="168" fontId="4" fillId="0" borderId="3" xfId="0" applyNumberFormat="1" applyFont="1" applyBorder="1" applyAlignment="1">
      <alignment horizontal="center" vertical="center"/>
    </xf>
    <xf numFmtId="1" fontId="4" fillId="0" borderId="0" xfId="0" applyNumberFormat="1" applyFont="1" applyAlignment="1">
      <alignment vertical="center"/>
    </xf>
    <xf numFmtId="9" fontId="4" fillId="0" borderId="3" xfId="1" applyFont="1" applyFill="1" applyBorder="1" applyAlignment="1">
      <alignment horizontal="center" vertical="center"/>
    </xf>
    <xf numFmtId="168" fontId="4" fillId="0" borderId="3" xfId="0" applyNumberFormat="1" applyFont="1" applyFill="1" applyBorder="1" applyAlignment="1">
      <alignment horizontal="center" vertical="center"/>
    </xf>
    <xf numFmtId="168" fontId="5" fillId="9" borderId="3" xfId="0" applyNumberFormat="1" applyFont="1" applyFill="1" applyBorder="1" applyAlignment="1">
      <alignment vertical="center"/>
    </xf>
    <xf numFmtId="168" fontId="5" fillId="9" borderId="3" xfId="3" applyNumberFormat="1" applyFont="1" applyFill="1" applyBorder="1" applyAlignment="1">
      <alignment horizontal="center" vertical="center"/>
    </xf>
    <xf numFmtId="168" fontId="4" fillId="0" borderId="3" xfId="0" applyNumberFormat="1" applyFont="1" applyBorder="1" applyAlignment="1">
      <alignment vertical="center"/>
    </xf>
    <xf numFmtId="9" fontId="5" fillId="9" borderId="3" xfId="1" applyFont="1" applyFill="1" applyBorder="1" applyAlignment="1">
      <alignment horizontal="center" vertical="center"/>
    </xf>
    <xf numFmtId="9" fontId="4" fillId="0" borderId="0" xfId="0" applyNumberFormat="1" applyFont="1" applyAlignment="1">
      <alignment horizontal="center" vertical="center"/>
    </xf>
    <xf numFmtId="0" fontId="5" fillId="9" borderId="3" xfId="0" applyFont="1" applyFill="1" applyBorder="1" applyAlignment="1">
      <alignment vertical="center"/>
    </xf>
    <xf numFmtId="0" fontId="5" fillId="0" borderId="28" xfId="0" applyFont="1" applyFill="1" applyBorder="1" applyAlignment="1">
      <alignment vertical="center"/>
    </xf>
    <xf numFmtId="9" fontId="5" fillId="9" borderId="3" xfId="0" applyNumberFormat="1" applyFont="1" applyFill="1" applyBorder="1" applyAlignment="1">
      <alignment horizontal="center" vertical="center"/>
    </xf>
    <xf numFmtId="171" fontId="5" fillId="9" borderId="3" xfId="1" applyNumberFormat="1" applyFont="1" applyFill="1" applyBorder="1" applyAlignment="1">
      <alignment horizontal="center" vertical="center"/>
    </xf>
    <xf numFmtId="0" fontId="12" fillId="0" borderId="0" xfId="0" applyFont="1" applyAlignment="1">
      <alignment horizontal="left" vertical="center"/>
    </xf>
    <xf numFmtId="0" fontId="4" fillId="24" borderId="32" xfId="0" applyFont="1" applyFill="1" applyBorder="1" applyAlignment="1">
      <alignment horizontal="center" vertical="center"/>
    </xf>
    <xf numFmtId="0" fontId="33" fillId="24" borderId="33" xfId="0" applyFont="1" applyFill="1" applyBorder="1" applyAlignment="1">
      <alignment horizontal="left" vertical="center" wrapText="1"/>
    </xf>
    <xf numFmtId="0" fontId="4" fillId="24" borderId="29" xfId="0" applyFont="1" applyFill="1" applyBorder="1" applyAlignment="1">
      <alignment horizontal="center" vertical="center"/>
    </xf>
    <xf numFmtId="9" fontId="33" fillId="25" borderId="34" xfId="1" applyFont="1" applyFill="1" applyBorder="1" applyAlignment="1">
      <alignment horizontal="center" vertical="center" wrapText="1"/>
    </xf>
    <xf numFmtId="9" fontId="4" fillId="24" borderId="10" xfId="1" applyFont="1" applyFill="1" applyBorder="1" applyAlignment="1">
      <alignment horizontal="center" vertical="center"/>
    </xf>
    <xf numFmtId="0" fontId="4" fillId="24" borderId="33" xfId="0" applyFont="1" applyFill="1" applyBorder="1" applyAlignment="1">
      <alignment vertical="center"/>
    </xf>
    <xf numFmtId="0" fontId="4" fillId="24" borderId="32" xfId="0" applyFont="1" applyFill="1" applyBorder="1" applyAlignment="1">
      <alignment vertical="center" wrapText="1"/>
    </xf>
    <xf numFmtId="0" fontId="4" fillId="24" borderId="34" xfId="0" applyFont="1" applyFill="1" applyBorder="1" applyAlignment="1">
      <alignment horizontal="center" vertical="center"/>
    </xf>
    <xf numFmtId="3" fontId="33" fillId="24" borderId="32" xfId="0" applyNumberFormat="1" applyFont="1" applyFill="1" applyBorder="1" applyAlignment="1">
      <alignment horizontal="center" vertical="center" wrapText="1"/>
    </xf>
    <xf numFmtId="0" fontId="4" fillId="24" borderId="10" xfId="0" applyFont="1" applyFill="1" applyBorder="1" applyAlignment="1">
      <alignment horizontal="center" vertical="center"/>
    </xf>
    <xf numFmtId="0" fontId="4" fillId="24" borderId="35" xfId="0" applyFont="1" applyFill="1" applyBorder="1" applyAlignment="1">
      <alignment horizontal="center" vertical="center"/>
    </xf>
    <xf numFmtId="0" fontId="33" fillId="24" borderId="36" xfId="0" applyFont="1" applyFill="1" applyBorder="1" applyAlignment="1">
      <alignment horizontal="left" vertical="center" wrapText="1"/>
    </xf>
    <xf numFmtId="0" fontId="4" fillId="24" borderId="1" xfId="0" applyFont="1" applyFill="1" applyBorder="1" applyAlignment="1">
      <alignment horizontal="center" vertical="center"/>
    </xf>
    <xf numFmtId="9" fontId="33" fillId="25" borderId="37" xfId="1" applyFont="1" applyFill="1" applyBorder="1" applyAlignment="1">
      <alignment horizontal="center" vertical="center" wrapText="1"/>
    </xf>
    <xf numFmtId="0" fontId="4" fillId="24" borderId="36" xfId="0" applyFont="1" applyFill="1" applyBorder="1" applyAlignment="1">
      <alignment vertical="center"/>
    </xf>
    <xf numFmtId="0" fontId="4" fillId="24" borderId="35" xfId="0" applyFont="1" applyFill="1" applyBorder="1" applyAlignment="1">
      <alignment vertical="center" wrapText="1"/>
    </xf>
    <xf numFmtId="0" fontId="4" fillId="24" borderId="37" xfId="0" applyFont="1" applyFill="1" applyBorder="1" applyAlignment="1">
      <alignment horizontal="center" vertical="center"/>
    </xf>
    <xf numFmtId="3" fontId="33" fillId="24" borderId="35" xfId="0" applyNumberFormat="1" applyFont="1" applyFill="1" applyBorder="1" applyAlignment="1">
      <alignment horizontal="center" vertical="center" wrapText="1"/>
    </xf>
    <xf numFmtId="0" fontId="4" fillId="24" borderId="35" xfId="0" applyFont="1" applyFill="1" applyBorder="1" applyAlignment="1">
      <alignment vertical="center"/>
    </xf>
    <xf numFmtId="0" fontId="4" fillId="24" borderId="37" xfId="0" applyFont="1" applyFill="1" applyBorder="1" applyAlignment="1">
      <alignment horizontal="center" vertical="center" wrapText="1"/>
    </xf>
    <xf numFmtId="0" fontId="33" fillId="24" borderId="35" xfId="0" applyFont="1" applyFill="1" applyBorder="1" applyAlignment="1">
      <alignment horizontal="center" vertical="center" wrapText="1"/>
    </xf>
    <xf numFmtId="0" fontId="4" fillId="0" borderId="32" xfId="0" applyFont="1" applyBorder="1" applyAlignment="1">
      <alignment horizontal="center" vertical="center"/>
    </xf>
    <xf numFmtId="0" fontId="33" fillId="0" borderId="36" xfId="0" applyFont="1" applyFill="1" applyBorder="1" applyAlignment="1">
      <alignment horizontal="left" vertical="center" wrapText="1"/>
    </xf>
    <xf numFmtId="0" fontId="4" fillId="0" borderId="1" xfId="0" applyFont="1" applyBorder="1" applyAlignment="1">
      <alignment horizontal="center" vertical="center"/>
    </xf>
    <xf numFmtId="9" fontId="33" fillId="26" borderId="37" xfId="1" applyFont="1" applyFill="1" applyBorder="1" applyAlignment="1">
      <alignment horizontal="center" vertical="center" wrapText="1"/>
    </xf>
    <xf numFmtId="0" fontId="4" fillId="0" borderId="36" xfId="0" applyFont="1" applyFill="1" applyBorder="1" applyAlignment="1">
      <alignment vertical="center"/>
    </xf>
    <xf numFmtId="0" fontId="4" fillId="0" borderId="35" xfId="0" applyFont="1" applyFill="1" applyBorder="1" applyAlignment="1">
      <alignment vertical="center"/>
    </xf>
    <xf numFmtId="0" fontId="4" fillId="0" borderId="37" xfId="0" applyFont="1" applyFill="1" applyBorder="1" applyAlignment="1">
      <alignment horizontal="center" vertical="center"/>
    </xf>
    <xf numFmtId="3" fontId="33" fillId="0" borderId="35" xfId="0" applyNumberFormat="1" applyFont="1" applyBorder="1" applyAlignment="1">
      <alignment horizontal="center" vertical="center" wrapText="1"/>
    </xf>
    <xf numFmtId="0" fontId="4" fillId="0" borderId="37" xfId="0" applyFont="1" applyBorder="1" applyAlignment="1">
      <alignment horizontal="center" vertical="center"/>
    </xf>
    <xf numFmtId="0" fontId="4" fillId="0" borderId="3" xfId="0" applyFont="1" applyBorder="1" applyAlignment="1">
      <alignment horizontal="center" vertical="center"/>
    </xf>
    <xf numFmtId="0" fontId="4" fillId="0" borderId="35" xfId="0" applyFont="1" applyBorder="1" applyAlignment="1">
      <alignment horizontal="center" vertical="center"/>
    </xf>
    <xf numFmtId="9" fontId="11" fillId="0" borderId="3" xfId="1" applyFont="1" applyFill="1" applyBorder="1" applyAlignment="1">
      <alignment horizontal="center" vertical="center"/>
    </xf>
    <xf numFmtId="0" fontId="33" fillId="0" borderId="36" xfId="0" applyFont="1" applyBorder="1" applyAlignment="1">
      <alignment horizontal="left" vertical="center" wrapText="1"/>
    </xf>
    <xf numFmtId="0" fontId="4" fillId="0" borderId="37" xfId="0" applyFont="1" applyFill="1" applyBorder="1" applyAlignment="1">
      <alignment horizontal="center" vertical="center" wrapText="1"/>
    </xf>
    <xf numFmtId="0" fontId="33" fillId="0" borderId="35" xfId="0" applyFont="1" applyBorder="1" applyAlignment="1">
      <alignment horizontal="center" vertical="center" wrapText="1"/>
    </xf>
    <xf numFmtId="0" fontId="33" fillId="0" borderId="38" xfId="0" applyFont="1" applyBorder="1" applyAlignment="1">
      <alignment horizontal="left" vertical="center" wrapText="1"/>
    </xf>
    <xf numFmtId="0" fontId="4" fillId="0" borderId="15" xfId="0" applyFont="1" applyBorder="1" applyAlignment="1">
      <alignment horizontal="center" vertical="center"/>
    </xf>
    <xf numFmtId="9" fontId="33" fillId="26" borderId="39" xfId="1" applyFont="1" applyFill="1" applyBorder="1" applyAlignment="1">
      <alignment horizontal="center" vertical="center" wrapText="1"/>
    </xf>
    <xf numFmtId="9" fontId="4" fillId="0" borderId="16" xfId="1" applyFont="1" applyFill="1" applyBorder="1" applyAlignment="1">
      <alignment horizontal="center" vertical="center"/>
    </xf>
    <xf numFmtId="0" fontId="4" fillId="0" borderId="38" xfId="0" applyFont="1" applyFill="1" applyBorder="1" applyAlignment="1">
      <alignment vertical="center"/>
    </xf>
    <xf numFmtId="0" fontId="4" fillId="0" borderId="40" xfId="0" applyFont="1" applyFill="1" applyBorder="1" applyAlignment="1">
      <alignment vertical="center"/>
    </xf>
    <xf numFmtId="0" fontId="4" fillId="0" borderId="39" xfId="0" applyFont="1" applyFill="1" applyBorder="1" applyAlignment="1">
      <alignment horizontal="center" vertical="center"/>
    </xf>
    <xf numFmtId="0" fontId="33" fillId="0" borderId="40" xfId="0" applyFont="1" applyBorder="1" applyAlignment="1">
      <alignment horizontal="center" vertical="center" wrapText="1"/>
    </xf>
    <xf numFmtId="0" fontId="4" fillId="0" borderId="39" xfId="0" applyFont="1" applyBorder="1" applyAlignment="1">
      <alignment horizontal="center" vertical="center"/>
    </xf>
    <xf numFmtId="0" fontId="4" fillId="0" borderId="16" xfId="0" applyFont="1" applyBorder="1" applyAlignment="1">
      <alignment horizontal="center" vertical="center"/>
    </xf>
    <xf numFmtId="0" fontId="37" fillId="23" borderId="40" xfId="0" applyFont="1" applyFill="1" applyBorder="1" applyAlignment="1">
      <alignment horizontal="center" vertical="center" wrapText="1"/>
    </xf>
    <xf numFmtId="0" fontId="37" fillId="23" borderId="39" xfId="0" applyFont="1" applyFill="1" applyBorder="1" applyAlignment="1">
      <alignment horizontal="center" vertical="center" wrapText="1"/>
    </xf>
    <xf numFmtId="0" fontId="37" fillId="23" borderId="16" xfId="0" applyFont="1" applyFill="1" applyBorder="1" applyAlignment="1">
      <alignment horizontal="center" vertical="center" wrapText="1"/>
    </xf>
    <xf numFmtId="0" fontId="4" fillId="0" borderId="0" xfId="0" applyFont="1" applyAlignment="1">
      <alignment vertical="center"/>
    </xf>
    <xf numFmtId="0" fontId="4" fillId="0" borderId="0" xfId="0" applyFont="1" applyAlignment="1">
      <alignment horizontal="center" vertical="center" wrapText="1"/>
    </xf>
    <xf numFmtId="0" fontId="4" fillId="0" borderId="3" xfId="0" applyFont="1" applyBorder="1" applyAlignment="1">
      <alignment vertical="center"/>
    </xf>
    <xf numFmtId="37" fontId="5" fillId="0" borderId="3" xfId="0" applyNumberFormat="1"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5" fillId="8" borderId="8" xfId="0" applyFont="1" applyFill="1" applyBorder="1" applyAlignment="1" applyProtection="1">
      <alignment horizontal="left" vertical="center"/>
    </xf>
    <xf numFmtId="9" fontId="6" fillId="0" borderId="3" xfId="0" applyNumberFormat="1" applyFont="1" applyBorder="1" applyAlignment="1" applyProtection="1">
      <alignment horizontal="center" vertical="center"/>
    </xf>
    <xf numFmtId="37" fontId="11" fillId="0" borderId="17" xfId="0" applyNumberFormat="1" applyFont="1" applyFill="1" applyBorder="1" applyAlignment="1" applyProtection="1">
      <alignment horizontal="center" vertical="center"/>
    </xf>
    <xf numFmtId="37" fontId="6" fillId="0" borderId="17" xfId="0" applyNumberFormat="1" applyFont="1" applyFill="1" applyBorder="1" applyAlignment="1" applyProtection="1">
      <alignment horizontal="center" vertical="center"/>
    </xf>
    <xf numFmtId="9" fontId="11" fillId="0" borderId="17" xfId="1" applyFont="1" applyFill="1" applyBorder="1" applyAlignment="1" applyProtection="1">
      <alignment horizontal="center" vertical="center"/>
    </xf>
    <xf numFmtId="0" fontId="11" fillId="0" borderId="17" xfId="0" applyFont="1" applyFill="1" applyBorder="1" applyAlignment="1" applyProtection="1">
      <alignment vertical="center"/>
    </xf>
    <xf numFmtId="0" fontId="6" fillId="11" borderId="1" xfId="0" applyFont="1" applyFill="1" applyBorder="1" applyAlignment="1" applyProtection="1">
      <alignment horizontal="left" vertical="center"/>
    </xf>
    <xf numFmtId="37" fontId="11" fillId="12" borderId="25" xfId="0" applyNumberFormat="1" applyFont="1" applyFill="1" applyBorder="1" applyAlignment="1" applyProtection="1">
      <alignment horizontal="center" vertical="center"/>
    </xf>
    <xf numFmtId="9" fontId="11" fillId="11" borderId="8" xfId="0" applyNumberFormat="1" applyFont="1" applyFill="1" applyBorder="1" applyAlignment="1" applyProtection="1">
      <alignment horizontal="left" vertical="center"/>
    </xf>
    <xf numFmtId="0" fontId="11" fillId="11" borderId="8" xfId="0" quotePrefix="1" applyFont="1" applyFill="1" applyBorder="1" applyAlignment="1" applyProtection="1">
      <alignment vertical="center"/>
    </xf>
    <xf numFmtId="10" fontId="11" fillId="11" borderId="8" xfId="0" applyNumberFormat="1" applyFont="1" applyFill="1" applyBorder="1" applyAlignment="1" applyProtection="1">
      <alignment vertical="center"/>
    </xf>
    <xf numFmtId="9" fontId="6" fillId="9" borderId="25" xfId="0" applyNumberFormat="1" applyFont="1" applyFill="1" applyBorder="1" applyAlignment="1" applyProtection="1">
      <alignment horizontal="center" vertical="center"/>
    </xf>
    <xf numFmtId="9" fontId="6" fillId="0" borderId="25" xfId="0" applyNumberFormat="1" applyFont="1" applyFill="1" applyBorder="1" applyAlignment="1" applyProtection="1">
      <alignment horizontal="center" vertical="center"/>
    </xf>
    <xf numFmtId="9" fontId="6" fillId="9" borderId="3" xfId="0" applyNumberFormat="1" applyFont="1" applyFill="1" applyBorder="1" applyAlignment="1" applyProtection="1">
      <alignment horizontal="center" vertical="center"/>
    </xf>
    <xf numFmtId="0" fontId="6" fillId="11" borderId="8" xfId="0" quotePrefix="1" applyFont="1" applyFill="1" applyBorder="1" applyAlignment="1" applyProtection="1">
      <alignment vertical="center"/>
    </xf>
    <xf numFmtId="9" fontId="11" fillId="0" borderId="0" xfId="0" applyNumberFormat="1" applyFont="1" applyFill="1" applyBorder="1" applyAlignment="1" applyProtection="1">
      <alignment vertical="center"/>
    </xf>
    <xf numFmtId="0" fontId="11" fillId="0" borderId="1" xfId="0" applyFont="1" applyFill="1" applyBorder="1" applyAlignment="1" applyProtection="1">
      <alignment horizontal="center" vertical="center"/>
    </xf>
    <xf numFmtId="0" fontId="6" fillId="27" borderId="3" xfId="0" applyFont="1" applyFill="1" applyBorder="1" applyAlignment="1" applyProtection="1">
      <alignment vertical="center"/>
    </xf>
    <xf numFmtId="0" fontId="6" fillId="11" borderId="8" xfId="0" applyFont="1" applyFill="1" applyBorder="1" applyAlignment="1" applyProtection="1">
      <alignment horizontal="left" vertical="center" wrapText="1"/>
    </xf>
    <xf numFmtId="165" fontId="6" fillId="21" borderId="3" xfId="0" applyNumberFormat="1" applyFont="1" applyFill="1" applyBorder="1" applyAlignment="1" applyProtection="1">
      <alignment horizontal="center" vertical="center"/>
    </xf>
    <xf numFmtId="0" fontId="38" fillId="0" borderId="0" xfId="0" applyFont="1" applyAlignment="1" applyProtection="1">
      <alignment vertical="center"/>
    </xf>
    <xf numFmtId="0" fontId="38" fillId="0" borderId="0" xfId="0" applyFont="1" applyFill="1" applyAlignment="1" applyProtection="1">
      <alignment vertical="center"/>
    </xf>
    <xf numFmtId="0" fontId="22" fillId="0" borderId="0" xfId="0" applyFont="1" applyAlignment="1" applyProtection="1">
      <alignment horizontal="right" vertical="center"/>
    </xf>
    <xf numFmtId="39" fontId="38" fillId="0" borderId="0" xfId="0" applyNumberFormat="1" applyFont="1" applyAlignment="1" applyProtection="1">
      <alignment vertical="center"/>
    </xf>
    <xf numFmtId="39" fontId="4" fillId="0" borderId="0" xfId="0" applyNumberFormat="1" applyFont="1" applyAlignment="1" applyProtection="1">
      <alignment vertical="center"/>
    </xf>
    <xf numFmtId="37" fontId="4" fillId="0" borderId="0" xfId="0" applyNumberFormat="1" applyFont="1" applyAlignment="1" applyProtection="1">
      <alignment horizontal="left" vertical="center"/>
    </xf>
    <xf numFmtId="0" fontId="41" fillId="0" borderId="0" xfId="0" applyFont="1" applyAlignment="1" applyProtection="1">
      <alignment vertical="center"/>
    </xf>
    <xf numFmtId="0" fontId="41" fillId="0" borderId="0" xfId="0" applyFont="1" applyFill="1" applyAlignment="1" applyProtection="1">
      <alignment vertical="center"/>
    </xf>
    <xf numFmtId="37" fontId="5" fillId="0" borderId="0" xfId="0" applyNumberFormat="1" applyFont="1" applyAlignment="1" applyProtection="1">
      <alignment horizontal="left" vertical="center"/>
    </xf>
    <xf numFmtId="0" fontId="8" fillId="0" borderId="0" xfId="0" applyFont="1" applyAlignment="1" applyProtection="1">
      <alignment vertical="center"/>
    </xf>
    <xf numFmtId="0" fontId="42" fillId="0" borderId="0" xfId="0" applyFont="1" applyBorder="1" applyAlignment="1" applyProtection="1">
      <alignment vertical="center"/>
    </xf>
    <xf numFmtId="0" fontId="43" fillId="29" borderId="16" xfId="0" applyFont="1" applyFill="1" applyBorder="1" applyAlignment="1" applyProtection="1">
      <alignment horizontal="center" vertical="center"/>
    </xf>
    <xf numFmtId="0" fontId="43" fillId="29" borderId="16" xfId="0" applyFont="1" applyFill="1" applyBorder="1" applyAlignment="1" applyProtection="1">
      <alignment horizontal="center" vertical="center" wrapText="1"/>
    </xf>
    <xf numFmtId="0" fontId="42" fillId="0" borderId="0" xfId="0" applyFont="1" applyAlignment="1" applyProtection="1">
      <alignment vertical="center"/>
    </xf>
    <xf numFmtId="0" fontId="42" fillId="0" borderId="0" xfId="0" applyFont="1" applyFill="1" applyAlignment="1" applyProtection="1">
      <alignment vertical="center"/>
    </xf>
    <xf numFmtId="37" fontId="43" fillId="29" borderId="16"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39" fontId="42" fillId="0" borderId="0" xfId="0" applyNumberFormat="1" applyFont="1" applyAlignment="1" applyProtection="1">
      <alignment vertical="center"/>
    </xf>
    <xf numFmtId="0" fontId="3" fillId="9" borderId="4" xfId="0" applyFont="1" applyFill="1" applyBorder="1" applyAlignment="1" applyProtection="1">
      <alignment horizontal="center" vertical="center"/>
    </xf>
    <xf numFmtId="0" fontId="3" fillId="9" borderId="4" xfId="0" applyFont="1" applyFill="1" applyBorder="1" applyAlignment="1" applyProtection="1">
      <alignment vertical="center"/>
    </xf>
    <xf numFmtId="0" fontId="44" fillId="0" borderId="0" xfId="0" applyFont="1" applyAlignment="1" applyProtection="1">
      <alignment vertical="center"/>
    </xf>
    <xf numFmtId="0" fontId="44" fillId="0" borderId="0" xfId="0" applyFont="1" applyFill="1" applyAlignment="1" applyProtection="1">
      <alignment vertical="center"/>
    </xf>
    <xf numFmtId="37" fontId="3" fillId="9" borderId="4" xfId="0" applyNumberFormat="1" applyFont="1" applyFill="1" applyBorder="1" applyAlignment="1" applyProtection="1">
      <alignment horizontal="center" vertical="center"/>
    </xf>
    <xf numFmtId="0" fontId="3" fillId="9" borderId="4" xfId="0" applyFont="1" applyFill="1" applyBorder="1" applyAlignment="1" applyProtection="1">
      <alignment horizontal="center" vertical="center" wrapText="1"/>
    </xf>
    <xf numFmtId="0" fontId="44" fillId="9" borderId="4" xfId="0" applyFont="1" applyFill="1" applyBorder="1" applyAlignment="1" applyProtection="1">
      <alignment vertical="center"/>
    </xf>
    <xf numFmtId="0" fontId="3" fillId="9" borderId="4" xfId="0" applyFont="1" applyFill="1" applyBorder="1" applyAlignment="1" applyProtection="1">
      <alignment horizontal="right" vertical="center"/>
    </xf>
    <xf numFmtId="39" fontId="44" fillId="0" borderId="0" xfId="0" applyNumberFormat="1" applyFont="1" applyAlignment="1" applyProtection="1">
      <alignment vertical="center"/>
    </xf>
    <xf numFmtId="0" fontId="7" fillId="0" borderId="10" xfId="0" applyFont="1" applyBorder="1" applyAlignment="1" applyProtection="1">
      <alignment vertical="center"/>
    </xf>
    <xf numFmtId="0" fontId="8" fillId="10" borderId="10" xfId="0" applyFont="1" applyFill="1" applyBorder="1" applyAlignment="1" applyProtection="1">
      <alignment horizontal="center" vertical="center"/>
    </xf>
    <xf numFmtId="0" fontId="8" fillId="10" borderId="10" xfId="0" applyFont="1" applyFill="1" applyBorder="1" applyAlignment="1" applyProtection="1">
      <alignment vertical="center"/>
    </xf>
    <xf numFmtId="0" fontId="7" fillId="10" borderId="10" xfId="0" applyFont="1" applyFill="1" applyBorder="1" applyAlignment="1" applyProtection="1">
      <alignment vertical="center"/>
    </xf>
    <xf numFmtId="37" fontId="8" fillId="10" borderId="10" xfId="0" applyNumberFormat="1" applyFont="1" applyFill="1" applyBorder="1" applyAlignment="1" applyProtection="1">
      <alignment horizontal="center" vertical="center"/>
    </xf>
    <xf numFmtId="0" fontId="7" fillId="30" borderId="10" xfId="0" applyFont="1" applyFill="1" applyBorder="1" applyAlignment="1" applyProtection="1">
      <alignment vertical="center"/>
    </xf>
    <xf numFmtId="0" fontId="8" fillId="10" borderId="10" xfId="0" applyFont="1" applyFill="1" applyBorder="1" applyAlignment="1" applyProtection="1">
      <alignment horizontal="right" vertical="center"/>
    </xf>
    <xf numFmtId="39" fontId="7" fillId="0" borderId="0" xfId="0" applyNumberFormat="1" applyFont="1" applyAlignment="1" applyProtection="1">
      <alignment vertical="center"/>
    </xf>
    <xf numFmtId="0" fontId="5" fillId="8" borderId="3" xfId="0" applyFont="1" applyFill="1" applyBorder="1" applyAlignment="1" applyProtection="1">
      <alignment horizontal="right" vertical="center"/>
    </xf>
    <xf numFmtId="0" fontId="4" fillId="0" borderId="3" xfId="0" applyFont="1" applyBorder="1" applyAlignment="1" applyProtection="1">
      <alignment horizontal="right" vertical="center"/>
    </xf>
    <xf numFmtId="0" fontId="4" fillId="31" borderId="44" xfId="0" applyFont="1" applyFill="1" applyBorder="1" applyAlignment="1" applyProtection="1">
      <alignment vertical="center"/>
    </xf>
    <xf numFmtId="37" fontId="11" fillId="0" borderId="3" xfId="0" applyNumberFormat="1" applyFont="1" applyBorder="1" applyAlignment="1" applyProtection="1">
      <alignment horizontal="center" vertical="center"/>
    </xf>
    <xf numFmtId="37" fontId="6" fillId="4" borderId="3" xfId="0" applyNumberFormat="1" applyFont="1" applyFill="1" applyBorder="1" applyAlignment="1" applyProtection="1">
      <alignment horizontal="center" vertical="center"/>
      <protection locked="0"/>
    </xf>
    <xf numFmtId="37" fontId="4" fillId="0" borderId="3" xfId="0" applyNumberFormat="1" applyFont="1" applyFill="1" applyBorder="1" applyAlignment="1" applyProtection="1">
      <alignment vertical="center"/>
    </xf>
    <xf numFmtId="39" fontId="4" fillId="0" borderId="0" xfId="0" applyNumberFormat="1" applyFont="1" applyFill="1" applyAlignment="1" applyProtection="1">
      <alignment vertical="center"/>
    </xf>
    <xf numFmtId="0" fontId="7" fillId="0" borderId="3" xfId="0" applyFont="1" applyBorder="1" applyAlignment="1" applyProtection="1">
      <alignment vertical="center"/>
    </xf>
    <xf numFmtId="0" fontId="8" fillId="10" borderId="3" xfId="0" applyFont="1" applyFill="1" applyBorder="1" applyAlignment="1" applyProtection="1">
      <alignment horizontal="center" vertical="center"/>
    </xf>
    <xf numFmtId="0" fontId="8" fillId="10" borderId="3" xfId="0" applyFont="1" applyFill="1" applyBorder="1" applyAlignment="1" applyProtection="1">
      <alignment vertical="center"/>
    </xf>
    <xf numFmtId="0" fontId="7" fillId="10" borderId="3" xfId="0" applyFont="1" applyFill="1" applyBorder="1" applyAlignment="1" applyProtection="1">
      <alignment vertical="center"/>
    </xf>
    <xf numFmtId="37" fontId="8" fillId="10" borderId="3" xfId="0" applyNumberFormat="1" applyFont="1" applyFill="1" applyBorder="1" applyAlignment="1" applyProtection="1">
      <alignment horizontal="center" vertical="center"/>
    </xf>
    <xf numFmtId="0" fontId="8" fillId="10" borderId="3" xfId="0" applyFont="1" applyFill="1" applyBorder="1" applyAlignment="1" applyProtection="1">
      <alignment horizontal="right" vertical="center"/>
    </xf>
    <xf numFmtId="0" fontId="12" fillId="0" borderId="3" xfId="0" applyFont="1" applyBorder="1" applyAlignment="1" applyProtection="1">
      <alignment vertical="center"/>
    </xf>
    <xf numFmtId="171" fontId="5" fillId="12" borderId="3" xfId="1" applyNumberFormat="1" applyFont="1" applyFill="1" applyBorder="1" applyAlignment="1" applyProtection="1">
      <alignment horizontal="center" vertical="center"/>
    </xf>
    <xf numFmtId="0" fontId="4" fillId="12" borderId="3" xfId="0" applyFont="1" applyFill="1" applyBorder="1" applyAlignment="1" applyProtection="1">
      <alignment horizontal="right" vertical="center"/>
    </xf>
    <xf numFmtId="0" fontId="12" fillId="0" borderId="0" xfId="0" applyFont="1" applyAlignment="1" applyProtection="1">
      <alignment vertical="center"/>
    </xf>
    <xf numFmtId="39" fontId="12" fillId="0" borderId="0" xfId="0" applyNumberFormat="1" applyFont="1" applyAlignment="1" applyProtection="1">
      <alignment vertical="center"/>
    </xf>
    <xf numFmtId="37" fontId="2" fillId="0" borderId="3" xfId="0" applyNumberFormat="1" applyFont="1" applyBorder="1" applyAlignment="1" applyProtection="1">
      <alignment horizontal="center"/>
    </xf>
    <xf numFmtId="0" fontId="0" fillId="0" borderId="3" xfId="0" applyBorder="1" applyProtection="1"/>
    <xf numFmtId="0" fontId="12" fillId="0" borderId="0" xfId="0" applyFont="1" applyFill="1" applyAlignment="1" applyProtection="1">
      <alignment vertical="center"/>
    </xf>
    <xf numFmtId="37" fontId="12" fillId="0" borderId="3" xfId="1" applyNumberFormat="1" applyFont="1" applyFill="1" applyBorder="1" applyAlignment="1" applyProtection="1">
      <alignment horizontal="center" vertical="center"/>
    </xf>
    <xf numFmtId="9" fontId="12" fillId="0" borderId="3" xfId="1" applyFont="1" applyFill="1" applyBorder="1" applyAlignment="1" applyProtection="1">
      <alignment horizontal="center" vertical="center"/>
    </xf>
    <xf numFmtId="0" fontId="12" fillId="0" borderId="3" xfId="0" applyFont="1" applyFill="1" applyBorder="1" applyAlignment="1" applyProtection="1">
      <alignment horizontal="right" vertical="center"/>
    </xf>
    <xf numFmtId="0" fontId="12" fillId="0" borderId="3" xfId="0" applyFont="1" applyFill="1" applyBorder="1" applyAlignment="1" applyProtection="1">
      <alignment vertical="center"/>
    </xf>
    <xf numFmtId="39" fontId="12" fillId="0" borderId="0" xfId="0" applyNumberFormat="1" applyFont="1" applyFill="1" applyAlignment="1" applyProtection="1">
      <alignment vertical="center"/>
    </xf>
    <xf numFmtId="0" fontId="7" fillId="0" borderId="3" xfId="0" applyFont="1" applyFill="1" applyBorder="1" applyAlignment="1" applyProtection="1">
      <alignment vertical="center"/>
    </xf>
    <xf numFmtId="0" fontId="8" fillId="0" borderId="3" xfId="0" applyFont="1" applyFill="1" applyBorder="1" applyAlignment="1" applyProtection="1">
      <alignment vertical="center"/>
    </xf>
    <xf numFmtId="37" fontId="8" fillId="0" borderId="3" xfId="0" applyNumberFormat="1" applyFont="1" applyFill="1" applyBorder="1" applyAlignment="1" applyProtection="1">
      <alignment horizontal="center" vertical="center"/>
    </xf>
    <xf numFmtId="9" fontId="7" fillId="0" borderId="3" xfId="1" applyFont="1" applyFill="1" applyBorder="1" applyAlignment="1" applyProtection="1">
      <alignment horizontal="center" vertical="center"/>
    </xf>
    <xf numFmtId="0" fontId="5" fillId="0" borderId="3" xfId="0" applyFont="1" applyFill="1" applyBorder="1" applyAlignment="1" applyProtection="1">
      <alignment horizontal="right" vertical="center"/>
    </xf>
    <xf numFmtId="37" fontId="6" fillId="0" borderId="0" xfId="0" applyNumberFormat="1" applyFont="1" applyFill="1" applyBorder="1" applyAlignment="1" applyProtection="1">
      <alignment horizontal="center" vertical="center"/>
    </xf>
    <xf numFmtId="37" fontId="4" fillId="0" borderId="0" xfId="0" applyNumberFormat="1" applyFont="1" applyBorder="1" applyAlignment="1" applyProtection="1">
      <alignment vertical="center"/>
    </xf>
    <xf numFmtId="37" fontId="5" fillId="0" borderId="0" xfId="0" applyNumberFormat="1" applyFont="1" applyBorder="1" applyAlignment="1" applyProtection="1">
      <alignment vertical="center"/>
    </xf>
    <xf numFmtId="37" fontId="5" fillId="0" borderId="0" xfId="0" applyNumberFormat="1" applyFont="1" applyBorder="1" applyAlignment="1" applyProtection="1">
      <alignment horizontal="center" vertical="center"/>
    </xf>
    <xf numFmtId="37" fontId="7" fillId="10" borderId="3" xfId="0" applyNumberFormat="1" applyFont="1" applyFill="1" applyBorder="1" applyAlignment="1" applyProtection="1">
      <alignment vertical="center"/>
    </xf>
    <xf numFmtId="37" fontId="8" fillId="10" borderId="3" xfId="0" applyNumberFormat="1" applyFont="1" applyFill="1" applyBorder="1" applyAlignment="1" applyProtection="1">
      <alignment vertical="center"/>
    </xf>
    <xf numFmtId="37" fontId="7" fillId="0" borderId="0" xfId="0" applyNumberFormat="1" applyFont="1" applyAlignment="1" applyProtection="1">
      <alignment vertical="center"/>
    </xf>
    <xf numFmtId="0" fontId="5" fillId="0" borderId="3" xfId="0" applyFont="1" applyBorder="1" applyAlignment="1" applyProtection="1">
      <alignment vertical="center"/>
    </xf>
    <xf numFmtId="9" fontId="5" fillId="0" borderId="3" xfId="0" applyNumberFormat="1" applyFont="1" applyBorder="1" applyAlignment="1" applyProtection="1">
      <alignment horizontal="center" vertical="center"/>
    </xf>
    <xf numFmtId="37" fontId="5" fillId="0" borderId="0" xfId="0" applyNumberFormat="1" applyFont="1" applyFill="1" applyBorder="1" applyAlignment="1" applyProtection="1">
      <alignment horizontal="center" vertical="center"/>
    </xf>
    <xf numFmtId="37" fontId="5" fillId="0" borderId="3" xfId="1" applyNumberFormat="1" applyFont="1" applyBorder="1" applyAlignment="1" applyProtection="1">
      <alignment horizontal="center" vertical="center"/>
    </xf>
    <xf numFmtId="0" fontId="4" fillId="31" borderId="0" xfId="0" applyFont="1" applyFill="1" applyBorder="1" applyAlignment="1" applyProtection="1">
      <alignment vertical="center"/>
    </xf>
    <xf numFmtId="0" fontId="5" fillId="8" borderId="3" xfId="0" quotePrefix="1" applyFont="1" applyFill="1" applyBorder="1" applyAlignment="1" applyProtection="1">
      <alignment vertical="center"/>
    </xf>
    <xf numFmtId="37" fontId="5" fillId="21" borderId="3" xfId="0" applyNumberFormat="1" applyFont="1" applyFill="1" applyBorder="1" applyAlignment="1" applyProtection="1">
      <alignment horizontal="center" vertical="center"/>
    </xf>
    <xf numFmtId="0" fontId="0" fillId="0" borderId="0" xfId="0" applyFont="1"/>
    <xf numFmtId="37" fontId="5" fillId="0" borderId="11" xfId="0" applyNumberFormat="1" applyFont="1" applyBorder="1" applyAlignment="1" applyProtection="1">
      <alignment horizontal="center" vertical="center"/>
    </xf>
    <xf numFmtId="0" fontId="4" fillId="0" borderId="11" xfId="0" applyFont="1" applyBorder="1" applyAlignment="1" applyProtection="1">
      <alignment vertical="center"/>
    </xf>
    <xf numFmtId="0" fontId="8" fillId="10" borderId="3" xfId="0" applyFont="1" applyFill="1" applyBorder="1" applyAlignment="1" applyProtection="1">
      <alignment horizontal="left" vertical="center"/>
    </xf>
    <xf numFmtId="0" fontId="7" fillId="30" borderId="3" xfId="0" applyFont="1" applyFill="1" applyBorder="1" applyAlignment="1" applyProtection="1">
      <alignment vertical="center"/>
    </xf>
    <xf numFmtId="0" fontId="12" fillId="0" borderId="3" xfId="0" applyFont="1" applyBorder="1" applyAlignment="1" applyProtection="1">
      <alignment horizontal="center" vertical="center"/>
    </xf>
    <xf numFmtId="37" fontId="12" fillId="0" borderId="0" xfId="0" applyNumberFormat="1" applyFont="1" applyAlignment="1" applyProtection="1">
      <alignment vertical="center"/>
    </xf>
    <xf numFmtId="37" fontId="5" fillId="0" borderId="16" xfId="0" applyNumberFormat="1" applyFont="1" applyBorder="1" applyAlignment="1" applyProtection="1">
      <alignment horizontal="center" vertical="center"/>
    </xf>
    <xf numFmtId="0" fontId="4" fillId="0" borderId="1" xfId="0" applyFont="1" applyFill="1" applyBorder="1" applyAlignment="1" applyProtection="1">
      <alignment vertical="center"/>
    </xf>
    <xf numFmtId="9" fontId="5" fillId="0" borderId="45" xfId="1" applyFont="1" applyFill="1" applyBorder="1" applyAlignment="1" applyProtection="1">
      <alignment horizontal="center" vertical="center"/>
      <protection locked="0"/>
    </xf>
    <xf numFmtId="37" fontId="5" fillId="0" borderId="10" xfId="0" applyNumberFormat="1" applyFont="1" applyBorder="1" applyAlignment="1" applyProtection="1">
      <alignment horizontal="center" vertical="center"/>
    </xf>
    <xf numFmtId="169" fontId="5" fillId="0" borderId="45" xfId="1" applyNumberFormat="1" applyFont="1" applyFill="1" applyBorder="1" applyAlignment="1" applyProtection="1">
      <alignment horizontal="center" vertical="center"/>
      <protection locked="0"/>
    </xf>
    <xf numFmtId="165" fontId="4" fillId="0" borderId="3" xfId="0" applyNumberFormat="1" applyFont="1" applyBorder="1" applyAlignment="1" applyProtection="1">
      <alignment horizontal="center" vertical="center"/>
    </xf>
    <xf numFmtId="9" fontId="6" fillId="4" borderId="3" xfId="1" applyFont="1" applyFill="1" applyBorder="1" applyAlignment="1" applyProtection="1">
      <alignment horizontal="center" vertical="center"/>
      <protection locked="0"/>
    </xf>
    <xf numFmtId="37" fontId="35" fillId="0" borderId="3" xfId="0" applyNumberFormat="1" applyFont="1" applyBorder="1" applyAlignment="1" applyProtection="1">
      <alignment horizontal="center" vertical="center"/>
    </xf>
    <xf numFmtId="37" fontId="35" fillId="0" borderId="0" xfId="0" applyNumberFormat="1" applyFont="1" applyFill="1" applyBorder="1" applyAlignment="1" applyProtection="1">
      <alignment horizontal="center" vertical="center"/>
    </xf>
    <xf numFmtId="0" fontId="14" fillId="32" borderId="3" xfId="0" applyFont="1" applyFill="1" applyBorder="1" applyAlignment="1" applyProtection="1">
      <alignment vertical="center"/>
    </xf>
    <xf numFmtId="37" fontId="14" fillId="32" borderId="3" xfId="0" applyNumberFormat="1" applyFont="1" applyFill="1" applyBorder="1" applyAlignment="1" applyProtection="1">
      <alignment horizontal="center" vertical="center"/>
    </xf>
    <xf numFmtId="0" fontId="4" fillId="31" borderId="46" xfId="0" applyFont="1" applyFill="1" applyBorder="1" applyAlignment="1" applyProtection="1">
      <alignment vertical="center"/>
    </xf>
    <xf numFmtId="37" fontId="4" fillId="21" borderId="3" xfId="0" applyNumberFormat="1" applyFont="1" applyFill="1" applyBorder="1" applyAlignment="1" applyProtection="1">
      <alignment horizontal="center" vertical="center"/>
    </xf>
    <xf numFmtId="9" fontId="6" fillId="21" borderId="3" xfId="1" applyFont="1" applyFill="1" applyBorder="1" applyAlignment="1" applyProtection="1">
      <alignment horizontal="center" vertical="center"/>
    </xf>
    <xf numFmtId="37" fontId="7" fillId="0" borderId="3" xfId="0" applyNumberFormat="1" applyFont="1" applyFill="1" applyBorder="1" applyAlignment="1" applyProtection="1">
      <alignment horizontal="center" vertical="center"/>
    </xf>
    <xf numFmtId="174" fontId="14" fillId="11" borderId="3" xfId="0" applyNumberFormat="1" applyFont="1" applyFill="1" applyBorder="1" applyAlignment="1" applyProtection="1">
      <alignment horizontal="center" vertical="center"/>
    </xf>
    <xf numFmtId="37" fontId="35" fillId="0" borderId="3" xfId="0" applyNumberFormat="1" applyFont="1" applyFill="1" applyBorder="1" applyAlignment="1" applyProtection="1">
      <alignment horizontal="center" vertical="center"/>
    </xf>
    <xf numFmtId="0" fontId="35" fillId="11" borderId="3" xfId="0" applyFont="1" applyFill="1" applyBorder="1" applyAlignment="1" applyProtection="1">
      <alignment vertical="center"/>
    </xf>
    <xf numFmtId="174" fontId="35" fillId="11" borderId="3" xfId="0" applyNumberFormat="1" applyFont="1" applyFill="1" applyBorder="1" applyAlignment="1" applyProtection="1">
      <alignment horizontal="center" vertical="center"/>
    </xf>
    <xf numFmtId="171" fontId="14" fillId="11" borderId="3" xfId="1" applyNumberFormat="1" applyFont="1" applyFill="1" applyBorder="1" applyAlignment="1" applyProtection="1">
      <alignment horizontal="center" vertical="center"/>
    </xf>
    <xf numFmtId="169" fontId="14" fillId="11" borderId="3" xfId="1"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37" fontId="11" fillId="0" borderId="3" xfId="1" applyNumberFormat="1" applyFont="1" applyBorder="1" applyAlignment="1" applyProtection="1">
      <alignment horizontal="center" vertical="center"/>
    </xf>
    <xf numFmtId="37" fontId="6" fillId="0" borderId="3" xfId="1" applyNumberFormat="1" applyFont="1" applyBorder="1" applyAlignment="1" applyProtection="1">
      <alignment horizontal="center" vertical="center"/>
    </xf>
    <xf numFmtId="37" fontId="11" fillId="11" borderId="3" xfId="1" applyNumberFormat="1" applyFont="1" applyFill="1" applyBorder="1" applyAlignment="1" applyProtection="1">
      <alignment horizontal="center" vertical="center"/>
    </xf>
    <xf numFmtId="37" fontId="6" fillId="11" borderId="3" xfId="1" applyNumberFormat="1" applyFont="1" applyFill="1" applyBorder="1" applyAlignment="1" applyProtection="1">
      <alignment horizontal="center" vertical="center"/>
    </xf>
    <xf numFmtId="9" fontId="6" fillId="0" borderId="3" xfId="1" applyFont="1" applyBorder="1" applyAlignment="1" applyProtection="1">
      <alignment horizontal="center" vertical="center"/>
    </xf>
    <xf numFmtId="9" fontId="6" fillId="0" borderId="0" xfId="1" applyFont="1" applyFill="1" applyBorder="1" applyAlignment="1" applyProtection="1">
      <alignment horizontal="center" vertical="center"/>
      <protection locked="0"/>
    </xf>
    <xf numFmtId="37" fontId="7" fillId="0" borderId="0" xfId="0" applyNumberFormat="1" applyFont="1" applyBorder="1" applyAlignment="1" applyProtection="1">
      <alignment horizontal="center" vertical="center"/>
    </xf>
    <xf numFmtId="37" fontId="14" fillId="0" borderId="3" xfId="1" applyNumberFormat="1" applyFont="1" applyFill="1" applyBorder="1" applyAlignment="1" applyProtection="1">
      <alignment horizontal="center" vertical="center"/>
    </xf>
    <xf numFmtId="0" fontId="14" fillId="0" borderId="3" xfId="0" applyFont="1" applyFill="1" applyBorder="1" applyAlignment="1" applyProtection="1">
      <alignment vertical="center"/>
    </xf>
    <xf numFmtId="37" fontId="14" fillId="11" borderId="3" xfId="1" applyNumberFormat="1" applyFont="1" applyFill="1" applyBorder="1" applyAlignment="1" applyProtection="1">
      <alignment horizontal="center" vertical="center"/>
    </xf>
    <xf numFmtId="9" fontId="6" fillId="0" borderId="0" xfId="1" applyFont="1" applyFill="1" applyBorder="1" applyAlignment="1" applyProtection="1">
      <alignment horizontal="center" vertical="center"/>
    </xf>
    <xf numFmtId="37" fontId="14" fillId="11" borderId="3" xfId="0" applyNumberFormat="1" applyFont="1" applyFill="1" applyBorder="1" applyAlignment="1" applyProtection="1">
      <alignment horizontal="center" vertical="center"/>
    </xf>
    <xf numFmtId="0" fontId="5" fillId="0" borderId="3" xfId="0" applyFont="1" applyBorder="1" applyAlignment="1" applyProtection="1">
      <alignment horizontal="right" vertical="center"/>
    </xf>
    <xf numFmtId="0" fontId="4" fillId="12" borderId="0" xfId="0" applyFont="1" applyFill="1" applyAlignment="1" applyProtection="1">
      <alignment vertical="center"/>
    </xf>
    <xf numFmtId="9" fontId="4" fillId="0" borderId="0" xfId="1" applyFont="1" applyFill="1" applyBorder="1" applyAlignment="1" applyProtection="1">
      <alignment horizontal="center" vertical="center"/>
    </xf>
    <xf numFmtId="171" fontId="6" fillId="9" borderId="3" xfId="1" applyNumberFormat="1" applyFont="1" applyFill="1" applyBorder="1" applyAlignment="1" applyProtection="1">
      <alignment horizontal="center" vertical="center"/>
    </xf>
    <xf numFmtId="9" fontId="0" fillId="0" borderId="3" xfId="1" applyFont="1" applyBorder="1" applyAlignment="1">
      <alignment horizontal="center"/>
    </xf>
    <xf numFmtId="0" fontId="0" fillId="0" borderId="3" xfId="0" applyBorder="1" applyAlignment="1">
      <alignment horizontal="center"/>
    </xf>
    <xf numFmtId="0" fontId="15" fillId="0" borderId="3" xfId="0" applyFont="1" applyBorder="1" applyAlignment="1">
      <alignment horizontal="center"/>
    </xf>
    <xf numFmtId="171" fontId="0" fillId="0" borderId="3" xfId="1" applyNumberFormat="1" applyFont="1" applyBorder="1" applyAlignment="1">
      <alignment horizontal="center"/>
    </xf>
    <xf numFmtId="171" fontId="0" fillId="0" borderId="0" xfId="1" applyNumberFormat="1" applyFont="1"/>
    <xf numFmtId="37" fontId="27" fillId="0" borderId="0" xfId="0" applyNumberFormat="1" applyFont="1" applyBorder="1" applyAlignment="1" applyProtection="1">
      <alignment horizontal="center" vertical="center"/>
    </xf>
    <xf numFmtId="37" fontId="6" fillId="0" borderId="0" xfId="0" applyNumberFormat="1" applyFont="1" applyBorder="1" applyAlignment="1" applyProtection="1">
      <alignment horizontal="center" vertical="center"/>
    </xf>
    <xf numFmtId="9" fontId="4" fillId="0" borderId="3" xfId="0" applyNumberFormat="1" applyFont="1" applyBorder="1" applyAlignment="1" applyProtection="1">
      <alignment horizontal="center" vertical="center"/>
    </xf>
    <xf numFmtId="2" fontId="4" fillId="0" borderId="3" xfId="0" applyNumberFormat="1" applyFont="1" applyBorder="1" applyAlignment="1" applyProtection="1">
      <alignment horizontal="center" vertical="center"/>
    </xf>
    <xf numFmtId="0" fontId="0" fillId="0" borderId="0" xfId="0" applyFill="1"/>
    <xf numFmtId="39" fontId="5" fillId="0" borderId="3" xfId="0" applyNumberFormat="1" applyFont="1" applyFill="1" applyBorder="1" applyAlignment="1" applyProtection="1">
      <alignment horizontal="center" vertical="center"/>
    </xf>
    <xf numFmtId="9" fontId="4" fillId="0" borderId="3" xfId="0" applyNumberFormat="1" applyFont="1" applyFill="1" applyBorder="1" applyAlignment="1" applyProtection="1">
      <alignment horizontal="center" vertical="center"/>
    </xf>
    <xf numFmtId="2" fontId="4" fillId="0" borderId="3" xfId="0" applyNumberFormat="1" applyFont="1" applyFill="1" applyBorder="1" applyAlignment="1" applyProtection="1">
      <alignment horizontal="center" vertical="center"/>
    </xf>
    <xf numFmtId="0" fontId="4" fillId="0" borderId="47" xfId="0" applyFont="1" applyBorder="1" applyAlignment="1" applyProtection="1">
      <alignment vertical="center"/>
    </xf>
    <xf numFmtId="9" fontId="4" fillId="0" borderId="47" xfId="0" applyNumberFormat="1" applyFont="1" applyBorder="1" applyAlignment="1" applyProtection="1">
      <alignment horizontal="center" vertical="center"/>
    </xf>
    <xf numFmtId="39" fontId="5" fillId="0" borderId="3" xfId="0" applyNumberFormat="1" applyFont="1" applyBorder="1" applyAlignment="1" applyProtection="1">
      <alignment horizontal="center" vertical="center"/>
    </xf>
    <xf numFmtId="0" fontId="22" fillId="0" borderId="0" xfId="0" applyFont="1" applyAlignment="1">
      <alignment vertical="center"/>
    </xf>
    <xf numFmtId="0" fontId="22" fillId="0" borderId="0" xfId="0" applyFont="1" applyAlignment="1">
      <alignment horizontal="center" vertical="center"/>
    </xf>
    <xf numFmtId="0" fontId="38" fillId="0" borderId="0" xfId="0" applyFont="1" applyAlignment="1">
      <alignment vertical="center"/>
    </xf>
    <xf numFmtId="39" fontId="38" fillId="0" borderId="0" xfId="0" applyNumberFormat="1" applyFont="1" applyAlignment="1">
      <alignment vertical="center"/>
    </xf>
    <xf numFmtId="0" fontId="4" fillId="0" borderId="0" xfId="0" applyFont="1" applyAlignment="1">
      <alignment horizontal="center" vertical="center"/>
    </xf>
    <xf numFmtId="39" fontId="4" fillId="0" borderId="0" xfId="0" applyNumberFormat="1" applyFont="1" applyAlignment="1">
      <alignment vertical="center"/>
    </xf>
    <xf numFmtId="0" fontId="0" fillId="0" borderId="0" xfId="0" applyAlignment="1">
      <alignment vertical="center"/>
    </xf>
    <xf numFmtId="37" fontId="4" fillId="0" borderId="0" xfId="0" applyNumberFormat="1" applyFont="1" applyAlignment="1">
      <alignment horizontal="left" vertical="center"/>
    </xf>
    <xf numFmtId="0" fontId="5" fillId="0" borderId="0" xfId="0" applyFont="1" applyAlignment="1">
      <alignment vertical="center"/>
    </xf>
    <xf numFmtId="0" fontId="5" fillId="0" borderId="0" xfId="0" applyFont="1" applyAlignment="1">
      <alignment horizontal="center" vertical="center"/>
    </xf>
    <xf numFmtId="39" fontId="0" fillId="0" borderId="0" xfId="0" applyNumberFormat="1" applyAlignment="1">
      <alignment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0" fillId="28" borderId="51" xfId="0" applyFont="1" applyFill="1" applyBorder="1" applyAlignment="1">
      <alignment horizontal="center" vertical="center"/>
    </xf>
    <xf numFmtId="0" fontId="22" fillId="0" borderId="0" xfId="0" applyFont="1" applyFill="1" applyBorder="1" applyAlignment="1">
      <alignment vertical="center"/>
    </xf>
    <xf numFmtId="0" fontId="22" fillId="0" borderId="0" xfId="0" applyFont="1" applyFill="1" applyBorder="1" applyAlignment="1">
      <alignment horizontal="center" vertical="center"/>
    </xf>
    <xf numFmtId="0" fontId="13" fillId="0" borderId="0" xfId="0" applyFont="1" applyFill="1" applyBorder="1" applyAlignment="1">
      <alignment horizontal="center" vertical="center"/>
    </xf>
    <xf numFmtId="0" fontId="5" fillId="0" borderId="0" xfId="0" applyFont="1" applyFill="1" applyBorder="1" applyAlignment="1">
      <alignment vertical="center"/>
    </xf>
    <xf numFmtId="0" fontId="5" fillId="0" borderId="0" xfId="0" applyFont="1" applyFill="1" applyBorder="1" applyAlignment="1">
      <alignment horizontal="center" vertical="center"/>
    </xf>
    <xf numFmtId="0" fontId="2" fillId="33" borderId="51" xfId="0" applyFont="1" applyFill="1" applyBorder="1" applyAlignment="1">
      <alignment horizontal="left" vertical="center" indent="1"/>
    </xf>
    <xf numFmtId="39" fontId="2" fillId="33" borderId="3" xfId="0" applyNumberFormat="1" applyFont="1" applyFill="1" applyBorder="1" applyAlignment="1">
      <alignment horizontal="center" vertical="center"/>
    </xf>
    <xf numFmtId="0" fontId="50" fillId="11" borderId="53" xfId="0" applyFont="1" applyFill="1" applyBorder="1" applyAlignment="1">
      <alignment horizontal="left" vertical="center" indent="1"/>
    </xf>
    <xf numFmtId="0" fontId="0" fillId="0" borderId="0" xfId="0" applyAlignment="1">
      <alignment horizontal="left" vertical="center" indent="1"/>
    </xf>
    <xf numFmtId="0" fontId="0" fillId="0" borderId="0" xfId="0" applyAlignment="1">
      <alignment horizontal="center" vertical="center"/>
    </xf>
    <xf numFmtId="39" fontId="0" fillId="0" borderId="0" xfId="0" applyNumberFormat="1" applyFont="1" applyAlignment="1">
      <alignment vertical="center"/>
    </xf>
    <xf numFmtId="0" fontId="52" fillId="11" borderId="54" xfId="0" applyFont="1" applyFill="1" applyBorder="1" applyAlignment="1">
      <alignment horizontal="left" vertical="center" indent="1"/>
    </xf>
    <xf numFmtId="0" fontId="4" fillId="0" borderId="60" xfId="0" applyFont="1" applyFill="1" applyBorder="1" applyAlignment="1" applyProtection="1">
      <alignment horizontal="center" vertical="center"/>
    </xf>
    <xf numFmtId="37" fontId="0" fillId="0" borderId="3" xfId="0" applyNumberFormat="1" applyFont="1" applyBorder="1" applyAlignment="1">
      <alignment horizontal="center" vertical="center"/>
    </xf>
    <xf numFmtId="0" fontId="52" fillId="0" borderId="0" xfId="0" applyFont="1" applyFill="1" applyAlignment="1">
      <alignment horizontal="left" vertical="center" indent="1"/>
    </xf>
    <xf numFmtId="0" fontId="52" fillId="0" borderId="0" xfId="0" applyFont="1" applyFill="1" applyBorder="1" applyAlignment="1">
      <alignment horizontal="left" vertical="center" indent="1"/>
    </xf>
    <xf numFmtId="0" fontId="52" fillId="0" borderId="0" xfId="0" applyFont="1" applyFill="1" applyBorder="1" applyAlignment="1">
      <alignment horizontal="center" vertical="center"/>
    </xf>
    <xf numFmtId="0" fontId="0" fillId="0" borderId="0" xfId="0" applyFont="1" applyFill="1" applyBorder="1" applyAlignment="1">
      <alignment horizontal="left" vertical="center" wrapText="1" indent="1"/>
    </xf>
    <xf numFmtId="0" fontId="0" fillId="0" borderId="0" xfId="0" applyFont="1" applyFill="1" applyAlignment="1">
      <alignment vertical="center"/>
    </xf>
    <xf numFmtId="39" fontId="0" fillId="0" borderId="0" xfId="0" applyNumberFormat="1" applyFont="1" applyFill="1" applyAlignment="1">
      <alignment vertical="center"/>
    </xf>
    <xf numFmtId="0" fontId="2" fillId="33" borderId="61" xfId="0" applyFont="1" applyFill="1" applyBorder="1" applyAlignment="1">
      <alignment horizontal="left" vertical="center" indent="1"/>
    </xf>
    <xf numFmtId="0" fontId="50" fillId="34" borderId="62" xfId="0" applyFont="1" applyFill="1" applyBorder="1" applyAlignment="1">
      <alignment horizontal="left" vertical="center" indent="1"/>
    </xf>
    <xf numFmtId="0" fontId="0" fillId="0" borderId="0" xfId="0" applyFont="1" applyFill="1" applyBorder="1" applyAlignment="1">
      <alignment horizontal="left" vertical="center" indent="1"/>
    </xf>
    <xf numFmtId="0" fontId="0" fillId="0" borderId="0" xfId="0" applyFont="1" applyFill="1" applyBorder="1" applyAlignment="1">
      <alignment horizontal="center" vertical="center"/>
    </xf>
    <xf numFmtId="0" fontId="52" fillId="11" borderId="63" xfId="0" applyFont="1" applyFill="1" applyBorder="1" applyAlignment="1">
      <alignment horizontal="left" vertical="center" indent="1"/>
    </xf>
    <xf numFmtId="0" fontId="4" fillId="0" borderId="55" xfId="0" applyFont="1" applyFill="1" applyBorder="1" applyAlignment="1" applyProtection="1">
      <alignment horizontal="center" vertical="center"/>
    </xf>
    <xf numFmtId="0" fontId="52" fillId="11" borderId="64" xfId="0" applyFont="1" applyFill="1" applyBorder="1" applyAlignment="1">
      <alignment horizontal="left" vertical="center" indent="1"/>
    </xf>
    <xf numFmtId="0" fontId="0" fillId="0" borderId="0" xfId="0" applyFont="1" applyFill="1" applyAlignment="1">
      <alignment horizontal="left" vertical="center" indent="1"/>
    </xf>
    <xf numFmtId="0" fontId="50" fillId="11" borderId="62" xfId="0" applyFont="1" applyFill="1" applyBorder="1" applyAlignment="1">
      <alignment horizontal="left" vertical="center" indent="1"/>
    </xf>
    <xf numFmtId="0" fontId="4" fillId="0" borderId="57" xfId="0" applyFont="1" applyFill="1" applyBorder="1" applyAlignment="1" applyProtection="1">
      <alignment horizontal="center" vertical="center"/>
    </xf>
    <xf numFmtId="0" fontId="50" fillId="0" borderId="62" xfId="0" applyFont="1" applyFill="1" applyBorder="1" applyAlignment="1">
      <alignment horizontal="left" vertical="center" indent="1"/>
    </xf>
    <xf numFmtId="39" fontId="0" fillId="0" borderId="3" xfId="0" applyNumberFormat="1" applyBorder="1" applyAlignment="1">
      <alignment vertical="center"/>
    </xf>
    <xf numFmtId="0" fontId="52" fillId="0" borderId="64" xfId="0" applyFont="1" applyFill="1" applyBorder="1" applyAlignment="1">
      <alignment horizontal="left" vertical="center" indent="1"/>
    </xf>
    <xf numFmtId="0" fontId="50" fillId="34" borderId="65" xfId="0" applyFont="1" applyFill="1" applyBorder="1" applyAlignment="1">
      <alignment horizontal="left" vertical="center" indent="1"/>
    </xf>
    <xf numFmtId="39" fontId="0" fillId="0" borderId="3" xfId="0" applyNumberFormat="1" applyBorder="1" applyAlignment="1">
      <alignment horizontal="center" vertical="center"/>
    </xf>
    <xf numFmtId="0" fontId="0" fillId="0" borderId="0" xfId="0" applyFill="1" applyBorder="1" applyAlignment="1">
      <alignment vertical="center"/>
    </xf>
    <xf numFmtId="0" fontId="0" fillId="0" borderId="0" xfId="0" applyFill="1" applyBorder="1" applyAlignment="1">
      <alignment horizontal="center" vertical="center"/>
    </xf>
    <xf numFmtId="37" fontId="0" fillId="0" borderId="10" xfId="0" applyNumberFormat="1" applyFont="1" applyFill="1" applyBorder="1" applyAlignment="1" applyProtection="1">
      <alignment horizontal="center" vertical="center"/>
      <protection locked="0"/>
    </xf>
    <xf numFmtId="165" fontId="11" fillId="0" borderId="0" xfId="0" applyNumberFormat="1" applyFont="1" applyAlignment="1" applyProtection="1">
      <alignment horizontal="center" vertical="center"/>
    </xf>
    <xf numFmtId="0" fontId="35" fillId="0" borderId="3" xfId="0" applyFont="1" applyFill="1" applyBorder="1" applyAlignment="1" applyProtection="1">
      <alignment horizontal="center" vertical="center"/>
    </xf>
    <xf numFmtId="167" fontId="11" fillId="0" borderId="3" xfId="0" applyNumberFormat="1" applyFont="1" applyFill="1" applyBorder="1" applyAlignment="1" applyProtection="1">
      <alignment horizontal="center" vertical="center"/>
    </xf>
    <xf numFmtId="0" fontId="50" fillId="11" borderId="54" xfId="0" applyFont="1" applyFill="1" applyBorder="1" applyAlignment="1">
      <alignment horizontal="left" vertical="center" indent="1"/>
    </xf>
    <xf numFmtId="0" fontId="52" fillId="11" borderId="66" xfId="0" applyFont="1" applyFill="1" applyBorder="1" applyAlignment="1">
      <alignment horizontal="left" vertical="center" indent="1"/>
    </xf>
    <xf numFmtId="0" fontId="52" fillId="11" borderId="67" xfId="0" applyFont="1" applyFill="1" applyBorder="1" applyAlignment="1">
      <alignment horizontal="left" vertical="center" indent="1"/>
    </xf>
    <xf numFmtId="0" fontId="52" fillId="0" borderId="56" xfId="0" applyFont="1" applyFill="1" applyBorder="1" applyAlignment="1">
      <alignment horizontal="left" vertical="center" indent="1"/>
    </xf>
    <xf numFmtId="0" fontId="52" fillId="0" borderId="59" xfId="0" applyFont="1" applyFill="1" applyBorder="1" applyAlignment="1">
      <alignment horizontal="left" vertical="center" indent="1"/>
    </xf>
    <xf numFmtId="0" fontId="6" fillId="8" borderId="8" xfId="0" applyFont="1" applyFill="1" applyBorder="1" applyAlignment="1" applyProtection="1">
      <alignment horizontal="left" vertical="center" wrapText="1"/>
    </xf>
    <xf numFmtId="0" fontId="6" fillId="8" borderId="2" xfId="0" applyFont="1" applyFill="1" applyBorder="1" applyAlignment="1" applyProtection="1">
      <alignment horizontal="left" vertical="center" wrapText="1"/>
    </xf>
    <xf numFmtId="0" fontId="6" fillId="8" borderId="3" xfId="0" applyFont="1" applyFill="1" applyBorder="1" applyAlignment="1" applyProtection="1">
      <alignment horizontal="center" vertical="center"/>
    </xf>
    <xf numFmtId="0" fontId="14" fillId="0" borderId="0" xfId="0" applyFont="1" applyAlignment="1" applyProtection="1">
      <alignment horizontal="right" vertical="center"/>
    </xf>
    <xf numFmtId="0" fontId="14" fillId="0" borderId="3" xfId="0" applyFont="1" applyBorder="1" applyAlignment="1" applyProtection="1">
      <alignment vertical="center"/>
    </xf>
    <xf numFmtId="0" fontId="27" fillId="9" borderId="15" xfId="0" applyFont="1" applyFill="1" applyBorder="1" applyAlignment="1" applyProtection="1">
      <alignment vertical="center"/>
    </xf>
    <xf numFmtId="37" fontId="11" fillId="0" borderId="0" xfId="0" applyNumberFormat="1" applyFont="1" applyAlignment="1" applyProtection="1">
      <alignment vertical="center"/>
    </xf>
    <xf numFmtId="37" fontId="11" fillId="0" borderId="0" xfId="0" applyNumberFormat="1" applyFont="1" applyAlignment="1" applyProtection="1">
      <alignment horizontal="center" vertical="center"/>
    </xf>
    <xf numFmtId="37" fontId="5" fillId="0" borderId="3" xfId="0" applyNumberFormat="1"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9" fontId="4" fillId="0" borderId="0" xfId="1" applyFont="1" applyAlignment="1" applyProtection="1">
      <alignment horizontal="center" vertical="center"/>
    </xf>
    <xf numFmtId="0" fontId="11" fillId="14" borderId="3" xfId="0" applyFont="1" applyFill="1" applyBorder="1" applyAlignment="1" applyProtection="1">
      <alignment vertical="center"/>
    </xf>
    <xf numFmtId="37" fontId="11" fillId="14" borderId="3" xfId="0" applyNumberFormat="1" applyFont="1" applyFill="1" applyBorder="1" applyAlignment="1" applyProtection="1">
      <alignment horizontal="center" vertical="center"/>
      <protection locked="0"/>
    </xf>
    <xf numFmtId="37" fontId="11" fillId="14" borderId="1" xfId="0" applyNumberFormat="1" applyFont="1" applyFill="1" applyBorder="1" applyAlignment="1" applyProtection="1">
      <alignment horizontal="center" vertical="center"/>
      <protection locked="0"/>
    </xf>
    <xf numFmtId="37" fontId="35" fillId="3" borderId="3" xfId="0" applyNumberFormat="1" applyFont="1" applyFill="1" applyBorder="1" applyAlignment="1" applyProtection="1">
      <alignment horizontal="center" vertical="center"/>
      <protection locked="0"/>
    </xf>
    <xf numFmtId="37" fontId="4" fillId="8" borderId="3" xfId="0" applyNumberFormat="1" applyFont="1" applyFill="1" applyBorder="1" applyAlignment="1" applyProtection="1">
      <alignment horizontal="left" vertical="center"/>
    </xf>
    <xf numFmtId="37" fontId="11" fillId="4" borderId="8" xfId="0" applyNumberFormat="1" applyFont="1" applyFill="1" applyBorder="1" applyAlignment="1" applyProtection="1">
      <alignment horizontal="left" vertical="center"/>
      <protection locked="0"/>
    </xf>
    <xf numFmtId="0" fontId="5" fillId="0" borderId="3" xfId="0" applyFont="1" applyFill="1" applyBorder="1" applyAlignment="1" applyProtection="1">
      <alignment horizontal="center" vertical="center"/>
    </xf>
    <xf numFmtId="37" fontId="4" fillId="0" borderId="47" xfId="0" applyNumberFormat="1" applyFont="1" applyFill="1" applyBorder="1" applyAlignment="1" applyProtection="1">
      <alignment horizontal="left" vertical="center"/>
    </xf>
    <xf numFmtId="171" fontId="5" fillId="0" borderId="3" xfId="1" applyNumberFormat="1" applyFont="1" applyBorder="1" applyAlignment="1" applyProtection="1">
      <alignment horizontal="center" vertical="center"/>
    </xf>
    <xf numFmtId="37" fontId="5" fillId="0" borderId="3" xfId="0" applyNumberFormat="1"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37" fontId="35" fillId="4" borderId="3" xfId="0" applyNumberFormat="1" applyFont="1" applyFill="1" applyBorder="1" applyAlignment="1" applyProtection="1">
      <alignment horizontal="center" vertical="center"/>
      <protection locked="0"/>
    </xf>
    <xf numFmtId="167" fontId="4" fillId="0" borderId="25" xfId="0" applyNumberFormat="1" applyFont="1" applyFill="1" applyBorder="1" applyAlignment="1" applyProtection="1">
      <alignment horizontal="center" vertical="center"/>
    </xf>
    <xf numFmtId="167" fontId="5" fillId="12" borderId="3" xfId="0" applyNumberFormat="1" applyFont="1" applyFill="1" applyBorder="1" applyAlignment="1" applyProtection="1">
      <alignment horizontal="center" vertical="center"/>
    </xf>
    <xf numFmtId="168" fontId="11" fillId="18" borderId="3" xfId="0" applyNumberFormat="1" applyFont="1" applyFill="1" applyBorder="1" applyAlignment="1" applyProtection="1">
      <alignment horizontal="center" vertical="center"/>
    </xf>
    <xf numFmtId="168" fontId="11" fillId="18" borderId="3" xfId="0" applyNumberFormat="1" applyFont="1" applyFill="1" applyBorder="1" applyAlignment="1" applyProtection="1">
      <alignment vertical="center"/>
    </xf>
    <xf numFmtId="9" fontId="11" fillId="18" borderId="3" xfId="1" applyFont="1" applyFill="1" applyBorder="1" applyAlignment="1" applyProtection="1">
      <alignment vertical="center"/>
    </xf>
    <xf numFmtId="9" fontId="11" fillId="18" borderId="3" xfId="1" applyFont="1" applyFill="1" applyBorder="1" applyAlignment="1" applyProtection="1">
      <alignment horizontal="center" vertical="center"/>
    </xf>
    <xf numFmtId="0" fontId="11" fillId="18" borderId="3" xfId="0" applyFont="1" applyFill="1" applyBorder="1" applyAlignment="1" applyProtection="1">
      <alignment vertical="center"/>
    </xf>
    <xf numFmtId="37" fontId="5" fillId="0" borderId="3" xfId="0" applyNumberFormat="1" applyFont="1" applyFill="1" applyBorder="1" applyAlignment="1" applyProtection="1">
      <alignment horizontal="center" vertical="center"/>
    </xf>
    <xf numFmtId="37" fontId="5" fillId="0" borderId="3" xfId="0" applyNumberFormat="1" applyFont="1" applyFill="1" applyBorder="1" applyAlignment="1" applyProtection="1">
      <alignment horizontal="center" vertical="center"/>
    </xf>
    <xf numFmtId="0" fontId="5" fillId="8" borderId="8" xfId="0" applyFont="1" applyFill="1" applyBorder="1" applyAlignment="1" applyProtection="1">
      <alignment horizontal="left" vertical="center"/>
    </xf>
    <xf numFmtId="37" fontId="5" fillId="0" borderId="3" xfId="0" applyNumberFormat="1" applyFont="1" applyFill="1" applyBorder="1" applyAlignment="1" applyProtection="1">
      <alignment horizontal="center" vertical="center"/>
    </xf>
    <xf numFmtId="37" fontId="11" fillId="3" borderId="1" xfId="0" applyNumberFormat="1" applyFont="1" applyFill="1" applyBorder="1" applyAlignment="1" applyProtection="1">
      <alignment vertical="center"/>
      <protection locked="0"/>
    </xf>
    <xf numFmtId="37" fontId="11" fillId="8" borderId="1" xfId="0" applyNumberFormat="1" applyFont="1" applyFill="1" applyBorder="1" applyAlignment="1" applyProtection="1">
      <alignment vertical="center"/>
      <protection locked="0"/>
    </xf>
    <xf numFmtId="37" fontId="11" fillId="8" borderId="8" xfId="0" applyNumberFormat="1" applyFont="1" applyFill="1" applyBorder="1" applyAlignment="1" applyProtection="1">
      <alignment horizontal="left" vertical="center"/>
      <protection locked="0"/>
    </xf>
    <xf numFmtId="37" fontId="11" fillId="35" borderId="1" xfId="0" applyNumberFormat="1" applyFont="1" applyFill="1" applyBorder="1" applyAlignment="1" applyProtection="1">
      <alignment horizontal="left" vertical="center"/>
      <protection locked="0"/>
    </xf>
    <xf numFmtId="9" fontId="4" fillId="0" borderId="0" xfId="1" applyFont="1" applyBorder="1" applyAlignment="1" applyProtection="1">
      <alignment horizontal="center" vertical="center"/>
    </xf>
    <xf numFmtId="0" fontId="11" fillId="12" borderId="3" xfId="0" applyFont="1" applyFill="1" applyBorder="1" applyAlignment="1" applyProtection="1">
      <alignment horizontal="center" vertical="center"/>
    </xf>
    <xf numFmtId="0" fontId="4" fillId="0" borderId="52" xfId="0" applyFont="1" applyFill="1" applyBorder="1" applyAlignment="1">
      <alignment horizontal="center" vertical="center"/>
    </xf>
    <xf numFmtId="37" fontId="0" fillId="0" borderId="16" xfId="0" applyNumberFormat="1" applyFont="1" applyFill="1" applyBorder="1" applyAlignment="1" applyProtection="1">
      <alignment horizontal="center" vertical="center"/>
      <protection locked="0"/>
    </xf>
    <xf numFmtId="37" fontId="0" fillId="0" borderId="10" xfId="0" applyNumberFormat="1" applyFont="1" applyFill="1" applyBorder="1" applyAlignment="1" applyProtection="1">
      <alignment horizontal="center" vertical="center"/>
      <protection locked="0"/>
    </xf>
    <xf numFmtId="0" fontId="39" fillId="0" borderId="0" xfId="0" applyFont="1" applyAlignment="1">
      <alignment horizontal="center" vertical="center"/>
    </xf>
    <xf numFmtId="0" fontId="49" fillId="9" borderId="48" xfId="0" applyFont="1" applyFill="1" applyBorder="1" applyAlignment="1">
      <alignment horizontal="center" vertical="center"/>
    </xf>
    <xf numFmtId="0" fontId="49" fillId="9" borderId="49" xfId="0" applyFont="1" applyFill="1" applyBorder="1" applyAlignment="1">
      <alignment horizontal="center" vertical="center"/>
    </xf>
    <xf numFmtId="0" fontId="49" fillId="9" borderId="50" xfId="0" applyFont="1" applyFill="1" applyBorder="1" applyAlignment="1">
      <alignment horizontal="center" vertical="center"/>
    </xf>
    <xf numFmtId="0" fontId="4" fillId="0" borderId="55" xfId="0" applyFont="1" applyFill="1" applyBorder="1" applyAlignment="1" applyProtection="1">
      <alignment horizontal="center" vertical="center"/>
    </xf>
    <xf numFmtId="0" fontId="4" fillId="0" borderId="57" xfId="0" applyFont="1" applyFill="1" applyBorder="1" applyAlignment="1" applyProtection="1">
      <alignment horizontal="center" vertical="center"/>
    </xf>
    <xf numFmtId="0" fontId="52" fillId="11" borderId="56" xfId="0" applyFont="1" applyFill="1" applyBorder="1" applyAlignment="1">
      <alignment horizontal="left" vertical="center"/>
    </xf>
    <xf numFmtId="0" fontId="52" fillId="11" borderId="58" xfId="0" applyFont="1" applyFill="1" applyBorder="1" applyAlignment="1">
      <alignment horizontal="left" vertical="center"/>
    </xf>
    <xf numFmtId="0" fontId="39" fillId="0" borderId="0" xfId="0" applyFont="1" applyAlignment="1" applyProtection="1">
      <alignment horizontal="center" vertical="center"/>
    </xf>
    <xf numFmtId="0" fontId="40" fillId="28" borderId="41" xfId="0" applyFont="1" applyFill="1" applyBorder="1" applyAlignment="1" applyProtection="1">
      <alignment horizontal="center" vertical="center"/>
    </xf>
    <xf numFmtId="0" fontId="40" fillId="28" borderId="42" xfId="0" applyFont="1" applyFill="1" applyBorder="1" applyAlignment="1" applyProtection="1">
      <alignment horizontal="center" vertical="center"/>
    </xf>
    <xf numFmtId="0" fontId="40" fillId="28" borderId="43" xfId="0" applyFont="1" applyFill="1" applyBorder="1" applyAlignment="1" applyProtection="1">
      <alignment horizontal="center" vertical="center"/>
    </xf>
    <xf numFmtId="0" fontId="2" fillId="0" borderId="1" xfId="0" applyFont="1" applyBorder="1" applyAlignment="1">
      <alignment horizontal="center" vertical="center"/>
    </xf>
    <xf numFmtId="0" fontId="2" fillId="0" borderId="8"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5" fillId="2" borderId="16" xfId="0" applyFont="1" applyFill="1" applyBorder="1" applyAlignment="1" applyProtection="1">
      <alignment horizontal="center" vertical="center" wrapText="1"/>
    </xf>
    <xf numFmtId="0" fontId="5" fillId="2" borderId="28"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2" xfId="0" applyFont="1" applyFill="1" applyBorder="1" applyAlignment="1" applyProtection="1">
      <alignment horizontal="center" vertical="center" wrapText="1"/>
    </xf>
    <xf numFmtId="0" fontId="5" fillId="2" borderId="3" xfId="0" applyFont="1" applyFill="1" applyBorder="1" applyAlignment="1" applyProtection="1">
      <alignment horizontal="center" vertical="center" wrapText="1"/>
    </xf>
    <xf numFmtId="0" fontId="5" fillId="2" borderId="3" xfId="0" applyFont="1" applyFill="1" applyBorder="1" applyAlignment="1">
      <alignment horizontal="center" vertical="center" wrapText="1"/>
    </xf>
    <xf numFmtId="168" fontId="5" fillId="9" borderId="1" xfId="0" applyNumberFormat="1" applyFont="1" applyFill="1" applyBorder="1" applyAlignment="1">
      <alignment horizontal="center" vertical="center"/>
    </xf>
    <xf numFmtId="0" fontId="5" fillId="9" borderId="2" xfId="0" applyFont="1" applyFill="1" applyBorder="1" applyAlignment="1">
      <alignment horizontal="center" vertical="center"/>
    </xf>
    <xf numFmtId="0" fontId="5" fillId="2" borderId="3" xfId="0" applyFont="1" applyFill="1" applyBorder="1" applyAlignment="1" applyProtection="1">
      <alignment horizontal="center" vertical="center"/>
    </xf>
    <xf numFmtId="0" fontId="5" fillId="2" borderId="1" xfId="0" applyFont="1" applyFill="1" applyBorder="1" applyAlignment="1" applyProtection="1">
      <alignment horizontal="center" vertical="center"/>
    </xf>
    <xf numFmtId="37" fontId="5" fillId="0" borderId="3" xfId="0" applyNumberFormat="1"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5" fillId="2" borderId="25" xfId="0" applyFont="1" applyFill="1" applyBorder="1" applyAlignment="1" applyProtection="1">
      <alignment horizontal="center" vertical="center"/>
    </xf>
    <xf numFmtId="0" fontId="5" fillId="0" borderId="25" xfId="0" applyFont="1" applyFill="1" applyBorder="1" applyAlignment="1" applyProtection="1">
      <alignment horizontal="center" vertical="center"/>
    </xf>
    <xf numFmtId="0" fontId="4" fillId="8" borderId="16" xfId="0" applyFont="1" applyFill="1" applyBorder="1" applyAlignment="1" applyProtection="1">
      <alignment horizontal="center" vertical="center"/>
    </xf>
    <xf numFmtId="0" fontId="4" fillId="8" borderId="28" xfId="0" applyFont="1" applyFill="1" applyBorder="1" applyAlignment="1" applyProtection="1">
      <alignment horizontal="center" vertical="center"/>
    </xf>
    <xf numFmtId="0" fontId="4" fillId="8" borderId="10"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protection locked="0"/>
    </xf>
    <xf numFmtId="37" fontId="5" fillId="14" borderId="1" xfId="0" applyNumberFormat="1" applyFont="1" applyFill="1" applyBorder="1" applyAlignment="1" applyProtection="1">
      <alignment horizontal="center" vertical="center"/>
    </xf>
    <xf numFmtId="37" fontId="5" fillId="14" borderId="8" xfId="0" applyNumberFormat="1" applyFont="1" applyFill="1" applyBorder="1" applyAlignment="1" applyProtection="1">
      <alignment horizontal="center" vertical="center"/>
    </xf>
    <xf numFmtId="37" fontId="5" fillId="14" borderId="2" xfId="0" applyNumberFormat="1" applyFont="1" applyFill="1" applyBorder="1" applyAlignment="1" applyProtection="1">
      <alignment horizontal="center" vertical="center"/>
    </xf>
    <xf numFmtId="37" fontId="5" fillId="8" borderId="3" xfId="0" applyNumberFormat="1" applyFont="1" applyFill="1" applyBorder="1" applyAlignment="1" applyProtection="1">
      <alignment horizontal="center" vertical="center"/>
    </xf>
    <xf numFmtId="37" fontId="5" fillId="2" borderId="1" xfId="0" applyNumberFormat="1" applyFont="1" applyFill="1" applyBorder="1" applyAlignment="1" applyProtection="1">
      <alignment horizontal="center" vertical="center"/>
    </xf>
    <xf numFmtId="37" fontId="5" fillId="2" borderId="8" xfId="0" applyNumberFormat="1" applyFont="1" applyFill="1" applyBorder="1" applyAlignment="1" applyProtection="1">
      <alignment horizontal="center" vertical="center"/>
    </xf>
    <xf numFmtId="37" fontId="5" fillId="2" borderId="2" xfId="0" applyNumberFormat="1" applyFont="1" applyFill="1" applyBorder="1" applyAlignment="1" applyProtection="1">
      <alignment horizontal="center" vertical="center"/>
    </xf>
    <xf numFmtId="37" fontId="23" fillId="0" borderId="1" xfId="0" applyNumberFormat="1" applyFont="1" applyFill="1" applyBorder="1" applyAlignment="1" applyProtection="1">
      <alignment horizontal="center" vertical="center" wrapText="1"/>
    </xf>
    <xf numFmtId="37" fontId="23" fillId="0" borderId="8" xfId="0" applyNumberFormat="1" applyFont="1" applyFill="1" applyBorder="1" applyAlignment="1" applyProtection="1">
      <alignment horizontal="center" vertical="center" wrapText="1"/>
    </xf>
    <xf numFmtId="37" fontId="23" fillId="0" borderId="2" xfId="0" applyNumberFormat="1" applyFont="1" applyFill="1" applyBorder="1" applyAlignment="1" applyProtection="1">
      <alignment horizontal="center" vertical="center" wrapText="1"/>
    </xf>
    <xf numFmtId="37" fontId="5" fillId="6" borderId="1" xfId="0" applyNumberFormat="1" applyFont="1" applyFill="1" applyBorder="1" applyAlignment="1" applyProtection="1">
      <alignment horizontal="center" vertical="center"/>
    </xf>
    <xf numFmtId="37" fontId="5" fillId="6" borderId="8" xfId="0" applyNumberFormat="1" applyFont="1" applyFill="1" applyBorder="1" applyAlignment="1" applyProtection="1">
      <alignment horizontal="center" vertical="center"/>
    </xf>
    <xf numFmtId="37" fontId="5" fillId="6" borderId="2" xfId="0" applyNumberFormat="1" applyFont="1" applyFill="1" applyBorder="1" applyAlignment="1" applyProtection="1">
      <alignment horizontal="center" vertical="center"/>
    </xf>
    <xf numFmtId="37" fontId="5" fillId="13" borderId="1" xfId="0" applyNumberFormat="1" applyFont="1" applyFill="1" applyBorder="1" applyAlignment="1" applyProtection="1">
      <alignment horizontal="center" vertical="center"/>
    </xf>
    <xf numFmtId="37" fontId="5" fillId="13" borderId="8" xfId="0" applyNumberFormat="1" applyFont="1" applyFill="1" applyBorder="1" applyAlignment="1" applyProtection="1">
      <alignment horizontal="center" vertical="center"/>
    </xf>
    <xf numFmtId="37" fontId="5" fillId="13" borderId="2" xfId="0" applyNumberFormat="1" applyFont="1" applyFill="1" applyBorder="1" applyAlignment="1" applyProtection="1">
      <alignment horizontal="center" vertical="center"/>
    </xf>
    <xf numFmtId="37" fontId="13" fillId="20" borderId="25" xfId="0" applyNumberFormat="1" applyFont="1" applyFill="1" applyBorder="1" applyAlignment="1" applyProtection="1">
      <alignment horizontal="center" vertical="center"/>
    </xf>
    <xf numFmtId="37" fontId="13" fillId="20" borderId="3" xfId="0" applyNumberFormat="1" applyFont="1" applyFill="1" applyBorder="1" applyAlignment="1" applyProtection="1">
      <alignment horizontal="center" vertical="center"/>
    </xf>
    <xf numFmtId="0" fontId="5" fillId="8" borderId="1" xfId="0" applyFont="1" applyFill="1" applyBorder="1" applyAlignment="1" applyProtection="1">
      <alignment horizontal="left" vertical="center"/>
    </xf>
    <xf numFmtId="0" fontId="5" fillId="8" borderId="8" xfId="0" applyFont="1" applyFill="1" applyBorder="1" applyAlignment="1" applyProtection="1">
      <alignment horizontal="left" vertical="center"/>
    </xf>
    <xf numFmtId="37" fontId="5" fillId="5" borderId="1" xfId="0" applyNumberFormat="1" applyFont="1" applyFill="1" applyBorder="1" applyAlignment="1" applyProtection="1">
      <alignment horizontal="center" vertical="center"/>
    </xf>
    <xf numFmtId="37" fontId="5" fillId="5" borderId="8" xfId="0" applyNumberFormat="1" applyFont="1" applyFill="1" applyBorder="1" applyAlignment="1" applyProtection="1">
      <alignment horizontal="center" vertical="center"/>
    </xf>
    <xf numFmtId="37" fontId="5" fillId="5" borderId="2" xfId="0" applyNumberFormat="1" applyFont="1" applyFill="1" applyBorder="1" applyAlignment="1" applyProtection="1">
      <alignment horizontal="center" vertical="center"/>
    </xf>
    <xf numFmtId="0" fontId="5" fillId="8" borderId="1" xfId="0" applyFont="1" applyFill="1" applyBorder="1" applyAlignment="1" applyProtection="1">
      <alignment horizontal="left" vertical="center" wrapText="1"/>
    </xf>
    <xf numFmtId="0" fontId="5" fillId="8" borderId="8" xfId="0" applyFont="1" applyFill="1" applyBorder="1" applyAlignment="1" applyProtection="1">
      <alignment horizontal="left" vertical="center" wrapText="1"/>
    </xf>
    <xf numFmtId="37" fontId="5" fillId="7" borderId="1" xfId="0" applyNumberFormat="1" applyFont="1" applyFill="1" applyBorder="1" applyAlignment="1" applyProtection="1">
      <alignment horizontal="center" vertical="center"/>
    </xf>
    <xf numFmtId="37" fontId="5" fillId="7" borderId="8" xfId="0" applyNumberFormat="1" applyFont="1" applyFill="1" applyBorder="1" applyAlignment="1" applyProtection="1">
      <alignment horizontal="center" vertical="center"/>
    </xf>
    <xf numFmtId="37" fontId="5" fillId="7" borderId="2" xfId="0" applyNumberFormat="1" applyFont="1" applyFill="1" applyBorder="1" applyAlignment="1" applyProtection="1">
      <alignment horizontal="center" vertical="center"/>
    </xf>
    <xf numFmtId="37" fontId="5" fillId="20" borderId="3" xfId="0" applyNumberFormat="1" applyFont="1" applyFill="1" applyBorder="1" applyAlignment="1" applyProtection="1">
      <alignment horizontal="center" vertical="center"/>
    </xf>
    <xf numFmtId="0" fontId="6" fillId="8" borderId="1" xfId="0" applyFont="1" applyFill="1" applyBorder="1" applyAlignment="1" applyProtection="1">
      <alignment horizontal="left" vertical="center" wrapText="1"/>
    </xf>
    <xf numFmtId="0" fontId="6" fillId="8" borderId="8" xfId="0" applyFont="1" applyFill="1" applyBorder="1" applyAlignment="1" applyProtection="1">
      <alignment horizontal="left" vertical="center" wrapText="1"/>
    </xf>
    <xf numFmtId="0" fontId="6" fillId="8" borderId="2" xfId="0" applyFont="1" applyFill="1" applyBorder="1" applyAlignment="1" applyProtection="1">
      <alignment horizontal="left" vertical="center" wrapText="1"/>
    </xf>
    <xf numFmtId="0" fontId="6" fillId="8" borderId="3" xfId="0" applyFont="1" applyFill="1" applyBorder="1" applyAlignment="1" applyProtection="1">
      <alignment horizontal="center" vertical="center" wrapText="1"/>
    </xf>
    <xf numFmtId="0" fontId="6" fillId="8" borderId="3" xfId="0" applyFont="1" applyFill="1" applyBorder="1" applyAlignment="1" applyProtection="1">
      <alignment horizontal="center" vertical="center"/>
    </xf>
    <xf numFmtId="9" fontId="11" fillId="18" borderId="16" xfId="1" applyFont="1" applyFill="1" applyBorder="1" applyAlignment="1" applyProtection="1">
      <alignment horizontal="center" vertical="center"/>
    </xf>
    <xf numFmtId="9" fontId="11" fillId="18" borderId="10" xfId="1" applyFont="1" applyFill="1" applyBorder="1" applyAlignment="1" applyProtection="1">
      <alignment horizontal="center" vertical="center"/>
    </xf>
    <xf numFmtId="9" fontId="11" fillId="18" borderId="28" xfId="1" applyFont="1" applyFill="1" applyBorder="1" applyAlignment="1" applyProtection="1">
      <alignment horizontal="center" vertical="center"/>
    </xf>
    <xf numFmtId="168" fontId="11" fillId="18" borderId="16" xfId="0" applyNumberFormat="1" applyFont="1" applyFill="1" applyBorder="1" applyAlignment="1" applyProtection="1">
      <alignment horizontal="center" vertical="center"/>
    </xf>
    <xf numFmtId="168" fontId="11" fillId="18" borderId="10" xfId="0" applyNumberFormat="1" applyFont="1" applyFill="1" applyBorder="1" applyAlignment="1" applyProtection="1">
      <alignment horizontal="center" vertical="center"/>
    </xf>
    <xf numFmtId="168" fontId="11" fillId="18" borderId="28" xfId="0" applyNumberFormat="1" applyFont="1" applyFill="1" applyBorder="1" applyAlignment="1" applyProtection="1">
      <alignment horizontal="center" vertical="center"/>
    </xf>
  </cellXfs>
  <cellStyles count="5">
    <cellStyle name="Comma" xfId="3" builtinId="3"/>
    <cellStyle name="Excel Built-in Normal" xfId="4"/>
    <cellStyle name="Normal" xfId="0" builtinId="0"/>
    <cellStyle name="Normal 2" xfId="2"/>
    <cellStyle name="Percent" xfId="1" builtinId="5"/>
  </cellStyles>
  <dxfs count="112">
    <dxf>
      <fill>
        <patternFill>
          <bgColor rgb="FF008000"/>
        </patternFill>
      </fill>
    </dxf>
    <dxf>
      <fill>
        <patternFill>
          <bgColor rgb="FFFF0000"/>
        </patternFill>
      </fill>
    </dxf>
    <dxf>
      <fill>
        <patternFill>
          <bgColor rgb="FFF3800D"/>
        </patternFill>
      </fill>
    </dxf>
    <dxf>
      <fill>
        <patternFill patternType="none">
          <bgColor auto="1"/>
        </patternFill>
      </fill>
    </dxf>
    <dxf>
      <fill>
        <patternFill>
          <bgColor rgb="FF009900"/>
        </patternFill>
      </fill>
    </dxf>
    <dxf>
      <fill>
        <patternFill>
          <bgColor rgb="FFFF0000"/>
        </patternFill>
      </fill>
    </dxf>
    <dxf>
      <fill>
        <patternFill>
          <bgColor rgb="FFFFC000"/>
        </patternFill>
      </fill>
    </dxf>
    <dxf>
      <fill>
        <patternFill patternType="none">
          <bgColor auto="1"/>
        </patternFill>
      </fill>
    </dxf>
    <dxf>
      <fill>
        <patternFill>
          <bgColor rgb="FF009900"/>
        </patternFill>
      </fill>
    </dxf>
    <dxf>
      <fill>
        <patternFill>
          <bgColor rgb="FFFF0000"/>
        </patternFill>
      </fill>
    </dxf>
    <dxf>
      <fill>
        <patternFill>
          <bgColor rgb="FFFFC000"/>
        </patternFill>
      </fill>
    </dxf>
    <dxf>
      <fill>
        <patternFill patternType="none">
          <bgColor auto="1"/>
        </patternFill>
      </fill>
    </dxf>
    <dxf>
      <fill>
        <patternFill>
          <bgColor rgb="FF008000"/>
        </patternFill>
      </fill>
    </dxf>
    <dxf>
      <fill>
        <patternFill>
          <bgColor rgb="FFFF0000"/>
        </patternFill>
      </fill>
    </dxf>
    <dxf>
      <fill>
        <patternFill>
          <bgColor rgb="FFF3800D"/>
        </patternFill>
      </fill>
    </dxf>
    <dxf>
      <fill>
        <patternFill patternType="none">
          <bgColor auto="1"/>
        </patternFill>
      </fill>
    </dxf>
    <dxf>
      <fill>
        <patternFill>
          <bgColor rgb="FF009900"/>
        </patternFill>
      </fill>
    </dxf>
    <dxf>
      <fill>
        <patternFill>
          <bgColor rgb="FFFF0000"/>
        </patternFill>
      </fill>
    </dxf>
    <dxf>
      <fill>
        <patternFill>
          <bgColor rgb="FFFFC000"/>
        </patternFill>
      </fill>
    </dxf>
    <dxf>
      <fill>
        <patternFill patternType="none">
          <bgColor auto="1"/>
        </patternFill>
      </fill>
    </dxf>
    <dxf>
      <fill>
        <patternFill>
          <bgColor rgb="FF009900"/>
        </patternFill>
      </fill>
    </dxf>
    <dxf>
      <fill>
        <patternFill>
          <bgColor rgb="FFFF0000"/>
        </patternFill>
      </fill>
    </dxf>
    <dxf>
      <fill>
        <patternFill>
          <bgColor rgb="FFFFC000"/>
        </patternFill>
      </fill>
    </dxf>
    <dxf>
      <fill>
        <patternFill patternType="none">
          <bgColor auto="1"/>
        </patternFill>
      </fill>
    </dxf>
    <dxf>
      <fill>
        <patternFill>
          <bgColor rgb="FF008000"/>
        </patternFill>
      </fill>
    </dxf>
    <dxf>
      <fill>
        <patternFill>
          <bgColor rgb="FFFF0000"/>
        </patternFill>
      </fill>
    </dxf>
    <dxf>
      <fill>
        <patternFill>
          <bgColor rgb="FFF3800D"/>
        </patternFill>
      </fill>
    </dxf>
    <dxf>
      <fill>
        <patternFill patternType="none">
          <bgColor auto="1"/>
        </patternFill>
      </fill>
    </dxf>
    <dxf>
      <fill>
        <patternFill>
          <bgColor rgb="FF008000"/>
        </patternFill>
      </fill>
    </dxf>
    <dxf>
      <fill>
        <patternFill>
          <bgColor rgb="FFFF0000"/>
        </patternFill>
      </fill>
    </dxf>
    <dxf>
      <fill>
        <patternFill>
          <bgColor rgb="FFF3800D"/>
        </patternFill>
      </fill>
    </dxf>
    <dxf>
      <fill>
        <patternFill patternType="none">
          <bgColor auto="1"/>
        </patternFill>
      </fill>
    </dxf>
    <dxf>
      <fill>
        <patternFill>
          <bgColor rgb="FF008000"/>
        </patternFill>
      </fill>
    </dxf>
    <dxf>
      <fill>
        <patternFill>
          <bgColor rgb="FFFF0000"/>
        </patternFill>
      </fill>
    </dxf>
    <dxf>
      <fill>
        <patternFill>
          <bgColor rgb="FFF3800D"/>
        </patternFill>
      </fill>
    </dxf>
    <dxf>
      <fill>
        <patternFill patternType="none">
          <bgColor auto="1"/>
        </patternFill>
      </fill>
    </dxf>
    <dxf>
      <fill>
        <patternFill>
          <bgColor rgb="FF009900"/>
        </patternFill>
      </fill>
    </dxf>
    <dxf>
      <fill>
        <patternFill>
          <bgColor rgb="FFFF0000"/>
        </patternFill>
      </fill>
    </dxf>
    <dxf>
      <fill>
        <patternFill>
          <bgColor rgb="FFFFC000"/>
        </patternFill>
      </fill>
    </dxf>
    <dxf>
      <fill>
        <patternFill patternType="none">
          <bgColor auto="1"/>
        </patternFill>
      </fill>
    </dxf>
    <dxf>
      <fill>
        <patternFill>
          <bgColor rgb="FF009900"/>
        </patternFill>
      </fill>
    </dxf>
    <dxf>
      <fill>
        <patternFill>
          <bgColor rgb="FFFF0000"/>
        </patternFill>
      </fill>
    </dxf>
    <dxf>
      <fill>
        <patternFill>
          <bgColor rgb="FFFFC000"/>
        </patternFill>
      </fill>
    </dxf>
    <dxf>
      <fill>
        <patternFill patternType="none">
          <bgColor auto="1"/>
        </patternFill>
      </fill>
    </dxf>
    <dxf>
      <fill>
        <patternFill>
          <bgColor rgb="FF009900"/>
        </patternFill>
      </fill>
    </dxf>
    <dxf>
      <fill>
        <patternFill>
          <bgColor rgb="FFFF0000"/>
        </patternFill>
      </fill>
    </dxf>
    <dxf>
      <fill>
        <patternFill>
          <bgColor rgb="FFFFC000"/>
        </patternFill>
      </fill>
    </dxf>
    <dxf>
      <fill>
        <patternFill patternType="none">
          <bgColor auto="1"/>
        </patternFill>
      </fill>
    </dxf>
    <dxf>
      <fill>
        <patternFill>
          <bgColor rgb="FF009900"/>
        </patternFill>
      </fill>
    </dxf>
    <dxf>
      <fill>
        <patternFill>
          <bgColor rgb="FFFF0000"/>
        </patternFill>
      </fill>
    </dxf>
    <dxf>
      <fill>
        <patternFill>
          <bgColor rgb="FFFFC000"/>
        </patternFill>
      </fill>
    </dxf>
    <dxf>
      <fill>
        <patternFill patternType="none">
          <bgColor auto="1"/>
        </patternFill>
      </fill>
    </dxf>
    <dxf>
      <fill>
        <patternFill>
          <bgColor rgb="FF008000"/>
        </patternFill>
      </fill>
    </dxf>
    <dxf>
      <fill>
        <patternFill>
          <bgColor rgb="FFFF0000"/>
        </patternFill>
      </fill>
    </dxf>
    <dxf>
      <fill>
        <patternFill>
          <bgColor rgb="FFF3800D"/>
        </patternFill>
      </fill>
    </dxf>
    <dxf>
      <fill>
        <patternFill patternType="none">
          <bgColor auto="1"/>
        </patternFill>
      </fill>
    </dxf>
    <dxf>
      <fill>
        <patternFill>
          <bgColor rgb="FF009900"/>
        </patternFill>
      </fill>
    </dxf>
    <dxf>
      <fill>
        <patternFill>
          <bgColor rgb="FFFF0000"/>
        </patternFill>
      </fill>
    </dxf>
    <dxf>
      <fill>
        <patternFill>
          <bgColor rgb="FFFFC000"/>
        </patternFill>
      </fill>
    </dxf>
    <dxf>
      <fill>
        <patternFill patternType="none">
          <bgColor auto="1"/>
        </patternFill>
      </fill>
    </dxf>
    <dxf>
      <fill>
        <patternFill>
          <bgColor rgb="FF009900"/>
        </patternFill>
      </fill>
    </dxf>
    <dxf>
      <fill>
        <patternFill>
          <bgColor rgb="FFFF0000"/>
        </patternFill>
      </fill>
    </dxf>
    <dxf>
      <fill>
        <patternFill>
          <bgColor rgb="FFFFC000"/>
        </patternFill>
      </fill>
    </dxf>
    <dxf>
      <fill>
        <patternFill patternType="none">
          <bgColor auto="1"/>
        </patternFill>
      </fill>
    </dxf>
    <dxf>
      <fill>
        <patternFill patternType="none">
          <bgColor auto="1"/>
        </patternFill>
      </fill>
    </dxf>
    <dxf>
      <fill>
        <patternFill>
          <bgColor rgb="FF008000"/>
        </patternFill>
      </fill>
    </dxf>
    <dxf>
      <fill>
        <patternFill>
          <bgColor rgb="FFFF0000"/>
        </patternFill>
      </fill>
    </dxf>
    <dxf>
      <fill>
        <patternFill>
          <bgColor rgb="FFFFC000"/>
        </patternFill>
      </fill>
    </dxf>
    <dxf>
      <fill>
        <patternFill patternType="none">
          <bgColor auto="1"/>
        </patternFill>
      </fill>
    </dxf>
    <dxf>
      <fill>
        <patternFill>
          <bgColor rgb="FF008000"/>
        </patternFill>
      </fill>
    </dxf>
    <dxf>
      <fill>
        <patternFill>
          <bgColor rgb="FFFF0000"/>
        </patternFill>
      </fill>
    </dxf>
    <dxf>
      <fill>
        <patternFill>
          <bgColor rgb="FFFFC000"/>
        </patternFill>
      </fill>
    </dxf>
    <dxf>
      <fill>
        <patternFill patternType="none">
          <bgColor auto="1"/>
        </patternFill>
      </fill>
    </dxf>
    <dxf>
      <fill>
        <patternFill>
          <bgColor rgb="FF008000"/>
        </patternFill>
      </fill>
    </dxf>
    <dxf>
      <fill>
        <patternFill>
          <bgColor rgb="FFFF0000"/>
        </patternFill>
      </fill>
    </dxf>
    <dxf>
      <fill>
        <patternFill>
          <bgColor rgb="FFFFC000"/>
        </patternFill>
      </fill>
    </dxf>
    <dxf>
      <fill>
        <patternFill patternType="none">
          <bgColor auto="1"/>
        </patternFill>
      </fill>
    </dxf>
    <dxf>
      <fill>
        <patternFill>
          <bgColor rgb="FF008000"/>
        </patternFill>
      </fill>
    </dxf>
    <dxf>
      <fill>
        <patternFill>
          <bgColor rgb="FFFF0000"/>
        </patternFill>
      </fill>
    </dxf>
    <dxf>
      <fill>
        <patternFill>
          <bgColor rgb="FFFFC000"/>
        </patternFill>
      </fill>
    </dxf>
    <dxf>
      <fill>
        <patternFill patternType="none">
          <bgColor auto="1"/>
        </patternFill>
      </fill>
    </dxf>
    <dxf>
      <fill>
        <patternFill>
          <bgColor rgb="FF008000"/>
        </patternFill>
      </fill>
    </dxf>
    <dxf>
      <fill>
        <patternFill>
          <bgColor rgb="FFFF0000"/>
        </patternFill>
      </fill>
    </dxf>
    <dxf>
      <fill>
        <patternFill>
          <bgColor rgb="FFFFC000"/>
        </patternFill>
      </fill>
    </dxf>
    <dxf>
      <fill>
        <patternFill>
          <bgColor rgb="FF008000"/>
        </patternFill>
      </fill>
    </dxf>
    <dxf>
      <fill>
        <patternFill>
          <bgColor rgb="FFFF0000"/>
        </patternFill>
      </fill>
    </dxf>
    <dxf>
      <fill>
        <patternFill>
          <bgColor rgb="FFFFC000"/>
        </patternFill>
      </fill>
    </dxf>
    <dxf>
      <fill>
        <patternFill patternType="none">
          <bgColor auto="1"/>
        </patternFill>
      </fill>
    </dxf>
    <dxf>
      <fill>
        <patternFill>
          <bgColor rgb="FF008000"/>
        </patternFill>
      </fill>
    </dxf>
    <dxf>
      <fill>
        <patternFill>
          <bgColor rgb="FFFF0000"/>
        </patternFill>
      </fill>
    </dxf>
    <dxf>
      <fill>
        <patternFill>
          <bgColor rgb="FFFFC000"/>
        </patternFill>
      </fill>
    </dxf>
    <dxf>
      <fill>
        <patternFill patternType="none">
          <bgColor auto="1"/>
        </patternFill>
      </fill>
    </dxf>
    <dxf>
      <fill>
        <patternFill patternType="none">
          <bgColor auto="1"/>
        </patternFill>
      </fill>
    </dxf>
    <dxf>
      <fill>
        <patternFill>
          <bgColor rgb="FF008000"/>
        </patternFill>
      </fill>
    </dxf>
    <dxf>
      <fill>
        <patternFill>
          <bgColor rgb="FFFF0000"/>
        </patternFill>
      </fill>
    </dxf>
    <dxf>
      <fill>
        <patternFill>
          <bgColor rgb="FFFFC000"/>
        </patternFill>
      </fill>
    </dxf>
    <dxf>
      <fill>
        <patternFill>
          <bgColor rgb="FF008000"/>
        </patternFill>
      </fill>
    </dxf>
    <dxf>
      <fill>
        <patternFill>
          <bgColor rgb="FFFF0000"/>
        </patternFill>
      </fill>
    </dxf>
    <dxf>
      <fill>
        <patternFill>
          <bgColor rgb="FFFFC000"/>
        </patternFill>
      </fill>
    </dxf>
    <dxf>
      <fill>
        <patternFill patternType="none">
          <bgColor auto="1"/>
        </patternFill>
      </fill>
    </dxf>
    <dxf>
      <fill>
        <patternFill>
          <bgColor rgb="FF008000"/>
        </patternFill>
      </fill>
    </dxf>
    <dxf>
      <fill>
        <patternFill>
          <bgColor rgb="FFFF0000"/>
        </patternFill>
      </fill>
    </dxf>
    <dxf>
      <fill>
        <patternFill>
          <bgColor rgb="FFFFC000"/>
        </patternFill>
      </fill>
    </dxf>
    <dxf>
      <fill>
        <patternFill patternType="none">
          <bgColor auto="1"/>
        </patternFill>
      </fill>
    </dxf>
    <dxf>
      <fill>
        <patternFill>
          <bgColor rgb="FF008000"/>
        </patternFill>
      </fill>
    </dxf>
    <dxf>
      <fill>
        <patternFill>
          <bgColor rgb="FFFF0000"/>
        </patternFill>
      </fill>
    </dxf>
    <dxf>
      <fill>
        <patternFill>
          <bgColor rgb="FFFFC000"/>
        </patternFill>
      </fill>
    </dxf>
    <dxf>
      <fill>
        <patternFill patternType="none">
          <bgColor auto="1"/>
        </patternFill>
      </fill>
    </dxf>
    <dxf>
      <fill>
        <patternFill>
          <bgColor rgb="FF008000"/>
        </patternFill>
      </fill>
    </dxf>
    <dxf>
      <fill>
        <patternFill>
          <bgColor rgb="FFFF0000"/>
        </patternFill>
      </fill>
    </dxf>
    <dxf>
      <fill>
        <patternFill>
          <bgColor rgb="FFFFC000"/>
        </patternFill>
      </fill>
    </dxf>
    <dxf>
      <fill>
        <patternFill patternType="none">
          <bgColor auto="1"/>
        </patternFill>
      </fill>
    </dxf>
  </dxfs>
  <tableStyles count="0" defaultTableStyle="TableStyleMedium2" defaultPivotStyle="PivotStyleLight16"/>
  <colors>
    <mruColors>
      <color rgb="FFFFFF66"/>
      <color rgb="FFFFCCFF"/>
      <color rgb="FF008000"/>
      <color rgb="FF99CCFF"/>
      <color rgb="FF99FF99"/>
      <color rgb="FF66FF66"/>
      <color rgb="FF76933C"/>
      <color rgb="FF538DD5"/>
      <color rgb="FFFF9B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D53"/>
  <sheetViews>
    <sheetView workbookViewId="0">
      <selection activeCell="B19" sqref="B19"/>
    </sheetView>
  </sheetViews>
  <sheetFormatPr defaultRowHeight="15" x14ac:dyDescent="0.25"/>
  <cols>
    <col min="1" max="1" width="16.7109375" style="441" customWidth="1"/>
    <col min="2" max="2" width="22.42578125" style="441" bestFit="1" customWidth="1"/>
    <col min="3" max="4" width="20.7109375" style="441" customWidth="1"/>
    <col min="5" max="16384" width="9.140625" style="441"/>
  </cols>
  <sheetData>
    <row r="1" spans="1:4" ht="18.75" x14ac:dyDescent="0.25">
      <c r="A1" s="1" t="s">
        <v>363</v>
      </c>
    </row>
    <row r="2" spans="1:4" ht="18.75" x14ac:dyDescent="0.25">
      <c r="A2" s="5" t="s">
        <v>0</v>
      </c>
    </row>
    <row r="4" spans="1:4" ht="21" x14ac:dyDescent="0.25">
      <c r="A4" s="443" t="s">
        <v>819</v>
      </c>
    </row>
    <row r="7" spans="1:4" ht="18" customHeight="1" x14ac:dyDescent="0.25">
      <c r="A7" s="431" t="s">
        <v>760</v>
      </c>
      <c r="B7" s="433" t="s">
        <v>761</v>
      </c>
      <c r="C7" s="433" t="s">
        <v>761</v>
      </c>
      <c r="D7" s="433" t="s">
        <v>762</v>
      </c>
    </row>
    <row r="8" spans="1:4" ht="18" customHeight="1" x14ac:dyDescent="0.25">
      <c r="B8" s="438" t="s">
        <v>830</v>
      </c>
      <c r="C8" s="438" t="s">
        <v>763</v>
      </c>
      <c r="D8" s="438" t="s">
        <v>764</v>
      </c>
    </row>
    <row r="9" spans="1:4" ht="18" customHeight="1" x14ac:dyDescent="0.25">
      <c r="B9" s="438"/>
      <c r="C9" s="438" t="s">
        <v>763</v>
      </c>
      <c r="D9" s="438" t="s">
        <v>765</v>
      </c>
    </row>
    <row r="10" spans="1:4" ht="18" customHeight="1" x14ac:dyDescent="0.25">
      <c r="B10" s="442" t="s">
        <v>831</v>
      </c>
      <c r="C10" s="442" t="s">
        <v>766</v>
      </c>
      <c r="D10" s="442" t="s">
        <v>767</v>
      </c>
    </row>
    <row r="11" spans="1:4" ht="18" customHeight="1" x14ac:dyDescent="0.25">
      <c r="B11" s="442"/>
      <c r="C11" s="442" t="s">
        <v>766</v>
      </c>
      <c r="D11" s="435" t="s">
        <v>768</v>
      </c>
    </row>
    <row r="12" spans="1:4" ht="18" customHeight="1" x14ac:dyDescent="0.25">
      <c r="B12" s="438" t="s">
        <v>832</v>
      </c>
      <c r="C12" s="438" t="s">
        <v>769</v>
      </c>
      <c r="D12" s="438" t="s">
        <v>770</v>
      </c>
    </row>
    <row r="13" spans="1:4" ht="18" customHeight="1" x14ac:dyDescent="0.25">
      <c r="B13" s="435" t="s">
        <v>833</v>
      </c>
      <c r="C13" s="435" t="s">
        <v>771</v>
      </c>
      <c r="D13" s="435" t="s">
        <v>772</v>
      </c>
    </row>
    <row r="14" spans="1:4" ht="18" customHeight="1" x14ac:dyDescent="0.25">
      <c r="B14" s="435"/>
      <c r="C14" s="435" t="s">
        <v>771</v>
      </c>
      <c r="D14" s="435" t="s">
        <v>773</v>
      </c>
    </row>
    <row r="15" spans="1:4" ht="18" customHeight="1" x14ac:dyDescent="0.25">
      <c r="B15" s="438" t="s">
        <v>834</v>
      </c>
      <c r="C15" s="438" t="s">
        <v>774</v>
      </c>
      <c r="D15" s="438" t="s">
        <v>775</v>
      </c>
    </row>
    <row r="16" spans="1:4" ht="18" customHeight="1" x14ac:dyDescent="0.25">
      <c r="B16" s="438"/>
      <c r="C16" s="438" t="s">
        <v>774</v>
      </c>
      <c r="D16" s="438" t="s">
        <v>776</v>
      </c>
    </row>
    <row r="17" spans="1:4" ht="18" customHeight="1" x14ac:dyDescent="0.25">
      <c r="B17" s="438"/>
      <c r="C17" s="438" t="s">
        <v>774</v>
      </c>
      <c r="D17" s="438" t="s">
        <v>777</v>
      </c>
    </row>
    <row r="18" spans="1:4" ht="18" customHeight="1" x14ac:dyDescent="0.25">
      <c r="B18" s="437" t="s">
        <v>835</v>
      </c>
      <c r="C18" s="437" t="s">
        <v>778</v>
      </c>
      <c r="D18" s="435" t="s">
        <v>779</v>
      </c>
    </row>
    <row r="19" spans="1:4" ht="18" customHeight="1" x14ac:dyDescent="0.25">
      <c r="B19" s="437"/>
      <c r="C19" s="437" t="s">
        <v>778</v>
      </c>
      <c r="D19" s="435" t="s">
        <v>780</v>
      </c>
    </row>
    <row r="20" spans="1:4" ht="18" customHeight="1" x14ac:dyDescent="0.25">
      <c r="A20" s="432" t="s">
        <v>818</v>
      </c>
      <c r="B20" s="434">
        <f>COUNTA(B8:B19)</f>
        <v>6</v>
      </c>
      <c r="C20" s="434">
        <f>B20</f>
        <v>6</v>
      </c>
      <c r="D20" s="434">
        <f>COUNTA(D8:D19)</f>
        <v>12</v>
      </c>
    </row>
    <row r="21" spans="1:4" ht="18" customHeight="1" x14ac:dyDescent="0.25"/>
    <row r="22" spans="1:4" ht="18" customHeight="1" x14ac:dyDescent="0.25"/>
    <row r="23" spans="1:4" ht="18" customHeight="1" x14ac:dyDescent="0.25">
      <c r="A23" s="431" t="s">
        <v>781</v>
      </c>
      <c r="B23" s="433" t="s">
        <v>761</v>
      </c>
      <c r="C23" s="433" t="s">
        <v>761</v>
      </c>
      <c r="D23" s="433" t="s">
        <v>762</v>
      </c>
    </row>
    <row r="24" spans="1:4" ht="18" customHeight="1" x14ac:dyDescent="0.25">
      <c r="B24" s="438" t="s">
        <v>782</v>
      </c>
      <c r="C24" s="438" t="s">
        <v>782</v>
      </c>
      <c r="D24" s="438" t="s">
        <v>782</v>
      </c>
    </row>
    <row r="25" spans="1:4" ht="18" customHeight="1" x14ac:dyDescent="0.25">
      <c r="B25" s="438"/>
      <c r="C25" s="438" t="s">
        <v>782</v>
      </c>
      <c r="D25" s="438" t="s">
        <v>783</v>
      </c>
    </row>
    <row r="26" spans="1:4" ht="18" customHeight="1" x14ac:dyDescent="0.25">
      <c r="B26" s="435" t="s">
        <v>784</v>
      </c>
      <c r="C26" s="435" t="s">
        <v>784</v>
      </c>
      <c r="D26" s="435" t="s">
        <v>785</v>
      </c>
    </row>
    <row r="27" spans="1:4" ht="18" customHeight="1" x14ac:dyDescent="0.25">
      <c r="B27" s="435"/>
      <c r="C27" s="435" t="s">
        <v>784</v>
      </c>
      <c r="D27" s="435" t="s">
        <v>786</v>
      </c>
    </row>
    <row r="28" spans="1:4" ht="18" customHeight="1" x14ac:dyDescent="0.25">
      <c r="B28" s="438" t="s">
        <v>787</v>
      </c>
      <c r="C28" s="438" t="s">
        <v>787</v>
      </c>
      <c r="D28" s="438" t="s">
        <v>788</v>
      </c>
    </row>
    <row r="29" spans="1:4" ht="18" customHeight="1" x14ac:dyDescent="0.25">
      <c r="B29" s="438"/>
      <c r="C29" s="438" t="s">
        <v>787</v>
      </c>
      <c r="D29" s="438" t="s">
        <v>789</v>
      </c>
    </row>
    <row r="30" spans="1:4" ht="18" customHeight="1" x14ac:dyDescent="0.25">
      <c r="B30" s="435" t="s">
        <v>790</v>
      </c>
      <c r="C30" s="435" t="s">
        <v>790</v>
      </c>
      <c r="D30" s="435" t="s">
        <v>791</v>
      </c>
    </row>
    <row r="31" spans="1:4" ht="18" customHeight="1" x14ac:dyDescent="0.25">
      <c r="B31" s="435"/>
      <c r="C31" s="435" t="s">
        <v>790</v>
      </c>
      <c r="D31" s="435" t="s">
        <v>790</v>
      </c>
    </row>
    <row r="32" spans="1:4" ht="18" customHeight="1" x14ac:dyDescent="0.25">
      <c r="B32" s="438" t="s">
        <v>792</v>
      </c>
      <c r="C32" s="438" t="s">
        <v>792</v>
      </c>
      <c r="D32" s="438" t="s">
        <v>793</v>
      </c>
    </row>
    <row r="33" spans="1:4" ht="18" customHeight="1" x14ac:dyDescent="0.25">
      <c r="B33" s="438"/>
      <c r="C33" s="438" t="s">
        <v>792</v>
      </c>
      <c r="D33" s="438" t="s">
        <v>794</v>
      </c>
    </row>
    <row r="34" spans="1:4" ht="18" customHeight="1" x14ac:dyDescent="0.25">
      <c r="B34" s="435" t="s">
        <v>795</v>
      </c>
      <c r="C34" s="435" t="s">
        <v>795</v>
      </c>
      <c r="D34" s="435" t="s">
        <v>795</v>
      </c>
    </row>
    <row r="35" spans="1:4" ht="18" customHeight="1" x14ac:dyDescent="0.25">
      <c r="B35" s="438" t="s">
        <v>796</v>
      </c>
      <c r="C35" s="438" t="s">
        <v>796</v>
      </c>
      <c r="D35" s="438" t="s">
        <v>797</v>
      </c>
    </row>
    <row r="36" spans="1:4" ht="18" customHeight="1" x14ac:dyDescent="0.25">
      <c r="B36" s="438"/>
      <c r="C36" s="438" t="s">
        <v>796</v>
      </c>
      <c r="D36" s="438" t="s">
        <v>798</v>
      </c>
    </row>
    <row r="37" spans="1:4" ht="18" customHeight="1" x14ac:dyDescent="0.25">
      <c r="A37" s="432" t="s">
        <v>818</v>
      </c>
      <c r="B37" s="434">
        <f>COUNTA(B24:B36)</f>
        <v>7</v>
      </c>
      <c r="C37" s="434">
        <f>B37</f>
        <v>7</v>
      </c>
      <c r="D37" s="434">
        <f>COUNTA(D24:D36)</f>
        <v>13</v>
      </c>
    </row>
    <row r="38" spans="1:4" ht="18" customHeight="1" x14ac:dyDescent="0.25"/>
    <row r="39" spans="1:4" ht="18" customHeight="1" x14ac:dyDescent="0.25"/>
    <row r="40" spans="1:4" ht="18" customHeight="1" x14ac:dyDescent="0.25">
      <c r="A40" s="431" t="s">
        <v>799</v>
      </c>
      <c r="B40" s="433" t="s">
        <v>761</v>
      </c>
      <c r="C40" s="433" t="s">
        <v>761</v>
      </c>
      <c r="D40" s="433" t="s">
        <v>762</v>
      </c>
    </row>
    <row r="41" spans="1:4" ht="18" customHeight="1" x14ac:dyDescent="0.25">
      <c r="B41" s="440" t="s">
        <v>800</v>
      </c>
      <c r="C41" s="440" t="s">
        <v>800</v>
      </c>
      <c r="D41" s="438" t="s">
        <v>801</v>
      </c>
    </row>
    <row r="42" spans="1:4" ht="18" customHeight="1" x14ac:dyDescent="0.25">
      <c r="B42" s="440"/>
      <c r="C42" s="440" t="s">
        <v>800</v>
      </c>
      <c r="D42" s="438" t="s">
        <v>802</v>
      </c>
    </row>
    <row r="43" spans="1:4" ht="18" customHeight="1" x14ac:dyDescent="0.25">
      <c r="B43" s="437" t="s">
        <v>803</v>
      </c>
      <c r="C43" s="437" t="s">
        <v>803</v>
      </c>
      <c r="D43" s="435" t="s">
        <v>804</v>
      </c>
    </row>
    <row r="44" spans="1:4" ht="18" customHeight="1" x14ac:dyDescent="0.25">
      <c r="B44" s="437"/>
      <c r="C44" s="437" t="s">
        <v>803</v>
      </c>
      <c r="D44" s="435" t="s">
        <v>805</v>
      </c>
    </row>
    <row r="45" spans="1:4" ht="18" customHeight="1" x14ac:dyDescent="0.25">
      <c r="B45" s="440" t="s">
        <v>806</v>
      </c>
      <c r="C45" s="440" t="s">
        <v>806</v>
      </c>
      <c r="D45" s="438" t="s">
        <v>807</v>
      </c>
    </row>
    <row r="46" spans="1:4" ht="18" customHeight="1" x14ac:dyDescent="0.25">
      <c r="B46" s="440"/>
      <c r="C46" s="440" t="s">
        <v>806</v>
      </c>
      <c r="D46" s="438" t="s">
        <v>808</v>
      </c>
    </row>
    <row r="47" spans="1:4" ht="18" customHeight="1" x14ac:dyDescent="0.25">
      <c r="B47" s="437" t="s">
        <v>809</v>
      </c>
      <c r="C47" s="437" t="s">
        <v>809</v>
      </c>
      <c r="D47" s="435" t="s">
        <v>810</v>
      </c>
    </row>
    <row r="48" spans="1:4" ht="18" customHeight="1" x14ac:dyDescent="0.25">
      <c r="B48" s="437"/>
      <c r="C48" s="437" t="s">
        <v>809</v>
      </c>
      <c r="D48" s="435" t="s">
        <v>811</v>
      </c>
    </row>
    <row r="49" spans="1:4" ht="18" customHeight="1" x14ac:dyDescent="0.25">
      <c r="B49" s="440" t="s">
        <v>812</v>
      </c>
      <c r="C49" s="440" t="s">
        <v>812</v>
      </c>
      <c r="D49" s="438" t="s">
        <v>813</v>
      </c>
    </row>
    <row r="50" spans="1:4" ht="18" customHeight="1" x14ac:dyDescent="0.25">
      <c r="B50" s="440"/>
      <c r="C50" s="440" t="s">
        <v>812</v>
      </c>
      <c r="D50" s="438" t="s">
        <v>814</v>
      </c>
    </row>
    <row r="51" spans="1:4" ht="18" customHeight="1" x14ac:dyDescent="0.25">
      <c r="B51" s="437" t="s">
        <v>815</v>
      </c>
      <c r="C51" s="437" t="s">
        <v>815</v>
      </c>
      <c r="D51" s="435" t="s">
        <v>816</v>
      </c>
    </row>
    <row r="52" spans="1:4" ht="18" customHeight="1" x14ac:dyDescent="0.25">
      <c r="B52" s="437"/>
      <c r="C52" s="437" t="s">
        <v>815</v>
      </c>
      <c r="D52" s="435" t="s">
        <v>817</v>
      </c>
    </row>
    <row r="53" spans="1:4" ht="18" customHeight="1" x14ac:dyDescent="0.25">
      <c r="A53" s="432" t="s">
        <v>818</v>
      </c>
      <c r="B53" s="434">
        <f>COUNTA(B41:B52)</f>
        <v>6</v>
      </c>
      <c r="C53" s="434">
        <f>B53</f>
        <v>6</v>
      </c>
      <c r="D53" s="434">
        <f>COUNTA(D41:D52)</f>
        <v>12</v>
      </c>
    </row>
  </sheetData>
  <pageMargins left="0.7" right="0.7" top="0.75" bottom="0.75" header="0.3" footer="0.3"/>
  <ignoredErrors>
    <ignoredError sqref="C37 C20 C5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BH840"/>
  <sheetViews>
    <sheetView zoomScale="80" zoomScaleNormal="80" workbookViewId="0">
      <pane xSplit="7" ySplit="11" topLeftCell="H12" activePane="bottomRight" state="frozen"/>
      <selection pane="topRight" activeCell="H1" sqref="H1"/>
      <selection pane="bottomLeft" activeCell="A14" sqref="A14"/>
      <selection pane="bottomRight" activeCell="O5" sqref="O5"/>
    </sheetView>
  </sheetViews>
  <sheetFormatPr defaultRowHeight="17.100000000000001" customHeight="1" x14ac:dyDescent="0.25"/>
  <cols>
    <col min="1" max="2" width="4.7109375" style="2" customWidth="1"/>
    <col min="3" max="3" width="6.7109375" style="2" customWidth="1"/>
    <col min="4" max="4" width="7.7109375" style="3" customWidth="1"/>
    <col min="5" max="5" width="4.7109375" style="3" customWidth="1"/>
    <col min="6" max="6" width="30.7109375" style="4" customWidth="1"/>
    <col min="7" max="7" width="3.7109375" style="4" customWidth="1"/>
    <col min="8" max="8" width="4.42578125" style="138" customWidth="1"/>
    <col min="9" max="9" width="3.7109375" style="97" customWidth="1"/>
    <col min="10" max="21" width="10.7109375" style="6" customWidth="1"/>
    <col min="22" max="23" width="10.7109375" style="339" customWidth="1"/>
    <col min="24" max="24" width="10.7109375" style="6" customWidth="1"/>
    <col min="25" max="25" width="10.7109375" style="7" customWidth="1"/>
    <col min="26" max="29" width="10.7109375" style="3" customWidth="1"/>
    <col min="30" max="30" width="8.7109375" style="3" customWidth="1"/>
    <col min="31" max="33" width="9.7109375" style="8" customWidth="1"/>
    <col min="34" max="34" width="9.7109375" style="7" customWidth="1"/>
    <col min="35" max="35" width="9.7109375" style="3" customWidth="1"/>
    <col min="36" max="36" width="8.7109375" style="117" customWidth="1"/>
    <col min="37" max="39" width="9.7109375" style="8" customWidth="1"/>
    <col min="40" max="40" width="9.7109375" style="7" customWidth="1"/>
    <col min="41" max="41" width="9.7109375" style="3" customWidth="1"/>
    <col min="42" max="42" width="8.7109375" style="117" customWidth="1"/>
    <col min="43" max="45" width="9.7109375" style="8" customWidth="1"/>
    <col min="46" max="46" width="9.7109375" style="7" customWidth="1"/>
    <col min="47" max="47" width="9.7109375" style="3" customWidth="1"/>
    <col min="48" max="48" width="8.7109375" style="117" customWidth="1"/>
    <col min="49" max="51" width="9.7109375" style="8" customWidth="1"/>
    <col min="52" max="52" width="9.7109375" style="7" customWidth="1"/>
    <col min="53" max="53" width="9.7109375" style="3" customWidth="1"/>
    <col min="54" max="16384" width="9.140625" style="3"/>
  </cols>
  <sheetData>
    <row r="1" spans="1:53" ht="17.100000000000001" customHeight="1" x14ac:dyDescent="0.25">
      <c r="A1" s="1" t="s">
        <v>363</v>
      </c>
      <c r="J1" s="5" t="s">
        <v>883</v>
      </c>
      <c r="V1" s="6"/>
      <c r="W1" s="6"/>
    </row>
    <row r="2" spans="1:53" ht="17.100000000000001" customHeight="1" x14ac:dyDescent="0.25">
      <c r="A2" s="1" t="str">
        <f>'STUDY VILLAGES'!U7</f>
        <v>KAMPOT PROVINCE</v>
      </c>
      <c r="J2" s="5"/>
      <c r="V2" s="6"/>
      <c r="W2" s="6"/>
    </row>
    <row r="3" spans="1:53" ht="17.100000000000001" customHeight="1" x14ac:dyDescent="0.25">
      <c r="A3" s="1" t="str">
        <f>'STUDY VILLAGES'!U8</f>
        <v>BANTEAY MEAS DISTRICT</v>
      </c>
      <c r="J3" s="268" t="s">
        <v>555</v>
      </c>
      <c r="K3" s="95"/>
      <c r="L3" s="267" t="str">
        <f>'STUDY VILLAGES'!B10</f>
        <v>SAMRAONG LEU</v>
      </c>
      <c r="M3" s="267"/>
      <c r="V3" s="6"/>
      <c r="W3" s="6"/>
    </row>
    <row r="4" spans="1:53" ht="12.75" x14ac:dyDescent="0.25">
      <c r="A4" s="3"/>
      <c r="B4" s="3"/>
      <c r="C4" s="3"/>
      <c r="F4" s="3"/>
      <c r="G4" s="3"/>
      <c r="H4" s="213"/>
      <c r="J4" s="3"/>
      <c r="K4" s="3"/>
      <c r="L4" s="3"/>
      <c r="M4" s="3"/>
      <c r="N4" s="3"/>
      <c r="O4" s="3"/>
      <c r="P4" s="3"/>
      <c r="V4" s="6"/>
      <c r="W4" s="6"/>
    </row>
    <row r="5" spans="1:53" ht="21" x14ac:dyDescent="0.25">
      <c r="A5" s="1" t="s">
        <v>743</v>
      </c>
      <c r="J5" s="9" t="s">
        <v>1</v>
      </c>
      <c r="K5" s="10"/>
      <c r="L5" s="653"/>
      <c r="M5" s="397"/>
      <c r="N5" s="3"/>
      <c r="O5" s="519" t="s">
        <v>1068</v>
      </c>
      <c r="P5" s="3"/>
      <c r="V5" s="6"/>
      <c r="W5" s="6"/>
    </row>
    <row r="6" spans="1:53" ht="21" customHeight="1" x14ac:dyDescent="0.25">
      <c r="A6" s="444" t="s">
        <v>618</v>
      </c>
      <c r="J6" s="11" t="s">
        <v>2</v>
      </c>
      <c r="K6" s="10"/>
      <c r="L6" s="1379"/>
      <c r="M6" s="1379"/>
      <c r="N6" s="3"/>
      <c r="O6" s="3"/>
      <c r="P6" s="3"/>
      <c r="V6" s="6"/>
      <c r="W6" s="6"/>
    </row>
    <row r="7" spans="1:53" ht="9.9499999999999993" customHeight="1" x14ac:dyDescent="0.25">
      <c r="A7" s="12"/>
      <c r="B7" s="13"/>
      <c r="C7" s="14"/>
      <c r="D7" s="15"/>
      <c r="E7" s="16"/>
      <c r="F7" s="16"/>
      <c r="G7" s="16"/>
      <c r="H7" s="214"/>
      <c r="I7" s="16"/>
      <c r="V7" s="6"/>
      <c r="W7" s="6"/>
    </row>
    <row r="8" spans="1:53" ht="17.100000000000001" customHeight="1" x14ac:dyDescent="0.25">
      <c r="D8" s="2"/>
      <c r="E8" s="2"/>
      <c r="F8" s="21"/>
      <c r="G8" s="21"/>
      <c r="H8" s="12"/>
      <c r="I8" s="138"/>
      <c r="J8" s="1384" t="s">
        <v>541</v>
      </c>
      <c r="K8" s="1385"/>
      <c r="L8" s="1385"/>
      <c r="M8" s="1386"/>
      <c r="N8" s="1384" t="s">
        <v>364</v>
      </c>
      <c r="O8" s="1385"/>
      <c r="P8" s="1386"/>
      <c r="Q8" s="1384" t="s">
        <v>365</v>
      </c>
      <c r="R8" s="1385"/>
      <c r="S8" s="1386"/>
      <c r="T8" s="1384" t="s">
        <v>366</v>
      </c>
      <c r="U8" s="1385"/>
      <c r="V8" s="1385"/>
      <c r="W8" s="1396" t="s">
        <v>4</v>
      </c>
      <c r="X8" s="1397"/>
      <c r="Y8" s="1397"/>
      <c r="AE8" s="1383" t="s">
        <v>731</v>
      </c>
      <c r="AF8" s="1383"/>
      <c r="AG8" s="1383"/>
      <c r="AH8" s="1383"/>
      <c r="AI8" s="1383"/>
      <c r="AJ8" s="1383"/>
      <c r="AK8" s="1383"/>
      <c r="AL8" s="1383"/>
      <c r="AM8" s="1383"/>
      <c r="AN8" s="1383"/>
      <c r="AO8" s="1383"/>
      <c r="AP8" s="3"/>
      <c r="AV8" s="3"/>
    </row>
    <row r="9" spans="1:53" ht="17.100000000000001" customHeight="1" x14ac:dyDescent="0.25">
      <c r="D9" s="2"/>
      <c r="E9" s="2"/>
      <c r="F9" s="21"/>
      <c r="G9" s="21"/>
      <c r="H9" s="12"/>
      <c r="I9" s="138"/>
      <c r="J9" s="1384" t="s">
        <v>542</v>
      </c>
      <c r="K9" s="1385"/>
      <c r="L9" s="1385"/>
      <c r="M9" s="1386"/>
      <c r="N9" s="1387" t="str">
        <f>'STUDY VILLAGES'!C10</f>
        <v>Bra Phung (substitute)</v>
      </c>
      <c r="O9" s="1388"/>
      <c r="P9" s="1389"/>
      <c r="Q9" s="1387" t="str">
        <f>'STUDY VILLAGES'!F10</f>
        <v>Damnak trayeong (substitute)</v>
      </c>
      <c r="R9" s="1388"/>
      <c r="S9" s="1389"/>
      <c r="T9" s="1387">
        <f>'STUDY VILLAGES'!I10</f>
        <v>0</v>
      </c>
      <c r="U9" s="1388"/>
      <c r="V9" s="1389"/>
      <c r="W9" s="1396"/>
      <c r="X9" s="1397"/>
      <c r="Y9" s="1397"/>
      <c r="AB9" s="513" t="s">
        <v>900</v>
      </c>
      <c r="AC9" s="514">
        <f>SUM(AA10:AC10)</f>
        <v>2</v>
      </c>
    </row>
    <row r="10" spans="1:53" ht="17.100000000000001" customHeight="1" x14ac:dyDescent="0.25">
      <c r="A10" s="21"/>
      <c r="B10" s="21"/>
      <c r="C10" s="21"/>
      <c r="D10" s="4"/>
      <c r="E10" s="4"/>
      <c r="G10" s="22"/>
      <c r="H10" s="166"/>
      <c r="I10" s="208"/>
      <c r="J10" s="334" t="s">
        <v>733</v>
      </c>
      <c r="K10" s="334" t="s">
        <v>734</v>
      </c>
      <c r="L10" s="334" t="s">
        <v>657</v>
      </c>
      <c r="M10" s="334" t="s">
        <v>320</v>
      </c>
      <c r="N10" s="334" t="s">
        <v>735</v>
      </c>
      <c r="O10" s="334" t="s">
        <v>657</v>
      </c>
      <c r="P10" s="334" t="s">
        <v>320</v>
      </c>
      <c r="Q10" s="334" t="s">
        <v>735</v>
      </c>
      <c r="R10" s="334" t="s">
        <v>657</v>
      </c>
      <c r="S10" s="334" t="s">
        <v>320</v>
      </c>
      <c r="T10" s="334" t="s">
        <v>735</v>
      </c>
      <c r="U10" s="334" t="s">
        <v>657</v>
      </c>
      <c r="V10" s="544" t="s">
        <v>320</v>
      </c>
      <c r="W10" s="375" t="s">
        <v>735</v>
      </c>
      <c r="X10" s="335" t="s">
        <v>657</v>
      </c>
      <c r="Y10" s="410" t="s">
        <v>4</v>
      </c>
      <c r="AA10" s="2">
        <f>IF(P20&gt;0,1,0)</f>
        <v>1</v>
      </c>
      <c r="AB10" s="2">
        <f>IF(S20&gt;0,1,0)</f>
        <v>1</v>
      </c>
      <c r="AC10" s="2">
        <f>IF(V20&gt;0,1,0)</f>
        <v>0</v>
      </c>
      <c r="AE10" s="1400" t="s">
        <v>733</v>
      </c>
      <c r="AF10" s="1401"/>
      <c r="AG10" s="1401"/>
      <c r="AH10" s="1401"/>
      <c r="AI10" s="1402"/>
      <c r="AK10" s="1390" t="s">
        <v>734</v>
      </c>
      <c r="AL10" s="1391"/>
      <c r="AM10" s="1391"/>
      <c r="AN10" s="1391"/>
      <c r="AO10" s="1392"/>
      <c r="AQ10" s="1380" t="s">
        <v>732</v>
      </c>
      <c r="AR10" s="1381"/>
      <c r="AS10" s="1381"/>
      <c r="AT10" s="1381"/>
      <c r="AU10" s="1382"/>
      <c r="AW10" s="1393" t="s">
        <v>556</v>
      </c>
      <c r="AX10" s="1394"/>
      <c r="AY10" s="1394"/>
      <c r="AZ10" s="1394"/>
      <c r="BA10" s="1395"/>
    </row>
    <row r="11" spans="1:53" s="32" customFormat="1" ht="17.100000000000001" customHeight="1" thickBot="1" x14ac:dyDescent="0.3">
      <c r="A11" s="24">
        <v>0</v>
      </c>
      <c r="B11" s="25" t="s">
        <v>3</v>
      </c>
      <c r="C11" s="26"/>
      <c r="D11" s="27"/>
      <c r="E11" s="27"/>
      <c r="F11" s="27"/>
      <c r="G11" s="28"/>
      <c r="H11" s="215"/>
      <c r="I11" s="228"/>
      <c r="J11" s="29"/>
      <c r="K11" s="29"/>
      <c r="L11" s="29"/>
      <c r="M11" s="29"/>
      <c r="N11" s="29"/>
      <c r="O11" s="29"/>
      <c r="P11" s="29"/>
      <c r="Q11" s="29"/>
      <c r="R11" s="29"/>
      <c r="S11" s="29"/>
      <c r="T11" s="29"/>
      <c r="U11" s="29"/>
      <c r="V11" s="354"/>
      <c r="W11" s="376"/>
      <c r="X11" s="29"/>
      <c r="Y11" s="30"/>
      <c r="Z11" s="31" t="s">
        <v>5</v>
      </c>
      <c r="AA11" s="31" t="s">
        <v>181</v>
      </c>
      <c r="AB11" s="31" t="s">
        <v>182</v>
      </c>
      <c r="AC11" s="31" t="s">
        <v>6</v>
      </c>
      <c r="AE11" s="33" t="s">
        <v>181</v>
      </c>
      <c r="AF11" s="33" t="s">
        <v>182</v>
      </c>
      <c r="AG11" s="33" t="s">
        <v>6</v>
      </c>
      <c r="AH11" s="33" t="s">
        <v>4</v>
      </c>
      <c r="AI11" s="34" t="s">
        <v>5</v>
      </c>
      <c r="AJ11" s="406"/>
      <c r="AK11" s="36" t="s">
        <v>181</v>
      </c>
      <c r="AL11" s="36" t="s">
        <v>182</v>
      </c>
      <c r="AM11" s="36" t="s">
        <v>6</v>
      </c>
      <c r="AN11" s="36" t="s">
        <v>4</v>
      </c>
      <c r="AO11" s="37" t="s">
        <v>5</v>
      </c>
      <c r="AP11" s="406"/>
      <c r="AQ11" s="398" t="s">
        <v>181</v>
      </c>
      <c r="AR11" s="398" t="s">
        <v>182</v>
      </c>
      <c r="AS11" s="398" t="s">
        <v>6</v>
      </c>
      <c r="AT11" s="398" t="s">
        <v>4</v>
      </c>
      <c r="AU11" s="399" t="s">
        <v>5</v>
      </c>
      <c r="AV11" s="406"/>
      <c r="AW11" s="400" t="s">
        <v>181</v>
      </c>
      <c r="AX11" s="400" t="s">
        <v>182</v>
      </c>
      <c r="AY11" s="400" t="s">
        <v>6</v>
      </c>
      <c r="AZ11" s="400" t="s">
        <v>4</v>
      </c>
      <c r="BA11" s="401" t="s">
        <v>5</v>
      </c>
    </row>
    <row r="12" spans="1:53" ht="17.100000000000001" customHeight="1" x14ac:dyDescent="0.25">
      <c r="A12" s="40"/>
      <c r="B12" s="414">
        <v>0</v>
      </c>
      <c r="C12" s="42" t="s">
        <v>367</v>
      </c>
      <c r="D12" s="43"/>
      <c r="E12" s="43"/>
      <c r="F12" s="43"/>
      <c r="G12" s="44"/>
      <c r="H12" s="218">
        <v>1</v>
      </c>
      <c r="I12" s="229"/>
      <c r="J12" s="577"/>
      <c r="K12" s="577"/>
      <c r="L12" s="578"/>
      <c r="M12" s="578"/>
      <c r="N12" s="578"/>
      <c r="O12" s="578"/>
      <c r="P12" s="578"/>
      <c r="Q12" s="578"/>
      <c r="R12" s="578"/>
      <c r="S12" s="578"/>
      <c r="T12" s="578"/>
      <c r="U12" s="578"/>
      <c r="V12" s="579"/>
      <c r="W12" s="580"/>
      <c r="X12" s="578"/>
      <c r="Y12" s="220"/>
      <c r="Z12" s="51"/>
      <c r="AA12" s="51"/>
      <c r="AB12" s="51"/>
      <c r="AC12" s="51"/>
      <c r="AE12" s="52"/>
      <c r="AF12" s="52"/>
      <c r="AG12" s="52"/>
      <c r="AH12" s="53"/>
      <c r="AI12" s="54"/>
      <c r="AK12" s="52"/>
      <c r="AL12" s="52"/>
      <c r="AM12" s="52"/>
      <c r="AN12" s="53"/>
      <c r="AO12" s="54"/>
      <c r="AQ12" s="52"/>
      <c r="AR12" s="52"/>
      <c r="AS12" s="52"/>
      <c r="AT12" s="53"/>
      <c r="AU12" s="54"/>
      <c r="AW12" s="52"/>
      <c r="AX12" s="52"/>
      <c r="AY12" s="52"/>
      <c r="AZ12" s="53"/>
      <c r="BA12" s="54"/>
    </row>
    <row r="13" spans="1:53" ht="17.100000000000001" customHeight="1" x14ac:dyDescent="0.25">
      <c r="A13" s="47"/>
      <c r="B13" s="55"/>
      <c r="C13" s="56" t="s">
        <v>626</v>
      </c>
      <c r="D13" s="57" t="s">
        <v>368</v>
      </c>
      <c r="E13" s="58"/>
      <c r="F13" s="58"/>
      <c r="G13" s="59"/>
      <c r="H13" s="216"/>
      <c r="I13" s="229"/>
      <c r="J13" s="581"/>
      <c r="K13" s="581">
        <v>3</v>
      </c>
      <c r="L13" s="582">
        <v>78</v>
      </c>
      <c r="M13" s="17">
        <f>SUM(J13:L13)</f>
        <v>81</v>
      </c>
      <c r="N13" s="111"/>
      <c r="O13" s="111"/>
      <c r="P13" s="111"/>
      <c r="Q13" s="111"/>
      <c r="R13" s="111"/>
      <c r="S13" s="111"/>
      <c r="T13" s="111"/>
      <c r="U13" s="111"/>
      <c r="V13" s="358"/>
      <c r="W13" s="391">
        <f>J13+K13+N13+Q13+T13</f>
        <v>3</v>
      </c>
      <c r="X13" s="17">
        <f>L13+O13+R13+U13</f>
        <v>78</v>
      </c>
      <c r="Y13" s="18">
        <f>SUM(W13:X13)</f>
        <v>81</v>
      </c>
      <c r="Z13" s="19">
        <f>IF(Y$15=0,0,Y13/Y$15)</f>
        <v>0.30916030534351147</v>
      </c>
      <c r="AA13" s="19"/>
      <c r="AB13" s="19"/>
      <c r="AC13" s="20"/>
      <c r="AE13" s="17"/>
      <c r="AF13" s="17"/>
      <c r="AG13" s="17"/>
      <c r="AH13" s="18">
        <f>J13</f>
        <v>0</v>
      </c>
      <c r="AI13" s="19">
        <f>IF(AH$15=0,0,AH13/AH$15)</f>
        <v>0</v>
      </c>
      <c r="AK13" s="17"/>
      <c r="AL13" s="17"/>
      <c r="AM13" s="17"/>
      <c r="AN13" s="18">
        <f>K13</f>
        <v>3</v>
      </c>
      <c r="AO13" s="19">
        <f>IF(AN$15=0,0,AN13/AN$15)</f>
        <v>0.25</v>
      </c>
      <c r="AQ13" s="17"/>
      <c r="AR13" s="17"/>
      <c r="AS13" s="17"/>
      <c r="AT13" s="18">
        <f>W13</f>
        <v>3</v>
      </c>
      <c r="AU13" s="19">
        <f>IF(AT$15=0,0,AT13/AT$15)</f>
        <v>0.10714285714285714</v>
      </c>
      <c r="AW13" s="17"/>
      <c r="AX13" s="17"/>
      <c r="AY13" s="17"/>
      <c r="AZ13" s="18">
        <f>X13</f>
        <v>78</v>
      </c>
      <c r="BA13" s="19">
        <f>IF(AZ$15=0,0,AZ13/AZ$15)</f>
        <v>0.33333333333333331</v>
      </c>
    </row>
    <row r="14" spans="1:53" ht="17.100000000000001" customHeight="1" x14ac:dyDescent="0.25">
      <c r="A14" s="47"/>
      <c r="B14" s="55"/>
      <c r="C14" s="56" t="s">
        <v>627</v>
      </c>
      <c r="D14" s="57" t="s">
        <v>369</v>
      </c>
      <c r="E14" s="58"/>
      <c r="F14" s="58"/>
      <c r="G14" s="59"/>
      <c r="H14" s="216"/>
      <c r="I14" s="229"/>
      <c r="J14" s="583">
        <v>16</v>
      </c>
      <c r="K14" s="583">
        <v>9</v>
      </c>
      <c r="L14" s="584">
        <v>156</v>
      </c>
      <c r="M14" s="17">
        <f>SUM(J14:L14)</f>
        <v>181</v>
      </c>
      <c r="N14" s="111"/>
      <c r="O14" s="111"/>
      <c r="P14" s="111"/>
      <c r="Q14" s="111"/>
      <c r="R14" s="111"/>
      <c r="S14" s="111"/>
      <c r="T14" s="111"/>
      <c r="U14" s="111"/>
      <c r="V14" s="358"/>
      <c r="W14" s="391">
        <f>J14+K14+N14+Q14+T14</f>
        <v>25</v>
      </c>
      <c r="X14" s="17">
        <f>L14+O14+R14+U14</f>
        <v>156</v>
      </c>
      <c r="Y14" s="18">
        <f>SUM(W14:X14)</f>
        <v>181</v>
      </c>
      <c r="Z14" s="19">
        <f>IF(Y$15=0,0,Y14/Y$15)</f>
        <v>0.69083969465648853</v>
      </c>
      <c r="AA14" s="19"/>
      <c r="AB14" s="19"/>
      <c r="AC14" s="20"/>
      <c r="AE14" s="17"/>
      <c r="AF14" s="17"/>
      <c r="AG14" s="17"/>
      <c r="AH14" s="18">
        <f>J14</f>
        <v>16</v>
      </c>
      <c r="AI14" s="19">
        <f>IF(AH$15=0,0,AH14/AH$15)</f>
        <v>1</v>
      </c>
      <c r="AK14" s="17"/>
      <c r="AL14" s="17"/>
      <c r="AM14" s="17"/>
      <c r="AN14" s="18">
        <f>K14</f>
        <v>9</v>
      </c>
      <c r="AO14" s="19">
        <f>IF(AN$15=0,0,AN14/AN$15)</f>
        <v>0.75</v>
      </c>
      <c r="AQ14" s="17"/>
      <c r="AR14" s="17"/>
      <c r="AS14" s="17"/>
      <c r="AT14" s="18">
        <f>W14</f>
        <v>25</v>
      </c>
      <c r="AU14" s="19">
        <f>IF(AT$15=0,0,AT14/AT$15)</f>
        <v>0.8928571428571429</v>
      </c>
      <c r="AW14" s="17"/>
      <c r="AX14" s="17"/>
      <c r="AY14" s="17"/>
      <c r="AZ14" s="18">
        <f>X14</f>
        <v>156</v>
      </c>
      <c r="BA14" s="19">
        <f>IF(AZ$15=0,0,AZ14/AZ$15)</f>
        <v>0.66666666666666663</v>
      </c>
    </row>
    <row r="15" spans="1:53" ht="17.100000000000001" customHeight="1" x14ac:dyDescent="0.25">
      <c r="A15" s="47"/>
      <c r="B15" s="47"/>
      <c r="C15" s="252"/>
      <c r="D15" s="62"/>
      <c r="E15" s="62"/>
      <c r="F15" s="62"/>
      <c r="G15" s="63"/>
      <c r="H15" s="216"/>
      <c r="I15" s="229"/>
      <c r="J15" s="64">
        <f>SUM(J13:J14)</f>
        <v>16</v>
      </c>
      <c r="K15" s="64">
        <f t="shared" ref="K15:M15" si="0">SUM(K13:K14)</f>
        <v>12</v>
      </c>
      <c r="L15" s="64">
        <f t="shared" si="0"/>
        <v>234</v>
      </c>
      <c r="M15" s="64">
        <f t="shared" si="0"/>
        <v>262</v>
      </c>
      <c r="N15" s="64"/>
      <c r="O15" s="64"/>
      <c r="P15" s="64"/>
      <c r="Q15" s="81"/>
      <c r="R15" s="81"/>
      <c r="S15" s="81"/>
      <c r="T15" s="81"/>
      <c r="U15" s="81"/>
      <c r="V15" s="356"/>
      <c r="W15" s="381">
        <f>SUM(W13:W14)</f>
        <v>28</v>
      </c>
      <c r="X15" s="82">
        <f t="shared" ref="X15:Y15" si="1">SUM(X13:X14)</f>
        <v>234</v>
      </c>
      <c r="Y15" s="82">
        <f t="shared" si="1"/>
        <v>262</v>
      </c>
      <c r="Z15" s="205">
        <f>IF(Y$15=0,0,Y15/Y$15)</f>
        <v>1</v>
      </c>
      <c r="AA15" s="205"/>
      <c r="AB15" s="205"/>
      <c r="AC15" s="83"/>
      <c r="AE15" s="67"/>
      <c r="AF15" s="67"/>
      <c r="AG15" s="67"/>
      <c r="AH15" s="65">
        <f>SUM(AH13:AH14)</f>
        <v>16</v>
      </c>
      <c r="AI15" s="66">
        <f>IF(AH$15=0,0,AH15/AH$15)</f>
        <v>1</v>
      </c>
      <c r="AK15" s="67"/>
      <c r="AL15" s="67"/>
      <c r="AM15" s="67"/>
      <c r="AN15" s="65">
        <f>SUM(AN13:AN14)</f>
        <v>12</v>
      </c>
      <c r="AO15" s="66">
        <f>IF(AN$15=0,0,AN15/AN$15)</f>
        <v>1</v>
      </c>
      <c r="AQ15" s="67"/>
      <c r="AR15" s="67"/>
      <c r="AS15" s="67"/>
      <c r="AT15" s="65">
        <f>SUM(AT13:AT14)</f>
        <v>28</v>
      </c>
      <c r="AU15" s="66">
        <f>IF(AT$15=0,0,AT15/AT$15)</f>
        <v>1</v>
      </c>
      <c r="AW15" s="67"/>
      <c r="AX15" s="67"/>
      <c r="AY15" s="67"/>
      <c r="AZ15" s="65">
        <f>SUM(AZ13:AZ14)</f>
        <v>234</v>
      </c>
      <c r="BA15" s="66">
        <f>IF(AZ$15=0,0,AZ15/AZ$15)</f>
        <v>1</v>
      </c>
    </row>
    <row r="16" spans="1:53" s="117" customFormat="1" ht="17.100000000000001" customHeight="1" x14ac:dyDescent="0.25">
      <c r="A16" s="186"/>
      <c r="B16" s="253"/>
      <c r="C16" s="254"/>
      <c r="D16" s="255"/>
      <c r="E16" s="93"/>
      <c r="F16" s="93"/>
      <c r="G16" s="209"/>
      <c r="H16" s="540"/>
      <c r="I16" s="12"/>
      <c r="J16" s="198"/>
      <c r="K16" s="585"/>
      <c r="L16" s="17"/>
      <c r="M16" s="17"/>
      <c r="N16" s="17"/>
      <c r="O16" s="17"/>
      <c r="P16" s="17"/>
      <c r="Q16" s="17"/>
      <c r="R16" s="17"/>
      <c r="S16" s="17"/>
      <c r="T16" s="17"/>
      <c r="U16" s="17"/>
      <c r="V16" s="359"/>
      <c r="W16" s="395">
        <f>IF($Y$15=0,0,W15/$Y$15)</f>
        <v>0.10687022900763359</v>
      </c>
      <c r="X16" s="91">
        <f>IF($Y$15=0,0,X15/$Y$15)</f>
        <v>0.89312977099236646</v>
      </c>
      <c r="Y16" s="201">
        <f>IF($Y$15=0,0,Y15/$Y$15)</f>
        <v>1</v>
      </c>
      <c r="Z16" s="201"/>
      <c r="AA16" s="201"/>
      <c r="AB16" s="201"/>
      <c r="AC16" s="84"/>
      <c r="AE16" s="256"/>
      <c r="AF16" s="256"/>
      <c r="AG16" s="256"/>
      <c r="AH16" s="257"/>
      <c r="AI16" s="91"/>
      <c r="AK16" s="256"/>
      <c r="AL16" s="256"/>
      <c r="AM16" s="256"/>
      <c r="AN16" s="257"/>
      <c r="AO16" s="91"/>
      <c r="AQ16" s="256"/>
      <c r="AR16" s="256"/>
      <c r="AS16" s="256"/>
      <c r="AT16" s="257"/>
      <c r="AU16" s="91"/>
      <c r="AW16" s="256"/>
      <c r="AX16" s="256"/>
      <c r="AY16" s="256"/>
      <c r="AZ16" s="257"/>
      <c r="BA16" s="91"/>
    </row>
    <row r="17" spans="1:60" ht="17.100000000000001" customHeight="1" x14ac:dyDescent="0.25">
      <c r="A17" s="40"/>
      <c r="B17" s="41">
        <v>0.1</v>
      </c>
      <c r="C17" s="42" t="s">
        <v>628</v>
      </c>
      <c r="D17" s="43"/>
      <c r="E17" s="43"/>
      <c r="F17" s="43"/>
      <c r="G17" s="44"/>
      <c r="H17" s="219"/>
      <c r="I17" s="229"/>
      <c r="J17" s="586"/>
      <c r="K17" s="586"/>
      <c r="L17" s="71"/>
      <c r="M17" s="71"/>
      <c r="N17" s="71"/>
      <c r="O17" s="71"/>
      <c r="P17" s="71"/>
      <c r="Q17" s="71"/>
      <c r="R17" s="71"/>
      <c r="S17" s="71"/>
      <c r="T17" s="71"/>
      <c r="U17" s="71"/>
      <c r="V17" s="355"/>
      <c r="W17" s="377"/>
      <c r="X17" s="71"/>
      <c r="Y17" s="72"/>
      <c r="Z17" s="73"/>
      <c r="AA17" s="73"/>
      <c r="AB17" s="73"/>
      <c r="AC17" s="73"/>
      <c r="AE17" s="52"/>
      <c r="AF17" s="52"/>
      <c r="AG17" s="52"/>
      <c r="AH17" s="53"/>
      <c r="AI17" s="54"/>
      <c r="AK17" s="52"/>
      <c r="AL17" s="52"/>
      <c r="AM17" s="52"/>
      <c r="AN17" s="53"/>
      <c r="AO17" s="54"/>
      <c r="AQ17" s="52"/>
      <c r="AR17" s="52"/>
      <c r="AS17" s="52"/>
      <c r="AT17" s="53"/>
      <c r="AU17" s="54"/>
      <c r="AW17" s="52"/>
      <c r="AX17" s="52"/>
      <c r="AY17" s="52"/>
      <c r="AZ17" s="53"/>
      <c r="BA17" s="54"/>
    </row>
    <row r="18" spans="1:60" ht="17.100000000000001" customHeight="1" x14ac:dyDescent="0.25">
      <c r="A18" s="47"/>
      <c r="B18" s="55"/>
      <c r="C18" s="56" t="s">
        <v>371</v>
      </c>
      <c r="D18" s="120" t="s">
        <v>629</v>
      </c>
      <c r="E18" s="58"/>
      <c r="F18" s="58"/>
      <c r="G18" s="59"/>
      <c r="H18" s="216"/>
      <c r="I18" s="229"/>
      <c r="J18" s="174"/>
      <c r="K18" s="174"/>
      <c r="L18" s="111"/>
      <c r="M18" s="111"/>
      <c r="N18" s="60"/>
      <c r="O18" s="60"/>
      <c r="P18" s="17">
        <f>SUM(N18:O18)</f>
        <v>0</v>
      </c>
      <c r="Q18" s="60"/>
      <c r="R18" s="60">
        <v>3</v>
      </c>
      <c r="S18" s="17">
        <f>SUM(Q18:R18)</f>
        <v>3</v>
      </c>
      <c r="T18" s="60"/>
      <c r="U18" s="60"/>
      <c r="V18" s="359">
        <f>SUM(T18:U18)</f>
        <v>0</v>
      </c>
      <c r="W18" s="391">
        <f t="shared" ref="W18:W19" si="2">J18+K18+N18+Q18+T18</f>
        <v>0</v>
      </c>
      <c r="X18" s="17">
        <f t="shared" ref="X18:X19" si="3">L18+O18+R18+U18</f>
        <v>3</v>
      </c>
      <c r="Y18" s="18">
        <f>SUM(W18:X18)</f>
        <v>3</v>
      </c>
      <c r="Z18" s="19">
        <f>IF(Y$20=0,0,Y18/Y$20)</f>
        <v>0.2</v>
      </c>
      <c r="AA18" s="19"/>
      <c r="AB18" s="19"/>
      <c r="AC18" s="20"/>
      <c r="AE18" s="17"/>
      <c r="AF18" s="17"/>
      <c r="AG18" s="17"/>
      <c r="AH18" s="18">
        <f>J18</f>
        <v>0</v>
      </c>
      <c r="AI18" s="19">
        <f>IF(AH$15=0,0,AH18/AH$15)</f>
        <v>0</v>
      </c>
      <c r="AK18" s="17"/>
      <c r="AL18" s="17"/>
      <c r="AM18" s="17"/>
      <c r="AN18" s="18">
        <f>K18</f>
        <v>0</v>
      </c>
      <c r="AO18" s="19">
        <f>IF(AN$20=0,0,AN18/AN$20)</f>
        <v>0</v>
      </c>
      <c r="AQ18" s="17"/>
      <c r="AR18" s="17"/>
      <c r="AS18" s="17"/>
      <c r="AT18" s="18">
        <f>W18</f>
        <v>0</v>
      </c>
      <c r="AU18" s="19">
        <f>IF(AT$20=0,0,AT18/AT$20)</f>
        <v>0</v>
      </c>
      <c r="AW18" s="17"/>
      <c r="AX18" s="17"/>
      <c r="AY18" s="17"/>
      <c r="AZ18" s="18">
        <f>X18</f>
        <v>3</v>
      </c>
      <c r="BA18" s="19">
        <f>IF(AZ$20=0,0,AZ18/AZ$20)</f>
        <v>0.375</v>
      </c>
    </row>
    <row r="19" spans="1:60" ht="17.100000000000001" customHeight="1" x14ac:dyDescent="0.25">
      <c r="A19" s="47"/>
      <c r="B19" s="55"/>
      <c r="C19" s="56" t="s">
        <v>372</v>
      </c>
      <c r="D19" s="120" t="s">
        <v>630</v>
      </c>
      <c r="E19" s="58"/>
      <c r="F19" s="58"/>
      <c r="G19" s="59"/>
      <c r="H19" s="216"/>
      <c r="I19" s="229"/>
      <c r="J19" s="174"/>
      <c r="K19" s="174"/>
      <c r="L19" s="111"/>
      <c r="M19" s="111"/>
      <c r="N19" s="61">
        <v>6</v>
      </c>
      <c r="O19" s="61">
        <v>3</v>
      </c>
      <c r="P19" s="17">
        <f>SUM(N19:O19)</f>
        <v>9</v>
      </c>
      <c r="Q19" s="61">
        <v>1</v>
      </c>
      <c r="R19" s="61">
        <v>2</v>
      </c>
      <c r="S19" s="17">
        <f>SUM(Q19:R19)</f>
        <v>3</v>
      </c>
      <c r="T19" s="61"/>
      <c r="U19" s="61"/>
      <c r="V19" s="359">
        <f>SUM(T19:U19)</f>
        <v>0</v>
      </c>
      <c r="W19" s="391">
        <f t="shared" si="2"/>
        <v>7</v>
      </c>
      <c r="X19" s="17">
        <f t="shared" si="3"/>
        <v>5</v>
      </c>
      <c r="Y19" s="18">
        <f>SUM(W19:X19)</f>
        <v>12</v>
      </c>
      <c r="Z19" s="19">
        <f t="shared" ref="Z19:Z20" si="4">IF(Y$20=0,0,Y19/Y$20)</f>
        <v>0.8</v>
      </c>
      <c r="AA19" s="19"/>
      <c r="AB19" s="19"/>
      <c r="AC19" s="20"/>
      <c r="AE19" s="17"/>
      <c r="AF19" s="17"/>
      <c r="AG19" s="17"/>
      <c r="AH19" s="18">
        <f>J19</f>
        <v>0</v>
      </c>
      <c r="AI19" s="19">
        <f>IF(AH$15=0,0,AH19/AH$15)</f>
        <v>0</v>
      </c>
      <c r="AK19" s="17"/>
      <c r="AL19" s="17"/>
      <c r="AM19" s="17"/>
      <c r="AN19" s="18">
        <f>K19</f>
        <v>0</v>
      </c>
      <c r="AO19" s="19">
        <f t="shared" ref="AO19:AO20" si="5">IF(AN$20=0,0,AN19/AN$20)</f>
        <v>0</v>
      </c>
      <c r="AQ19" s="17"/>
      <c r="AR19" s="17"/>
      <c r="AS19" s="17"/>
      <c r="AT19" s="18">
        <f>W19</f>
        <v>7</v>
      </c>
      <c r="AU19" s="19">
        <f t="shared" ref="AU19:AU20" si="6">IF(AT$20=0,0,AT19/AT$20)</f>
        <v>1</v>
      </c>
      <c r="AW19" s="17"/>
      <c r="AX19" s="17"/>
      <c r="AY19" s="17"/>
      <c r="AZ19" s="18">
        <f>X19</f>
        <v>5</v>
      </c>
      <c r="BA19" s="19">
        <f t="shared" ref="BA19:BA20" si="7">IF(AZ$20=0,0,AZ19/AZ$20)</f>
        <v>0.625</v>
      </c>
    </row>
    <row r="20" spans="1:60" ht="17.100000000000001" customHeight="1" x14ac:dyDescent="0.25">
      <c r="A20" s="47"/>
      <c r="B20" s="47"/>
      <c r="C20" s="252"/>
      <c r="D20" s="62"/>
      <c r="E20" s="62"/>
      <c r="F20" s="62"/>
      <c r="G20" s="63"/>
      <c r="H20" s="216"/>
      <c r="I20" s="229"/>
      <c r="J20" s="64"/>
      <c r="K20" s="64"/>
      <c r="L20" s="64"/>
      <c r="M20" s="64"/>
      <c r="N20" s="64">
        <f>SUM(N18:N19)</f>
        <v>6</v>
      </c>
      <c r="O20" s="64">
        <f t="shared" ref="O20:V20" si="8">SUM(O18:O19)</f>
        <v>3</v>
      </c>
      <c r="P20" s="64">
        <f t="shared" si="8"/>
        <v>9</v>
      </c>
      <c r="Q20" s="64">
        <f t="shared" si="8"/>
        <v>1</v>
      </c>
      <c r="R20" s="64">
        <f t="shared" si="8"/>
        <v>5</v>
      </c>
      <c r="S20" s="64">
        <f t="shared" si="8"/>
        <v>6</v>
      </c>
      <c r="T20" s="64">
        <f t="shared" si="8"/>
        <v>0</v>
      </c>
      <c r="U20" s="64">
        <f t="shared" si="8"/>
        <v>0</v>
      </c>
      <c r="V20" s="64">
        <f t="shared" si="8"/>
        <v>0</v>
      </c>
      <c r="W20" s="381">
        <f>SUM(W18:W19)</f>
        <v>7</v>
      </c>
      <c r="X20" s="82">
        <f t="shared" ref="X20:Y20" si="9">SUM(X18:X19)</f>
        <v>8</v>
      </c>
      <c r="Y20" s="82">
        <f t="shared" si="9"/>
        <v>15</v>
      </c>
      <c r="Z20" s="205">
        <f t="shared" si="4"/>
        <v>1</v>
      </c>
      <c r="AA20" s="205"/>
      <c r="AB20" s="205"/>
      <c r="AC20" s="83"/>
      <c r="AE20" s="67"/>
      <c r="AF20" s="67"/>
      <c r="AG20" s="67"/>
      <c r="AH20" s="65">
        <f>SUM(AH18:AH19)</f>
        <v>0</v>
      </c>
      <c r="AI20" s="66">
        <f>IF(AH$15=0,0,AH20/AH$15)</f>
        <v>0</v>
      </c>
      <c r="AK20" s="67"/>
      <c r="AL20" s="67"/>
      <c r="AM20" s="67"/>
      <c r="AN20" s="65">
        <f>SUM(AN18:AN19)</f>
        <v>0</v>
      </c>
      <c r="AO20" s="66">
        <f t="shared" si="5"/>
        <v>0</v>
      </c>
      <c r="AQ20" s="67"/>
      <c r="AR20" s="67"/>
      <c r="AS20" s="67"/>
      <c r="AT20" s="65">
        <f>SUM(AT18:AT19)</f>
        <v>7</v>
      </c>
      <c r="AU20" s="66">
        <f t="shared" si="6"/>
        <v>1</v>
      </c>
      <c r="AW20" s="67"/>
      <c r="AX20" s="67"/>
      <c r="AY20" s="67"/>
      <c r="AZ20" s="65">
        <f>SUM(AZ18:AZ19)</f>
        <v>8</v>
      </c>
      <c r="BA20" s="66">
        <f t="shared" si="7"/>
        <v>1</v>
      </c>
    </row>
    <row r="21" spans="1:60" s="117" customFormat="1" ht="17.100000000000001" customHeight="1" x14ac:dyDescent="0.25">
      <c r="A21" s="186"/>
      <c r="B21" s="253"/>
      <c r="C21" s="254"/>
      <c r="D21" s="255"/>
      <c r="E21" s="93"/>
      <c r="F21" s="93"/>
      <c r="G21" s="209"/>
      <c r="H21" s="540"/>
      <c r="I21" s="12"/>
      <c r="J21" s="198"/>
      <c r="K21" s="585"/>
      <c r="L21" s="17"/>
      <c r="M21" s="17"/>
      <c r="N21" s="17"/>
      <c r="O21" s="17"/>
      <c r="P21" s="17"/>
      <c r="Q21" s="17"/>
      <c r="R21" s="17"/>
      <c r="S21" s="17"/>
      <c r="T21" s="17"/>
      <c r="U21" s="17"/>
      <c r="V21" s="359"/>
      <c r="W21" s="395">
        <f>IF($Y$20=0,0,W20/$Y$20)</f>
        <v>0.46666666666666667</v>
      </c>
      <c r="X21" s="91">
        <f>IF($Y$20=0,0,X20/$Y$20)</f>
        <v>0.53333333333333333</v>
      </c>
      <c r="Y21" s="201">
        <f>IF($Y$20=0,0,Y20/$Y$20)</f>
        <v>1</v>
      </c>
      <c r="Z21" s="201"/>
      <c r="AA21" s="201"/>
      <c r="AB21" s="201"/>
      <c r="AC21" s="84"/>
      <c r="AE21" s="256"/>
      <c r="AF21" s="256"/>
      <c r="AG21" s="256"/>
      <c r="AH21" s="257"/>
      <c r="AI21" s="91"/>
      <c r="AK21" s="256"/>
      <c r="AL21" s="256"/>
      <c r="AM21" s="256"/>
      <c r="AN21" s="257"/>
      <c r="AO21" s="91"/>
      <c r="AQ21" s="256"/>
      <c r="AR21" s="256"/>
      <c r="AS21" s="256"/>
      <c r="AT21" s="257"/>
      <c r="AU21" s="91"/>
      <c r="AW21" s="256"/>
      <c r="AX21" s="256"/>
      <c r="AY21" s="256"/>
      <c r="AZ21" s="257"/>
      <c r="BA21" s="91"/>
      <c r="BC21" s="3"/>
      <c r="BD21" s="3"/>
      <c r="BE21" s="3"/>
      <c r="BF21" s="3"/>
      <c r="BG21" s="3"/>
      <c r="BH21" s="3"/>
    </row>
    <row r="22" spans="1:60" ht="17.100000000000001" customHeight="1" x14ac:dyDescent="0.25">
      <c r="A22" s="68"/>
      <c r="B22" s="41">
        <v>0.2</v>
      </c>
      <c r="C22" s="69" t="s">
        <v>370</v>
      </c>
      <c r="D22" s="50"/>
      <c r="E22" s="70"/>
      <c r="F22" s="70"/>
      <c r="G22" s="70"/>
      <c r="H22" s="640">
        <v>5</v>
      </c>
      <c r="J22" s="71"/>
      <c r="K22" s="71"/>
      <c r="L22" s="71"/>
      <c r="M22" s="71"/>
      <c r="N22" s="71"/>
      <c r="O22" s="71"/>
      <c r="P22" s="71"/>
      <c r="Q22" s="71"/>
      <c r="R22" s="71"/>
      <c r="S22" s="71"/>
      <c r="T22" s="71"/>
      <c r="U22" s="71"/>
      <c r="V22" s="355"/>
      <c r="W22" s="377"/>
      <c r="X22" s="71"/>
      <c r="Y22" s="72"/>
      <c r="Z22" s="73"/>
      <c r="AA22" s="73"/>
      <c r="AB22" s="73"/>
      <c r="AC22" s="73"/>
      <c r="AE22" s="71"/>
      <c r="AF22" s="71"/>
      <c r="AG22" s="71"/>
      <c r="AH22" s="72"/>
      <c r="AI22" s="73"/>
      <c r="AK22" s="71"/>
      <c r="AL22" s="71"/>
      <c r="AM22" s="71"/>
      <c r="AN22" s="72"/>
      <c r="AO22" s="73"/>
      <c r="AQ22" s="71"/>
      <c r="AR22" s="71"/>
      <c r="AS22" s="71"/>
      <c r="AT22" s="72"/>
      <c r="AU22" s="73"/>
      <c r="AW22" s="71"/>
      <c r="AX22" s="71"/>
      <c r="AY22" s="71"/>
      <c r="AZ22" s="72"/>
      <c r="BA22" s="73"/>
    </row>
    <row r="23" spans="1:60" ht="17.100000000000001" customHeight="1" x14ac:dyDescent="0.25">
      <c r="A23" s="40"/>
      <c r="B23" s="40"/>
      <c r="C23" s="74" t="s">
        <v>7</v>
      </c>
      <c r="D23" s="542" t="s">
        <v>9</v>
      </c>
      <c r="E23" s="75"/>
      <c r="F23" s="75"/>
      <c r="G23" s="75"/>
      <c r="H23" s="1318"/>
      <c r="I23" s="229"/>
      <c r="J23" s="581"/>
      <c r="K23" s="581"/>
      <c r="L23" s="582"/>
      <c r="M23" s="17">
        <f t="shared" ref="M23:M25" si="10">SUM(J23:L23)</f>
        <v>0</v>
      </c>
      <c r="N23" s="111"/>
      <c r="O23" s="111"/>
      <c r="P23" s="111"/>
      <c r="Q23" s="111"/>
      <c r="R23" s="111"/>
      <c r="S23" s="111"/>
      <c r="T23" s="111"/>
      <c r="U23" s="111"/>
      <c r="V23" s="358"/>
      <c r="W23" s="391">
        <f t="shared" ref="W23:W25" si="11">J23+K23+N23+Q23+T23</f>
        <v>0</v>
      </c>
      <c r="X23" s="17">
        <f t="shared" ref="X23:X25" si="12">L23+O23+R23+U23</f>
        <v>0</v>
      </c>
      <c r="Y23" s="18">
        <f>SUM(W23:X23)</f>
        <v>0</v>
      </c>
      <c r="Z23" s="19">
        <f>IF(Y$26=0,0,Y23/Y$26)</f>
        <v>0</v>
      </c>
      <c r="AA23" s="19"/>
      <c r="AB23" s="19"/>
      <c r="AC23" s="20"/>
      <c r="AE23" s="17"/>
      <c r="AF23" s="17"/>
      <c r="AG23" s="17"/>
      <c r="AH23" s="18">
        <f>J23</f>
        <v>0</v>
      </c>
      <c r="AI23" s="19">
        <f>IF(AH$26=0,0,AH23/AH$26)</f>
        <v>0</v>
      </c>
      <c r="AK23" s="17"/>
      <c r="AL23" s="17"/>
      <c r="AM23" s="17"/>
      <c r="AN23" s="18">
        <f>K23</f>
        <v>0</v>
      </c>
      <c r="AO23" s="19">
        <f>IF(AN$26=0,0,AN23/AN$26)</f>
        <v>0</v>
      </c>
      <c r="AQ23" s="17"/>
      <c r="AR23" s="17"/>
      <c r="AS23" s="17"/>
      <c r="AT23" s="18">
        <f>W23</f>
        <v>0</v>
      </c>
      <c r="AU23" s="19">
        <f>IF(AT$26=0,0,AT23/AT$26)</f>
        <v>0</v>
      </c>
      <c r="AW23" s="17"/>
      <c r="AX23" s="17"/>
      <c r="AY23" s="17"/>
      <c r="AZ23" s="18">
        <f>X23</f>
        <v>0</v>
      </c>
      <c r="BA23" s="19">
        <f>IF(AZ$26=0,0,AZ23/AZ$26)</f>
        <v>0</v>
      </c>
    </row>
    <row r="24" spans="1:60" ht="17.100000000000001" customHeight="1" x14ac:dyDescent="0.25">
      <c r="A24" s="40"/>
      <c r="B24" s="40"/>
      <c r="C24" s="74" t="s">
        <v>8</v>
      </c>
      <c r="D24" s="542" t="s">
        <v>10</v>
      </c>
      <c r="E24" s="75"/>
      <c r="F24" s="75"/>
      <c r="G24" s="75"/>
      <c r="H24" s="1318"/>
      <c r="I24" s="229"/>
      <c r="J24" s="583"/>
      <c r="K24" s="583"/>
      <c r="L24" s="584"/>
      <c r="M24" s="17">
        <f t="shared" si="10"/>
        <v>0</v>
      </c>
      <c r="N24" s="111"/>
      <c r="O24" s="111"/>
      <c r="P24" s="111"/>
      <c r="Q24" s="111"/>
      <c r="R24" s="111"/>
      <c r="S24" s="111"/>
      <c r="T24" s="111"/>
      <c r="U24" s="111"/>
      <c r="V24" s="358"/>
      <c r="W24" s="391">
        <f t="shared" si="11"/>
        <v>0</v>
      </c>
      <c r="X24" s="17">
        <f t="shared" si="12"/>
        <v>0</v>
      </c>
      <c r="Y24" s="18">
        <f>SUM(W24:X24)</f>
        <v>0</v>
      </c>
      <c r="Z24" s="19">
        <f t="shared" ref="Z24:Z25" si="13">IF(Y$26=0,0,Y24/Y$26)</f>
        <v>0</v>
      </c>
      <c r="AA24" s="19"/>
      <c r="AB24" s="19"/>
      <c r="AC24" s="20"/>
      <c r="AE24" s="17"/>
      <c r="AF24" s="17"/>
      <c r="AG24" s="17"/>
      <c r="AH24" s="18">
        <f t="shared" ref="AH24:AH25" si="14">J24</f>
        <v>0</v>
      </c>
      <c r="AI24" s="19">
        <f t="shared" ref="AI24:AI26" si="15">IF(AH$26=0,0,AH24/AH$26)</f>
        <v>0</v>
      </c>
      <c r="AK24" s="17"/>
      <c r="AL24" s="17"/>
      <c r="AM24" s="17"/>
      <c r="AN24" s="18">
        <f t="shared" ref="AN24:AN25" si="16">K24</f>
        <v>0</v>
      </c>
      <c r="AO24" s="19">
        <f t="shared" ref="AO24:AO26" si="17">IF(AN$26=0,0,AN24/AN$26)</f>
        <v>0</v>
      </c>
      <c r="AQ24" s="17"/>
      <c r="AR24" s="17"/>
      <c r="AS24" s="17"/>
      <c r="AT24" s="18">
        <f t="shared" ref="AT24:AT25" si="18">W24</f>
        <v>0</v>
      </c>
      <c r="AU24" s="19">
        <f t="shared" ref="AU24:AU26" si="19">IF(AT$26=0,0,AT24/AT$26)</f>
        <v>0</v>
      </c>
      <c r="AW24" s="17"/>
      <c r="AX24" s="17"/>
      <c r="AY24" s="17"/>
      <c r="AZ24" s="18">
        <f t="shared" ref="AZ24:AZ25" si="20">X24</f>
        <v>0</v>
      </c>
      <c r="BA24" s="19">
        <f t="shared" ref="BA24:BA26" si="21">IF(AZ$26=0,0,AZ24/AZ$26)</f>
        <v>0</v>
      </c>
    </row>
    <row r="25" spans="1:60" ht="17.100000000000001" customHeight="1" x14ac:dyDescent="0.25">
      <c r="A25" s="40"/>
      <c r="B25" s="40"/>
      <c r="C25" s="74" t="s">
        <v>531</v>
      </c>
      <c r="D25" s="542" t="s">
        <v>530</v>
      </c>
      <c r="E25" s="75"/>
      <c r="F25" s="75"/>
      <c r="G25" s="75"/>
      <c r="H25" s="1318"/>
      <c r="I25" s="229"/>
      <c r="J25" s="581"/>
      <c r="K25" s="581"/>
      <c r="L25" s="582"/>
      <c r="M25" s="17">
        <f t="shared" si="10"/>
        <v>0</v>
      </c>
      <c r="N25" s="111"/>
      <c r="O25" s="111"/>
      <c r="P25" s="111"/>
      <c r="Q25" s="111"/>
      <c r="R25" s="111"/>
      <c r="S25" s="111"/>
      <c r="T25" s="111"/>
      <c r="U25" s="111"/>
      <c r="V25" s="358"/>
      <c r="W25" s="391">
        <f t="shared" si="11"/>
        <v>0</v>
      </c>
      <c r="X25" s="17">
        <f t="shared" si="12"/>
        <v>0</v>
      </c>
      <c r="Y25" s="18">
        <f>SUM(W25:X25)</f>
        <v>0</v>
      </c>
      <c r="Z25" s="19">
        <f t="shared" si="13"/>
        <v>0</v>
      </c>
      <c r="AA25" s="19"/>
      <c r="AB25" s="19"/>
      <c r="AC25" s="20"/>
      <c r="AE25" s="17"/>
      <c r="AF25" s="17"/>
      <c r="AG25" s="17"/>
      <c r="AH25" s="18">
        <f t="shared" si="14"/>
        <v>0</v>
      </c>
      <c r="AI25" s="19">
        <f t="shared" si="15"/>
        <v>0</v>
      </c>
      <c r="AK25" s="17"/>
      <c r="AL25" s="17"/>
      <c r="AM25" s="17"/>
      <c r="AN25" s="18">
        <f t="shared" si="16"/>
        <v>0</v>
      </c>
      <c r="AO25" s="19">
        <f t="shared" si="17"/>
        <v>0</v>
      </c>
      <c r="AQ25" s="17"/>
      <c r="AR25" s="17"/>
      <c r="AS25" s="17"/>
      <c r="AT25" s="18">
        <f t="shared" si="18"/>
        <v>0</v>
      </c>
      <c r="AU25" s="19">
        <f t="shared" si="19"/>
        <v>0</v>
      </c>
      <c r="AW25" s="17"/>
      <c r="AX25" s="17"/>
      <c r="AY25" s="17"/>
      <c r="AZ25" s="18">
        <f t="shared" si="20"/>
        <v>0</v>
      </c>
      <c r="BA25" s="19">
        <f t="shared" si="21"/>
        <v>0</v>
      </c>
    </row>
    <row r="26" spans="1:60" ht="17.100000000000001" customHeight="1" x14ac:dyDescent="0.25">
      <c r="A26" s="40"/>
      <c r="B26" s="40"/>
      <c r="C26" s="77"/>
      <c r="D26" s="78"/>
      <c r="E26" s="78"/>
      <c r="F26" s="78"/>
      <c r="G26" s="78"/>
      <c r="H26" s="1318"/>
      <c r="I26" s="230"/>
      <c r="J26" s="80">
        <f>SUM(J23:J25)</f>
        <v>0</v>
      </c>
      <c r="K26" s="80">
        <f t="shared" ref="K26:M26" si="22">SUM(K23:K25)</f>
        <v>0</v>
      </c>
      <c r="L26" s="80">
        <f t="shared" si="22"/>
        <v>0</v>
      </c>
      <c r="M26" s="80">
        <f t="shared" si="22"/>
        <v>0</v>
      </c>
      <c r="N26" s="80"/>
      <c r="O26" s="80"/>
      <c r="P26" s="80"/>
      <c r="Q26" s="81"/>
      <c r="R26" s="81"/>
      <c r="S26" s="81"/>
      <c r="T26" s="81"/>
      <c r="U26" s="81"/>
      <c r="V26" s="356"/>
      <c r="W26" s="381">
        <f>SUM(W23:W25)</f>
        <v>0</v>
      </c>
      <c r="X26" s="82">
        <f t="shared" ref="X26:Y26" si="23">SUM(X23:X25)</f>
        <v>0</v>
      </c>
      <c r="Y26" s="82">
        <f t="shared" si="23"/>
        <v>0</v>
      </c>
      <c r="Z26" s="205">
        <f>IF(Y$26=0,0,Y26/Y$26)</f>
        <v>0</v>
      </c>
      <c r="AA26" s="205"/>
      <c r="AB26" s="205"/>
      <c r="AC26" s="83"/>
      <c r="AE26" s="67"/>
      <c r="AF26" s="67"/>
      <c r="AG26" s="67"/>
      <c r="AH26" s="65">
        <f>SUM(AH23:AH25)</f>
        <v>0</v>
      </c>
      <c r="AI26" s="66">
        <f t="shared" si="15"/>
        <v>0</v>
      </c>
      <c r="AK26" s="67"/>
      <c r="AL26" s="67"/>
      <c r="AM26" s="67"/>
      <c r="AN26" s="65">
        <f>SUM(AN23:AN25)</f>
        <v>0</v>
      </c>
      <c r="AO26" s="66">
        <f t="shared" si="17"/>
        <v>0</v>
      </c>
      <c r="AQ26" s="67"/>
      <c r="AR26" s="67"/>
      <c r="AS26" s="67"/>
      <c r="AT26" s="65">
        <f>SUM(AT23:AT25)</f>
        <v>0</v>
      </c>
      <c r="AU26" s="66">
        <f t="shared" si="19"/>
        <v>0</v>
      </c>
      <c r="AW26" s="67"/>
      <c r="AX26" s="67"/>
      <c r="AY26" s="67"/>
      <c r="AZ26" s="65">
        <f>SUM(AZ23:AZ25)</f>
        <v>0</v>
      </c>
      <c r="BA26" s="66">
        <f t="shared" si="21"/>
        <v>0</v>
      </c>
    </row>
    <row r="27" spans="1:60" s="97" customFormat="1" ht="17.100000000000001" customHeight="1" x14ac:dyDescent="0.25">
      <c r="A27" s="68"/>
      <c r="B27" s="68"/>
      <c r="C27" s="92"/>
      <c r="D27" s="93"/>
      <c r="E27" s="93"/>
      <c r="F27" s="93"/>
      <c r="G27" s="93"/>
      <c r="H27" s="165"/>
      <c r="I27" s="12"/>
      <c r="J27" s="94" t="str">
        <f>IF(J26=J$15,"OK","NOK")</f>
        <v>NOK</v>
      </c>
      <c r="K27" s="94" t="str">
        <f t="shared" ref="K27:L27" si="24">IF(K26=K$15,"OK","NOK")</f>
        <v>NOK</v>
      </c>
      <c r="L27" s="94" t="str">
        <f t="shared" si="24"/>
        <v>NOK</v>
      </c>
      <c r="M27" s="95"/>
      <c r="N27" s="95"/>
      <c r="O27" s="95"/>
      <c r="P27" s="95"/>
      <c r="Q27" s="95"/>
      <c r="R27" s="95"/>
      <c r="S27" s="95"/>
      <c r="T27" s="95"/>
      <c r="U27" s="95"/>
      <c r="V27" s="95"/>
      <c r="W27" s="378"/>
      <c r="X27" s="95"/>
      <c r="Y27" s="96"/>
      <c r="AE27" s="98"/>
      <c r="AF27" s="98"/>
      <c r="AG27" s="98"/>
      <c r="AH27" s="99"/>
      <c r="AI27" s="100"/>
      <c r="AJ27" s="407"/>
      <c r="AK27" s="98"/>
      <c r="AL27" s="98"/>
      <c r="AM27" s="98"/>
      <c r="AN27" s="99"/>
      <c r="AO27" s="100"/>
      <c r="AP27" s="407"/>
      <c r="AQ27" s="98"/>
      <c r="AR27" s="98"/>
      <c r="AS27" s="98"/>
      <c r="AT27" s="99"/>
      <c r="AU27" s="100"/>
      <c r="AV27" s="407"/>
      <c r="AW27" s="98"/>
      <c r="AX27" s="98"/>
      <c r="AY27" s="98"/>
      <c r="AZ27" s="99"/>
      <c r="BA27" s="100"/>
      <c r="BC27" s="3"/>
      <c r="BD27" s="3"/>
      <c r="BE27" s="3"/>
      <c r="BF27" s="3"/>
      <c r="BG27" s="3"/>
      <c r="BH27" s="3"/>
    </row>
    <row r="28" spans="1:60" s="32" customFormat="1" ht="16.5" thickBot="1" x14ac:dyDescent="0.3">
      <c r="A28" s="24" t="s">
        <v>13</v>
      </c>
      <c r="B28" s="25" t="s">
        <v>14</v>
      </c>
      <c r="C28" s="26"/>
      <c r="D28" s="27"/>
      <c r="E28" s="27"/>
      <c r="F28" s="27"/>
      <c r="G28" s="28"/>
      <c r="H28" s="215"/>
      <c r="I28" s="228"/>
      <c r="J28" s="101"/>
      <c r="K28" s="101"/>
      <c r="L28" s="101"/>
      <c r="M28" s="101"/>
      <c r="N28" s="101"/>
      <c r="O28" s="101"/>
      <c r="P28" s="101"/>
      <c r="Q28" s="101"/>
      <c r="R28" s="101"/>
      <c r="S28" s="101"/>
      <c r="T28" s="101"/>
      <c r="U28" s="101"/>
      <c r="V28" s="357"/>
      <c r="W28" s="379"/>
      <c r="X28" s="101"/>
      <c r="Y28" s="30" t="s">
        <v>4</v>
      </c>
      <c r="Z28" s="31" t="s">
        <v>5</v>
      </c>
      <c r="AA28" s="31"/>
      <c r="AB28" s="31"/>
      <c r="AC28" s="31"/>
      <c r="AE28" s="33" t="s">
        <v>181</v>
      </c>
      <c r="AF28" s="33" t="s">
        <v>182</v>
      </c>
      <c r="AG28" s="33" t="s">
        <v>6</v>
      </c>
      <c r="AH28" s="33" t="s">
        <v>4</v>
      </c>
      <c r="AI28" s="34" t="s">
        <v>5</v>
      </c>
      <c r="AJ28" s="408"/>
      <c r="AK28" s="36" t="s">
        <v>181</v>
      </c>
      <c r="AL28" s="36" t="s">
        <v>182</v>
      </c>
      <c r="AM28" s="36" t="s">
        <v>6</v>
      </c>
      <c r="AN28" s="36" t="s">
        <v>4</v>
      </c>
      <c r="AO28" s="37" t="s">
        <v>5</v>
      </c>
      <c r="AP28" s="408"/>
      <c r="AQ28" s="398"/>
      <c r="AR28" s="398"/>
      <c r="AS28" s="398"/>
      <c r="AT28" s="398"/>
      <c r="AU28" s="399"/>
      <c r="AV28" s="408"/>
      <c r="AW28" s="400" t="s">
        <v>181</v>
      </c>
      <c r="AX28" s="400" t="s">
        <v>182</v>
      </c>
      <c r="AY28" s="400" t="s">
        <v>6</v>
      </c>
      <c r="AZ28" s="400" t="s">
        <v>4</v>
      </c>
      <c r="BA28" s="401" t="s">
        <v>5</v>
      </c>
      <c r="BC28" s="3"/>
      <c r="BD28" s="3"/>
      <c r="BE28" s="3"/>
      <c r="BF28" s="3"/>
      <c r="BG28" s="3"/>
      <c r="BH28" s="3"/>
    </row>
    <row r="29" spans="1:60" ht="17.100000000000001" customHeight="1" x14ac:dyDescent="0.25">
      <c r="A29" s="68"/>
      <c r="B29" s="41" t="s">
        <v>15</v>
      </c>
      <c r="C29" s="69" t="s">
        <v>16</v>
      </c>
      <c r="D29" s="50"/>
      <c r="E29" s="70"/>
      <c r="F29" s="70"/>
      <c r="G29" s="70"/>
      <c r="H29" s="589">
        <v>8</v>
      </c>
      <c r="J29" s="71"/>
      <c r="K29" s="71"/>
      <c r="L29" s="71"/>
      <c r="M29" s="71"/>
      <c r="N29" s="71"/>
      <c r="O29" s="71"/>
      <c r="P29" s="71"/>
      <c r="Q29" s="71"/>
      <c r="R29" s="71"/>
      <c r="S29" s="71"/>
      <c r="T29" s="71"/>
      <c r="U29" s="71"/>
      <c r="V29" s="355"/>
      <c r="W29" s="377"/>
      <c r="X29" s="71"/>
      <c r="Y29" s="72"/>
      <c r="Z29" s="73"/>
      <c r="AA29" s="73"/>
      <c r="AB29" s="73"/>
      <c r="AC29" s="73"/>
      <c r="AE29" s="71"/>
      <c r="AF29" s="71"/>
      <c r="AG29" s="71"/>
      <c r="AH29" s="72"/>
      <c r="AI29" s="73"/>
      <c r="AK29" s="71"/>
      <c r="AL29" s="71"/>
      <c r="AM29" s="71"/>
      <c r="AN29" s="72"/>
      <c r="AO29" s="73"/>
      <c r="AQ29" s="71"/>
      <c r="AR29" s="71"/>
      <c r="AS29" s="71"/>
      <c r="AT29" s="72"/>
      <c r="AU29" s="73"/>
      <c r="AW29" s="71"/>
      <c r="AX29" s="71"/>
      <c r="AY29" s="71"/>
      <c r="AZ29" s="72"/>
      <c r="BA29" s="73"/>
    </row>
    <row r="30" spans="1:60" ht="17.100000000000001" customHeight="1" x14ac:dyDescent="0.25">
      <c r="A30" s="102"/>
      <c r="B30" s="102"/>
      <c r="C30" s="103" t="s">
        <v>17</v>
      </c>
      <c r="D30" s="104" t="s">
        <v>609</v>
      </c>
      <c r="E30" s="105"/>
      <c r="F30" s="105"/>
      <c r="G30" s="106"/>
      <c r="H30" s="210"/>
      <c r="I30" s="231"/>
      <c r="J30" s="198">
        <f>J15</f>
        <v>16</v>
      </c>
      <c r="K30" s="198"/>
      <c r="L30" s="17"/>
      <c r="M30" s="17">
        <f t="shared" ref="M30:M32" si="25">SUM(J30:L30)</f>
        <v>16</v>
      </c>
      <c r="N30" s="111"/>
      <c r="O30" s="111"/>
      <c r="P30" s="111"/>
      <c r="Q30" s="111"/>
      <c r="R30" s="111"/>
      <c r="S30" s="111"/>
      <c r="T30" s="111"/>
      <c r="U30" s="111"/>
      <c r="V30" s="358"/>
      <c r="W30" s="391">
        <f t="shared" ref="W30:W32" si="26">J30+K30+N30+Q30+T30</f>
        <v>16</v>
      </c>
      <c r="X30" s="17">
        <f t="shared" ref="X30:X32" si="27">L30+O30+R30+U30</f>
        <v>0</v>
      </c>
      <c r="Y30" s="18">
        <f>SUM(W30:X30)</f>
        <v>16</v>
      </c>
      <c r="Z30" s="19">
        <f>IF(Y$33=0,0,Y30/Y$33)</f>
        <v>6.1068702290076333E-2</v>
      </c>
      <c r="AA30" s="19"/>
      <c r="AB30" s="19"/>
      <c r="AC30" s="20"/>
      <c r="AE30" s="17"/>
      <c r="AF30" s="17"/>
      <c r="AG30" s="17"/>
      <c r="AH30" s="18">
        <f t="shared" ref="AH30:AH32" si="28">J30</f>
        <v>16</v>
      </c>
      <c r="AI30" s="19">
        <f>IF(AH$33=0,0,AH30/AH$33)</f>
        <v>1</v>
      </c>
      <c r="AK30" s="17"/>
      <c r="AL30" s="17"/>
      <c r="AM30" s="17"/>
      <c r="AN30" s="18">
        <f t="shared" ref="AN30:AN32" si="29">K30</f>
        <v>0</v>
      </c>
      <c r="AO30" s="19">
        <f>IF(AN$33=0,0,AN30/AN$33)</f>
        <v>0</v>
      </c>
      <c r="AQ30" s="17"/>
      <c r="AR30" s="17"/>
      <c r="AS30" s="17"/>
      <c r="AT30" s="18">
        <f t="shared" ref="AT30:AT32" si="30">W30</f>
        <v>16</v>
      </c>
      <c r="AU30" s="19">
        <f>IF(AT$33=0,0,AT30/AT$33)</f>
        <v>0.5714285714285714</v>
      </c>
      <c r="AW30" s="17"/>
      <c r="AX30" s="17"/>
      <c r="AY30" s="17"/>
      <c r="AZ30" s="18">
        <f t="shared" ref="AZ30:AZ32" si="31">X30</f>
        <v>0</v>
      </c>
      <c r="BA30" s="19">
        <f>IF(AZ$33=0,0,AZ30/AZ$33)</f>
        <v>0</v>
      </c>
    </row>
    <row r="31" spans="1:60" ht="17.100000000000001" customHeight="1" x14ac:dyDescent="0.25">
      <c r="A31" s="102"/>
      <c r="B31" s="102"/>
      <c r="C31" s="103" t="s">
        <v>18</v>
      </c>
      <c r="D31" s="104" t="s">
        <v>610</v>
      </c>
      <c r="E31" s="105"/>
      <c r="F31" s="105"/>
      <c r="G31" s="106"/>
      <c r="H31" s="210"/>
      <c r="I31" s="231"/>
      <c r="J31" s="198"/>
      <c r="K31" s="198">
        <f>K15</f>
        <v>12</v>
      </c>
      <c r="L31" s="17"/>
      <c r="M31" s="17">
        <f t="shared" si="25"/>
        <v>12</v>
      </c>
      <c r="N31" s="111"/>
      <c r="O31" s="111"/>
      <c r="P31" s="111"/>
      <c r="Q31" s="111"/>
      <c r="R31" s="111"/>
      <c r="S31" s="111"/>
      <c r="T31" s="111"/>
      <c r="U31" s="111"/>
      <c r="V31" s="358"/>
      <c r="W31" s="391">
        <f t="shared" si="26"/>
        <v>12</v>
      </c>
      <c r="X31" s="17">
        <f t="shared" si="27"/>
        <v>0</v>
      </c>
      <c r="Y31" s="18">
        <f>SUM(W31:X31)</f>
        <v>12</v>
      </c>
      <c r="Z31" s="19">
        <f t="shared" ref="Z31:Z33" si="32">IF(Y$33=0,0,Y31/Y$33)</f>
        <v>4.5801526717557252E-2</v>
      </c>
      <c r="AA31" s="19"/>
      <c r="AB31" s="19"/>
      <c r="AC31" s="20"/>
      <c r="AE31" s="17"/>
      <c r="AF31" s="17"/>
      <c r="AG31" s="17"/>
      <c r="AH31" s="18">
        <f t="shared" si="28"/>
        <v>0</v>
      </c>
      <c r="AI31" s="19">
        <f>IF(AH$33=0,0,AH31/AH$33)</f>
        <v>0</v>
      </c>
      <c r="AK31" s="17"/>
      <c r="AL31" s="17"/>
      <c r="AM31" s="17"/>
      <c r="AN31" s="18">
        <f t="shared" si="29"/>
        <v>12</v>
      </c>
      <c r="AO31" s="19">
        <f>IF(AN$33=0,0,AN31/AN$33)</f>
        <v>1</v>
      </c>
      <c r="AQ31" s="17"/>
      <c r="AR31" s="17"/>
      <c r="AS31" s="17"/>
      <c r="AT31" s="18">
        <f t="shared" si="30"/>
        <v>12</v>
      </c>
      <c r="AU31" s="19">
        <f>IF(AT$33=0,0,AT31/AT$33)</f>
        <v>0.42857142857142855</v>
      </c>
      <c r="AW31" s="17"/>
      <c r="AX31" s="17"/>
      <c r="AY31" s="17"/>
      <c r="AZ31" s="18">
        <f t="shared" si="31"/>
        <v>0</v>
      </c>
      <c r="BA31" s="19">
        <f>IF(AZ$33=0,0,AZ31/AZ$33)</f>
        <v>0</v>
      </c>
    </row>
    <row r="32" spans="1:60" ht="17.100000000000001" customHeight="1" x14ac:dyDescent="0.25">
      <c r="A32" s="102"/>
      <c r="B32" s="102"/>
      <c r="C32" s="103" t="s">
        <v>19</v>
      </c>
      <c r="D32" s="104" t="s">
        <v>611</v>
      </c>
      <c r="E32" s="105"/>
      <c r="F32" s="105"/>
      <c r="G32" s="106"/>
      <c r="H32" s="210"/>
      <c r="I32" s="231"/>
      <c r="J32" s="198"/>
      <c r="K32" s="198"/>
      <c r="L32" s="17">
        <f>L15</f>
        <v>234</v>
      </c>
      <c r="M32" s="17">
        <f t="shared" si="25"/>
        <v>234</v>
      </c>
      <c r="N32" s="111"/>
      <c r="O32" s="111"/>
      <c r="P32" s="111"/>
      <c r="Q32" s="111"/>
      <c r="R32" s="111"/>
      <c r="S32" s="111"/>
      <c r="T32" s="111"/>
      <c r="U32" s="111"/>
      <c r="V32" s="358"/>
      <c r="W32" s="391">
        <f t="shared" si="26"/>
        <v>0</v>
      </c>
      <c r="X32" s="17">
        <f t="shared" si="27"/>
        <v>234</v>
      </c>
      <c r="Y32" s="18">
        <f>SUM(W32:X32)</f>
        <v>234</v>
      </c>
      <c r="Z32" s="19">
        <f t="shared" si="32"/>
        <v>0.89312977099236646</v>
      </c>
      <c r="AA32" s="19"/>
      <c r="AB32" s="19"/>
      <c r="AC32" s="20"/>
      <c r="AE32" s="17"/>
      <c r="AF32" s="17"/>
      <c r="AG32" s="17"/>
      <c r="AH32" s="18">
        <f t="shared" si="28"/>
        <v>0</v>
      </c>
      <c r="AI32" s="19">
        <f>IF(AH$33=0,0,AH32/AH$33)</f>
        <v>0</v>
      </c>
      <c r="AK32" s="17"/>
      <c r="AL32" s="17"/>
      <c r="AM32" s="17"/>
      <c r="AN32" s="18">
        <f t="shared" si="29"/>
        <v>0</v>
      </c>
      <c r="AO32" s="19">
        <f>IF(AN$33=0,0,AN32/AN$33)</f>
        <v>0</v>
      </c>
      <c r="AQ32" s="17"/>
      <c r="AR32" s="17"/>
      <c r="AS32" s="17"/>
      <c r="AT32" s="18">
        <f t="shared" si="30"/>
        <v>0</v>
      </c>
      <c r="AU32" s="19">
        <f>IF(AT$33=0,0,AT32/AT$33)</f>
        <v>0</v>
      </c>
      <c r="AW32" s="17"/>
      <c r="AX32" s="17"/>
      <c r="AY32" s="17"/>
      <c r="AZ32" s="18">
        <f t="shared" si="31"/>
        <v>234</v>
      </c>
      <c r="BA32" s="19">
        <f>IF(AZ$33=0,0,AZ32/AZ$33)</f>
        <v>1</v>
      </c>
    </row>
    <row r="33" spans="1:53" ht="17.100000000000001" customHeight="1" x14ac:dyDescent="0.25">
      <c r="A33" s="40"/>
      <c r="B33" s="40"/>
      <c r="C33" s="77"/>
      <c r="D33" s="78"/>
      <c r="E33" s="78"/>
      <c r="F33" s="78"/>
      <c r="G33" s="79"/>
      <c r="H33" s="217"/>
      <c r="I33" s="230"/>
      <c r="J33" s="80">
        <f>SUM(J30:J32)</f>
        <v>16</v>
      </c>
      <c r="K33" s="80">
        <f t="shared" ref="K33:M33" si="33">SUM(K30:K32)</f>
        <v>12</v>
      </c>
      <c r="L33" s="80">
        <f t="shared" si="33"/>
        <v>234</v>
      </c>
      <c r="M33" s="80">
        <f t="shared" si="33"/>
        <v>262</v>
      </c>
      <c r="N33" s="81"/>
      <c r="O33" s="81"/>
      <c r="P33" s="81"/>
      <c r="Q33" s="81"/>
      <c r="R33" s="81"/>
      <c r="S33" s="81"/>
      <c r="T33" s="81"/>
      <c r="U33" s="81"/>
      <c r="V33" s="356"/>
      <c r="W33" s="381">
        <f>SUM(W30:W32)</f>
        <v>28</v>
      </c>
      <c r="X33" s="82">
        <f t="shared" ref="X33:Y33" si="34">SUM(X30:X32)</f>
        <v>234</v>
      </c>
      <c r="Y33" s="82">
        <f t="shared" si="34"/>
        <v>262</v>
      </c>
      <c r="Z33" s="205">
        <f t="shared" si="32"/>
        <v>1</v>
      </c>
      <c r="AA33" s="205"/>
      <c r="AB33" s="205"/>
      <c r="AC33" s="83"/>
      <c r="AE33" s="107"/>
      <c r="AF33" s="107"/>
      <c r="AG33" s="107"/>
      <c r="AH33" s="82">
        <f>SUM(AH30:AH32)</f>
        <v>16</v>
      </c>
      <c r="AI33" s="66">
        <f>IF(AH$33=0,0,AH33/AH$33)</f>
        <v>1</v>
      </c>
      <c r="AK33" s="107"/>
      <c r="AL33" s="107"/>
      <c r="AM33" s="107"/>
      <c r="AN33" s="82">
        <f>SUM(AN30:AN32)</f>
        <v>12</v>
      </c>
      <c r="AO33" s="66">
        <f>IF(AN$33=0,0,AN33/AN$33)</f>
        <v>1</v>
      </c>
      <c r="AQ33" s="107"/>
      <c r="AR33" s="107"/>
      <c r="AS33" s="107"/>
      <c r="AT33" s="82">
        <f>SUM(AT30:AT32)</f>
        <v>28</v>
      </c>
      <c r="AU33" s="66">
        <f>IF(AT$33=0,0,AT33/AT$33)</f>
        <v>1</v>
      </c>
      <c r="AW33" s="107"/>
      <c r="AX33" s="107"/>
      <c r="AY33" s="107"/>
      <c r="AZ33" s="82">
        <f>SUM(AZ30:AZ32)</f>
        <v>234</v>
      </c>
      <c r="BA33" s="66">
        <f>IF(AZ$33=0,0,AZ33/AZ$33)</f>
        <v>1</v>
      </c>
    </row>
    <row r="34" spans="1:53" s="97" customFormat="1" ht="17.100000000000001" customHeight="1" x14ac:dyDescent="0.25">
      <c r="A34" s="68"/>
      <c r="B34" s="68"/>
      <c r="C34" s="92"/>
      <c r="D34" s="93"/>
      <c r="E34" s="93"/>
      <c r="F34" s="93"/>
      <c r="G34" s="93"/>
      <c r="H34" s="92"/>
      <c r="I34" s="12"/>
      <c r="J34" s="94"/>
      <c r="K34" s="94"/>
      <c r="L34" s="94"/>
      <c r="M34" s="95"/>
      <c r="N34" s="95"/>
      <c r="O34" s="95"/>
      <c r="P34" s="95"/>
      <c r="Q34" s="95"/>
      <c r="R34" s="95"/>
      <c r="S34" s="95"/>
      <c r="T34" s="95"/>
      <c r="U34" s="95"/>
      <c r="V34" s="95"/>
      <c r="W34" s="378"/>
      <c r="X34" s="95"/>
      <c r="Y34" s="96"/>
      <c r="AE34" s="109"/>
      <c r="AF34" s="109"/>
      <c r="AG34" s="109"/>
      <c r="AH34" s="96"/>
      <c r="AK34" s="109"/>
      <c r="AL34" s="109"/>
      <c r="AM34" s="109"/>
      <c r="AN34" s="96"/>
      <c r="AQ34" s="109"/>
      <c r="AR34" s="109"/>
      <c r="AS34" s="109"/>
      <c r="AT34" s="96"/>
      <c r="AW34" s="109"/>
      <c r="AX34" s="109"/>
      <c r="AY34" s="109"/>
      <c r="AZ34" s="96"/>
    </row>
    <row r="35" spans="1:53" s="32" customFormat="1" ht="16.5" thickBot="1" x14ac:dyDescent="0.3">
      <c r="A35" s="24" t="s">
        <v>20</v>
      </c>
      <c r="B35" s="25" t="s">
        <v>21</v>
      </c>
      <c r="C35" s="26"/>
      <c r="D35" s="27"/>
      <c r="E35" s="27"/>
      <c r="F35" s="27"/>
      <c r="G35" s="28"/>
      <c r="H35" s="215"/>
      <c r="I35" s="228"/>
      <c r="J35" s="101"/>
      <c r="K35" s="101"/>
      <c r="L35" s="101"/>
      <c r="M35" s="101"/>
      <c r="N35" s="101"/>
      <c r="O35" s="101"/>
      <c r="P35" s="101"/>
      <c r="Q35" s="101"/>
      <c r="R35" s="101"/>
      <c r="S35" s="101"/>
      <c r="T35" s="101"/>
      <c r="U35" s="101"/>
      <c r="V35" s="357"/>
      <c r="W35" s="379"/>
      <c r="X35" s="101"/>
      <c r="Y35" s="30" t="s">
        <v>4</v>
      </c>
      <c r="Z35" s="31" t="s">
        <v>5</v>
      </c>
      <c r="AA35" s="31" t="s">
        <v>181</v>
      </c>
      <c r="AB35" s="31" t="s">
        <v>182</v>
      </c>
      <c r="AC35" s="31" t="s">
        <v>6</v>
      </c>
      <c r="AE35" s="33" t="s">
        <v>181</v>
      </c>
      <c r="AF35" s="33" t="s">
        <v>182</v>
      </c>
      <c r="AG35" s="33" t="s">
        <v>6</v>
      </c>
      <c r="AH35" s="33" t="s">
        <v>4</v>
      </c>
      <c r="AI35" s="34" t="s">
        <v>5</v>
      </c>
      <c r="AJ35" s="408"/>
      <c r="AK35" s="36" t="s">
        <v>181</v>
      </c>
      <c r="AL35" s="36" t="s">
        <v>182</v>
      </c>
      <c r="AM35" s="36" t="s">
        <v>6</v>
      </c>
      <c r="AN35" s="36" t="s">
        <v>4</v>
      </c>
      <c r="AO35" s="37" t="s">
        <v>5</v>
      </c>
      <c r="AP35" s="408"/>
      <c r="AQ35" s="36"/>
      <c r="AR35" s="36"/>
      <c r="AS35" s="36"/>
      <c r="AT35" s="36"/>
      <c r="AU35" s="37"/>
      <c r="AV35" s="408"/>
      <c r="AW35" s="38" t="s">
        <v>181</v>
      </c>
      <c r="AX35" s="38" t="s">
        <v>182</v>
      </c>
      <c r="AY35" s="38" t="s">
        <v>6</v>
      </c>
      <c r="AZ35" s="38" t="s">
        <v>4</v>
      </c>
      <c r="BA35" s="39" t="s">
        <v>5</v>
      </c>
    </row>
    <row r="36" spans="1:53" ht="17.100000000000001" customHeight="1" x14ac:dyDescent="0.25">
      <c r="A36" s="119"/>
      <c r="B36" s="41" t="s">
        <v>22</v>
      </c>
      <c r="C36" s="332" t="s">
        <v>23</v>
      </c>
      <c r="D36" s="50"/>
      <c r="E36" s="70"/>
      <c r="F36" s="70"/>
      <c r="G36" s="70"/>
      <c r="H36" s="119"/>
      <c r="J36" s="71"/>
      <c r="K36" s="71"/>
      <c r="L36" s="71"/>
      <c r="M36" s="71"/>
      <c r="N36" s="71"/>
      <c r="O36" s="71"/>
      <c r="P36" s="71"/>
      <c r="Q36" s="71"/>
      <c r="R36" s="71"/>
      <c r="S36" s="71"/>
      <c r="T36" s="71"/>
      <c r="U36" s="71"/>
      <c r="V36" s="355"/>
      <c r="W36" s="377"/>
      <c r="X36" s="71"/>
      <c r="Y36" s="72"/>
      <c r="Z36" s="73"/>
      <c r="AA36" s="73"/>
      <c r="AB36" s="73"/>
      <c r="AC36" s="73"/>
      <c r="AE36" s="71"/>
      <c r="AF36" s="71"/>
      <c r="AG36" s="71"/>
      <c r="AH36" s="72"/>
      <c r="AI36" s="73"/>
      <c r="AK36" s="71"/>
      <c r="AL36" s="71"/>
      <c r="AM36" s="71"/>
      <c r="AN36" s="72"/>
      <c r="AO36" s="73"/>
      <c r="AQ36" s="71"/>
      <c r="AR36" s="71"/>
      <c r="AS36" s="71"/>
      <c r="AT36" s="72"/>
      <c r="AU36" s="73"/>
      <c r="AW36" s="71"/>
      <c r="AX36" s="71"/>
      <c r="AY36" s="71"/>
      <c r="AZ36" s="72"/>
      <c r="BA36" s="73"/>
    </row>
    <row r="37" spans="1:53" ht="17.100000000000001" customHeight="1" x14ac:dyDescent="0.25">
      <c r="A37" s="119"/>
      <c r="B37" s="540"/>
      <c r="C37" s="103" t="s">
        <v>631</v>
      </c>
      <c r="D37" s="313" t="s">
        <v>658</v>
      </c>
      <c r="E37" s="108"/>
      <c r="F37" s="108"/>
      <c r="G37" s="108"/>
      <c r="H37" s="119"/>
      <c r="J37" s="111"/>
      <c r="K37" s="111"/>
      <c r="L37" s="111"/>
      <c r="M37" s="111"/>
      <c r="N37" s="111"/>
      <c r="O37" s="111"/>
      <c r="P37" s="111"/>
      <c r="Q37" s="111"/>
      <c r="R37" s="111"/>
      <c r="S37" s="111"/>
      <c r="T37" s="111"/>
      <c r="U37" s="111"/>
      <c r="V37" s="358"/>
      <c r="W37" s="380"/>
      <c r="X37" s="111"/>
      <c r="Y37" s="112"/>
      <c r="Z37" s="113"/>
      <c r="AA37" s="113"/>
      <c r="AB37" s="113"/>
      <c r="AC37" s="113"/>
      <c r="AE37" s="111"/>
      <c r="AF37" s="111"/>
      <c r="AG37" s="111"/>
      <c r="AH37" s="112"/>
      <c r="AI37" s="113"/>
      <c r="AK37" s="111"/>
      <c r="AL37" s="111"/>
      <c r="AM37" s="111"/>
      <c r="AN37" s="112"/>
      <c r="AO37" s="113"/>
      <c r="AQ37" s="111"/>
      <c r="AR37" s="111"/>
      <c r="AS37" s="111"/>
      <c r="AT37" s="112"/>
      <c r="AU37" s="113"/>
      <c r="AW37" s="111"/>
      <c r="AX37" s="111"/>
      <c r="AY37" s="111"/>
      <c r="AZ37" s="112"/>
      <c r="BA37" s="113"/>
    </row>
    <row r="38" spans="1:53" ht="17.100000000000001" customHeight="1" x14ac:dyDescent="0.25">
      <c r="A38" s="47"/>
      <c r="B38" s="55"/>
      <c r="C38" s="56"/>
      <c r="D38" s="120" t="s">
        <v>632</v>
      </c>
      <c r="E38" s="58" t="s">
        <v>659</v>
      </c>
      <c r="F38" s="58"/>
      <c r="G38" s="59"/>
      <c r="H38" s="216"/>
      <c r="I38" s="229"/>
      <c r="J38" s="174"/>
      <c r="K38" s="174"/>
      <c r="L38" s="111"/>
      <c r="M38" s="111"/>
      <c r="N38" s="60">
        <v>1</v>
      </c>
      <c r="O38" s="60">
        <v>1</v>
      </c>
      <c r="P38" s="17">
        <f>SUM(N38:O38)</f>
        <v>2</v>
      </c>
      <c r="Q38" s="60"/>
      <c r="R38" s="60">
        <v>1</v>
      </c>
      <c r="S38" s="17">
        <f>SUM(Q38:R38)</f>
        <v>1</v>
      </c>
      <c r="T38" s="60"/>
      <c r="U38" s="60"/>
      <c r="V38" s="17">
        <f>SUM(T38:U38)</f>
        <v>0</v>
      </c>
      <c r="W38" s="391">
        <f t="shared" ref="W38:W39" si="35">J38+K38+N38+Q38+T38</f>
        <v>1</v>
      </c>
      <c r="X38" s="17">
        <f t="shared" ref="X38:X39" si="36">L38+O38+R38+U38</f>
        <v>2</v>
      </c>
      <c r="Y38" s="18">
        <f>SUM(W38:X38)</f>
        <v>3</v>
      </c>
      <c r="Z38" s="19">
        <f>IF(Y$41=0,0,Y38/Y$41)</f>
        <v>0.2</v>
      </c>
      <c r="AA38" s="19"/>
      <c r="AB38" s="19"/>
      <c r="AC38" s="20"/>
      <c r="AE38" s="111"/>
      <c r="AF38" s="111"/>
      <c r="AG38" s="111"/>
      <c r="AH38" s="545"/>
      <c r="AI38" s="131"/>
      <c r="AK38" s="111"/>
      <c r="AL38" s="111"/>
      <c r="AM38" s="111"/>
      <c r="AN38" s="545"/>
      <c r="AO38" s="131"/>
      <c r="AQ38" s="17"/>
      <c r="AR38" s="17"/>
      <c r="AS38" s="17"/>
      <c r="AT38" s="18">
        <f>W38</f>
        <v>1</v>
      </c>
      <c r="AU38" s="19">
        <f>IF(AT$41=0,0,AT38/AT$41)</f>
        <v>0.14285714285714285</v>
      </c>
      <c r="AW38" s="17"/>
      <c r="AX38" s="17"/>
      <c r="AY38" s="17"/>
      <c r="AZ38" s="18">
        <f>X38</f>
        <v>2</v>
      </c>
      <c r="BA38" s="19">
        <f>IF(AZ$41=0,0,AZ38/AZ$41)</f>
        <v>0.25</v>
      </c>
    </row>
    <row r="39" spans="1:53" ht="17.100000000000001" customHeight="1" x14ac:dyDescent="0.25">
      <c r="A39" s="47"/>
      <c r="B39" s="55"/>
      <c r="C39" s="56"/>
      <c r="D39" s="120" t="s">
        <v>633</v>
      </c>
      <c r="E39" s="58" t="s">
        <v>634</v>
      </c>
      <c r="F39" s="58"/>
      <c r="G39" s="59"/>
      <c r="H39" s="216"/>
      <c r="I39" s="229"/>
      <c r="J39" s="174"/>
      <c r="K39" s="174"/>
      <c r="L39" s="111"/>
      <c r="M39" s="111"/>
      <c r="N39" s="61">
        <v>4</v>
      </c>
      <c r="O39" s="61"/>
      <c r="P39" s="17">
        <f t="shared" ref="P39:P40" si="37">SUM(N39:O39)</f>
        <v>4</v>
      </c>
      <c r="Q39" s="61"/>
      <c r="R39" s="61"/>
      <c r="S39" s="17">
        <f t="shared" ref="S39:S40" si="38">SUM(Q39:R39)</f>
        <v>0</v>
      </c>
      <c r="T39" s="61"/>
      <c r="U39" s="61"/>
      <c r="V39" s="17">
        <f t="shared" ref="V39:V40" si="39">SUM(T39:U39)</f>
        <v>0</v>
      </c>
      <c r="W39" s="391">
        <f t="shared" si="35"/>
        <v>4</v>
      </c>
      <c r="X39" s="17">
        <f t="shared" si="36"/>
        <v>0</v>
      </c>
      <c r="Y39" s="18">
        <f>SUM(W39:X39)</f>
        <v>4</v>
      </c>
      <c r="Z39" s="19">
        <f>IF(Y$41=0,0,Y39/Y$41)</f>
        <v>0.26666666666666666</v>
      </c>
      <c r="AA39" s="19"/>
      <c r="AB39" s="19"/>
      <c r="AC39" s="20"/>
      <c r="AE39" s="111"/>
      <c r="AF39" s="111"/>
      <c r="AG39" s="111"/>
      <c r="AH39" s="545"/>
      <c r="AI39" s="131"/>
      <c r="AK39" s="111"/>
      <c r="AL39" s="111"/>
      <c r="AM39" s="111"/>
      <c r="AN39" s="545"/>
      <c r="AO39" s="131"/>
      <c r="AQ39" s="17"/>
      <c r="AR39" s="17"/>
      <c r="AS39" s="17"/>
      <c r="AT39" s="18">
        <f>W39</f>
        <v>4</v>
      </c>
      <c r="AU39" s="19">
        <f>IF(AT$41=0,0,AT39/AT$41)</f>
        <v>0.5714285714285714</v>
      </c>
      <c r="AW39" s="17"/>
      <c r="AX39" s="17"/>
      <c r="AY39" s="17"/>
      <c r="AZ39" s="18">
        <f>X39</f>
        <v>0</v>
      </c>
      <c r="BA39" s="19">
        <f>IF(AZ$41=0,0,AZ39/AZ$41)</f>
        <v>0</v>
      </c>
    </row>
    <row r="40" spans="1:53" ht="17.100000000000001" customHeight="1" x14ac:dyDescent="0.25">
      <c r="A40" s="47"/>
      <c r="B40" s="55"/>
      <c r="C40" s="56"/>
      <c r="D40" s="120" t="s">
        <v>744</v>
      </c>
      <c r="E40" s="58" t="s">
        <v>745</v>
      </c>
      <c r="F40" s="58"/>
      <c r="G40" s="59"/>
      <c r="H40" s="216"/>
      <c r="I40" s="229"/>
      <c r="J40" s="174"/>
      <c r="K40" s="174"/>
      <c r="L40" s="111"/>
      <c r="M40" s="111"/>
      <c r="N40" s="60">
        <v>1</v>
      </c>
      <c r="O40" s="60">
        <v>2</v>
      </c>
      <c r="P40" s="17">
        <f t="shared" si="37"/>
        <v>3</v>
      </c>
      <c r="Q40" s="60">
        <v>1</v>
      </c>
      <c r="R40" s="60">
        <v>4</v>
      </c>
      <c r="S40" s="17">
        <f t="shared" si="38"/>
        <v>5</v>
      </c>
      <c r="T40" s="60"/>
      <c r="U40" s="60"/>
      <c r="V40" s="17">
        <f t="shared" si="39"/>
        <v>0</v>
      </c>
      <c r="W40" s="391">
        <f t="shared" ref="W40" si="40">J40+K40+N40+Q40+T40</f>
        <v>2</v>
      </c>
      <c r="X40" s="17">
        <f t="shared" ref="X40" si="41">L40+O40+R40+U40</f>
        <v>6</v>
      </c>
      <c r="Y40" s="18">
        <f>SUM(W40:X40)</f>
        <v>8</v>
      </c>
      <c r="Z40" s="19">
        <f>IF(Y$41=0,0,Y40/Y$41)</f>
        <v>0.53333333333333333</v>
      </c>
      <c r="AA40" s="19"/>
      <c r="AB40" s="19"/>
      <c r="AC40" s="20"/>
      <c r="AE40" s="111"/>
      <c r="AF40" s="111"/>
      <c r="AG40" s="111"/>
      <c r="AH40" s="545"/>
      <c r="AI40" s="131"/>
      <c r="AK40" s="111"/>
      <c r="AL40" s="111"/>
      <c r="AM40" s="111"/>
      <c r="AN40" s="545"/>
      <c r="AO40" s="131"/>
      <c r="AQ40" s="17"/>
      <c r="AR40" s="17"/>
      <c r="AS40" s="17"/>
      <c r="AT40" s="18">
        <f>W40</f>
        <v>2</v>
      </c>
      <c r="AU40" s="19">
        <f>IF(AT$41=0,0,AT40/AT$41)</f>
        <v>0.2857142857142857</v>
      </c>
      <c r="AW40" s="17"/>
      <c r="AX40" s="17"/>
      <c r="AY40" s="17"/>
      <c r="AZ40" s="18">
        <f>X40</f>
        <v>6</v>
      </c>
      <c r="BA40" s="19">
        <f>IF(AZ$41=0,0,AZ40/AZ$41)</f>
        <v>0.75</v>
      </c>
    </row>
    <row r="41" spans="1:53" ht="17.100000000000001" customHeight="1" x14ac:dyDescent="0.25">
      <c r="A41" s="40"/>
      <c r="B41" s="40"/>
      <c r="C41" s="77"/>
      <c r="D41" s="78"/>
      <c r="E41" s="78"/>
      <c r="F41" s="78"/>
      <c r="G41" s="78"/>
      <c r="H41" s="242"/>
      <c r="I41" s="230"/>
      <c r="J41" s="80"/>
      <c r="K41" s="80"/>
      <c r="L41" s="80"/>
      <c r="M41" s="80"/>
      <c r="N41" s="64">
        <f>SUM(N38:N40)</f>
        <v>6</v>
      </c>
      <c r="O41" s="64">
        <f t="shared" ref="O41:V41" si="42">SUM(O38:O40)</f>
        <v>3</v>
      </c>
      <c r="P41" s="64">
        <f t="shared" si="42"/>
        <v>9</v>
      </c>
      <c r="Q41" s="64">
        <f t="shared" si="42"/>
        <v>1</v>
      </c>
      <c r="R41" s="64">
        <f t="shared" si="42"/>
        <v>5</v>
      </c>
      <c r="S41" s="64">
        <f t="shared" si="42"/>
        <v>6</v>
      </c>
      <c r="T41" s="64">
        <f t="shared" si="42"/>
        <v>0</v>
      </c>
      <c r="U41" s="64">
        <f t="shared" si="42"/>
        <v>0</v>
      </c>
      <c r="V41" s="64">
        <f t="shared" si="42"/>
        <v>0</v>
      </c>
      <c r="W41" s="381">
        <f>SUM(W38:W40)</f>
        <v>7</v>
      </c>
      <c r="X41" s="82">
        <f t="shared" ref="X41:Y41" si="43">SUM(X38:X40)</f>
        <v>8</v>
      </c>
      <c r="Y41" s="82">
        <f t="shared" si="43"/>
        <v>15</v>
      </c>
      <c r="Z41" s="205">
        <f>IF(Y$41=0,0,Y41/Y$41)</f>
        <v>1</v>
      </c>
      <c r="AA41" s="205"/>
      <c r="AB41" s="205"/>
      <c r="AC41" s="83"/>
      <c r="AE41" s="81"/>
      <c r="AF41" s="81"/>
      <c r="AG41" s="81"/>
      <c r="AH41" s="82"/>
      <c r="AI41" s="66"/>
      <c r="AK41" s="81"/>
      <c r="AL41" s="81"/>
      <c r="AM41" s="81"/>
      <c r="AN41" s="82"/>
      <c r="AO41" s="66"/>
      <c r="AQ41" s="81"/>
      <c r="AR41" s="81"/>
      <c r="AS41" s="81"/>
      <c r="AT41" s="82">
        <f>SUM(AT38:AT40)</f>
        <v>7</v>
      </c>
      <c r="AU41" s="66">
        <f>IF(AT$41=0,0,AT41/AT$41)</f>
        <v>1</v>
      </c>
      <c r="AW41" s="81"/>
      <c r="AX41" s="81"/>
      <c r="AY41" s="81"/>
      <c r="AZ41" s="82">
        <f>SUM(AZ38:AZ40)</f>
        <v>8</v>
      </c>
      <c r="BA41" s="66">
        <f>IF(AZ$41=0,0,AZ41/AZ$41)</f>
        <v>1</v>
      </c>
    </row>
    <row r="42" spans="1:53" s="117" customFormat="1" ht="17.100000000000001" customHeight="1" x14ac:dyDescent="0.25">
      <c r="A42" s="119"/>
      <c r="B42" s="119"/>
      <c r="C42" s="540"/>
      <c r="D42" s="212"/>
      <c r="E42" s="212"/>
      <c r="F42" s="212"/>
      <c r="G42" s="212"/>
      <c r="H42" s="242"/>
      <c r="I42" s="230"/>
      <c r="J42" s="17"/>
      <c r="K42" s="17"/>
      <c r="L42" s="17"/>
      <c r="M42" s="17"/>
      <c r="N42" s="17" t="str">
        <f>IF(N41=N$20,"OK","NOK")</f>
        <v>OK</v>
      </c>
      <c r="O42" s="17" t="str">
        <f>IF(O41=O$20,"OK","NOK")</f>
        <v>OK</v>
      </c>
      <c r="P42" s="17"/>
      <c r="Q42" s="17" t="str">
        <f>IF(Q41=Q$20,"OK","NOK")</f>
        <v>OK</v>
      </c>
      <c r="R42" s="17" t="str">
        <f>IF(R41=R$20,"OK","NOK")</f>
        <v>OK</v>
      </c>
      <c r="S42" s="17"/>
      <c r="T42" s="17" t="str">
        <f>IF(T41=T$20,"OK","NOK")</f>
        <v>OK</v>
      </c>
      <c r="U42" s="17" t="str">
        <f>IF(U41=U$20,"OK","NOK")</f>
        <v>OK</v>
      </c>
      <c r="V42" s="359"/>
      <c r="W42" s="395">
        <f>IF($Y$41=0,0,W41/$Y$41)</f>
        <v>0.46666666666666667</v>
      </c>
      <c r="X42" s="91">
        <f>IF($Y$41=0,0,X41/$Y$41)</f>
        <v>0.53333333333333333</v>
      </c>
      <c r="Y42" s="201">
        <f>IF($Y$41=0,0,Y41/$Y$41)</f>
        <v>1</v>
      </c>
      <c r="Z42" s="201"/>
      <c r="AA42" s="201"/>
      <c r="AB42" s="201"/>
      <c r="AC42" s="84"/>
      <c r="AE42" s="17"/>
      <c r="AF42" s="17"/>
      <c r="AG42" s="17"/>
      <c r="AH42" s="539"/>
      <c r="AI42" s="91"/>
      <c r="AK42" s="17"/>
      <c r="AL42" s="17"/>
      <c r="AM42" s="17"/>
      <c r="AN42" s="539"/>
      <c r="AO42" s="91"/>
      <c r="AQ42" s="17"/>
      <c r="AR42" s="17"/>
      <c r="AS42" s="17"/>
      <c r="AT42" s="539"/>
      <c r="AU42" s="91"/>
      <c r="AW42" s="17"/>
      <c r="AX42" s="17"/>
      <c r="AY42" s="17"/>
      <c r="AZ42" s="539"/>
      <c r="BA42" s="91"/>
    </row>
    <row r="43" spans="1:53" ht="17.100000000000001" customHeight="1" x14ac:dyDescent="0.25">
      <c r="A43" s="68"/>
      <c r="B43" s="540"/>
      <c r="C43" s="103" t="s">
        <v>24</v>
      </c>
      <c r="D43" s="110" t="s">
        <v>373</v>
      </c>
      <c r="E43" s="108"/>
      <c r="F43" s="108"/>
      <c r="G43" s="108"/>
      <c r="H43" s="589">
        <v>9</v>
      </c>
      <c r="J43" s="111"/>
      <c r="K43" s="111"/>
      <c r="L43" s="111"/>
      <c r="M43" s="111"/>
      <c r="N43" s="111"/>
      <c r="O43" s="111"/>
      <c r="P43" s="111"/>
      <c r="Q43" s="111"/>
      <c r="R43" s="111"/>
      <c r="S43" s="111"/>
      <c r="T43" s="111"/>
      <c r="U43" s="111"/>
      <c r="V43" s="358"/>
      <c r="W43" s="380"/>
      <c r="X43" s="111"/>
      <c r="Y43" s="112"/>
      <c r="Z43" s="113"/>
      <c r="AA43" s="113"/>
      <c r="AB43" s="113"/>
      <c r="AC43" s="113"/>
      <c r="AE43" s="111"/>
      <c r="AF43" s="111"/>
      <c r="AG43" s="111"/>
      <c r="AH43" s="112"/>
      <c r="AI43" s="113"/>
      <c r="AK43" s="111"/>
      <c r="AL43" s="111"/>
      <c r="AM43" s="111"/>
      <c r="AN43" s="112"/>
      <c r="AO43" s="113"/>
      <c r="AQ43" s="111"/>
      <c r="AR43" s="111"/>
      <c r="AS43" s="111"/>
      <c r="AT43" s="112"/>
      <c r="AU43" s="113"/>
      <c r="AW43" s="111"/>
      <c r="AX43" s="111"/>
      <c r="AY43" s="111"/>
      <c r="AZ43" s="112"/>
      <c r="BA43" s="113"/>
    </row>
    <row r="44" spans="1:53" ht="17.100000000000001" customHeight="1" x14ac:dyDescent="0.25">
      <c r="A44" s="68"/>
      <c r="B44" s="540"/>
      <c r="C44" s="23"/>
      <c r="D44" s="202" t="s">
        <v>25</v>
      </c>
      <c r="E44" s="85" t="s">
        <v>384</v>
      </c>
      <c r="F44" s="75"/>
      <c r="G44" s="75"/>
      <c r="H44" s="119"/>
      <c r="J44" s="581"/>
      <c r="K44" s="581"/>
      <c r="L44" s="582">
        <v>1</v>
      </c>
      <c r="M44" s="17">
        <f t="shared" ref="M44:M57" si="44">SUM(J44:L44)</f>
        <v>1</v>
      </c>
      <c r="N44" s="111"/>
      <c r="O44" s="111"/>
      <c r="P44" s="111"/>
      <c r="Q44" s="111"/>
      <c r="R44" s="111"/>
      <c r="S44" s="111"/>
      <c r="T44" s="111"/>
      <c r="U44" s="111"/>
      <c r="V44" s="358"/>
      <c r="W44" s="391">
        <f t="shared" ref="W44:W57" si="45">J44+K44+N44+Q44+T44</f>
        <v>0</v>
      </c>
      <c r="X44" s="17">
        <f t="shared" ref="X44:X57" si="46">L44+O44+R44+U44</f>
        <v>1</v>
      </c>
      <c r="Y44" s="18">
        <f t="shared" ref="Y44:Y57" si="47">SUM(W44:X44)</f>
        <v>1</v>
      </c>
      <c r="Z44" s="19">
        <f>IF(Y$58=0,0,Y44/Y$58)</f>
        <v>3.8167938931297708E-3</v>
      </c>
      <c r="AA44" s="19"/>
      <c r="AB44" s="19"/>
      <c r="AC44" s="84"/>
      <c r="AE44" s="17"/>
      <c r="AF44" s="17"/>
      <c r="AG44" s="17"/>
      <c r="AH44" s="18">
        <f t="shared" ref="AH44:AH57" si="48">J44</f>
        <v>0</v>
      </c>
      <c r="AI44" s="19">
        <f>IF(AH$58=0,0,AH44/AH$58)</f>
        <v>0</v>
      </c>
      <c r="AK44" s="17"/>
      <c r="AL44" s="17"/>
      <c r="AM44" s="17"/>
      <c r="AN44" s="18">
        <f t="shared" ref="AN44:AN57" si="49">K44</f>
        <v>0</v>
      </c>
      <c r="AO44" s="19">
        <f>IF(AN$58=0,0,AN44/AN$58)</f>
        <v>0</v>
      </c>
      <c r="AQ44" s="17"/>
      <c r="AR44" s="17"/>
      <c r="AS44" s="17"/>
      <c r="AT44" s="18">
        <f t="shared" ref="AT44:AT57" si="50">W44</f>
        <v>0</v>
      </c>
      <c r="AU44" s="19">
        <f>IF(AT$58=0,0,AT44/AT$58)</f>
        <v>0</v>
      </c>
      <c r="AW44" s="17"/>
      <c r="AX44" s="17"/>
      <c r="AY44" s="17"/>
      <c r="AZ44" s="18">
        <f t="shared" ref="AZ44:AZ57" si="51">X44</f>
        <v>1</v>
      </c>
      <c r="BA44" s="19">
        <f>IF(AZ$58=0,0,AZ44/AZ$58)</f>
        <v>4.2735042735042739E-3</v>
      </c>
    </row>
    <row r="45" spans="1:53" ht="17.100000000000001" customHeight="1" x14ac:dyDescent="0.25">
      <c r="A45" s="68"/>
      <c r="B45" s="540"/>
      <c r="C45" s="23"/>
      <c r="D45" s="202" t="s">
        <v>27</v>
      </c>
      <c r="E45" s="85" t="s">
        <v>385</v>
      </c>
      <c r="F45" s="75"/>
      <c r="G45" s="75"/>
      <c r="H45" s="119"/>
      <c r="J45" s="583"/>
      <c r="K45" s="583"/>
      <c r="L45" s="584"/>
      <c r="M45" s="17">
        <f t="shared" si="44"/>
        <v>0</v>
      </c>
      <c r="N45" s="111"/>
      <c r="O45" s="111"/>
      <c r="P45" s="111"/>
      <c r="Q45" s="111"/>
      <c r="R45" s="111"/>
      <c r="S45" s="111"/>
      <c r="T45" s="111"/>
      <c r="U45" s="111"/>
      <c r="V45" s="358"/>
      <c r="W45" s="391">
        <f t="shared" si="45"/>
        <v>0</v>
      </c>
      <c r="X45" s="17">
        <f t="shared" si="46"/>
        <v>0</v>
      </c>
      <c r="Y45" s="18">
        <f t="shared" si="47"/>
        <v>0</v>
      </c>
      <c r="Z45" s="19">
        <f t="shared" ref="Z45:Z58" si="52">IF(Y$58=0,0,Y45/Y$58)</f>
        <v>0</v>
      </c>
      <c r="AA45" s="19"/>
      <c r="AB45" s="19"/>
      <c r="AC45" s="84"/>
      <c r="AE45" s="17"/>
      <c r="AF45" s="17"/>
      <c r="AG45" s="17"/>
      <c r="AH45" s="18">
        <f t="shared" si="48"/>
        <v>0</v>
      </c>
      <c r="AI45" s="19">
        <f t="shared" ref="AI45:AI58" si="53">IF(AH$58=0,0,AH45/AH$58)</f>
        <v>0</v>
      </c>
      <c r="AK45" s="17"/>
      <c r="AL45" s="17"/>
      <c r="AM45" s="17"/>
      <c r="AN45" s="18">
        <f t="shared" si="49"/>
        <v>0</v>
      </c>
      <c r="AO45" s="19">
        <f t="shared" ref="AO45:AO58" si="54">IF(AN$58=0,0,AN45/AN$58)</f>
        <v>0</v>
      </c>
      <c r="AQ45" s="17"/>
      <c r="AR45" s="17"/>
      <c r="AS45" s="17"/>
      <c r="AT45" s="18">
        <f t="shared" si="50"/>
        <v>0</v>
      </c>
      <c r="AU45" s="19">
        <f t="shared" ref="AU45:AU58" si="55">IF(AT$58=0,0,AT45/AT$58)</f>
        <v>0</v>
      </c>
      <c r="AW45" s="17"/>
      <c r="AX45" s="17"/>
      <c r="AY45" s="17"/>
      <c r="AZ45" s="18">
        <f t="shared" si="51"/>
        <v>0</v>
      </c>
      <c r="BA45" s="19">
        <f t="shared" ref="BA45:BA58" si="56">IF(AZ$58=0,0,AZ45/AZ$58)</f>
        <v>0</v>
      </c>
    </row>
    <row r="46" spans="1:53" ht="17.100000000000001" customHeight="1" x14ac:dyDescent="0.25">
      <c r="A46" s="68"/>
      <c r="B46" s="540"/>
      <c r="C46" s="23"/>
      <c r="D46" s="202" t="s">
        <v>29</v>
      </c>
      <c r="E46" s="85" t="s">
        <v>386</v>
      </c>
      <c r="F46" s="75"/>
      <c r="G46" s="75"/>
      <c r="H46" s="119"/>
      <c r="J46" s="581"/>
      <c r="K46" s="581"/>
      <c r="L46" s="582"/>
      <c r="M46" s="17">
        <f t="shared" si="44"/>
        <v>0</v>
      </c>
      <c r="N46" s="111"/>
      <c r="O46" s="111"/>
      <c r="P46" s="111"/>
      <c r="Q46" s="111"/>
      <c r="R46" s="111"/>
      <c r="S46" s="111"/>
      <c r="T46" s="111"/>
      <c r="U46" s="111"/>
      <c r="V46" s="358"/>
      <c r="W46" s="391">
        <f t="shared" si="45"/>
        <v>0</v>
      </c>
      <c r="X46" s="17">
        <f t="shared" si="46"/>
        <v>0</v>
      </c>
      <c r="Y46" s="18">
        <f t="shared" si="47"/>
        <v>0</v>
      </c>
      <c r="Z46" s="19">
        <f t="shared" si="52"/>
        <v>0</v>
      </c>
      <c r="AA46" s="19"/>
      <c r="AB46" s="19"/>
      <c r="AC46" s="84"/>
      <c r="AE46" s="17"/>
      <c r="AF46" s="17"/>
      <c r="AG46" s="17"/>
      <c r="AH46" s="18">
        <f t="shared" si="48"/>
        <v>0</v>
      </c>
      <c r="AI46" s="19">
        <f t="shared" si="53"/>
        <v>0</v>
      </c>
      <c r="AK46" s="17"/>
      <c r="AL46" s="17"/>
      <c r="AM46" s="17"/>
      <c r="AN46" s="18">
        <f t="shared" si="49"/>
        <v>0</v>
      </c>
      <c r="AO46" s="19">
        <f t="shared" si="54"/>
        <v>0</v>
      </c>
      <c r="AQ46" s="17"/>
      <c r="AR46" s="17"/>
      <c r="AS46" s="17"/>
      <c r="AT46" s="18">
        <f t="shared" si="50"/>
        <v>0</v>
      </c>
      <c r="AU46" s="19">
        <f t="shared" si="55"/>
        <v>0</v>
      </c>
      <c r="AW46" s="17"/>
      <c r="AX46" s="17"/>
      <c r="AY46" s="17"/>
      <c r="AZ46" s="18">
        <f t="shared" si="51"/>
        <v>0</v>
      </c>
      <c r="BA46" s="19">
        <f t="shared" si="56"/>
        <v>0</v>
      </c>
    </row>
    <row r="47" spans="1:53" ht="17.100000000000001" customHeight="1" x14ac:dyDescent="0.25">
      <c r="A47" s="68"/>
      <c r="B47" s="540"/>
      <c r="C47" s="23"/>
      <c r="D47" s="202" t="s">
        <v>31</v>
      </c>
      <c r="E47" s="85" t="s">
        <v>533</v>
      </c>
      <c r="F47" s="75"/>
      <c r="G47" s="75"/>
      <c r="H47" s="119"/>
      <c r="J47" s="583"/>
      <c r="K47" s="583">
        <v>1</v>
      </c>
      <c r="L47" s="584">
        <v>7</v>
      </c>
      <c r="M47" s="17">
        <f t="shared" si="44"/>
        <v>8</v>
      </c>
      <c r="N47" s="111"/>
      <c r="O47" s="111"/>
      <c r="P47" s="111"/>
      <c r="Q47" s="111"/>
      <c r="R47" s="111"/>
      <c r="S47" s="111"/>
      <c r="T47" s="111"/>
      <c r="U47" s="111"/>
      <c r="V47" s="358"/>
      <c r="W47" s="391">
        <f t="shared" si="45"/>
        <v>1</v>
      </c>
      <c r="X47" s="17">
        <f t="shared" si="46"/>
        <v>7</v>
      </c>
      <c r="Y47" s="18">
        <f t="shared" si="47"/>
        <v>8</v>
      </c>
      <c r="Z47" s="19">
        <f t="shared" si="52"/>
        <v>3.0534351145038167E-2</v>
      </c>
      <c r="AA47" s="19"/>
      <c r="AB47" s="19"/>
      <c r="AC47" s="84"/>
      <c r="AE47" s="17"/>
      <c r="AF47" s="17"/>
      <c r="AG47" s="17"/>
      <c r="AH47" s="18">
        <f t="shared" si="48"/>
        <v>0</v>
      </c>
      <c r="AI47" s="19">
        <f t="shared" si="53"/>
        <v>0</v>
      </c>
      <c r="AK47" s="17"/>
      <c r="AL47" s="17"/>
      <c r="AM47" s="17"/>
      <c r="AN47" s="18">
        <f t="shared" si="49"/>
        <v>1</v>
      </c>
      <c r="AO47" s="19">
        <f t="shared" si="54"/>
        <v>8.3333333333333329E-2</v>
      </c>
      <c r="AQ47" s="17"/>
      <c r="AR47" s="17"/>
      <c r="AS47" s="17"/>
      <c r="AT47" s="18">
        <f t="shared" si="50"/>
        <v>1</v>
      </c>
      <c r="AU47" s="19">
        <f t="shared" si="55"/>
        <v>3.5714285714285712E-2</v>
      </c>
      <c r="AW47" s="17"/>
      <c r="AX47" s="17"/>
      <c r="AY47" s="17"/>
      <c r="AZ47" s="18">
        <f t="shared" si="51"/>
        <v>7</v>
      </c>
      <c r="BA47" s="19">
        <f t="shared" si="56"/>
        <v>2.9914529914529916E-2</v>
      </c>
    </row>
    <row r="48" spans="1:53" ht="17.100000000000001" customHeight="1" x14ac:dyDescent="0.25">
      <c r="A48" s="68"/>
      <c r="B48" s="540"/>
      <c r="C48" s="93"/>
      <c r="D48" s="202" t="s">
        <v>374</v>
      </c>
      <c r="E48" s="85" t="s">
        <v>534</v>
      </c>
      <c r="F48" s="75"/>
      <c r="G48" s="75"/>
      <c r="H48" s="119"/>
      <c r="J48" s="581"/>
      <c r="K48" s="581"/>
      <c r="L48" s="582">
        <v>4</v>
      </c>
      <c r="M48" s="17">
        <f t="shared" si="44"/>
        <v>4</v>
      </c>
      <c r="N48" s="111"/>
      <c r="O48" s="111"/>
      <c r="P48" s="111"/>
      <c r="Q48" s="111"/>
      <c r="R48" s="111"/>
      <c r="S48" s="111"/>
      <c r="T48" s="111"/>
      <c r="U48" s="111"/>
      <c r="V48" s="358"/>
      <c r="W48" s="391">
        <f t="shared" si="45"/>
        <v>0</v>
      </c>
      <c r="X48" s="17">
        <f t="shared" si="46"/>
        <v>4</v>
      </c>
      <c r="Y48" s="18">
        <f t="shared" si="47"/>
        <v>4</v>
      </c>
      <c r="Z48" s="19">
        <f t="shared" si="52"/>
        <v>1.5267175572519083E-2</v>
      </c>
      <c r="AA48" s="19"/>
      <c r="AB48" s="19"/>
      <c r="AC48" s="84"/>
      <c r="AE48" s="17"/>
      <c r="AF48" s="17"/>
      <c r="AG48" s="17"/>
      <c r="AH48" s="18">
        <f t="shared" si="48"/>
        <v>0</v>
      </c>
      <c r="AI48" s="19">
        <f t="shared" si="53"/>
        <v>0</v>
      </c>
      <c r="AK48" s="17"/>
      <c r="AL48" s="17"/>
      <c r="AM48" s="17"/>
      <c r="AN48" s="18">
        <f t="shared" si="49"/>
        <v>0</v>
      </c>
      <c r="AO48" s="19">
        <f t="shared" si="54"/>
        <v>0</v>
      </c>
      <c r="AQ48" s="17"/>
      <c r="AR48" s="17"/>
      <c r="AS48" s="17"/>
      <c r="AT48" s="18">
        <f t="shared" si="50"/>
        <v>0</v>
      </c>
      <c r="AU48" s="19">
        <f t="shared" si="55"/>
        <v>0</v>
      </c>
      <c r="AW48" s="17"/>
      <c r="AX48" s="17"/>
      <c r="AY48" s="17"/>
      <c r="AZ48" s="18">
        <f t="shared" si="51"/>
        <v>4</v>
      </c>
      <c r="BA48" s="19">
        <f t="shared" si="56"/>
        <v>1.7094017094017096E-2</v>
      </c>
    </row>
    <row r="49" spans="1:53" ht="17.100000000000001" customHeight="1" x14ac:dyDescent="0.25">
      <c r="A49" s="68"/>
      <c r="B49" s="540"/>
      <c r="C49" s="93"/>
      <c r="D49" s="202" t="s">
        <v>375</v>
      </c>
      <c r="E49" s="85" t="s">
        <v>535</v>
      </c>
      <c r="F49" s="75"/>
      <c r="G49" s="75"/>
      <c r="H49" s="119"/>
      <c r="J49" s="583">
        <v>1</v>
      </c>
      <c r="K49" s="583">
        <v>2</v>
      </c>
      <c r="L49" s="584">
        <v>2</v>
      </c>
      <c r="M49" s="17">
        <f t="shared" si="44"/>
        <v>5</v>
      </c>
      <c r="N49" s="111"/>
      <c r="O49" s="111"/>
      <c r="P49" s="111"/>
      <c r="Q49" s="111"/>
      <c r="R49" s="111"/>
      <c r="S49" s="111"/>
      <c r="T49" s="111"/>
      <c r="U49" s="111"/>
      <c r="V49" s="358"/>
      <c r="W49" s="391">
        <f t="shared" si="45"/>
        <v>3</v>
      </c>
      <c r="X49" s="17">
        <f t="shared" si="46"/>
        <v>2</v>
      </c>
      <c r="Y49" s="18">
        <f t="shared" si="47"/>
        <v>5</v>
      </c>
      <c r="Z49" s="19">
        <f t="shared" si="52"/>
        <v>1.9083969465648856E-2</v>
      </c>
      <c r="AA49" s="19"/>
      <c r="AB49" s="19"/>
      <c r="AC49" s="84"/>
      <c r="AE49" s="17"/>
      <c r="AF49" s="17"/>
      <c r="AG49" s="17"/>
      <c r="AH49" s="18">
        <f t="shared" si="48"/>
        <v>1</v>
      </c>
      <c r="AI49" s="19">
        <f t="shared" si="53"/>
        <v>6.25E-2</v>
      </c>
      <c r="AK49" s="17"/>
      <c r="AL49" s="17"/>
      <c r="AM49" s="17"/>
      <c r="AN49" s="18">
        <f t="shared" si="49"/>
        <v>2</v>
      </c>
      <c r="AO49" s="19">
        <f t="shared" si="54"/>
        <v>0.16666666666666666</v>
      </c>
      <c r="AQ49" s="17"/>
      <c r="AR49" s="17"/>
      <c r="AS49" s="17"/>
      <c r="AT49" s="18">
        <f t="shared" si="50"/>
        <v>3</v>
      </c>
      <c r="AU49" s="19">
        <f t="shared" si="55"/>
        <v>0.10714285714285714</v>
      </c>
      <c r="AW49" s="17"/>
      <c r="AX49" s="17"/>
      <c r="AY49" s="17"/>
      <c r="AZ49" s="18">
        <f t="shared" si="51"/>
        <v>2</v>
      </c>
      <c r="BA49" s="19">
        <f t="shared" si="56"/>
        <v>8.5470085470085479E-3</v>
      </c>
    </row>
    <row r="50" spans="1:53" ht="17.100000000000001" customHeight="1" x14ac:dyDescent="0.25">
      <c r="A50" s="68"/>
      <c r="B50" s="540"/>
      <c r="C50" s="93"/>
      <c r="D50" s="202" t="s">
        <v>376</v>
      </c>
      <c r="E50" s="85" t="s">
        <v>387</v>
      </c>
      <c r="F50" s="75"/>
      <c r="G50" s="75"/>
      <c r="H50" s="119"/>
      <c r="J50" s="581"/>
      <c r="K50" s="581"/>
      <c r="L50" s="582"/>
      <c r="M50" s="17">
        <f t="shared" si="44"/>
        <v>0</v>
      </c>
      <c r="N50" s="111"/>
      <c r="O50" s="111"/>
      <c r="P50" s="111"/>
      <c r="Q50" s="111"/>
      <c r="R50" s="111"/>
      <c r="S50" s="111"/>
      <c r="T50" s="111"/>
      <c r="U50" s="111"/>
      <c r="V50" s="358"/>
      <c r="W50" s="391">
        <f t="shared" si="45"/>
        <v>0</v>
      </c>
      <c r="X50" s="17">
        <f t="shared" si="46"/>
        <v>0</v>
      </c>
      <c r="Y50" s="18">
        <f t="shared" si="47"/>
        <v>0</v>
      </c>
      <c r="Z50" s="19">
        <f t="shared" si="52"/>
        <v>0</v>
      </c>
      <c r="AA50" s="19"/>
      <c r="AB50" s="19"/>
      <c r="AC50" s="84"/>
      <c r="AE50" s="17"/>
      <c r="AF50" s="17"/>
      <c r="AG50" s="17"/>
      <c r="AH50" s="18">
        <f t="shared" si="48"/>
        <v>0</v>
      </c>
      <c r="AI50" s="19">
        <f t="shared" si="53"/>
        <v>0</v>
      </c>
      <c r="AK50" s="17"/>
      <c r="AL50" s="17"/>
      <c r="AM50" s="17"/>
      <c r="AN50" s="18">
        <f t="shared" si="49"/>
        <v>0</v>
      </c>
      <c r="AO50" s="19">
        <f t="shared" si="54"/>
        <v>0</v>
      </c>
      <c r="AQ50" s="17"/>
      <c r="AR50" s="17"/>
      <c r="AS50" s="17"/>
      <c r="AT50" s="18">
        <f t="shared" si="50"/>
        <v>0</v>
      </c>
      <c r="AU50" s="19">
        <f t="shared" si="55"/>
        <v>0</v>
      </c>
      <c r="AW50" s="17"/>
      <c r="AX50" s="17"/>
      <c r="AY50" s="17"/>
      <c r="AZ50" s="18">
        <f t="shared" si="51"/>
        <v>0</v>
      </c>
      <c r="BA50" s="19">
        <f t="shared" si="56"/>
        <v>0</v>
      </c>
    </row>
    <row r="51" spans="1:53" ht="17.100000000000001" customHeight="1" x14ac:dyDescent="0.25">
      <c r="A51" s="68"/>
      <c r="B51" s="540"/>
      <c r="C51" s="93"/>
      <c r="D51" s="202" t="s">
        <v>377</v>
      </c>
      <c r="E51" s="85" t="s">
        <v>388</v>
      </c>
      <c r="F51" s="75"/>
      <c r="G51" s="75"/>
      <c r="H51" s="119"/>
      <c r="J51" s="583"/>
      <c r="K51" s="583"/>
      <c r="L51" s="584"/>
      <c r="M51" s="17">
        <f t="shared" si="44"/>
        <v>0</v>
      </c>
      <c r="N51" s="111"/>
      <c r="O51" s="111"/>
      <c r="P51" s="111"/>
      <c r="Q51" s="111"/>
      <c r="R51" s="111"/>
      <c r="S51" s="111"/>
      <c r="T51" s="111"/>
      <c r="U51" s="111"/>
      <c r="V51" s="358"/>
      <c r="W51" s="391">
        <f t="shared" si="45"/>
        <v>0</v>
      </c>
      <c r="X51" s="17">
        <f t="shared" si="46"/>
        <v>0</v>
      </c>
      <c r="Y51" s="18">
        <f t="shared" si="47"/>
        <v>0</v>
      </c>
      <c r="Z51" s="19">
        <f t="shared" si="52"/>
        <v>0</v>
      </c>
      <c r="AA51" s="19"/>
      <c r="AB51" s="19"/>
      <c r="AC51" s="84"/>
      <c r="AE51" s="17"/>
      <c r="AF51" s="17"/>
      <c r="AG51" s="17"/>
      <c r="AH51" s="18">
        <f t="shared" si="48"/>
        <v>0</v>
      </c>
      <c r="AI51" s="19">
        <f t="shared" si="53"/>
        <v>0</v>
      </c>
      <c r="AK51" s="17"/>
      <c r="AL51" s="17"/>
      <c r="AM51" s="17"/>
      <c r="AN51" s="18">
        <f t="shared" si="49"/>
        <v>0</v>
      </c>
      <c r="AO51" s="19">
        <f t="shared" si="54"/>
        <v>0</v>
      </c>
      <c r="AQ51" s="17"/>
      <c r="AR51" s="17"/>
      <c r="AS51" s="17"/>
      <c r="AT51" s="18">
        <f t="shared" si="50"/>
        <v>0</v>
      </c>
      <c r="AU51" s="19">
        <f t="shared" si="55"/>
        <v>0</v>
      </c>
      <c r="AW51" s="17"/>
      <c r="AX51" s="17"/>
      <c r="AY51" s="17"/>
      <c r="AZ51" s="18">
        <f t="shared" si="51"/>
        <v>0</v>
      </c>
      <c r="BA51" s="19">
        <f t="shared" si="56"/>
        <v>0</v>
      </c>
    </row>
    <row r="52" spans="1:53" ht="17.100000000000001" customHeight="1" x14ac:dyDescent="0.25">
      <c r="A52" s="68"/>
      <c r="B52" s="540"/>
      <c r="C52" s="93"/>
      <c r="D52" s="202" t="s">
        <v>378</v>
      </c>
      <c r="E52" s="85" t="s">
        <v>532</v>
      </c>
      <c r="F52" s="75"/>
      <c r="G52" s="75"/>
      <c r="H52" s="119"/>
      <c r="J52" s="581">
        <v>12</v>
      </c>
      <c r="K52" s="581">
        <v>9</v>
      </c>
      <c r="L52" s="582">
        <v>203</v>
      </c>
      <c r="M52" s="17">
        <f t="shared" si="44"/>
        <v>224</v>
      </c>
      <c r="N52" s="111"/>
      <c r="O52" s="111"/>
      <c r="P52" s="111"/>
      <c r="Q52" s="111"/>
      <c r="R52" s="111"/>
      <c r="S52" s="111"/>
      <c r="T52" s="111"/>
      <c r="U52" s="111"/>
      <c r="V52" s="358"/>
      <c r="W52" s="391">
        <f t="shared" si="45"/>
        <v>21</v>
      </c>
      <c r="X52" s="17">
        <f t="shared" si="46"/>
        <v>203</v>
      </c>
      <c r="Y52" s="18">
        <f t="shared" si="47"/>
        <v>224</v>
      </c>
      <c r="Z52" s="19">
        <f t="shared" si="52"/>
        <v>0.85496183206106868</v>
      </c>
      <c r="AA52" s="19"/>
      <c r="AB52" s="19"/>
      <c r="AC52" s="84"/>
      <c r="AE52" s="17"/>
      <c r="AF52" s="17"/>
      <c r="AG52" s="17"/>
      <c r="AH52" s="18">
        <f t="shared" si="48"/>
        <v>12</v>
      </c>
      <c r="AI52" s="19">
        <f t="shared" si="53"/>
        <v>0.75</v>
      </c>
      <c r="AK52" s="17"/>
      <c r="AL52" s="17"/>
      <c r="AM52" s="17"/>
      <c r="AN52" s="18">
        <f t="shared" si="49"/>
        <v>9</v>
      </c>
      <c r="AO52" s="19">
        <f t="shared" si="54"/>
        <v>0.75</v>
      </c>
      <c r="AQ52" s="17"/>
      <c r="AR52" s="17"/>
      <c r="AS52" s="17"/>
      <c r="AT52" s="18">
        <f t="shared" si="50"/>
        <v>21</v>
      </c>
      <c r="AU52" s="19">
        <f t="shared" si="55"/>
        <v>0.75</v>
      </c>
      <c r="AW52" s="17"/>
      <c r="AX52" s="17"/>
      <c r="AY52" s="17"/>
      <c r="AZ52" s="18">
        <f t="shared" si="51"/>
        <v>203</v>
      </c>
      <c r="BA52" s="19">
        <f t="shared" si="56"/>
        <v>0.86752136752136755</v>
      </c>
    </row>
    <row r="53" spans="1:53" ht="17.100000000000001" customHeight="1" x14ac:dyDescent="0.25">
      <c r="A53" s="68"/>
      <c r="B53" s="540"/>
      <c r="C53" s="93"/>
      <c r="D53" s="202" t="s">
        <v>379</v>
      </c>
      <c r="E53" s="85" t="s">
        <v>389</v>
      </c>
      <c r="F53" s="75"/>
      <c r="G53" s="105"/>
      <c r="H53" s="119"/>
      <c r="J53" s="583"/>
      <c r="K53" s="583"/>
      <c r="L53" s="584"/>
      <c r="M53" s="17">
        <f t="shared" si="44"/>
        <v>0</v>
      </c>
      <c r="N53" s="111"/>
      <c r="O53" s="111"/>
      <c r="P53" s="111"/>
      <c r="Q53" s="111"/>
      <c r="R53" s="111"/>
      <c r="S53" s="111"/>
      <c r="T53" s="111"/>
      <c r="U53" s="111"/>
      <c r="V53" s="358"/>
      <c r="W53" s="391">
        <f t="shared" si="45"/>
        <v>0</v>
      </c>
      <c r="X53" s="17">
        <f t="shared" si="46"/>
        <v>0</v>
      </c>
      <c r="Y53" s="18">
        <f t="shared" si="47"/>
        <v>0</v>
      </c>
      <c r="Z53" s="19">
        <f t="shared" si="52"/>
        <v>0</v>
      </c>
      <c r="AA53" s="19"/>
      <c r="AB53" s="19"/>
      <c r="AC53" s="84"/>
      <c r="AE53" s="17"/>
      <c r="AF53" s="17"/>
      <c r="AG53" s="17"/>
      <c r="AH53" s="18">
        <f t="shared" si="48"/>
        <v>0</v>
      </c>
      <c r="AI53" s="19">
        <f t="shared" si="53"/>
        <v>0</v>
      </c>
      <c r="AK53" s="17"/>
      <c r="AL53" s="17"/>
      <c r="AM53" s="17"/>
      <c r="AN53" s="18">
        <f t="shared" si="49"/>
        <v>0</v>
      </c>
      <c r="AO53" s="19">
        <f t="shared" si="54"/>
        <v>0</v>
      </c>
      <c r="AQ53" s="17"/>
      <c r="AR53" s="17"/>
      <c r="AS53" s="17"/>
      <c r="AT53" s="18">
        <f t="shared" si="50"/>
        <v>0</v>
      </c>
      <c r="AU53" s="19">
        <f t="shared" si="55"/>
        <v>0</v>
      </c>
      <c r="AW53" s="17"/>
      <c r="AX53" s="17"/>
      <c r="AY53" s="17"/>
      <c r="AZ53" s="18">
        <f t="shared" si="51"/>
        <v>0</v>
      </c>
      <c r="BA53" s="19">
        <f t="shared" si="56"/>
        <v>0</v>
      </c>
    </row>
    <row r="54" spans="1:53" ht="17.100000000000001" customHeight="1" x14ac:dyDescent="0.25">
      <c r="A54" s="68"/>
      <c r="B54" s="540"/>
      <c r="C54" s="93"/>
      <c r="D54" s="202" t="s">
        <v>380</v>
      </c>
      <c r="E54" s="85" t="s">
        <v>390</v>
      </c>
      <c r="F54" s="75"/>
      <c r="G54" s="105"/>
      <c r="H54" s="119"/>
      <c r="J54" s="581"/>
      <c r="K54" s="581"/>
      <c r="L54" s="582"/>
      <c r="M54" s="17">
        <f t="shared" si="44"/>
        <v>0</v>
      </c>
      <c r="N54" s="111"/>
      <c r="O54" s="111"/>
      <c r="P54" s="111"/>
      <c r="Q54" s="111"/>
      <c r="R54" s="111"/>
      <c r="S54" s="111"/>
      <c r="T54" s="111"/>
      <c r="U54" s="111"/>
      <c r="V54" s="358"/>
      <c r="W54" s="391">
        <f t="shared" si="45"/>
        <v>0</v>
      </c>
      <c r="X54" s="17">
        <f t="shared" si="46"/>
        <v>0</v>
      </c>
      <c r="Y54" s="18">
        <f t="shared" si="47"/>
        <v>0</v>
      </c>
      <c r="Z54" s="19">
        <f t="shared" si="52"/>
        <v>0</v>
      </c>
      <c r="AA54" s="19"/>
      <c r="AB54" s="19"/>
      <c r="AC54" s="84"/>
      <c r="AE54" s="17"/>
      <c r="AF54" s="17"/>
      <c r="AG54" s="17"/>
      <c r="AH54" s="18">
        <f t="shared" si="48"/>
        <v>0</v>
      </c>
      <c r="AI54" s="19">
        <f t="shared" si="53"/>
        <v>0</v>
      </c>
      <c r="AK54" s="17"/>
      <c r="AL54" s="17"/>
      <c r="AM54" s="17"/>
      <c r="AN54" s="18">
        <f t="shared" si="49"/>
        <v>0</v>
      </c>
      <c r="AO54" s="19">
        <f t="shared" si="54"/>
        <v>0</v>
      </c>
      <c r="AQ54" s="17"/>
      <c r="AR54" s="17"/>
      <c r="AS54" s="17"/>
      <c r="AT54" s="18">
        <f t="shared" si="50"/>
        <v>0</v>
      </c>
      <c r="AU54" s="19">
        <f t="shared" si="55"/>
        <v>0</v>
      </c>
      <c r="AW54" s="17"/>
      <c r="AX54" s="17"/>
      <c r="AY54" s="17"/>
      <c r="AZ54" s="18">
        <f t="shared" si="51"/>
        <v>0</v>
      </c>
      <c r="BA54" s="19">
        <f t="shared" si="56"/>
        <v>0</v>
      </c>
    </row>
    <row r="55" spans="1:53" ht="17.100000000000001" customHeight="1" x14ac:dyDescent="0.25">
      <c r="A55" s="68"/>
      <c r="B55" s="540"/>
      <c r="C55" s="93"/>
      <c r="D55" s="202" t="s">
        <v>381</v>
      </c>
      <c r="E55" s="85" t="s">
        <v>536</v>
      </c>
      <c r="F55" s="75"/>
      <c r="G55" s="105"/>
      <c r="H55" s="119"/>
      <c r="J55" s="583">
        <v>3</v>
      </c>
      <c r="K55" s="583"/>
      <c r="L55" s="584">
        <v>15</v>
      </c>
      <c r="M55" s="17">
        <f t="shared" si="44"/>
        <v>18</v>
      </c>
      <c r="N55" s="111"/>
      <c r="O55" s="111"/>
      <c r="P55" s="111"/>
      <c r="Q55" s="111"/>
      <c r="R55" s="111"/>
      <c r="S55" s="111"/>
      <c r="T55" s="111"/>
      <c r="U55" s="111"/>
      <c r="V55" s="358"/>
      <c r="W55" s="391">
        <f t="shared" si="45"/>
        <v>3</v>
      </c>
      <c r="X55" s="17">
        <f t="shared" si="46"/>
        <v>15</v>
      </c>
      <c r="Y55" s="18">
        <f t="shared" si="47"/>
        <v>18</v>
      </c>
      <c r="Z55" s="19">
        <f t="shared" si="52"/>
        <v>6.8702290076335881E-2</v>
      </c>
      <c r="AA55" s="19"/>
      <c r="AB55" s="19"/>
      <c r="AC55" s="84"/>
      <c r="AE55" s="17"/>
      <c r="AF55" s="17"/>
      <c r="AG55" s="17"/>
      <c r="AH55" s="18">
        <f t="shared" si="48"/>
        <v>3</v>
      </c>
      <c r="AI55" s="19">
        <f t="shared" si="53"/>
        <v>0.1875</v>
      </c>
      <c r="AK55" s="17"/>
      <c r="AL55" s="17"/>
      <c r="AM55" s="17"/>
      <c r="AN55" s="18">
        <f t="shared" si="49"/>
        <v>0</v>
      </c>
      <c r="AO55" s="19">
        <f t="shared" si="54"/>
        <v>0</v>
      </c>
      <c r="AQ55" s="17"/>
      <c r="AR55" s="17"/>
      <c r="AS55" s="17"/>
      <c r="AT55" s="18">
        <f t="shared" si="50"/>
        <v>3</v>
      </c>
      <c r="AU55" s="19">
        <f t="shared" si="55"/>
        <v>0.10714285714285714</v>
      </c>
      <c r="AW55" s="17"/>
      <c r="AX55" s="17"/>
      <c r="AY55" s="17"/>
      <c r="AZ55" s="18">
        <f t="shared" si="51"/>
        <v>15</v>
      </c>
      <c r="BA55" s="19">
        <f t="shared" si="56"/>
        <v>6.4102564102564097E-2</v>
      </c>
    </row>
    <row r="56" spans="1:53" ht="17.100000000000001" customHeight="1" x14ac:dyDescent="0.25">
      <c r="A56" s="68"/>
      <c r="B56" s="540"/>
      <c r="C56" s="93"/>
      <c r="D56" s="202" t="s">
        <v>382</v>
      </c>
      <c r="E56" s="85" t="s">
        <v>391</v>
      </c>
      <c r="F56" s="75"/>
      <c r="G56" s="105"/>
      <c r="H56" s="119"/>
      <c r="J56" s="581"/>
      <c r="K56" s="581"/>
      <c r="L56" s="582">
        <v>2</v>
      </c>
      <c r="M56" s="17">
        <f t="shared" si="44"/>
        <v>2</v>
      </c>
      <c r="N56" s="111"/>
      <c r="O56" s="111"/>
      <c r="P56" s="111"/>
      <c r="Q56" s="111"/>
      <c r="R56" s="111"/>
      <c r="S56" s="111"/>
      <c r="T56" s="111"/>
      <c r="U56" s="111"/>
      <c r="V56" s="358"/>
      <c r="W56" s="391">
        <f t="shared" si="45"/>
        <v>0</v>
      </c>
      <c r="X56" s="17">
        <f t="shared" si="46"/>
        <v>2</v>
      </c>
      <c r="Y56" s="18">
        <f t="shared" si="47"/>
        <v>2</v>
      </c>
      <c r="Z56" s="19">
        <f t="shared" si="52"/>
        <v>7.6335877862595417E-3</v>
      </c>
      <c r="AA56" s="19"/>
      <c r="AB56" s="19"/>
      <c r="AC56" s="84"/>
      <c r="AE56" s="17"/>
      <c r="AF56" s="17"/>
      <c r="AG56" s="17"/>
      <c r="AH56" s="18">
        <f t="shared" si="48"/>
        <v>0</v>
      </c>
      <c r="AI56" s="19">
        <f t="shared" si="53"/>
        <v>0</v>
      </c>
      <c r="AK56" s="17"/>
      <c r="AL56" s="17"/>
      <c r="AM56" s="17"/>
      <c r="AN56" s="18">
        <f t="shared" si="49"/>
        <v>0</v>
      </c>
      <c r="AO56" s="19">
        <f t="shared" si="54"/>
        <v>0</v>
      </c>
      <c r="AQ56" s="17"/>
      <c r="AR56" s="17"/>
      <c r="AS56" s="17"/>
      <c r="AT56" s="18">
        <f t="shared" si="50"/>
        <v>0</v>
      </c>
      <c r="AU56" s="19">
        <f t="shared" si="55"/>
        <v>0</v>
      </c>
      <c r="AW56" s="17"/>
      <c r="AX56" s="17"/>
      <c r="AY56" s="17"/>
      <c r="AZ56" s="18">
        <f t="shared" si="51"/>
        <v>2</v>
      </c>
      <c r="BA56" s="19">
        <f t="shared" si="56"/>
        <v>8.5470085470085479E-3</v>
      </c>
    </row>
    <row r="57" spans="1:53" ht="17.100000000000001" customHeight="1" x14ac:dyDescent="0.25">
      <c r="A57" s="68"/>
      <c r="B57" s="540"/>
      <c r="C57" s="93"/>
      <c r="D57" s="202" t="s">
        <v>383</v>
      </c>
      <c r="E57" s="85" t="s">
        <v>392</v>
      </c>
      <c r="F57" s="75"/>
      <c r="G57" s="105"/>
      <c r="H57" s="119"/>
      <c r="J57" s="583"/>
      <c r="K57" s="583"/>
      <c r="L57" s="584"/>
      <c r="M57" s="17">
        <f t="shared" si="44"/>
        <v>0</v>
      </c>
      <c r="N57" s="111"/>
      <c r="O57" s="111"/>
      <c r="P57" s="111"/>
      <c r="Q57" s="111"/>
      <c r="R57" s="111"/>
      <c r="S57" s="111"/>
      <c r="T57" s="111"/>
      <c r="U57" s="111"/>
      <c r="V57" s="358"/>
      <c r="W57" s="391">
        <f t="shared" si="45"/>
        <v>0</v>
      </c>
      <c r="X57" s="17">
        <f t="shared" si="46"/>
        <v>0</v>
      </c>
      <c r="Y57" s="18">
        <f t="shared" si="47"/>
        <v>0</v>
      </c>
      <c r="Z57" s="19">
        <f t="shared" si="52"/>
        <v>0</v>
      </c>
      <c r="AA57" s="19"/>
      <c r="AB57" s="19"/>
      <c r="AC57" s="84"/>
      <c r="AE57" s="17"/>
      <c r="AF57" s="17"/>
      <c r="AG57" s="17"/>
      <c r="AH57" s="18">
        <f t="shared" si="48"/>
        <v>0</v>
      </c>
      <c r="AI57" s="19">
        <f t="shared" si="53"/>
        <v>0</v>
      </c>
      <c r="AK57" s="17"/>
      <c r="AL57" s="17"/>
      <c r="AM57" s="17"/>
      <c r="AN57" s="18">
        <f t="shared" si="49"/>
        <v>0</v>
      </c>
      <c r="AO57" s="19">
        <f t="shared" si="54"/>
        <v>0</v>
      </c>
      <c r="AQ57" s="17"/>
      <c r="AR57" s="17"/>
      <c r="AS57" s="17"/>
      <c r="AT57" s="18">
        <f t="shared" si="50"/>
        <v>0</v>
      </c>
      <c r="AU57" s="19">
        <f t="shared" si="55"/>
        <v>0</v>
      </c>
      <c r="AW57" s="17"/>
      <c r="AX57" s="17"/>
      <c r="AY57" s="17"/>
      <c r="AZ57" s="18">
        <f t="shared" si="51"/>
        <v>0</v>
      </c>
      <c r="BA57" s="19">
        <f t="shared" si="56"/>
        <v>0</v>
      </c>
    </row>
    <row r="58" spans="1:53" ht="17.100000000000001" customHeight="1" x14ac:dyDescent="0.25">
      <c r="A58" s="40"/>
      <c r="B58" s="40"/>
      <c r="C58" s="77"/>
      <c r="D58" s="78"/>
      <c r="E58" s="78"/>
      <c r="F58" s="78"/>
      <c r="G58" s="78"/>
      <c r="H58" s="242"/>
      <c r="I58" s="230"/>
      <c r="J58" s="80">
        <f>SUM(J44:J57)</f>
        <v>16</v>
      </c>
      <c r="K58" s="80">
        <f t="shared" ref="K58:M58" si="57">SUM(K44:K57)</f>
        <v>12</v>
      </c>
      <c r="L58" s="80">
        <f t="shared" si="57"/>
        <v>234</v>
      </c>
      <c r="M58" s="80">
        <f t="shared" si="57"/>
        <v>262</v>
      </c>
      <c r="N58" s="80"/>
      <c r="O58" s="80"/>
      <c r="P58" s="80"/>
      <c r="Q58" s="81"/>
      <c r="R58" s="81"/>
      <c r="S58" s="81"/>
      <c r="T58" s="81"/>
      <c r="U58" s="81"/>
      <c r="V58" s="356"/>
      <c r="W58" s="381">
        <f>SUM(W44:W57)</f>
        <v>28</v>
      </c>
      <c r="X58" s="82">
        <f t="shared" ref="X58:Y58" si="58">SUM(X44:X57)</f>
        <v>234</v>
      </c>
      <c r="Y58" s="82">
        <f t="shared" si="58"/>
        <v>262</v>
      </c>
      <c r="Z58" s="205">
        <f t="shared" si="52"/>
        <v>1</v>
      </c>
      <c r="AA58" s="205"/>
      <c r="AB58" s="205"/>
      <c r="AC58" s="83"/>
      <c r="AE58" s="81"/>
      <c r="AF58" s="81"/>
      <c r="AG58" s="81"/>
      <c r="AH58" s="82">
        <f>SUM(AH44:AH57)</f>
        <v>16</v>
      </c>
      <c r="AI58" s="66">
        <f t="shared" si="53"/>
        <v>1</v>
      </c>
      <c r="AK58" s="81"/>
      <c r="AL58" s="81"/>
      <c r="AM58" s="81"/>
      <c r="AN58" s="82">
        <f>SUM(AN44:AN57)</f>
        <v>12</v>
      </c>
      <c r="AO58" s="66">
        <f t="shared" si="54"/>
        <v>1</v>
      </c>
      <c r="AQ58" s="81"/>
      <c r="AR58" s="81"/>
      <c r="AS58" s="81"/>
      <c r="AT58" s="82">
        <f>SUM(AT44:AT57)</f>
        <v>28</v>
      </c>
      <c r="AU58" s="66">
        <f t="shared" si="55"/>
        <v>1</v>
      </c>
      <c r="AW58" s="81"/>
      <c r="AX58" s="81"/>
      <c r="AY58" s="81"/>
      <c r="AZ58" s="82">
        <f>SUM(AZ44:AZ57)</f>
        <v>234</v>
      </c>
      <c r="BA58" s="66">
        <f t="shared" si="56"/>
        <v>1</v>
      </c>
    </row>
    <row r="59" spans="1:53" s="117" customFormat="1" ht="17.100000000000001" customHeight="1" x14ac:dyDescent="0.25">
      <c r="A59" s="119"/>
      <c r="B59" s="119"/>
      <c r="C59" s="540"/>
      <c r="D59" s="212"/>
      <c r="E59" s="212"/>
      <c r="F59" s="212"/>
      <c r="G59" s="212"/>
      <c r="H59" s="242"/>
      <c r="I59" s="230"/>
      <c r="J59" s="17" t="str">
        <f>IF(J58=J$15,"OK","NOK")</f>
        <v>OK</v>
      </c>
      <c r="K59" s="17" t="str">
        <f t="shared" ref="K59" si="59">IF(K58=K$15,"OK","NOK")</f>
        <v>OK</v>
      </c>
      <c r="L59" s="17" t="str">
        <f t="shared" ref="L59" si="60">IF(L58=L$15,"OK","NOK")</f>
        <v>OK</v>
      </c>
      <c r="M59" s="17"/>
      <c r="N59" s="17"/>
      <c r="O59" s="17"/>
      <c r="P59" s="17"/>
      <c r="Q59" s="17"/>
      <c r="R59" s="17"/>
      <c r="S59" s="17"/>
      <c r="T59" s="17"/>
      <c r="U59" s="17"/>
      <c r="V59" s="359"/>
      <c r="W59" s="382"/>
      <c r="X59" s="539"/>
      <c r="Y59" s="539"/>
      <c r="Z59" s="201"/>
      <c r="AA59" s="201"/>
      <c r="AB59" s="201"/>
      <c r="AC59" s="84"/>
      <c r="AE59" s="17"/>
      <c r="AF59" s="17"/>
      <c r="AG59" s="17"/>
      <c r="AH59" s="539"/>
      <c r="AI59" s="91"/>
      <c r="AK59" s="17"/>
      <c r="AL59" s="17"/>
      <c r="AM59" s="17"/>
      <c r="AN59" s="539"/>
      <c r="AO59" s="91"/>
      <c r="AQ59" s="17"/>
      <c r="AR59" s="17"/>
      <c r="AS59" s="17"/>
      <c r="AT59" s="539"/>
      <c r="AU59" s="91"/>
      <c r="AW59" s="17"/>
      <c r="AX59" s="17"/>
      <c r="AY59" s="17"/>
      <c r="AZ59" s="539"/>
      <c r="BA59" s="91"/>
    </row>
    <row r="60" spans="1:53" ht="17.100000000000001" customHeight="1" x14ac:dyDescent="0.25">
      <c r="A60" s="102"/>
      <c r="B60" s="102"/>
      <c r="C60" s="103" t="s">
        <v>33</v>
      </c>
      <c r="D60" s="110" t="s">
        <v>736</v>
      </c>
      <c r="E60" s="108"/>
      <c r="F60" s="108"/>
      <c r="G60" s="108"/>
      <c r="H60" s="258"/>
      <c r="I60" s="232"/>
      <c r="J60" s="111"/>
      <c r="K60" s="111"/>
      <c r="L60" s="111"/>
      <c r="M60" s="111"/>
      <c r="N60" s="111"/>
      <c r="O60" s="111"/>
      <c r="P60" s="111"/>
      <c r="Q60" s="111"/>
      <c r="R60" s="111"/>
      <c r="S60" s="111"/>
      <c r="T60" s="111"/>
      <c r="U60" s="111"/>
      <c r="V60" s="358"/>
      <c r="W60" s="380"/>
      <c r="X60" s="111"/>
      <c r="Y60" s="112"/>
      <c r="Z60" s="113"/>
      <c r="AA60" s="113"/>
      <c r="AB60" s="113"/>
      <c r="AC60" s="113"/>
      <c r="AE60" s="114"/>
      <c r="AF60" s="114"/>
      <c r="AG60" s="114"/>
      <c r="AH60" s="112"/>
      <c r="AI60" s="113"/>
      <c r="AK60" s="114"/>
      <c r="AL60" s="114"/>
      <c r="AM60" s="114"/>
      <c r="AN60" s="112"/>
      <c r="AO60" s="113"/>
      <c r="AQ60" s="114"/>
      <c r="AR60" s="114"/>
      <c r="AS60" s="114"/>
      <c r="AT60" s="112"/>
      <c r="AU60" s="113"/>
      <c r="AW60" s="114"/>
      <c r="AX60" s="114"/>
      <c r="AY60" s="114"/>
      <c r="AZ60" s="112"/>
      <c r="BA60" s="113"/>
    </row>
    <row r="61" spans="1:53" s="117" customFormat="1" ht="17.100000000000001" customHeight="1" x14ac:dyDescent="0.25">
      <c r="A61" s="540"/>
      <c r="B61" s="23"/>
      <c r="C61" s="23"/>
      <c r="D61" s="74" t="s">
        <v>34</v>
      </c>
      <c r="E61" s="75" t="s">
        <v>26</v>
      </c>
      <c r="F61" s="75"/>
      <c r="G61" s="75"/>
      <c r="H61" s="540"/>
      <c r="I61" s="229"/>
      <c r="J61" s="152"/>
      <c r="K61" s="152"/>
      <c r="L61" s="111"/>
      <c r="M61" s="111"/>
      <c r="N61" s="60">
        <v>5</v>
      </c>
      <c r="O61" s="60">
        <v>3</v>
      </c>
      <c r="P61" s="17">
        <f>SUM(N61:O61)</f>
        <v>8</v>
      </c>
      <c r="Q61" s="60">
        <v>1</v>
      </c>
      <c r="R61" s="60">
        <v>5</v>
      </c>
      <c r="S61" s="17">
        <f>SUM(Q61:R61)</f>
        <v>6</v>
      </c>
      <c r="T61" s="60"/>
      <c r="U61" s="60"/>
      <c r="V61" s="359">
        <f>SUM(T61:U61)</f>
        <v>0</v>
      </c>
      <c r="W61" s="391">
        <f t="shared" ref="W61:W64" si="61">J61+K61+N61+Q61+T61</f>
        <v>6</v>
      </c>
      <c r="X61" s="17">
        <f t="shared" ref="X61:X64" si="62">L61+O61+R61+U61</f>
        <v>8</v>
      </c>
      <c r="Y61" s="18">
        <f>SUM(W61:X61)</f>
        <v>14</v>
      </c>
      <c r="Z61" s="19">
        <f>IF(Y$65=0,0,Y61/Y$65)</f>
        <v>0.93333333333333335</v>
      </c>
      <c r="AA61" s="19"/>
      <c r="AB61" s="19"/>
      <c r="AC61" s="84"/>
      <c r="AE61" s="111"/>
      <c r="AF61" s="111"/>
      <c r="AG61" s="111"/>
      <c r="AH61" s="112"/>
      <c r="AI61" s="113"/>
      <c r="AK61" s="111"/>
      <c r="AL61" s="111"/>
      <c r="AM61" s="111"/>
      <c r="AN61" s="112"/>
      <c r="AO61" s="113"/>
      <c r="AQ61" s="17"/>
      <c r="AR61" s="17"/>
      <c r="AS61" s="17"/>
      <c r="AT61" s="18">
        <f>W61</f>
        <v>6</v>
      </c>
      <c r="AU61" s="19">
        <f>IF(AT$65=0,0,AT61/AT$65)</f>
        <v>0.8571428571428571</v>
      </c>
      <c r="AW61" s="17"/>
      <c r="AX61" s="17"/>
      <c r="AY61" s="17"/>
      <c r="AZ61" s="18">
        <f>X61</f>
        <v>8</v>
      </c>
      <c r="BA61" s="19">
        <f>IF(AZ$65=0,0,AZ61/AZ$65)</f>
        <v>1</v>
      </c>
    </row>
    <row r="62" spans="1:53" s="117" customFormat="1" ht="17.100000000000001" customHeight="1" x14ac:dyDescent="0.25">
      <c r="A62" s="540"/>
      <c r="B62" s="23"/>
      <c r="C62" s="23"/>
      <c r="D62" s="74" t="s">
        <v>36</v>
      </c>
      <c r="E62" s="75" t="s">
        <v>28</v>
      </c>
      <c r="F62" s="75"/>
      <c r="G62" s="75"/>
      <c r="H62" s="540"/>
      <c r="I62" s="229"/>
      <c r="J62" s="152"/>
      <c r="K62" s="152"/>
      <c r="L62" s="111"/>
      <c r="M62" s="111"/>
      <c r="N62" s="61">
        <v>1</v>
      </c>
      <c r="O62" s="61"/>
      <c r="P62" s="17">
        <f>SUM(N62:O62)</f>
        <v>1</v>
      </c>
      <c r="Q62" s="61"/>
      <c r="R62" s="61"/>
      <c r="S62" s="17">
        <f>SUM(Q62:R62)</f>
        <v>0</v>
      </c>
      <c r="T62" s="61"/>
      <c r="U62" s="61"/>
      <c r="V62" s="359">
        <f>SUM(T62:U62)</f>
        <v>0</v>
      </c>
      <c r="W62" s="391">
        <f t="shared" si="61"/>
        <v>1</v>
      </c>
      <c r="X62" s="17">
        <f t="shared" si="62"/>
        <v>0</v>
      </c>
      <c r="Y62" s="18">
        <f>SUM(W62:X62)</f>
        <v>1</v>
      </c>
      <c r="Z62" s="19">
        <f t="shared" ref="Z62:Z65" si="63">IF(Y$65=0,0,Y62/Y$65)</f>
        <v>6.6666666666666666E-2</v>
      </c>
      <c r="AA62" s="19"/>
      <c r="AB62" s="19"/>
      <c r="AC62" s="84"/>
      <c r="AE62" s="111"/>
      <c r="AF62" s="111"/>
      <c r="AG62" s="111"/>
      <c r="AH62" s="112"/>
      <c r="AI62" s="113"/>
      <c r="AK62" s="111"/>
      <c r="AL62" s="111"/>
      <c r="AM62" s="111"/>
      <c r="AN62" s="112"/>
      <c r="AO62" s="113"/>
      <c r="AQ62" s="17"/>
      <c r="AR62" s="17"/>
      <c r="AS62" s="17"/>
      <c r="AT62" s="18">
        <f t="shared" ref="AT62:AT64" si="64">W62</f>
        <v>1</v>
      </c>
      <c r="AU62" s="19">
        <f t="shared" ref="AU62:AU65" si="65">IF(AT$65=0,0,AT62/AT$65)</f>
        <v>0.14285714285714285</v>
      </c>
      <c r="AW62" s="17"/>
      <c r="AX62" s="17"/>
      <c r="AY62" s="17"/>
      <c r="AZ62" s="18">
        <f t="shared" ref="AZ62:AZ64" si="66">X62</f>
        <v>0</v>
      </c>
      <c r="BA62" s="19">
        <f t="shared" ref="BA62:BA65" si="67">IF(AZ$65=0,0,AZ62/AZ$65)</f>
        <v>0</v>
      </c>
    </row>
    <row r="63" spans="1:53" s="117" customFormat="1" ht="17.100000000000001" customHeight="1" x14ac:dyDescent="0.25">
      <c r="A63" s="540"/>
      <c r="B63" s="23"/>
      <c r="C63" s="23"/>
      <c r="D63" s="74" t="s">
        <v>38</v>
      </c>
      <c r="E63" s="75" t="s">
        <v>30</v>
      </c>
      <c r="F63" s="75"/>
      <c r="G63" s="75"/>
      <c r="H63" s="540"/>
      <c r="I63" s="229"/>
      <c r="J63" s="152"/>
      <c r="K63" s="152"/>
      <c r="L63" s="111"/>
      <c r="M63" s="111"/>
      <c r="N63" s="60"/>
      <c r="O63" s="60"/>
      <c r="P63" s="17">
        <f>SUM(N63:O63)</f>
        <v>0</v>
      </c>
      <c r="Q63" s="60"/>
      <c r="R63" s="60"/>
      <c r="S63" s="17">
        <f>SUM(Q63:R63)</f>
        <v>0</v>
      </c>
      <c r="T63" s="60"/>
      <c r="U63" s="60"/>
      <c r="V63" s="359">
        <f>SUM(T63:U63)</f>
        <v>0</v>
      </c>
      <c r="W63" s="391">
        <f t="shared" si="61"/>
        <v>0</v>
      </c>
      <c r="X63" s="17">
        <f t="shared" si="62"/>
        <v>0</v>
      </c>
      <c r="Y63" s="18">
        <f>SUM(W63:X63)</f>
        <v>0</v>
      </c>
      <c r="Z63" s="19">
        <f t="shared" si="63"/>
        <v>0</v>
      </c>
      <c r="AA63" s="19"/>
      <c r="AB63" s="19"/>
      <c r="AC63" s="84"/>
      <c r="AE63" s="111"/>
      <c r="AF63" s="111"/>
      <c r="AG63" s="111"/>
      <c r="AH63" s="112"/>
      <c r="AI63" s="113"/>
      <c r="AK63" s="111"/>
      <c r="AL63" s="111"/>
      <c r="AM63" s="111"/>
      <c r="AN63" s="112"/>
      <c r="AO63" s="113"/>
      <c r="AQ63" s="17"/>
      <c r="AR63" s="17"/>
      <c r="AS63" s="17"/>
      <c r="AT63" s="18">
        <f t="shared" si="64"/>
        <v>0</v>
      </c>
      <c r="AU63" s="19">
        <f t="shared" si="65"/>
        <v>0</v>
      </c>
      <c r="AW63" s="17"/>
      <c r="AX63" s="17"/>
      <c r="AY63" s="17"/>
      <c r="AZ63" s="18">
        <f t="shared" si="66"/>
        <v>0</v>
      </c>
      <c r="BA63" s="19">
        <f t="shared" si="67"/>
        <v>0</v>
      </c>
    </row>
    <row r="64" spans="1:53" s="117" customFormat="1" ht="17.100000000000001" customHeight="1" x14ac:dyDescent="0.25">
      <c r="A64" s="540"/>
      <c r="B64" s="23"/>
      <c r="C64" s="23"/>
      <c r="D64" s="74" t="s">
        <v>40</v>
      </c>
      <c r="E64" s="75" t="s">
        <v>32</v>
      </c>
      <c r="F64" s="75"/>
      <c r="G64" s="75"/>
      <c r="H64" s="540"/>
      <c r="I64" s="229"/>
      <c r="J64" s="152"/>
      <c r="K64" s="152"/>
      <c r="L64" s="111"/>
      <c r="M64" s="111"/>
      <c r="N64" s="61"/>
      <c r="O64" s="61"/>
      <c r="P64" s="17">
        <f>SUM(N64:O64)</f>
        <v>0</v>
      </c>
      <c r="Q64" s="61"/>
      <c r="R64" s="61"/>
      <c r="S64" s="17">
        <f>SUM(Q64:R64)</f>
        <v>0</v>
      </c>
      <c r="T64" s="61"/>
      <c r="U64" s="61"/>
      <c r="V64" s="359">
        <f>SUM(T64:U64)</f>
        <v>0</v>
      </c>
      <c r="W64" s="391">
        <f t="shared" si="61"/>
        <v>0</v>
      </c>
      <c r="X64" s="17">
        <f t="shared" si="62"/>
        <v>0</v>
      </c>
      <c r="Y64" s="18">
        <f>SUM(W64:X64)</f>
        <v>0</v>
      </c>
      <c r="Z64" s="19">
        <f t="shared" si="63"/>
        <v>0</v>
      </c>
      <c r="AA64" s="19"/>
      <c r="AB64" s="19"/>
      <c r="AC64" s="84"/>
      <c r="AE64" s="111"/>
      <c r="AF64" s="111"/>
      <c r="AG64" s="111"/>
      <c r="AH64" s="112"/>
      <c r="AI64" s="113"/>
      <c r="AK64" s="111"/>
      <c r="AL64" s="111"/>
      <c r="AM64" s="111"/>
      <c r="AN64" s="112"/>
      <c r="AO64" s="113"/>
      <c r="AQ64" s="17"/>
      <c r="AR64" s="17"/>
      <c r="AS64" s="17"/>
      <c r="AT64" s="18">
        <f t="shared" si="64"/>
        <v>0</v>
      </c>
      <c r="AU64" s="19">
        <f t="shared" si="65"/>
        <v>0</v>
      </c>
      <c r="AW64" s="17"/>
      <c r="AX64" s="17"/>
      <c r="AY64" s="17"/>
      <c r="AZ64" s="18">
        <f t="shared" si="66"/>
        <v>0</v>
      </c>
      <c r="BA64" s="19">
        <f t="shared" si="67"/>
        <v>0</v>
      </c>
    </row>
    <row r="65" spans="1:53" ht="17.100000000000001" customHeight="1" x14ac:dyDescent="0.25">
      <c r="A65" s="40"/>
      <c r="B65" s="40"/>
      <c r="C65" s="77"/>
      <c r="D65" s="78"/>
      <c r="E65" s="78"/>
      <c r="F65" s="78"/>
      <c r="G65" s="78"/>
      <c r="H65" s="242"/>
      <c r="I65" s="230"/>
      <c r="J65" s="80"/>
      <c r="K65" s="80"/>
      <c r="L65" s="81"/>
      <c r="M65" s="81"/>
      <c r="N65" s="81">
        <f t="shared" ref="N65:W65" si="68">SUM(N61:N64)</f>
        <v>6</v>
      </c>
      <c r="O65" s="81">
        <f t="shared" ref="O65" si="69">SUM(O61:O64)</f>
        <v>3</v>
      </c>
      <c r="P65" s="81">
        <f t="shared" ref="P65" si="70">SUM(P61:P64)</f>
        <v>9</v>
      </c>
      <c r="Q65" s="81">
        <f t="shared" ref="Q65" si="71">SUM(Q61:Q64)</f>
        <v>1</v>
      </c>
      <c r="R65" s="81">
        <f t="shared" ref="R65" si="72">SUM(R61:R64)</f>
        <v>5</v>
      </c>
      <c r="S65" s="81">
        <f t="shared" ref="S65" si="73">SUM(S61:S64)</f>
        <v>6</v>
      </c>
      <c r="T65" s="81">
        <f t="shared" ref="T65" si="74">SUM(T61:T64)</f>
        <v>0</v>
      </c>
      <c r="U65" s="81">
        <f t="shared" ref="U65" si="75">SUM(U61:U64)</f>
        <v>0</v>
      </c>
      <c r="V65" s="81">
        <f t="shared" ref="V65" si="76">SUM(V61:V64)</f>
        <v>0</v>
      </c>
      <c r="W65" s="381">
        <f t="shared" si="68"/>
        <v>7</v>
      </c>
      <c r="X65" s="82">
        <f t="shared" ref="X65:Y65" si="77">SUM(X61:X64)</f>
        <v>8</v>
      </c>
      <c r="Y65" s="82">
        <f t="shared" si="77"/>
        <v>15</v>
      </c>
      <c r="Z65" s="205">
        <f t="shared" si="63"/>
        <v>1</v>
      </c>
      <c r="AA65" s="205"/>
      <c r="AB65" s="205"/>
      <c r="AC65" s="83"/>
      <c r="AE65" s="81"/>
      <c r="AF65" s="81"/>
      <c r="AG65" s="81"/>
      <c r="AH65" s="82"/>
      <c r="AI65" s="66"/>
      <c r="AK65" s="81"/>
      <c r="AL65" s="81"/>
      <c r="AM65" s="81"/>
      <c r="AN65" s="82"/>
      <c r="AO65" s="66"/>
      <c r="AQ65" s="81"/>
      <c r="AR65" s="81"/>
      <c r="AS65" s="81"/>
      <c r="AT65" s="82">
        <f>SUM(AT61:AT64)</f>
        <v>7</v>
      </c>
      <c r="AU65" s="66">
        <f t="shared" si="65"/>
        <v>1</v>
      </c>
      <c r="AW65" s="81"/>
      <c r="AX65" s="81"/>
      <c r="AY65" s="81"/>
      <c r="AZ65" s="82">
        <f>SUM(AZ61:AZ64)</f>
        <v>8</v>
      </c>
      <c r="BA65" s="66">
        <f t="shared" si="67"/>
        <v>1</v>
      </c>
    </row>
    <row r="66" spans="1:53" s="117" customFormat="1" ht="17.100000000000001" customHeight="1" x14ac:dyDescent="0.25">
      <c r="A66" s="119"/>
      <c r="B66" s="119"/>
      <c r="C66" s="540"/>
      <c r="D66" s="212"/>
      <c r="E66" s="212"/>
      <c r="F66" s="212"/>
      <c r="G66" s="212"/>
      <c r="H66" s="242"/>
      <c r="I66" s="230"/>
      <c r="J66" s="17"/>
      <c r="K66" s="17"/>
      <c r="L66" s="17"/>
      <c r="M66" s="17"/>
      <c r="N66" s="17" t="str">
        <f>IF(N65=N$20,"OK","NOK")</f>
        <v>OK</v>
      </c>
      <c r="O66" s="17" t="str">
        <f>IF(O65=O$20,"OK","NOK")</f>
        <v>OK</v>
      </c>
      <c r="P66" s="17"/>
      <c r="Q66" s="17" t="str">
        <f>IF(Q65=Q$20,"OK","NOK")</f>
        <v>OK</v>
      </c>
      <c r="R66" s="17" t="str">
        <f>IF(R65=R$20,"OK","NOK")</f>
        <v>OK</v>
      </c>
      <c r="S66" s="17"/>
      <c r="T66" s="17" t="str">
        <f>IF(T65=T$20,"OK","NOK")</f>
        <v>OK</v>
      </c>
      <c r="U66" s="17" t="str">
        <f>IF(U65=U$20,"OK","NOK")</f>
        <v>OK</v>
      </c>
      <c r="V66" s="359"/>
      <c r="W66" s="382"/>
      <c r="X66" s="539"/>
      <c r="Y66" s="539"/>
      <c r="Z66" s="201"/>
      <c r="AA66" s="201"/>
      <c r="AB66" s="201"/>
      <c r="AC66" s="84"/>
      <c r="AE66" s="17"/>
      <c r="AF66" s="17"/>
      <c r="AG66" s="17"/>
      <c r="AH66" s="539"/>
      <c r="AI66" s="91"/>
      <c r="AK66" s="17"/>
      <c r="AL66" s="17"/>
      <c r="AM66" s="17"/>
      <c r="AN66" s="539"/>
      <c r="AO66" s="91"/>
      <c r="AQ66" s="17"/>
      <c r="AR66" s="17"/>
      <c r="AS66" s="17"/>
      <c r="AT66" s="539"/>
      <c r="AU66" s="91"/>
      <c r="AW66" s="17"/>
      <c r="AX66" s="17"/>
      <c r="AY66" s="17"/>
      <c r="AZ66" s="539"/>
      <c r="BA66" s="91"/>
    </row>
    <row r="67" spans="1:53" ht="17.100000000000001" customHeight="1" x14ac:dyDescent="0.25">
      <c r="A67" s="102"/>
      <c r="B67" s="23"/>
      <c r="C67" s="103" t="s">
        <v>393</v>
      </c>
      <c r="D67" s="110" t="s">
        <v>737</v>
      </c>
      <c r="E67" s="313"/>
      <c r="F67" s="313"/>
      <c r="G67" s="313"/>
      <c r="H67" s="313"/>
      <c r="I67" s="313"/>
      <c r="J67" s="314"/>
      <c r="K67" s="111"/>
      <c r="L67" s="111"/>
      <c r="M67" s="111"/>
      <c r="N67" s="111"/>
      <c r="O67" s="111"/>
      <c r="P67" s="111"/>
      <c r="Q67" s="111"/>
      <c r="R67" s="111"/>
      <c r="S67" s="111"/>
      <c r="T67" s="111"/>
      <c r="U67" s="111"/>
      <c r="V67" s="358"/>
      <c r="W67" s="380"/>
      <c r="X67" s="111"/>
      <c r="Y67" s="112"/>
      <c r="Z67" s="113"/>
      <c r="AA67" s="113"/>
      <c r="AB67" s="113"/>
      <c r="AC67" s="113"/>
      <c r="AE67" s="114"/>
      <c r="AF67" s="114"/>
      <c r="AG67" s="114"/>
      <c r="AH67" s="112"/>
      <c r="AI67" s="113"/>
      <c r="AK67" s="114"/>
      <c r="AL67" s="114"/>
      <c r="AM67" s="114"/>
      <c r="AN67" s="112"/>
      <c r="AO67" s="113"/>
      <c r="AQ67" s="114"/>
      <c r="AR67" s="114"/>
      <c r="AS67" s="114"/>
      <c r="AT67" s="112"/>
      <c r="AU67" s="113"/>
      <c r="AW67" s="114"/>
      <c r="AX67" s="114"/>
      <c r="AY67" s="114"/>
      <c r="AZ67" s="112"/>
      <c r="BA67" s="113"/>
    </row>
    <row r="68" spans="1:53" ht="17.100000000000001" customHeight="1" x14ac:dyDescent="0.25">
      <c r="A68" s="102"/>
      <c r="B68" s="118"/>
      <c r="C68" s="118"/>
      <c r="D68" s="103" t="s">
        <v>394</v>
      </c>
      <c r="E68" s="108" t="s">
        <v>35</v>
      </c>
      <c r="F68" s="108"/>
      <c r="G68" s="108"/>
      <c r="H68" s="258"/>
      <c r="I68" s="232"/>
      <c r="J68" s="152"/>
      <c r="K68" s="152"/>
      <c r="L68" s="111"/>
      <c r="M68" s="111"/>
      <c r="N68" s="60">
        <v>6</v>
      </c>
      <c r="O68" s="60">
        <v>3</v>
      </c>
      <c r="P68" s="17">
        <f>SUM(N68:O68)</f>
        <v>9</v>
      </c>
      <c r="Q68" s="60">
        <v>1</v>
      </c>
      <c r="R68" s="60">
        <v>5</v>
      </c>
      <c r="S68" s="17">
        <f>SUM(Q68:R68)</f>
        <v>6</v>
      </c>
      <c r="T68" s="60"/>
      <c r="U68" s="60"/>
      <c r="V68" s="359">
        <f>SUM(T68:U68)</f>
        <v>0</v>
      </c>
      <c r="W68" s="391">
        <f t="shared" ref="W68:W72" si="78">J68+K68+N68+Q68+T68</f>
        <v>7</v>
      </c>
      <c r="X68" s="17">
        <f t="shared" ref="X68:X72" si="79">L68+O68+R68+U68</f>
        <v>8</v>
      </c>
      <c r="Y68" s="18">
        <f>SUM(W68:X68)</f>
        <v>15</v>
      </c>
      <c r="Z68" s="19">
        <f>IF(Y$73=0,0,Y68/Y$73)</f>
        <v>1</v>
      </c>
      <c r="AA68" s="19"/>
      <c r="AB68" s="19"/>
      <c r="AC68" s="20"/>
      <c r="AE68" s="111"/>
      <c r="AF68" s="111"/>
      <c r="AG68" s="111"/>
      <c r="AH68" s="112"/>
      <c r="AI68" s="113"/>
      <c r="AK68" s="111"/>
      <c r="AL68" s="111"/>
      <c r="AM68" s="111"/>
      <c r="AN68" s="112"/>
      <c r="AO68" s="113"/>
      <c r="AQ68" s="17"/>
      <c r="AR68" s="17"/>
      <c r="AS68" s="17"/>
      <c r="AT68" s="18">
        <f t="shared" ref="AT68:AT72" si="80">W68</f>
        <v>7</v>
      </c>
      <c r="AU68" s="19">
        <f>IF(AT$73=0,0,AT68/AT$73)</f>
        <v>1</v>
      </c>
      <c r="AW68" s="17"/>
      <c r="AX68" s="17"/>
      <c r="AY68" s="17"/>
      <c r="AZ68" s="18">
        <f t="shared" ref="AZ68:AZ72" si="81">X68</f>
        <v>8</v>
      </c>
      <c r="BA68" s="19">
        <f>IF(AZ$73=0,0,AZ68/AZ$73)</f>
        <v>1</v>
      </c>
    </row>
    <row r="69" spans="1:53" ht="17.100000000000001" customHeight="1" x14ac:dyDescent="0.25">
      <c r="A69" s="102"/>
      <c r="B69" s="118"/>
      <c r="C69" s="118"/>
      <c r="D69" s="103" t="s">
        <v>395</v>
      </c>
      <c r="E69" s="108" t="s">
        <v>37</v>
      </c>
      <c r="F69" s="108"/>
      <c r="G69" s="108"/>
      <c r="H69" s="258"/>
      <c r="I69" s="232"/>
      <c r="J69" s="152"/>
      <c r="K69" s="152"/>
      <c r="L69" s="111"/>
      <c r="M69" s="111"/>
      <c r="N69" s="61"/>
      <c r="O69" s="61"/>
      <c r="P69" s="17">
        <f>SUM(N69:O69)</f>
        <v>0</v>
      </c>
      <c r="Q69" s="61"/>
      <c r="R69" s="61"/>
      <c r="S69" s="17">
        <f>SUM(Q69:R69)</f>
        <v>0</v>
      </c>
      <c r="T69" s="61"/>
      <c r="U69" s="61"/>
      <c r="V69" s="359">
        <f>SUM(T69:U69)</f>
        <v>0</v>
      </c>
      <c r="W69" s="391">
        <f t="shared" si="78"/>
        <v>0</v>
      </c>
      <c r="X69" s="17">
        <f t="shared" si="79"/>
        <v>0</v>
      </c>
      <c r="Y69" s="18">
        <f>SUM(W69:X69)</f>
        <v>0</v>
      </c>
      <c r="Z69" s="19">
        <f t="shared" ref="Z69:Z73" si="82">IF(Y$73=0,0,Y69/Y$73)</f>
        <v>0</v>
      </c>
      <c r="AA69" s="19"/>
      <c r="AB69" s="19"/>
      <c r="AC69" s="20"/>
      <c r="AE69" s="111"/>
      <c r="AF69" s="111"/>
      <c r="AG69" s="111"/>
      <c r="AH69" s="112"/>
      <c r="AI69" s="113"/>
      <c r="AK69" s="111"/>
      <c r="AL69" s="111"/>
      <c r="AM69" s="111"/>
      <c r="AN69" s="112"/>
      <c r="AO69" s="113"/>
      <c r="AQ69" s="17"/>
      <c r="AR69" s="17"/>
      <c r="AS69" s="17"/>
      <c r="AT69" s="18">
        <f t="shared" si="80"/>
        <v>0</v>
      </c>
      <c r="AU69" s="19">
        <f t="shared" ref="AU69:AU73" si="83">IF(AT$73=0,0,AT69/AT$73)</f>
        <v>0</v>
      </c>
      <c r="AW69" s="17"/>
      <c r="AX69" s="17"/>
      <c r="AY69" s="17"/>
      <c r="AZ69" s="18">
        <f t="shared" si="81"/>
        <v>0</v>
      </c>
      <c r="BA69" s="19">
        <f t="shared" ref="BA69:BA72" si="84">IF(AZ$65=0,0,AZ69/AZ$65)</f>
        <v>0</v>
      </c>
    </row>
    <row r="70" spans="1:53" ht="17.100000000000001" customHeight="1" x14ac:dyDescent="0.25">
      <c r="A70" s="102"/>
      <c r="B70" s="118"/>
      <c r="C70" s="118"/>
      <c r="D70" s="103" t="s">
        <v>396</v>
      </c>
      <c r="E70" s="108" t="s">
        <v>39</v>
      </c>
      <c r="F70" s="108"/>
      <c r="G70" s="108"/>
      <c r="H70" s="258"/>
      <c r="I70" s="232"/>
      <c r="J70" s="152"/>
      <c r="K70" s="152"/>
      <c r="L70" s="111"/>
      <c r="M70" s="111"/>
      <c r="N70" s="60"/>
      <c r="O70" s="60"/>
      <c r="P70" s="17">
        <f>SUM(N70:O70)</f>
        <v>0</v>
      </c>
      <c r="Q70" s="60"/>
      <c r="R70" s="60"/>
      <c r="S70" s="17">
        <f>SUM(Q70:R70)</f>
        <v>0</v>
      </c>
      <c r="T70" s="60"/>
      <c r="U70" s="60"/>
      <c r="V70" s="359">
        <f>SUM(T70:U70)</f>
        <v>0</v>
      </c>
      <c r="W70" s="391">
        <f t="shared" si="78"/>
        <v>0</v>
      </c>
      <c r="X70" s="17">
        <f t="shared" si="79"/>
        <v>0</v>
      </c>
      <c r="Y70" s="18">
        <f>SUM(W70:X70)</f>
        <v>0</v>
      </c>
      <c r="Z70" s="19">
        <f t="shared" si="82"/>
        <v>0</v>
      </c>
      <c r="AA70" s="19"/>
      <c r="AB70" s="19"/>
      <c r="AC70" s="20"/>
      <c r="AE70" s="111"/>
      <c r="AF70" s="111"/>
      <c r="AG70" s="111"/>
      <c r="AH70" s="112"/>
      <c r="AI70" s="113"/>
      <c r="AK70" s="111"/>
      <c r="AL70" s="111"/>
      <c r="AM70" s="111"/>
      <c r="AN70" s="112"/>
      <c r="AO70" s="113"/>
      <c r="AQ70" s="17"/>
      <c r="AR70" s="17"/>
      <c r="AS70" s="17"/>
      <c r="AT70" s="18">
        <f t="shared" si="80"/>
        <v>0</v>
      </c>
      <c r="AU70" s="19">
        <f t="shared" si="83"/>
        <v>0</v>
      </c>
      <c r="AW70" s="17"/>
      <c r="AX70" s="17"/>
      <c r="AY70" s="17"/>
      <c r="AZ70" s="18">
        <f t="shared" si="81"/>
        <v>0</v>
      </c>
      <c r="BA70" s="19">
        <f t="shared" si="84"/>
        <v>0</v>
      </c>
    </row>
    <row r="71" spans="1:53" ht="17.100000000000001" customHeight="1" x14ac:dyDescent="0.25">
      <c r="A71" s="102"/>
      <c r="B71" s="118"/>
      <c r="C71" s="118"/>
      <c r="D71" s="103" t="s">
        <v>397</v>
      </c>
      <c r="E71" s="108" t="s">
        <v>41</v>
      </c>
      <c r="F71" s="108"/>
      <c r="G71" s="108"/>
      <c r="H71" s="258"/>
      <c r="I71" s="232"/>
      <c r="J71" s="152"/>
      <c r="K71" s="152"/>
      <c r="L71" s="111"/>
      <c r="M71" s="111"/>
      <c r="N71" s="61"/>
      <c r="O71" s="61"/>
      <c r="P71" s="17">
        <f>SUM(N71:O71)</f>
        <v>0</v>
      </c>
      <c r="Q71" s="61"/>
      <c r="R71" s="61"/>
      <c r="S71" s="17">
        <f>SUM(Q71:R71)</f>
        <v>0</v>
      </c>
      <c r="T71" s="61"/>
      <c r="U71" s="61"/>
      <c r="V71" s="359">
        <f>SUM(T71:U71)</f>
        <v>0</v>
      </c>
      <c r="W71" s="391">
        <f t="shared" si="78"/>
        <v>0</v>
      </c>
      <c r="X71" s="17">
        <f t="shared" si="79"/>
        <v>0</v>
      </c>
      <c r="Y71" s="18">
        <f>SUM(W71:X71)</f>
        <v>0</v>
      </c>
      <c r="Z71" s="19">
        <f t="shared" si="82"/>
        <v>0</v>
      </c>
      <c r="AA71" s="19"/>
      <c r="AB71" s="19"/>
      <c r="AC71" s="20"/>
      <c r="AE71" s="111"/>
      <c r="AF71" s="111"/>
      <c r="AG71" s="111"/>
      <c r="AH71" s="112"/>
      <c r="AI71" s="113"/>
      <c r="AK71" s="111"/>
      <c r="AL71" s="111"/>
      <c r="AM71" s="111"/>
      <c r="AN71" s="112"/>
      <c r="AO71" s="113"/>
      <c r="AQ71" s="17"/>
      <c r="AR71" s="17"/>
      <c r="AS71" s="17"/>
      <c r="AT71" s="18">
        <f t="shared" si="80"/>
        <v>0</v>
      </c>
      <c r="AU71" s="19">
        <f t="shared" si="83"/>
        <v>0</v>
      </c>
      <c r="AW71" s="17"/>
      <c r="AX71" s="17"/>
      <c r="AY71" s="17"/>
      <c r="AZ71" s="18">
        <f t="shared" si="81"/>
        <v>0</v>
      </c>
      <c r="BA71" s="19">
        <f t="shared" si="84"/>
        <v>0</v>
      </c>
    </row>
    <row r="72" spans="1:53" ht="17.100000000000001" customHeight="1" x14ac:dyDescent="0.25">
      <c r="A72" s="102"/>
      <c r="B72" s="118"/>
      <c r="C72" s="118"/>
      <c r="D72" s="103" t="s">
        <v>398</v>
      </c>
      <c r="E72" s="108" t="s">
        <v>42</v>
      </c>
      <c r="F72" s="108"/>
      <c r="G72" s="108"/>
      <c r="H72" s="258"/>
      <c r="I72" s="232"/>
      <c r="J72" s="152"/>
      <c r="K72" s="152"/>
      <c r="L72" s="111"/>
      <c r="M72" s="111"/>
      <c r="N72" s="60"/>
      <c r="O72" s="60"/>
      <c r="P72" s="17">
        <f>SUM(N72:O72)</f>
        <v>0</v>
      </c>
      <c r="Q72" s="60"/>
      <c r="R72" s="60"/>
      <c r="S72" s="17">
        <f>SUM(Q72:R72)</f>
        <v>0</v>
      </c>
      <c r="T72" s="60"/>
      <c r="U72" s="60"/>
      <c r="V72" s="359">
        <f>SUM(T72:U72)</f>
        <v>0</v>
      </c>
      <c r="W72" s="391">
        <f t="shared" si="78"/>
        <v>0</v>
      </c>
      <c r="X72" s="17">
        <f t="shared" si="79"/>
        <v>0</v>
      </c>
      <c r="Y72" s="18">
        <f>SUM(W72:X72)</f>
        <v>0</v>
      </c>
      <c r="Z72" s="19">
        <f t="shared" si="82"/>
        <v>0</v>
      </c>
      <c r="AA72" s="19"/>
      <c r="AB72" s="19"/>
      <c r="AC72" s="20"/>
      <c r="AE72" s="111"/>
      <c r="AF72" s="111"/>
      <c r="AG72" s="111"/>
      <c r="AH72" s="112"/>
      <c r="AI72" s="113"/>
      <c r="AK72" s="111"/>
      <c r="AL72" s="111"/>
      <c r="AM72" s="111"/>
      <c r="AN72" s="112"/>
      <c r="AO72" s="113"/>
      <c r="AQ72" s="17"/>
      <c r="AR72" s="17"/>
      <c r="AS72" s="17"/>
      <c r="AT72" s="18">
        <f t="shared" si="80"/>
        <v>0</v>
      </c>
      <c r="AU72" s="19">
        <f t="shared" si="83"/>
        <v>0</v>
      </c>
      <c r="AW72" s="17"/>
      <c r="AX72" s="17"/>
      <c r="AY72" s="17"/>
      <c r="AZ72" s="18">
        <f t="shared" si="81"/>
        <v>0</v>
      </c>
      <c r="BA72" s="19">
        <f t="shared" si="84"/>
        <v>0</v>
      </c>
    </row>
    <row r="73" spans="1:53" ht="17.100000000000001" customHeight="1" x14ac:dyDescent="0.25">
      <c r="A73" s="40"/>
      <c r="B73" s="40"/>
      <c r="C73" s="77"/>
      <c r="D73" s="78"/>
      <c r="E73" s="78"/>
      <c r="F73" s="78"/>
      <c r="G73" s="78"/>
      <c r="H73" s="242"/>
      <c r="I73" s="230"/>
      <c r="J73" s="80"/>
      <c r="K73" s="80"/>
      <c r="L73" s="81"/>
      <c r="M73" s="81"/>
      <c r="N73" s="81">
        <f t="shared" ref="N73:W73" si="85">SUM(N68:N72)</f>
        <v>6</v>
      </c>
      <c r="O73" s="81">
        <f t="shared" ref="O73" si="86">SUM(O68:O72)</f>
        <v>3</v>
      </c>
      <c r="P73" s="81">
        <f t="shared" ref="P73" si="87">SUM(P68:P72)</f>
        <v>9</v>
      </c>
      <c r="Q73" s="81">
        <f t="shared" ref="Q73" si="88">SUM(Q68:Q72)</f>
        <v>1</v>
      </c>
      <c r="R73" s="81">
        <f t="shared" ref="R73" si="89">SUM(R68:R72)</f>
        <v>5</v>
      </c>
      <c r="S73" s="81">
        <f t="shared" ref="S73" si="90">SUM(S68:S72)</f>
        <v>6</v>
      </c>
      <c r="T73" s="81">
        <f t="shared" ref="T73" si="91">SUM(T68:T72)</f>
        <v>0</v>
      </c>
      <c r="U73" s="81">
        <f t="shared" ref="U73" si="92">SUM(U68:U72)</f>
        <v>0</v>
      </c>
      <c r="V73" s="81">
        <f t="shared" ref="V73" si="93">SUM(V68:V72)</f>
        <v>0</v>
      </c>
      <c r="W73" s="381">
        <f t="shared" si="85"/>
        <v>7</v>
      </c>
      <c r="X73" s="82">
        <f t="shared" ref="X73" si="94">SUM(X68:X72)</f>
        <v>8</v>
      </c>
      <c r="Y73" s="82">
        <f>SUM(Y68:Y72)</f>
        <v>15</v>
      </c>
      <c r="Z73" s="205">
        <f t="shared" si="82"/>
        <v>1</v>
      </c>
      <c r="AA73" s="205"/>
      <c r="AB73" s="205"/>
      <c r="AC73" s="83"/>
      <c r="AE73" s="81"/>
      <c r="AF73" s="81"/>
      <c r="AG73" s="81"/>
      <c r="AH73" s="82"/>
      <c r="AI73" s="66"/>
      <c r="AK73" s="81"/>
      <c r="AL73" s="81"/>
      <c r="AM73" s="81"/>
      <c r="AN73" s="82"/>
      <c r="AO73" s="66"/>
      <c r="AQ73" s="81"/>
      <c r="AR73" s="81"/>
      <c r="AS73" s="81"/>
      <c r="AT73" s="82">
        <f>SUM(AT68:AT72)</f>
        <v>7</v>
      </c>
      <c r="AU73" s="66">
        <f t="shared" si="83"/>
        <v>1</v>
      </c>
      <c r="AW73" s="81"/>
      <c r="AX73" s="81"/>
      <c r="AY73" s="81"/>
      <c r="AZ73" s="82">
        <f>SUM(AZ68:AZ72)</f>
        <v>8</v>
      </c>
      <c r="BA73" s="66">
        <f t="shared" ref="BA73" si="95">IF(AZ$73=0,0,AZ73/AZ$73)</f>
        <v>1</v>
      </c>
    </row>
    <row r="74" spans="1:53" s="117" customFormat="1" ht="17.100000000000001" customHeight="1" x14ac:dyDescent="0.25">
      <c r="A74" s="119"/>
      <c r="B74" s="119"/>
      <c r="C74" s="540"/>
      <c r="D74" s="212"/>
      <c r="E74" s="212"/>
      <c r="F74" s="212"/>
      <c r="G74" s="212"/>
      <c r="H74" s="242"/>
      <c r="I74" s="230"/>
      <c r="J74" s="17"/>
      <c r="K74" s="17"/>
      <c r="L74" s="17"/>
      <c r="M74" s="17"/>
      <c r="N74" s="17" t="str">
        <f>IF(N73=N$20,"OK","NOK")</f>
        <v>OK</v>
      </c>
      <c r="O74" s="17" t="str">
        <f>IF(O73=O$20,"OK","NOK")</f>
        <v>OK</v>
      </c>
      <c r="P74" s="17"/>
      <c r="Q74" s="17" t="str">
        <f>IF(Q73=Q$20,"OK","NOK")</f>
        <v>OK</v>
      </c>
      <c r="R74" s="17" t="str">
        <f>IF(R73=R$20,"OK","NOK")</f>
        <v>OK</v>
      </c>
      <c r="S74" s="17"/>
      <c r="T74" s="17" t="str">
        <f>IF(T73=T$20,"OK","NOK")</f>
        <v>OK</v>
      </c>
      <c r="U74" s="17" t="str">
        <f>IF(U73=U$20,"OK","NOK")</f>
        <v>OK</v>
      </c>
      <c r="V74" s="359"/>
      <c r="W74" s="382"/>
      <c r="X74" s="539"/>
      <c r="Y74" s="539"/>
      <c r="Z74" s="201"/>
      <c r="AA74" s="201"/>
      <c r="AB74" s="201"/>
      <c r="AC74" s="84"/>
      <c r="AE74" s="17"/>
      <c r="AF74" s="17"/>
      <c r="AG74" s="17"/>
      <c r="AH74" s="539"/>
      <c r="AI74" s="91"/>
      <c r="AK74" s="17"/>
      <c r="AL74" s="17"/>
      <c r="AM74" s="17"/>
      <c r="AN74" s="539"/>
      <c r="AO74" s="91"/>
      <c r="AQ74" s="17"/>
      <c r="AR74" s="17"/>
      <c r="AS74" s="17"/>
      <c r="AT74" s="539"/>
      <c r="AU74" s="91"/>
      <c r="AW74" s="17"/>
      <c r="AX74" s="17"/>
      <c r="AY74" s="17"/>
      <c r="AZ74" s="539"/>
      <c r="BA74" s="91"/>
    </row>
    <row r="75" spans="1:53" ht="17.100000000000001" customHeight="1" x14ac:dyDescent="0.25">
      <c r="A75" s="68"/>
      <c r="B75" s="41" t="s">
        <v>43</v>
      </c>
      <c r="C75" s="69" t="s">
        <v>44</v>
      </c>
      <c r="D75" s="50"/>
      <c r="E75" s="70"/>
      <c r="F75" s="70"/>
      <c r="G75" s="70"/>
      <c r="H75" s="119"/>
      <c r="J75" s="71"/>
      <c r="K75" s="71"/>
      <c r="L75" s="71"/>
      <c r="M75" s="71"/>
      <c r="N75" s="71"/>
      <c r="O75" s="71"/>
      <c r="P75" s="71"/>
      <c r="Q75" s="71"/>
      <c r="R75" s="71"/>
      <c r="S75" s="71"/>
      <c r="T75" s="71"/>
      <c r="U75" s="71"/>
      <c r="V75" s="355"/>
      <c r="W75" s="377"/>
      <c r="X75" s="71"/>
      <c r="Y75" s="72"/>
      <c r="Z75" s="73"/>
      <c r="AA75" s="73"/>
      <c r="AB75" s="73"/>
      <c r="AC75" s="73"/>
      <c r="AE75" s="71"/>
      <c r="AF75" s="71"/>
      <c r="AG75" s="71"/>
      <c r="AH75" s="72"/>
      <c r="AI75" s="73"/>
      <c r="AK75" s="71"/>
      <c r="AL75" s="71"/>
      <c r="AM75" s="71"/>
      <c r="AN75" s="72"/>
      <c r="AO75" s="73"/>
      <c r="AQ75" s="71"/>
      <c r="AR75" s="71"/>
      <c r="AS75" s="71"/>
      <c r="AT75" s="72"/>
      <c r="AU75" s="73"/>
      <c r="AW75" s="71"/>
      <c r="AX75" s="71"/>
      <c r="AY75" s="71"/>
      <c r="AZ75" s="72"/>
      <c r="BA75" s="73"/>
    </row>
    <row r="76" spans="1:53" ht="17.100000000000001" customHeight="1" x14ac:dyDescent="0.25">
      <c r="A76" s="102"/>
      <c r="B76" s="102"/>
      <c r="C76" s="103" t="s">
        <v>45</v>
      </c>
      <c r="D76" s="108" t="s">
        <v>46</v>
      </c>
      <c r="E76" s="108"/>
      <c r="F76" s="108"/>
      <c r="G76" s="108"/>
      <c r="H76" s="258"/>
      <c r="I76" s="232"/>
      <c r="J76" s="111"/>
      <c r="K76" s="111"/>
      <c r="L76" s="111"/>
      <c r="M76" s="111"/>
      <c r="N76" s="111"/>
      <c r="O76" s="111"/>
      <c r="P76" s="111"/>
      <c r="Q76" s="111"/>
      <c r="R76" s="111"/>
      <c r="S76" s="111"/>
      <c r="T76" s="111"/>
      <c r="U76" s="111"/>
      <c r="V76" s="358"/>
      <c r="W76" s="380"/>
      <c r="X76" s="111"/>
      <c r="Y76" s="112"/>
      <c r="Z76" s="113"/>
      <c r="AA76" s="113"/>
      <c r="AB76" s="113"/>
      <c r="AC76" s="113"/>
      <c r="AE76" s="114"/>
      <c r="AF76" s="114"/>
      <c r="AG76" s="114"/>
      <c r="AH76" s="112"/>
      <c r="AI76" s="113"/>
      <c r="AK76" s="114"/>
      <c r="AL76" s="114"/>
      <c r="AM76" s="114"/>
      <c r="AN76" s="112"/>
      <c r="AO76" s="113"/>
      <c r="AQ76" s="114"/>
      <c r="AR76" s="114"/>
      <c r="AS76" s="114"/>
      <c r="AT76" s="112"/>
      <c r="AU76" s="113"/>
      <c r="AW76" s="114"/>
      <c r="AX76" s="114"/>
      <c r="AY76" s="114"/>
      <c r="AZ76" s="112"/>
      <c r="BA76" s="113"/>
    </row>
    <row r="77" spans="1:53" ht="17.100000000000001" customHeight="1" x14ac:dyDescent="0.25">
      <c r="A77" s="102"/>
      <c r="B77" s="102"/>
      <c r="C77" s="102"/>
      <c r="D77" s="103" t="s">
        <v>47</v>
      </c>
      <c r="E77" s="108" t="s">
        <v>35</v>
      </c>
      <c r="F77" s="108"/>
      <c r="G77" s="108"/>
      <c r="H77" s="258"/>
      <c r="I77" s="232"/>
      <c r="J77" s="152"/>
      <c r="K77" s="152"/>
      <c r="L77" s="111"/>
      <c r="M77" s="111"/>
      <c r="N77" s="152"/>
      <c r="O77" s="111"/>
      <c r="P77" s="60">
        <v>1</v>
      </c>
      <c r="Q77" s="152"/>
      <c r="R77" s="111"/>
      <c r="S77" s="60">
        <v>1</v>
      </c>
      <c r="T77" s="152"/>
      <c r="U77" s="111"/>
      <c r="V77" s="361"/>
      <c r="W77" s="391"/>
      <c r="X77" s="17"/>
      <c r="Y77" s="18">
        <f>M77+P77+S77+V77</f>
        <v>2</v>
      </c>
      <c r="Z77" s="19">
        <f>IF(Y$81=0,0,Y77/Y$81)</f>
        <v>1</v>
      </c>
      <c r="AA77" s="19"/>
      <c r="AB77" s="19"/>
      <c r="AC77" s="20"/>
      <c r="AE77" s="111"/>
      <c r="AF77" s="111"/>
      <c r="AG77" s="111"/>
      <c r="AH77" s="545"/>
      <c r="AI77" s="131"/>
      <c r="AK77" s="111"/>
      <c r="AL77" s="111"/>
      <c r="AM77" s="111"/>
      <c r="AN77" s="545"/>
      <c r="AO77" s="131"/>
      <c r="AQ77" s="111"/>
      <c r="AR77" s="111"/>
      <c r="AS77" s="111"/>
      <c r="AT77" s="545"/>
      <c r="AU77" s="131"/>
      <c r="AW77" s="111"/>
      <c r="AX77" s="111"/>
      <c r="AY77" s="111"/>
      <c r="AZ77" s="545"/>
      <c r="BA77" s="131"/>
    </row>
    <row r="78" spans="1:53" ht="17.100000000000001" customHeight="1" x14ac:dyDescent="0.25">
      <c r="A78" s="102"/>
      <c r="B78" s="102"/>
      <c r="C78" s="102"/>
      <c r="D78" s="103" t="s">
        <v>48</v>
      </c>
      <c r="E78" s="108" t="s">
        <v>49</v>
      </c>
      <c r="F78" s="108"/>
      <c r="G78" s="108"/>
      <c r="H78" s="258"/>
      <c r="I78" s="232"/>
      <c r="J78" s="152"/>
      <c r="K78" s="152"/>
      <c r="L78" s="111"/>
      <c r="M78" s="111"/>
      <c r="N78" s="152"/>
      <c r="O78" s="111"/>
      <c r="P78" s="61"/>
      <c r="Q78" s="152"/>
      <c r="R78" s="111"/>
      <c r="S78" s="61"/>
      <c r="T78" s="152"/>
      <c r="U78" s="111"/>
      <c r="V78" s="362"/>
      <c r="W78" s="391"/>
      <c r="X78" s="17"/>
      <c r="Y78" s="18">
        <f t="shared" ref="Y78:Y80" si="96">M78+P78+S78+V78</f>
        <v>0</v>
      </c>
      <c r="Z78" s="19">
        <f t="shared" ref="Z78:Z81" si="97">IF(Y$81=0,0,Y78/Y$81)</f>
        <v>0</v>
      </c>
      <c r="AA78" s="19"/>
      <c r="AB78" s="19"/>
      <c r="AC78" s="20"/>
      <c r="AE78" s="111"/>
      <c r="AF78" s="111"/>
      <c r="AG78" s="111"/>
      <c r="AH78" s="545"/>
      <c r="AI78" s="131"/>
      <c r="AK78" s="111"/>
      <c r="AL78" s="111"/>
      <c r="AM78" s="111"/>
      <c r="AN78" s="545"/>
      <c r="AO78" s="131"/>
      <c r="AQ78" s="111"/>
      <c r="AR78" s="111"/>
      <c r="AS78" s="111"/>
      <c r="AT78" s="545"/>
      <c r="AU78" s="131"/>
      <c r="AW78" s="111"/>
      <c r="AX78" s="111"/>
      <c r="AY78" s="111"/>
      <c r="AZ78" s="545"/>
      <c r="BA78" s="131"/>
    </row>
    <row r="79" spans="1:53" ht="17.100000000000001" customHeight="1" x14ac:dyDescent="0.25">
      <c r="A79" s="102"/>
      <c r="B79" s="102"/>
      <c r="C79" s="102"/>
      <c r="D79" s="103" t="s">
        <v>50</v>
      </c>
      <c r="E79" s="108" t="s">
        <v>51</v>
      </c>
      <c r="F79" s="108"/>
      <c r="G79" s="108"/>
      <c r="H79" s="258"/>
      <c r="I79" s="232"/>
      <c r="J79" s="152"/>
      <c r="K79" s="152"/>
      <c r="L79" s="111"/>
      <c r="M79" s="111"/>
      <c r="N79" s="152"/>
      <c r="O79" s="111"/>
      <c r="P79" s="60"/>
      <c r="Q79" s="152"/>
      <c r="R79" s="111"/>
      <c r="S79" s="60"/>
      <c r="T79" s="152"/>
      <c r="U79" s="111"/>
      <c r="V79" s="361"/>
      <c r="W79" s="391"/>
      <c r="X79" s="17"/>
      <c r="Y79" s="18">
        <f t="shared" si="96"/>
        <v>0</v>
      </c>
      <c r="Z79" s="19">
        <f t="shared" si="97"/>
        <v>0</v>
      </c>
      <c r="AA79" s="19"/>
      <c r="AB79" s="19"/>
      <c r="AC79" s="20"/>
      <c r="AE79" s="111"/>
      <c r="AF79" s="111"/>
      <c r="AG79" s="111"/>
      <c r="AH79" s="545"/>
      <c r="AI79" s="131"/>
      <c r="AK79" s="111"/>
      <c r="AL79" s="111"/>
      <c r="AM79" s="111"/>
      <c r="AN79" s="545"/>
      <c r="AO79" s="131"/>
      <c r="AQ79" s="111"/>
      <c r="AR79" s="111"/>
      <c r="AS79" s="111"/>
      <c r="AT79" s="545"/>
      <c r="AU79" s="131"/>
      <c r="AW79" s="111"/>
      <c r="AX79" s="111"/>
      <c r="AY79" s="111"/>
      <c r="AZ79" s="545"/>
      <c r="BA79" s="131"/>
    </row>
    <row r="80" spans="1:53" ht="17.100000000000001" customHeight="1" x14ac:dyDescent="0.25">
      <c r="A80" s="102"/>
      <c r="B80" s="102"/>
      <c r="C80" s="102"/>
      <c r="D80" s="103" t="s">
        <v>52</v>
      </c>
      <c r="E80" s="108" t="s">
        <v>53</v>
      </c>
      <c r="F80" s="108"/>
      <c r="G80" s="108"/>
      <c r="H80" s="258"/>
      <c r="I80" s="232"/>
      <c r="J80" s="152"/>
      <c r="K80" s="152"/>
      <c r="L80" s="111"/>
      <c r="M80" s="111"/>
      <c r="N80" s="152"/>
      <c r="O80" s="111"/>
      <c r="P80" s="61"/>
      <c r="Q80" s="152"/>
      <c r="R80" s="111"/>
      <c r="S80" s="61"/>
      <c r="T80" s="152"/>
      <c r="U80" s="111"/>
      <c r="V80" s="362"/>
      <c r="W80" s="391"/>
      <c r="X80" s="17"/>
      <c r="Y80" s="18">
        <f t="shared" si="96"/>
        <v>0</v>
      </c>
      <c r="Z80" s="19">
        <f t="shared" si="97"/>
        <v>0</v>
      </c>
      <c r="AA80" s="19"/>
      <c r="AB80" s="19"/>
      <c r="AC80" s="20"/>
      <c r="AE80" s="111"/>
      <c r="AF80" s="111"/>
      <c r="AG80" s="111"/>
      <c r="AH80" s="545"/>
      <c r="AI80" s="131"/>
      <c r="AK80" s="111"/>
      <c r="AL80" s="111"/>
      <c r="AM80" s="111"/>
      <c r="AN80" s="545"/>
      <c r="AO80" s="131"/>
      <c r="AQ80" s="111"/>
      <c r="AR80" s="111"/>
      <c r="AS80" s="111"/>
      <c r="AT80" s="545"/>
      <c r="AU80" s="131"/>
      <c r="AW80" s="111"/>
      <c r="AX80" s="111"/>
      <c r="AY80" s="111"/>
      <c r="AZ80" s="545"/>
      <c r="BA80" s="131"/>
    </row>
    <row r="81" spans="1:53" ht="17.100000000000001" customHeight="1" x14ac:dyDescent="0.25">
      <c r="A81" s="40"/>
      <c r="B81" s="40"/>
      <c r="C81" s="77"/>
      <c r="D81" s="78"/>
      <c r="E81" s="78"/>
      <c r="F81" s="78"/>
      <c r="G81" s="78"/>
      <c r="H81" s="242"/>
      <c r="I81" s="230"/>
      <c r="J81" s="80"/>
      <c r="K81" s="80"/>
      <c r="L81" s="81"/>
      <c r="M81" s="81"/>
      <c r="N81" s="81"/>
      <c r="O81" s="81"/>
      <c r="P81" s="82">
        <f>SUM(P77:P80)</f>
        <v>1</v>
      </c>
      <c r="Q81" s="81"/>
      <c r="R81" s="81"/>
      <c r="S81" s="82">
        <f>SUM(S77:S80)</f>
        <v>1</v>
      </c>
      <c r="T81" s="81"/>
      <c r="U81" s="81"/>
      <c r="V81" s="360">
        <f>SUM(V77:V80)</f>
        <v>0</v>
      </c>
      <c r="W81" s="381"/>
      <c r="X81" s="82"/>
      <c r="Y81" s="82">
        <f t="shared" ref="Y81" si="98">SUM(Y77:Y80)</f>
        <v>2</v>
      </c>
      <c r="Z81" s="205">
        <f t="shared" si="97"/>
        <v>1</v>
      </c>
      <c r="AA81" s="205"/>
      <c r="AB81" s="205"/>
      <c r="AC81" s="83"/>
      <c r="AE81" s="81"/>
      <c r="AF81" s="81"/>
      <c r="AG81" s="81"/>
      <c r="AH81" s="82"/>
      <c r="AI81" s="66"/>
      <c r="AK81" s="81"/>
      <c r="AL81" s="81"/>
      <c r="AM81" s="81"/>
      <c r="AN81" s="82"/>
      <c r="AO81" s="66"/>
      <c r="AQ81" s="81"/>
      <c r="AR81" s="81"/>
      <c r="AS81" s="81"/>
      <c r="AT81" s="82"/>
      <c r="AU81" s="66"/>
      <c r="AW81" s="81"/>
      <c r="AX81" s="81"/>
      <c r="AY81" s="81"/>
      <c r="AZ81" s="82"/>
      <c r="BA81" s="66"/>
    </row>
    <row r="82" spans="1:53" s="117" customFormat="1" ht="17.100000000000001" customHeight="1" x14ac:dyDescent="0.25">
      <c r="A82" s="119"/>
      <c r="B82" s="119"/>
      <c r="C82" s="540"/>
      <c r="D82" s="212"/>
      <c r="E82" s="212"/>
      <c r="F82" s="212"/>
      <c r="G82" s="212"/>
      <c r="H82" s="242"/>
      <c r="I82" s="230"/>
      <c r="J82" s="17"/>
      <c r="K82" s="17"/>
      <c r="L82" s="17"/>
      <c r="M82" s="17"/>
      <c r="N82" s="17"/>
      <c r="O82" s="17"/>
      <c r="P82" s="359" t="str">
        <f>IF(P$20=0,"",IF(P81=1,"OK","NOK"))</f>
        <v>OK</v>
      </c>
      <c r="Q82" s="17"/>
      <c r="R82" s="17"/>
      <c r="S82" s="359" t="str">
        <f>IF(S$20=0,"",IF(S81=1,"OK","NOK"))</f>
        <v>OK</v>
      </c>
      <c r="T82" s="17"/>
      <c r="U82" s="17"/>
      <c r="V82" s="359" t="str">
        <f>IF(V$20=0,"",IF(V81=1,"OK","NOK"))</f>
        <v/>
      </c>
      <c r="W82" s="382"/>
      <c r="X82" s="539"/>
      <c r="Y82" s="539"/>
      <c r="Z82" s="201"/>
      <c r="AA82" s="201"/>
      <c r="AB82" s="201"/>
      <c r="AC82" s="84"/>
      <c r="AE82" s="17"/>
      <c r="AF82" s="17"/>
      <c r="AG82" s="17"/>
      <c r="AH82" s="539"/>
      <c r="AI82" s="91"/>
      <c r="AK82" s="17"/>
      <c r="AL82" s="17"/>
      <c r="AM82" s="17"/>
      <c r="AN82" s="539"/>
      <c r="AO82" s="91"/>
      <c r="AQ82" s="17"/>
      <c r="AR82" s="17"/>
      <c r="AS82" s="17"/>
      <c r="AT82" s="539"/>
      <c r="AU82" s="91"/>
      <c r="AW82" s="17"/>
      <c r="AX82" s="17"/>
      <c r="AY82" s="17"/>
      <c r="AZ82" s="539"/>
      <c r="BA82" s="91"/>
    </row>
    <row r="83" spans="1:53" ht="17.100000000000001" customHeight="1" x14ac:dyDescent="0.25">
      <c r="A83" s="102"/>
      <c r="B83" s="102"/>
      <c r="C83" s="103" t="s">
        <v>54</v>
      </c>
      <c r="D83" s="108" t="s">
        <v>55</v>
      </c>
      <c r="E83" s="108"/>
      <c r="F83" s="108"/>
      <c r="G83" s="108"/>
      <c r="H83" s="258"/>
      <c r="I83" s="232"/>
      <c r="J83" s="111"/>
      <c r="K83" s="111"/>
      <c r="L83" s="111"/>
      <c r="M83" s="111"/>
      <c r="N83" s="111"/>
      <c r="O83" s="111"/>
      <c r="P83" s="111"/>
      <c r="Q83" s="111"/>
      <c r="R83" s="111"/>
      <c r="S83" s="111"/>
      <c r="T83" s="111"/>
      <c r="U83" s="111"/>
      <c r="V83" s="358"/>
      <c r="W83" s="380"/>
      <c r="X83" s="111"/>
      <c r="Y83" s="112"/>
      <c r="Z83" s="113"/>
      <c r="AA83" s="113"/>
      <c r="AB83" s="113"/>
      <c r="AC83" s="113"/>
      <c r="AE83" s="114"/>
      <c r="AF83" s="114"/>
      <c r="AG83" s="114"/>
      <c r="AH83" s="112"/>
      <c r="AI83" s="113"/>
      <c r="AK83" s="114"/>
      <c r="AL83" s="114"/>
      <c r="AM83" s="114"/>
      <c r="AN83" s="112"/>
      <c r="AO83" s="113"/>
      <c r="AQ83" s="114"/>
      <c r="AR83" s="114"/>
      <c r="AS83" s="114"/>
      <c r="AT83" s="112"/>
      <c r="AU83" s="113"/>
      <c r="AW83" s="114"/>
      <c r="AX83" s="114"/>
      <c r="AY83" s="114"/>
      <c r="AZ83" s="112"/>
      <c r="BA83" s="113"/>
    </row>
    <row r="84" spans="1:53" ht="17.100000000000001" customHeight="1" x14ac:dyDescent="0.25">
      <c r="A84" s="102"/>
      <c r="B84" s="118"/>
      <c r="C84" s="118"/>
      <c r="D84" s="103" t="s">
        <v>56</v>
      </c>
      <c r="E84" s="108" t="s">
        <v>35</v>
      </c>
      <c r="F84" s="108"/>
      <c r="G84" s="108"/>
      <c r="H84" s="258"/>
      <c r="I84" s="232"/>
      <c r="J84" s="152"/>
      <c r="K84" s="152"/>
      <c r="L84" s="111"/>
      <c r="M84" s="111"/>
      <c r="N84" s="152"/>
      <c r="O84" s="111"/>
      <c r="P84" s="60">
        <v>1</v>
      </c>
      <c r="Q84" s="152"/>
      <c r="R84" s="111"/>
      <c r="S84" s="60">
        <v>1</v>
      </c>
      <c r="T84" s="152"/>
      <c r="U84" s="111"/>
      <c r="V84" s="361"/>
      <c r="W84" s="391"/>
      <c r="X84" s="17"/>
      <c r="Y84" s="18">
        <f>M84+P84+S84+V84</f>
        <v>2</v>
      </c>
      <c r="Z84" s="19">
        <f>IF(Y$88=0,0,Y84/Y$88)</f>
        <v>1</v>
      </c>
      <c r="AA84" s="19"/>
      <c r="AB84" s="19"/>
      <c r="AC84" s="20"/>
      <c r="AE84" s="111"/>
      <c r="AF84" s="111"/>
      <c r="AG84" s="111"/>
      <c r="AH84" s="545"/>
      <c r="AI84" s="131"/>
      <c r="AK84" s="111"/>
      <c r="AL84" s="111"/>
      <c r="AM84" s="111"/>
      <c r="AN84" s="545"/>
      <c r="AO84" s="131"/>
      <c r="AQ84" s="111"/>
      <c r="AR84" s="111"/>
      <c r="AS84" s="111"/>
      <c r="AT84" s="545"/>
      <c r="AU84" s="131"/>
      <c r="AW84" s="111"/>
      <c r="AX84" s="111"/>
      <c r="AY84" s="111"/>
      <c r="AZ84" s="545"/>
      <c r="BA84" s="131"/>
    </row>
    <row r="85" spans="1:53" ht="17.100000000000001" customHeight="1" x14ac:dyDescent="0.25">
      <c r="A85" s="102"/>
      <c r="B85" s="118"/>
      <c r="C85" s="118"/>
      <c r="D85" s="103" t="s">
        <v>57</v>
      </c>
      <c r="E85" s="108" t="s">
        <v>58</v>
      </c>
      <c r="F85" s="108"/>
      <c r="G85" s="108"/>
      <c r="H85" s="258"/>
      <c r="I85" s="232"/>
      <c r="J85" s="152"/>
      <c r="K85" s="152"/>
      <c r="L85" s="111"/>
      <c r="M85" s="111"/>
      <c r="N85" s="152"/>
      <c r="O85" s="111"/>
      <c r="P85" s="61"/>
      <c r="Q85" s="152"/>
      <c r="R85" s="111"/>
      <c r="S85" s="61"/>
      <c r="T85" s="152"/>
      <c r="U85" s="111"/>
      <c r="V85" s="362"/>
      <c r="W85" s="391"/>
      <c r="X85" s="17"/>
      <c r="Y85" s="18">
        <f t="shared" ref="Y85:Y87" si="99">M85+P85+S85+V85</f>
        <v>0</v>
      </c>
      <c r="Z85" s="19">
        <f t="shared" ref="Z85:Z88" si="100">IF(Y$88=0,0,Y85/Y$88)</f>
        <v>0</v>
      </c>
      <c r="AA85" s="19"/>
      <c r="AB85" s="19"/>
      <c r="AC85" s="20"/>
      <c r="AE85" s="111"/>
      <c r="AF85" s="111"/>
      <c r="AG85" s="111"/>
      <c r="AH85" s="545"/>
      <c r="AI85" s="131"/>
      <c r="AK85" s="111"/>
      <c r="AL85" s="111"/>
      <c r="AM85" s="111"/>
      <c r="AN85" s="545"/>
      <c r="AO85" s="131"/>
      <c r="AQ85" s="111"/>
      <c r="AR85" s="111"/>
      <c r="AS85" s="111"/>
      <c r="AT85" s="545"/>
      <c r="AU85" s="131"/>
      <c r="AW85" s="111"/>
      <c r="AX85" s="111"/>
      <c r="AY85" s="111"/>
      <c r="AZ85" s="545"/>
      <c r="BA85" s="131"/>
    </row>
    <row r="86" spans="1:53" ht="17.100000000000001" customHeight="1" x14ac:dyDescent="0.25">
      <c r="A86" s="102"/>
      <c r="B86" s="118"/>
      <c r="C86" s="118"/>
      <c r="D86" s="103" t="s">
        <v>59</v>
      </c>
      <c r="E86" s="108" t="s">
        <v>60</v>
      </c>
      <c r="F86" s="108"/>
      <c r="G86" s="108"/>
      <c r="H86" s="258"/>
      <c r="I86" s="232"/>
      <c r="J86" s="152"/>
      <c r="K86" s="152"/>
      <c r="L86" s="111"/>
      <c r="M86" s="111"/>
      <c r="N86" s="152"/>
      <c r="O86" s="111"/>
      <c r="P86" s="60"/>
      <c r="Q86" s="152"/>
      <c r="R86" s="111"/>
      <c r="S86" s="60"/>
      <c r="T86" s="152"/>
      <c r="U86" s="111"/>
      <c r="V86" s="361"/>
      <c r="W86" s="391"/>
      <c r="X86" s="17"/>
      <c r="Y86" s="18">
        <f t="shared" si="99"/>
        <v>0</v>
      </c>
      <c r="Z86" s="19">
        <f t="shared" si="100"/>
        <v>0</v>
      </c>
      <c r="AA86" s="19"/>
      <c r="AB86" s="19"/>
      <c r="AC86" s="20"/>
      <c r="AE86" s="111"/>
      <c r="AF86" s="111"/>
      <c r="AG86" s="111"/>
      <c r="AH86" s="545"/>
      <c r="AI86" s="131"/>
      <c r="AK86" s="111"/>
      <c r="AL86" s="111"/>
      <c r="AM86" s="111"/>
      <c r="AN86" s="545"/>
      <c r="AO86" s="131"/>
      <c r="AQ86" s="111"/>
      <c r="AR86" s="111"/>
      <c r="AS86" s="111"/>
      <c r="AT86" s="545"/>
      <c r="AU86" s="131"/>
      <c r="AW86" s="111"/>
      <c r="AX86" s="111"/>
      <c r="AY86" s="111"/>
      <c r="AZ86" s="545"/>
      <c r="BA86" s="131"/>
    </row>
    <row r="87" spans="1:53" ht="17.100000000000001" customHeight="1" x14ac:dyDescent="0.25">
      <c r="A87" s="102"/>
      <c r="B87" s="118"/>
      <c r="C87" s="118"/>
      <c r="D87" s="103" t="s">
        <v>61</v>
      </c>
      <c r="E87" s="108" t="s">
        <v>62</v>
      </c>
      <c r="F87" s="108"/>
      <c r="G87" s="108"/>
      <c r="H87" s="258"/>
      <c r="I87" s="232"/>
      <c r="J87" s="152"/>
      <c r="K87" s="152"/>
      <c r="L87" s="111"/>
      <c r="M87" s="111"/>
      <c r="N87" s="152"/>
      <c r="O87" s="111"/>
      <c r="P87" s="61"/>
      <c r="Q87" s="152"/>
      <c r="R87" s="111"/>
      <c r="S87" s="61"/>
      <c r="T87" s="152"/>
      <c r="U87" s="111"/>
      <c r="V87" s="362"/>
      <c r="W87" s="391"/>
      <c r="X87" s="17"/>
      <c r="Y87" s="18">
        <f t="shared" si="99"/>
        <v>0</v>
      </c>
      <c r="Z87" s="19">
        <f t="shared" si="100"/>
        <v>0</v>
      </c>
      <c r="AA87" s="19"/>
      <c r="AB87" s="19"/>
      <c r="AC87" s="20"/>
      <c r="AE87" s="111"/>
      <c r="AF87" s="111"/>
      <c r="AG87" s="111"/>
      <c r="AH87" s="545"/>
      <c r="AI87" s="131"/>
      <c r="AK87" s="111"/>
      <c r="AL87" s="111"/>
      <c r="AM87" s="111"/>
      <c r="AN87" s="545"/>
      <c r="AO87" s="131"/>
      <c r="AQ87" s="111"/>
      <c r="AR87" s="111"/>
      <c r="AS87" s="111"/>
      <c r="AT87" s="545"/>
      <c r="AU87" s="131"/>
      <c r="AW87" s="111"/>
      <c r="AX87" s="111"/>
      <c r="AY87" s="111"/>
      <c r="AZ87" s="545"/>
      <c r="BA87" s="131"/>
    </row>
    <row r="88" spans="1:53" ht="17.100000000000001" customHeight="1" x14ac:dyDescent="0.25">
      <c r="A88" s="40"/>
      <c r="B88" s="40"/>
      <c r="C88" s="77"/>
      <c r="D88" s="78"/>
      <c r="E88" s="78"/>
      <c r="F88" s="78"/>
      <c r="G88" s="78"/>
      <c r="H88" s="242"/>
      <c r="I88" s="230"/>
      <c r="J88" s="80"/>
      <c r="K88" s="80"/>
      <c r="L88" s="81"/>
      <c r="M88" s="81"/>
      <c r="N88" s="81"/>
      <c r="O88" s="81"/>
      <c r="P88" s="82">
        <f>SUM(P84:P87)</f>
        <v>1</v>
      </c>
      <c r="Q88" s="81"/>
      <c r="R88" s="81"/>
      <c r="S88" s="82">
        <f>SUM(S84:S87)</f>
        <v>1</v>
      </c>
      <c r="T88" s="81"/>
      <c r="U88" s="81"/>
      <c r="V88" s="360">
        <f>SUM(V84:V87)</f>
        <v>0</v>
      </c>
      <c r="W88" s="381"/>
      <c r="X88" s="82"/>
      <c r="Y88" s="82">
        <f t="shared" ref="Y88" si="101">SUM(Y84:Y87)</f>
        <v>2</v>
      </c>
      <c r="Z88" s="205">
        <f t="shared" si="100"/>
        <v>1</v>
      </c>
      <c r="AA88" s="205"/>
      <c r="AB88" s="205"/>
      <c r="AC88" s="83"/>
      <c r="AE88" s="81"/>
      <c r="AF88" s="81"/>
      <c r="AG88" s="81"/>
      <c r="AH88" s="82"/>
      <c r="AI88" s="66"/>
      <c r="AK88" s="81"/>
      <c r="AL88" s="81"/>
      <c r="AM88" s="81"/>
      <c r="AN88" s="82"/>
      <c r="AO88" s="66"/>
      <c r="AQ88" s="81"/>
      <c r="AR88" s="81"/>
      <c r="AS88" s="81"/>
      <c r="AT88" s="82"/>
      <c r="AU88" s="66"/>
      <c r="AW88" s="81"/>
      <c r="AX88" s="81"/>
      <c r="AY88" s="81"/>
      <c r="AZ88" s="82"/>
      <c r="BA88" s="66"/>
    </row>
    <row r="89" spans="1:53" s="117" customFormat="1" ht="17.100000000000001" customHeight="1" x14ac:dyDescent="0.25">
      <c r="A89" s="119"/>
      <c r="B89" s="119"/>
      <c r="C89" s="540"/>
      <c r="D89" s="212"/>
      <c r="E89" s="212"/>
      <c r="F89" s="212"/>
      <c r="G89" s="212"/>
      <c r="H89" s="242"/>
      <c r="I89" s="230"/>
      <c r="J89" s="17"/>
      <c r="K89" s="17"/>
      <c r="L89" s="17"/>
      <c r="M89" s="17"/>
      <c r="N89" s="17"/>
      <c r="O89" s="17"/>
      <c r="P89" s="359" t="str">
        <f>IF(P$20=0,"",IF(P88=1,"OK","NOK"))</f>
        <v>OK</v>
      </c>
      <c r="Q89" s="17"/>
      <c r="R89" s="17"/>
      <c r="S89" s="359" t="str">
        <f>IF(S$20=0,"",IF(S88=1,"OK","NOK"))</f>
        <v>OK</v>
      </c>
      <c r="T89" s="17"/>
      <c r="U89" s="17"/>
      <c r="V89" s="359" t="str">
        <f>IF(V$20=0,"",IF(V88=1,"OK","NOK"))</f>
        <v/>
      </c>
      <c r="W89" s="382"/>
      <c r="X89" s="539"/>
      <c r="Y89" s="539"/>
      <c r="Z89" s="201"/>
      <c r="AA89" s="201"/>
      <c r="AB89" s="201"/>
      <c r="AC89" s="84"/>
      <c r="AE89" s="17"/>
      <c r="AF89" s="17"/>
      <c r="AG89" s="17"/>
      <c r="AH89" s="539"/>
      <c r="AI89" s="91"/>
      <c r="AK89" s="17"/>
      <c r="AL89" s="17"/>
      <c r="AM89" s="17"/>
      <c r="AN89" s="539"/>
      <c r="AO89" s="91"/>
      <c r="AQ89" s="17"/>
      <c r="AR89" s="17"/>
      <c r="AS89" s="17"/>
      <c r="AT89" s="539"/>
      <c r="AU89" s="91"/>
      <c r="AW89" s="17"/>
      <c r="AX89" s="17"/>
      <c r="AY89" s="17"/>
      <c r="AZ89" s="539"/>
      <c r="BA89" s="91"/>
    </row>
    <row r="90" spans="1:53" ht="17.100000000000001" customHeight="1" x14ac:dyDescent="0.25">
      <c r="A90" s="68"/>
      <c r="B90" s="41" t="s">
        <v>63</v>
      </c>
      <c r="C90" s="69" t="s">
        <v>64</v>
      </c>
      <c r="D90" s="50"/>
      <c r="E90" s="70"/>
      <c r="F90" s="70"/>
      <c r="G90" s="70"/>
      <c r="H90" s="119"/>
      <c r="J90" s="71"/>
      <c r="K90" s="71"/>
      <c r="L90" s="71"/>
      <c r="M90" s="71"/>
      <c r="N90" s="71"/>
      <c r="O90" s="71"/>
      <c r="P90" s="71"/>
      <c r="Q90" s="71"/>
      <c r="R90" s="71"/>
      <c r="S90" s="71"/>
      <c r="T90" s="71"/>
      <c r="U90" s="71"/>
      <c r="V90" s="355"/>
      <c r="W90" s="377"/>
      <c r="X90" s="71"/>
      <c r="Y90" s="72"/>
      <c r="Z90" s="73"/>
      <c r="AA90" s="73"/>
      <c r="AB90" s="73"/>
      <c r="AC90" s="73"/>
      <c r="AE90" s="71"/>
      <c r="AF90" s="71"/>
      <c r="AG90" s="71"/>
      <c r="AH90" s="72"/>
      <c r="AI90" s="73"/>
      <c r="AK90" s="71"/>
      <c r="AL90" s="71"/>
      <c r="AM90" s="71"/>
      <c r="AN90" s="72"/>
      <c r="AO90" s="73"/>
      <c r="AQ90" s="71"/>
      <c r="AR90" s="71"/>
      <c r="AS90" s="71"/>
      <c r="AT90" s="72"/>
      <c r="AU90" s="73"/>
      <c r="AW90" s="71"/>
      <c r="AX90" s="71"/>
      <c r="AY90" s="71"/>
      <c r="AZ90" s="72"/>
      <c r="BA90" s="73"/>
    </row>
    <row r="91" spans="1:53" ht="17.100000000000001" customHeight="1" x14ac:dyDescent="0.25">
      <c r="A91" s="102"/>
      <c r="B91" s="102"/>
      <c r="C91" s="103" t="s">
        <v>65</v>
      </c>
      <c r="D91" s="108" t="s">
        <v>66</v>
      </c>
      <c r="E91" s="108"/>
      <c r="F91" s="108"/>
      <c r="G91" s="108"/>
      <c r="H91" s="258"/>
      <c r="I91" s="232"/>
      <c r="J91" s="111"/>
      <c r="K91" s="111"/>
      <c r="L91" s="111"/>
      <c r="M91" s="111"/>
      <c r="N91" s="111"/>
      <c r="O91" s="111"/>
      <c r="P91" s="111"/>
      <c r="Q91" s="111"/>
      <c r="R91" s="111"/>
      <c r="S91" s="111"/>
      <c r="T91" s="111"/>
      <c r="U91" s="111"/>
      <c r="V91" s="358"/>
      <c r="W91" s="380"/>
      <c r="X91" s="111"/>
      <c r="Y91" s="112"/>
      <c r="Z91" s="113"/>
      <c r="AA91" s="113"/>
      <c r="AB91" s="113"/>
      <c r="AC91" s="113"/>
      <c r="AE91" s="114"/>
      <c r="AF91" s="114"/>
      <c r="AG91" s="114"/>
      <c r="AH91" s="112"/>
      <c r="AI91" s="113"/>
      <c r="AK91" s="114"/>
      <c r="AL91" s="114"/>
      <c r="AM91" s="114"/>
      <c r="AN91" s="112"/>
      <c r="AO91" s="113"/>
      <c r="AQ91" s="114"/>
      <c r="AR91" s="114"/>
      <c r="AS91" s="114"/>
      <c r="AT91" s="112"/>
      <c r="AU91" s="113"/>
      <c r="AW91" s="114"/>
      <c r="AX91" s="114"/>
      <c r="AY91" s="114"/>
      <c r="AZ91" s="112"/>
      <c r="BA91" s="113"/>
    </row>
    <row r="92" spans="1:53" ht="17.100000000000001" customHeight="1" x14ac:dyDescent="0.25">
      <c r="A92" s="102"/>
      <c r="B92" s="118"/>
      <c r="C92" s="118"/>
      <c r="D92" s="103" t="s">
        <v>67</v>
      </c>
      <c r="E92" s="110" t="s">
        <v>68</v>
      </c>
      <c r="F92" s="313"/>
      <c r="G92" s="314"/>
      <c r="H92" s="259"/>
      <c r="I92" s="233"/>
      <c r="J92" s="152"/>
      <c r="K92" s="152"/>
      <c r="L92" s="152"/>
      <c r="M92" s="152"/>
      <c r="N92" s="152"/>
      <c r="O92" s="111"/>
      <c r="P92" s="60">
        <v>1</v>
      </c>
      <c r="Q92" s="152"/>
      <c r="R92" s="111"/>
      <c r="S92" s="60"/>
      <c r="T92" s="152"/>
      <c r="U92" s="111"/>
      <c r="V92" s="361"/>
      <c r="W92" s="391"/>
      <c r="X92" s="17"/>
      <c r="Y92" s="18">
        <f>M92+P92+S92+V92</f>
        <v>1</v>
      </c>
      <c r="Z92" s="19">
        <f>IF(Y$96=0,0,Y92/Y$96)</f>
        <v>0.5</v>
      </c>
      <c r="AA92" s="19"/>
      <c r="AB92" s="19"/>
      <c r="AC92" s="20"/>
      <c r="AE92" s="111"/>
      <c r="AF92" s="111"/>
      <c r="AG92" s="111"/>
      <c r="AH92" s="545"/>
      <c r="AI92" s="131"/>
      <c r="AK92" s="111"/>
      <c r="AL92" s="111"/>
      <c r="AM92" s="111"/>
      <c r="AN92" s="545"/>
      <c r="AO92" s="131"/>
      <c r="AQ92" s="111"/>
      <c r="AR92" s="111"/>
      <c r="AS92" s="111"/>
      <c r="AT92" s="545"/>
      <c r="AU92" s="131"/>
      <c r="AW92" s="111"/>
      <c r="AX92" s="111"/>
      <c r="AY92" s="111"/>
      <c r="AZ92" s="545"/>
      <c r="BA92" s="131"/>
    </row>
    <row r="93" spans="1:53" ht="17.100000000000001" customHeight="1" x14ac:dyDescent="0.25">
      <c r="A93" s="102"/>
      <c r="B93" s="118"/>
      <c r="C93" s="118"/>
      <c r="D93" s="103" t="s">
        <v>69</v>
      </c>
      <c r="E93" s="110" t="s">
        <v>70</v>
      </c>
      <c r="F93" s="226"/>
      <c r="G93" s="226"/>
      <c r="H93" s="260"/>
      <c r="I93" s="234"/>
      <c r="J93" s="152"/>
      <c r="K93" s="152"/>
      <c r="L93" s="111"/>
      <c r="M93" s="111"/>
      <c r="N93" s="152"/>
      <c r="O93" s="111"/>
      <c r="P93" s="61"/>
      <c r="Q93" s="152"/>
      <c r="R93" s="111"/>
      <c r="S93" s="61">
        <v>1</v>
      </c>
      <c r="T93" s="152"/>
      <c r="U93" s="111"/>
      <c r="V93" s="362"/>
      <c r="W93" s="391"/>
      <c r="X93" s="17"/>
      <c r="Y93" s="18">
        <f t="shared" ref="Y93:Y95" si="102">M93+P93+S93+V93</f>
        <v>1</v>
      </c>
      <c r="Z93" s="19">
        <f t="shared" ref="Z93:Z96" si="103">IF(Y$96=0,0,Y93/Y$96)</f>
        <v>0.5</v>
      </c>
      <c r="AA93" s="19"/>
      <c r="AB93" s="19"/>
      <c r="AC93" s="20"/>
      <c r="AE93" s="111"/>
      <c r="AF93" s="111"/>
      <c r="AG93" s="111"/>
      <c r="AH93" s="545"/>
      <c r="AI93" s="131"/>
      <c r="AK93" s="111"/>
      <c r="AL93" s="111"/>
      <c r="AM93" s="111"/>
      <c r="AN93" s="545"/>
      <c r="AO93" s="131"/>
      <c r="AQ93" s="111"/>
      <c r="AR93" s="111"/>
      <c r="AS93" s="111"/>
      <c r="AT93" s="545"/>
      <c r="AU93" s="131"/>
      <c r="AW93" s="111"/>
      <c r="AX93" s="111"/>
      <c r="AY93" s="111"/>
      <c r="AZ93" s="545"/>
      <c r="BA93" s="131"/>
    </row>
    <row r="94" spans="1:53" ht="17.100000000000001" customHeight="1" x14ac:dyDescent="0.25">
      <c r="A94" s="102"/>
      <c r="B94" s="118"/>
      <c r="C94" s="118"/>
      <c r="D94" s="103" t="s">
        <v>71</v>
      </c>
      <c r="E94" s="110" t="s">
        <v>72</v>
      </c>
      <c r="F94" s="226"/>
      <c r="G94" s="226"/>
      <c r="H94" s="260"/>
      <c r="I94" s="234"/>
      <c r="J94" s="152"/>
      <c r="K94" s="152"/>
      <c r="L94" s="111"/>
      <c r="M94" s="111"/>
      <c r="N94" s="152"/>
      <c r="O94" s="111"/>
      <c r="P94" s="60"/>
      <c r="Q94" s="152"/>
      <c r="R94" s="111"/>
      <c r="S94" s="60"/>
      <c r="T94" s="152"/>
      <c r="U94" s="111"/>
      <c r="V94" s="361"/>
      <c r="W94" s="391"/>
      <c r="X94" s="17"/>
      <c r="Y94" s="18">
        <f t="shared" si="102"/>
        <v>0</v>
      </c>
      <c r="Z94" s="19">
        <f t="shared" si="103"/>
        <v>0</v>
      </c>
      <c r="AA94" s="19"/>
      <c r="AB94" s="19"/>
      <c r="AC94" s="20"/>
      <c r="AE94" s="111"/>
      <c r="AF94" s="111"/>
      <c r="AG94" s="111"/>
      <c r="AH94" s="545"/>
      <c r="AI94" s="131"/>
      <c r="AK94" s="111"/>
      <c r="AL94" s="111"/>
      <c r="AM94" s="111"/>
      <c r="AN94" s="545"/>
      <c r="AO94" s="131"/>
      <c r="AQ94" s="111"/>
      <c r="AR94" s="111"/>
      <c r="AS94" s="111"/>
      <c r="AT94" s="545"/>
      <c r="AU94" s="131"/>
      <c r="AW94" s="111"/>
      <c r="AX94" s="111"/>
      <c r="AY94" s="111"/>
      <c r="AZ94" s="545"/>
      <c r="BA94" s="131"/>
    </row>
    <row r="95" spans="1:53" ht="17.100000000000001" customHeight="1" x14ac:dyDescent="0.25">
      <c r="A95" s="102"/>
      <c r="B95" s="118"/>
      <c r="C95" s="118"/>
      <c r="D95" s="103" t="s">
        <v>73</v>
      </c>
      <c r="E95" s="278" t="s">
        <v>561</v>
      </c>
      <c r="F95" s="313"/>
      <c r="G95" s="314"/>
      <c r="H95" s="259"/>
      <c r="I95" s="233"/>
      <c r="J95" s="152"/>
      <c r="K95" s="152"/>
      <c r="L95" s="111"/>
      <c r="M95" s="111"/>
      <c r="N95" s="152"/>
      <c r="O95" s="111"/>
      <c r="P95" s="61"/>
      <c r="Q95" s="152"/>
      <c r="R95" s="111"/>
      <c r="S95" s="61"/>
      <c r="T95" s="152"/>
      <c r="U95" s="111"/>
      <c r="V95" s="362"/>
      <c r="W95" s="391"/>
      <c r="X95" s="17"/>
      <c r="Y95" s="18">
        <f t="shared" si="102"/>
        <v>0</v>
      </c>
      <c r="Z95" s="19">
        <f t="shared" si="103"/>
        <v>0</v>
      </c>
      <c r="AA95" s="19"/>
      <c r="AB95" s="19"/>
      <c r="AC95" s="20"/>
      <c r="AE95" s="111"/>
      <c r="AF95" s="111"/>
      <c r="AG95" s="111"/>
      <c r="AH95" s="545"/>
      <c r="AI95" s="131"/>
      <c r="AK95" s="111"/>
      <c r="AL95" s="111"/>
      <c r="AM95" s="111"/>
      <c r="AN95" s="545"/>
      <c r="AO95" s="131"/>
      <c r="AQ95" s="111"/>
      <c r="AR95" s="111"/>
      <c r="AS95" s="111"/>
      <c r="AT95" s="545"/>
      <c r="AU95" s="131"/>
      <c r="AW95" s="111"/>
      <c r="AX95" s="111"/>
      <c r="AY95" s="111"/>
      <c r="AZ95" s="545"/>
      <c r="BA95" s="131"/>
    </row>
    <row r="96" spans="1:53" ht="17.100000000000001" customHeight="1" x14ac:dyDescent="0.25">
      <c r="A96" s="40"/>
      <c r="B96" s="40"/>
      <c r="C96" s="77"/>
      <c r="D96" s="78"/>
      <c r="E96" s="78"/>
      <c r="F96" s="78"/>
      <c r="G96" s="78"/>
      <c r="H96" s="242"/>
      <c r="I96" s="230"/>
      <c r="J96" s="80"/>
      <c r="K96" s="80"/>
      <c r="L96" s="81"/>
      <c r="M96" s="81"/>
      <c r="N96" s="81"/>
      <c r="O96" s="81"/>
      <c r="P96" s="82">
        <f>SUM(P92:P95)</f>
        <v>1</v>
      </c>
      <c r="Q96" s="81"/>
      <c r="R96" s="81"/>
      <c r="S96" s="82">
        <f>SUM(S92:S95)</f>
        <v>1</v>
      </c>
      <c r="T96" s="81"/>
      <c r="U96" s="81"/>
      <c r="V96" s="360">
        <f>SUM(V92:V95)</f>
        <v>0</v>
      </c>
      <c r="W96" s="381"/>
      <c r="X96" s="82"/>
      <c r="Y96" s="82">
        <f t="shared" ref="Y96" si="104">SUM(Y92:Y95)</f>
        <v>2</v>
      </c>
      <c r="Z96" s="205">
        <f t="shared" si="103"/>
        <v>1</v>
      </c>
      <c r="AA96" s="205"/>
      <c r="AB96" s="205"/>
      <c r="AC96" s="83"/>
      <c r="AE96" s="81"/>
      <c r="AF96" s="81"/>
      <c r="AG96" s="81"/>
      <c r="AH96" s="82"/>
      <c r="AI96" s="66"/>
      <c r="AK96" s="81"/>
      <c r="AL96" s="81"/>
      <c r="AM96" s="81"/>
      <c r="AN96" s="82"/>
      <c r="AO96" s="66"/>
      <c r="AQ96" s="81"/>
      <c r="AR96" s="81"/>
      <c r="AS96" s="81"/>
      <c r="AT96" s="82"/>
      <c r="AU96" s="66"/>
      <c r="AW96" s="81"/>
      <c r="AX96" s="81"/>
      <c r="AY96" s="81"/>
      <c r="AZ96" s="82"/>
      <c r="BA96" s="66"/>
    </row>
    <row r="97" spans="1:53" s="117" customFormat="1" ht="17.100000000000001" customHeight="1" x14ac:dyDescent="0.25">
      <c r="A97" s="119"/>
      <c r="B97" s="119"/>
      <c r="C97" s="540"/>
      <c r="D97" s="212"/>
      <c r="E97" s="212"/>
      <c r="F97" s="212"/>
      <c r="G97" s="212"/>
      <c r="H97" s="242"/>
      <c r="I97" s="230"/>
      <c r="J97" s="17"/>
      <c r="K97" s="17"/>
      <c r="L97" s="17"/>
      <c r="M97" s="17"/>
      <c r="N97" s="17"/>
      <c r="O97" s="17"/>
      <c r="P97" s="359" t="str">
        <f>IF(P$20=0,"",IF(P96=1,"OK","NOK"))</f>
        <v>OK</v>
      </c>
      <c r="Q97" s="17"/>
      <c r="R97" s="17"/>
      <c r="S97" s="359" t="str">
        <f>IF(S$20=0,"",IF(S96=1,"OK","NOK"))</f>
        <v>OK</v>
      </c>
      <c r="T97" s="17"/>
      <c r="U97" s="17"/>
      <c r="V97" s="359" t="str">
        <f>IF(V$20=0,"",IF(V96=1,"OK","NOK"))</f>
        <v/>
      </c>
      <c r="W97" s="382"/>
      <c r="X97" s="539"/>
      <c r="Y97" s="539"/>
      <c r="Z97" s="201"/>
      <c r="AA97" s="201"/>
      <c r="AB97" s="201"/>
      <c r="AC97" s="84"/>
      <c r="AE97" s="17"/>
      <c r="AF97" s="17"/>
      <c r="AG97" s="17"/>
      <c r="AH97" s="539"/>
      <c r="AI97" s="91"/>
      <c r="AK97" s="17"/>
      <c r="AL97" s="17"/>
      <c r="AM97" s="17"/>
      <c r="AN97" s="539"/>
      <c r="AO97" s="91"/>
      <c r="AQ97" s="17"/>
      <c r="AR97" s="17"/>
      <c r="AS97" s="17"/>
      <c r="AT97" s="539"/>
      <c r="AU97" s="91"/>
      <c r="AW97" s="17"/>
      <c r="AX97" s="17"/>
      <c r="AY97" s="17"/>
      <c r="AZ97" s="539"/>
      <c r="BA97" s="91"/>
    </row>
    <row r="98" spans="1:53" ht="17.100000000000001" customHeight="1" x14ac:dyDescent="0.25">
      <c r="A98" s="68"/>
      <c r="B98" s="41" t="s">
        <v>74</v>
      </c>
      <c r="C98" s="69" t="s">
        <v>12</v>
      </c>
      <c r="D98" s="50"/>
      <c r="E98" s="70"/>
      <c r="F98" s="70"/>
      <c r="G98" s="70"/>
      <c r="H98" s="119"/>
      <c r="J98" s="71"/>
      <c r="K98" s="71"/>
      <c r="L98" s="71"/>
      <c r="M98" s="71"/>
      <c r="N98" s="71"/>
      <c r="O98" s="71"/>
      <c r="P98" s="71"/>
      <c r="Q98" s="71"/>
      <c r="R98" s="71"/>
      <c r="S98" s="71"/>
      <c r="T98" s="71"/>
      <c r="U98" s="71"/>
      <c r="V98" s="355"/>
      <c r="W98" s="377"/>
      <c r="X98" s="71"/>
      <c r="Y98" s="72"/>
      <c r="Z98" s="73"/>
      <c r="AA98" s="73"/>
      <c r="AB98" s="73"/>
      <c r="AC98" s="73"/>
      <c r="AE98" s="71"/>
      <c r="AF98" s="71"/>
      <c r="AG98" s="71"/>
      <c r="AH98" s="72"/>
      <c r="AI98" s="73"/>
      <c r="AK98" s="71"/>
      <c r="AL98" s="71"/>
      <c r="AM98" s="71"/>
      <c r="AN98" s="72"/>
      <c r="AO98" s="73"/>
      <c r="AQ98" s="71"/>
      <c r="AR98" s="71"/>
      <c r="AS98" s="71"/>
      <c r="AT98" s="72"/>
      <c r="AU98" s="73"/>
      <c r="AW98" s="71"/>
      <c r="AX98" s="71"/>
      <c r="AY98" s="71"/>
      <c r="AZ98" s="72"/>
      <c r="BA98" s="73"/>
    </row>
    <row r="99" spans="1:53" s="97" customFormat="1" ht="17.100000000000001" customHeight="1" x14ac:dyDescent="0.25">
      <c r="A99" s="119"/>
      <c r="B99" s="119"/>
      <c r="C99" s="120" t="s">
        <v>895</v>
      </c>
      <c r="D99" s="85"/>
      <c r="E99" s="75"/>
      <c r="F99" s="75"/>
      <c r="G99" s="75"/>
      <c r="H99" s="540"/>
      <c r="I99" s="229"/>
      <c r="J99" s="111"/>
      <c r="K99" s="111"/>
      <c r="L99" s="111"/>
      <c r="M99" s="111"/>
      <c r="N99" s="111"/>
      <c r="O99" s="111"/>
      <c r="P99" s="111"/>
      <c r="Q99" s="111"/>
      <c r="R99" s="111"/>
      <c r="S99" s="111"/>
      <c r="T99" s="111"/>
      <c r="U99" s="111"/>
      <c r="V99" s="358"/>
      <c r="W99" s="380"/>
      <c r="X99" s="111"/>
      <c r="Y99" s="112"/>
      <c r="Z99" s="113"/>
      <c r="AA99" s="113"/>
      <c r="AB99" s="113"/>
      <c r="AC99" s="113"/>
      <c r="AE99" s="114"/>
      <c r="AF99" s="114"/>
      <c r="AG99" s="114"/>
      <c r="AH99" s="112"/>
      <c r="AI99" s="113"/>
      <c r="AK99" s="114"/>
      <c r="AL99" s="114"/>
      <c r="AM99" s="114"/>
      <c r="AN99" s="112"/>
      <c r="AO99" s="113"/>
      <c r="AQ99" s="114"/>
      <c r="AR99" s="114"/>
      <c r="AS99" s="114"/>
      <c r="AT99" s="112"/>
      <c r="AU99" s="113"/>
      <c r="AW99" s="114"/>
      <c r="AX99" s="114"/>
      <c r="AY99" s="114"/>
      <c r="AZ99" s="112"/>
      <c r="BA99" s="113"/>
    </row>
    <row r="100" spans="1:53" s="97" customFormat="1" ht="17.100000000000001" customHeight="1" x14ac:dyDescent="0.25">
      <c r="A100" s="119"/>
      <c r="B100" s="119"/>
      <c r="C100" s="540"/>
      <c r="D100" s="121" t="s">
        <v>75</v>
      </c>
      <c r="E100" s="122"/>
      <c r="F100" s="122"/>
      <c r="G100" s="122"/>
      <c r="H100" s="540"/>
      <c r="I100" s="229"/>
      <c r="J100" s="123"/>
      <c r="K100" s="123"/>
      <c r="L100" s="123"/>
      <c r="M100" s="123"/>
      <c r="N100" s="123"/>
      <c r="O100" s="123"/>
      <c r="P100" s="123"/>
      <c r="Q100" s="123"/>
      <c r="R100" s="123"/>
      <c r="S100" s="123"/>
      <c r="T100" s="123"/>
      <c r="U100" s="123"/>
      <c r="V100" s="363"/>
      <c r="W100" s="383"/>
      <c r="X100" s="123"/>
      <c r="Y100" s="124"/>
      <c r="Z100" s="125"/>
      <c r="AA100" s="125"/>
      <c r="AB100" s="125"/>
      <c r="AC100" s="125"/>
      <c r="AE100" s="126"/>
      <c r="AF100" s="126"/>
      <c r="AG100" s="126"/>
      <c r="AH100" s="124"/>
      <c r="AI100" s="125"/>
      <c r="AK100" s="126"/>
      <c r="AL100" s="126"/>
      <c r="AM100" s="126"/>
      <c r="AN100" s="124"/>
      <c r="AO100" s="125"/>
      <c r="AQ100" s="126"/>
      <c r="AR100" s="126"/>
      <c r="AS100" s="126"/>
      <c r="AT100" s="124"/>
      <c r="AU100" s="125"/>
      <c r="AW100" s="126"/>
      <c r="AX100" s="126"/>
      <c r="AY100" s="126"/>
      <c r="AZ100" s="124"/>
      <c r="BA100" s="125"/>
    </row>
    <row r="101" spans="1:53" s="97" customFormat="1" ht="17.100000000000001" customHeight="1" x14ac:dyDescent="0.25">
      <c r="A101" s="137"/>
      <c r="B101" s="137"/>
      <c r="C101" s="928"/>
      <c r="D101" s="941" t="s">
        <v>1438</v>
      </c>
      <c r="E101" s="122"/>
      <c r="F101" s="122"/>
      <c r="G101" s="122"/>
      <c r="H101" s="928"/>
      <c r="I101" s="229"/>
      <c r="J101" s="123"/>
      <c r="K101" s="123"/>
      <c r="L101" s="123"/>
      <c r="M101" s="123"/>
      <c r="N101" s="123">
        <f>N40</f>
        <v>1</v>
      </c>
      <c r="O101" s="123">
        <f>O40</f>
        <v>2</v>
      </c>
      <c r="P101" s="942">
        <f>SUM(N101:O101)</f>
        <v>3</v>
      </c>
      <c r="Q101" s="123">
        <f>Q40</f>
        <v>1</v>
      </c>
      <c r="R101" s="123">
        <f>R40</f>
        <v>4</v>
      </c>
      <c r="S101" s="942">
        <f>SUM(Q101:R101)</f>
        <v>5</v>
      </c>
      <c r="T101" s="123">
        <f>T40</f>
        <v>0</v>
      </c>
      <c r="U101" s="123">
        <f>U40</f>
        <v>0</v>
      </c>
      <c r="V101" s="942">
        <f>SUM(T101:U101)</f>
        <v>0</v>
      </c>
      <c r="W101" s="383"/>
      <c r="X101" s="123"/>
      <c r="Y101" s="129"/>
      <c r="Z101" s="125"/>
      <c r="AA101" s="125"/>
      <c r="AB101" s="125"/>
      <c r="AC101" s="125"/>
      <c r="AE101" s="126"/>
      <c r="AF101" s="126"/>
      <c r="AG101" s="126"/>
      <c r="AH101" s="124"/>
      <c r="AI101" s="125"/>
      <c r="AK101" s="126"/>
      <c r="AL101" s="126"/>
      <c r="AM101" s="126"/>
      <c r="AN101" s="124"/>
      <c r="AO101" s="125"/>
      <c r="AQ101" s="126"/>
      <c r="AR101" s="126"/>
      <c r="AS101" s="126"/>
      <c r="AT101" s="124"/>
      <c r="AU101" s="125"/>
      <c r="AW101" s="126"/>
      <c r="AX101" s="126"/>
      <c r="AY101" s="126"/>
      <c r="AZ101" s="124"/>
      <c r="BA101" s="125"/>
    </row>
    <row r="102" spans="1:53" s="97" customFormat="1" ht="17.100000000000001" customHeight="1" x14ac:dyDescent="0.25">
      <c r="A102" s="137"/>
      <c r="B102" s="119"/>
      <c r="C102" s="928"/>
      <c r="D102" s="127" t="s">
        <v>76</v>
      </c>
      <c r="E102" s="128"/>
      <c r="F102" s="122"/>
      <c r="G102" s="122"/>
      <c r="H102" s="928"/>
      <c r="I102" s="229"/>
      <c r="J102" s="123"/>
      <c r="K102" s="123"/>
      <c r="L102" s="123"/>
      <c r="M102" s="123"/>
      <c r="N102" s="943">
        <f>N63</f>
        <v>0</v>
      </c>
      <c r="O102" s="943">
        <f>O63</f>
        <v>0</v>
      </c>
      <c r="P102" s="942">
        <f>SUM(N102:O102)</f>
        <v>0</v>
      </c>
      <c r="Q102" s="943">
        <f>Q63</f>
        <v>0</v>
      </c>
      <c r="R102" s="943">
        <f>R63</f>
        <v>0</v>
      </c>
      <c r="S102" s="942">
        <f>SUM(Q102:R102)</f>
        <v>0</v>
      </c>
      <c r="T102" s="943">
        <f>T63</f>
        <v>0</v>
      </c>
      <c r="U102" s="943">
        <f>U63</f>
        <v>0</v>
      </c>
      <c r="V102" s="942">
        <f>SUM(T102:U102)</f>
        <v>0</v>
      </c>
      <c r="W102" s="383"/>
      <c r="X102" s="123"/>
      <c r="Y102" s="129"/>
      <c r="Z102" s="125"/>
      <c r="AA102" s="125"/>
      <c r="AB102" s="125"/>
      <c r="AC102" s="125"/>
      <c r="AE102" s="123"/>
      <c r="AF102" s="123"/>
      <c r="AG102" s="123"/>
      <c r="AH102" s="124"/>
      <c r="AI102" s="125"/>
      <c r="AK102" s="123"/>
      <c r="AL102" s="123"/>
      <c r="AM102" s="123"/>
      <c r="AN102" s="124"/>
      <c r="AO102" s="125"/>
      <c r="AQ102" s="123"/>
      <c r="AR102" s="123"/>
      <c r="AS102" s="123"/>
      <c r="AT102" s="124"/>
      <c r="AU102" s="125"/>
      <c r="AW102" s="123"/>
      <c r="AX102" s="123"/>
      <c r="AY102" s="123"/>
      <c r="AZ102" s="124"/>
      <c r="BA102" s="125"/>
    </row>
    <row r="103" spans="1:53" s="97" customFormat="1" ht="17.100000000000001" customHeight="1" x14ac:dyDescent="0.25">
      <c r="A103" s="137"/>
      <c r="B103" s="119"/>
      <c r="C103" s="928"/>
      <c r="D103" s="127" t="s">
        <v>77</v>
      </c>
      <c r="E103" s="128"/>
      <c r="F103" s="122"/>
      <c r="G103" s="122"/>
      <c r="H103" s="928"/>
      <c r="I103" s="229"/>
      <c r="J103" s="123"/>
      <c r="K103" s="123"/>
      <c r="L103" s="123"/>
      <c r="M103" s="123"/>
      <c r="N103" s="943">
        <f>N64</f>
        <v>0</v>
      </c>
      <c r="O103" s="943">
        <f>O64</f>
        <v>0</v>
      </c>
      <c r="P103" s="942">
        <f t="shared" ref="P103:P107" si="105">SUM(N103:O103)</f>
        <v>0</v>
      </c>
      <c r="Q103" s="943">
        <f>Q64</f>
        <v>0</v>
      </c>
      <c r="R103" s="943">
        <f>R64</f>
        <v>0</v>
      </c>
      <c r="S103" s="942">
        <f t="shared" ref="S103:S107" si="106">SUM(Q103:R103)</f>
        <v>0</v>
      </c>
      <c r="T103" s="943">
        <f>T64</f>
        <v>0</v>
      </c>
      <c r="U103" s="943">
        <f>U64</f>
        <v>0</v>
      </c>
      <c r="V103" s="942">
        <f t="shared" ref="V103:V107" si="107">SUM(T103:U103)</f>
        <v>0</v>
      </c>
      <c r="W103" s="383"/>
      <c r="X103" s="123"/>
      <c r="Y103" s="129"/>
      <c r="Z103" s="125"/>
      <c r="AA103" s="125"/>
      <c r="AB103" s="125"/>
      <c r="AC103" s="125"/>
      <c r="AE103" s="123"/>
      <c r="AF103" s="123"/>
      <c r="AG103" s="123"/>
      <c r="AH103" s="124"/>
      <c r="AI103" s="125"/>
      <c r="AK103" s="123"/>
      <c r="AL103" s="123"/>
      <c r="AM103" s="123"/>
      <c r="AN103" s="124"/>
      <c r="AO103" s="125"/>
      <c r="AQ103" s="123"/>
      <c r="AR103" s="123"/>
      <c r="AS103" s="123"/>
      <c r="AT103" s="124"/>
      <c r="AU103" s="125"/>
      <c r="AW103" s="123"/>
      <c r="AX103" s="123"/>
      <c r="AY103" s="123"/>
      <c r="AZ103" s="124"/>
      <c r="BA103" s="125"/>
    </row>
    <row r="104" spans="1:53" s="97" customFormat="1" ht="17.100000000000001" customHeight="1" x14ac:dyDescent="0.25">
      <c r="A104" s="137"/>
      <c r="B104" s="119"/>
      <c r="C104" s="928"/>
      <c r="D104" s="127" t="s">
        <v>78</v>
      </c>
      <c r="E104" s="128"/>
      <c r="F104" s="122"/>
      <c r="G104" s="122"/>
      <c r="H104" s="928"/>
      <c r="I104" s="229"/>
      <c r="J104" s="123"/>
      <c r="K104" s="123"/>
      <c r="L104" s="123"/>
      <c r="M104" s="123"/>
      <c r="N104" s="943">
        <f>N71</f>
        <v>0</v>
      </c>
      <c r="O104" s="943">
        <f>O71</f>
        <v>0</v>
      </c>
      <c r="P104" s="942">
        <f t="shared" si="105"/>
        <v>0</v>
      </c>
      <c r="Q104" s="943">
        <f>Q71</f>
        <v>0</v>
      </c>
      <c r="R104" s="943">
        <f>R71</f>
        <v>0</v>
      </c>
      <c r="S104" s="942">
        <f t="shared" si="106"/>
        <v>0</v>
      </c>
      <c r="T104" s="943">
        <f>T71</f>
        <v>0</v>
      </c>
      <c r="U104" s="943">
        <f>U71</f>
        <v>0</v>
      </c>
      <c r="V104" s="942">
        <f t="shared" si="107"/>
        <v>0</v>
      </c>
      <c r="W104" s="383"/>
      <c r="X104" s="123"/>
      <c r="Y104" s="129"/>
      <c r="Z104" s="125"/>
      <c r="AA104" s="125"/>
      <c r="AB104" s="125"/>
      <c r="AC104" s="125"/>
      <c r="AE104" s="123"/>
      <c r="AF104" s="123"/>
      <c r="AG104" s="123"/>
      <c r="AH104" s="124"/>
      <c r="AI104" s="125"/>
      <c r="AK104" s="123"/>
      <c r="AL104" s="123"/>
      <c r="AM104" s="123"/>
      <c r="AN104" s="124"/>
      <c r="AO104" s="125"/>
      <c r="AQ104" s="123"/>
      <c r="AR104" s="123"/>
      <c r="AS104" s="123"/>
      <c r="AT104" s="124"/>
      <c r="AU104" s="125"/>
      <c r="AW104" s="123"/>
      <c r="AX104" s="123"/>
      <c r="AY104" s="123"/>
      <c r="AZ104" s="124"/>
      <c r="BA104" s="125"/>
    </row>
    <row r="105" spans="1:53" s="97" customFormat="1" ht="17.100000000000001" customHeight="1" x14ac:dyDescent="0.25">
      <c r="A105" s="137"/>
      <c r="B105" s="119"/>
      <c r="C105" s="928"/>
      <c r="D105" s="127" t="s">
        <v>79</v>
      </c>
      <c r="E105" s="122"/>
      <c r="F105" s="122"/>
      <c r="G105" s="122"/>
      <c r="H105" s="928"/>
      <c r="I105" s="229"/>
      <c r="J105" s="123"/>
      <c r="K105" s="123"/>
      <c r="L105" s="123"/>
      <c r="M105" s="123"/>
      <c r="N105" s="943">
        <f>N72</f>
        <v>0</v>
      </c>
      <c r="O105" s="943">
        <f>O72</f>
        <v>0</v>
      </c>
      <c r="P105" s="942">
        <f t="shared" si="105"/>
        <v>0</v>
      </c>
      <c r="Q105" s="943">
        <f>Q72</f>
        <v>0</v>
      </c>
      <c r="R105" s="943">
        <f>R72</f>
        <v>0</v>
      </c>
      <c r="S105" s="942">
        <f t="shared" si="106"/>
        <v>0</v>
      </c>
      <c r="T105" s="943">
        <f>T72</f>
        <v>0</v>
      </c>
      <c r="U105" s="943">
        <f>U72</f>
        <v>0</v>
      </c>
      <c r="V105" s="942">
        <f t="shared" si="107"/>
        <v>0</v>
      </c>
      <c r="W105" s="383"/>
      <c r="X105" s="123"/>
      <c r="Y105" s="129"/>
      <c r="Z105" s="125"/>
      <c r="AA105" s="125"/>
      <c r="AB105" s="125"/>
      <c r="AC105" s="125"/>
      <c r="AE105" s="123"/>
      <c r="AF105" s="123"/>
      <c r="AG105" s="123"/>
      <c r="AH105" s="124"/>
      <c r="AI105" s="125"/>
      <c r="AK105" s="123"/>
      <c r="AL105" s="123"/>
      <c r="AM105" s="123"/>
      <c r="AN105" s="124"/>
      <c r="AO105" s="125"/>
      <c r="AQ105" s="123"/>
      <c r="AR105" s="123"/>
      <c r="AS105" s="123"/>
      <c r="AT105" s="124"/>
      <c r="AU105" s="125"/>
      <c r="AW105" s="123"/>
      <c r="AX105" s="123"/>
      <c r="AY105" s="123"/>
      <c r="AZ105" s="124"/>
      <c r="BA105" s="125"/>
    </row>
    <row r="106" spans="1:53" s="97" customFormat="1" ht="17.100000000000001" customHeight="1" x14ac:dyDescent="0.25">
      <c r="A106" s="137"/>
      <c r="B106" s="137"/>
      <c r="C106" s="928"/>
      <c r="D106" s="127" t="s">
        <v>81</v>
      </c>
      <c r="E106" s="122"/>
      <c r="F106" s="122"/>
      <c r="G106" s="122"/>
      <c r="H106" s="928"/>
      <c r="I106" s="229"/>
      <c r="J106" s="123"/>
      <c r="K106" s="123"/>
      <c r="L106" s="123"/>
      <c r="M106" s="123"/>
      <c r="N106" s="943">
        <f>SUM(N101:N105)</f>
        <v>1</v>
      </c>
      <c r="O106" s="943">
        <f>SUM(O101:O105)</f>
        <v>2</v>
      </c>
      <c r="P106" s="942">
        <f t="shared" si="105"/>
        <v>3</v>
      </c>
      <c r="Q106" s="943">
        <f>SUM(Q101:Q105)</f>
        <v>1</v>
      </c>
      <c r="R106" s="943">
        <f>SUM(R101:R105)</f>
        <v>4</v>
      </c>
      <c r="S106" s="942">
        <f t="shared" si="106"/>
        <v>5</v>
      </c>
      <c r="T106" s="943">
        <f>SUM(T101:T105)</f>
        <v>0</v>
      </c>
      <c r="U106" s="943">
        <f>SUM(U101:U105)</f>
        <v>0</v>
      </c>
      <c r="V106" s="942">
        <f t="shared" si="107"/>
        <v>0</v>
      </c>
      <c r="W106" s="383"/>
      <c r="X106" s="123"/>
      <c r="Y106" s="129"/>
      <c r="Z106" s="125"/>
      <c r="AA106" s="125"/>
      <c r="AB106" s="125"/>
      <c r="AC106" s="125"/>
      <c r="AE106" s="123"/>
      <c r="AF106" s="123"/>
      <c r="AG106" s="123"/>
      <c r="AH106" s="124"/>
      <c r="AI106" s="125"/>
      <c r="AK106" s="123"/>
      <c r="AL106" s="123"/>
      <c r="AM106" s="123"/>
      <c r="AN106" s="124"/>
      <c r="AO106" s="125"/>
      <c r="AQ106" s="123"/>
      <c r="AR106" s="123"/>
      <c r="AS106" s="123"/>
      <c r="AT106" s="124"/>
      <c r="AU106" s="125"/>
      <c r="AW106" s="123"/>
      <c r="AX106" s="123"/>
      <c r="AY106" s="123"/>
      <c r="AZ106" s="124"/>
      <c r="BA106" s="125"/>
    </row>
    <row r="107" spans="1:53" s="97" customFormat="1" ht="17.100000000000001" customHeight="1" x14ac:dyDescent="0.25">
      <c r="A107" s="137"/>
      <c r="B107" s="137"/>
      <c r="C107" s="928"/>
      <c r="D107" s="127" t="s">
        <v>1439</v>
      </c>
      <c r="E107" s="122"/>
      <c r="F107" s="122"/>
      <c r="G107" s="122"/>
      <c r="H107" s="928"/>
      <c r="I107" s="229"/>
      <c r="J107" s="123"/>
      <c r="K107" s="123"/>
      <c r="L107" s="123"/>
      <c r="M107" s="123"/>
      <c r="N107" s="943">
        <f>N20*3</f>
        <v>18</v>
      </c>
      <c r="O107" s="943">
        <f>O20*3</f>
        <v>9</v>
      </c>
      <c r="P107" s="942">
        <f t="shared" si="105"/>
        <v>27</v>
      </c>
      <c r="Q107" s="943">
        <f>Q20*3</f>
        <v>3</v>
      </c>
      <c r="R107" s="943">
        <f>R20*3</f>
        <v>15</v>
      </c>
      <c r="S107" s="942">
        <f t="shared" si="106"/>
        <v>18</v>
      </c>
      <c r="T107" s="943">
        <f>T20*3</f>
        <v>0</v>
      </c>
      <c r="U107" s="943">
        <f>U20*3</f>
        <v>0</v>
      </c>
      <c r="V107" s="942">
        <f t="shared" si="107"/>
        <v>0</v>
      </c>
      <c r="W107" s="383"/>
      <c r="X107" s="123"/>
      <c r="Y107" s="129"/>
      <c r="Z107" s="125"/>
      <c r="AA107" s="125"/>
      <c r="AB107" s="125"/>
      <c r="AC107" s="125"/>
      <c r="AE107" s="123"/>
      <c r="AF107" s="123"/>
      <c r="AG107" s="123"/>
      <c r="AH107" s="124"/>
      <c r="AI107" s="125"/>
      <c r="AK107" s="123"/>
      <c r="AL107" s="123"/>
      <c r="AM107" s="123"/>
      <c r="AN107" s="124"/>
      <c r="AO107" s="125"/>
      <c r="AQ107" s="123"/>
      <c r="AR107" s="123"/>
      <c r="AS107" s="123"/>
      <c r="AT107" s="124"/>
      <c r="AU107" s="125"/>
      <c r="AW107" s="123"/>
      <c r="AX107" s="123"/>
      <c r="AY107" s="123"/>
      <c r="AZ107" s="124"/>
      <c r="BA107" s="125"/>
    </row>
    <row r="108" spans="1:53" s="97" customFormat="1" ht="17.100000000000001" customHeight="1" x14ac:dyDescent="0.25">
      <c r="A108" s="137"/>
      <c r="B108" s="137"/>
      <c r="C108" s="928"/>
      <c r="D108" s="127" t="s">
        <v>1440</v>
      </c>
      <c r="E108" s="122"/>
      <c r="F108" s="122"/>
      <c r="G108" s="122"/>
      <c r="H108" s="928"/>
      <c r="I108" s="229"/>
      <c r="J108" s="123"/>
      <c r="K108" s="123"/>
      <c r="L108" s="123"/>
      <c r="M108" s="123"/>
      <c r="N108" s="130">
        <f>IF(N107=0,0,N106/N107)</f>
        <v>5.5555555555555552E-2</v>
      </c>
      <c r="O108" s="130">
        <f t="shared" ref="O108:V108" si="108">IF(O107=0,0,O106/O107)</f>
        <v>0.22222222222222221</v>
      </c>
      <c r="P108" s="130">
        <f t="shared" si="108"/>
        <v>0.1111111111111111</v>
      </c>
      <c r="Q108" s="130">
        <f t="shared" si="108"/>
        <v>0.33333333333333331</v>
      </c>
      <c r="R108" s="130">
        <f t="shared" si="108"/>
        <v>0.26666666666666666</v>
      </c>
      <c r="S108" s="130">
        <f t="shared" si="108"/>
        <v>0.27777777777777779</v>
      </c>
      <c r="T108" s="130">
        <f t="shared" si="108"/>
        <v>0</v>
      </c>
      <c r="U108" s="130">
        <f t="shared" si="108"/>
        <v>0</v>
      </c>
      <c r="V108" s="130">
        <f t="shared" si="108"/>
        <v>0</v>
      </c>
      <c r="W108" s="383"/>
      <c r="X108" s="123"/>
      <c r="Y108" s="129"/>
      <c r="Z108" s="125"/>
      <c r="AA108" s="125"/>
      <c r="AB108" s="125"/>
      <c r="AC108" s="125"/>
      <c r="AE108" s="123"/>
      <c r="AF108" s="123"/>
      <c r="AG108" s="123"/>
      <c r="AH108" s="124"/>
      <c r="AI108" s="125"/>
      <c r="AK108" s="123"/>
      <c r="AL108" s="123"/>
      <c r="AM108" s="123"/>
      <c r="AN108" s="124"/>
      <c r="AO108" s="125"/>
      <c r="AQ108" s="123"/>
      <c r="AR108" s="123"/>
      <c r="AS108" s="123"/>
      <c r="AT108" s="124"/>
      <c r="AU108" s="125"/>
      <c r="AW108" s="123"/>
      <c r="AX108" s="123"/>
      <c r="AY108" s="123"/>
      <c r="AZ108" s="124"/>
      <c r="BA108" s="125"/>
    </row>
    <row r="109" spans="1:53" s="97" customFormat="1" ht="17.100000000000001" customHeight="1" x14ac:dyDescent="0.25">
      <c r="A109" s="137"/>
      <c r="B109" s="119"/>
      <c r="C109" s="103" t="s">
        <v>80</v>
      </c>
      <c r="D109" s="85" t="s">
        <v>896</v>
      </c>
      <c r="E109" s="75"/>
      <c r="F109" s="75"/>
      <c r="G109" s="75"/>
      <c r="H109" s="1310"/>
      <c r="I109" s="229"/>
      <c r="J109" s="1309"/>
      <c r="K109" s="1309"/>
      <c r="L109" s="1309"/>
      <c r="M109" s="1309"/>
      <c r="N109" s="1309"/>
      <c r="O109" s="1309"/>
      <c r="P109" s="1309">
        <f>IF(P108&gt;=0.5,1,0)</f>
        <v>0</v>
      </c>
      <c r="Q109" s="1309"/>
      <c r="R109" s="1309"/>
      <c r="S109" s="1309">
        <f>IF(S108&gt;=0.5,1,0)</f>
        <v>0</v>
      </c>
      <c r="T109" s="1309"/>
      <c r="U109" s="1309"/>
      <c r="V109" s="1309">
        <f>IF(V108&gt;=0.5,1,0)</f>
        <v>0</v>
      </c>
      <c r="W109" s="382"/>
      <c r="X109" s="1309"/>
      <c r="Y109" s="1309">
        <f t="shared" ref="Y109" si="109">M109+P109+S109+V109</f>
        <v>0</v>
      </c>
      <c r="Z109" s="91"/>
      <c r="AA109" s="91"/>
      <c r="AB109" s="91"/>
      <c r="AC109" s="84"/>
      <c r="AE109" s="1309"/>
      <c r="AF109" s="1309"/>
      <c r="AG109" s="1309"/>
      <c r="AH109" s="1309"/>
      <c r="AI109" s="91"/>
      <c r="AK109" s="1309"/>
      <c r="AL109" s="1309"/>
      <c r="AM109" s="1309"/>
      <c r="AN109" s="1309"/>
      <c r="AO109" s="91"/>
      <c r="AQ109" s="1309"/>
      <c r="AR109" s="1309"/>
      <c r="AS109" s="1309"/>
      <c r="AT109" s="1309"/>
      <c r="AU109" s="91"/>
      <c r="AW109" s="1309"/>
      <c r="AX109" s="1309"/>
      <c r="AY109" s="1309"/>
      <c r="AZ109" s="1309"/>
      <c r="BA109" s="91"/>
    </row>
    <row r="110" spans="1:53" s="97" customFormat="1" ht="16.5" customHeight="1" x14ac:dyDescent="0.25">
      <c r="A110" s="119"/>
      <c r="B110" s="119"/>
      <c r="C110" s="928"/>
      <c r="D110" s="121" t="s">
        <v>82</v>
      </c>
      <c r="E110" s="122"/>
      <c r="F110" s="122"/>
      <c r="G110" s="122"/>
      <c r="H110" s="928"/>
      <c r="I110" s="229"/>
      <c r="J110" s="123"/>
      <c r="K110" s="123"/>
      <c r="L110" s="123"/>
      <c r="M110" s="123"/>
      <c r="N110" s="123"/>
      <c r="O110" s="123"/>
      <c r="P110" s="123"/>
      <c r="Q110" s="123"/>
      <c r="R110" s="123"/>
      <c r="S110" s="123"/>
      <c r="T110" s="123"/>
      <c r="U110" s="123"/>
      <c r="V110" s="363"/>
      <c r="W110" s="383"/>
      <c r="X110" s="123"/>
      <c r="Y110" s="124"/>
      <c r="Z110" s="125"/>
      <c r="AA110" s="125"/>
      <c r="AB110" s="125"/>
      <c r="AC110" s="125"/>
      <c r="AE110" s="126"/>
      <c r="AF110" s="126"/>
      <c r="AG110" s="126"/>
      <c r="AH110" s="124"/>
      <c r="AI110" s="125"/>
      <c r="AK110" s="126"/>
      <c r="AL110" s="126"/>
      <c r="AM110" s="126"/>
      <c r="AN110" s="124"/>
      <c r="AO110" s="125"/>
      <c r="AQ110" s="126"/>
      <c r="AR110" s="126"/>
      <c r="AS110" s="126"/>
      <c r="AT110" s="124"/>
      <c r="AU110" s="125"/>
      <c r="AW110" s="126"/>
      <c r="AX110" s="126"/>
      <c r="AY110" s="126"/>
      <c r="AZ110" s="124"/>
      <c r="BA110" s="125"/>
    </row>
    <row r="111" spans="1:53" s="97" customFormat="1" ht="17.100000000000001" customHeight="1" x14ac:dyDescent="0.25">
      <c r="A111" s="119"/>
      <c r="B111" s="119"/>
      <c r="C111" s="928"/>
      <c r="D111" s="127" t="s">
        <v>910</v>
      </c>
      <c r="E111" s="122"/>
      <c r="F111" s="122"/>
      <c r="G111" s="122"/>
      <c r="H111" s="928"/>
      <c r="I111" s="229"/>
      <c r="J111" s="123"/>
      <c r="K111" s="123"/>
      <c r="L111" s="123"/>
      <c r="M111" s="123"/>
      <c r="N111" s="123"/>
      <c r="O111" s="123"/>
      <c r="P111" s="129">
        <f>P80</f>
        <v>0</v>
      </c>
      <c r="Q111" s="123"/>
      <c r="R111" s="123"/>
      <c r="S111" s="129">
        <f>S80</f>
        <v>0</v>
      </c>
      <c r="T111" s="123"/>
      <c r="U111" s="123"/>
      <c r="V111" s="129">
        <f>V80</f>
        <v>0</v>
      </c>
      <c r="W111" s="383"/>
      <c r="X111" s="123"/>
      <c r="Y111" s="124"/>
      <c r="Z111" s="125"/>
      <c r="AA111" s="125"/>
      <c r="AB111" s="125"/>
      <c r="AC111" s="125"/>
      <c r="AE111" s="126"/>
      <c r="AF111" s="126"/>
      <c r="AG111" s="126"/>
      <c r="AH111" s="124"/>
      <c r="AI111" s="125"/>
      <c r="AK111" s="126"/>
      <c r="AL111" s="126"/>
      <c r="AM111" s="126"/>
      <c r="AN111" s="124"/>
      <c r="AO111" s="125"/>
      <c r="AQ111" s="126"/>
      <c r="AR111" s="126"/>
      <c r="AS111" s="126"/>
      <c r="AT111" s="124"/>
      <c r="AU111" s="125"/>
      <c r="AW111" s="126"/>
      <c r="AX111" s="126"/>
      <c r="AY111" s="126"/>
      <c r="AZ111" s="124"/>
      <c r="BA111" s="125"/>
    </row>
    <row r="112" spans="1:53" s="97" customFormat="1" ht="17.100000000000001" customHeight="1" x14ac:dyDescent="0.25">
      <c r="A112" s="119"/>
      <c r="B112" s="119"/>
      <c r="C112" s="928"/>
      <c r="D112" s="127" t="s">
        <v>83</v>
      </c>
      <c r="E112" s="122"/>
      <c r="F112" s="122"/>
      <c r="G112" s="122"/>
      <c r="H112" s="928"/>
      <c r="I112" s="229"/>
      <c r="J112" s="123"/>
      <c r="K112" s="123"/>
      <c r="L112" s="123"/>
      <c r="M112" s="123"/>
      <c r="N112" s="123"/>
      <c r="O112" s="123"/>
      <c r="P112" s="129">
        <f t="shared" ref="P112:P114" si="110">P85</f>
        <v>0</v>
      </c>
      <c r="Q112" s="123"/>
      <c r="R112" s="123"/>
      <c r="S112" s="129">
        <f>S85</f>
        <v>0</v>
      </c>
      <c r="T112" s="123"/>
      <c r="U112" s="123"/>
      <c r="V112" s="129">
        <f>V85</f>
        <v>0</v>
      </c>
      <c r="W112" s="383"/>
      <c r="X112" s="123"/>
      <c r="Y112" s="129"/>
      <c r="Z112" s="125"/>
      <c r="AA112" s="125"/>
      <c r="AB112" s="125"/>
      <c r="AC112" s="125"/>
      <c r="AE112" s="123"/>
      <c r="AF112" s="123"/>
      <c r="AG112" s="123"/>
      <c r="AH112" s="124"/>
      <c r="AI112" s="125"/>
      <c r="AK112" s="123"/>
      <c r="AL112" s="123"/>
      <c r="AM112" s="123"/>
      <c r="AN112" s="124"/>
      <c r="AO112" s="125"/>
      <c r="AQ112" s="123"/>
      <c r="AR112" s="123"/>
      <c r="AS112" s="123"/>
      <c r="AT112" s="124"/>
      <c r="AU112" s="125"/>
      <c r="AW112" s="123"/>
      <c r="AX112" s="123"/>
      <c r="AY112" s="123"/>
      <c r="AZ112" s="124"/>
      <c r="BA112" s="125"/>
    </row>
    <row r="113" spans="1:53" s="97" customFormat="1" ht="17.100000000000001" customHeight="1" x14ac:dyDescent="0.25">
      <c r="A113" s="119"/>
      <c r="B113" s="119"/>
      <c r="C113" s="928"/>
      <c r="D113" s="127" t="s">
        <v>84</v>
      </c>
      <c r="E113" s="122"/>
      <c r="F113" s="122"/>
      <c r="G113" s="122"/>
      <c r="H113" s="928"/>
      <c r="I113" s="229"/>
      <c r="J113" s="123"/>
      <c r="K113" s="123"/>
      <c r="L113" s="123"/>
      <c r="M113" s="123"/>
      <c r="N113" s="123"/>
      <c r="O113" s="123"/>
      <c r="P113" s="129">
        <f t="shared" si="110"/>
        <v>0</v>
      </c>
      <c r="Q113" s="123"/>
      <c r="R113" s="123"/>
      <c r="S113" s="129">
        <f>S86</f>
        <v>0</v>
      </c>
      <c r="T113" s="123"/>
      <c r="U113" s="123"/>
      <c r="V113" s="129">
        <f>V86</f>
        <v>0</v>
      </c>
      <c r="W113" s="383"/>
      <c r="X113" s="123"/>
      <c r="Y113" s="129"/>
      <c r="Z113" s="125"/>
      <c r="AA113" s="125"/>
      <c r="AB113" s="125"/>
      <c r="AC113" s="125"/>
      <c r="AE113" s="123"/>
      <c r="AF113" s="123"/>
      <c r="AG113" s="123"/>
      <c r="AH113" s="124"/>
      <c r="AI113" s="125"/>
      <c r="AK113" s="123"/>
      <c r="AL113" s="123"/>
      <c r="AM113" s="123"/>
      <c r="AN113" s="124"/>
      <c r="AO113" s="125"/>
      <c r="AQ113" s="123"/>
      <c r="AR113" s="123"/>
      <c r="AS113" s="123"/>
      <c r="AT113" s="124"/>
      <c r="AU113" s="125"/>
      <c r="AW113" s="123"/>
      <c r="AX113" s="123"/>
      <c r="AY113" s="123"/>
      <c r="AZ113" s="124"/>
      <c r="BA113" s="125"/>
    </row>
    <row r="114" spans="1:53" s="97" customFormat="1" ht="17.100000000000001" customHeight="1" x14ac:dyDescent="0.25">
      <c r="A114" s="119"/>
      <c r="B114" s="119"/>
      <c r="C114" s="928"/>
      <c r="D114" s="127" t="s">
        <v>85</v>
      </c>
      <c r="E114" s="122"/>
      <c r="F114" s="122"/>
      <c r="G114" s="122"/>
      <c r="H114" s="928"/>
      <c r="I114" s="229"/>
      <c r="J114" s="123"/>
      <c r="K114" s="123"/>
      <c r="L114" s="123"/>
      <c r="M114" s="123"/>
      <c r="N114" s="123"/>
      <c r="O114" s="123"/>
      <c r="P114" s="129">
        <f t="shared" si="110"/>
        <v>0</v>
      </c>
      <c r="Q114" s="123"/>
      <c r="R114" s="123"/>
      <c r="S114" s="129">
        <f>S87</f>
        <v>0</v>
      </c>
      <c r="T114" s="123"/>
      <c r="U114" s="123"/>
      <c r="V114" s="129">
        <f>V87</f>
        <v>0</v>
      </c>
      <c r="W114" s="383"/>
      <c r="X114" s="123"/>
      <c r="Y114" s="129"/>
      <c r="Z114" s="125"/>
      <c r="AA114" s="125"/>
      <c r="AB114" s="125"/>
      <c r="AC114" s="125"/>
      <c r="AE114" s="123"/>
      <c r="AF114" s="123"/>
      <c r="AG114" s="123"/>
      <c r="AH114" s="124"/>
      <c r="AI114" s="125"/>
      <c r="AK114" s="123"/>
      <c r="AL114" s="123"/>
      <c r="AM114" s="123"/>
      <c r="AN114" s="124"/>
      <c r="AO114" s="125"/>
      <c r="AQ114" s="123"/>
      <c r="AR114" s="123"/>
      <c r="AS114" s="123"/>
      <c r="AT114" s="124"/>
      <c r="AU114" s="125"/>
      <c r="AW114" s="123"/>
      <c r="AX114" s="123"/>
      <c r="AY114" s="123"/>
      <c r="AZ114" s="124"/>
      <c r="BA114" s="125"/>
    </row>
    <row r="115" spans="1:53" s="97" customFormat="1" ht="17.100000000000001" customHeight="1" x14ac:dyDescent="0.25">
      <c r="A115" s="119"/>
      <c r="B115" s="119"/>
      <c r="C115" s="103" t="s">
        <v>86</v>
      </c>
      <c r="D115" s="85" t="s">
        <v>907</v>
      </c>
      <c r="E115" s="75"/>
      <c r="F115" s="75"/>
      <c r="G115" s="75"/>
      <c r="H115" s="540"/>
      <c r="I115" s="229"/>
      <c r="J115" s="545"/>
      <c r="K115" s="545"/>
      <c r="L115" s="545"/>
      <c r="M115" s="545"/>
      <c r="N115" s="545"/>
      <c r="O115" s="545"/>
      <c r="P115" s="545"/>
      <c r="Q115" s="545"/>
      <c r="R115" s="545"/>
      <c r="S115" s="545"/>
      <c r="T115" s="545"/>
      <c r="U115" s="545"/>
      <c r="V115" s="545"/>
      <c r="W115" s="385"/>
      <c r="X115" s="545"/>
      <c r="Y115" s="545"/>
      <c r="Z115" s="131"/>
      <c r="AA115" s="131"/>
      <c r="AB115" s="131"/>
      <c r="AC115" s="113"/>
      <c r="AE115" s="539"/>
      <c r="AF115" s="539"/>
      <c r="AG115" s="539"/>
      <c r="AH115" s="539"/>
      <c r="AI115" s="91"/>
      <c r="AK115" s="539"/>
      <c r="AL115" s="539"/>
      <c r="AM115" s="539"/>
      <c r="AN115" s="539"/>
      <c r="AO115" s="91"/>
      <c r="AQ115" s="539"/>
      <c r="AR115" s="539"/>
      <c r="AS115" s="539"/>
      <c r="AT115" s="539"/>
      <c r="AU115" s="91"/>
      <c r="AW115" s="539"/>
      <c r="AX115" s="539"/>
      <c r="AY115" s="539"/>
      <c r="AZ115" s="539"/>
      <c r="BA115" s="91"/>
    </row>
    <row r="116" spans="1:53" s="97" customFormat="1" ht="17.100000000000001" customHeight="1" x14ac:dyDescent="0.25">
      <c r="A116" s="119"/>
      <c r="B116" s="119"/>
      <c r="C116" s="119"/>
      <c r="D116" s="74" t="s">
        <v>905</v>
      </c>
      <c r="E116" s="75" t="s">
        <v>908</v>
      </c>
      <c r="F116" s="75"/>
      <c r="G116" s="75"/>
      <c r="H116" s="540"/>
      <c r="I116" s="229"/>
      <c r="J116" s="539"/>
      <c r="K116" s="539"/>
      <c r="L116" s="539"/>
      <c r="M116" s="539"/>
      <c r="N116" s="539"/>
      <c r="O116" s="539"/>
      <c r="P116" s="539">
        <f>IF(SUM(P111:P112)&gt;=1,1,0)</f>
        <v>0</v>
      </c>
      <c r="Q116" s="539"/>
      <c r="R116" s="539"/>
      <c r="S116" s="539">
        <f>IF(SUM(S111:S112)&gt;=1,1,0)</f>
        <v>0</v>
      </c>
      <c r="T116" s="539"/>
      <c r="U116" s="539"/>
      <c r="V116" s="539">
        <f>IF(SUM(V111:V112)&gt;=1,1,0)</f>
        <v>0</v>
      </c>
      <c r="W116" s="382"/>
      <c r="X116" s="539"/>
      <c r="Y116" s="539">
        <f t="shared" ref="Y116:Y121" si="111">M116+P116+S116+V116</f>
        <v>0</v>
      </c>
      <c r="Z116" s="91"/>
      <c r="AA116" s="91"/>
      <c r="AB116" s="91"/>
      <c r="AC116" s="84"/>
      <c r="AE116" s="539"/>
      <c r="AF116" s="539"/>
      <c r="AG116" s="539"/>
      <c r="AH116" s="539"/>
      <c r="AI116" s="91"/>
      <c r="AK116" s="539"/>
      <c r="AL116" s="539"/>
      <c r="AM116" s="539"/>
      <c r="AN116" s="539"/>
      <c r="AO116" s="91"/>
      <c r="AQ116" s="539"/>
      <c r="AR116" s="539"/>
      <c r="AS116" s="539"/>
      <c r="AT116" s="539"/>
      <c r="AU116" s="91"/>
      <c r="AW116" s="539"/>
      <c r="AX116" s="539"/>
      <c r="AY116" s="539"/>
      <c r="AZ116" s="539"/>
      <c r="BA116" s="91"/>
    </row>
    <row r="117" spans="1:53" s="97" customFormat="1" ht="17.100000000000001" customHeight="1" x14ac:dyDescent="0.25">
      <c r="A117" s="119"/>
      <c r="B117" s="119"/>
      <c r="C117" s="119"/>
      <c r="D117" s="74" t="s">
        <v>906</v>
      </c>
      <c r="E117" s="75" t="s">
        <v>909</v>
      </c>
      <c r="F117" s="75"/>
      <c r="G117" s="75"/>
      <c r="H117" s="540"/>
      <c r="I117" s="229"/>
      <c r="J117" s="539"/>
      <c r="K117" s="539"/>
      <c r="L117" s="539"/>
      <c r="M117" s="539"/>
      <c r="N117" s="539"/>
      <c r="O117" s="539"/>
      <c r="P117" s="539">
        <f>IF(SUM(P113:P114)&gt;=1,1,0)</f>
        <v>0</v>
      </c>
      <c r="Q117" s="539"/>
      <c r="R117" s="539"/>
      <c r="S117" s="539">
        <f>IF(SUM(S113:S114)&gt;=1,1,0)</f>
        <v>0</v>
      </c>
      <c r="T117" s="539"/>
      <c r="U117" s="539"/>
      <c r="V117" s="539">
        <f>IF(SUM(V113:V114)&gt;=1,1,0)</f>
        <v>0</v>
      </c>
      <c r="W117" s="382"/>
      <c r="X117" s="539"/>
      <c r="Y117" s="539">
        <f t="shared" si="111"/>
        <v>0</v>
      </c>
      <c r="Z117" s="91"/>
      <c r="AA117" s="91"/>
      <c r="AB117" s="91"/>
      <c r="AC117" s="84"/>
      <c r="AE117" s="539"/>
      <c r="AF117" s="539"/>
      <c r="AG117" s="539"/>
      <c r="AH117" s="539"/>
      <c r="AI117" s="91"/>
      <c r="AK117" s="539"/>
      <c r="AL117" s="539"/>
      <c r="AM117" s="539"/>
      <c r="AN117" s="539"/>
      <c r="AO117" s="91"/>
      <c r="AQ117" s="539"/>
      <c r="AR117" s="539"/>
      <c r="AS117" s="539"/>
      <c r="AT117" s="539"/>
      <c r="AU117" s="91"/>
      <c r="AW117" s="539"/>
      <c r="AX117" s="539"/>
      <c r="AY117" s="539"/>
      <c r="AZ117" s="539"/>
      <c r="BA117" s="91"/>
    </row>
    <row r="118" spans="1:53" s="97" customFormat="1" ht="17.100000000000001" customHeight="1" x14ac:dyDescent="0.25">
      <c r="A118" s="119"/>
      <c r="B118" s="119"/>
      <c r="C118" s="540"/>
      <c r="D118" s="121" t="s">
        <v>88</v>
      </c>
      <c r="E118" s="122"/>
      <c r="F118" s="122"/>
      <c r="G118" s="122"/>
      <c r="H118" s="540"/>
      <c r="I118" s="229"/>
      <c r="J118" s="123"/>
      <c r="K118" s="123"/>
      <c r="L118" s="123"/>
      <c r="M118" s="123"/>
      <c r="N118" s="123"/>
      <c r="O118" s="123"/>
      <c r="P118" s="123"/>
      <c r="Q118" s="123"/>
      <c r="R118" s="123"/>
      <c r="S118" s="123"/>
      <c r="T118" s="123"/>
      <c r="U118" s="123"/>
      <c r="V118" s="363"/>
      <c r="W118" s="383"/>
      <c r="X118" s="123"/>
      <c r="Y118" s="124"/>
      <c r="Z118" s="125"/>
      <c r="AA118" s="125"/>
      <c r="AB118" s="125"/>
      <c r="AC118" s="125"/>
      <c r="AE118" s="126"/>
      <c r="AF118" s="126"/>
      <c r="AG118" s="126"/>
      <c r="AH118" s="124"/>
      <c r="AI118" s="125"/>
      <c r="AK118" s="126"/>
      <c r="AL118" s="126"/>
      <c r="AM118" s="126"/>
      <c r="AN118" s="124"/>
      <c r="AO118" s="125"/>
      <c r="AQ118" s="126"/>
      <c r="AR118" s="126"/>
      <c r="AS118" s="126"/>
      <c r="AT118" s="124"/>
      <c r="AU118" s="125"/>
      <c r="AW118" s="126"/>
      <c r="AX118" s="126"/>
      <c r="AY118" s="126"/>
      <c r="AZ118" s="124"/>
      <c r="BA118" s="125"/>
    </row>
    <row r="119" spans="1:53" s="97" customFormat="1" ht="17.100000000000001" customHeight="1" x14ac:dyDescent="0.25">
      <c r="A119" s="119"/>
      <c r="B119" s="119"/>
      <c r="C119" s="540"/>
      <c r="D119" s="127" t="s">
        <v>90</v>
      </c>
      <c r="E119" s="122"/>
      <c r="F119" s="122"/>
      <c r="G119" s="279"/>
      <c r="H119" s="540"/>
      <c r="I119" s="229"/>
      <c r="J119" s="123"/>
      <c r="K119" s="123"/>
      <c r="L119" s="123"/>
      <c r="M119" s="123"/>
      <c r="N119" s="123"/>
      <c r="O119" s="123"/>
      <c r="P119" s="123">
        <f>P92</f>
        <v>1</v>
      </c>
      <c r="Q119" s="123"/>
      <c r="R119" s="123"/>
      <c r="S119" s="123">
        <f>S92</f>
        <v>0</v>
      </c>
      <c r="T119" s="123"/>
      <c r="U119" s="123"/>
      <c r="V119" s="123">
        <f>V92</f>
        <v>0</v>
      </c>
      <c r="W119" s="383"/>
      <c r="X119" s="123"/>
      <c r="Y119" s="123">
        <f t="shared" si="111"/>
        <v>1</v>
      </c>
      <c r="Z119" s="125"/>
      <c r="AA119" s="125"/>
      <c r="AB119" s="125"/>
      <c r="AC119" s="125"/>
      <c r="AE119" s="123"/>
      <c r="AF119" s="123"/>
      <c r="AG119" s="123"/>
      <c r="AH119" s="124"/>
      <c r="AI119" s="125"/>
      <c r="AK119" s="123"/>
      <c r="AL119" s="123"/>
      <c r="AM119" s="123"/>
      <c r="AN119" s="124"/>
      <c r="AO119" s="125"/>
      <c r="AQ119" s="123"/>
      <c r="AR119" s="123"/>
      <c r="AS119" s="123"/>
      <c r="AT119" s="124"/>
      <c r="AU119" s="125"/>
      <c r="AW119" s="123"/>
      <c r="AX119" s="123"/>
      <c r="AY119" s="123"/>
      <c r="AZ119" s="124"/>
      <c r="BA119" s="125"/>
    </row>
    <row r="120" spans="1:53" s="97" customFormat="1" ht="17.100000000000001" customHeight="1" x14ac:dyDescent="0.25">
      <c r="A120" s="119"/>
      <c r="B120" s="119"/>
      <c r="C120" s="540"/>
      <c r="D120" s="127" t="s">
        <v>89</v>
      </c>
      <c r="E120" s="122"/>
      <c r="F120" s="128"/>
      <c r="G120" s="279"/>
      <c r="H120" s="540"/>
      <c r="I120" s="229"/>
      <c r="J120" s="123"/>
      <c r="K120" s="123"/>
      <c r="L120" s="123"/>
      <c r="M120" s="123"/>
      <c r="N120" s="123"/>
      <c r="O120" s="123"/>
      <c r="P120" s="123">
        <f>SUM(P93:P95)</f>
        <v>0</v>
      </c>
      <c r="Q120" s="123"/>
      <c r="R120" s="123"/>
      <c r="S120" s="123">
        <f>SUM(S93:S95)</f>
        <v>1</v>
      </c>
      <c r="T120" s="123"/>
      <c r="U120" s="123"/>
      <c r="V120" s="123">
        <f>SUM(V93:V95)</f>
        <v>0</v>
      </c>
      <c r="W120" s="383"/>
      <c r="X120" s="123"/>
      <c r="Y120" s="123">
        <f t="shared" si="111"/>
        <v>1</v>
      </c>
      <c r="Z120" s="125"/>
      <c r="AA120" s="125"/>
      <c r="AB120" s="125"/>
      <c r="AC120" s="125"/>
      <c r="AE120" s="123"/>
      <c r="AF120" s="123"/>
      <c r="AG120" s="123"/>
      <c r="AH120" s="124"/>
      <c r="AI120" s="125"/>
      <c r="AK120" s="123"/>
      <c r="AL120" s="123"/>
      <c r="AM120" s="123"/>
      <c r="AN120" s="124"/>
      <c r="AO120" s="125"/>
      <c r="AQ120" s="123"/>
      <c r="AR120" s="123"/>
      <c r="AS120" s="123"/>
      <c r="AT120" s="124"/>
      <c r="AU120" s="125"/>
      <c r="AW120" s="123"/>
      <c r="AX120" s="123"/>
      <c r="AY120" s="123"/>
      <c r="AZ120" s="124"/>
      <c r="BA120" s="125"/>
    </row>
    <row r="121" spans="1:53" s="97" customFormat="1" ht="17.100000000000001" customHeight="1" x14ac:dyDescent="0.25">
      <c r="A121" s="119"/>
      <c r="B121" s="119"/>
      <c r="C121" s="540"/>
      <c r="D121" s="127" t="s">
        <v>91</v>
      </c>
      <c r="E121" s="122"/>
      <c r="F121" s="122"/>
      <c r="G121" s="279"/>
      <c r="H121" s="540"/>
      <c r="I121" s="229"/>
      <c r="J121" s="129"/>
      <c r="K121" s="129"/>
      <c r="L121" s="129"/>
      <c r="M121" s="129"/>
      <c r="N121" s="129"/>
      <c r="O121" s="129"/>
      <c r="P121" s="129">
        <f t="shared" ref="P121" si="112">IF(P119=1,0,IF(P120=1,1,0))</f>
        <v>0</v>
      </c>
      <c r="Q121" s="129"/>
      <c r="R121" s="129"/>
      <c r="S121" s="129">
        <f t="shared" ref="S121" si="113">IF(S119=1,0,IF(S120=1,1,0))</f>
        <v>1</v>
      </c>
      <c r="T121" s="129"/>
      <c r="U121" s="129"/>
      <c r="V121" s="129">
        <f t="shared" ref="V121" si="114">IF(V119=1,0,IF(V120=1,1,0))</f>
        <v>0</v>
      </c>
      <c r="W121" s="384"/>
      <c r="X121" s="129"/>
      <c r="Y121" s="129">
        <f t="shared" si="111"/>
        <v>1</v>
      </c>
      <c r="Z121" s="130"/>
      <c r="AA121" s="130"/>
      <c r="AB121" s="130"/>
      <c r="AC121" s="125"/>
      <c r="AE121" s="129"/>
      <c r="AF121" s="129"/>
      <c r="AG121" s="129"/>
      <c r="AH121" s="129"/>
      <c r="AI121" s="130"/>
      <c r="AK121" s="129"/>
      <c r="AL121" s="129"/>
      <c r="AM121" s="129"/>
      <c r="AN121" s="129"/>
      <c r="AO121" s="130"/>
      <c r="AQ121" s="129"/>
      <c r="AR121" s="129"/>
      <c r="AS121" s="129"/>
      <c r="AT121" s="129"/>
      <c r="AU121" s="130"/>
      <c r="AW121" s="129"/>
      <c r="AX121" s="129"/>
      <c r="AY121" s="129"/>
      <c r="AZ121" s="129"/>
      <c r="BA121" s="130"/>
    </row>
    <row r="122" spans="1:53" s="97" customFormat="1" ht="17.100000000000001" customHeight="1" x14ac:dyDescent="0.25">
      <c r="A122" s="119"/>
      <c r="B122" s="119"/>
      <c r="C122" s="103" t="s">
        <v>92</v>
      </c>
      <c r="D122" s="85" t="s">
        <v>914</v>
      </c>
      <c r="E122" s="75"/>
      <c r="F122" s="75"/>
      <c r="G122" s="75"/>
      <c r="H122" s="540"/>
      <c r="I122" s="229"/>
      <c r="J122" s="539"/>
      <c r="K122" s="539"/>
      <c r="L122" s="539"/>
      <c r="M122" s="539"/>
      <c r="N122" s="539"/>
      <c r="O122" s="539"/>
      <c r="P122" s="539">
        <f>P121</f>
        <v>0</v>
      </c>
      <c r="Q122" s="539"/>
      <c r="R122" s="539"/>
      <c r="S122" s="539">
        <f>S121</f>
        <v>1</v>
      </c>
      <c r="T122" s="539"/>
      <c r="U122" s="539"/>
      <c r="V122" s="539">
        <f>V121</f>
        <v>0</v>
      </c>
      <c r="W122" s="382"/>
      <c r="X122" s="539"/>
      <c r="Y122" s="539">
        <f>SUM(J122:X122)</f>
        <v>1</v>
      </c>
      <c r="Z122" s="91"/>
      <c r="AA122" s="91"/>
      <c r="AB122" s="91"/>
      <c r="AC122" s="84"/>
      <c r="AE122" s="539"/>
      <c r="AF122" s="539"/>
      <c r="AG122" s="539"/>
      <c r="AH122" s="539"/>
      <c r="AI122" s="91"/>
      <c r="AK122" s="539"/>
      <c r="AL122" s="539"/>
      <c r="AM122" s="539"/>
      <c r="AN122" s="539"/>
      <c r="AO122" s="91"/>
      <c r="AQ122" s="539"/>
      <c r="AR122" s="539"/>
      <c r="AS122" s="539"/>
      <c r="AT122" s="539"/>
      <c r="AU122" s="91"/>
      <c r="AW122" s="539"/>
      <c r="AX122" s="539"/>
      <c r="AY122" s="539"/>
      <c r="AZ122" s="539"/>
      <c r="BA122" s="91"/>
    </row>
    <row r="123" spans="1:53" s="97" customFormat="1" ht="17.100000000000001" customHeight="1" x14ac:dyDescent="0.25">
      <c r="A123" s="119"/>
      <c r="B123" s="119"/>
      <c r="C123" s="103" t="s">
        <v>93</v>
      </c>
      <c r="D123" s="85" t="s">
        <v>94</v>
      </c>
      <c r="E123" s="75"/>
      <c r="F123" s="75"/>
      <c r="G123" s="75"/>
      <c r="H123" s="928"/>
      <c r="I123" s="229"/>
      <c r="J123" s="932"/>
      <c r="K123" s="932"/>
      <c r="L123" s="932"/>
      <c r="M123" s="932"/>
      <c r="N123" s="932"/>
      <c r="O123" s="932"/>
      <c r="P123" s="932"/>
      <c r="Q123" s="932"/>
      <c r="R123" s="932"/>
      <c r="S123" s="932"/>
      <c r="T123" s="932"/>
      <c r="U123" s="932"/>
      <c r="V123" s="364"/>
      <c r="W123" s="385"/>
      <c r="X123" s="932"/>
      <c r="Y123" s="932"/>
      <c r="Z123" s="131"/>
      <c r="AA123" s="131"/>
      <c r="AB123" s="131"/>
      <c r="AC123" s="113"/>
      <c r="AE123" s="114"/>
      <c r="AF123" s="114"/>
      <c r="AG123" s="114"/>
      <c r="AH123" s="112"/>
      <c r="AI123" s="113"/>
      <c r="AK123" s="114"/>
      <c r="AL123" s="114"/>
      <c r="AM123" s="114"/>
      <c r="AN123" s="112"/>
      <c r="AO123" s="113"/>
      <c r="AQ123" s="114"/>
      <c r="AR123" s="114"/>
      <c r="AS123" s="114"/>
      <c r="AT123" s="112"/>
      <c r="AU123" s="113"/>
      <c r="AW123" s="114"/>
      <c r="AX123" s="114"/>
      <c r="AY123" s="114"/>
      <c r="AZ123" s="112"/>
      <c r="BA123" s="113"/>
    </row>
    <row r="124" spans="1:53" s="97" customFormat="1" ht="17.100000000000001" customHeight="1" x14ac:dyDescent="0.25">
      <c r="A124" s="137"/>
      <c r="B124" s="119"/>
      <c r="C124" s="132"/>
      <c r="D124" s="133" t="s">
        <v>95</v>
      </c>
      <c r="E124" s="134"/>
      <c r="F124" s="134"/>
      <c r="G124" s="134"/>
      <c r="H124" s="928"/>
      <c r="I124" s="229"/>
      <c r="J124" s="82"/>
      <c r="K124" s="82" t="str">
        <f>IF(SUM(K30:K32)=1,1-SUM(K125:K127),"")</f>
        <v/>
      </c>
      <c r="L124" s="82" t="str">
        <f>IF(SUM(L30:L32)=1,1-SUM(L125:L127),"")</f>
        <v/>
      </c>
      <c r="M124" s="82"/>
      <c r="N124" s="82"/>
      <c r="O124" s="82"/>
      <c r="P124" s="82">
        <f>IF(P20=0,0,IF(P109+P116+P117+P122=0,1,0))</f>
        <v>1</v>
      </c>
      <c r="Q124" s="82"/>
      <c r="R124" s="82"/>
      <c r="S124" s="82">
        <f>IF(S20=0,0,IF(S109+S116+S117+S122=0,1,0))</f>
        <v>0</v>
      </c>
      <c r="T124" s="82"/>
      <c r="U124" s="82"/>
      <c r="V124" s="82">
        <f>IF(V20=0,0,IF(V109+V116+V117+V122=0,1,0))</f>
        <v>0</v>
      </c>
      <c r="W124" s="381"/>
      <c r="X124" s="82" t="str">
        <f>IF(SUM(X30:X32)=1,1-SUM(X125:X127),"")</f>
        <v/>
      </c>
      <c r="Y124" s="82">
        <f>P124+S124+V124</f>
        <v>1</v>
      </c>
      <c r="Z124" s="66">
        <f>IF(Y$128=0,0,Y124/Y$128)</f>
        <v>0.5</v>
      </c>
      <c r="AA124" s="66"/>
      <c r="AB124" s="66"/>
      <c r="AC124" s="83"/>
      <c r="AE124" s="82"/>
      <c r="AF124" s="82"/>
      <c r="AG124" s="82"/>
      <c r="AH124" s="82"/>
      <c r="AI124" s="66"/>
      <c r="AK124" s="82"/>
      <c r="AL124" s="82"/>
      <c r="AM124" s="82"/>
      <c r="AN124" s="82"/>
      <c r="AO124" s="66"/>
      <c r="AQ124" s="82"/>
      <c r="AR124" s="82"/>
      <c r="AS124" s="82"/>
      <c r="AT124" s="82"/>
      <c r="AU124" s="66"/>
      <c r="AW124" s="82"/>
      <c r="AX124" s="82"/>
      <c r="AY124" s="82"/>
      <c r="AZ124" s="82"/>
      <c r="BA124" s="66"/>
    </row>
    <row r="125" spans="1:53" s="97" customFormat="1" ht="17.100000000000001" customHeight="1" x14ac:dyDescent="0.25">
      <c r="A125" s="119"/>
      <c r="B125" s="119"/>
      <c r="C125" s="135"/>
      <c r="D125" s="133" t="s">
        <v>96</v>
      </c>
      <c r="E125" s="134"/>
      <c r="F125" s="134"/>
      <c r="G125" s="134"/>
      <c r="H125" s="928"/>
      <c r="I125" s="229"/>
      <c r="J125" s="82"/>
      <c r="K125" s="82"/>
      <c r="L125" s="82"/>
      <c r="M125" s="82"/>
      <c r="N125" s="82"/>
      <c r="O125" s="82"/>
      <c r="P125" s="82">
        <f>IF(P109+P116+P117+P122=1,1,0)</f>
        <v>0</v>
      </c>
      <c r="Q125" s="82"/>
      <c r="R125" s="82"/>
      <c r="S125" s="82">
        <f>IF(S109+S116+S117+S122=1,1,0)</f>
        <v>1</v>
      </c>
      <c r="T125" s="82"/>
      <c r="U125" s="82"/>
      <c r="V125" s="82">
        <f>IF(V109+V116+V117+V122=1,1,0)</f>
        <v>0</v>
      </c>
      <c r="W125" s="381"/>
      <c r="X125" s="82"/>
      <c r="Y125" s="82">
        <f t="shared" ref="Y125:Y127" si="115">P125+S125+V125</f>
        <v>1</v>
      </c>
      <c r="Z125" s="66">
        <f>IF(Y$128=0,0,Y125/Y$128)</f>
        <v>0.5</v>
      </c>
      <c r="AA125" s="66"/>
      <c r="AB125" s="66"/>
      <c r="AC125" s="83"/>
      <c r="AE125" s="82"/>
      <c r="AF125" s="82"/>
      <c r="AG125" s="82"/>
      <c r="AH125" s="82"/>
      <c r="AI125" s="66"/>
      <c r="AK125" s="82"/>
      <c r="AL125" s="82"/>
      <c r="AM125" s="82"/>
      <c r="AN125" s="82"/>
      <c r="AO125" s="66"/>
      <c r="AQ125" s="82"/>
      <c r="AR125" s="82"/>
      <c r="AS125" s="82"/>
      <c r="AT125" s="82"/>
      <c r="AU125" s="66"/>
      <c r="AW125" s="82"/>
      <c r="AX125" s="82"/>
      <c r="AY125" s="82"/>
      <c r="AZ125" s="82"/>
      <c r="BA125" s="66"/>
    </row>
    <row r="126" spans="1:53" s="97" customFormat="1" ht="17.100000000000001" customHeight="1" x14ac:dyDescent="0.25">
      <c r="A126" s="119"/>
      <c r="B126" s="119"/>
      <c r="C126" s="136"/>
      <c r="D126" s="133" t="s">
        <v>97</v>
      </c>
      <c r="E126" s="134"/>
      <c r="F126" s="134"/>
      <c r="G126" s="134"/>
      <c r="H126" s="928"/>
      <c r="I126" s="229"/>
      <c r="J126" s="82"/>
      <c r="K126" s="82"/>
      <c r="L126" s="82"/>
      <c r="M126" s="82"/>
      <c r="N126" s="82"/>
      <c r="O126" s="82"/>
      <c r="P126" s="82">
        <f>IF(P109+P116+P117+P122=2,1,0)</f>
        <v>0</v>
      </c>
      <c r="Q126" s="82"/>
      <c r="R126" s="82"/>
      <c r="S126" s="82">
        <f>IF(S109+S116+S117+S122=2,1,0)</f>
        <v>0</v>
      </c>
      <c r="T126" s="82"/>
      <c r="U126" s="82"/>
      <c r="V126" s="82">
        <f>IF(V109+V116+V117+V122=2,1,0)</f>
        <v>0</v>
      </c>
      <c r="W126" s="381"/>
      <c r="X126" s="82"/>
      <c r="Y126" s="82">
        <f t="shared" si="115"/>
        <v>0</v>
      </c>
      <c r="Z126" s="66">
        <f>IF(Y$128=0,0,Y126/Y$128)</f>
        <v>0</v>
      </c>
      <c r="AA126" s="66"/>
      <c r="AB126" s="66"/>
      <c r="AC126" s="83"/>
      <c r="AE126" s="82"/>
      <c r="AF126" s="82"/>
      <c r="AG126" s="82"/>
      <c r="AH126" s="82"/>
      <c r="AI126" s="66"/>
      <c r="AK126" s="82"/>
      <c r="AL126" s="82"/>
      <c r="AM126" s="82"/>
      <c r="AN126" s="82"/>
      <c r="AO126" s="66"/>
      <c r="AQ126" s="82"/>
      <c r="AR126" s="82"/>
      <c r="AS126" s="82"/>
      <c r="AT126" s="82"/>
      <c r="AU126" s="66"/>
      <c r="AW126" s="82"/>
      <c r="AX126" s="82"/>
      <c r="AY126" s="82"/>
      <c r="AZ126" s="82"/>
      <c r="BA126" s="66"/>
    </row>
    <row r="127" spans="1:53" s="97" customFormat="1" ht="17.100000000000001" customHeight="1" x14ac:dyDescent="0.25">
      <c r="A127" s="119"/>
      <c r="B127" s="119"/>
      <c r="C127" s="137"/>
      <c r="D127" s="133" t="s">
        <v>98</v>
      </c>
      <c r="E127" s="134"/>
      <c r="F127" s="134"/>
      <c r="G127" s="134"/>
      <c r="H127" s="928"/>
      <c r="I127" s="229"/>
      <c r="J127" s="82"/>
      <c r="K127" s="82"/>
      <c r="L127" s="82"/>
      <c r="M127" s="82"/>
      <c r="N127" s="82"/>
      <c r="O127" s="82"/>
      <c r="P127" s="82">
        <f>IF(P109+P116+P117+P122=3,1,0)</f>
        <v>0</v>
      </c>
      <c r="Q127" s="82"/>
      <c r="R127" s="82"/>
      <c r="S127" s="82">
        <f>IF(S109+S116+S117+S122=3,1,0)</f>
        <v>0</v>
      </c>
      <c r="T127" s="82"/>
      <c r="U127" s="82"/>
      <c r="V127" s="82">
        <f>IF(V109+V116+V117+V122=3,1,0)</f>
        <v>0</v>
      </c>
      <c r="W127" s="381"/>
      <c r="X127" s="82"/>
      <c r="Y127" s="82">
        <f t="shared" si="115"/>
        <v>0</v>
      </c>
      <c r="Z127" s="66">
        <f>IF(Y$128=0,0,Y127/Y$128)</f>
        <v>0</v>
      </c>
      <c r="AA127" s="66"/>
      <c r="AB127" s="66"/>
      <c r="AC127" s="83"/>
      <c r="AE127" s="82"/>
      <c r="AF127" s="82"/>
      <c r="AG127" s="82"/>
      <c r="AH127" s="82"/>
      <c r="AI127" s="66"/>
      <c r="AK127" s="82"/>
      <c r="AL127" s="82"/>
      <c r="AM127" s="82"/>
      <c r="AN127" s="82"/>
      <c r="AO127" s="66"/>
      <c r="AQ127" s="82"/>
      <c r="AR127" s="82"/>
      <c r="AS127" s="82"/>
      <c r="AT127" s="82"/>
      <c r="AU127" s="66"/>
      <c r="AW127" s="82"/>
      <c r="AX127" s="82"/>
      <c r="AY127" s="82"/>
      <c r="AZ127" s="82"/>
      <c r="BA127" s="66"/>
    </row>
    <row r="128" spans="1:53" s="97" customFormat="1" ht="17.100000000000001" customHeight="1" x14ac:dyDescent="0.25">
      <c r="A128" s="119"/>
      <c r="B128" s="119"/>
      <c r="C128" s="928"/>
      <c r="D128" s="133"/>
      <c r="E128" s="134"/>
      <c r="F128" s="134"/>
      <c r="G128" s="134"/>
      <c r="H128" s="928"/>
      <c r="I128" s="229"/>
      <c r="J128" s="82"/>
      <c r="K128" s="82"/>
      <c r="L128" s="82"/>
      <c r="M128" s="82"/>
      <c r="N128" s="82"/>
      <c r="O128" s="82"/>
      <c r="P128" s="82"/>
      <c r="Q128" s="82"/>
      <c r="R128" s="82"/>
      <c r="S128" s="82"/>
      <c r="T128" s="82"/>
      <c r="U128" s="82"/>
      <c r="V128" s="360"/>
      <c r="W128" s="381"/>
      <c r="X128" s="82"/>
      <c r="Y128" s="82">
        <f>SUM(Y124:Y127)</f>
        <v>2</v>
      </c>
      <c r="Z128" s="66">
        <f>IF(Y$128=0,0,Y128/Y$128)</f>
        <v>1</v>
      </c>
      <c r="AA128" s="66"/>
      <c r="AB128" s="66"/>
      <c r="AC128" s="83"/>
      <c r="AE128" s="82"/>
      <c r="AF128" s="82"/>
      <c r="AG128" s="82"/>
      <c r="AH128" s="82"/>
      <c r="AI128" s="66"/>
      <c r="AK128" s="82"/>
      <c r="AL128" s="82"/>
      <c r="AM128" s="82"/>
      <c r="AN128" s="82"/>
      <c r="AO128" s="66"/>
      <c r="AQ128" s="82"/>
      <c r="AR128" s="82"/>
      <c r="AS128" s="82"/>
      <c r="AT128" s="82"/>
      <c r="AU128" s="66"/>
      <c r="AW128" s="82"/>
      <c r="AX128" s="82"/>
      <c r="AY128" s="82"/>
      <c r="AZ128" s="82"/>
      <c r="BA128" s="66"/>
    </row>
    <row r="129" spans="1:53" s="97" customFormat="1" ht="17.100000000000001" customHeight="1" x14ac:dyDescent="0.25">
      <c r="A129" s="119"/>
      <c r="B129" s="119"/>
      <c r="C129" s="928"/>
      <c r="D129" s="127" t="s">
        <v>81</v>
      </c>
      <c r="E129" s="122"/>
      <c r="F129" s="122"/>
      <c r="G129" s="122"/>
      <c r="H129" s="928"/>
      <c r="I129" s="229"/>
      <c r="J129" s="123"/>
      <c r="K129" s="123"/>
      <c r="L129" s="123"/>
      <c r="M129" s="123"/>
      <c r="N129" s="123"/>
      <c r="O129" s="123"/>
      <c r="P129" s="123">
        <f t="shared" ref="P129" si="116">P109</f>
        <v>0</v>
      </c>
      <c r="Q129" s="123"/>
      <c r="R129" s="123"/>
      <c r="S129" s="123">
        <f t="shared" ref="S129" si="117">S109</f>
        <v>0</v>
      </c>
      <c r="T129" s="123"/>
      <c r="U129" s="123"/>
      <c r="V129" s="123">
        <f t="shared" ref="V129" si="118">V109</f>
        <v>0</v>
      </c>
      <c r="W129" s="383"/>
      <c r="X129" s="123"/>
      <c r="Y129" s="123">
        <f t="shared" ref="Y129" si="119">Y109</f>
        <v>0</v>
      </c>
      <c r="Z129" s="525"/>
      <c r="AA129" s="125"/>
      <c r="AB129" s="125"/>
      <c r="AC129" s="125"/>
      <c r="AE129" s="123"/>
      <c r="AF129" s="123"/>
      <c r="AG129" s="123"/>
      <c r="AH129" s="124"/>
      <c r="AI129" s="125"/>
      <c r="AK129" s="123"/>
      <c r="AL129" s="123"/>
      <c r="AM129" s="123"/>
      <c r="AN129" s="124"/>
      <c r="AO129" s="125"/>
      <c r="AQ129" s="123"/>
      <c r="AR129" s="123"/>
      <c r="AS129" s="123"/>
      <c r="AT129" s="124"/>
      <c r="AU129" s="125"/>
      <c r="AW129" s="123"/>
      <c r="AX129" s="123"/>
      <c r="AY129" s="123"/>
      <c r="AZ129" s="124"/>
      <c r="BA129" s="125"/>
    </row>
    <row r="130" spans="1:53" s="97" customFormat="1" ht="17.100000000000001" customHeight="1" x14ac:dyDescent="0.25">
      <c r="A130" s="119"/>
      <c r="B130" s="119"/>
      <c r="C130" s="1310"/>
      <c r="D130" s="127" t="s">
        <v>87</v>
      </c>
      <c r="E130" s="122"/>
      <c r="F130" s="122"/>
      <c r="G130" s="122"/>
      <c r="H130" s="1310"/>
      <c r="I130" s="229"/>
      <c r="J130" s="123"/>
      <c r="K130" s="123"/>
      <c r="L130" s="123"/>
      <c r="M130" s="123"/>
      <c r="N130" s="123"/>
      <c r="O130" s="123"/>
      <c r="P130" s="123">
        <f>P116+P117</f>
        <v>0</v>
      </c>
      <c r="Q130" s="123"/>
      <c r="R130" s="123"/>
      <c r="S130" s="123">
        <f>S116+S117</f>
        <v>0</v>
      </c>
      <c r="T130" s="123"/>
      <c r="U130" s="123"/>
      <c r="V130" s="123">
        <f>V116+V117</f>
        <v>0</v>
      </c>
      <c r="W130" s="383"/>
      <c r="X130" s="123"/>
      <c r="Y130" s="123">
        <f>Y116+Y117</f>
        <v>0</v>
      </c>
      <c r="Z130" s="525"/>
      <c r="AA130" s="125"/>
      <c r="AB130" s="125"/>
      <c r="AC130" s="125"/>
      <c r="AE130" s="123"/>
      <c r="AF130" s="123"/>
      <c r="AG130" s="123"/>
      <c r="AH130" s="124"/>
      <c r="AI130" s="125"/>
      <c r="AK130" s="123"/>
      <c r="AL130" s="123"/>
      <c r="AM130" s="123"/>
      <c r="AN130" s="124"/>
      <c r="AO130" s="125"/>
      <c r="AQ130" s="123"/>
      <c r="AR130" s="123"/>
      <c r="AS130" s="123"/>
      <c r="AT130" s="124"/>
      <c r="AU130" s="125"/>
      <c r="AW130" s="123"/>
      <c r="AX130" s="123"/>
      <c r="AY130" s="123"/>
      <c r="AZ130" s="124"/>
      <c r="BA130" s="125"/>
    </row>
    <row r="131" spans="1:53" s="97" customFormat="1" ht="17.100000000000001" customHeight="1" x14ac:dyDescent="0.25">
      <c r="A131" s="119"/>
      <c r="B131" s="119"/>
      <c r="C131" s="928"/>
      <c r="D131" s="127" t="s">
        <v>923</v>
      </c>
      <c r="E131" s="122"/>
      <c r="F131" s="122"/>
      <c r="G131" s="122"/>
      <c r="H131" s="928"/>
      <c r="I131" s="229"/>
      <c r="J131" s="123"/>
      <c r="K131" s="123"/>
      <c r="L131" s="123"/>
      <c r="M131" s="123"/>
      <c r="N131" s="123"/>
      <c r="O131" s="123"/>
      <c r="P131" s="123"/>
      <c r="Q131" s="123"/>
      <c r="R131" s="123"/>
      <c r="S131" s="123"/>
      <c r="T131" s="123"/>
      <c r="U131" s="123"/>
      <c r="V131" s="123"/>
      <c r="W131" s="383"/>
      <c r="X131" s="123"/>
      <c r="Y131" s="123"/>
      <c r="Z131" s="525"/>
      <c r="AA131" s="130"/>
      <c r="AB131" s="130"/>
      <c r="AC131" s="125"/>
      <c r="AE131" s="123"/>
      <c r="AF131" s="123"/>
      <c r="AG131" s="123"/>
      <c r="AH131" s="129"/>
      <c r="AI131" s="130"/>
      <c r="AK131" s="123"/>
      <c r="AL131" s="123"/>
      <c r="AM131" s="123"/>
      <c r="AN131" s="129"/>
      <c r="AO131" s="130"/>
      <c r="AQ131" s="123"/>
      <c r="AR131" s="123"/>
      <c r="AS131" s="123"/>
      <c r="AT131" s="129"/>
      <c r="AU131" s="130"/>
      <c r="AW131" s="123"/>
      <c r="AX131" s="123"/>
      <c r="AY131" s="123"/>
      <c r="AZ131" s="129"/>
      <c r="BA131" s="130"/>
    </row>
    <row r="132" spans="1:53" s="97" customFormat="1" ht="17.100000000000001" customHeight="1" x14ac:dyDescent="0.25">
      <c r="A132" s="119"/>
      <c r="B132" s="119"/>
      <c r="C132" s="928"/>
      <c r="D132" s="127" t="s">
        <v>922</v>
      </c>
      <c r="E132" s="122"/>
      <c r="F132" s="122"/>
      <c r="G132" s="122"/>
      <c r="H132" s="928"/>
      <c r="I132" s="229"/>
      <c r="J132" s="123"/>
      <c r="K132" s="123"/>
      <c r="L132" s="123"/>
      <c r="M132" s="123"/>
      <c r="N132" s="123"/>
      <c r="O132" s="123"/>
      <c r="P132" s="123">
        <f t="shared" ref="P132" si="120">SUM(P129:P131)</f>
        <v>0</v>
      </c>
      <c r="Q132" s="123"/>
      <c r="R132" s="123"/>
      <c r="S132" s="123">
        <f t="shared" ref="S132" si="121">SUM(S129:S131)</f>
        <v>0</v>
      </c>
      <c r="T132" s="123"/>
      <c r="U132" s="123"/>
      <c r="V132" s="123">
        <f t="shared" ref="V132" si="122">SUM(V129:V131)</f>
        <v>0</v>
      </c>
      <c r="W132" s="383"/>
      <c r="X132" s="123"/>
      <c r="Y132" s="123">
        <f t="shared" ref="Y132:Y133" si="123">SUM(Y129:Y131)</f>
        <v>0</v>
      </c>
      <c r="Z132" s="525"/>
      <c r="AA132" s="125"/>
      <c r="AB132" s="125"/>
      <c r="AC132" s="125"/>
      <c r="AE132" s="123"/>
      <c r="AF132" s="123"/>
      <c r="AG132" s="123"/>
      <c r="AH132" s="124"/>
      <c r="AI132" s="125"/>
      <c r="AK132" s="123"/>
      <c r="AL132" s="123"/>
      <c r="AM132" s="123"/>
      <c r="AN132" s="124"/>
      <c r="AO132" s="125"/>
      <c r="AQ132" s="123"/>
      <c r="AR132" s="123"/>
      <c r="AS132" s="123"/>
      <c r="AT132" s="124"/>
      <c r="AU132" s="125"/>
      <c r="AW132" s="123"/>
      <c r="AX132" s="123"/>
      <c r="AY132" s="123"/>
      <c r="AZ132" s="124"/>
      <c r="BA132" s="125"/>
    </row>
    <row r="133" spans="1:53" s="97" customFormat="1" ht="17.100000000000001" customHeight="1" x14ac:dyDescent="0.25">
      <c r="A133" s="119"/>
      <c r="B133" s="119"/>
      <c r="C133" s="103" t="s">
        <v>99</v>
      </c>
      <c r="D133" s="85" t="s">
        <v>921</v>
      </c>
      <c r="E133" s="75"/>
      <c r="F133" s="75"/>
      <c r="G133" s="75"/>
      <c r="H133" s="928"/>
      <c r="I133" s="229"/>
      <c r="J133" s="927"/>
      <c r="K133" s="927"/>
      <c r="L133" s="927"/>
      <c r="M133" s="927"/>
      <c r="N133" s="927"/>
      <c r="O133" s="927"/>
      <c r="P133" s="927">
        <f t="shared" ref="P133" si="124">IF(P132&gt;=1,1,0)</f>
        <v>0</v>
      </c>
      <c r="Q133" s="927"/>
      <c r="R133" s="927"/>
      <c r="S133" s="927">
        <f t="shared" ref="S133" si="125">IF(S132&gt;=1,1,0)</f>
        <v>0</v>
      </c>
      <c r="T133" s="927"/>
      <c r="U133" s="927"/>
      <c r="V133" s="927">
        <f t="shared" ref="V133" si="126">IF(V132&gt;=1,1,0)</f>
        <v>0</v>
      </c>
      <c r="W133" s="382"/>
      <c r="X133" s="927"/>
      <c r="Y133" s="927">
        <f t="shared" si="123"/>
        <v>0</v>
      </c>
      <c r="Z133" s="91"/>
      <c r="AA133" s="91"/>
      <c r="AB133" s="91"/>
      <c r="AC133" s="84"/>
      <c r="AE133" s="927"/>
      <c r="AF133" s="927"/>
      <c r="AG133" s="927"/>
      <c r="AH133" s="927"/>
      <c r="AI133" s="91"/>
      <c r="AK133" s="927"/>
      <c r="AL133" s="927"/>
      <c r="AM133" s="927"/>
      <c r="AN133" s="927"/>
      <c r="AO133" s="91"/>
      <c r="AQ133" s="927"/>
      <c r="AR133" s="927"/>
      <c r="AS133" s="927"/>
      <c r="AT133" s="927"/>
      <c r="AU133" s="91"/>
      <c r="AW133" s="927"/>
      <c r="AX133" s="927"/>
      <c r="AY133" s="927"/>
      <c r="AZ133" s="927"/>
      <c r="BA133" s="91"/>
    </row>
    <row r="134" spans="1:53" s="97" customFormat="1" ht="17.100000000000001" customHeight="1" x14ac:dyDescent="0.25">
      <c r="A134" s="138"/>
      <c r="B134" s="138"/>
      <c r="C134" s="139"/>
      <c r="D134" s="12"/>
      <c r="E134" s="12"/>
      <c r="F134" s="12"/>
      <c r="G134" s="12"/>
      <c r="H134" s="139"/>
      <c r="I134" s="12"/>
      <c r="J134" s="95"/>
      <c r="K134" s="95"/>
      <c r="L134" s="95"/>
      <c r="M134" s="95"/>
      <c r="N134" s="95"/>
      <c r="O134" s="95"/>
      <c r="P134" s="95"/>
      <c r="Q134" s="95"/>
      <c r="R134" s="95"/>
      <c r="S134" s="95"/>
      <c r="T134" s="95"/>
      <c r="U134" s="95"/>
      <c r="V134" s="95"/>
      <c r="W134" s="378"/>
      <c r="X134" s="95"/>
      <c r="Y134" s="96"/>
      <c r="AE134" s="109"/>
      <c r="AF134" s="109"/>
      <c r="AG134" s="109"/>
      <c r="AH134" s="96"/>
      <c r="AK134" s="109"/>
      <c r="AL134" s="109"/>
      <c r="AM134" s="109"/>
      <c r="AN134" s="96"/>
      <c r="AQ134" s="109"/>
      <c r="AR134" s="109"/>
      <c r="AS134" s="109"/>
      <c r="AT134" s="96"/>
      <c r="AW134" s="109"/>
      <c r="AX134" s="109"/>
      <c r="AY134" s="109"/>
      <c r="AZ134" s="96"/>
    </row>
    <row r="135" spans="1:53" s="32" customFormat="1" ht="16.5" thickBot="1" x14ac:dyDescent="0.3">
      <c r="A135" s="24" t="s">
        <v>100</v>
      </c>
      <c r="B135" s="25" t="s">
        <v>101</v>
      </c>
      <c r="C135" s="26"/>
      <c r="D135" s="27"/>
      <c r="E135" s="27"/>
      <c r="F135" s="27"/>
      <c r="G135" s="28"/>
      <c r="H135" s="215"/>
      <c r="I135" s="228"/>
      <c r="J135" s="140"/>
      <c r="K135" s="140"/>
      <c r="L135" s="140"/>
      <c r="M135" s="140"/>
      <c r="N135" s="140"/>
      <c r="O135" s="140"/>
      <c r="P135" s="140"/>
      <c r="Q135" s="140"/>
      <c r="R135" s="140"/>
      <c r="S135" s="140"/>
      <c r="T135" s="140"/>
      <c r="U135" s="140"/>
      <c r="V135" s="365"/>
      <c r="W135" s="379"/>
      <c r="X135" s="140"/>
      <c r="Y135" s="30" t="s">
        <v>4</v>
      </c>
      <c r="Z135" s="31" t="s">
        <v>5</v>
      </c>
      <c r="AA135" s="31" t="s">
        <v>181</v>
      </c>
      <c r="AB135" s="31" t="s">
        <v>182</v>
      </c>
      <c r="AC135" s="31" t="s">
        <v>6</v>
      </c>
      <c r="AE135" s="33" t="s">
        <v>181</v>
      </c>
      <c r="AF135" s="33" t="s">
        <v>182</v>
      </c>
      <c r="AG135" s="33" t="s">
        <v>6</v>
      </c>
      <c r="AH135" s="33" t="s">
        <v>4</v>
      </c>
      <c r="AI135" s="34" t="s">
        <v>5</v>
      </c>
      <c r="AJ135" s="408"/>
      <c r="AK135" s="36" t="s">
        <v>181</v>
      </c>
      <c r="AL135" s="36" t="s">
        <v>182</v>
      </c>
      <c r="AM135" s="36" t="s">
        <v>6</v>
      </c>
      <c r="AN135" s="36" t="s">
        <v>4</v>
      </c>
      <c r="AO135" s="37" t="s">
        <v>5</v>
      </c>
      <c r="AP135" s="408"/>
      <c r="AQ135" s="36"/>
      <c r="AR135" s="36"/>
      <c r="AS135" s="36"/>
      <c r="AT135" s="36"/>
      <c r="AU135" s="37"/>
      <c r="AV135" s="408"/>
      <c r="AW135" s="38" t="s">
        <v>181</v>
      </c>
      <c r="AX135" s="38" t="s">
        <v>182</v>
      </c>
      <c r="AY135" s="38" t="s">
        <v>6</v>
      </c>
      <c r="AZ135" s="38" t="s">
        <v>4</v>
      </c>
      <c r="BA135" s="39" t="s">
        <v>5</v>
      </c>
    </row>
    <row r="136" spans="1:53" ht="17.100000000000001" customHeight="1" x14ac:dyDescent="0.25">
      <c r="A136" s="68"/>
      <c r="B136" s="41" t="s">
        <v>102</v>
      </c>
      <c r="C136" s="69" t="s">
        <v>103</v>
      </c>
      <c r="D136" s="50"/>
      <c r="E136" s="70"/>
      <c r="F136" s="70"/>
      <c r="G136" s="70"/>
      <c r="H136" s="263">
        <v>2</v>
      </c>
      <c r="J136" s="71"/>
      <c r="K136" s="71"/>
      <c r="L136" s="71"/>
      <c r="M136" s="71"/>
      <c r="N136" s="71"/>
      <c r="O136" s="71"/>
      <c r="P136" s="71"/>
      <c r="Q136" s="71"/>
      <c r="R136" s="71"/>
      <c r="S136" s="71"/>
      <c r="T136" s="71"/>
      <c r="U136" s="71"/>
      <c r="V136" s="355"/>
      <c r="W136" s="377"/>
      <c r="X136" s="71"/>
      <c r="Y136" s="72"/>
      <c r="Z136" s="73"/>
      <c r="AA136" s="73"/>
      <c r="AB136" s="73"/>
      <c r="AC136" s="73"/>
      <c r="AE136" s="71"/>
      <c r="AF136" s="71"/>
      <c r="AG136" s="71"/>
      <c r="AH136" s="72"/>
      <c r="AI136" s="73"/>
      <c r="AK136" s="71"/>
      <c r="AL136" s="71"/>
      <c r="AM136" s="71"/>
      <c r="AN136" s="72"/>
      <c r="AO136" s="73"/>
      <c r="AQ136" s="71"/>
      <c r="AR136" s="71"/>
      <c r="AS136" s="71"/>
      <c r="AT136" s="72"/>
      <c r="AU136" s="73"/>
      <c r="AW136" s="71"/>
      <c r="AX136" s="71"/>
      <c r="AY136" s="71"/>
      <c r="AZ136" s="72"/>
      <c r="BA136" s="73"/>
    </row>
    <row r="137" spans="1:53" ht="17.100000000000001" customHeight="1" x14ac:dyDescent="0.25">
      <c r="A137" s="40"/>
      <c r="B137" s="40"/>
      <c r="C137" s="74" t="s">
        <v>104</v>
      </c>
      <c r="D137" s="75" t="s">
        <v>404</v>
      </c>
      <c r="E137" s="75"/>
      <c r="F137" s="75"/>
      <c r="G137" s="542"/>
      <c r="H137" s="540"/>
      <c r="I137" s="235"/>
      <c r="J137" s="581">
        <v>14</v>
      </c>
      <c r="K137" s="581">
        <v>11</v>
      </c>
      <c r="L137" s="582">
        <v>225</v>
      </c>
      <c r="M137" s="17">
        <f t="shared" ref="M137:M146" si="127">SUM(J137:L137)</f>
        <v>250</v>
      </c>
      <c r="N137" s="111"/>
      <c r="O137" s="111"/>
      <c r="P137" s="111"/>
      <c r="Q137" s="111"/>
      <c r="R137" s="111"/>
      <c r="S137" s="111"/>
      <c r="T137" s="111"/>
      <c r="U137" s="111"/>
      <c r="V137" s="358"/>
      <c r="W137" s="391">
        <f t="shared" ref="W137:W146" si="128">J137+K137+N137+Q137+T137</f>
        <v>25</v>
      </c>
      <c r="X137" s="17">
        <f t="shared" ref="X137:X146" si="129">L137+O137+R137+U137</f>
        <v>225</v>
      </c>
      <c r="Y137" s="18">
        <f t="shared" ref="Y137:Y146" si="130">SUM(W137:X137)</f>
        <v>250</v>
      </c>
      <c r="Z137" s="19">
        <f>IF(Y$147=0,0,Y137/Y$147)</f>
        <v>20.833333333333332</v>
      </c>
      <c r="AA137" s="19"/>
      <c r="AB137" s="19"/>
      <c r="AC137" s="20"/>
      <c r="AE137" s="17"/>
      <c r="AF137" s="17"/>
      <c r="AG137" s="17"/>
      <c r="AH137" s="18">
        <f t="shared" ref="AH137" si="131">J137</f>
        <v>14</v>
      </c>
      <c r="AI137" s="19">
        <f>IF(AH$147=0,0,AH137/AH$147)</f>
        <v>0.875</v>
      </c>
      <c r="AK137" s="17"/>
      <c r="AL137" s="17"/>
      <c r="AM137" s="17"/>
      <c r="AN137" s="18">
        <f t="shared" ref="AN137" si="132">K137</f>
        <v>11</v>
      </c>
      <c r="AO137" s="19">
        <f>IF(AN$147=0,0,AN137/AN$147)</f>
        <v>0.91666666666666663</v>
      </c>
      <c r="AQ137" s="17"/>
      <c r="AR137" s="17"/>
      <c r="AS137" s="17"/>
      <c r="AT137" s="18">
        <f t="shared" ref="AT137" si="133">W137</f>
        <v>25</v>
      </c>
      <c r="AU137" s="19">
        <f>IF(AT$147=0,0,AT137/AT$147)</f>
        <v>0</v>
      </c>
      <c r="AW137" s="17"/>
      <c r="AX137" s="17"/>
      <c r="AY137" s="17"/>
      <c r="AZ137" s="18">
        <f t="shared" ref="AZ137" si="134">X137</f>
        <v>225</v>
      </c>
      <c r="BA137" s="19">
        <f>IF(AZ$147=0,0,AZ137/AZ$147)</f>
        <v>0.96153846153846156</v>
      </c>
    </row>
    <row r="138" spans="1:53" ht="17.100000000000001" customHeight="1" x14ac:dyDescent="0.25">
      <c r="A138" s="40"/>
      <c r="B138" s="40"/>
      <c r="C138" s="74" t="s">
        <v>105</v>
      </c>
      <c r="D138" s="75" t="s">
        <v>405</v>
      </c>
      <c r="E138" s="75"/>
      <c r="F138" s="75"/>
      <c r="G138" s="542"/>
      <c r="H138" s="540"/>
      <c r="I138" s="235"/>
      <c r="J138" s="583"/>
      <c r="K138" s="583"/>
      <c r="L138" s="584">
        <v>1</v>
      </c>
      <c r="M138" s="17">
        <f t="shared" si="127"/>
        <v>1</v>
      </c>
      <c r="N138" s="111"/>
      <c r="O138" s="111"/>
      <c r="P138" s="111"/>
      <c r="Q138" s="111"/>
      <c r="R138" s="111"/>
      <c r="S138" s="111"/>
      <c r="T138" s="111"/>
      <c r="U138" s="111"/>
      <c r="V138" s="358"/>
      <c r="W138" s="391">
        <f t="shared" si="128"/>
        <v>0</v>
      </c>
      <c r="X138" s="17">
        <f t="shared" si="129"/>
        <v>1</v>
      </c>
      <c r="Y138" s="18">
        <f t="shared" si="130"/>
        <v>1</v>
      </c>
      <c r="Z138" s="19">
        <f t="shared" ref="Z138:Z146" si="135">IF(Y$147=0,0,Y138/Y$147)</f>
        <v>8.3333333333333329E-2</v>
      </c>
      <c r="AA138" s="19"/>
      <c r="AB138" s="19"/>
      <c r="AC138" s="20"/>
      <c r="AE138" s="17"/>
      <c r="AF138" s="17"/>
      <c r="AG138" s="17"/>
      <c r="AH138" s="18">
        <f t="shared" ref="AH138:AH146" si="136">J138</f>
        <v>0</v>
      </c>
      <c r="AI138" s="19">
        <f t="shared" ref="AI138:AI147" si="137">IF(AH$147=0,0,AH138/AH$147)</f>
        <v>0</v>
      </c>
      <c r="AK138" s="17"/>
      <c r="AL138" s="17"/>
      <c r="AM138" s="17"/>
      <c r="AN138" s="18">
        <f t="shared" ref="AN138:AN146" si="138">K138</f>
        <v>0</v>
      </c>
      <c r="AO138" s="19">
        <f t="shared" ref="AO138:AO147" si="139">IF(AN$147=0,0,AN138/AN$147)</f>
        <v>0</v>
      </c>
      <c r="AQ138" s="17"/>
      <c r="AR138" s="17"/>
      <c r="AS138" s="17"/>
      <c r="AT138" s="18">
        <f t="shared" ref="AT138:AT146" si="140">W138</f>
        <v>0</v>
      </c>
      <c r="AU138" s="19">
        <f t="shared" ref="AU138:AU147" si="141">IF(AT$147=0,0,AT138/AT$147)</f>
        <v>0</v>
      </c>
      <c r="AW138" s="17"/>
      <c r="AX138" s="17"/>
      <c r="AY138" s="17"/>
      <c r="AZ138" s="18">
        <f t="shared" ref="AZ138:AZ146" si="142">X138</f>
        <v>1</v>
      </c>
      <c r="BA138" s="19">
        <f t="shared" ref="BA138:BA147" si="143">IF(AZ$147=0,0,AZ138/AZ$147)</f>
        <v>4.2735042735042739E-3</v>
      </c>
    </row>
    <row r="139" spans="1:53" ht="17.100000000000001" customHeight="1" x14ac:dyDescent="0.25">
      <c r="A139" s="40"/>
      <c r="B139" s="40"/>
      <c r="C139" s="74" t="s">
        <v>106</v>
      </c>
      <c r="D139" s="75" t="s">
        <v>406</v>
      </c>
      <c r="E139" s="75"/>
      <c r="F139" s="75"/>
      <c r="G139" s="542"/>
      <c r="H139" s="540"/>
      <c r="I139" s="235"/>
      <c r="J139" s="581">
        <v>1</v>
      </c>
      <c r="K139" s="581">
        <v>1</v>
      </c>
      <c r="L139" s="582">
        <v>3</v>
      </c>
      <c r="M139" s="17">
        <f t="shared" si="127"/>
        <v>5</v>
      </c>
      <c r="N139" s="111"/>
      <c r="O139" s="111"/>
      <c r="P139" s="111"/>
      <c r="Q139" s="111"/>
      <c r="R139" s="111"/>
      <c r="S139" s="111"/>
      <c r="T139" s="111"/>
      <c r="U139" s="111"/>
      <c r="V139" s="358"/>
      <c r="W139" s="391">
        <f t="shared" si="128"/>
        <v>2</v>
      </c>
      <c r="X139" s="17">
        <f t="shared" si="129"/>
        <v>3</v>
      </c>
      <c r="Y139" s="18">
        <f t="shared" si="130"/>
        <v>5</v>
      </c>
      <c r="Z139" s="19">
        <f t="shared" si="135"/>
        <v>0.41666666666666669</v>
      </c>
      <c r="AA139" s="19"/>
      <c r="AB139" s="19"/>
      <c r="AC139" s="20"/>
      <c r="AE139" s="17"/>
      <c r="AF139" s="17"/>
      <c r="AG139" s="17"/>
      <c r="AH139" s="18">
        <f t="shared" si="136"/>
        <v>1</v>
      </c>
      <c r="AI139" s="19">
        <f t="shared" si="137"/>
        <v>6.25E-2</v>
      </c>
      <c r="AK139" s="17"/>
      <c r="AL139" s="17"/>
      <c r="AM139" s="17"/>
      <c r="AN139" s="18">
        <f t="shared" si="138"/>
        <v>1</v>
      </c>
      <c r="AO139" s="19">
        <f t="shared" si="139"/>
        <v>8.3333333333333329E-2</v>
      </c>
      <c r="AQ139" s="17"/>
      <c r="AR139" s="17"/>
      <c r="AS139" s="17"/>
      <c r="AT139" s="18">
        <f t="shared" si="140"/>
        <v>2</v>
      </c>
      <c r="AU139" s="19">
        <f t="shared" si="141"/>
        <v>0</v>
      </c>
      <c r="AW139" s="17"/>
      <c r="AX139" s="17"/>
      <c r="AY139" s="17"/>
      <c r="AZ139" s="18">
        <f t="shared" si="142"/>
        <v>3</v>
      </c>
      <c r="BA139" s="19">
        <f t="shared" si="143"/>
        <v>1.282051282051282E-2</v>
      </c>
    </row>
    <row r="140" spans="1:53" ht="17.100000000000001" customHeight="1" x14ac:dyDescent="0.25">
      <c r="A140" s="40"/>
      <c r="B140" s="40"/>
      <c r="C140" s="74" t="s">
        <v>107</v>
      </c>
      <c r="D140" s="75" t="s">
        <v>407</v>
      </c>
      <c r="E140" s="75"/>
      <c r="F140" s="75"/>
      <c r="G140" s="75"/>
      <c r="H140" s="540"/>
      <c r="I140" s="229"/>
      <c r="J140" s="583">
        <v>1</v>
      </c>
      <c r="K140" s="583"/>
      <c r="L140" s="584">
        <v>5</v>
      </c>
      <c r="M140" s="17">
        <f t="shared" si="127"/>
        <v>6</v>
      </c>
      <c r="N140" s="111"/>
      <c r="O140" s="111"/>
      <c r="P140" s="111"/>
      <c r="Q140" s="111"/>
      <c r="R140" s="111"/>
      <c r="S140" s="111"/>
      <c r="T140" s="111"/>
      <c r="U140" s="111"/>
      <c r="V140" s="358"/>
      <c r="W140" s="391">
        <f t="shared" si="128"/>
        <v>1</v>
      </c>
      <c r="X140" s="17">
        <f t="shared" si="129"/>
        <v>5</v>
      </c>
      <c r="Y140" s="18">
        <f t="shared" si="130"/>
        <v>6</v>
      </c>
      <c r="Z140" s="19">
        <f t="shared" si="135"/>
        <v>0.5</v>
      </c>
      <c r="AA140" s="19"/>
      <c r="AB140" s="19"/>
      <c r="AC140" s="20"/>
      <c r="AE140" s="17"/>
      <c r="AF140" s="17"/>
      <c r="AG140" s="17"/>
      <c r="AH140" s="18">
        <f t="shared" si="136"/>
        <v>1</v>
      </c>
      <c r="AI140" s="19">
        <f t="shared" si="137"/>
        <v>6.25E-2</v>
      </c>
      <c r="AK140" s="17"/>
      <c r="AL140" s="17"/>
      <c r="AM140" s="17"/>
      <c r="AN140" s="18">
        <f t="shared" si="138"/>
        <v>0</v>
      </c>
      <c r="AO140" s="19">
        <f t="shared" si="139"/>
        <v>0</v>
      </c>
      <c r="AQ140" s="17"/>
      <c r="AR140" s="17"/>
      <c r="AS140" s="17"/>
      <c r="AT140" s="18">
        <f t="shared" si="140"/>
        <v>1</v>
      </c>
      <c r="AU140" s="19">
        <f t="shared" si="141"/>
        <v>0</v>
      </c>
      <c r="AW140" s="17"/>
      <c r="AX140" s="17"/>
      <c r="AY140" s="17"/>
      <c r="AZ140" s="18">
        <f t="shared" si="142"/>
        <v>5</v>
      </c>
      <c r="BA140" s="19">
        <f t="shared" si="143"/>
        <v>2.1367521367521368E-2</v>
      </c>
    </row>
    <row r="141" spans="1:53" ht="17.100000000000001" customHeight="1" x14ac:dyDescent="0.25">
      <c r="A141" s="40"/>
      <c r="B141" s="40"/>
      <c r="C141" s="56" t="s">
        <v>108</v>
      </c>
      <c r="D141" s="75" t="s">
        <v>408</v>
      </c>
      <c r="E141" s="542"/>
      <c r="F141" s="542"/>
      <c r="G141" s="542"/>
      <c r="H141" s="540"/>
      <c r="I141" s="235"/>
      <c r="J141" s="581"/>
      <c r="K141" s="581"/>
      <c r="L141" s="582"/>
      <c r="M141" s="17">
        <f t="shared" si="127"/>
        <v>0</v>
      </c>
      <c r="N141" s="111"/>
      <c r="O141" s="111"/>
      <c r="P141" s="111"/>
      <c r="Q141" s="111"/>
      <c r="R141" s="111"/>
      <c r="S141" s="111"/>
      <c r="T141" s="111"/>
      <c r="U141" s="111"/>
      <c r="V141" s="358"/>
      <c r="W141" s="391">
        <f t="shared" si="128"/>
        <v>0</v>
      </c>
      <c r="X141" s="17">
        <f t="shared" si="129"/>
        <v>0</v>
      </c>
      <c r="Y141" s="18">
        <f t="shared" si="130"/>
        <v>0</v>
      </c>
      <c r="Z141" s="19">
        <f t="shared" si="135"/>
        <v>0</v>
      </c>
      <c r="AA141" s="19"/>
      <c r="AB141" s="19"/>
      <c r="AC141" s="20"/>
      <c r="AE141" s="17"/>
      <c r="AF141" s="17"/>
      <c r="AG141" s="17"/>
      <c r="AH141" s="18">
        <f t="shared" si="136"/>
        <v>0</v>
      </c>
      <c r="AI141" s="19">
        <f t="shared" si="137"/>
        <v>0</v>
      </c>
      <c r="AK141" s="17"/>
      <c r="AL141" s="17"/>
      <c r="AM141" s="17"/>
      <c r="AN141" s="18">
        <f t="shared" si="138"/>
        <v>0</v>
      </c>
      <c r="AO141" s="19">
        <f t="shared" si="139"/>
        <v>0</v>
      </c>
      <c r="AQ141" s="17"/>
      <c r="AR141" s="17"/>
      <c r="AS141" s="17"/>
      <c r="AT141" s="18">
        <f t="shared" si="140"/>
        <v>0</v>
      </c>
      <c r="AU141" s="19">
        <f t="shared" si="141"/>
        <v>0</v>
      </c>
      <c r="AW141" s="17"/>
      <c r="AX141" s="17"/>
      <c r="AY141" s="17"/>
      <c r="AZ141" s="18">
        <f t="shared" si="142"/>
        <v>0</v>
      </c>
      <c r="BA141" s="19">
        <f t="shared" si="143"/>
        <v>0</v>
      </c>
    </row>
    <row r="142" spans="1:53" ht="17.100000000000001" customHeight="1" x14ac:dyDescent="0.25">
      <c r="A142" s="40"/>
      <c r="B142" s="40"/>
      <c r="C142" s="74" t="s">
        <v>399</v>
      </c>
      <c r="D142" s="75" t="s">
        <v>409</v>
      </c>
      <c r="E142" s="150"/>
      <c r="F142" s="151"/>
      <c r="G142" s="151"/>
      <c r="H142" s="119"/>
      <c r="I142" s="236"/>
      <c r="J142" s="583"/>
      <c r="K142" s="583"/>
      <c r="L142" s="584"/>
      <c r="M142" s="17">
        <f t="shared" si="127"/>
        <v>0</v>
      </c>
      <c r="N142" s="111"/>
      <c r="O142" s="111"/>
      <c r="P142" s="111"/>
      <c r="Q142" s="111"/>
      <c r="R142" s="111"/>
      <c r="S142" s="111"/>
      <c r="T142" s="111"/>
      <c r="U142" s="111"/>
      <c r="V142" s="358"/>
      <c r="W142" s="391">
        <f t="shared" si="128"/>
        <v>0</v>
      </c>
      <c r="X142" s="17">
        <f t="shared" si="129"/>
        <v>0</v>
      </c>
      <c r="Y142" s="18">
        <f t="shared" si="130"/>
        <v>0</v>
      </c>
      <c r="Z142" s="19">
        <f t="shared" si="135"/>
        <v>0</v>
      </c>
      <c r="AA142" s="19"/>
      <c r="AB142" s="19"/>
      <c r="AC142" s="20"/>
      <c r="AE142" s="17"/>
      <c r="AF142" s="17"/>
      <c r="AG142" s="17"/>
      <c r="AH142" s="18">
        <f t="shared" si="136"/>
        <v>0</v>
      </c>
      <c r="AI142" s="19">
        <f t="shared" si="137"/>
        <v>0</v>
      </c>
      <c r="AK142" s="17"/>
      <c r="AL142" s="17"/>
      <c r="AM142" s="17"/>
      <c r="AN142" s="18">
        <f t="shared" si="138"/>
        <v>0</v>
      </c>
      <c r="AO142" s="19">
        <f t="shared" si="139"/>
        <v>0</v>
      </c>
      <c r="AQ142" s="17"/>
      <c r="AR142" s="17"/>
      <c r="AS142" s="17"/>
      <c r="AT142" s="18">
        <f t="shared" si="140"/>
        <v>0</v>
      </c>
      <c r="AU142" s="19">
        <f t="shared" si="141"/>
        <v>0</v>
      </c>
      <c r="AW142" s="17"/>
      <c r="AX142" s="17"/>
      <c r="AY142" s="17"/>
      <c r="AZ142" s="18">
        <f t="shared" si="142"/>
        <v>0</v>
      </c>
      <c r="BA142" s="19">
        <f t="shared" si="143"/>
        <v>0</v>
      </c>
    </row>
    <row r="143" spans="1:53" ht="17.100000000000001" customHeight="1" x14ac:dyDescent="0.25">
      <c r="A143" s="40"/>
      <c r="B143" s="40"/>
      <c r="C143" s="56" t="s">
        <v>400</v>
      </c>
      <c r="D143" s="75" t="s">
        <v>410</v>
      </c>
      <c r="E143" s="150"/>
      <c r="F143" s="151"/>
      <c r="G143" s="151"/>
      <c r="H143" s="119"/>
      <c r="I143" s="236"/>
      <c r="J143" s="581"/>
      <c r="K143" s="581"/>
      <c r="L143" s="582"/>
      <c r="M143" s="17">
        <f t="shared" si="127"/>
        <v>0</v>
      </c>
      <c r="N143" s="111"/>
      <c r="O143" s="111"/>
      <c r="P143" s="111"/>
      <c r="Q143" s="111"/>
      <c r="R143" s="111"/>
      <c r="S143" s="111"/>
      <c r="T143" s="111"/>
      <c r="U143" s="111"/>
      <c r="V143" s="358"/>
      <c r="W143" s="391">
        <f t="shared" si="128"/>
        <v>0</v>
      </c>
      <c r="X143" s="17">
        <f t="shared" si="129"/>
        <v>0</v>
      </c>
      <c r="Y143" s="18">
        <f t="shared" si="130"/>
        <v>0</v>
      </c>
      <c r="Z143" s="19">
        <f t="shared" si="135"/>
        <v>0</v>
      </c>
      <c r="AA143" s="19"/>
      <c r="AB143" s="19"/>
      <c r="AC143" s="20"/>
      <c r="AE143" s="17"/>
      <c r="AF143" s="17"/>
      <c r="AG143" s="17"/>
      <c r="AH143" s="18">
        <f t="shared" si="136"/>
        <v>0</v>
      </c>
      <c r="AI143" s="19">
        <f t="shared" si="137"/>
        <v>0</v>
      </c>
      <c r="AK143" s="17"/>
      <c r="AL143" s="17"/>
      <c r="AM143" s="17"/>
      <c r="AN143" s="18">
        <f t="shared" si="138"/>
        <v>0</v>
      </c>
      <c r="AO143" s="19">
        <f t="shared" si="139"/>
        <v>0</v>
      </c>
      <c r="AQ143" s="17"/>
      <c r="AR143" s="17"/>
      <c r="AS143" s="17"/>
      <c r="AT143" s="18">
        <f t="shared" si="140"/>
        <v>0</v>
      </c>
      <c r="AU143" s="19">
        <f t="shared" si="141"/>
        <v>0</v>
      </c>
      <c r="AW143" s="17"/>
      <c r="AX143" s="17"/>
      <c r="AY143" s="17"/>
      <c r="AZ143" s="18">
        <f t="shared" si="142"/>
        <v>0</v>
      </c>
      <c r="BA143" s="19">
        <f t="shared" si="143"/>
        <v>0</v>
      </c>
    </row>
    <row r="144" spans="1:53" ht="17.100000000000001" customHeight="1" x14ac:dyDescent="0.25">
      <c r="A144" s="40"/>
      <c r="B144" s="40"/>
      <c r="C144" s="74" t="s">
        <v>401</v>
      </c>
      <c r="D144" s="75" t="s">
        <v>411</v>
      </c>
      <c r="E144" s="150"/>
      <c r="F144" s="151"/>
      <c r="G144" s="151"/>
      <c r="H144" s="119"/>
      <c r="I144" s="236"/>
      <c r="J144" s="583"/>
      <c r="K144" s="583"/>
      <c r="L144" s="584"/>
      <c r="M144" s="17">
        <f t="shared" si="127"/>
        <v>0</v>
      </c>
      <c r="N144" s="111"/>
      <c r="O144" s="111"/>
      <c r="P144" s="111"/>
      <c r="Q144" s="111"/>
      <c r="R144" s="111"/>
      <c r="S144" s="111"/>
      <c r="T144" s="111"/>
      <c r="U144" s="111"/>
      <c r="V144" s="358"/>
      <c r="W144" s="391">
        <f t="shared" si="128"/>
        <v>0</v>
      </c>
      <c r="X144" s="17">
        <f t="shared" si="129"/>
        <v>0</v>
      </c>
      <c r="Y144" s="18">
        <f t="shared" si="130"/>
        <v>0</v>
      </c>
      <c r="Z144" s="19">
        <f t="shared" si="135"/>
        <v>0</v>
      </c>
      <c r="AA144" s="19"/>
      <c r="AB144" s="19"/>
      <c r="AC144" s="20"/>
      <c r="AE144" s="17"/>
      <c r="AF144" s="17"/>
      <c r="AG144" s="17"/>
      <c r="AH144" s="18">
        <f t="shared" si="136"/>
        <v>0</v>
      </c>
      <c r="AI144" s="19">
        <f t="shared" si="137"/>
        <v>0</v>
      </c>
      <c r="AK144" s="17"/>
      <c r="AL144" s="17"/>
      <c r="AM144" s="17"/>
      <c r="AN144" s="18">
        <f t="shared" si="138"/>
        <v>0</v>
      </c>
      <c r="AO144" s="19">
        <f t="shared" si="139"/>
        <v>0</v>
      </c>
      <c r="AQ144" s="17"/>
      <c r="AR144" s="17"/>
      <c r="AS144" s="17"/>
      <c r="AT144" s="18">
        <f t="shared" si="140"/>
        <v>0</v>
      </c>
      <c r="AU144" s="19">
        <f t="shared" si="141"/>
        <v>0</v>
      </c>
      <c r="AW144" s="17"/>
      <c r="AX144" s="17"/>
      <c r="AY144" s="17"/>
      <c r="AZ144" s="18">
        <f t="shared" si="142"/>
        <v>0</v>
      </c>
      <c r="BA144" s="19">
        <f t="shared" si="143"/>
        <v>0</v>
      </c>
    </row>
    <row r="145" spans="1:53" ht="17.100000000000001" customHeight="1" x14ac:dyDescent="0.25">
      <c r="A145" s="40"/>
      <c r="B145" s="40"/>
      <c r="C145" s="56" t="s">
        <v>402</v>
      </c>
      <c r="D145" s="75" t="s">
        <v>412</v>
      </c>
      <c r="E145" s="150"/>
      <c r="F145" s="151"/>
      <c r="G145" s="151"/>
      <c r="H145" s="119"/>
      <c r="I145" s="236"/>
      <c r="J145" s="581"/>
      <c r="K145" s="581"/>
      <c r="L145" s="582"/>
      <c r="M145" s="17">
        <f t="shared" si="127"/>
        <v>0</v>
      </c>
      <c r="N145" s="111"/>
      <c r="O145" s="111"/>
      <c r="P145" s="111"/>
      <c r="Q145" s="111"/>
      <c r="R145" s="111"/>
      <c r="S145" s="111"/>
      <c r="T145" s="111"/>
      <c r="U145" s="111"/>
      <c r="V145" s="358"/>
      <c r="W145" s="391">
        <f t="shared" si="128"/>
        <v>0</v>
      </c>
      <c r="X145" s="17">
        <f t="shared" si="129"/>
        <v>0</v>
      </c>
      <c r="Y145" s="18">
        <f t="shared" si="130"/>
        <v>0</v>
      </c>
      <c r="Z145" s="19">
        <f t="shared" si="135"/>
        <v>0</v>
      </c>
      <c r="AA145" s="19"/>
      <c r="AB145" s="19"/>
      <c r="AC145" s="20"/>
      <c r="AE145" s="17"/>
      <c r="AF145" s="17"/>
      <c r="AG145" s="17"/>
      <c r="AH145" s="18">
        <f t="shared" si="136"/>
        <v>0</v>
      </c>
      <c r="AI145" s="19">
        <f t="shared" si="137"/>
        <v>0</v>
      </c>
      <c r="AK145" s="17"/>
      <c r="AL145" s="17"/>
      <c r="AM145" s="17"/>
      <c r="AN145" s="18">
        <f t="shared" si="138"/>
        <v>0</v>
      </c>
      <c r="AO145" s="19">
        <f t="shared" si="139"/>
        <v>0</v>
      </c>
      <c r="AQ145" s="17"/>
      <c r="AR145" s="17"/>
      <c r="AS145" s="17"/>
      <c r="AT145" s="18">
        <f t="shared" si="140"/>
        <v>0</v>
      </c>
      <c r="AU145" s="19">
        <f t="shared" si="141"/>
        <v>0</v>
      </c>
      <c r="AW145" s="17"/>
      <c r="AX145" s="17"/>
      <c r="AY145" s="17"/>
      <c r="AZ145" s="18">
        <f t="shared" si="142"/>
        <v>0</v>
      </c>
      <c r="BA145" s="19">
        <f t="shared" si="143"/>
        <v>0</v>
      </c>
    </row>
    <row r="146" spans="1:53" ht="17.100000000000001" customHeight="1" x14ac:dyDescent="0.25">
      <c r="A146" s="40"/>
      <c r="B146" s="40"/>
      <c r="C146" s="74" t="s">
        <v>403</v>
      </c>
      <c r="D146" s="75" t="s">
        <v>392</v>
      </c>
      <c r="E146" s="150"/>
      <c r="F146" s="151"/>
      <c r="G146" s="151"/>
      <c r="H146" s="119"/>
      <c r="I146" s="236"/>
      <c r="J146" s="583"/>
      <c r="K146" s="583"/>
      <c r="L146" s="584"/>
      <c r="M146" s="17">
        <f t="shared" si="127"/>
        <v>0</v>
      </c>
      <c r="N146" s="111"/>
      <c r="O146" s="111"/>
      <c r="P146" s="111"/>
      <c r="Q146" s="111"/>
      <c r="R146" s="111"/>
      <c r="S146" s="111"/>
      <c r="T146" s="111"/>
      <c r="U146" s="111"/>
      <c r="V146" s="358"/>
      <c r="W146" s="391">
        <f t="shared" si="128"/>
        <v>0</v>
      </c>
      <c r="X146" s="17">
        <f t="shared" si="129"/>
        <v>0</v>
      </c>
      <c r="Y146" s="18">
        <f t="shared" si="130"/>
        <v>0</v>
      </c>
      <c r="Z146" s="19">
        <f t="shared" si="135"/>
        <v>0</v>
      </c>
      <c r="AA146" s="19"/>
      <c r="AB146" s="19"/>
      <c r="AC146" s="20"/>
      <c r="AE146" s="17"/>
      <c r="AF146" s="17"/>
      <c r="AG146" s="17"/>
      <c r="AH146" s="18">
        <f t="shared" si="136"/>
        <v>0</v>
      </c>
      <c r="AI146" s="19">
        <f t="shared" si="137"/>
        <v>0</v>
      </c>
      <c r="AK146" s="17"/>
      <c r="AL146" s="17"/>
      <c r="AM146" s="17"/>
      <c r="AN146" s="18">
        <f t="shared" si="138"/>
        <v>0</v>
      </c>
      <c r="AO146" s="19">
        <f t="shared" si="139"/>
        <v>0</v>
      </c>
      <c r="AQ146" s="17"/>
      <c r="AR146" s="17"/>
      <c r="AS146" s="17"/>
      <c r="AT146" s="18">
        <f t="shared" si="140"/>
        <v>0</v>
      </c>
      <c r="AU146" s="19">
        <f t="shared" si="141"/>
        <v>0</v>
      </c>
      <c r="AW146" s="17"/>
      <c r="AX146" s="17"/>
      <c r="AY146" s="17"/>
      <c r="AZ146" s="18">
        <f t="shared" si="142"/>
        <v>0</v>
      </c>
      <c r="BA146" s="19">
        <f t="shared" si="143"/>
        <v>0</v>
      </c>
    </row>
    <row r="147" spans="1:53" ht="17.100000000000001" customHeight="1" x14ac:dyDescent="0.25">
      <c r="A147" s="40"/>
      <c r="B147" s="40"/>
      <c r="C147" s="77"/>
      <c r="D147" s="144"/>
      <c r="E147" s="144"/>
      <c r="F147" s="145"/>
      <c r="G147" s="145"/>
      <c r="H147" s="119"/>
      <c r="I147" s="236"/>
      <c r="J147" s="80">
        <f>SUM(J137:J146)</f>
        <v>16</v>
      </c>
      <c r="K147" s="80">
        <f t="shared" ref="K147:M147" si="144">SUM(K137:K146)</f>
        <v>12</v>
      </c>
      <c r="L147" s="80">
        <f t="shared" si="144"/>
        <v>234</v>
      </c>
      <c r="M147" s="80">
        <f t="shared" si="144"/>
        <v>262</v>
      </c>
      <c r="N147" s="80"/>
      <c r="O147" s="80"/>
      <c r="P147" s="80"/>
      <c r="Q147" s="81"/>
      <c r="R147" s="81"/>
      <c r="S147" s="81"/>
      <c r="T147" s="81"/>
      <c r="U147" s="81"/>
      <c r="V147" s="356"/>
      <c r="W147" s="381">
        <f>SUM(W138:W146)</f>
        <v>3</v>
      </c>
      <c r="X147" s="82">
        <f t="shared" ref="X147:Y147" si="145">SUM(X138:X146)</f>
        <v>9</v>
      </c>
      <c r="Y147" s="82">
        <f t="shared" si="145"/>
        <v>12</v>
      </c>
      <c r="Z147" s="205">
        <f>IF(Y$147=0,0,Y147/Y$147)</f>
        <v>1</v>
      </c>
      <c r="AA147" s="205"/>
      <c r="AB147" s="205"/>
      <c r="AC147" s="83"/>
      <c r="AE147" s="80"/>
      <c r="AF147" s="80"/>
      <c r="AG147" s="81"/>
      <c r="AH147" s="82">
        <f>SUM(AH137:AH146)</f>
        <v>16</v>
      </c>
      <c r="AI147" s="66">
        <f t="shared" si="137"/>
        <v>1</v>
      </c>
      <c r="AK147" s="80"/>
      <c r="AL147" s="80"/>
      <c r="AM147" s="81"/>
      <c r="AN147" s="82">
        <f>SUM(AN137:AN146)</f>
        <v>12</v>
      </c>
      <c r="AO147" s="66">
        <f t="shared" si="139"/>
        <v>1</v>
      </c>
      <c r="AQ147" s="80"/>
      <c r="AR147" s="80"/>
      <c r="AS147" s="81"/>
      <c r="AT147" s="82"/>
      <c r="AU147" s="66">
        <f t="shared" si="141"/>
        <v>0</v>
      </c>
      <c r="AW147" s="80"/>
      <c r="AX147" s="80"/>
      <c r="AY147" s="81"/>
      <c r="AZ147" s="82">
        <f>SUM(AZ137:AZ146)</f>
        <v>234</v>
      </c>
      <c r="BA147" s="66">
        <f t="shared" si="143"/>
        <v>1</v>
      </c>
    </row>
    <row r="148" spans="1:53" s="117" customFormat="1" ht="17.100000000000001" customHeight="1" x14ac:dyDescent="0.25">
      <c r="A148" s="68"/>
      <c r="B148" s="119"/>
      <c r="C148" s="540"/>
      <c r="D148" s="261"/>
      <c r="E148" s="261"/>
      <c r="F148" s="68"/>
      <c r="G148" s="68"/>
      <c r="H148" s="119"/>
      <c r="I148" s="138"/>
      <c r="J148" s="17" t="str">
        <f>IF(J147=J$15,"OK","NOK")</f>
        <v>OK</v>
      </c>
      <c r="K148" s="17" t="str">
        <f t="shared" ref="K148" si="146">IF(K147=K$15,"OK","NOK")</f>
        <v>OK</v>
      </c>
      <c r="L148" s="17" t="str">
        <f t="shared" ref="L148" si="147">IF(L147=L$15,"OK","NOK")</f>
        <v>OK</v>
      </c>
      <c r="M148" s="17"/>
      <c r="N148" s="17"/>
      <c r="O148" s="17"/>
      <c r="P148" s="17"/>
      <c r="Q148" s="17"/>
      <c r="R148" s="17"/>
      <c r="S148" s="17"/>
      <c r="T148" s="17"/>
      <c r="U148" s="17"/>
      <c r="V148" s="359"/>
      <c r="W148" s="382"/>
      <c r="X148" s="539"/>
      <c r="Y148" s="539"/>
      <c r="Z148" s="201"/>
      <c r="AA148" s="201"/>
      <c r="AB148" s="201"/>
      <c r="AC148" s="84"/>
      <c r="AE148" s="46"/>
      <c r="AF148" s="46"/>
      <c r="AG148" s="17"/>
      <c r="AH148" s="539"/>
      <c r="AI148" s="91"/>
      <c r="AK148" s="46"/>
      <c r="AL148" s="46"/>
      <c r="AM148" s="17"/>
      <c r="AN148" s="539"/>
      <c r="AO148" s="91"/>
      <c r="AQ148" s="46"/>
      <c r="AR148" s="46"/>
      <c r="AS148" s="17"/>
      <c r="AT148" s="539"/>
      <c r="AU148" s="91"/>
      <c r="AW148" s="46"/>
      <c r="AX148" s="46"/>
      <c r="AY148" s="17"/>
      <c r="AZ148" s="539"/>
      <c r="BA148" s="91"/>
    </row>
    <row r="149" spans="1:53" ht="17.100000000000001" customHeight="1" x14ac:dyDescent="0.25">
      <c r="A149" s="68"/>
      <c r="B149" s="41" t="s">
        <v>110</v>
      </c>
      <c r="C149" s="69" t="s">
        <v>111</v>
      </c>
      <c r="D149" s="50"/>
      <c r="E149" s="70"/>
      <c r="F149" s="70"/>
      <c r="G149" s="70"/>
      <c r="H149" s="119"/>
      <c r="J149" s="71"/>
      <c r="K149" s="71"/>
      <c r="L149" s="71"/>
      <c r="M149" s="71"/>
      <c r="N149" s="71"/>
      <c r="O149" s="71"/>
      <c r="P149" s="71"/>
      <c r="Q149" s="71"/>
      <c r="R149" s="71"/>
      <c r="S149" s="71"/>
      <c r="T149" s="71"/>
      <c r="U149" s="71"/>
      <c r="V149" s="355"/>
      <c r="W149" s="377"/>
      <c r="X149" s="71"/>
      <c r="Y149" s="72"/>
      <c r="Z149" s="73"/>
      <c r="AA149" s="73"/>
      <c r="AB149" s="73"/>
      <c r="AC149" s="73"/>
      <c r="AE149" s="71"/>
      <c r="AF149" s="71"/>
      <c r="AG149" s="71"/>
      <c r="AH149" s="72"/>
      <c r="AI149" s="73"/>
      <c r="AK149" s="71"/>
      <c r="AL149" s="71"/>
      <c r="AM149" s="71"/>
      <c r="AN149" s="72"/>
      <c r="AO149" s="73"/>
      <c r="AQ149" s="71"/>
      <c r="AR149" s="71"/>
      <c r="AS149" s="71"/>
      <c r="AT149" s="72"/>
      <c r="AU149" s="73"/>
      <c r="AW149" s="71"/>
      <c r="AX149" s="71"/>
      <c r="AY149" s="71"/>
      <c r="AZ149" s="72"/>
      <c r="BA149" s="73"/>
    </row>
    <row r="150" spans="1:53" ht="17.100000000000001" customHeight="1" x14ac:dyDescent="0.25">
      <c r="A150" s="40"/>
      <c r="B150" s="40"/>
      <c r="C150" s="141" t="s">
        <v>112</v>
      </c>
      <c r="D150" s="85" t="s">
        <v>113</v>
      </c>
      <c r="E150" s="75"/>
      <c r="F150" s="75"/>
      <c r="G150" s="75"/>
      <c r="H150" s="540"/>
      <c r="I150" s="229"/>
      <c r="J150" s="111"/>
      <c r="K150" s="111"/>
      <c r="L150" s="111"/>
      <c r="M150" s="111"/>
      <c r="N150" s="60">
        <v>5</v>
      </c>
      <c r="O150" s="60">
        <v>1</v>
      </c>
      <c r="P150" s="17">
        <f>SUM(N150:O150)</f>
        <v>6</v>
      </c>
      <c r="Q150" s="60"/>
      <c r="R150" s="60"/>
      <c r="S150" s="17">
        <f>SUM(Q150:R150)</f>
        <v>0</v>
      </c>
      <c r="T150" s="60"/>
      <c r="U150" s="60"/>
      <c r="V150" s="359">
        <f>SUM(T150:U150)</f>
        <v>0</v>
      </c>
      <c r="W150" s="391">
        <f t="shared" ref="W150:W151" si="148">J150+K150+N150+Q150+T150</f>
        <v>5</v>
      </c>
      <c r="X150" s="17">
        <f t="shared" ref="X150:X151" si="149">L150+O150+R150+U150</f>
        <v>1</v>
      </c>
      <c r="Y150" s="18">
        <f>SUM(W150:X150)</f>
        <v>6</v>
      </c>
      <c r="Z150" s="19">
        <f>IF(Y$152=0,0,Y150/Y$152)</f>
        <v>0.4</v>
      </c>
      <c r="AA150" s="19"/>
      <c r="AB150" s="19"/>
      <c r="AC150" s="20"/>
      <c r="AE150" s="111"/>
      <c r="AF150" s="111"/>
      <c r="AG150" s="111"/>
      <c r="AH150" s="112"/>
      <c r="AI150" s="113"/>
      <c r="AK150" s="111"/>
      <c r="AL150" s="111"/>
      <c r="AM150" s="111"/>
      <c r="AN150" s="112"/>
      <c r="AO150" s="113"/>
      <c r="AQ150" s="17"/>
      <c r="AR150" s="17"/>
      <c r="AS150" s="17"/>
      <c r="AT150" s="18">
        <f t="shared" ref="AT150:AT151" si="150">W150</f>
        <v>5</v>
      </c>
      <c r="AU150" s="19">
        <f>IF(AT$152=0,0,AT150/AT$152)</f>
        <v>0.7142857142857143</v>
      </c>
      <c r="AW150" s="17"/>
      <c r="AX150" s="17"/>
      <c r="AY150" s="17"/>
      <c r="AZ150" s="18">
        <f t="shared" ref="AZ150:AZ151" si="151">X150</f>
        <v>1</v>
      </c>
      <c r="BA150" s="19">
        <f>IF(AZ$152=0,0,AZ150/AZ$152)</f>
        <v>0.125</v>
      </c>
    </row>
    <row r="151" spans="1:53" ht="17.100000000000001" customHeight="1" x14ac:dyDescent="0.25">
      <c r="A151" s="40"/>
      <c r="B151" s="40"/>
      <c r="C151" s="141" t="s">
        <v>114</v>
      </c>
      <c r="D151" s="146" t="s">
        <v>115</v>
      </c>
      <c r="E151" s="75"/>
      <c r="F151" s="75"/>
      <c r="G151" s="75"/>
      <c r="H151" s="540"/>
      <c r="I151" s="229"/>
      <c r="J151" s="111"/>
      <c r="K151" s="111"/>
      <c r="L151" s="111"/>
      <c r="M151" s="111"/>
      <c r="N151" s="61">
        <v>1</v>
      </c>
      <c r="O151" s="61">
        <v>2</v>
      </c>
      <c r="P151" s="17">
        <f>SUM(N151:O151)</f>
        <v>3</v>
      </c>
      <c r="Q151" s="61">
        <v>1</v>
      </c>
      <c r="R151" s="61">
        <v>5</v>
      </c>
      <c r="S151" s="17">
        <f>SUM(Q151:R151)</f>
        <v>6</v>
      </c>
      <c r="T151" s="61"/>
      <c r="U151" s="61"/>
      <c r="V151" s="359">
        <f>SUM(T151:U151)</f>
        <v>0</v>
      </c>
      <c r="W151" s="391">
        <f t="shared" si="148"/>
        <v>2</v>
      </c>
      <c r="X151" s="17">
        <f t="shared" si="149"/>
        <v>7</v>
      </c>
      <c r="Y151" s="18">
        <f>SUM(W151:X151)</f>
        <v>9</v>
      </c>
      <c r="Z151" s="19">
        <f>IF(Y$152=0,0,Y151/Y$152)</f>
        <v>0.6</v>
      </c>
      <c r="AA151" s="19"/>
      <c r="AB151" s="19"/>
      <c r="AC151" s="20"/>
      <c r="AE151" s="111"/>
      <c r="AF151" s="111"/>
      <c r="AG151" s="111"/>
      <c r="AH151" s="112"/>
      <c r="AI151" s="113"/>
      <c r="AK151" s="111"/>
      <c r="AL151" s="111"/>
      <c r="AM151" s="111"/>
      <c r="AN151" s="112"/>
      <c r="AO151" s="113"/>
      <c r="AQ151" s="17"/>
      <c r="AR151" s="17"/>
      <c r="AS151" s="17"/>
      <c r="AT151" s="18">
        <f t="shared" si="150"/>
        <v>2</v>
      </c>
      <c r="AU151" s="19">
        <f t="shared" ref="AU151:AU152" si="152">IF(AT$152=0,0,AT151/AT$152)</f>
        <v>0.2857142857142857</v>
      </c>
      <c r="AW151" s="17"/>
      <c r="AX151" s="17"/>
      <c r="AY151" s="17"/>
      <c r="AZ151" s="18">
        <f t="shared" si="151"/>
        <v>7</v>
      </c>
      <c r="BA151" s="19">
        <f t="shared" ref="BA151:BA152" si="153">IF(AZ$152=0,0,AZ151/AZ$152)</f>
        <v>0.875</v>
      </c>
    </row>
    <row r="152" spans="1:53" ht="17.100000000000001" customHeight="1" x14ac:dyDescent="0.25">
      <c r="A152" s="40"/>
      <c r="B152" s="40"/>
      <c r="C152" s="77"/>
      <c r="D152" s="144"/>
      <c r="E152" s="144"/>
      <c r="F152" s="145"/>
      <c r="G152" s="145"/>
      <c r="H152" s="119"/>
      <c r="I152" s="236"/>
      <c r="J152" s="80"/>
      <c r="K152" s="80"/>
      <c r="L152" s="81"/>
      <c r="M152" s="81"/>
      <c r="N152" s="81">
        <f t="shared" ref="N152:W152" si="154">SUM(N150:N151)</f>
        <v>6</v>
      </c>
      <c r="O152" s="81">
        <f t="shared" ref="O152" si="155">SUM(O150:O151)</f>
        <v>3</v>
      </c>
      <c r="P152" s="81">
        <f t="shared" ref="P152" si="156">SUM(P150:P151)</f>
        <v>9</v>
      </c>
      <c r="Q152" s="81">
        <f t="shared" ref="Q152" si="157">SUM(Q150:Q151)</f>
        <v>1</v>
      </c>
      <c r="R152" s="81">
        <f t="shared" ref="R152" si="158">SUM(R150:R151)</f>
        <v>5</v>
      </c>
      <c r="S152" s="81">
        <f t="shared" ref="S152" si="159">SUM(S150:S151)</f>
        <v>6</v>
      </c>
      <c r="T152" s="81">
        <f t="shared" ref="T152" si="160">SUM(T150:T151)</f>
        <v>0</v>
      </c>
      <c r="U152" s="81">
        <f t="shared" ref="U152" si="161">SUM(U150:U151)</f>
        <v>0</v>
      </c>
      <c r="V152" s="81">
        <f t="shared" ref="V152" si="162">SUM(V150:V151)</f>
        <v>0</v>
      </c>
      <c r="W152" s="381">
        <f t="shared" si="154"/>
        <v>7</v>
      </c>
      <c r="X152" s="82">
        <f t="shared" ref="X152:Y152" si="163">SUM(X150:X151)</f>
        <v>8</v>
      </c>
      <c r="Y152" s="82">
        <f t="shared" si="163"/>
        <v>15</v>
      </c>
      <c r="Z152" s="205">
        <f t="shared" ref="Z152" si="164">IF(Y$152=0,0,Y152/Y$152)</f>
        <v>1</v>
      </c>
      <c r="AA152" s="205"/>
      <c r="AB152" s="205"/>
      <c r="AC152" s="83"/>
      <c r="AE152" s="80"/>
      <c r="AF152" s="80"/>
      <c r="AG152" s="81"/>
      <c r="AH152" s="82"/>
      <c r="AI152" s="66"/>
      <c r="AK152" s="80"/>
      <c r="AL152" s="80"/>
      <c r="AM152" s="81"/>
      <c r="AN152" s="82"/>
      <c r="AO152" s="66"/>
      <c r="AQ152" s="80"/>
      <c r="AR152" s="80"/>
      <c r="AS152" s="81"/>
      <c r="AT152" s="82">
        <f>SUM(AT150:AT151)</f>
        <v>7</v>
      </c>
      <c r="AU152" s="66">
        <f t="shared" si="152"/>
        <v>1</v>
      </c>
      <c r="AW152" s="80"/>
      <c r="AX152" s="80"/>
      <c r="AY152" s="81"/>
      <c r="AZ152" s="82">
        <f>SUM(AZ150:AZ151)</f>
        <v>8</v>
      </c>
      <c r="BA152" s="66">
        <f t="shared" si="153"/>
        <v>1</v>
      </c>
    </row>
    <row r="153" spans="1:53" s="117" customFormat="1" ht="17.100000000000001" customHeight="1" x14ac:dyDescent="0.25">
      <c r="A153" s="68"/>
      <c r="B153" s="119"/>
      <c r="C153" s="540"/>
      <c r="D153" s="261"/>
      <c r="E153" s="261"/>
      <c r="F153" s="68"/>
      <c r="G153" s="68"/>
      <c r="H153" s="119"/>
      <c r="I153" s="138"/>
      <c r="J153" s="17"/>
      <c r="K153" s="17"/>
      <c r="L153" s="17"/>
      <c r="M153" s="17"/>
      <c r="N153" s="17" t="str">
        <f>IF(N152=N$20,"OK","NOK")</f>
        <v>OK</v>
      </c>
      <c r="O153" s="17" t="str">
        <f>IF(O152=O$20,"OK","NOK")</f>
        <v>OK</v>
      </c>
      <c r="P153" s="17"/>
      <c r="Q153" s="17" t="str">
        <f>IF(Q152=Q$20,"OK","NOK")</f>
        <v>OK</v>
      </c>
      <c r="R153" s="17" t="str">
        <f>IF(R152=R$20,"OK","NOK")</f>
        <v>OK</v>
      </c>
      <c r="S153" s="17"/>
      <c r="T153" s="17" t="str">
        <f>IF(T152=T$20,"OK","NOK")</f>
        <v>OK</v>
      </c>
      <c r="U153" s="17" t="str">
        <f>IF(U152=U$20,"OK","NOK")</f>
        <v>OK</v>
      </c>
      <c r="V153" s="359"/>
      <c r="W153" s="382"/>
      <c r="X153" s="539"/>
      <c r="Y153" s="539"/>
      <c r="Z153" s="201"/>
      <c r="AA153" s="201"/>
      <c r="AB153" s="201"/>
      <c r="AC153" s="84"/>
      <c r="AE153" s="46"/>
      <c r="AF153" s="46"/>
      <c r="AG153" s="17"/>
      <c r="AH153" s="539"/>
      <c r="AI153" s="91"/>
      <c r="AK153" s="46"/>
      <c r="AL153" s="46"/>
      <c r="AM153" s="17"/>
      <c r="AN153" s="539"/>
      <c r="AO153" s="91"/>
      <c r="AQ153" s="46"/>
      <c r="AR153" s="46"/>
      <c r="AS153" s="17"/>
      <c r="AT153" s="539"/>
      <c r="AU153" s="91"/>
      <c r="AW153" s="46"/>
      <c r="AX153" s="46"/>
      <c r="AY153" s="17"/>
      <c r="AZ153" s="539"/>
      <c r="BA153" s="91"/>
    </row>
    <row r="154" spans="1:53" ht="17.100000000000001" customHeight="1" x14ac:dyDescent="0.25">
      <c r="A154" s="68"/>
      <c r="B154" s="41" t="s">
        <v>116</v>
      </c>
      <c r="C154" s="69" t="s">
        <v>427</v>
      </c>
      <c r="D154" s="50"/>
      <c r="E154" s="70"/>
      <c r="F154" s="70"/>
      <c r="G154" s="70"/>
      <c r="H154" s="243">
        <v>34</v>
      </c>
      <c r="J154" s="71"/>
      <c r="K154" s="71"/>
      <c r="L154" s="71"/>
      <c r="M154" s="71"/>
      <c r="N154" s="71"/>
      <c r="O154" s="71"/>
      <c r="P154" s="71"/>
      <c r="Q154" s="71"/>
      <c r="R154" s="71"/>
      <c r="S154" s="71"/>
      <c r="T154" s="71"/>
      <c r="U154" s="71"/>
      <c r="V154" s="355"/>
      <c r="W154" s="377"/>
      <c r="X154" s="71"/>
      <c r="Y154" s="72"/>
      <c r="Z154" s="73"/>
      <c r="AA154" s="73"/>
      <c r="AB154" s="73"/>
      <c r="AC154" s="73"/>
      <c r="AE154" s="71"/>
      <c r="AF154" s="71"/>
      <c r="AG154" s="71"/>
      <c r="AH154" s="72"/>
      <c r="AI154" s="73"/>
      <c r="AK154" s="71"/>
      <c r="AL154" s="71"/>
      <c r="AM154" s="71"/>
      <c r="AN154" s="72"/>
      <c r="AO154" s="73"/>
      <c r="AQ154" s="71"/>
      <c r="AR154" s="71"/>
      <c r="AS154" s="71"/>
      <c r="AT154" s="72"/>
      <c r="AU154" s="73"/>
      <c r="AW154" s="71"/>
      <c r="AX154" s="71"/>
      <c r="AY154" s="71"/>
      <c r="AZ154" s="72"/>
      <c r="BA154" s="73"/>
    </row>
    <row r="155" spans="1:53" ht="17.100000000000001" customHeight="1" x14ac:dyDescent="0.25">
      <c r="A155" s="40"/>
      <c r="B155" s="40"/>
      <c r="C155" s="141" t="s">
        <v>117</v>
      </c>
      <c r="D155" s="85" t="s">
        <v>428</v>
      </c>
      <c r="E155" s="75"/>
      <c r="F155" s="75"/>
      <c r="G155" s="75"/>
      <c r="H155" s="540"/>
      <c r="I155" s="229"/>
      <c r="J155" s="581">
        <v>12</v>
      </c>
      <c r="K155" s="581">
        <v>9</v>
      </c>
      <c r="L155" s="582">
        <v>52</v>
      </c>
      <c r="M155" s="17">
        <f t="shared" ref="M155:M160" si="165">SUM(J155:L155)</f>
        <v>73</v>
      </c>
      <c r="N155" s="111"/>
      <c r="O155" s="111"/>
      <c r="P155" s="111"/>
      <c r="Q155" s="111"/>
      <c r="R155" s="111"/>
      <c r="S155" s="111"/>
      <c r="T155" s="111"/>
      <c r="U155" s="111"/>
      <c r="V155" s="358"/>
      <c r="W155" s="391">
        <f t="shared" ref="W155:W160" si="166">J155+K155+N155+Q155+T155</f>
        <v>21</v>
      </c>
      <c r="X155" s="17">
        <f t="shared" ref="X155:X160" si="167">L155+O155+R155+U155</f>
        <v>52</v>
      </c>
      <c r="Y155" s="18">
        <f t="shared" ref="Y155:Y160" si="168">SUM(W155:X155)</f>
        <v>73</v>
      </c>
      <c r="Z155" s="19">
        <f>IF($Y$161=0,0,Y155/$Y$161)</f>
        <v>0.2786259541984733</v>
      </c>
      <c r="AA155" s="19"/>
      <c r="AB155" s="19"/>
      <c r="AC155" s="20"/>
      <c r="AE155" s="17"/>
      <c r="AF155" s="17"/>
      <c r="AG155" s="17"/>
      <c r="AH155" s="18">
        <f t="shared" ref="AH155" si="169">J155</f>
        <v>12</v>
      </c>
      <c r="AI155" s="19">
        <f>IF(AH$161=0,0,AH155/AH$161)</f>
        <v>0.75</v>
      </c>
      <c r="AK155" s="17"/>
      <c r="AL155" s="17"/>
      <c r="AM155" s="17"/>
      <c r="AN155" s="18">
        <f t="shared" ref="AN155" si="170">K155</f>
        <v>9</v>
      </c>
      <c r="AO155" s="19">
        <f>IF(AN$161=0,0,AN155/AN$161)</f>
        <v>0.75</v>
      </c>
      <c r="AQ155" s="17"/>
      <c r="AR155" s="17"/>
      <c r="AS155" s="17"/>
      <c r="AT155" s="18">
        <f t="shared" ref="AT155" si="171">W155</f>
        <v>21</v>
      </c>
      <c r="AU155" s="19">
        <f>IF(AT$161=0,0,AT155/AT$161)</f>
        <v>0.75</v>
      </c>
      <c r="AW155" s="17"/>
      <c r="AX155" s="17"/>
      <c r="AY155" s="17"/>
      <c r="AZ155" s="18">
        <f t="shared" ref="AZ155" si="172">X155</f>
        <v>52</v>
      </c>
      <c r="BA155" s="19">
        <f>IF(AZ$161=0,0,AZ155/AZ$161)</f>
        <v>0.22222222222222221</v>
      </c>
    </row>
    <row r="156" spans="1:53" ht="17.100000000000001" customHeight="1" x14ac:dyDescent="0.25">
      <c r="A156" s="40"/>
      <c r="B156" s="40"/>
      <c r="C156" s="141" t="s">
        <v>118</v>
      </c>
      <c r="D156" s="85" t="s">
        <v>429</v>
      </c>
      <c r="E156" s="75"/>
      <c r="F156" s="75"/>
      <c r="G156" s="75"/>
      <c r="H156" s="540"/>
      <c r="I156" s="229"/>
      <c r="J156" s="583">
        <v>1</v>
      </c>
      <c r="K156" s="583"/>
      <c r="L156" s="584">
        <v>39</v>
      </c>
      <c r="M156" s="17">
        <f t="shared" si="165"/>
        <v>40</v>
      </c>
      <c r="N156" s="111"/>
      <c r="O156" s="111"/>
      <c r="P156" s="111"/>
      <c r="Q156" s="111"/>
      <c r="R156" s="111"/>
      <c r="S156" s="111"/>
      <c r="T156" s="111"/>
      <c r="U156" s="111"/>
      <c r="V156" s="358"/>
      <c r="W156" s="391">
        <f t="shared" si="166"/>
        <v>1</v>
      </c>
      <c r="X156" s="17">
        <f t="shared" si="167"/>
        <v>39</v>
      </c>
      <c r="Y156" s="18">
        <f t="shared" si="168"/>
        <v>40</v>
      </c>
      <c r="Z156" s="19">
        <f t="shared" ref="Z156:Z161" si="173">IF($Y$161=0,0,Y156/$Y$161)</f>
        <v>0.15267175572519084</v>
      </c>
      <c r="AA156" s="19"/>
      <c r="AB156" s="19"/>
      <c r="AC156" s="20"/>
      <c r="AE156" s="17"/>
      <c r="AF156" s="17"/>
      <c r="AG156" s="17"/>
      <c r="AH156" s="18">
        <f t="shared" ref="AH156:AH160" si="174">J156</f>
        <v>1</v>
      </c>
      <c r="AI156" s="19">
        <f t="shared" ref="AI156:AI161" si="175">IF(AH$161=0,0,AH156/AH$161)</f>
        <v>6.25E-2</v>
      </c>
      <c r="AK156" s="17"/>
      <c r="AL156" s="17"/>
      <c r="AM156" s="17"/>
      <c r="AN156" s="18">
        <f t="shared" ref="AN156:AN160" si="176">K156</f>
        <v>0</v>
      </c>
      <c r="AO156" s="19">
        <f t="shared" ref="AO156:AO161" si="177">IF(AN$161=0,0,AN156/AN$161)</f>
        <v>0</v>
      </c>
      <c r="AQ156" s="17"/>
      <c r="AR156" s="17"/>
      <c r="AS156" s="17"/>
      <c r="AT156" s="18">
        <f t="shared" ref="AT156:AT160" si="178">W156</f>
        <v>1</v>
      </c>
      <c r="AU156" s="19">
        <f t="shared" ref="AU156:AU161" si="179">IF(AT$161=0,0,AT156/AT$161)</f>
        <v>3.5714285714285712E-2</v>
      </c>
      <c r="AW156" s="17"/>
      <c r="AX156" s="17"/>
      <c r="AY156" s="17"/>
      <c r="AZ156" s="18">
        <f t="shared" ref="AZ156:AZ160" si="180">X156</f>
        <v>39</v>
      </c>
      <c r="BA156" s="19">
        <f t="shared" ref="BA156:BA161" si="181">IF(AZ$161=0,0,AZ156/AZ$161)</f>
        <v>0.16666666666666666</v>
      </c>
    </row>
    <row r="157" spans="1:53" ht="17.100000000000001" customHeight="1" x14ac:dyDescent="0.25">
      <c r="A157" s="40"/>
      <c r="B157" s="40"/>
      <c r="C157" s="141" t="s">
        <v>119</v>
      </c>
      <c r="D157" s="85" t="s">
        <v>430</v>
      </c>
      <c r="E157" s="75"/>
      <c r="F157" s="75"/>
      <c r="G157" s="75"/>
      <c r="H157" s="540"/>
      <c r="I157" s="229"/>
      <c r="J157" s="581">
        <v>1</v>
      </c>
      <c r="K157" s="581">
        <v>3</v>
      </c>
      <c r="L157" s="582">
        <v>68</v>
      </c>
      <c r="M157" s="17">
        <f t="shared" si="165"/>
        <v>72</v>
      </c>
      <c r="N157" s="111"/>
      <c r="O157" s="111"/>
      <c r="P157" s="111"/>
      <c r="Q157" s="111"/>
      <c r="R157" s="111"/>
      <c r="S157" s="111"/>
      <c r="T157" s="111"/>
      <c r="U157" s="111"/>
      <c r="V157" s="358"/>
      <c r="W157" s="391">
        <f t="shared" si="166"/>
        <v>4</v>
      </c>
      <c r="X157" s="17">
        <f t="shared" si="167"/>
        <v>68</v>
      </c>
      <c r="Y157" s="18">
        <f t="shared" si="168"/>
        <v>72</v>
      </c>
      <c r="Z157" s="19">
        <f t="shared" si="173"/>
        <v>0.27480916030534353</v>
      </c>
      <c r="AA157" s="19"/>
      <c r="AB157" s="19"/>
      <c r="AC157" s="20"/>
      <c r="AE157" s="17"/>
      <c r="AF157" s="17"/>
      <c r="AG157" s="17"/>
      <c r="AH157" s="18">
        <f t="shared" si="174"/>
        <v>1</v>
      </c>
      <c r="AI157" s="19">
        <f t="shared" si="175"/>
        <v>6.25E-2</v>
      </c>
      <c r="AK157" s="17"/>
      <c r="AL157" s="17"/>
      <c r="AM157" s="17"/>
      <c r="AN157" s="18">
        <f t="shared" si="176"/>
        <v>3</v>
      </c>
      <c r="AO157" s="19">
        <f t="shared" si="177"/>
        <v>0.25</v>
      </c>
      <c r="AQ157" s="17"/>
      <c r="AR157" s="17"/>
      <c r="AS157" s="17"/>
      <c r="AT157" s="18">
        <f t="shared" si="178"/>
        <v>4</v>
      </c>
      <c r="AU157" s="19">
        <f t="shared" si="179"/>
        <v>0.14285714285714285</v>
      </c>
      <c r="AW157" s="17"/>
      <c r="AX157" s="17"/>
      <c r="AY157" s="17"/>
      <c r="AZ157" s="18">
        <f t="shared" si="180"/>
        <v>68</v>
      </c>
      <c r="BA157" s="19">
        <f t="shared" si="181"/>
        <v>0.29059829059829062</v>
      </c>
    </row>
    <row r="158" spans="1:53" ht="17.100000000000001" customHeight="1" x14ac:dyDescent="0.25">
      <c r="A158" s="40"/>
      <c r="B158" s="40"/>
      <c r="C158" s="141" t="s">
        <v>120</v>
      </c>
      <c r="D158" s="85" t="s">
        <v>431</v>
      </c>
      <c r="E158" s="75"/>
      <c r="F158" s="75"/>
      <c r="G158" s="75"/>
      <c r="H158" s="540"/>
      <c r="I158" s="229"/>
      <c r="J158" s="583">
        <v>2</v>
      </c>
      <c r="K158" s="583"/>
      <c r="L158" s="584">
        <v>50</v>
      </c>
      <c r="M158" s="17">
        <f t="shared" si="165"/>
        <v>52</v>
      </c>
      <c r="N158" s="111"/>
      <c r="O158" s="111"/>
      <c r="P158" s="111"/>
      <c r="Q158" s="111"/>
      <c r="R158" s="111"/>
      <c r="S158" s="111"/>
      <c r="T158" s="111"/>
      <c r="U158" s="111"/>
      <c r="V158" s="358"/>
      <c r="W158" s="391">
        <f t="shared" si="166"/>
        <v>2</v>
      </c>
      <c r="X158" s="17">
        <f t="shared" si="167"/>
        <v>50</v>
      </c>
      <c r="Y158" s="18">
        <f t="shared" si="168"/>
        <v>52</v>
      </c>
      <c r="Z158" s="19">
        <f t="shared" si="173"/>
        <v>0.19847328244274809</v>
      </c>
      <c r="AA158" s="19"/>
      <c r="AB158" s="19"/>
      <c r="AC158" s="20"/>
      <c r="AE158" s="17"/>
      <c r="AF158" s="17"/>
      <c r="AG158" s="17"/>
      <c r="AH158" s="18">
        <f t="shared" si="174"/>
        <v>2</v>
      </c>
      <c r="AI158" s="19">
        <f t="shared" si="175"/>
        <v>0.125</v>
      </c>
      <c r="AK158" s="17"/>
      <c r="AL158" s="17"/>
      <c r="AM158" s="17"/>
      <c r="AN158" s="18">
        <f t="shared" si="176"/>
        <v>0</v>
      </c>
      <c r="AO158" s="19">
        <f t="shared" si="177"/>
        <v>0</v>
      </c>
      <c r="AQ158" s="17"/>
      <c r="AR158" s="17"/>
      <c r="AS158" s="17"/>
      <c r="AT158" s="18">
        <f t="shared" si="178"/>
        <v>2</v>
      </c>
      <c r="AU158" s="19">
        <f t="shared" si="179"/>
        <v>7.1428571428571425E-2</v>
      </c>
      <c r="AW158" s="17"/>
      <c r="AX158" s="17"/>
      <c r="AY158" s="17"/>
      <c r="AZ158" s="18">
        <f t="shared" si="180"/>
        <v>50</v>
      </c>
      <c r="BA158" s="19">
        <f t="shared" si="181"/>
        <v>0.21367521367521367</v>
      </c>
    </row>
    <row r="159" spans="1:53" ht="17.100000000000001" customHeight="1" x14ac:dyDescent="0.25">
      <c r="A159" s="40"/>
      <c r="B159" s="40"/>
      <c r="C159" s="141" t="s">
        <v>121</v>
      </c>
      <c r="D159" s="85" t="s">
        <v>432</v>
      </c>
      <c r="E159" s="75"/>
      <c r="F159" s="75"/>
      <c r="G159" s="75"/>
      <c r="H159" s="540"/>
      <c r="I159" s="229"/>
      <c r="J159" s="581"/>
      <c r="K159" s="581"/>
      <c r="L159" s="582">
        <v>25</v>
      </c>
      <c r="M159" s="17">
        <f t="shared" si="165"/>
        <v>25</v>
      </c>
      <c r="N159" s="111"/>
      <c r="O159" s="111"/>
      <c r="P159" s="111"/>
      <c r="Q159" s="111"/>
      <c r="R159" s="111"/>
      <c r="S159" s="111"/>
      <c r="T159" s="111"/>
      <c r="U159" s="111"/>
      <c r="V159" s="358"/>
      <c r="W159" s="391">
        <f t="shared" si="166"/>
        <v>0</v>
      </c>
      <c r="X159" s="17">
        <f t="shared" si="167"/>
        <v>25</v>
      </c>
      <c r="Y159" s="18">
        <f t="shared" si="168"/>
        <v>25</v>
      </c>
      <c r="Z159" s="19">
        <f t="shared" si="173"/>
        <v>9.5419847328244281E-2</v>
      </c>
      <c r="AA159" s="19"/>
      <c r="AB159" s="19"/>
      <c r="AC159" s="20"/>
      <c r="AE159" s="17"/>
      <c r="AF159" s="17"/>
      <c r="AG159" s="17"/>
      <c r="AH159" s="18">
        <f t="shared" si="174"/>
        <v>0</v>
      </c>
      <c r="AI159" s="19">
        <f t="shared" si="175"/>
        <v>0</v>
      </c>
      <c r="AK159" s="17"/>
      <c r="AL159" s="17"/>
      <c r="AM159" s="17"/>
      <c r="AN159" s="18">
        <f t="shared" si="176"/>
        <v>0</v>
      </c>
      <c r="AO159" s="19">
        <f t="shared" si="177"/>
        <v>0</v>
      </c>
      <c r="AQ159" s="17"/>
      <c r="AR159" s="17"/>
      <c r="AS159" s="17"/>
      <c r="AT159" s="18">
        <f t="shared" si="178"/>
        <v>0</v>
      </c>
      <c r="AU159" s="19">
        <f t="shared" si="179"/>
        <v>0</v>
      </c>
      <c r="AW159" s="17"/>
      <c r="AX159" s="17"/>
      <c r="AY159" s="17"/>
      <c r="AZ159" s="18">
        <f t="shared" si="180"/>
        <v>25</v>
      </c>
      <c r="BA159" s="19">
        <f t="shared" si="181"/>
        <v>0.10683760683760683</v>
      </c>
    </row>
    <row r="160" spans="1:53" ht="17.100000000000001" customHeight="1" x14ac:dyDescent="0.25">
      <c r="A160" s="40"/>
      <c r="B160" s="40"/>
      <c r="C160" s="141" t="s">
        <v>122</v>
      </c>
      <c r="D160" s="85" t="s">
        <v>129</v>
      </c>
      <c r="E160" s="75"/>
      <c r="F160" s="75"/>
      <c r="G160" s="75"/>
      <c r="H160" s="540"/>
      <c r="I160" s="229"/>
      <c r="J160" s="583"/>
      <c r="K160" s="583"/>
      <c r="L160" s="584"/>
      <c r="M160" s="17">
        <f t="shared" si="165"/>
        <v>0</v>
      </c>
      <c r="N160" s="111"/>
      <c r="O160" s="111"/>
      <c r="P160" s="111"/>
      <c r="Q160" s="111"/>
      <c r="R160" s="111"/>
      <c r="S160" s="111"/>
      <c r="T160" s="111"/>
      <c r="U160" s="111"/>
      <c r="V160" s="358"/>
      <c r="W160" s="391">
        <f t="shared" si="166"/>
        <v>0</v>
      </c>
      <c r="X160" s="17">
        <f t="shared" si="167"/>
        <v>0</v>
      </c>
      <c r="Y160" s="18">
        <f t="shared" si="168"/>
        <v>0</v>
      </c>
      <c r="Z160" s="19">
        <f t="shared" si="173"/>
        <v>0</v>
      </c>
      <c r="AA160" s="19"/>
      <c r="AB160" s="19"/>
      <c r="AC160" s="20"/>
      <c r="AE160" s="17"/>
      <c r="AF160" s="17"/>
      <c r="AG160" s="17"/>
      <c r="AH160" s="18">
        <f t="shared" si="174"/>
        <v>0</v>
      </c>
      <c r="AI160" s="19">
        <f t="shared" si="175"/>
        <v>0</v>
      </c>
      <c r="AK160" s="17"/>
      <c r="AL160" s="17"/>
      <c r="AM160" s="17"/>
      <c r="AN160" s="18">
        <f t="shared" si="176"/>
        <v>0</v>
      </c>
      <c r="AO160" s="19">
        <f t="shared" si="177"/>
        <v>0</v>
      </c>
      <c r="AQ160" s="17"/>
      <c r="AR160" s="17"/>
      <c r="AS160" s="17"/>
      <c r="AT160" s="18">
        <f t="shared" si="178"/>
        <v>0</v>
      </c>
      <c r="AU160" s="19">
        <f t="shared" si="179"/>
        <v>0</v>
      </c>
      <c r="AW160" s="17"/>
      <c r="AX160" s="17"/>
      <c r="AY160" s="17"/>
      <c r="AZ160" s="18">
        <f t="shared" si="180"/>
        <v>0</v>
      </c>
      <c r="BA160" s="19">
        <f t="shared" si="181"/>
        <v>0</v>
      </c>
    </row>
    <row r="161" spans="1:53" ht="17.100000000000001" customHeight="1" x14ac:dyDescent="0.25">
      <c r="A161" s="40"/>
      <c r="B161" s="40"/>
      <c r="C161" s="77"/>
      <c r="D161" s="144"/>
      <c r="E161" s="144"/>
      <c r="F161" s="145"/>
      <c r="G161" s="145"/>
      <c r="H161" s="119"/>
      <c r="I161" s="236"/>
      <c r="J161" s="64">
        <f>SUM(J155:J160)</f>
        <v>16</v>
      </c>
      <c r="K161" s="64">
        <f t="shared" ref="K161:M161" si="182">SUM(K155:K160)</f>
        <v>12</v>
      </c>
      <c r="L161" s="64">
        <f t="shared" si="182"/>
        <v>234</v>
      </c>
      <c r="M161" s="64">
        <f t="shared" si="182"/>
        <v>262</v>
      </c>
      <c r="N161" s="64"/>
      <c r="O161" s="64"/>
      <c r="P161" s="64"/>
      <c r="Q161" s="81"/>
      <c r="R161" s="81"/>
      <c r="S161" s="81"/>
      <c r="T161" s="81"/>
      <c r="U161" s="81"/>
      <c r="V161" s="356"/>
      <c r="W161" s="381">
        <f>SUM(W155:W160)</f>
        <v>28</v>
      </c>
      <c r="X161" s="82">
        <f t="shared" ref="X161:Y161" si="183">SUM(X155:X160)</f>
        <v>234</v>
      </c>
      <c r="Y161" s="82">
        <f t="shared" si="183"/>
        <v>262</v>
      </c>
      <c r="Z161" s="205">
        <f t="shared" si="173"/>
        <v>1</v>
      </c>
      <c r="AA161" s="205"/>
      <c r="AB161" s="205"/>
      <c r="AC161" s="83"/>
      <c r="AE161" s="80"/>
      <c r="AF161" s="80"/>
      <c r="AG161" s="81"/>
      <c r="AH161" s="82">
        <f>SUM(AH155:AH160)</f>
        <v>16</v>
      </c>
      <c r="AI161" s="66">
        <f t="shared" si="175"/>
        <v>1</v>
      </c>
      <c r="AK161" s="80"/>
      <c r="AL161" s="80"/>
      <c r="AM161" s="81"/>
      <c r="AN161" s="82">
        <f>SUM(AN155:AN160)</f>
        <v>12</v>
      </c>
      <c r="AO161" s="66">
        <f t="shared" si="177"/>
        <v>1</v>
      </c>
      <c r="AQ161" s="80"/>
      <c r="AR161" s="80"/>
      <c r="AS161" s="81"/>
      <c r="AT161" s="82">
        <f>SUM(AT155:AT160)</f>
        <v>28</v>
      </c>
      <c r="AU161" s="66">
        <f t="shared" si="179"/>
        <v>1</v>
      </c>
      <c r="AW161" s="80"/>
      <c r="AX161" s="80"/>
      <c r="AY161" s="81"/>
      <c r="AZ161" s="82">
        <f>SUM(AZ155:AZ160)</f>
        <v>234</v>
      </c>
      <c r="BA161" s="66">
        <f t="shared" si="181"/>
        <v>1</v>
      </c>
    </row>
    <row r="162" spans="1:53" s="117" customFormat="1" ht="17.100000000000001" customHeight="1" x14ac:dyDescent="0.25">
      <c r="A162" s="68"/>
      <c r="B162" s="119"/>
      <c r="C162" s="540"/>
      <c r="D162" s="261"/>
      <c r="E162" s="261"/>
      <c r="F162" s="68"/>
      <c r="G162" s="68"/>
      <c r="H162" s="119"/>
      <c r="I162" s="138"/>
      <c r="J162" s="17" t="str">
        <f>IF(J161=J$15,"OK","NOK")</f>
        <v>OK</v>
      </c>
      <c r="K162" s="17" t="str">
        <f t="shared" ref="K162" si="184">IF(K161=K$15,"OK","NOK")</f>
        <v>OK</v>
      </c>
      <c r="L162" s="17" t="str">
        <f t="shared" ref="L162" si="185">IF(L161=L$15,"OK","NOK")</f>
        <v>OK</v>
      </c>
      <c r="M162" s="17"/>
      <c r="N162" s="17"/>
      <c r="O162" s="17"/>
      <c r="P162" s="17"/>
      <c r="Q162" s="17"/>
      <c r="R162" s="17"/>
      <c r="S162" s="17"/>
      <c r="T162" s="17"/>
      <c r="U162" s="17"/>
      <c r="V162" s="359"/>
      <c r="W162" s="382"/>
      <c r="X162" s="539"/>
      <c r="Y162" s="539"/>
      <c r="Z162" s="201"/>
      <c r="AA162" s="201"/>
      <c r="AB162" s="201"/>
      <c r="AC162" s="84"/>
      <c r="AE162" s="46"/>
      <c r="AF162" s="46"/>
      <c r="AG162" s="17"/>
      <c r="AH162" s="539"/>
      <c r="AI162" s="91"/>
      <c r="AK162" s="46"/>
      <c r="AL162" s="46"/>
      <c r="AM162" s="17"/>
      <c r="AN162" s="539"/>
      <c r="AO162" s="91"/>
      <c r="AQ162" s="46"/>
      <c r="AR162" s="46"/>
      <c r="AS162" s="17"/>
      <c r="AT162" s="539"/>
      <c r="AU162" s="91"/>
      <c r="AW162" s="46"/>
      <c r="AX162" s="46"/>
      <c r="AY162" s="17"/>
      <c r="AZ162" s="539"/>
      <c r="BA162" s="91"/>
    </row>
    <row r="163" spans="1:53" ht="17.100000000000001" customHeight="1" x14ac:dyDescent="0.25">
      <c r="A163" s="68"/>
      <c r="B163" s="41" t="s">
        <v>123</v>
      </c>
      <c r="C163" s="49" t="s">
        <v>426</v>
      </c>
      <c r="D163" s="50"/>
      <c r="E163" s="70"/>
      <c r="F163" s="70"/>
      <c r="G163" s="70"/>
      <c r="H163" s="243">
        <v>8</v>
      </c>
      <c r="J163" s="71"/>
      <c r="K163" s="71"/>
      <c r="L163" s="71"/>
      <c r="M163" s="71"/>
      <c r="N163" s="71"/>
      <c r="O163" s="71"/>
      <c r="P163" s="71"/>
      <c r="Q163" s="71"/>
      <c r="R163" s="71"/>
      <c r="S163" s="71"/>
      <c r="T163" s="71"/>
      <c r="U163" s="71"/>
      <c r="V163" s="355"/>
      <c r="W163" s="377"/>
      <c r="X163" s="71"/>
      <c r="Y163" s="72"/>
      <c r="Z163" s="73"/>
      <c r="AA163" s="73"/>
      <c r="AB163" s="73"/>
      <c r="AC163" s="73"/>
      <c r="AE163" s="71"/>
      <c r="AF163" s="71"/>
      <c r="AG163" s="71"/>
      <c r="AH163" s="72"/>
      <c r="AI163" s="73"/>
      <c r="AK163" s="71"/>
      <c r="AL163" s="71"/>
      <c r="AM163" s="71"/>
      <c r="AN163" s="72"/>
      <c r="AO163" s="73"/>
      <c r="AQ163" s="71"/>
      <c r="AR163" s="71"/>
      <c r="AS163" s="71"/>
      <c r="AT163" s="72"/>
      <c r="AU163" s="73"/>
      <c r="AW163" s="71"/>
      <c r="AX163" s="71"/>
      <c r="AY163" s="71"/>
      <c r="AZ163" s="72"/>
      <c r="BA163" s="73"/>
    </row>
    <row r="164" spans="1:53" ht="17.100000000000001" customHeight="1" x14ac:dyDescent="0.25">
      <c r="A164" s="40"/>
      <c r="B164" s="40"/>
      <c r="C164" s="74" t="s">
        <v>125</v>
      </c>
      <c r="D164" s="75" t="s">
        <v>148</v>
      </c>
      <c r="E164" s="75"/>
      <c r="F164" s="75"/>
      <c r="G164" s="75"/>
      <c r="H164" s="540"/>
      <c r="I164" s="229"/>
      <c r="J164" s="581">
        <v>12</v>
      </c>
      <c r="K164" s="581">
        <v>10</v>
      </c>
      <c r="L164" s="582">
        <v>183</v>
      </c>
      <c r="M164" s="17">
        <f t="shared" ref="M164:M165" si="186">SUM(J164:L164)</f>
        <v>205</v>
      </c>
      <c r="N164" s="111"/>
      <c r="O164" s="111"/>
      <c r="P164" s="111"/>
      <c r="Q164" s="111"/>
      <c r="R164" s="111"/>
      <c r="S164" s="111"/>
      <c r="T164" s="111"/>
      <c r="U164" s="111"/>
      <c r="V164" s="358"/>
      <c r="W164" s="391">
        <f t="shared" ref="W164:W165" si="187">J164+K164+N164+Q164+T164</f>
        <v>22</v>
      </c>
      <c r="X164" s="17">
        <f t="shared" ref="X164:X165" si="188">L164+O164+R164+U164</f>
        <v>183</v>
      </c>
      <c r="Y164" s="18">
        <f>SUM(W164:X164)</f>
        <v>205</v>
      </c>
      <c r="Z164" s="19">
        <f>IF($Y$166=0,0,Y164/$Y$166)</f>
        <v>0.78244274809160308</v>
      </c>
      <c r="AA164" s="19"/>
      <c r="AB164" s="19"/>
      <c r="AC164" s="20"/>
      <c r="AE164" s="17"/>
      <c r="AF164" s="17"/>
      <c r="AG164" s="17"/>
      <c r="AH164" s="18">
        <f t="shared" ref="AH164:AH165" si="189">J164</f>
        <v>12</v>
      </c>
      <c r="AI164" s="19">
        <f>IF(AH$166=0,0,AH164/AH$166)</f>
        <v>0.75</v>
      </c>
      <c r="AK164" s="17"/>
      <c r="AL164" s="17"/>
      <c r="AM164" s="17"/>
      <c r="AN164" s="18">
        <f t="shared" ref="AN164:AN165" si="190">K164</f>
        <v>10</v>
      </c>
      <c r="AO164" s="19">
        <f>IF(AN$166=0,0,AN164/AN$166)</f>
        <v>0.83333333333333337</v>
      </c>
      <c r="AQ164" s="17"/>
      <c r="AR164" s="17"/>
      <c r="AS164" s="17"/>
      <c r="AT164" s="18">
        <f t="shared" ref="AT164:AT165" si="191">W164</f>
        <v>22</v>
      </c>
      <c r="AU164" s="19">
        <f>IF(AT$166=0,0,AT164/AT$166)</f>
        <v>0.7857142857142857</v>
      </c>
      <c r="AW164" s="17"/>
      <c r="AX164" s="17"/>
      <c r="AY164" s="17"/>
      <c r="AZ164" s="18">
        <f t="shared" ref="AZ164:AZ165" si="192">X164</f>
        <v>183</v>
      </c>
      <c r="BA164" s="19">
        <f>IF(AZ$166=0,0,AZ164/AZ$166)</f>
        <v>0.78205128205128205</v>
      </c>
    </row>
    <row r="165" spans="1:53" ht="17.100000000000001" customHeight="1" x14ac:dyDescent="0.25">
      <c r="A165" s="40"/>
      <c r="B165" s="40"/>
      <c r="C165" s="74" t="s">
        <v>126</v>
      </c>
      <c r="D165" s="75" t="s">
        <v>149</v>
      </c>
      <c r="E165" s="75"/>
      <c r="F165" s="75"/>
      <c r="G165" s="75"/>
      <c r="H165" s="540"/>
      <c r="I165" s="229"/>
      <c r="J165" s="583">
        <v>4</v>
      </c>
      <c r="K165" s="583">
        <v>2</v>
      </c>
      <c r="L165" s="584">
        <v>51</v>
      </c>
      <c r="M165" s="17">
        <f t="shared" si="186"/>
        <v>57</v>
      </c>
      <c r="N165" s="111"/>
      <c r="O165" s="111"/>
      <c r="P165" s="111"/>
      <c r="Q165" s="111"/>
      <c r="R165" s="111"/>
      <c r="S165" s="111"/>
      <c r="T165" s="111"/>
      <c r="U165" s="111"/>
      <c r="V165" s="358"/>
      <c r="W165" s="391">
        <f t="shared" si="187"/>
        <v>6</v>
      </c>
      <c r="X165" s="17">
        <f t="shared" si="188"/>
        <v>51</v>
      </c>
      <c r="Y165" s="18">
        <f>SUM(W165:X165)</f>
        <v>57</v>
      </c>
      <c r="Z165" s="19">
        <f t="shared" ref="Z165:Z166" si="193">IF($Y$166=0,0,Y165/$Y$166)</f>
        <v>0.21755725190839695</v>
      </c>
      <c r="AA165" s="19"/>
      <c r="AB165" s="19"/>
      <c r="AC165" s="20"/>
      <c r="AE165" s="17"/>
      <c r="AF165" s="17"/>
      <c r="AG165" s="17"/>
      <c r="AH165" s="18">
        <f t="shared" si="189"/>
        <v>4</v>
      </c>
      <c r="AI165" s="19">
        <f t="shared" ref="AI165:AI166" si="194">IF(AH$166=0,0,AH165/AH$166)</f>
        <v>0.25</v>
      </c>
      <c r="AK165" s="17"/>
      <c r="AL165" s="17"/>
      <c r="AM165" s="17"/>
      <c r="AN165" s="18">
        <f t="shared" si="190"/>
        <v>2</v>
      </c>
      <c r="AO165" s="19">
        <f t="shared" ref="AO165:AO166" si="195">IF(AN$166=0,0,AN165/AN$166)</f>
        <v>0.16666666666666666</v>
      </c>
      <c r="AQ165" s="17"/>
      <c r="AR165" s="17"/>
      <c r="AS165" s="17"/>
      <c r="AT165" s="18">
        <f t="shared" si="191"/>
        <v>6</v>
      </c>
      <c r="AU165" s="19">
        <f t="shared" ref="AU165:AU166" si="196">IF(AT$166=0,0,AT165/AT$166)</f>
        <v>0.21428571428571427</v>
      </c>
      <c r="AW165" s="17"/>
      <c r="AX165" s="17"/>
      <c r="AY165" s="17"/>
      <c r="AZ165" s="18">
        <f t="shared" si="192"/>
        <v>51</v>
      </c>
      <c r="BA165" s="19">
        <f t="shared" ref="BA165:BA166" si="197">IF(AZ$166=0,0,AZ165/AZ$166)</f>
        <v>0.21794871794871795</v>
      </c>
    </row>
    <row r="166" spans="1:53" ht="17.100000000000001" customHeight="1" x14ac:dyDescent="0.25">
      <c r="A166" s="40"/>
      <c r="B166" s="40"/>
      <c r="C166" s="77"/>
      <c r="D166" s="144"/>
      <c r="E166" s="144"/>
      <c r="F166" s="145"/>
      <c r="G166" s="145"/>
      <c r="H166" s="119"/>
      <c r="I166" s="236"/>
      <c r="J166" s="64">
        <f>SUM(J164:J165)</f>
        <v>16</v>
      </c>
      <c r="K166" s="64">
        <f t="shared" ref="K166:M166" si="198">SUM(K164:K165)</f>
        <v>12</v>
      </c>
      <c r="L166" s="64">
        <f t="shared" si="198"/>
        <v>234</v>
      </c>
      <c r="M166" s="64">
        <f t="shared" si="198"/>
        <v>262</v>
      </c>
      <c r="N166" s="64"/>
      <c r="O166" s="64"/>
      <c r="P166" s="64"/>
      <c r="Q166" s="81"/>
      <c r="R166" s="81"/>
      <c r="S166" s="81"/>
      <c r="T166" s="81"/>
      <c r="U166" s="81"/>
      <c r="V166" s="356"/>
      <c r="W166" s="381">
        <f>SUM(W164:W165)</f>
        <v>28</v>
      </c>
      <c r="X166" s="82">
        <f t="shared" ref="X166:Y166" si="199">SUM(X164:X165)</f>
        <v>234</v>
      </c>
      <c r="Y166" s="82">
        <f t="shared" si="199"/>
        <v>262</v>
      </c>
      <c r="Z166" s="205">
        <f t="shared" si="193"/>
        <v>1</v>
      </c>
      <c r="AA166" s="205"/>
      <c r="AB166" s="205"/>
      <c r="AC166" s="83"/>
      <c r="AE166" s="80"/>
      <c r="AF166" s="80"/>
      <c r="AG166" s="81"/>
      <c r="AH166" s="82">
        <f>SUM(AH164:AH165)</f>
        <v>16</v>
      </c>
      <c r="AI166" s="66">
        <f t="shared" si="194"/>
        <v>1</v>
      </c>
      <c r="AK166" s="80"/>
      <c r="AL166" s="80"/>
      <c r="AM166" s="81"/>
      <c r="AN166" s="82">
        <f>SUM(AN164:AN165)</f>
        <v>12</v>
      </c>
      <c r="AO166" s="66">
        <f t="shared" si="195"/>
        <v>1</v>
      </c>
      <c r="AQ166" s="80"/>
      <c r="AR166" s="80"/>
      <c r="AS166" s="81"/>
      <c r="AT166" s="82">
        <f>SUM(AT164:AT165)</f>
        <v>28</v>
      </c>
      <c r="AU166" s="66">
        <f t="shared" si="196"/>
        <v>1</v>
      </c>
      <c r="AW166" s="80"/>
      <c r="AX166" s="80"/>
      <c r="AY166" s="81"/>
      <c r="AZ166" s="82">
        <f>SUM(AZ164:AZ165)</f>
        <v>234</v>
      </c>
      <c r="BA166" s="66">
        <f t="shared" si="197"/>
        <v>1</v>
      </c>
    </row>
    <row r="167" spans="1:53" s="117" customFormat="1" ht="17.100000000000001" customHeight="1" x14ac:dyDescent="0.25">
      <c r="A167" s="68"/>
      <c r="B167" s="119"/>
      <c r="C167" s="540"/>
      <c r="D167" s="261"/>
      <c r="E167" s="261"/>
      <c r="F167" s="68"/>
      <c r="G167" s="68"/>
      <c r="H167" s="119"/>
      <c r="I167" s="138"/>
      <c r="J167" s="17" t="str">
        <f>IF(J166=J$15,"OK","NOK")</f>
        <v>OK</v>
      </c>
      <c r="K167" s="17" t="str">
        <f t="shared" ref="K167" si="200">IF(K166=K$15,"OK","NOK")</f>
        <v>OK</v>
      </c>
      <c r="L167" s="17" t="str">
        <f t="shared" ref="L167" si="201">IF(L166=L$15,"OK","NOK")</f>
        <v>OK</v>
      </c>
      <c r="M167" s="17"/>
      <c r="N167" s="17"/>
      <c r="O167" s="17"/>
      <c r="P167" s="17"/>
      <c r="Q167" s="17"/>
      <c r="R167" s="17"/>
      <c r="S167" s="17"/>
      <c r="T167" s="17"/>
      <c r="U167" s="17"/>
      <c r="V167" s="359"/>
      <c r="W167" s="382"/>
      <c r="X167" s="539"/>
      <c r="Y167" s="539"/>
      <c r="Z167" s="201"/>
      <c r="AA167" s="201"/>
      <c r="AB167" s="201"/>
      <c r="AC167" s="84"/>
      <c r="AE167" s="46"/>
      <c r="AF167" s="46"/>
      <c r="AG167" s="17"/>
      <c r="AH167" s="539"/>
      <c r="AI167" s="91"/>
      <c r="AK167" s="46"/>
      <c r="AL167" s="46"/>
      <c r="AM167" s="17"/>
      <c r="AN167" s="539"/>
      <c r="AO167" s="91"/>
      <c r="AQ167" s="46"/>
      <c r="AR167" s="46"/>
      <c r="AS167" s="17"/>
      <c r="AT167" s="539"/>
      <c r="AU167" s="91"/>
      <c r="AW167" s="46"/>
      <c r="AX167" s="46"/>
      <c r="AY167" s="17"/>
      <c r="AZ167" s="539"/>
      <c r="BA167" s="91"/>
    </row>
    <row r="168" spans="1:53" ht="17.100000000000001" customHeight="1" x14ac:dyDescent="0.25">
      <c r="A168" s="68"/>
      <c r="B168" s="41" t="s">
        <v>130</v>
      </c>
      <c r="C168" s="69" t="s">
        <v>413</v>
      </c>
      <c r="D168" s="50"/>
      <c r="E168" s="70"/>
      <c r="F168" s="70"/>
      <c r="G168" s="70"/>
      <c r="H168" s="119"/>
      <c r="J168" s="71"/>
      <c r="K168" s="71"/>
      <c r="L168" s="71"/>
      <c r="M168" s="71"/>
      <c r="N168" s="71"/>
      <c r="O168" s="71"/>
      <c r="P168" s="71"/>
      <c r="Q168" s="71"/>
      <c r="R168" s="71"/>
      <c r="S168" s="71"/>
      <c r="T168" s="71"/>
      <c r="U168" s="71"/>
      <c r="V168" s="355"/>
      <c r="W168" s="377"/>
      <c r="X168" s="71"/>
      <c r="Y168" s="72"/>
      <c r="Z168" s="73"/>
      <c r="AA168" s="73"/>
      <c r="AB168" s="73"/>
      <c r="AC168" s="73"/>
      <c r="AE168" s="71"/>
      <c r="AF168" s="71"/>
      <c r="AG168" s="71"/>
      <c r="AH168" s="72"/>
      <c r="AI168" s="73"/>
      <c r="AK168" s="71"/>
      <c r="AL168" s="71"/>
      <c r="AM168" s="71"/>
      <c r="AN168" s="72"/>
      <c r="AO168" s="73"/>
      <c r="AQ168" s="71"/>
      <c r="AR168" s="71"/>
      <c r="AS168" s="71"/>
      <c r="AT168" s="72"/>
      <c r="AU168" s="73"/>
      <c r="AW168" s="71"/>
      <c r="AX168" s="71"/>
      <c r="AY168" s="71"/>
      <c r="AZ168" s="72"/>
      <c r="BA168" s="73"/>
    </row>
    <row r="169" spans="1:53" ht="17.100000000000001" customHeight="1" x14ac:dyDescent="0.25">
      <c r="A169" s="40"/>
      <c r="B169" s="40"/>
      <c r="C169" s="74" t="s">
        <v>131</v>
      </c>
      <c r="D169" s="542" t="s">
        <v>457</v>
      </c>
      <c r="E169" s="542"/>
      <c r="F169" s="542"/>
      <c r="G169" s="542"/>
      <c r="H169" s="540"/>
      <c r="I169" s="235"/>
      <c r="J169" s="111"/>
      <c r="K169" s="111"/>
      <c r="L169" s="111"/>
      <c r="M169" s="111"/>
      <c r="N169" s="60"/>
      <c r="O169" s="60"/>
      <c r="P169" s="17">
        <f>SUM(N169:O169)</f>
        <v>0</v>
      </c>
      <c r="Q169" s="60"/>
      <c r="R169" s="60"/>
      <c r="S169" s="17">
        <f>SUM(Q169:R169)</f>
        <v>0</v>
      </c>
      <c r="T169" s="60"/>
      <c r="U169" s="60"/>
      <c r="V169" s="359">
        <f>SUM(T169:U169)</f>
        <v>0</v>
      </c>
      <c r="W169" s="391">
        <f t="shared" ref="W169:W173" si="202">J169+K169+N169+Q169+T169</f>
        <v>0</v>
      </c>
      <c r="X169" s="17">
        <f t="shared" ref="X169:X173" si="203">L169+O169+R169+U169</f>
        <v>0</v>
      </c>
      <c r="Y169" s="18">
        <f>SUM(W169:X169)</f>
        <v>0</v>
      </c>
      <c r="Z169" s="19">
        <f t="shared" ref="Z169:Z174" si="204">IF(Y$174=0,0,Y169/Y$174)</f>
        <v>0</v>
      </c>
      <c r="AA169" s="19"/>
      <c r="AB169" s="19"/>
      <c r="AC169" s="20"/>
      <c r="AE169" s="111"/>
      <c r="AF169" s="111"/>
      <c r="AG169" s="111"/>
      <c r="AH169" s="112"/>
      <c r="AI169" s="113"/>
      <c r="AK169" s="111"/>
      <c r="AL169" s="111"/>
      <c r="AM169" s="111"/>
      <c r="AN169" s="112"/>
      <c r="AO169" s="113"/>
      <c r="AQ169" s="17"/>
      <c r="AR169" s="17"/>
      <c r="AS169" s="17"/>
      <c r="AT169" s="18">
        <f t="shared" ref="AT169" si="205">W169</f>
        <v>0</v>
      </c>
      <c r="AU169" s="19">
        <f t="shared" ref="AU169:AU174" si="206">IF(AT$174=0,0,AT169/AT$174)</f>
        <v>0</v>
      </c>
      <c r="AW169" s="17"/>
      <c r="AX169" s="17"/>
      <c r="AY169" s="17"/>
      <c r="AZ169" s="18">
        <f t="shared" ref="AZ169" si="207">X169</f>
        <v>0</v>
      </c>
      <c r="BA169" s="19">
        <f t="shared" ref="BA169:BA174" si="208">IF(AZ$174=0,0,AZ169/AZ$174)</f>
        <v>0</v>
      </c>
    </row>
    <row r="170" spans="1:53" ht="17.100000000000001" customHeight="1" x14ac:dyDescent="0.25">
      <c r="A170" s="40"/>
      <c r="B170" s="40"/>
      <c r="C170" s="74" t="s">
        <v>132</v>
      </c>
      <c r="D170" s="542" t="s">
        <v>459</v>
      </c>
      <c r="E170" s="542"/>
      <c r="F170" s="542"/>
      <c r="G170" s="542"/>
      <c r="H170" s="540"/>
      <c r="I170" s="235"/>
      <c r="J170" s="111"/>
      <c r="K170" s="111"/>
      <c r="L170" s="111"/>
      <c r="M170" s="111"/>
      <c r="N170" s="61"/>
      <c r="O170" s="61"/>
      <c r="P170" s="17">
        <f>SUM(N170:O170)</f>
        <v>0</v>
      </c>
      <c r="Q170" s="61"/>
      <c r="R170" s="61"/>
      <c r="S170" s="17">
        <f>SUM(Q170:R170)</f>
        <v>0</v>
      </c>
      <c r="T170" s="61"/>
      <c r="U170" s="61"/>
      <c r="V170" s="359">
        <f>SUM(T170:U170)</f>
        <v>0</v>
      </c>
      <c r="W170" s="391">
        <f t="shared" si="202"/>
        <v>0</v>
      </c>
      <c r="X170" s="17">
        <f t="shared" si="203"/>
        <v>0</v>
      </c>
      <c r="Y170" s="18">
        <f>SUM(W170:X170)</f>
        <v>0</v>
      </c>
      <c r="Z170" s="19">
        <f t="shared" si="204"/>
        <v>0</v>
      </c>
      <c r="AA170" s="19"/>
      <c r="AB170" s="19"/>
      <c r="AC170" s="20"/>
      <c r="AE170" s="111"/>
      <c r="AF170" s="111"/>
      <c r="AG170" s="111"/>
      <c r="AH170" s="112"/>
      <c r="AI170" s="113"/>
      <c r="AK170" s="111"/>
      <c r="AL170" s="111"/>
      <c r="AM170" s="111"/>
      <c r="AN170" s="112"/>
      <c r="AO170" s="113"/>
      <c r="AQ170" s="17"/>
      <c r="AR170" s="17"/>
      <c r="AS170" s="17"/>
      <c r="AT170" s="18">
        <f t="shared" ref="AT170:AT173" si="209">W170</f>
        <v>0</v>
      </c>
      <c r="AU170" s="19">
        <f t="shared" si="206"/>
        <v>0</v>
      </c>
      <c r="AW170" s="17"/>
      <c r="AX170" s="17"/>
      <c r="AY170" s="17"/>
      <c r="AZ170" s="18">
        <f t="shared" ref="AZ170:AZ173" si="210">X170</f>
        <v>0</v>
      </c>
      <c r="BA170" s="19">
        <f t="shared" si="208"/>
        <v>0</v>
      </c>
    </row>
    <row r="171" spans="1:53" ht="17.100000000000001" customHeight="1" x14ac:dyDescent="0.25">
      <c r="A171" s="40"/>
      <c r="B171" s="40"/>
      <c r="C171" s="74" t="s">
        <v>133</v>
      </c>
      <c r="D171" s="542" t="s">
        <v>460</v>
      </c>
      <c r="E171" s="542"/>
      <c r="F171" s="542"/>
      <c r="G171" s="542"/>
      <c r="H171" s="540"/>
      <c r="I171" s="235"/>
      <c r="J171" s="111"/>
      <c r="K171" s="111"/>
      <c r="L171" s="111"/>
      <c r="M171" s="111"/>
      <c r="N171" s="60">
        <v>5</v>
      </c>
      <c r="O171" s="60">
        <v>1</v>
      </c>
      <c r="P171" s="17">
        <f>SUM(N171:O171)</f>
        <v>6</v>
      </c>
      <c r="Q171" s="60"/>
      <c r="R171" s="60"/>
      <c r="S171" s="17">
        <f>SUM(Q171:R171)</f>
        <v>0</v>
      </c>
      <c r="T171" s="60"/>
      <c r="U171" s="60"/>
      <c r="V171" s="359">
        <f>SUM(T171:U171)</f>
        <v>0</v>
      </c>
      <c r="W171" s="391">
        <f t="shared" si="202"/>
        <v>5</v>
      </c>
      <c r="X171" s="17">
        <f t="shared" si="203"/>
        <v>1</v>
      </c>
      <c r="Y171" s="18">
        <f>SUM(W171:X171)</f>
        <v>6</v>
      </c>
      <c r="Z171" s="19">
        <f t="shared" si="204"/>
        <v>0.4</v>
      </c>
      <c r="AA171" s="19"/>
      <c r="AB171" s="19"/>
      <c r="AC171" s="20"/>
      <c r="AE171" s="111"/>
      <c r="AF171" s="111"/>
      <c r="AG171" s="111"/>
      <c r="AH171" s="112"/>
      <c r="AI171" s="113"/>
      <c r="AK171" s="111"/>
      <c r="AL171" s="111"/>
      <c r="AM171" s="111"/>
      <c r="AN171" s="112"/>
      <c r="AO171" s="113"/>
      <c r="AQ171" s="17"/>
      <c r="AR171" s="17"/>
      <c r="AS171" s="17"/>
      <c r="AT171" s="18">
        <f t="shared" si="209"/>
        <v>5</v>
      </c>
      <c r="AU171" s="19">
        <f t="shared" si="206"/>
        <v>0.7142857142857143</v>
      </c>
      <c r="AW171" s="17"/>
      <c r="AX171" s="17"/>
      <c r="AY171" s="17"/>
      <c r="AZ171" s="18">
        <f t="shared" si="210"/>
        <v>1</v>
      </c>
      <c r="BA171" s="19">
        <f t="shared" si="208"/>
        <v>0.125</v>
      </c>
    </row>
    <row r="172" spans="1:53" ht="17.100000000000001" customHeight="1" x14ac:dyDescent="0.25">
      <c r="A172" s="40"/>
      <c r="B172" s="40"/>
      <c r="C172" s="74" t="s">
        <v>134</v>
      </c>
      <c r="D172" s="542" t="s">
        <v>461</v>
      </c>
      <c r="E172" s="542"/>
      <c r="F172" s="542"/>
      <c r="G172" s="542"/>
      <c r="H172" s="540"/>
      <c r="I172" s="235"/>
      <c r="J172" s="111"/>
      <c r="K172" s="111"/>
      <c r="L172" s="111"/>
      <c r="M172" s="111"/>
      <c r="N172" s="61">
        <v>1</v>
      </c>
      <c r="O172" s="61">
        <v>2</v>
      </c>
      <c r="P172" s="17">
        <f>SUM(N172:O172)</f>
        <v>3</v>
      </c>
      <c r="Q172" s="61">
        <v>1</v>
      </c>
      <c r="R172" s="61">
        <v>5</v>
      </c>
      <c r="S172" s="17">
        <f>SUM(Q172:R172)</f>
        <v>6</v>
      </c>
      <c r="T172" s="61"/>
      <c r="U172" s="61"/>
      <c r="V172" s="359">
        <f>SUM(T172:U172)</f>
        <v>0</v>
      </c>
      <c r="W172" s="391">
        <f t="shared" si="202"/>
        <v>2</v>
      </c>
      <c r="X172" s="17">
        <f t="shared" si="203"/>
        <v>7</v>
      </c>
      <c r="Y172" s="18">
        <f>SUM(W172:X172)</f>
        <v>9</v>
      </c>
      <c r="Z172" s="19">
        <f t="shared" si="204"/>
        <v>0.6</v>
      </c>
      <c r="AA172" s="19"/>
      <c r="AB172" s="19"/>
      <c r="AC172" s="20"/>
      <c r="AE172" s="111"/>
      <c r="AF172" s="111"/>
      <c r="AG172" s="111"/>
      <c r="AH172" s="112"/>
      <c r="AI172" s="113"/>
      <c r="AK172" s="111"/>
      <c r="AL172" s="111"/>
      <c r="AM172" s="111"/>
      <c r="AN172" s="112"/>
      <c r="AO172" s="113"/>
      <c r="AQ172" s="17"/>
      <c r="AR172" s="17"/>
      <c r="AS172" s="17"/>
      <c r="AT172" s="18">
        <f t="shared" si="209"/>
        <v>2</v>
      </c>
      <c r="AU172" s="19">
        <f t="shared" si="206"/>
        <v>0.2857142857142857</v>
      </c>
      <c r="AW172" s="17"/>
      <c r="AX172" s="17"/>
      <c r="AY172" s="17"/>
      <c r="AZ172" s="18">
        <f t="shared" si="210"/>
        <v>7</v>
      </c>
      <c r="BA172" s="19">
        <f t="shared" si="208"/>
        <v>0.875</v>
      </c>
    </row>
    <row r="173" spans="1:53" ht="17.100000000000001" customHeight="1" x14ac:dyDescent="0.25">
      <c r="A173" s="40"/>
      <c r="B173" s="40"/>
      <c r="C173" s="74" t="s">
        <v>135</v>
      </c>
      <c r="D173" s="542" t="s">
        <v>458</v>
      </c>
      <c r="E173" s="542"/>
      <c r="F173" s="542"/>
      <c r="G173" s="542"/>
      <c r="H173" s="540"/>
      <c r="I173" s="235"/>
      <c r="J173" s="111"/>
      <c r="K173" s="111"/>
      <c r="L173" s="111"/>
      <c r="M173" s="111"/>
      <c r="N173" s="60"/>
      <c r="O173" s="60"/>
      <c r="P173" s="17">
        <f>SUM(N173:O173)</f>
        <v>0</v>
      </c>
      <c r="Q173" s="60"/>
      <c r="R173" s="60"/>
      <c r="S173" s="17">
        <f>SUM(Q173:R173)</f>
        <v>0</v>
      </c>
      <c r="T173" s="60"/>
      <c r="U173" s="60"/>
      <c r="V173" s="359">
        <f>SUM(T173:U173)</f>
        <v>0</v>
      </c>
      <c r="W173" s="391">
        <f t="shared" si="202"/>
        <v>0</v>
      </c>
      <c r="X173" s="17">
        <f t="shared" si="203"/>
        <v>0</v>
      </c>
      <c r="Y173" s="18">
        <f>SUM(W173:X173)</f>
        <v>0</v>
      </c>
      <c r="Z173" s="19">
        <f t="shared" si="204"/>
        <v>0</v>
      </c>
      <c r="AA173" s="19"/>
      <c r="AB173" s="19"/>
      <c r="AC173" s="20"/>
      <c r="AE173" s="111"/>
      <c r="AF173" s="111"/>
      <c r="AG173" s="111"/>
      <c r="AH173" s="112"/>
      <c r="AI173" s="113"/>
      <c r="AK173" s="111"/>
      <c r="AL173" s="111"/>
      <c r="AM173" s="111"/>
      <c r="AN173" s="112"/>
      <c r="AO173" s="113"/>
      <c r="AQ173" s="17"/>
      <c r="AR173" s="17"/>
      <c r="AS173" s="17"/>
      <c r="AT173" s="18">
        <f t="shared" si="209"/>
        <v>0</v>
      </c>
      <c r="AU173" s="19">
        <f t="shared" si="206"/>
        <v>0</v>
      </c>
      <c r="AW173" s="17"/>
      <c r="AX173" s="17"/>
      <c r="AY173" s="17"/>
      <c r="AZ173" s="18">
        <f t="shared" si="210"/>
        <v>0</v>
      </c>
      <c r="BA173" s="19">
        <f t="shared" si="208"/>
        <v>0</v>
      </c>
    </row>
    <row r="174" spans="1:53" ht="17.100000000000001" customHeight="1" x14ac:dyDescent="0.25">
      <c r="A174" s="40"/>
      <c r="B174" s="40"/>
      <c r="C174" s="77"/>
      <c r="D174" s="144"/>
      <c r="E174" s="144"/>
      <c r="F174" s="145"/>
      <c r="G174" s="145"/>
      <c r="H174" s="119"/>
      <c r="I174" s="236"/>
      <c r="J174" s="80"/>
      <c r="K174" s="80"/>
      <c r="L174" s="81"/>
      <c r="M174" s="81"/>
      <c r="N174" s="81">
        <f t="shared" ref="N174:Y174" si="211">SUM(N169:N173)</f>
        <v>6</v>
      </c>
      <c r="O174" s="81">
        <f t="shared" ref="O174" si="212">SUM(O169:O173)</f>
        <v>3</v>
      </c>
      <c r="P174" s="81">
        <f t="shared" ref="P174" si="213">SUM(P169:P173)</f>
        <v>9</v>
      </c>
      <c r="Q174" s="81">
        <f t="shared" ref="Q174" si="214">SUM(Q169:Q173)</f>
        <v>1</v>
      </c>
      <c r="R174" s="81">
        <f t="shared" ref="R174" si="215">SUM(R169:R173)</f>
        <v>5</v>
      </c>
      <c r="S174" s="81">
        <f t="shared" ref="S174" si="216">SUM(S169:S173)</f>
        <v>6</v>
      </c>
      <c r="T174" s="81">
        <f t="shared" ref="T174" si="217">SUM(T169:T173)</f>
        <v>0</v>
      </c>
      <c r="U174" s="81">
        <f t="shared" ref="U174" si="218">SUM(U169:U173)</f>
        <v>0</v>
      </c>
      <c r="V174" s="81">
        <f t="shared" ref="V174" si="219">SUM(V169:V173)</f>
        <v>0</v>
      </c>
      <c r="W174" s="381">
        <f t="shared" si="211"/>
        <v>7</v>
      </c>
      <c r="X174" s="82">
        <f t="shared" si="211"/>
        <v>8</v>
      </c>
      <c r="Y174" s="82">
        <f t="shared" si="211"/>
        <v>15</v>
      </c>
      <c r="Z174" s="205">
        <f t="shared" si="204"/>
        <v>1</v>
      </c>
      <c r="AA174" s="205"/>
      <c r="AB174" s="205"/>
      <c r="AC174" s="83"/>
      <c r="AE174" s="80"/>
      <c r="AF174" s="80"/>
      <c r="AG174" s="81"/>
      <c r="AH174" s="82"/>
      <c r="AI174" s="66"/>
      <c r="AK174" s="80"/>
      <c r="AL174" s="80"/>
      <c r="AM174" s="81"/>
      <c r="AN174" s="82"/>
      <c r="AO174" s="66"/>
      <c r="AQ174" s="80"/>
      <c r="AR174" s="80"/>
      <c r="AS174" s="81"/>
      <c r="AT174" s="82">
        <f>SUM(AT169:AT173)</f>
        <v>7</v>
      </c>
      <c r="AU174" s="66">
        <f t="shared" si="206"/>
        <v>1</v>
      </c>
      <c r="AW174" s="80"/>
      <c r="AX174" s="80"/>
      <c r="AY174" s="81"/>
      <c r="AZ174" s="82">
        <f>SUM(AZ169:AZ173)</f>
        <v>8</v>
      </c>
      <c r="BA174" s="66">
        <f t="shared" si="208"/>
        <v>1</v>
      </c>
    </row>
    <row r="175" spans="1:53" s="117" customFormat="1" ht="17.100000000000001" customHeight="1" x14ac:dyDescent="0.25">
      <c r="A175" s="68"/>
      <c r="B175" s="119"/>
      <c r="C175" s="540"/>
      <c r="D175" s="261"/>
      <c r="E175" s="261"/>
      <c r="F175" s="68"/>
      <c r="G175" s="68"/>
      <c r="H175" s="119"/>
      <c r="I175" s="138"/>
      <c r="J175" s="17"/>
      <c r="K175" s="17"/>
      <c r="L175" s="17"/>
      <c r="M175" s="17"/>
      <c r="N175" s="17" t="str">
        <f>IF(N174=N$20,"OK","NOK")</f>
        <v>OK</v>
      </c>
      <c r="O175" s="17" t="str">
        <f>IF(O174=O$20,"OK","NOK")</f>
        <v>OK</v>
      </c>
      <c r="P175" s="17"/>
      <c r="Q175" s="17" t="str">
        <f>IF(Q174=Q$20,"OK","NOK")</f>
        <v>OK</v>
      </c>
      <c r="R175" s="17" t="str">
        <f>IF(R174=R$20,"OK","NOK")</f>
        <v>OK</v>
      </c>
      <c r="S175" s="17"/>
      <c r="T175" s="17" t="str">
        <f>IF(T174=T$20,"OK","NOK")</f>
        <v>OK</v>
      </c>
      <c r="U175" s="17" t="str">
        <f>IF(U174=U$20,"OK","NOK")</f>
        <v>OK</v>
      </c>
      <c r="V175" s="359"/>
      <c r="W175" s="382"/>
      <c r="X175" s="539"/>
      <c r="Y175" s="539"/>
      <c r="Z175" s="201"/>
      <c r="AA175" s="201"/>
      <c r="AB175" s="201"/>
      <c r="AC175" s="84"/>
      <c r="AE175" s="46"/>
      <c r="AF175" s="46"/>
      <c r="AG175" s="17"/>
      <c r="AH175" s="539"/>
      <c r="AI175" s="91"/>
      <c r="AK175" s="46"/>
      <c r="AL175" s="46"/>
      <c r="AM175" s="17"/>
      <c r="AN175" s="539"/>
      <c r="AO175" s="91"/>
      <c r="AQ175" s="46"/>
      <c r="AR175" s="46"/>
      <c r="AS175" s="17"/>
      <c r="AT175" s="539"/>
      <c r="AU175" s="91"/>
      <c r="AW175" s="46"/>
      <c r="AX175" s="46"/>
      <c r="AY175" s="17"/>
      <c r="AZ175" s="539"/>
      <c r="BA175" s="91"/>
    </row>
    <row r="176" spans="1:53" ht="17.100000000000001" customHeight="1" x14ac:dyDescent="0.25">
      <c r="A176" s="68"/>
      <c r="B176" s="41" t="s">
        <v>137</v>
      </c>
      <c r="C176" s="69" t="s">
        <v>124</v>
      </c>
      <c r="D176" s="50"/>
      <c r="E176" s="70"/>
      <c r="F176" s="70"/>
      <c r="G176" s="70"/>
      <c r="H176" s="119"/>
      <c r="J176" s="71"/>
      <c r="K176" s="71"/>
      <c r="L176" s="71"/>
      <c r="M176" s="71"/>
      <c r="N176" s="71"/>
      <c r="O176" s="71"/>
      <c r="P176" s="71"/>
      <c r="Q176" s="71"/>
      <c r="R176" s="71"/>
      <c r="S176" s="71"/>
      <c r="T176" s="71"/>
      <c r="U176" s="71"/>
      <c r="V176" s="355"/>
      <c r="W176" s="377"/>
      <c r="X176" s="71"/>
      <c r="Y176" s="72"/>
      <c r="Z176" s="73"/>
      <c r="AA176" s="73"/>
      <c r="AB176" s="73"/>
      <c r="AC176" s="73"/>
      <c r="AE176" s="71"/>
      <c r="AF176" s="71"/>
      <c r="AG176" s="71"/>
      <c r="AH176" s="72"/>
      <c r="AI176" s="73"/>
      <c r="AK176" s="71"/>
      <c r="AL176" s="71"/>
      <c r="AM176" s="71"/>
      <c r="AN176" s="72"/>
      <c r="AO176" s="73"/>
      <c r="AQ176" s="71"/>
      <c r="AR176" s="71"/>
      <c r="AS176" s="71"/>
      <c r="AT176" s="72"/>
      <c r="AU176" s="73"/>
      <c r="AW176" s="71"/>
      <c r="AX176" s="71"/>
      <c r="AY176" s="71"/>
      <c r="AZ176" s="72"/>
      <c r="BA176" s="73"/>
    </row>
    <row r="177" spans="1:53" ht="17.100000000000001" customHeight="1" x14ac:dyDescent="0.25">
      <c r="A177" s="40"/>
      <c r="B177" s="40"/>
      <c r="C177" s="74" t="s">
        <v>139</v>
      </c>
      <c r="D177" s="541" t="s">
        <v>666</v>
      </c>
      <c r="E177" s="542"/>
      <c r="F177" s="542"/>
      <c r="G177" s="542"/>
      <c r="H177" s="540"/>
      <c r="I177" s="235"/>
      <c r="J177" s="111"/>
      <c r="K177" s="111"/>
      <c r="L177" s="111"/>
      <c r="M177" s="111"/>
      <c r="N177" s="111">
        <f>SUM(N178:N183)</f>
        <v>6</v>
      </c>
      <c r="O177" s="111">
        <f>SUM(O178:O183)</f>
        <v>3</v>
      </c>
      <c r="P177" s="111">
        <f t="shared" ref="P177:P183" si="220">SUM(N177:O177)</f>
        <v>9</v>
      </c>
      <c r="Q177" s="111">
        <f>SUM(Q178:Q183)</f>
        <v>1</v>
      </c>
      <c r="R177" s="111">
        <f>SUM(R178:R183)</f>
        <v>5</v>
      </c>
      <c r="S177" s="111">
        <f t="shared" ref="S177:S183" si="221">SUM(Q177:R177)</f>
        <v>6</v>
      </c>
      <c r="T177" s="111">
        <f>SUM(T178:T183)</f>
        <v>0</v>
      </c>
      <c r="U177" s="111">
        <f>SUM(U178:U183)</f>
        <v>0</v>
      </c>
      <c r="V177" s="358">
        <f t="shared" ref="V177:V183" si="222">SUM(T177:U177)</f>
        <v>0</v>
      </c>
      <c r="W177" s="385">
        <f t="shared" ref="W177" si="223">J177+K177+N177+Q177+T177</f>
        <v>7</v>
      </c>
      <c r="X177" s="545">
        <f t="shared" ref="X177" si="224">L177+O177+R177+U177</f>
        <v>8</v>
      </c>
      <c r="Y177" s="545">
        <f t="shared" ref="Y177:Y183" si="225">SUM(W177:X177)</f>
        <v>15</v>
      </c>
      <c r="Z177" s="172">
        <f t="shared" ref="Z177:Z183" si="226">IF(Y$187=0,0,Y177/Y$187)</f>
        <v>1</v>
      </c>
      <c r="AA177" s="172"/>
      <c r="AB177" s="172"/>
      <c r="AC177" s="113"/>
      <c r="AE177" s="111"/>
      <c r="AF177" s="111"/>
      <c r="AG177" s="111"/>
      <c r="AH177" s="545"/>
      <c r="AI177" s="131"/>
      <c r="AK177" s="111"/>
      <c r="AL177" s="111"/>
      <c r="AM177" s="111"/>
      <c r="AN177" s="545"/>
      <c r="AO177" s="131"/>
      <c r="AQ177" s="111"/>
      <c r="AR177" s="111"/>
      <c r="AS177" s="111"/>
      <c r="AT177" s="545">
        <f>SUM(AT178:AT183)</f>
        <v>7</v>
      </c>
      <c r="AU177" s="131">
        <f>IF(AT$187=0,0,AT177/AT$187)</f>
        <v>1</v>
      </c>
      <c r="AW177" s="111"/>
      <c r="AX177" s="111"/>
      <c r="AY177" s="111"/>
      <c r="AZ177" s="545">
        <f t="shared" ref="AZ177:AZ186" si="227">X177</f>
        <v>8</v>
      </c>
      <c r="BA177" s="131">
        <f>IF(AZ$187=0,0,AZ177/AZ$187)</f>
        <v>1</v>
      </c>
    </row>
    <row r="178" spans="1:53" ht="17.100000000000001" customHeight="1" x14ac:dyDescent="0.25">
      <c r="A178" s="40"/>
      <c r="B178" s="40"/>
      <c r="C178" s="540"/>
      <c r="D178" s="74" t="s">
        <v>140</v>
      </c>
      <c r="E178" s="542" t="s">
        <v>414</v>
      </c>
      <c r="F178" s="542"/>
      <c r="G178" s="542"/>
      <c r="H178" s="540"/>
      <c r="I178" s="235"/>
      <c r="J178" s="111"/>
      <c r="K178" s="111"/>
      <c r="L178" s="111"/>
      <c r="M178" s="111"/>
      <c r="N178" s="60"/>
      <c r="O178" s="60"/>
      <c r="P178" s="17">
        <f t="shared" si="220"/>
        <v>0</v>
      </c>
      <c r="Q178" s="60"/>
      <c r="R178" s="60"/>
      <c r="S178" s="17">
        <f t="shared" si="221"/>
        <v>0</v>
      </c>
      <c r="T178" s="60"/>
      <c r="U178" s="60"/>
      <c r="V178" s="359">
        <f t="shared" si="222"/>
        <v>0</v>
      </c>
      <c r="W178" s="391">
        <f t="shared" ref="W178:W183" si="228">J178+K178+N178+Q178+T178</f>
        <v>0</v>
      </c>
      <c r="X178" s="17">
        <f t="shared" ref="X178:X183" si="229">L178+O178+R178+U178</f>
        <v>0</v>
      </c>
      <c r="Y178" s="18">
        <f t="shared" si="225"/>
        <v>0</v>
      </c>
      <c r="Z178" s="19">
        <f t="shared" si="226"/>
        <v>0</v>
      </c>
      <c r="AA178" s="19"/>
      <c r="AB178" s="19"/>
      <c r="AC178" s="20"/>
      <c r="AE178" s="111"/>
      <c r="AF178" s="111"/>
      <c r="AG178" s="111"/>
      <c r="AH178" s="112"/>
      <c r="AI178" s="113"/>
      <c r="AK178" s="111"/>
      <c r="AL178" s="111"/>
      <c r="AM178" s="111"/>
      <c r="AN178" s="112"/>
      <c r="AO178" s="113"/>
      <c r="AQ178" s="17"/>
      <c r="AR178" s="17"/>
      <c r="AS178" s="17"/>
      <c r="AT178" s="18">
        <f t="shared" ref="AT178:AT183" si="230">W178</f>
        <v>0</v>
      </c>
      <c r="AU178" s="91">
        <f t="shared" ref="AU178:AU187" si="231">IF(AT$187=0,0,AT178/AT$187)</f>
        <v>0</v>
      </c>
      <c r="AW178" s="17"/>
      <c r="AX178" s="17"/>
      <c r="AY178" s="17"/>
      <c r="AZ178" s="18">
        <f t="shared" si="227"/>
        <v>0</v>
      </c>
      <c r="BA178" s="91">
        <f t="shared" ref="BA178:BA187" si="232">IF(AZ$187=0,0,AZ178/AZ$187)</f>
        <v>0</v>
      </c>
    </row>
    <row r="179" spans="1:53" ht="17.100000000000001" customHeight="1" x14ac:dyDescent="0.25">
      <c r="A179" s="40"/>
      <c r="B179" s="40"/>
      <c r="C179" s="540"/>
      <c r="D179" s="74" t="s">
        <v>660</v>
      </c>
      <c r="E179" s="542" t="s">
        <v>415</v>
      </c>
      <c r="F179" s="542"/>
      <c r="G179" s="542"/>
      <c r="H179" s="540"/>
      <c r="I179" s="235"/>
      <c r="J179" s="111"/>
      <c r="K179" s="111"/>
      <c r="L179" s="111"/>
      <c r="M179" s="111"/>
      <c r="N179" s="61">
        <v>5</v>
      </c>
      <c r="O179" s="61">
        <v>1</v>
      </c>
      <c r="P179" s="17">
        <f t="shared" si="220"/>
        <v>6</v>
      </c>
      <c r="Q179" s="61"/>
      <c r="R179" s="61"/>
      <c r="S179" s="17">
        <f t="shared" si="221"/>
        <v>0</v>
      </c>
      <c r="T179" s="61"/>
      <c r="U179" s="61"/>
      <c r="V179" s="359">
        <f t="shared" si="222"/>
        <v>0</v>
      </c>
      <c r="W179" s="391">
        <f t="shared" si="228"/>
        <v>5</v>
      </c>
      <c r="X179" s="17">
        <f t="shared" si="229"/>
        <v>1</v>
      </c>
      <c r="Y179" s="18">
        <f t="shared" si="225"/>
        <v>6</v>
      </c>
      <c r="Z179" s="19">
        <f t="shared" si="226"/>
        <v>0.4</v>
      </c>
      <c r="AA179" s="19"/>
      <c r="AB179" s="19"/>
      <c r="AC179" s="20"/>
      <c r="AE179" s="111"/>
      <c r="AF179" s="111"/>
      <c r="AG179" s="111"/>
      <c r="AH179" s="112"/>
      <c r="AI179" s="113"/>
      <c r="AK179" s="111"/>
      <c r="AL179" s="111"/>
      <c r="AM179" s="111"/>
      <c r="AN179" s="112"/>
      <c r="AO179" s="113"/>
      <c r="AQ179" s="17"/>
      <c r="AR179" s="17"/>
      <c r="AS179" s="17"/>
      <c r="AT179" s="18">
        <f t="shared" si="230"/>
        <v>5</v>
      </c>
      <c r="AU179" s="91">
        <f t="shared" si="231"/>
        <v>0.7142857142857143</v>
      </c>
      <c r="AW179" s="17"/>
      <c r="AX179" s="17"/>
      <c r="AY179" s="17"/>
      <c r="AZ179" s="18">
        <f t="shared" si="227"/>
        <v>1</v>
      </c>
      <c r="BA179" s="91">
        <f t="shared" si="232"/>
        <v>0.125</v>
      </c>
    </row>
    <row r="180" spans="1:53" ht="17.100000000000001" customHeight="1" x14ac:dyDescent="0.25">
      <c r="A180" s="40"/>
      <c r="B180" s="40"/>
      <c r="C180" s="540"/>
      <c r="D180" s="74" t="s">
        <v>661</v>
      </c>
      <c r="E180" s="542" t="s">
        <v>416</v>
      </c>
      <c r="F180" s="542"/>
      <c r="G180" s="542"/>
      <c r="H180" s="540"/>
      <c r="I180" s="235"/>
      <c r="J180" s="111"/>
      <c r="K180" s="111"/>
      <c r="L180" s="111"/>
      <c r="M180" s="111"/>
      <c r="N180" s="60"/>
      <c r="O180" s="60"/>
      <c r="P180" s="17">
        <f t="shared" si="220"/>
        <v>0</v>
      </c>
      <c r="Q180" s="60"/>
      <c r="R180" s="60"/>
      <c r="S180" s="17">
        <f t="shared" si="221"/>
        <v>0</v>
      </c>
      <c r="T180" s="60"/>
      <c r="U180" s="60"/>
      <c r="V180" s="359">
        <f t="shared" si="222"/>
        <v>0</v>
      </c>
      <c r="W180" s="391">
        <f t="shared" si="228"/>
        <v>0</v>
      </c>
      <c r="X180" s="17">
        <f t="shared" si="229"/>
        <v>0</v>
      </c>
      <c r="Y180" s="18">
        <f t="shared" si="225"/>
        <v>0</v>
      </c>
      <c r="Z180" s="19">
        <f t="shared" si="226"/>
        <v>0</v>
      </c>
      <c r="AA180" s="19"/>
      <c r="AB180" s="19"/>
      <c r="AC180" s="20"/>
      <c r="AE180" s="111"/>
      <c r="AF180" s="111"/>
      <c r="AG180" s="111"/>
      <c r="AH180" s="112"/>
      <c r="AI180" s="113"/>
      <c r="AK180" s="111"/>
      <c r="AL180" s="111"/>
      <c r="AM180" s="111"/>
      <c r="AN180" s="112"/>
      <c r="AO180" s="113"/>
      <c r="AQ180" s="17"/>
      <c r="AR180" s="17"/>
      <c r="AS180" s="17"/>
      <c r="AT180" s="18">
        <f t="shared" si="230"/>
        <v>0</v>
      </c>
      <c r="AU180" s="91">
        <f t="shared" si="231"/>
        <v>0</v>
      </c>
      <c r="AW180" s="17"/>
      <c r="AX180" s="17"/>
      <c r="AY180" s="17"/>
      <c r="AZ180" s="18">
        <f t="shared" si="227"/>
        <v>0</v>
      </c>
      <c r="BA180" s="91">
        <f t="shared" si="232"/>
        <v>0</v>
      </c>
    </row>
    <row r="181" spans="1:53" ht="17.100000000000001" customHeight="1" x14ac:dyDescent="0.25">
      <c r="A181" s="40"/>
      <c r="B181" s="40"/>
      <c r="C181" s="540"/>
      <c r="D181" s="74" t="s">
        <v>662</v>
      </c>
      <c r="E181" s="542" t="s">
        <v>127</v>
      </c>
      <c r="F181" s="542"/>
      <c r="G181" s="542"/>
      <c r="H181" s="540"/>
      <c r="I181" s="235"/>
      <c r="J181" s="111"/>
      <c r="K181" s="111"/>
      <c r="L181" s="111"/>
      <c r="M181" s="111"/>
      <c r="N181" s="61"/>
      <c r="O181" s="61">
        <v>2</v>
      </c>
      <c r="P181" s="17">
        <f t="shared" si="220"/>
        <v>2</v>
      </c>
      <c r="Q181" s="61">
        <v>1</v>
      </c>
      <c r="R181" s="61">
        <v>5</v>
      </c>
      <c r="S181" s="17">
        <f t="shared" si="221"/>
        <v>6</v>
      </c>
      <c r="T181" s="61"/>
      <c r="U181" s="61"/>
      <c r="V181" s="359">
        <f t="shared" si="222"/>
        <v>0</v>
      </c>
      <c r="W181" s="391">
        <f t="shared" si="228"/>
        <v>1</v>
      </c>
      <c r="X181" s="17">
        <f t="shared" si="229"/>
        <v>7</v>
      </c>
      <c r="Y181" s="18">
        <f t="shared" si="225"/>
        <v>8</v>
      </c>
      <c r="Z181" s="19">
        <f t="shared" si="226"/>
        <v>0.53333333333333333</v>
      </c>
      <c r="AA181" s="19"/>
      <c r="AB181" s="19"/>
      <c r="AC181" s="20"/>
      <c r="AE181" s="111"/>
      <c r="AF181" s="111"/>
      <c r="AG181" s="111"/>
      <c r="AH181" s="112"/>
      <c r="AI181" s="113"/>
      <c r="AK181" s="111"/>
      <c r="AL181" s="111"/>
      <c r="AM181" s="111"/>
      <c r="AN181" s="112"/>
      <c r="AO181" s="113"/>
      <c r="AQ181" s="17"/>
      <c r="AR181" s="17"/>
      <c r="AS181" s="17"/>
      <c r="AT181" s="18">
        <f t="shared" si="230"/>
        <v>1</v>
      </c>
      <c r="AU181" s="91">
        <f t="shared" si="231"/>
        <v>0.14285714285714285</v>
      </c>
      <c r="AW181" s="17"/>
      <c r="AX181" s="17"/>
      <c r="AY181" s="17"/>
      <c r="AZ181" s="18">
        <f t="shared" si="227"/>
        <v>7</v>
      </c>
      <c r="BA181" s="91">
        <f t="shared" si="232"/>
        <v>0.875</v>
      </c>
    </row>
    <row r="182" spans="1:53" ht="17.100000000000001" customHeight="1" x14ac:dyDescent="0.25">
      <c r="A182" s="40"/>
      <c r="B182" s="40"/>
      <c r="C182" s="540"/>
      <c r="D182" s="74" t="s">
        <v>663</v>
      </c>
      <c r="E182" s="542" t="s">
        <v>417</v>
      </c>
      <c r="F182" s="542"/>
      <c r="G182" s="542"/>
      <c r="H182" s="540"/>
      <c r="I182" s="235"/>
      <c r="J182" s="111"/>
      <c r="K182" s="111"/>
      <c r="L182" s="111"/>
      <c r="M182" s="111"/>
      <c r="N182" s="60">
        <v>1</v>
      </c>
      <c r="O182" s="60"/>
      <c r="P182" s="17">
        <f t="shared" si="220"/>
        <v>1</v>
      </c>
      <c r="Q182" s="60"/>
      <c r="R182" s="60"/>
      <c r="S182" s="17">
        <f t="shared" si="221"/>
        <v>0</v>
      </c>
      <c r="T182" s="60"/>
      <c r="U182" s="60"/>
      <c r="V182" s="359">
        <f t="shared" si="222"/>
        <v>0</v>
      </c>
      <c r="W182" s="391">
        <f t="shared" si="228"/>
        <v>1</v>
      </c>
      <c r="X182" s="17">
        <f t="shared" si="229"/>
        <v>0</v>
      </c>
      <c r="Y182" s="18">
        <f t="shared" si="225"/>
        <v>1</v>
      </c>
      <c r="Z182" s="19">
        <f t="shared" si="226"/>
        <v>6.6666666666666666E-2</v>
      </c>
      <c r="AA182" s="19"/>
      <c r="AB182" s="19"/>
      <c r="AC182" s="20"/>
      <c r="AE182" s="111"/>
      <c r="AF182" s="111"/>
      <c r="AG182" s="111"/>
      <c r="AH182" s="112"/>
      <c r="AI182" s="113"/>
      <c r="AK182" s="111"/>
      <c r="AL182" s="111"/>
      <c r="AM182" s="111"/>
      <c r="AN182" s="112"/>
      <c r="AO182" s="113"/>
      <c r="AQ182" s="17"/>
      <c r="AR182" s="17"/>
      <c r="AS182" s="17"/>
      <c r="AT182" s="18">
        <f t="shared" si="230"/>
        <v>1</v>
      </c>
      <c r="AU182" s="91">
        <f t="shared" si="231"/>
        <v>0.14285714285714285</v>
      </c>
      <c r="AW182" s="17"/>
      <c r="AX182" s="17"/>
      <c r="AY182" s="17"/>
      <c r="AZ182" s="18">
        <f t="shared" si="227"/>
        <v>0</v>
      </c>
      <c r="BA182" s="91">
        <f t="shared" si="232"/>
        <v>0</v>
      </c>
    </row>
    <row r="183" spans="1:53" ht="17.100000000000001" customHeight="1" x14ac:dyDescent="0.25">
      <c r="A183" s="40"/>
      <c r="B183" s="40"/>
      <c r="C183" s="540"/>
      <c r="D183" s="74" t="s">
        <v>664</v>
      </c>
      <c r="E183" s="542" t="s">
        <v>418</v>
      </c>
      <c r="F183" s="542"/>
      <c r="G183" s="542"/>
      <c r="H183" s="540"/>
      <c r="I183" s="235"/>
      <c r="J183" s="111"/>
      <c r="K183" s="111"/>
      <c r="L183" s="111"/>
      <c r="M183" s="111"/>
      <c r="N183" s="61"/>
      <c r="O183" s="61"/>
      <c r="P183" s="17">
        <f t="shared" si="220"/>
        <v>0</v>
      </c>
      <c r="Q183" s="61"/>
      <c r="R183" s="61"/>
      <c r="S183" s="17">
        <f t="shared" si="221"/>
        <v>0</v>
      </c>
      <c r="T183" s="61"/>
      <c r="U183" s="61"/>
      <c r="V183" s="359">
        <f t="shared" si="222"/>
        <v>0</v>
      </c>
      <c r="W183" s="391">
        <f t="shared" si="228"/>
        <v>0</v>
      </c>
      <c r="X183" s="17">
        <f t="shared" si="229"/>
        <v>0</v>
      </c>
      <c r="Y183" s="18">
        <f t="shared" si="225"/>
        <v>0</v>
      </c>
      <c r="Z183" s="19">
        <f t="shared" si="226"/>
        <v>0</v>
      </c>
      <c r="AA183" s="19"/>
      <c r="AB183" s="19"/>
      <c r="AC183" s="20"/>
      <c r="AE183" s="111"/>
      <c r="AF183" s="111"/>
      <c r="AG183" s="111"/>
      <c r="AH183" s="112"/>
      <c r="AI183" s="113"/>
      <c r="AK183" s="111"/>
      <c r="AL183" s="111"/>
      <c r="AM183" s="111"/>
      <c r="AN183" s="112"/>
      <c r="AO183" s="113"/>
      <c r="AQ183" s="17"/>
      <c r="AR183" s="17"/>
      <c r="AS183" s="17"/>
      <c r="AT183" s="18">
        <f t="shared" si="230"/>
        <v>0</v>
      </c>
      <c r="AU183" s="91">
        <f t="shared" si="231"/>
        <v>0</v>
      </c>
      <c r="AW183" s="17"/>
      <c r="AX183" s="17"/>
      <c r="AY183" s="17"/>
      <c r="AZ183" s="18">
        <f t="shared" si="227"/>
        <v>0</v>
      </c>
      <c r="BA183" s="91">
        <f t="shared" si="232"/>
        <v>0</v>
      </c>
    </row>
    <row r="184" spans="1:53" ht="17.100000000000001" customHeight="1" x14ac:dyDescent="0.25">
      <c r="A184" s="40"/>
      <c r="B184" s="40"/>
      <c r="C184" s="74" t="s">
        <v>141</v>
      </c>
      <c r="D184" s="57" t="s">
        <v>128</v>
      </c>
      <c r="E184" s="542"/>
      <c r="F184" s="542"/>
      <c r="G184" s="542"/>
      <c r="H184" s="540"/>
      <c r="I184" s="235"/>
      <c r="J184" s="111"/>
      <c r="K184" s="111"/>
      <c r="L184" s="111"/>
      <c r="M184" s="111"/>
      <c r="N184" s="111"/>
      <c r="O184" s="111"/>
      <c r="P184" s="111"/>
      <c r="Q184" s="111"/>
      <c r="R184" s="111"/>
      <c r="S184" s="111"/>
      <c r="T184" s="111"/>
      <c r="U184" s="111"/>
      <c r="V184" s="358"/>
      <c r="W184" s="380"/>
      <c r="X184" s="111"/>
      <c r="Y184" s="545"/>
      <c r="Z184" s="172"/>
      <c r="AA184" s="172"/>
      <c r="AB184" s="172"/>
      <c r="AC184" s="113"/>
      <c r="AE184" s="111"/>
      <c r="AF184" s="111"/>
      <c r="AG184" s="111"/>
      <c r="AH184" s="545"/>
      <c r="AI184" s="131"/>
      <c r="AK184" s="111"/>
      <c r="AL184" s="111"/>
      <c r="AM184" s="111"/>
      <c r="AN184" s="545"/>
      <c r="AO184" s="131"/>
      <c r="AQ184" s="111"/>
      <c r="AR184" s="111"/>
      <c r="AS184" s="111"/>
      <c r="AT184" s="545"/>
      <c r="AU184" s="131"/>
      <c r="AW184" s="111"/>
      <c r="AX184" s="111"/>
      <c r="AY184" s="111"/>
      <c r="AZ184" s="545">
        <f t="shared" si="227"/>
        <v>0</v>
      </c>
      <c r="BA184" s="131"/>
    </row>
    <row r="185" spans="1:53" ht="17.100000000000001" customHeight="1" x14ac:dyDescent="0.25">
      <c r="A185" s="40"/>
      <c r="B185" s="40"/>
      <c r="C185" s="540"/>
      <c r="D185" s="74" t="s">
        <v>142</v>
      </c>
      <c r="E185" s="542" t="s">
        <v>665</v>
      </c>
      <c r="F185" s="542"/>
      <c r="G185" s="542"/>
      <c r="H185" s="540"/>
      <c r="I185" s="235"/>
      <c r="J185" s="111"/>
      <c r="K185" s="111"/>
      <c r="L185" s="111"/>
      <c r="M185" s="111"/>
      <c r="N185" s="60"/>
      <c r="O185" s="60"/>
      <c r="P185" s="17">
        <f>SUM(N185:O185)</f>
        <v>0</v>
      </c>
      <c r="Q185" s="60"/>
      <c r="R185" s="60"/>
      <c r="S185" s="17">
        <f>SUM(Q185:R185)</f>
        <v>0</v>
      </c>
      <c r="T185" s="60"/>
      <c r="U185" s="60"/>
      <c r="V185" s="359">
        <f>SUM(T185:U185)</f>
        <v>0</v>
      </c>
      <c r="W185" s="391">
        <f t="shared" ref="W185:W186" si="233">J185+K185+N185+Q185+T185</f>
        <v>0</v>
      </c>
      <c r="X185" s="17">
        <f t="shared" ref="X185:X186" si="234">L185+O185+R185+U185</f>
        <v>0</v>
      </c>
      <c r="Y185" s="18">
        <f>SUM(W185:X185)</f>
        <v>0</v>
      </c>
      <c r="Z185" s="19">
        <f t="shared" ref="Z185:Z186" si="235">IF(Y$187=0,0,Y185/Y$187)</f>
        <v>0</v>
      </c>
      <c r="AA185" s="19"/>
      <c r="AB185" s="19"/>
      <c r="AC185" s="20"/>
      <c r="AE185" s="111"/>
      <c r="AF185" s="111"/>
      <c r="AG185" s="111"/>
      <c r="AH185" s="112"/>
      <c r="AI185" s="113"/>
      <c r="AK185" s="111"/>
      <c r="AL185" s="111"/>
      <c r="AM185" s="111"/>
      <c r="AN185" s="112"/>
      <c r="AO185" s="113"/>
      <c r="AQ185" s="17"/>
      <c r="AR185" s="17"/>
      <c r="AS185" s="17"/>
      <c r="AT185" s="18">
        <f t="shared" ref="AT185:AT186" si="236">W185</f>
        <v>0</v>
      </c>
      <c r="AU185" s="91">
        <f t="shared" si="231"/>
        <v>0</v>
      </c>
      <c r="AW185" s="17"/>
      <c r="AX185" s="17"/>
      <c r="AY185" s="17"/>
      <c r="AZ185" s="18">
        <f t="shared" si="227"/>
        <v>0</v>
      </c>
      <c r="BA185" s="91">
        <f t="shared" si="232"/>
        <v>0</v>
      </c>
    </row>
    <row r="186" spans="1:53" ht="17.100000000000001" customHeight="1" x14ac:dyDescent="0.25">
      <c r="A186" s="40"/>
      <c r="B186" s="40"/>
      <c r="C186" s="74" t="s">
        <v>144</v>
      </c>
      <c r="D186" s="120" t="s">
        <v>129</v>
      </c>
      <c r="E186" s="542"/>
      <c r="F186" s="542"/>
      <c r="G186" s="542"/>
      <c r="H186" s="540"/>
      <c r="I186" s="235"/>
      <c r="J186" s="111"/>
      <c r="K186" s="111"/>
      <c r="L186" s="111"/>
      <c r="M186" s="111"/>
      <c r="N186" s="61"/>
      <c r="O186" s="61"/>
      <c r="P186" s="17">
        <f>SUM(N186:O186)</f>
        <v>0</v>
      </c>
      <c r="Q186" s="61"/>
      <c r="R186" s="61"/>
      <c r="S186" s="17">
        <f>SUM(Q186:R186)</f>
        <v>0</v>
      </c>
      <c r="T186" s="61"/>
      <c r="U186" s="61"/>
      <c r="V186" s="359">
        <f>SUM(T186:U186)</f>
        <v>0</v>
      </c>
      <c r="W186" s="391">
        <f t="shared" si="233"/>
        <v>0</v>
      </c>
      <c r="X186" s="17">
        <f t="shared" si="234"/>
        <v>0</v>
      </c>
      <c r="Y186" s="18">
        <f>SUM(W186:X186)</f>
        <v>0</v>
      </c>
      <c r="Z186" s="221">
        <f t="shared" si="235"/>
        <v>0</v>
      </c>
      <c r="AA186" s="221"/>
      <c r="AB186" s="221"/>
      <c r="AC186" s="20"/>
      <c r="AE186" s="111"/>
      <c r="AF186" s="111"/>
      <c r="AG186" s="111"/>
      <c r="AH186" s="112"/>
      <c r="AI186" s="113"/>
      <c r="AK186" s="111"/>
      <c r="AL186" s="111"/>
      <c r="AM186" s="111"/>
      <c r="AN186" s="112"/>
      <c r="AO186" s="113"/>
      <c r="AQ186" s="17"/>
      <c r="AR186" s="17"/>
      <c r="AS186" s="17"/>
      <c r="AT186" s="18">
        <f t="shared" si="236"/>
        <v>0</v>
      </c>
      <c r="AU186" s="91">
        <f t="shared" si="231"/>
        <v>0</v>
      </c>
      <c r="AW186" s="17"/>
      <c r="AX186" s="17"/>
      <c r="AY186" s="17"/>
      <c r="AZ186" s="18">
        <f t="shared" si="227"/>
        <v>0</v>
      </c>
      <c r="BA186" s="91">
        <f t="shared" si="232"/>
        <v>0</v>
      </c>
    </row>
    <row r="187" spans="1:53" ht="17.100000000000001" customHeight="1" x14ac:dyDescent="0.25">
      <c r="A187" s="40"/>
      <c r="B187" s="40"/>
      <c r="C187" s="77"/>
      <c r="D187" s="144"/>
      <c r="E187" s="144"/>
      <c r="F187" s="145"/>
      <c r="G187" s="145"/>
      <c r="H187" s="119"/>
      <c r="I187" s="236"/>
      <c r="J187" s="80"/>
      <c r="K187" s="80"/>
      <c r="L187" s="81"/>
      <c r="M187" s="81"/>
      <c r="N187" s="81">
        <f>SUM(N178:N186)</f>
        <v>6</v>
      </c>
      <c r="O187" s="81">
        <f t="shared" ref="O187:V187" si="237">SUM(O178:O186)</f>
        <v>3</v>
      </c>
      <c r="P187" s="81">
        <f t="shared" si="237"/>
        <v>9</v>
      </c>
      <c r="Q187" s="81">
        <f t="shared" si="237"/>
        <v>1</v>
      </c>
      <c r="R187" s="81">
        <f t="shared" si="237"/>
        <v>5</v>
      </c>
      <c r="S187" s="81">
        <f t="shared" si="237"/>
        <v>6</v>
      </c>
      <c r="T187" s="81">
        <f t="shared" si="237"/>
        <v>0</v>
      </c>
      <c r="U187" s="81">
        <f t="shared" si="237"/>
        <v>0</v>
      </c>
      <c r="V187" s="81">
        <f t="shared" si="237"/>
        <v>0</v>
      </c>
      <c r="W187" s="82">
        <f t="shared" ref="W187:Y187" si="238">SUM(W178:W186)</f>
        <v>7</v>
      </c>
      <c r="X187" s="82">
        <f t="shared" si="238"/>
        <v>8</v>
      </c>
      <c r="Y187" s="82">
        <f t="shared" si="238"/>
        <v>15</v>
      </c>
      <c r="Z187" s="205">
        <f>IF(Y$187=0,0,Y187/Y$187)</f>
        <v>1</v>
      </c>
      <c r="AA187" s="205"/>
      <c r="AB187" s="205"/>
      <c r="AC187" s="83"/>
      <c r="AE187" s="80"/>
      <c r="AF187" s="80"/>
      <c r="AG187" s="81"/>
      <c r="AH187" s="82"/>
      <c r="AI187" s="66"/>
      <c r="AK187" s="80"/>
      <c r="AL187" s="80"/>
      <c r="AM187" s="81"/>
      <c r="AN187" s="82"/>
      <c r="AO187" s="66"/>
      <c r="AQ187" s="80"/>
      <c r="AR187" s="80"/>
      <c r="AS187" s="81"/>
      <c r="AT187" s="82">
        <f t="shared" ref="AT187" si="239">SUM(AT178:AT186)</f>
        <v>7</v>
      </c>
      <c r="AU187" s="66">
        <f t="shared" si="231"/>
        <v>1</v>
      </c>
      <c r="AW187" s="80"/>
      <c r="AX187" s="80"/>
      <c r="AY187" s="81"/>
      <c r="AZ187" s="82">
        <f t="shared" ref="AZ187" si="240">SUM(AZ178:AZ186)</f>
        <v>8</v>
      </c>
      <c r="BA187" s="66">
        <f t="shared" si="232"/>
        <v>1</v>
      </c>
    </row>
    <row r="188" spans="1:53" s="117" customFormat="1" ht="17.100000000000001" customHeight="1" x14ac:dyDescent="0.25">
      <c r="A188" s="68"/>
      <c r="B188" s="119"/>
      <c r="C188" s="540"/>
      <c r="D188" s="261"/>
      <c r="E188" s="261"/>
      <c r="F188" s="68"/>
      <c r="G188" s="68"/>
      <c r="H188" s="119"/>
      <c r="I188" s="138"/>
      <c r="J188" s="17"/>
      <c r="K188" s="17"/>
      <c r="L188" s="17"/>
      <c r="M188" s="17"/>
      <c r="N188" s="17" t="str">
        <f>IF(N187=N$20,"OK","NOK")</f>
        <v>OK</v>
      </c>
      <c r="O188" s="17" t="str">
        <f>IF(O187=O$20,"OK","NOK")</f>
        <v>OK</v>
      </c>
      <c r="P188" s="17"/>
      <c r="Q188" s="17" t="str">
        <f>IF(Q187=Q$20,"OK","NOK")</f>
        <v>OK</v>
      </c>
      <c r="R188" s="17" t="str">
        <f>IF(R187=R$20,"OK","NOK")</f>
        <v>OK</v>
      </c>
      <c r="S188" s="17"/>
      <c r="T188" s="17" t="str">
        <f>IF(T187=T$20,"OK","NOK")</f>
        <v>OK</v>
      </c>
      <c r="U188" s="17" t="str">
        <f>IF(U187=U$20,"OK","NOK")</f>
        <v>OK</v>
      </c>
      <c r="V188" s="359"/>
      <c r="W188" s="382"/>
      <c r="X188" s="539"/>
      <c r="Y188" s="539"/>
      <c r="Z188" s="201"/>
      <c r="AA188" s="201"/>
      <c r="AB188" s="201"/>
      <c r="AC188" s="84"/>
      <c r="AE188" s="46"/>
      <c r="AF188" s="46"/>
      <c r="AG188" s="17"/>
      <c r="AH188" s="539"/>
      <c r="AI188" s="91"/>
      <c r="AK188" s="46"/>
      <c r="AL188" s="46"/>
      <c r="AM188" s="17"/>
      <c r="AN188" s="539"/>
      <c r="AO188" s="91"/>
      <c r="AQ188" s="46"/>
      <c r="AR188" s="46"/>
      <c r="AS188" s="17"/>
      <c r="AT188" s="539"/>
      <c r="AU188" s="91"/>
      <c r="AW188" s="46"/>
      <c r="AX188" s="46"/>
      <c r="AY188" s="17"/>
      <c r="AZ188" s="539"/>
      <c r="BA188" s="91"/>
    </row>
    <row r="189" spans="1:53" ht="17.100000000000001" customHeight="1" x14ac:dyDescent="0.25">
      <c r="A189" s="40"/>
      <c r="B189" s="40"/>
      <c r="C189" s="74" t="s">
        <v>141</v>
      </c>
      <c r="D189" s="57" t="s">
        <v>128</v>
      </c>
      <c r="E189" s="542"/>
      <c r="F189" s="542"/>
      <c r="G189" s="542"/>
      <c r="H189" s="540"/>
      <c r="I189" s="235"/>
      <c r="J189" s="111"/>
      <c r="K189" s="111"/>
      <c r="L189" s="111"/>
      <c r="M189" s="111"/>
      <c r="N189" s="111"/>
      <c r="O189" s="111"/>
      <c r="P189" s="111"/>
      <c r="Q189" s="111"/>
      <c r="R189" s="111"/>
      <c r="S189" s="111"/>
      <c r="T189" s="111"/>
      <c r="U189" s="111"/>
      <c r="V189" s="358"/>
      <c r="W189" s="386"/>
      <c r="X189" s="113"/>
      <c r="Y189" s="178"/>
      <c r="Z189" s="172"/>
      <c r="AA189" s="545" t="s">
        <v>181</v>
      </c>
      <c r="AB189" s="545" t="s">
        <v>182</v>
      </c>
      <c r="AC189" s="545" t="s">
        <v>6</v>
      </c>
      <c r="AE189" s="111"/>
      <c r="AF189" s="111"/>
      <c r="AG189" s="111"/>
      <c r="AH189" s="545"/>
      <c r="AI189" s="131"/>
      <c r="AK189" s="111"/>
      <c r="AL189" s="111"/>
      <c r="AM189" s="111"/>
      <c r="AN189" s="545"/>
      <c r="AO189" s="131"/>
      <c r="AQ189" s="545" t="s">
        <v>181</v>
      </c>
      <c r="AR189" s="545" t="s">
        <v>182</v>
      </c>
      <c r="AS189" s="545" t="s">
        <v>6</v>
      </c>
      <c r="AT189" s="545"/>
      <c r="AU189" s="131"/>
      <c r="AW189" s="545" t="s">
        <v>181</v>
      </c>
      <c r="AX189" s="545" t="s">
        <v>182</v>
      </c>
      <c r="AY189" s="545" t="s">
        <v>6</v>
      </c>
      <c r="AZ189" s="545"/>
      <c r="BA189" s="131"/>
    </row>
    <row r="190" spans="1:53" s="117" customFormat="1" ht="17.100000000000001" customHeight="1" x14ac:dyDescent="0.25">
      <c r="A190" s="68"/>
      <c r="B190" s="119"/>
      <c r="C190" s="92"/>
      <c r="D190" s="74" t="s">
        <v>143</v>
      </c>
      <c r="E190" s="146" t="s">
        <v>667</v>
      </c>
      <c r="F190" s="149"/>
      <c r="G190" s="151"/>
      <c r="H190" s="119"/>
      <c r="I190" s="138"/>
      <c r="J190" s="17"/>
      <c r="K190" s="17"/>
      <c r="L190" s="17"/>
      <c r="M190" s="17"/>
      <c r="N190" s="336"/>
      <c r="O190" s="336"/>
      <c r="P190" s="341"/>
      <c r="Q190" s="336"/>
      <c r="R190" s="336"/>
      <c r="S190" s="341"/>
      <c r="T190" s="336"/>
      <c r="U190" s="336"/>
      <c r="V190" s="592"/>
      <c r="W190" s="386"/>
      <c r="X190" s="113"/>
      <c r="Y190" s="178"/>
      <c r="Z190" s="131"/>
      <c r="AA190" s="403">
        <f>MIN(N190:U190)</f>
        <v>0</v>
      </c>
      <c r="AB190" s="403">
        <f>MAX(N190:U190)</f>
        <v>0</v>
      </c>
      <c r="AC190" s="337">
        <f>IF(SUM(N190:U190)=0,0,AVERAGE(N190:U190))</f>
        <v>0</v>
      </c>
      <c r="AE190" s="152"/>
      <c r="AF190" s="152"/>
      <c r="AG190" s="111"/>
      <c r="AH190" s="545"/>
      <c r="AI190" s="131"/>
      <c r="AK190" s="152"/>
      <c r="AL190" s="152"/>
      <c r="AM190" s="111"/>
      <c r="AN190" s="545"/>
      <c r="AO190" s="131"/>
      <c r="AQ190" s="402">
        <f>MIN(N190,Q190,T190)</f>
        <v>0</v>
      </c>
      <c r="AR190" s="402">
        <f>MAX(N190,Q190,T190)</f>
        <v>0</v>
      </c>
      <c r="AS190" s="403">
        <f>IF(N190+Q190+Q190=0,0,AVERAGE(N190,Q190,T190))</f>
        <v>0</v>
      </c>
      <c r="AT190" s="539"/>
      <c r="AU190" s="91"/>
      <c r="AW190" s="402">
        <f>MIN(O190,R190,U190)</f>
        <v>0</v>
      </c>
      <c r="AX190" s="402">
        <f>MAX(O190,R190,U190)</f>
        <v>0</v>
      </c>
      <c r="AY190" s="403">
        <f>IF(O190+R190+U190=0,0,AVERAGE(O190,R190,U190))</f>
        <v>0</v>
      </c>
      <c r="AZ190" s="539"/>
      <c r="BA190" s="91"/>
    </row>
    <row r="191" spans="1:53" ht="17.100000000000001" customHeight="1" x14ac:dyDescent="0.25">
      <c r="A191" s="40"/>
      <c r="B191" s="40"/>
      <c r="C191" s="77"/>
      <c r="D191" s="144"/>
      <c r="E191" s="144"/>
      <c r="F191" s="145"/>
      <c r="G191" s="145"/>
      <c r="H191" s="119"/>
      <c r="I191" s="236"/>
      <c r="J191" s="80"/>
      <c r="K191" s="80"/>
      <c r="L191" s="81"/>
      <c r="M191" s="81"/>
      <c r="N191" s="81"/>
      <c r="O191" s="81"/>
      <c r="P191" s="82"/>
      <c r="Q191" s="81"/>
      <c r="R191" s="81"/>
      <c r="S191" s="82"/>
      <c r="T191" s="81"/>
      <c r="U191" s="81"/>
      <c r="V191" s="360"/>
      <c r="W191" s="381"/>
      <c r="X191" s="82"/>
      <c r="Y191" s="82"/>
      <c r="Z191" s="205"/>
      <c r="AA191" s="205"/>
      <c r="AB191" s="205"/>
      <c r="AC191" s="83"/>
      <c r="AE191" s="80"/>
      <c r="AF191" s="80"/>
      <c r="AG191" s="81"/>
      <c r="AH191" s="82"/>
      <c r="AI191" s="66"/>
      <c r="AK191" s="80"/>
      <c r="AL191" s="80"/>
      <c r="AM191" s="81"/>
      <c r="AN191" s="82"/>
      <c r="AO191" s="66"/>
      <c r="AQ191" s="80"/>
      <c r="AR191" s="80"/>
      <c r="AS191" s="81"/>
      <c r="AT191" s="82"/>
      <c r="AU191" s="66"/>
      <c r="AW191" s="80"/>
      <c r="AX191" s="80"/>
      <c r="AY191" s="81"/>
      <c r="AZ191" s="82"/>
      <c r="BA191" s="66"/>
    </row>
    <row r="192" spans="1:53" ht="17.100000000000001" customHeight="1" x14ac:dyDescent="0.25">
      <c r="A192" s="68"/>
      <c r="B192" s="41" t="s">
        <v>145</v>
      </c>
      <c r="C192" s="69" t="s">
        <v>419</v>
      </c>
      <c r="D192" s="50"/>
      <c r="E192" s="70"/>
      <c r="F192" s="70"/>
      <c r="G192" s="70"/>
      <c r="H192" s="119"/>
      <c r="J192" s="71"/>
      <c r="K192" s="71"/>
      <c r="L192" s="71"/>
      <c r="M192" s="71"/>
      <c r="N192" s="71"/>
      <c r="O192" s="71"/>
      <c r="P192" s="71"/>
      <c r="Q192" s="71"/>
      <c r="R192" s="71"/>
      <c r="S192" s="71"/>
      <c r="T192" s="71"/>
      <c r="U192" s="71"/>
      <c r="V192" s="355"/>
      <c r="W192" s="377"/>
      <c r="X192" s="71"/>
      <c r="Y192" s="72"/>
      <c r="Z192" s="73"/>
      <c r="AA192" s="73"/>
      <c r="AB192" s="73"/>
      <c r="AC192" s="73"/>
      <c r="AE192" s="71"/>
      <c r="AF192" s="71"/>
      <c r="AG192" s="71"/>
      <c r="AH192" s="72"/>
      <c r="AI192" s="73"/>
      <c r="AK192" s="71"/>
      <c r="AL192" s="71"/>
      <c r="AM192" s="71"/>
      <c r="AN192" s="72"/>
      <c r="AO192" s="73"/>
      <c r="AQ192" s="71"/>
      <c r="AR192" s="71"/>
      <c r="AS192" s="71"/>
      <c r="AT192" s="72"/>
      <c r="AU192" s="73"/>
      <c r="AW192" s="71"/>
      <c r="AX192" s="71"/>
      <c r="AY192" s="71"/>
      <c r="AZ192" s="72"/>
      <c r="BA192" s="73"/>
    </row>
    <row r="193" spans="1:53" ht="17.100000000000001" customHeight="1" x14ac:dyDescent="0.25">
      <c r="A193" s="40"/>
      <c r="B193" s="40"/>
      <c r="C193" s="56" t="s">
        <v>146</v>
      </c>
      <c r="D193" s="147" t="s">
        <v>358</v>
      </c>
      <c r="E193" s="147"/>
      <c r="F193" s="147"/>
      <c r="G193" s="147"/>
      <c r="H193" s="243">
        <v>30</v>
      </c>
      <c r="I193" s="237"/>
      <c r="J193" s="174"/>
      <c r="K193" s="174"/>
      <c r="L193" s="111"/>
      <c r="M193" s="111"/>
      <c r="N193" s="111"/>
      <c r="O193" s="111"/>
      <c r="P193" s="111"/>
      <c r="Q193" s="111"/>
      <c r="R193" s="111"/>
      <c r="S193" s="111"/>
      <c r="T193" s="111"/>
      <c r="U193" s="111"/>
      <c r="V193" s="358"/>
      <c r="W193" s="380"/>
      <c r="X193" s="111"/>
      <c r="Y193" s="545"/>
      <c r="Z193" s="131"/>
      <c r="AA193" s="131"/>
      <c r="AB193" s="131"/>
      <c r="AC193" s="113"/>
      <c r="AE193" s="111"/>
      <c r="AF193" s="111"/>
      <c r="AG193" s="111"/>
      <c r="AH193" s="545"/>
      <c r="AI193" s="131"/>
      <c r="AK193" s="111"/>
      <c r="AL193" s="111"/>
      <c r="AM193" s="111"/>
      <c r="AN193" s="545"/>
      <c r="AO193" s="131"/>
      <c r="AQ193" s="111"/>
      <c r="AR193" s="111"/>
      <c r="AS193" s="111"/>
      <c r="AT193" s="545"/>
      <c r="AU193" s="131"/>
      <c r="AW193" s="111"/>
      <c r="AX193" s="111"/>
      <c r="AY193" s="111"/>
      <c r="AZ193" s="545"/>
      <c r="BA193" s="131"/>
    </row>
    <row r="194" spans="1:53" ht="17.100000000000001" customHeight="1" x14ac:dyDescent="0.25">
      <c r="A194" s="40"/>
      <c r="B194" s="40"/>
      <c r="C194" s="182"/>
      <c r="D194" s="74" t="s">
        <v>537</v>
      </c>
      <c r="E194" s="147" t="s">
        <v>9</v>
      </c>
      <c r="F194" s="147"/>
      <c r="G194" s="147"/>
      <c r="H194" s="262"/>
      <c r="I194" s="237"/>
      <c r="J194" s="581">
        <v>6</v>
      </c>
      <c r="K194" s="581">
        <v>9</v>
      </c>
      <c r="L194" s="582">
        <v>212</v>
      </c>
      <c r="M194" s="17">
        <f t="shared" ref="M194:M195" si="241">SUM(J194:L194)</f>
        <v>227</v>
      </c>
      <c r="N194" s="111"/>
      <c r="O194" s="111"/>
      <c r="P194" s="111"/>
      <c r="Q194" s="111"/>
      <c r="R194" s="111"/>
      <c r="S194" s="111"/>
      <c r="T194" s="111"/>
      <c r="U194" s="111"/>
      <c r="V194" s="358"/>
      <c r="W194" s="391">
        <f t="shared" ref="W194:W195" si="242">J194+K194+N194+Q194+T194</f>
        <v>15</v>
      </c>
      <c r="X194" s="17">
        <f t="shared" ref="X194:X195" si="243">L194+O194+R194+U194</f>
        <v>212</v>
      </c>
      <c r="Y194" s="539">
        <f>SUM(W194:X194)</f>
        <v>227</v>
      </c>
      <c r="Z194" s="91">
        <f>IF(Y$197=0,0,Y194/Y$197)</f>
        <v>0.86641221374045807</v>
      </c>
      <c r="AA194" s="91"/>
      <c r="AB194" s="91"/>
      <c r="AC194" s="20"/>
      <c r="AE194" s="17"/>
      <c r="AF194" s="17"/>
      <c r="AG194" s="17"/>
      <c r="AH194" s="18">
        <f t="shared" ref="AH194:AH195" si="244">J194</f>
        <v>6</v>
      </c>
      <c r="AI194" s="91">
        <f>IF(AH$197=0,0,AH194/AH$197)</f>
        <v>0.375</v>
      </c>
      <c r="AK194" s="17"/>
      <c r="AL194" s="17"/>
      <c r="AM194" s="17"/>
      <c r="AN194" s="18">
        <f t="shared" ref="AN194:AN195" si="245">K194</f>
        <v>9</v>
      </c>
      <c r="AO194" s="91">
        <f>IF(AN$197=0,0,AN194/AN$197)</f>
        <v>0.75</v>
      </c>
      <c r="AQ194" s="17"/>
      <c r="AR194" s="17"/>
      <c r="AS194" s="17"/>
      <c r="AT194" s="18">
        <f t="shared" ref="AT194:AT195" si="246">W194</f>
        <v>15</v>
      </c>
      <c r="AU194" s="91">
        <f>IF(AT$197=0,0,AT194/AT$197)</f>
        <v>0.5357142857142857</v>
      </c>
      <c r="AW194" s="17"/>
      <c r="AX194" s="17"/>
      <c r="AY194" s="17"/>
      <c r="AZ194" s="18">
        <f t="shared" ref="AZ194:AZ195" si="247">X194</f>
        <v>212</v>
      </c>
      <c r="BA194" s="91">
        <f>IF(AZ$197=0,0,AZ194/AZ$197)</f>
        <v>0.90598290598290598</v>
      </c>
    </row>
    <row r="195" spans="1:53" ht="17.100000000000001" customHeight="1" x14ac:dyDescent="0.25">
      <c r="A195" s="40"/>
      <c r="B195" s="40"/>
      <c r="C195" s="182"/>
      <c r="D195" s="74" t="s">
        <v>538</v>
      </c>
      <c r="E195" s="147" t="s">
        <v>11</v>
      </c>
      <c r="F195" s="147"/>
      <c r="G195" s="147"/>
      <c r="H195" s="262"/>
      <c r="I195" s="237"/>
      <c r="J195" s="583">
        <v>9</v>
      </c>
      <c r="K195" s="583">
        <v>3</v>
      </c>
      <c r="L195" s="584">
        <v>21</v>
      </c>
      <c r="M195" s="17">
        <f t="shared" si="241"/>
        <v>33</v>
      </c>
      <c r="N195" s="111"/>
      <c r="O195" s="111"/>
      <c r="P195" s="111"/>
      <c r="Q195" s="111"/>
      <c r="R195" s="111"/>
      <c r="S195" s="111"/>
      <c r="T195" s="111"/>
      <c r="U195" s="111"/>
      <c r="V195" s="358"/>
      <c r="W195" s="391">
        <f t="shared" si="242"/>
        <v>12</v>
      </c>
      <c r="X195" s="17">
        <f t="shared" si="243"/>
        <v>21</v>
      </c>
      <c r="Y195" s="539">
        <f>SUM(W195:X195)</f>
        <v>33</v>
      </c>
      <c r="Z195" s="91">
        <f>IF(Y$197=0,0,Y195/Y$197)</f>
        <v>0.12595419847328243</v>
      </c>
      <c r="AA195" s="91"/>
      <c r="AB195" s="91"/>
      <c r="AC195" s="20"/>
      <c r="AE195" s="17"/>
      <c r="AF195" s="17"/>
      <c r="AG195" s="17"/>
      <c r="AH195" s="18">
        <f t="shared" si="244"/>
        <v>9</v>
      </c>
      <c r="AI195" s="91">
        <f>IF(AH$197=0,0,AH195/AH$197)</f>
        <v>0.5625</v>
      </c>
      <c r="AK195" s="17"/>
      <c r="AL195" s="17"/>
      <c r="AM195" s="17"/>
      <c r="AN195" s="18">
        <f t="shared" si="245"/>
        <v>3</v>
      </c>
      <c r="AO195" s="91">
        <f>IF(AN$197=0,0,AN195/AN$197)</f>
        <v>0.25</v>
      </c>
      <c r="AQ195" s="17"/>
      <c r="AR195" s="17"/>
      <c r="AS195" s="17"/>
      <c r="AT195" s="18">
        <f t="shared" si="246"/>
        <v>12</v>
      </c>
      <c r="AU195" s="91">
        <f>IF(AT$197=0,0,AT195/AT$197)</f>
        <v>0.42857142857142855</v>
      </c>
      <c r="AW195" s="17"/>
      <c r="AX195" s="17"/>
      <c r="AY195" s="17"/>
      <c r="AZ195" s="18">
        <f t="shared" si="247"/>
        <v>21</v>
      </c>
      <c r="BA195" s="91">
        <f>IF(AZ$197=0,0,AZ195/AZ$197)</f>
        <v>8.9743589743589744E-2</v>
      </c>
    </row>
    <row r="196" spans="1:53" ht="17.100000000000001" customHeight="1" x14ac:dyDescent="0.25">
      <c r="A196" s="40"/>
      <c r="B196" s="40"/>
      <c r="C196" s="182"/>
      <c r="D196" s="74" t="s">
        <v>1433</v>
      </c>
      <c r="E196" s="147" t="s">
        <v>1435</v>
      </c>
      <c r="F196" s="147"/>
      <c r="G196" s="147"/>
      <c r="H196" s="262"/>
      <c r="I196" s="237"/>
      <c r="J196" s="581">
        <v>1</v>
      </c>
      <c r="K196" s="581"/>
      <c r="L196" s="582">
        <v>1</v>
      </c>
      <c r="M196" s="17">
        <f t="shared" ref="M196" si="248">SUM(J196:L196)</f>
        <v>2</v>
      </c>
      <c r="N196" s="111"/>
      <c r="O196" s="111"/>
      <c r="P196" s="111"/>
      <c r="Q196" s="111"/>
      <c r="R196" s="111"/>
      <c r="S196" s="111"/>
      <c r="T196" s="111"/>
      <c r="U196" s="111"/>
      <c r="V196" s="358"/>
      <c r="W196" s="391">
        <f t="shared" ref="W196" si="249">J196+K196+N196+Q196+T196</f>
        <v>1</v>
      </c>
      <c r="X196" s="17">
        <f t="shared" ref="X196" si="250">L196+O196+R196+U196</f>
        <v>1</v>
      </c>
      <c r="Y196" s="921">
        <f>SUM(W196:X196)</f>
        <v>2</v>
      </c>
      <c r="Z196" s="91">
        <f>IF(Y$197=0,0,Y196/Y$197)</f>
        <v>7.6335877862595417E-3</v>
      </c>
      <c r="AA196" s="91"/>
      <c r="AB196" s="91"/>
      <c r="AC196" s="20"/>
      <c r="AE196" s="17"/>
      <c r="AF196" s="17"/>
      <c r="AG196" s="17"/>
      <c r="AH196" s="18">
        <f t="shared" ref="AH196" si="251">J196</f>
        <v>1</v>
      </c>
      <c r="AI196" s="91">
        <f>IF(AH$197=0,0,AH196/AH$197)</f>
        <v>6.25E-2</v>
      </c>
      <c r="AK196" s="17"/>
      <c r="AL196" s="17"/>
      <c r="AM196" s="17"/>
      <c r="AN196" s="18">
        <f t="shared" ref="AN196" si="252">K196</f>
        <v>0</v>
      </c>
      <c r="AO196" s="91">
        <f>IF(AN$197=0,0,AN196/AN$197)</f>
        <v>0</v>
      </c>
      <c r="AQ196" s="17"/>
      <c r="AR196" s="17"/>
      <c r="AS196" s="17"/>
      <c r="AT196" s="18">
        <f t="shared" ref="AT196" si="253">W196</f>
        <v>1</v>
      </c>
      <c r="AU196" s="91">
        <f>IF(AT$197=0,0,AT196/AT$197)</f>
        <v>3.5714285714285712E-2</v>
      </c>
      <c r="AW196" s="17"/>
      <c r="AX196" s="17"/>
      <c r="AY196" s="17"/>
      <c r="AZ196" s="18">
        <f t="shared" ref="AZ196" si="254">X196</f>
        <v>1</v>
      </c>
      <c r="BA196" s="91">
        <f>IF(AZ$197=0,0,AZ196/AZ$197)</f>
        <v>4.2735042735042739E-3</v>
      </c>
    </row>
    <row r="197" spans="1:53" ht="17.100000000000001" customHeight="1" x14ac:dyDescent="0.25">
      <c r="A197" s="40"/>
      <c r="B197" s="40"/>
      <c r="C197" s="77"/>
      <c r="D197" s="144"/>
      <c r="E197" s="144"/>
      <c r="F197" s="145"/>
      <c r="G197" s="145"/>
      <c r="H197" s="119"/>
      <c r="I197" s="236"/>
      <c r="J197" s="80">
        <f>SUM(J194:J196)</f>
        <v>16</v>
      </c>
      <c r="K197" s="80">
        <f t="shared" ref="K197:M197" si="255">SUM(K194:K196)</f>
        <v>12</v>
      </c>
      <c r="L197" s="80">
        <f t="shared" si="255"/>
        <v>234</v>
      </c>
      <c r="M197" s="80">
        <f t="shared" si="255"/>
        <v>262</v>
      </c>
      <c r="N197" s="80"/>
      <c r="O197" s="80"/>
      <c r="P197" s="80"/>
      <c r="Q197" s="81"/>
      <c r="R197" s="81"/>
      <c r="S197" s="81"/>
      <c r="T197" s="81"/>
      <c r="U197" s="81"/>
      <c r="V197" s="356"/>
      <c r="W197" s="381">
        <f>SUM(W194:W196)</f>
        <v>28</v>
      </c>
      <c r="X197" s="82">
        <f t="shared" ref="X197:Y197" si="256">SUM(X194:X196)</f>
        <v>234</v>
      </c>
      <c r="Y197" s="82">
        <f t="shared" si="256"/>
        <v>262</v>
      </c>
      <c r="Z197" s="205">
        <f>IF(Y$197=0,0,Y197/Y$197)</f>
        <v>1</v>
      </c>
      <c r="AA197" s="205"/>
      <c r="AB197" s="205"/>
      <c r="AC197" s="83"/>
      <c r="AE197" s="80"/>
      <c r="AF197" s="80"/>
      <c r="AG197" s="81"/>
      <c r="AH197" s="82">
        <f>SUM(AH194:AH196)</f>
        <v>16</v>
      </c>
      <c r="AI197" s="66">
        <f>IF(AH$197=0,0,AH197/AH$197)</f>
        <v>1</v>
      </c>
      <c r="AK197" s="80"/>
      <c r="AL197" s="80"/>
      <c r="AM197" s="81"/>
      <c r="AN197" s="82">
        <f>SUM(AN194:AN196)</f>
        <v>12</v>
      </c>
      <c r="AO197" s="66">
        <f>IF(AN$197=0,0,AN197/AN$197)</f>
        <v>1</v>
      </c>
      <c r="AQ197" s="80"/>
      <c r="AR197" s="80"/>
      <c r="AS197" s="81"/>
      <c r="AT197" s="82">
        <f>SUM(AT194:AT196)</f>
        <v>28</v>
      </c>
      <c r="AU197" s="66">
        <f>IF(AT$197=0,0,AT197/AT$197)</f>
        <v>1</v>
      </c>
      <c r="AW197" s="80"/>
      <c r="AX197" s="80"/>
      <c r="AY197" s="81"/>
      <c r="AZ197" s="82">
        <f>SUM(AZ194:AZ196)</f>
        <v>234</v>
      </c>
      <c r="BA197" s="66">
        <f>IF(AZ$197=0,0,AZ197/AZ$197)</f>
        <v>1</v>
      </c>
    </row>
    <row r="198" spans="1:53" s="117" customFormat="1" ht="17.100000000000001" customHeight="1" x14ac:dyDescent="0.25">
      <c r="A198" s="68"/>
      <c r="B198" s="119"/>
      <c r="C198" s="540"/>
      <c r="D198" s="261"/>
      <c r="E198" s="261"/>
      <c r="F198" s="68"/>
      <c r="G198" s="68"/>
      <c r="H198" s="119"/>
      <c r="I198" s="138"/>
      <c r="J198" s="17" t="str">
        <f>IF(J197=J$15,"OK","NOK")</f>
        <v>OK</v>
      </c>
      <c r="K198" s="17" t="str">
        <f t="shared" ref="K198" si="257">IF(K197=K$15,"OK","NOK")</f>
        <v>OK</v>
      </c>
      <c r="L198" s="17" t="str">
        <f t="shared" ref="L198" si="258">IF(L197=L$15,"OK","NOK")</f>
        <v>OK</v>
      </c>
      <c r="M198" s="17"/>
      <c r="N198" s="17"/>
      <c r="O198" s="17"/>
      <c r="P198" s="17"/>
      <c r="Q198" s="17"/>
      <c r="R198" s="17"/>
      <c r="S198" s="17"/>
      <c r="T198" s="17"/>
      <c r="U198" s="17"/>
      <c r="V198" s="359"/>
      <c r="W198" s="382"/>
      <c r="X198" s="539"/>
      <c r="Y198" s="539"/>
      <c r="Z198" s="201"/>
      <c r="AA198" s="201"/>
      <c r="AB198" s="201"/>
      <c r="AC198" s="84"/>
      <c r="AE198" s="46"/>
      <c r="AF198" s="46"/>
      <c r="AG198" s="17"/>
      <c r="AH198" s="539"/>
      <c r="AI198" s="91"/>
      <c r="AK198" s="46"/>
      <c r="AL198" s="46"/>
      <c r="AM198" s="17"/>
      <c r="AN198" s="539"/>
      <c r="AO198" s="91"/>
      <c r="AQ198" s="46"/>
      <c r="AR198" s="46"/>
      <c r="AS198" s="17"/>
      <c r="AT198" s="539"/>
      <c r="AU198" s="91"/>
      <c r="AW198" s="46"/>
      <c r="AX198" s="46"/>
      <c r="AY198" s="17"/>
      <c r="AZ198" s="539"/>
      <c r="BA198" s="91"/>
    </row>
    <row r="199" spans="1:53" ht="17.100000000000001" customHeight="1" x14ac:dyDescent="0.25">
      <c r="A199" s="40"/>
      <c r="B199" s="40"/>
      <c r="C199" s="56" t="s">
        <v>147</v>
      </c>
      <c r="D199" s="147" t="s">
        <v>420</v>
      </c>
      <c r="E199" s="147"/>
      <c r="F199" s="147"/>
      <c r="G199" s="147"/>
      <c r="H199" s="243">
        <v>31</v>
      </c>
      <c r="I199" s="237"/>
      <c r="J199" s="174"/>
      <c r="K199" s="174"/>
      <c r="L199" s="111"/>
      <c r="M199" s="111"/>
      <c r="N199" s="111"/>
      <c r="O199" s="111"/>
      <c r="P199" s="111"/>
      <c r="Q199" s="111"/>
      <c r="R199" s="111"/>
      <c r="S199" s="111"/>
      <c r="T199" s="111"/>
      <c r="U199" s="111"/>
      <c r="V199" s="358"/>
      <c r="W199" s="380"/>
      <c r="X199" s="111"/>
      <c r="Y199" s="545"/>
      <c r="Z199" s="131"/>
      <c r="AA199" s="131"/>
      <c r="AB199" s="131"/>
      <c r="AC199" s="113"/>
      <c r="AE199" s="111"/>
      <c r="AF199" s="111"/>
      <c r="AG199" s="111"/>
      <c r="AH199" s="545"/>
      <c r="AI199" s="131"/>
      <c r="AK199" s="111"/>
      <c r="AL199" s="111"/>
      <c r="AM199" s="111"/>
      <c r="AN199" s="545"/>
      <c r="AO199" s="131"/>
      <c r="AQ199" s="111"/>
      <c r="AR199" s="111"/>
      <c r="AS199" s="111"/>
      <c r="AT199" s="545"/>
      <c r="AU199" s="131"/>
      <c r="AW199" s="111"/>
      <c r="AX199" s="111"/>
      <c r="AY199" s="111"/>
      <c r="AZ199" s="545"/>
      <c r="BA199" s="131"/>
    </row>
    <row r="200" spans="1:53" ht="17.100000000000001" customHeight="1" x14ac:dyDescent="0.25">
      <c r="A200" s="40"/>
      <c r="B200" s="40"/>
      <c r="C200" s="182"/>
      <c r="D200" s="74" t="s">
        <v>539</v>
      </c>
      <c r="E200" s="147" t="s">
        <v>9</v>
      </c>
      <c r="F200" s="147"/>
      <c r="G200" s="147"/>
      <c r="H200" s="262"/>
      <c r="I200" s="237"/>
      <c r="J200" s="581">
        <v>7</v>
      </c>
      <c r="K200" s="581">
        <v>9</v>
      </c>
      <c r="L200" s="582">
        <v>219</v>
      </c>
      <c r="M200" s="17">
        <f t="shared" ref="M200:M201" si="259">SUM(J200:L200)</f>
        <v>235</v>
      </c>
      <c r="N200" s="111"/>
      <c r="O200" s="111"/>
      <c r="P200" s="111"/>
      <c r="Q200" s="111"/>
      <c r="R200" s="111"/>
      <c r="S200" s="111"/>
      <c r="T200" s="111"/>
      <c r="U200" s="111"/>
      <c r="V200" s="358"/>
      <c r="W200" s="391">
        <f t="shared" ref="W200:W201" si="260">J200+K200+N200+Q200+T200</f>
        <v>16</v>
      </c>
      <c r="X200" s="17">
        <f t="shared" ref="X200:X201" si="261">L200+O200+R200+U200</f>
        <v>219</v>
      </c>
      <c r="Y200" s="539">
        <f>SUM(W200:X200)</f>
        <v>235</v>
      </c>
      <c r="Z200" s="91">
        <f>IF(Y$203=0,0,Y200/Y$203)</f>
        <v>0.89694656488549618</v>
      </c>
      <c r="AA200" s="91"/>
      <c r="AB200" s="91"/>
      <c r="AC200" s="20"/>
      <c r="AE200" s="17"/>
      <c r="AF200" s="17"/>
      <c r="AG200" s="17"/>
      <c r="AH200" s="18">
        <f t="shared" ref="AH200:AH201" si="262">J200</f>
        <v>7</v>
      </c>
      <c r="AI200" s="91">
        <f>IF(AH$203=0,0,AH200/AH$203)</f>
        <v>0.4375</v>
      </c>
      <c r="AK200" s="17"/>
      <c r="AL200" s="17"/>
      <c r="AM200" s="17"/>
      <c r="AN200" s="18">
        <f t="shared" ref="AN200:AN201" si="263">K200</f>
        <v>9</v>
      </c>
      <c r="AO200" s="91">
        <f>IF(AN$203=0,0,AN200/AN$203)</f>
        <v>0.75</v>
      </c>
      <c r="AQ200" s="17"/>
      <c r="AR200" s="17"/>
      <c r="AS200" s="17"/>
      <c r="AT200" s="18">
        <f t="shared" ref="AT200:AT201" si="264">W200</f>
        <v>16</v>
      </c>
      <c r="AU200" s="91">
        <f>IF(AT$203=0,0,AT200/AT$203)</f>
        <v>0.5714285714285714</v>
      </c>
      <c r="AW200" s="17"/>
      <c r="AX200" s="17"/>
      <c r="AY200" s="17"/>
      <c r="AZ200" s="18">
        <f t="shared" ref="AZ200:AZ201" si="265">X200</f>
        <v>219</v>
      </c>
      <c r="BA200" s="91">
        <f>IF(AZ$203=0,0,AZ200/AZ$203)</f>
        <v>0.9358974358974359</v>
      </c>
    </row>
    <row r="201" spans="1:53" ht="17.100000000000001" customHeight="1" x14ac:dyDescent="0.25">
      <c r="A201" s="40"/>
      <c r="B201" s="40"/>
      <c r="C201" s="182"/>
      <c r="D201" s="74" t="s">
        <v>540</v>
      </c>
      <c r="E201" s="147" t="s">
        <v>11</v>
      </c>
      <c r="F201" s="147"/>
      <c r="G201" s="147"/>
      <c r="H201" s="262"/>
      <c r="I201" s="237"/>
      <c r="J201" s="583">
        <v>8</v>
      </c>
      <c r="K201" s="583">
        <v>3</v>
      </c>
      <c r="L201" s="584">
        <v>14</v>
      </c>
      <c r="M201" s="17">
        <f t="shared" si="259"/>
        <v>25</v>
      </c>
      <c r="N201" s="111"/>
      <c r="O201" s="111"/>
      <c r="P201" s="111"/>
      <c r="Q201" s="111"/>
      <c r="R201" s="111"/>
      <c r="S201" s="111"/>
      <c r="T201" s="111"/>
      <c r="U201" s="111"/>
      <c r="V201" s="358"/>
      <c r="W201" s="391">
        <f t="shared" si="260"/>
        <v>11</v>
      </c>
      <c r="X201" s="17">
        <f t="shared" si="261"/>
        <v>14</v>
      </c>
      <c r="Y201" s="539">
        <f>SUM(W201:X201)</f>
        <v>25</v>
      </c>
      <c r="Z201" s="91">
        <f>IF(Y$203=0,0,Y201/Y$203)</f>
        <v>9.5419847328244281E-2</v>
      </c>
      <c r="AA201" s="91"/>
      <c r="AB201" s="91"/>
      <c r="AC201" s="20"/>
      <c r="AE201" s="17"/>
      <c r="AF201" s="17"/>
      <c r="AG201" s="17"/>
      <c r="AH201" s="18">
        <f t="shared" si="262"/>
        <v>8</v>
      </c>
      <c r="AI201" s="91">
        <f>IF(AH$203=0,0,AH201/AH$203)</f>
        <v>0.5</v>
      </c>
      <c r="AK201" s="17"/>
      <c r="AL201" s="17"/>
      <c r="AM201" s="17"/>
      <c r="AN201" s="18">
        <f t="shared" si="263"/>
        <v>3</v>
      </c>
      <c r="AO201" s="91">
        <f>IF(AN$203=0,0,AN201/AN$203)</f>
        <v>0.25</v>
      </c>
      <c r="AQ201" s="17"/>
      <c r="AR201" s="17"/>
      <c r="AS201" s="17"/>
      <c r="AT201" s="18">
        <f t="shared" si="264"/>
        <v>11</v>
      </c>
      <c r="AU201" s="91">
        <f>IF(AT$203=0,0,AT201/AT$203)</f>
        <v>0.39285714285714285</v>
      </c>
      <c r="AW201" s="17"/>
      <c r="AX201" s="17"/>
      <c r="AY201" s="17"/>
      <c r="AZ201" s="18">
        <f t="shared" si="265"/>
        <v>14</v>
      </c>
      <c r="BA201" s="91">
        <f>IF(AZ$203=0,0,AZ201/AZ$203)</f>
        <v>5.9829059829059832E-2</v>
      </c>
    </row>
    <row r="202" spans="1:53" ht="17.100000000000001" customHeight="1" x14ac:dyDescent="0.25">
      <c r="A202" s="40"/>
      <c r="B202" s="40"/>
      <c r="C202" s="182"/>
      <c r="D202" s="74" t="s">
        <v>1434</v>
      </c>
      <c r="E202" s="147" t="s">
        <v>1435</v>
      </c>
      <c r="F202" s="147"/>
      <c r="G202" s="147"/>
      <c r="H202" s="262"/>
      <c r="I202" s="237"/>
      <c r="J202" s="581">
        <v>1</v>
      </c>
      <c r="K202" s="581"/>
      <c r="L202" s="582">
        <v>1</v>
      </c>
      <c r="M202" s="17">
        <f t="shared" ref="M202" si="266">SUM(J202:L202)</f>
        <v>2</v>
      </c>
      <c r="N202" s="111"/>
      <c r="O202" s="111"/>
      <c r="P202" s="111"/>
      <c r="Q202" s="111"/>
      <c r="R202" s="111"/>
      <c r="S202" s="111"/>
      <c r="T202" s="111"/>
      <c r="U202" s="111"/>
      <c r="V202" s="358"/>
      <c r="W202" s="391">
        <f t="shared" ref="W202" si="267">J202+K202+N202+Q202+T202</f>
        <v>1</v>
      </c>
      <c r="X202" s="17">
        <f t="shared" ref="X202" si="268">L202+O202+R202+U202</f>
        <v>1</v>
      </c>
      <c r="Y202" s="921">
        <f>SUM(W202:X202)</f>
        <v>2</v>
      </c>
      <c r="Z202" s="91">
        <f>IF(Y$203=0,0,Y202/Y$203)</f>
        <v>7.6335877862595417E-3</v>
      </c>
      <c r="AA202" s="91"/>
      <c r="AB202" s="91"/>
      <c r="AC202" s="20"/>
      <c r="AE202" s="17"/>
      <c r="AF202" s="17"/>
      <c r="AG202" s="17"/>
      <c r="AH202" s="18">
        <f t="shared" ref="AH202" si="269">J202</f>
        <v>1</v>
      </c>
      <c r="AI202" s="91">
        <f>IF(AH$203=0,0,AH202/AH$203)</f>
        <v>6.25E-2</v>
      </c>
      <c r="AK202" s="17"/>
      <c r="AL202" s="17"/>
      <c r="AM202" s="17"/>
      <c r="AN202" s="18">
        <f t="shared" ref="AN202" si="270">K202</f>
        <v>0</v>
      </c>
      <c r="AO202" s="91">
        <f>IF(AN$203=0,0,AN202/AN$203)</f>
        <v>0</v>
      </c>
      <c r="AQ202" s="17"/>
      <c r="AR202" s="17"/>
      <c r="AS202" s="17"/>
      <c r="AT202" s="18">
        <f t="shared" ref="AT202" si="271">W202</f>
        <v>1</v>
      </c>
      <c r="AU202" s="91">
        <f>IF(AT$203=0,0,AT202/AT$203)</f>
        <v>3.5714285714285712E-2</v>
      </c>
      <c r="AW202" s="17"/>
      <c r="AX202" s="17"/>
      <c r="AY202" s="17"/>
      <c r="AZ202" s="18">
        <f t="shared" ref="AZ202" si="272">X202</f>
        <v>1</v>
      </c>
      <c r="BA202" s="91">
        <f>IF(AZ$203=0,0,AZ202/AZ$203)</f>
        <v>4.2735042735042739E-3</v>
      </c>
    </row>
    <row r="203" spans="1:53" ht="17.100000000000001" customHeight="1" x14ac:dyDescent="0.25">
      <c r="A203" s="40"/>
      <c r="B203" s="40"/>
      <c r="C203" s="77"/>
      <c r="D203" s="144"/>
      <c r="E203" s="144"/>
      <c r="F203" s="145"/>
      <c r="G203" s="145"/>
      <c r="H203" s="119"/>
      <c r="I203" s="236"/>
      <c r="J203" s="80">
        <f>SUM(J200:J202)</f>
        <v>16</v>
      </c>
      <c r="K203" s="80">
        <f t="shared" ref="K203" si="273">SUM(K200:K202)</f>
        <v>12</v>
      </c>
      <c r="L203" s="80">
        <f t="shared" ref="L203" si="274">SUM(L200:L202)</f>
        <v>234</v>
      </c>
      <c r="M203" s="80">
        <f t="shared" ref="M203" si="275">SUM(M200:M202)</f>
        <v>262</v>
      </c>
      <c r="N203" s="80"/>
      <c r="O203" s="80"/>
      <c r="P203" s="80"/>
      <c r="Q203" s="81"/>
      <c r="R203" s="81"/>
      <c r="S203" s="81"/>
      <c r="T203" s="81"/>
      <c r="U203" s="81"/>
      <c r="V203" s="356"/>
      <c r="W203" s="381">
        <f>SUM(W200:W202)</f>
        <v>28</v>
      </c>
      <c r="X203" s="82">
        <f t="shared" ref="X203" si="276">SUM(X200:X202)</f>
        <v>234</v>
      </c>
      <c r="Y203" s="82">
        <f t="shared" ref="Y203" si="277">SUM(Y200:Y202)</f>
        <v>262</v>
      </c>
      <c r="Z203" s="205">
        <f>IF(Y$203=0,0,Y203/Y$203)</f>
        <v>1</v>
      </c>
      <c r="AA203" s="205"/>
      <c r="AB203" s="205"/>
      <c r="AC203" s="83"/>
      <c r="AE203" s="80"/>
      <c r="AF203" s="80"/>
      <c r="AG203" s="81"/>
      <c r="AH203" s="82">
        <f>SUM(AH200:AH202)</f>
        <v>16</v>
      </c>
      <c r="AI203" s="66">
        <f>IF(AH$203=0,0,AH203/AH$203)</f>
        <v>1</v>
      </c>
      <c r="AK203" s="80"/>
      <c r="AL203" s="80"/>
      <c r="AM203" s="81"/>
      <c r="AN203" s="82">
        <f>SUM(AN200:AN202)</f>
        <v>12</v>
      </c>
      <c r="AO203" s="66">
        <f>IF(AN$203=0,0,AN203/AN$203)</f>
        <v>1</v>
      </c>
      <c r="AQ203" s="80"/>
      <c r="AR203" s="80"/>
      <c r="AS203" s="81"/>
      <c r="AT203" s="82">
        <f>SUM(AT200:AT202)</f>
        <v>28</v>
      </c>
      <c r="AU203" s="66">
        <f>IF(AT$203=0,0,AT203/AT$203)</f>
        <v>1</v>
      </c>
      <c r="AW203" s="80"/>
      <c r="AX203" s="80"/>
      <c r="AY203" s="81"/>
      <c r="AZ203" s="82">
        <f>SUM(AZ200:AZ202)</f>
        <v>234</v>
      </c>
      <c r="BA203" s="66">
        <f>IF(AZ$203=0,0,AZ203/AZ$203)</f>
        <v>1</v>
      </c>
    </row>
    <row r="204" spans="1:53" s="117" customFormat="1" ht="17.100000000000001" customHeight="1" x14ac:dyDescent="0.25">
      <c r="A204" s="68"/>
      <c r="B204" s="119"/>
      <c r="C204" s="540"/>
      <c r="D204" s="261"/>
      <c r="E204" s="261"/>
      <c r="F204" s="68"/>
      <c r="G204" s="68"/>
      <c r="H204" s="119"/>
      <c r="I204" s="138"/>
      <c r="J204" s="17" t="str">
        <f>IF(J203=J$15,"OK","NOK")</f>
        <v>OK</v>
      </c>
      <c r="K204" s="17" t="str">
        <f t="shared" ref="K204" si="278">IF(K203=K$15,"OK","NOK")</f>
        <v>OK</v>
      </c>
      <c r="L204" s="17" t="str">
        <f t="shared" ref="L204" si="279">IF(L203=L$15,"OK","NOK")</f>
        <v>OK</v>
      </c>
      <c r="M204" s="17"/>
      <c r="N204" s="17"/>
      <c r="O204" s="17"/>
      <c r="P204" s="17"/>
      <c r="Q204" s="17"/>
      <c r="R204" s="17"/>
      <c r="S204" s="17"/>
      <c r="T204" s="17"/>
      <c r="U204" s="17"/>
      <c r="V204" s="359"/>
      <c r="W204" s="382"/>
      <c r="X204" s="539"/>
      <c r="Y204" s="539"/>
      <c r="Z204" s="201"/>
      <c r="AA204" s="201"/>
      <c r="AB204" s="201"/>
      <c r="AC204" s="84"/>
      <c r="AE204" s="46"/>
      <c r="AF204" s="46"/>
      <c r="AG204" s="17"/>
      <c r="AH204" s="539"/>
      <c r="AI204" s="91"/>
      <c r="AK204" s="46"/>
      <c r="AL204" s="46"/>
      <c r="AM204" s="17"/>
      <c r="AN204" s="539"/>
      <c r="AO204" s="91"/>
      <c r="AQ204" s="46"/>
      <c r="AR204" s="46"/>
      <c r="AS204" s="17"/>
      <c r="AT204" s="539"/>
      <c r="AU204" s="91"/>
      <c r="AW204" s="46"/>
      <c r="AX204" s="46"/>
      <c r="AY204" s="17"/>
      <c r="AZ204" s="539"/>
      <c r="BA204" s="91"/>
    </row>
    <row r="205" spans="1:53" ht="17.100000000000001" customHeight="1" x14ac:dyDescent="0.25">
      <c r="A205" s="40"/>
      <c r="B205" s="40"/>
      <c r="C205" s="56" t="s">
        <v>519</v>
      </c>
      <c r="D205" s="147" t="s">
        <v>421</v>
      </c>
      <c r="E205" s="147"/>
      <c r="F205" s="147"/>
      <c r="G205" s="147"/>
      <c r="H205" s="182"/>
      <c r="I205" s="237"/>
      <c r="J205" s="111"/>
      <c r="K205" s="111"/>
      <c r="L205" s="111"/>
      <c r="M205" s="111"/>
      <c r="N205" s="111"/>
      <c r="O205" s="111"/>
      <c r="P205" s="111"/>
      <c r="Q205" s="111"/>
      <c r="R205" s="111"/>
      <c r="S205" s="111"/>
      <c r="T205" s="111"/>
      <c r="U205" s="111"/>
      <c r="V205" s="358"/>
      <c r="W205" s="380"/>
      <c r="X205" s="111"/>
      <c r="Y205" s="545"/>
      <c r="Z205" s="131"/>
      <c r="AA205" s="131"/>
      <c r="AB205" s="131"/>
      <c r="AC205" s="113"/>
      <c r="AE205" s="111"/>
      <c r="AF205" s="111"/>
      <c r="AG205" s="111"/>
      <c r="AH205" s="545"/>
      <c r="AI205" s="131"/>
      <c r="AK205" s="111"/>
      <c r="AL205" s="111"/>
      <c r="AM205" s="111"/>
      <c r="AN205" s="545"/>
      <c r="AO205" s="131"/>
      <c r="AQ205" s="111"/>
      <c r="AR205" s="111"/>
      <c r="AS205" s="111"/>
      <c r="AT205" s="545"/>
      <c r="AU205" s="131"/>
      <c r="AW205" s="111"/>
      <c r="AX205" s="111"/>
      <c r="AY205" s="111"/>
      <c r="AZ205" s="545"/>
      <c r="BA205" s="131"/>
    </row>
    <row r="206" spans="1:53" ht="17.100000000000001" customHeight="1" x14ac:dyDescent="0.25">
      <c r="A206" s="40"/>
      <c r="B206" s="40"/>
      <c r="C206" s="40"/>
      <c r="D206" s="56" t="s">
        <v>520</v>
      </c>
      <c r="E206" s="146" t="s">
        <v>423</v>
      </c>
      <c r="F206" s="149"/>
      <c r="G206" s="149"/>
      <c r="H206" s="244"/>
      <c r="I206" s="238"/>
      <c r="J206" s="111"/>
      <c r="K206" s="111"/>
      <c r="L206" s="111"/>
      <c r="M206" s="111"/>
      <c r="N206" s="61">
        <v>2</v>
      </c>
      <c r="O206" s="61">
        <v>2</v>
      </c>
      <c r="P206" s="17">
        <f>SUM(N206:O206)</f>
        <v>4</v>
      </c>
      <c r="Q206" s="61"/>
      <c r="R206" s="61">
        <v>2</v>
      </c>
      <c r="S206" s="17">
        <f>SUM(Q206:R206)</f>
        <v>2</v>
      </c>
      <c r="T206" s="61"/>
      <c r="U206" s="61"/>
      <c r="V206" s="17">
        <f>SUM(T206:U206)</f>
        <v>0</v>
      </c>
      <c r="W206" s="391">
        <f t="shared" ref="W206:W208" si="280">J206+K206+N206+Q206+T206</f>
        <v>2</v>
      </c>
      <c r="X206" s="17">
        <f t="shared" ref="X206:X208" si="281">L206+O206+R206+U206</f>
        <v>4</v>
      </c>
      <c r="Y206" s="18">
        <f>SUM(W206:X206)</f>
        <v>6</v>
      </c>
      <c r="Z206" s="19">
        <f>IF(Y$210=0,0,Y206/Y$210)</f>
        <v>0.4</v>
      </c>
      <c r="AA206" s="19"/>
      <c r="AB206" s="19"/>
      <c r="AC206" s="20"/>
      <c r="AE206" s="111"/>
      <c r="AF206" s="111"/>
      <c r="AG206" s="111"/>
      <c r="AH206" s="112"/>
      <c r="AI206" s="113"/>
      <c r="AK206" s="111"/>
      <c r="AL206" s="111"/>
      <c r="AM206" s="111"/>
      <c r="AN206" s="112"/>
      <c r="AO206" s="113"/>
      <c r="AQ206" s="17"/>
      <c r="AR206" s="17"/>
      <c r="AS206" s="17"/>
      <c r="AT206" s="18">
        <f t="shared" ref="AT206:AT208" si="282">W206</f>
        <v>2</v>
      </c>
      <c r="AU206" s="19">
        <f>IF(AT$210=0,0,AT206/AT$210)</f>
        <v>0.2857142857142857</v>
      </c>
      <c r="AW206" s="17"/>
      <c r="AX206" s="17"/>
      <c r="AY206" s="17"/>
      <c r="AZ206" s="18">
        <f t="shared" ref="AZ206:AZ208" si="283">X206</f>
        <v>4</v>
      </c>
      <c r="BA206" s="19">
        <f>IF(AZ$210=0,0,AZ206/AZ$210)</f>
        <v>0.5</v>
      </c>
    </row>
    <row r="207" spans="1:53" ht="17.100000000000001" customHeight="1" x14ac:dyDescent="0.25">
      <c r="A207" s="40"/>
      <c r="B207" s="40"/>
      <c r="C207" s="40"/>
      <c r="D207" s="56" t="s">
        <v>521</v>
      </c>
      <c r="E207" s="147" t="s">
        <v>422</v>
      </c>
      <c r="F207" s="223"/>
      <c r="G207" s="223"/>
      <c r="H207" s="244"/>
      <c r="I207" s="238"/>
      <c r="J207" s="111"/>
      <c r="K207" s="111"/>
      <c r="L207" s="111"/>
      <c r="M207" s="111"/>
      <c r="N207" s="60">
        <v>4</v>
      </c>
      <c r="O207" s="60">
        <v>1</v>
      </c>
      <c r="P207" s="17">
        <f t="shared" ref="P207:P209" si="284">SUM(N207:O207)</f>
        <v>5</v>
      </c>
      <c r="Q207" s="60"/>
      <c r="R207" s="60"/>
      <c r="S207" s="17">
        <f t="shared" ref="S207:S209" si="285">SUM(Q207:R207)</f>
        <v>0</v>
      </c>
      <c r="T207" s="60"/>
      <c r="U207" s="60"/>
      <c r="V207" s="17">
        <f t="shared" ref="V207:V209" si="286">SUM(T207:U207)</f>
        <v>0</v>
      </c>
      <c r="W207" s="391">
        <f t="shared" si="280"/>
        <v>4</v>
      </c>
      <c r="X207" s="17">
        <f t="shared" si="281"/>
        <v>1</v>
      </c>
      <c r="Y207" s="18">
        <f>SUM(W207:X207)</f>
        <v>5</v>
      </c>
      <c r="Z207" s="19">
        <f>IF(Y$210=0,0,Y207/Y$210)</f>
        <v>0.33333333333333331</v>
      </c>
      <c r="AA207" s="19"/>
      <c r="AB207" s="19"/>
      <c r="AC207" s="20"/>
      <c r="AE207" s="111"/>
      <c r="AF207" s="111"/>
      <c r="AG207" s="111"/>
      <c r="AH207" s="112"/>
      <c r="AI207" s="113"/>
      <c r="AK207" s="111"/>
      <c r="AL207" s="111"/>
      <c r="AM207" s="111"/>
      <c r="AN207" s="112"/>
      <c r="AO207" s="113"/>
      <c r="AQ207" s="17"/>
      <c r="AR207" s="17"/>
      <c r="AS207" s="17"/>
      <c r="AT207" s="18">
        <f t="shared" si="282"/>
        <v>4</v>
      </c>
      <c r="AU207" s="19">
        <f>IF(AT$210=0,0,AT207/AT$210)</f>
        <v>0.5714285714285714</v>
      </c>
      <c r="AW207" s="17"/>
      <c r="AX207" s="17"/>
      <c r="AY207" s="17"/>
      <c r="AZ207" s="18">
        <f t="shared" si="283"/>
        <v>1</v>
      </c>
      <c r="BA207" s="19">
        <f>IF(AZ$210=0,0,AZ207/AZ$210)</f>
        <v>0.125</v>
      </c>
    </row>
    <row r="208" spans="1:53" ht="17.100000000000001" customHeight="1" x14ac:dyDescent="0.25">
      <c r="A208" s="40"/>
      <c r="B208" s="40"/>
      <c r="C208" s="40"/>
      <c r="D208" s="56" t="s">
        <v>522</v>
      </c>
      <c r="E208" s="147" t="s">
        <v>136</v>
      </c>
      <c r="F208" s="147"/>
      <c r="G208" s="147"/>
      <c r="H208" s="182"/>
      <c r="I208" s="237"/>
      <c r="J208" s="111"/>
      <c r="K208" s="111"/>
      <c r="L208" s="111"/>
      <c r="M208" s="111"/>
      <c r="N208" s="61"/>
      <c r="O208" s="61"/>
      <c r="P208" s="17">
        <f t="shared" si="284"/>
        <v>0</v>
      </c>
      <c r="Q208" s="61">
        <v>1</v>
      </c>
      <c r="R208" s="61">
        <v>3</v>
      </c>
      <c r="S208" s="17">
        <f t="shared" si="285"/>
        <v>4</v>
      </c>
      <c r="T208" s="61"/>
      <c r="U208" s="61"/>
      <c r="V208" s="17">
        <f t="shared" si="286"/>
        <v>0</v>
      </c>
      <c r="W208" s="391">
        <f t="shared" si="280"/>
        <v>1</v>
      </c>
      <c r="X208" s="17">
        <f t="shared" si="281"/>
        <v>3</v>
      </c>
      <c r="Y208" s="18">
        <f>SUM(W208:X208)</f>
        <v>4</v>
      </c>
      <c r="Z208" s="19">
        <f>IF(Y$210=0,0,Y208/Y$210)</f>
        <v>0.26666666666666666</v>
      </c>
      <c r="AA208" s="19"/>
      <c r="AB208" s="19"/>
      <c r="AC208" s="20"/>
      <c r="AE208" s="111"/>
      <c r="AF208" s="111"/>
      <c r="AG208" s="111"/>
      <c r="AH208" s="112"/>
      <c r="AI208" s="113"/>
      <c r="AK208" s="111"/>
      <c r="AL208" s="111"/>
      <c r="AM208" s="111"/>
      <c r="AN208" s="112"/>
      <c r="AO208" s="113"/>
      <c r="AQ208" s="17"/>
      <c r="AR208" s="17"/>
      <c r="AS208" s="17"/>
      <c r="AT208" s="18">
        <f t="shared" si="282"/>
        <v>1</v>
      </c>
      <c r="AU208" s="19">
        <f>IF(AT$210=0,0,AT208/AT$210)</f>
        <v>0.14285714285714285</v>
      </c>
      <c r="AW208" s="17"/>
      <c r="AX208" s="17"/>
      <c r="AY208" s="17"/>
      <c r="AZ208" s="18">
        <f t="shared" si="283"/>
        <v>3</v>
      </c>
      <c r="BA208" s="19">
        <f>IF(AZ$210=0,0,AZ208/AZ$210)</f>
        <v>0.375</v>
      </c>
    </row>
    <row r="209" spans="1:53" ht="17.100000000000001" customHeight="1" x14ac:dyDescent="0.25">
      <c r="A209" s="40"/>
      <c r="B209" s="40"/>
      <c r="C209" s="40"/>
      <c r="D209" s="56" t="s">
        <v>746</v>
      </c>
      <c r="E209" s="147" t="s">
        <v>747</v>
      </c>
      <c r="F209" s="223"/>
      <c r="G209" s="223"/>
      <c r="H209" s="244"/>
      <c r="I209" s="238"/>
      <c r="J209" s="111"/>
      <c r="K209" s="111"/>
      <c r="L209" s="111"/>
      <c r="M209" s="111"/>
      <c r="N209" s="60"/>
      <c r="O209" s="60"/>
      <c r="P209" s="17">
        <f t="shared" si="284"/>
        <v>0</v>
      </c>
      <c r="Q209" s="60"/>
      <c r="R209" s="60"/>
      <c r="S209" s="17">
        <f t="shared" si="285"/>
        <v>0</v>
      </c>
      <c r="T209" s="60"/>
      <c r="U209" s="60"/>
      <c r="V209" s="17">
        <f t="shared" si="286"/>
        <v>0</v>
      </c>
      <c r="W209" s="391">
        <f t="shared" ref="W209" si="287">J209+K209+N209+Q209+T209</f>
        <v>0</v>
      </c>
      <c r="X209" s="17">
        <f t="shared" ref="X209" si="288">L209+O209+R209+U209</f>
        <v>0</v>
      </c>
      <c r="Y209" s="18">
        <f>SUM(W209:X209)</f>
        <v>0</v>
      </c>
      <c r="Z209" s="19">
        <f>IF(Y$210=0,0,Y209/Y$210)</f>
        <v>0</v>
      </c>
      <c r="AA209" s="19"/>
      <c r="AB209" s="19"/>
      <c r="AC209" s="20"/>
      <c r="AE209" s="111"/>
      <c r="AF209" s="111"/>
      <c r="AG209" s="111"/>
      <c r="AH209" s="112"/>
      <c r="AI209" s="113"/>
      <c r="AK209" s="111"/>
      <c r="AL209" s="111"/>
      <c r="AM209" s="111"/>
      <c r="AN209" s="112"/>
      <c r="AO209" s="113"/>
      <c r="AQ209" s="17"/>
      <c r="AR209" s="17"/>
      <c r="AS209" s="17"/>
      <c r="AT209" s="18">
        <f t="shared" ref="AT209" si="289">W209</f>
        <v>0</v>
      </c>
      <c r="AU209" s="19">
        <f>IF(AT$210=0,0,AT209/AT$210)</f>
        <v>0</v>
      </c>
      <c r="AW209" s="17"/>
      <c r="AX209" s="17"/>
      <c r="AY209" s="17"/>
      <c r="AZ209" s="18">
        <f t="shared" ref="AZ209" si="290">X209</f>
        <v>0</v>
      </c>
      <c r="BA209" s="19">
        <f>IF(AZ$210=0,0,AZ209/AZ$210)</f>
        <v>0</v>
      </c>
    </row>
    <row r="210" spans="1:53" ht="17.100000000000001" customHeight="1" x14ac:dyDescent="0.25">
      <c r="A210" s="40"/>
      <c r="B210" s="40"/>
      <c r="C210" s="77"/>
      <c r="D210" s="144"/>
      <c r="E210" s="144"/>
      <c r="F210" s="145"/>
      <c r="G210" s="145"/>
      <c r="H210" s="119"/>
      <c r="I210" s="236"/>
      <c r="J210" s="80"/>
      <c r="K210" s="80"/>
      <c r="L210" s="81"/>
      <c r="M210" s="81"/>
      <c r="N210" s="81">
        <f>SUM(N206:N209)</f>
        <v>6</v>
      </c>
      <c r="O210" s="81">
        <f t="shared" ref="O210:V210" si="291">SUM(O206:O209)</f>
        <v>3</v>
      </c>
      <c r="P210" s="81">
        <f t="shared" si="291"/>
        <v>9</v>
      </c>
      <c r="Q210" s="81">
        <f t="shared" si="291"/>
        <v>1</v>
      </c>
      <c r="R210" s="81">
        <f t="shared" si="291"/>
        <v>5</v>
      </c>
      <c r="S210" s="81">
        <f t="shared" si="291"/>
        <v>6</v>
      </c>
      <c r="T210" s="81">
        <f t="shared" si="291"/>
        <v>0</v>
      </c>
      <c r="U210" s="81">
        <f t="shared" si="291"/>
        <v>0</v>
      </c>
      <c r="V210" s="81">
        <f t="shared" si="291"/>
        <v>0</v>
      </c>
      <c r="W210" s="381">
        <f>SUM(W206:W209)</f>
        <v>7</v>
      </c>
      <c r="X210" s="82">
        <f>SUM(X206:X209)</f>
        <v>8</v>
      </c>
      <c r="Y210" s="82">
        <f>SUM(Y206:Y209)</f>
        <v>15</v>
      </c>
      <c r="Z210" s="205">
        <f>IF(Y$210=0,0,Y210/Y$210)</f>
        <v>1</v>
      </c>
      <c r="AA210" s="205"/>
      <c r="AB210" s="205"/>
      <c r="AC210" s="83"/>
      <c r="AE210" s="80"/>
      <c r="AF210" s="80"/>
      <c r="AG210" s="81"/>
      <c r="AH210" s="82"/>
      <c r="AI210" s="66"/>
      <c r="AK210" s="80"/>
      <c r="AL210" s="80"/>
      <c r="AM210" s="81"/>
      <c r="AN210" s="82"/>
      <c r="AO210" s="66"/>
      <c r="AQ210" s="80"/>
      <c r="AR210" s="80"/>
      <c r="AS210" s="81"/>
      <c r="AT210" s="82">
        <f>SUM(AT206:AT209)</f>
        <v>7</v>
      </c>
      <c r="AU210" s="66">
        <f>IF(AT$210=0,0,AT210/AT$210)</f>
        <v>1</v>
      </c>
      <c r="AW210" s="80"/>
      <c r="AX210" s="80"/>
      <c r="AY210" s="81"/>
      <c r="AZ210" s="82">
        <f>SUM(AZ206:AZ209)</f>
        <v>8</v>
      </c>
      <c r="BA210" s="66">
        <f>IF(AZ$210=0,0,AZ210/AZ$210)</f>
        <v>1</v>
      </c>
    </row>
    <row r="211" spans="1:53" s="117" customFormat="1" ht="17.100000000000001" customHeight="1" x14ac:dyDescent="0.25">
      <c r="A211" s="68"/>
      <c r="B211" s="119"/>
      <c r="C211" s="540"/>
      <c r="D211" s="261"/>
      <c r="E211" s="261"/>
      <c r="F211" s="68"/>
      <c r="G211" s="68"/>
      <c r="H211" s="119"/>
      <c r="I211" s="138"/>
      <c r="J211" s="17"/>
      <c r="K211" s="17"/>
      <c r="L211" s="17"/>
      <c r="M211" s="17"/>
      <c r="N211" s="17" t="str">
        <f>IF(N210=N$20,"OK","NOK")</f>
        <v>OK</v>
      </c>
      <c r="O211" s="17" t="str">
        <f>IF(O210=O$20,"OK","NOK")</f>
        <v>OK</v>
      </c>
      <c r="P211" s="17"/>
      <c r="Q211" s="17" t="str">
        <f>IF(Q210=Q$20,"OK","NOK")</f>
        <v>OK</v>
      </c>
      <c r="R211" s="17" t="str">
        <f>IF(R210=R$20,"OK","NOK")</f>
        <v>OK</v>
      </c>
      <c r="S211" s="17"/>
      <c r="T211" s="17" t="str">
        <f>IF(T210=T$20,"OK","NOK")</f>
        <v>OK</v>
      </c>
      <c r="U211" s="17" t="str">
        <f>IF(U210=U$20,"OK","NOK")</f>
        <v>OK</v>
      </c>
      <c r="V211" s="359"/>
      <c r="W211" s="382"/>
      <c r="X211" s="539"/>
      <c r="Y211" s="539"/>
      <c r="Z211" s="201"/>
      <c r="AA211" s="201"/>
      <c r="AB211" s="201"/>
      <c r="AC211" s="84"/>
      <c r="AE211" s="46"/>
      <c r="AF211" s="46"/>
      <c r="AG211" s="17"/>
      <c r="AH211" s="539"/>
      <c r="AI211" s="91"/>
      <c r="AK211" s="46"/>
      <c r="AL211" s="46"/>
      <c r="AM211" s="17"/>
      <c r="AN211" s="539"/>
      <c r="AO211" s="91"/>
      <c r="AQ211" s="46"/>
      <c r="AR211" s="46"/>
      <c r="AS211" s="17"/>
      <c r="AT211" s="539"/>
      <c r="AU211" s="91"/>
      <c r="AW211" s="46"/>
      <c r="AX211" s="46"/>
      <c r="AY211" s="17"/>
      <c r="AZ211" s="539"/>
      <c r="BA211" s="91"/>
    </row>
    <row r="212" spans="1:53" ht="17.100000000000001" customHeight="1" x14ac:dyDescent="0.25">
      <c r="A212" s="68"/>
      <c r="B212" s="41" t="s">
        <v>635</v>
      </c>
      <c r="C212" s="69" t="s">
        <v>138</v>
      </c>
      <c r="D212" s="50"/>
      <c r="E212" s="70"/>
      <c r="F212" s="70"/>
      <c r="G212" s="70"/>
      <c r="H212" s="119"/>
      <c r="J212" s="71"/>
      <c r="K212" s="71"/>
      <c r="L212" s="71"/>
      <c r="M212" s="71"/>
      <c r="N212" s="71"/>
      <c r="O212" s="71"/>
      <c r="P212" s="71"/>
      <c r="Q212" s="71"/>
      <c r="R212" s="71"/>
      <c r="S212" s="71"/>
      <c r="T212" s="71"/>
      <c r="U212" s="71"/>
      <c r="V212" s="355"/>
      <c r="W212" s="377"/>
      <c r="X212" s="71"/>
      <c r="Y212" s="72"/>
      <c r="Z212" s="73"/>
      <c r="AA212" s="73"/>
      <c r="AB212" s="73"/>
      <c r="AC212" s="73"/>
      <c r="AE212" s="71"/>
      <c r="AF212" s="71"/>
      <c r="AG212" s="71"/>
      <c r="AH212" s="72"/>
      <c r="AI212" s="73"/>
      <c r="AK212" s="71"/>
      <c r="AL212" s="71"/>
      <c r="AM212" s="71"/>
      <c r="AN212" s="72"/>
      <c r="AO212" s="73"/>
      <c r="AQ212" s="71"/>
      <c r="AR212" s="71"/>
      <c r="AS212" s="71"/>
      <c r="AT212" s="72"/>
      <c r="AU212" s="73"/>
      <c r="AW212" s="71"/>
      <c r="AX212" s="71"/>
      <c r="AY212" s="71"/>
      <c r="AZ212" s="72"/>
      <c r="BA212" s="73"/>
    </row>
    <row r="213" spans="1:53" ht="17.100000000000001" customHeight="1" x14ac:dyDescent="0.25">
      <c r="A213" s="40"/>
      <c r="B213" s="40"/>
      <c r="C213" s="74" t="s">
        <v>636</v>
      </c>
      <c r="D213" s="542" t="s">
        <v>424</v>
      </c>
      <c r="E213" s="542"/>
      <c r="F213" s="542"/>
      <c r="G213" s="542"/>
      <c r="H213" s="243">
        <v>26</v>
      </c>
      <c r="I213" s="235"/>
      <c r="J213" s="111"/>
      <c r="K213" s="111"/>
      <c r="L213" s="111"/>
      <c r="M213" s="111"/>
      <c r="N213" s="111"/>
      <c r="O213" s="111"/>
      <c r="P213" s="111"/>
      <c r="Q213" s="111"/>
      <c r="R213" s="111"/>
      <c r="S213" s="111"/>
      <c r="T213" s="111"/>
      <c r="U213" s="111"/>
      <c r="V213" s="358"/>
      <c r="W213" s="380"/>
      <c r="X213" s="111"/>
      <c r="Y213" s="112"/>
      <c r="Z213" s="113"/>
      <c r="AA213" s="113"/>
      <c r="AB213" s="113"/>
      <c r="AC213" s="113"/>
      <c r="AE213" s="111"/>
      <c r="AF213" s="111"/>
      <c r="AG213" s="148"/>
      <c r="AH213" s="112"/>
      <c r="AI213" s="113"/>
      <c r="AK213" s="111"/>
      <c r="AL213" s="111"/>
      <c r="AM213" s="148"/>
      <c r="AN213" s="112"/>
      <c r="AO213" s="113"/>
      <c r="AQ213" s="111"/>
      <c r="AR213" s="111"/>
      <c r="AS213" s="148"/>
      <c r="AT213" s="112"/>
      <c r="AU213" s="113"/>
      <c r="AW213" s="111"/>
      <c r="AX213" s="111"/>
      <c r="AY213" s="148"/>
      <c r="AZ213" s="112"/>
      <c r="BA213" s="113"/>
    </row>
    <row r="214" spans="1:53" ht="17.100000000000001" customHeight="1" x14ac:dyDescent="0.25">
      <c r="A214" s="40"/>
      <c r="B214" s="40"/>
      <c r="C214" s="40"/>
      <c r="D214" s="74" t="s">
        <v>637</v>
      </c>
      <c r="E214" s="542" t="s">
        <v>9</v>
      </c>
      <c r="F214" s="542"/>
      <c r="G214" s="542"/>
      <c r="H214" s="540"/>
      <c r="I214" s="235"/>
      <c r="J214" s="583">
        <v>12</v>
      </c>
      <c r="K214" s="583">
        <v>11</v>
      </c>
      <c r="L214" s="584">
        <v>222</v>
      </c>
      <c r="M214" s="17">
        <f t="shared" ref="M214:M215" si="292">SUM(J214:L214)</f>
        <v>245</v>
      </c>
      <c r="N214" s="111"/>
      <c r="O214" s="111"/>
      <c r="P214" s="111"/>
      <c r="Q214" s="111"/>
      <c r="R214" s="111"/>
      <c r="S214" s="111"/>
      <c r="T214" s="111"/>
      <c r="U214" s="111"/>
      <c r="V214" s="358"/>
      <c r="W214" s="391">
        <f t="shared" ref="W214:W215" si="293">J214+K214+N214+Q214+T214</f>
        <v>23</v>
      </c>
      <c r="X214" s="17">
        <f t="shared" ref="X214:X215" si="294">L214+O214+R214+U214</f>
        <v>222</v>
      </c>
      <c r="Y214" s="18">
        <f>SUM(W214:X214)</f>
        <v>245</v>
      </c>
      <c r="Z214" s="19">
        <f>IF(Y$217=0,0,Y214/Y$217)</f>
        <v>0.93511450381679384</v>
      </c>
      <c r="AA214" s="19"/>
      <c r="AB214" s="19"/>
      <c r="AC214" s="20"/>
      <c r="AE214" s="17"/>
      <c r="AF214" s="17"/>
      <c r="AG214" s="17"/>
      <c r="AH214" s="18">
        <f t="shared" ref="AH214:AH215" si="295">J214</f>
        <v>12</v>
      </c>
      <c r="AI214" s="19">
        <f>IF(AH$217=0,0,AH214/AH$217)</f>
        <v>0.75</v>
      </c>
      <c r="AK214" s="17"/>
      <c r="AL214" s="17"/>
      <c r="AM214" s="17"/>
      <c r="AN214" s="18">
        <f t="shared" ref="AN214:AN215" si="296">K214</f>
        <v>11</v>
      </c>
      <c r="AO214" s="19">
        <f>IF(AN$217=0,0,AN214/AN$217)</f>
        <v>0.91666666666666663</v>
      </c>
      <c r="AQ214" s="17"/>
      <c r="AR214" s="17"/>
      <c r="AS214" s="17"/>
      <c r="AT214" s="18">
        <f t="shared" ref="AT214:AT215" si="297">W214</f>
        <v>23</v>
      </c>
      <c r="AU214" s="19">
        <f>IF(AT$217=0,0,AT214/AT$217)</f>
        <v>0.8214285714285714</v>
      </c>
      <c r="AW214" s="17"/>
      <c r="AX214" s="17"/>
      <c r="AY214" s="17"/>
      <c r="AZ214" s="18">
        <f t="shared" ref="AZ214:AZ215" si="298">X214</f>
        <v>222</v>
      </c>
      <c r="BA214" s="19">
        <f>IF(AZ$217=0,0,AZ214/AZ$217)</f>
        <v>0.94871794871794868</v>
      </c>
    </row>
    <row r="215" spans="1:53" ht="17.100000000000001" customHeight="1" x14ac:dyDescent="0.25">
      <c r="A215" s="40"/>
      <c r="B215" s="40"/>
      <c r="C215" s="40"/>
      <c r="D215" s="74" t="s">
        <v>638</v>
      </c>
      <c r="E215" s="542" t="s">
        <v>11</v>
      </c>
      <c r="F215" s="542"/>
      <c r="G215" s="542"/>
      <c r="H215" s="540"/>
      <c r="I215" s="235"/>
      <c r="J215" s="581">
        <v>3</v>
      </c>
      <c r="K215" s="581">
        <v>1</v>
      </c>
      <c r="L215" s="582">
        <v>11</v>
      </c>
      <c r="M215" s="17">
        <f t="shared" si="292"/>
        <v>15</v>
      </c>
      <c r="N215" s="111"/>
      <c r="O215" s="111"/>
      <c r="P215" s="111"/>
      <c r="Q215" s="111"/>
      <c r="R215" s="111"/>
      <c r="S215" s="111"/>
      <c r="T215" s="111"/>
      <c r="U215" s="111"/>
      <c r="V215" s="358"/>
      <c r="W215" s="391">
        <f t="shared" si="293"/>
        <v>4</v>
      </c>
      <c r="X215" s="17">
        <f t="shared" si="294"/>
        <v>11</v>
      </c>
      <c r="Y215" s="18">
        <f>SUM(W215:X215)</f>
        <v>15</v>
      </c>
      <c r="Z215" s="19">
        <f>IF(Y$217=0,0,Y215/Y$217)</f>
        <v>5.7251908396946563E-2</v>
      </c>
      <c r="AA215" s="19"/>
      <c r="AB215" s="19"/>
      <c r="AC215" s="20"/>
      <c r="AE215" s="17"/>
      <c r="AF215" s="17"/>
      <c r="AG215" s="17"/>
      <c r="AH215" s="18">
        <f t="shared" si="295"/>
        <v>3</v>
      </c>
      <c r="AI215" s="19">
        <f>IF(AH$217=0,0,AH215/AH$217)</f>
        <v>0.1875</v>
      </c>
      <c r="AK215" s="17"/>
      <c r="AL215" s="17"/>
      <c r="AM215" s="17"/>
      <c r="AN215" s="18">
        <f t="shared" si="296"/>
        <v>1</v>
      </c>
      <c r="AO215" s="19">
        <f>IF(AN$217=0,0,AN215/AN$217)</f>
        <v>8.3333333333333329E-2</v>
      </c>
      <c r="AQ215" s="17"/>
      <c r="AR215" s="17"/>
      <c r="AS215" s="17"/>
      <c r="AT215" s="18">
        <f t="shared" si="297"/>
        <v>4</v>
      </c>
      <c r="AU215" s="19">
        <f>IF(AT$217=0,0,AT215/AT$217)</f>
        <v>0.14285714285714285</v>
      </c>
      <c r="AW215" s="17"/>
      <c r="AX215" s="17"/>
      <c r="AY215" s="17"/>
      <c r="AZ215" s="18">
        <f t="shared" si="298"/>
        <v>11</v>
      </c>
      <c r="BA215" s="19">
        <f>IF(AZ$217=0,0,AZ215/AZ$217)</f>
        <v>4.7008547008547008E-2</v>
      </c>
    </row>
    <row r="216" spans="1:53" ht="17.100000000000001" customHeight="1" x14ac:dyDescent="0.25">
      <c r="A216" s="40"/>
      <c r="B216" s="40"/>
      <c r="C216" s="40"/>
      <c r="D216" s="74" t="s">
        <v>1436</v>
      </c>
      <c r="E216" s="147" t="s">
        <v>1435</v>
      </c>
      <c r="F216" s="923"/>
      <c r="G216" s="923"/>
      <c r="H216" s="922"/>
      <c r="I216" s="235"/>
      <c r="J216" s="583">
        <v>1</v>
      </c>
      <c r="K216" s="583"/>
      <c r="L216" s="584">
        <v>1</v>
      </c>
      <c r="M216" s="17">
        <f t="shared" ref="M216" si="299">SUM(J216:L216)</f>
        <v>2</v>
      </c>
      <c r="N216" s="111"/>
      <c r="O216" s="111"/>
      <c r="P216" s="111"/>
      <c r="Q216" s="111"/>
      <c r="R216" s="111"/>
      <c r="S216" s="111"/>
      <c r="T216" s="111"/>
      <c r="U216" s="111"/>
      <c r="V216" s="358"/>
      <c r="W216" s="391">
        <f t="shared" ref="W216" si="300">J216+K216+N216+Q216+T216</f>
        <v>1</v>
      </c>
      <c r="X216" s="17">
        <f t="shared" ref="X216" si="301">L216+O216+R216+U216</f>
        <v>1</v>
      </c>
      <c r="Y216" s="18">
        <f>SUM(W216:X216)</f>
        <v>2</v>
      </c>
      <c r="Z216" s="19">
        <f>IF(Y$217=0,0,Y216/Y$217)</f>
        <v>7.6335877862595417E-3</v>
      </c>
      <c r="AA216" s="19"/>
      <c r="AB216" s="19"/>
      <c r="AC216" s="20"/>
      <c r="AE216" s="17"/>
      <c r="AF216" s="17"/>
      <c r="AG216" s="17"/>
      <c r="AH216" s="18">
        <f t="shared" ref="AH216" si="302">J216</f>
        <v>1</v>
      </c>
      <c r="AI216" s="19">
        <f>IF(AH$217=0,0,AH216/AH$217)</f>
        <v>6.25E-2</v>
      </c>
      <c r="AK216" s="17"/>
      <c r="AL216" s="17"/>
      <c r="AM216" s="17"/>
      <c r="AN216" s="18">
        <f t="shared" ref="AN216" si="303">K216</f>
        <v>0</v>
      </c>
      <c r="AO216" s="19">
        <f>IF(AN$217=0,0,AN216/AN$217)</f>
        <v>0</v>
      </c>
      <c r="AQ216" s="17"/>
      <c r="AR216" s="17"/>
      <c r="AS216" s="17"/>
      <c r="AT216" s="18">
        <f t="shared" ref="AT216" si="304">W216</f>
        <v>1</v>
      </c>
      <c r="AU216" s="19">
        <f>IF(AT$217=0,0,AT216/AT$217)</f>
        <v>3.5714285714285712E-2</v>
      </c>
      <c r="AW216" s="17"/>
      <c r="AX216" s="17"/>
      <c r="AY216" s="17"/>
      <c r="AZ216" s="18">
        <f t="shared" ref="AZ216" si="305">X216</f>
        <v>1</v>
      </c>
      <c r="BA216" s="19">
        <f>IF(AZ$217=0,0,AZ216/AZ$217)</f>
        <v>4.2735042735042739E-3</v>
      </c>
    </row>
    <row r="217" spans="1:53" ht="17.100000000000001" customHeight="1" x14ac:dyDescent="0.25">
      <c r="A217" s="40"/>
      <c r="B217" s="40"/>
      <c r="C217" s="77"/>
      <c r="D217" s="144"/>
      <c r="E217" s="144"/>
      <c r="F217" s="145"/>
      <c r="G217" s="145"/>
      <c r="H217" s="119"/>
      <c r="I217" s="236"/>
      <c r="J217" s="80">
        <f>SUM(J214:J216)</f>
        <v>16</v>
      </c>
      <c r="K217" s="80">
        <f t="shared" ref="K217:L217" si="306">SUM(K214:K216)</f>
        <v>12</v>
      </c>
      <c r="L217" s="80">
        <f t="shared" si="306"/>
        <v>234</v>
      </c>
      <c r="M217" s="80">
        <f t="shared" ref="M217" si="307">SUM(M214:M215)</f>
        <v>260</v>
      </c>
      <c r="N217" s="81"/>
      <c r="O217" s="81"/>
      <c r="P217" s="81"/>
      <c r="Q217" s="81"/>
      <c r="R217" s="81"/>
      <c r="S217" s="81"/>
      <c r="T217" s="81"/>
      <c r="U217" s="81"/>
      <c r="V217" s="356"/>
      <c r="W217" s="381">
        <f>SUM(W214:W216)</f>
        <v>28</v>
      </c>
      <c r="X217" s="224">
        <f t="shared" ref="X217" si="308">SUM(X214:X216)</f>
        <v>234</v>
      </c>
      <c r="Y217" s="224">
        <f t="shared" ref="Y217" si="309">SUM(Y214:Y216)</f>
        <v>262</v>
      </c>
      <c r="Z217" s="205">
        <f>IF(Y$217=0,0,Y217/Y$217)</f>
        <v>1</v>
      </c>
      <c r="AA217" s="205"/>
      <c r="AB217" s="205"/>
      <c r="AC217" s="83"/>
      <c r="AE217" s="80"/>
      <c r="AF217" s="80"/>
      <c r="AG217" s="81"/>
      <c r="AH217" s="224">
        <f t="shared" ref="AH217" si="310">SUM(AH214:AH216)</f>
        <v>16</v>
      </c>
      <c r="AI217" s="66">
        <f>IF(AH$217=0,0,AH217/AH$217)</f>
        <v>1</v>
      </c>
      <c r="AK217" s="80"/>
      <c r="AL217" s="80"/>
      <c r="AM217" s="81"/>
      <c r="AN217" s="224">
        <f t="shared" ref="AN217" si="311">SUM(AN214:AN216)</f>
        <v>12</v>
      </c>
      <c r="AO217" s="66">
        <f>IF(AN$217=0,0,AN217/AN$217)</f>
        <v>1</v>
      </c>
      <c r="AQ217" s="80"/>
      <c r="AR217" s="80"/>
      <c r="AS217" s="81"/>
      <c r="AT217" s="224">
        <f t="shared" ref="AT217" si="312">SUM(AT214:AT216)</f>
        <v>28</v>
      </c>
      <c r="AU217" s="66">
        <f>IF(AT$217=0,0,AT217/AT$217)</f>
        <v>1</v>
      </c>
      <c r="AW217" s="80"/>
      <c r="AX217" s="80"/>
      <c r="AY217" s="81"/>
      <c r="AZ217" s="224">
        <f t="shared" ref="AZ217" si="313">SUM(AZ214:AZ216)</f>
        <v>234</v>
      </c>
      <c r="BA217" s="66">
        <f>IF(AZ$217=0,0,AZ217/AZ$217)</f>
        <v>1</v>
      </c>
    </row>
    <row r="218" spans="1:53" s="117" customFormat="1" ht="17.100000000000001" customHeight="1" x14ac:dyDescent="0.25">
      <c r="A218" s="68"/>
      <c r="B218" s="119"/>
      <c r="C218" s="540"/>
      <c r="D218" s="261"/>
      <c r="E218" s="261"/>
      <c r="F218" s="68"/>
      <c r="G218" s="68"/>
      <c r="H218" s="119"/>
      <c r="I218" s="138"/>
      <c r="J218" s="17" t="str">
        <f>IF(J217=J$15,"OK","NOK")</f>
        <v>OK</v>
      </c>
      <c r="K218" s="17" t="str">
        <f t="shared" ref="K218" si="314">IF(K217=K$15,"OK","NOK")</f>
        <v>OK</v>
      </c>
      <c r="L218" s="17" t="str">
        <f t="shared" ref="L218" si="315">IF(L217=L$15,"OK","NOK")</f>
        <v>OK</v>
      </c>
      <c r="M218" s="17"/>
      <c r="N218" s="17"/>
      <c r="O218" s="17"/>
      <c r="P218" s="17"/>
      <c r="Q218" s="17"/>
      <c r="R218" s="17"/>
      <c r="S218" s="17"/>
      <c r="T218" s="17"/>
      <c r="U218" s="17"/>
      <c r="V218" s="359"/>
      <c r="W218" s="382"/>
      <c r="X218" s="539"/>
      <c r="Y218" s="539"/>
      <c r="Z218" s="201"/>
      <c r="AA218" s="201"/>
      <c r="AB218" s="201"/>
      <c r="AC218" s="84"/>
      <c r="AE218" s="46"/>
      <c r="AF218" s="46"/>
      <c r="AG218" s="17"/>
      <c r="AH218" s="539"/>
      <c r="AI218" s="91"/>
      <c r="AK218" s="46"/>
      <c r="AL218" s="46"/>
      <c r="AM218" s="17"/>
      <c r="AN218" s="539"/>
      <c r="AO218" s="91"/>
      <c r="AQ218" s="46"/>
      <c r="AR218" s="46"/>
      <c r="AS218" s="17"/>
      <c r="AT218" s="539"/>
      <c r="AU218" s="91"/>
      <c r="AW218" s="46"/>
      <c r="AX218" s="46"/>
      <c r="AY218" s="17"/>
      <c r="AZ218" s="539"/>
      <c r="BA218" s="91"/>
    </row>
    <row r="219" spans="1:53" ht="17.100000000000001" customHeight="1" x14ac:dyDescent="0.25">
      <c r="A219" s="40"/>
      <c r="B219" s="40"/>
      <c r="C219" s="74" t="s">
        <v>639</v>
      </c>
      <c r="D219" s="542" t="s">
        <v>359</v>
      </c>
      <c r="E219" s="542"/>
      <c r="F219" s="542"/>
      <c r="G219" s="542"/>
      <c r="H219" s="243">
        <v>9</v>
      </c>
      <c r="I219" s="235"/>
      <c r="J219" s="111"/>
      <c r="K219" s="111"/>
      <c r="L219" s="111"/>
      <c r="M219" s="111"/>
      <c r="N219" s="111"/>
      <c r="O219" s="111"/>
      <c r="P219" s="111"/>
      <c r="Q219" s="111"/>
      <c r="R219" s="111"/>
      <c r="S219" s="111"/>
      <c r="T219" s="111"/>
      <c r="U219" s="111"/>
      <c r="V219" s="358"/>
      <c r="W219" s="380"/>
      <c r="X219" s="111"/>
      <c r="Y219" s="112"/>
      <c r="Z219" s="113"/>
      <c r="AA219" s="113"/>
      <c r="AB219" s="113"/>
      <c r="AC219" s="113"/>
      <c r="AE219" s="111"/>
      <c r="AF219" s="111"/>
      <c r="AG219" s="148"/>
      <c r="AH219" s="112"/>
      <c r="AI219" s="113"/>
      <c r="AK219" s="111"/>
      <c r="AL219" s="111"/>
      <c r="AM219" s="148"/>
      <c r="AN219" s="112"/>
      <c r="AO219" s="113"/>
      <c r="AQ219" s="111"/>
      <c r="AR219" s="111"/>
      <c r="AS219" s="148"/>
      <c r="AT219" s="112"/>
      <c r="AU219" s="113"/>
      <c r="AW219" s="111"/>
      <c r="AX219" s="111"/>
      <c r="AY219" s="148"/>
      <c r="AZ219" s="112"/>
      <c r="BA219" s="113"/>
    </row>
    <row r="220" spans="1:53" ht="17.100000000000001" customHeight="1" x14ac:dyDescent="0.25">
      <c r="A220" s="40"/>
      <c r="B220" s="40"/>
      <c r="C220" s="40"/>
      <c r="D220" s="74" t="s">
        <v>640</v>
      </c>
      <c r="E220" s="542" t="s">
        <v>11</v>
      </c>
      <c r="F220" s="542"/>
      <c r="G220" s="542"/>
      <c r="H220" s="540"/>
      <c r="I220" s="235"/>
      <c r="J220" s="581">
        <v>14</v>
      </c>
      <c r="K220" s="581">
        <v>11</v>
      </c>
      <c r="L220" s="582">
        <v>227</v>
      </c>
      <c r="M220" s="17">
        <f t="shared" ref="M220:M221" si="316">SUM(J220:L220)</f>
        <v>252</v>
      </c>
      <c r="N220" s="111"/>
      <c r="O220" s="111"/>
      <c r="P220" s="111"/>
      <c r="Q220" s="111"/>
      <c r="R220" s="111"/>
      <c r="S220" s="111"/>
      <c r="T220" s="111"/>
      <c r="U220" s="111"/>
      <c r="V220" s="358"/>
      <c r="W220" s="391">
        <f t="shared" ref="W220:W221" si="317">J220+K220+N220+Q220+T220</f>
        <v>25</v>
      </c>
      <c r="X220" s="17">
        <f t="shared" ref="X220:X221" si="318">L220+O220+R220+U220</f>
        <v>227</v>
      </c>
      <c r="Y220" s="18">
        <f>SUM(W220:X220)</f>
        <v>252</v>
      </c>
      <c r="Z220" s="19">
        <f>IF(Y$223=0,0,Y220/Y$223)</f>
        <v>0.96183206106870234</v>
      </c>
      <c r="AA220" s="19"/>
      <c r="AB220" s="19"/>
      <c r="AC220" s="20"/>
      <c r="AE220" s="17"/>
      <c r="AF220" s="17"/>
      <c r="AG220" s="17"/>
      <c r="AH220" s="18">
        <f t="shared" ref="AH220:AH221" si="319">J220</f>
        <v>14</v>
      </c>
      <c r="AI220" s="19">
        <f>IF(AH$223=0,0,AH220/AH$223)</f>
        <v>0.875</v>
      </c>
      <c r="AK220" s="17"/>
      <c r="AL220" s="17"/>
      <c r="AM220" s="17"/>
      <c r="AN220" s="18">
        <f t="shared" ref="AN220:AN221" si="320">K220</f>
        <v>11</v>
      </c>
      <c r="AO220" s="19">
        <f>IF(AN$223=0,0,AN220/AN$223)</f>
        <v>0.91666666666666663</v>
      </c>
      <c r="AQ220" s="17"/>
      <c r="AR220" s="17"/>
      <c r="AS220" s="17"/>
      <c r="AT220" s="18">
        <f t="shared" ref="AT220:AT221" si="321">W220</f>
        <v>25</v>
      </c>
      <c r="AU220" s="19">
        <f>IF(AT$223=0,0,AT220/AT$223)</f>
        <v>0.8928571428571429</v>
      </c>
      <c r="AW220" s="17"/>
      <c r="AX220" s="17"/>
      <c r="AY220" s="17"/>
      <c r="AZ220" s="18">
        <f t="shared" ref="AZ220:AZ221" si="322">X220</f>
        <v>227</v>
      </c>
      <c r="BA220" s="19">
        <f>IF(AZ$223=0,0,AZ220/AZ$223)</f>
        <v>0.97008547008547008</v>
      </c>
    </row>
    <row r="221" spans="1:53" ht="17.100000000000001" customHeight="1" x14ac:dyDescent="0.25">
      <c r="A221" s="40"/>
      <c r="B221" s="40"/>
      <c r="C221" s="40"/>
      <c r="D221" s="74" t="s">
        <v>641</v>
      </c>
      <c r="E221" s="542" t="s">
        <v>9</v>
      </c>
      <c r="F221" s="542"/>
      <c r="G221" s="542"/>
      <c r="H221" s="540"/>
      <c r="I221" s="235"/>
      <c r="J221" s="583">
        <v>2</v>
      </c>
      <c r="K221" s="583">
        <v>1</v>
      </c>
      <c r="L221" s="584">
        <v>7</v>
      </c>
      <c r="M221" s="17">
        <f t="shared" si="316"/>
        <v>10</v>
      </c>
      <c r="N221" s="111"/>
      <c r="O221" s="111"/>
      <c r="P221" s="111"/>
      <c r="Q221" s="111"/>
      <c r="R221" s="111"/>
      <c r="S221" s="111"/>
      <c r="T221" s="111"/>
      <c r="U221" s="111"/>
      <c r="V221" s="358"/>
      <c r="W221" s="391">
        <f t="shared" si="317"/>
        <v>3</v>
      </c>
      <c r="X221" s="17">
        <f t="shared" si="318"/>
        <v>7</v>
      </c>
      <c r="Y221" s="18">
        <f>SUM(W221:X221)</f>
        <v>10</v>
      </c>
      <c r="Z221" s="19">
        <f>IF(Y$223=0,0,Y221/Y$223)</f>
        <v>3.8167938931297711E-2</v>
      </c>
      <c r="AA221" s="19"/>
      <c r="AB221" s="19"/>
      <c r="AC221" s="20"/>
      <c r="AE221" s="17"/>
      <c r="AF221" s="17"/>
      <c r="AG221" s="17"/>
      <c r="AH221" s="18">
        <f t="shared" si="319"/>
        <v>2</v>
      </c>
      <c r="AI221" s="19">
        <f>IF(AH$223=0,0,AH221/AH$223)</f>
        <v>0.125</v>
      </c>
      <c r="AK221" s="17"/>
      <c r="AL221" s="17"/>
      <c r="AM221" s="17"/>
      <c r="AN221" s="18">
        <f t="shared" si="320"/>
        <v>1</v>
      </c>
      <c r="AO221" s="19">
        <f>IF(AN$223=0,0,AN221/AN$223)</f>
        <v>8.3333333333333329E-2</v>
      </c>
      <c r="AQ221" s="17"/>
      <c r="AR221" s="17"/>
      <c r="AS221" s="17"/>
      <c r="AT221" s="18">
        <f t="shared" si="321"/>
        <v>3</v>
      </c>
      <c r="AU221" s="19">
        <f>IF(AT$223=0,0,AT221/AT$223)</f>
        <v>0.10714285714285714</v>
      </c>
      <c r="AW221" s="17"/>
      <c r="AX221" s="17"/>
      <c r="AY221" s="17"/>
      <c r="AZ221" s="18">
        <f t="shared" si="322"/>
        <v>7</v>
      </c>
      <c r="BA221" s="19">
        <f>IF(AZ$223=0,0,AZ221/AZ$223)</f>
        <v>2.9914529914529916E-2</v>
      </c>
    </row>
    <row r="222" spans="1:53" ht="17.100000000000001" customHeight="1" x14ac:dyDescent="0.25">
      <c r="A222" s="40"/>
      <c r="B222" s="40"/>
      <c r="C222" s="40"/>
      <c r="D222" s="74" t="s">
        <v>1437</v>
      </c>
      <c r="E222" s="147" t="s">
        <v>1435</v>
      </c>
      <c r="F222" s="923"/>
      <c r="G222" s="923"/>
      <c r="H222" s="922"/>
      <c r="I222" s="235"/>
      <c r="J222" s="581"/>
      <c r="K222" s="581"/>
      <c r="L222" s="582"/>
      <c r="M222" s="17">
        <f t="shared" ref="M222" si="323">SUM(J222:L222)</f>
        <v>0</v>
      </c>
      <c r="N222" s="111"/>
      <c r="O222" s="111"/>
      <c r="P222" s="111"/>
      <c r="Q222" s="111"/>
      <c r="R222" s="111"/>
      <c r="S222" s="111"/>
      <c r="T222" s="111"/>
      <c r="U222" s="111"/>
      <c r="V222" s="358"/>
      <c r="W222" s="391">
        <f t="shared" ref="W222" si="324">J222+K222+N222+Q222+T222</f>
        <v>0</v>
      </c>
      <c r="X222" s="17">
        <f t="shared" ref="X222" si="325">L222+O222+R222+U222</f>
        <v>0</v>
      </c>
      <c r="Y222" s="18">
        <f>SUM(W222:X222)</f>
        <v>0</v>
      </c>
      <c r="Z222" s="19">
        <f>IF(Y$223=0,0,Y222/Y$223)</f>
        <v>0</v>
      </c>
      <c r="AA222" s="19"/>
      <c r="AB222" s="19"/>
      <c r="AC222" s="20"/>
      <c r="AE222" s="17"/>
      <c r="AF222" s="17"/>
      <c r="AG222" s="17"/>
      <c r="AH222" s="18">
        <f t="shared" ref="AH222" si="326">J222</f>
        <v>0</v>
      </c>
      <c r="AI222" s="19">
        <f>IF(AH$223=0,0,AH222/AH$223)</f>
        <v>0</v>
      </c>
      <c r="AK222" s="17"/>
      <c r="AL222" s="17"/>
      <c r="AM222" s="17"/>
      <c r="AN222" s="18">
        <f t="shared" ref="AN222" si="327">K222</f>
        <v>0</v>
      </c>
      <c r="AO222" s="19">
        <f>IF(AN$223=0,0,AN222/AN$223)</f>
        <v>0</v>
      </c>
      <c r="AQ222" s="17"/>
      <c r="AR222" s="17"/>
      <c r="AS222" s="17"/>
      <c r="AT222" s="18">
        <f t="shared" ref="AT222" si="328">W222</f>
        <v>0</v>
      </c>
      <c r="AU222" s="19">
        <f>IF(AT$223=0,0,AT222/AT$223)</f>
        <v>0</v>
      </c>
      <c r="AW222" s="17"/>
      <c r="AX222" s="17"/>
      <c r="AY222" s="17"/>
      <c r="AZ222" s="18">
        <f t="shared" ref="AZ222" si="329">X222</f>
        <v>0</v>
      </c>
      <c r="BA222" s="19">
        <f>IF(AZ$223=0,0,AZ222/AZ$223)</f>
        <v>0</v>
      </c>
    </row>
    <row r="223" spans="1:53" ht="17.100000000000001" customHeight="1" x14ac:dyDescent="0.25">
      <c r="A223" s="40"/>
      <c r="B223" s="40"/>
      <c r="C223" s="77"/>
      <c r="D223" s="144"/>
      <c r="E223" s="144"/>
      <c r="F223" s="145"/>
      <c r="G223" s="145"/>
      <c r="H223" s="119"/>
      <c r="I223" s="236"/>
      <c r="J223" s="80">
        <f>SUM(J220:J222)</f>
        <v>16</v>
      </c>
      <c r="K223" s="80">
        <f t="shared" ref="K223" si="330">SUM(K220:K222)</f>
        <v>12</v>
      </c>
      <c r="L223" s="80">
        <f t="shared" ref="L223" si="331">SUM(L220:L222)</f>
        <v>234</v>
      </c>
      <c r="M223" s="80">
        <f t="shared" ref="M223" si="332">SUM(M220:M221)</f>
        <v>262</v>
      </c>
      <c r="N223" s="81"/>
      <c r="O223" s="81"/>
      <c r="P223" s="81"/>
      <c r="Q223" s="81"/>
      <c r="R223" s="81"/>
      <c r="S223" s="81"/>
      <c r="T223" s="81"/>
      <c r="U223" s="81"/>
      <c r="V223" s="356"/>
      <c r="W223" s="381">
        <f>SUM(W220:W222)</f>
        <v>28</v>
      </c>
      <c r="X223" s="224">
        <f t="shared" ref="X223" si="333">SUM(X220:X222)</f>
        <v>234</v>
      </c>
      <c r="Y223" s="224">
        <f t="shared" ref="Y223" si="334">SUM(Y220:Y222)</f>
        <v>262</v>
      </c>
      <c r="Z223" s="205">
        <f>IF(Y$223=0,0,Y223/Y$223)</f>
        <v>1</v>
      </c>
      <c r="AA223" s="205"/>
      <c r="AB223" s="205"/>
      <c r="AC223" s="83"/>
      <c r="AE223" s="80"/>
      <c r="AF223" s="80"/>
      <c r="AG223" s="81"/>
      <c r="AH223" s="224">
        <f t="shared" ref="AH223" si="335">SUM(AH220:AH222)</f>
        <v>16</v>
      </c>
      <c r="AI223" s="66">
        <f>IF(AH$223=0,0,AH223/AH$223)</f>
        <v>1</v>
      </c>
      <c r="AK223" s="80"/>
      <c r="AL223" s="80"/>
      <c r="AM223" s="81"/>
      <c r="AN223" s="224">
        <f t="shared" ref="AN223" si="336">SUM(AN220:AN222)</f>
        <v>12</v>
      </c>
      <c r="AO223" s="66">
        <f>IF(AN$223=0,0,AN223/AN$223)</f>
        <v>1</v>
      </c>
      <c r="AQ223" s="80"/>
      <c r="AR223" s="80"/>
      <c r="AS223" s="81"/>
      <c r="AT223" s="224">
        <f t="shared" ref="AT223" si="337">SUM(AT220:AT222)</f>
        <v>28</v>
      </c>
      <c r="AU223" s="66">
        <f>IF(AT$223=0,0,AT223/AT$223)</f>
        <v>1</v>
      </c>
      <c r="AW223" s="80"/>
      <c r="AX223" s="80"/>
      <c r="AY223" s="81"/>
      <c r="AZ223" s="224">
        <f t="shared" ref="AZ223" si="338">SUM(AZ220:AZ222)</f>
        <v>234</v>
      </c>
      <c r="BA223" s="66">
        <f>IF(AZ$223=0,0,AZ223/AZ$223)</f>
        <v>1</v>
      </c>
    </row>
    <row r="224" spans="1:53" s="117" customFormat="1" ht="17.100000000000001" customHeight="1" x14ac:dyDescent="0.25">
      <c r="A224" s="68"/>
      <c r="B224" s="119"/>
      <c r="C224" s="540"/>
      <c r="D224" s="261"/>
      <c r="E224" s="261"/>
      <c r="F224" s="68"/>
      <c r="G224" s="68"/>
      <c r="H224" s="119"/>
      <c r="I224" s="236"/>
      <c r="J224" s="17" t="str">
        <f>IF(J223=J$15,"OK","NOK")</f>
        <v>OK</v>
      </c>
      <c r="K224" s="17" t="str">
        <f t="shared" ref="K224" si="339">IF(K223=K$15,"OK","NOK")</f>
        <v>OK</v>
      </c>
      <c r="L224" s="17" t="str">
        <f t="shared" ref="L224" si="340">IF(L223=L$15,"OK","NOK")</f>
        <v>OK</v>
      </c>
      <c r="M224" s="17"/>
      <c r="N224" s="17"/>
      <c r="O224" s="17"/>
      <c r="P224" s="17"/>
      <c r="Q224" s="17"/>
      <c r="R224" s="17"/>
      <c r="S224" s="17"/>
      <c r="T224" s="17"/>
      <c r="U224" s="17"/>
      <c r="V224" s="359"/>
      <c r="W224" s="382"/>
      <c r="X224" s="539"/>
      <c r="Y224" s="539"/>
      <c r="Z224" s="201"/>
      <c r="AA224" s="201"/>
      <c r="AB224" s="201"/>
      <c r="AC224" s="84"/>
      <c r="AE224" s="46"/>
      <c r="AF224" s="46"/>
      <c r="AG224" s="17"/>
      <c r="AH224" s="539"/>
      <c r="AI224" s="91"/>
      <c r="AK224" s="46"/>
      <c r="AL224" s="46"/>
      <c r="AM224" s="17"/>
      <c r="AN224" s="539"/>
      <c r="AO224" s="91"/>
      <c r="AQ224" s="46"/>
      <c r="AR224" s="46"/>
      <c r="AS224" s="17"/>
      <c r="AT224" s="539"/>
      <c r="AU224" s="91"/>
      <c r="AW224" s="46"/>
      <c r="AX224" s="46"/>
      <c r="AY224" s="17"/>
      <c r="AZ224" s="539"/>
      <c r="BA224" s="91"/>
    </row>
    <row r="225" spans="1:53" ht="17.100000000000001" customHeight="1" x14ac:dyDescent="0.25">
      <c r="A225" s="333"/>
      <c r="B225" s="137"/>
      <c r="C225" s="74" t="s">
        <v>642</v>
      </c>
      <c r="D225" s="147" t="s">
        <v>425</v>
      </c>
      <c r="E225" s="105"/>
      <c r="F225" s="105"/>
      <c r="G225" s="105"/>
      <c r="H225" s="243">
        <v>15</v>
      </c>
      <c r="I225" s="236"/>
      <c r="J225" s="111"/>
      <c r="K225" s="111"/>
      <c r="L225" s="111"/>
      <c r="M225" s="111"/>
      <c r="N225" s="111"/>
      <c r="O225" s="111"/>
      <c r="P225" s="111"/>
      <c r="Q225" s="111"/>
      <c r="R225" s="111"/>
      <c r="S225" s="111"/>
      <c r="T225" s="111"/>
      <c r="U225" s="111"/>
      <c r="V225" s="358"/>
      <c r="W225" s="380"/>
      <c r="X225" s="111"/>
      <c r="Y225" s="112"/>
      <c r="Z225" s="113"/>
      <c r="AA225" s="113"/>
      <c r="AB225" s="113"/>
      <c r="AC225" s="113"/>
      <c r="AE225" s="71"/>
      <c r="AF225" s="71"/>
      <c r="AG225" s="71"/>
      <c r="AH225" s="72"/>
      <c r="AI225" s="73"/>
      <c r="AK225" s="71"/>
      <c r="AL225" s="71"/>
      <c r="AM225" s="71"/>
      <c r="AN225" s="72"/>
      <c r="AO225" s="73"/>
      <c r="AQ225" s="71"/>
      <c r="AR225" s="71"/>
      <c r="AS225" s="71"/>
      <c r="AT225" s="72"/>
      <c r="AU225" s="73"/>
      <c r="AW225" s="71"/>
      <c r="AX225" s="71"/>
      <c r="AY225" s="71"/>
      <c r="AZ225" s="72"/>
      <c r="BA225" s="73"/>
    </row>
    <row r="226" spans="1:53" ht="17.100000000000001" customHeight="1" x14ac:dyDescent="0.25">
      <c r="A226" s="137"/>
      <c r="B226" s="137"/>
      <c r="C226" s="40"/>
      <c r="D226" s="74" t="s">
        <v>643</v>
      </c>
      <c r="E226" s="542" t="s">
        <v>11</v>
      </c>
      <c r="F226" s="75"/>
      <c r="G226" s="75"/>
      <c r="H226" s="540"/>
      <c r="I226" s="236"/>
      <c r="J226" s="111"/>
      <c r="K226" s="111"/>
      <c r="L226" s="111"/>
      <c r="M226" s="111"/>
      <c r="N226" s="60"/>
      <c r="O226" s="60"/>
      <c r="P226" s="60"/>
      <c r="Q226" s="111"/>
      <c r="R226" s="111"/>
      <c r="S226" s="111"/>
      <c r="T226" s="111"/>
      <c r="U226" s="111"/>
      <c r="V226" s="358"/>
      <c r="W226" s="391">
        <f t="shared" ref="W226:W227" si="341">J226+K226+N226+Q226+T226</f>
        <v>0</v>
      </c>
      <c r="X226" s="17">
        <f t="shared" ref="X226:X227" si="342">L226+O226+R226+U226</f>
        <v>0</v>
      </c>
      <c r="Y226" s="18">
        <f>SUM(W226:X226)</f>
        <v>0</v>
      </c>
      <c r="Z226" s="19">
        <f>IF(Y$228=0,0,Y226/Y$228)</f>
        <v>0</v>
      </c>
      <c r="AA226" s="19"/>
      <c r="AB226" s="19"/>
      <c r="AC226" s="20"/>
      <c r="AE226" s="17"/>
      <c r="AF226" s="17"/>
      <c r="AG226" s="17"/>
      <c r="AH226" s="18">
        <f>W226</f>
        <v>0</v>
      </c>
      <c r="AI226" s="19">
        <f>IF(AH$228=0,0,AH226/AH$228)</f>
        <v>0</v>
      </c>
      <c r="AK226" s="17"/>
      <c r="AL226" s="17"/>
      <c r="AM226" s="17"/>
      <c r="AN226" s="18" t="e">
        <f>#REF!</f>
        <v>#REF!</v>
      </c>
      <c r="AO226" s="19" t="e">
        <f>IF(AN$228=0,0,AN226/AN$228)</f>
        <v>#REF!</v>
      </c>
      <c r="AQ226" s="17"/>
      <c r="AR226" s="17"/>
      <c r="AS226" s="17"/>
      <c r="AT226" s="18"/>
      <c r="AU226" s="19"/>
      <c r="AW226" s="17"/>
      <c r="AX226" s="17"/>
      <c r="AY226" s="17"/>
      <c r="AZ226" s="18">
        <f>X226</f>
        <v>0</v>
      </c>
      <c r="BA226" s="19">
        <f>IF(AZ$228=0,0,AZ226/AZ$228)</f>
        <v>0</v>
      </c>
    </row>
    <row r="227" spans="1:53" ht="17.100000000000001" customHeight="1" x14ac:dyDescent="0.25">
      <c r="A227" s="137"/>
      <c r="B227" s="137"/>
      <c r="C227" s="40"/>
      <c r="D227" s="74" t="s">
        <v>644</v>
      </c>
      <c r="E227" s="542" t="s">
        <v>9</v>
      </c>
      <c r="F227" s="75"/>
      <c r="G227" s="75"/>
      <c r="H227" s="540"/>
      <c r="I227" s="229"/>
      <c r="J227" s="111"/>
      <c r="K227" s="111"/>
      <c r="L227" s="111"/>
      <c r="M227" s="111"/>
      <c r="N227" s="61"/>
      <c r="O227" s="61"/>
      <c r="P227" s="61"/>
      <c r="Q227" s="111"/>
      <c r="R227" s="111"/>
      <c r="S227" s="111"/>
      <c r="T227" s="111"/>
      <c r="U227" s="111"/>
      <c r="V227" s="358"/>
      <c r="W227" s="391">
        <f t="shared" si="341"/>
        <v>0</v>
      </c>
      <c r="X227" s="17">
        <f t="shared" si="342"/>
        <v>0</v>
      </c>
      <c r="Y227" s="18">
        <f>SUM(W227:X227)</f>
        <v>0</v>
      </c>
      <c r="Z227" s="19">
        <f>IF(Y$228=0,0,Y227/Y$228)</f>
        <v>0</v>
      </c>
      <c r="AA227" s="19"/>
      <c r="AB227" s="19"/>
      <c r="AC227" s="20"/>
      <c r="AE227" s="17"/>
      <c r="AF227" s="17"/>
      <c r="AG227" s="17"/>
      <c r="AH227" s="18">
        <f>W227</f>
        <v>0</v>
      </c>
      <c r="AI227" s="19">
        <f>IF(AH$228=0,0,AH227/AH$228)</f>
        <v>0</v>
      </c>
      <c r="AK227" s="17"/>
      <c r="AL227" s="17"/>
      <c r="AM227" s="17"/>
      <c r="AN227" s="18" t="e">
        <f>#REF!</f>
        <v>#REF!</v>
      </c>
      <c r="AO227" s="19" t="e">
        <f>IF(AN$228=0,0,AN227/AN$228)</f>
        <v>#REF!</v>
      </c>
      <c r="AQ227" s="17"/>
      <c r="AR227" s="17"/>
      <c r="AS227" s="17"/>
      <c r="AT227" s="18"/>
      <c r="AU227" s="19"/>
      <c r="AW227" s="17"/>
      <c r="AX227" s="17"/>
      <c r="AY227" s="17"/>
      <c r="AZ227" s="18">
        <f>X227</f>
        <v>0</v>
      </c>
      <c r="BA227" s="19">
        <f>IF(AZ$228=0,0,AZ227/AZ$228)</f>
        <v>0</v>
      </c>
    </row>
    <row r="228" spans="1:53" ht="17.100000000000001" customHeight="1" x14ac:dyDescent="0.25">
      <c r="A228" s="137"/>
      <c r="B228" s="137"/>
      <c r="C228" s="77"/>
      <c r="D228" s="144"/>
      <c r="E228" s="144"/>
      <c r="F228" s="145"/>
      <c r="G228" s="145"/>
      <c r="H228" s="119"/>
      <c r="I228" s="236"/>
      <c r="J228" s="64"/>
      <c r="K228" s="80"/>
      <c r="L228" s="81"/>
      <c r="M228" s="81"/>
      <c r="N228" s="81"/>
      <c r="O228" s="81"/>
      <c r="P228" s="81"/>
      <c r="Q228" s="81"/>
      <c r="R228" s="81"/>
      <c r="S228" s="81"/>
      <c r="T228" s="81"/>
      <c r="U228" s="81"/>
      <c r="V228" s="356"/>
      <c r="W228" s="381">
        <f>SUM(W226:W227)</f>
        <v>0</v>
      </c>
      <c r="X228" s="82">
        <f t="shared" ref="X228:Y228" si="343">SUM(X226:X227)</f>
        <v>0</v>
      </c>
      <c r="Y228" s="82">
        <f t="shared" si="343"/>
        <v>0</v>
      </c>
      <c r="Z228" s="205">
        <f>IF(Y$228=0,0,Y228/Y$228)</f>
        <v>0</v>
      </c>
      <c r="AA228" s="205"/>
      <c r="AB228" s="205"/>
      <c r="AC228" s="83"/>
      <c r="AE228" s="80"/>
      <c r="AF228" s="80"/>
      <c r="AG228" s="81"/>
      <c r="AH228" s="82">
        <f>SUM(AH226:AH227)</f>
        <v>0</v>
      </c>
      <c r="AI228" s="66">
        <f>IF(AH$228=0,0,AH228/AH$228)</f>
        <v>0</v>
      </c>
      <c r="AK228" s="80"/>
      <c r="AL228" s="80"/>
      <c r="AM228" s="81"/>
      <c r="AN228" s="82" t="e">
        <f>SUM(AN226:AN227)</f>
        <v>#REF!</v>
      </c>
      <c r="AO228" s="66" t="e">
        <f>IF(AN$228=0,0,AN228/AN$228)</f>
        <v>#REF!</v>
      </c>
      <c r="AQ228" s="80"/>
      <c r="AR228" s="80"/>
      <c r="AS228" s="81"/>
      <c r="AT228" s="82"/>
      <c r="AU228" s="66"/>
      <c r="AW228" s="80"/>
      <c r="AX228" s="80"/>
      <c r="AY228" s="81"/>
      <c r="AZ228" s="82">
        <f>SUM(AZ226:AZ227)</f>
        <v>0</v>
      </c>
      <c r="BA228" s="66">
        <f>IF(AZ$228=0,0,AZ228/AZ$228)</f>
        <v>0</v>
      </c>
    </row>
    <row r="229" spans="1:53" s="117" customFormat="1" ht="17.100000000000001" customHeight="1" x14ac:dyDescent="0.25">
      <c r="A229" s="68"/>
      <c r="B229" s="119"/>
      <c r="C229" s="540"/>
      <c r="D229" s="261"/>
      <c r="E229" s="261"/>
      <c r="F229" s="68"/>
      <c r="G229" s="68"/>
      <c r="H229" s="119"/>
      <c r="I229" s="138"/>
      <c r="J229" s="17" t="str">
        <f>IF(J228=J$15,"OK","NOK")</f>
        <v>NOK</v>
      </c>
      <c r="K229" s="17" t="str">
        <f t="shared" ref="K229" si="344">IF(K228=K$15,"OK","NOK")</f>
        <v>NOK</v>
      </c>
      <c r="L229" s="17" t="str">
        <f t="shared" ref="L229" si="345">IF(L228=L$15,"OK","NOK")</f>
        <v>NOK</v>
      </c>
      <c r="M229" s="17"/>
      <c r="N229" s="17"/>
      <c r="O229" s="17"/>
      <c r="P229" s="17"/>
      <c r="Q229" s="17"/>
      <c r="R229" s="17"/>
      <c r="S229" s="17"/>
      <c r="T229" s="17"/>
      <c r="U229" s="17"/>
      <c r="V229" s="359"/>
      <c r="W229" s="382"/>
      <c r="X229" s="539"/>
      <c r="Y229" s="539"/>
      <c r="Z229" s="201"/>
      <c r="AA229" s="201"/>
      <c r="AB229" s="201"/>
      <c r="AC229" s="84"/>
      <c r="AE229" s="46"/>
      <c r="AF229" s="46"/>
      <c r="AG229" s="17"/>
      <c r="AH229" s="539"/>
      <c r="AI229" s="91"/>
      <c r="AK229" s="46"/>
      <c r="AL229" s="46"/>
      <c r="AM229" s="17"/>
      <c r="AN229" s="539"/>
      <c r="AO229" s="91"/>
      <c r="AQ229" s="46"/>
      <c r="AR229" s="46"/>
      <c r="AS229" s="17"/>
      <c r="AT229" s="539"/>
      <c r="AU229" s="91"/>
      <c r="AW229" s="46"/>
      <c r="AX229" s="46"/>
      <c r="AY229" s="17"/>
      <c r="AZ229" s="539"/>
      <c r="BA229" s="91"/>
    </row>
    <row r="230" spans="1:53" ht="17.100000000000001" customHeight="1" x14ac:dyDescent="0.25">
      <c r="A230" s="68"/>
      <c r="B230" s="40"/>
      <c r="C230" s="74" t="s">
        <v>645</v>
      </c>
      <c r="D230" s="147" t="s">
        <v>524</v>
      </c>
      <c r="E230" s="105"/>
      <c r="F230" s="105"/>
      <c r="G230" s="105"/>
      <c r="H230" s="243">
        <v>136</v>
      </c>
      <c r="J230" s="111"/>
      <c r="K230" s="111"/>
      <c r="L230" s="111"/>
      <c r="M230" s="111"/>
      <c r="N230" s="111"/>
      <c r="O230" s="111"/>
      <c r="P230" s="111"/>
      <c r="Q230" s="111"/>
      <c r="R230" s="111"/>
      <c r="S230" s="111"/>
      <c r="T230" s="111"/>
      <c r="U230" s="111"/>
      <c r="V230" s="358"/>
      <c r="W230" s="380"/>
      <c r="X230" s="111"/>
      <c r="Y230" s="112"/>
      <c r="Z230" s="113"/>
      <c r="AA230" s="113"/>
      <c r="AB230" s="113"/>
      <c r="AC230" s="113"/>
      <c r="AE230" s="71"/>
      <c r="AF230" s="71"/>
      <c r="AG230" s="71"/>
      <c r="AH230" s="72"/>
      <c r="AI230" s="73"/>
      <c r="AK230" s="71"/>
      <c r="AL230" s="71"/>
      <c r="AM230" s="71"/>
      <c r="AN230" s="72"/>
      <c r="AO230" s="73"/>
      <c r="AQ230" s="71"/>
      <c r="AR230" s="71"/>
      <c r="AS230" s="71"/>
      <c r="AT230" s="72"/>
      <c r="AU230" s="73"/>
      <c r="AW230" s="71"/>
      <c r="AX230" s="71"/>
      <c r="AY230" s="71"/>
      <c r="AZ230" s="72"/>
      <c r="BA230" s="73"/>
    </row>
    <row r="231" spans="1:53" ht="17.100000000000001" customHeight="1" x14ac:dyDescent="0.25">
      <c r="A231" s="40"/>
      <c r="B231" s="40"/>
      <c r="C231" s="137"/>
      <c r="D231" s="74" t="s">
        <v>646</v>
      </c>
      <c r="E231" s="542" t="s">
        <v>523</v>
      </c>
      <c r="F231" s="75"/>
      <c r="G231" s="75"/>
      <c r="H231" s="540"/>
      <c r="I231" s="229"/>
      <c r="J231" s="581"/>
      <c r="K231" s="581"/>
      <c r="L231" s="582"/>
      <c r="M231" s="17">
        <f t="shared" ref="M231:M235" si="346">SUM(J231:L231)</f>
        <v>0</v>
      </c>
      <c r="N231" s="111"/>
      <c r="O231" s="111"/>
      <c r="P231" s="111"/>
      <c r="Q231" s="111"/>
      <c r="R231" s="111"/>
      <c r="S231" s="111"/>
      <c r="T231" s="111"/>
      <c r="U231" s="111"/>
      <c r="V231" s="358"/>
      <c r="W231" s="391">
        <f t="shared" ref="W231:W235" si="347">J231+K231+N231+Q231+T231</f>
        <v>0</v>
      </c>
      <c r="X231" s="17">
        <f t="shared" ref="X231:X235" si="348">L231+O231+R231+U231</f>
        <v>0</v>
      </c>
      <c r="Y231" s="18">
        <f>SUM(W231:X231)</f>
        <v>0</v>
      </c>
      <c r="Z231" s="19">
        <f>IF(Y$236=0,0,Y231/Y$236)</f>
        <v>0</v>
      </c>
      <c r="AA231" s="19"/>
      <c r="AB231" s="19"/>
      <c r="AC231" s="84"/>
      <c r="AE231" s="17"/>
      <c r="AF231" s="17"/>
      <c r="AG231" s="17"/>
      <c r="AH231" s="18">
        <f t="shared" ref="AH231:AH235" si="349">J231</f>
        <v>0</v>
      </c>
      <c r="AI231" s="19">
        <f>IF(AH$236=0,0,AH231/AH$236)</f>
        <v>0</v>
      </c>
      <c r="AK231" s="17"/>
      <c r="AL231" s="17"/>
      <c r="AM231" s="17"/>
      <c r="AN231" s="18">
        <f t="shared" ref="AN231:AN235" si="350">K231</f>
        <v>0</v>
      </c>
      <c r="AO231" s="19">
        <f>IF(AN$236=0,0,AN231/AN$236)</f>
        <v>0</v>
      </c>
      <c r="AQ231" s="17"/>
      <c r="AR231" s="17"/>
      <c r="AS231" s="17"/>
      <c r="AT231" s="18">
        <f t="shared" ref="AT231:AT235" si="351">W231</f>
        <v>0</v>
      </c>
      <c r="AU231" s="19">
        <f>IF(AT$236=0,0,AT231/AT$236)</f>
        <v>0</v>
      </c>
      <c r="AW231" s="17"/>
      <c r="AX231" s="17"/>
      <c r="AY231" s="17"/>
      <c r="AZ231" s="18">
        <f t="shared" ref="AZ231:AZ235" si="352">X231</f>
        <v>0</v>
      </c>
      <c r="BA231" s="19">
        <f>IF(AZ$236=0,0,AZ231/AZ$236)</f>
        <v>0</v>
      </c>
    </row>
    <row r="232" spans="1:53" ht="17.100000000000001" customHeight="1" x14ac:dyDescent="0.25">
      <c r="A232" s="40"/>
      <c r="B232" s="248"/>
      <c r="C232" s="251"/>
      <c r="D232" s="74" t="s">
        <v>647</v>
      </c>
      <c r="E232" s="542" t="s">
        <v>525</v>
      </c>
      <c r="F232" s="75"/>
      <c r="G232" s="75"/>
      <c r="H232" s="540"/>
      <c r="I232" s="229"/>
      <c r="J232" s="583">
        <v>6</v>
      </c>
      <c r="K232" s="583">
        <v>3</v>
      </c>
      <c r="L232" s="584">
        <v>55</v>
      </c>
      <c r="M232" s="17">
        <f t="shared" si="346"/>
        <v>64</v>
      </c>
      <c r="N232" s="111"/>
      <c r="O232" s="111"/>
      <c r="P232" s="111"/>
      <c r="Q232" s="111"/>
      <c r="R232" s="111"/>
      <c r="S232" s="111"/>
      <c r="T232" s="111"/>
      <c r="U232" s="111"/>
      <c r="V232" s="358"/>
      <c r="W232" s="391">
        <f t="shared" si="347"/>
        <v>9</v>
      </c>
      <c r="X232" s="17">
        <f t="shared" si="348"/>
        <v>55</v>
      </c>
      <c r="Y232" s="18">
        <f>SUM(W232:X232)</f>
        <v>64</v>
      </c>
      <c r="Z232" s="19">
        <f t="shared" ref="Z232:Z236" si="353">IF(Y$236=0,0,Y232/Y$236)</f>
        <v>0.24427480916030533</v>
      </c>
      <c r="AA232" s="19"/>
      <c r="AB232" s="19"/>
      <c r="AC232" s="84"/>
      <c r="AE232" s="17"/>
      <c r="AF232" s="17"/>
      <c r="AG232" s="17"/>
      <c r="AH232" s="18">
        <f t="shared" si="349"/>
        <v>6</v>
      </c>
      <c r="AI232" s="19">
        <f t="shared" ref="AI232:AI236" si="354">IF(AH$236=0,0,AH232/AH$236)</f>
        <v>0.375</v>
      </c>
      <c r="AK232" s="17"/>
      <c r="AL232" s="17"/>
      <c r="AM232" s="17"/>
      <c r="AN232" s="18">
        <f t="shared" si="350"/>
        <v>3</v>
      </c>
      <c r="AO232" s="19">
        <f t="shared" ref="AO232:AO236" si="355">IF(AN$236=0,0,AN232/AN$236)</f>
        <v>0.25</v>
      </c>
      <c r="AQ232" s="17"/>
      <c r="AR232" s="17"/>
      <c r="AS232" s="17"/>
      <c r="AT232" s="18">
        <f t="shared" si="351"/>
        <v>9</v>
      </c>
      <c r="AU232" s="19">
        <f t="shared" ref="AU232:AU236" si="356">IF(AT$236=0,0,AT232/AT$236)</f>
        <v>0.32142857142857145</v>
      </c>
      <c r="AW232" s="17"/>
      <c r="AX232" s="17"/>
      <c r="AY232" s="17"/>
      <c r="AZ232" s="18">
        <f t="shared" si="352"/>
        <v>55</v>
      </c>
      <c r="BA232" s="19">
        <f t="shared" ref="BA232:BA236" si="357">IF(AZ$236=0,0,AZ232/AZ$236)</f>
        <v>0.23504273504273504</v>
      </c>
    </row>
    <row r="233" spans="1:53" ht="17.100000000000001" customHeight="1" x14ac:dyDescent="0.25">
      <c r="A233" s="175"/>
      <c r="B233" s="248"/>
      <c r="C233" s="222"/>
      <c r="D233" s="74" t="s">
        <v>648</v>
      </c>
      <c r="E233" s="542" t="s">
        <v>526</v>
      </c>
      <c r="F233" s="151"/>
      <c r="G233" s="151"/>
      <c r="H233" s="119"/>
      <c r="I233" s="138"/>
      <c r="J233" s="581"/>
      <c r="K233" s="581"/>
      <c r="L233" s="582">
        <v>1</v>
      </c>
      <c r="M233" s="17">
        <f t="shared" si="346"/>
        <v>1</v>
      </c>
      <c r="N233" s="111"/>
      <c r="O233" s="111"/>
      <c r="P233" s="111"/>
      <c r="Q233" s="111"/>
      <c r="R233" s="111"/>
      <c r="S233" s="111"/>
      <c r="T233" s="111"/>
      <c r="U233" s="111"/>
      <c r="V233" s="358"/>
      <c r="W233" s="391">
        <f t="shared" si="347"/>
        <v>0</v>
      </c>
      <c r="X233" s="17">
        <f t="shared" si="348"/>
        <v>1</v>
      </c>
      <c r="Y233" s="18">
        <f>SUM(W233:X233)</f>
        <v>1</v>
      </c>
      <c r="Z233" s="19">
        <f t="shared" si="353"/>
        <v>3.8167938931297708E-3</v>
      </c>
      <c r="AA233" s="19"/>
      <c r="AB233" s="19"/>
      <c r="AC233" s="84"/>
      <c r="AE233" s="17"/>
      <c r="AF233" s="17"/>
      <c r="AG233" s="17"/>
      <c r="AH233" s="18">
        <f t="shared" si="349"/>
        <v>0</v>
      </c>
      <c r="AI233" s="19">
        <f t="shared" si="354"/>
        <v>0</v>
      </c>
      <c r="AK233" s="17"/>
      <c r="AL233" s="17"/>
      <c r="AM233" s="17"/>
      <c r="AN233" s="18">
        <f t="shared" si="350"/>
        <v>0</v>
      </c>
      <c r="AO233" s="19">
        <f t="shared" si="355"/>
        <v>0</v>
      </c>
      <c r="AQ233" s="17"/>
      <c r="AR233" s="17"/>
      <c r="AS233" s="17"/>
      <c r="AT233" s="18">
        <f t="shared" si="351"/>
        <v>0</v>
      </c>
      <c r="AU233" s="19">
        <f t="shared" si="356"/>
        <v>0</v>
      </c>
      <c r="AW233" s="17"/>
      <c r="AX233" s="17"/>
      <c r="AY233" s="17"/>
      <c r="AZ233" s="18">
        <f t="shared" si="352"/>
        <v>1</v>
      </c>
      <c r="BA233" s="19">
        <f t="shared" si="357"/>
        <v>4.2735042735042739E-3</v>
      </c>
    </row>
    <row r="234" spans="1:53" ht="17.100000000000001" customHeight="1" x14ac:dyDescent="0.25">
      <c r="A234" s="68"/>
      <c r="B234" s="249"/>
      <c r="C234" s="157"/>
      <c r="D234" s="74" t="s">
        <v>649</v>
      </c>
      <c r="E234" s="542" t="s">
        <v>527</v>
      </c>
      <c r="F234" s="105"/>
      <c r="G234" s="105"/>
      <c r="H234" s="119"/>
      <c r="J234" s="583">
        <v>4</v>
      </c>
      <c r="K234" s="583">
        <v>1</v>
      </c>
      <c r="L234" s="584">
        <v>51</v>
      </c>
      <c r="M234" s="17">
        <f t="shared" si="346"/>
        <v>56</v>
      </c>
      <c r="N234" s="111"/>
      <c r="O234" s="111"/>
      <c r="P234" s="111"/>
      <c r="Q234" s="111"/>
      <c r="R234" s="111"/>
      <c r="S234" s="111"/>
      <c r="T234" s="111"/>
      <c r="U234" s="111"/>
      <c r="V234" s="358"/>
      <c r="W234" s="391">
        <f t="shared" si="347"/>
        <v>5</v>
      </c>
      <c r="X234" s="17">
        <f t="shared" si="348"/>
        <v>51</v>
      </c>
      <c r="Y234" s="18">
        <f>SUM(W234:X234)</f>
        <v>56</v>
      </c>
      <c r="Z234" s="19">
        <f t="shared" si="353"/>
        <v>0.21374045801526717</v>
      </c>
      <c r="AA234" s="19"/>
      <c r="AB234" s="19"/>
      <c r="AC234" s="84"/>
      <c r="AE234" s="17"/>
      <c r="AF234" s="17"/>
      <c r="AG234" s="17"/>
      <c r="AH234" s="18">
        <f t="shared" si="349"/>
        <v>4</v>
      </c>
      <c r="AI234" s="19">
        <f t="shared" si="354"/>
        <v>0.25</v>
      </c>
      <c r="AK234" s="17"/>
      <c r="AL234" s="17"/>
      <c r="AM234" s="17"/>
      <c r="AN234" s="18">
        <f t="shared" si="350"/>
        <v>1</v>
      </c>
      <c r="AO234" s="19">
        <f t="shared" si="355"/>
        <v>8.3333333333333329E-2</v>
      </c>
      <c r="AQ234" s="17"/>
      <c r="AR234" s="17"/>
      <c r="AS234" s="17"/>
      <c r="AT234" s="18">
        <f t="shared" si="351"/>
        <v>5</v>
      </c>
      <c r="AU234" s="19">
        <f t="shared" si="356"/>
        <v>0.17857142857142858</v>
      </c>
      <c r="AW234" s="17"/>
      <c r="AX234" s="17"/>
      <c r="AY234" s="17"/>
      <c r="AZ234" s="18">
        <f t="shared" si="352"/>
        <v>51</v>
      </c>
      <c r="BA234" s="19">
        <f t="shared" si="357"/>
        <v>0.21794871794871795</v>
      </c>
    </row>
    <row r="235" spans="1:53" ht="17.100000000000001" customHeight="1" x14ac:dyDescent="0.25">
      <c r="A235" s="40"/>
      <c r="B235" s="248"/>
      <c r="C235" s="250"/>
      <c r="D235" s="74" t="s">
        <v>650</v>
      </c>
      <c r="E235" s="542" t="s">
        <v>528</v>
      </c>
      <c r="F235" s="75"/>
      <c r="G235" s="75"/>
      <c r="H235" s="540"/>
      <c r="I235" s="229"/>
      <c r="J235" s="581">
        <v>6</v>
      </c>
      <c r="K235" s="581">
        <v>8</v>
      </c>
      <c r="L235" s="582">
        <v>127</v>
      </c>
      <c r="M235" s="17">
        <f t="shared" si="346"/>
        <v>141</v>
      </c>
      <c r="N235" s="111"/>
      <c r="O235" s="111"/>
      <c r="P235" s="111"/>
      <c r="Q235" s="111"/>
      <c r="R235" s="111"/>
      <c r="S235" s="111"/>
      <c r="T235" s="111"/>
      <c r="U235" s="111"/>
      <c r="V235" s="358"/>
      <c r="W235" s="391">
        <f t="shared" si="347"/>
        <v>14</v>
      </c>
      <c r="X235" s="17">
        <f t="shared" si="348"/>
        <v>127</v>
      </c>
      <c r="Y235" s="18">
        <f>SUM(W235:X235)</f>
        <v>141</v>
      </c>
      <c r="Z235" s="19">
        <f t="shared" si="353"/>
        <v>0.53816793893129766</v>
      </c>
      <c r="AA235" s="19"/>
      <c r="AB235" s="19"/>
      <c r="AC235" s="84"/>
      <c r="AE235" s="17"/>
      <c r="AF235" s="17"/>
      <c r="AG235" s="17"/>
      <c r="AH235" s="18">
        <f t="shared" si="349"/>
        <v>6</v>
      </c>
      <c r="AI235" s="19">
        <f t="shared" si="354"/>
        <v>0.375</v>
      </c>
      <c r="AK235" s="17"/>
      <c r="AL235" s="17"/>
      <c r="AM235" s="17"/>
      <c r="AN235" s="18">
        <f t="shared" si="350"/>
        <v>8</v>
      </c>
      <c r="AO235" s="19">
        <f t="shared" si="355"/>
        <v>0.66666666666666663</v>
      </c>
      <c r="AQ235" s="17"/>
      <c r="AR235" s="17"/>
      <c r="AS235" s="17"/>
      <c r="AT235" s="18">
        <f t="shared" si="351"/>
        <v>14</v>
      </c>
      <c r="AU235" s="19">
        <f t="shared" si="356"/>
        <v>0.5</v>
      </c>
      <c r="AW235" s="17"/>
      <c r="AX235" s="17"/>
      <c r="AY235" s="17"/>
      <c r="AZ235" s="18">
        <f t="shared" si="352"/>
        <v>127</v>
      </c>
      <c r="BA235" s="19">
        <f t="shared" si="357"/>
        <v>0.54273504273504269</v>
      </c>
    </row>
    <row r="236" spans="1:53" ht="17.100000000000001" customHeight="1" x14ac:dyDescent="0.25">
      <c r="A236" s="40"/>
      <c r="B236" s="40"/>
      <c r="C236" s="77"/>
      <c r="D236" s="144"/>
      <c r="E236" s="144"/>
      <c r="F236" s="145"/>
      <c r="G236" s="145"/>
      <c r="H236" s="119"/>
      <c r="I236" s="236"/>
      <c r="J236" s="64">
        <f>SUM(J231:J235)</f>
        <v>16</v>
      </c>
      <c r="K236" s="64">
        <f t="shared" ref="K236:M236" si="358">SUM(K231:K235)</f>
        <v>12</v>
      </c>
      <c r="L236" s="64">
        <f t="shared" si="358"/>
        <v>234</v>
      </c>
      <c r="M236" s="64">
        <f t="shared" si="358"/>
        <v>262</v>
      </c>
      <c r="N236" s="81"/>
      <c r="O236" s="81"/>
      <c r="P236" s="81"/>
      <c r="Q236" s="81"/>
      <c r="R236" s="81"/>
      <c r="S236" s="81"/>
      <c r="T236" s="81"/>
      <c r="U236" s="81"/>
      <c r="V236" s="356"/>
      <c r="W236" s="381">
        <f>SUM(W231:W235)</f>
        <v>28</v>
      </c>
      <c r="X236" s="82">
        <f t="shared" ref="X236:Y236" si="359">SUM(X231:X235)</f>
        <v>234</v>
      </c>
      <c r="Y236" s="82">
        <f t="shared" si="359"/>
        <v>262</v>
      </c>
      <c r="Z236" s="205">
        <f t="shared" si="353"/>
        <v>1</v>
      </c>
      <c r="AA236" s="205"/>
      <c r="AB236" s="205"/>
      <c r="AC236" s="83"/>
      <c r="AE236" s="80"/>
      <c r="AF236" s="80"/>
      <c r="AG236" s="81"/>
      <c r="AH236" s="82">
        <f>SUM(AH231:AH235)</f>
        <v>16</v>
      </c>
      <c r="AI236" s="66">
        <f t="shared" si="354"/>
        <v>1</v>
      </c>
      <c r="AK236" s="80"/>
      <c r="AL236" s="80"/>
      <c r="AM236" s="81"/>
      <c r="AN236" s="82">
        <f>SUM(AN231:AN235)</f>
        <v>12</v>
      </c>
      <c r="AO236" s="66">
        <f t="shared" si="355"/>
        <v>1</v>
      </c>
      <c r="AQ236" s="80"/>
      <c r="AR236" s="80"/>
      <c r="AS236" s="81"/>
      <c r="AT236" s="82">
        <f>SUM(AT231:AT235)</f>
        <v>28</v>
      </c>
      <c r="AU236" s="66">
        <f t="shared" si="356"/>
        <v>1</v>
      </c>
      <c r="AW236" s="80"/>
      <c r="AX236" s="80"/>
      <c r="AY236" s="81"/>
      <c r="AZ236" s="82">
        <f>SUM(AZ231:AZ235)</f>
        <v>234</v>
      </c>
      <c r="BA236" s="66">
        <f t="shared" si="357"/>
        <v>1</v>
      </c>
    </row>
    <row r="237" spans="1:53" s="117" customFormat="1" ht="17.100000000000001" customHeight="1" x14ac:dyDescent="0.25">
      <c r="A237" s="68"/>
      <c r="B237" s="119"/>
      <c r="C237" s="540"/>
      <c r="D237" s="261"/>
      <c r="E237" s="261"/>
      <c r="F237" s="68"/>
      <c r="G237" s="68"/>
      <c r="H237" s="119"/>
      <c r="I237" s="138"/>
      <c r="J237" s="17" t="str">
        <f>IF(J236=J$15,"OK","NOK")</f>
        <v>OK</v>
      </c>
      <c r="K237" s="17" t="str">
        <f t="shared" ref="K237" si="360">IF(K236=K$15,"OK","NOK")</f>
        <v>OK</v>
      </c>
      <c r="L237" s="17" t="str">
        <f t="shared" ref="L237" si="361">IF(L236=L$15,"OK","NOK")</f>
        <v>OK</v>
      </c>
      <c r="M237" s="17"/>
      <c r="N237" s="17"/>
      <c r="O237" s="17"/>
      <c r="P237" s="17"/>
      <c r="Q237" s="17"/>
      <c r="R237" s="17"/>
      <c r="S237" s="17"/>
      <c r="T237" s="17"/>
      <c r="U237" s="17"/>
      <c r="V237" s="359"/>
      <c r="W237" s="382"/>
      <c r="X237" s="539"/>
      <c r="Y237" s="539"/>
      <c r="Z237" s="201"/>
      <c r="AA237" s="201"/>
      <c r="AB237" s="201"/>
      <c r="AC237" s="84"/>
      <c r="AE237" s="46"/>
      <c r="AF237" s="46"/>
      <c r="AG237" s="17"/>
      <c r="AH237" s="539"/>
      <c r="AI237" s="91"/>
      <c r="AK237" s="46"/>
      <c r="AL237" s="46"/>
      <c r="AM237" s="17"/>
      <c r="AN237" s="539"/>
      <c r="AO237" s="91"/>
      <c r="AQ237" s="46"/>
      <c r="AR237" s="46"/>
      <c r="AS237" s="17"/>
      <c r="AT237" s="539"/>
      <c r="AU237" s="91"/>
      <c r="AW237" s="46"/>
      <c r="AX237" s="46"/>
      <c r="AY237" s="17"/>
      <c r="AZ237" s="539"/>
      <c r="BA237" s="91"/>
    </row>
    <row r="238" spans="1:53" ht="17.100000000000001" customHeight="1" x14ac:dyDescent="0.25">
      <c r="A238" s="68"/>
      <c r="B238" s="40"/>
      <c r="C238" s="74" t="s">
        <v>651</v>
      </c>
      <c r="D238" s="147" t="s">
        <v>529</v>
      </c>
      <c r="E238" s="105"/>
      <c r="F238" s="105"/>
      <c r="G238" s="105"/>
      <c r="H238" s="243">
        <v>145</v>
      </c>
      <c r="J238" s="111"/>
      <c r="K238" s="111"/>
      <c r="L238" s="111"/>
      <c r="M238" s="111"/>
      <c r="N238" s="111"/>
      <c r="O238" s="111"/>
      <c r="P238" s="111"/>
      <c r="Q238" s="111"/>
      <c r="R238" s="111"/>
      <c r="S238" s="111"/>
      <c r="T238" s="111"/>
      <c r="U238" s="111"/>
      <c r="V238" s="358"/>
      <c r="W238" s="380"/>
      <c r="X238" s="111"/>
      <c r="Y238" s="112"/>
      <c r="Z238" s="113"/>
      <c r="AA238" s="113"/>
      <c r="AB238" s="113"/>
      <c r="AC238" s="113"/>
      <c r="AE238" s="71"/>
      <c r="AF238" s="71"/>
      <c r="AG238" s="71"/>
      <c r="AH238" s="72"/>
      <c r="AI238" s="73"/>
      <c r="AK238" s="71"/>
      <c r="AL238" s="71"/>
      <c r="AM238" s="71"/>
      <c r="AN238" s="72"/>
      <c r="AO238" s="73"/>
      <c r="AQ238" s="71"/>
      <c r="AR238" s="71"/>
      <c r="AS238" s="71"/>
      <c r="AT238" s="72"/>
      <c r="AU238" s="73"/>
      <c r="AW238" s="71"/>
      <c r="AX238" s="71"/>
      <c r="AY238" s="71"/>
      <c r="AZ238" s="72"/>
      <c r="BA238" s="73"/>
    </row>
    <row r="239" spans="1:53" ht="17.100000000000001" customHeight="1" x14ac:dyDescent="0.25">
      <c r="A239" s="40"/>
      <c r="B239" s="40"/>
      <c r="C239" s="137"/>
      <c r="D239" s="74" t="s">
        <v>652</v>
      </c>
      <c r="E239" s="542" t="s">
        <v>523</v>
      </c>
      <c r="F239" s="75"/>
      <c r="G239" s="75"/>
      <c r="H239" s="540"/>
      <c r="I239" s="229"/>
      <c r="J239" s="581">
        <v>1</v>
      </c>
      <c r="K239" s="581"/>
      <c r="L239" s="582">
        <v>1</v>
      </c>
      <c r="M239" s="17">
        <f t="shared" ref="M239:M243" si="362">SUM(J239:L239)</f>
        <v>2</v>
      </c>
      <c r="N239" s="111"/>
      <c r="O239" s="111"/>
      <c r="P239" s="111"/>
      <c r="Q239" s="111"/>
      <c r="R239" s="111"/>
      <c r="S239" s="111"/>
      <c r="T239" s="111"/>
      <c r="U239" s="111"/>
      <c r="V239" s="358"/>
      <c r="W239" s="391">
        <f t="shared" ref="W239:W243" si="363">J239+K239+N239+Q239+T239</f>
        <v>1</v>
      </c>
      <c r="X239" s="17">
        <f t="shared" ref="X239:X243" si="364">L239+O239+R239+U239</f>
        <v>1</v>
      </c>
      <c r="Y239" s="18">
        <f>SUM(W239:X239)</f>
        <v>2</v>
      </c>
      <c r="Z239" s="19">
        <f>IF(Y$244=0,0,Y239/Y$244)</f>
        <v>7.6335877862595417E-3</v>
      </c>
      <c r="AA239" s="19"/>
      <c r="AB239" s="19"/>
      <c r="AC239" s="84"/>
      <c r="AE239" s="17"/>
      <c r="AF239" s="17"/>
      <c r="AG239" s="17"/>
      <c r="AH239" s="18">
        <f t="shared" ref="AH239:AH243" si="365">J239</f>
        <v>1</v>
      </c>
      <c r="AI239" s="19">
        <f>IF(AH$244=0,0,AH239/AH$244)</f>
        <v>6.25E-2</v>
      </c>
      <c r="AK239" s="17"/>
      <c r="AL239" s="17"/>
      <c r="AM239" s="17"/>
      <c r="AN239" s="18">
        <f t="shared" ref="AN239:AN243" si="366">K239</f>
        <v>0</v>
      </c>
      <c r="AO239" s="19">
        <f>IF(AN$244=0,0,AN239/AN$244)</f>
        <v>0</v>
      </c>
      <c r="AQ239" s="17"/>
      <c r="AR239" s="17"/>
      <c r="AS239" s="17"/>
      <c r="AT239" s="18">
        <f t="shared" ref="AT239:AT243" si="367">W239</f>
        <v>1</v>
      </c>
      <c r="AU239" s="19">
        <f>IF(AT$244=0,0,AT239/AT$244)</f>
        <v>3.5714285714285712E-2</v>
      </c>
      <c r="AW239" s="17"/>
      <c r="AX239" s="17"/>
      <c r="AY239" s="17"/>
      <c r="AZ239" s="18">
        <f t="shared" ref="AZ239:AZ243" si="368">X239</f>
        <v>1</v>
      </c>
      <c r="BA239" s="19">
        <f>IF(AZ$244=0,0,AZ239/AZ$244)</f>
        <v>4.2735042735042739E-3</v>
      </c>
    </row>
    <row r="240" spans="1:53" ht="17.100000000000001" customHeight="1" x14ac:dyDescent="0.25">
      <c r="A240" s="40"/>
      <c r="B240" s="248"/>
      <c r="C240" s="251"/>
      <c r="D240" s="74" t="s">
        <v>653</v>
      </c>
      <c r="E240" s="542" t="s">
        <v>525</v>
      </c>
      <c r="F240" s="75"/>
      <c r="G240" s="75"/>
      <c r="H240" s="540"/>
      <c r="I240" s="229"/>
      <c r="J240" s="583"/>
      <c r="K240" s="583"/>
      <c r="L240" s="584">
        <v>1</v>
      </c>
      <c r="M240" s="17">
        <f t="shared" si="362"/>
        <v>1</v>
      </c>
      <c r="N240" s="111"/>
      <c r="O240" s="111"/>
      <c r="P240" s="111"/>
      <c r="Q240" s="111"/>
      <c r="R240" s="111"/>
      <c r="S240" s="111"/>
      <c r="T240" s="111"/>
      <c r="U240" s="111"/>
      <c r="V240" s="358"/>
      <c r="W240" s="391">
        <f t="shared" si="363"/>
        <v>0</v>
      </c>
      <c r="X240" s="17">
        <f t="shared" si="364"/>
        <v>1</v>
      </c>
      <c r="Y240" s="18">
        <f>SUM(W240:X240)</f>
        <v>1</v>
      </c>
      <c r="Z240" s="19">
        <f t="shared" ref="Z240:Z244" si="369">IF(Y$244=0,0,Y240/Y$244)</f>
        <v>3.8167938931297708E-3</v>
      </c>
      <c r="AA240" s="19"/>
      <c r="AB240" s="19"/>
      <c r="AC240" s="84"/>
      <c r="AE240" s="17"/>
      <c r="AF240" s="17"/>
      <c r="AG240" s="17"/>
      <c r="AH240" s="18">
        <f t="shared" si="365"/>
        <v>0</v>
      </c>
      <c r="AI240" s="19">
        <f t="shared" ref="AI240:AI244" si="370">IF(AH$244=0,0,AH240/AH$244)</f>
        <v>0</v>
      </c>
      <c r="AK240" s="17"/>
      <c r="AL240" s="17"/>
      <c r="AM240" s="17"/>
      <c r="AN240" s="18">
        <f t="shared" si="366"/>
        <v>0</v>
      </c>
      <c r="AO240" s="19">
        <f t="shared" ref="AO240:AO244" si="371">IF(AN$244=0,0,AN240/AN$244)</f>
        <v>0</v>
      </c>
      <c r="AQ240" s="17"/>
      <c r="AR240" s="17"/>
      <c r="AS240" s="17"/>
      <c r="AT240" s="18">
        <f t="shared" si="367"/>
        <v>0</v>
      </c>
      <c r="AU240" s="19">
        <f t="shared" ref="AU240:AU244" si="372">IF(AT$244=0,0,AT240/AT$244)</f>
        <v>0</v>
      </c>
      <c r="AW240" s="17"/>
      <c r="AX240" s="17"/>
      <c r="AY240" s="17"/>
      <c r="AZ240" s="18">
        <f t="shared" si="368"/>
        <v>1</v>
      </c>
      <c r="BA240" s="19">
        <f t="shared" ref="BA240:BA244" si="373">IF(AZ$244=0,0,AZ240/AZ$244)</f>
        <v>4.2735042735042739E-3</v>
      </c>
    </row>
    <row r="241" spans="1:53" ht="17.100000000000001" customHeight="1" x14ac:dyDescent="0.25">
      <c r="A241" s="175"/>
      <c r="B241" s="248"/>
      <c r="C241" s="222"/>
      <c r="D241" s="74" t="s">
        <v>654</v>
      </c>
      <c r="E241" s="542" t="s">
        <v>526</v>
      </c>
      <c r="F241" s="151"/>
      <c r="G241" s="151"/>
      <c r="H241" s="119"/>
      <c r="I241" s="138"/>
      <c r="J241" s="581">
        <v>10</v>
      </c>
      <c r="K241" s="581">
        <v>4</v>
      </c>
      <c r="L241" s="582">
        <v>40</v>
      </c>
      <c r="M241" s="17">
        <f t="shared" si="362"/>
        <v>54</v>
      </c>
      <c r="N241" s="111"/>
      <c r="O241" s="111"/>
      <c r="P241" s="111"/>
      <c r="Q241" s="111"/>
      <c r="R241" s="111"/>
      <c r="S241" s="111"/>
      <c r="T241" s="111"/>
      <c r="U241" s="111"/>
      <c r="V241" s="358"/>
      <c r="W241" s="391">
        <f t="shared" si="363"/>
        <v>14</v>
      </c>
      <c r="X241" s="17">
        <f t="shared" si="364"/>
        <v>40</v>
      </c>
      <c r="Y241" s="18">
        <f>SUM(W241:X241)</f>
        <v>54</v>
      </c>
      <c r="Z241" s="19">
        <f t="shared" si="369"/>
        <v>0.20610687022900764</v>
      </c>
      <c r="AA241" s="19"/>
      <c r="AB241" s="19"/>
      <c r="AC241" s="84"/>
      <c r="AE241" s="17"/>
      <c r="AF241" s="17"/>
      <c r="AG241" s="17"/>
      <c r="AH241" s="18">
        <f t="shared" si="365"/>
        <v>10</v>
      </c>
      <c r="AI241" s="19">
        <f t="shared" si="370"/>
        <v>0.625</v>
      </c>
      <c r="AK241" s="17"/>
      <c r="AL241" s="17"/>
      <c r="AM241" s="17"/>
      <c r="AN241" s="18">
        <f t="shared" si="366"/>
        <v>4</v>
      </c>
      <c r="AO241" s="19">
        <f t="shared" si="371"/>
        <v>0.33333333333333331</v>
      </c>
      <c r="AQ241" s="17"/>
      <c r="AR241" s="17"/>
      <c r="AS241" s="17"/>
      <c r="AT241" s="18">
        <f t="shared" si="367"/>
        <v>14</v>
      </c>
      <c r="AU241" s="19">
        <f t="shared" si="372"/>
        <v>0.5</v>
      </c>
      <c r="AW241" s="17"/>
      <c r="AX241" s="17"/>
      <c r="AY241" s="17"/>
      <c r="AZ241" s="18">
        <f t="shared" si="368"/>
        <v>40</v>
      </c>
      <c r="BA241" s="19">
        <f t="shared" si="373"/>
        <v>0.17094017094017094</v>
      </c>
    </row>
    <row r="242" spans="1:53" ht="17.100000000000001" customHeight="1" x14ac:dyDescent="0.25">
      <c r="A242" s="68"/>
      <c r="B242" s="249"/>
      <c r="C242" s="157"/>
      <c r="D242" s="74" t="s">
        <v>655</v>
      </c>
      <c r="E242" s="542" t="s">
        <v>527</v>
      </c>
      <c r="F242" s="105"/>
      <c r="G242" s="105"/>
      <c r="H242" s="119"/>
      <c r="J242" s="583"/>
      <c r="K242" s="583">
        <v>1</v>
      </c>
      <c r="L242" s="584">
        <v>1</v>
      </c>
      <c r="M242" s="17">
        <f t="shared" si="362"/>
        <v>2</v>
      </c>
      <c r="N242" s="111"/>
      <c r="O242" s="111"/>
      <c r="P242" s="111"/>
      <c r="Q242" s="111"/>
      <c r="R242" s="111"/>
      <c r="S242" s="111"/>
      <c r="T242" s="111"/>
      <c r="U242" s="111"/>
      <c r="V242" s="358"/>
      <c r="W242" s="391">
        <f t="shared" si="363"/>
        <v>1</v>
      </c>
      <c r="X242" s="17">
        <f t="shared" si="364"/>
        <v>1</v>
      </c>
      <c r="Y242" s="18">
        <f>SUM(W242:X242)</f>
        <v>2</v>
      </c>
      <c r="Z242" s="19">
        <f t="shared" si="369"/>
        <v>7.6335877862595417E-3</v>
      </c>
      <c r="AA242" s="19"/>
      <c r="AB242" s="19"/>
      <c r="AC242" s="84"/>
      <c r="AE242" s="17"/>
      <c r="AF242" s="17"/>
      <c r="AG242" s="17"/>
      <c r="AH242" s="18">
        <f t="shared" si="365"/>
        <v>0</v>
      </c>
      <c r="AI242" s="19">
        <f t="shared" si="370"/>
        <v>0</v>
      </c>
      <c r="AK242" s="17"/>
      <c r="AL242" s="17"/>
      <c r="AM242" s="17"/>
      <c r="AN242" s="18">
        <f t="shared" si="366"/>
        <v>1</v>
      </c>
      <c r="AO242" s="19">
        <f t="shared" si="371"/>
        <v>8.3333333333333329E-2</v>
      </c>
      <c r="AQ242" s="17"/>
      <c r="AR242" s="17"/>
      <c r="AS242" s="17"/>
      <c r="AT242" s="18">
        <f t="shared" si="367"/>
        <v>1</v>
      </c>
      <c r="AU242" s="19">
        <f t="shared" si="372"/>
        <v>3.5714285714285712E-2</v>
      </c>
      <c r="AW242" s="17"/>
      <c r="AX242" s="17"/>
      <c r="AY242" s="17"/>
      <c r="AZ242" s="18">
        <f t="shared" si="368"/>
        <v>1</v>
      </c>
      <c r="BA242" s="19">
        <f t="shared" si="373"/>
        <v>4.2735042735042739E-3</v>
      </c>
    </row>
    <row r="243" spans="1:53" ht="17.100000000000001" customHeight="1" x14ac:dyDescent="0.25">
      <c r="A243" s="40"/>
      <c r="B243" s="248"/>
      <c r="C243" s="250"/>
      <c r="D243" s="74" t="s">
        <v>656</v>
      </c>
      <c r="E243" s="542" t="s">
        <v>528</v>
      </c>
      <c r="F243" s="75"/>
      <c r="G243" s="75"/>
      <c r="H243" s="540"/>
      <c r="I243" s="229"/>
      <c r="J243" s="581">
        <v>5</v>
      </c>
      <c r="K243" s="581">
        <v>7</v>
      </c>
      <c r="L243" s="582">
        <v>191</v>
      </c>
      <c r="M243" s="17">
        <f t="shared" si="362"/>
        <v>203</v>
      </c>
      <c r="N243" s="111"/>
      <c r="O243" s="111"/>
      <c r="P243" s="111"/>
      <c r="Q243" s="111"/>
      <c r="R243" s="111"/>
      <c r="S243" s="111"/>
      <c r="T243" s="111"/>
      <c r="U243" s="111"/>
      <c r="V243" s="358"/>
      <c r="W243" s="391">
        <f t="shared" si="363"/>
        <v>12</v>
      </c>
      <c r="X243" s="17">
        <f t="shared" si="364"/>
        <v>191</v>
      </c>
      <c r="Y243" s="18">
        <f>SUM(W243:X243)</f>
        <v>203</v>
      </c>
      <c r="Z243" s="19">
        <f t="shared" si="369"/>
        <v>0.77480916030534353</v>
      </c>
      <c r="AA243" s="19"/>
      <c r="AB243" s="19"/>
      <c r="AC243" s="84"/>
      <c r="AE243" s="17"/>
      <c r="AF243" s="17"/>
      <c r="AG243" s="17"/>
      <c r="AH243" s="18">
        <f t="shared" si="365"/>
        <v>5</v>
      </c>
      <c r="AI243" s="19">
        <f t="shared" si="370"/>
        <v>0.3125</v>
      </c>
      <c r="AK243" s="17"/>
      <c r="AL243" s="17"/>
      <c r="AM243" s="17"/>
      <c r="AN243" s="18">
        <f t="shared" si="366"/>
        <v>7</v>
      </c>
      <c r="AO243" s="19">
        <f t="shared" si="371"/>
        <v>0.58333333333333337</v>
      </c>
      <c r="AQ243" s="17"/>
      <c r="AR243" s="17"/>
      <c r="AS243" s="17"/>
      <c r="AT243" s="18">
        <f t="shared" si="367"/>
        <v>12</v>
      </c>
      <c r="AU243" s="19">
        <f t="shared" si="372"/>
        <v>0.42857142857142855</v>
      </c>
      <c r="AW243" s="17"/>
      <c r="AX243" s="17"/>
      <c r="AY243" s="17"/>
      <c r="AZ243" s="18">
        <f t="shared" si="368"/>
        <v>191</v>
      </c>
      <c r="BA243" s="19">
        <f t="shared" si="373"/>
        <v>0.81623931623931623</v>
      </c>
    </row>
    <row r="244" spans="1:53" ht="17.100000000000001" customHeight="1" x14ac:dyDescent="0.25">
      <c r="A244" s="40"/>
      <c r="B244" s="40"/>
      <c r="C244" s="77"/>
      <c r="D244" s="144"/>
      <c r="E244" s="144"/>
      <c r="F244" s="145"/>
      <c r="G244" s="145"/>
      <c r="H244" s="119"/>
      <c r="I244" s="236"/>
      <c r="J244" s="64">
        <f>SUM(J239:J243)</f>
        <v>16</v>
      </c>
      <c r="K244" s="64">
        <f t="shared" ref="K244:M244" si="374">SUM(K239:K243)</f>
        <v>12</v>
      </c>
      <c r="L244" s="64">
        <f t="shared" si="374"/>
        <v>234</v>
      </c>
      <c r="M244" s="64">
        <f t="shared" si="374"/>
        <v>262</v>
      </c>
      <c r="N244" s="81"/>
      <c r="O244" s="81"/>
      <c r="P244" s="81"/>
      <c r="Q244" s="81"/>
      <c r="R244" s="81"/>
      <c r="S244" s="81"/>
      <c r="T244" s="81"/>
      <c r="U244" s="81"/>
      <c r="V244" s="356"/>
      <c r="W244" s="381">
        <f>SUM(W239:W243)</f>
        <v>28</v>
      </c>
      <c r="X244" s="82">
        <f t="shared" ref="X244" si="375">SUM(X239:X243)</f>
        <v>234</v>
      </c>
      <c r="Y244" s="82">
        <f t="shared" ref="Y244" si="376">SUM(Y239:Y243)</f>
        <v>262</v>
      </c>
      <c r="Z244" s="205">
        <f t="shared" si="369"/>
        <v>1</v>
      </c>
      <c r="AA244" s="205"/>
      <c r="AB244" s="205"/>
      <c r="AC244" s="83"/>
      <c r="AE244" s="80"/>
      <c r="AF244" s="80"/>
      <c r="AG244" s="81"/>
      <c r="AH244" s="82">
        <f>SUM(AH239:AH243)</f>
        <v>16</v>
      </c>
      <c r="AI244" s="66">
        <f t="shared" si="370"/>
        <v>1</v>
      </c>
      <c r="AK244" s="80"/>
      <c r="AL244" s="80"/>
      <c r="AM244" s="81"/>
      <c r="AN244" s="82">
        <f>SUM(AN239:AN243)</f>
        <v>12</v>
      </c>
      <c r="AO244" s="66">
        <f t="shared" si="371"/>
        <v>1</v>
      </c>
      <c r="AQ244" s="80"/>
      <c r="AR244" s="80"/>
      <c r="AS244" s="81"/>
      <c r="AT244" s="82">
        <f>SUM(AT239:AT243)</f>
        <v>28</v>
      </c>
      <c r="AU244" s="66">
        <f t="shared" si="372"/>
        <v>1</v>
      </c>
      <c r="AW244" s="80"/>
      <c r="AX244" s="80"/>
      <c r="AY244" s="81"/>
      <c r="AZ244" s="82">
        <f>SUM(AZ239:AZ243)</f>
        <v>234</v>
      </c>
      <c r="BA244" s="66">
        <f t="shared" si="373"/>
        <v>1</v>
      </c>
    </row>
    <row r="245" spans="1:53" s="117" customFormat="1" ht="17.100000000000001" customHeight="1" x14ac:dyDescent="0.25">
      <c r="A245" s="68"/>
      <c r="B245" s="119"/>
      <c r="C245" s="540"/>
      <c r="D245" s="261"/>
      <c r="E245" s="261"/>
      <c r="F245" s="68"/>
      <c r="G245" s="68"/>
      <c r="H245" s="119"/>
      <c r="I245" s="138"/>
      <c r="J245" s="17" t="str">
        <f>IF(J244=J$15,"OK","NOK")</f>
        <v>OK</v>
      </c>
      <c r="K245" s="17" t="str">
        <f t="shared" ref="K245" si="377">IF(K244=K$15,"OK","NOK")</f>
        <v>OK</v>
      </c>
      <c r="L245" s="17" t="str">
        <f t="shared" ref="L245" si="378">IF(L244=L$15,"OK","NOK")</f>
        <v>OK</v>
      </c>
      <c r="M245" s="17"/>
      <c r="N245" s="17"/>
      <c r="O245" s="17"/>
      <c r="P245" s="17"/>
      <c r="Q245" s="17"/>
      <c r="R245" s="17"/>
      <c r="S245" s="17"/>
      <c r="T245" s="17"/>
      <c r="U245" s="17"/>
      <c r="V245" s="359"/>
      <c r="W245" s="382"/>
      <c r="X245" s="539"/>
      <c r="Y245" s="539"/>
      <c r="Z245" s="201"/>
      <c r="AA245" s="201"/>
      <c r="AB245" s="201"/>
      <c r="AC245" s="84"/>
      <c r="AE245" s="46"/>
      <c r="AF245" s="46"/>
      <c r="AG245" s="17"/>
      <c r="AH245" s="539"/>
      <c r="AI245" s="91"/>
      <c r="AK245" s="46"/>
      <c r="AL245" s="46"/>
      <c r="AM245" s="17"/>
      <c r="AN245" s="539"/>
      <c r="AO245" s="91"/>
      <c r="AQ245" s="46"/>
      <c r="AR245" s="46"/>
      <c r="AS245" s="17"/>
      <c r="AT245" s="539"/>
      <c r="AU245" s="91"/>
      <c r="AW245" s="46"/>
      <c r="AX245" s="46"/>
      <c r="AY245" s="17"/>
      <c r="AZ245" s="539"/>
      <c r="BA245" s="91"/>
    </row>
    <row r="246" spans="1:53" ht="17.100000000000001" customHeight="1" x14ac:dyDescent="0.25">
      <c r="A246" s="68"/>
      <c r="B246" s="41" t="s">
        <v>956</v>
      </c>
      <c r="C246" s="69" t="s">
        <v>12</v>
      </c>
      <c r="D246" s="50"/>
      <c r="E246" s="70"/>
      <c r="F246" s="70"/>
      <c r="G246" s="70"/>
      <c r="H246" s="119"/>
      <c r="J246" s="71"/>
      <c r="K246" s="71"/>
      <c r="L246" s="71"/>
      <c r="M246" s="71"/>
      <c r="N246" s="71"/>
      <c r="O246" s="71"/>
      <c r="P246" s="71"/>
      <c r="Q246" s="71"/>
      <c r="R246" s="71"/>
      <c r="S246" s="71"/>
      <c r="T246" s="71"/>
      <c r="U246" s="71"/>
      <c r="V246" s="355"/>
      <c r="W246" s="377"/>
      <c r="X246" s="71"/>
      <c r="Y246" s="72"/>
      <c r="Z246" s="73"/>
      <c r="AA246" s="73"/>
      <c r="AB246" s="73"/>
      <c r="AC246" s="73"/>
      <c r="AE246" s="71"/>
      <c r="AF246" s="71"/>
      <c r="AG246" s="71"/>
      <c r="AH246" s="72"/>
      <c r="AI246" s="73"/>
      <c r="AK246" s="71"/>
      <c r="AL246" s="71"/>
      <c r="AM246" s="71"/>
      <c r="AN246" s="72"/>
      <c r="AO246" s="73"/>
      <c r="AQ246" s="71"/>
      <c r="AR246" s="71"/>
      <c r="AS246" s="71"/>
      <c r="AT246" s="72"/>
      <c r="AU246" s="73"/>
      <c r="AW246" s="71"/>
      <c r="AX246" s="71"/>
      <c r="AY246" s="71"/>
      <c r="AZ246" s="72"/>
      <c r="BA246" s="73"/>
    </row>
    <row r="247" spans="1:53" ht="17.100000000000001" customHeight="1" x14ac:dyDescent="0.25">
      <c r="A247" s="40"/>
      <c r="B247" s="40"/>
      <c r="C247" s="41" t="s">
        <v>957</v>
      </c>
      <c r="D247" s="476" t="s">
        <v>955</v>
      </c>
      <c r="E247" s="322"/>
      <c r="F247" s="301"/>
      <c r="G247" s="301"/>
      <c r="H247" s="119"/>
      <c r="I247" s="236"/>
      <c r="J247" s="87"/>
      <c r="K247" s="87"/>
      <c r="L247" s="71"/>
      <c r="M247" s="71"/>
      <c r="N247" s="71"/>
      <c r="O247" s="71"/>
      <c r="P247" s="71"/>
      <c r="Q247" s="71"/>
      <c r="R247" s="71"/>
      <c r="S247" s="71"/>
      <c r="T247" s="71"/>
      <c r="U247" s="71"/>
      <c r="V247" s="355"/>
      <c r="W247" s="377"/>
      <c r="X247" s="71"/>
      <c r="Y247" s="89"/>
      <c r="Z247" s="90"/>
      <c r="AA247" s="90"/>
      <c r="AB247" s="90"/>
      <c r="AC247" s="73"/>
      <c r="AE247" s="87"/>
      <c r="AF247" s="87"/>
      <c r="AG247" s="71"/>
      <c r="AH247" s="89"/>
      <c r="AI247" s="90"/>
      <c r="AK247" s="87"/>
      <c r="AL247" s="87"/>
      <c r="AM247" s="71"/>
      <c r="AN247" s="89"/>
      <c r="AO247" s="90"/>
      <c r="AQ247" s="87"/>
      <c r="AR247" s="87"/>
      <c r="AS247" s="71"/>
      <c r="AT247" s="89"/>
      <c r="AU247" s="90"/>
      <c r="AW247" s="87"/>
      <c r="AX247" s="87"/>
      <c r="AY247" s="71"/>
      <c r="AZ247" s="89"/>
      <c r="BA247" s="90"/>
    </row>
    <row r="248" spans="1:53" ht="17.100000000000001" customHeight="1" x14ac:dyDescent="0.25">
      <c r="A248" s="40"/>
      <c r="B248" s="40"/>
      <c r="C248" s="119"/>
      <c r="D248" s="153" t="s">
        <v>933</v>
      </c>
      <c r="E248" s="142"/>
      <c r="F248" s="143"/>
      <c r="G248" s="143"/>
      <c r="H248" s="119"/>
      <c r="I248" s="236"/>
      <c r="J248" s="527">
        <v>0.39285714285714202</v>
      </c>
      <c r="K248" s="527"/>
      <c r="L248" s="528"/>
      <c r="M248" s="154"/>
      <c r="N248" s="154"/>
      <c r="O248" s="154"/>
      <c r="P248" s="154"/>
      <c r="Q248" s="154"/>
      <c r="R248" s="154"/>
      <c r="S248" s="154"/>
      <c r="T248" s="154"/>
      <c r="U248" s="154"/>
      <c r="V248" s="159"/>
      <c r="W248" s="387"/>
      <c r="X248" s="154"/>
      <c r="Y248" s="129"/>
      <c r="Z248" s="130"/>
      <c r="AA248" s="130"/>
      <c r="AB248" s="130"/>
      <c r="AC248" s="125"/>
      <c r="AE248" s="154"/>
      <c r="AF248" s="154"/>
      <c r="AG248" s="154"/>
      <c r="AH248" s="129"/>
      <c r="AI248" s="130"/>
      <c r="AK248" s="154"/>
      <c r="AL248" s="154"/>
      <c r="AM248" s="154"/>
      <c r="AN248" s="129"/>
      <c r="AO248" s="130"/>
      <c r="AQ248" s="154"/>
      <c r="AR248" s="154"/>
      <c r="AS248" s="154"/>
      <c r="AT248" s="129"/>
      <c r="AU248" s="130"/>
      <c r="AW248" s="154"/>
      <c r="AX248" s="154"/>
      <c r="AY248" s="154"/>
      <c r="AZ248" s="129"/>
      <c r="BA248" s="130"/>
    </row>
    <row r="249" spans="1:53" ht="17.100000000000001" customHeight="1" x14ac:dyDescent="0.25">
      <c r="A249" s="40"/>
      <c r="B249" s="40"/>
      <c r="C249" s="119"/>
      <c r="D249" s="153" t="s">
        <v>934</v>
      </c>
      <c r="E249" s="142"/>
      <c r="F249" s="143"/>
      <c r="G249" s="143"/>
      <c r="H249" s="119"/>
      <c r="I249" s="236"/>
      <c r="J249" s="527">
        <f>J248/2</f>
        <v>0.19642857142857101</v>
      </c>
      <c r="K249" s="527"/>
      <c r="L249" s="154"/>
      <c r="M249" s="154"/>
      <c r="N249" s="154"/>
      <c r="O249" s="154"/>
      <c r="P249" s="154"/>
      <c r="Q249" s="154"/>
      <c r="R249" s="154"/>
      <c r="S249" s="154"/>
      <c r="T249" s="154"/>
      <c r="U249" s="154"/>
      <c r="V249" s="159"/>
      <c r="W249" s="387"/>
      <c r="X249" s="154"/>
      <c r="Y249" s="129"/>
      <c r="Z249" s="130"/>
      <c r="AA249" s="130"/>
      <c r="AB249" s="130"/>
      <c r="AC249" s="125"/>
      <c r="AE249" s="154"/>
      <c r="AF249" s="154"/>
      <c r="AG249" s="154"/>
      <c r="AH249" s="129"/>
      <c r="AI249" s="130"/>
      <c r="AK249" s="154"/>
      <c r="AL249" s="154"/>
      <c r="AM249" s="154"/>
      <c r="AN249" s="129"/>
      <c r="AO249" s="130"/>
      <c r="AQ249" s="154"/>
      <c r="AR249" s="154"/>
      <c r="AS249" s="154"/>
      <c r="AT249" s="129"/>
      <c r="AU249" s="130"/>
      <c r="AW249" s="154"/>
      <c r="AX249" s="154"/>
      <c r="AY249" s="154"/>
      <c r="AZ249" s="129"/>
      <c r="BA249" s="130"/>
    </row>
    <row r="250" spans="1:53" ht="17.100000000000001" customHeight="1" x14ac:dyDescent="0.25">
      <c r="A250" s="40"/>
      <c r="B250" s="40"/>
      <c r="C250" s="119"/>
      <c r="D250" s="153" t="s">
        <v>940</v>
      </c>
      <c r="E250" s="142"/>
      <c r="F250" s="143"/>
      <c r="G250" s="143"/>
      <c r="H250" s="119"/>
      <c r="I250" s="236"/>
      <c r="J250" s="527">
        <f>J248*0.75</f>
        <v>0.29464285714285654</v>
      </c>
      <c r="K250" s="527"/>
      <c r="L250" s="154"/>
      <c r="M250" s="154"/>
      <c r="N250" s="154"/>
      <c r="O250" s="154"/>
      <c r="P250" s="154"/>
      <c r="Q250" s="154"/>
      <c r="R250" s="154"/>
      <c r="S250" s="154"/>
      <c r="T250" s="154"/>
      <c r="U250" s="154"/>
      <c r="V250" s="159"/>
      <c r="W250" s="387"/>
      <c r="X250" s="154"/>
      <c r="Y250" s="129"/>
      <c r="Z250" s="130"/>
      <c r="AA250" s="130"/>
      <c r="AB250" s="130"/>
      <c r="AC250" s="125"/>
      <c r="AE250" s="154"/>
      <c r="AF250" s="154"/>
      <c r="AG250" s="154"/>
      <c r="AH250" s="129"/>
      <c r="AI250" s="130"/>
      <c r="AK250" s="154"/>
      <c r="AL250" s="154"/>
      <c r="AM250" s="154"/>
      <c r="AN250" s="129"/>
      <c r="AO250" s="130"/>
      <c r="AQ250" s="154"/>
      <c r="AR250" s="154"/>
      <c r="AS250" s="154"/>
      <c r="AT250" s="129"/>
      <c r="AU250" s="130"/>
      <c r="AW250" s="154"/>
      <c r="AX250" s="154"/>
      <c r="AY250" s="154"/>
      <c r="AZ250" s="129"/>
      <c r="BA250" s="130"/>
    </row>
    <row r="251" spans="1:53" ht="17.100000000000001" customHeight="1" x14ac:dyDescent="0.25">
      <c r="A251" s="40"/>
      <c r="B251" s="40"/>
      <c r="C251" s="119"/>
      <c r="D251" s="153" t="s">
        <v>941</v>
      </c>
      <c r="E251" s="142"/>
      <c r="F251" s="143"/>
      <c r="G251" s="143"/>
      <c r="H251" s="119"/>
      <c r="I251" s="236"/>
      <c r="J251" s="527">
        <f>J248</f>
        <v>0.39285714285714202</v>
      </c>
      <c r="K251" s="527"/>
      <c r="L251" s="154"/>
      <c r="M251" s="154"/>
      <c r="N251" s="154"/>
      <c r="O251" s="154"/>
      <c r="P251" s="154"/>
      <c r="Q251" s="154"/>
      <c r="R251" s="154"/>
      <c r="S251" s="154"/>
      <c r="T251" s="154"/>
      <c r="U251" s="154"/>
      <c r="V251" s="159"/>
      <c r="W251" s="387"/>
      <c r="X251" s="154"/>
      <c r="Y251" s="129"/>
      <c r="Z251" s="130"/>
      <c r="AA251" s="130"/>
      <c r="AB251" s="130"/>
      <c r="AC251" s="125"/>
      <c r="AE251" s="154"/>
      <c r="AF251" s="154"/>
      <c r="AG251" s="154"/>
      <c r="AH251" s="129"/>
      <c r="AI251" s="130"/>
      <c r="AK251" s="154"/>
      <c r="AL251" s="154"/>
      <c r="AM251" s="154"/>
      <c r="AN251" s="129"/>
      <c r="AO251" s="130"/>
      <c r="AQ251" s="154"/>
      <c r="AR251" s="154"/>
      <c r="AS251" s="154"/>
      <c r="AT251" s="129"/>
      <c r="AU251" s="130"/>
      <c r="AW251" s="154"/>
      <c r="AX251" s="154"/>
      <c r="AY251" s="154"/>
      <c r="AZ251" s="129"/>
      <c r="BA251" s="130"/>
    </row>
    <row r="252" spans="1:53" ht="17.100000000000001" customHeight="1" x14ac:dyDescent="0.25">
      <c r="A252" s="40"/>
      <c r="B252" s="40"/>
      <c r="C252" s="119"/>
      <c r="D252" s="153" t="s">
        <v>942</v>
      </c>
      <c r="E252" s="142"/>
      <c r="F252" s="143"/>
      <c r="G252" s="143"/>
      <c r="H252" s="119"/>
      <c r="I252" s="236"/>
      <c r="J252" s="527">
        <f>J249</f>
        <v>0.19642857142857101</v>
      </c>
      <c r="K252" s="527"/>
      <c r="L252" s="154"/>
      <c r="M252" s="154"/>
      <c r="N252" s="154"/>
      <c r="O252" s="154"/>
      <c r="P252" s="154"/>
      <c r="Q252" s="154"/>
      <c r="R252" s="154"/>
      <c r="S252" s="154"/>
      <c r="T252" s="154"/>
      <c r="U252" s="154"/>
      <c r="V252" s="159"/>
      <c r="W252" s="387"/>
      <c r="X252" s="154"/>
      <c r="Y252" s="129"/>
      <c r="Z252" s="130"/>
      <c r="AA252" s="130"/>
      <c r="AB252" s="130"/>
      <c r="AC252" s="125"/>
      <c r="AE252" s="154"/>
      <c r="AF252" s="154"/>
      <c r="AG252" s="154"/>
      <c r="AH252" s="129"/>
      <c r="AI252" s="130"/>
      <c r="AK252" s="154"/>
      <c r="AL252" s="154"/>
      <c r="AM252" s="154"/>
      <c r="AN252" s="129"/>
      <c r="AO252" s="130"/>
      <c r="AQ252" s="154"/>
      <c r="AR252" s="154"/>
      <c r="AS252" s="154"/>
      <c r="AT252" s="129"/>
      <c r="AU252" s="130"/>
      <c r="AW252" s="154"/>
      <c r="AX252" s="154"/>
      <c r="AY252" s="154"/>
      <c r="AZ252" s="129"/>
      <c r="BA252" s="130"/>
    </row>
    <row r="253" spans="1:53" ht="17.100000000000001" customHeight="1" x14ac:dyDescent="0.25">
      <c r="A253" s="40"/>
      <c r="B253" s="40"/>
      <c r="C253" s="119"/>
      <c r="D253" s="153" t="s">
        <v>943</v>
      </c>
      <c r="E253" s="142"/>
      <c r="F253" s="143"/>
      <c r="G253" s="143"/>
      <c r="H253" s="119"/>
      <c r="I253" s="236"/>
      <c r="J253" s="527">
        <f>J248</f>
        <v>0.39285714285714202</v>
      </c>
      <c r="K253" s="527"/>
      <c r="L253" s="154"/>
      <c r="M253" s="154"/>
      <c r="N253" s="154"/>
      <c r="O253" s="154"/>
      <c r="P253" s="154"/>
      <c r="Q253" s="154"/>
      <c r="R253" s="154"/>
      <c r="S253" s="154"/>
      <c r="T253" s="154"/>
      <c r="U253" s="154"/>
      <c r="V253" s="159"/>
      <c r="W253" s="387"/>
      <c r="X253" s="154"/>
      <c r="Y253" s="129"/>
      <c r="Z253" s="130"/>
      <c r="AA253" s="130"/>
      <c r="AB253" s="130"/>
      <c r="AC253" s="125"/>
      <c r="AE253" s="154"/>
      <c r="AF253" s="154"/>
      <c r="AG253" s="154"/>
      <c r="AH253" s="129"/>
      <c r="AI253" s="130"/>
      <c r="AK253" s="154"/>
      <c r="AL253" s="154"/>
      <c r="AM253" s="154"/>
      <c r="AN253" s="129"/>
      <c r="AO253" s="130"/>
      <c r="AQ253" s="154"/>
      <c r="AR253" s="154"/>
      <c r="AS253" s="154"/>
      <c r="AT253" s="129"/>
      <c r="AU253" s="130"/>
      <c r="AW253" s="154"/>
      <c r="AX253" s="154"/>
      <c r="AY253" s="154"/>
      <c r="AZ253" s="129"/>
      <c r="BA253" s="130"/>
    </row>
    <row r="254" spans="1:53" ht="17.100000000000001" customHeight="1" x14ac:dyDescent="0.25">
      <c r="A254" s="40"/>
      <c r="B254" s="40"/>
      <c r="C254" s="119"/>
      <c r="D254" s="153" t="s">
        <v>944</v>
      </c>
      <c r="E254" s="142"/>
      <c r="F254" s="143"/>
      <c r="G254" s="143"/>
      <c r="H254" s="119"/>
      <c r="I254" s="236"/>
      <c r="J254" s="527">
        <f>J249</f>
        <v>0.19642857142857101</v>
      </c>
      <c r="K254" s="527"/>
      <c r="L254" s="154"/>
      <c r="M254" s="154"/>
      <c r="N254" s="154"/>
      <c r="O254" s="154"/>
      <c r="P254" s="154"/>
      <c r="Q254" s="154"/>
      <c r="R254" s="154"/>
      <c r="S254" s="154"/>
      <c r="T254" s="154"/>
      <c r="U254" s="154"/>
      <c r="V254" s="159"/>
      <c r="W254" s="387"/>
      <c r="X254" s="154"/>
      <c r="Y254" s="129"/>
      <c r="Z254" s="130"/>
      <c r="AA254" s="130"/>
      <c r="AB254" s="130"/>
      <c r="AC254" s="125"/>
      <c r="AE254" s="154"/>
      <c r="AF254" s="154"/>
      <c r="AG254" s="154"/>
      <c r="AH254" s="129"/>
      <c r="AI254" s="130"/>
      <c r="AK254" s="154"/>
      <c r="AL254" s="154"/>
      <c r="AM254" s="154"/>
      <c r="AN254" s="129"/>
      <c r="AO254" s="130"/>
      <c r="AQ254" s="154"/>
      <c r="AR254" s="154"/>
      <c r="AS254" s="154"/>
      <c r="AT254" s="129"/>
      <c r="AU254" s="130"/>
      <c r="AW254" s="154"/>
      <c r="AX254" s="154"/>
      <c r="AY254" s="154"/>
      <c r="AZ254" s="129"/>
      <c r="BA254" s="130"/>
    </row>
    <row r="255" spans="1:53" ht="17.100000000000001" customHeight="1" x14ac:dyDescent="0.25">
      <c r="A255" s="40"/>
      <c r="B255" s="40"/>
      <c r="C255" s="68"/>
      <c r="D255" s="153" t="s">
        <v>945</v>
      </c>
      <c r="E255" s="142"/>
      <c r="F255" s="143"/>
      <c r="G255" s="143"/>
      <c r="H255" s="119"/>
      <c r="I255" s="236"/>
      <c r="J255" s="527">
        <f>J248</f>
        <v>0.39285714285714202</v>
      </c>
      <c r="K255" s="527"/>
      <c r="L255" s="154"/>
      <c r="M255" s="154"/>
      <c r="N255" s="154"/>
      <c r="O255" s="154"/>
      <c r="P255" s="154"/>
      <c r="Q255" s="154"/>
      <c r="R255" s="154"/>
      <c r="S255" s="154"/>
      <c r="T255" s="154"/>
      <c r="U255" s="154"/>
      <c r="V255" s="159"/>
      <c r="W255" s="387"/>
      <c r="X255" s="154"/>
      <c r="Y255" s="129"/>
      <c r="Z255" s="130"/>
      <c r="AA255" s="130"/>
      <c r="AB255" s="130"/>
      <c r="AC255" s="125"/>
      <c r="AE255" s="154"/>
      <c r="AF255" s="154"/>
      <c r="AG255" s="154"/>
      <c r="AH255" s="129"/>
      <c r="AI255" s="130"/>
      <c r="AK255" s="154"/>
      <c r="AL255" s="154"/>
      <c r="AM255" s="154"/>
      <c r="AN255" s="129"/>
      <c r="AO255" s="130"/>
      <c r="AQ255" s="154"/>
      <c r="AR255" s="154"/>
      <c r="AS255" s="154"/>
      <c r="AT255" s="129"/>
      <c r="AU255" s="130"/>
      <c r="AW255" s="154"/>
      <c r="AX255" s="154"/>
      <c r="AY255" s="154"/>
      <c r="AZ255" s="129"/>
      <c r="BA255" s="130"/>
    </row>
    <row r="256" spans="1:53" ht="17.100000000000001" customHeight="1" x14ac:dyDescent="0.25">
      <c r="A256" s="40"/>
      <c r="B256" s="40"/>
      <c r="C256" s="40"/>
      <c r="D256" s="69" t="s">
        <v>413</v>
      </c>
      <c r="E256" s="322"/>
      <c r="F256" s="301"/>
      <c r="G256" s="301"/>
      <c r="H256" s="421"/>
      <c r="I256" s="236"/>
      <c r="J256" s="529"/>
      <c r="K256" s="529"/>
      <c r="L256" s="87"/>
      <c r="M256" s="87"/>
      <c r="N256" s="87"/>
      <c r="O256" s="87"/>
      <c r="P256" s="87"/>
      <c r="Q256" s="87"/>
      <c r="R256" s="87"/>
      <c r="S256" s="87"/>
      <c r="T256" s="87"/>
      <c r="U256" s="87"/>
      <c r="V256" s="530"/>
      <c r="W256" s="531"/>
      <c r="X256" s="87"/>
      <c r="Y256" s="89"/>
      <c r="Z256" s="90"/>
      <c r="AA256" s="90"/>
      <c r="AB256" s="90"/>
      <c r="AC256" s="73"/>
      <c r="AE256" s="154"/>
      <c r="AF256" s="154"/>
      <c r="AG256" s="154"/>
      <c r="AH256" s="129"/>
      <c r="AI256" s="130"/>
      <c r="AK256" s="154"/>
      <c r="AL256" s="154"/>
      <c r="AM256" s="154"/>
      <c r="AN256" s="129"/>
      <c r="AO256" s="130"/>
      <c r="AQ256" s="154"/>
      <c r="AR256" s="154"/>
      <c r="AS256" s="154"/>
      <c r="AT256" s="129"/>
      <c r="AU256" s="130"/>
      <c r="AW256" s="154"/>
      <c r="AX256" s="154"/>
      <c r="AY256" s="154"/>
      <c r="AZ256" s="129"/>
      <c r="BA256" s="130"/>
    </row>
    <row r="257" spans="1:53" ht="17.100000000000001" customHeight="1" x14ac:dyDescent="0.25">
      <c r="A257" s="40"/>
      <c r="B257" s="40"/>
      <c r="C257" s="119"/>
      <c r="D257" s="293" t="s">
        <v>935</v>
      </c>
      <c r="E257" s="142"/>
      <c r="F257" s="143"/>
      <c r="G257" s="143"/>
      <c r="H257" s="119"/>
      <c r="I257" s="236"/>
      <c r="J257" s="532"/>
      <c r="K257" s="532"/>
      <c r="L257" s="533">
        <f>(1*J250+3*J251)</f>
        <v>1.4732142857142827</v>
      </c>
      <c r="M257" s="533">
        <f>L257*N257</f>
        <v>0</v>
      </c>
      <c r="N257" s="532">
        <f t="shared" ref="N257:O259" si="379">N170</f>
        <v>0</v>
      </c>
      <c r="O257" s="532">
        <f t="shared" si="379"/>
        <v>0</v>
      </c>
      <c r="P257" s="532"/>
      <c r="Q257" s="532">
        <f t="shared" ref="Q257:R259" si="380">Q170</f>
        <v>0</v>
      </c>
      <c r="R257" s="532">
        <f t="shared" si="380"/>
        <v>0</v>
      </c>
      <c r="S257" s="532"/>
      <c r="T257" s="532">
        <f t="shared" ref="T257:U259" si="381">T170</f>
        <v>0</v>
      </c>
      <c r="U257" s="532">
        <f t="shared" si="381"/>
        <v>0</v>
      </c>
      <c r="V257" s="159"/>
      <c r="W257" s="387"/>
      <c r="X257" s="154"/>
      <c r="Y257" s="129"/>
      <c r="Z257" s="130"/>
      <c r="AA257" s="130"/>
      <c r="AB257" s="130"/>
      <c r="AC257" s="125"/>
      <c r="AE257" s="154"/>
      <c r="AF257" s="154"/>
      <c r="AG257" s="154"/>
      <c r="AH257" s="129"/>
      <c r="AI257" s="130"/>
      <c r="AK257" s="154"/>
      <c r="AL257" s="154"/>
      <c r="AM257" s="154"/>
      <c r="AN257" s="129"/>
      <c r="AO257" s="130"/>
      <c r="AQ257" s="154"/>
      <c r="AR257" s="154"/>
      <c r="AS257" s="154"/>
      <c r="AT257" s="129"/>
      <c r="AU257" s="130"/>
      <c r="AW257" s="154"/>
      <c r="AX257" s="154"/>
      <c r="AY257" s="154"/>
      <c r="AZ257" s="129"/>
      <c r="BA257" s="130"/>
    </row>
    <row r="258" spans="1:53" ht="17.100000000000001" customHeight="1" x14ac:dyDescent="0.25">
      <c r="A258" s="40"/>
      <c r="B258" s="40"/>
      <c r="C258" s="119"/>
      <c r="D258" s="293" t="s">
        <v>927</v>
      </c>
      <c r="E258" s="142"/>
      <c r="F258" s="143"/>
      <c r="G258" s="143"/>
      <c r="H258" s="119"/>
      <c r="I258" s="236"/>
      <c r="J258" s="532"/>
      <c r="K258" s="532"/>
      <c r="L258" s="533">
        <f>(1*J252+3*J253)</f>
        <v>1.3749999999999971</v>
      </c>
      <c r="M258" s="533">
        <f t="shared" ref="M258:M259" si="382">L258*N258</f>
        <v>6.8749999999999858</v>
      </c>
      <c r="N258" s="532">
        <f t="shared" si="379"/>
        <v>5</v>
      </c>
      <c r="O258" s="532">
        <f t="shared" si="379"/>
        <v>1</v>
      </c>
      <c r="P258" s="532"/>
      <c r="Q258" s="532">
        <f t="shared" si="380"/>
        <v>0</v>
      </c>
      <c r="R258" s="532">
        <f t="shared" si="380"/>
        <v>0</v>
      </c>
      <c r="S258" s="532"/>
      <c r="T258" s="532">
        <f t="shared" si="381"/>
        <v>0</v>
      </c>
      <c r="U258" s="532">
        <f t="shared" si="381"/>
        <v>0</v>
      </c>
      <c r="V258" s="159"/>
      <c r="W258" s="387"/>
      <c r="X258" s="154"/>
      <c r="Y258" s="129"/>
      <c r="Z258" s="130"/>
      <c r="AA258" s="130"/>
      <c r="AB258" s="130"/>
      <c r="AC258" s="125"/>
      <c r="AE258" s="154"/>
      <c r="AF258" s="154"/>
      <c r="AG258" s="154"/>
      <c r="AH258" s="129"/>
      <c r="AI258" s="130"/>
      <c r="AK258" s="154"/>
      <c r="AL258" s="154"/>
      <c r="AM258" s="154"/>
      <c r="AN258" s="129"/>
      <c r="AO258" s="130"/>
      <c r="AQ258" s="154"/>
      <c r="AR258" s="154"/>
      <c r="AS258" s="154"/>
      <c r="AT258" s="129"/>
      <c r="AU258" s="130"/>
      <c r="AW258" s="154"/>
      <c r="AX258" s="154"/>
      <c r="AY258" s="154"/>
      <c r="AZ258" s="129"/>
      <c r="BA258" s="130"/>
    </row>
    <row r="259" spans="1:53" ht="17.100000000000001" customHeight="1" x14ac:dyDescent="0.25">
      <c r="A259" s="40"/>
      <c r="B259" s="40"/>
      <c r="C259" s="119"/>
      <c r="D259" s="293" t="s">
        <v>936</v>
      </c>
      <c r="E259" s="142"/>
      <c r="F259" s="143"/>
      <c r="G259" s="143"/>
      <c r="H259" s="119"/>
      <c r="I259" s="236"/>
      <c r="J259" s="532"/>
      <c r="K259" s="532"/>
      <c r="L259" s="533">
        <f>(5*J255)</f>
        <v>1.96428571428571</v>
      </c>
      <c r="M259" s="533">
        <f t="shared" si="382"/>
        <v>1.96428571428571</v>
      </c>
      <c r="N259" s="532">
        <f t="shared" si="379"/>
        <v>1</v>
      </c>
      <c r="O259" s="532">
        <f t="shared" si="379"/>
        <v>2</v>
      </c>
      <c r="P259" s="532"/>
      <c r="Q259" s="532">
        <f t="shared" si="380"/>
        <v>1</v>
      </c>
      <c r="R259" s="532">
        <f t="shared" si="380"/>
        <v>5</v>
      </c>
      <c r="S259" s="532"/>
      <c r="T259" s="532">
        <f t="shared" si="381"/>
        <v>0</v>
      </c>
      <c r="U259" s="532">
        <f t="shared" si="381"/>
        <v>0</v>
      </c>
      <c r="V259" s="159"/>
      <c r="W259" s="387"/>
      <c r="X259" s="154"/>
      <c r="Y259" s="129"/>
      <c r="Z259" s="130"/>
      <c r="AA259" s="130"/>
      <c r="AB259" s="130"/>
      <c r="AC259" s="125"/>
      <c r="AE259" s="154"/>
      <c r="AF259" s="154"/>
      <c r="AG259" s="154"/>
      <c r="AH259" s="129"/>
      <c r="AI259" s="130"/>
      <c r="AK259" s="154"/>
      <c r="AL259" s="154"/>
      <c r="AM259" s="154"/>
      <c r="AN259" s="129"/>
      <c r="AO259" s="130"/>
      <c r="AQ259" s="154"/>
      <c r="AR259" s="154"/>
      <c r="AS259" s="154"/>
      <c r="AT259" s="129"/>
      <c r="AU259" s="130"/>
      <c r="AW259" s="154"/>
      <c r="AX259" s="154"/>
      <c r="AY259" s="154"/>
      <c r="AZ259" s="129"/>
      <c r="BA259" s="130"/>
    </row>
    <row r="260" spans="1:53" ht="17.100000000000001" customHeight="1" x14ac:dyDescent="0.25">
      <c r="A260" s="40"/>
      <c r="B260" s="40"/>
      <c r="C260" s="119"/>
      <c r="D260" s="293" t="s">
        <v>922</v>
      </c>
      <c r="E260" s="142"/>
      <c r="F260" s="143"/>
      <c r="G260" s="143"/>
      <c r="H260" s="119"/>
      <c r="I260" s="236"/>
      <c r="J260" s="532"/>
      <c r="K260" s="532"/>
      <c r="L260" s="532"/>
      <c r="M260" s="533">
        <f>SUM(M257:M259)</f>
        <v>8.8392857142856958</v>
      </c>
      <c r="N260" s="532">
        <f>SUM(N257:N259)</f>
        <v>6</v>
      </c>
      <c r="O260" s="532"/>
      <c r="P260" s="532"/>
      <c r="Q260" s="532"/>
      <c r="R260" s="532"/>
      <c r="S260" s="532"/>
      <c r="T260" s="532"/>
      <c r="U260" s="532"/>
      <c r="V260" s="159"/>
      <c r="W260" s="387"/>
      <c r="X260" s="154"/>
      <c r="Y260" s="129"/>
      <c r="Z260" s="130"/>
      <c r="AA260" s="130"/>
      <c r="AB260" s="130"/>
      <c r="AC260" s="125"/>
      <c r="AE260" s="154"/>
      <c r="AF260" s="154"/>
      <c r="AG260" s="154"/>
      <c r="AH260" s="129"/>
      <c r="AI260" s="130"/>
      <c r="AK260" s="154"/>
      <c r="AL260" s="154"/>
      <c r="AM260" s="154"/>
      <c r="AN260" s="129"/>
      <c r="AO260" s="130"/>
      <c r="AQ260" s="154"/>
      <c r="AR260" s="154"/>
      <c r="AS260" s="154"/>
      <c r="AT260" s="129"/>
      <c r="AU260" s="130"/>
      <c r="AW260" s="154"/>
      <c r="AX260" s="154"/>
      <c r="AY260" s="154"/>
      <c r="AZ260" s="129"/>
      <c r="BA260" s="130"/>
    </row>
    <row r="261" spans="1:53" ht="17.100000000000001" customHeight="1" x14ac:dyDescent="0.25">
      <c r="A261" s="40"/>
      <c r="B261" s="40"/>
      <c r="C261" s="119"/>
      <c r="D261" s="69" t="s">
        <v>124</v>
      </c>
      <c r="E261" s="322"/>
      <c r="F261" s="301"/>
      <c r="G261" s="301"/>
      <c r="H261" s="421"/>
      <c r="I261" s="236"/>
      <c r="J261" s="529"/>
      <c r="K261" s="529"/>
      <c r="L261" s="87"/>
      <c r="M261" s="87"/>
      <c r="N261" s="87"/>
      <c r="O261" s="87"/>
      <c r="P261" s="87"/>
      <c r="Q261" s="87"/>
      <c r="R261" s="87"/>
      <c r="S261" s="87"/>
      <c r="T261" s="87"/>
      <c r="U261" s="87"/>
      <c r="V261" s="530"/>
      <c r="W261" s="531"/>
      <c r="X261" s="87"/>
      <c r="Y261" s="89"/>
      <c r="Z261" s="90"/>
      <c r="AA261" s="90"/>
      <c r="AB261" s="90"/>
      <c r="AC261" s="73"/>
      <c r="AE261" s="154"/>
      <c r="AF261" s="154"/>
      <c r="AG261" s="154"/>
      <c r="AH261" s="129"/>
      <c r="AI261" s="130"/>
      <c r="AK261" s="154"/>
      <c r="AL261" s="154"/>
      <c r="AM261" s="154"/>
      <c r="AN261" s="129"/>
      <c r="AO261" s="130"/>
      <c r="AQ261" s="154"/>
      <c r="AR261" s="154"/>
      <c r="AS261" s="154"/>
      <c r="AT261" s="129"/>
      <c r="AU261" s="130"/>
      <c r="AW261" s="154"/>
      <c r="AX261" s="154"/>
      <c r="AY261" s="154"/>
      <c r="AZ261" s="129"/>
      <c r="BA261" s="130"/>
    </row>
    <row r="262" spans="1:53" ht="17.100000000000001" customHeight="1" x14ac:dyDescent="0.25">
      <c r="A262" s="40"/>
      <c r="B262" s="40"/>
      <c r="C262" s="119"/>
      <c r="D262" s="931" t="s">
        <v>666</v>
      </c>
      <c r="E262" s="150"/>
      <c r="F262" s="151"/>
      <c r="G262" s="151"/>
      <c r="H262" s="119"/>
      <c r="I262" s="236"/>
      <c r="J262" s="152"/>
      <c r="K262" s="152"/>
      <c r="L262" s="111"/>
      <c r="M262" s="111"/>
      <c r="N262" s="111"/>
      <c r="O262" s="111"/>
      <c r="P262" s="111"/>
      <c r="Q262" s="111"/>
      <c r="R262" s="111"/>
      <c r="S262" s="111"/>
      <c r="T262" s="111"/>
      <c r="U262" s="111"/>
      <c r="V262" s="358"/>
      <c r="W262" s="380"/>
      <c r="X262" s="111"/>
      <c r="Y262" s="932"/>
      <c r="Z262" s="131"/>
      <c r="AA262" s="131"/>
      <c r="AB262" s="131"/>
      <c r="AC262" s="113"/>
      <c r="AE262" s="152"/>
      <c r="AF262" s="152"/>
      <c r="AG262" s="111"/>
      <c r="AH262" s="932"/>
      <c r="AI262" s="131"/>
      <c r="AK262" s="152"/>
      <c r="AL262" s="152"/>
      <c r="AM262" s="111"/>
      <c r="AN262" s="932"/>
      <c r="AO262" s="131"/>
      <c r="AQ262" s="152"/>
      <c r="AR262" s="152"/>
      <c r="AS262" s="111"/>
      <c r="AT262" s="932"/>
      <c r="AU262" s="131"/>
      <c r="AW262" s="152"/>
      <c r="AX262" s="152"/>
      <c r="AY262" s="111"/>
      <c r="AZ262" s="932"/>
      <c r="BA262" s="131"/>
    </row>
    <row r="263" spans="1:53" ht="17.100000000000001" customHeight="1" x14ac:dyDescent="0.25">
      <c r="A263" s="40"/>
      <c r="B263" s="40"/>
      <c r="C263" s="119"/>
      <c r="D263" s="293" t="s">
        <v>414</v>
      </c>
      <c r="E263" s="142"/>
      <c r="F263" s="143"/>
      <c r="G263" s="143"/>
      <c r="H263" s="245"/>
      <c r="I263" s="239"/>
      <c r="J263" s="154"/>
      <c r="K263" s="154"/>
      <c r="L263" s="154"/>
      <c r="M263" s="154"/>
      <c r="N263" s="154">
        <f t="shared" ref="N263:O268" si="383">N178</f>
        <v>0</v>
      </c>
      <c r="O263" s="154">
        <f t="shared" si="383"/>
        <v>0</v>
      </c>
      <c r="P263" s="154"/>
      <c r="Q263" s="154">
        <f>Q178</f>
        <v>0</v>
      </c>
      <c r="R263" s="154">
        <f>R178</f>
        <v>0</v>
      </c>
      <c r="S263" s="154"/>
      <c r="T263" s="154">
        <f>T178</f>
        <v>0</v>
      </c>
      <c r="U263" s="154">
        <f>U178</f>
        <v>0</v>
      </c>
      <c r="V263" s="159"/>
      <c r="W263" s="387"/>
      <c r="X263" s="154"/>
      <c r="Y263" s="129"/>
      <c r="Z263" s="130"/>
      <c r="AA263" s="130"/>
      <c r="AB263" s="130"/>
      <c r="AC263" s="125"/>
      <c r="AE263" s="154"/>
      <c r="AF263" s="154"/>
      <c r="AG263" s="154"/>
      <c r="AH263" s="129"/>
      <c r="AI263" s="130"/>
      <c r="AK263" s="154"/>
      <c r="AL263" s="154"/>
      <c r="AM263" s="154"/>
      <c r="AN263" s="129"/>
      <c r="AO263" s="130"/>
      <c r="AQ263" s="154"/>
      <c r="AR263" s="154"/>
      <c r="AS263" s="154"/>
      <c r="AT263" s="129"/>
      <c r="AU263" s="130"/>
      <c r="AW263" s="154"/>
      <c r="AX263" s="154"/>
      <c r="AY263" s="154"/>
      <c r="AZ263" s="129"/>
      <c r="BA263" s="130"/>
    </row>
    <row r="264" spans="1:53" ht="17.100000000000001" customHeight="1" x14ac:dyDescent="0.25">
      <c r="A264" s="40"/>
      <c r="B264" s="40"/>
      <c r="C264" s="119"/>
      <c r="D264" s="293" t="s">
        <v>415</v>
      </c>
      <c r="E264" s="142"/>
      <c r="F264" s="143"/>
      <c r="G264" s="143"/>
      <c r="H264" s="245"/>
      <c r="I264" s="239"/>
      <c r="J264" s="154"/>
      <c r="K264" s="154"/>
      <c r="L264" s="154"/>
      <c r="M264" s="154"/>
      <c r="N264" s="154">
        <f t="shared" si="383"/>
        <v>5</v>
      </c>
      <c r="O264" s="154">
        <f t="shared" si="383"/>
        <v>1</v>
      </c>
      <c r="P264" s="154"/>
      <c r="Q264" s="154">
        <f t="shared" ref="Q264:R268" si="384">Q179</f>
        <v>0</v>
      </c>
      <c r="R264" s="154">
        <f t="shared" si="384"/>
        <v>0</v>
      </c>
      <c r="S264" s="154"/>
      <c r="T264" s="154">
        <f t="shared" ref="T264:U268" si="385">T179</f>
        <v>0</v>
      </c>
      <c r="U264" s="154">
        <f t="shared" si="385"/>
        <v>0</v>
      </c>
      <c r="V264" s="159"/>
      <c r="W264" s="387"/>
      <c r="X264" s="154"/>
      <c r="Y264" s="129"/>
      <c r="Z264" s="130"/>
      <c r="AA264" s="130"/>
      <c r="AB264" s="130"/>
      <c r="AC264" s="125"/>
      <c r="AE264" s="154"/>
      <c r="AF264" s="154"/>
      <c r="AG264" s="154"/>
      <c r="AH264" s="129"/>
      <c r="AI264" s="130"/>
      <c r="AK264" s="154"/>
      <c r="AL264" s="154"/>
      <c r="AM264" s="154"/>
      <c r="AN264" s="129"/>
      <c r="AO264" s="130"/>
      <c r="AQ264" s="154"/>
      <c r="AR264" s="154"/>
      <c r="AS264" s="154"/>
      <c r="AT264" s="129"/>
      <c r="AU264" s="130"/>
      <c r="AW264" s="154"/>
      <c r="AX264" s="154"/>
      <c r="AY264" s="154"/>
      <c r="AZ264" s="129"/>
      <c r="BA264" s="130"/>
    </row>
    <row r="265" spans="1:53" ht="17.100000000000001" customHeight="1" x14ac:dyDescent="0.25">
      <c r="A265" s="40"/>
      <c r="B265" s="40"/>
      <c r="C265" s="119"/>
      <c r="D265" s="293" t="s">
        <v>416</v>
      </c>
      <c r="E265" s="142"/>
      <c r="F265" s="143"/>
      <c r="G265" s="143"/>
      <c r="H265" s="245"/>
      <c r="I265" s="239"/>
      <c r="J265" s="154"/>
      <c r="K265" s="154"/>
      <c r="L265" s="154"/>
      <c r="M265" s="154"/>
      <c r="N265" s="154">
        <f t="shared" si="383"/>
        <v>0</v>
      </c>
      <c r="O265" s="154">
        <f t="shared" si="383"/>
        <v>0</v>
      </c>
      <c r="P265" s="154"/>
      <c r="Q265" s="154">
        <f t="shared" si="384"/>
        <v>0</v>
      </c>
      <c r="R265" s="154">
        <f t="shared" si="384"/>
        <v>0</v>
      </c>
      <c r="S265" s="154"/>
      <c r="T265" s="154">
        <f t="shared" si="385"/>
        <v>0</v>
      </c>
      <c r="U265" s="154">
        <f t="shared" si="385"/>
        <v>0</v>
      </c>
      <c r="V265" s="159"/>
      <c r="W265" s="387"/>
      <c r="X265" s="154"/>
      <c r="Y265" s="129"/>
      <c r="Z265" s="130"/>
      <c r="AA265" s="130"/>
      <c r="AB265" s="130"/>
      <c r="AC265" s="125"/>
      <c r="AE265" s="154"/>
      <c r="AF265" s="154"/>
      <c r="AG265" s="154"/>
      <c r="AH265" s="129"/>
      <c r="AI265" s="130"/>
      <c r="AK265" s="154"/>
      <c r="AL265" s="154"/>
      <c r="AM265" s="154"/>
      <c r="AN265" s="129"/>
      <c r="AO265" s="130"/>
      <c r="AQ265" s="154"/>
      <c r="AR265" s="154"/>
      <c r="AS265" s="154"/>
      <c r="AT265" s="129"/>
      <c r="AU265" s="130"/>
      <c r="AW265" s="154"/>
      <c r="AX265" s="154"/>
      <c r="AY265" s="154"/>
      <c r="AZ265" s="129"/>
      <c r="BA265" s="130"/>
    </row>
    <row r="266" spans="1:53" ht="17.100000000000001" customHeight="1" x14ac:dyDescent="0.25">
      <c r="A266" s="40"/>
      <c r="B266" s="40"/>
      <c r="C266" s="119"/>
      <c r="D266" s="293" t="s">
        <v>127</v>
      </c>
      <c r="E266" s="142"/>
      <c r="F266" s="143"/>
      <c r="G266" s="143"/>
      <c r="H266" s="245"/>
      <c r="I266" s="239"/>
      <c r="J266" s="154"/>
      <c r="K266" s="154"/>
      <c r="L266" s="154"/>
      <c r="M266" s="154"/>
      <c r="N266" s="154">
        <f t="shared" si="383"/>
        <v>0</v>
      </c>
      <c r="O266" s="154">
        <f t="shared" si="383"/>
        <v>2</v>
      </c>
      <c r="P266" s="154"/>
      <c r="Q266" s="154">
        <f t="shared" si="384"/>
        <v>1</v>
      </c>
      <c r="R266" s="154">
        <f t="shared" si="384"/>
        <v>5</v>
      </c>
      <c r="S266" s="154"/>
      <c r="T266" s="154">
        <f t="shared" si="385"/>
        <v>0</v>
      </c>
      <c r="U266" s="154">
        <f t="shared" si="385"/>
        <v>0</v>
      </c>
      <c r="V266" s="159"/>
      <c r="W266" s="387"/>
      <c r="X266" s="154"/>
      <c r="Y266" s="129"/>
      <c r="Z266" s="130"/>
      <c r="AA266" s="130"/>
      <c r="AB266" s="130"/>
      <c r="AC266" s="125"/>
      <c r="AE266" s="154"/>
      <c r="AF266" s="154"/>
      <c r="AG266" s="154"/>
      <c r="AH266" s="129"/>
      <c r="AI266" s="130"/>
      <c r="AK266" s="154"/>
      <c r="AL266" s="154"/>
      <c r="AM266" s="154"/>
      <c r="AN266" s="129"/>
      <c r="AO266" s="130"/>
      <c r="AQ266" s="154"/>
      <c r="AR266" s="154"/>
      <c r="AS266" s="154"/>
      <c r="AT266" s="129"/>
      <c r="AU266" s="130"/>
      <c r="AW266" s="154"/>
      <c r="AX266" s="154"/>
      <c r="AY266" s="154"/>
      <c r="AZ266" s="129"/>
      <c r="BA266" s="130"/>
    </row>
    <row r="267" spans="1:53" ht="17.100000000000001" customHeight="1" x14ac:dyDescent="0.25">
      <c r="A267" s="40"/>
      <c r="B267" s="40"/>
      <c r="C267" s="119"/>
      <c r="D267" s="293" t="s">
        <v>417</v>
      </c>
      <c r="E267" s="142"/>
      <c r="F267" s="143"/>
      <c r="G267" s="143"/>
      <c r="H267" s="245"/>
      <c r="I267" s="239"/>
      <c r="J267" s="154"/>
      <c r="K267" s="154"/>
      <c r="L267" s="154"/>
      <c r="M267" s="154"/>
      <c r="N267" s="154">
        <f t="shared" si="383"/>
        <v>1</v>
      </c>
      <c r="O267" s="154">
        <f t="shared" si="383"/>
        <v>0</v>
      </c>
      <c r="P267" s="154"/>
      <c r="Q267" s="154">
        <f t="shared" si="384"/>
        <v>0</v>
      </c>
      <c r="R267" s="154">
        <f t="shared" si="384"/>
        <v>0</v>
      </c>
      <c r="S267" s="154"/>
      <c r="T267" s="154">
        <f t="shared" si="385"/>
        <v>0</v>
      </c>
      <c r="U267" s="154">
        <f t="shared" si="385"/>
        <v>0</v>
      </c>
      <c r="V267" s="159"/>
      <c r="W267" s="387"/>
      <c r="X267" s="154"/>
      <c r="Y267" s="129"/>
      <c r="Z267" s="130"/>
      <c r="AA267" s="130"/>
      <c r="AB267" s="130"/>
      <c r="AC267" s="125"/>
      <c r="AE267" s="154"/>
      <c r="AF267" s="154"/>
      <c r="AG267" s="154"/>
      <c r="AH267" s="129"/>
      <c r="AI267" s="130"/>
      <c r="AK267" s="154"/>
      <c r="AL267" s="154"/>
      <c r="AM267" s="154"/>
      <c r="AN267" s="129"/>
      <c r="AO267" s="130"/>
      <c r="AQ267" s="154"/>
      <c r="AR267" s="154"/>
      <c r="AS267" s="154"/>
      <c r="AT267" s="129"/>
      <c r="AU267" s="130"/>
      <c r="AW267" s="154"/>
      <c r="AX267" s="154"/>
      <c r="AY267" s="154"/>
      <c r="AZ267" s="129"/>
      <c r="BA267" s="130"/>
    </row>
    <row r="268" spans="1:53" ht="17.100000000000001" customHeight="1" x14ac:dyDescent="0.25">
      <c r="A268" s="40"/>
      <c r="B268" s="40"/>
      <c r="C268" s="119"/>
      <c r="D268" s="293" t="s">
        <v>418</v>
      </c>
      <c r="E268" s="142"/>
      <c r="F268" s="143"/>
      <c r="G268" s="143"/>
      <c r="H268" s="245"/>
      <c r="I268" s="239"/>
      <c r="J268" s="154"/>
      <c r="K268" s="154"/>
      <c r="L268" s="154"/>
      <c r="M268" s="154"/>
      <c r="N268" s="154">
        <f t="shared" si="383"/>
        <v>0</v>
      </c>
      <c r="O268" s="154">
        <f t="shared" si="383"/>
        <v>0</v>
      </c>
      <c r="P268" s="154"/>
      <c r="Q268" s="154">
        <f t="shared" si="384"/>
        <v>0</v>
      </c>
      <c r="R268" s="154">
        <f t="shared" si="384"/>
        <v>0</v>
      </c>
      <c r="S268" s="154"/>
      <c r="T268" s="154">
        <f t="shared" si="385"/>
        <v>0</v>
      </c>
      <c r="U268" s="154">
        <f t="shared" si="385"/>
        <v>0</v>
      </c>
      <c r="V268" s="159"/>
      <c r="W268" s="387"/>
      <c r="X268" s="154"/>
      <c r="Y268" s="129"/>
      <c r="Z268" s="130"/>
      <c r="AA268" s="130"/>
      <c r="AB268" s="130"/>
      <c r="AC268" s="125"/>
      <c r="AE268" s="154"/>
      <c r="AF268" s="154"/>
      <c r="AG268" s="154"/>
      <c r="AH268" s="129"/>
      <c r="AI268" s="130"/>
      <c r="AK268" s="154"/>
      <c r="AL268" s="154"/>
      <c r="AM268" s="154"/>
      <c r="AN268" s="129"/>
      <c r="AO268" s="130"/>
      <c r="AQ268" s="154"/>
      <c r="AR268" s="154"/>
      <c r="AS268" s="154"/>
      <c r="AT268" s="129"/>
      <c r="AU268" s="130"/>
      <c r="AW268" s="154"/>
      <c r="AX268" s="154"/>
      <c r="AY268" s="154"/>
      <c r="AZ268" s="129"/>
      <c r="BA268" s="130"/>
    </row>
    <row r="269" spans="1:53" s="158" customFormat="1" ht="17.100000000000001" customHeight="1" x14ac:dyDescent="0.25">
      <c r="A269" s="102"/>
      <c r="B269" s="102"/>
      <c r="C269" s="928"/>
      <c r="D269" s="944" t="s">
        <v>922</v>
      </c>
      <c r="E269" s="945"/>
      <c r="F269" s="946"/>
      <c r="G269" s="946"/>
      <c r="H269" s="242"/>
      <c r="I269" s="230"/>
      <c r="J269" s="160"/>
      <c r="K269" s="160"/>
      <c r="L269" s="160"/>
      <c r="M269" s="160"/>
      <c r="N269" s="160">
        <f>SUM(N263:N268)</f>
        <v>6</v>
      </c>
      <c r="O269" s="160">
        <f>SUM(O263:O268)</f>
        <v>3</v>
      </c>
      <c r="P269" s="160"/>
      <c r="Q269" s="160">
        <f>SUM(Q263:Q268)</f>
        <v>1</v>
      </c>
      <c r="R269" s="160">
        <f>SUM(R263:R268)</f>
        <v>5</v>
      </c>
      <c r="S269" s="160"/>
      <c r="T269" s="160">
        <f>SUM(T263:T268)</f>
        <v>0</v>
      </c>
      <c r="U269" s="160">
        <f>SUM(U263:U268)</f>
        <v>0</v>
      </c>
      <c r="V269" s="947"/>
      <c r="W269" s="948"/>
      <c r="X269" s="160"/>
      <c r="Y269" s="129"/>
      <c r="Z269" s="949"/>
      <c r="AA269" s="949"/>
      <c r="AB269" s="949"/>
      <c r="AC269" s="904"/>
      <c r="AE269" s="160"/>
      <c r="AF269" s="160"/>
      <c r="AG269" s="160"/>
      <c r="AH269" s="129"/>
      <c r="AI269" s="949"/>
      <c r="AJ269" s="409"/>
      <c r="AK269" s="160"/>
      <c r="AL269" s="160"/>
      <c r="AM269" s="160"/>
      <c r="AN269" s="129"/>
      <c r="AO269" s="949"/>
      <c r="AP269" s="409"/>
      <c r="AQ269" s="160"/>
      <c r="AR269" s="160"/>
      <c r="AS269" s="160"/>
      <c r="AT269" s="129"/>
      <c r="AU269" s="949"/>
      <c r="AV269" s="409"/>
      <c r="AW269" s="160"/>
      <c r="AX269" s="160"/>
      <c r="AY269" s="160"/>
      <c r="AZ269" s="129"/>
      <c r="BA269" s="949"/>
    </row>
    <row r="270" spans="1:53" ht="17.100000000000001" customHeight="1" x14ac:dyDescent="0.25">
      <c r="A270" s="40"/>
      <c r="B270" s="40"/>
      <c r="C270" s="119"/>
      <c r="D270" s="293" t="s">
        <v>938</v>
      </c>
      <c r="E270" s="142"/>
      <c r="F270" s="143"/>
      <c r="G270" s="143"/>
      <c r="H270" s="245"/>
      <c r="I270" s="239"/>
      <c r="J270" s="154"/>
      <c r="K270" s="154"/>
      <c r="L270" s="154"/>
      <c r="M270" s="154"/>
      <c r="N270" s="154"/>
      <c r="O270" s="154"/>
      <c r="P270" s="154"/>
      <c r="Q270" s="154"/>
      <c r="R270" s="154"/>
      <c r="S270" s="154"/>
      <c r="T270" s="154"/>
      <c r="U270" s="154"/>
      <c r="V270" s="159"/>
      <c r="W270" s="387"/>
      <c r="X270" s="154"/>
      <c r="Y270" s="129"/>
      <c r="Z270" s="130"/>
      <c r="AA270" s="130"/>
      <c r="AB270" s="130"/>
      <c r="AC270" s="125"/>
      <c r="AE270" s="154"/>
      <c r="AF270" s="154"/>
      <c r="AG270" s="154"/>
      <c r="AH270" s="129"/>
      <c r="AI270" s="130"/>
      <c r="AK270" s="154"/>
      <c r="AL270" s="154"/>
      <c r="AM270" s="154"/>
      <c r="AN270" s="129"/>
      <c r="AO270" s="130"/>
      <c r="AQ270" s="154"/>
      <c r="AR270" s="154"/>
      <c r="AS270" s="154"/>
      <c r="AT270" s="129"/>
      <c r="AU270" s="130"/>
      <c r="AW270" s="154"/>
      <c r="AX270" s="154"/>
      <c r="AY270" s="154"/>
      <c r="AZ270" s="129"/>
      <c r="BA270" s="130"/>
    </row>
    <row r="271" spans="1:53" ht="17.100000000000001" customHeight="1" x14ac:dyDescent="0.25">
      <c r="A271" s="40"/>
      <c r="B271" s="40"/>
      <c r="C271" s="119"/>
      <c r="D271" s="293" t="s">
        <v>414</v>
      </c>
      <c r="E271" s="142"/>
      <c r="F271" s="143"/>
      <c r="G271" s="143"/>
      <c r="H271" s="245"/>
      <c r="I271" s="239"/>
      <c r="J271" s="154"/>
      <c r="K271" s="154"/>
      <c r="L271" s="154"/>
      <c r="M271" s="154"/>
      <c r="N271" s="950">
        <f>IF(N263&gt;0,N263*2,0)</f>
        <v>0</v>
      </c>
      <c r="O271" s="950">
        <f>IF(O263&gt;0,O263*2,0)</f>
        <v>0</v>
      </c>
      <c r="P271" s="154"/>
      <c r="Q271" s="950">
        <f>IF(Q263&gt;0,Q263*2,0)</f>
        <v>0</v>
      </c>
      <c r="R271" s="950">
        <f>IF(R263&gt;0,R263*2,0)</f>
        <v>0</v>
      </c>
      <c r="S271" s="154"/>
      <c r="T271" s="950">
        <f>IF(T263&gt;0,T263*2,0)</f>
        <v>0</v>
      </c>
      <c r="U271" s="950">
        <f>IF(U263&gt;0,U263*2,0)</f>
        <v>0</v>
      </c>
      <c r="V271" s="159"/>
      <c r="W271" s="387"/>
      <c r="X271" s="154"/>
      <c r="Y271" s="129"/>
      <c r="Z271" s="130"/>
      <c r="AA271" s="130"/>
      <c r="AB271" s="130"/>
      <c r="AC271" s="125"/>
      <c r="AE271" s="154"/>
      <c r="AF271" s="154"/>
      <c r="AG271" s="154"/>
      <c r="AH271" s="129"/>
      <c r="AI271" s="130"/>
      <c r="AK271" s="154"/>
      <c r="AL271" s="154"/>
      <c r="AM271" s="154"/>
      <c r="AN271" s="129"/>
      <c r="AO271" s="130"/>
      <c r="AQ271" s="154"/>
      <c r="AR271" s="154"/>
      <c r="AS271" s="154"/>
      <c r="AT271" s="129"/>
      <c r="AU271" s="130"/>
      <c r="AW271" s="154"/>
      <c r="AX271" s="154"/>
      <c r="AY271" s="154"/>
      <c r="AZ271" s="129"/>
      <c r="BA271" s="130"/>
    </row>
    <row r="272" spans="1:53" ht="17.100000000000001" customHeight="1" x14ac:dyDescent="0.25">
      <c r="A272" s="40"/>
      <c r="B272" s="40"/>
      <c r="C272" s="119"/>
      <c r="D272" s="293" t="s">
        <v>415</v>
      </c>
      <c r="E272" s="142"/>
      <c r="F272" s="143"/>
      <c r="G272" s="143"/>
      <c r="H272" s="245"/>
      <c r="I272" s="239"/>
      <c r="J272" s="154"/>
      <c r="K272" s="154"/>
      <c r="L272" s="154"/>
      <c r="M272" s="154"/>
      <c r="N272" s="950">
        <f>IF(N264&gt;0,N264*3,0)</f>
        <v>15</v>
      </c>
      <c r="O272" s="950">
        <f>IF(O264&gt;0,O264*3,0)</f>
        <v>3</v>
      </c>
      <c r="P272" s="154"/>
      <c r="Q272" s="950">
        <f>IF(Q264&gt;0,Q264*3,0)</f>
        <v>0</v>
      </c>
      <c r="R272" s="950">
        <f>IF(R264&gt;0,R264*3,0)</f>
        <v>0</v>
      </c>
      <c r="S272" s="154"/>
      <c r="T272" s="950">
        <f>IF(T264&gt;0,T264*3,0)</f>
        <v>0</v>
      </c>
      <c r="U272" s="950">
        <f>IF(U264&gt;0,U264*3,0)</f>
        <v>0</v>
      </c>
      <c r="V272" s="159"/>
      <c r="W272" s="387"/>
      <c r="X272" s="154"/>
      <c r="Y272" s="129"/>
      <c r="Z272" s="130"/>
      <c r="AA272" s="130"/>
      <c r="AB272" s="130"/>
      <c r="AC272" s="125"/>
      <c r="AE272" s="154"/>
      <c r="AF272" s="154"/>
      <c r="AG272" s="154"/>
      <c r="AH272" s="129"/>
      <c r="AI272" s="130"/>
      <c r="AK272" s="154"/>
      <c r="AL272" s="154"/>
      <c r="AM272" s="154"/>
      <c r="AN272" s="129"/>
      <c r="AO272" s="130"/>
      <c r="AQ272" s="154"/>
      <c r="AR272" s="154"/>
      <c r="AS272" s="154"/>
      <c r="AT272" s="129"/>
      <c r="AU272" s="130"/>
      <c r="AW272" s="154"/>
      <c r="AX272" s="154"/>
      <c r="AY272" s="154"/>
      <c r="AZ272" s="129"/>
      <c r="BA272" s="130"/>
    </row>
    <row r="273" spans="1:53" ht="17.100000000000001" customHeight="1" x14ac:dyDescent="0.25">
      <c r="A273" s="40"/>
      <c r="B273" s="40"/>
      <c r="C273" s="119"/>
      <c r="D273" s="293" t="s">
        <v>416</v>
      </c>
      <c r="E273" s="142"/>
      <c r="F273" s="143"/>
      <c r="G273" s="143"/>
      <c r="H273" s="245"/>
      <c r="I273" s="239"/>
      <c r="J273" s="154"/>
      <c r="K273" s="154"/>
      <c r="L273" s="154"/>
      <c r="M273" s="154"/>
      <c r="N273" s="950">
        <f>IF(N265&gt;0,N265*4,0)</f>
        <v>0</v>
      </c>
      <c r="O273" s="950">
        <f>IF(O265&gt;0,O265*4,0)</f>
        <v>0</v>
      </c>
      <c r="P273" s="154"/>
      <c r="Q273" s="950">
        <f>IF(Q265&gt;0,Q265*4,0)</f>
        <v>0</v>
      </c>
      <c r="R273" s="950">
        <f>IF(R265&gt;0,R265*4,0)</f>
        <v>0</v>
      </c>
      <c r="S273" s="154"/>
      <c r="T273" s="950">
        <f>IF(T265&gt;0,T265*4,0)</f>
        <v>0</v>
      </c>
      <c r="U273" s="950">
        <f>IF(U265&gt;0,U265*4,0)</f>
        <v>0</v>
      </c>
      <c r="V273" s="159"/>
      <c r="W273" s="387"/>
      <c r="X273" s="154"/>
      <c r="Y273" s="129"/>
      <c r="Z273" s="130"/>
      <c r="AA273" s="130"/>
      <c r="AB273" s="130"/>
      <c r="AC273" s="125"/>
      <c r="AE273" s="154"/>
      <c r="AF273" s="154"/>
      <c r="AG273" s="154"/>
      <c r="AH273" s="129"/>
      <c r="AI273" s="130"/>
      <c r="AK273" s="154"/>
      <c r="AL273" s="154"/>
      <c r="AM273" s="154"/>
      <c r="AN273" s="129"/>
      <c r="AO273" s="130"/>
      <c r="AQ273" s="154"/>
      <c r="AR273" s="154"/>
      <c r="AS273" s="154"/>
      <c r="AT273" s="129"/>
      <c r="AU273" s="130"/>
      <c r="AW273" s="154"/>
      <c r="AX273" s="154"/>
      <c r="AY273" s="154"/>
      <c r="AZ273" s="129"/>
      <c r="BA273" s="130"/>
    </row>
    <row r="274" spans="1:53" ht="17.100000000000001" customHeight="1" x14ac:dyDescent="0.25">
      <c r="A274" s="40"/>
      <c r="B274" s="40"/>
      <c r="C274" s="119"/>
      <c r="D274" s="293" t="s">
        <v>127</v>
      </c>
      <c r="E274" s="142"/>
      <c r="F274" s="143"/>
      <c r="G274" s="143"/>
      <c r="H274" s="245"/>
      <c r="I274" s="239"/>
      <c r="J274" s="154"/>
      <c r="K274" s="154"/>
      <c r="L274" s="154"/>
      <c r="M274" s="154"/>
      <c r="N274" s="950">
        <f>IF(N266&gt;0,N266*5,0)</f>
        <v>0</v>
      </c>
      <c r="O274" s="950">
        <f>IF(O266&gt;0,O266*5,0)</f>
        <v>10</v>
      </c>
      <c r="P274" s="154"/>
      <c r="Q274" s="950">
        <f>IF(Q266&gt;0,Q266*5,0)</f>
        <v>5</v>
      </c>
      <c r="R274" s="950">
        <f>IF(R266&gt;0,R266*5,0)</f>
        <v>25</v>
      </c>
      <c r="S274" s="154"/>
      <c r="T274" s="950">
        <f>IF(T266&gt;0,T266*5,0)</f>
        <v>0</v>
      </c>
      <c r="U274" s="950">
        <f>IF(U266&gt;0,U266*5,0)</f>
        <v>0</v>
      </c>
      <c r="V274" s="159"/>
      <c r="W274" s="387"/>
      <c r="X274" s="154"/>
      <c r="Y274" s="129"/>
      <c r="Z274" s="130"/>
      <c r="AA274" s="130"/>
      <c r="AB274" s="130"/>
      <c r="AC274" s="125"/>
      <c r="AE274" s="154"/>
      <c r="AF274" s="154"/>
      <c r="AG274" s="154"/>
      <c r="AH274" s="129"/>
      <c r="AI274" s="130"/>
      <c r="AK274" s="154"/>
      <c r="AL274" s="154"/>
      <c r="AM274" s="154"/>
      <c r="AN274" s="129"/>
      <c r="AO274" s="130"/>
      <c r="AQ274" s="154"/>
      <c r="AR274" s="154"/>
      <c r="AS274" s="154"/>
      <c r="AT274" s="129"/>
      <c r="AU274" s="130"/>
      <c r="AW274" s="154"/>
      <c r="AX274" s="154"/>
      <c r="AY274" s="154"/>
      <c r="AZ274" s="129"/>
      <c r="BA274" s="130"/>
    </row>
    <row r="275" spans="1:53" ht="17.100000000000001" customHeight="1" x14ac:dyDescent="0.25">
      <c r="A275" s="40"/>
      <c r="B275" s="40"/>
      <c r="C275" s="119"/>
      <c r="D275" s="293" t="s">
        <v>417</v>
      </c>
      <c r="E275" s="142"/>
      <c r="F275" s="143"/>
      <c r="G275" s="143"/>
      <c r="H275" s="245"/>
      <c r="I275" s="239"/>
      <c r="J275" s="154"/>
      <c r="K275" s="154"/>
      <c r="L275" s="154"/>
      <c r="M275" s="154"/>
      <c r="N275" s="950">
        <f>IF(N267&gt;0,N267*6,0)</f>
        <v>6</v>
      </c>
      <c r="O275" s="950">
        <f>IF(O267&gt;0,O267*6,0)</f>
        <v>0</v>
      </c>
      <c r="P275" s="154"/>
      <c r="Q275" s="950">
        <f>IF(Q267&gt;0,Q267*6,0)</f>
        <v>0</v>
      </c>
      <c r="R275" s="950">
        <f>IF(R267&gt;0,R267*6,0)</f>
        <v>0</v>
      </c>
      <c r="S275" s="154"/>
      <c r="T275" s="950">
        <f>IF(T267&gt;0,T267*6,0)</f>
        <v>0</v>
      </c>
      <c r="U275" s="950">
        <f>IF(U267&gt;0,U267*6,0)</f>
        <v>0</v>
      </c>
      <c r="V275" s="159"/>
      <c r="W275" s="387"/>
      <c r="X275" s="154"/>
      <c r="Y275" s="129"/>
      <c r="Z275" s="130"/>
      <c r="AA275" s="130"/>
      <c r="AB275" s="130"/>
      <c r="AC275" s="125"/>
      <c r="AE275" s="154"/>
      <c r="AF275" s="154"/>
      <c r="AG275" s="154"/>
      <c r="AH275" s="129"/>
      <c r="AI275" s="130"/>
      <c r="AK275" s="154"/>
      <c r="AL275" s="154"/>
      <c r="AM275" s="154"/>
      <c r="AN275" s="129"/>
      <c r="AO275" s="130"/>
      <c r="AQ275" s="154"/>
      <c r="AR275" s="154"/>
      <c r="AS275" s="154"/>
      <c r="AT275" s="129"/>
      <c r="AU275" s="130"/>
      <c r="AW275" s="154"/>
      <c r="AX275" s="154"/>
      <c r="AY275" s="154"/>
      <c r="AZ275" s="129"/>
      <c r="BA275" s="130"/>
    </row>
    <row r="276" spans="1:53" ht="17.100000000000001" customHeight="1" x14ac:dyDescent="0.25">
      <c r="A276" s="951"/>
      <c r="B276" s="951"/>
      <c r="C276" s="119"/>
      <c r="D276" s="293" t="s">
        <v>418</v>
      </c>
      <c r="E276" s="142"/>
      <c r="F276" s="143"/>
      <c r="G276" s="143"/>
      <c r="H276" s="245"/>
      <c r="I276" s="239"/>
      <c r="J276" s="154"/>
      <c r="K276" s="154"/>
      <c r="L276" s="154"/>
      <c r="M276" s="154"/>
      <c r="N276" s="950">
        <f>IF(N268&gt;0,N268*7.5,0)</f>
        <v>0</v>
      </c>
      <c r="O276" s="950" t="str">
        <f>IF(O268&gt;0,O268*7.5,"")</f>
        <v/>
      </c>
      <c r="P276" s="154"/>
      <c r="Q276" s="950">
        <f>IF(Q268&gt;0,Q268*7.5,0)</f>
        <v>0</v>
      </c>
      <c r="R276" s="950" t="str">
        <f>IF(R268&gt;0,R268*7.5,"")</f>
        <v/>
      </c>
      <c r="S276" s="154"/>
      <c r="T276" s="950">
        <f>IF(T268&gt;0,T268*7.5,0)</f>
        <v>0</v>
      </c>
      <c r="U276" s="950" t="str">
        <f>IF(U268&gt;0,U268*7.5,"")</f>
        <v/>
      </c>
      <c r="V276" s="159"/>
      <c r="W276" s="387"/>
      <c r="X276" s="154"/>
      <c r="Y276" s="129"/>
      <c r="Z276" s="130"/>
      <c r="AA276" s="130"/>
      <c r="AB276" s="130"/>
      <c r="AC276" s="125"/>
      <c r="AE276" s="154"/>
      <c r="AF276" s="154"/>
      <c r="AG276" s="154"/>
      <c r="AH276" s="129"/>
      <c r="AI276" s="130"/>
      <c r="AK276" s="154"/>
      <c r="AL276" s="154"/>
      <c r="AM276" s="154"/>
      <c r="AN276" s="129"/>
      <c r="AO276" s="130"/>
      <c r="AQ276" s="154"/>
      <c r="AR276" s="154"/>
      <c r="AS276" s="154"/>
      <c r="AT276" s="129"/>
      <c r="AU276" s="130"/>
      <c r="AW276" s="154"/>
      <c r="AX276" s="154"/>
      <c r="AY276" s="154"/>
      <c r="AZ276" s="129"/>
      <c r="BA276" s="130"/>
    </row>
    <row r="277" spans="1:53" ht="17.100000000000001" customHeight="1" x14ac:dyDescent="0.25">
      <c r="A277" s="40"/>
      <c r="B277" s="40"/>
      <c r="C277" s="119"/>
      <c r="D277" s="293" t="s">
        <v>1441</v>
      </c>
      <c r="E277" s="142"/>
      <c r="F277" s="143"/>
      <c r="G277" s="143"/>
      <c r="H277" s="245"/>
      <c r="I277" s="239"/>
      <c r="J277" s="534"/>
      <c r="K277" s="154"/>
      <c r="L277" s="154"/>
      <c r="M277" s="154"/>
      <c r="N277" s="952">
        <f>SUM(N271:N276)</f>
        <v>21</v>
      </c>
      <c r="O277" s="952">
        <f>SUM(O271:O276)</f>
        <v>13</v>
      </c>
      <c r="P277" s="154"/>
      <c r="Q277" s="952">
        <f>SUM(Q271:Q276)</f>
        <v>5</v>
      </c>
      <c r="R277" s="952">
        <f>SUM(R271:R276)</f>
        <v>25</v>
      </c>
      <c r="S277" s="154"/>
      <c r="T277" s="952">
        <f>SUM(T271:T276)</f>
        <v>0</v>
      </c>
      <c r="U277" s="952">
        <f>SUM(U271:U276)</f>
        <v>0</v>
      </c>
      <c r="V277" s="159"/>
      <c r="W277" s="387"/>
      <c r="X277" s="154"/>
      <c r="Y277" s="129"/>
      <c r="Z277" s="130"/>
      <c r="AA277" s="130"/>
      <c r="AB277" s="130"/>
      <c r="AC277" s="125"/>
      <c r="AE277" s="154"/>
      <c r="AF277" s="154"/>
      <c r="AG277" s="154"/>
      <c r="AH277" s="129"/>
      <c r="AI277" s="130"/>
      <c r="AK277" s="154"/>
      <c r="AL277" s="154"/>
      <c r="AM277" s="154"/>
      <c r="AN277" s="129"/>
      <c r="AO277" s="130"/>
      <c r="AQ277" s="154"/>
      <c r="AR277" s="154"/>
      <c r="AS277" s="154"/>
      <c r="AT277" s="129"/>
      <c r="AU277" s="130"/>
      <c r="AW277" s="154"/>
      <c r="AX277" s="154"/>
      <c r="AY277" s="154"/>
      <c r="AZ277" s="129"/>
      <c r="BA277" s="130"/>
    </row>
    <row r="278" spans="1:53" s="409" customFormat="1" ht="17.100000000000001" customHeight="1" x14ac:dyDescent="0.25">
      <c r="A278" s="928"/>
      <c r="B278" s="928"/>
      <c r="C278" s="928"/>
      <c r="D278" s="559" t="s">
        <v>939</v>
      </c>
      <c r="E278" s="556"/>
      <c r="F278" s="92"/>
      <c r="G278" s="92"/>
      <c r="H278" s="242"/>
      <c r="I278" s="230"/>
      <c r="J278" s="536"/>
      <c r="K278" s="536"/>
      <c r="L278" s="155"/>
      <c r="M278" s="155"/>
      <c r="N278" s="536">
        <f>IF(N269=0,"",N277/N269)</f>
        <v>3.5</v>
      </c>
      <c r="O278" s="536">
        <f>IF(O269=0,"",O277/O269)</f>
        <v>4.333333333333333</v>
      </c>
      <c r="P278" s="155"/>
      <c r="Q278" s="536">
        <f>IF(Q269=0,"",Q277/Q269)</f>
        <v>5</v>
      </c>
      <c r="R278" s="536">
        <f>IF(R269=0,"",R277/R269)</f>
        <v>5</v>
      </c>
      <c r="S278" s="155"/>
      <c r="T278" s="536" t="str">
        <f>IF(T269=0,"",T277/T269)</f>
        <v/>
      </c>
      <c r="U278" s="536" t="str">
        <f>IF(U269=0,"",U277/U269)</f>
        <v/>
      </c>
      <c r="V278" s="366"/>
      <c r="W278" s="550">
        <f>AS278</f>
        <v>4.25</v>
      </c>
      <c r="X278" s="537">
        <f>AY278</f>
        <v>4.6666666666666661</v>
      </c>
      <c r="Y278" s="537">
        <f>AC278</f>
        <v>4.458333333333333</v>
      </c>
      <c r="Z278" s="201"/>
      <c r="AA278" s="340">
        <f>MIN(N278:U278)</f>
        <v>3.5</v>
      </c>
      <c r="AB278" s="340">
        <f>MAX(N278:U278)</f>
        <v>5</v>
      </c>
      <c r="AC278" s="560">
        <f>IF(SUM(N278:U278)=0,0,AVERAGE(N278:U278))</f>
        <v>4.458333333333333</v>
      </c>
      <c r="AE278" s="155"/>
      <c r="AF278" s="155"/>
      <c r="AG278" s="155"/>
      <c r="AH278" s="927"/>
      <c r="AI278" s="201"/>
      <c r="AK278" s="155"/>
      <c r="AL278" s="155"/>
      <c r="AM278" s="155"/>
      <c r="AN278" s="927"/>
      <c r="AO278" s="201"/>
      <c r="AQ278" s="537">
        <f>MIN(N278,Q278,T278)</f>
        <v>3.5</v>
      </c>
      <c r="AR278" s="537">
        <f>MAX(N278,Q278,T278)</f>
        <v>5</v>
      </c>
      <c r="AS278" s="537">
        <f>IF(N277+Q277+T277=0,0,AVERAGE(N278,Q278,T278))</f>
        <v>4.25</v>
      </c>
      <c r="AT278" s="560"/>
      <c r="AU278" s="340"/>
      <c r="AV278" s="561"/>
      <c r="AW278" s="537">
        <f>MIN(O278,R278,U278)</f>
        <v>4.333333333333333</v>
      </c>
      <c r="AX278" s="537">
        <f>MAX(O278,R278,U278)</f>
        <v>5</v>
      </c>
      <c r="AY278" s="537">
        <f>IF(O277+R277+U277=0,0,AVERAGE(O278,R278,U278))</f>
        <v>4.6666666666666661</v>
      </c>
      <c r="AZ278" s="927"/>
      <c r="BA278" s="201"/>
    </row>
    <row r="279" spans="1:53" s="964" customFormat="1" ht="17.100000000000001" customHeight="1" x14ac:dyDescent="0.25">
      <c r="A279" s="177"/>
      <c r="B279" s="177"/>
      <c r="C279" s="953"/>
      <c r="D279" s="954" t="s">
        <v>946</v>
      </c>
      <c r="E279" s="955"/>
      <c r="F279" s="956"/>
      <c r="G279" s="956"/>
      <c r="H279" s="957"/>
      <c r="I279" s="958"/>
      <c r="J279" s="950"/>
      <c r="K279" s="950"/>
      <c r="L279" s="950"/>
      <c r="M279" s="950"/>
      <c r="N279" s="952">
        <f>IF(N277=0,0,N278)</f>
        <v>3.5</v>
      </c>
      <c r="O279" s="952">
        <f>IF(O277=0,0,O278)</f>
        <v>4.333333333333333</v>
      </c>
      <c r="P279" s="952"/>
      <c r="Q279" s="952">
        <f>IF(Q277=0,0,Q278)</f>
        <v>5</v>
      </c>
      <c r="R279" s="952">
        <f>IF(R277=0,0,R278)</f>
        <v>5</v>
      </c>
      <c r="S279" s="952"/>
      <c r="T279" s="952">
        <f>IF(T277=0,0,T278)</f>
        <v>0</v>
      </c>
      <c r="U279" s="952">
        <f>IF(U277=0,0,U278)</f>
        <v>0</v>
      </c>
      <c r="V279" s="959"/>
      <c r="W279" s="960"/>
      <c r="X279" s="950"/>
      <c r="Y279" s="961"/>
      <c r="Z279" s="962"/>
      <c r="AA279" s="962"/>
      <c r="AB279" s="962"/>
      <c r="AC279" s="963"/>
      <c r="AE279" s="950"/>
      <c r="AF279" s="950"/>
      <c r="AG279" s="950"/>
      <c r="AH279" s="961"/>
      <c r="AI279" s="962"/>
      <c r="AJ279" s="965"/>
      <c r="AK279" s="950"/>
      <c r="AL279" s="950"/>
      <c r="AM279" s="950"/>
      <c r="AN279" s="961"/>
      <c r="AO279" s="962"/>
      <c r="AP279" s="965"/>
      <c r="AQ279" s="950"/>
      <c r="AR279" s="950"/>
      <c r="AS279" s="950"/>
      <c r="AT279" s="961"/>
      <c r="AU279" s="962"/>
      <c r="AV279" s="965"/>
      <c r="AW279" s="950"/>
      <c r="AX279" s="950"/>
      <c r="AY279" s="950"/>
      <c r="AZ279" s="961"/>
      <c r="BA279" s="962"/>
    </row>
    <row r="280" spans="1:53" ht="17.100000000000001" customHeight="1" x14ac:dyDescent="0.25">
      <c r="A280" s="40"/>
      <c r="B280" s="40"/>
      <c r="C280" s="40"/>
      <c r="D280" s="930" t="s">
        <v>937</v>
      </c>
      <c r="E280" s="150"/>
      <c r="F280" s="151"/>
      <c r="G280" s="151"/>
      <c r="H280" s="119"/>
      <c r="I280" s="236"/>
      <c r="J280" s="152"/>
      <c r="K280" s="152"/>
      <c r="L280" s="111"/>
      <c r="M280" s="111"/>
      <c r="N280" s="111"/>
      <c r="O280" s="111"/>
      <c r="P280" s="111"/>
      <c r="Q280" s="111"/>
      <c r="R280" s="111"/>
      <c r="S280" s="111"/>
      <c r="T280" s="111"/>
      <c r="U280" s="111"/>
      <c r="V280" s="358"/>
      <c r="W280" s="380"/>
      <c r="X280" s="111"/>
      <c r="Y280" s="932"/>
      <c r="Z280" s="131"/>
      <c r="AA280" s="131"/>
      <c r="AB280" s="131"/>
      <c r="AC280" s="113"/>
      <c r="AE280" s="152"/>
      <c r="AF280" s="152"/>
      <c r="AG280" s="111"/>
      <c r="AH280" s="932"/>
      <c r="AI280" s="131"/>
      <c r="AK280" s="152"/>
      <c r="AL280" s="152"/>
      <c r="AM280" s="111"/>
      <c r="AN280" s="932"/>
      <c r="AO280" s="131"/>
      <c r="AQ280" s="152"/>
      <c r="AR280" s="152"/>
      <c r="AS280" s="111"/>
      <c r="AT280" s="932"/>
      <c r="AU280" s="131"/>
      <c r="AW280" s="152"/>
      <c r="AX280" s="152"/>
      <c r="AY280" s="111"/>
      <c r="AZ280" s="932"/>
      <c r="BA280" s="131"/>
    </row>
    <row r="281" spans="1:53" ht="17.100000000000001" customHeight="1" x14ac:dyDescent="0.25">
      <c r="A281" s="40"/>
      <c r="B281" s="40"/>
      <c r="C281" s="119"/>
      <c r="D281" s="535" t="s">
        <v>947</v>
      </c>
      <c r="E281" s="418"/>
      <c r="F281" s="418"/>
      <c r="G281" s="418"/>
      <c r="H281" s="245"/>
      <c r="I281" s="239"/>
      <c r="J281" s="154"/>
      <c r="K281" s="154"/>
      <c r="L281" s="154"/>
      <c r="M281" s="154"/>
      <c r="N281" s="533">
        <f>1*$J$250+((N279-1)*$J$251)</f>
        <v>1.2767857142857115</v>
      </c>
      <c r="O281" s="533">
        <f>1*$J$250+((O279-1)*$J$251)</f>
        <v>1.6041666666666632</v>
      </c>
      <c r="P281" s="534"/>
      <c r="Q281" s="533">
        <f>1*$J$250+((Q279-1)*$J$251)</f>
        <v>1.8660714285714246</v>
      </c>
      <c r="R281" s="533">
        <f>1*$J$250+((R279-1)*$J$251)</f>
        <v>1.8660714285714246</v>
      </c>
      <c r="S281" s="154"/>
      <c r="T281" s="533">
        <f>1*$J$250+((T279-1)*$J$251)</f>
        <v>-9.8214285714285476E-2</v>
      </c>
      <c r="U281" s="533">
        <f>1*$J$250+((U279-1)*$J$251)</f>
        <v>-9.8214285714285476E-2</v>
      </c>
      <c r="V281" s="159"/>
      <c r="W281" s="387"/>
      <c r="X281" s="154"/>
      <c r="Y281" s="129"/>
      <c r="Z281" s="130"/>
      <c r="AA281" s="130"/>
      <c r="AB281" s="130"/>
      <c r="AC281" s="125"/>
      <c r="AE281" s="154"/>
      <c r="AF281" s="154"/>
      <c r="AG281" s="154"/>
      <c r="AH281" s="129"/>
      <c r="AI281" s="130"/>
      <c r="AK281" s="154"/>
      <c r="AL281" s="154"/>
      <c r="AM281" s="154"/>
      <c r="AN281" s="129"/>
      <c r="AO281" s="130"/>
      <c r="AQ281" s="154"/>
      <c r="AR281" s="154"/>
      <c r="AS281" s="154"/>
      <c r="AT281" s="129"/>
      <c r="AU281" s="130"/>
      <c r="AW281" s="154"/>
      <c r="AX281" s="154"/>
      <c r="AY281" s="154"/>
      <c r="AZ281" s="129"/>
      <c r="BA281" s="130"/>
    </row>
    <row r="282" spans="1:53" ht="17.100000000000001" customHeight="1" x14ac:dyDescent="0.25">
      <c r="A282" s="40"/>
      <c r="B282" s="40"/>
      <c r="C282" s="119"/>
      <c r="D282" s="535" t="s">
        <v>948</v>
      </c>
      <c r="E282" s="418"/>
      <c r="F282" s="418"/>
      <c r="G282" s="418"/>
      <c r="H282" s="245"/>
      <c r="I282" s="239"/>
      <c r="J282" s="154"/>
      <c r="K282" s="154"/>
      <c r="L282" s="154"/>
      <c r="M282" s="154"/>
      <c r="N282" s="533">
        <f>1*$J$252+((N279-1)*$J$253)</f>
        <v>1.1785714285714259</v>
      </c>
      <c r="O282" s="533">
        <f>1*$J$252+((O279-1)*$J$253)</f>
        <v>1.5059523809523776</v>
      </c>
      <c r="P282" s="534"/>
      <c r="Q282" s="533">
        <f>1*$J$252+((Q279-1)*$J$253)</f>
        <v>1.767857142857139</v>
      </c>
      <c r="R282" s="533">
        <f>1*$J$252+((R279-1)*$J$253)</f>
        <v>1.767857142857139</v>
      </c>
      <c r="S282" s="154"/>
      <c r="T282" s="533">
        <f>1*$J$252+((T279-1)*$J$253)</f>
        <v>-0.19642857142857101</v>
      </c>
      <c r="U282" s="533">
        <f>1*$J$252+((U279-1)*$J$253)</f>
        <v>-0.19642857142857101</v>
      </c>
      <c r="V282" s="159"/>
      <c r="W282" s="387"/>
      <c r="X282" s="154"/>
      <c r="Y282" s="129"/>
      <c r="Z282" s="130"/>
      <c r="AA282" s="130"/>
      <c r="AB282" s="130"/>
      <c r="AC282" s="125"/>
      <c r="AE282" s="154"/>
      <c r="AF282" s="154"/>
      <c r="AG282" s="154"/>
      <c r="AH282" s="129"/>
      <c r="AI282" s="130"/>
      <c r="AK282" s="154"/>
      <c r="AL282" s="154"/>
      <c r="AM282" s="154"/>
      <c r="AN282" s="129"/>
      <c r="AO282" s="130"/>
      <c r="AQ282" s="154"/>
      <c r="AR282" s="154"/>
      <c r="AS282" s="154"/>
      <c r="AT282" s="129"/>
      <c r="AU282" s="130"/>
      <c r="AW282" s="154"/>
      <c r="AX282" s="154"/>
      <c r="AY282" s="154"/>
      <c r="AZ282" s="129"/>
      <c r="BA282" s="130"/>
    </row>
    <row r="283" spans="1:53" ht="17.100000000000001" customHeight="1" x14ac:dyDescent="0.25">
      <c r="A283" s="40"/>
      <c r="B283" s="40"/>
      <c r="C283" s="119"/>
      <c r="D283" s="535" t="s">
        <v>949</v>
      </c>
      <c r="E283" s="418"/>
      <c r="F283" s="418"/>
      <c r="G283" s="418"/>
      <c r="H283" s="245"/>
      <c r="I283" s="239"/>
      <c r="J283" s="154"/>
      <c r="K283" s="154"/>
      <c r="L283" s="154"/>
      <c r="M283" s="154"/>
      <c r="N283" s="533">
        <f>(N279-1)*$J$255</f>
        <v>0.98214285714285499</v>
      </c>
      <c r="O283" s="533">
        <f>(O279-1)*$J$255</f>
        <v>1.3095238095238066</v>
      </c>
      <c r="P283" s="534"/>
      <c r="Q283" s="533">
        <f>(Q279-1)*$J$255</f>
        <v>1.5714285714285681</v>
      </c>
      <c r="R283" s="533">
        <f>(R279-1)*$J$255</f>
        <v>1.5714285714285681</v>
      </c>
      <c r="S283" s="154"/>
      <c r="T283" s="533">
        <f>(T279-1)*$J$255</f>
        <v>-0.39285714285714202</v>
      </c>
      <c r="U283" s="533">
        <f>(U279-1)*$J$255</f>
        <v>-0.39285714285714202</v>
      </c>
      <c r="V283" s="159"/>
      <c r="W283" s="387"/>
      <c r="X283" s="154"/>
      <c r="Y283" s="129"/>
      <c r="Z283" s="130"/>
      <c r="AA283" s="130"/>
      <c r="AB283" s="130"/>
      <c r="AC283" s="125"/>
      <c r="AE283" s="154"/>
      <c r="AF283" s="154"/>
      <c r="AG283" s="154"/>
      <c r="AH283" s="129"/>
      <c r="AI283" s="130"/>
      <c r="AK283" s="154"/>
      <c r="AL283" s="154"/>
      <c r="AM283" s="154"/>
      <c r="AN283" s="129"/>
      <c r="AO283" s="130"/>
      <c r="AQ283" s="154"/>
      <c r="AR283" s="154"/>
      <c r="AS283" s="154"/>
      <c r="AT283" s="129"/>
      <c r="AU283" s="130"/>
      <c r="AW283" s="154"/>
      <c r="AX283" s="154"/>
      <c r="AY283" s="154"/>
      <c r="AZ283" s="129"/>
      <c r="BA283" s="130"/>
    </row>
    <row r="284" spans="1:53" ht="17.100000000000001" customHeight="1" x14ac:dyDescent="0.25">
      <c r="A284" s="40"/>
      <c r="B284" s="40"/>
      <c r="C284" s="119"/>
      <c r="D284" s="535" t="s">
        <v>950</v>
      </c>
      <c r="E284" s="418"/>
      <c r="F284" s="418"/>
      <c r="G284" s="418"/>
      <c r="H284" s="245"/>
      <c r="I284" s="239"/>
      <c r="J284" s="154"/>
      <c r="K284" s="154"/>
      <c r="L284" s="154"/>
      <c r="M284" s="154"/>
      <c r="N284" s="533">
        <f t="shared" ref="N284:O286" si="386">N257*N281</f>
        <v>0</v>
      </c>
      <c r="O284" s="533">
        <f t="shared" si="386"/>
        <v>0</v>
      </c>
      <c r="P284" s="534"/>
      <c r="Q284" s="533">
        <f t="shared" ref="Q284:R286" si="387">Q257*Q281</f>
        <v>0</v>
      </c>
      <c r="R284" s="533">
        <f t="shared" si="387"/>
        <v>0</v>
      </c>
      <c r="S284" s="154"/>
      <c r="T284" s="533">
        <f t="shared" ref="T284:U286" si="388">T257*T281</f>
        <v>0</v>
      </c>
      <c r="U284" s="533">
        <f t="shared" si="388"/>
        <v>0</v>
      </c>
      <c r="V284" s="159"/>
      <c r="W284" s="387"/>
      <c r="X284" s="154"/>
      <c r="Y284" s="129"/>
      <c r="Z284" s="130"/>
      <c r="AA284" s="130"/>
      <c r="AB284" s="130"/>
      <c r="AC284" s="125"/>
      <c r="AE284" s="154"/>
      <c r="AF284" s="154"/>
      <c r="AG284" s="154"/>
      <c r="AH284" s="129"/>
      <c r="AI284" s="130"/>
      <c r="AK284" s="154"/>
      <c r="AL284" s="154"/>
      <c r="AM284" s="154"/>
      <c r="AN284" s="129"/>
      <c r="AO284" s="130"/>
      <c r="AQ284" s="154"/>
      <c r="AR284" s="154"/>
      <c r="AS284" s="154"/>
      <c r="AT284" s="129"/>
      <c r="AU284" s="130"/>
      <c r="AW284" s="154"/>
      <c r="AX284" s="154"/>
      <c r="AY284" s="154"/>
      <c r="AZ284" s="129"/>
      <c r="BA284" s="130"/>
    </row>
    <row r="285" spans="1:53" ht="17.100000000000001" customHeight="1" x14ac:dyDescent="0.25">
      <c r="A285" s="40"/>
      <c r="B285" s="40"/>
      <c r="C285" s="119"/>
      <c r="D285" s="535" t="s">
        <v>951</v>
      </c>
      <c r="E285" s="418"/>
      <c r="F285" s="418"/>
      <c r="G285" s="418"/>
      <c r="H285" s="245"/>
      <c r="I285" s="239"/>
      <c r="J285" s="154"/>
      <c r="K285" s="154"/>
      <c r="L285" s="154"/>
      <c r="M285" s="154"/>
      <c r="N285" s="533">
        <f t="shared" si="386"/>
        <v>5.8928571428571299</v>
      </c>
      <c r="O285" s="533">
        <f t="shared" si="386"/>
        <v>1.5059523809523776</v>
      </c>
      <c r="P285" s="534"/>
      <c r="Q285" s="533">
        <f t="shared" si="387"/>
        <v>0</v>
      </c>
      <c r="R285" s="533">
        <f t="shared" si="387"/>
        <v>0</v>
      </c>
      <c r="S285" s="154"/>
      <c r="T285" s="533">
        <f t="shared" si="388"/>
        <v>0</v>
      </c>
      <c r="U285" s="533">
        <f t="shared" si="388"/>
        <v>0</v>
      </c>
      <c r="V285" s="159"/>
      <c r="W285" s="387"/>
      <c r="X285" s="154"/>
      <c r="Y285" s="129"/>
      <c r="Z285" s="130"/>
      <c r="AA285" s="130"/>
      <c r="AB285" s="130"/>
      <c r="AC285" s="125"/>
      <c r="AE285" s="154"/>
      <c r="AF285" s="154"/>
      <c r="AG285" s="154"/>
      <c r="AH285" s="129"/>
      <c r="AI285" s="130"/>
      <c r="AK285" s="154"/>
      <c r="AL285" s="154"/>
      <c r="AM285" s="154"/>
      <c r="AN285" s="129"/>
      <c r="AO285" s="130"/>
      <c r="AQ285" s="154"/>
      <c r="AR285" s="154"/>
      <c r="AS285" s="154"/>
      <c r="AT285" s="129"/>
      <c r="AU285" s="130"/>
      <c r="AW285" s="154"/>
      <c r="AX285" s="154"/>
      <c r="AY285" s="154"/>
      <c r="AZ285" s="129"/>
      <c r="BA285" s="130"/>
    </row>
    <row r="286" spans="1:53" ht="17.100000000000001" customHeight="1" x14ac:dyDescent="0.25">
      <c r="A286" s="40"/>
      <c r="B286" s="40"/>
      <c r="C286" s="119"/>
      <c r="D286" s="535" t="s">
        <v>952</v>
      </c>
      <c r="E286" s="418"/>
      <c r="F286" s="418"/>
      <c r="G286" s="418"/>
      <c r="H286" s="245"/>
      <c r="I286" s="239"/>
      <c r="J286" s="154"/>
      <c r="K286" s="154"/>
      <c r="L286" s="154"/>
      <c r="M286" s="154"/>
      <c r="N286" s="533">
        <f t="shared" si="386"/>
        <v>0.98214285714285499</v>
      </c>
      <c r="O286" s="533">
        <f t="shared" si="386"/>
        <v>2.6190476190476133</v>
      </c>
      <c r="P286" s="534"/>
      <c r="Q286" s="533">
        <f t="shared" si="387"/>
        <v>1.5714285714285681</v>
      </c>
      <c r="R286" s="533">
        <f t="shared" si="387"/>
        <v>7.8571428571428399</v>
      </c>
      <c r="S286" s="154"/>
      <c r="T286" s="533">
        <f t="shared" si="388"/>
        <v>0</v>
      </c>
      <c r="U286" s="533">
        <f t="shared" si="388"/>
        <v>0</v>
      </c>
      <c r="V286" s="159"/>
      <c r="W286" s="387"/>
      <c r="X286" s="154"/>
      <c r="Y286" s="129"/>
      <c r="Z286" s="130"/>
      <c r="AA286" s="130"/>
      <c r="AB286" s="130"/>
      <c r="AC286" s="125"/>
      <c r="AE286" s="154"/>
      <c r="AF286" s="154"/>
      <c r="AG286" s="154"/>
      <c r="AH286" s="129"/>
      <c r="AI286" s="130"/>
      <c r="AK286" s="154"/>
      <c r="AL286" s="154"/>
      <c r="AM286" s="154"/>
      <c r="AN286" s="129"/>
      <c r="AO286" s="130"/>
      <c r="AQ286" s="154"/>
      <c r="AR286" s="154"/>
      <c r="AS286" s="154"/>
      <c r="AT286" s="129"/>
      <c r="AU286" s="130"/>
      <c r="AW286" s="154"/>
      <c r="AX286" s="154"/>
      <c r="AY286" s="154"/>
      <c r="AZ286" s="129"/>
      <c r="BA286" s="130"/>
    </row>
    <row r="287" spans="1:53" s="409" customFormat="1" ht="17.100000000000001" customHeight="1" x14ac:dyDescent="0.25">
      <c r="A287" s="928"/>
      <c r="B287" s="928"/>
      <c r="C287" s="928"/>
      <c r="D287" s="461" t="s">
        <v>953</v>
      </c>
      <c r="E287" s="212"/>
      <c r="F287" s="212"/>
      <c r="G287" s="212"/>
      <c r="H287" s="242"/>
      <c r="I287" s="230"/>
      <c r="J287" s="155"/>
      <c r="K287" s="155"/>
      <c r="L287" s="155"/>
      <c r="M287" s="155"/>
      <c r="N287" s="537">
        <f>SUM(N284:N286)</f>
        <v>6.8749999999999849</v>
      </c>
      <c r="O287" s="537">
        <f>SUM(O284:O286)</f>
        <v>4.1249999999999911</v>
      </c>
      <c r="P287" s="536"/>
      <c r="Q287" s="537">
        <f>SUM(Q284:Q286)</f>
        <v>1.5714285714285681</v>
      </c>
      <c r="R287" s="537">
        <f>SUM(R284:R286)</f>
        <v>7.8571428571428399</v>
      </c>
      <c r="S287" s="155"/>
      <c r="T287" s="537">
        <f>SUM(T284:T286)</f>
        <v>0</v>
      </c>
      <c r="U287" s="537">
        <f>SUM(U284:U286)</f>
        <v>0</v>
      </c>
      <c r="V287" s="366"/>
      <c r="W287" s="550">
        <f>N287+Q287+T287</f>
        <v>8.4464285714285534</v>
      </c>
      <c r="X287" s="537">
        <f>O287+R287+U287</f>
        <v>11.982142857142831</v>
      </c>
      <c r="Y287" s="537">
        <f>SUM(W287:X287)</f>
        <v>20.428571428571384</v>
      </c>
      <c r="Z287" s="546"/>
      <c r="AA287" s="537"/>
      <c r="AB287" s="537"/>
      <c r="AC287" s="547"/>
      <c r="AE287" s="154"/>
      <c r="AF287" s="154"/>
      <c r="AG287" s="154"/>
      <c r="AH287" s="129"/>
      <c r="AI287" s="130"/>
      <c r="AJ287" s="117"/>
      <c r="AK287" s="154"/>
      <c r="AL287" s="154"/>
      <c r="AM287" s="154"/>
      <c r="AN287" s="129"/>
      <c r="AO287" s="130"/>
      <c r="AQ287" s="155"/>
      <c r="AR287" s="155"/>
      <c r="AS287" s="155"/>
      <c r="AT287" s="927"/>
      <c r="AU287" s="201"/>
      <c r="AW287" s="155"/>
      <c r="AX287" s="155"/>
      <c r="AY287" s="155"/>
      <c r="AZ287" s="927"/>
      <c r="BA287" s="201"/>
    </row>
    <row r="288" spans="1:53" s="409" customFormat="1" ht="17.100000000000001" customHeight="1" x14ac:dyDescent="0.25">
      <c r="A288" s="928"/>
      <c r="B288" s="928"/>
      <c r="C288" s="928"/>
      <c r="D288" s="461" t="s">
        <v>954</v>
      </c>
      <c r="E288" s="212"/>
      <c r="F288" s="212"/>
      <c r="G288" s="212"/>
      <c r="H288" s="242"/>
      <c r="I288" s="230"/>
      <c r="J288" s="155"/>
      <c r="K288" s="155"/>
      <c r="L288" s="155"/>
      <c r="M288" s="155"/>
      <c r="N288" s="537">
        <f>IF(N269=0,"",N287/N269)</f>
        <v>1.1458333333333308</v>
      </c>
      <c r="O288" s="537">
        <f>IF(O269=0,"",O287/O269)</f>
        <v>1.3749999999999971</v>
      </c>
      <c r="P288" s="536"/>
      <c r="Q288" s="537">
        <f>IF(Q269=0,"",Q287/Q269)</f>
        <v>1.5714285714285681</v>
      </c>
      <c r="R288" s="537">
        <f>IF(R269=0,"",R287/R269)</f>
        <v>1.5714285714285681</v>
      </c>
      <c r="S288" s="155"/>
      <c r="T288" s="537" t="str">
        <f>IF(T269=0,"",T287/T269)</f>
        <v/>
      </c>
      <c r="U288" s="537" t="str">
        <f>IF(U269=0,"",U287/U269)</f>
        <v/>
      </c>
      <c r="V288" s="366"/>
      <c r="W288" s="549"/>
      <c r="X288" s="536"/>
      <c r="Y288" s="164"/>
      <c r="Z288" s="546"/>
      <c r="AA288" s="537">
        <f>MIN(N288:U288)</f>
        <v>1.1458333333333308</v>
      </c>
      <c r="AB288" s="537">
        <f>MAX(N288:U288)</f>
        <v>1.5714285714285681</v>
      </c>
      <c r="AC288" s="548">
        <f>IF(SUM(N288:U288)=0,0,AVERAGE(N288:U288))</f>
        <v>1.415922619047616</v>
      </c>
      <c r="AE288" s="154"/>
      <c r="AF288" s="154"/>
      <c r="AG288" s="154"/>
      <c r="AH288" s="129"/>
      <c r="AI288" s="130"/>
      <c r="AJ288" s="117"/>
      <c r="AK288" s="154"/>
      <c r="AL288" s="154"/>
      <c r="AM288" s="154"/>
      <c r="AN288" s="129"/>
      <c r="AO288" s="130"/>
      <c r="AQ288" s="966">
        <f>MIN(N288,Q288,T288)</f>
        <v>1.1458333333333308</v>
      </c>
      <c r="AR288" s="966">
        <f>MAX(N288,Q288,T288)</f>
        <v>1.5714285714285681</v>
      </c>
      <c r="AS288" s="966">
        <f>IF(N287+Q287+T287=0,0,AVERAGE(N288,Q288,T288))</f>
        <v>1.3586309523809494</v>
      </c>
      <c r="AT288" s="927"/>
      <c r="AU288" s="201"/>
      <c r="AW288" s="537">
        <f>MIN(O288,R288,U288)</f>
        <v>1.3749999999999971</v>
      </c>
      <c r="AX288" s="537">
        <f>MAX(O288,R288,U288)</f>
        <v>1.5714285714285681</v>
      </c>
      <c r="AY288" s="537">
        <f>IF(O287+R287+U287=0,0,AVERAGE(O288,R288,U288))</f>
        <v>1.4732142857142825</v>
      </c>
      <c r="AZ288" s="927"/>
      <c r="BA288" s="201"/>
    </row>
    <row r="289" spans="1:53" ht="17.100000000000001" customHeight="1" x14ac:dyDescent="0.25">
      <c r="A289" s="40"/>
      <c r="B289" s="40"/>
      <c r="C289" s="41" t="s">
        <v>957</v>
      </c>
      <c r="D289" s="551" t="s">
        <v>958</v>
      </c>
      <c r="E289" s="43"/>
      <c r="F289" s="301"/>
      <c r="G289" s="301"/>
      <c r="H289" s="119"/>
      <c r="I289" s="236"/>
      <c r="J289" s="552"/>
      <c r="K289" s="552"/>
      <c r="L289" s="552"/>
      <c r="M289" s="552"/>
      <c r="N289" s="552"/>
      <c r="O289" s="552"/>
      <c r="P289" s="552"/>
      <c r="Q289" s="552"/>
      <c r="R289" s="552"/>
      <c r="S289" s="552"/>
      <c r="T289" s="552"/>
      <c r="U289" s="552"/>
      <c r="V289" s="553"/>
      <c r="W289" s="554"/>
      <c r="X289" s="552"/>
      <c r="Y289" s="89"/>
      <c r="Z289" s="90"/>
      <c r="AA289" s="90"/>
      <c r="AB289" s="90"/>
      <c r="AC289" s="73"/>
      <c r="AD289" s="117"/>
      <c r="AE289" s="552"/>
      <c r="AF289" s="552"/>
      <c r="AG289" s="552"/>
      <c r="AH289" s="89"/>
      <c r="AI289" s="90"/>
      <c r="AK289" s="552"/>
      <c r="AL289" s="552"/>
      <c r="AM289" s="552"/>
      <c r="AN289" s="89"/>
      <c r="AO289" s="90"/>
      <c r="AQ289" s="552"/>
      <c r="AR289" s="552"/>
      <c r="AS289" s="552"/>
      <c r="AT289" s="89"/>
      <c r="AU289" s="90"/>
      <c r="AW289" s="552"/>
      <c r="AX289" s="552"/>
      <c r="AY289" s="552"/>
      <c r="AZ289" s="89"/>
      <c r="BA289" s="90"/>
    </row>
    <row r="290" spans="1:53" ht="17.100000000000001" customHeight="1" x14ac:dyDescent="0.25">
      <c r="A290" s="40"/>
      <c r="B290" s="40"/>
      <c r="C290" s="119"/>
      <c r="D290" s="535" t="s">
        <v>428</v>
      </c>
      <c r="E290" s="142"/>
      <c r="F290" s="143"/>
      <c r="G290" s="143"/>
      <c r="H290" s="119"/>
      <c r="I290" s="236"/>
      <c r="J290" s="154">
        <f t="shared" ref="J290:L295" si="389">J155</f>
        <v>12</v>
      </c>
      <c r="K290" s="154">
        <f t="shared" si="389"/>
        <v>9</v>
      </c>
      <c r="L290" s="154">
        <f t="shared" si="389"/>
        <v>52</v>
      </c>
      <c r="M290" s="154"/>
      <c r="N290" s="154"/>
      <c r="O290" s="154"/>
      <c r="P290" s="154"/>
      <c r="Q290" s="154"/>
      <c r="R290" s="154"/>
      <c r="S290" s="154"/>
      <c r="T290" s="154"/>
      <c r="U290" s="154"/>
      <c r="V290" s="159"/>
      <c r="W290" s="387"/>
      <c r="X290" s="154"/>
      <c r="Y290" s="129"/>
      <c r="Z290" s="130"/>
      <c r="AA290" s="130"/>
      <c r="AB290" s="130"/>
      <c r="AC290" s="125"/>
      <c r="AE290" s="154"/>
      <c r="AF290" s="154"/>
      <c r="AG290" s="154"/>
      <c r="AH290" s="129"/>
      <c r="AI290" s="130"/>
      <c r="AK290" s="154"/>
      <c r="AL290" s="154"/>
      <c r="AM290" s="154"/>
      <c r="AN290" s="129"/>
      <c r="AO290" s="130"/>
      <c r="AQ290" s="557">
        <f>J290*0.75</f>
        <v>9</v>
      </c>
      <c r="AR290" s="154"/>
      <c r="AS290" s="154"/>
      <c r="AT290" s="129"/>
      <c r="AU290" s="130"/>
      <c r="AW290" s="154"/>
      <c r="AX290" s="154"/>
      <c r="AY290" s="154"/>
      <c r="AZ290" s="129"/>
      <c r="BA290" s="130"/>
    </row>
    <row r="291" spans="1:53" ht="17.100000000000001" customHeight="1" x14ac:dyDescent="0.25">
      <c r="A291" s="40"/>
      <c r="B291" s="40"/>
      <c r="C291" s="119"/>
      <c r="D291" s="535" t="s">
        <v>429</v>
      </c>
      <c r="E291" s="142"/>
      <c r="F291" s="143"/>
      <c r="G291" s="143"/>
      <c r="H291" s="119"/>
      <c r="I291" s="236"/>
      <c r="J291" s="154">
        <f t="shared" si="389"/>
        <v>1</v>
      </c>
      <c r="K291" s="154">
        <f>K156</f>
        <v>0</v>
      </c>
      <c r="L291" s="154">
        <f t="shared" si="389"/>
        <v>39</v>
      </c>
      <c r="M291" s="154"/>
      <c r="N291" s="154"/>
      <c r="O291" s="154"/>
      <c r="P291" s="154"/>
      <c r="Q291" s="154"/>
      <c r="R291" s="154"/>
      <c r="S291" s="154"/>
      <c r="T291" s="154"/>
      <c r="U291" s="154"/>
      <c r="V291" s="159"/>
      <c r="W291" s="387"/>
      <c r="X291" s="154"/>
      <c r="Y291" s="129"/>
      <c r="Z291" s="130"/>
      <c r="AA291" s="130"/>
      <c r="AB291" s="130"/>
      <c r="AC291" s="125"/>
      <c r="AD291" s="117"/>
      <c r="AE291" s="154"/>
      <c r="AF291" s="154"/>
      <c r="AG291" s="154"/>
      <c r="AH291" s="129"/>
      <c r="AI291" s="130"/>
      <c r="AK291" s="154"/>
      <c r="AL291" s="154"/>
      <c r="AM291" s="154"/>
      <c r="AN291" s="129"/>
      <c r="AO291" s="130"/>
      <c r="AQ291" s="154"/>
      <c r="AR291" s="154"/>
      <c r="AS291" s="154"/>
      <c r="AT291" s="129"/>
      <c r="AU291" s="130"/>
      <c r="AW291" s="154"/>
      <c r="AX291" s="154"/>
      <c r="AY291" s="154"/>
      <c r="AZ291" s="129"/>
      <c r="BA291" s="130"/>
    </row>
    <row r="292" spans="1:53" ht="17.100000000000001" customHeight="1" x14ac:dyDescent="0.25">
      <c r="A292" s="40"/>
      <c r="B292" s="40"/>
      <c r="C292" s="119"/>
      <c r="D292" s="535" t="s">
        <v>430</v>
      </c>
      <c r="E292" s="142"/>
      <c r="F292" s="143"/>
      <c r="G292" s="143"/>
      <c r="H292" s="119"/>
      <c r="I292" s="236"/>
      <c r="J292" s="154">
        <f t="shared" si="389"/>
        <v>1</v>
      </c>
      <c r="K292" s="154">
        <f>K157</f>
        <v>3</v>
      </c>
      <c r="L292" s="154">
        <f t="shared" si="389"/>
        <v>68</v>
      </c>
      <c r="M292" s="154"/>
      <c r="N292" s="154"/>
      <c r="O292" s="154"/>
      <c r="P292" s="154"/>
      <c r="Q292" s="154"/>
      <c r="R292" s="154"/>
      <c r="S292" s="154"/>
      <c r="T292" s="154"/>
      <c r="U292" s="154"/>
      <c r="V292" s="159"/>
      <c r="W292" s="387"/>
      <c r="X292" s="154"/>
      <c r="Y292" s="129"/>
      <c r="Z292" s="130"/>
      <c r="AA292" s="130"/>
      <c r="AB292" s="130"/>
      <c r="AC292" s="125"/>
      <c r="AE292" s="154"/>
      <c r="AF292" s="154"/>
      <c r="AG292" s="154"/>
      <c r="AH292" s="129"/>
      <c r="AI292" s="130"/>
      <c r="AK292" s="154"/>
      <c r="AL292" s="154"/>
      <c r="AM292" s="154"/>
      <c r="AN292" s="129"/>
      <c r="AO292" s="130"/>
      <c r="AQ292" s="154"/>
      <c r="AR292" s="154"/>
      <c r="AS292" s="154"/>
      <c r="AT292" s="129"/>
      <c r="AU292" s="130"/>
      <c r="AW292" s="154"/>
      <c r="AX292" s="154"/>
      <c r="AY292" s="154"/>
      <c r="AZ292" s="129"/>
      <c r="BA292" s="130"/>
    </row>
    <row r="293" spans="1:53" ht="17.100000000000001" customHeight="1" x14ac:dyDescent="0.25">
      <c r="A293" s="40"/>
      <c r="B293" s="40"/>
      <c r="C293" s="119"/>
      <c r="D293" s="535" t="s">
        <v>431</v>
      </c>
      <c r="E293" s="142"/>
      <c r="F293" s="143"/>
      <c r="G293" s="143"/>
      <c r="H293" s="119"/>
      <c r="I293" s="236"/>
      <c r="J293" s="154">
        <f t="shared" si="389"/>
        <v>2</v>
      </c>
      <c r="K293" s="154">
        <f>K158</f>
        <v>0</v>
      </c>
      <c r="L293" s="154">
        <f t="shared" si="389"/>
        <v>50</v>
      </c>
      <c r="M293" s="154"/>
      <c r="N293" s="154"/>
      <c r="O293" s="154"/>
      <c r="P293" s="154"/>
      <c r="Q293" s="154"/>
      <c r="R293" s="154"/>
      <c r="S293" s="154"/>
      <c r="T293" s="154"/>
      <c r="U293" s="154"/>
      <c r="V293" s="159"/>
      <c r="W293" s="387"/>
      <c r="X293" s="154"/>
      <c r="Y293" s="129"/>
      <c r="Z293" s="130"/>
      <c r="AA293" s="130"/>
      <c r="AB293" s="130"/>
      <c r="AC293" s="125"/>
      <c r="AE293" s="154"/>
      <c r="AF293" s="154"/>
      <c r="AG293" s="154"/>
      <c r="AH293" s="129"/>
      <c r="AI293" s="130"/>
      <c r="AK293" s="154"/>
      <c r="AL293" s="154"/>
      <c r="AM293" s="154"/>
      <c r="AN293" s="129"/>
      <c r="AO293" s="130"/>
      <c r="AQ293" s="154"/>
      <c r="AR293" s="154"/>
      <c r="AS293" s="154"/>
      <c r="AT293" s="129"/>
      <c r="AU293" s="130"/>
      <c r="AW293" s="154"/>
      <c r="AX293" s="154"/>
      <c r="AY293" s="154"/>
      <c r="AZ293" s="129"/>
      <c r="BA293" s="130"/>
    </row>
    <row r="294" spans="1:53" s="158" customFormat="1" ht="17.100000000000001" customHeight="1" x14ac:dyDescent="0.25">
      <c r="A294" s="102"/>
      <c r="B294" s="102"/>
      <c r="C294" s="119"/>
      <c r="D294" s="535" t="s">
        <v>432</v>
      </c>
      <c r="E294" s="142"/>
      <c r="F294" s="143"/>
      <c r="G294" s="143"/>
      <c r="H294" s="182"/>
      <c r="I294" s="240"/>
      <c r="J294" s="154">
        <f t="shared" si="389"/>
        <v>0</v>
      </c>
      <c r="K294" s="154">
        <f>K159</f>
        <v>0</v>
      </c>
      <c r="L294" s="154">
        <f t="shared" si="389"/>
        <v>25</v>
      </c>
      <c r="M294" s="154"/>
      <c r="N294" s="154"/>
      <c r="O294" s="154"/>
      <c r="P294" s="154"/>
      <c r="Q294" s="154"/>
      <c r="R294" s="154"/>
      <c r="S294" s="154"/>
      <c r="T294" s="154"/>
      <c r="U294" s="154"/>
      <c r="V294" s="159"/>
      <c r="W294" s="387"/>
      <c r="X294" s="154"/>
      <c r="Y294" s="129"/>
      <c r="Z294" s="130"/>
      <c r="AA294" s="130"/>
      <c r="AB294" s="130"/>
      <c r="AC294" s="125"/>
      <c r="AE294" s="154"/>
      <c r="AF294" s="154"/>
      <c r="AG294" s="154"/>
      <c r="AH294" s="129"/>
      <c r="AI294" s="130"/>
      <c r="AJ294" s="409"/>
      <c r="AK294" s="154"/>
      <c r="AL294" s="154"/>
      <c r="AM294" s="154"/>
      <c r="AN294" s="129"/>
      <c r="AO294" s="130"/>
      <c r="AP294" s="409"/>
      <c r="AQ294" s="557">
        <f>J294*0.75</f>
        <v>0</v>
      </c>
      <c r="AR294" s="154"/>
      <c r="AS294" s="154"/>
      <c r="AT294" s="129"/>
      <c r="AU294" s="130"/>
      <c r="AV294" s="409"/>
      <c r="AW294" s="154"/>
      <c r="AX294" s="154"/>
      <c r="AY294" s="154"/>
      <c r="AZ294" s="129"/>
      <c r="BA294" s="130"/>
    </row>
    <row r="295" spans="1:53" s="158" customFormat="1" ht="17.100000000000001" customHeight="1" x14ac:dyDescent="0.25">
      <c r="A295" s="102"/>
      <c r="B295" s="102"/>
      <c r="C295" s="119"/>
      <c r="D295" s="535" t="s">
        <v>129</v>
      </c>
      <c r="E295" s="142"/>
      <c r="F295" s="143"/>
      <c r="G295" s="143"/>
      <c r="H295" s="182"/>
      <c r="I295" s="240"/>
      <c r="J295" s="154">
        <f t="shared" si="389"/>
        <v>0</v>
      </c>
      <c r="K295" s="154">
        <f>K160</f>
        <v>0</v>
      </c>
      <c r="L295" s="154">
        <f t="shared" si="389"/>
        <v>0</v>
      </c>
      <c r="M295" s="154"/>
      <c r="N295" s="154"/>
      <c r="O295" s="154"/>
      <c r="P295" s="154"/>
      <c r="Q295" s="154"/>
      <c r="R295" s="154"/>
      <c r="S295" s="154"/>
      <c r="T295" s="154"/>
      <c r="U295" s="154"/>
      <c r="V295" s="159"/>
      <c r="W295" s="387"/>
      <c r="X295" s="154"/>
      <c r="Y295" s="129"/>
      <c r="Z295" s="130"/>
      <c r="AA295" s="130"/>
      <c r="AB295" s="130"/>
      <c r="AC295" s="125"/>
      <c r="AE295" s="154"/>
      <c r="AF295" s="154"/>
      <c r="AG295" s="154"/>
      <c r="AH295" s="129"/>
      <c r="AI295" s="130"/>
      <c r="AJ295" s="409"/>
      <c r="AK295" s="154"/>
      <c r="AL295" s="154"/>
      <c r="AM295" s="154"/>
      <c r="AN295" s="129"/>
      <c r="AO295" s="130"/>
      <c r="AP295" s="409"/>
      <c r="AQ295" s="154"/>
      <c r="AR295" s="154"/>
      <c r="AS295" s="154"/>
      <c r="AT295" s="129"/>
      <c r="AU295" s="130"/>
      <c r="AV295" s="409"/>
      <c r="AW295" s="154"/>
      <c r="AX295" s="154"/>
      <c r="AY295" s="154"/>
      <c r="AZ295" s="129"/>
      <c r="BA295" s="130"/>
    </row>
    <row r="296" spans="1:53" s="158" customFormat="1" ht="17.100000000000001" customHeight="1" x14ac:dyDescent="0.25">
      <c r="A296" s="102"/>
      <c r="B296" s="102"/>
      <c r="C296" s="119"/>
      <c r="D296" s="535" t="s">
        <v>965</v>
      </c>
      <c r="E296" s="142"/>
      <c r="F296" s="143"/>
      <c r="G296" s="143"/>
      <c r="H296" s="182"/>
      <c r="I296" s="240"/>
      <c r="J296" s="154">
        <f>SUM(J290:J294)</f>
        <v>16</v>
      </c>
      <c r="K296" s="154">
        <f t="shared" ref="K296:L296" si="390">SUM(K290:K294)</f>
        <v>12</v>
      </c>
      <c r="L296" s="154">
        <f t="shared" si="390"/>
        <v>234</v>
      </c>
      <c r="M296" s="154"/>
      <c r="N296" s="154"/>
      <c r="O296" s="154"/>
      <c r="P296" s="154"/>
      <c r="Q296" s="154"/>
      <c r="R296" s="154"/>
      <c r="S296" s="154"/>
      <c r="T296" s="154"/>
      <c r="U296" s="154"/>
      <c r="V296" s="159"/>
      <c r="W296" s="387"/>
      <c r="X296" s="154"/>
      <c r="Y296" s="129"/>
      <c r="Z296" s="130"/>
      <c r="AA296" s="130"/>
      <c r="AB296" s="130"/>
      <c r="AC296" s="125"/>
      <c r="AE296" s="154"/>
      <c r="AF296" s="154"/>
      <c r="AG296" s="154"/>
      <c r="AH296" s="129"/>
      <c r="AI296" s="130"/>
      <c r="AJ296" s="409"/>
      <c r="AK296" s="154"/>
      <c r="AL296" s="154"/>
      <c r="AM296" s="154"/>
      <c r="AN296" s="129"/>
      <c r="AO296" s="130"/>
      <c r="AP296" s="409"/>
      <c r="AQ296" s="154"/>
      <c r="AR296" s="154"/>
      <c r="AS296" s="154"/>
      <c r="AT296" s="129"/>
      <c r="AU296" s="130"/>
      <c r="AV296" s="409"/>
      <c r="AW296" s="154"/>
      <c r="AX296" s="154"/>
      <c r="AY296" s="154"/>
      <c r="AZ296" s="129"/>
      <c r="BA296" s="130"/>
    </row>
    <row r="297" spans="1:53" s="158" customFormat="1" ht="17.100000000000001" customHeight="1" x14ac:dyDescent="0.25">
      <c r="A297" s="102"/>
      <c r="B297" s="102"/>
      <c r="C297" s="119"/>
      <c r="D297" s="535" t="s">
        <v>981</v>
      </c>
      <c r="E297" s="142"/>
      <c r="F297" s="143"/>
      <c r="G297" s="143"/>
      <c r="H297" s="182"/>
      <c r="I297" s="240"/>
      <c r="J297" s="154"/>
      <c r="K297" s="154"/>
      <c r="L297" s="154"/>
      <c r="M297" s="154"/>
      <c r="N297" s="154"/>
      <c r="O297" s="154"/>
      <c r="P297" s="154"/>
      <c r="Q297" s="154"/>
      <c r="R297" s="154"/>
      <c r="S297" s="154"/>
      <c r="T297" s="154"/>
      <c r="U297" s="154"/>
      <c r="V297" s="159"/>
      <c r="W297" s="387"/>
      <c r="X297" s="154"/>
      <c r="Y297" s="129"/>
      <c r="Z297" s="130"/>
      <c r="AA297" s="130"/>
      <c r="AB297" s="130"/>
      <c r="AC297" s="125"/>
      <c r="AE297" s="154"/>
      <c r="AF297" s="154"/>
      <c r="AG297" s="154"/>
      <c r="AH297" s="129"/>
      <c r="AI297" s="130"/>
      <c r="AJ297" s="409"/>
      <c r="AK297" s="154"/>
      <c r="AL297" s="154"/>
      <c r="AM297" s="154"/>
      <c r="AN297" s="129"/>
      <c r="AO297" s="130"/>
      <c r="AP297" s="409"/>
      <c r="AQ297" s="154"/>
      <c r="AR297" s="154"/>
      <c r="AS297" s="154"/>
      <c r="AT297" s="129"/>
      <c r="AU297" s="130"/>
      <c r="AV297" s="409"/>
      <c r="AW297" s="154"/>
      <c r="AX297" s="154"/>
      <c r="AY297" s="154"/>
      <c r="AZ297" s="129"/>
      <c r="BA297" s="130"/>
    </row>
    <row r="298" spans="1:53" s="158" customFormat="1" ht="17.100000000000001" customHeight="1" x14ac:dyDescent="0.25">
      <c r="A298" s="967"/>
      <c r="B298" s="967"/>
      <c r="C298" s="119"/>
      <c r="D298" s="535" t="s">
        <v>1442</v>
      </c>
      <c r="E298" s="142"/>
      <c r="F298" s="143"/>
      <c r="G298" s="143"/>
      <c r="H298" s="182"/>
      <c r="I298" s="240"/>
      <c r="J298" s="527">
        <f>IF(J290&gt;0,0.75,"")</f>
        <v>0.75</v>
      </c>
      <c r="K298" s="527">
        <f t="shared" ref="K298:L298" si="391">IF(K290&gt;0,0.75,"")</f>
        <v>0.75</v>
      </c>
      <c r="L298" s="527">
        <f t="shared" si="391"/>
        <v>0.75</v>
      </c>
      <c r="M298" s="154"/>
      <c r="N298" s="154"/>
      <c r="O298" s="154"/>
      <c r="P298" s="154"/>
      <c r="Q298" s="154"/>
      <c r="R298" s="154"/>
      <c r="S298" s="154"/>
      <c r="T298" s="154"/>
      <c r="U298" s="154"/>
      <c r="V298" s="159"/>
      <c r="W298" s="387"/>
      <c r="X298" s="154"/>
      <c r="Y298" s="129"/>
      <c r="Z298" s="130"/>
      <c r="AA298" s="130"/>
      <c r="AB298" s="130"/>
      <c r="AC298" s="125"/>
      <c r="AE298" s="154"/>
      <c r="AF298" s="154"/>
      <c r="AG298" s="154"/>
      <c r="AH298" s="129"/>
      <c r="AI298" s="130"/>
      <c r="AJ298" s="409"/>
      <c r="AK298" s="154"/>
      <c r="AL298" s="154"/>
      <c r="AM298" s="154"/>
      <c r="AN298" s="129"/>
      <c r="AO298" s="130"/>
      <c r="AP298" s="409"/>
      <c r="AQ298" s="154"/>
      <c r="AR298" s="154"/>
      <c r="AS298" s="154"/>
      <c r="AT298" s="129"/>
      <c r="AU298" s="130"/>
      <c r="AV298" s="409"/>
      <c r="AW298" s="154"/>
      <c r="AX298" s="154"/>
      <c r="AY298" s="154"/>
      <c r="AZ298" s="129"/>
      <c r="BA298" s="130"/>
    </row>
    <row r="299" spans="1:53" s="158" customFormat="1" ht="17.100000000000001" customHeight="1" x14ac:dyDescent="0.25">
      <c r="A299" s="967"/>
      <c r="B299" s="102"/>
      <c r="C299" s="119"/>
      <c r="D299" s="535" t="s">
        <v>429</v>
      </c>
      <c r="E299" s="142"/>
      <c r="F299" s="143"/>
      <c r="G299" s="143"/>
      <c r="H299" s="182"/>
      <c r="I299" s="240"/>
      <c r="J299" s="527">
        <f>IF(J291&gt;0,1.5,"")</f>
        <v>1.5</v>
      </c>
      <c r="K299" s="527" t="str">
        <f t="shared" ref="K299:L299" si="392">IF(K291&gt;0,1.5,"")</f>
        <v/>
      </c>
      <c r="L299" s="527">
        <f t="shared" si="392"/>
        <v>1.5</v>
      </c>
      <c r="M299" s="154"/>
      <c r="N299" s="154"/>
      <c r="O299" s="154"/>
      <c r="P299" s="154"/>
      <c r="Q299" s="154"/>
      <c r="R299" s="154"/>
      <c r="S299" s="154"/>
      <c r="T299" s="154"/>
      <c r="U299" s="154"/>
      <c r="V299" s="159"/>
      <c r="W299" s="387"/>
      <c r="X299" s="154"/>
      <c r="Y299" s="129"/>
      <c r="Z299" s="130"/>
      <c r="AA299" s="130"/>
      <c r="AB299" s="130"/>
      <c r="AC299" s="125"/>
      <c r="AE299" s="154"/>
      <c r="AF299" s="154"/>
      <c r="AG299" s="154"/>
      <c r="AH299" s="129"/>
      <c r="AI299" s="130"/>
      <c r="AJ299" s="409"/>
      <c r="AK299" s="154"/>
      <c r="AL299" s="154"/>
      <c r="AM299" s="154"/>
      <c r="AN299" s="129"/>
      <c r="AO299" s="130"/>
      <c r="AP299" s="409"/>
      <c r="AQ299" s="154"/>
      <c r="AR299" s="154"/>
      <c r="AS299" s="154"/>
      <c r="AT299" s="129"/>
      <c r="AU299" s="130"/>
      <c r="AV299" s="409"/>
      <c r="AW299" s="154"/>
      <c r="AX299" s="154"/>
      <c r="AY299" s="154"/>
      <c r="AZ299" s="129"/>
      <c r="BA299" s="130"/>
    </row>
    <row r="300" spans="1:53" s="158" customFormat="1" ht="17.100000000000001" customHeight="1" x14ac:dyDescent="0.25">
      <c r="A300" s="967"/>
      <c r="B300" s="102"/>
      <c r="C300" s="119"/>
      <c r="D300" s="535" t="s">
        <v>430</v>
      </c>
      <c r="E300" s="142"/>
      <c r="F300" s="143"/>
      <c r="G300" s="143"/>
      <c r="H300" s="182"/>
      <c r="I300" s="240"/>
      <c r="J300" s="527">
        <f>IF(J292&gt;0,3.5,"")</f>
        <v>3.5</v>
      </c>
      <c r="K300" s="527">
        <f t="shared" ref="K300:L300" si="393">IF(K292&gt;0,3.5,"")</f>
        <v>3.5</v>
      </c>
      <c r="L300" s="527">
        <f t="shared" si="393"/>
        <v>3.5</v>
      </c>
      <c r="M300" s="154"/>
      <c r="N300" s="154"/>
      <c r="O300" s="154"/>
      <c r="P300" s="154"/>
      <c r="Q300" s="154"/>
      <c r="R300" s="154"/>
      <c r="S300" s="154"/>
      <c r="T300" s="154"/>
      <c r="U300" s="154"/>
      <c r="V300" s="159"/>
      <c r="W300" s="387"/>
      <c r="X300" s="154"/>
      <c r="Y300" s="129"/>
      <c r="Z300" s="130"/>
      <c r="AA300" s="130"/>
      <c r="AB300" s="130"/>
      <c r="AC300" s="125"/>
      <c r="AE300" s="154"/>
      <c r="AF300" s="154"/>
      <c r="AG300" s="154"/>
      <c r="AH300" s="129"/>
      <c r="AI300" s="130"/>
      <c r="AJ300" s="409"/>
      <c r="AK300" s="154"/>
      <c r="AL300" s="154"/>
      <c r="AM300" s="154"/>
      <c r="AN300" s="129"/>
      <c r="AO300" s="130"/>
      <c r="AP300" s="409"/>
      <c r="AQ300" s="154"/>
      <c r="AR300" s="154"/>
      <c r="AS300" s="154"/>
      <c r="AT300" s="129"/>
      <c r="AU300" s="130"/>
      <c r="AV300" s="409"/>
      <c r="AW300" s="154"/>
      <c r="AX300" s="154"/>
      <c r="AY300" s="154"/>
      <c r="AZ300" s="129"/>
      <c r="BA300" s="130"/>
    </row>
    <row r="301" spans="1:53" s="158" customFormat="1" ht="17.100000000000001" customHeight="1" x14ac:dyDescent="0.25">
      <c r="A301" s="967"/>
      <c r="B301" s="102"/>
      <c r="C301" s="119"/>
      <c r="D301" s="535" t="s">
        <v>431</v>
      </c>
      <c r="E301" s="142"/>
      <c r="F301" s="143"/>
      <c r="G301" s="143"/>
      <c r="H301" s="182"/>
      <c r="I301" s="240"/>
      <c r="J301" s="527">
        <f>IF(J293&gt;0,7.5,"")</f>
        <v>7.5</v>
      </c>
      <c r="K301" s="527" t="str">
        <f t="shared" ref="K301:L301" si="394">IF(K293&gt;0,7.5,"")</f>
        <v/>
      </c>
      <c r="L301" s="527">
        <f t="shared" si="394"/>
        <v>7.5</v>
      </c>
      <c r="M301" s="154"/>
      <c r="N301" s="154"/>
      <c r="O301" s="154"/>
      <c r="P301" s="154"/>
      <c r="Q301" s="154"/>
      <c r="R301" s="154"/>
      <c r="S301" s="154"/>
      <c r="T301" s="154"/>
      <c r="U301" s="154"/>
      <c r="V301" s="159"/>
      <c r="W301" s="387"/>
      <c r="X301" s="154"/>
      <c r="Y301" s="129"/>
      <c r="Z301" s="130"/>
      <c r="AA301" s="130"/>
      <c r="AB301" s="130"/>
      <c r="AC301" s="125"/>
      <c r="AE301" s="154"/>
      <c r="AF301" s="154"/>
      <c r="AG301" s="154"/>
      <c r="AH301" s="129"/>
      <c r="AI301" s="130"/>
      <c r="AJ301" s="409"/>
      <c r="AK301" s="154"/>
      <c r="AL301" s="154"/>
      <c r="AM301" s="154"/>
      <c r="AN301" s="129"/>
      <c r="AO301" s="130"/>
      <c r="AP301" s="409"/>
      <c r="AQ301" s="154"/>
      <c r="AR301" s="154"/>
      <c r="AS301" s="154"/>
      <c r="AT301" s="129"/>
      <c r="AU301" s="130"/>
      <c r="AV301" s="409"/>
      <c r="AW301" s="154"/>
      <c r="AX301" s="154"/>
      <c r="AY301" s="154"/>
      <c r="AZ301" s="129"/>
      <c r="BA301" s="130"/>
    </row>
    <row r="302" spans="1:53" s="158" customFormat="1" ht="17.100000000000001" customHeight="1" x14ac:dyDescent="0.25">
      <c r="A302" s="967"/>
      <c r="B302" s="102"/>
      <c r="C302" s="119"/>
      <c r="D302" s="535" t="s">
        <v>432</v>
      </c>
      <c r="E302" s="142"/>
      <c r="F302" s="143"/>
      <c r="G302" s="143"/>
      <c r="H302" s="182"/>
      <c r="I302" s="240"/>
      <c r="J302" s="527" t="str">
        <f>IF(J294&gt;0,12.5,"")</f>
        <v/>
      </c>
      <c r="K302" s="527" t="str">
        <f t="shared" ref="K302:L302" si="395">IF(K294&gt;0,12.5,"")</f>
        <v/>
      </c>
      <c r="L302" s="527">
        <f t="shared" si="395"/>
        <v>12.5</v>
      </c>
      <c r="M302" s="154"/>
      <c r="N302" s="154"/>
      <c r="O302" s="154"/>
      <c r="P302" s="154"/>
      <c r="Q302" s="154"/>
      <c r="R302" s="154"/>
      <c r="S302" s="154"/>
      <c r="T302" s="154"/>
      <c r="U302" s="154"/>
      <c r="V302" s="159"/>
      <c r="W302" s="387"/>
      <c r="X302" s="154"/>
      <c r="Y302" s="129"/>
      <c r="Z302" s="130"/>
      <c r="AA302" s="130"/>
      <c r="AB302" s="130"/>
      <c r="AC302" s="125"/>
      <c r="AE302" s="154"/>
      <c r="AF302" s="154"/>
      <c r="AG302" s="154"/>
      <c r="AH302" s="129"/>
      <c r="AI302" s="130"/>
      <c r="AJ302" s="409"/>
      <c r="AK302" s="154"/>
      <c r="AL302" s="154"/>
      <c r="AM302" s="154"/>
      <c r="AN302" s="129"/>
      <c r="AO302" s="130"/>
      <c r="AP302" s="409"/>
      <c r="AQ302" s="154"/>
      <c r="AR302" s="154"/>
      <c r="AS302" s="154"/>
      <c r="AT302" s="129"/>
      <c r="AU302" s="130"/>
      <c r="AV302" s="409"/>
      <c r="AW302" s="154"/>
      <c r="AX302" s="154"/>
      <c r="AY302" s="154"/>
      <c r="AZ302" s="129"/>
      <c r="BA302" s="130"/>
    </row>
    <row r="303" spans="1:53" s="158" customFormat="1" ht="17.100000000000001" customHeight="1" x14ac:dyDescent="0.25">
      <c r="A303" s="967"/>
      <c r="B303" s="102"/>
      <c r="C303" s="119"/>
      <c r="D303" s="535" t="s">
        <v>959</v>
      </c>
      <c r="E303" s="142"/>
      <c r="F303" s="143"/>
      <c r="G303" s="143"/>
      <c r="H303" s="182"/>
      <c r="I303" s="240"/>
      <c r="J303" s="154"/>
      <c r="K303" s="154"/>
      <c r="L303" s="154"/>
      <c r="M303" s="154"/>
      <c r="N303" s="154"/>
      <c r="O303" s="154"/>
      <c r="P303" s="154"/>
      <c r="Q303" s="154"/>
      <c r="R303" s="154"/>
      <c r="S303" s="154"/>
      <c r="T303" s="154"/>
      <c r="U303" s="154"/>
      <c r="V303" s="159"/>
      <c r="W303" s="387"/>
      <c r="X303" s="154"/>
      <c r="Y303" s="129"/>
      <c r="Z303" s="130"/>
      <c r="AA303" s="130"/>
      <c r="AB303" s="130"/>
      <c r="AC303" s="125"/>
      <c r="AE303" s="154"/>
      <c r="AF303" s="154"/>
      <c r="AG303" s="154"/>
      <c r="AH303" s="129"/>
      <c r="AI303" s="130"/>
      <c r="AJ303" s="409"/>
      <c r="AK303" s="154"/>
      <c r="AL303" s="154"/>
      <c r="AM303" s="154"/>
      <c r="AN303" s="129"/>
      <c r="AO303" s="130"/>
      <c r="AP303" s="409"/>
      <c r="AQ303" s="154"/>
      <c r="AR303" s="154"/>
      <c r="AS303" s="154"/>
      <c r="AT303" s="129"/>
      <c r="AU303" s="130"/>
      <c r="AV303" s="409"/>
      <c r="AW303" s="154"/>
      <c r="AX303" s="154"/>
      <c r="AY303" s="154"/>
      <c r="AZ303" s="129"/>
      <c r="BA303" s="130"/>
    </row>
    <row r="304" spans="1:53" s="158" customFormat="1" ht="17.100000000000001" customHeight="1" x14ac:dyDescent="0.25">
      <c r="A304" s="967"/>
      <c r="B304" s="102"/>
      <c r="C304" s="119"/>
      <c r="D304" s="535" t="s">
        <v>961</v>
      </c>
      <c r="E304" s="142"/>
      <c r="F304" s="555"/>
      <c r="G304" s="555"/>
      <c r="H304" s="182"/>
      <c r="I304" s="240"/>
      <c r="J304" s="533">
        <f>J290*0.75</f>
        <v>9</v>
      </c>
      <c r="K304" s="533">
        <f>K290*0.75</f>
        <v>6.75</v>
      </c>
      <c r="L304" s="533">
        <f>L290*0.75</f>
        <v>39</v>
      </c>
      <c r="M304" s="154"/>
      <c r="N304" s="154"/>
      <c r="O304" s="154"/>
      <c r="P304" s="154"/>
      <c r="Q304" s="154"/>
      <c r="R304" s="154"/>
      <c r="S304" s="154"/>
      <c r="T304" s="154"/>
      <c r="U304" s="154"/>
      <c r="V304" s="159"/>
      <c r="W304" s="387"/>
      <c r="X304" s="154"/>
      <c r="Y304" s="129"/>
      <c r="Z304" s="130"/>
      <c r="AA304" s="130"/>
      <c r="AB304" s="130"/>
      <c r="AC304" s="125"/>
      <c r="AE304" s="154"/>
      <c r="AF304" s="154"/>
      <c r="AG304" s="154"/>
      <c r="AH304" s="129"/>
      <c r="AI304" s="130"/>
      <c r="AJ304" s="409"/>
      <c r="AK304" s="154"/>
      <c r="AL304" s="154"/>
      <c r="AM304" s="154"/>
      <c r="AN304" s="129"/>
      <c r="AO304" s="130"/>
      <c r="AP304" s="409"/>
      <c r="AQ304" s="154"/>
      <c r="AR304" s="154"/>
      <c r="AS304" s="154"/>
      <c r="AT304" s="129"/>
      <c r="AU304" s="130"/>
      <c r="AV304" s="409"/>
      <c r="AW304" s="154"/>
      <c r="AX304" s="154"/>
      <c r="AY304" s="154"/>
      <c r="AZ304" s="129"/>
      <c r="BA304" s="130"/>
    </row>
    <row r="305" spans="1:53" s="158" customFormat="1" ht="17.100000000000001" customHeight="1" x14ac:dyDescent="0.25">
      <c r="A305" s="967"/>
      <c r="B305" s="102"/>
      <c r="C305" s="119"/>
      <c r="D305" s="535" t="s">
        <v>960</v>
      </c>
      <c r="E305" s="142"/>
      <c r="F305" s="143"/>
      <c r="G305" s="143"/>
      <c r="H305" s="182"/>
      <c r="I305" s="240"/>
      <c r="J305" s="533">
        <f>J291*1.5</f>
        <v>1.5</v>
      </c>
      <c r="K305" s="533">
        <f>K291*1.5</f>
        <v>0</v>
      </c>
      <c r="L305" s="533">
        <f>L291*1.5</f>
        <v>58.5</v>
      </c>
      <c r="M305" s="154"/>
      <c r="N305" s="154"/>
      <c r="O305" s="154"/>
      <c r="P305" s="154"/>
      <c r="Q305" s="154"/>
      <c r="R305" s="154"/>
      <c r="S305" s="154"/>
      <c r="T305" s="154"/>
      <c r="U305" s="154"/>
      <c r="V305" s="154"/>
      <c r="W305" s="387"/>
      <c r="X305" s="154"/>
      <c r="Y305" s="129"/>
      <c r="Z305" s="130"/>
      <c r="AA305" s="130"/>
      <c r="AB305" s="130"/>
      <c r="AC305" s="125"/>
      <c r="AE305" s="154"/>
      <c r="AF305" s="154"/>
      <c r="AG305" s="154"/>
      <c r="AH305" s="129"/>
      <c r="AI305" s="130"/>
      <c r="AJ305" s="409"/>
      <c r="AK305" s="154"/>
      <c r="AL305" s="154"/>
      <c r="AM305" s="154"/>
      <c r="AN305" s="129"/>
      <c r="AO305" s="130"/>
      <c r="AP305" s="409"/>
      <c r="AQ305" s="154"/>
      <c r="AR305" s="154"/>
      <c r="AS305" s="154"/>
      <c r="AT305" s="129"/>
      <c r="AU305" s="130"/>
      <c r="AV305" s="409"/>
      <c r="AW305" s="154"/>
      <c r="AX305" s="154"/>
      <c r="AY305" s="154"/>
      <c r="AZ305" s="129"/>
      <c r="BA305" s="130"/>
    </row>
    <row r="306" spans="1:53" s="158" customFormat="1" ht="17.100000000000001" customHeight="1" x14ac:dyDescent="0.25">
      <c r="A306" s="967"/>
      <c r="B306" s="102"/>
      <c r="C306" s="119"/>
      <c r="D306" s="535" t="s">
        <v>962</v>
      </c>
      <c r="E306" s="142"/>
      <c r="F306" s="143"/>
      <c r="G306" s="143"/>
      <c r="H306" s="182"/>
      <c r="I306" s="240"/>
      <c r="J306" s="533">
        <f>J292*3.5</f>
        <v>3.5</v>
      </c>
      <c r="K306" s="533">
        <f>K292*3.5</f>
        <v>10.5</v>
      </c>
      <c r="L306" s="533">
        <f>L292*3.5</f>
        <v>238</v>
      </c>
      <c r="M306" s="154"/>
      <c r="N306" s="154"/>
      <c r="O306" s="154"/>
      <c r="P306" s="154"/>
      <c r="Q306" s="154"/>
      <c r="R306" s="154"/>
      <c r="S306" s="154"/>
      <c r="T306" s="154"/>
      <c r="U306" s="154"/>
      <c r="V306" s="154"/>
      <c r="W306" s="387"/>
      <c r="X306" s="154"/>
      <c r="Y306" s="129"/>
      <c r="Z306" s="130"/>
      <c r="AA306" s="130"/>
      <c r="AB306" s="130"/>
      <c r="AC306" s="125"/>
      <c r="AE306" s="154"/>
      <c r="AF306" s="154"/>
      <c r="AG306" s="154"/>
      <c r="AH306" s="129"/>
      <c r="AI306" s="130"/>
      <c r="AJ306" s="409"/>
      <c r="AK306" s="154"/>
      <c r="AL306" s="154"/>
      <c r="AM306" s="154"/>
      <c r="AN306" s="129"/>
      <c r="AO306" s="130"/>
      <c r="AP306" s="409"/>
      <c r="AQ306" s="154"/>
      <c r="AR306" s="154"/>
      <c r="AS306" s="154"/>
      <c r="AT306" s="129"/>
      <c r="AU306" s="130"/>
      <c r="AV306" s="409"/>
      <c r="AW306" s="154"/>
      <c r="AX306" s="154"/>
      <c r="AY306" s="154"/>
      <c r="AZ306" s="129"/>
      <c r="BA306" s="130"/>
    </row>
    <row r="307" spans="1:53" s="158" customFormat="1" ht="17.100000000000001" customHeight="1" x14ac:dyDescent="0.25">
      <c r="A307" s="967"/>
      <c r="B307" s="102"/>
      <c r="C307" s="119"/>
      <c r="D307" s="535" t="s">
        <v>963</v>
      </c>
      <c r="E307" s="142"/>
      <c r="F307" s="143"/>
      <c r="G307" s="143"/>
      <c r="H307" s="182"/>
      <c r="I307" s="240"/>
      <c r="J307" s="533">
        <f>J293*7.5</f>
        <v>15</v>
      </c>
      <c r="K307" s="533">
        <f>K293*7.5</f>
        <v>0</v>
      </c>
      <c r="L307" s="533">
        <f>L293*7.5</f>
        <v>375</v>
      </c>
      <c r="M307" s="154"/>
      <c r="N307" s="154"/>
      <c r="O307" s="154"/>
      <c r="P307" s="154"/>
      <c r="Q307" s="154"/>
      <c r="R307" s="154"/>
      <c r="S307" s="154"/>
      <c r="T307" s="154"/>
      <c r="U307" s="154"/>
      <c r="V307" s="154"/>
      <c r="W307" s="387"/>
      <c r="X307" s="154"/>
      <c r="Y307" s="129"/>
      <c r="Z307" s="130"/>
      <c r="AA307" s="130"/>
      <c r="AB307" s="130"/>
      <c r="AC307" s="125"/>
      <c r="AE307" s="154"/>
      <c r="AF307" s="154"/>
      <c r="AG307" s="154"/>
      <c r="AH307" s="129"/>
      <c r="AI307" s="130"/>
      <c r="AJ307" s="409"/>
      <c r="AK307" s="154"/>
      <c r="AL307" s="154"/>
      <c r="AM307" s="154"/>
      <c r="AN307" s="129"/>
      <c r="AO307" s="130"/>
      <c r="AP307" s="409"/>
      <c r="AQ307" s="154"/>
      <c r="AR307" s="154"/>
      <c r="AS307" s="154"/>
      <c r="AT307" s="129"/>
      <c r="AU307" s="130"/>
      <c r="AV307" s="409"/>
      <c r="AW307" s="154"/>
      <c r="AX307" s="154"/>
      <c r="AY307" s="154"/>
      <c r="AZ307" s="129"/>
      <c r="BA307" s="130"/>
    </row>
    <row r="308" spans="1:53" s="158" customFormat="1" ht="17.100000000000001" customHeight="1" x14ac:dyDescent="0.25">
      <c r="A308" s="967"/>
      <c r="B308" s="102"/>
      <c r="C308" s="119"/>
      <c r="D308" s="535" t="s">
        <v>964</v>
      </c>
      <c r="E308" s="142"/>
      <c r="F308" s="143"/>
      <c r="G308" s="143"/>
      <c r="H308" s="182"/>
      <c r="I308" s="240"/>
      <c r="J308" s="533">
        <f>J294*12.5</f>
        <v>0</v>
      </c>
      <c r="K308" s="533">
        <f>K294*12.5</f>
        <v>0</v>
      </c>
      <c r="L308" s="533">
        <f>L294*12.5</f>
        <v>312.5</v>
      </c>
      <c r="M308" s="154"/>
      <c r="N308" s="154"/>
      <c r="O308" s="154"/>
      <c r="P308" s="154"/>
      <c r="Q308" s="154"/>
      <c r="R308" s="154"/>
      <c r="S308" s="154"/>
      <c r="T308" s="154"/>
      <c r="U308" s="154"/>
      <c r="V308" s="154"/>
      <c r="W308" s="387"/>
      <c r="X308" s="154"/>
      <c r="Y308" s="129"/>
      <c r="Z308" s="130"/>
      <c r="AA308" s="130"/>
      <c r="AB308" s="130"/>
      <c r="AC308" s="125"/>
      <c r="AE308" s="154"/>
      <c r="AF308" s="154"/>
      <c r="AG308" s="154"/>
      <c r="AH308" s="129"/>
      <c r="AI308" s="130"/>
      <c r="AJ308" s="409"/>
      <c r="AK308" s="154"/>
      <c r="AL308" s="154"/>
      <c r="AM308" s="154"/>
      <c r="AN308" s="129"/>
      <c r="AO308" s="130"/>
      <c r="AP308" s="409"/>
      <c r="AQ308" s="154"/>
      <c r="AR308" s="154"/>
      <c r="AS308" s="154"/>
      <c r="AT308" s="129"/>
      <c r="AU308" s="130"/>
      <c r="AV308" s="409"/>
      <c r="AW308" s="154"/>
      <c r="AX308" s="154"/>
      <c r="AY308" s="154"/>
      <c r="AZ308" s="129"/>
      <c r="BA308" s="130"/>
    </row>
    <row r="309" spans="1:53" s="158" customFormat="1" ht="17.100000000000001" customHeight="1" x14ac:dyDescent="0.25">
      <c r="A309" s="967"/>
      <c r="B309" s="102"/>
      <c r="C309" s="119"/>
      <c r="D309" s="535" t="s">
        <v>922</v>
      </c>
      <c r="E309" s="142"/>
      <c r="F309" s="143"/>
      <c r="G309" s="143"/>
      <c r="H309" s="182"/>
      <c r="I309" s="240"/>
      <c r="J309" s="533">
        <f>SUM(J304:J308)</f>
        <v>29</v>
      </c>
      <c r="K309" s="533">
        <f t="shared" ref="K309:L309" si="396">SUM(K304:K308)</f>
        <v>17.25</v>
      </c>
      <c r="L309" s="533">
        <f t="shared" si="396"/>
        <v>1023</v>
      </c>
      <c r="M309" s="154"/>
      <c r="N309" s="154"/>
      <c r="O309" s="154"/>
      <c r="P309" s="154"/>
      <c r="Q309" s="154"/>
      <c r="R309" s="154"/>
      <c r="S309" s="154"/>
      <c r="T309" s="154"/>
      <c r="U309" s="154"/>
      <c r="V309" s="154"/>
      <c r="W309" s="387"/>
      <c r="X309" s="154"/>
      <c r="Y309" s="129"/>
      <c r="Z309" s="130"/>
      <c r="AA309" s="130"/>
      <c r="AB309" s="130"/>
      <c r="AC309" s="125"/>
      <c r="AE309" s="154"/>
      <c r="AF309" s="154"/>
      <c r="AG309" s="154"/>
      <c r="AH309" s="129"/>
      <c r="AI309" s="130"/>
      <c r="AJ309" s="409"/>
      <c r="AK309" s="154"/>
      <c r="AL309" s="154"/>
      <c r="AM309" s="154"/>
      <c r="AN309" s="129"/>
      <c r="AO309" s="130"/>
      <c r="AP309" s="409"/>
      <c r="AQ309" s="154"/>
      <c r="AR309" s="154"/>
      <c r="AS309" s="154"/>
      <c r="AT309" s="129"/>
      <c r="AU309" s="130"/>
      <c r="AV309" s="409"/>
      <c r="AW309" s="154"/>
      <c r="AX309" s="154"/>
      <c r="AY309" s="154"/>
      <c r="AZ309" s="129"/>
      <c r="BA309" s="130"/>
    </row>
    <row r="310" spans="1:53" s="409" customFormat="1" ht="17.100000000000001" customHeight="1" x14ac:dyDescent="0.25">
      <c r="A310" s="967"/>
      <c r="B310" s="928"/>
      <c r="C310" s="928"/>
      <c r="D310" s="461" t="s">
        <v>980</v>
      </c>
      <c r="E310" s="556"/>
      <c r="F310" s="92"/>
      <c r="G310" s="92"/>
      <c r="H310" s="182"/>
      <c r="I310" s="240"/>
      <c r="J310" s="537">
        <f>IF(SUM(J298:J302)=0,"",MIN(J298:J302))</f>
        <v>0.75</v>
      </c>
      <c r="K310" s="537">
        <f t="shared" ref="K310:L310" si="397">IF(SUM(K298:K302)=0,"",MIN(K298:K302))</f>
        <v>0.75</v>
      </c>
      <c r="L310" s="537">
        <f t="shared" si="397"/>
        <v>0.75</v>
      </c>
      <c r="M310" s="155"/>
      <c r="N310" s="155"/>
      <c r="O310" s="155"/>
      <c r="P310" s="155"/>
      <c r="Q310" s="155"/>
      <c r="R310" s="155"/>
      <c r="S310" s="155"/>
      <c r="T310" s="155"/>
      <c r="U310" s="155"/>
      <c r="V310" s="155"/>
      <c r="W310" s="388"/>
      <c r="X310" s="155"/>
      <c r="Y310" s="927"/>
      <c r="Z310" s="201"/>
      <c r="AA310" s="537">
        <f t="shared" ref="AA310:AA311" si="398">MIN(J310:L310)</f>
        <v>0.75</v>
      </c>
      <c r="AB310" s="537">
        <f t="shared" ref="AB310:AB311" si="399">MAX(J310:L310)</f>
        <v>0.75</v>
      </c>
      <c r="AC310" s="537">
        <f t="shared" ref="AC310:AC311" si="400">IF(SUM(J310:L310)=0,0,AVERAGE(J310:L310))</f>
        <v>0.75</v>
      </c>
      <c r="AE310" s="155"/>
      <c r="AF310" s="155"/>
      <c r="AG310" s="155"/>
      <c r="AH310" s="927"/>
      <c r="AI310" s="201"/>
      <c r="AK310" s="155"/>
      <c r="AL310" s="155"/>
      <c r="AM310" s="155"/>
      <c r="AN310" s="927"/>
      <c r="AO310" s="201"/>
      <c r="AQ310" s="968">
        <f t="shared" ref="AQ310:AQ311" si="401">MIN(J310,K310)</f>
        <v>0.75</v>
      </c>
      <c r="AR310" s="537">
        <f t="shared" ref="AR310:AR311" si="402">MAX(J310:K310)</f>
        <v>0.75</v>
      </c>
      <c r="AS310" s="537"/>
      <c r="AT310" s="927"/>
      <c r="AU310" s="201"/>
      <c r="AW310" s="968">
        <f t="shared" ref="AW310:AW311" si="403">L310</f>
        <v>0.75</v>
      </c>
      <c r="AX310" s="537">
        <f t="shared" ref="AX310:AX311" si="404">L310</f>
        <v>0.75</v>
      </c>
      <c r="AY310" s="537"/>
      <c r="AZ310" s="927"/>
      <c r="BA310" s="201"/>
    </row>
    <row r="311" spans="1:53" s="409" customFormat="1" ht="17.100000000000001" customHeight="1" x14ac:dyDescent="0.25">
      <c r="A311" s="967"/>
      <c r="B311" s="928"/>
      <c r="C311" s="928"/>
      <c r="D311" s="461" t="s">
        <v>979</v>
      </c>
      <c r="E311" s="556"/>
      <c r="F311" s="92"/>
      <c r="G311" s="92"/>
      <c r="H311" s="182"/>
      <c r="I311" s="240"/>
      <c r="J311" s="537">
        <f>IF(SUM(J298:J302)=0,"",MAX(J298:J302))</f>
        <v>7.5</v>
      </c>
      <c r="K311" s="537">
        <f t="shared" ref="K311:L311" si="405">IF(SUM(K298:K302)=0,"",MAX(K298:K302))</f>
        <v>3.5</v>
      </c>
      <c r="L311" s="537">
        <f t="shared" si="405"/>
        <v>12.5</v>
      </c>
      <c r="M311" s="155"/>
      <c r="N311" s="155"/>
      <c r="O311" s="155"/>
      <c r="P311" s="155"/>
      <c r="Q311" s="155"/>
      <c r="R311" s="155"/>
      <c r="S311" s="155"/>
      <c r="T311" s="155"/>
      <c r="U311" s="155"/>
      <c r="V311" s="155"/>
      <c r="W311" s="388"/>
      <c r="X311" s="155"/>
      <c r="Y311" s="927"/>
      <c r="Z311" s="201"/>
      <c r="AA311" s="537">
        <f t="shared" si="398"/>
        <v>3.5</v>
      </c>
      <c r="AB311" s="537">
        <f t="shared" si="399"/>
        <v>12.5</v>
      </c>
      <c r="AC311" s="537">
        <f t="shared" si="400"/>
        <v>7.833333333333333</v>
      </c>
      <c r="AE311" s="155"/>
      <c r="AF311" s="155"/>
      <c r="AG311" s="155"/>
      <c r="AH311" s="927"/>
      <c r="AI311" s="201"/>
      <c r="AK311" s="155"/>
      <c r="AL311" s="155"/>
      <c r="AM311" s="155"/>
      <c r="AN311" s="927"/>
      <c r="AO311" s="201"/>
      <c r="AQ311" s="537">
        <f t="shared" si="401"/>
        <v>3.5</v>
      </c>
      <c r="AR311" s="968">
        <f t="shared" si="402"/>
        <v>7.5</v>
      </c>
      <c r="AS311" s="537"/>
      <c r="AT311" s="927"/>
      <c r="AU311" s="201"/>
      <c r="AW311" s="537">
        <f t="shared" si="403"/>
        <v>12.5</v>
      </c>
      <c r="AX311" s="968">
        <f t="shared" si="404"/>
        <v>12.5</v>
      </c>
      <c r="AY311" s="537"/>
      <c r="AZ311" s="927"/>
      <c r="BA311" s="201"/>
    </row>
    <row r="312" spans="1:53" s="409" customFormat="1" ht="17.100000000000001" customHeight="1" x14ac:dyDescent="0.25">
      <c r="A312" s="967"/>
      <c r="B312" s="928"/>
      <c r="C312" s="928"/>
      <c r="D312" s="461" t="s">
        <v>974</v>
      </c>
      <c r="E312" s="556"/>
      <c r="F312" s="92"/>
      <c r="G312" s="92"/>
      <c r="H312" s="182"/>
      <c r="I312" s="240"/>
      <c r="J312" s="537">
        <f>IF(J296=0,"",J309/J296)</f>
        <v>1.8125</v>
      </c>
      <c r="K312" s="537">
        <f t="shared" ref="K312:L312" si="406">IF(K296=0,"",K309/K296)</f>
        <v>1.4375</v>
      </c>
      <c r="L312" s="537">
        <f t="shared" si="406"/>
        <v>4.3717948717948714</v>
      </c>
      <c r="M312" s="155"/>
      <c r="N312" s="155"/>
      <c r="O312" s="155"/>
      <c r="P312" s="155"/>
      <c r="Q312" s="155"/>
      <c r="R312" s="155"/>
      <c r="S312" s="155"/>
      <c r="T312" s="155"/>
      <c r="U312" s="155"/>
      <c r="V312" s="155"/>
      <c r="W312" s="388"/>
      <c r="X312" s="155"/>
      <c r="Y312" s="927"/>
      <c r="Z312" s="201"/>
      <c r="AA312" s="537">
        <f>MIN(J312:L312)</f>
        <v>1.4375</v>
      </c>
      <c r="AB312" s="537">
        <f>MAX(J312:L312)</f>
        <v>4.3717948717948714</v>
      </c>
      <c r="AC312" s="537">
        <f>IF(SUM(J312:L312)=0,0,AVERAGE(J312:L312))</f>
        <v>2.5405982905982905</v>
      </c>
      <c r="AE312" s="537">
        <f>J312</f>
        <v>1.8125</v>
      </c>
      <c r="AF312" s="537">
        <f>J312</f>
        <v>1.8125</v>
      </c>
      <c r="AG312" s="537">
        <f>J312</f>
        <v>1.8125</v>
      </c>
      <c r="AH312" s="927"/>
      <c r="AI312" s="201"/>
      <c r="AK312" s="537">
        <f>K312</f>
        <v>1.4375</v>
      </c>
      <c r="AL312" s="537">
        <f>K312</f>
        <v>1.4375</v>
      </c>
      <c r="AM312" s="537">
        <f>K312</f>
        <v>1.4375</v>
      </c>
      <c r="AN312" s="927"/>
      <c r="AO312" s="201"/>
      <c r="AQ312" s="537">
        <f>MIN(J312,K312)</f>
        <v>1.4375</v>
      </c>
      <c r="AR312" s="537">
        <f>MAX(J312:K312)</f>
        <v>1.8125</v>
      </c>
      <c r="AS312" s="968">
        <f>IF(SUM(J312:K312)=0,0,AVERAGE(J312:K312))</f>
        <v>1.625</v>
      </c>
      <c r="AT312" s="927"/>
      <c r="AU312" s="201"/>
      <c r="AW312" s="537">
        <f>L312</f>
        <v>4.3717948717948714</v>
      </c>
      <c r="AX312" s="537">
        <f>L312</f>
        <v>4.3717948717948714</v>
      </c>
      <c r="AY312" s="968">
        <f>L312</f>
        <v>4.3717948717948714</v>
      </c>
      <c r="AZ312" s="927"/>
      <c r="BA312" s="201"/>
    </row>
    <row r="313" spans="1:53" s="97" customFormat="1" ht="17.100000000000001" customHeight="1" x14ac:dyDescent="0.25">
      <c r="A313" s="68"/>
      <c r="B313" s="68"/>
      <c r="C313" s="165"/>
      <c r="D313" s="166"/>
      <c r="E313" s="166"/>
      <c r="F313" s="166"/>
      <c r="G313" s="166"/>
      <c r="H313" s="165"/>
      <c r="I313" s="12"/>
      <c r="J313" s="558"/>
      <c r="K313" s="94"/>
      <c r="L313" s="95"/>
      <c r="M313" s="95"/>
      <c r="N313" s="95"/>
      <c r="O313" s="95"/>
      <c r="P313" s="95"/>
      <c r="Q313" s="95"/>
      <c r="R313" s="95"/>
      <c r="S313" s="95"/>
      <c r="T313" s="95"/>
      <c r="U313" s="95"/>
      <c r="V313" s="95"/>
      <c r="W313" s="378"/>
      <c r="X313" s="95"/>
      <c r="Y313" s="96"/>
      <c r="AE313" s="109"/>
      <c r="AF313" s="109"/>
      <c r="AG313" s="109"/>
      <c r="AH313" s="96"/>
      <c r="AK313" s="109"/>
      <c r="AL313" s="109"/>
      <c r="AM313" s="109"/>
      <c r="AN313" s="96"/>
      <c r="AQ313" s="109"/>
      <c r="AR313" s="109"/>
      <c r="AS313" s="109"/>
      <c r="AT313" s="96"/>
      <c r="AW313" s="109"/>
      <c r="AX313" s="109"/>
      <c r="AY313" s="109"/>
      <c r="AZ313" s="96"/>
    </row>
    <row r="314" spans="1:53" s="32" customFormat="1" ht="16.5" thickBot="1" x14ac:dyDescent="0.3">
      <c r="A314" s="24" t="s">
        <v>150</v>
      </c>
      <c r="B314" s="25" t="s">
        <v>151</v>
      </c>
      <c r="C314" s="26"/>
      <c r="D314" s="27"/>
      <c r="E314" s="27"/>
      <c r="F314" s="27"/>
      <c r="G314" s="28"/>
      <c r="H314" s="215"/>
      <c r="I314" s="228"/>
      <c r="J314" s="101"/>
      <c r="K314" s="101"/>
      <c r="L314" s="101"/>
      <c r="M314" s="101"/>
      <c r="N314" s="101"/>
      <c r="O314" s="101"/>
      <c r="P314" s="101"/>
      <c r="Q314" s="101"/>
      <c r="R314" s="101"/>
      <c r="S314" s="101"/>
      <c r="T314" s="101"/>
      <c r="U314" s="101"/>
      <c r="V314" s="357"/>
      <c r="W314" s="379"/>
      <c r="X314" s="101"/>
      <c r="Y314" s="30" t="s">
        <v>4</v>
      </c>
      <c r="Z314" s="31" t="s">
        <v>5</v>
      </c>
      <c r="AA314" s="31" t="s">
        <v>181</v>
      </c>
      <c r="AB314" s="31" t="s">
        <v>182</v>
      </c>
      <c r="AC314" s="24" t="s">
        <v>6</v>
      </c>
      <c r="AE314" s="33" t="s">
        <v>181</v>
      </c>
      <c r="AF314" s="33" t="s">
        <v>182</v>
      </c>
      <c r="AG314" s="33" t="s">
        <v>6</v>
      </c>
      <c r="AH314" s="33" t="s">
        <v>4</v>
      </c>
      <c r="AI314" s="34" t="s">
        <v>5</v>
      </c>
      <c r="AJ314" s="408"/>
      <c r="AK314" s="36" t="s">
        <v>181</v>
      </c>
      <c r="AL314" s="36" t="s">
        <v>182</v>
      </c>
      <c r="AM314" s="36" t="s">
        <v>6</v>
      </c>
      <c r="AN314" s="36" t="s">
        <v>4</v>
      </c>
      <c r="AO314" s="37" t="s">
        <v>5</v>
      </c>
      <c r="AP314" s="408"/>
      <c r="AQ314" s="36"/>
      <c r="AR314" s="36"/>
      <c r="AS314" s="36"/>
      <c r="AT314" s="36"/>
      <c r="AU314" s="37"/>
      <c r="AV314" s="408"/>
      <c r="AW314" s="38" t="s">
        <v>181</v>
      </c>
      <c r="AX314" s="38" t="s">
        <v>182</v>
      </c>
      <c r="AY314" s="38" t="s">
        <v>6</v>
      </c>
      <c r="AZ314" s="38" t="s">
        <v>4</v>
      </c>
      <c r="BA314" s="39" t="s">
        <v>5</v>
      </c>
    </row>
    <row r="315" spans="1:53" ht="17.100000000000001" customHeight="1" x14ac:dyDescent="0.25">
      <c r="A315" s="68"/>
      <c r="B315" s="41" t="s">
        <v>152</v>
      </c>
      <c r="C315" s="69" t="s">
        <v>433</v>
      </c>
      <c r="D315" s="50"/>
      <c r="E315" s="70"/>
      <c r="F315" s="70"/>
      <c r="G315" s="70"/>
      <c r="H315" s="263">
        <v>38</v>
      </c>
      <c r="J315" s="71"/>
      <c r="K315" s="71"/>
      <c r="L315" s="71"/>
      <c r="M315" s="71"/>
      <c r="N315" s="71"/>
      <c r="O315" s="71"/>
      <c r="P315" s="71"/>
      <c r="Q315" s="71"/>
      <c r="R315" s="71"/>
      <c r="S315" s="71"/>
      <c r="T315" s="71"/>
      <c r="U315" s="71"/>
      <c r="V315" s="355"/>
      <c r="W315" s="377"/>
      <c r="X315" s="71"/>
      <c r="Y315" s="72"/>
      <c r="Z315" s="73"/>
      <c r="AA315" s="73"/>
      <c r="AB315" s="73"/>
      <c r="AC315" s="73"/>
      <c r="AE315" s="71"/>
      <c r="AF315" s="71"/>
      <c r="AG315" s="71"/>
      <c r="AH315" s="72"/>
      <c r="AI315" s="73"/>
      <c r="AK315" s="71"/>
      <c r="AL315" s="71"/>
      <c r="AM315" s="71"/>
      <c r="AN315" s="72"/>
      <c r="AO315" s="73"/>
      <c r="AQ315" s="71"/>
      <c r="AR315" s="71"/>
      <c r="AS315" s="71"/>
      <c r="AT315" s="72"/>
      <c r="AU315" s="73"/>
      <c r="AW315" s="71"/>
      <c r="AX315" s="71"/>
      <c r="AY315" s="71"/>
      <c r="AZ315" s="72"/>
      <c r="BA315" s="73"/>
    </row>
    <row r="316" spans="1:53" s="4" customFormat="1" ht="17.100000000000001" customHeight="1" x14ac:dyDescent="0.25">
      <c r="A316" s="40"/>
      <c r="B316" s="40"/>
      <c r="C316" s="74" t="s">
        <v>153</v>
      </c>
      <c r="D316" s="85" t="s">
        <v>173</v>
      </c>
      <c r="E316" s="105"/>
      <c r="F316" s="105"/>
      <c r="G316" s="105"/>
      <c r="H316" s="119"/>
      <c r="I316" s="231"/>
      <c r="J316" s="581">
        <v>1</v>
      </c>
      <c r="K316" s="581"/>
      <c r="L316" s="582">
        <v>6</v>
      </c>
      <c r="M316" s="593">
        <f>SUM(J316:L316)</f>
        <v>7</v>
      </c>
      <c r="N316" s="111"/>
      <c r="O316" s="111"/>
      <c r="P316" s="111"/>
      <c r="Q316" s="111"/>
      <c r="R316" s="111"/>
      <c r="S316" s="111"/>
      <c r="T316" s="111"/>
      <c r="U316" s="111"/>
      <c r="V316" s="358"/>
      <c r="W316" s="391">
        <f t="shared" ref="W316:W322" si="407">J316+K316+N316+Q316+T316</f>
        <v>1</v>
      </c>
      <c r="X316" s="17">
        <f t="shared" ref="X316:X322" si="408">L316+O316+R316+U316</f>
        <v>6</v>
      </c>
      <c r="Y316" s="18">
        <f>SUM(W316:X316)</f>
        <v>7</v>
      </c>
      <c r="Z316" s="19">
        <f>IF(Y$323=0,0,Y316/Y$323)</f>
        <v>1.2078346095942243E-6</v>
      </c>
      <c r="AA316" s="19"/>
      <c r="AB316" s="19"/>
      <c r="AC316" s="20"/>
      <c r="AE316" s="17"/>
      <c r="AF316" s="17"/>
      <c r="AG316" s="17"/>
      <c r="AH316" s="18">
        <f>J316</f>
        <v>1</v>
      </c>
      <c r="AI316" s="19">
        <f>IF(AH$323=0,0,AH316/AH$323)</f>
        <v>6.25E-2</v>
      </c>
      <c r="AJ316" s="97"/>
      <c r="AK316" s="17"/>
      <c r="AL316" s="17"/>
      <c r="AM316" s="17"/>
      <c r="AN316" s="18">
        <f>K316</f>
        <v>0</v>
      </c>
      <c r="AO316" s="19">
        <f>IF(AN$323=0,0,AN316/AN$323)</f>
        <v>0</v>
      </c>
      <c r="AP316" s="97"/>
      <c r="AQ316" s="17"/>
      <c r="AR316" s="17"/>
      <c r="AS316" s="17"/>
      <c r="AT316" s="18">
        <f>W316</f>
        <v>1</v>
      </c>
      <c r="AU316" s="19">
        <f>IF(AT$323=0,0,AT316/AT$323)</f>
        <v>3.5714285714285712E-2</v>
      </c>
      <c r="AV316" s="97"/>
      <c r="AW316" s="17"/>
      <c r="AX316" s="17"/>
      <c r="AY316" s="17"/>
      <c r="AZ316" s="18">
        <f>X316</f>
        <v>6</v>
      </c>
      <c r="BA316" s="19">
        <f>IF(AZ$323=0,0,AZ316/AZ$323)</f>
        <v>2.564102564102564E-2</v>
      </c>
    </row>
    <row r="317" spans="1:53" s="4" customFormat="1" ht="17.100000000000001" customHeight="1" x14ac:dyDescent="0.25">
      <c r="A317" s="40"/>
      <c r="B317" s="40"/>
      <c r="C317" s="74" t="s">
        <v>154</v>
      </c>
      <c r="D317" s="85" t="s">
        <v>544</v>
      </c>
      <c r="E317" s="105"/>
      <c r="F317" s="105"/>
      <c r="G317" s="105"/>
      <c r="H317" s="119"/>
      <c r="I317" s="231"/>
      <c r="J317" s="583">
        <v>15</v>
      </c>
      <c r="K317" s="583">
        <v>12</v>
      </c>
      <c r="L317" s="584">
        <v>223</v>
      </c>
      <c r="M317" s="593">
        <f t="shared" ref="M317:M322" si="409">SUM(J317:L317)</f>
        <v>250</v>
      </c>
      <c r="N317" s="111"/>
      <c r="O317" s="111"/>
      <c r="P317" s="111"/>
      <c r="Q317" s="111"/>
      <c r="R317" s="111"/>
      <c r="S317" s="111"/>
      <c r="T317" s="111"/>
      <c r="U317" s="111"/>
      <c r="V317" s="358"/>
      <c r="W317" s="391">
        <f t="shared" si="407"/>
        <v>27</v>
      </c>
      <c r="X317" s="17">
        <f t="shared" si="408"/>
        <v>223</v>
      </c>
      <c r="Y317" s="18">
        <f>SUM(W317:X317)</f>
        <v>250</v>
      </c>
      <c r="Z317" s="19">
        <f>IF(Y$323=0,0,Y317/Y$323)</f>
        <v>4.3136950342650862E-5</v>
      </c>
      <c r="AA317" s="19"/>
      <c r="AB317" s="19"/>
      <c r="AC317" s="20"/>
      <c r="AE317" s="17"/>
      <c r="AF317" s="17"/>
      <c r="AG317" s="17"/>
      <c r="AH317" s="18">
        <f t="shared" ref="AH317:AH322" si="410">J317</f>
        <v>15</v>
      </c>
      <c r="AI317" s="19">
        <f>IF(AH$323=0,0,AH317/AH$323)</f>
        <v>0.9375</v>
      </c>
      <c r="AJ317" s="97"/>
      <c r="AK317" s="17"/>
      <c r="AL317" s="17"/>
      <c r="AM317" s="17"/>
      <c r="AN317" s="18">
        <f t="shared" ref="AN317:AN322" si="411">K317</f>
        <v>12</v>
      </c>
      <c r="AO317" s="19">
        <f>IF(AN$323=0,0,AN317/AN$323)</f>
        <v>1</v>
      </c>
      <c r="AP317" s="97"/>
      <c r="AQ317" s="17"/>
      <c r="AR317" s="17"/>
      <c r="AS317" s="17"/>
      <c r="AT317" s="18">
        <f t="shared" ref="AT317:AT322" si="412">W317</f>
        <v>27</v>
      </c>
      <c r="AU317" s="19">
        <f>IF(AT$323=0,0,AT317/AT$323)</f>
        <v>0.9642857142857143</v>
      </c>
      <c r="AV317" s="97"/>
      <c r="AW317" s="17"/>
      <c r="AX317" s="17"/>
      <c r="AY317" s="17"/>
      <c r="AZ317" s="18">
        <f>X317</f>
        <v>223</v>
      </c>
      <c r="BA317" s="19">
        <f>IF(AZ$323=0,0,AZ317/AZ$323)</f>
        <v>0.95299145299145294</v>
      </c>
    </row>
    <row r="318" spans="1:53" s="4" customFormat="1" ht="17.100000000000001" customHeight="1" x14ac:dyDescent="0.25">
      <c r="A318" s="40"/>
      <c r="B318" s="40"/>
      <c r="C318" s="74" t="s">
        <v>155</v>
      </c>
      <c r="D318" s="146" t="s">
        <v>484</v>
      </c>
      <c r="E318" s="105"/>
      <c r="F318" s="105"/>
      <c r="G318" s="105"/>
      <c r="H318" s="119"/>
      <c r="I318" s="231"/>
      <c r="J318" s="581">
        <v>0</v>
      </c>
      <c r="K318" s="581">
        <v>20000</v>
      </c>
      <c r="L318" s="582">
        <v>0</v>
      </c>
      <c r="M318" s="593">
        <v>0</v>
      </c>
      <c r="N318" s="111"/>
      <c r="O318" s="111"/>
      <c r="P318" s="111"/>
      <c r="Q318" s="111"/>
      <c r="R318" s="111"/>
      <c r="S318" s="111"/>
      <c r="T318" s="111"/>
      <c r="U318" s="111"/>
      <c r="V318" s="358"/>
      <c r="W318" s="391">
        <v>0</v>
      </c>
      <c r="X318" s="17">
        <f>L318</f>
        <v>0</v>
      </c>
      <c r="Y318" s="921">
        <f>M318</f>
        <v>0</v>
      </c>
      <c r="Z318" s="19"/>
      <c r="AA318" s="17">
        <f>MIN(J318:L318)</f>
        <v>0</v>
      </c>
      <c r="AB318" s="17"/>
      <c r="AC318" s="17"/>
      <c r="AE318" s="17">
        <f>J318</f>
        <v>0</v>
      </c>
      <c r="AF318" s="17"/>
      <c r="AG318" s="17"/>
      <c r="AH318" s="18"/>
      <c r="AI318" s="19"/>
      <c r="AJ318" s="97"/>
      <c r="AK318" s="17">
        <f>K318</f>
        <v>20000</v>
      </c>
      <c r="AL318" s="17"/>
      <c r="AM318" s="17"/>
      <c r="AN318" s="18"/>
      <c r="AO318" s="19"/>
      <c r="AP318" s="97"/>
      <c r="AQ318" s="17">
        <f>W318</f>
        <v>0</v>
      </c>
      <c r="AR318" s="17"/>
      <c r="AS318" s="17"/>
      <c r="AT318" s="18"/>
      <c r="AU318" s="19"/>
      <c r="AV318" s="97"/>
      <c r="AW318" s="17">
        <f>L318</f>
        <v>0</v>
      </c>
      <c r="AX318" s="17"/>
      <c r="AY318" s="17"/>
      <c r="AZ318" s="18"/>
      <c r="BA318" s="19"/>
    </row>
    <row r="319" spans="1:53" s="4" customFormat="1" ht="17.100000000000001" customHeight="1" x14ac:dyDescent="0.25">
      <c r="A319" s="40"/>
      <c r="B319" s="40"/>
      <c r="C319" s="74" t="s">
        <v>156</v>
      </c>
      <c r="D319" s="146" t="s">
        <v>485</v>
      </c>
      <c r="E319" s="105"/>
      <c r="F319" s="105"/>
      <c r="G319" s="105"/>
      <c r="H319" s="119"/>
      <c r="I319" s="231"/>
      <c r="J319" s="583">
        <v>600000</v>
      </c>
      <c r="K319" s="583">
        <v>1500000</v>
      </c>
      <c r="L319" s="584">
        <v>4400000</v>
      </c>
      <c r="M319" s="593">
        <v>4400000</v>
      </c>
      <c r="N319" s="111"/>
      <c r="O319" s="111"/>
      <c r="P319" s="111"/>
      <c r="Q319" s="111"/>
      <c r="R319" s="111"/>
      <c r="S319" s="111"/>
      <c r="T319" s="111"/>
      <c r="U319" s="111"/>
      <c r="V319" s="358"/>
      <c r="W319" s="391">
        <v>1500000</v>
      </c>
      <c r="X319" s="17">
        <f t="shared" ref="X319:Y320" si="413">L319</f>
        <v>4400000</v>
      </c>
      <c r="Y319" s="921">
        <f t="shared" si="413"/>
        <v>4400000</v>
      </c>
      <c r="Z319" s="19"/>
      <c r="AA319" s="17"/>
      <c r="AB319" s="17">
        <f>MAX(J319:L319)</f>
        <v>4400000</v>
      </c>
      <c r="AC319" s="17"/>
      <c r="AE319" s="17"/>
      <c r="AF319" s="17">
        <f>J319</f>
        <v>600000</v>
      </c>
      <c r="AG319" s="17"/>
      <c r="AH319" s="18"/>
      <c r="AI319" s="19"/>
      <c r="AJ319" s="97"/>
      <c r="AK319" s="17"/>
      <c r="AL319" s="17">
        <f>K319</f>
        <v>1500000</v>
      </c>
      <c r="AM319" s="17"/>
      <c r="AN319" s="18"/>
      <c r="AO319" s="19"/>
      <c r="AP319" s="97"/>
      <c r="AQ319" s="17"/>
      <c r="AR319" s="17">
        <f>W319</f>
        <v>1500000</v>
      </c>
      <c r="AS319" s="17"/>
      <c r="AT319" s="18"/>
      <c r="AU319" s="19"/>
      <c r="AV319" s="97"/>
      <c r="AW319" s="17"/>
      <c r="AX319" s="17">
        <f>L319</f>
        <v>4400000</v>
      </c>
      <c r="AY319" s="17"/>
      <c r="AZ319" s="18"/>
      <c r="BA319" s="19"/>
    </row>
    <row r="320" spans="1:53" s="4" customFormat="1" ht="17.100000000000001" customHeight="1" x14ac:dyDescent="0.25">
      <c r="A320" s="40"/>
      <c r="B320" s="40"/>
      <c r="C320" s="74" t="s">
        <v>157</v>
      </c>
      <c r="D320" s="146" t="s">
        <v>543</v>
      </c>
      <c r="E320" s="105"/>
      <c r="F320" s="105"/>
      <c r="G320" s="105"/>
      <c r="H320" s="119"/>
      <c r="I320" s="231"/>
      <c r="J320" s="581">
        <v>194687.5</v>
      </c>
      <c r="K320" s="581">
        <v>547083.33333333337</v>
      </c>
      <c r="L320" s="582">
        <v>1523558.9519650654</v>
      </c>
      <c r="M320" s="593">
        <v>1395233.4630350193</v>
      </c>
      <c r="N320" s="111"/>
      <c r="O320" s="111"/>
      <c r="P320" s="111"/>
      <c r="Q320" s="111"/>
      <c r="R320" s="111"/>
      <c r="S320" s="111"/>
      <c r="T320" s="111"/>
      <c r="U320" s="111"/>
      <c r="V320" s="358"/>
      <c r="W320" s="391">
        <v>345714.28571428574</v>
      </c>
      <c r="X320" s="17">
        <f t="shared" si="413"/>
        <v>1523558.9519650654</v>
      </c>
      <c r="Y320" s="921">
        <f t="shared" si="413"/>
        <v>1395233.4630350193</v>
      </c>
      <c r="Z320" s="19"/>
      <c r="AA320" s="17"/>
      <c r="AB320" s="17"/>
      <c r="AC320" s="17">
        <f>IF(SUM(J320:L320)=0,0,AVERAGE(J320:L320))</f>
        <v>755109.92843279953</v>
      </c>
      <c r="AE320" s="17"/>
      <c r="AF320" s="17"/>
      <c r="AG320" s="17">
        <f>J320</f>
        <v>194687.5</v>
      </c>
      <c r="AH320" s="18"/>
      <c r="AI320" s="19"/>
      <c r="AJ320" s="97"/>
      <c r="AK320" s="17"/>
      <c r="AL320" s="17"/>
      <c r="AM320" s="17">
        <f>K320</f>
        <v>547083.33333333337</v>
      </c>
      <c r="AN320" s="18"/>
      <c r="AO320" s="19"/>
      <c r="AP320" s="97"/>
      <c r="AQ320" s="17"/>
      <c r="AR320" s="17"/>
      <c r="AS320" s="17">
        <f>W320</f>
        <v>345714.28571428574</v>
      </c>
      <c r="AT320" s="18"/>
      <c r="AU320" s="19"/>
      <c r="AV320" s="97"/>
      <c r="AW320" s="17"/>
      <c r="AX320" s="17"/>
      <c r="AY320" s="17">
        <f>L320</f>
        <v>1523558.9519650654</v>
      </c>
      <c r="AZ320" s="18"/>
      <c r="BA320" s="19"/>
    </row>
    <row r="321" spans="1:53" s="4" customFormat="1" ht="17.100000000000001" customHeight="1" x14ac:dyDescent="0.25">
      <c r="A321" s="40"/>
      <c r="B321" s="40"/>
      <c r="C321" s="74" t="s">
        <v>158</v>
      </c>
      <c r="D321" s="75" t="s">
        <v>129</v>
      </c>
      <c r="E321" s="105"/>
      <c r="F321" s="105"/>
      <c r="G321" s="105"/>
      <c r="H321" s="119"/>
      <c r="I321" s="231"/>
      <c r="J321" s="583"/>
      <c r="K321" s="583"/>
      <c r="L321" s="584">
        <v>5</v>
      </c>
      <c r="M321" s="593">
        <f t="shared" si="409"/>
        <v>5</v>
      </c>
      <c r="N321" s="111"/>
      <c r="O321" s="111"/>
      <c r="P321" s="111"/>
      <c r="Q321" s="111"/>
      <c r="R321" s="111"/>
      <c r="S321" s="111"/>
      <c r="T321" s="111"/>
      <c r="U321" s="111"/>
      <c r="V321" s="358"/>
      <c r="W321" s="391">
        <f t="shared" si="407"/>
        <v>0</v>
      </c>
      <c r="X321" s="17">
        <f t="shared" si="408"/>
        <v>5</v>
      </c>
      <c r="Y321" s="18">
        <f>SUM(W321:X321)</f>
        <v>5</v>
      </c>
      <c r="Z321" s="19">
        <f>IF(Y$323=0,0,Y321/Y$323)</f>
        <v>8.6273900685301729E-7</v>
      </c>
      <c r="AA321" s="19"/>
      <c r="AB321" s="19"/>
      <c r="AC321" s="20"/>
      <c r="AE321" s="17"/>
      <c r="AF321" s="17"/>
      <c r="AG321" s="17"/>
      <c r="AH321" s="18">
        <f t="shared" si="410"/>
        <v>0</v>
      </c>
      <c r="AI321" s="19">
        <f>IF(AH$323=0,0,AH321/AH$323)</f>
        <v>0</v>
      </c>
      <c r="AJ321" s="97"/>
      <c r="AK321" s="17"/>
      <c r="AL321" s="17"/>
      <c r="AM321" s="17"/>
      <c r="AN321" s="18">
        <f t="shared" si="411"/>
        <v>0</v>
      </c>
      <c r="AO321" s="19">
        <f>IF(AN$323=0,0,AN321/AN$323)</f>
        <v>0</v>
      </c>
      <c r="AP321" s="97"/>
      <c r="AQ321" s="17"/>
      <c r="AR321" s="17"/>
      <c r="AS321" s="17"/>
      <c r="AT321" s="18">
        <f t="shared" si="412"/>
        <v>0</v>
      </c>
      <c r="AU321" s="19">
        <f>IF(AT$323=0,0,AT321/AT$323)</f>
        <v>0</v>
      </c>
      <c r="AV321" s="97"/>
      <c r="AW321" s="17"/>
      <c r="AX321" s="17"/>
      <c r="AY321" s="17"/>
      <c r="AZ321" s="18">
        <f>X321</f>
        <v>5</v>
      </c>
      <c r="BA321" s="19">
        <f>IF(AZ$323=0,0,AZ321/AZ$323)</f>
        <v>2.1367521367521368E-2</v>
      </c>
    </row>
    <row r="322" spans="1:53" s="4" customFormat="1" ht="17.100000000000001" customHeight="1" x14ac:dyDescent="0.25">
      <c r="A322" s="40"/>
      <c r="B322" s="40"/>
      <c r="C322" s="74" t="s">
        <v>159</v>
      </c>
      <c r="D322" s="75" t="s">
        <v>530</v>
      </c>
      <c r="E322" s="75"/>
      <c r="F322" s="75"/>
      <c r="G322" s="75"/>
      <c r="H322" s="540"/>
      <c r="I322" s="229"/>
      <c r="J322" s="581"/>
      <c r="K322" s="581"/>
      <c r="L322" s="582"/>
      <c r="M322" s="593">
        <f t="shared" si="409"/>
        <v>0</v>
      </c>
      <c r="N322" s="111"/>
      <c r="O322" s="111"/>
      <c r="P322" s="111"/>
      <c r="Q322" s="111"/>
      <c r="R322" s="111"/>
      <c r="S322" s="111"/>
      <c r="T322" s="111"/>
      <c r="U322" s="111"/>
      <c r="V322" s="358"/>
      <c r="W322" s="391">
        <f t="shared" si="407"/>
        <v>0</v>
      </c>
      <c r="X322" s="17">
        <f t="shared" si="408"/>
        <v>0</v>
      </c>
      <c r="Y322" s="18">
        <f>SUM(W322:X322)</f>
        <v>0</v>
      </c>
      <c r="Z322" s="19">
        <f>IF(Y$323=0,0,Y322/Y$323)</f>
        <v>0</v>
      </c>
      <c r="AA322" s="19"/>
      <c r="AB322" s="19"/>
      <c r="AC322" s="20"/>
      <c r="AE322" s="17"/>
      <c r="AF322" s="17"/>
      <c r="AG322" s="17"/>
      <c r="AH322" s="18">
        <f t="shared" si="410"/>
        <v>0</v>
      </c>
      <c r="AI322" s="19">
        <f>IF(AH$323=0,0,AH322/AH$323)</f>
        <v>0</v>
      </c>
      <c r="AJ322" s="97"/>
      <c r="AK322" s="17"/>
      <c r="AL322" s="17"/>
      <c r="AM322" s="17"/>
      <c r="AN322" s="18">
        <f t="shared" si="411"/>
        <v>0</v>
      </c>
      <c r="AO322" s="19">
        <f>IF(AN$323=0,0,AN322/AN$323)</f>
        <v>0</v>
      </c>
      <c r="AP322" s="97"/>
      <c r="AQ322" s="17"/>
      <c r="AR322" s="17"/>
      <c r="AS322" s="17"/>
      <c r="AT322" s="18">
        <f t="shared" si="412"/>
        <v>0</v>
      </c>
      <c r="AU322" s="19">
        <f>IF(AT$323=0,0,AT322/AT$323)</f>
        <v>0</v>
      </c>
      <c r="AV322" s="97"/>
      <c r="AW322" s="17"/>
      <c r="AX322" s="17"/>
      <c r="AY322" s="17"/>
      <c r="AZ322" s="18">
        <f>X322</f>
        <v>0</v>
      </c>
      <c r="BA322" s="19">
        <f>IF(AZ$323=0,0,AZ322/AZ$323)</f>
        <v>0</v>
      </c>
    </row>
    <row r="323" spans="1:53" s="4" customFormat="1" ht="17.100000000000001" customHeight="1" x14ac:dyDescent="0.25">
      <c r="A323" s="175"/>
      <c r="B323" s="40"/>
      <c r="C323" s="77"/>
      <c r="D323" s="134"/>
      <c r="E323" s="134"/>
      <c r="F323" s="134"/>
      <c r="G323" s="134"/>
      <c r="H323" s="540"/>
      <c r="I323" s="12"/>
      <c r="J323" s="80">
        <f>J316+J317+J321+J322</f>
        <v>16</v>
      </c>
      <c r="K323" s="80">
        <f t="shared" ref="K323:M323" si="414">K316+K317+K321+K322</f>
        <v>12</v>
      </c>
      <c r="L323" s="80">
        <f t="shared" si="414"/>
        <v>234</v>
      </c>
      <c r="M323" s="80">
        <f t="shared" si="414"/>
        <v>262</v>
      </c>
      <c r="N323" s="81"/>
      <c r="O323" s="81"/>
      <c r="P323" s="81"/>
      <c r="Q323" s="81"/>
      <c r="R323" s="81"/>
      <c r="S323" s="81"/>
      <c r="T323" s="81"/>
      <c r="U323" s="81"/>
      <c r="V323" s="356"/>
      <c r="W323" s="381">
        <f>W316+W317+W321+W322</f>
        <v>28</v>
      </c>
      <c r="X323" s="82">
        <f>X316+X317+X321+X322</f>
        <v>234</v>
      </c>
      <c r="Y323" s="82">
        <f t="shared" ref="Y323" si="415">SUM(Y316:Y322)</f>
        <v>5795495.4630350191</v>
      </c>
      <c r="Z323" s="205">
        <f>IF(Y$323=0,0,Y323/Y$323)</f>
        <v>1</v>
      </c>
      <c r="AA323" s="205"/>
      <c r="AB323" s="205"/>
      <c r="AC323" s="83"/>
      <c r="AE323" s="80"/>
      <c r="AF323" s="80"/>
      <c r="AG323" s="81"/>
      <c r="AH323" s="82">
        <f>SUM(AH316:AH322)</f>
        <v>16</v>
      </c>
      <c r="AI323" s="66">
        <f>IF(AH$323=0,0,AH323/AH$323)</f>
        <v>1</v>
      </c>
      <c r="AJ323" s="97"/>
      <c r="AK323" s="80"/>
      <c r="AL323" s="80"/>
      <c r="AM323" s="81"/>
      <c r="AN323" s="82">
        <f>SUM(AN316:AN322)</f>
        <v>12</v>
      </c>
      <c r="AO323" s="66">
        <f>IF(AN$323=0,0,AN323/AN$323)</f>
        <v>1</v>
      </c>
      <c r="AP323" s="97"/>
      <c r="AQ323" s="80"/>
      <c r="AR323" s="80"/>
      <c r="AS323" s="81"/>
      <c r="AT323" s="82">
        <f>SUM(AT316:AT322)</f>
        <v>28</v>
      </c>
      <c r="AU323" s="66">
        <f>IF(AT$323=0,0,AT323/AT$323)</f>
        <v>1</v>
      </c>
      <c r="AV323" s="97"/>
      <c r="AW323" s="80"/>
      <c r="AX323" s="80"/>
      <c r="AY323" s="81"/>
      <c r="AZ323" s="82">
        <f>SUM(AZ316:AZ322)</f>
        <v>234</v>
      </c>
      <c r="BA323" s="66">
        <f>IF(AZ$323=0,0,AZ323/AZ$323)</f>
        <v>1</v>
      </c>
    </row>
    <row r="324" spans="1:53" s="117" customFormat="1" ht="17.100000000000001" customHeight="1" x14ac:dyDescent="0.25">
      <c r="A324" s="68"/>
      <c r="B324" s="119"/>
      <c r="C324" s="540"/>
      <c r="D324" s="261"/>
      <c r="E324" s="261"/>
      <c r="F324" s="68"/>
      <c r="G324" s="68"/>
      <c r="H324" s="119"/>
      <c r="I324" s="138"/>
      <c r="J324" s="17" t="str">
        <f>IF(J323=J$15,"OK","NOK")</f>
        <v>OK</v>
      </c>
      <c r="K324" s="17" t="str">
        <f t="shared" ref="K324" si="416">IF(K323=K$15,"OK","NOK")</f>
        <v>OK</v>
      </c>
      <c r="L324" s="17" t="str">
        <f t="shared" ref="L324" si="417">IF(L323=L$15,"OK","NOK")</f>
        <v>OK</v>
      </c>
      <c r="M324" s="17"/>
      <c r="N324" s="17"/>
      <c r="O324" s="17"/>
      <c r="P324" s="17"/>
      <c r="Q324" s="17"/>
      <c r="R324" s="17"/>
      <c r="S324" s="17"/>
      <c r="T324" s="17"/>
      <c r="U324" s="17"/>
      <c r="V324" s="359"/>
      <c r="W324" s="382"/>
      <c r="X324" s="539"/>
      <c r="Y324" s="539"/>
      <c r="Z324" s="201"/>
      <c r="AA324" s="201"/>
      <c r="AB324" s="201"/>
      <c r="AC324" s="84"/>
      <c r="AE324" s="46"/>
      <c r="AF324" s="46"/>
      <c r="AG324" s="17"/>
      <c r="AH324" s="539"/>
      <c r="AI324" s="91"/>
      <c r="AK324" s="46"/>
      <c r="AL324" s="46"/>
      <c r="AM324" s="17"/>
      <c r="AN324" s="539"/>
      <c r="AO324" s="91"/>
      <c r="AQ324" s="46"/>
      <c r="AR324" s="46"/>
      <c r="AS324" s="17"/>
      <c r="AT324" s="539"/>
      <c r="AU324" s="91"/>
      <c r="AW324" s="46"/>
      <c r="AX324" s="46"/>
      <c r="AY324" s="17"/>
      <c r="AZ324" s="539"/>
      <c r="BA324" s="91"/>
    </row>
    <row r="325" spans="1:53" ht="17.100000000000001" customHeight="1" x14ac:dyDescent="0.25">
      <c r="A325" s="68"/>
      <c r="B325" s="41" t="s">
        <v>160</v>
      </c>
      <c r="C325" s="69" t="s">
        <v>434</v>
      </c>
      <c r="D325" s="50"/>
      <c r="E325" s="70"/>
      <c r="F325" s="70"/>
      <c r="G325" s="70"/>
      <c r="H325" s="243">
        <v>40</v>
      </c>
      <c r="J325" s="71"/>
      <c r="K325" s="71"/>
      <c r="L325" s="71"/>
      <c r="M325" s="71"/>
      <c r="N325" s="71"/>
      <c r="O325" s="71"/>
      <c r="P325" s="71"/>
      <c r="Q325" s="71"/>
      <c r="R325" s="71"/>
      <c r="S325" s="71"/>
      <c r="T325" s="71"/>
      <c r="U325" s="71"/>
      <c r="V325" s="355"/>
      <c r="W325" s="377"/>
      <c r="X325" s="71"/>
      <c r="Y325" s="89"/>
      <c r="Z325" s="90"/>
      <c r="AA325" s="90"/>
      <c r="AB325" s="90"/>
      <c r="AC325" s="73"/>
      <c r="AE325" s="71"/>
      <c r="AF325" s="71"/>
      <c r="AG325" s="71"/>
      <c r="AH325" s="72"/>
      <c r="AI325" s="73"/>
      <c r="AK325" s="71"/>
      <c r="AL325" s="71"/>
      <c r="AM325" s="71"/>
      <c r="AN325" s="72"/>
      <c r="AO325" s="73"/>
      <c r="AQ325" s="71"/>
      <c r="AR325" s="71"/>
      <c r="AS325" s="71"/>
      <c r="AT325" s="72"/>
      <c r="AU325" s="73"/>
      <c r="AW325" s="71"/>
      <c r="AX325" s="71"/>
      <c r="AY325" s="71"/>
      <c r="AZ325" s="72"/>
      <c r="BA325" s="73"/>
    </row>
    <row r="326" spans="1:53" s="4" customFormat="1" ht="17.100000000000001" customHeight="1" x14ac:dyDescent="0.25">
      <c r="A326" s="40"/>
      <c r="B326" s="40"/>
      <c r="C326" s="74" t="s">
        <v>161</v>
      </c>
      <c r="D326" s="85" t="s">
        <v>173</v>
      </c>
      <c r="E326" s="105"/>
      <c r="F326" s="105"/>
      <c r="G326" s="105"/>
      <c r="H326" s="119"/>
      <c r="I326" s="231"/>
      <c r="J326" s="581"/>
      <c r="K326" s="581"/>
      <c r="L326" s="582"/>
      <c r="M326" s="593">
        <f>SUM(J326:L326)</f>
        <v>0</v>
      </c>
      <c r="N326" s="111"/>
      <c r="O326" s="111"/>
      <c r="P326" s="111"/>
      <c r="Q326" s="111"/>
      <c r="R326" s="111"/>
      <c r="S326" s="111"/>
      <c r="T326" s="111"/>
      <c r="U326" s="111"/>
      <c r="V326" s="358"/>
      <c r="W326" s="391">
        <f t="shared" ref="W326:W327" si="418">J326+K326+N326+Q326+T326</f>
        <v>0</v>
      </c>
      <c r="X326" s="17">
        <f t="shared" ref="X326:X327" si="419">L326+O326+R326+U326</f>
        <v>0</v>
      </c>
      <c r="Y326" s="18">
        <f>SUM(W326:X326)</f>
        <v>0</v>
      </c>
      <c r="Z326" s="19">
        <f>IF(Y$333=0,0,Y326/Y$333)</f>
        <v>0</v>
      </c>
      <c r="AA326" s="19"/>
      <c r="AB326" s="19"/>
      <c r="AC326" s="20"/>
      <c r="AE326" s="17"/>
      <c r="AF326" s="17"/>
      <c r="AG326" s="17"/>
      <c r="AH326" s="18">
        <f>J326</f>
        <v>0</v>
      </c>
      <c r="AI326" s="19">
        <f>IF(AH$333=0,0,AH326/AH$333)</f>
        <v>0</v>
      </c>
      <c r="AJ326" s="97"/>
      <c r="AK326" s="17"/>
      <c r="AL326" s="17"/>
      <c r="AM326" s="17"/>
      <c r="AN326" s="18">
        <f>K326</f>
        <v>0</v>
      </c>
      <c r="AO326" s="19">
        <f>IF(AN$333=0,0,AN326/AN$333)</f>
        <v>0</v>
      </c>
      <c r="AP326" s="97"/>
      <c r="AQ326" s="17"/>
      <c r="AR326" s="17"/>
      <c r="AS326" s="17"/>
      <c r="AT326" s="18">
        <f>W326</f>
        <v>0</v>
      </c>
      <c r="AU326" s="19">
        <f>IF(AT$333=0,0,AT326/AT$333)</f>
        <v>0</v>
      </c>
      <c r="AV326" s="97"/>
      <c r="AW326" s="17"/>
      <c r="AX326" s="17"/>
      <c r="AY326" s="17"/>
      <c r="AZ326" s="18">
        <f>X326</f>
        <v>0</v>
      </c>
      <c r="BA326" s="19">
        <f>IF(AZ$333=0,0,AZ326/AZ$333)</f>
        <v>0</v>
      </c>
    </row>
    <row r="327" spans="1:53" s="4" customFormat="1" ht="17.100000000000001" customHeight="1" x14ac:dyDescent="0.25">
      <c r="A327" s="40"/>
      <c r="B327" s="40"/>
      <c r="C327" s="74" t="s">
        <v>163</v>
      </c>
      <c r="D327" s="85" t="s">
        <v>544</v>
      </c>
      <c r="E327" s="105"/>
      <c r="F327" s="105"/>
      <c r="G327" s="105"/>
      <c r="H327" s="119"/>
      <c r="I327" s="231"/>
      <c r="J327" s="583"/>
      <c r="K327" s="583"/>
      <c r="L327" s="584"/>
      <c r="M327" s="593">
        <f t="shared" ref="M327:M332" si="420">SUM(J327:L327)</f>
        <v>0</v>
      </c>
      <c r="N327" s="111"/>
      <c r="O327" s="111"/>
      <c r="P327" s="111"/>
      <c r="Q327" s="111"/>
      <c r="R327" s="111"/>
      <c r="S327" s="111"/>
      <c r="T327" s="111"/>
      <c r="U327" s="111"/>
      <c r="V327" s="358"/>
      <c r="W327" s="391">
        <f t="shared" si="418"/>
        <v>0</v>
      </c>
      <c r="X327" s="17">
        <f t="shared" si="419"/>
        <v>0</v>
      </c>
      <c r="Y327" s="18">
        <f>SUM(W327:X327)</f>
        <v>0</v>
      </c>
      <c r="Z327" s="19">
        <f>IF(Y$333=0,0,Y327/Y$333)</f>
        <v>0</v>
      </c>
      <c r="AA327" s="19"/>
      <c r="AB327" s="19"/>
      <c r="AC327" s="20"/>
      <c r="AE327" s="17"/>
      <c r="AF327" s="17"/>
      <c r="AG327" s="17"/>
      <c r="AH327" s="18">
        <f t="shared" ref="AH327" si="421">J327</f>
        <v>0</v>
      </c>
      <c r="AI327" s="19">
        <f>IF(AH$333=0,0,AH327/AH$333)</f>
        <v>0</v>
      </c>
      <c r="AJ327" s="97"/>
      <c r="AK327" s="17"/>
      <c r="AL327" s="17"/>
      <c r="AM327" s="17"/>
      <c r="AN327" s="18">
        <f t="shared" ref="AN327" si="422">K327</f>
        <v>0</v>
      </c>
      <c r="AO327" s="19">
        <f>IF(AN$333=0,0,AN327/AN$333)</f>
        <v>0</v>
      </c>
      <c r="AP327" s="97"/>
      <c r="AQ327" s="17"/>
      <c r="AR327" s="17"/>
      <c r="AS327" s="17"/>
      <c r="AT327" s="18">
        <f t="shared" ref="AT327" si="423">W327</f>
        <v>0</v>
      </c>
      <c r="AU327" s="19">
        <f>IF(AT$333=0,0,AT327/AT$333)</f>
        <v>0</v>
      </c>
      <c r="AV327" s="97"/>
      <c r="AW327" s="17"/>
      <c r="AX327" s="17"/>
      <c r="AY327" s="17"/>
      <c r="AZ327" s="18">
        <f>X327</f>
        <v>0</v>
      </c>
      <c r="BA327" s="19">
        <f>IF(AZ$333=0,0,AZ327/AZ$333)</f>
        <v>0</v>
      </c>
    </row>
    <row r="328" spans="1:53" s="4" customFormat="1" ht="17.100000000000001" customHeight="1" x14ac:dyDescent="0.25">
      <c r="A328" s="40"/>
      <c r="B328" s="40"/>
      <c r="C328" s="74" t="s">
        <v>164</v>
      </c>
      <c r="D328" s="146" t="s">
        <v>484</v>
      </c>
      <c r="E328" s="105"/>
      <c r="F328" s="105"/>
      <c r="G328" s="105"/>
      <c r="H328" s="119"/>
      <c r="I328" s="231"/>
      <c r="J328" s="581"/>
      <c r="K328" s="581"/>
      <c r="L328" s="582"/>
      <c r="M328" s="593"/>
      <c r="N328" s="111"/>
      <c r="O328" s="111"/>
      <c r="P328" s="111"/>
      <c r="Q328" s="111"/>
      <c r="R328" s="111"/>
      <c r="S328" s="111"/>
      <c r="T328" s="111"/>
      <c r="U328" s="111"/>
      <c r="V328" s="358"/>
      <c r="W328" s="391">
        <f>MIN(J328:K328)</f>
        <v>0</v>
      </c>
      <c r="X328" s="17">
        <f>L328</f>
        <v>0</v>
      </c>
      <c r="Y328" s="18"/>
      <c r="Z328" s="19"/>
      <c r="AA328" s="17">
        <f>MIN(J328:L328)</f>
        <v>0</v>
      </c>
      <c r="AB328" s="17"/>
      <c r="AC328" s="17"/>
      <c r="AE328" s="17">
        <f>J328</f>
        <v>0</v>
      </c>
      <c r="AF328" s="17"/>
      <c r="AG328" s="17"/>
      <c r="AH328" s="18"/>
      <c r="AI328" s="19"/>
      <c r="AJ328" s="97"/>
      <c r="AK328" s="17">
        <f>K328</f>
        <v>0</v>
      </c>
      <c r="AL328" s="17"/>
      <c r="AM328" s="17"/>
      <c r="AN328" s="18"/>
      <c r="AO328" s="19"/>
      <c r="AP328" s="97"/>
      <c r="AQ328" s="17">
        <f>W328</f>
        <v>0</v>
      </c>
      <c r="AR328" s="17"/>
      <c r="AS328" s="17"/>
      <c r="AT328" s="18"/>
      <c r="AU328" s="19"/>
      <c r="AV328" s="97"/>
      <c r="AW328" s="17">
        <f>L328</f>
        <v>0</v>
      </c>
      <c r="AX328" s="17"/>
      <c r="AY328" s="17"/>
      <c r="AZ328" s="18"/>
      <c r="BA328" s="19"/>
    </row>
    <row r="329" spans="1:53" s="4" customFormat="1" ht="17.100000000000001" customHeight="1" x14ac:dyDescent="0.25">
      <c r="A329" s="40"/>
      <c r="B329" s="40"/>
      <c r="C329" s="74" t="s">
        <v>166</v>
      </c>
      <c r="D329" s="146" t="s">
        <v>485</v>
      </c>
      <c r="E329" s="105"/>
      <c r="F329" s="105"/>
      <c r="G329" s="105"/>
      <c r="H329" s="119"/>
      <c r="I329" s="231"/>
      <c r="J329" s="583"/>
      <c r="K329" s="583"/>
      <c r="L329" s="584"/>
      <c r="M329" s="593"/>
      <c r="N329" s="111"/>
      <c r="O329" s="111"/>
      <c r="P329" s="111"/>
      <c r="Q329" s="111"/>
      <c r="R329" s="111"/>
      <c r="S329" s="111"/>
      <c r="T329" s="111"/>
      <c r="U329" s="111"/>
      <c r="V329" s="358"/>
      <c r="W329" s="391">
        <f>MAX(J329:K329)</f>
        <v>0</v>
      </c>
      <c r="X329" s="17">
        <f t="shared" ref="X329:X330" si="424">L329</f>
        <v>0</v>
      </c>
      <c r="Y329" s="18"/>
      <c r="Z329" s="19"/>
      <c r="AA329" s="17"/>
      <c r="AB329" s="17">
        <f>MAX(J329:L329)</f>
        <v>0</v>
      </c>
      <c r="AC329" s="17"/>
      <c r="AE329" s="17"/>
      <c r="AF329" s="17">
        <f>J329</f>
        <v>0</v>
      </c>
      <c r="AG329" s="17"/>
      <c r="AH329" s="18"/>
      <c r="AI329" s="19"/>
      <c r="AJ329" s="97"/>
      <c r="AK329" s="17"/>
      <c r="AL329" s="17">
        <f>K329</f>
        <v>0</v>
      </c>
      <c r="AM329" s="17"/>
      <c r="AN329" s="18"/>
      <c r="AO329" s="19"/>
      <c r="AP329" s="97"/>
      <c r="AQ329" s="17"/>
      <c r="AR329" s="17">
        <f>W329</f>
        <v>0</v>
      </c>
      <c r="AS329" s="17"/>
      <c r="AT329" s="18"/>
      <c r="AU329" s="19"/>
      <c r="AV329" s="97"/>
      <c r="AW329" s="17"/>
      <c r="AX329" s="17">
        <f>L329</f>
        <v>0</v>
      </c>
      <c r="AY329" s="17"/>
      <c r="AZ329" s="18"/>
      <c r="BA329" s="19"/>
    </row>
    <row r="330" spans="1:53" s="4" customFormat="1" ht="17.100000000000001" customHeight="1" x14ac:dyDescent="0.25">
      <c r="A330" s="40"/>
      <c r="B330" s="40"/>
      <c r="C330" s="74" t="s">
        <v>168</v>
      </c>
      <c r="D330" s="146" t="s">
        <v>543</v>
      </c>
      <c r="E330" s="105"/>
      <c r="F330" s="105"/>
      <c r="G330" s="105"/>
      <c r="H330" s="119"/>
      <c r="I330" s="231"/>
      <c r="J330" s="581"/>
      <c r="K330" s="581"/>
      <c r="L330" s="582"/>
      <c r="M330" s="593"/>
      <c r="N330" s="111"/>
      <c r="O330" s="111"/>
      <c r="P330" s="111"/>
      <c r="Q330" s="111"/>
      <c r="R330" s="111"/>
      <c r="S330" s="111"/>
      <c r="T330" s="111"/>
      <c r="U330" s="111"/>
      <c r="V330" s="358"/>
      <c r="W330" s="391">
        <f>IF(SUM(J330:K330)=0,0,AVERAGE(J330:K330))</f>
        <v>0</v>
      </c>
      <c r="X330" s="17">
        <f t="shared" si="424"/>
        <v>0</v>
      </c>
      <c r="Y330" s="18"/>
      <c r="Z330" s="19"/>
      <c r="AA330" s="17"/>
      <c r="AB330" s="17"/>
      <c r="AC330" s="17">
        <f>IF(SUM(J330:L330)=0,0,AVERAGE(J330:L330))</f>
        <v>0</v>
      </c>
      <c r="AE330" s="17"/>
      <c r="AF330" s="17"/>
      <c r="AG330" s="17">
        <f>J330</f>
        <v>0</v>
      </c>
      <c r="AH330" s="18"/>
      <c r="AI330" s="19"/>
      <c r="AJ330" s="97"/>
      <c r="AK330" s="17"/>
      <c r="AL330" s="17"/>
      <c r="AM330" s="17">
        <f>K330</f>
        <v>0</v>
      </c>
      <c r="AN330" s="18"/>
      <c r="AO330" s="19"/>
      <c r="AP330" s="97"/>
      <c r="AQ330" s="17"/>
      <c r="AR330" s="17"/>
      <c r="AS330" s="17">
        <f>W330</f>
        <v>0</v>
      </c>
      <c r="AT330" s="18"/>
      <c r="AU330" s="19"/>
      <c r="AV330" s="97"/>
      <c r="AW330" s="17"/>
      <c r="AX330" s="17"/>
      <c r="AY330" s="17">
        <f>L330</f>
        <v>0</v>
      </c>
      <c r="AZ330" s="18"/>
      <c r="BA330" s="19"/>
    </row>
    <row r="331" spans="1:53" s="4" customFormat="1" ht="17.100000000000001" customHeight="1" x14ac:dyDescent="0.25">
      <c r="A331" s="40"/>
      <c r="B331" s="40"/>
      <c r="C331" s="74" t="s">
        <v>169</v>
      </c>
      <c r="D331" s="75" t="s">
        <v>129</v>
      </c>
      <c r="E331" s="105"/>
      <c r="F331" s="105"/>
      <c r="G331" s="105"/>
      <c r="H331" s="119"/>
      <c r="I331" s="231"/>
      <c r="J331" s="583"/>
      <c r="K331" s="583"/>
      <c r="L331" s="584"/>
      <c r="M331" s="593">
        <f t="shared" si="420"/>
        <v>0</v>
      </c>
      <c r="N331" s="111"/>
      <c r="O331" s="111"/>
      <c r="P331" s="111"/>
      <c r="Q331" s="111"/>
      <c r="R331" s="111"/>
      <c r="S331" s="111"/>
      <c r="T331" s="111"/>
      <c r="U331" s="111"/>
      <c r="V331" s="358"/>
      <c r="W331" s="391">
        <f t="shared" ref="W331:W332" si="425">J331+K331+N331+Q331+T331</f>
        <v>0</v>
      </c>
      <c r="X331" s="17">
        <f t="shared" ref="X331:X332" si="426">L331+O331+R331+U331</f>
        <v>0</v>
      </c>
      <c r="Y331" s="18">
        <f>SUM(W331:X331)</f>
        <v>0</v>
      </c>
      <c r="Z331" s="19">
        <f>IF(Y$333=0,0,Y331/Y$333)</f>
        <v>0</v>
      </c>
      <c r="AA331" s="19"/>
      <c r="AB331" s="19"/>
      <c r="AC331" s="20"/>
      <c r="AE331" s="17"/>
      <c r="AF331" s="17"/>
      <c r="AG331" s="17"/>
      <c r="AH331" s="18">
        <f t="shared" ref="AH331:AH332" si="427">J331</f>
        <v>0</v>
      </c>
      <c r="AI331" s="19">
        <f>IF(AH$333=0,0,AH331/AH$333)</f>
        <v>0</v>
      </c>
      <c r="AJ331" s="97"/>
      <c r="AK331" s="17"/>
      <c r="AL331" s="17"/>
      <c r="AM331" s="17"/>
      <c r="AN331" s="18">
        <f t="shared" ref="AN331:AN332" si="428">K331</f>
        <v>0</v>
      </c>
      <c r="AO331" s="19">
        <f>IF(AN$333=0,0,AN331/AN$333)</f>
        <v>0</v>
      </c>
      <c r="AP331" s="97"/>
      <c r="AQ331" s="17"/>
      <c r="AR331" s="17"/>
      <c r="AS331" s="17"/>
      <c r="AT331" s="18">
        <f t="shared" ref="AT331:AT332" si="429">W331</f>
        <v>0</v>
      </c>
      <c r="AU331" s="19">
        <f>IF(AT$333=0,0,AT331/AT$333)</f>
        <v>0</v>
      </c>
      <c r="AV331" s="97"/>
      <c r="AW331" s="17"/>
      <c r="AX331" s="17"/>
      <c r="AY331" s="17"/>
      <c r="AZ331" s="18">
        <f>X331</f>
        <v>0</v>
      </c>
      <c r="BA331" s="19">
        <f>IF(AZ$333=0,0,AZ331/AZ$333)</f>
        <v>0</v>
      </c>
    </row>
    <row r="332" spans="1:53" s="4" customFormat="1" ht="17.100000000000001" customHeight="1" x14ac:dyDescent="0.25">
      <c r="A332" s="40"/>
      <c r="B332" s="40"/>
      <c r="C332" s="74" t="s">
        <v>170</v>
      </c>
      <c r="D332" s="75" t="s">
        <v>530</v>
      </c>
      <c r="E332" s="75"/>
      <c r="F332" s="75"/>
      <c r="G332" s="75"/>
      <c r="H332" s="540"/>
      <c r="I332" s="229"/>
      <c r="J332" s="581"/>
      <c r="K332" s="581"/>
      <c r="L332" s="582"/>
      <c r="M332" s="593">
        <f t="shared" si="420"/>
        <v>0</v>
      </c>
      <c r="N332" s="111"/>
      <c r="O332" s="111"/>
      <c r="P332" s="111"/>
      <c r="Q332" s="111"/>
      <c r="R332" s="111"/>
      <c r="S332" s="111"/>
      <c r="T332" s="111"/>
      <c r="U332" s="111"/>
      <c r="V332" s="358"/>
      <c r="W332" s="391">
        <f t="shared" si="425"/>
        <v>0</v>
      </c>
      <c r="X332" s="17">
        <f t="shared" si="426"/>
        <v>0</v>
      </c>
      <c r="Y332" s="18">
        <f>SUM(W332:X332)</f>
        <v>0</v>
      </c>
      <c r="Z332" s="19">
        <f>IF(Y$333=0,0,Y332/Y$333)</f>
        <v>0</v>
      </c>
      <c r="AA332" s="19"/>
      <c r="AB332" s="19"/>
      <c r="AC332" s="20"/>
      <c r="AE332" s="17"/>
      <c r="AF332" s="17"/>
      <c r="AG332" s="17"/>
      <c r="AH332" s="18">
        <f t="shared" si="427"/>
        <v>0</v>
      </c>
      <c r="AI332" s="19">
        <f>IF(AH$333=0,0,AH332/AH$333)</f>
        <v>0</v>
      </c>
      <c r="AJ332" s="97"/>
      <c r="AK332" s="17"/>
      <c r="AL332" s="17"/>
      <c r="AM332" s="17"/>
      <c r="AN332" s="18">
        <f t="shared" si="428"/>
        <v>0</v>
      </c>
      <c r="AO332" s="19">
        <f>IF(AN$333=0,0,AN332/AN$333)</f>
        <v>0</v>
      </c>
      <c r="AP332" s="97"/>
      <c r="AQ332" s="17"/>
      <c r="AR332" s="17"/>
      <c r="AS332" s="17"/>
      <c r="AT332" s="18">
        <f t="shared" si="429"/>
        <v>0</v>
      </c>
      <c r="AU332" s="19">
        <f>IF(AT$333=0,0,AT332/AT$333)</f>
        <v>0</v>
      </c>
      <c r="AV332" s="97"/>
      <c r="AW332" s="17"/>
      <c r="AX332" s="17"/>
      <c r="AY332" s="17"/>
      <c r="AZ332" s="18">
        <f>X332</f>
        <v>0</v>
      </c>
      <c r="BA332" s="19">
        <f>IF(AZ$333=0,0,AZ332/AZ$333)</f>
        <v>0</v>
      </c>
    </row>
    <row r="333" spans="1:53" s="4" customFormat="1" ht="17.100000000000001" customHeight="1" x14ac:dyDescent="0.25">
      <c r="A333" s="175"/>
      <c r="B333" s="40"/>
      <c r="C333" s="77"/>
      <c r="D333" s="134"/>
      <c r="E333" s="134"/>
      <c r="F333" s="134"/>
      <c r="G333" s="134"/>
      <c r="H333" s="540"/>
      <c r="I333" s="12"/>
      <c r="J333" s="80">
        <f>J326+J327+J331+J332</f>
        <v>0</v>
      </c>
      <c r="K333" s="80">
        <f t="shared" ref="K333" si="430">K326+K327+K331+K332</f>
        <v>0</v>
      </c>
      <c r="L333" s="80">
        <f t="shared" ref="L333:M333" si="431">L326+L327+L331+L332</f>
        <v>0</v>
      </c>
      <c r="M333" s="80">
        <f t="shared" si="431"/>
        <v>0</v>
      </c>
      <c r="N333" s="81"/>
      <c r="O333" s="81"/>
      <c r="P333" s="81"/>
      <c r="Q333" s="81"/>
      <c r="R333" s="81"/>
      <c r="S333" s="81"/>
      <c r="T333" s="81"/>
      <c r="U333" s="81"/>
      <c r="V333" s="356"/>
      <c r="W333" s="381">
        <f>W326+W327+W331+W332</f>
        <v>0</v>
      </c>
      <c r="X333" s="82">
        <f>X326+X327+X331+X332</f>
        <v>0</v>
      </c>
      <c r="Y333" s="82">
        <f t="shared" ref="Y333" si="432">SUM(Y326:Y332)</f>
        <v>0</v>
      </c>
      <c r="Z333" s="205">
        <f>IF(Y$333=0,0,Y333/Y$333)</f>
        <v>0</v>
      </c>
      <c r="AA333" s="205"/>
      <c r="AB333" s="205"/>
      <c r="AC333" s="83"/>
      <c r="AE333" s="80"/>
      <c r="AF333" s="80"/>
      <c r="AG333" s="81"/>
      <c r="AH333" s="82">
        <f>SUM(AH326:AH332)</f>
        <v>0</v>
      </c>
      <c r="AI333" s="66">
        <f>IF(AH$333=0,0,AH333/AH$333)</f>
        <v>0</v>
      </c>
      <c r="AJ333" s="97"/>
      <c r="AK333" s="80"/>
      <c r="AL333" s="80"/>
      <c r="AM333" s="81"/>
      <c r="AN333" s="82">
        <f>SUM(AN326:AN332)</f>
        <v>0</v>
      </c>
      <c r="AO333" s="66">
        <f>IF(AN$333=0,0,AN333/AN$333)</f>
        <v>0</v>
      </c>
      <c r="AP333" s="97"/>
      <c r="AQ333" s="80"/>
      <c r="AR333" s="80"/>
      <c r="AS333" s="81"/>
      <c r="AT333" s="82">
        <f>SUM(AT326:AT332)</f>
        <v>0</v>
      </c>
      <c r="AU333" s="66">
        <f>IF(AT$333=0,0,AT333/AT$333)</f>
        <v>0</v>
      </c>
      <c r="AV333" s="97"/>
      <c r="AW333" s="80"/>
      <c r="AX333" s="80"/>
      <c r="AY333" s="81"/>
      <c r="AZ333" s="82">
        <f>SUM(AZ326:AZ332)</f>
        <v>0</v>
      </c>
      <c r="BA333" s="66">
        <f>IF(AZ$333=0,0,AZ333/AZ$333)</f>
        <v>0</v>
      </c>
    </row>
    <row r="334" spans="1:53" s="117" customFormat="1" ht="17.100000000000001" customHeight="1" x14ac:dyDescent="0.25">
      <c r="A334" s="68"/>
      <c r="B334" s="119"/>
      <c r="C334" s="540"/>
      <c r="D334" s="261"/>
      <c r="E334" s="261"/>
      <c r="F334" s="68"/>
      <c r="G334" s="68"/>
      <c r="H334" s="119"/>
      <c r="I334" s="138"/>
      <c r="J334" s="17" t="str">
        <f>IF(J333=J$15,"OK","NOK")</f>
        <v>NOK</v>
      </c>
      <c r="K334" s="17" t="str">
        <f t="shared" ref="K334" si="433">IF(K333=K$15,"OK","NOK")</f>
        <v>NOK</v>
      </c>
      <c r="L334" s="17" t="str">
        <f t="shared" ref="L334" si="434">IF(L333=L$15,"OK","NOK")</f>
        <v>NOK</v>
      </c>
      <c r="M334" s="17"/>
      <c r="N334" s="17"/>
      <c r="O334" s="17"/>
      <c r="P334" s="17"/>
      <c r="Q334" s="17"/>
      <c r="R334" s="17"/>
      <c r="S334" s="17"/>
      <c r="T334" s="17"/>
      <c r="U334" s="17"/>
      <c r="V334" s="359"/>
      <c r="W334" s="382"/>
      <c r="X334" s="539"/>
      <c r="Y334" s="539"/>
      <c r="Z334" s="201"/>
      <c r="AA334" s="201"/>
      <c r="AB334" s="201"/>
      <c r="AC334" s="84"/>
      <c r="AE334" s="46"/>
      <c r="AF334" s="46"/>
      <c r="AG334" s="17"/>
      <c r="AH334" s="539"/>
      <c r="AI334" s="91"/>
      <c r="AK334" s="46"/>
      <c r="AL334" s="46"/>
      <c r="AM334" s="17"/>
      <c r="AN334" s="539"/>
      <c r="AO334" s="91"/>
      <c r="AQ334" s="46"/>
      <c r="AR334" s="46"/>
      <c r="AS334" s="17"/>
      <c r="AT334" s="539"/>
      <c r="AU334" s="91"/>
      <c r="AW334" s="46"/>
      <c r="AX334" s="46"/>
      <c r="AY334" s="17"/>
      <c r="AZ334" s="539"/>
      <c r="BA334" s="91"/>
    </row>
    <row r="335" spans="1:53" ht="17.100000000000001" customHeight="1" x14ac:dyDescent="0.25">
      <c r="A335" s="68"/>
      <c r="B335" s="41" t="s">
        <v>171</v>
      </c>
      <c r="C335" s="69" t="s">
        <v>435</v>
      </c>
      <c r="D335" s="50"/>
      <c r="E335" s="70"/>
      <c r="F335" s="70"/>
      <c r="G335" s="70"/>
      <c r="H335" s="243">
        <v>42</v>
      </c>
      <c r="J335" s="71"/>
      <c r="K335" s="71"/>
      <c r="L335" s="71"/>
      <c r="M335" s="71"/>
      <c r="N335" s="71"/>
      <c r="O335" s="71"/>
      <c r="P335" s="71"/>
      <c r="Q335" s="71"/>
      <c r="R335" s="71"/>
      <c r="S335" s="71"/>
      <c r="T335" s="71"/>
      <c r="U335" s="71"/>
      <c r="V335" s="355"/>
      <c r="W335" s="377"/>
      <c r="X335" s="71"/>
      <c r="Y335" s="89"/>
      <c r="Z335" s="90"/>
      <c r="AA335" s="90"/>
      <c r="AB335" s="90"/>
      <c r="AC335" s="73"/>
      <c r="AE335" s="71"/>
      <c r="AF335" s="71"/>
      <c r="AG335" s="71"/>
      <c r="AH335" s="72"/>
      <c r="AI335" s="73"/>
      <c r="AK335" s="71"/>
      <c r="AL335" s="71"/>
      <c r="AM335" s="71"/>
      <c r="AN335" s="72"/>
      <c r="AO335" s="73"/>
      <c r="AQ335" s="71"/>
      <c r="AR335" s="71"/>
      <c r="AS335" s="71"/>
      <c r="AT335" s="72"/>
      <c r="AU335" s="73"/>
      <c r="AW335" s="71"/>
      <c r="AX335" s="71"/>
      <c r="AY335" s="71"/>
      <c r="AZ335" s="72"/>
      <c r="BA335" s="73"/>
    </row>
    <row r="336" spans="1:53" s="4" customFormat="1" ht="17.100000000000001" customHeight="1" x14ac:dyDescent="0.25">
      <c r="A336" s="40"/>
      <c r="B336" s="40"/>
      <c r="C336" s="74" t="s">
        <v>172</v>
      </c>
      <c r="D336" s="85" t="s">
        <v>173</v>
      </c>
      <c r="E336" s="105"/>
      <c r="F336" s="105"/>
      <c r="G336" s="105"/>
      <c r="H336" s="119"/>
      <c r="I336" s="231"/>
      <c r="J336" s="581"/>
      <c r="K336" s="581"/>
      <c r="L336" s="582"/>
      <c r="M336" s="593">
        <f>SUM(J336:L336)</f>
        <v>0</v>
      </c>
      <c r="N336" s="111"/>
      <c r="O336" s="111"/>
      <c r="P336" s="111"/>
      <c r="Q336" s="111"/>
      <c r="R336" s="111"/>
      <c r="S336" s="111"/>
      <c r="T336" s="111"/>
      <c r="U336" s="111"/>
      <c r="V336" s="358"/>
      <c r="W336" s="391">
        <f t="shared" ref="W336:W337" si="435">J336+K336+N336+Q336+T336</f>
        <v>0</v>
      </c>
      <c r="X336" s="17">
        <f t="shared" ref="X336:X337" si="436">L336+O336+R336+U336</f>
        <v>0</v>
      </c>
      <c r="Y336" s="18">
        <f>SUM(W336:X336)</f>
        <v>0</v>
      </c>
      <c r="Z336" s="19">
        <f>IF(Y$343=0,0,Y336/Y$343)</f>
        <v>0</v>
      </c>
      <c r="AA336" s="19"/>
      <c r="AB336" s="19"/>
      <c r="AC336" s="20"/>
      <c r="AE336" s="17"/>
      <c r="AF336" s="17"/>
      <c r="AG336" s="17"/>
      <c r="AH336" s="18">
        <f>J336</f>
        <v>0</v>
      </c>
      <c r="AI336" s="19">
        <f>IF(AH$343=0,0,AH336/AH$343)</f>
        <v>0</v>
      </c>
      <c r="AJ336" s="97"/>
      <c r="AK336" s="17"/>
      <c r="AL336" s="17"/>
      <c r="AM336" s="17"/>
      <c r="AN336" s="18">
        <f>K336</f>
        <v>0</v>
      </c>
      <c r="AO336" s="19">
        <f>IF(AN$343=0,0,AN336/AN$343)</f>
        <v>0</v>
      </c>
      <c r="AP336" s="97"/>
      <c r="AQ336" s="17"/>
      <c r="AR336" s="17"/>
      <c r="AS336" s="17"/>
      <c r="AT336" s="18">
        <f>W336</f>
        <v>0</v>
      </c>
      <c r="AU336" s="19">
        <f>IF(AT$343=0,0,AT336/AT$343)</f>
        <v>0</v>
      </c>
      <c r="AV336" s="97"/>
      <c r="AW336" s="17"/>
      <c r="AX336" s="17"/>
      <c r="AY336" s="17"/>
      <c r="AZ336" s="18">
        <f>X336</f>
        <v>0</v>
      </c>
      <c r="BA336" s="19">
        <f>IF(AZ$343=0,0,AZ336/AZ$343)</f>
        <v>0</v>
      </c>
    </row>
    <row r="337" spans="1:53" s="4" customFormat="1" ht="17.100000000000001" customHeight="1" x14ac:dyDescent="0.25">
      <c r="A337" s="40"/>
      <c r="B337" s="40"/>
      <c r="C337" s="74" t="s">
        <v>174</v>
      </c>
      <c r="D337" s="85" t="s">
        <v>544</v>
      </c>
      <c r="E337" s="105"/>
      <c r="F337" s="105"/>
      <c r="G337" s="105"/>
      <c r="H337" s="119"/>
      <c r="I337" s="231"/>
      <c r="J337" s="583"/>
      <c r="K337" s="583"/>
      <c r="L337" s="584"/>
      <c r="M337" s="593">
        <f t="shared" ref="M337:M342" si="437">SUM(J337:L337)</f>
        <v>0</v>
      </c>
      <c r="N337" s="111"/>
      <c r="O337" s="111"/>
      <c r="P337" s="111"/>
      <c r="Q337" s="111"/>
      <c r="R337" s="111"/>
      <c r="S337" s="111"/>
      <c r="T337" s="111"/>
      <c r="U337" s="111"/>
      <c r="V337" s="358"/>
      <c r="W337" s="391">
        <f t="shared" si="435"/>
        <v>0</v>
      </c>
      <c r="X337" s="17">
        <f t="shared" si="436"/>
        <v>0</v>
      </c>
      <c r="Y337" s="18">
        <f>SUM(W337:X337)</f>
        <v>0</v>
      </c>
      <c r="Z337" s="19">
        <f>IF(Y$343=0,0,Y337/Y$343)</f>
        <v>0</v>
      </c>
      <c r="AA337" s="19"/>
      <c r="AB337" s="19"/>
      <c r="AC337" s="20"/>
      <c r="AE337" s="17"/>
      <c r="AF337" s="17"/>
      <c r="AG337" s="17"/>
      <c r="AH337" s="18">
        <f t="shared" ref="AH337" si="438">J337</f>
        <v>0</v>
      </c>
      <c r="AI337" s="19">
        <f>IF(AH$343=0,0,AH337/AH$343)</f>
        <v>0</v>
      </c>
      <c r="AJ337" s="97"/>
      <c r="AK337" s="17"/>
      <c r="AL337" s="17"/>
      <c r="AM337" s="17"/>
      <c r="AN337" s="18">
        <f t="shared" ref="AN337" si="439">K337</f>
        <v>0</v>
      </c>
      <c r="AO337" s="19">
        <f>IF(AN$343=0,0,AN337/AN$343)</f>
        <v>0</v>
      </c>
      <c r="AP337" s="97"/>
      <c r="AQ337" s="17"/>
      <c r="AR337" s="17"/>
      <c r="AS337" s="17"/>
      <c r="AT337" s="18">
        <f t="shared" ref="AT337" si="440">W337</f>
        <v>0</v>
      </c>
      <c r="AU337" s="19">
        <f>IF(AT$343=0,0,AT337/AT$343)</f>
        <v>0</v>
      </c>
      <c r="AV337" s="97"/>
      <c r="AW337" s="17"/>
      <c r="AX337" s="17"/>
      <c r="AY337" s="17"/>
      <c r="AZ337" s="18">
        <f>X337</f>
        <v>0</v>
      </c>
      <c r="BA337" s="19">
        <f>IF(AZ$343=0,0,AZ337/AZ$343)</f>
        <v>0</v>
      </c>
    </row>
    <row r="338" spans="1:53" s="4" customFormat="1" ht="17.100000000000001" customHeight="1" x14ac:dyDescent="0.25">
      <c r="A338" s="40"/>
      <c r="B338" s="40"/>
      <c r="C338" s="74" t="s">
        <v>175</v>
      </c>
      <c r="D338" s="146" t="s">
        <v>484</v>
      </c>
      <c r="E338" s="105"/>
      <c r="F338" s="105"/>
      <c r="G338" s="105"/>
      <c r="H338" s="119"/>
      <c r="I338" s="231"/>
      <c r="J338" s="581"/>
      <c r="K338" s="581"/>
      <c r="L338" s="582"/>
      <c r="M338" s="593"/>
      <c r="N338" s="111"/>
      <c r="O338" s="111"/>
      <c r="P338" s="111"/>
      <c r="Q338" s="111"/>
      <c r="R338" s="111"/>
      <c r="S338" s="111"/>
      <c r="T338" s="111"/>
      <c r="U338" s="111"/>
      <c r="V338" s="358"/>
      <c r="W338" s="391">
        <f>MIN(J338:K338)</f>
        <v>0</v>
      </c>
      <c r="X338" s="17">
        <f>L338</f>
        <v>0</v>
      </c>
      <c r="Y338" s="18"/>
      <c r="Z338" s="19"/>
      <c r="AA338" s="17">
        <f>MIN(J338:L338)</f>
        <v>0</v>
      </c>
      <c r="AB338" s="17"/>
      <c r="AC338" s="17"/>
      <c r="AE338" s="17">
        <f>J338</f>
        <v>0</v>
      </c>
      <c r="AF338" s="17"/>
      <c r="AG338" s="17"/>
      <c r="AH338" s="18"/>
      <c r="AI338" s="19"/>
      <c r="AJ338" s="97"/>
      <c r="AK338" s="17">
        <f>K338</f>
        <v>0</v>
      </c>
      <c r="AL338" s="17"/>
      <c r="AM338" s="17"/>
      <c r="AN338" s="18"/>
      <c r="AO338" s="19"/>
      <c r="AP338" s="97"/>
      <c r="AQ338" s="17">
        <f>W338</f>
        <v>0</v>
      </c>
      <c r="AR338" s="17"/>
      <c r="AS338" s="17"/>
      <c r="AT338" s="18"/>
      <c r="AU338" s="19"/>
      <c r="AV338" s="97"/>
      <c r="AW338" s="17">
        <f>L338</f>
        <v>0</v>
      </c>
      <c r="AX338" s="17"/>
      <c r="AY338" s="17"/>
      <c r="AZ338" s="18"/>
      <c r="BA338" s="19"/>
    </row>
    <row r="339" spans="1:53" s="4" customFormat="1" ht="17.100000000000001" customHeight="1" x14ac:dyDescent="0.25">
      <c r="A339" s="40"/>
      <c r="B339" s="40"/>
      <c r="C339" s="74" t="s">
        <v>176</v>
      </c>
      <c r="D339" s="146" t="s">
        <v>485</v>
      </c>
      <c r="E339" s="105"/>
      <c r="F339" s="105"/>
      <c r="G339" s="105"/>
      <c r="H339" s="119"/>
      <c r="I339" s="231"/>
      <c r="J339" s="583"/>
      <c r="K339" s="583"/>
      <c r="L339" s="584"/>
      <c r="M339" s="593"/>
      <c r="N339" s="111"/>
      <c r="O339" s="111"/>
      <c r="P339" s="111"/>
      <c r="Q339" s="111"/>
      <c r="R339" s="111"/>
      <c r="S339" s="111"/>
      <c r="T339" s="111"/>
      <c r="U339" s="111"/>
      <c r="V339" s="358"/>
      <c r="W339" s="391">
        <f>MAX(J339:K339)</f>
        <v>0</v>
      </c>
      <c r="X339" s="17">
        <f t="shared" ref="X339:X340" si="441">L339</f>
        <v>0</v>
      </c>
      <c r="Y339" s="18"/>
      <c r="Z339" s="19"/>
      <c r="AA339" s="17"/>
      <c r="AB339" s="17">
        <f>MAX(J339:L339)</f>
        <v>0</v>
      </c>
      <c r="AC339" s="17"/>
      <c r="AE339" s="17"/>
      <c r="AF339" s="17">
        <f>J339</f>
        <v>0</v>
      </c>
      <c r="AG339" s="17"/>
      <c r="AH339" s="18"/>
      <c r="AI339" s="19"/>
      <c r="AJ339" s="97"/>
      <c r="AK339" s="17"/>
      <c r="AL339" s="17">
        <f>K339</f>
        <v>0</v>
      </c>
      <c r="AM339" s="17"/>
      <c r="AN339" s="18"/>
      <c r="AO339" s="19"/>
      <c r="AP339" s="97"/>
      <c r="AQ339" s="17"/>
      <c r="AR339" s="17">
        <f>W339</f>
        <v>0</v>
      </c>
      <c r="AS339" s="17"/>
      <c r="AT339" s="18"/>
      <c r="AU339" s="19"/>
      <c r="AV339" s="97"/>
      <c r="AW339" s="17"/>
      <c r="AX339" s="17">
        <f>L339</f>
        <v>0</v>
      </c>
      <c r="AY339" s="17"/>
      <c r="AZ339" s="18"/>
      <c r="BA339" s="19"/>
    </row>
    <row r="340" spans="1:53" s="4" customFormat="1" ht="17.100000000000001" customHeight="1" x14ac:dyDescent="0.25">
      <c r="A340" s="40"/>
      <c r="B340" s="40"/>
      <c r="C340" s="74" t="s">
        <v>177</v>
      </c>
      <c r="D340" s="146" t="s">
        <v>543</v>
      </c>
      <c r="E340" s="105"/>
      <c r="F340" s="105"/>
      <c r="G340" s="105"/>
      <c r="H340" s="119"/>
      <c r="I340" s="231"/>
      <c r="J340" s="581"/>
      <c r="K340" s="581"/>
      <c r="L340" s="582"/>
      <c r="M340" s="593"/>
      <c r="N340" s="111"/>
      <c r="O340" s="111"/>
      <c r="P340" s="111"/>
      <c r="Q340" s="111"/>
      <c r="R340" s="111"/>
      <c r="S340" s="111"/>
      <c r="T340" s="111"/>
      <c r="U340" s="111"/>
      <c r="V340" s="358"/>
      <c r="W340" s="391">
        <f>IF(SUM(J340:K340)=0,0,AVERAGE(J340:K340))</f>
        <v>0</v>
      </c>
      <c r="X340" s="17">
        <f t="shared" si="441"/>
        <v>0</v>
      </c>
      <c r="Y340" s="18"/>
      <c r="Z340" s="19"/>
      <c r="AA340" s="17"/>
      <c r="AB340" s="17"/>
      <c r="AC340" s="17">
        <f>IF(SUM(J340:L340)=0,0,AVERAGE(J340:L340))</f>
        <v>0</v>
      </c>
      <c r="AE340" s="17"/>
      <c r="AF340" s="17"/>
      <c r="AG340" s="17">
        <f>J340</f>
        <v>0</v>
      </c>
      <c r="AH340" s="18"/>
      <c r="AI340" s="19"/>
      <c r="AJ340" s="97"/>
      <c r="AK340" s="17"/>
      <c r="AL340" s="17"/>
      <c r="AM340" s="17">
        <f>K340</f>
        <v>0</v>
      </c>
      <c r="AN340" s="18"/>
      <c r="AO340" s="19"/>
      <c r="AP340" s="97"/>
      <c r="AQ340" s="17"/>
      <c r="AR340" s="17"/>
      <c r="AS340" s="17">
        <f>W340</f>
        <v>0</v>
      </c>
      <c r="AT340" s="18"/>
      <c r="AU340" s="19"/>
      <c r="AV340" s="97"/>
      <c r="AW340" s="17"/>
      <c r="AX340" s="17"/>
      <c r="AY340" s="17">
        <f>L340</f>
        <v>0</v>
      </c>
      <c r="AZ340" s="18"/>
      <c r="BA340" s="19"/>
    </row>
    <row r="341" spans="1:53" s="4" customFormat="1" ht="17.100000000000001" customHeight="1" x14ac:dyDescent="0.25">
      <c r="A341" s="40"/>
      <c r="B341" s="40"/>
      <c r="C341" s="74" t="s">
        <v>178</v>
      </c>
      <c r="D341" s="75" t="s">
        <v>129</v>
      </c>
      <c r="E341" s="105"/>
      <c r="F341" s="105"/>
      <c r="G341" s="105"/>
      <c r="H341" s="119"/>
      <c r="I341" s="231"/>
      <c r="J341" s="583"/>
      <c r="K341" s="583"/>
      <c r="L341" s="584"/>
      <c r="M341" s="593">
        <f t="shared" si="437"/>
        <v>0</v>
      </c>
      <c r="N341" s="111"/>
      <c r="O341" s="111"/>
      <c r="P341" s="111"/>
      <c r="Q341" s="111"/>
      <c r="R341" s="111"/>
      <c r="S341" s="111"/>
      <c r="T341" s="111"/>
      <c r="U341" s="111"/>
      <c r="V341" s="358"/>
      <c r="W341" s="391">
        <f t="shared" ref="W341:W342" si="442">J341+K341+N341+Q341+T341</f>
        <v>0</v>
      </c>
      <c r="X341" s="17">
        <f t="shared" ref="X341:X342" si="443">L341+O341+R341+U341</f>
        <v>0</v>
      </c>
      <c r="Y341" s="18">
        <f>SUM(W341:X341)</f>
        <v>0</v>
      </c>
      <c r="Z341" s="19">
        <f>IF(Y$343=0,0,Y341/Y$343)</f>
        <v>0</v>
      </c>
      <c r="AA341" s="19"/>
      <c r="AB341" s="19"/>
      <c r="AC341" s="20"/>
      <c r="AE341" s="17"/>
      <c r="AF341" s="17"/>
      <c r="AG341" s="17"/>
      <c r="AH341" s="18">
        <f t="shared" ref="AH341:AH342" si="444">J341</f>
        <v>0</v>
      </c>
      <c r="AI341" s="19">
        <f>IF(AH$343=0,0,AH341/AH$343)</f>
        <v>0</v>
      </c>
      <c r="AJ341" s="97"/>
      <c r="AK341" s="17"/>
      <c r="AL341" s="17"/>
      <c r="AM341" s="17"/>
      <c r="AN341" s="18">
        <f t="shared" ref="AN341:AN342" si="445">K341</f>
        <v>0</v>
      </c>
      <c r="AO341" s="19">
        <f>IF(AN$343=0,0,AN341/AN$343)</f>
        <v>0</v>
      </c>
      <c r="AP341" s="97"/>
      <c r="AQ341" s="17"/>
      <c r="AR341" s="17"/>
      <c r="AS341" s="17"/>
      <c r="AT341" s="18">
        <f t="shared" ref="AT341:AT342" si="446">W341</f>
        <v>0</v>
      </c>
      <c r="AU341" s="19">
        <f>IF(AT$343=0,0,AT341/AT$343)</f>
        <v>0</v>
      </c>
      <c r="AV341" s="97"/>
      <c r="AW341" s="17"/>
      <c r="AX341" s="17"/>
      <c r="AY341" s="17"/>
      <c r="AZ341" s="18">
        <f>X341</f>
        <v>0</v>
      </c>
      <c r="BA341" s="19">
        <f>IF(AZ$343=0,0,AZ341/AZ$343)</f>
        <v>0</v>
      </c>
    </row>
    <row r="342" spans="1:53" s="4" customFormat="1" ht="17.100000000000001" customHeight="1" x14ac:dyDescent="0.25">
      <c r="A342" s="40"/>
      <c r="B342" s="40"/>
      <c r="C342" s="74" t="s">
        <v>179</v>
      </c>
      <c r="D342" s="75" t="s">
        <v>530</v>
      </c>
      <c r="E342" s="75"/>
      <c r="F342" s="75"/>
      <c r="G342" s="75"/>
      <c r="H342" s="540"/>
      <c r="I342" s="229"/>
      <c r="J342" s="581"/>
      <c r="K342" s="581"/>
      <c r="L342" s="582"/>
      <c r="M342" s="593">
        <f t="shared" si="437"/>
        <v>0</v>
      </c>
      <c r="N342" s="111"/>
      <c r="O342" s="111"/>
      <c r="P342" s="111"/>
      <c r="Q342" s="111"/>
      <c r="R342" s="111"/>
      <c r="S342" s="111"/>
      <c r="T342" s="111"/>
      <c r="U342" s="111"/>
      <c r="V342" s="358"/>
      <c r="W342" s="391">
        <f t="shared" si="442"/>
        <v>0</v>
      </c>
      <c r="X342" s="17">
        <f t="shared" si="443"/>
        <v>0</v>
      </c>
      <c r="Y342" s="18">
        <f>SUM(W342:X342)</f>
        <v>0</v>
      </c>
      <c r="Z342" s="19">
        <f>IF(Y$343=0,0,Y342/Y$343)</f>
        <v>0</v>
      </c>
      <c r="AA342" s="19"/>
      <c r="AB342" s="19"/>
      <c r="AC342" s="20"/>
      <c r="AE342" s="17"/>
      <c r="AF342" s="17"/>
      <c r="AG342" s="17"/>
      <c r="AH342" s="18">
        <f t="shared" si="444"/>
        <v>0</v>
      </c>
      <c r="AI342" s="19">
        <f>IF(AH$343=0,0,AH342/AH$343)</f>
        <v>0</v>
      </c>
      <c r="AJ342" s="97"/>
      <c r="AK342" s="17"/>
      <c r="AL342" s="17"/>
      <c r="AM342" s="17"/>
      <c r="AN342" s="18">
        <f t="shared" si="445"/>
        <v>0</v>
      </c>
      <c r="AO342" s="19">
        <f>IF(AN$343=0,0,AN342/AN$343)</f>
        <v>0</v>
      </c>
      <c r="AP342" s="97"/>
      <c r="AQ342" s="17"/>
      <c r="AR342" s="17"/>
      <c r="AS342" s="17"/>
      <c r="AT342" s="18">
        <f t="shared" si="446"/>
        <v>0</v>
      </c>
      <c r="AU342" s="19">
        <f>IF(AT$343=0,0,AT342/AT$343)</f>
        <v>0</v>
      </c>
      <c r="AV342" s="97"/>
      <c r="AW342" s="17"/>
      <c r="AX342" s="17"/>
      <c r="AY342" s="17"/>
      <c r="AZ342" s="18">
        <f>X342</f>
        <v>0</v>
      </c>
      <c r="BA342" s="19">
        <f>IF(AZ$343=0,0,AZ342/AZ$343)</f>
        <v>0</v>
      </c>
    </row>
    <row r="343" spans="1:53" s="4" customFormat="1" ht="17.100000000000001" customHeight="1" x14ac:dyDescent="0.25">
      <c r="A343" s="175"/>
      <c r="B343" s="40"/>
      <c r="C343" s="77"/>
      <c r="D343" s="134"/>
      <c r="E343" s="134"/>
      <c r="F343" s="134"/>
      <c r="G343" s="134"/>
      <c r="H343" s="540"/>
      <c r="I343" s="12"/>
      <c r="J343" s="80">
        <f>J336+J337+J341+J342</f>
        <v>0</v>
      </c>
      <c r="K343" s="80">
        <f t="shared" ref="K343" si="447">K336+K337+K341+K342</f>
        <v>0</v>
      </c>
      <c r="L343" s="80">
        <f t="shared" ref="L343:M343" si="448">L336+L337+L341+L342</f>
        <v>0</v>
      </c>
      <c r="M343" s="80">
        <f t="shared" si="448"/>
        <v>0</v>
      </c>
      <c r="N343" s="81"/>
      <c r="O343" s="81"/>
      <c r="P343" s="81"/>
      <c r="Q343" s="81"/>
      <c r="R343" s="81"/>
      <c r="S343" s="81"/>
      <c r="T343" s="81"/>
      <c r="U343" s="81"/>
      <c r="V343" s="356"/>
      <c r="W343" s="381">
        <f>W336+W337+W341+W342</f>
        <v>0</v>
      </c>
      <c r="X343" s="82">
        <f>X336+X337+X341+X342</f>
        <v>0</v>
      </c>
      <c r="Y343" s="82">
        <f t="shared" ref="Y343" si="449">SUM(Y336:Y342)</f>
        <v>0</v>
      </c>
      <c r="Z343" s="205">
        <f>IF(Y$343=0,0,Y343/Y$343)</f>
        <v>0</v>
      </c>
      <c r="AA343" s="205"/>
      <c r="AB343" s="205"/>
      <c r="AC343" s="83"/>
      <c r="AE343" s="80"/>
      <c r="AF343" s="80"/>
      <c r="AG343" s="81"/>
      <c r="AH343" s="82">
        <f>SUM(AH336:AH342)</f>
        <v>0</v>
      </c>
      <c r="AI343" s="66">
        <f>IF(AH$343=0,0,AH343/AH$343)</f>
        <v>0</v>
      </c>
      <c r="AJ343" s="97"/>
      <c r="AK343" s="80"/>
      <c r="AL343" s="80"/>
      <c r="AM343" s="81"/>
      <c r="AN343" s="82">
        <f>SUM(AN336:AN342)</f>
        <v>0</v>
      </c>
      <c r="AO343" s="66">
        <f>IF(AN$343=0,0,AN343/AN$343)</f>
        <v>0</v>
      </c>
      <c r="AP343" s="97"/>
      <c r="AQ343" s="80"/>
      <c r="AR343" s="80"/>
      <c r="AS343" s="81"/>
      <c r="AT343" s="82">
        <f>SUM(AT336:AT342)</f>
        <v>0</v>
      </c>
      <c r="AU343" s="66">
        <f>IF(AT$343=0,0,AT343/AT$343)</f>
        <v>0</v>
      </c>
      <c r="AV343" s="97"/>
      <c r="AW343" s="80"/>
      <c r="AX343" s="80"/>
      <c r="AY343" s="81"/>
      <c r="AZ343" s="82">
        <f>SUM(AZ336:AZ342)</f>
        <v>0</v>
      </c>
      <c r="BA343" s="66">
        <f>IF(AZ$343=0,0,AZ343/AZ$343)</f>
        <v>0</v>
      </c>
    </row>
    <row r="344" spans="1:53" s="117" customFormat="1" ht="17.100000000000001" customHeight="1" x14ac:dyDescent="0.25">
      <c r="A344" s="68"/>
      <c r="B344" s="119"/>
      <c r="C344" s="540"/>
      <c r="D344" s="261"/>
      <c r="E344" s="261"/>
      <c r="F344" s="68"/>
      <c r="G344" s="68"/>
      <c r="H344" s="119"/>
      <c r="I344" s="138"/>
      <c r="J344" s="17" t="str">
        <f>IF(J343=J$15,"OK","NOK")</f>
        <v>NOK</v>
      </c>
      <c r="K344" s="17" t="str">
        <f t="shared" ref="K344" si="450">IF(K343=K$15,"OK","NOK")</f>
        <v>NOK</v>
      </c>
      <c r="L344" s="17" t="str">
        <f t="shared" ref="L344" si="451">IF(L343=L$15,"OK","NOK")</f>
        <v>NOK</v>
      </c>
      <c r="M344" s="17"/>
      <c r="N344" s="17"/>
      <c r="O344" s="17"/>
      <c r="P344" s="17"/>
      <c r="Q344" s="17"/>
      <c r="R344" s="17"/>
      <c r="S344" s="17"/>
      <c r="T344" s="17"/>
      <c r="U344" s="17"/>
      <c r="V344" s="359"/>
      <c r="W344" s="382"/>
      <c r="X344" s="539"/>
      <c r="Y344" s="539"/>
      <c r="Z344" s="201"/>
      <c r="AA344" s="201"/>
      <c r="AB344" s="201"/>
      <c r="AC344" s="84"/>
      <c r="AE344" s="46"/>
      <c r="AF344" s="46"/>
      <c r="AG344" s="17"/>
      <c r="AH344" s="539"/>
      <c r="AI344" s="91"/>
      <c r="AK344" s="46"/>
      <c r="AL344" s="46"/>
      <c r="AM344" s="17"/>
      <c r="AN344" s="539"/>
      <c r="AO344" s="91"/>
      <c r="AQ344" s="46"/>
      <c r="AR344" s="46"/>
      <c r="AS344" s="17"/>
      <c r="AT344" s="539"/>
      <c r="AU344" s="91"/>
      <c r="AW344" s="46"/>
      <c r="AX344" s="46"/>
      <c r="AY344" s="17"/>
      <c r="AZ344" s="539"/>
      <c r="BA344" s="91"/>
    </row>
    <row r="345" spans="1:53" ht="17.100000000000001" customHeight="1" x14ac:dyDescent="0.25">
      <c r="A345" s="68"/>
      <c r="B345" s="41" t="s">
        <v>180</v>
      </c>
      <c r="C345" s="69" t="s">
        <v>436</v>
      </c>
      <c r="D345" s="50"/>
      <c r="E345" s="70"/>
      <c r="F345" s="70"/>
      <c r="G345" s="70"/>
      <c r="H345" s="243">
        <v>43</v>
      </c>
      <c r="J345" s="71"/>
      <c r="K345" s="71"/>
      <c r="L345" s="71"/>
      <c r="M345" s="71"/>
      <c r="N345" s="71"/>
      <c r="O345" s="71"/>
      <c r="P345" s="71"/>
      <c r="Q345" s="71"/>
      <c r="R345" s="71"/>
      <c r="S345" s="71"/>
      <c r="T345" s="71"/>
      <c r="U345" s="71"/>
      <c r="V345" s="355"/>
      <c r="W345" s="377"/>
      <c r="X345" s="71"/>
      <c r="Y345" s="72"/>
      <c r="Z345" s="73"/>
      <c r="AA345" s="73"/>
      <c r="AB345" s="73"/>
      <c r="AC345" s="73"/>
      <c r="AE345" s="71"/>
      <c r="AF345" s="71"/>
      <c r="AG345" s="71"/>
      <c r="AH345" s="72"/>
      <c r="AI345" s="73"/>
      <c r="AK345" s="71"/>
      <c r="AL345" s="71"/>
      <c r="AM345" s="71"/>
      <c r="AN345" s="72"/>
      <c r="AO345" s="73"/>
      <c r="AQ345" s="71"/>
      <c r="AR345" s="71"/>
      <c r="AS345" s="71"/>
      <c r="AT345" s="72"/>
      <c r="AU345" s="73"/>
      <c r="AW345" s="71"/>
      <c r="AX345" s="71"/>
      <c r="AY345" s="71"/>
      <c r="AZ345" s="72"/>
      <c r="BA345" s="73"/>
    </row>
    <row r="346" spans="1:53" s="4" customFormat="1" ht="17.100000000000001" customHeight="1" x14ac:dyDescent="0.25">
      <c r="A346" s="40"/>
      <c r="B346" s="40"/>
      <c r="C346" s="74" t="s">
        <v>440</v>
      </c>
      <c r="D346" s="85" t="s">
        <v>162</v>
      </c>
      <c r="E346" s="75"/>
      <c r="F346" s="75"/>
      <c r="G346" s="75"/>
      <c r="H346" s="540"/>
      <c r="I346" s="229"/>
      <c r="J346" s="581">
        <v>5</v>
      </c>
      <c r="K346" s="581">
        <v>1</v>
      </c>
      <c r="L346" s="582">
        <v>12</v>
      </c>
      <c r="M346" s="593">
        <f t="shared" ref="M346:M353" si="452">SUM(J346:L346)</f>
        <v>18</v>
      </c>
      <c r="N346" s="111"/>
      <c r="O346" s="111"/>
      <c r="P346" s="111"/>
      <c r="Q346" s="111"/>
      <c r="R346" s="111"/>
      <c r="S346" s="111"/>
      <c r="T346" s="111"/>
      <c r="U346" s="111"/>
      <c r="V346" s="358"/>
      <c r="W346" s="391">
        <f t="shared" ref="W346:W353" si="453">J346+K346+N346+Q346+T346</f>
        <v>6</v>
      </c>
      <c r="X346" s="17">
        <f t="shared" ref="X346:X353" si="454">L346+O346+R346+U346</f>
        <v>12</v>
      </c>
      <c r="Y346" s="18">
        <f t="shared" ref="Y346:Y353" si="455">SUM(W346:X346)</f>
        <v>18</v>
      </c>
      <c r="Z346" s="19">
        <f t="shared" ref="Z346:Z351" si="456">IF(Y$354=0,0,Y346/Y$354)</f>
        <v>6.8702290076335881E-2</v>
      </c>
      <c r="AA346" s="19"/>
      <c r="AB346" s="19"/>
      <c r="AC346" s="20"/>
      <c r="AE346" s="17"/>
      <c r="AF346" s="17"/>
      <c r="AG346" s="17"/>
      <c r="AH346" s="18">
        <f t="shared" ref="AH346:AH353" si="457">J346</f>
        <v>5</v>
      </c>
      <c r="AI346" s="19">
        <f t="shared" ref="AI346:AI353" si="458">IF(AH$354=0,0,AH346/AH$354)</f>
        <v>0.3125</v>
      </c>
      <c r="AJ346" s="97"/>
      <c r="AK346" s="17"/>
      <c r="AL346" s="17"/>
      <c r="AM346" s="17"/>
      <c r="AN346" s="18">
        <f t="shared" ref="AN346:AN353" si="459">K346</f>
        <v>1</v>
      </c>
      <c r="AO346" s="19">
        <f t="shared" ref="AO346:AO353" si="460">IF(AN$354=0,0,AN346/AN$354)</f>
        <v>8.3333333333333329E-2</v>
      </c>
      <c r="AP346" s="97"/>
      <c r="AQ346" s="17"/>
      <c r="AR346" s="17"/>
      <c r="AS346" s="17"/>
      <c r="AT346" s="18">
        <f t="shared" ref="AT346:AT353" si="461">W346</f>
        <v>6</v>
      </c>
      <c r="AU346" s="19">
        <f t="shared" ref="AU346:AU353" si="462">IF(AT$354=0,0,AT346/AT$354)</f>
        <v>0.21428571428571427</v>
      </c>
      <c r="AV346" s="97"/>
      <c r="AW346" s="17"/>
      <c r="AX346" s="17"/>
      <c r="AY346" s="17"/>
      <c r="AZ346" s="18">
        <f t="shared" ref="AZ346:AZ353" si="463">X346</f>
        <v>12</v>
      </c>
      <c r="BA346" s="19">
        <f t="shared" ref="BA346:BA351" si="464">IF(AZ$354=0,0,AZ346/AZ$354)</f>
        <v>5.128205128205128E-2</v>
      </c>
    </row>
    <row r="347" spans="1:53" s="4" customFormat="1" ht="17.100000000000001" customHeight="1" x14ac:dyDescent="0.25">
      <c r="A347" s="40"/>
      <c r="B347" s="40"/>
      <c r="C347" s="74" t="s">
        <v>441</v>
      </c>
      <c r="D347" s="85" t="s">
        <v>165</v>
      </c>
      <c r="E347" s="75"/>
      <c r="F347" s="75"/>
      <c r="G347" s="75"/>
      <c r="H347" s="540"/>
      <c r="I347" s="229"/>
      <c r="J347" s="583">
        <v>2</v>
      </c>
      <c r="K347" s="583">
        <v>5</v>
      </c>
      <c r="L347" s="584">
        <v>186</v>
      </c>
      <c r="M347" s="593">
        <f t="shared" si="452"/>
        <v>193</v>
      </c>
      <c r="N347" s="111"/>
      <c r="O347" s="111"/>
      <c r="P347" s="111"/>
      <c r="Q347" s="111"/>
      <c r="R347" s="111"/>
      <c r="S347" s="111"/>
      <c r="T347" s="111"/>
      <c r="U347" s="111"/>
      <c r="V347" s="358"/>
      <c r="W347" s="391">
        <f t="shared" si="453"/>
        <v>7</v>
      </c>
      <c r="X347" s="17">
        <f t="shared" si="454"/>
        <v>186</v>
      </c>
      <c r="Y347" s="18">
        <f t="shared" si="455"/>
        <v>193</v>
      </c>
      <c r="Z347" s="19">
        <f t="shared" si="456"/>
        <v>0.73664122137404575</v>
      </c>
      <c r="AA347" s="19"/>
      <c r="AB347" s="19"/>
      <c r="AC347" s="20"/>
      <c r="AE347" s="17"/>
      <c r="AF347" s="17"/>
      <c r="AG347" s="17"/>
      <c r="AH347" s="18">
        <f t="shared" si="457"/>
        <v>2</v>
      </c>
      <c r="AI347" s="19">
        <f t="shared" si="458"/>
        <v>0.125</v>
      </c>
      <c r="AJ347" s="97"/>
      <c r="AK347" s="17"/>
      <c r="AL347" s="17"/>
      <c r="AM347" s="17"/>
      <c r="AN347" s="18">
        <f t="shared" si="459"/>
        <v>5</v>
      </c>
      <c r="AO347" s="19">
        <f t="shared" si="460"/>
        <v>0.41666666666666669</v>
      </c>
      <c r="AP347" s="97"/>
      <c r="AQ347" s="17"/>
      <c r="AR347" s="17"/>
      <c r="AS347" s="17"/>
      <c r="AT347" s="18">
        <f t="shared" si="461"/>
        <v>7</v>
      </c>
      <c r="AU347" s="19">
        <f t="shared" si="462"/>
        <v>0.25</v>
      </c>
      <c r="AV347" s="97"/>
      <c r="AW347" s="17"/>
      <c r="AX347" s="17"/>
      <c r="AY347" s="17"/>
      <c r="AZ347" s="18">
        <f t="shared" si="463"/>
        <v>186</v>
      </c>
      <c r="BA347" s="19">
        <f t="shared" si="464"/>
        <v>0.79487179487179482</v>
      </c>
    </row>
    <row r="348" spans="1:53" s="4" customFormat="1" ht="17.100000000000001" customHeight="1" x14ac:dyDescent="0.25">
      <c r="A348" s="40"/>
      <c r="B348" s="40"/>
      <c r="C348" s="74" t="s">
        <v>442</v>
      </c>
      <c r="D348" s="85" t="s">
        <v>167</v>
      </c>
      <c r="E348" s="75"/>
      <c r="F348" s="75"/>
      <c r="G348" s="75"/>
      <c r="H348" s="540"/>
      <c r="I348" s="229"/>
      <c r="J348" s="581"/>
      <c r="K348" s="581"/>
      <c r="L348" s="582">
        <v>6</v>
      </c>
      <c r="M348" s="593">
        <f t="shared" si="452"/>
        <v>6</v>
      </c>
      <c r="N348" s="111"/>
      <c r="O348" s="111"/>
      <c r="P348" s="111"/>
      <c r="Q348" s="111"/>
      <c r="R348" s="111"/>
      <c r="S348" s="111"/>
      <c r="T348" s="111"/>
      <c r="U348" s="111"/>
      <c r="V348" s="358"/>
      <c r="W348" s="391">
        <f t="shared" si="453"/>
        <v>0</v>
      </c>
      <c r="X348" s="17">
        <f t="shared" si="454"/>
        <v>6</v>
      </c>
      <c r="Y348" s="18">
        <f t="shared" si="455"/>
        <v>6</v>
      </c>
      <c r="Z348" s="19">
        <f t="shared" si="456"/>
        <v>2.2900763358778626E-2</v>
      </c>
      <c r="AA348" s="19"/>
      <c r="AB348" s="19"/>
      <c r="AC348" s="20"/>
      <c r="AE348" s="17"/>
      <c r="AF348" s="17"/>
      <c r="AG348" s="17"/>
      <c r="AH348" s="18">
        <f t="shared" si="457"/>
        <v>0</v>
      </c>
      <c r="AI348" s="19">
        <f t="shared" si="458"/>
        <v>0</v>
      </c>
      <c r="AJ348" s="97"/>
      <c r="AK348" s="17"/>
      <c r="AL348" s="17"/>
      <c r="AM348" s="17"/>
      <c r="AN348" s="18">
        <f t="shared" si="459"/>
        <v>0</v>
      </c>
      <c r="AO348" s="19">
        <f t="shared" si="460"/>
        <v>0</v>
      </c>
      <c r="AP348" s="97"/>
      <c r="AQ348" s="17"/>
      <c r="AR348" s="17"/>
      <c r="AS348" s="17"/>
      <c r="AT348" s="18">
        <f t="shared" si="461"/>
        <v>0</v>
      </c>
      <c r="AU348" s="19">
        <f t="shared" si="462"/>
        <v>0</v>
      </c>
      <c r="AV348" s="97"/>
      <c r="AW348" s="17"/>
      <c r="AX348" s="17"/>
      <c r="AY348" s="17"/>
      <c r="AZ348" s="18">
        <f t="shared" si="463"/>
        <v>6</v>
      </c>
      <c r="BA348" s="19">
        <f t="shared" si="464"/>
        <v>2.564102564102564E-2</v>
      </c>
    </row>
    <row r="349" spans="1:53" s="4" customFormat="1" ht="17.100000000000001" customHeight="1" x14ac:dyDescent="0.25">
      <c r="A349" s="40"/>
      <c r="B349" s="40"/>
      <c r="C349" s="74" t="s">
        <v>443</v>
      </c>
      <c r="D349" s="85" t="s">
        <v>437</v>
      </c>
      <c r="E349" s="75"/>
      <c r="F349" s="75"/>
      <c r="G349" s="75"/>
      <c r="H349" s="540"/>
      <c r="I349" s="229"/>
      <c r="J349" s="583"/>
      <c r="K349" s="583"/>
      <c r="L349" s="584">
        <v>7</v>
      </c>
      <c r="M349" s="593">
        <f t="shared" si="452"/>
        <v>7</v>
      </c>
      <c r="N349" s="111"/>
      <c r="O349" s="111"/>
      <c r="P349" s="111"/>
      <c r="Q349" s="111"/>
      <c r="R349" s="111"/>
      <c r="S349" s="111"/>
      <c r="T349" s="111"/>
      <c r="U349" s="111"/>
      <c r="V349" s="358"/>
      <c r="W349" s="391">
        <f t="shared" si="453"/>
        <v>0</v>
      </c>
      <c r="X349" s="17">
        <f t="shared" si="454"/>
        <v>7</v>
      </c>
      <c r="Y349" s="18">
        <f t="shared" si="455"/>
        <v>7</v>
      </c>
      <c r="Z349" s="19">
        <f t="shared" si="456"/>
        <v>2.6717557251908396E-2</v>
      </c>
      <c r="AA349" s="19"/>
      <c r="AB349" s="19"/>
      <c r="AC349" s="20"/>
      <c r="AE349" s="17"/>
      <c r="AF349" s="17"/>
      <c r="AG349" s="17"/>
      <c r="AH349" s="18">
        <f t="shared" si="457"/>
        <v>0</v>
      </c>
      <c r="AI349" s="19">
        <f t="shared" si="458"/>
        <v>0</v>
      </c>
      <c r="AJ349" s="97"/>
      <c r="AK349" s="17"/>
      <c r="AL349" s="17"/>
      <c r="AM349" s="17"/>
      <c r="AN349" s="18">
        <f t="shared" si="459"/>
        <v>0</v>
      </c>
      <c r="AO349" s="19">
        <f t="shared" si="460"/>
        <v>0</v>
      </c>
      <c r="AP349" s="97"/>
      <c r="AQ349" s="17"/>
      <c r="AR349" s="17"/>
      <c r="AS349" s="17"/>
      <c r="AT349" s="18">
        <f t="shared" si="461"/>
        <v>0</v>
      </c>
      <c r="AU349" s="19">
        <f t="shared" si="462"/>
        <v>0</v>
      </c>
      <c r="AV349" s="97"/>
      <c r="AW349" s="17"/>
      <c r="AX349" s="17"/>
      <c r="AY349" s="17"/>
      <c r="AZ349" s="18">
        <f t="shared" si="463"/>
        <v>7</v>
      </c>
      <c r="BA349" s="19">
        <f t="shared" si="464"/>
        <v>2.9914529914529916E-2</v>
      </c>
    </row>
    <row r="350" spans="1:53" s="4" customFormat="1" ht="17.100000000000001" customHeight="1" x14ac:dyDescent="0.25">
      <c r="A350" s="40"/>
      <c r="B350" s="40"/>
      <c r="C350" s="74" t="s">
        <v>444</v>
      </c>
      <c r="D350" s="85" t="s">
        <v>438</v>
      </c>
      <c r="E350" s="542"/>
      <c r="F350" s="542"/>
      <c r="G350" s="542"/>
      <c r="H350" s="540"/>
      <c r="I350" s="235"/>
      <c r="J350" s="581">
        <v>4</v>
      </c>
      <c r="K350" s="581">
        <v>1</v>
      </c>
      <c r="L350" s="582">
        <v>11</v>
      </c>
      <c r="M350" s="593">
        <f t="shared" si="452"/>
        <v>16</v>
      </c>
      <c r="N350" s="111"/>
      <c r="O350" s="111"/>
      <c r="P350" s="111"/>
      <c r="Q350" s="111"/>
      <c r="R350" s="111"/>
      <c r="S350" s="111"/>
      <c r="T350" s="111"/>
      <c r="U350" s="111"/>
      <c r="V350" s="358"/>
      <c r="W350" s="391">
        <f t="shared" si="453"/>
        <v>5</v>
      </c>
      <c r="X350" s="17">
        <f t="shared" si="454"/>
        <v>11</v>
      </c>
      <c r="Y350" s="18">
        <f t="shared" si="455"/>
        <v>16</v>
      </c>
      <c r="Z350" s="19">
        <f t="shared" si="456"/>
        <v>6.1068702290076333E-2</v>
      </c>
      <c r="AA350" s="19"/>
      <c r="AB350" s="19"/>
      <c r="AC350" s="20"/>
      <c r="AE350" s="17"/>
      <c r="AF350" s="17"/>
      <c r="AG350" s="17"/>
      <c r="AH350" s="18">
        <f t="shared" si="457"/>
        <v>4</v>
      </c>
      <c r="AI350" s="19">
        <f t="shared" si="458"/>
        <v>0.25</v>
      </c>
      <c r="AJ350" s="97"/>
      <c r="AK350" s="17"/>
      <c r="AL350" s="17"/>
      <c r="AM350" s="17"/>
      <c r="AN350" s="18">
        <f t="shared" si="459"/>
        <v>1</v>
      </c>
      <c r="AO350" s="19">
        <f t="shared" si="460"/>
        <v>8.3333333333333329E-2</v>
      </c>
      <c r="AP350" s="97"/>
      <c r="AQ350" s="17"/>
      <c r="AR350" s="17"/>
      <c r="AS350" s="17"/>
      <c r="AT350" s="18">
        <f t="shared" si="461"/>
        <v>5</v>
      </c>
      <c r="AU350" s="19">
        <f t="shared" si="462"/>
        <v>0.17857142857142858</v>
      </c>
      <c r="AV350" s="97"/>
      <c r="AW350" s="17"/>
      <c r="AX350" s="17"/>
      <c r="AY350" s="17"/>
      <c r="AZ350" s="18">
        <f t="shared" si="463"/>
        <v>11</v>
      </c>
      <c r="BA350" s="19">
        <f t="shared" si="464"/>
        <v>4.7008547008547008E-2</v>
      </c>
    </row>
    <row r="351" spans="1:53" s="4" customFormat="1" ht="17.100000000000001" customHeight="1" x14ac:dyDescent="0.25">
      <c r="A351" s="40"/>
      <c r="B351" s="40"/>
      <c r="C351" s="74" t="s">
        <v>445</v>
      </c>
      <c r="D351" s="85" t="s">
        <v>439</v>
      </c>
      <c r="E351" s="542"/>
      <c r="F351" s="542"/>
      <c r="G351" s="542"/>
      <c r="H351" s="540"/>
      <c r="I351" s="235"/>
      <c r="J351" s="583">
        <v>4</v>
      </c>
      <c r="K351" s="583">
        <v>5</v>
      </c>
      <c r="L351" s="584">
        <v>1</v>
      </c>
      <c r="M351" s="593">
        <f t="shared" si="452"/>
        <v>10</v>
      </c>
      <c r="N351" s="111"/>
      <c r="O351" s="111"/>
      <c r="P351" s="111"/>
      <c r="Q351" s="111"/>
      <c r="R351" s="111"/>
      <c r="S351" s="111"/>
      <c r="T351" s="111"/>
      <c r="U351" s="111"/>
      <c r="V351" s="358"/>
      <c r="W351" s="391">
        <f t="shared" si="453"/>
        <v>9</v>
      </c>
      <c r="X351" s="17">
        <f t="shared" si="454"/>
        <v>1</v>
      </c>
      <c r="Y351" s="18">
        <f t="shared" si="455"/>
        <v>10</v>
      </c>
      <c r="Z351" s="19">
        <f t="shared" si="456"/>
        <v>3.8167938931297711E-2</v>
      </c>
      <c r="AA351" s="19"/>
      <c r="AB351" s="19"/>
      <c r="AC351" s="20"/>
      <c r="AE351" s="17"/>
      <c r="AF351" s="17"/>
      <c r="AG351" s="17"/>
      <c r="AH351" s="18">
        <f t="shared" si="457"/>
        <v>4</v>
      </c>
      <c r="AI351" s="19">
        <f t="shared" si="458"/>
        <v>0.25</v>
      </c>
      <c r="AJ351" s="97"/>
      <c r="AK351" s="17"/>
      <c r="AL351" s="17"/>
      <c r="AM351" s="17"/>
      <c r="AN351" s="18">
        <f t="shared" si="459"/>
        <v>5</v>
      </c>
      <c r="AO351" s="19">
        <f t="shared" si="460"/>
        <v>0.41666666666666669</v>
      </c>
      <c r="AP351" s="97"/>
      <c r="AQ351" s="17"/>
      <c r="AR351" s="17"/>
      <c r="AS351" s="17"/>
      <c r="AT351" s="18">
        <f t="shared" si="461"/>
        <v>9</v>
      </c>
      <c r="AU351" s="19">
        <f t="shared" si="462"/>
        <v>0.32142857142857145</v>
      </c>
      <c r="AV351" s="97"/>
      <c r="AW351" s="17"/>
      <c r="AX351" s="17"/>
      <c r="AY351" s="17"/>
      <c r="AZ351" s="18">
        <f t="shared" si="463"/>
        <v>1</v>
      </c>
      <c r="BA351" s="19">
        <f t="shared" si="464"/>
        <v>4.2735042735042739E-3</v>
      </c>
    </row>
    <row r="352" spans="1:53" s="4" customFormat="1" ht="17.100000000000001" customHeight="1" x14ac:dyDescent="0.25">
      <c r="A352" s="40"/>
      <c r="B352" s="40"/>
      <c r="C352" s="74" t="s">
        <v>446</v>
      </c>
      <c r="D352" s="85" t="s">
        <v>129</v>
      </c>
      <c r="E352" s="542"/>
      <c r="F352" s="542"/>
      <c r="G352" s="542"/>
      <c r="H352" s="540"/>
      <c r="I352" s="235"/>
      <c r="J352" s="581"/>
      <c r="K352" s="581"/>
      <c r="L352" s="582"/>
      <c r="M352" s="593">
        <f t="shared" si="452"/>
        <v>0</v>
      </c>
      <c r="N352" s="111"/>
      <c r="O352" s="111"/>
      <c r="P352" s="111"/>
      <c r="Q352" s="111"/>
      <c r="R352" s="111"/>
      <c r="S352" s="111"/>
      <c r="T352" s="111"/>
      <c r="U352" s="111"/>
      <c r="V352" s="358"/>
      <c r="W352" s="391">
        <f t="shared" si="453"/>
        <v>0</v>
      </c>
      <c r="X352" s="17">
        <f t="shared" si="454"/>
        <v>0</v>
      </c>
      <c r="Y352" s="18">
        <f t="shared" si="455"/>
        <v>0</v>
      </c>
      <c r="Z352" s="19">
        <f t="shared" ref="Z352:Z353" si="465">IF(Y$354=0,0,Y352/Y$354)</f>
        <v>0</v>
      </c>
      <c r="AA352" s="19"/>
      <c r="AB352" s="19"/>
      <c r="AC352" s="20"/>
      <c r="AE352" s="17"/>
      <c r="AF352" s="17"/>
      <c r="AG352" s="17"/>
      <c r="AH352" s="18">
        <f t="shared" si="457"/>
        <v>0</v>
      </c>
      <c r="AI352" s="19">
        <f t="shared" si="458"/>
        <v>0</v>
      </c>
      <c r="AJ352" s="97"/>
      <c r="AK352" s="17"/>
      <c r="AL352" s="17"/>
      <c r="AM352" s="17"/>
      <c r="AN352" s="18">
        <f t="shared" si="459"/>
        <v>0</v>
      </c>
      <c r="AO352" s="19">
        <f t="shared" si="460"/>
        <v>0</v>
      </c>
      <c r="AP352" s="97"/>
      <c r="AQ352" s="17"/>
      <c r="AR352" s="17"/>
      <c r="AS352" s="17"/>
      <c r="AT352" s="18">
        <f t="shared" si="461"/>
        <v>0</v>
      </c>
      <c r="AU352" s="19">
        <f t="shared" si="462"/>
        <v>0</v>
      </c>
      <c r="AV352" s="97"/>
      <c r="AW352" s="17"/>
      <c r="AX352" s="17"/>
      <c r="AY352" s="17"/>
      <c r="AZ352" s="18">
        <f t="shared" si="463"/>
        <v>0</v>
      </c>
      <c r="BA352" s="19">
        <f t="shared" ref="BA352:BA353" si="466">IF(AZ$354=0,0,AZ352/AZ$354)</f>
        <v>0</v>
      </c>
    </row>
    <row r="353" spans="1:53" s="4" customFormat="1" ht="17.100000000000001" customHeight="1" x14ac:dyDescent="0.25">
      <c r="A353" s="40"/>
      <c r="B353" s="40"/>
      <c r="C353" s="74" t="s">
        <v>545</v>
      </c>
      <c r="D353" s="85" t="s">
        <v>530</v>
      </c>
      <c r="E353" s="542"/>
      <c r="F353" s="542"/>
      <c r="G353" s="542"/>
      <c r="H353" s="540"/>
      <c r="I353" s="235"/>
      <c r="J353" s="583">
        <v>1</v>
      </c>
      <c r="K353" s="583"/>
      <c r="L353" s="584">
        <v>11</v>
      </c>
      <c r="M353" s="593">
        <f t="shared" si="452"/>
        <v>12</v>
      </c>
      <c r="N353" s="111"/>
      <c r="O353" s="111"/>
      <c r="P353" s="111"/>
      <c r="Q353" s="111"/>
      <c r="R353" s="111"/>
      <c r="S353" s="111"/>
      <c r="T353" s="111"/>
      <c r="U353" s="111"/>
      <c r="V353" s="358"/>
      <c r="W353" s="391">
        <f t="shared" si="453"/>
        <v>1</v>
      </c>
      <c r="X353" s="17">
        <f t="shared" si="454"/>
        <v>11</v>
      </c>
      <c r="Y353" s="18">
        <f t="shared" si="455"/>
        <v>12</v>
      </c>
      <c r="Z353" s="19">
        <f t="shared" si="465"/>
        <v>4.5801526717557252E-2</v>
      </c>
      <c r="AA353" s="19"/>
      <c r="AB353" s="19"/>
      <c r="AC353" s="20"/>
      <c r="AE353" s="17"/>
      <c r="AF353" s="17"/>
      <c r="AG353" s="17"/>
      <c r="AH353" s="18">
        <f t="shared" si="457"/>
        <v>1</v>
      </c>
      <c r="AI353" s="19">
        <f t="shared" si="458"/>
        <v>6.25E-2</v>
      </c>
      <c r="AJ353" s="97"/>
      <c r="AK353" s="17"/>
      <c r="AL353" s="17"/>
      <c r="AM353" s="17"/>
      <c r="AN353" s="18">
        <f t="shared" si="459"/>
        <v>0</v>
      </c>
      <c r="AO353" s="19">
        <f t="shared" si="460"/>
        <v>0</v>
      </c>
      <c r="AP353" s="97"/>
      <c r="AQ353" s="17"/>
      <c r="AR353" s="17"/>
      <c r="AS353" s="17"/>
      <c r="AT353" s="18">
        <f t="shared" si="461"/>
        <v>1</v>
      </c>
      <c r="AU353" s="19">
        <f t="shared" si="462"/>
        <v>3.5714285714285712E-2</v>
      </c>
      <c r="AV353" s="97"/>
      <c r="AW353" s="17"/>
      <c r="AX353" s="17"/>
      <c r="AY353" s="17"/>
      <c r="AZ353" s="18">
        <f t="shared" si="463"/>
        <v>11</v>
      </c>
      <c r="BA353" s="19">
        <f t="shared" si="466"/>
        <v>4.7008547008547008E-2</v>
      </c>
    </row>
    <row r="354" spans="1:53" s="4" customFormat="1" ht="17.100000000000001" customHeight="1" x14ac:dyDescent="0.25">
      <c r="A354" s="40"/>
      <c r="B354" s="40"/>
      <c r="C354" s="77"/>
      <c r="D354" s="134"/>
      <c r="E354" s="134"/>
      <c r="F354" s="134"/>
      <c r="G354" s="134"/>
      <c r="H354" s="540"/>
      <c r="I354" s="229"/>
      <c r="J354" s="80">
        <f>SUM(J346:J353)</f>
        <v>16</v>
      </c>
      <c r="K354" s="80">
        <f t="shared" ref="K354:M354" si="467">SUM(K346:K353)</f>
        <v>12</v>
      </c>
      <c r="L354" s="80">
        <f t="shared" si="467"/>
        <v>234</v>
      </c>
      <c r="M354" s="80">
        <f t="shared" si="467"/>
        <v>262</v>
      </c>
      <c r="N354" s="81"/>
      <c r="O354" s="81"/>
      <c r="P354" s="81"/>
      <c r="Q354" s="81"/>
      <c r="R354" s="81"/>
      <c r="S354" s="81"/>
      <c r="T354" s="81"/>
      <c r="U354" s="81"/>
      <c r="V354" s="356"/>
      <c r="W354" s="381">
        <f>SUM(W346:W353)</f>
        <v>28</v>
      </c>
      <c r="X354" s="82">
        <f t="shared" ref="X354:Y354" si="468">SUM(X346:X353)</f>
        <v>234</v>
      </c>
      <c r="Y354" s="82">
        <f t="shared" si="468"/>
        <v>262</v>
      </c>
      <c r="Z354" s="205">
        <f>IF(Y$354=0,0,Y354/Y$354)</f>
        <v>1</v>
      </c>
      <c r="AA354" s="205"/>
      <c r="AB354" s="205"/>
      <c r="AC354" s="83"/>
      <c r="AE354" s="80"/>
      <c r="AF354" s="80"/>
      <c r="AG354" s="81"/>
      <c r="AH354" s="82">
        <f>SUM(AH346:AH353)</f>
        <v>16</v>
      </c>
      <c r="AI354" s="66">
        <f>IF(AH$354=0,0,AH354/AH$354)</f>
        <v>1</v>
      </c>
      <c r="AJ354" s="97"/>
      <c r="AK354" s="80"/>
      <c r="AL354" s="80"/>
      <c r="AM354" s="81"/>
      <c r="AN354" s="82">
        <f>SUM(AN346:AN353)</f>
        <v>12</v>
      </c>
      <c r="AO354" s="66">
        <f>IF(AN$354=0,0,AN354/AN$354)</f>
        <v>1</v>
      </c>
      <c r="AP354" s="97"/>
      <c r="AQ354" s="80"/>
      <c r="AR354" s="80"/>
      <c r="AS354" s="81"/>
      <c r="AT354" s="82">
        <f>SUM(AT346:AT353)</f>
        <v>28</v>
      </c>
      <c r="AU354" s="66">
        <f>IF(AT$354=0,0,AT354/AT$354)</f>
        <v>1</v>
      </c>
      <c r="AV354" s="97"/>
      <c r="AW354" s="80"/>
      <c r="AX354" s="80"/>
      <c r="AY354" s="81"/>
      <c r="AZ354" s="82">
        <f>SUM(AZ346:AZ353)</f>
        <v>234</v>
      </c>
      <c r="BA354" s="66">
        <f>IF(AZ$354=0,0,AZ354/AZ$354)</f>
        <v>1</v>
      </c>
    </row>
    <row r="355" spans="1:53" s="117" customFormat="1" ht="17.100000000000001" customHeight="1" x14ac:dyDescent="0.25">
      <c r="A355" s="68"/>
      <c r="B355" s="119"/>
      <c r="C355" s="540"/>
      <c r="D355" s="261"/>
      <c r="E355" s="261"/>
      <c r="F355" s="68"/>
      <c r="G355" s="68"/>
      <c r="H355" s="119"/>
      <c r="I355" s="138"/>
      <c r="J355" s="17" t="str">
        <f>IF(J354=J$15,"OK","NOK")</f>
        <v>OK</v>
      </c>
      <c r="K355" s="17" t="str">
        <f t="shared" ref="K355" si="469">IF(K354=K$15,"OK","NOK")</f>
        <v>OK</v>
      </c>
      <c r="L355" s="17" t="str">
        <f t="shared" ref="L355" si="470">IF(L354=L$15,"OK","NOK")</f>
        <v>OK</v>
      </c>
      <c r="M355" s="17"/>
      <c r="N355" s="17"/>
      <c r="O355" s="17"/>
      <c r="P355" s="17"/>
      <c r="Q355" s="17"/>
      <c r="R355" s="17"/>
      <c r="S355" s="17"/>
      <c r="T355" s="17"/>
      <c r="U355" s="17"/>
      <c r="V355" s="359"/>
      <c r="W355" s="382"/>
      <c r="X355" s="539"/>
      <c r="Y355" s="539"/>
      <c r="Z355" s="201"/>
      <c r="AA355" s="201"/>
      <c r="AB355" s="201"/>
      <c r="AC355" s="84"/>
      <c r="AE355" s="46"/>
      <c r="AF355" s="46"/>
      <c r="AG355" s="17"/>
      <c r="AH355" s="539"/>
      <c r="AI355" s="91"/>
      <c r="AK355" s="46"/>
      <c r="AL355" s="46"/>
      <c r="AM355" s="17"/>
      <c r="AN355" s="539"/>
      <c r="AO355" s="91"/>
      <c r="AQ355" s="46"/>
      <c r="AR355" s="46"/>
      <c r="AS355" s="17"/>
      <c r="AT355" s="539"/>
      <c r="AU355" s="91"/>
      <c r="AW355" s="46"/>
      <c r="AX355" s="46"/>
      <c r="AY355" s="17"/>
      <c r="AZ355" s="539"/>
      <c r="BA355" s="91"/>
    </row>
    <row r="356" spans="1:53" ht="17.100000000000001" customHeight="1" x14ac:dyDescent="0.25">
      <c r="A356" s="68"/>
      <c r="B356" s="41" t="s">
        <v>447</v>
      </c>
      <c r="C356" s="69" t="s">
        <v>448</v>
      </c>
      <c r="D356" s="50"/>
      <c r="E356" s="70"/>
      <c r="F356" s="70"/>
      <c r="G356" s="70"/>
      <c r="H356" s="243">
        <v>47</v>
      </c>
      <c r="J356" s="71"/>
      <c r="K356" s="71"/>
      <c r="L356" s="71"/>
      <c r="M356" s="71"/>
      <c r="N356" s="71"/>
      <c r="O356" s="71"/>
      <c r="P356" s="71"/>
      <c r="Q356" s="71"/>
      <c r="R356" s="71"/>
      <c r="S356" s="71"/>
      <c r="T356" s="71"/>
      <c r="U356" s="71"/>
      <c r="V356" s="355"/>
      <c r="W356" s="377"/>
      <c r="X356" s="71"/>
      <c r="Y356" s="72"/>
      <c r="Z356" s="73"/>
      <c r="AA356" s="73"/>
      <c r="AB356" s="73"/>
      <c r="AC356" s="73"/>
      <c r="AE356" s="71"/>
      <c r="AF356" s="71"/>
      <c r="AG356" s="71"/>
      <c r="AH356" s="72"/>
      <c r="AI356" s="73"/>
      <c r="AK356" s="71"/>
      <c r="AL356" s="71"/>
      <c r="AM356" s="71"/>
      <c r="AN356" s="72"/>
      <c r="AO356" s="73"/>
      <c r="AQ356" s="71"/>
      <c r="AR356" s="71"/>
      <c r="AS356" s="71"/>
      <c r="AT356" s="72"/>
      <c r="AU356" s="73"/>
      <c r="AW356" s="71"/>
      <c r="AX356" s="71"/>
      <c r="AY356" s="71"/>
      <c r="AZ356" s="72"/>
      <c r="BA356" s="73"/>
    </row>
    <row r="357" spans="1:53" s="4" customFormat="1" ht="17.100000000000001" customHeight="1" x14ac:dyDescent="0.25">
      <c r="A357" s="40"/>
      <c r="B357" s="40"/>
      <c r="C357" s="74" t="s">
        <v>449</v>
      </c>
      <c r="D357" s="85" t="s">
        <v>9</v>
      </c>
      <c r="E357" s="75"/>
      <c r="F357" s="75"/>
      <c r="G357" s="75"/>
      <c r="H357" s="540"/>
      <c r="I357" s="229"/>
      <c r="J357" s="581">
        <v>1</v>
      </c>
      <c r="K357" s="581"/>
      <c r="L357" s="582">
        <v>15</v>
      </c>
      <c r="M357" s="593">
        <f t="shared" ref="M357:M359" si="471">SUM(J357:L357)</f>
        <v>16</v>
      </c>
      <c r="N357" s="111"/>
      <c r="O357" s="111"/>
      <c r="P357" s="111"/>
      <c r="Q357" s="111"/>
      <c r="R357" s="111"/>
      <c r="S357" s="111"/>
      <c r="T357" s="111"/>
      <c r="U357" s="111"/>
      <c r="V357" s="358"/>
      <c r="W357" s="391">
        <f t="shared" ref="W357:W359" si="472">J357+K357+N357+Q357+T357</f>
        <v>1</v>
      </c>
      <c r="X357" s="17">
        <f t="shared" ref="X357:X359" si="473">L357+O357+R357+U357</f>
        <v>15</v>
      </c>
      <c r="Y357" s="18">
        <f>SUM(W357:X357)</f>
        <v>16</v>
      </c>
      <c r="Z357" s="19">
        <f>IF(Y$360=0,0,Y357/Y$360)</f>
        <v>6.1068702290076333E-2</v>
      </c>
      <c r="AA357" s="19"/>
      <c r="AB357" s="19"/>
      <c r="AC357" s="20"/>
      <c r="AE357" s="17"/>
      <c r="AF357" s="17"/>
      <c r="AG357" s="17"/>
      <c r="AH357" s="18">
        <f t="shared" ref="AH357:AH359" si="474">J357</f>
        <v>1</v>
      </c>
      <c r="AI357" s="19">
        <f>IF(AH$360=0,0,AH357/AH$360)</f>
        <v>6.25E-2</v>
      </c>
      <c r="AJ357" s="97"/>
      <c r="AK357" s="17"/>
      <c r="AL357" s="17"/>
      <c r="AM357" s="17"/>
      <c r="AN357" s="18">
        <f t="shared" ref="AN357:AN359" si="475">K357</f>
        <v>0</v>
      </c>
      <c r="AO357" s="19">
        <f>IF(AN$360=0,0,AN357/AN$360)</f>
        <v>0</v>
      </c>
      <c r="AP357" s="97"/>
      <c r="AQ357" s="17"/>
      <c r="AR357" s="17"/>
      <c r="AS357" s="17"/>
      <c r="AT357" s="18">
        <f t="shared" ref="AT357:AT359" si="476">W357</f>
        <v>1</v>
      </c>
      <c r="AU357" s="19">
        <f>IF(AT$360=0,0,AT357/AT$360)</f>
        <v>3.5714285714285712E-2</v>
      </c>
      <c r="AV357" s="97"/>
      <c r="AW357" s="17"/>
      <c r="AX357" s="17"/>
      <c r="AY357" s="17"/>
      <c r="AZ357" s="18">
        <f t="shared" ref="AZ357:AZ359" si="477">X357</f>
        <v>15</v>
      </c>
      <c r="BA357" s="19">
        <f>IF(AZ$360=0,0,AZ357/AZ$360)</f>
        <v>6.4102564102564097E-2</v>
      </c>
    </row>
    <row r="358" spans="1:53" s="4" customFormat="1" ht="17.100000000000001" customHeight="1" x14ac:dyDescent="0.25">
      <c r="A358" s="40"/>
      <c r="B358" s="40"/>
      <c r="C358" s="74" t="s">
        <v>450</v>
      </c>
      <c r="D358" s="85" t="s">
        <v>10</v>
      </c>
      <c r="E358" s="75"/>
      <c r="F358" s="75"/>
      <c r="G358" s="75"/>
      <c r="H358" s="540"/>
      <c r="I358" s="229"/>
      <c r="J358" s="583">
        <v>15</v>
      </c>
      <c r="K358" s="583">
        <v>12</v>
      </c>
      <c r="L358" s="584">
        <v>215</v>
      </c>
      <c r="M358" s="593">
        <f t="shared" si="471"/>
        <v>242</v>
      </c>
      <c r="N358" s="111"/>
      <c r="O358" s="111"/>
      <c r="P358" s="111"/>
      <c r="Q358" s="111"/>
      <c r="R358" s="111"/>
      <c r="S358" s="111"/>
      <c r="T358" s="111"/>
      <c r="U358" s="111"/>
      <c r="V358" s="358"/>
      <c r="W358" s="391">
        <f t="shared" si="472"/>
        <v>27</v>
      </c>
      <c r="X358" s="17">
        <f t="shared" si="473"/>
        <v>215</v>
      </c>
      <c r="Y358" s="18">
        <f>SUM(W358:X358)</f>
        <v>242</v>
      </c>
      <c r="Z358" s="19">
        <f t="shared" ref="Z358:Z360" si="478">IF(Y$360=0,0,Y358/Y$360)</f>
        <v>0.92366412213740456</v>
      </c>
      <c r="AA358" s="19"/>
      <c r="AB358" s="19"/>
      <c r="AC358" s="20"/>
      <c r="AE358" s="17"/>
      <c r="AF358" s="17"/>
      <c r="AG358" s="17"/>
      <c r="AH358" s="18">
        <f t="shared" si="474"/>
        <v>15</v>
      </c>
      <c r="AI358" s="19">
        <f t="shared" ref="AI358:AI360" si="479">IF(AH$360=0,0,AH358/AH$360)</f>
        <v>0.9375</v>
      </c>
      <c r="AJ358" s="97"/>
      <c r="AK358" s="17"/>
      <c r="AL358" s="17"/>
      <c r="AM358" s="17"/>
      <c r="AN358" s="18">
        <f t="shared" si="475"/>
        <v>12</v>
      </c>
      <c r="AO358" s="19">
        <f t="shared" ref="AO358:AO360" si="480">IF(AN$360=0,0,AN358/AN$360)</f>
        <v>1</v>
      </c>
      <c r="AP358" s="97"/>
      <c r="AQ358" s="17"/>
      <c r="AR358" s="17"/>
      <c r="AS358" s="17"/>
      <c r="AT358" s="18">
        <f t="shared" si="476"/>
        <v>27</v>
      </c>
      <c r="AU358" s="19">
        <f t="shared" ref="AU358:AU360" si="481">IF(AT$360=0,0,AT358/AT$360)</f>
        <v>0.9642857142857143</v>
      </c>
      <c r="AV358" s="97"/>
      <c r="AW358" s="17"/>
      <c r="AX358" s="17"/>
      <c r="AY358" s="17"/>
      <c r="AZ358" s="18">
        <f t="shared" si="477"/>
        <v>215</v>
      </c>
      <c r="BA358" s="19">
        <f t="shared" ref="BA358:BA360" si="482">IF(AZ$360=0,0,AZ358/AZ$360)</f>
        <v>0.91880341880341876</v>
      </c>
    </row>
    <row r="359" spans="1:53" s="4" customFormat="1" ht="17.100000000000001" customHeight="1" x14ac:dyDescent="0.25">
      <c r="A359" s="40"/>
      <c r="B359" s="40"/>
      <c r="C359" s="74" t="s">
        <v>451</v>
      </c>
      <c r="D359" s="85" t="s">
        <v>129</v>
      </c>
      <c r="E359" s="75"/>
      <c r="F359" s="75"/>
      <c r="G359" s="75"/>
      <c r="H359" s="540"/>
      <c r="I359" s="229"/>
      <c r="J359" s="581"/>
      <c r="K359" s="581"/>
      <c r="L359" s="582">
        <v>4</v>
      </c>
      <c r="M359" s="593">
        <f t="shared" si="471"/>
        <v>4</v>
      </c>
      <c r="N359" s="111"/>
      <c r="O359" s="111"/>
      <c r="P359" s="111"/>
      <c r="Q359" s="111"/>
      <c r="R359" s="111"/>
      <c r="S359" s="111"/>
      <c r="T359" s="111"/>
      <c r="U359" s="111"/>
      <c r="V359" s="358"/>
      <c r="W359" s="391">
        <f t="shared" si="472"/>
        <v>0</v>
      </c>
      <c r="X359" s="17">
        <f t="shared" si="473"/>
        <v>4</v>
      </c>
      <c r="Y359" s="18">
        <f>SUM(W359:X359)</f>
        <v>4</v>
      </c>
      <c r="Z359" s="19">
        <f t="shared" si="478"/>
        <v>1.5267175572519083E-2</v>
      </c>
      <c r="AA359" s="19"/>
      <c r="AB359" s="19"/>
      <c r="AC359" s="20"/>
      <c r="AE359" s="17"/>
      <c r="AF359" s="17"/>
      <c r="AG359" s="17"/>
      <c r="AH359" s="18">
        <f t="shared" si="474"/>
        <v>0</v>
      </c>
      <c r="AI359" s="19">
        <f t="shared" si="479"/>
        <v>0</v>
      </c>
      <c r="AJ359" s="97"/>
      <c r="AK359" s="17"/>
      <c r="AL359" s="17"/>
      <c r="AM359" s="17"/>
      <c r="AN359" s="18">
        <f t="shared" si="475"/>
        <v>0</v>
      </c>
      <c r="AO359" s="19">
        <f t="shared" si="480"/>
        <v>0</v>
      </c>
      <c r="AP359" s="97"/>
      <c r="AQ359" s="17"/>
      <c r="AR359" s="17"/>
      <c r="AS359" s="17"/>
      <c r="AT359" s="18">
        <f t="shared" si="476"/>
        <v>0</v>
      </c>
      <c r="AU359" s="19">
        <f t="shared" si="481"/>
        <v>0</v>
      </c>
      <c r="AV359" s="97"/>
      <c r="AW359" s="17"/>
      <c r="AX359" s="17"/>
      <c r="AY359" s="17"/>
      <c r="AZ359" s="18">
        <f t="shared" si="477"/>
        <v>4</v>
      </c>
      <c r="BA359" s="19">
        <f t="shared" si="482"/>
        <v>1.7094017094017096E-2</v>
      </c>
    </row>
    <row r="360" spans="1:53" s="4" customFormat="1" ht="17.100000000000001" customHeight="1" x14ac:dyDescent="0.25">
      <c r="A360" s="40"/>
      <c r="B360" s="40"/>
      <c r="C360" s="77"/>
      <c r="D360" s="134"/>
      <c r="E360" s="134"/>
      <c r="F360" s="134"/>
      <c r="G360" s="134"/>
      <c r="H360" s="540"/>
      <c r="I360" s="229"/>
      <c r="J360" s="80">
        <f>SUM(J357:J359)</f>
        <v>16</v>
      </c>
      <c r="K360" s="80">
        <f t="shared" ref="K360:M360" si="483">SUM(K357:K359)</f>
        <v>12</v>
      </c>
      <c r="L360" s="80">
        <f t="shared" si="483"/>
        <v>234</v>
      </c>
      <c r="M360" s="80">
        <f t="shared" si="483"/>
        <v>262</v>
      </c>
      <c r="N360" s="81"/>
      <c r="O360" s="81"/>
      <c r="P360" s="81"/>
      <c r="Q360" s="81"/>
      <c r="R360" s="81"/>
      <c r="S360" s="81"/>
      <c r="T360" s="81"/>
      <c r="U360" s="81"/>
      <c r="V360" s="356"/>
      <c r="W360" s="381">
        <f>SUM(W357:W359)</f>
        <v>28</v>
      </c>
      <c r="X360" s="82">
        <f t="shared" ref="X360:Y360" si="484">SUM(X357:X359)</f>
        <v>234</v>
      </c>
      <c r="Y360" s="82">
        <f t="shared" si="484"/>
        <v>262</v>
      </c>
      <c r="Z360" s="205">
        <f t="shared" si="478"/>
        <v>1</v>
      </c>
      <c r="AA360" s="205"/>
      <c r="AB360" s="205"/>
      <c r="AC360" s="83"/>
      <c r="AE360" s="80"/>
      <c r="AF360" s="80"/>
      <c r="AG360" s="81"/>
      <c r="AH360" s="82">
        <f>SUM(AH357:AH359)</f>
        <v>16</v>
      </c>
      <c r="AI360" s="66">
        <f t="shared" si="479"/>
        <v>1</v>
      </c>
      <c r="AJ360" s="97"/>
      <c r="AK360" s="80"/>
      <c r="AL360" s="80"/>
      <c r="AM360" s="81"/>
      <c r="AN360" s="82">
        <f>SUM(AN357:AN359)</f>
        <v>12</v>
      </c>
      <c r="AO360" s="66">
        <f t="shared" si="480"/>
        <v>1</v>
      </c>
      <c r="AP360" s="97"/>
      <c r="AQ360" s="80"/>
      <c r="AR360" s="80"/>
      <c r="AS360" s="81"/>
      <c r="AT360" s="82">
        <f>SUM(AT357:AT359)</f>
        <v>28</v>
      </c>
      <c r="AU360" s="66">
        <f t="shared" si="481"/>
        <v>1</v>
      </c>
      <c r="AV360" s="97"/>
      <c r="AW360" s="80"/>
      <c r="AX360" s="80"/>
      <c r="AY360" s="81"/>
      <c r="AZ360" s="82">
        <f>SUM(AZ357:AZ359)</f>
        <v>234</v>
      </c>
      <c r="BA360" s="66">
        <f t="shared" si="482"/>
        <v>1</v>
      </c>
    </row>
    <row r="361" spans="1:53" s="117" customFormat="1" ht="17.100000000000001" customHeight="1" x14ac:dyDescent="0.25">
      <c r="A361" s="68"/>
      <c r="B361" s="119"/>
      <c r="C361" s="540"/>
      <c r="D361" s="261"/>
      <c r="E361" s="261"/>
      <c r="F361" s="68"/>
      <c r="G361" s="68"/>
      <c r="H361" s="119"/>
      <c r="I361" s="138"/>
      <c r="J361" s="17" t="str">
        <f>IF(J360=J$15,"OK","NOK")</f>
        <v>OK</v>
      </c>
      <c r="K361" s="17" t="str">
        <f t="shared" ref="K361" si="485">IF(K360=K$15,"OK","NOK")</f>
        <v>OK</v>
      </c>
      <c r="L361" s="17" t="str">
        <f t="shared" ref="L361" si="486">IF(L360=L$15,"OK","NOK")</f>
        <v>OK</v>
      </c>
      <c r="M361" s="17"/>
      <c r="N361" s="17"/>
      <c r="O361" s="17"/>
      <c r="P361" s="17"/>
      <c r="Q361" s="17"/>
      <c r="R361" s="17"/>
      <c r="S361" s="17"/>
      <c r="T361" s="17"/>
      <c r="U361" s="17"/>
      <c r="V361" s="359"/>
      <c r="W361" s="382"/>
      <c r="X361" s="539"/>
      <c r="Y361" s="539"/>
      <c r="Z361" s="201"/>
      <c r="AA361" s="201"/>
      <c r="AB361" s="201"/>
      <c r="AC361" s="84"/>
      <c r="AE361" s="46"/>
      <c r="AF361" s="46"/>
      <c r="AG361" s="17"/>
      <c r="AH361" s="539"/>
      <c r="AI361" s="91"/>
      <c r="AK361" s="46"/>
      <c r="AL361" s="46"/>
      <c r="AM361" s="17"/>
      <c r="AN361" s="539"/>
      <c r="AO361" s="91"/>
      <c r="AQ361" s="46"/>
      <c r="AR361" s="46"/>
      <c r="AS361" s="17"/>
      <c r="AT361" s="539"/>
      <c r="AU361" s="91"/>
      <c r="AW361" s="46"/>
      <c r="AX361" s="46"/>
      <c r="AY361" s="17"/>
      <c r="AZ361" s="539"/>
      <c r="BA361" s="91"/>
    </row>
    <row r="362" spans="1:53" ht="17.100000000000001" customHeight="1" x14ac:dyDescent="0.25">
      <c r="A362" s="68"/>
      <c r="B362" s="41" t="s">
        <v>452</v>
      </c>
      <c r="C362" s="69" t="s">
        <v>453</v>
      </c>
      <c r="D362" s="50"/>
      <c r="E362" s="70"/>
      <c r="F362" s="70"/>
      <c r="G362" s="70"/>
      <c r="H362" s="243">
        <v>48</v>
      </c>
      <c r="J362" s="71"/>
      <c r="K362" s="71"/>
      <c r="L362" s="71"/>
      <c r="M362" s="71"/>
      <c r="N362" s="71"/>
      <c r="O362" s="71"/>
      <c r="P362" s="71"/>
      <c r="Q362" s="71"/>
      <c r="R362" s="71"/>
      <c r="S362" s="71"/>
      <c r="T362" s="71"/>
      <c r="U362" s="71"/>
      <c r="V362" s="355"/>
      <c r="W362" s="377"/>
      <c r="X362" s="71"/>
      <c r="Y362" s="72"/>
      <c r="Z362" s="73"/>
      <c r="AA362" s="73"/>
      <c r="AB362" s="73"/>
      <c r="AC362" s="73"/>
      <c r="AE362" s="71"/>
      <c r="AF362" s="71"/>
      <c r="AG362" s="71"/>
      <c r="AH362" s="72"/>
      <c r="AI362" s="73"/>
      <c r="AK362" s="71"/>
      <c r="AL362" s="71"/>
      <c r="AM362" s="71"/>
      <c r="AN362" s="72"/>
      <c r="AO362" s="73"/>
      <c r="AQ362" s="71"/>
      <c r="AR362" s="71"/>
      <c r="AS362" s="71"/>
      <c r="AT362" s="72"/>
      <c r="AU362" s="73"/>
      <c r="AW362" s="71"/>
      <c r="AX362" s="71"/>
      <c r="AY362" s="71"/>
      <c r="AZ362" s="72"/>
      <c r="BA362" s="73"/>
    </row>
    <row r="363" spans="1:53" s="4" customFormat="1" ht="17.100000000000001" customHeight="1" x14ac:dyDescent="0.25">
      <c r="A363" s="40"/>
      <c r="B363" s="40"/>
      <c r="C363" s="74" t="s">
        <v>454</v>
      </c>
      <c r="D363" s="85" t="s">
        <v>173</v>
      </c>
      <c r="E363" s="542"/>
      <c r="F363" s="542"/>
      <c r="G363" s="542"/>
      <c r="H363" s="540"/>
      <c r="I363" s="235"/>
      <c r="J363" s="581"/>
      <c r="K363" s="581"/>
      <c r="L363" s="582"/>
      <c r="M363" s="593">
        <f t="shared" ref="M363:M369" si="487">SUM(J363:L363)</f>
        <v>0</v>
      </c>
      <c r="N363" s="111"/>
      <c r="O363" s="111"/>
      <c r="P363" s="111"/>
      <c r="Q363" s="111"/>
      <c r="R363" s="111"/>
      <c r="S363" s="111"/>
      <c r="T363" s="111"/>
      <c r="U363" s="111"/>
      <c r="V363" s="358"/>
      <c r="W363" s="391">
        <f t="shared" ref="W363:W364" si="488">J363+K363+N363+Q363+T363</f>
        <v>0</v>
      </c>
      <c r="X363" s="17">
        <f t="shared" ref="X363:X364" si="489">L363+O363+R363+U363</f>
        <v>0</v>
      </c>
      <c r="Y363" s="18">
        <f>SUM(W363:X363)</f>
        <v>0</v>
      </c>
      <c r="Z363" s="19">
        <f>IF(Y$370=0,0,Y363/Y$370)</f>
        <v>0</v>
      </c>
      <c r="AA363" s="19"/>
      <c r="AB363" s="19"/>
      <c r="AC363" s="20"/>
      <c r="AE363" s="17"/>
      <c r="AF363" s="17"/>
      <c r="AG363" s="17"/>
      <c r="AH363" s="18">
        <f>J363</f>
        <v>0</v>
      </c>
      <c r="AI363" s="19">
        <f>IF(AH$370=0,0,AH363/AH$370)</f>
        <v>0</v>
      </c>
      <c r="AJ363" s="97"/>
      <c r="AK363" s="17"/>
      <c r="AL363" s="17"/>
      <c r="AM363" s="17"/>
      <c r="AN363" s="18">
        <f>K363</f>
        <v>0</v>
      </c>
      <c r="AO363" s="19">
        <f>IF(AN$370=0,0,AN363/AN$370)</f>
        <v>0</v>
      </c>
      <c r="AP363" s="97"/>
      <c r="AQ363" s="17"/>
      <c r="AR363" s="17"/>
      <c r="AS363" s="17"/>
      <c r="AT363" s="18">
        <f>W363</f>
        <v>0</v>
      </c>
      <c r="AU363" s="19">
        <f>IF(AT$370=0,0,AT363/AT$370)</f>
        <v>0</v>
      </c>
      <c r="AV363" s="97"/>
      <c r="AW363" s="17"/>
      <c r="AX363" s="17"/>
      <c r="AY363" s="17"/>
      <c r="AZ363" s="18">
        <f>X363</f>
        <v>0</v>
      </c>
      <c r="BA363" s="19">
        <f>IF(AZ$370=0,0,AZ363/AZ$370)</f>
        <v>0</v>
      </c>
    </row>
    <row r="364" spans="1:53" s="4" customFormat="1" ht="17.100000000000001" customHeight="1" x14ac:dyDescent="0.25">
      <c r="A364" s="40"/>
      <c r="B364" s="40"/>
      <c r="C364" s="74" t="s">
        <v>455</v>
      </c>
      <c r="D364" s="85" t="s">
        <v>544</v>
      </c>
      <c r="E364" s="542"/>
      <c r="F364" s="542"/>
      <c r="G364" s="542"/>
      <c r="H364" s="540"/>
      <c r="I364" s="235"/>
      <c r="J364" s="583">
        <v>1</v>
      </c>
      <c r="K364" s="583"/>
      <c r="L364" s="584">
        <v>15</v>
      </c>
      <c r="M364" s="593">
        <f t="shared" si="487"/>
        <v>16</v>
      </c>
      <c r="N364" s="111"/>
      <c r="O364" s="111"/>
      <c r="P364" s="111"/>
      <c r="Q364" s="111"/>
      <c r="R364" s="111"/>
      <c r="S364" s="111"/>
      <c r="T364" s="111"/>
      <c r="U364" s="111"/>
      <c r="V364" s="358"/>
      <c r="W364" s="391">
        <f t="shared" si="488"/>
        <v>1</v>
      </c>
      <c r="X364" s="17">
        <f t="shared" si="489"/>
        <v>15</v>
      </c>
      <c r="Y364" s="18">
        <f>SUM(W364:X364)</f>
        <v>16</v>
      </c>
      <c r="Z364" s="19">
        <f>IF(Y$370=0,0,Y364/Y$370)</f>
        <v>3.3347108865209793E-5</v>
      </c>
      <c r="AA364" s="19"/>
      <c r="AB364" s="19"/>
      <c r="AC364" s="20"/>
      <c r="AE364" s="17"/>
      <c r="AF364" s="17"/>
      <c r="AG364" s="17"/>
      <c r="AH364" s="18">
        <f t="shared" ref="AH364" si="490">J364</f>
        <v>1</v>
      </c>
      <c r="AI364" s="19">
        <f>IF(AH$370=0,0,AH364/AH$370)</f>
        <v>1</v>
      </c>
      <c r="AJ364" s="97"/>
      <c r="AK364" s="17"/>
      <c r="AL364" s="17"/>
      <c r="AM364" s="17"/>
      <c r="AN364" s="18">
        <f t="shared" ref="AN364" si="491">K364</f>
        <v>0</v>
      </c>
      <c r="AO364" s="19">
        <f>IF(AN$370=0,0,AN364/AN$370)</f>
        <v>0</v>
      </c>
      <c r="AP364" s="97"/>
      <c r="AQ364" s="17"/>
      <c r="AR364" s="17"/>
      <c r="AS364" s="17"/>
      <c r="AT364" s="18">
        <f t="shared" ref="AT364" si="492">W364</f>
        <v>1</v>
      </c>
      <c r="AU364" s="19">
        <f>IF(AT$370=0,0,AT364/AT$370)</f>
        <v>1</v>
      </c>
      <c r="AV364" s="97"/>
      <c r="AW364" s="17"/>
      <c r="AX364" s="17"/>
      <c r="AY364" s="17"/>
      <c r="AZ364" s="18">
        <f>X364</f>
        <v>15</v>
      </c>
      <c r="BA364" s="19">
        <f>IF(AZ$370=0,0,AZ364/AZ$370)</f>
        <v>1</v>
      </c>
    </row>
    <row r="365" spans="1:53" s="4" customFormat="1" ht="17.100000000000001" customHeight="1" x14ac:dyDescent="0.25">
      <c r="A365" s="40"/>
      <c r="B365" s="40"/>
      <c r="C365" s="74" t="s">
        <v>456</v>
      </c>
      <c r="D365" s="146" t="s">
        <v>484</v>
      </c>
      <c r="E365" s="542"/>
      <c r="F365" s="542"/>
      <c r="G365" s="542"/>
      <c r="H365" s="540"/>
      <c r="I365" s="235"/>
      <c r="J365" s="581">
        <v>48000</v>
      </c>
      <c r="K365" s="581">
        <v>0</v>
      </c>
      <c r="L365" s="582">
        <v>10000</v>
      </c>
      <c r="M365" s="593">
        <v>10000</v>
      </c>
      <c r="N365" s="111"/>
      <c r="O365" s="111"/>
      <c r="P365" s="111"/>
      <c r="Q365" s="111"/>
      <c r="R365" s="111"/>
      <c r="S365" s="111"/>
      <c r="T365" s="111"/>
      <c r="U365" s="111"/>
      <c r="V365" s="358"/>
      <c r="W365" s="391">
        <v>48000</v>
      </c>
      <c r="X365" s="17">
        <f>L365</f>
        <v>10000</v>
      </c>
      <c r="Y365" s="17">
        <f>M365</f>
        <v>10000</v>
      </c>
      <c r="Z365" s="19"/>
      <c r="AA365" s="17">
        <f>MIN(J365:L365)</f>
        <v>0</v>
      </c>
      <c r="AB365" s="17"/>
      <c r="AC365" s="17"/>
      <c r="AE365" s="17">
        <f>J365</f>
        <v>48000</v>
      </c>
      <c r="AF365" s="17"/>
      <c r="AG365" s="17"/>
      <c r="AH365" s="18"/>
      <c r="AI365" s="19"/>
      <c r="AJ365" s="97"/>
      <c r="AK365" s="17">
        <f>K365</f>
        <v>0</v>
      </c>
      <c r="AL365" s="17"/>
      <c r="AM365" s="17"/>
      <c r="AN365" s="18"/>
      <c r="AO365" s="19"/>
      <c r="AP365" s="97"/>
      <c r="AQ365" s="17">
        <f>W365</f>
        <v>48000</v>
      </c>
      <c r="AR365" s="17"/>
      <c r="AS365" s="17"/>
      <c r="AT365" s="18"/>
      <c r="AU365" s="19"/>
      <c r="AV365" s="97"/>
      <c r="AW365" s="17">
        <f>L365</f>
        <v>10000</v>
      </c>
      <c r="AX365" s="17"/>
      <c r="AY365" s="17"/>
      <c r="AZ365" s="18"/>
      <c r="BA365" s="19"/>
    </row>
    <row r="366" spans="1:53" s="4" customFormat="1" ht="17.100000000000001" customHeight="1" x14ac:dyDescent="0.25">
      <c r="A366" s="40"/>
      <c r="B366" s="40"/>
      <c r="C366" s="74" t="s">
        <v>546</v>
      </c>
      <c r="D366" s="146" t="s">
        <v>485</v>
      </c>
      <c r="E366" s="542"/>
      <c r="F366" s="542"/>
      <c r="G366" s="542"/>
      <c r="H366" s="540"/>
      <c r="I366" s="235"/>
      <c r="J366" s="583">
        <v>48000</v>
      </c>
      <c r="K366" s="583">
        <v>0</v>
      </c>
      <c r="L366" s="584">
        <v>400000</v>
      </c>
      <c r="M366" s="593">
        <v>400000</v>
      </c>
      <c r="N366" s="111"/>
      <c r="O366" s="111"/>
      <c r="P366" s="111"/>
      <c r="Q366" s="111"/>
      <c r="R366" s="111"/>
      <c r="S366" s="111"/>
      <c r="T366" s="111"/>
      <c r="U366" s="111"/>
      <c r="V366" s="358"/>
      <c r="W366" s="391">
        <v>48000</v>
      </c>
      <c r="X366" s="17">
        <f t="shared" ref="X366:Y367" si="493">L366</f>
        <v>400000</v>
      </c>
      <c r="Y366" s="17">
        <f t="shared" si="493"/>
        <v>400000</v>
      </c>
      <c r="Z366" s="19"/>
      <c r="AA366" s="17"/>
      <c r="AB366" s="17">
        <f>MAX(J366:L366)</f>
        <v>400000</v>
      </c>
      <c r="AC366" s="17"/>
      <c r="AE366" s="17"/>
      <c r="AF366" s="17">
        <f>J366</f>
        <v>48000</v>
      </c>
      <c r="AG366" s="17"/>
      <c r="AH366" s="18"/>
      <c r="AI366" s="19"/>
      <c r="AJ366" s="97"/>
      <c r="AK366" s="17"/>
      <c r="AL366" s="17">
        <f>K366</f>
        <v>0</v>
      </c>
      <c r="AM366" s="17"/>
      <c r="AN366" s="18"/>
      <c r="AO366" s="19"/>
      <c r="AP366" s="97"/>
      <c r="AQ366" s="17"/>
      <c r="AR366" s="17">
        <f>W366</f>
        <v>48000</v>
      </c>
      <c r="AS366" s="17"/>
      <c r="AT366" s="18"/>
      <c r="AU366" s="19"/>
      <c r="AV366" s="97"/>
      <c r="AW366" s="17"/>
      <c r="AX366" s="17">
        <f>L366</f>
        <v>400000</v>
      </c>
      <c r="AY366" s="17"/>
      <c r="AZ366" s="18"/>
      <c r="BA366" s="19"/>
    </row>
    <row r="367" spans="1:53" s="4" customFormat="1" ht="17.100000000000001" customHeight="1" x14ac:dyDescent="0.25">
      <c r="A367" s="40"/>
      <c r="B367" s="40"/>
      <c r="C367" s="74" t="s">
        <v>547</v>
      </c>
      <c r="D367" s="146" t="s">
        <v>543</v>
      </c>
      <c r="E367" s="542"/>
      <c r="F367" s="542"/>
      <c r="G367" s="542"/>
      <c r="H367" s="540"/>
      <c r="I367" s="235"/>
      <c r="J367" s="581">
        <v>48000</v>
      </c>
      <c r="K367" s="581">
        <v>0</v>
      </c>
      <c r="L367" s="582">
        <v>71461.538461538468</v>
      </c>
      <c r="M367" s="593">
        <v>69785.71428571429</v>
      </c>
      <c r="N367" s="111"/>
      <c r="O367" s="111"/>
      <c r="P367" s="111"/>
      <c r="Q367" s="111"/>
      <c r="R367" s="111"/>
      <c r="S367" s="111"/>
      <c r="T367" s="111"/>
      <c r="U367" s="111"/>
      <c r="V367" s="358"/>
      <c r="W367" s="391">
        <v>48000</v>
      </c>
      <c r="X367" s="17">
        <f t="shared" si="493"/>
        <v>71461.538461538468</v>
      </c>
      <c r="Y367" s="17">
        <f t="shared" si="493"/>
        <v>69785.71428571429</v>
      </c>
      <c r="Z367" s="19"/>
      <c r="AA367" s="17"/>
      <c r="AB367" s="17"/>
      <c r="AC367" s="17">
        <f>IF(SUM(J367:L367)=0,0,AVERAGE(J367:L367))</f>
        <v>39820.51282051282</v>
      </c>
      <c r="AE367" s="17"/>
      <c r="AF367" s="17"/>
      <c r="AG367" s="17">
        <f>J367</f>
        <v>48000</v>
      </c>
      <c r="AH367" s="18"/>
      <c r="AI367" s="19"/>
      <c r="AJ367" s="97"/>
      <c r="AK367" s="17"/>
      <c r="AL367" s="17"/>
      <c r="AM367" s="17">
        <f>K367</f>
        <v>0</v>
      </c>
      <c r="AN367" s="18"/>
      <c r="AO367" s="19"/>
      <c r="AP367" s="97"/>
      <c r="AQ367" s="17"/>
      <c r="AR367" s="17"/>
      <c r="AS367" s="17">
        <f>W367</f>
        <v>48000</v>
      </c>
      <c r="AT367" s="18"/>
      <c r="AU367" s="19"/>
      <c r="AV367" s="97"/>
      <c r="AW367" s="17"/>
      <c r="AX367" s="17"/>
      <c r="AY367" s="17">
        <f>L367</f>
        <v>71461.538461538468</v>
      </c>
      <c r="AZ367" s="18"/>
      <c r="BA367" s="19"/>
    </row>
    <row r="368" spans="1:53" s="4" customFormat="1" ht="17.100000000000001" customHeight="1" x14ac:dyDescent="0.25">
      <c r="A368" s="40"/>
      <c r="B368" s="40"/>
      <c r="C368" s="74" t="s">
        <v>548</v>
      </c>
      <c r="D368" s="75" t="s">
        <v>129</v>
      </c>
      <c r="E368" s="542"/>
      <c r="F368" s="542"/>
      <c r="G368" s="542"/>
      <c r="H368" s="540"/>
      <c r="I368" s="235"/>
      <c r="J368" s="583"/>
      <c r="K368" s="583"/>
      <c r="L368" s="584"/>
      <c r="M368" s="593">
        <f t="shared" si="487"/>
        <v>0</v>
      </c>
      <c r="N368" s="111"/>
      <c r="O368" s="111"/>
      <c r="P368" s="111"/>
      <c r="Q368" s="111"/>
      <c r="R368" s="111"/>
      <c r="S368" s="111"/>
      <c r="T368" s="111"/>
      <c r="U368" s="111"/>
      <c r="V368" s="358"/>
      <c r="W368" s="391">
        <f t="shared" ref="W368:W369" si="494">J368+K368+N368+Q368+T368</f>
        <v>0</v>
      </c>
      <c r="X368" s="17">
        <f t="shared" ref="X368:X369" si="495">L368+O368+R368+U368</f>
        <v>0</v>
      </c>
      <c r="Y368" s="18">
        <f>SUM(W368:X368)</f>
        <v>0</v>
      </c>
      <c r="Z368" s="19">
        <f>IF(Y$370=0,0,Y368/Y$370)</f>
        <v>0</v>
      </c>
      <c r="AA368" s="19"/>
      <c r="AB368" s="19"/>
      <c r="AC368" s="20"/>
      <c r="AE368" s="17"/>
      <c r="AF368" s="17"/>
      <c r="AG368" s="17"/>
      <c r="AH368" s="18">
        <f t="shared" ref="AH368:AH369" si="496">J368</f>
        <v>0</v>
      </c>
      <c r="AI368" s="19">
        <f>IF(AH$370=0,0,AH368/AH$370)</f>
        <v>0</v>
      </c>
      <c r="AJ368" s="97"/>
      <c r="AK368" s="17"/>
      <c r="AL368" s="17"/>
      <c r="AM368" s="17"/>
      <c r="AN368" s="18">
        <f t="shared" ref="AN368:AN369" si="497">K368</f>
        <v>0</v>
      </c>
      <c r="AO368" s="19">
        <f>IF(AN$370=0,0,AN368/AN$370)</f>
        <v>0</v>
      </c>
      <c r="AP368" s="97"/>
      <c r="AQ368" s="17"/>
      <c r="AR368" s="17"/>
      <c r="AS368" s="17"/>
      <c r="AT368" s="18">
        <f t="shared" ref="AT368:AT369" si="498">W368</f>
        <v>0</v>
      </c>
      <c r="AU368" s="19">
        <f>IF(AT$370=0,0,AT368/AT$370)</f>
        <v>0</v>
      </c>
      <c r="AV368" s="97"/>
      <c r="AW368" s="17"/>
      <c r="AX368" s="17"/>
      <c r="AY368" s="17"/>
      <c r="AZ368" s="18">
        <f>X368</f>
        <v>0</v>
      </c>
      <c r="BA368" s="19">
        <f>IF(AZ$370=0,0,AZ368/AZ$370)</f>
        <v>0</v>
      </c>
    </row>
    <row r="369" spans="1:53" s="4" customFormat="1" ht="17.100000000000001" customHeight="1" x14ac:dyDescent="0.25">
      <c r="A369" s="40"/>
      <c r="B369" s="40"/>
      <c r="C369" s="74" t="s">
        <v>549</v>
      </c>
      <c r="D369" s="75" t="s">
        <v>530</v>
      </c>
      <c r="E369" s="542"/>
      <c r="F369" s="542"/>
      <c r="G369" s="542"/>
      <c r="H369" s="540"/>
      <c r="I369" s="235"/>
      <c r="J369" s="581"/>
      <c r="K369" s="581"/>
      <c r="L369" s="582"/>
      <c r="M369" s="593">
        <f t="shared" si="487"/>
        <v>0</v>
      </c>
      <c r="N369" s="111"/>
      <c r="O369" s="111"/>
      <c r="P369" s="111"/>
      <c r="Q369" s="111"/>
      <c r="R369" s="111"/>
      <c r="S369" s="111"/>
      <c r="T369" s="111"/>
      <c r="U369" s="111"/>
      <c r="V369" s="358"/>
      <c r="W369" s="391">
        <f t="shared" si="494"/>
        <v>0</v>
      </c>
      <c r="X369" s="17">
        <f t="shared" si="495"/>
        <v>0</v>
      </c>
      <c r="Y369" s="18">
        <f>SUM(W369:X369)</f>
        <v>0</v>
      </c>
      <c r="Z369" s="19">
        <f>IF(Y$370=0,0,Y369/Y$370)</f>
        <v>0</v>
      </c>
      <c r="AA369" s="19"/>
      <c r="AB369" s="19"/>
      <c r="AC369" s="20"/>
      <c r="AE369" s="17"/>
      <c r="AF369" s="17"/>
      <c r="AG369" s="17"/>
      <c r="AH369" s="18">
        <f t="shared" si="496"/>
        <v>0</v>
      </c>
      <c r="AI369" s="19">
        <f>IF(AH$370=0,0,AH369/AH$370)</f>
        <v>0</v>
      </c>
      <c r="AJ369" s="97"/>
      <c r="AK369" s="17"/>
      <c r="AL369" s="17"/>
      <c r="AM369" s="17"/>
      <c r="AN369" s="18">
        <f t="shared" si="497"/>
        <v>0</v>
      </c>
      <c r="AO369" s="19">
        <f>IF(AN$370=0,0,AN369/AN$370)</f>
        <v>0</v>
      </c>
      <c r="AP369" s="97"/>
      <c r="AQ369" s="17"/>
      <c r="AR369" s="17"/>
      <c r="AS369" s="17"/>
      <c r="AT369" s="18">
        <f t="shared" si="498"/>
        <v>0</v>
      </c>
      <c r="AU369" s="19">
        <f>IF(AT$370=0,0,AT369/AT$370)</f>
        <v>0</v>
      </c>
      <c r="AV369" s="97"/>
      <c r="AW369" s="17"/>
      <c r="AX369" s="17"/>
      <c r="AY369" s="17"/>
      <c r="AZ369" s="18">
        <f>X369</f>
        <v>0</v>
      </c>
      <c r="BA369" s="19">
        <f>IF(AZ$370=0,0,AZ369/AZ$370)</f>
        <v>0</v>
      </c>
    </row>
    <row r="370" spans="1:53" s="4" customFormat="1" ht="17.100000000000001" customHeight="1" x14ac:dyDescent="0.25">
      <c r="A370" s="40"/>
      <c r="B370" s="40"/>
      <c r="C370" s="77"/>
      <c r="D370" s="134"/>
      <c r="E370" s="134"/>
      <c r="F370" s="134"/>
      <c r="G370" s="134"/>
      <c r="H370" s="540"/>
      <c r="I370" s="229"/>
      <c r="J370" s="80">
        <f>J363+J364+J368+J369</f>
        <v>1</v>
      </c>
      <c r="K370" s="80">
        <f t="shared" ref="K370" si="499">K363+K364+K368+K369</f>
        <v>0</v>
      </c>
      <c r="L370" s="80">
        <f t="shared" ref="L370:M370" si="500">L363+L364+L368+L369</f>
        <v>15</v>
      </c>
      <c r="M370" s="80">
        <f t="shared" si="500"/>
        <v>16</v>
      </c>
      <c r="N370" s="81"/>
      <c r="O370" s="81"/>
      <c r="P370" s="81"/>
      <c r="Q370" s="81"/>
      <c r="R370" s="81"/>
      <c r="S370" s="81"/>
      <c r="T370" s="81"/>
      <c r="U370" s="81"/>
      <c r="V370" s="356"/>
      <c r="W370" s="381">
        <f>W363+W364+W368+W369</f>
        <v>1</v>
      </c>
      <c r="X370" s="82">
        <f>X363+X364+X368+X369</f>
        <v>15</v>
      </c>
      <c r="Y370" s="82">
        <f t="shared" ref="Y370" si="501">SUM(Y363:Y369)</f>
        <v>479801.71428571432</v>
      </c>
      <c r="Z370" s="205">
        <f>IF(Y$370=0,0,Y370/Y$370)</f>
        <v>1</v>
      </c>
      <c r="AA370" s="205"/>
      <c r="AB370" s="205"/>
      <c r="AC370" s="83"/>
      <c r="AE370" s="80"/>
      <c r="AF370" s="80"/>
      <c r="AG370" s="81"/>
      <c r="AH370" s="82">
        <f>SUM(AH363:AH369)</f>
        <v>1</v>
      </c>
      <c r="AI370" s="66">
        <f>IF(AH$370=0,0,AH370/AH$370)</f>
        <v>1</v>
      </c>
      <c r="AJ370" s="97"/>
      <c r="AK370" s="80"/>
      <c r="AL370" s="80"/>
      <c r="AM370" s="81"/>
      <c r="AN370" s="82">
        <f>SUM(AN363:AN369)</f>
        <v>0</v>
      </c>
      <c r="AO370" s="66">
        <f>IF(AN$370=0,0,AN370/AN$370)</f>
        <v>0</v>
      </c>
      <c r="AP370" s="97"/>
      <c r="AQ370" s="80"/>
      <c r="AR370" s="80"/>
      <c r="AS370" s="81"/>
      <c r="AT370" s="82">
        <f>SUM(AT363:AT369)</f>
        <v>1</v>
      </c>
      <c r="AU370" s="66">
        <f>IF(AT$370=0,0,AT370/AT$370)</f>
        <v>1</v>
      </c>
      <c r="AV370" s="97"/>
      <c r="AW370" s="80"/>
      <c r="AX370" s="80"/>
      <c r="AY370" s="81"/>
      <c r="AZ370" s="82">
        <f>SUM(AZ363:AZ369)</f>
        <v>15</v>
      </c>
      <c r="BA370" s="66">
        <f>IF(AZ$370=0,0,AZ370/AZ$370)</f>
        <v>1</v>
      </c>
    </row>
    <row r="371" spans="1:53" s="117" customFormat="1" ht="17.100000000000001" customHeight="1" x14ac:dyDescent="0.25">
      <c r="A371" s="68"/>
      <c r="B371" s="119"/>
      <c r="C371" s="540"/>
      <c r="D371" s="261"/>
      <c r="E371" s="261"/>
      <c r="F371" s="68"/>
      <c r="G371" s="68"/>
      <c r="H371" s="119"/>
      <c r="I371" s="138"/>
      <c r="J371" s="17" t="str">
        <f>IF(J370=J$357,"OK","NOK")</f>
        <v>OK</v>
      </c>
      <c r="K371" s="17" t="str">
        <f t="shared" ref="K371:L371" si="502">IF(K370=K$357,"OK","NOK")</f>
        <v>OK</v>
      </c>
      <c r="L371" s="17" t="str">
        <f t="shared" si="502"/>
        <v>OK</v>
      </c>
      <c r="M371" s="17"/>
      <c r="N371" s="17"/>
      <c r="O371" s="17"/>
      <c r="P371" s="17"/>
      <c r="Q371" s="17"/>
      <c r="R371" s="17"/>
      <c r="S371" s="17"/>
      <c r="T371" s="17"/>
      <c r="U371" s="17"/>
      <c r="V371" s="359"/>
      <c r="W371" s="382"/>
      <c r="X371" s="539"/>
      <c r="Y371" s="539"/>
      <c r="Z371" s="19"/>
      <c r="AA371" s="201"/>
      <c r="AB371" s="201"/>
      <c r="AC371" s="84"/>
      <c r="AE371" s="46"/>
      <c r="AF371" s="46"/>
      <c r="AG371" s="17"/>
      <c r="AH371" s="539"/>
      <c r="AI371" s="91"/>
      <c r="AK371" s="46"/>
      <c r="AL371" s="46"/>
      <c r="AM371" s="17"/>
      <c r="AN371" s="539"/>
      <c r="AO371" s="91"/>
      <c r="AQ371" s="46"/>
      <c r="AR371" s="46"/>
      <c r="AS371" s="17"/>
      <c r="AT371" s="539"/>
      <c r="AU371" s="91"/>
      <c r="AW371" s="46"/>
      <c r="AX371" s="46"/>
      <c r="AY371" s="17"/>
      <c r="AZ371" s="539"/>
      <c r="BA371" s="91"/>
    </row>
    <row r="372" spans="1:53" ht="17.100000000000001" customHeight="1" x14ac:dyDescent="0.25">
      <c r="A372" s="68"/>
      <c r="B372" s="41" t="s">
        <v>1058</v>
      </c>
      <c r="C372" s="69" t="s">
        <v>12</v>
      </c>
      <c r="D372" s="50"/>
      <c r="E372" s="70"/>
      <c r="F372" s="70"/>
      <c r="G372" s="70"/>
      <c r="H372" s="119"/>
      <c r="J372" s="71"/>
      <c r="K372" s="71"/>
      <c r="L372" s="71"/>
      <c r="M372" s="71"/>
      <c r="N372" s="71"/>
      <c r="O372" s="71"/>
      <c r="P372" s="71"/>
      <c r="Q372" s="71"/>
      <c r="R372" s="71"/>
      <c r="S372" s="71"/>
      <c r="T372" s="71"/>
      <c r="U372" s="71"/>
      <c r="V372" s="355"/>
      <c r="W372" s="377"/>
      <c r="X372" s="71"/>
      <c r="Y372" s="72"/>
      <c r="Z372" s="73"/>
      <c r="AA372" s="73"/>
      <c r="AB372" s="73"/>
      <c r="AC372" s="73"/>
      <c r="AE372" s="71"/>
      <c r="AF372" s="71"/>
      <c r="AG372" s="71"/>
      <c r="AH372" s="72"/>
      <c r="AI372" s="73"/>
      <c r="AK372" s="71"/>
      <c r="AL372" s="71"/>
      <c r="AM372" s="71"/>
      <c r="AN372" s="72"/>
      <c r="AO372" s="73"/>
      <c r="AQ372" s="71"/>
      <c r="AR372" s="71"/>
      <c r="AS372" s="71"/>
      <c r="AT372" s="72"/>
      <c r="AU372" s="73"/>
      <c r="AW372" s="71"/>
      <c r="AX372" s="71"/>
      <c r="AY372" s="71"/>
      <c r="AZ372" s="72"/>
      <c r="BA372" s="73"/>
    </row>
    <row r="373" spans="1:53" s="97" customFormat="1" ht="17.100000000000001" customHeight="1" x14ac:dyDescent="0.25">
      <c r="A373" s="138"/>
      <c r="B373" s="138"/>
      <c r="C373" s="139"/>
      <c r="D373" s="12"/>
      <c r="E373" s="12"/>
      <c r="F373" s="93"/>
      <c r="G373" s="93"/>
      <c r="H373" s="92"/>
      <c r="I373" s="12"/>
      <c r="J373" s="95"/>
      <c r="K373" s="95"/>
      <c r="L373" s="95"/>
      <c r="M373" s="95"/>
      <c r="N373" s="95"/>
      <c r="O373" s="95"/>
      <c r="P373" s="95"/>
      <c r="Q373" s="95"/>
      <c r="R373" s="95"/>
      <c r="S373" s="95"/>
      <c r="T373" s="95"/>
      <c r="U373" s="95"/>
      <c r="V373" s="95"/>
      <c r="W373" s="378"/>
      <c r="X373" s="95"/>
      <c r="Y373" s="96"/>
      <c r="AE373" s="109"/>
      <c r="AF373" s="109"/>
      <c r="AG373" s="109"/>
      <c r="AH373" s="96"/>
      <c r="AK373" s="109"/>
      <c r="AL373" s="109"/>
      <c r="AM373" s="109"/>
      <c r="AN373" s="96"/>
      <c r="AQ373" s="109"/>
      <c r="AR373" s="109"/>
      <c r="AS373" s="109"/>
      <c r="AT373" s="96"/>
      <c r="AW373" s="109"/>
      <c r="AX373" s="109"/>
      <c r="AY373" s="109"/>
      <c r="AZ373" s="96"/>
    </row>
    <row r="374" spans="1:53" s="32" customFormat="1" ht="16.5" thickBot="1" x14ac:dyDescent="0.3">
      <c r="A374" s="24" t="s">
        <v>183</v>
      </c>
      <c r="B374" s="25" t="s">
        <v>184</v>
      </c>
      <c r="C374" s="26"/>
      <c r="D374" s="27"/>
      <c r="E374" s="27"/>
      <c r="F374" s="27"/>
      <c r="G374" s="27"/>
      <c r="H374" s="266"/>
      <c r="I374" s="228"/>
      <c r="J374" s="140"/>
      <c r="K374" s="140"/>
      <c r="L374" s="140"/>
      <c r="M374" s="140"/>
      <c r="N374" s="140"/>
      <c r="O374" s="140"/>
      <c r="P374" s="140"/>
      <c r="Q374" s="140"/>
      <c r="R374" s="140"/>
      <c r="S374" s="140"/>
      <c r="T374" s="140"/>
      <c r="U374" s="140"/>
      <c r="V374" s="365"/>
      <c r="W374" s="379"/>
      <c r="X374" s="140"/>
      <c r="Y374" s="30" t="s">
        <v>4</v>
      </c>
      <c r="Z374" s="30" t="s">
        <v>5</v>
      </c>
      <c r="AA374" s="30"/>
      <c r="AB374" s="30"/>
      <c r="AC374" s="29"/>
      <c r="AE374" s="33" t="s">
        <v>181</v>
      </c>
      <c r="AF374" s="33" t="s">
        <v>182</v>
      </c>
      <c r="AG374" s="33" t="s">
        <v>6</v>
      </c>
      <c r="AH374" s="33" t="s">
        <v>4</v>
      </c>
      <c r="AI374" s="34" t="s">
        <v>5</v>
      </c>
      <c r="AJ374" s="408"/>
      <c r="AK374" s="36" t="s">
        <v>181</v>
      </c>
      <c r="AL374" s="36" t="s">
        <v>182</v>
      </c>
      <c r="AM374" s="36" t="s">
        <v>6</v>
      </c>
      <c r="AN374" s="36" t="s">
        <v>4</v>
      </c>
      <c r="AO374" s="37" t="s">
        <v>5</v>
      </c>
      <c r="AP374" s="408"/>
      <c r="AQ374" s="36"/>
      <c r="AR374" s="36"/>
      <c r="AS374" s="36"/>
      <c r="AT374" s="36"/>
      <c r="AU374" s="37"/>
      <c r="AV374" s="408"/>
      <c r="AW374" s="38" t="s">
        <v>181</v>
      </c>
      <c r="AX374" s="38" t="s">
        <v>182</v>
      </c>
      <c r="AY374" s="38" t="s">
        <v>6</v>
      </c>
      <c r="AZ374" s="38" t="s">
        <v>4</v>
      </c>
      <c r="BA374" s="39" t="s">
        <v>5</v>
      </c>
    </row>
    <row r="375" spans="1:53" ht="17.100000000000001" customHeight="1" x14ac:dyDescent="0.25">
      <c r="A375" s="68"/>
      <c r="B375" s="41" t="s">
        <v>185</v>
      </c>
      <c r="C375" s="69" t="s">
        <v>186</v>
      </c>
      <c r="D375" s="50"/>
      <c r="E375" s="70"/>
      <c r="F375" s="265"/>
      <c r="G375" s="265"/>
      <c r="H375" s="253"/>
      <c r="J375" s="71"/>
      <c r="K375" s="71"/>
      <c r="L375" s="71"/>
      <c r="M375" s="71"/>
      <c r="N375" s="71"/>
      <c r="O375" s="71"/>
      <c r="P375" s="71"/>
      <c r="Q375" s="71"/>
      <c r="R375" s="71"/>
      <c r="S375" s="71"/>
      <c r="T375" s="71"/>
      <c r="U375" s="71"/>
      <c r="V375" s="355"/>
      <c r="W375" s="377"/>
      <c r="X375" s="71"/>
      <c r="Y375" s="72"/>
      <c r="Z375" s="73"/>
      <c r="AA375" s="73"/>
      <c r="AB375" s="73"/>
      <c r="AC375" s="73"/>
      <c r="AE375" s="71"/>
      <c r="AF375" s="71"/>
      <c r="AG375" s="71"/>
      <c r="AH375" s="72"/>
      <c r="AI375" s="73"/>
      <c r="AK375" s="71"/>
      <c r="AL375" s="71"/>
      <c r="AM375" s="71"/>
      <c r="AN375" s="72"/>
      <c r="AO375" s="73"/>
      <c r="AQ375" s="71"/>
      <c r="AR375" s="71"/>
      <c r="AS375" s="71"/>
      <c r="AT375" s="72"/>
      <c r="AU375" s="73"/>
      <c r="AW375" s="71"/>
      <c r="AX375" s="71"/>
      <c r="AY375" s="71"/>
      <c r="AZ375" s="72"/>
      <c r="BA375" s="73"/>
    </row>
    <row r="376" spans="1:53" ht="17.100000000000001" customHeight="1" x14ac:dyDescent="0.25">
      <c r="A376" s="40"/>
      <c r="B376" s="40"/>
      <c r="C376" s="74" t="s">
        <v>187</v>
      </c>
      <c r="D376" s="75" t="s">
        <v>129</v>
      </c>
      <c r="E376" s="105"/>
      <c r="F376" s="105"/>
      <c r="G376" s="105"/>
      <c r="H376" s="119"/>
      <c r="I376" s="231"/>
      <c r="J376" s="111"/>
      <c r="K376" s="111"/>
      <c r="L376" s="111"/>
      <c r="M376" s="111"/>
      <c r="N376" s="60"/>
      <c r="O376" s="60"/>
      <c r="P376" s="17">
        <f>SUM(N376:O376)</f>
        <v>0</v>
      </c>
      <c r="Q376" s="60"/>
      <c r="R376" s="60"/>
      <c r="S376" s="17">
        <f>SUM(Q376:R376)</f>
        <v>0</v>
      </c>
      <c r="T376" s="60"/>
      <c r="U376" s="60"/>
      <c r="V376" s="359">
        <f>SUM(T376:U376)</f>
        <v>0</v>
      </c>
      <c r="W376" s="391">
        <f t="shared" ref="W376:W378" si="503">J376+K376+N376+Q376+T376</f>
        <v>0</v>
      </c>
      <c r="X376" s="17">
        <f t="shared" ref="X376:X378" si="504">L376+O376+R376+U376</f>
        <v>0</v>
      </c>
      <c r="Y376" s="18">
        <f>SUM(W376:X376)</f>
        <v>0</v>
      </c>
      <c r="Z376" s="19">
        <f>IF(Y$379=0,0,Y376/Y$379)</f>
        <v>0</v>
      </c>
      <c r="AA376" s="19"/>
      <c r="AB376" s="19"/>
      <c r="AC376" s="17"/>
      <c r="AE376" s="111"/>
      <c r="AF376" s="111"/>
      <c r="AG376" s="111"/>
      <c r="AH376" s="112"/>
      <c r="AI376" s="113"/>
      <c r="AK376" s="111"/>
      <c r="AL376" s="111"/>
      <c r="AM376" s="111"/>
      <c r="AN376" s="112"/>
      <c r="AO376" s="113"/>
      <c r="AQ376" s="17"/>
      <c r="AR376" s="17"/>
      <c r="AS376" s="17"/>
      <c r="AT376" s="18">
        <f t="shared" ref="AT376:AT378" si="505">W376</f>
        <v>0</v>
      </c>
      <c r="AU376" s="19">
        <f>IF(AT$379=0,0,AT376/AT$379)</f>
        <v>0</v>
      </c>
      <c r="AW376" s="17"/>
      <c r="AX376" s="17"/>
      <c r="AY376" s="17"/>
      <c r="AZ376" s="18">
        <f t="shared" ref="AZ376:AZ378" si="506">X376</f>
        <v>0</v>
      </c>
      <c r="BA376" s="19">
        <f>IF(AZ$379=0,0,AZ376/AZ$379)</f>
        <v>0</v>
      </c>
    </row>
    <row r="377" spans="1:53" ht="17.100000000000001" customHeight="1" x14ac:dyDescent="0.25">
      <c r="A377" s="40"/>
      <c r="B377" s="40"/>
      <c r="C377" s="74" t="s">
        <v>188</v>
      </c>
      <c r="D377" s="85" t="s">
        <v>189</v>
      </c>
      <c r="E377" s="75"/>
      <c r="F377" s="75"/>
      <c r="G377" s="75"/>
      <c r="H377" s="540"/>
      <c r="I377" s="229"/>
      <c r="J377" s="111"/>
      <c r="K377" s="111"/>
      <c r="L377" s="111"/>
      <c r="M377" s="111"/>
      <c r="N377" s="61">
        <v>1</v>
      </c>
      <c r="O377" s="61">
        <v>2</v>
      </c>
      <c r="P377" s="17">
        <f t="shared" ref="P377:P378" si="507">SUM(N377:O377)</f>
        <v>3</v>
      </c>
      <c r="Q377" s="61"/>
      <c r="R377" s="61">
        <v>1</v>
      </c>
      <c r="S377" s="17">
        <f t="shared" ref="S377:S378" si="508">SUM(Q377:R377)</f>
        <v>1</v>
      </c>
      <c r="T377" s="61"/>
      <c r="U377" s="61"/>
      <c r="V377" s="359">
        <f t="shared" ref="V377:V378" si="509">SUM(T377:U377)</f>
        <v>0</v>
      </c>
      <c r="W377" s="391">
        <f t="shared" si="503"/>
        <v>1</v>
      </c>
      <c r="X377" s="17">
        <f t="shared" si="504"/>
        <v>3</v>
      </c>
      <c r="Y377" s="18">
        <f>SUM(W377:X377)</f>
        <v>4</v>
      </c>
      <c r="Z377" s="19">
        <f t="shared" ref="Z377:Z379" si="510">IF(Y$379=0,0,Y377/Y$379)</f>
        <v>0.26666666666666666</v>
      </c>
      <c r="AA377" s="19"/>
      <c r="AB377" s="19"/>
      <c r="AC377" s="17"/>
      <c r="AE377" s="111"/>
      <c r="AF377" s="111"/>
      <c r="AG377" s="111"/>
      <c r="AH377" s="112"/>
      <c r="AI377" s="113"/>
      <c r="AK377" s="111"/>
      <c r="AL377" s="111"/>
      <c r="AM377" s="111"/>
      <c r="AN377" s="112"/>
      <c r="AO377" s="113"/>
      <c r="AQ377" s="17"/>
      <c r="AR377" s="17"/>
      <c r="AS377" s="17"/>
      <c r="AT377" s="18">
        <f t="shared" si="505"/>
        <v>1</v>
      </c>
      <c r="AU377" s="19">
        <f t="shared" ref="AU377:AU379" si="511">IF(AT$379=0,0,AT377/AT$379)</f>
        <v>0.14285714285714285</v>
      </c>
      <c r="AW377" s="17"/>
      <c r="AX377" s="17"/>
      <c r="AY377" s="17"/>
      <c r="AZ377" s="18">
        <f t="shared" si="506"/>
        <v>3</v>
      </c>
      <c r="BA377" s="19">
        <f t="shared" ref="BA377:BA379" si="512">IF(AZ$379=0,0,AZ377/AZ$379)</f>
        <v>0.375</v>
      </c>
    </row>
    <row r="378" spans="1:53" ht="17.100000000000001" customHeight="1" x14ac:dyDescent="0.25">
      <c r="A378" s="40"/>
      <c r="B378" s="40"/>
      <c r="C378" s="74" t="s">
        <v>190</v>
      </c>
      <c r="D378" s="146" t="s">
        <v>494</v>
      </c>
      <c r="E378" s="75"/>
      <c r="F378" s="75"/>
      <c r="G378" s="75"/>
      <c r="H378" s="540"/>
      <c r="I378" s="229"/>
      <c r="J378" s="111"/>
      <c r="K378" s="111"/>
      <c r="L378" s="111"/>
      <c r="M378" s="111"/>
      <c r="N378" s="60">
        <v>5</v>
      </c>
      <c r="O378" s="60">
        <v>1</v>
      </c>
      <c r="P378" s="17">
        <f t="shared" si="507"/>
        <v>6</v>
      </c>
      <c r="Q378" s="60">
        <v>1</v>
      </c>
      <c r="R378" s="60">
        <v>4</v>
      </c>
      <c r="S378" s="17">
        <f t="shared" si="508"/>
        <v>5</v>
      </c>
      <c r="T378" s="60"/>
      <c r="U378" s="60"/>
      <c r="V378" s="359">
        <f t="shared" si="509"/>
        <v>0</v>
      </c>
      <c r="W378" s="391">
        <f t="shared" si="503"/>
        <v>6</v>
      </c>
      <c r="X378" s="17">
        <f t="shared" si="504"/>
        <v>5</v>
      </c>
      <c r="Y378" s="18">
        <f>SUM(W378:X378)</f>
        <v>11</v>
      </c>
      <c r="Z378" s="19">
        <f t="shared" si="510"/>
        <v>0.73333333333333328</v>
      </c>
      <c r="AA378" s="19"/>
      <c r="AB378" s="19"/>
      <c r="AC378" s="17"/>
      <c r="AE378" s="111"/>
      <c r="AF378" s="111"/>
      <c r="AG378" s="111"/>
      <c r="AH378" s="112"/>
      <c r="AI378" s="113"/>
      <c r="AK378" s="111"/>
      <c r="AL378" s="111"/>
      <c r="AM378" s="111"/>
      <c r="AN378" s="112"/>
      <c r="AO378" s="113"/>
      <c r="AQ378" s="17"/>
      <c r="AR378" s="17"/>
      <c r="AS378" s="17"/>
      <c r="AT378" s="18">
        <f t="shared" si="505"/>
        <v>6</v>
      </c>
      <c r="AU378" s="19">
        <f t="shared" si="511"/>
        <v>0.8571428571428571</v>
      </c>
      <c r="AW378" s="17"/>
      <c r="AX378" s="17"/>
      <c r="AY378" s="17"/>
      <c r="AZ378" s="18">
        <f t="shared" si="506"/>
        <v>5</v>
      </c>
      <c r="BA378" s="19">
        <f t="shared" si="512"/>
        <v>0.625</v>
      </c>
    </row>
    <row r="379" spans="1:53" ht="17.100000000000001" customHeight="1" x14ac:dyDescent="0.25">
      <c r="A379" s="40"/>
      <c r="B379" s="40"/>
      <c r="C379" s="77"/>
      <c r="D379" s="134"/>
      <c r="E379" s="134"/>
      <c r="F379" s="134"/>
      <c r="G379" s="134"/>
      <c r="H379" s="540"/>
      <c r="I379" s="229"/>
      <c r="J379" s="64"/>
      <c r="K379" s="64"/>
      <c r="L379" s="81"/>
      <c r="M379" s="81"/>
      <c r="N379" s="81">
        <f>SUM(N376:N378)</f>
        <v>6</v>
      </c>
      <c r="O379" s="81">
        <f t="shared" ref="O379:V379" si="513">SUM(O376:O378)</f>
        <v>3</v>
      </c>
      <c r="P379" s="81">
        <f t="shared" si="513"/>
        <v>9</v>
      </c>
      <c r="Q379" s="81">
        <f t="shared" si="513"/>
        <v>1</v>
      </c>
      <c r="R379" s="81">
        <f t="shared" si="513"/>
        <v>5</v>
      </c>
      <c r="S379" s="81">
        <f t="shared" si="513"/>
        <v>6</v>
      </c>
      <c r="T379" s="81">
        <f t="shared" si="513"/>
        <v>0</v>
      </c>
      <c r="U379" s="81">
        <f t="shared" si="513"/>
        <v>0</v>
      </c>
      <c r="V379" s="81">
        <f t="shared" si="513"/>
        <v>0</v>
      </c>
      <c r="W379" s="381">
        <f>SUM(W376:W378)</f>
        <v>7</v>
      </c>
      <c r="X379" s="82">
        <f t="shared" ref="X379:Y379" si="514">SUM(X376:X378)</f>
        <v>8</v>
      </c>
      <c r="Y379" s="82">
        <f t="shared" si="514"/>
        <v>15</v>
      </c>
      <c r="Z379" s="205">
        <f t="shared" si="510"/>
        <v>1</v>
      </c>
      <c r="AA379" s="205"/>
      <c r="AB379" s="205"/>
      <c r="AC379" s="83"/>
      <c r="AE379" s="80"/>
      <c r="AF379" s="80"/>
      <c r="AG379" s="81"/>
      <c r="AH379" s="82"/>
      <c r="AI379" s="66"/>
      <c r="AK379" s="80"/>
      <c r="AL379" s="80"/>
      <c r="AM379" s="81"/>
      <c r="AN379" s="82"/>
      <c r="AO379" s="66"/>
      <c r="AQ379" s="80"/>
      <c r="AR379" s="80"/>
      <c r="AS379" s="81"/>
      <c r="AT379" s="82">
        <f>SUM(AT376:AT378)</f>
        <v>7</v>
      </c>
      <c r="AU379" s="66">
        <f t="shared" si="511"/>
        <v>1</v>
      </c>
      <c r="AW379" s="80"/>
      <c r="AX379" s="80"/>
      <c r="AY379" s="81"/>
      <c r="AZ379" s="82">
        <f>SUM(AZ376:AZ378)</f>
        <v>8</v>
      </c>
      <c r="BA379" s="66">
        <f t="shared" si="512"/>
        <v>1</v>
      </c>
    </row>
    <row r="380" spans="1:53" s="117" customFormat="1" ht="17.100000000000001" customHeight="1" x14ac:dyDescent="0.25">
      <c r="A380" s="68"/>
      <c r="B380" s="119"/>
      <c r="C380" s="540"/>
      <c r="D380" s="261"/>
      <c r="E380" s="261"/>
      <c r="F380" s="68"/>
      <c r="G380" s="68"/>
      <c r="H380" s="119"/>
      <c r="I380" s="138"/>
      <c r="J380" s="17"/>
      <c r="K380" s="17"/>
      <c r="L380" s="17"/>
      <c r="M380" s="17"/>
      <c r="N380" s="17" t="str">
        <f>IF(N379=N$20,"OK","NOK")</f>
        <v>OK</v>
      </c>
      <c r="O380" s="17" t="str">
        <f>IF(O379=O$20,"OK","NOK")</f>
        <v>OK</v>
      </c>
      <c r="P380" s="17"/>
      <c r="Q380" s="17" t="str">
        <f>IF(Q379=Q$20,"OK","NOK")</f>
        <v>OK</v>
      </c>
      <c r="R380" s="17" t="str">
        <f>IF(R379=R$20,"OK","NOK")</f>
        <v>OK</v>
      </c>
      <c r="S380" s="17"/>
      <c r="T380" s="17" t="str">
        <f>IF(T379=T$20,"OK","NOK")</f>
        <v>OK</v>
      </c>
      <c r="U380" s="17" t="str">
        <f>IF(U379=U$20,"OK","NOK")</f>
        <v>OK</v>
      </c>
      <c r="V380" s="359"/>
      <c r="W380" s="382"/>
      <c r="X380" s="539"/>
      <c r="Y380" s="539"/>
      <c r="Z380" s="201"/>
      <c r="AA380" s="201"/>
      <c r="AB380" s="201"/>
      <c r="AC380" s="84"/>
      <c r="AE380" s="46"/>
      <c r="AF380" s="46"/>
      <c r="AG380" s="17"/>
      <c r="AH380" s="539"/>
      <c r="AI380" s="91"/>
      <c r="AK380" s="46"/>
      <c r="AL380" s="46"/>
      <c r="AM380" s="17"/>
      <c r="AN380" s="539"/>
      <c r="AO380" s="91"/>
      <c r="AQ380" s="46"/>
      <c r="AR380" s="46"/>
      <c r="AS380" s="17"/>
      <c r="AT380" s="539"/>
      <c r="AU380" s="91"/>
      <c r="AW380" s="46"/>
      <c r="AX380" s="46"/>
      <c r="AY380" s="17"/>
      <c r="AZ380" s="539"/>
      <c r="BA380" s="91"/>
    </row>
    <row r="381" spans="1:53" ht="17.100000000000001" customHeight="1" x14ac:dyDescent="0.25">
      <c r="A381" s="40"/>
      <c r="B381" s="40"/>
      <c r="C381" s="40"/>
      <c r="D381" s="146" t="s">
        <v>472</v>
      </c>
      <c r="E381" s="75"/>
      <c r="F381" s="75"/>
      <c r="G381" s="75"/>
      <c r="H381" s="74"/>
      <c r="I381" s="229"/>
      <c r="J381" s="174"/>
      <c r="K381" s="174"/>
      <c r="L381" s="111"/>
      <c r="M381" s="111"/>
      <c r="N381" s="111"/>
      <c r="O381" s="111"/>
      <c r="P381" s="111"/>
      <c r="Q381" s="111"/>
      <c r="R381" s="111"/>
      <c r="S381" s="111"/>
      <c r="T381" s="111"/>
      <c r="U381" s="111"/>
      <c r="V381" s="358"/>
      <c r="W381" s="385"/>
      <c r="X381" s="545"/>
      <c r="Y381" s="545"/>
      <c r="Z381" s="172"/>
      <c r="AA381" s="172"/>
      <c r="AB381" s="172"/>
      <c r="AC381" s="113"/>
      <c r="AE381" s="152"/>
      <c r="AF381" s="152"/>
      <c r="AG381" s="111"/>
      <c r="AH381" s="545"/>
      <c r="AI381" s="131"/>
      <c r="AK381" s="152"/>
      <c r="AL381" s="152"/>
      <c r="AM381" s="111"/>
      <c r="AN381" s="545"/>
      <c r="AO381" s="131"/>
      <c r="AQ381" s="152"/>
      <c r="AR381" s="152"/>
      <c r="AS381" s="111"/>
      <c r="AT381" s="545"/>
      <c r="AU381" s="131"/>
      <c r="AW381" s="152"/>
      <c r="AX381" s="152"/>
      <c r="AY381" s="111"/>
      <c r="AZ381" s="545"/>
      <c r="BA381" s="131"/>
    </row>
    <row r="382" spans="1:53" ht="17.100000000000001" customHeight="1" x14ac:dyDescent="0.25">
      <c r="A382" s="40"/>
      <c r="B382" s="40"/>
      <c r="C382" s="40"/>
      <c r="D382" s="74" t="s">
        <v>191</v>
      </c>
      <c r="E382" s="1398" t="s">
        <v>471</v>
      </c>
      <c r="F382" s="1399"/>
      <c r="G382" s="1399"/>
      <c r="H382" s="242"/>
      <c r="I382" s="230"/>
      <c r="J382" s="111"/>
      <c r="K382" s="111"/>
      <c r="L382" s="111"/>
      <c r="M382" s="111"/>
      <c r="N382" s="60"/>
      <c r="O382" s="60"/>
      <c r="P382" s="17">
        <f>SUM(N382:O382)</f>
        <v>0</v>
      </c>
      <c r="Q382" s="60"/>
      <c r="R382" s="60"/>
      <c r="S382" s="17">
        <f>SUM(Q382:R382)</f>
        <v>0</v>
      </c>
      <c r="T382" s="60"/>
      <c r="U382" s="60"/>
      <c r="V382" s="359">
        <f>SUM(T382:U382)</f>
        <v>0</v>
      </c>
      <c r="W382" s="391">
        <f t="shared" ref="W382:W393" si="515">J382+K382+N382+Q382+T382</f>
        <v>0</v>
      </c>
      <c r="X382" s="17">
        <f t="shared" ref="X382:X393" si="516">L382+O382+R382+U382</f>
        <v>0</v>
      </c>
      <c r="Y382" s="18">
        <f t="shared" ref="Y382:Y393" si="517">SUM(W382:X382)</f>
        <v>0</v>
      </c>
      <c r="Z382" s="19">
        <f t="shared" ref="Z382:Z395" si="518">IF(Y$400=0,0,Y382/Y$400)</f>
        <v>0</v>
      </c>
      <c r="AA382" s="19"/>
      <c r="AB382" s="19"/>
      <c r="AC382" s="20"/>
      <c r="AE382" s="111"/>
      <c r="AF382" s="111"/>
      <c r="AG382" s="111"/>
      <c r="AH382" s="112"/>
      <c r="AI382" s="113"/>
      <c r="AK382" s="111"/>
      <c r="AL382" s="111"/>
      <c r="AM382" s="111"/>
      <c r="AN382" s="112"/>
      <c r="AO382" s="113"/>
      <c r="AQ382" s="17"/>
      <c r="AR382" s="17"/>
      <c r="AS382" s="17"/>
      <c r="AT382" s="18">
        <f t="shared" ref="AT382:AT393" si="519">W382</f>
        <v>0</v>
      </c>
      <c r="AU382" s="19">
        <f t="shared" ref="AU382:AU395" si="520">IF(AT$400=0,0,AT382/AT$400)</f>
        <v>0</v>
      </c>
      <c r="AW382" s="17"/>
      <c r="AX382" s="17"/>
      <c r="AY382" s="17"/>
      <c r="AZ382" s="18">
        <f t="shared" ref="AZ382:AZ393" si="521">X382</f>
        <v>0</v>
      </c>
      <c r="BA382" s="19">
        <f t="shared" ref="BA382:BA395" si="522">IF(AZ$400=0,0,AZ382/AZ$400)</f>
        <v>0</v>
      </c>
    </row>
    <row r="383" spans="1:53" ht="17.100000000000001" customHeight="1" x14ac:dyDescent="0.25">
      <c r="A383" s="40"/>
      <c r="B383" s="40"/>
      <c r="C383" s="40"/>
      <c r="D383" s="74" t="s">
        <v>192</v>
      </c>
      <c r="E383" s="75" t="s">
        <v>462</v>
      </c>
      <c r="F383" s="75"/>
      <c r="G383" s="75"/>
      <c r="H383" s="540"/>
      <c r="I383" s="229"/>
      <c r="J383" s="111"/>
      <c r="K383" s="111"/>
      <c r="L383" s="111"/>
      <c r="M383" s="111"/>
      <c r="N383" s="61"/>
      <c r="O383" s="61"/>
      <c r="P383" s="17">
        <f t="shared" ref="P383:P395" si="523">SUM(N383:O383)</f>
        <v>0</v>
      </c>
      <c r="Q383" s="61"/>
      <c r="R383" s="61"/>
      <c r="S383" s="17">
        <f t="shared" ref="S383:S395" si="524">SUM(Q383:R383)</f>
        <v>0</v>
      </c>
      <c r="T383" s="61"/>
      <c r="U383" s="61"/>
      <c r="V383" s="359">
        <f t="shared" ref="V383:V395" si="525">SUM(T383:U383)</f>
        <v>0</v>
      </c>
      <c r="W383" s="391">
        <f t="shared" si="515"/>
        <v>0</v>
      </c>
      <c r="X383" s="17">
        <f t="shared" si="516"/>
        <v>0</v>
      </c>
      <c r="Y383" s="18">
        <f t="shared" si="517"/>
        <v>0</v>
      </c>
      <c r="Z383" s="19">
        <f t="shared" si="518"/>
        <v>0</v>
      </c>
      <c r="AA383" s="19"/>
      <c r="AB383" s="19"/>
      <c r="AC383" s="20"/>
      <c r="AE383" s="111"/>
      <c r="AF383" s="111"/>
      <c r="AG383" s="111"/>
      <c r="AH383" s="112"/>
      <c r="AI383" s="113"/>
      <c r="AK383" s="111"/>
      <c r="AL383" s="111"/>
      <c r="AM383" s="111"/>
      <c r="AN383" s="112"/>
      <c r="AO383" s="113"/>
      <c r="AQ383" s="17"/>
      <c r="AR383" s="17"/>
      <c r="AS383" s="17"/>
      <c r="AT383" s="18">
        <f t="shared" si="519"/>
        <v>0</v>
      </c>
      <c r="AU383" s="19">
        <f t="shared" si="520"/>
        <v>0</v>
      </c>
      <c r="AW383" s="17"/>
      <c r="AX383" s="17"/>
      <c r="AY383" s="17"/>
      <c r="AZ383" s="18">
        <f t="shared" si="521"/>
        <v>0</v>
      </c>
      <c r="BA383" s="19">
        <f t="shared" si="522"/>
        <v>0</v>
      </c>
    </row>
    <row r="384" spans="1:53" ht="17.100000000000001" customHeight="1" x14ac:dyDescent="0.25">
      <c r="A384" s="40"/>
      <c r="B384" s="40"/>
      <c r="C384" s="40"/>
      <c r="D384" s="74" t="s">
        <v>193</v>
      </c>
      <c r="E384" s="1398" t="s">
        <v>463</v>
      </c>
      <c r="F384" s="1399"/>
      <c r="G384" s="1399"/>
      <c r="H384" s="242"/>
      <c r="I384" s="230"/>
      <c r="J384" s="111"/>
      <c r="K384" s="111"/>
      <c r="L384" s="111"/>
      <c r="M384" s="111"/>
      <c r="N384" s="60"/>
      <c r="O384" s="60"/>
      <c r="P384" s="17">
        <f t="shared" si="523"/>
        <v>0</v>
      </c>
      <c r="Q384" s="60"/>
      <c r="R384" s="60"/>
      <c r="S384" s="17">
        <f t="shared" si="524"/>
        <v>0</v>
      </c>
      <c r="T384" s="60"/>
      <c r="U384" s="60"/>
      <c r="V384" s="359">
        <f t="shared" si="525"/>
        <v>0</v>
      </c>
      <c r="W384" s="391">
        <f t="shared" si="515"/>
        <v>0</v>
      </c>
      <c r="X384" s="17">
        <f t="shared" si="516"/>
        <v>0</v>
      </c>
      <c r="Y384" s="18">
        <f t="shared" si="517"/>
        <v>0</v>
      </c>
      <c r="Z384" s="19">
        <f t="shared" si="518"/>
        <v>0</v>
      </c>
      <c r="AA384" s="19"/>
      <c r="AB384" s="19"/>
      <c r="AC384" s="20"/>
      <c r="AE384" s="111"/>
      <c r="AF384" s="111"/>
      <c r="AG384" s="111"/>
      <c r="AH384" s="112"/>
      <c r="AI384" s="113"/>
      <c r="AK384" s="111"/>
      <c r="AL384" s="111"/>
      <c r="AM384" s="111"/>
      <c r="AN384" s="112"/>
      <c r="AO384" s="113"/>
      <c r="AQ384" s="17"/>
      <c r="AR384" s="17"/>
      <c r="AS384" s="17"/>
      <c r="AT384" s="18">
        <f t="shared" si="519"/>
        <v>0</v>
      </c>
      <c r="AU384" s="19">
        <f t="shared" si="520"/>
        <v>0</v>
      </c>
      <c r="AW384" s="17"/>
      <c r="AX384" s="17"/>
      <c r="AY384" s="17"/>
      <c r="AZ384" s="18">
        <f t="shared" si="521"/>
        <v>0</v>
      </c>
      <c r="BA384" s="19">
        <f t="shared" si="522"/>
        <v>0</v>
      </c>
    </row>
    <row r="385" spans="1:53" ht="17.100000000000001" customHeight="1" x14ac:dyDescent="0.25">
      <c r="A385" s="40"/>
      <c r="B385" s="40"/>
      <c r="C385" s="40"/>
      <c r="D385" s="74" t="s">
        <v>194</v>
      </c>
      <c r="E385" s="75" t="s">
        <v>464</v>
      </c>
      <c r="F385" s="75"/>
      <c r="G385" s="75"/>
      <c r="H385" s="540"/>
      <c r="I385" s="229"/>
      <c r="J385" s="111"/>
      <c r="K385" s="111"/>
      <c r="L385" s="111"/>
      <c r="M385" s="111"/>
      <c r="N385" s="61"/>
      <c r="O385" s="61"/>
      <c r="P385" s="17">
        <f t="shared" si="523"/>
        <v>0</v>
      </c>
      <c r="Q385" s="61"/>
      <c r="R385" s="61"/>
      <c r="S385" s="17">
        <f t="shared" si="524"/>
        <v>0</v>
      </c>
      <c r="T385" s="61"/>
      <c r="U385" s="61"/>
      <c r="V385" s="359">
        <f t="shared" si="525"/>
        <v>0</v>
      </c>
      <c r="W385" s="391">
        <f t="shared" si="515"/>
        <v>0</v>
      </c>
      <c r="X385" s="17">
        <f t="shared" si="516"/>
        <v>0</v>
      </c>
      <c r="Y385" s="18">
        <f t="shared" si="517"/>
        <v>0</v>
      </c>
      <c r="Z385" s="19">
        <f t="shared" si="518"/>
        <v>0</v>
      </c>
      <c r="AA385" s="19"/>
      <c r="AB385" s="19"/>
      <c r="AC385" s="20"/>
      <c r="AE385" s="111"/>
      <c r="AF385" s="111"/>
      <c r="AG385" s="111"/>
      <c r="AH385" s="112"/>
      <c r="AI385" s="113"/>
      <c r="AK385" s="111"/>
      <c r="AL385" s="111"/>
      <c r="AM385" s="111"/>
      <c r="AN385" s="112"/>
      <c r="AO385" s="113"/>
      <c r="AQ385" s="17"/>
      <c r="AR385" s="17"/>
      <c r="AS385" s="17"/>
      <c r="AT385" s="18">
        <f t="shared" si="519"/>
        <v>0</v>
      </c>
      <c r="AU385" s="19">
        <f t="shared" si="520"/>
        <v>0</v>
      </c>
      <c r="AW385" s="17"/>
      <c r="AX385" s="17"/>
      <c r="AY385" s="17"/>
      <c r="AZ385" s="18">
        <f t="shared" si="521"/>
        <v>0</v>
      </c>
      <c r="BA385" s="19">
        <f t="shared" si="522"/>
        <v>0</v>
      </c>
    </row>
    <row r="386" spans="1:53" ht="17.100000000000001" customHeight="1" x14ac:dyDescent="0.25">
      <c r="A386" s="40"/>
      <c r="B386" s="40"/>
      <c r="C386" s="40"/>
      <c r="D386" s="74" t="s">
        <v>195</v>
      </c>
      <c r="E386" s="75" t="s">
        <v>465</v>
      </c>
      <c r="F386" s="75"/>
      <c r="G386" s="75"/>
      <c r="H386" s="540"/>
      <c r="I386" s="229"/>
      <c r="J386" s="111"/>
      <c r="K386" s="111"/>
      <c r="L386" s="111"/>
      <c r="M386" s="111"/>
      <c r="N386" s="60"/>
      <c r="O386" s="60"/>
      <c r="P386" s="17">
        <f t="shared" si="523"/>
        <v>0</v>
      </c>
      <c r="Q386" s="60"/>
      <c r="R386" s="60"/>
      <c r="S386" s="17">
        <f t="shared" si="524"/>
        <v>0</v>
      </c>
      <c r="T386" s="60"/>
      <c r="U386" s="60"/>
      <c r="V386" s="359">
        <f t="shared" si="525"/>
        <v>0</v>
      </c>
      <c r="W386" s="391">
        <f t="shared" si="515"/>
        <v>0</v>
      </c>
      <c r="X386" s="17">
        <f t="shared" si="516"/>
        <v>0</v>
      </c>
      <c r="Y386" s="18">
        <f t="shared" si="517"/>
        <v>0</v>
      </c>
      <c r="Z386" s="19">
        <f t="shared" si="518"/>
        <v>0</v>
      </c>
      <c r="AA386" s="19"/>
      <c r="AB386" s="19"/>
      <c r="AC386" s="20"/>
      <c r="AE386" s="111"/>
      <c r="AF386" s="111"/>
      <c r="AG386" s="111"/>
      <c r="AH386" s="112"/>
      <c r="AI386" s="113"/>
      <c r="AK386" s="111"/>
      <c r="AL386" s="111"/>
      <c r="AM386" s="111"/>
      <c r="AN386" s="112"/>
      <c r="AO386" s="113"/>
      <c r="AQ386" s="17"/>
      <c r="AR386" s="17"/>
      <c r="AS386" s="17"/>
      <c r="AT386" s="18">
        <f t="shared" si="519"/>
        <v>0</v>
      </c>
      <c r="AU386" s="19">
        <f t="shared" si="520"/>
        <v>0</v>
      </c>
      <c r="AW386" s="17"/>
      <c r="AX386" s="17"/>
      <c r="AY386" s="17"/>
      <c r="AZ386" s="18">
        <f t="shared" si="521"/>
        <v>0</v>
      </c>
      <c r="BA386" s="19">
        <f t="shared" si="522"/>
        <v>0</v>
      </c>
    </row>
    <row r="387" spans="1:53" ht="17.100000000000001" customHeight="1" x14ac:dyDescent="0.25">
      <c r="A387" s="40"/>
      <c r="B387" s="40"/>
      <c r="C387" s="40"/>
      <c r="D387" s="74" t="s">
        <v>196</v>
      </c>
      <c r="E387" s="75" t="s">
        <v>466</v>
      </c>
      <c r="F387" s="75"/>
      <c r="G387" s="75"/>
      <c r="H387" s="540"/>
      <c r="I387" s="229"/>
      <c r="J387" s="111"/>
      <c r="K387" s="111"/>
      <c r="L387" s="111"/>
      <c r="M387" s="111"/>
      <c r="N387" s="61"/>
      <c r="O387" s="61"/>
      <c r="P387" s="17">
        <f t="shared" si="523"/>
        <v>0</v>
      </c>
      <c r="Q387" s="61"/>
      <c r="R387" s="61"/>
      <c r="S387" s="17">
        <f t="shared" si="524"/>
        <v>0</v>
      </c>
      <c r="T387" s="61"/>
      <c r="U387" s="61"/>
      <c r="V387" s="359">
        <f t="shared" si="525"/>
        <v>0</v>
      </c>
      <c r="W387" s="391">
        <f t="shared" si="515"/>
        <v>0</v>
      </c>
      <c r="X387" s="17">
        <f t="shared" si="516"/>
        <v>0</v>
      </c>
      <c r="Y387" s="18">
        <f t="shared" si="517"/>
        <v>0</v>
      </c>
      <c r="Z387" s="19">
        <f t="shared" si="518"/>
        <v>0</v>
      </c>
      <c r="AA387" s="19"/>
      <c r="AB387" s="19"/>
      <c r="AC387" s="20"/>
      <c r="AE387" s="111"/>
      <c r="AF387" s="111"/>
      <c r="AG387" s="111"/>
      <c r="AH387" s="112"/>
      <c r="AI387" s="113"/>
      <c r="AK387" s="111"/>
      <c r="AL387" s="111"/>
      <c r="AM387" s="111"/>
      <c r="AN387" s="112"/>
      <c r="AO387" s="113"/>
      <c r="AQ387" s="17"/>
      <c r="AR387" s="17"/>
      <c r="AS387" s="17"/>
      <c r="AT387" s="18">
        <f t="shared" si="519"/>
        <v>0</v>
      </c>
      <c r="AU387" s="19">
        <f t="shared" si="520"/>
        <v>0</v>
      </c>
      <c r="AW387" s="17"/>
      <c r="AX387" s="17"/>
      <c r="AY387" s="17"/>
      <c r="AZ387" s="18">
        <f t="shared" si="521"/>
        <v>0</v>
      </c>
      <c r="BA387" s="19">
        <f t="shared" si="522"/>
        <v>0</v>
      </c>
    </row>
    <row r="388" spans="1:53" ht="17.100000000000001" customHeight="1" x14ac:dyDescent="0.25">
      <c r="A388" s="40"/>
      <c r="B388" s="40"/>
      <c r="C388" s="40"/>
      <c r="D388" s="74" t="s">
        <v>197</v>
      </c>
      <c r="E388" s="75" t="s">
        <v>467</v>
      </c>
      <c r="F388" s="75"/>
      <c r="G388" s="75"/>
      <c r="H388" s="540"/>
      <c r="I388" s="229"/>
      <c r="J388" s="111"/>
      <c r="K388" s="111"/>
      <c r="L388" s="111"/>
      <c r="M388" s="111"/>
      <c r="N388" s="60">
        <v>1</v>
      </c>
      <c r="O388" s="60"/>
      <c r="P388" s="17">
        <f t="shared" si="523"/>
        <v>1</v>
      </c>
      <c r="Q388" s="60"/>
      <c r="R388" s="60"/>
      <c r="S388" s="17">
        <f t="shared" si="524"/>
        <v>0</v>
      </c>
      <c r="T388" s="60"/>
      <c r="U388" s="60"/>
      <c r="V388" s="359">
        <f t="shared" si="525"/>
        <v>0</v>
      </c>
      <c r="W388" s="391">
        <f t="shared" si="515"/>
        <v>1</v>
      </c>
      <c r="X388" s="17">
        <f t="shared" si="516"/>
        <v>0</v>
      </c>
      <c r="Y388" s="18">
        <f t="shared" si="517"/>
        <v>1</v>
      </c>
      <c r="Z388" s="19">
        <f t="shared" si="518"/>
        <v>9.0909090909090912E-2</v>
      </c>
      <c r="AA388" s="19"/>
      <c r="AB388" s="19"/>
      <c r="AC388" s="20"/>
      <c r="AE388" s="111"/>
      <c r="AF388" s="111"/>
      <c r="AG388" s="111"/>
      <c r="AH388" s="112"/>
      <c r="AI388" s="113"/>
      <c r="AK388" s="111"/>
      <c r="AL388" s="111"/>
      <c r="AM388" s="111"/>
      <c r="AN388" s="112"/>
      <c r="AO388" s="113"/>
      <c r="AQ388" s="17"/>
      <c r="AR388" s="17"/>
      <c r="AS388" s="17"/>
      <c r="AT388" s="18">
        <f t="shared" si="519"/>
        <v>1</v>
      </c>
      <c r="AU388" s="19">
        <f t="shared" si="520"/>
        <v>0.16666666666666666</v>
      </c>
      <c r="AW388" s="17"/>
      <c r="AX388" s="17"/>
      <c r="AY388" s="17"/>
      <c r="AZ388" s="18">
        <f t="shared" si="521"/>
        <v>0</v>
      </c>
      <c r="BA388" s="19">
        <f t="shared" si="522"/>
        <v>0</v>
      </c>
    </row>
    <row r="389" spans="1:53" ht="17.100000000000001" customHeight="1" x14ac:dyDescent="0.25">
      <c r="A389" s="40"/>
      <c r="B389" s="40"/>
      <c r="C389" s="40"/>
      <c r="D389" s="74" t="s">
        <v>199</v>
      </c>
      <c r="E389" s="75" t="s">
        <v>749</v>
      </c>
      <c r="F389" s="75"/>
      <c r="G389" s="75"/>
      <c r="H389" s="540"/>
      <c r="I389" s="229"/>
      <c r="J389" s="111"/>
      <c r="K389" s="111"/>
      <c r="L389" s="111"/>
      <c r="M389" s="111"/>
      <c r="N389" s="61"/>
      <c r="O389" s="61"/>
      <c r="P389" s="17">
        <f t="shared" si="523"/>
        <v>0</v>
      </c>
      <c r="Q389" s="61"/>
      <c r="R389" s="61"/>
      <c r="S389" s="17">
        <f t="shared" si="524"/>
        <v>0</v>
      </c>
      <c r="T389" s="61"/>
      <c r="U389" s="61"/>
      <c r="V389" s="359">
        <f t="shared" si="525"/>
        <v>0</v>
      </c>
      <c r="W389" s="391">
        <f t="shared" si="515"/>
        <v>0</v>
      </c>
      <c r="X389" s="17">
        <f t="shared" si="516"/>
        <v>0</v>
      </c>
      <c r="Y389" s="18">
        <f t="shared" si="517"/>
        <v>0</v>
      </c>
      <c r="Z389" s="19">
        <f t="shared" si="518"/>
        <v>0</v>
      </c>
      <c r="AA389" s="19"/>
      <c r="AB389" s="19"/>
      <c r="AC389" s="20"/>
      <c r="AE389" s="111"/>
      <c r="AF389" s="111"/>
      <c r="AG389" s="111"/>
      <c r="AH389" s="112"/>
      <c r="AI389" s="113"/>
      <c r="AK389" s="111"/>
      <c r="AL389" s="111"/>
      <c r="AM389" s="111"/>
      <c r="AN389" s="112"/>
      <c r="AO389" s="113"/>
      <c r="AQ389" s="17"/>
      <c r="AR389" s="17"/>
      <c r="AS389" s="17"/>
      <c r="AT389" s="18">
        <f t="shared" si="519"/>
        <v>0</v>
      </c>
      <c r="AU389" s="19">
        <f t="shared" si="520"/>
        <v>0</v>
      </c>
      <c r="AW389" s="17"/>
      <c r="AX389" s="17"/>
      <c r="AY389" s="17"/>
      <c r="AZ389" s="18">
        <f t="shared" si="521"/>
        <v>0</v>
      </c>
      <c r="BA389" s="19">
        <f t="shared" si="522"/>
        <v>0</v>
      </c>
    </row>
    <row r="390" spans="1:53" ht="17.100000000000001" customHeight="1" x14ac:dyDescent="0.25">
      <c r="A390" s="40"/>
      <c r="B390" s="40"/>
      <c r="C390" s="40"/>
      <c r="D390" s="74" t="s">
        <v>200</v>
      </c>
      <c r="E390" s="75" t="s">
        <v>468</v>
      </c>
      <c r="F390" s="75"/>
      <c r="G390" s="75"/>
      <c r="H390" s="540"/>
      <c r="I390" s="229"/>
      <c r="J390" s="111"/>
      <c r="K390" s="111"/>
      <c r="L390" s="111"/>
      <c r="M390" s="111"/>
      <c r="N390" s="60"/>
      <c r="O390" s="60"/>
      <c r="P390" s="17">
        <f t="shared" si="523"/>
        <v>0</v>
      </c>
      <c r="Q390" s="60"/>
      <c r="R390" s="60"/>
      <c r="S390" s="17">
        <f t="shared" si="524"/>
        <v>0</v>
      </c>
      <c r="T390" s="60"/>
      <c r="U390" s="60"/>
      <c r="V390" s="359">
        <f t="shared" si="525"/>
        <v>0</v>
      </c>
      <c r="W390" s="391">
        <f t="shared" si="515"/>
        <v>0</v>
      </c>
      <c r="X390" s="17">
        <f t="shared" si="516"/>
        <v>0</v>
      </c>
      <c r="Y390" s="18">
        <f t="shared" si="517"/>
        <v>0</v>
      </c>
      <c r="Z390" s="19">
        <f t="shared" si="518"/>
        <v>0</v>
      </c>
      <c r="AA390" s="19"/>
      <c r="AB390" s="19"/>
      <c r="AC390" s="20"/>
      <c r="AE390" s="111"/>
      <c r="AF390" s="111"/>
      <c r="AG390" s="111"/>
      <c r="AH390" s="112"/>
      <c r="AI390" s="113"/>
      <c r="AK390" s="111"/>
      <c r="AL390" s="111"/>
      <c r="AM390" s="111"/>
      <c r="AN390" s="112"/>
      <c r="AO390" s="113"/>
      <c r="AQ390" s="17"/>
      <c r="AR390" s="17"/>
      <c r="AS390" s="17"/>
      <c r="AT390" s="18">
        <f t="shared" si="519"/>
        <v>0</v>
      </c>
      <c r="AU390" s="19">
        <f t="shared" si="520"/>
        <v>0</v>
      </c>
      <c r="AW390" s="17"/>
      <c r="AX390" s="17"/>
      <c r="AY390" s="17"/>
      <c r="AZ390" s="18">
        <f t="shared" si="521"/>
        <v>0</v>
      </c>
      <c r="BA390" s="19">
        <f t="shared" si="522"/>
        <v>0</v>
      </c>
    </row>
    <row r="391" spans="1:53" ht="17.100000000000001" customHeight="1" x14ac:dyDescent="0.25">
      <c r="A391" s="40"/>
      <c r="B391" s="40"/>
      <c r="C391" s="40"/>
      <c r="D391" s="74" t="s">
        <v>201</v>
      </c>
      <c r="E391" s="75" t="s">
        <v>469</v>
      </c>
      <c r="F391" s="75"/>
      <c r="G391" s="75"/>
      <c r="H391" s="540"/>
      <c r="I391" s="229"/>
      <c r="J391" s="111"/>
      <c r="K391" s="111"/>
      <c r="L391" s="111"/>
      <c r="M391" s="111"/>
      <c r="N391" s="61"/>
      <c r="O391" s="61"/>
      <c r="P391" s="17">
        <f t="shared" si="523"/>
        <v>0</v>
      </c>
      <c r="Q391" s="61"/>
      <c r="R391" s="61"/>
      <c r="S391" s="17">
        <f t="shared" si="524"/>
        <v>0</v>
      </c>
      <c r="T391" s="61"/>
      <c r="U391" s="61"/>
      <c r="V391" s="359">
        <f t="shared" si="525"/>
        <v>0</v>
      </c>
      <c r="W391" s="391">
        <f t="shared" si="515"/>
        <v>0</v>
      </c>
      <c r="X391" s="17">
        <f t="shared" si="516"/>
        <v>0</v>
      </c>
      <c r="Y391" s="18">
        <f t="shared" si="517"/>
        <v>0</v>
      </c>
      <c r="Z391" s="19">
        <f t="shared" si="518"/>
        <v>0</v>
      </c>
      <c r="AA391" s="19"/>
      <c r="AB391" s="19"/>
      <c r="AC391" s="20"/>
      <c r="AE391" s="111"/>
      <c r="AF391" s="111"/>
      <c r="AG391" s="111"/>
      <c r="AH391" s="112"/>
      <c r="AI391" s="113"/>
      <c r="AK391" s="111"/>
      <c r="AL391" s="111"/>
      <c r="AM391" s="111"/>
      <c r="AN391" s="112"/>
      <c r="AO391" s="113"/>
      <c r="AQ391" s="17"/>
      <c r="AR391" s="17"/>
      <c r="AS391" s="17"/>
      <c r="AT391" s="18">
        <f t="shared" si="519"/>
        <v>0</v>
      </c>
      <c r="AU391" s="19">
        <f t="shared" si="520"/>
        <v>0</v>
      </c>
      <c r="AW391" s="17"/>
      <c r="AX391" s="17"/>
      <c r="AY391" s="17"/>
      <c r="AZ391" s="18">
        <f t="shared" si="521"/>
        <v>0</v>
      </c>
      <c r="BA391" s="19">
        <f t="shared" si="522"/>
        <v>0</v>
      </c>
    </row>
    <row r="392" spans="1:53" ht="17.100000000000001" customHeight="1" x14ac:dyDescent="0.25">
      <c r="A392" s="40"/>
      <c r="B392" s="40"/>
      <c r="C392" s="40"/>
      <c r="D392" s="74" t="s">
        <v>202</v>
      </c>
      <c r="E392" s="75" t="s">
        <v>750</v>
      </c>
      <c r="F392" s="75"/>
      <c r="G392" s="75"/>
      <c r="H392" s="540"/>
      <c r="I392" s="229"/>
      <c r="J392" s="111"/>
      <c r="K392" s="111"/>
      <c r="L392" s="111"/>
      <c r="M392" s="111"/>
      <c r="N392" s="60"/>
      <c r="O392" s="60"/>
      <c r="P392" s="17">
        <f t="shared" si="523"/>
        <v>0</v>
      </c>
      <c r="Q392" s="60"/>
      <c r="R392" s="60"/>
      <c r="S392" s="17">
        <f t="shared" si="524"/>
        <v>0</v>
      </c>
      <c r="T392" s="60"/>
      <c r="U392" s="60"/>
      <c r="V392" s="359">
        <f t="shared" si="525"/>
        <v>0</v>
      </c>
      <c r="W392" s="391">
        <f t="shared" si="515"/>
        <v>0</v>
      </c>
      <c r="X392" s="17">
        <f t="shared" si="516"/>
        <v>0</v>
      </c>
      <c r="Y392" s="18">
        <f t="shared" si="517"/>
        <v>0</v>
      </c>
      <c r="Z392" s="19">
        <f t="shared" si="518"/>
        <v>0</v>
      </c>
      <c r="AA392" s="19"/>
      <c r="AB392" s="19"/>
      <c r="AC392" s="20"/>
      <c r="AE392" s="111"/>
      <c r="AF392" s="111"/>
      <c r="AG392" s="111"/>
      <c r="AH392" s="112"/>
      <c r="AI392" s="113"/>
      <c r="AK392" s="111"/>
      <c r="AL392" s="111"/>
      <c r="AM392" s="111"/>
      <c r="AN392" s="112"/>
      <c r="AO392" s="113"/>
      <c r="AQ392" s="17"/>
      <c r="AR392" s="17"/>
      <c r="AS392" s="17"/>
      <c r="AT392" s="18">
        <f t="shared" si="519"/>
        <v>0</v>
      </c>
      <c r="AU392" s="19">
        <f t="shared" si="520"/>
        <v>0</v>
      </c>
      <c r="AW392" s="17"/>
      <c r="AX392" s="17"/>
      <c r="AY392" s="17"/>
      <c r="AZ392" s="18">
        <f t="shared" si="521"/>
        <v>0</v>
      </c>
      <c r="BA392" s="19">
        <f t="shared" si="522"/>
        <v>0</v>
      </c>
    </row>
    <row r="393" spans="1:53" ht="17.100000000000001" customHeight="1" x14ac:dyDescent="0.25">
      <c r="A393" s="40"/>
      <c r="B393" s="40"/>
      <c r="C393" s="40"/>
      <c r="D393" s="74" t="s">
        <v>203</v>
      </c>
      <c r="E393" s="75" t="s">
        <v>198</v>
      </c>
      <c r="F393" s="75"/>
      <c r="G393" s="75"/>
      <c r="H393" s="540"/>
      <c r="I393" s="229"/>
      <c r="J393" s="111"/>
      <c r="K393" s="111"/>
      <c r="L393" s="111"/>
      <c r="M393" s="111"/>
      <c r="N393" s="61">
        <v>4</v>
      </c>
      <c r="O393" s="61">
        <v>1</v>
      </c>
      <c r="P393" s="17">
        <f t="shared" si="523"/>
        <v>5</v>
      </c>
      <c r="Q393" s="61">
        <v>1</v>
      </c>
      <c r="R393" s="61">
        <v>3</v>
      </c>
      <c r="S393" s="17">
        <f t="shared" si="524"/>
        <v>4</v>
      </c>
      <c r="T393" s="61"/>
      <c r="U393" s="61"/>
      <c r="V393" s="359">
        <f t="shared" si="525"/>
        <v>0</v>
      </c>
      <c r="W393" s="391">
        <f t="shared" si="515"/>
        <v>5</v>
      </c>
      <c r="X393" s="17">
        <f t="shared" si="516"/>
        <v>4</v>
      </c>
      <c r="Y393" s="18">
        <f t="shared" si="517"/>
        <v>9</v>
      </c>
      <c r="Z393" s="19">
        <f t="shared" si="518"/>
        <v>0.81818181818181823</v>
      </c>
      <c r="AA393" s="19"/>
      <c r="AB393" s="19"/>
      <c r="AC393" s="20"/>
      <c r="AE393" s="111"/>
      <c r="AF393" s="111"/>
      <c r="AG393" s="111"/>
      <c r="AH393" s="112"/>
      <c r="AI393" s="113"/>
      <c r="AK393" s="111"/>
      <c r="AL393" s="111"/>
      <c r="AM393" s="111"/>
      <c r="AN393" s="112"/>
      <c r="AO393" s="113"/>
      <c r="AQ393" s="17"/>
      <c r="AR393" s="17"/>
      <c r="AS393" s="17"/>
      <c r="AT393" s="18">
        <f t="shared" si="519"/>
        <v>5</v>
      </c>
      <c r="AU393" s="19">
        <f t="shared" si="520"/>
        <v>0.83333333333333337</v>
      </c>
      <c r="AW393" s="17"/>
      <c r="AX393" s="17"/>
      <c r="AY393" s="17"/>
      <c r="AZ393" s="18">
        <f t="shared" si="521"/>
        <v>4</v>
      </c>
      <c r="BA393" s="19">
        <f t="shared" si="522"/>
        <v>0.8</v>
      </c>
    </row>
    <row r="394" spans="1:53" ht="17.100000000000001" customHeight="1" x14ac:dyDescent="0.25">
      <c r="A394" s="40"/>
      <c r="B394" s="40"/>
      <c r="C394" s="40"/>
      <c r="D394" s="74" t="s">
        <v>204</v>
      </c>
      <c r="E394" s="75" t="s">
        <v>470</v>
      </c>
      <c r="F394" s="75"/>
      <c r="G394" s="75"/>
      <c r="H394" s="540"/>
      <c r="I394" s="229"/>
      <c r="J394" s="111"/>
      <c r="K394" s="111"/>
      <c r="L394" s="111"/>
      <c r="M394" s="111"/>
      <c r="N394" s="60"/>
      <c r="O394" s="60"/>
      <c r="P394" s="17">
        <f t="shared" ref="P394" si="526">SUM(N394:O394)</f>
        <v>0</v>
      </c>
      <c r="Q394" s="61"/>
      <c r="R394" s="61"/>
      <c r="S394" s="17">
        <f t="shared" ref="S394" si="527">SUM(Q394:R394)</f>
        <v>0</v>
      </c>
      <c r="T394" s="61"/>
      <c r="U394" s="61"/>
      <c r="V394" s="359">
        <f t="shared" ref="V394" si="528">SUM(T394:U394)</f>
        <v>0</v>
      </c>
      <c r="W394" s="391">
        <f t="shared" ref="W394" si="529">J394+K394+N394+Q394+T394</f>
        <v>0</v>
      </c>
      <c r="X394" s="17">
        <f t="shared" ref="X394" si="530">L394+O394+R394+U394</f>
        <v>0</v>
      </c>
      <c r="Y394" s="18">
        <f t="shared" ref="Y394" si="531">SUM(W394:X394)</f>
        <v>0</v>
      </c>
      <c r="Z394" s="19">
        <f t="shared" si="518"/>
        <v>0</v>
      </c>
      <c r="AA394" s="19"/>
      <c r="AB394" s="19"/>
      <c r="AC394" s="20"/>
      <c r="AE394" s="111"/>
      <c r="AF394" s="111"/>
      <c r="AG394" s="111"/>
      <c r="AH394" s="112"/>
      <c r="AI394" s="113"/>
      <c r="AK394" s="111"/>
      <c r="AL394" s="111"/>
      <c r="AM394" s="111"/>
      <c r="AN394" s="112"/>
      <c r="AO394" s="113"/>
      <c r="AQ394" s="17"/>
      <c r="AR394" s="17"/>
      <c r="AS394" s="17"/>
      <c r="AT394" s="18">
        <f t="shared" ref="AT394:AT395" si="532">W394</f>
        <v>0</v>
      </c>
      <c r="AU394" s="19">
        <f t="shared" si="520"/>
        <v>0</v>
      </c>
      <c r="AW394" s="17"/>
      <c r="AX394" s="17"/>
      <c r="AY394" s="17"/>
      <c r="AZ394" s="18">
        <f t="shared" ref="AZ394:AZ395" si="533">X394</f>
        <v>0</v>
      </c>
      <c r="BA394" s="19">
        <f t="shared" si="522"/>
        <v>0</v>
      </c>
    </row>
    <row r="395" spans="1:53" ht="17.100000000000001" customHeight="1" x14ac:dyDescent="0.25">
      <c r="A395" s="40"/>
      <c r="B395" s="40"/>
      <c r="C395" s="40"/>
      <c r="D395" s="74" t="s">
        <v>748</v>
      </c>
      <c r="E395" s="75" t="s">
        <v>205</v>
      </c>
      <c r="F395" s="75"/>
      <c r="G395" s="75"/>
      <c r="H395" s="540"/>
      <c r="I395" s="229"/>
      <c r="J395" s="111"/>
      <c r="K395" s="111"/>
      <c r="L395" s="111"/>
      <c r="M395" s="111"/>
      <c r="N395" s="111">
        <f>SUM(N396:N399)</f>
        <v>0</v>
      </c>
      <c r="O395" s="111">
        <f>SUM(O396:O399)</f>
        <v>0</v>
      </c>
      <c r="P395" s="111">
        <f t="shared" si="523"/>
        <v>0</v>
      </c>
      <c r="Q395" s="111">
        <f>SUM(Q396:Q399)</f>
        <v>0</v>
      </c>
      <c r="R395" s="111">
        <f>SUM(R396:R399)</f>
        <v>1</v>
      </c>
      <c r="S395" s="111">
        <f t="shared" si="524"/>
        <v>1</v>
      </c>
      <c r="T395" s="111">
        <f>SUM(T396:T399)</f>
        <v>0</v>
      </c>
      <c r="U395" s="111">
        <f>SUM(U396:U399)</f>
        <v>0</v>
      </c>
      <c r="V395" s="358">
        <f t="shared" si="525"/>
        <v>0</v>
      </c>
      <c r="W395" s="380">
        <f t="shared" ref="W395:W399" si="534">J395+K395+N395+Q395+T395</f>
        <v>0</v>
      </c>
      <c r="X395" s="111">
        <f t="shared" ref="X395:X399" si="535">L395+O395+R395+U395</f>
        <v>1</v>
      </c>
      <c r="Y395" s="545">
        <f t="shared" ref="Y395" si="536">SUM(W395:X395)</f>
        <v>1</v>
      </c>
      <c r="Z395" s="131">
        <f t="shared" si="518"/>
        <v>9.0909090909090912E-2</v>
      </c>
      <c r="AA395" s="131"/>
      <c r="AB395" s="131"/>
      <c r="AC395" s="113"/>
      <c r="AE395" s="111"/>
      <c r="AF395" s="111"/>
      <c r="AG395" s="111"/>
      <c r="AH395" s="545"/>
      <c r="AI395" s="131"/>
      <c r="AK395" s="111"/>
      <c r="AL395" s="111"/>
      <c r="AM395" s="111"/>
      <c r="AN395" s="545"/>
      <c r="AO395" s="131"/>
      <c r="AQ395" s="111"/>
      <c r="AR395" s="111"/>
      <c r="AS395" s="111"/>
      <c r="AT395" s="545">
        <f t="shared" si="532"/>
        <v>0</v>
      </c>
      <c r="AU395" s="131">
        <f t="shared" si="520"/>
        <v>0</v>
      </c>
      <c r="AW395" s="111"/>
      <c r="AX395" s="111"/>
      <c r="AY395" s="111"/>
      <c r="AZ395" s="545">
        <f t="shared" si="533"/>
        <v>1</v>
      </c>
      <c r="BA395" s="131">
        <f t="shared" si="522"/>
        <v>0.2</v>
      </c>
    </row>
    <row r="396" spans="1:53" ht="17.100000000000001" customHeight="1" x14ac:dyDescent="0.25">
      <c r="A396" s="40"/>
      <c r="B396" s="40"/>
      <c r="C396" s="40"/>
      <c r="D396" s="74"/>
      <c r="E396" s="168"/>
      <c r="F396" s="169"/>
      <c r="G396" s="169"/>
      <c r="H396" s="17"/>
      <c r="I396" s="594"/>
      <c r="J396" s="111"/>
      <c r="K396" s="111"/>
      <c r="L396" s="111"/>
      <c r="M396" s="111"/>
      <c r="N396" s="60"/>
      <c r="O396" s="60"/>
      <c r="P396" s="17"/>
      <c r="Q396" s="60"/>
      <c r="R396" s="60">
        <v>1</v>
      </c>
      <c r="S396" s="17"/>
      <c r="T396" s="60"/>
      <c r="U396" s="60"/>
      <c r="V396" s="359"/>
      <c r="W396" s="391">
        <f t="shared" si="534"/>
        <v>0</v>
      </c>
      <c r="X396" s="17">
        <f t="shared" si="535"/>
        <v>1</v>
      </c>
      <c r="Y396" s="539"/>
      <c r="Z396" s="17"/>
      <c r="AA396" s="17"/>
      <c r="AB396" s="17"/>
      <c r="AC396" s="17"/>
      <c r="AE396" s="111"/>
      <c r="AF396" s="111"/>
      <c r="AG396" s="111"/>
      <c r="AH396" s="112"/>
      <c r="AI396" s="113"/>
      <c r="AK396" s="111"/>
      <c r="AL396" s="111"/>
      <c r="AM396" s="111"/>
      <c r="AN396" s="112"/>
      <c r="AO396" s="113"/>
      <c r="AQ396" s="17"/>
      <c r="AR396" s="17"/>
      <c r="AS396" s="17"/>
      <c r="AT396" s="18"/>
      <c r="AU396" s="91"/>
      <c r="AW396" s="17"/>
      <c r="AX396" s="17"/>
      <c r="AY396" s="17"/>
      <c r="AZ396" s="18"/>
      <c r="BA396" s="91"/>
    </row>
    <row r="397" spans="1:53" ht="17.100000000000001" customHeight="1" x14ac:dyDescent="0.25">
      <c r="A397" s="40"/>
      <c r="B397" s="40"/>
      <c r="C397" s="40"/>
      <c r="D397" s="74"/>
      <c r="E397" s="170"/>
      <c r="F397" s="171"/>
      <c r="G397" s="171"/>
      <c r="H397" s="17"/>
      <c r="I397" s="594"/>
      <c r="J397" s="111"/>
      <c r="K397" s="111"/>
      <c r="L397" s="111"/>
      <c r="M397" s="111"/>
      <c r="N397" s="61"/>
      <c r="O397" s="61"/>
      <c r="P397" s="17"/>
      <c r="Q397" s="61"/>
      <c r="R397" s="61"/>
      <c r="S397" s="17"/>
      <c r="T397" s="61"/>
      <c r="U397" s="61"/>
      <c r="V397" s="359"/>
      <c r="W397" s="391">
        <f t="shared" si="534"/>
        <v>0</v>
      </c>
      <c r="X397" s="17">
        <f t="shared" si="535"/>
        <v>0</v>
      </c>
      <c r="Y397" s="539"/>
      <c r="Z397" s="17"/>
      <c r="AA397" s="17"/>
      <c r="AB397" s="17"/>
      <c r="AC397" s="17"/>
      <c r="AE397" s="111"/>
      <c r="AF397" s="111"/>
      <c r="AG397" s="111"/>
      <c r="AH397" s="112"/>
      <c r="AI397" s="113"/>
      <c r="AK397" s="111"/>
      <c r="AL397" s="111"/>
      <c r="AM397" s="111"/>
      <c r="AN397" s="112"/>
      <c r="AO397" s="113"/>
      <c r="AQ397" s="17"/>
      <c r="AR397" s="17"/>
      <c r="AS397" s="17"/>
      <c r="AT397" s="18"/>
      <c r="AU397" s="91"/>
      <c r="AW397" s="17"/>
      <c r="AX397" s="17"/>
      <c r="AY397" s="17"/>
      <c r="AZ397" s="18"/>
      <c r="BA397" s="91"/>
    </row>
    <row r="398" spans="1:53" ht="17.100000000000001" customHeight="1" x14ac:dyDescent="0.25">
      <c r="A398" s="40"/>
      <c r="B398" s="40"/>
      <c r="C398" s="40"/>
      <c r="D398" s="74"/>
      <c r="E398" s="168"/>
      <c r="F398" s="169"/>
      <c r="G398" s="169"/>
      <c r="H398" s="17"/>
      <c r="I398" s="594"/>
      <c r="J398" s="111"/>
      <c r="K398" s="111"/>
      <c r="L398" s="111"/>
      <c r="M398" s="111"/>
      <c r="N398" s="60"/>
      <c r="O398" s="60"/>
      <c r="P398" s="17"/>
      <c r="Q398" s="60"/>
      <c r="R398" s="60"/>
      <c r="S398" s="17"/>
      <c r="T398" s="60"/>
      <c r="U398" s="60"/>
      <c r="V398" s="359"/>
      <c r="W398" s="391">
        <f t="shared" si="534"/>
        <v>0</v>
      </c>
      <c r="X398" s="17">
        <f t="shared" si="535"/>
        <v>0</v>
      </c>
      <c r="Y398" s="539"/>
      <c r="Z398" s="17"/>
      <c r="AA398" s="17"/>
      <c r="AB398" s="17"/>
      <c r="AC398" s="17"/>
      <c r="AE398" s="111"/>
      <c r="AF398" s="111"/>
      <c r="AG398" s="111"/>
      <c r="AH398" s="112"/>
      <c r="AI398" s="113"/>
      <c r="AK398" s="111"/>
      <c r="AL398" s="111"/>
      <c r="AM398" s="111"/>
      <c r="AN398" s="112"/>
      <c r="AO398" s="113"/>
      <c r="AQ398" s="17"/>
      <c r="AR398" s="17"/>
      <c r="AS398" s="17"/>
      <c r="AT398" s="18"/>
      <c r="AU398" s="91"/>
      <c r="AW398" s="17"/>
      <c r="AX398" s="17"/>
      <c r="AY398" s="17"/>
      <c r="AZ398" s="18"/>
      <c r="BA398" s="91"/>
    </row>
    <row r="399" spans="1:53" ht="17.100000000000001" customHeight="1" x14ac:dyDescent="0.25">
      <c r="A399" s="40"/>
      <c r="B399" s="40"/>
      <c r="C399" s="40"/>
      <c r="D399" s="74"/>
      <c r="E399" s="170"/>
      <c r="F399" s="171"/>
      <c r="G399" s="171"/>
      <c r="H399" s="17"/>
      <c r="I399" s="594"/>
      <c r="J399" s="111"/>
      <c r="K399" s="111"/>
      <c r="L399" s="111"/>
      <c r="M399" s="111"/>
      <c r="N399" s="61"/>
      <c r="O399" s="61"/>
      <c r="P399" s="17"/>
      <c r="Q399" s="61"/>
      <c r="R399" s="61"/>
      <c r="S399" s="17"/>
      <c r="T399" s="61"/>
      <c r="U399" s="61"/>
      <c r="V399" s="359"/>
      <c r="W399" s="391">
        <f t="shared" si="534"/>
        <v>0</v>
      </c>
      <c r="X399" s="17">
        <f t="shared" si="535"/>
        <v>0</v>
      </c>
      <c r="Y399" s="539"/>
      <c r="Z399" s="17"/>
      <c r="AA399" s="17"/>
      <c r="AB399" s="17"/>
      <c r="AC399" s="17"/>
      <c r="AE399" s="111"/>
      <c r="AF399" s="111"/>
      <c r="AG399" s="111"/>
      <c r="AH399" s="112"/>
      <c r="AI399" s="113"/>
      <c r="AK399" s="111"/>
      <c r="AL399" s="111"/>
      <c r="AM399" s="111"/>
      <c r="AN399" s="112"/>
      <c r="AO399" s="113"/>
      <c r="AQ399" s="17"/>
      <c r="AR399" s="17"/>
      <c r="AS399" s="17"/>
      <c r="AT399" s="18"/>
      <c r="AU399" s="91"/>
      <c r="AW399" s="17"/>
      <c r="AX399" s="17"/>
      <c r="AY399" s="17"/>
      <c r="AZ399" s="18"/>
      <c r="BA399" s="91"/>
    </row>
    <row r="400" spans="1:53" ht="17.100000000000001" customHeight="1" x14ac:dyDescent="0.25">
      <c r="A400" s="40"/>
      <c r="B400" s="40"/>
      <c r="C400" s="77"/>
      <c r="D400" s="134"/>
      <c r="E400" s="134"/>
      <c r="F400" s="134"/>
      <c r="G400" s="134"/>
      <c r="H400" s="540"/>
      <c r="I400" s="229"/>
      <c r="J400" s="64"/>
      <c r="K400" s="64"/>
      <c r="L400" s="81"/>
      <c r="M400" s="81"/>
      <c r="N400" s="81">
        <f t="shared" ref="N400:V400" si="537">SUM(N382:N395)</f>
        <v>5</v>
      </c>
      <c r="O400" s="81">
        <f t="shared" si="537"/>
        <v>1</v>
      </c>
      <c r="P400" s="81">
        <f t="shared" si="537"/>
        <v>6</v>
      </c>
      <c r="Q400" s="81">
        <f t="shared" si="537"/>
        <v>1</v>
      </c>
      <c r="R400" s="81">
        <f t="shared" si="537"/>
        <v>4</v>
      </c>
      <c r="S400" s="81">
        <f t="shared" si="537"/>
        <v>5</v>
      </c>
      <c r="T400" s="81">
        <f t="shared" si="537"/>
        <v>0</v>
      </c>
      <c r="U400" s="81">
        <f t="shared" si="537"/>
        <v>0</v>
      </c>
      <c r="V400" s="81">
        <f t="shared" si="537"/>
        <v>0</v>
      </c>
      <c r="W400" s="381">
        <f>SUM(W382:W395)</f>
        <v>6</v>
      </c>
      <c r="X400" s="82">
        <f t="shared" ref="X400:Y400" si="538">SUM(X382:X395)</f>
        <v>5</v>
      </c>
      <c r="Y400" s="82">
        <f t="shared" si="538"/>
        <v>11</v>
      </c>
      <c r="Z400" s="205">
        <f t="shared" ref="Z400" si="539">IF(Y$400=0,0,Y400/Y$400)</f>
        <v>1</v>
      </c>
      <c r="AA400" s="205"/>
      <c r="AB400" s="205"/>
      <c r="AC400" s="83"/>
      <c r="AE400" s="80"/>
      <c r="AF400" s="80"/>
      <c r="AG400" s="81"/>
      <c r="AH400" s="82"/>
      <c r="AI400" s="66"/>
      <c r="AK400" s="80"/>
      <c r="AL400" s="80"/>
      <c r="AM400" s="81"/>
      <c r="AN400" s="82"/>
      <c r="AO400" s="66"/>
      <c r="AQ400" s="80"/>
      <c r="AR400" s="80"/>
      <c r="AS400" s="81"/>
      <c r="AT400" s="82">
        <f t="shared" ref="AT400" si="540">SUM(AT382:AT395)</f>
        <v>6</v>
      </c>
      <c r="AU400" s="66">
        <f>IF(AT$400=0,0,AT400/AT$400)</f>
        <v>1</v>
      </c>
      <c r="AW400" s="80"/>
      <c r="AX400" s="80"/>
      <c r="AY400" s="81"/>
      <c r="AZ400" s="82">
        <f t="shared" ref="AZ400" si="541">SUM(AZ382:AZ395)</f>
        <v>5</v>
      </c>
      <c r="BA400" s="66">
        <f>IF(AZ$400=0,0,AZ400/AZ$400)</f>
        <v>1</v>
      </c>
    </row>
    <row r="401" spans="1:53" ht="17.100000000000001" customHeight="1" x14ac:dyDescent="0.25">
      <c r="A401" s="175"/>
      <c r="B401" s="48" t="s">
        <v>206</v>
      </c>
      <c r="C401" s="49" t="s">
        <v>473</v>
      </c>
      <c r="D401" s="176"/>
      <c r="E401" s="43"/>
      <c r="F401" s="43"/>
      <c r="G401" s="43"/>
      <c r="H401" s="540"/>
      <c r="I401" s="12"/>
      <c r="J401" s="88"/>
      <c r="K401" s="88"/>
      <c r="L401" s="71"/>
      <c r="M401" s="71"/>
      <c r="N401" s="71"/>
      <c r="O401" s="71"/>
      <c r="P401" s="71"/>
      <c r="Q401" s="71"/>
      <c r="R401" s="71"/>
      <c r="S401" s="71"/>
      <c r="T401" s="71"/>
      <c r="U401" s="71"/>
      <c r="V401" s="355"/>
      <c r="W401" s="377"/>
      <c r="X401" s="71"/>
      <c r="Y401" s="89"/>
      <c r="Z401" s="90"/>
      <c r="AA401" s="90"/>
      <c r="AB401" s="90"/>
      <c r="AC401" s="73"/>
      <c r="AE401" s="87"/>
      <c r="AF401" s="87"/>
      <c r="AG401" s="71"/>
      <c r="AH401" s="89"/>
      <c r="AI401" s="90"/>
      <c r="AK401" s="87"/>
      <c r="AL401" s="87"/>
      <c r="AM401" s="71"/>
      <c r="AN401" s="89"/>
      <c r="AO401" s="90"/>
      <c r="AQ401" s="87"/>
      <c r="AR401" s="87"/>
      <c r="AS401" s="71"/>
      <c r="AT401" s="89"/>
      <c r="AU401" s="90"/>
      <c r="AW401" s="87"/>
      <c r="AX401" s="87"/>
      <c r="AY401" s="71"/>
      <c r="AZ401" s="89"/>
      <c r="BA401" s="90"/>
    </row>
    <row r="402" spans="1:53" ht="17.100000000000001" customHeight="1" x14ac:dyDescent="0.25">
      <c r="A402" s="175"/>
      <c r="B402" s="177"/>
      <c r="C402" s="56" t="s">
        <v>207</v>
      </c>
      <c r="D402" s="57" t="s">
        <v>173</v>
      </c>
      <c r="E402" s="75"/>
      <c r="F402" s="75"/>
      <c r="G402" s="75"/>
      <c r="H402" s="540"/>
      <c r="I402" s="12"/>
      <c r="J402" s="111"/>
      <c r="K402" s="111"/>
      <c r="L402" s="111"/>
      <c r="M402" s="111"/>
      <c r="N402" s="60"/>
      <c r="O402" s="60">
        <v>2</v>
      </c>
      <c r="P402" s="17">
        <f t="shared" ref="P402:P406" si="542">SUM(N402:O402)</f>
        <v>2</v>
      </c>
      <c r="Q402" s="60"/>
      <c r="R402" s="60">
        <v>1</v>
      </c>
      <c r="S402" s="17">
        <f t="shared" ref="S402:S406" si="543">SUM(Q402:R402)</f>
        <v>1</v>
      </c>
      <c r="T402" s="60"/>
      <c r="U402" s="60"/>
      <c r="V402" s="359">
        <f t="shared" ref="V402:V406" si="544">SUM(T402:U402)</f>
        <v>0</v>
      </c>
      <c r="W402" s="391">
        <f t="shared" ref="W402:W406" si="545">J402+K402+N402+Q402+T402</f>
        <v>0</v>
      </c>
      <c r="X402" s="17">
        <f t="shared" ref="X402:X406" si="546">L402+O402+R402+U402</f>
        <v>3</v>
      </c>
      <c r="Y402" s="18">
        <f>SUM(W402:X402)</f>
        <v>3</v>
      </c>
      <c r="Z402" s="19">
        <f>IF(Y$407=0,0,Y402/Y$407)</f>
        <v>0.2</v>
      </c>
      <c r="AA402" s="19"/>
      <c r="AB402" s="19"/>
      <c r="AC402" s="84"/>
      <c r="AE402" s="111"/>
      <c r="AF402" s="111"/>
      <c r="AG402" s="111"/>
      <c r="AH402" s="112"/>
      <c r="AI402" s="113"/>
      <c r="AK402" s="111"/>
      <c r="AL402" s="111"/>
      <c r="AM402" s="111"/>
      <c r="AN402" s="112"/>
      <c r="AO402" s="113"/>
      <c r="AQ402" s="17"/>
      <c r="AR402" s="17"/>
      <c r="AS402" s="17"/>
      <c r="AT402" s="18">
        <f t="shared" ref="AT402:AT406" si="547">W402</f>
        <v>0</v>
      </c>
      <c r="AU402" s="19">
        <f t="shared" ref="AU402:AU407" si="548">IF(AT$407=0,0,AT402/AT$407)</f>
        <v>0</v>
      </c>
      <c r="AW402" s="17"/>
      <c r="AX402" s="17"/>
      <c r="AY402" s="17"/>
      <c r="AZ402" s="18">
        <f t="shared" ref="AZ402:AZ406" si="549">X402</f>
        <v>3</v>
      </c>
      <c r="BA402" s="19">
        <f t="shared" ref="BA402:BA407" si="550">IF(AZ$407=0,0,AZ402/AZ$407)</f>
        <v>0.375</v>
      </c>
    </row>
    <row r="403" spans="1:53" ht="17.100000000000001" customHeight="1" x14ac:dyDescent="0.25">
      <c r="A403" s="175"/>
      <c r="B403" s="177"/>
      <c r="C403" s="56" t="s">
        <v>208</v>
      </c>
      <c r="D403" s="57" t="s">
        <v>209</v>
      </c>
      <c r="E403" s="75"/>
      <c r="F403" s="75"/>
      <c r="G403" s="75"/>
      <c r="H403" s="540"/>
      <c r="I403" s="12"/>
      <c r="J403" s="111"/>
      <c r="K403" s="111"/>
      <c r="L403" s="111"/>
      <c r="M403" s="111"/>
      <c r="N403" s="61">
        <v>6</v>
      </c>
      <c r="O403" s="61">
        <v>1</v>
      </c>
      <c r="P403" s="17">
        <f t="shared" si="542"/>
        <v>7</v>
      </c>
      <c r="Q403" s="61">
        <v>1</v>
      </c>
      <c r="R403" s="61">
        <v>4</v>
      </c>
      <c r="S403" s="17">
        <f t="shared" si="543"/>
        <v>5</v>
      </c>
      <c r="T403" s="61"/>
      <c r="U403" s="61"/>
      <c r="V403" s="359">
        <f t="shared" si="544"/>
        <v>0</v>
      </c>
      <c r="W403" s="391">
        <f t="shared" si="545"/>
        <v>7</v>
      </c>
      <c r="X403" s="17">
        <f t="shared" si="546"/>
        <v>5</v>
      </c>
      <c r="Y403" s="18">
        <f>SUM(W403:X403)</f>
        <v>12</v>
      </c>
      <c r="Z403" s="19">
        <f t="shared" ref="Z403:Z406" si="551">IF(Y$407=0,0,Y403/Y$407)</f>
        <v>0.8</v>
      </c>
      <c r="AA403" s="19"/>
      <c r="AB403" s="19"/>
      <c r="AC403" s="84"/>
      <c r="AE403" s="111"/>
      <c r="AF403" s="111"/>
      <c r="AG403" s="111"/>
      <c r="AH403" s="112"/>
      <c r="AI403" s="113"/>
      <c r="AK403" s="111"/>
      <c r="AL403" s="111"/>
      <c r="AM403" s="111"/>
      <c r="AN403" s="112"/>
      <c r="AO403" s="113"/>
      <c r="AQ403" s="17"/>
      <c r="AR403" s="17"/>
      <c r="AS403" s="17"/>
      <c r="AT403" s="18">
        <f t="shared" si="547"/>
        <v>7</v>
      </c>
      <c r="AU403" s="19">
        <f t="shared" si="548"/>
        <v>1</v>
      </c>
      <c r="AW403" s="17"/>
      <c r="AX403" s="17"/>
      <c r="AY403" s="17"/>
      <c r="AZ403" s="18">
        <f t="shared" si="549"/>
        <v>5</v>
      </c>
      <c r="BA403" s="19">
        <f t="shared" si="550"/>
        <v>0.625</v>
      </c>
    </row>
    <row r="404" spans="1:53" ht="17.100000000000001" customHeight="1" x14ac:dyDescent="0.25">
      <c r="A404" s="175"/>
      <c r="B404" s="177"/>
      <c r="C404" s="56" t="s">
        <v>210</v>
      </c>
      <c r="D404" s="57" t="s">
        <v>211</v>
      </c>
      <c r="E404" s="75"/>
      <c r="F404" s="75"/>
      <c r="G404" s="75"/>
      <c r="H404" s="540"/>
      <c r="I404" s="12"/>
      <c r="J404" s="111"/>
      <c r="K404" s="111"/>
      <c r="L404" s="111"/>
      <c r="M404" s="111"/>
      <c r="N404" s="60"/>
      <c r="O404" s="60"/>
      <c r="P404" s="17">
        <f t="shared" si="542"/>
        <v>0</v>
      </c>
      <c r="Q404" s="60"/>
      <c r="R404" s="60"/>
      <c r="S404" s="17">
        <f t="shared" si="543"/>
        <v>0</v>
      </c>
      <c r="T404" s="60"/>
      <c r="U404" s="60"/>
      <c r="V404" s="359">
        <f t="shared" si="544"/>
        <v>0</v>
      </c>
      <c r="W404" s="391">
        <f t="shared" si="545"/>
        <v>0</v>
      </c>
      <c r="X404" s="17">
        <f t="shared" si="546"/>
        <v>0</v>
      </c>
      <c r="Y404" s="18">
        <f>SUM(W404:X404)</f>
        <v>0</v>
      </c>
      <c r="Z404" s="19">
        <f t="shared" si="551"/>
        <v>0</v>
      </c>
      <c r="AA404" s="19"/>
      <c r="AB404" s="19"/>
      <c r="AC404" s="84"/>
      <c r="AE404" s="111"/>
      <c r="AF404" s="111"/>
      <c r="AG404" s="111"/>
      <c r="AH404" s="112"/>
      <c r="AI404" s="113"/>
      <c r="AK404" s="111"/>
      <c r="AL404" s="111"/>
      <c r="AM404" s="111"/>
      <c r="AN404" s="112"/>
      <c r="AO404" s="113"/>
      <c r="AQ404" s="17"/>
      <c r="AR404" s="17"/>
      <c r="AS404" s="17"/>
      <c r="AT404" s="18">
        <f t="shared" si="547"/>
        <v>0</v>
      </c>
      <c r="AU404" s="19">
        <f t="shared" si="548"/>
        <v>0</v>
      </c>
      <c r="AW404" s="17"/>
      <c r="AX404" s="17"/>
      <c r="AY404" s="17"/>
      <c r="AZ404" s="18">
        <f t="shared" si="549"/>
        <v>0</v>
      </c>
      <c r="BA404" s="19">
        <f t="shared" si="550"/>
        <v>0</v>
      </c>
    </row>
    <row r="405" spans="1:53" ht="17.100000000000001" customHeight="1" x14ac:dyDescent="0.25">
      <c r="A405" s="175"/>
      <c r="B405" s="177"/>
      <c r="C405" s="56" t="s">
        <v>212</v>
      </c>
      <c r="D405" s="57" t="s">
        <v>213</v>
      </c>
      <c r="E405" s="75"/>
      <c r="F405" s="75"/>
      <c r="G405" s="75"/>
      <c r="H405" s="540"/>
      <c r="I405" s="12"/>
      <c r="J405" s="111"/>
      <c r="K405" s="111"/>
      <c r="L405" s="111"/>
      <c r="M405" s="111"/>
      <c r="N405" s="61"/>
      <c r="O405" s="61"/>
      <c r="P405" s="17">
        <f t="shared" si="542"/>
        <v>0</v>
      </c>
      <c r="Q405" s="61"/>
      <c r="R405" s="61"/>
      <c r="S405" s="17">
        <f t="shared" si="543"/>
        <v>0</v>
      </c>
      <c r="T405" s="61"/>
      <c r="U405" s="61"/>
      <c r="V405" s="359">
        <f t="shared" si="544"/>
        <v>0</v>
      </c>
      <c r="W405" s="391">
        <f t="shared" si="545"/>
        <v>0</v>
      </c>
      <c r="X405" s="17">
        <f t="shared" si="546"/>
        <v>0</v>
      </c>
      <c r="Y405" s="18">
        <f>SUM(W405:X405)</f>
        <v>0</v>
      </c>
      <c r="Z405" s="19">
        <f t="shared" si="551"/>
        <v>0</v>
      </c>
      <c r="AA405" s="19"/>
      <c r="AB405" s="19"/>
      <c r="AC405" s="84"/>
      <c r="AE405" s="111"/>
      <c r="AF405" s="111"/>
      <c r="AG405" s="111"/>
      <c r="AH405" s="112"/>
      <c r="AI405" s="113"/>
      <c r="AK405" s="111"/>
      <c r="AL405" s="111"/>
      <c r="AM405" s="111"/>
      <c r="AN405" s="112"/>
      <c r="AO405" s="113"/>
      <c r="AQ405" s="17"/>
      <c r="AR405" s="17"/>
      <c r="AS405" s="17"/>
      <c r="AT405" s="18">
        <f t="shared" si="547"/>
        <v>0</v>
      </c>
      <c r="AU405" s="19">
        <f t="shared" si="548"/>
        <v>0</v>
      </c>
      <c r="AW405" s="17"/>
      <c r="AX405" s="17"/>
      <c r="AY405" s="17"/>
      <c r="AZ405" s="18">
        <f t="shared" si="549"/>
        <v>0</v>
      </c>
      <c r="BA405" s="19">
        <f t="shared" si="550"/>
        <v>0</v>
      </c>
    </row>
    <row r="406" spans="1:53" ht="17.100000000000001" customHeight="1" x14ac:dyDescent="0.25">
      <c r="A406" s="175"/>
      <c r="B406" s="177"/>
      <c r="C406" s="56" t="s">
        <v>214</v>
      </c>
      <c r="D406" s="147" t="s">
        <v>129</v>
      </c>
      <c r="E406" s="75"/>
      <c r="F406" s="75"/>
      <c r="G406" s="75"/>
      <c r="H406" s="540"/>
      <c r="I406" s="12"/>
      <c r="J406" s="111"/>
      <c r="K406" s="111"/>
      <c r="L406" s="111"/>
      <c r="M406" s="111"/>
      <c r="N406" s="60"/>
      <c r="O406" s="60"/>
      <c r="P406" s="17">
        <f t="shared" si="542"/>
        <v>0</v>
      </c>
      <c r="Q406" s="60"/>
      <c r="R406" s="60"/>
      <c r="S406" s="17">
        <f t="shared" si="543"/>
        <v>0</v>
      </c>
      <c r="T406" s="60"/>
      <c r="U406" s="60"/>
      <c r="V406" s="359">
        <f t="shared" si="544"/>
        <v>0</v>
      </c>
      <c r="W406" s="391">
        <f t="shared" si="545"/>
        <v>0</v>
      </c>
      <c r="X406" s="17">
        <f t="shared" si="546"/>
        <v>0</v>
      </c>
      <c r="Y406" s="18">
        <f>SUM(W406:X406)</f>
        <v>0</v>
      </c>
      <c r="Z406" s="19">
        <f t="shared" si="551"/>
        <v>0</v>
      </c>
      <c r="AA406" s="19"/>
      <c r="AB406" s="19"/>
      <c r="AC406" s="84"/>
      <c r="AE406" s="111"/>
      <c r="AF406" s="111"/>
      <c r="AG406" s="111"/>
      <c r="AH406" s="112"/>
      <c r="AI406" s="113"/>
      <c r="AK406" s="111"/>
      <c r="AL406" s="111"/>
      <c r="AM406" s="111"/>
      <c r="AN406" s="112"/>
      <c r="AO406" s="113"/>
      <c r="AQ406" s="17"/>
      <c r="AR406" s="17"/>
      <c r="AS406" s="17"/>
      <c r="AT406" s="18">
        <f t="shared" si="547"/>
        <v>0</v>
      </c>
      <c r="AU406" s="19">
        <f t="shared" si="548"/>
        <v>0</v>
      </c>
      <c r="AW406" s="17"/>
      <c r="AX406" s="17"/>
      <c r="AY406" s="17"/>
      <c r="AZ406" s="18">
        <f t="shared" si="549"/>
        <v>0</v>
      </c>
      <c r="BA406" s="19">
        <f t="shared" si="550"/>
        <v>0</v>
      </c>
    </row>
    <row r="407" spans="1:53" ht="17.100000000000001" customHeight="1" x14ac:dyDescent="0.25">
      <c r="A407" s="175"/>
      <c r="B407" s="40"/>
      <c r="C407" s="77"/>
      <c r="D407" s="134"/>
      <c r="E407" s="134"/>
      <c r="F407" s="134"/>
      <c r="G407" s="134"/>
      <c r="H407" s="540"/>
      <c r="I407" s="12"/>
      <c r="J407" s="64"/>
      <c r="K407" s="64"/>
      <c r="L407" s="64"/>
      <c r="M407" s="64"/>
      <c r="N407" s="64">
        <f>SUM(N402:N406)</f>
        <v>6</v>
      </c>
      <c r="O407" s="64">
        <f t="shared" ref="O407:V407" si="552">SUM(O402:O406)</f>
        <v>3</v>
      </c>
      <c r="P407" s="64">
        <f t="shared" si="552"/>
        <v>9</v>
      </c>
      <c r="Q407" s="64">
        <f t="shared" si="552"/>
        <v>1</v>
      </c>
      <c r="R407" s="64">
        <f t="shared" si="552"/>
        <v>5</v>
      </c>
      <c r="S407" s="64">
        <f t="shared" si="552"/>
        <v>6</v>
      </c>
      <c r="T407" s="64">
        <f t="shared" si="552"/>
        <v>0</v>
      </c>
      <c r="U407" s="64">
        <f t="shared" si="552"/>
        <v>0</v>
      </c>
      <c r="V407" s="64">
        <f t="shared" si="552"/>
        <v>0</v>
      </c>
      <c r="W407" s="390">
        <f>SUM(W402:W406)</f>
        <v>7</v>
      </c>
      <c r="X407" s="224">
        <f t="shared" ref="X407:Y407" si="553">SUM(X402:X406)</f>
        <v>8</v>
      </c>
      <c r="Y407" s="224">
        <f t="shared" si="553"/>
        <v>15</v>
      </c>
      <c r="Z407" s="66">
        <f>IF(Y$407=0,0,Y407/Y$407)</f>
        <v>1</v>
      </c>
      <c r="AA407" s="66"/>
      <c r="AB407" s="66"/>
      <c r="AC407" s="83"/>
      <c r="AE407" s="80"/>
      <c r="AF407" s="80"/>
      <c r="AG407" s="81"/>
      <c r="AH407" s="82"/>
      <c r="AI407" s="66"/>
      <c r="AK407" s="80"/>
      <c r="AL407" s="80"/>
      <c r="AM407" s="81"/>
      <c r="AN407" s="82"/>
      <c r="AO407" s="66"/>
      <c r="AQ407" s="80"/>
      <c r="AR407" s="80"/>
      <c r="AS407" s="81"/>
      <c r="AT407" s="82">
        <f>SUM(AT402:AT406)</f>
        <v>7</v>
      </c>
      <c r="AU407" s="66">
        <f t="shared" si="548"/>
        <v>1</v>
      </c>
      <c r="AW407" s="80"/>
      <c r="AX407" s="80"/>
      <c r="AY407" s="81"/>
      <c r="AZ407" s="82">
        <f>SUM(AZ402:AZ406)</f>
        <v>8</v>
      </c>
      <c r="BA407" s="66">
        <f t="shared" si="550"/>
        <v>1</v>
      </c>
    </row>
    <row r="408" spans="1:53" s="117" customFormat="1" ht="17.100000000000001" customHeight="1" x14ac:dyDescent="0.25">
      <c r="A408" s="68"/>
      <c r="B408" s="119"/>
      <c r="C408" s="540"/>
      <c r="D408" s="261"/>
      <c r="E408" s="261"/>
      <c r="F408" s="68"/>
      <c r="G408" s="68"/>
      <c r="H408" s="119"/>
      <c r="I408" s="138"/>
      <c r="J408" s="17"/>
      <c r="K408" s="17"/>
      <c r="L408" s="17"/>
      <c r="M408" s="17"/>
      <c r="N408" s="17" t="str">
        <f>IF(N407=N$20,"OK","NOK")</f>
        <v>OK</v>
      </c>
      <c r="O408" s="17" t="str">
        <f>IF(O407=O$20,"OK","NOK")</f>
        <v>OK</v>
      </c>
      <c r="P408" s="17"/>
      <c r="Q408" s="17" t="str">
        <f>IF(Q407=Q$20,"OK","NOK")</f>
        <v>OK</v>
      </c>
      <c r="R408" s="17" t="str">
        <f>IF(R407=R$20,"OK","NOK")</f>
        <v>OK</v>
      </c>
      <c r="S408" s="17"/>
      <c r="T408" s="17" t="str">
        <f>IF(T407=T$20,"OK","NOK")</f>
        <v>OK</v>
      </c>
      <c r="U408" s="17" t="str">
        <f>IF(U407=U$20,"OK","NOK")</f>
        <v>OK</v>
      </c>
      <c r="V408" s="359"/>
      <c r="W408" s="382"/>
      <c r="X408" s="539"/>
      <c r="Y408" s="539"/>
      <c r="Z408" s="201"/>
      <c r="AA408" s="201"/>
      <c r="AB408" s="201"/>
      <c r="AC408" s="84"/>
      <c r="AE408" s="46"/>
      <c r="AF408" s="46"/>
      <c r="AG408" s="17"/>
      <c r="AH408" s="539"/>
      <c r="AI408" s="91"/>
      <c r="AK408" s="46"/>
      <c r="AL408" s="46"/>
      <c r="AM408" s="17"/>
      <c r="AN408" s="539"/>
      <c r="AO408" s="91"/>
      <c r="AQ408" s="46"/>
      <c r="AR408" s="46"/>
      <c r="AS408" s="17"/>
      <c r="AT408" s="539"/>
      <c r="AU408" s="91"/>
      <c r="AW408" s="46"/>
      <c r="AX408" s="46"/>
      <c r="AY408" s="17"/>
      <c r="AZ408" s="539"/>
      <c r="BA408" s="91"/>
    </row>
    <row r="409" spans="1:53" ht="17.100000000000001" customHeight="1" x14ac:dyDescent="0.25">
      <c r="A409" s="68"/>
      <c r="B409" s="48" t="s">
        <v>215</v>
      </c>
      <c r="C409" s="49" t="s">
        <v>216</v>
      </c>
      <c r="D409" s="50"/>
      <c r="E409" s="70"/>
      <c r="F409" s="70"/>
      <c r="G409" s="70"/>
      <c r="H409" s="119"/>
      <c r="J409" s="71"/>
      <c r="K409" s="71"/>
      <c r="L409" s="71"/>
      <c r="M409" s="71"/>
      <c r="N409" s="71">
        <f t="shared" ref="N409:X409" si="554">N403</f>
        <v>6</v>
      </c>
      <c r="O409" s="71">
        <f t="shared" si="554"/>
        <v>1</v>
      </c>
      <c r="P409" s="71"/>
      <c r="Q409" s="71">
        <f t="shared" si="554"/>
        <v>1</v>
      </c>
      <c r="R409" s="71">
        <f t="shared" si="554"/>
        <v>4</v>
      </c>
      <c r="S409" s="71"/>
      <c r="T409" s="71">
        <f t="shared" si="554"/>
        <v>0</v>
      </c>
      <c r="U409" s="71">
        <f t="shared" si="554"/>
        <v>0</v>
      </c>
      <c r="V409" s="355"/>
      <c r="W409" s="377">
        <f t="shared" si="554"/>
        <v>7</v>
      </c>
      <c r="X409" s="71">
        <f t="shared" si="554"/>
        <v>5</v>
      </c>
      <c r="Y409" s="72"/>
      <c r="Z409" s="73"/>
      <c r="AA409" s="73"/>
      <c r="AB409" s="73"/>
      <c r="AC409" s="73"/>
      <c r="AE409" s="71"/>
      <c r="AF409" s="71"/>
      <c r="AG409" s="71"/>
      <c r="AH409" s="72"/>
      <c r="AI409" s="73"/>
      <c r="AK409" s="71"/>
      <c r="AL409" s="71"/>
      <c r="AM409" s="71"/>
      <c r="AN409" s="72"/>
      <c r="AO409" s="73"/>
      <c r="AQ409" s="71"/>
      <c r="AR409" s="71"/>
      <c r="AS409" s="71"/>
      <c r="AT409" s="72"/>
      <c r="AU409" s="73"/>
      <c r="AW409" s="71"/>
      <c r="AX409" s="71"/>
      <c r="AY409" s="71"/>
      <c r="AZ409" s="72"/>
      <c r="BA409" s="73"/>
    </row>
    <row r="410" spans="1:53" ht="17.100000000000001" customHeight="1" x14ac:dyDescent="0.25">
      <c r="A410" s="40"/>
      <c r="B410" s="40"/>
      <c r="C410" s="56" t="s">
        <v>217</v>
      </c>
      <c r="D410" s="149" t="s">
        <v>218</v>
      </c>
      <c r="E410" s="149"/>
      <c r="F410" s="75"/>
      <c r="G410" s="75"/>
      <c r="H410" s="540"/>
      <c r="I410" s="229"/>
      <c r="J410" s="111"/>
      <c r="K410" s="111"/>
      <c r="L410" s="111"/>
      <c r="M410" s="111"/>
      <c r="N410" s="111"/>
      <c r="O410" s="111"/>
      <c r="P410" s="111"/>
      <c r="Q410" s="111"/>
      <c r="R410" s="111"/>
      <c r="S410" s="111"/>
      <c r="T410" s="111"/>
      <c r="U410" s="111"/>
      <c r="V410" s="358"/>
      <c r="W410" s="380"/>
      <c r="X410" s="111"/>
      <c r="Y410" s="545"/>
      <c r="Z410" s="131"/>
      <c r="AA410" s="131"/>
      <c r="AB410" s="131"/>
      <c r="AC410" s="111"/>
      <c r="AE410" s="111"/>
      <c r="AF410" s="111"/>
      <c r="AG410" s="111"/>
      <c r="AH410" s="545"/>
      <c r="AI410" s="131"/>
      <c r="AK410" s="111"/>
      <c r="AL410" s="111"/>
      <c r="AM410" s="111"/>
      <c r="AN410" s="545"/>
      <c r="AO410" s="131"/>
      <c r="AQ410" s="111"/>
      <c r="AR410" s="111"/>
      <c r="AS410" s="111"/>
      <c r="AT410" s="545"/>
      <c r="AU410" s="131"/>
      <c r="AW410" s="111"/>
      <c r="AX410" s="111"/>
      <c r="AY410" s="111"/>
      <c r="AZ410" s="545"/>
      <c r="BA410" s="131"/>
    </row>
    <row r="411" spans="1:53" ht="17.100000000000001" customHeight="1" x14ac:dyDescent="0.25">
      <c r="A411" s="40"/>
      <c r="B411" s="40"/>
      <c r="C411" s="55"/>
      <c r="D411" s="56" t="s">
        <v>219</v>
      </c>
      <c r="E411" s="149" t="s">
        <v>474</v>
      </c>
      <c r="F411" s="75"/>
      <c r="G411" s="75"/>
      <c r="H411" s="540"/>
      <c r="I411" s="229"/>
      <c r="J411" s="111"/>
      <c r="K411" s="111"/>
      <c r="L411" s="111"/>
      <c r="M411" s="111"/>
      <c r="N411" s="60"/>
      <c r="O411" s="60"/>
      <c r="P411" s="17">
        <f t="shared" ref="P411:P415" si="555">SUM(N411:O411)</f>
        <v>0</v>
      </c>
      <c r="Q411" s="60"/>
      <c r="R411" s="60"/>
      <c r="S411" s="17">
        <f t="shared" ref="S411:S415" si="556">SUM(Q411:R411)</f>
        <v>0</v>
      </c>
      <c r="T411" s="60"/>
      <c r="U411" s="60"/>
      <c r="V411" s="359">
        <f t="shared" ref="V411:V415" si="557">SUM(T411:U411)</f>
        <v>0</v>
      </c>
      <c r="W411" s="391">
        <f t="shared" ref="W411:W416" si="558">J411+K411+N411+Q411+T411</f>
        <v>0</v>
      </c>
      <c r="X411" s="17">
        <f t="shared" ref="X411:X416" si="559">L411+O411+R411+U411</f>
        <v>0</v>
      </c>
      <c r="Y411" s="18">
        <f>SUM(W411:X411)</f>
        <v>0</v>
      </c>
      <c r="Z411" s="19">
        <f>IF(Y$421=0,0,Y411/Y$421)</f>
        <v>0</v>
      </c>
      <c r="AA411" s="19"/>
      <c r="AB411" s="19"/>
      <c r="AC411" s="17"/>
      <c r="AE411" s="111"/>
      <c r="AF411" s="111"/>
      <c r="AG411" s="111"/>
      <c r="AH411" s="112"/>
      <c r="AI411" s="113"/>
      <c r="AK411" s="111"/>
      <c r="AL411" s="111"/>
      <c r="AM411" s="111"/>
      <c r="AN411" s="112"/>
      <c r="AO411" s="113"/>
      <c r="AQ411" s="17"/>
      <c r="AR411" s="17"/>
      <c r="AS411" s="17"/>
      <c r="AT411" s="18">
        <f t="shared" ref="AT411:AT416" si="560">W411</f>
        <v>0</v>
      </c>
      <c r="AU411" s="19">
        <f>IF(AT$421=0,0,AT411/AT$421)</f>
        <v>0</v>
      </c>
      <c r="AW411" s="17"/>
      <c r="AX411" s="17"/>
      <c r="AY411" s="17"/>
      <c r="AZ411" s="18">
        <f t="shared" ref="AZ411:AZ416" si="561">X411</f>
        <v>0</v>
      </c>
      <c r="BA411" s="19">
        <f>IF(AZ$421=0,0,AZ411/AZ$421)</f>
        <v>0</v>
      </c>
    </row>
    <row r="412" spans="1:53" ht="17.100000000000001" customHeight="1" x14ac:dyDescent="0.25">
      <c r="A412" s="40"/>
      <c r="B412" s="40"/>
      <c r="C412" s="40"/>
      <c r="D412" s="56" t="s">
        <v>220</v>
      </c>
      <c r="E412" s="149" t="s">
        <v>221</v>
      </c>
      <c r="F412" s="75"/>
      <c r="G412" s="75"/>
      <c r="H412" s="540"/>
      <c r="I412" s="229"/>
      <c r="J412" s="111"/>
      <c r="K412" s="111"/>
      <c r="L412" s="111"/>
      <c r="M412" s="111"/>
      <c r="N412" s="61">
        <v>1</v>
      </c>
      <c r="O412" s="61"/>
      <c r="P412" s="17">
        <f t="shared" si="555"/>
        <v>1</v>
      </c>
      <c r="Q412" s="61"/>
      <c r="R412" s="61"/>
      <c r="S412" s="17">
        <f t="shared" si="556"/>
        <v>0</v>
      </c>
      <c r="T412" s="61"/>
      <c r="U412" s="61"/>
      <c r="V412" s="359">
        <f t="shared" si="557"/>
        <v>0</v>
      </c>
      <c r="W412" s="391">
        <f t="shared" si="558"/>
        <v>1</v>
      </c>
      <c r="X412" s="17">
        <f t="shared" si="559"/>
        <v>0</v>
      </c>
      <c r="Y412" s="18">
        <f>SUM(W412:X412)</f>
        <v>1</v>
      </c>
      <c r="Z412" s="19">
        <f t="shared" ref="Z412:Z415" si="562">IF(Y$421=0,0,Y412/Y$421)</f>
        <v>8.3333333333333329E-2</v>
      </c>
      <c r="AA412" s="19"/>
      <c r="AB412" s="19"/>
      <c r="AC412" s="17"/>
      <c r="AE412" s="111"/>
      <c r="AF412" s="111"/>
      <c r="AG412" s="111"/>
      <c r="AH412" s="112"/>
      <c r="AI412" s="113"/>
      <c r="AK412" s="111"/>
      <c r="AL412" s="111"/>
      <c r="AM412" s="111"/>
      <c r="AN412" s="112"/>
      <c r="AO412" s="113"/>
      <c r="AQ412" s="17"/>
      <c r="AR412" s="17"/>
      <c r="AS412" s="17"/>
      <c r="AT412" s="18">
        <f t="shared" si="560"/>
        <v>1</v>
      </c>
      <c r="AU412" s="19">
        <f t="shared" ref="AU412:AU421" si="563">IF(AT$421=0,0,AT412/AT$421)</f>
        <v>0.14285714285714285</v>
      </c>
      <c r="AW412" s="17"/>
      <c r="AX412" s="17"/>
      <c r="AY412" s="17"/>
      <c r="AZ412" s="18">
        <f t="shared" si="561"/>
        <v>0</v>
      </c>
      <c r="BA412" s="19">
        <f t="shared" ref="BA412:BA421" si="564">IF(AZ$421=0,0,AZ412/AZ$421)</f>
        <v>0</v>
      </c>
    </row>
    <row r="413" spans="1:53" ht="17.100000000000001" customHeight="1" x14ac:dyDescent="0.25">
      <c r="A413" s="40"/>
      <c r="B413" s="40"/>
      <c r="C413" s="40"/>
      <c r="D413" s="56" t="s">
        <v>222</v>
      </c>
      <c r="E413" s="149" t="s">
        <v>223</v>
      </c>
      <c r="F413" s="75"/>
      <c r="G413" s="75"/>
      <c r="H413" s="540"/>
      <c r="I413" s="229"/>
      <c r="J413" s="111"/>
      <c r="K413" s="111"/>
      <c r="L413" s="111"/>
      <c r="M413" s="111"/>
      <c r="N413" s="60"/>
      <c r="O413" s="60"/>
      <c r="P413" s="17">
        <f t="shared" si="555"/>
        <v>0</v>
      </c>
      <c r="Q413" s="60"/>
      <c r="R413" s="60"/>
      <c r="S413" s="17">
        <f t="shared" si="556"/>
        <v>0</v>
      </c>
      <c r="T413" s="60"/>
      <c r="U413" s="60"/>
      <c r="V413" s="359">
        <f t="shared" si="557"/>
        <v>0</v>
      </c>
      <c r="W413" s="391">
        <f t="shared" si="558"/>
        <v>0</v>
      </c>
      <c r="X413" s="17">
        <f t="shared" si="559"/>
        <v>0</v>
      </c>
      <c r="Y413" s="18">
        <f>SUM(W413:X413)</f>
        <v>0</v>
      </c>
      <c r="Z413" s="19">
        <f t="shared" si="562"/>
        <v>0</v>
      </c>
      <c r="AA413" s="19"/>
      <c r="AB413" s="19"/>
      <c r="AC413" s="17"/>
      <c r="AE413" s="111"/>
      <c r="AF413" s="111"/>
      <c r="AG413" s="111"/>
      <c r="AH413" s="112"/>
      <c r="AI413" s="113"/>
      <c r="AK413" s="111"/>
      <c r="AL413" s="111"/>
      <c r="AM413" s="111"/>
      <c r="AN413" s="112"/>
      <c r="AO413" s="113"/>
      <c r="AQ413" s="17"/>
      <c r="AR413" s="17"/>
      <c r="AS413" s="17"/>
      <c r="AT413" s="18">
        <f t="shared" si="560"/>
        <v>0</v>
      </c>
      <c r="AU413" s="19">
        <f t="shared" si="563"/>
        <v>0</v>
      </c>
      <c r="AW413" s="17"/>
      <c r="AX413" s="17"/>
      <c r="AY413" s="17"/>
      <c r="AZ413" s="18">
        <f t="shared" si="561"/>
        <v>0</v>
      </c>
      <c r="BA413" s="19">
        <f t="shared" si="564"/>
        <v>0</v>
      </c>
    </row>
    <row r="414" spans="1:53" ht="17.100000000000001" customHeight="1" x14ac:dyDescent="0.25">
      <c r="A414" s="40"/>
      <c r="B414" s="40"/>
      <c r="C414" s="40"/>
      <c r="D414" s="56" t="s">
        <v>224</v>
      </c>
      <c r="E414" s="149" t="s">
        <v>225</v>
      </c>
      <c r="F414" s="75"/>
      <c r="G414" s="75"/>
      <c r="H414" s="540"/>
      <c r="I414" s="229"/>
      <c r="J414" s="111"/>
      <c r="K414" s="111"/>
      <c r="L414" s="111"/>
      <c r="M414" s="111"/>
      <c r="N414" s="61">
        <v>4</v>
      </c>
      <c r="O414" s="61">
        <v>1</v>
      </c>
      <c r="P414" s="17">
        <f t="shared" si="555"/>
        <v>5</v>
      </c>
      <c r="Q414" s="61">
        <v>1</v>
      </c>
      <c r="R414" s="61">
        <v>4</v>
      </c>
      <c r="S414" s="17">
        <f t="shared" si="556"/>
        <v>5</v>
      </c>
      <c r="T414" s="61"/>
      <c r="U414" s="61"/>
      <c r="V414" s="359">
        <f t="shared" si="557"/>
        <v>0</v>
      </c>
      <c r="W414" s="391">
        <f t="shared" si="558"/>
        <v>5</v>
      </c>
      <c r="X414" s="17">
        <f t="shared" si="559"/>
        <v>5</v>
      </c>
      <c r="Y414" s="18">
        <f>SUM(W414:X414)</f>
        <v>10</v>
      </c>
      <c r="Z414" s="19">
        <f t="shared" si="562"/>
        <v>0.83333333333333337</v>
      </c>
      <c r="AA414" s="19"/>
      <c r="AB414" s="19"/>
      <c r="AC414" s="17"/>
      <c r="AE414" s="111"/>
      <c r="AF414" s="111"/>
      <c r="AG414" s="111"/>
      <c r="AH414" s="112"/>
      <c r="AI414" s="113"/>
      <c r="AK414" s="111"/>
      <c r="AL414" s="111"/>
      <c r="AM414" s="111"/>
      <c r="AN414" s="112"/>
      <c r="AO414" s="113"/>
      <c r="AQ414" s="17"/>
      <c r="AR414" s="17"/>
      <c r="AS414" s="17"/>
      <c r="AT414" s="18">
        <f t="shared" si="560"/>
        <v>5</v>
      </c>
      <c r="AU414" s="19">
        <f t="shared" si="563"/>
        <v>0.7142857142857143</v>
      </c>
      <c r="AW414" s="17"/>
      <c r="AX414" s="17"/>
      <c r="AY414" s="17"/>
      <c r="AZ414" s="18">
        <f t="shared" si="561"/>
        <v>5</v>
      </c>
      <c r="BA414" s="19">
        <f t="shared" si="564"/>
        <v>1</v>
      </c>
    </row>
    <row r="415" spans="1:53" ht="17.100000000000001" customHeight="1" x14ac:dyDescent="0.25">
      <c r="A415" s="40"/>
      <c r="B415" s="40"/>
      <c r="C415" s="40"/>
      <c r="D415" s="56" t="s">
        <v>226</v>
      </c>
      <c r="E415" s="75" t="s">
        <v>227</v>
      </c>
      <c r="F415" s="75"/>
      <c r="G415" s="75"/>
      <c r="H415" s="540"/>
      <c r="I415" s="229"/>
      <c r="J415" s="111"/>
      <c r="K415" s="111"/>
      <c r="L415" s="111"/>
      <c r="M415" s="111"/>
      <c r="N415" s="60">
        <v>1</v>
      </c>
      <c r="O415" s="60"/>
      <c r="P415" s="17">
        <f t="shared" si="555"/>
        <v>1</v>
      </c>
      <c r="Q415" s="60"/>
      <c r="R415" s="60"/>
      <c r="S415" s="17">
        <f t="shared" si="556"/>
        <v>0</v>
      </c>
      <c r="T415" s="60"/>
      <c r="U415" s="60"/>
      <c r="V415" s="359">
        <f t="shared" si="557"/>
        <v>0</v>
      </c>
      <c r="W415" s="391">
        <f t="shared" si="558"/>
        <v>1</v>
      </c>
      <c r="X415" s="17">
        <f t="shared" si="559"/>
        <v>0</v>
      </c>
      <c r="Y415" s="18">
        <f>SUM(W415:X415)</f>
        <v>1</v>
      </c>
      <c r="Z415" s="19">
        <f t="shared" si="562"/>
        <v>8.3333333333333329E-2</v>
      </c>
      <c r="AA415" s="19"/>
      <c r="AB415" s="19"/>
      <c r="AC415" s="17"/>
      <c r="AE415" s="111"/>
      <c r="AF415" s="111"/>
      <c r="AG415" s="111"/>
      <c r="AH415" s="112"/>
      <c r="AI415" s="113"/>
      <c r="AK415" s="111"/>
      <c r="AL415" s="111"/>
      <c r="AM415" s="111"/>
      <c r="AN415" s="112"/>
      <c r="AO415" s="113"/>
      <c r="AQ415" s="17"/>
      <c r="AR415" s="17"/>
      <c r="AS415" s="17"/>
      <c r="AT415" s="18">
        <f t="shared" si="560"/>
        <v>1</v>
      </c>
      <c r="AU415" s="19">
        <f t="shared" si="563"/>
        <v>0.14285714285714285</v>
      </c>
      <c r="AW415" s="17"/>
      <c r="AX415" s="17"/>
      <c r="AY415" s="17"/>
      <c r="AZ415" s="18">
        <f t="shared" si="561"/>
        <v>0</v>
      </c>
      <c r="BA415" s="19">
        <f t="shared" si="564"/>
        <v>0</v>
      </c>
    </row>
    <row r="416" spans="1:53" ht="17.100000000000001" customHeight="1" x14ac:dyDescent="0.25">
      <c r="A416" s="40"/>
      <c r="B416" s="40"/>
      <c r="C416" s="179"/>
      <c r="D416" s="56" t="s">
        <v>228</v>
      </c>
      <c r="E416" s="75" t="s">
        <v>229</v>
      </c>
      <c r="F416" s="75"/>
      <c r="G416" s="75"/>
      <c r="H416" s="540"/>
      <c r="I416" s="229"/>
      <c r="J416" s="111"/>
      <c r="K416" s="111"/>
      <c r="L416" s="111"/>
      <c r="M416" s="111"/>
      <c r="N416" s="111">
        <f t="shared" ref="N416:V416" si="565">SUM(N417:N420)</f>
        <v>0</v>
      </c>
      <c r="O416" s="111">
        <f t="shared" si="565"/>
        <v>0</v>
      </c>
      <c r="P416" s="111">
        <f t="shared" si="565"/>
        <v>0</v>
      </c>
      <c r="Q416" s="111">
        <f t="shared" si="565"/>
        <v>0</v>
      </c>
      <c r="R416" s="111">
        <f t="shared" si="565"/>
        <v>0</v>
      </c>
      <c r="S416" s="111">
        <f t="shared" si="565"/>
        <v>0</v>
      </c>
      <c r="T416" s="111">
        <f t="shared" si="565"/>
        <v>0</v>
      </c>
      <c r="U416" s="111">
        <f t="shared" si="565"/>
        <v>0</v>
      </c>
      <c r="V416" s="111">
        <f t="shared" si="565"/>
        <v>0</v>
      </c>
      <c r="W416" s="380">
        <f t="shared" si="558"/>
        <v>0</v>
      </c>
      <c r="X416" s="111">
        <f t="shared" si="559"/>
        <v>0</v>
      </c>
      <c r="Y416" s="545">
        <f>SUM(J416:X416)</f>
        <v>0</v>
      </c>
      <c r="Z416" s="131">
        <f>IF(Y$421=0,0,Y416/Y$421)</f>
        <v>0</v>
      </c>
      <c r="AA416" s="131"/>
      <c r="AB416" s="131"/>
      <c r="AC416" s="111"/>
      <c r="AE416" s="111"/>
      <c r="AF416" s="111"/>
      <c r="AG416" s="111"/>
      <c r="AH416" s="112"/>
      <c r="AI416" s="113"/>
      <c r="AK416" s="111"/>
      <c r="AL416" s="111"/>
      <c r="AM416" s="111"/>
      <c r="AN416" s="112"/>
      <c r="AO416" s="113"/>
      <c r="AQ416" s="111"/>
      <c r="AR416" s="111"/>
      <c r="AS416" s="111"/>
      <c r="AT416" s="545">
        <f t="shared" si="560"/>
        <v>0</v>
      </c>
      <c r="AU416" s="404">
        <f t="shared" si="563"/>
        <v>0</v>
      </c>
      <c r="AW416" s="174"/>
      <c r="AX416" s="174"/>
      <c r="AY416" s="174"/>
      <c r="AZ416" s="405">
        <f t="shared" si="561"/>
        <v>0</v>
      </c>
      <c r="BA416" s="404">
        <f t="shared" si="564"/>
        <v>0</v>
      </c>
    </row>
    <row r="417" spans="1:53" ht="17.100000000000001" customHeight="1" x14ac:dyDescent="0.25">
      <c r="A417" s="40"/>
      <c r="B417" s="40"/>
      <c r="C417" s="179"/>
      <c r="D417" s="74"/>
      <c r="E417" s="168"/>
      <c r="F417" s="169"/>
      <c r="G417" s="169"/>
      <c r="H417" s="17"/>
      <c r="I417" s="594"/>
      <c r="J417" s="111"/>
      <c r="K417" s="111"/>
      <c r="L417" s="111"/>
      <c r="M417" s="111"/>
      <c r="N417" s="60"/>
      <c r="O417" s="60"/>
      <c r="P417" s="17"/>
      <c r="Q417" s="60"/>
      <c r="R417" s="60"/>
      <c r="S417" s="17"/>
      <c r="T417" s="60"/>
      <c r="U417" s="60"/>
      <c r="V417" s="359"/>
      <c r="W417" s="391"/>
      <c r="X417" s="17"/>
      <c r="Y417" s="18"/>
      <c r="Z417" s="19"/>
      <c r="AA417" s="19"/>
      <c r="AB417" s="19"/>
      <c r="AC417" s="17"/>
      <c r="AE417" s="111"/>
      <c r="AF417" s="111"/>
      <c r="AG417" s="111"/>
      <c r="AH417" s="545"/>
      <c r="AI417" s="131"/>
      <c r="AK417" s="111"/>
      <c r="AL417" s="111"/>
      <c r="AM417" s="111"/>
      <c r="AN417" s="545"/>
      <c r="AO417" s="131"/>
      <c r="AQ417" s="17"/>
      <c r="AR417" s="17"/>
      <c r="AS417" s="17"/>
      <c r="AT417" s="18"/>
      <c r="AU417" s="19"/>
      <c r="AW417" s="17"/>
      <c r="AX417" s="17"/>
      <c r="AY417" s="17"/>
      <c r="AZ417" s="18"/>
      <c r="BA417" s="19"/>
    </row>
    <row r="418" spans="1:53" ht="17.100000000000001" customHeight="1" x14ac:dyDescent="0.25">
      <c r="A418" s="40"/>
      <c r="B418" s="40"/>
      <c r="C418" s="179"/>
      <c r="D418" s="74"/>
      <c r="E418" s="170"/>
      <c r="F418" s="171"/>
      <c r="G418" s="171"/>
      <c r="H418" s="17"/>
      <c r="I418" s="594"/>
      <c r="J418" s="111"/>
      <c r="K418" s="111"/>
      <c r="L418" s="111"/>
      <c r="M418" s="111"/>
      <c r="N418" s="61"/>
      <c r="O418" s="61"/>
      <c r="P418" s="17"/>
      <c r="Q418" s="61"/>
      <c r="R418" s="61"/>
      <c r="S418" s="17"/>
      <c r="T418" s="61"/>
      <c r="U418" s="61"/>
      <c r="V418" s="359"/>
      <c r="W418" s="391"/>
      <c r="X418" s="17"/>
      <c r="Y418" s="18"/>
      <c r="Z418" s="19"/>
      <c r="AA418" s="19"/>
      <c r="AB418" s="19"/>
      <c r="AC418" s="17"/>
      <c r="AE418" s="111"/>
      <c r="AF418" s="111"/>
      <c r="AG418" s="111"/>
      <c r="AH418" s="545"/>
      <c r="AI418" s="131"/>
      <c r="AK418" s="111"/>
      <c r="AL418" s="111"/>
      <c r="AM418" s="111"/>
      <c r="AN418" s="545"/>
      <c r="AO418" s="131"/>
      <c r="AQ418" s="17"/>
      <c r="AR418" s="17"/>
      <c r="AS418" s="17"/>
      <c r="AT418" s="18"/>
      <c r="AU418" s="19"/>
      <c r="AW418" s="17"/>
      <c r="AX418" s="17"/>
      <c r="AY418" s="17"/>
      <c r="AZ418" s="18"/>
      <c r="BA418" s="19"/>
    </row>
    <row r="419" spans="1:53" ht="17.100000000000001" customHeight="1" x14ac:dyDescent="0.25">
      <c r="A419" s="40"/>
      <c r="B419" s="40"/>
      <c r="C419" s="179"/>
      <c r="D419" s="74"/>
      <c r="E419" s="168"/>
      <c r="F419" s="169"/>
      <c r="G419" s="169"/>
      <c r="H419" s="17"/>
      <c r="I419" s="594"/>
      <c r="J419" s="111"/>
      <c r="K419" s="111"/>
      <c r="L419" s="111"/>
      <c r="M419" s="111"/>
      <c r="N419" s="60"/>
      <c r="O419" s="60"/>
      <c r="P419" s="17"/>
      <c r="Q419" s="60"/>
      <c r="R419" s="60"/>
      <c r="S419" s="17"/>
      <c r="T419" s="60"/>
      <c r="U419" s="60"/>
      <c r="V419" s="359"/>
      <c r="W419" s="391"/>
      <c r="X419" s="17"/>
      <c r="Y419" s="18"/>
      <c r="Z419" s="19"/>
      <c r="AA419" s="19"/>
      <c r="AB419" s="19"/>
      <c r="AC419" s="17"/>
      <c r="AE419" s="111"/>
      <c r="AF419" s="111"/>
      <c r="AG419" s="111"/>
      <c r="AH419" s="545"/>
      <c r="AI419" s="131"/>
      <c r="AK419" s="111"/>
      <c r="AL419" s="111"/>
      <c r="AM419" s="111"/>
      <c r="AN419" s="545"/>
      <c r="AO419" s="131"/>
      <c r="AQ419" s="17"/>
      <c r="AR419" s="17"/>
      <c r="AS419" s="17"/>
      <c r="AT419" s="18"/>
      <c r="AU419" s="19"/>
      <c r="AW419" s="17"/>
      <c r="AX419" s="17"/>
      <c r="AY419" s="17"/>
      <c r="AZ419" s="18"/>
      <c r="BA419" s="19"/>
    </row>
    <row r="420" spans="1:53" ht="17.100000000000001" customHeight="1" x14ac:dyDescent="0.25">
      <c r="A420" s="40"/>
      <c r="B420" s="40"/>
      <c r="C420" s="179"/>
      <c r="D420" s="74"/>
      <c r="E420" s="170"/>
      <c r="F420" s="171"/>
      <c r="G420" s="171"/>
      <c r="H420" s="17"/>
      <c r="I420" s="594"/>
      <c r="J420" s="111"/>
      <c r="K420" s="111"/>
      <c r="L420" s="111"/>
      <c r="M420" s="111"/>
      <c r="N420" s="61"/>
      <c r="O420" s="61"/>
      <c r="P420" s="17"/>
      <c r="Q420" s="61"/>
      <c r="R420" s="61"/>
      <c r="S420" s="17"/>
      <c r="T420" s="61"/>
      <c r="U420" s="61"/>
      <c r="V420" s="359"/>
      <c r="W420" s="391"/>
      <c r="X420" s="17"/>
      <c r="Y420" s="18"/>
      <c r="Z420" s="19"/>
      <c r="AA420" s="19"/>
      <c r="AB420" s="19"/>
      <c r="AC420" s="17"/>
      <c r="AE420" s="111"/>
      <c r="AF420" s="111"/>
      <c r="AG420" s="111"/>
      <c r="AH420" s="545"/>
      <c r="AI420" s="131"/>
      <c r="AK420" s="111"/>
      <c r="AL420" s="111"/>
      <c r="AM420" s="111"/>
      <c r="AN420" s="545"/>
      <c r="AO420" s="131"/>
      <c r="AQ420" s="17"/>
      <c r="AR420" s="17"/>
      <c r="AS420" s="17"/>
      <c r="AT420" s="18"/>
      <c r="AU420" s="19"/>
      <c r="AW420" s="17"/>
      <c r="AX420" s="17"/>
      <c r="AY420" s="17"/>
      <c r="AZ420" s="18"/>
      <c r="BA420" s="19"/>
    </row>
    <row r="421" spans="1:53" ht="17.100000000000001" customHeight="1" x14ac:dyDescent="0.25">
      <c r="A421" s="40"/>
      <c r="B421" s="40"/>
      <c r="C421" s="77"/>
      <c r="D421" s="134"/>
      <c r="E421" s="134"/>
      <c r="F421" s="134"/>
      <c r="G421" s="134"/>
      <c r="H421" s="540"/>
      <c r="I421" s="229"/>
      <c r="J421" s="80"/>
      <c r="K421" s="80"/>
      <c r="L421" s="81"/>
      <c r="M421" s="81"/>
      <c r="N421" s="81">
        <f>SUM(N411:N416)</f>
        <v>6</v>
      </c>
      <c r="O421" s="81">
        <f t="shared" ref="O421:V421" si="566">SUM(O411:O416)</f>
        <v>1</v>
      </c>
      <c r="P421" s="81">
        <f t="shared" si="566"/>
        <v>7</v>
      </c>
      <c r="Q421" s="81">
        <f t="shared" si="566"/>
        <v>1</v>
      </c>
      <c r="R421" s="81">
        <f t="shared" si="566"/>
        <v>4</v>
      </c>
      <c r="S421" s="81">
        <f t="shared" si="566"/>
        <v>5</v>
      </c>
      <c r="T421" s="81">
        <f t="shared" si="566"/>
        <v>0</v>
      </c>
      <c r="U421" s="81">
        <f t="shared" si="566"/>
        <v>0</v>
      </c>
      <c r="V421" s="81">
        <f t="shared" si="566"/>
        <v>0</v>
      </c>
      <c r="W421" s="381">
        <f>SUM(W411:W416)</f>
        <v>7</v>
      </c>
      <c r="X421" s="82">
        <f t="shared" ref="X421:Y421" si="567">SUM(X411:X416)</f>
        <v>5</v>
      </c>
      <c r="Y421" s="82">
        <f t="shared" si="567"/>
        <v>12</v>
      </c>
      <c r="Z421" s="205">
        <f t="shared" ref="Z421" si="568">IF(Y$421=0,0,Y421/Y$421)</f>
        <v>1</v>
      </c>
      <c r="AA421" s="205"/>
      <c r="AB421" s="205"/>
      <c r="AC421" s="83"/>
      <c r="AE421" s="80"/>
      <c r="AF421" s="80"/>
      <c r="AG421" s="81"/>
      <c r="AH421" s="82"/>
      <c r="AI421" s="66"/>
      <c r="AK421" s="80"/>
      <c r="AL421" s="80"/>
      <c r="AM421" s="81"/>
      <c r="AN421" s="82"/>
      <c r="AO421" s="66"/>
      <c r="AQ421" s="80"/>
      <c r="AR421" s="80"/>
      <c r="AS421" s="81"/>
      <c r="AT421" s="82">
        <f>SUM(AT411:AT416)</f>
        <v>7</v>
      </c>
      <c r="AU421" s="66">
        <f t="shared" si="563"/>
        <v>1</v>
      </c>
      <c r="AW421" s="80"/>
      <c r="AX421" s="80"/>
      <c r="AY421" s="81"/>
      <c r="AZ421" s="82">
        <f>SUM(AZ411:AZ416)</f>
        <v>5</v>
      </c>
      <c r="BA421" s="66">
        <f t="shared" si="564"/>
        <v>1</v>
      </c>
    </row>
    <row r="422" spans="1:53" s="117" customFormat="1" ht="17.100000000000001" customHeight="1" x14ac:dyDescent="0.25">
      <c r="A422" s="68"/>
      <c r="B422" s="119"/>
      <c r="C422" s="540"/>
      <c r="D422" s="261"/>
      <c r="E422" s="261"/>
      <c r="F422" s="68"/>
      <c r="G422" s="68"/>
      <c r="H422" s="119"/>
      <c r="I422" s="138"/>
      <c r="J422" s="17"/>
      <c r="K422" s="17"/>
      <c r="L422" s="17"/>
      <c r="M422" s="17"/>
      <c r="N422" s="17" t="str">
        <f>IF(N421&gt;=N$409,"OK","NOK")</f>
        <v>OK</v>
      </c>
      <c r="O422" s="17" t="str">
        <f t="shared" ref="O422:U422" si="569">IF(O421&gt;=O$409,"OK","NOK")</f>
        <v>OK</v>
      </c>
      <c r="P422" s="17"/>
      <c r="Q422" s="17" t="str">
        <f t="shared" si="569"/>
        <v>OK</v>
      </c>
      <c r="R422" s="17" t="str">
        <f t="shared" si="569"/>
        <v>OK</v>
      </c>
      <c r="S422" s="17"/>
      <c r="T422" s="17" t="str">
        <f t="shared" si="569"/>
        <v>OK</v>
      </c>
      <c r="U422" s="17" t="str">
        <f t="shared" si="569"/>
        <v>OK</v>
      </c>
      <c r="V422" s="17"/>
      <c r="W422" s="382"/>
      <c r="X422" s="539"/>
      <c r="Y422" s="539"/>
      <c r="Z422" s="201"/>
      <c r="AA422" s="201"/>
      <c r="AB422" s="201"/>
      <c r="AC422" s="84"/>
      <c r="AE422" s="46"/>
      <c r="AF422" s="46"/>
      <c r="AG422" s="17"/>
      <c r="AH422" s="539"/>
      <c r="AI422" s="91"/>
      <c r="AK422" s="46"/>
      <c r="AL422" s="46"/>
      <c r="AM422" s="17"/>
      <c r="AN422" s="539"/>
      <c r="AO422" s="91"/>
      <c r="AQ422" s="46"/>
      <c r="AR422" s="46"/>
      <c r="AS422" s="17"/>
      <c r="AT422" s="539"/>
      <c r="AU422" s="91"/>
      <c r="AW422" s="46"/>
      <c r="AX422" s="46"/>
      <c r="AY422" s="17"/>
      <c r="AZ422" s="539"/>
      <c r="BA422" s="91"/>
    </row>
    <row r="423" spans="1:53" ht="17.100000000000001" customHeight="1" x14ac:dyDescent="0.25">
      <c r="A423" s="175"/>
      <c r="B423" s="40"/>
      <c r="C423" s="56" t="s">
        <v>230</v>
      </c>
      <c r="D423" s="57" t="s">
        <v>231</v>
      </c>
      <c r="E423" s="149"/>
      <c r="F423" s="149"/>
      <c r="G423" s="149"/>
      <c r="H423" s="182"/>
      <c r="I423" s="241"/>
      <c r="J423" s="152"/>
      <c r="K423" s="152"/>
      <c r="L423" s="111"/>
      <c r="M423" s="111"/>
      <c r="N423" s="111"/>
      <c r="O423" s="111"/>
      <c r="P423" s="111"/>
      <c r="Q423" s="111"/>
      <c r="R423" s="111"/>
      <c r="S423" s="111"/>
      <c r="T423" s="111"/>
      <c r="U423" s="111"/>
      <c r="V423" s="358"/>
      <c r="W423" s="380"/>
      <c r="X423" s="111"/>
      <c r="Y423" s="545"/>
      <c r="Z423" s="131"/>
      <c r="AA423" s="131"/>
      <c r="AB423" s="131"/>
      <c r="AC423" s="113"/>
      <c r="AE423" s="152"/>
      <c r="AF423" s="152"/>
      <c r="AG423" s="111"/>
      <c r="AH423" s="545"/>
      <c r="AI423" s="131"/>
      <c r="AK423" s="152"/>
      <c r="AL423" s="152"/>
      <c r="AM423" s="111"/>
      <c r="AN423" s="545"/>
      <c r="AO423" s="131"/>
      <c r="AQ423" s="152"/>
      <c r="AR423" s="152"/>
      <c r="AS423" s="111"/>
      <c r="AT423" s="545"/>
      <c r="AU423" s="131"/>
      <c r="AW423" s="152"/>
      <c r="AX423" s="152"/>
      <c r="AY423" s="111"/>
      <c r="AZ423" s="545"/>
      <c r="BA423" s="131"/>
    </row>
    <row r="424" spans="1:53" ht="17.100000000000001" customHeight="1" x14ac:dyDescent="0.25">
      <c r="A424" s="175"/>
      <c r="B424" s="40"/>
      <c r="C424" s="55"/>
      <c r="D424" s="56" t="s">
        <v>232</v>
      </c>
      <c r="E424" s="85" t="s">
        <v>173</v>
      </c>
      <c r="F424" s="167"/>
      <c r="G424" s="149"/>
      <c r="H424" s="182"/>
      <c r="I424" s="241"/>
      <c r="J424" s="111"/>
      <c r="K424" s="111"/>
      <c r="L424" s="111"/>
      <c r="M424" s="111"/>
      <c r="N424" s="60"/>
      <c r="O424" s="60"/>
      <c r="P424" s="17">
        <f>SUM(N424:O424)</f>
        <v>0</v>
      </c>
      <c r="Q424" s="60"/>
      <c r="R424" s="60"/>
      <c r="S424" s="17">
        <f>SUM(Q424:R424)</f>
        <v>0</v>
      </c>
      <c r="T424" s="60"/>
      <c r="U424" s="60"/>
      <c r="V424" s="359">
        <f>SUM(T424:U424)</f>
        <v>0</v>
      </c>
      <c r="W424" s="391">
        <f t="shared" ref="W424:W425" si="570">J424+K424+N424+Q424+T424</f>
        <v>0</v>
      </c>
      <c r="X424" s="17">
        <f t="shared" ref="X424:X425" si="571">L424+O424+R424+U424</f>
        <v>0</v>
      </c>
      <c r="Y424" s="18">
        <f>SUM(W424:X424)</f>
        <v>0</v>
      </c>
      <c r="Z424" s="19">
        <f>IF(Y$370=0,0,Y424/Y$370)</f>
        <v>0</v>
      </c>
      <c r="AA424" s="19"/>
      <c r="AB424" s="19"/>
      <c r="AC424" s="20"/>
      <c r="AE424" s="111"/>
      <c r="AF424" s="111"/>
      <c r="AG424" s="111"/>
      <c r="AH424" s="112"/>
      <c r="AI424" s="113"/>
      <c r="AK424" s="111"/>
      <c r="AL424" s="111"/>
      <c r="AM424" s="111"/>
      <c r="AN424" s="112"/>
      <c r="AO424" s="113"/>
      <c r="AQ424" s="17"/>
      <c r="AR424" s="17"/>
      <c r="AS424" s="17"/>
      <c r="AT424" s="18">
        <f t="shared" ref="AT424:AT425" si="572">W424</f>
        <v>0</v>
      </c>
      <c r="AU424" s="19">
        <f>IF(AT$430=0,0,AT424/AT$430)</f>
        <v>0</v>
      </c>
      <c r="AW424" s="17"/>
      <c r="AX424" s="17"/>
      <c r="AY424" s="17"/>
      <c r="AZ424" s="18">
        <f t="shared" ref="AZ424:AZ425" si="573">X424</f>
        <v>0</v>
      </c>
      <c r="BA424" s="19">
        <f>IF(AZ$430=0,0,AZ424/AZ$430)</f>
        <v>0</v>
      </c>
    </row>
    <row r="425" spans="1:53" ht="17.100000000000001" customHeight="1" x14ac:dyDescent="0.25">
      <c r="A425" s="175"/>
      <c r="B425" s="40"/>
      <c r="C425" s="55"/>
      <c r="D425" s="56" t="s">
        <v>233</v>
      </c>
      <c r="E425" s="85" t="s">
        <v>544</v>
      </c>
      <c r="F425" s="167"/>
      <c r="G425" s="149"/>
      <c r="H425" s="182"/>
      <c r="I425" s="241"/>
      <c r="J425" s="111"/>
      <c r="K425" s="111"/>
      <c r="L425" s="111"/>
      <c r="M425" s="111"/>
      <c r="N425" s="61">
        <v>5</v>
      </c>
      <c r="O425" s="61">
        <v>1</v>
      </c>
      <c r="P425" s="17">
        <f t="shared" ref="P425:P429" si="574">SUM(N425:O425)</f>
        <v>6</v>
      </c>
      <c r="Q425" s="61">
        <v>1</v>
      </c>
      <c r="R425" s="61">
        <v>4</v>
      </c>
      <c r="S425" s="17">
        <f t="shared" ref="S425:S429" si="575">SUM(Q425:R425)</f>
        <v>5</v>
      </c>
      <c r="T425" s="61"/>
      <c r="U425" s="61"/>
      <c r="V425" s="359">
        <f t="shared" ref="V425:V429" si="576">SUM(T425:U425)</f>
        <v>0</v>
      </c>
      <c r="W425" s="391">
        <f t="shared" si="570"/>
        <v>6</v>
      </c>
      <c r="X425" s="17">
        <f t="shared" si="571"/>
        <v>5</v>
      </c>
      <c r="Y425" s="18">
        <f>SUM(W425:X425)</f>
        <v>11</v>
      </c>
      <c r="Z425" s="19">
        <f>IF(Y$370=0,0,Y425/Y$370)</f>
        <v>2.2926137344831733E-5</v>
      </c>
      <c r="AA425" s="19"/>
      <c r="AB425" s="19"/>
      <c r="AC425" s="20"/>
      <c r="AE425" s="111"/>
      <c r="AF425" s="111"/>
      <c r="AG425" s="111"/>
      <c r="AH425" s="112"/>
      <c r="AI425" s="113"/>
      <c r="AK425" s="111"/>
      <c r="AL425" s="111"/>
      <c r="AM425" s="111"/>
      <c r="AN425" s="112"/>
      <c r="AO425" s="113"/>
      <c r="AQ425" s="17"/>
      <c r="AR425" s="17"/>
      <c r="AS425" s="17"/>
      <c r="AT425" s="18">
        <f t="shared" si="572"/>
        <v>6</v>
      </c>
      <c r="AU425" s="19">
        <f>IF(AT$430=0,0,AT425/AT$430)</f>
        <v>0.8571428571428571</v>
      </c>
      <c r="AW425" s="17"/>
      <c r="AX425" s="17"/>
      <c r="AY425" s="17"/>
      <c r="AZ425" s="18">
        <f t="shared" si="573"/>
        <v>5</v>
      </c>
      <c r="BA425" s="19">
        <f>IF(AZ$430=0,0,AZ425/AZ$430)</f>
        <v>1</v>
      </c>
    </row>
    <row r="426" spans="1:53" ht="17.100000000000001" customHeight="1" x14ac:dyDescent="0.25">
      <c r="A426" s="175"/>
      <c r="B426" s="40"/>
      <c r="C426" s="55"/>
      <c r="D426" s="56" t="s">
        <v>234</v>
      </c>
      <c r="E426" s="146" t="s">
        <v>484</v>
      </c>
      <c r="F426" s="149"/>
      <c r="G426" s="149"/>
      <c r="H426" s="182"/>
      <c r="I426" s="241"/>
      <c r="J426" s="111"/>
      <c r="K426" s="111"/>
      <c r="L426" s="111"/>
      <c r="M426" s="111"/>
      <c r="N426" s="60">
        <v>1000000</v>
      </c>
      <c r="O426" s="60">
        <v>2000000</v>
      </c>
      <c r="P426" s="17"/>
      <c r="Q426" s="60">
        <v>900000</v>
      </c>
      <c r="R426" s="60">
        <v>300000</v>
      </c>
      <c r="S426" s="17"/>
      <c r="T426" s="60"/>
      <c r="U426" s="60"/>
      <c r="V426" s="359"/>
      <c r="W426" s="391">
        <f>MIN(N426,Q426,T426)</f>
        <v>900000</v>
      </c>
      <c r="X426" s="17">
        <f>MIN(O426,R426,U426)</f>
        <v>300000</v>
      </c>
      <c r="Y426" s="18"/>
      <c r="Z426" s="19"/>
      <c r="AA426" s="17">
        <f>MIN(N426:U426)</f>
        <v>300000</v>
      </c>
      <c r="AB426" s="17"/>
      <c r="AC426" s="17"/>
      <c r="AE426" s="111"/>
      <c r="AF426" s="111"/>
      <c r="AG426" s="111"/>
      <c r="AH426" s="545"/>
      <c r="AI426" s="131"/>
      <c r="AK426" s="111"/>
      <c r="AL426" s="111"/>
      <c r="AM426" s="111"/>
      <c r="AN426" s="545"/>
      <c r="AO426" s="131"/>
      <c r="AQ426" s="17">
        <f>W426</f>
        <v>900000</v>
      </c>
      <c r="AR426" s="17"/>
      <c r="AS426" s="17"/>
      <c r="AT426" s="18"/>
      <c r="AU426" s="19"/>
      <c r="AW426" s="17">
        <f>X426</f>
        <v>300000</v>
      </c>
      <c r="AX426" s="17"/>
      <c r="AY426" s="17"/>
      <c r="AZ426" s="18"/>
      <c r="BA426" s="19"/>
    </row>
    <row r="427" spans="1:53" ht="17.100000000000001" customHeight="1" x14ac:dyDescent="0.25">
      <c r="A427" s="175"/>
      <c r="B427" s="40"/>
      <c r="C427" s="55"/>
      <c r="D427" s="56" t="s">
        <v>235</v>
      </c>
      <c r="E427" s="146" t="s">
        <v>485</v>
      </c>
      <c r="F427" s="149"/>
      <c r="G427" s="149"/>
      <c r="H427" s="182"/>
      <c r="I427" s="241"/>
      <c r="J427" s="111"/>
      <c r="K427" s="111"/>
      <c r="L427" s="111"/>
      <c r="M427" s="111"/>
      <c r="N427" s="61">
        <v>1500000</v>
      </c>
      <c r="O427" s="61">
        <v>2000000</v>
      </c>
      <c r="P427" s="17"/>
      <c r="Q427" s="61">
        <v>900000</v>
      </c>
      <c r="R427" s="61">
        <v>900000</v>
      </c>
      <c r="S427" s="17"/>
      <c r="T427" s="61"/>
      <c r="U427" s="61"/>
      <c r="V427" s="359"/>
      <c r="W427" s="391">
        <f>MAX(N427,Q427,T427)</f>
        <v>1500000</v>
      </c>
      <c r="X427" s="17">
        <f>MAX(O427,R427,U427)</f>
        <v>2000000</v>
      </c>
      <c r="Y427" s="18"/>
      <c r="Z427" s="19"/>
      <c r="AA427" s="17"/>
      <c r="AB427" s="17">
        <f>MAX(N427:U427)</f>
        <v>2000000</v>
      </c>
      <c r="AC427" s="17"/>
      <c r="AE427" s="111"/>
      <c r="AF427" s="111"/>
      <c r="AG427" s="111"/>
      <c r="AH427" s="545"/>
      <c r="AI427" s="131"/>
      <c r="AK427" s="111"/>
      <c r="AL427" s="111"/>
      <c r="AM427" s="111"/>
      <c r="AN427" s="545"/>
      <c r="AO427" s="131"/>
      <c r="AQ427" s="17"/>
      <c r="AR427" s="17">
        <f>W427</f>
        <v>1500000</v>
      </c>
      <c r="AS427" s="17"/>
      <c r="AT427" s="18"/>
      <c r="AU427" s="19"/>
      <c r="AW427" s="17"/>
      <c r="AX427" s="17">
        <f>X427</f>
        <v>2000000</v>
      </c>
      <c r="AY427" s="17"/>
      <c r="AZ427" s="18"/>
      <c r="BA427" s="19"/>
    </row>
    <row r="428" spans="1:53" ht="17.100000000000001" customHeight="1" x14ac:dyDescent="0.25">
      <c r="A428" s="175"/>
      <c r="B428" s="40"/>
      <c r="C428" s="55"/>
      <c r="D428" s="56" t="s">
        <v>236</v>
      </c>
      <c r="E428" s="146" t="s">
        <v>543</v>
      </c>
      <c r="F428" s="149"/>
      <c r="G428" s="149"/>
      <c r="H428" s="182"/>
      <c r="I428" s="241"/>
      <c r="J428" s="111"/>
      <c r="K428" s="111"/>
      <c r="L428" s="111"/>
      <c r="M428" s="111"/>
      <c r="N428" s="60">
        <v>1400000</v>
      </c>
      <c r="O428" s="60">
        <v>2000000</v>
      </c>
      <c r="P428" s="17"/>
      <c r="Q428" s="60">
        <v>900000</v>
      </c>
      <c r="R428" s="60">
        <v>500000</v>
      </c>
      <c r="S428" s="17"/>
      <c r="T428" s="60"/>
      <c r="U428" s="60"/>
      <c r="V428" s="359"/>
      <c r="W428" s="391">
        <f>IF(N428+Q428+T428=0,0,AVERAGE(N428,Q428,T428))</f>
        <v>1150000</v>
      </c>
      <c r="X428" s="17">
        <f>IF(O428+R428+U428=0,0,AVERAGE(O428,R428,U428))</f>
        <v>1250000</v>
      </c>
      <c r="Y428" s="18"/>
      <c r="Z428" s="19"/>
      <c r="AA428" s="17"/>
      <c r="AB428" s="17"/>
      <c r="AC428" s="17">
        <f>IF(SUM(N428:U428)=0,0,AVERAGE(N428:U428))</f>
        <v>1200000</v>
      </c>
      <c r="AE428" s="111"/>
      <c r="AF428" s="111"/>
      <c r="AG428" s="111"/>
      <c r="AH428" s="545"/>
      <c r="AI428" s="131"/>
      <c r="AK428" s="111"/>
      <c r="AL428" s="111"/>
      <c r="AM428" s="111"/>
      <c r="AN428" s="545"/>
      <c r="AO428" s="131"/>
      <c r="AQ428" s="17"/>
      <c r="AR428" s="17"/>
      <c r="AS428" s="17">
        <f>W428</f>
        <v>1150000</v>
      </c>
      <c r="AT428" s="18"/>
      <c r="AU428" s="19"/>
      <c r="AW428" s="17"/>
      <c r="AX428" s="17"/>
      <c r="AY428" s="17">
        <f>X428</f>
        <v>1250000</v>
      </c>
      <c r="AZ428" s="18"/>
      <c r="BA428" s="19"/>
    </row>
    <row r="429" spans="1:53" ht="17.100000000000001" customHeight="1" x14ac:dyDescent="0.25">
      <c r="A429" s="175"/>
      <c r="B429" s="40"/>
      <c r="C429" s="55"/>
      <c r="D429" s="56" t="s">
        <v>237</v>
      </c>
      <c r="E429" s="85" t="s">
        <v>129</v>
      </c>
      <c r="F429" s="167"/>
      <c r="G429" s="149"/>
      <c r="H429" s="182"/>
      <c r="I429" s="241"/>
      <c r="J429" s="111"/>
      <c r="K429" s="111"/>
      <c r="L429" s="111"/>
      <c r="M429" s="111"/>
      <c r="N429" s="61">
        <v>1</v>
      </c>
      <c r="O429" s="61"/>
      <c r="P429" s="17">
        <f t="shared" si="574"/>
        <v>1</v>
      </c>
      <c r="Q429" s="61"/>
      <c r="R429" s="61"/>
      <c r="S429" s="17">
        <f t="shared" si="575"/>
        <v>0</v>
      </c>
      <c r="T429" s="61"/>
      <c r="U429" s="61"/>
      <c r="V429" s="359">
        <f t="shared" si="576"/>
        <v>0</v>
      </c>
      <c r="W429" s="391">
        <f t="shared" ref="W429" si="577">J429+K429+N429+Q429+T429</f>
        <v>1</v>
      </c>
      <c r="X429" s="17">
        <f t="shared" ref="X429" si="578">L429+O429+R429+U429</f>
        <v>0</v>
      </c>
      <c r="Y429" s="18">
        <f>SUM(W429:X429)</f>
        <v>1</v>
      </c>
      <c r="Z429" s="19">
        <f>IF(Y$370=0,0,Y429/Y$370)</f>
        <v>2.0841943040756121E-6</v>
      </c>
      <c r="AA429" s="19"/>
      <c r="AB429" s="19"/>
      <c r="AC429" s="20"/>
      <c r="AE429" s="111"/>
      <c r="AF429" s="111"/>
      <c r="AG429" s="111"/>
      <c r="AH429" s="112"/>
      <c r="AI429" s="113"/>
      <c r="AK429" s="111"/>
      <c r="AL429" s="111"/>
      <c r="AM429" s="111"/>
      <c r="AN429" s="112"/>
      <c r="AO429" s="113"/>
      <c r="AQ429" s="17"/>
      <c r="AR429" s="17"/>
      <c r="AS429" s="17"/>
      <c r="AT429" s="18">
        <f t="shared" ref="AT429" si="579">W429</f>
        <v>1</v>
      </c>
      <c r="AU429" s="19">
        <f>IF(AT$430=0,0,AT429/AT$430)</f>
        <v>0.14285714285714285</v>
      </c>
      <c r="AW429" s="17"/>
      <c r="AX429" s="17"/>
      <c r="AY429" s="17"/>
      <c r="AZ429" s="18">
        <f t="shared" ref="AZ429" si="580">X429</f>
        <v>0</v>
      </c>
      <c r="BA429" s="19">
        <f>IF(AZ$430=0,0,AZ429/AZ$430)</f>
        <v>0</v>
      </c>
    </row>
    <row r="430" spans="1:53" ht="17.100000000000001" customHeight="1" x14ac:dyDescent="0.25">
      <c r="A430" s="40"/>
      <c r="B430" s="40"/>
      <c r="C430" s="77"/>
      <c r="D430" s="134"/>
      <c r="E430" s="134"/>
      <c r="F430" s="134"/>
      <c r="G430" s="134"/>
      <c r="H430" s="540"/>
      <c r="I430" s="229"/>
      <c r="J430" s="80"/>
      <c r="K430" s="80"/>
      <c r="L430" s="81"/>
      <c r="M430" s="81"/>
      <c r="N430" s="81">
        <f>N424+N425+N429</f>
        <v>6</v>
      </c>
      <c r="O430" s="81">
        <f t="shared" ref="O430:V430" si="581">O424+O425+O429</f>
        <v>1</v>
      </c>
      <c r="P430" s="81">
        <f t="shared" si="581"/>
        <v>7</v>
      </c>
      <c r="Q430" s="81">
        <f t="shared" si="581"/>
        <v>1</v>
      </c>
      <c r="R430" s="81">
        <f t="shared" si="581"/>
        <v>4</v>
      </c>
      <c r="S430" s="81">
        <f t="shared" si="581"/>
        <v>5</v>
      </c>
      <c r="T430" s="81">
        <f t="shared" si="581"/>
        <v>0</v>
      </c>
      <c r="U430" s="81">
        <f t="shared" si="581"/>
        <v>0</v>
      </c>
      <c r="V430" s="81">
        <f t="shared" si="581"/>
        <v>0</v>
      </c>
      <c r="W430" s="381">
        <f>W424+W425+W429</f>
        <v>7</v>
      </c>
      <c r="X430" s="82">
        <f t="shared" ref="X430" si="582">X424+X425+X429</f>
        <v>5</v>
      </c>
      <c r="Y430" s="338">
        <f t="shared" ref="Y430" si="583">Y424+Y425+Y429</f>
        <v>12</v>
      </c>
      <c r="Z430" s="205">
        <f>IF(Y$430=0,0,Y430/Y$430)</f>
        <v>1</v>
      </c>
      <c r="AA430" s="205"/>
      <c r="AB430" s="205"/>
      <c r="AC430" s="83"/>
      <c r="AE430" s="80"/>
      <c r="AF430" s="80"/>
      <c r="AG430" s="81"/>
      <c r="AH430" s="82"/>
      <c r="AI430" s="66"/>
      <c r="AK430" s="80"/>
      <c r="AL430" s="80"/>
      <c r="AM430" s="81"/>
      <c r="AN430" s="82"/>
      <c r="AO430" s="66"/>
      <c r="AQ430" s="80"/>
      <c r="AR430" s="80"/>
      <c r="AS430" s="81"/>
      <c r="AT430" s="82">
        <f>SUM(AT424:AT429)</f>
        <v>7</v>
      </c>
      <c r="AU430" s="66">
        <f>IF(AT$430=0,0,AT430/AT$430)</f>
        <v>1</v>
      </c>
      <c r="AW430" s="80"/>
      <c r="AX430" s="80"/>
      <c r="AY430" s="81"/>
      <c r="AZ430" s="82">
        <f>SUM(AZ424:AZ429)</f>
        <v>5</v>
      </c>
      <c r="BA430" s="66">
        <f>IF(AZ$430=0,0,AZ430/AZ$430)</f>
        <v>1</v>
      </c>
    </row>
    <row r="431" spans="1:53" s="117" customFormat="1" ht="17.100000000000001" customHeight="1" x14ac:dyDescent="0.25">
      <c r="A431" s="68"/>
      <c r="B431" s="119"/>
      <c r="C431" s="540"/>
      <c r="D431" s="261"/>
      <c r="E431" s="261"/>
      <c r="F431" s="68"/>
      <c r="G431" s="68"/>
      <c r="H431" s="119"/>
      <c r="I431" s="138"/>
      <c r="J431" s="17"/>
      <c r="K431" s="17"/>
      <c r="L431" s="17"/>
      <c r="M431" s="17"/>
      <c r="N431" s="17" t="str">
        <f>IF(N430=N$403,"OK","NOK")</f>
        <v>OK</v>
      </c>
      <c r="O431" s="17" t="str">
        <f>IF(O430=O$403,"OK","NOK")</f>
        <v>OK</v>
      </c>
      <c r="P431" s="17"/>
      <c r="Q431" s="17" t="str">
        <f>IF(Q430=Q$403,"OK","NOK")</f>
        <v>OK</v>
      </c>
      <c r="R431" s="17" t="str">
        <f>IF(R430=R$403,"OK","NOK")</f>
        <v>OK</v>
      </c>
      <c r="S431" s="17"/>
      <c r="T431" s="17" t="str">
        <f>IF(T430=T$403,"OK","NOK")</f>
        <v>OK</v>
      </c>
      <c r="U431" s="17" t="str">
        <f>IF(U430=U$403,"OK","NOK")</f>
        <v>OK</v>
      </c>
      <c r="V431" s="359"/>
      <c r="W431" s="382"/>
      <c r="X431" s="539"/>
      <c r="Y431" s="539"/>
      <c r="Z431" s="201"/>
      <c r="AA431" s="201"/>
      <c r="AB431" s="201"/>
      <c r="AC431" s="84"/>
      <c r="AE431" s="46"/>
      <c r="AF431" s="46"/>
      <c r="AG431" s="17"/>
      <c r="AH431" s="539"/>
      <c r="AI431" s="91"/>
      <c r="AK431" s="46"/>
      <c r="AL431" s="46"/>
      <c r="AM431" s="17"/>
      <c r="AN431" s="539"/>
      <c r="AO431" s="91"/>
      <c r="AQ431" s="46"/>
      <c r="AR431" s="46"/>
      <c r="AS431" s="17"/>
      <c r="AT431" s="539"/>
      <c r="AU431" s="91"/>
      <c r="AW431" s="46"/>
      <c r="AX431" s="46"/>
      <c r="AY431" s="17"/>
      <c r="AZ431" s="539"/>
      <c r="BA431" s="91"/>
    </row>
    <row r="432" spans="1:53" ht="17.100000000000001" customHeight="1" x14ac:dyDescent="0.25">
      <c r="A432" s="175"/>
      <c r="B432" s="40"/>
      <c r="C432" s="56" t="s">
        <v>238</v>
      </c>
      <c r="D432" s="57" t="s">
        <v>477</v>
      </c>
      <c r="E432" s="149"/>
      <c r="F432" s="149"/>
      <c r="G432" s="149"/>
      <c r="H432" s="182"/>
      <c r="I432" s="241"/>
      <c r="J432" s="152"/>
      <c r="K432" s="152"/>
      <c r="L432" s="111"/>
      <c r="M432" s="111"/>
      <c r="N432" s="111"/>
      <c r="O432" s="111"/>
      <c r="P432" s="111"/>
      <c r="Q432" s="111"/>
      <c r="R432" s="111"/>
      <c r="S432" s="111"/>
      <c r="T432" s="111"/>
      <c r="U432" s="111"/>
      <c r="V432" s="358"/>
      <c r="W432" s="380"/>
      <c r="X432" s="111"/>
      <c r="Y432" s="545"/>
      <c r="Z432" s="131"/>
      <c r="AA432" s="131"/>
      <c r="AB432" s="131"/>
      <c r="AC432" s="113"/>
      <c r="AE432" s="152"/>
      <c r="AF432" s="152"/>
      <c r="AG432" s="111"/>
      <c r="AH432" s="545"/>
      <c r="AI432" s="131"/>
      <c r="AK432" s="152"/>
      <c r="AL432" s="152"/>
      <c r="AM432" s="111"/>
      <c r="AN432" s="545"/>
      <c r="AO432" s="131"/>
      <c r="AQ432" s="152"/>
      <c r="AR432" s="152"/>
      <c r="AS432" s="111"/>
      <c r="AT432" s="545"/>
      <c r="AU432" s="131"/>
      <c r="AW432" s="152"/>
      <c r="AX432" s="152"/>
      <c r="AY432" s="111"/>
      <c r="AZ432" s="545"/>
      <c r="BA432" s="131"/>
    </row>
    <row r="433" spans="1:53" ht="17.100000000000001" customHeight="1" x14ac:dyDescent="0.25">
      <c r="A433" s="175"/>
      <c r="B433" s="40"/>
      <c r="C433" s="55"/>
      <c r="D433" s="56" t="s">
        <v>239</v>
      </c>
      <c r="E433" s="85" t="s">
        <v>478</v>
      </c>
      <c r="F433" s="149"/>
      <c r="G433" s="149"/>
      <c r="H433" s="182"/>
      <c r="I433" s="241"/>
      <c r="J433" s="111"/>
      <c r="K433" s="111"/>
      <c r="L433" s="111"/>
      <c r="M433" s="111"/>
      <c r="N433" s="60"/>
      <c r="O433" s="60"/>
      <c r="P433" s="17">
        <f t="shared" ref="P433:P440" si="584">SUM(N433:O433)</f>
        <v>0</v>
      </c>
      <c r="Q433" s="60"/>
      <c r="R433" s="60"/>
      <c r="S433" s="17">
        <f t="shared" ref="S433:S440" si="585">SUM(Q433:R433)</f>
        <v>0</v>
      </c>
      <c r="T433" s="60"/>
      <c r="U433" s="60"/>
      <c r="V433" s="359">
        <f t="shared" ref="V433:V440" si="586">SUM(T433:U433)</f>
        <v>0</v>
      </c>
      <c r="W433" s="391">
        <f t="shared" ref="W433:W440" si="587">J433+K433+N433+Q433+T433</f>
        <v>0</v>
      </c>
      <c r="X433" s="17">
        <f t="shared" ref="X433:X440" si="588">L433+O433+R433+U433</f>
        <v>0</v>
      </c>
      <c r="Y433" s="18">
        <f t="shared" ref="Y433:Y440" si="589">SUM(W433:X433)</f>
        <v>0</v>
      </c>
      <c r="Z433" s="19">
        <f>IF(Y$441=0,0,Y433/Y$441)</f>
        <v>0</v>
      </c>
      <c r="AA433" s="19"/>
      <c r="AB433" s="19"/>
      <c r="AC433" s="84"/>
      <c r="AE433" s="111"/>
      <c r="AF433" s="111"/>
      <c r="AG433" s="111"/>
      <c r="AH433" s="112"/>
      <c r="AI433" s="113"/>
      <c r="AK433" s="111"/>
      <c r="AL433" s="111"/>
      <c r="AM433" s="111"/>
      <c r="AN433" s="112"/>
      <c r="AO433" s="113"/>
      <c r="AQ433" s="17"/>
      <c r="AR433" s="17"/>
      <c r="AS433" s="17"/>
      <c r="AT433" s="18">
        <f t="shared" ref="AT433:AT440" si="590">W433</f>
        <v>0</v>
      </c>
      <c r="AU433" s="19">
        <f>IF(AT$441=0,0,AT433/AT$441)</f>
        <v>0</v>
      </c>
      <c r="AW433" s="17"/>
      <c r="AX433" s="17"/>
      <c r="AY433" s="17"/>
      <c r="AZ433" s="18">
        <f t="shared" ref="AZ433:AZ440" si="591">X433</f>
        <v>0</v>
      </c>
      <c r="BA433" s="19">
        <f>IF(AZ$441=0,0,AZ433/AZ$441)</f>
        <v>0</v>
      </c>
    </row>
    <row r="434" spans="1:53" ht="17.100000000000001" customHeight="1" x14ac:dyDescent="0.25">
      <c r="A434" s="175"/>
      <c r="B434" s="40"/>
      <c r="C434" s="55"/>
      <c r="D434" s="56" t="s">
        <v>240</v>
      </c>
      <c r="E434" s="85" t="s">
        <v>165</v>
      </c>
      <c r="F434" s="149"/>
      <c r="G434" s="149"/>
      <c r="H434" s="182"/>
      <c r="I434" s="241"/>
      <c r="J434" s="111"/>
      <c r="K434" s="111"/>
      <c r="L434" s="111"/>
      <c r="M434" s="111"/>
      <c r="N434" s="61">
        <v>6</v>
      </c>
      <c r="O434" s="61">
        <v>1</v>
      </c>
      <c r="P434" s="17">
        <f t="shared" si="584"/>
        <v>7</v>
      </c>
      <c r="Q434" s="61">
        <v>1</v>
      </c>
      <c r="R434" s="61">
        <v>3</v>
      </c>
      <c r="S434" s="17">
        <f t="shared" si="585"/>
        <v>4</v>
      </c>
      <c r="T434" s="61"/>
      <c r="U434" s="61"/>
      <c r="V434" s="359">
        <f t="shared" si="586"/>
        <v>0</v>
      </c>
      <c r="W434" s="391">
        <f t="shared" si="587"/>
        <v>7</v>
      </c>
      <c r="X434" s="17">
        <f t="shared" si="588"/>
        <v>4</v>
      </c>
      <c r="Y434" s="18">
        <f t="shared" si="589"/>
        <v>11</v>
      </c>
      <c r="Z434" s="19">
        <f t="shared" ref="Z434:Z441" si="592">IF(Y$441=0,0,Y434/Y$441)</f>
        <v>0.91666666666666663</v>
      </c>
      <c r="AA434" s="19"/>
      <c r="AB434" s="19"/>
      <c r="AC434" s="84"/>
      <c r="AE434" s="111"/>
      <c r="AF434" s="111"/>
      <c r="AG434" s="111"/>
      <c r="AH434" s="112"/>
      <c r="AI434" s="113"/>
      <c r="AK434" s="111"/>
      <c r="AL434" s="111"/>
      <c r="AM434" s="111"/>
      <c r="AN434" s="112"/>
      <c r="AO434" s="113"/>
      <c r="AQ434" s="17"/>
      <c r="AR434" s="17"/>
      <c r="AS434" s="17"/>
      <c r="AT434" s="18">
        <f t="shared" si="590"/>
        <v>7</v>
      </c>
      <c r="AU434" s="19">
        <f t="shared" ref="AU434:AU441" si="593">IF(AT$441=0,0,AT434/AT$441)</f>
        <v>1</v>
      </c>
      <c r="AW434" s="17"/>
      <c r="AX434" s="17"/>
      <c r="AY434" s="17"/>
      <c r="AZ434" s="18">
        <f t="shared" si="591"/>
        <v>4</v>
      </c>
      <c r="BA434" s="19">
        <f t="shared" ref="BA434:BA441" si="594">IF(AZ$441=0,0,AZ434/AZ$441)</f>
        <v>0.8</v>
      </c>
    </row>
    <row r="435" spans="1:53" ht="17.100000000000001" customHeight="1" x14ac:dyDescent="0.25">
      <c r="A435" s="175"/>
      <c r="B435" s="40"/>
      <c r="C435" s="55"/>
      <c r="D435" s="56" t="s">
        <v>241</v>
      </c>
      <c r="E435" s="85" t="s">
        <v>167</v>
      </c>
      <c r="F435" s="149"/>
      <c r="G435" s="149"/>
      <c r="H435" s="182"/>
      <c r="I435" s="241"/>
      <c r="J435" s="111"/>
      <c r="K435" s="111"/>
      <c r="L435" s="111"/>
      <c r="M435" s="111"/>
      <c r="N435" s="60"/>
      <c r="O435" s="60"/>
      <c r="P435" s="17">
        <f t="shared" si="584"/>
        <v>0</v>
      </c>
      <c r="Q435" s="60"/>
      <c r="R435" s="60"/>
      <c r="S435" s="17">
        <f t="shared" si="585"/>
        <v>0</v>
      </c>
      <c r="T435" s="60"/>
      <c r="U435" s="60"/>
      <c r="V435" s="359">
        <f t="shared" si="586"/>
        <v>0</v>
      </c>
      <c r="W435" s="391">
        <f t="shared" si="587"/>
        <v>0</v>
      </c>
      <c r="X435" s="17">
        <f t="shared" si="588"/>
        <v>0</v>
      </c>
      <c r="Y435" s="18">
        <f t="shared" si="589"/>
        <v>0</v>
      </c>
      <c r="Z435" s="19">
        <f t="shared" si="592"/>
        <v>0</v>
      </c>
      <c r="AA435" s="19"/>
      <c r="AB435" s="19"/>
      <c r="AC435" s="84"/>
      <c r="AE435" s="111"/>
      <c r="AF435" s="111"/>
      <c r="AG435" s="111"/>
      <c r="AH435" s="112"/>
      <c r="AI435" s="113"/>
      <c r="AK435" s="111"/>
      <c r="AL435" s="111"/>
      <c r="AM435" s="111"/>
      <c r="AN435" s="112"/>
      <c r="AO435" s="113"/>
      <c r="AQ435" s="17"/>
      <c r="AR435" s="17"/>
      <c r="AS435" s="17"/>
      <c r="AT435" s="18">
        <f t="shared" si="590"/>
        <v>0</v>
      </c>
      <c r="AU435" s="19">
        <f t="shared" si="593"/>
        <v>0</v>
      </c>
      <c r="AW435" s="17"/>
      <c r="AX435" s="17"/>
      <c r="AY435" s="17"/>
      <c r="AZ435" s="18">
        <f t="shared" si="591"/>
        <v>0</v>
      </c>
      <c r="BA435" s="19">
        <f t="shared" si="594"/>
        <v>0</v>
      </c>
    </row>
    <row r="436" spans="1:53" ht="17.100000000000001" customHeight="1" x14ac:dyDescent="0.25">
      <c r="A436" s="175"/>
      <c r="B436" s="40"/>
      <c r="C436" s="55"/>
      <c r="D436" s="56" t="s">
        <v>242</v>
      </c>
      <c r="E436" s="85" t="s">
        <v>991</v>
      </c>
      <c r="F436" s="149"/>
      <c r="G436" s="149"/>
      <c r="H436" s="182"/>
      <c r="I436" s="241"/>
      <c r="J436" s="111"/>
      <c r="K436" s="111"/>
      <c r="L436" s="111"/>
      <c r="M436" s="111"/>
      <c r="N436" s="61"/>
      <c r="O436" s="61"/>
      <c r="P436" s="17">
        <f t="shared" si="584"/>
        <v>0</v>
      </c>
      <c r="Q436" s="61"/>
      <c r="R436" s="61"/>
      <c r="S436" s="17">
        <f t="shared" si="585"/>
        <v>0</v>
      </c>
      <c r="T436" s="61"/>
      <c r="U436" s="61"/>
      <c r="V436" s="359">
        <f t="shared" si="586"/>
        <v>0</v>
      </c>
      <c r="W436" s="391">
        <f t="shared" si="587"/>
        <v>0</v>
      </c>
      <c r="X436" s="17">
        <f t="shared" si="588"/>
        <v>0</v>
      </c>
      <c r="Y436" s="18">
        <f t="shared" si="589"/>
        <v>0</v>
      </c>
      <c r="Z436" s="19">
        <f t="shared" si="592"/>
        <v>0</v>
      </c>
      <c r="AA436" s="19"/>
      <c r="AB436" s="19"/>
      <c r="AC436" s="84"/>
      <c r="AE436" s="111"/>
      <c r="AF436" s="111"/>
      <c r="AG436" s="111"/>
      <c r="AH436" s="112"/>
      <c r="AI436" s="113"/>
      <c r="AK436" s="111"/>
      <c r="AL436" s="111"/>
      <c r="AM436" s="111"/>
      <c r="AN436" s="112"/>
      <c r="AO436" s="113"/>
      <c r="AQ436" s="17"/>
      <c r="AR436" s="17"/>
      <c r="AS436" s="17"/>
      <c r="AT436" s="18">
        <f t="shared" si="590"/>
        <v>0</v>
      </c>
      <c r="AU436" s="19">
        <f t="shared" si="593"/>
        <v>0</v>
      </c>
      <c r="AW436" s="17"/>
      <c r="AX436" s="17"/>
      <c r="AY436" s="17"/>
      <c r="AZ436" s="18">
        <f t="shared" si="591"/>
        <v>0</v>
      </c>
      <c r="BA436" s="19">
        <f t="shared" si="594"/>
        <v>0</v>
      </c>
    </row>
    <row r="437" spans="1:53" ht="17.100000000000001" customHeight="1" x14ac:dyDescent="0.25">
      <c r="A437" s="175"/>
      <c r="B437" s="40"/>
      <c r="C437" s="55"/>
      <c r="D437" s="56" t="s">
        <v>243</v>
      </c>
      <c r="E437" s="85" t="s">
        <v>438</v>
      </c>
      <c r="F437" s="149"/>
      <c r="G437" s="149"/>
      <c r="H437" s="182"/>
      <c r="I437" s="241"/>
      <c r="J437" s="111"/>
      <c r="K437" s="111"/>
      <c r="L437" s="111"/>
      <c r="M437" s="111"/>
      <c r="N437" s="60"/>
      <c r="O437" s="60"/>
      <c r="P437" s="17">
        <f t="shared" si="584"/>
        <v>0</v>
      </c>
      <c r="Q437" s="60"/>
      <c r="R437" s="60">
        <v>1</v>
      </c>
      <c r="S437" s="17">
        <f t="shared" si="585"/>
        <v>1</v>
      </c>
      <c r="T437" s="60"/>
      <c r="U437" s="60"/>
      <c r="V437" s="359">
        <f t="shared" si="586"/>
        <v>0</v>
      </c>
      <c r="W437" s="391">
        <f t="shared" si="587"/>
        <v>0</v>
      </c>
      <c r="X437" s="17">
        <f t="shared" si="588"/>
        <v>1</v>
      </c>
      <c r="Y437" s="18">
        <f t="shared" si="589"/>
        <v>1</v>
      </c>
      <c r="Z437" s="19">
        <f t="shared" si="592"/>
        <v>8.3333333333333329E-2</v>
      </c>
      <c r="AA437" s="19"/>
      <c r="AB437" s="19"/>
      <c r="AC437" s="84"/>
      <c r="AE437" s="111"/>
      <c r="AF437" s="111"/>
      <c r="AG437" s="111"/>
      <c r="AH437" s="112"/>
      <c r="AI437" s="113"/>
      <c r="AK437" s="111"/>
      <c r="AL437" s="111"/>
      <c r="AM437" s="111"/>
      <c r="AN437" s="112"/>
      <c r="AO437" s="113"/>
      <c r="AQ437" s="17"/>
      <c r="AR437" s="17"/>
      <c r="AS437" s="17"/>
      <c r="AT437" s="18">
        <f t="shared" si="590"/>
        <v>0</v>
      </c>
      <c r="AU437" s="19">
        <f t="shared" si="593"/>
        <v>0</v>
      </c>
      <c r="AW437" s="17"/>
      <c r="AX437" s="17"/>
      <c r="AY437" s="17"/>
      <c r="AZ437" s="18">
        <f t="shared" si="591"/>
        <v>1</v>
      </c>
      <c r="BA437" s="19">
        <f t="shared" si="594"/>
        <v>0.2</v>
      </c>
    </row>
    <row r="438" spans="1:53" ht="17.100000000000001" customHeight="1" x14ac:dyDescent="0.25">
      <c r="A438" s="175"/>
      <c r="B438" s="40"/>
      <c r="C438" s="55"/>
      <c r="D438" s="56" t="s">
        <v>244</v>
      </c>
      <c r="E438" s="85" t="s">
        <v>439</v>
      </c>
      <c r="F438" s="595"/>
      <c r="G438" s="595"/>
      <c r="H438" s="17"/>
      <c r="I438" s="594"/>
      <c r="J438" s="111"/>
      <c r="K438" s="111"/>
      <c r="L438" s="111"/>
      <c r="M438" s="111"/>
      <c r="N438" s="61"/>
      <c r="O438" s="61"/>
      <c r="P438" s="17">
        <f t="shared" si="584"/>
        <v>0</v>
      </c>
      <c r="Q438" s="61"/>
      <c r="R438" s="61"/>
      <c r="S438" s="17">
        <f t="shared" si="585"/>
        <v>0</v>
      </c>
      <c r="T438" s="61"/>
      <c r="U438" s="61"/>
      <c r="V438" s="359">
        <f t="shared" si="586"/>
        <v>0</v>
      </c>
      <c r="W438" s="391">
        <f t="shared" si="587"/>
        <v>0</v>
      </c>
      <c r="X438" s="17">
        <f t="shared" si="588"/>
        <v>0</v>
      </c>
      <c r="Y438" s="18">
        <f t="shared" si="589"/>
        <v>0</v>
      </c>
      <c r="Z438" s="19">
        <f t="shared" si="592"/>
        <v>0</v>
      </c>
      <c r="AA438" s="19"/>
      <c r="AB438" s="19"/>
      <c r="AC438" s="84"/>
      <c r="AE438" s="111"/>
      <c r="AF438" s="111"/>
      <c r="AG438" s="111"/>
      <c r="AH438" s="112"/>
      <c r="AI438" s="113"/>
      <c r="AK438" s="111"/>
      <c r="AL438" s="111"/>
      <c r="AM438" s="111"/>
      <c r="AN438" s="112"/>
      <c r="AO438" s="113"/>
      <c r="AQ438" s="17"/>
      <c r="AR438" s="17"/>
      <c r="AS438" s="17"/>
      <c r="AT438" s="18">
        <f t="shared" si="590"/>
        <v>0</v>
      </c>
      <c r="AU438" s="19">
        <f t="shared" si="593"/>
        <v>0</v>
      </c>
      <c r="AW438" s="17"/>
      <c r="AX438" s="17"/>
      <c r="AY438" s="17"/>
      <c r="AZ438" s="18">
        <f t="shared" si="591"/>
        <v>0</v>
      </c>
      <c r="BA438" s="19">
        <f t="shared" si="594"/>
        <v>0</v>
      </c>
    </row>
    <row r="439" spans="1:53" ht="17.100000000000001" customHeight="1" x14ac:dyDescent="0.25">
      <c r="A439" s="175"/>
      <c r="B439" s="40"/>
      <c r="C439" s="55"/>
      <c r="D439" s="56" t="s">
        <v>475</v>
      </c>
      <c r="E439" s="85" t="s">
        <v>483</v>
      </c>
      <c r="F439" s="595"/>
      <c r="G439" s="595"/>
      <c r="H439" s="17"/>
      <c r="I439" s="594"/>
      <c r="J439" s="111"/>
      <c r="K439" s="111"/>
      <c r="L439" s="111"/>
      <c r="M439" s="111"/>
      <c r="N439" s="60"/>
      <c r="O439" s="60"/>
      <c r="P439" s="17">
        <f t="shared" si="584"/>
        <v>0</v>
      </c>
      <c r="Q439" s="60"/>
      <c r="R439" s="60"/>
      <c r="S439" s="17">
        <f t="shared" si="585"/>
        <v>0</v>
      </c>
      <c r="T439" s="60"/>
      <c r="U439" s="60"/>
      <c r="V439" s="359">
        <f t="shared" si="586"/>
        <v>0</v>
      </c>
      <c r="W439" s="391">
        <f t="shared" si="587"/>
        <v>0</v>
      </c>
      <c r="X439" s="17">
        <f t="shared" si="588"/>
        <v>0</v>
      </c>
      <c r="Y439" s="18">
        <f t="shared" si="589"/>
        <v>0</v>
      </c>
      <c r="Z439" s="19">
        <f t="shared" si="592"/>
        <v>0</v>
      </c>
      <c r="AA439" s="19"/>
      <c r="AB439" s="19"/>
      <c r="AC439" s="84"/>
      <c r="AE439" s="111"/>
      <c r="AF439" s="111"/>
      <c r="AG439" s="111"/>
      <c r="AH439" s="112"/>
      <c r="AI439" s="113"/>
      <c r="AK439" s="111"/>
      <c r="AL439" s="111"/>
      <c r="AM439" s="111"/>
      <c r="AN439" s="112"/>
      <c r="AO439" s="113"/>
      <c r="AQ439" s="17"/>
      <c r="AR439" s="17"/>
      <c r="AS439" s="17"/>
      <c r="AT439" s="18">
        <f t="shared" si="590"/>
        <v>0</v>
      </c>
      <c r="AU439" s="19">
        <f t="shared" si="593"/>
        <v>0</v>
      </c>
      <c r="AW439" s="17"/>
      <c r="AX439" s="17"/>
      <c r="AY439" s="17"/>
      <c r="AZ439" s="18">
        <f t="shared" si="591"/>
        <v>0</v>
      </c>
      <c r="BA439" s="19">
        <f t="shared" si="594"/>
        <v>0</v>
      </c>
    </row>
    <row r="440" spans="1:53" ht="17.100000000000001" customHeight="1" x14ac:dyDescent="0.25">
      <c r="A440" s="175"/>
      <c r="B440" s="40"/>
      <c r="C440" s="55"/>
      <c r="D440" s="56" t="s">
        <v>476</v>
      </c>
      <c r="E440" s="149" t="s">
        <v>129</v>
      </c>
      <c r="F440" s="149"/>
      <c r="G440" s="149"/>
      <c r="H440" s="182"/>
      <c r="I440" s="241"/>
      <c r="J440" s="111"/>
      <c r="K440" s="111"/>
      <c r="L440" s="111"/>
      <c r="M440" s="111"/>
      <c r="N440" s="61"/>
      <c r="O440" s="61"/>
      <c r="P440" s="17">
        <f t="shared" si="584"/>
        <v>0</v>
      </c>
      <c r="Q440" s="61"/>
      <c r="R440" s="61"/>
      <c r="S440" s="17">
        <f t="shared" si="585"/>
        <v>0</v>
      </c>
      <c r="T440" s="61"/>
      <c r="U440" s="61"/>
      <c r="V440" s="359">
        <f t="shared" si="586"/>
        <v>0</v>
      </c>
      <c r="W440" s="391">
        <f t="shared" si="587"/>
        <v>0</v>
      </c>
      <c r="X440" s="17">
        <f t="shared" si="588"/>
        <v>0</v>
      </c>
      <c r="Y440" s="18">
        <f t="shared" si="589"/>
        <v>0</v>
      </c>
      <c r="Z440" s="19">
        <f t="shared" si="592"/>
        <v>0</v>
      </c>
      <c r="AA440" s="19"/>
      <c r="AB440" s="19"/>
      <c r="AC440" s="84"/>
      <c r="AE440" s="111"/>
      <c r="AF440" s="111"/>
      <c r="AG440" s="111"/>
      <c r="AH440" s="112"/>
      <c r="AI440" s="113"/>
      <c r="AK440" s="111"/>
      <c r="AL440" s="111"/>
      <c r="AM440" s="111"/>
      <c r="AN440" s="112"/>
      <c r="AO440" s="113"/>
      <c r="AQ440" s="17"/>
      <c r="AR440" s="17"/>
      <c r="AS440" s="17"/>
      <c r="AT440" s="18">
        <f t="shared" si="590"/>
        <v>0</v>
      </c>
      <c r="AU440" s="19">
        <f t="shared" si="593"/>
        <v>0</v>
      </c>
      <c r="AW440" s="17"/>
      <c r="AX440" s="17"/>
      <c r="AY440" s="17"/>
      <c r="AZ440" s="18">
        <f t="shared" si="591"/>
        <v>0</v>
      </c>
      <c r="BA440" s="19">
        <f t="shared" si="594"/>
        <v>0</v>
      </c>
    </row>
    <row r="441" spans="1:53" ht="17.100000000000001" customHeight="1" x14ac:dyDescent="0.25">
      <c r="A441" s="175"/>
      <c r="B441" s="40"/>
      <c r="C441" s="77"/>
      <c r="D441" s="134"/>
      <c r="E441" s="134"/>
      <c r="F441" s="134"/>
      <c r="G441" s="134"/>
      <c r="H441" s="540"/>
      <c r="I441" s="12"/>
      <c r="J441" s="80"/>
      <c r="K441" s="80"/>
      <c r="L441" s="81"/>
      <c r="M441" s="81"/>
      <c r="N441" s="81">
        <f>SUM(N433:N440)</f>
        <v>6</v>
      </c>
      <c r="O441" s="81">
        <f t="shared" ref="O441:V441" si="595">SUM(O433:O440)</f>
        <v>1</v>
      </c>
      <c r="P441" s="81">
        <f t="shared" si="595"/>
        <v>7</v>
      </c>
      <c r="Q441" s="81">
        <f t="shared" si="595"/>
        <v>1</v>
      </c>
      <c r="R441" s="81">
        <f t="shared" si="595"/>
        <v>4</v>
      </c>
      <c r="S441" s="81">
        <f t="shared" si="595"/>
        <v>5</v>
      </c>
      <c r="T441" s="81">
        <f t="shared" si="595"/>
        <v>0</v>
      </c>
      <c r="U441" s="81">
        <f t="shared" si="595"/>
        <v>0</v>
      </c>
      <c r="V441" s="81">
        <f t="shared" si="595"/>
        <v>0</v>
      </c>
      <c r="W441" s="381">
        <f>SUM(W433:W440)</f>
        <v>7</v>
      </c>
      <c r="X441" s="82">
        <f t="shared" ref="X441:Y441" si="596">SUM(X433:X440)</f>
        <v>5</v>
      </c>
      <c r="Y441" s="82">
        <f t="shared" si="596"/>
        <v>12</v>
      </c>
      <c r="Z441" s="205">
        <f t="shared" si="592"/>
        <v>1</v>
      </c>
      <c r="AA441" s="205"/>
      <c r="AB441" s="205"/>
      <c r="AC441" s="83"/>
      <c r="AE441" s="80"/>
      <c r="AF441" s="80"/>
      <c r="AG441" s="81"/>
      <c r="AH441" s="82"/>
      <c r="AI441" s="66"/>
      <c r="AK441" s="80"/>
      <c r="AL441" s="80"/>
      <c r="AM441" s="81"/>
      <c r="AN441" s="82"/>
      <c r="AO441" s="66"/>
      <c r="AQ441" s="80"/>
      <c r="AR441" s="80"/>
      <c r="AS441" s="81"/>
      <c r="AT441" s="82">
        <f>SUM(AT433:AT440)</f>
        <v>7</v>
      </c>
      <c r="AU441" s="66">
        <f t="shared" si="593"/>
        <v>1</v>
      </c>
      <c r="AW441" s="80"/>
      <c r="AX441" s="80"/>
      <c r="AY441" s="81"/>
      <c r="AZ441" s="82">
        <f>SUM(AZ433:AZ440)</f>
        <v>5</v>
      </c>
      <c r="BA441" s="66">
        <f t="shared" si="594"/>
        <v>1</v>
      </c>
    </row>
    <row r="442" spans="1:53" s="117" customFormat="1" ht="17.100000000000001" customHeight="1" x14ac:dyDescent="0.25">
      <c r="A442" s="68"/>
      <c r="B442" s="119"/>
      <c r="C442" s="540"/>
      <c r="D442" s="261"/>
      <c r="E442" s="261"/>
      <c r="F442" s="68"/>
      <c r="G442" s="68"/>
      <c r="H442" s="119"/>
      <c r="I442" s="138"/>
      <c r="J442" s="17"/>
      <c r="K442" s="17"/>
      <c r="L442" s="17"/>
      <c r="M442" s="17"/>
      <c r="N442" s="17" t="str">
        <f>IF(N441=N$403,"OK","NOK")</f>
        <v>OK</v>
      </c>
      <c r="O442" s="17" t="str">
        <f>IF(O441=O$403,"OK","NOK")</f>
        <v>OK</v>
      </c>
      <c r="P442" s="17"/>
      <c r="Q442" s="17" t="str">
        <f>IF(Q441=Q$403,"OK","NOK")</f>
        <v>OK</v>
      </c>
      <c r="R442" s="17" t="str">
        <f>IF(R441=R$403,"OK","NOK")</f>
        <v>OK</v>
      </c>
      <c r="S442" s="17"/>
      <c r="T442" s="17" t="str">
        <f>IF(T441=T$403,"OK","NOK")</f>
        <v>OK</v>
      </c>
      <c r="U442" s="17" t="str">
        <f>IF(U441=U$403,"OK","NOK")</f>
        <v>OK</v>
      </c>
      <c r="V442" s="359"/>
      <c r="W442" s="382"/>
      <c r="X442" s="539"/>
      <c r="Y442" s="539"/>
      <c r="Z442" s="201"/>
      <c r="AA442" s="201"/>
      <c r="AB442" s="201"/>
      <c r="AC442" s="84"/>
      <c r="AE442" s="46"/>
      <c r="AF442" s="46"/>
      <c r="AG442" s="17"/>
      <c r="AH442" s="539"/>
      <c r="AI442" s="91"/>
      <c r="AK442" s="46"/>
      <c r="AL442" s="46"/>
      <c r="AM442" s="17"/>
      <c r="AN442" s="539"/>
      <c r="AO442" s="91"/>
      <c r="AQ442" s="46"/>
      <c r="AR442" s="46"/>
      <c r="AS442" s="17"/>
      <c r="AT442" s="539"/>
      <c r="AU442" s="91"/>
      <c r="AW442" s="46"/>
      <c r="AX442" s="46"/>
      <c r="AY442" s="17"/>
      <c r="AZ442" s="539"/>
      <c r="BA442" s="91"/>
    </row>
    <row r="443" spans="1:53" ht="17.100000000000001" customHeight="1" x14ac:dyDescent="0.25">
      <c r="A443" s="68"/>
      <c r="B443" s="48" t="s">
        <v>245</v>
      </c>
      <c r="C443" s="49" t="s">
        <v>246</v>
      </c>
      <c r="D443" s="176"/>
      <c r="E443" s="70"/>
      <c r="F443" s="70"/>
      <c r="G443" s="70"/>
      <c r="H443" s="119"/>
      <c r="J443" s="71"/>
      <c r="K443" s="71"/>
      <c r="L443" s="71"/>
      <c r="M443" s="71"/>
      <c r="N443" s="71">
        <f t="shared" ref="N443:X443" si="597">SUM(N404:N405)</f>
        <v>0</v>
      </c>
      <c r="O443" s="71">
        <f t="shared" si="597"/>
        <v>0</v>
      </c>
      <c r="P443" s="71"/>
      <c r="Q443" s="71">
        <f t="shared" si="597"/>
        <v>0</v>
      </c>
      <c r="R443" s="71">
        <f t="shared" si="597"/>
        <v>0</v>
      </c>
      <c r="S443" s="71"/>
      <c r="T443" s="71">
        <f t="shared" si="597"/>
        <v>0</v>
      </c>
      <c r="U443" s="71">
        <f t="shared" si="597"/>
        <v>0</v>
      </c>
      <c r="V443" s="355"/>
      <c r="W443" s="377">
        <f t="shared" si="597"/>
        <v>0</v>
      </c>
      <c r="X443" s="71">
        <f t="shared" si="597"/>
        <v>0</v>
      </c>
      <c r="Y443" s="72"/>
      <c r="Z443" s="73"/>
      <c r="AA443" s="73"/>
      <c r="AB443" s="73"/>
      <c r="AC443" s="73"/>
      <c r="AE443" s="71"/>
      <c r="AF443" s="71"/>
      <c r="AG443" s="71"/>
      <c r="AH443" s="72"/>
      <c r="AI443" s="73"/>
      <c r="AK443" s="71"/>
      <c r="AL443" s="71"/>
      <c r="AM443" s="71"/>
      <c r="AN443" s="72"/>
      <c r="AO443" s="73"/>
      <c r="AQ443" s="71"/>
      <c r="AR443" s="71"/>
      <c r="AS443" s="71"/>
      <c r="AT443" s="72"/>
      <c r="AU443" s="73"/>
      <c r="AW443" s="71"/>
      <c r="AX443" s="71"/>
      <c r="AY443" s="71"/>
      <c r="AZ443" s="72"/>
      <c r="BA443" s="73"/>
    </row>
    <row r="444" spans="1:53" ht="17.100000000000001" customHeight="1" x14ac:dyDescent="0.25">
      <c r="A444" s="40"/>
      <c r="B444" s="55"/>
      <c r="C444" s="56" t="s">
        <v>247</v>
      </c>
      <c r="D444" s="149" t="s">
        <v>248</v>
      </c>
      <c r="E444" s="75"/>
      <c r="F444" s="75"/>
      <c r="G444" s="75"/>
      <c r="H444" s="540"/>
      <c r="I444" s="229"/>
      <c r="J444" s="111"/>
      <c r="K444" s="111"/>
      <c r="L444" s="111"/>
      <c r="M444" s="111"/>
      <c r="N444" s="111"/>
      <c r="O444" s="111"/>
      <c r="P444" s="111"/>
      <c r="Q444" s="111"/>
      <c r="R444" s="111"/>
      <c r="S444" s="111"/>
      <c r="T444" s="111"/>
      <c r="U444" s="111"/>
      <c r="V444" s="358"/>
      <c r="W444" s="380"/>
      <c r="X444" s="111"/>
      <c r="Y444" s="545"/>
      <c r="Z444" s="131"/>
      <c r="AA444" s="131"/>
      <c r="AB444" s="131"/>
      <c r="AC444" s="111"/>
      <c r="AE444" s="111"/>
      <c r="AF444" s="111"/>
      <c r="AG444" s="111"/>
      <c r="AH444" s="545"/>
      <c r="AI444" s="131"/>
      <c r="AK444" s="111"/>
      <c r="AL444" s="111"/>
      <c r="AM444" s="111"/>
      <c r="AN444" s="545"/>
      <c r="AO444" s="131"/>
      <c r="AQ444" s="111"/>
      <c r="AR444" s="111"/>
      <c r="AS444" s="111"/>
      <c r="AT444" s="545"/>
      <c r="AU444" s="131"/>
      <c r="AW444" s="111"/>
      <c r="AX444" s="111"/>
      <c r="AY444" s="111"/>
      <c r="AZ444" s="545"/>
      <c r="BA444" s="131"/>
    </row>
    <row r="445" spans="1:53" ht="17.100000000000001" customHeight="1" x14ac:dyDescent="0.25">
      <c r="A445" s="40"/>
      <c r="B445" s="40"/>
      <c r="C445" s="40"/>
      <c r="D445" s="56" t="s">
        <v>249</v>
      </c>
      <c r="E445" s="541" t="s">
        <v>479</v>
      </c>
      <c r="F445" s="75"/>
      <c r="G445" s="75"/>
      <c r="H445" s="540"/>
      <c r="I445" s="229"/>
      <c r="J445" s="111"/>
      <c r="K445" s="111"/>
      <c r="L445" s="111"/>
      <c r="M445" s="111"/>
      <c r="N445" s="60"/>
      <c r="O445" s="60"/>
      <c r="P445" s="17">
        <f t="shared" ref="P445:P449" si="598">SUM(N445:O445)</f>
        <v>0</v>
      </c>
      <c r="Q445" s="60"/>
      <c r="R445" s="60"/>
      <c r="S445" s="17">
        <f t="shared" ref="S445:S449" si="599">SUM(Q445:R445)</f>
        <v>0</v>
      </c>
      <c r="T445" s="60"/>
      <c r="U445" s="60"/>
      <c r="V445" s="359">
        <f t="shared" ref="V445:V449" si="600">SUM(T445:U445)</f>
        <v>0</v>
      </c>
      <c r="W445" s="391">
        <f t="shared" ref="W445:W449" si="601">J445+K445+N445+Q445+T445</f>
        <v>0</v>
      </c>
      <c r="X445" s="17">
        <f t="shared" ref="X445:X449" si="602">L445+O445+R445+U445</f>
        <v>0</v>
      </c>
      <c r="Y445" s="18">
        <f>SUM(W445:X445)</f>
        <v>0</v>
      </c>
      <c r="Z445" s="19">
        <f>IF(Y$454=0,0,Y445/Y$454)</f>
        <v>0</v>
      </c>
      <c r="AA445" s="19"/>
      <c r="AB445" s="19"/>
      <c r="AC445" s="17"/>
      <c r="AE445" s="111"/>
      <c r="AF445" s="111"/>
      <c r="AG445" s="111"/>
      <c r="AH445" s="112"/>
      <c r="AI445" s="113"/>
      <c r="AK445" s="111"/>
      <c r="AL445" s="111"/>
      <c r="AM445" s="111"/>
      <c r="AN445" s="112"/>
      <c r="AO445" s="113"/>
      <c r="AQ445" s="17"/>
      <c r="AR445" s="17"/>
      <c r="AS445" s="17"/>
      <c r="AT445" s="18">
        <f t="shared" ref="AT445:AT449" si="603">W445</f>
        <v>0</v>
      </c>
      <c r="AU445" s="19">
        <f>IF(AT$454=0,0,AT445/AT$454)</f>
        <v>0</v>
      </c>
      <c r="AW445" s="17"/>
      <c r="AX445" s="17"/>
      <c r="AY445" s="17"/>
      <c r="AZ445" s="18">
        <f t="shared" ref="AZ445:AZ449" si="604">X445</f>
        <v>0</v>
      </c>
      <c r="BA445" s="19">
        <f>IF(AZ$454=0,0,AZ445/AZ$454)</f>
        <v>0</v>
      </c>
    </row>
    <row r="446" spans="1:53" ht="17.100000000000001" customHeight="1" x14ac:dyDescent="0.25">
      <c r="A446" s="40"/>
      <c r="B446" s="40"/>
      <c r="C446" s="40"/>
      <c r="D446" s="56" t="s">
        <v>250</v>
      </c>
      <c r="E446" s="1403" t="s">
        <v>405</v>
      </c>
      <c r="F446" s="1404"/>
      <c r="G446" s="1404"/>
      <c r="H446" s="242"/>
      <c r="I446" s="230"/>
      <c r="J446" s="111"/>
      <c r="K446" s="111"/>
      <c r="L446" s="111"/>
      <c r="M446" s="111"/>
      <c r="N446" s="61"/>
      <c r="O446" s="61"/>
      <c r="P446" s="17">
        <f t="shared" si="598"/>
        <v>0</v>
      </c>
      <c r="Q446" s="61"/>
      <c r="R446" s="61"/>
      <c r="S446" s="17">
        <f t="shared" si="599"/>
        <v>0</v>
      </c>
      <c r="T446" s="61"/>
      <c r="U446" s="61"/>
      <c r="V446" s="359">
        <f t="shared" si="600"/>
        <v>0</v>
      </c>
      <c r="W446" s="391">
        <f t="shared" si="601"/>
        <v>0</v>
      </c>
      <c r="X446" s="17">
        <f t="shared" si="602"/>
        <v>0</v>
      </c>
      <c r="Y446" s="18">
        <f>SUM(W446:X446)</f>
        <v>0</v>
      </c>
      <c r="Z446" s="19">
        <f>IF(Y$454=0,0,Y446/Y$454)</f>
        <v>0</v>
      </c>
      <c r="AA446" s="19"/>
      <c r="AB446" s="19"/>
      <c r="AC446" s="17"/>
      <c r="AE446" s="111"/>
      <c r="AF446" s="111"/>
      <c r="AG446" s="111"/>
      <c r="AH446" s="112"/>
      <c r="AI446" s="113"/>
      <c r="AK446" s="111"/>
      <c r="AL446" s="111"/>
      <c r="AM446" s="111"/>
      <c r="AN446" s="112"/>
      <c r="AO446" s="113"/>
      <c r="AQ446" s="17"/>
      <c r="AR446" s="17"/>
      <c r="AS446" s="17"/>
      <c r="AT446" s="18">
        <f t="shared" si="603"/>
        <v>0</v>
      </c>
      <c r="AU446" s="19">
        <f>IF(AT$454=0,0,AT446/AT$454)</f>
        <v>0</v>
      </c>
      <c r="AW446" s="17"/>
      <c r="AX446" s="17"/>
      <c r="AY446" s="17"/>
      <c r="AZ446" s="18">
        <f t="shared" si="604"/>
        <v>0</v>
      </c>
      <c r="BA446" s="19">
        <f>IF(AZ$454=0,0,AZ446/AZ$454)</f>
        <v>0</v>
      </c>
    </row>
    <row r="447" spans="1:53" ht="17.100000000000001" customHeight="1" x14ac:dyDescent="0.25">
      <c r="A447" s="40"/>
      <c r="B447" s="40"/>
      <c r="C447" s="40"/>
      <c r="D447" s="56" t="s">
        <v>251</v>
      </c>
      <c r="E447" s="1398" t="s">
        <v>480</v>
      </c>
      <c r="F447" s="1399"/>
      <c r="G447" s="1399"/>
      <c r="H447" s="540"/>
      <c r="I447" s="229"/>
      <c r="J447" s="111"/>
      <c r="K447" s="111"/>
      <c r="L447" s="111"/>
      <c r="M447" s="111"/>
      <c r="N447" s="60"/>
      <c r="O447" s="60"/>
      <c r="P447" s="17">
        <f t="shared" si="598"/>
        <v>0</v>
      </c>
      <c r="Q447" s="60"/>
      <c r="R447" s="60"/>
      <c r="S447" s="17">
        <f t="shared" si="599"/>
        <v>0</v>
      </c>
      <c r="T447" s="60"/>
      <c r="U447" s="60"/>
      <c r="V447" s="359">
        <f t="shared" si="600"/>
        <v>0</v>
      </c>
      <c r="W447" s="391">
        <f t="shared" si="601"/>
        <v>0</v>
      </c>
      <c r="X447" s="17">
        <f t="shared" si="602"/>
        <v>0</v>
      </c>
      <c r="Y447" s="18">
        <f>SUM(W447:X447)</f>
        <v>0</v>
      </c>
      <c r="Z447" s="19">
        <f>IF(Y$454=0,0,Y447/Y$454)</f>
        <v>0</v>
      </c>
      <c r="AA447" s="19"/>
      <c r="AB447" s="19"/>
      <c r="AC447" s="17"/>
      <c r="AE447" s="111"/>
      <c r="AF447" s="111"/>
      <c r="AG447" s="111"/>
      <c r="AH447" s="112"/>
      <c r="AI447" s="113"/>
      <c r="AK447" s="111"/>
      <c r="AL447" s="111"/>
      <c r="AM447" s="111"/>
      <c r="AN447" s="112"/>
      <c r="AO447" s="113"/>
      <c r="AQ447" s="17"/>
      <c r="AR447" s="17"/>
      <c r="AS447" s="17"/>
      <c r="AT447" s="18">
        <f t="shared" si="603"/>
        <v>0</v>
      </c>
      <c r="AU447" s="19">
        <f>IF(AT$454=0,0,AT447/AT$454)</f>
        <v>0</v>
      </c>
      <c r="AW447" s="17"/>
      <c r="AX447" s="17"/>
      <c r="AY447" s="17"/>
      <c r="AZ447" s="18">
        <f t="shared" si="604"/>
        <v>0</v>
      </c>
      <c r="BA447" s="19">
        <f>IF(AZ$454=0,0,AZ447/AZ$454)</f>
        <v>0</v>
      </c>
    </row>
    <row r="448" spans="1:53" ht="17.100000000000001" customHeight="1" x14ac:dyDescent="0.25">
      <c r="A448" s="40"/>
      <c r="B448" s="40"/>
      <c r="C448" s="40"/>
      <c r="D448" s="56" t="s">
        <v>252</v>
      </c>
      <c r="E448" s="541" t="s">
        <v>481</v>
      </c>
      <c r="F448" s="75"/>
      <c r="G448" s="75"/>
      <c r="H448" s="242"/>
      <c r="I448" s="230"/>
      <c r="J448" s="111"/>
      <c r="K448" s="111"/>
      <c r="L448" s="111"/>
      <c r="M448" s="111"/>
      <c r="N448" s="61"/>
      <c r="O448" s="61"/>
      <c r="P448" s="17">
        <f t="shared" si="598"/>
        <v>0</v>
      </c>
      <c r="Q448" s="61"/>
      <c r="R448" s="61"/>
      <c r="S448" s="17">
        <f t="shared" si="599"/>
        <v>0</v>
      </c>
      <c r="T448" s="61"/>
      <c r="U448" s="61"/>
      <c r="V448" s="359">
        <f t="shared" si="600"/>
        <v>0</v>
      </c>
      <c r="W448" s="391">
        <f t="shared" si="601"/>
        <v>0</v>
      </c>
      <c r="X448" s="17">
        <f t="shared" si="602"/>
        <v>0</v>
      </c>
      <c r="Y448" s="18">
        <f>SUM(W448:X448)</f>
        <v>0</v>
      </c>
      <c r="Z448" s="19">
        <f>IF(Y$454=0,0,Y448/Y$454)</f>
        <v>0</v>
      </c>
      <c r="AA448" s="19"/>
      <c r="AB448" s="19"/>
      <c r="AC448" s="17"/>
      <c r="AE448" s="111"/>
      <c r="AF448" s="111"/>
      <c r="AG448" s="111"/>
      <c r="AH448" s="112"/>
      <c r="AI448" s="113"/>
      <c r="AK448" s="111"/>
      <c r="AL448" s="111"/>
      <c r="AM448" s="111"/>
      <c r="AN448" s="112"/>
      <c r="AO448" s="113"/>
      <c r="AQ448" s="17"/>
      <c r="AR448" s="17"/>
      <c r="AS448" s="17"/>
      <c r="AT448" s="18">
        <f t="shared" si="603"/>
        <v>0</v>
      </c>
      <c r="AU448" s="19">
        <f>IF(AT$454=0,0,AT448/AT$454)</f>
        <v>0</v>
      </c>
      <c r="AW448" s="17"/>
      <c r="AX448" s="17"/>
      <c r="AY448" s="17"/>
      <c r="AZ448" s="18">
        <f t="shared" si="604"/>
        <v>0</v>
      </c>
      <c r="BA448" s="19">
        <f>IF(AZ$454=0,0,AZ448/AZ$454)</f>
        <v>0</v>
      </c>
    </row>
    <row r="449" spans="1:53" ht="17.100000000000001" customHeight="1" x14ac:dyDescent="0.25">
      <c r="A449" s="40"/>
      <c r="B449" s="40"/>
      <c r="C449" s="40"/>
      <c r="D449" s="56" t="s">
        <v>253</v>
      </c>
      <c r="E449" s="541" t="s">
        <v>109</v>
      </c>
      <c r="F449" s="543"/>
      <c r="G449" s="543"/>
      <c r="H449" s="540"/>
      <c r="I449" s="229"/>
      <c r="J449" s="111"/>
      <c r="K449" s="111"/>
      <c r="L449" s="111"/>
      <c r="M449" s="111"/>
      <c r="N449" s="111">
        <f>SUM(N450:N452)</f>
        <v>0</v>
      </c>
      <c r="O449" s="111">
        <f t="shared" ref="O449:U449" si="605">SUM(O450:O452)</f>
        <v>0</v>
      </c>
      <c r="P449" s="111">
        <f t="shared" si="598"/>
        <v>0</v>
      </c>
      <c r="Q449" s="111">
        <f t="shared" si="605"/>
        <v>0</v>
      </c>
      <c r="R449" s="111">
        <f t="shared" si="605"/>
        <v>0</v>
      </c>
      <c r="S449" s="111">
        <f t="shared" si="599"/>
        <v>0</v>
      </c>
      <c r="T449" s="111">
        <f t="shared" si="605"/>
        <v>0</v>
      </c>
      <c r="U449" s="111">
        <f t="shared" si="605"/>
        <v>0</v>
      </c>
      <c r="V449" s="358">
        <f t="shared" si="600"/>
        <v>0</v>
      </c>
      <c r="W449" s="380">
        <f t="shared" si="601"/>
        <v>0</v>
      </c>
      <c r="X449" s="111">
        <f t="shared" si="602"/>
        <v>0</v>
      </c>
      <c r="Y449" s="545">
        <f>SUM(W449:X449)</f>
        <v>0</v>
      </c>
      <c r="Z449" s="131">
        <f>IF(Y$454=0,0,Y449/Y$454)</f>
        <v>0</v>
      </c>
      <c r="AA449" s="131"/>
      <c r="AB449" s="131"/>
      <c r="AC449" s="111"/>
      <c r="AE449" s="111"/>
      <c r="AF449" s="111"/>
      <c r="AG449" s="111"/>
      <c r="AH449" s="112"/>
      <c r="AI449" s="113"/>
      <c r="AK449" s="111"/>
      <c r="AL449" s="111"/>
      <c r="AM449" s="111"/>
      <c r="AN449" s="112"/>
      <c r="AO449" s="113"/>
      <c r="AQ449" s="111"/>
      <c r="AR449" s="111"/>
      <c r="AS449" s="111"/>
      <c r="AT449" s="545">
        <f t="shared" si="603"/>
        <v>0</v>
      </c>
      <c r="AU449" s="131">
        <f>IF(AT$454=0,0,AT449/AT$454)</f>
        <v>0</v>
      </c>
      <c r="AW449" s="111"/>
      <c r="AX449" s="111"/>
      <c r="AY449" s="111"/>
      <c r="AZ449" s="545">
        <f t="shared" si="604"/>
        <v>0</v>
      </c>
      <c r="BA449" s="131">
        <f>IF(AZ$454=0,0,AZ449/AZ$454)</f>
        <v>0</v>
      </c>
    </row>
    <row r="450" spans="1:53" ht="17.100000000000001" customHeight="1" x14ac:dyDescent="0.25">
      <c r="A450" s="40"/>
      <c r="B450" s="40"/>
      <c r="C450" s="40"/>
      <c r="D450" s="74"/>
      <c r="E450" s="170"/>
      <c r="F450" s="171"/>
      <c r="G450" s="171"/>
      <c r="H450" s="17"/>
      <c r="I450" s="594"/>
      <c r="J450" s="111"/>
      <c r="K450" s="111"/>
      <c r="L450" s="111"/>
      <c r="M450" s="111"/>
      <c r="N450" s="61"/>
      <c r="O450" s="61"/>
      <c r="P450" s="17"/>
      <c r="Q450" s="61"/>
      <c r="R450" s="61"/>
      <c r="S450" s="17"/>
      <c r="T450" s="61"/>
      <c r="U450" s="61"/>
      <c r="V450" s="359"/>
      <c r="W450" s="391"/>
      <c r="X450" s="17"/>
      <c r="Y450" s="539"/>
      <c r="Z450" s="17"/>
      <c r="AA450" s="17"/>
      <c r="AB450" s="17"/>
      <c r="AC450" s="17"/>
      <c r="AE450" s="17"/>
      <c r="AF450" s="17"/>
      <c r="AG450" s="17"/>
      <c r="AH450" s="539"/>
      <c r="AI450" s="17"/>
      <c r="AK450" s="17"/>
      <c r="AL450" s="17"/>
      <c r="AM450" s="17"/>
      <c r="AN450" s="539"/>
      <c r="AO450" s="17"/>
      <c r="AQ450" s="17"/>
      <c r="AR450" s="17"/>
      <c r="AS450" s="17"/>
      <c r="AT450" s="539"/>
      <c r="AU450" s="17"/>
      <c r="AW450" s="17"/>
      <c r="AX450" s="17"/>
      <c r="AY450" s="17"/>
      <c r="AZ450" s="539"/>
      <c r="BA450" s="17"/>
    </row>
    <row r="451" spans="1:53" ht="17.100000000000001" customHeight="1" x14ac:dyDescent="0.25">
      <c r="A451" s="40"/>
      <c r="B451" s="40"/>
      <c r="C451" s="40"/>
      <c r="D451" s="74"/>
      <c r="E451" s="168"/>
      <c r="F451" s="169"/>
      <c r="G451" s="169"/>
      <c r="H451" s="17"/>
      <c r="I451" s="594"/>
      <c r="J451" s="111"/>
      <c r="K451" s="111"/>
      <c r="L451" s="111"/>
      <c r="M451" s="111"/>
      <c r="N451" s="60"/>
      <c r="O451" s="60"/>
      <c r="P451" s="17"/>
      <c r="Q451" s="60"/>
      <c r="R451" s="60"/>
      <c r="S451" s="17"/>
      <c r="T451" s="60"/>
      <c r="U451" s="60"/>
      <c r="V451" s="359"/>
      <c r="W451" s="391"/>
      <c r="X451" s="17"/>
      <c r="Y451" s="539"/>
      <c r="Z451" s="17"/>
      <c r="AA451" s="17"/>
      <c r="AB451" s="17"/>
      <c r="AC451" s="17"/>
      <c r="AE451" s="17"/>
      <c r="AF451" s="17"/>
      <c r="AG451" s="17"/>
      <c r="AH451" s="539"/>
      <c r="AI451" s="17"/>
      <c r="AK451" s="17"/>
      <c r="AL451" s="17"/>
      <c r="AM451" s="17"/>
      <c r="AN451" s="539"/>
      <c r="AO451" s="17"/>
      <c r="AQ451" s="17"/>
      <c r="AR451" s="17"/>
      <c r="AS451" s="17"/>
      <c r="AT451" s="539"/>
      <c r="AU451" s="17"/>
      <c r="AW451" s="17"/>
      <c r="AX451" s="17"/>
      <c r="AY451" s="17"/>
      <c r="AZ451" s="539"/>
      <c r="BA451" s="17"/>
    </row>
    <row r="452" spans="1:53" ht="17.100000000000001" customHeight="1" x14ac:dyDescent="0.25">
      <c r="A452" s="40"/>
      <c r="B452" s="40"/>
      <c r="C452" s="40"/>
      <c r="D452" s="74"/>
      <c r="E452" s="170"/>
      <c r="F452" s="171"/>
      <c r="G452" s="171"/>
      <c r="H452" s="17"/>
      <c r="I452" s="594"/>
      <c r="J452" s="111"/>
      <c r="K452" s="111"/>
      <c r="L452" s="111"/>
      <c r="M452" s="111"/>
      <c r="N452" s="61"/>
      <c r="O452" s="61"/>
      <c r="P452" s="17"/>
      <c r="Q452" s="61"/>
      <c r="R452" s="61"/>
      <c r="S452" s="17"/>
      <c r="T452" s="61"/>
      <c r="U452" s="61"/>
      <c r="V452" s="359"/>
      <c r="W452" s="391"/>
      <c r="X452" s="17"/>
      <c r="Y452" s="539"/>
      <c r="Z452" s="17"/>
      <c r="AA452" s="17"/>
      <c r="AB452" s="17"/>
      <c r="AC452" s="17"/>
      <c r="AE452" s="17"/>
      <c r="AF452" s="17"/>
      <c r="AG452" s="17"/>
      <c r="AH452" s="539"/>
      <c r="AI452" s="17"/>
      <c r="AK452" s="17"/>
      <c r="AL452" s="17"/>
      <c r="AM452" s="17"/>
      <c r="AN452" s="539"/>
      <c r="AO452" s="17"/>
      <c r="AQ452" s="17"/>
      <c r="AR452" s="17"/>
      <c r="AS452" s="17"/>
      <c r="AT452" s="539"/>
      <c r="AU452" s="17"/>
      <c r="AW452" s="17"/>
      <c r="AX452" s="17"/>
      <c r="AY452" s="17"/>
      <c r="AZ452" s="539"/>
      <c r="BA452" s="17"/>
    </row>
    <row r="453" spans="1:53" ht="17.100000000000001" customHeight="1" x14ac:dyDescent="0.25">
      <c r="A453" s="40"/>
      <c r="B453" s="40"/>
      <c r="C453" s="40"/>
      <c r="D453" s="56" t="s">
        <v>616</v>
      </c>
      <c r="E453" s="596" t="s">
        <v>598</v>
      </c>
      <c r="F453" s="597"/>
      <c r="G453" s="597"/>
      <c r="H453" s="17"/>
      <c r="I453" s="594"/>
      <c r="J453" s="111"/>
      <c r="K453" s="111"/>
      <c r="L453" s="111"/>
      <c r="M453" s="111"/>
      <c r="N453" s="60"/>
      <c r="O453" s="60"/>
      <c r="P453" s="17">
        <f t="shared" ref="P453" si="606">SUM(N453:O453)</f>
        <v>0</v>
      </c>
      <c r="Q453" s="60"/>
      <c r="R453" s="60"/>
      <c r="S453" s="17">
        <f t="shared" ref="S453" si="607">SUM(Q453:R453)</f>
        <v>0</v>
      </c>
      <c r="T453" s="60"/>
      <c r="U453" s="60"/>
      <c r="V453" s="359">
        <f t="shared" ref="V453" si="608">SUM(T453:U453)</f>
        <v>0</v>
      </c>
      <c r="W453" s="391">
        <f t="shared" ref="W453" si="609">J453+K453+N453+Q453+T453</f>
        <v>0</v>
      </c>
      <c r="X453" s="17">
        <f t="shared" ref="X453" si="610">L453+O453+R453+U453</f>
        <v>0</v>
      </c>
      <c r="Y453" s="18">
        <f>SUM(W453:X453)</f>
        <v>0</v>
      </c>
      <c r="Z453" s="19">
        <f>IF(Y$454=0,0,Y453/Y$454)</f>
        <v>0</v>
      </c>
      <c r="AA453" s="19"/>
      <c r="AB453" s="19"/>
      <c r="AC453" s="17"/>
      <c r="AE453" s="17"/>
      <c r="AF453" s="17"/>
      <c r="AG453" s="17"/>
      <c r="AH453" s="18"/>
      <c r="AI453" s="19"/>
      <c r="AK453" s="17"/>
      <c r="AL453" s="17"/>
      <c r="AM453" s="17"/>
      <c r="AN453" s="18"/>
      <c r="AO453" s="19"/>
      <c r="AQ453" s="17"/>
      <c r="AR453" s="17"/>
      <c r="AS453" s="17"/>
      <c r="AT453" s="18">
        <f t="shared" ref="AT453" si="611">W453</f>
        <v>0</v>
      </c>
      <c r="AU453" s="19">
        <f>IF(AT$454=0,0,AT453/AT$454)</f>
        <v>0</v>
      </c>
      <c r="AW453" s="17"/>
      <c r="AX453" s="17"/>
      <c r="AY453" s="17"/>
      <c r="AZ453" s="18">
        <f>X453</f>
        <v>0</v>
      </c>
      <c r="BA453" s="19">
        <f>IF(AZ$454=0,0,AZ453/AZ$454)</f>
        <v>0</v>
      </c>
    </row>
    <row r="454" spans="1:53" ht="17.100000000000001" customHeight="1" x14ac:dyDescent="0.25">
      <c r="A454" s="40"/>
      <c r="B454" s="40"/>
      <c r="C454" s="77"/>
      <c r="D454" s="134"/>
      <c r="E454" s="134"/>
      <c r="F454" s="134"/>
      <c r="G454" s="134"/>
      <c r="H454" s="540"/>
      <c r="I454" s="229"/>
      <c r="J454" s="80"/>
      <c r="K454" s="80"/>
      <c r="L454" s="81"/>
      <c r="M454" s="81"/>
      <c r="N454" s="81">
        <f t="shared" ref="N454:V454" si="612">SUM(N445:N449)+N453</f>
        <v>0</v>
      </c>
      <c r="O454" s="81">
        <f t="shared" si="612"/>
        <v>0</v>
      </c>
      <c r="P454" s="81">
        <f t="shared" si="612"/>
        <v>0</v>
      </c>
      <c r="Q454" s="81">
        <f t="shared" si="612"/>
        <v>0</v>
      </c>
      <c r="R454" s="81">
        <f t="shared" si="612"/>
        <v>0</v>
      </c>
      <c r="S454" s="81">
        <f t="shared" si="612"/>
        <v>0</v>
      </c>
      <c r="T454" s="81">
        <f t="shared" si="612"/>
        <v>0</v>
      </c>
      <c r="U454" s="81">
        <f t="shared" si="612"/>
        <v>0</v>
      </c>
      <c r="V454" s="81">
        <f t="shared" si="612"/>
        <v>0</v>
      </c>
      <c r="W454" s="381">
        <f t="shared" ref="W454:Y454" si="613">SUM(W445:W449)+W453</f>
        <v>0</v>
      </c>
      <c r="X454" s="82">
        <f t="shared" si="613"/>
        <v>0</v>
      </c>
      <c r="Y454" s="82">
        <f t="shared" si="613"/>
        <v>0</v>
      </c>
      <c r="Z454" s="205">
        <f t="shared" ref="Z454" si="614">IF(Y$454=0,0,Y454/Y$454)</f>
        <v>0</v>
      </c>
      <c r="AA454" s="205"/>
      <c r="AB454" s="205"/>
      <c r="AC454" s="83"/>
      <c r="AE454" s="80"/>
      <c r="AF454" s="80"/>
      <c r="AG454" s="81"/>
      <c r="AH454" s="82"/>
      <c r="AI454" s="66"/>
      <c r="AK454" s="80"/>
      <c r="AL454" s="80"/>
      <c r="AM454" s="81"/>
      <c r="AN454" s="82"/>
      <c r="AO454" s="66"/>
      <c r="AQ454" s="80"/>
      <c r="AR454" s="80"/>
      <c r="AS454" s="81"/>
      <c r="AT454" s="82">
        <f>SUM(AT445:AT453)</f>
        <v>0</v>
      </c>
      <c r="AU454" s="66">
        <f>IF(AT$454=0,0,AT454/AT$454)</f>
        <v>0</v>
      </c>
      <c r="AW454" s="80"/>
      <c r="AX454" s="80"/>
      <c r="AY454" s="81"/>
      <c r="AZ454" s="82">
        <f>SUM(AZ445:AZ453)</f>
        <v>0</v>
      </c>
      <c r="BA454" s="66">
        <f>IF(AZ$454=0,0,AZ454/AZ$454)</f>
        <v>0</v>
      </c>
    </row>
    <row r="455" spans="1:53" s="117" customFormat="1" ht="17.100000000000001" customHeight="1" x14ac:dyDescent="0.25">
      <c r="A455" s="68"/>
      <c r="B455" s="119"/>
      <c r="C455" s="540"/>
      <c r="D455" s="261"/>
      <c r="E455" s="261"/>
      <c r="F455" s="68"/>
      <c r="G455" s="68"/>
      <c r="H455" s="119"/>
      <c r="I455" s="138"/>
      <c r="J455" s="17"/>
      <c r="K455" s="17"/>
      <c r="L455" s="17"/>
      <c r="M455" s="17"/>
      <c r="N455" s="17" t="str">
        <f>IF(N454=N$443,"OK","NOK")</f>
        <v>OK</v>
      </c>
      <c r="O455" s="17" t="str">
        <f>IF(O454=O$443,"OK","NOK")</f>
        <v>OK</v>
      </c>
      <c r="P455" s="17"/>
      <c r="Q455" s="17" t="str">
        <f>IF(Q454=Q$443,"OK","NOK")</f>
        <v>OK</v>
      </c>
      <c r="R455" s="17" t="str">
        <f>IF(R454=R$443,"OK","NOK")</f>
        <v>OK</v>
      </c>
      <c r="S455" s="17"/>
      <c r="T455" s="17" t="str">
        <f>IF(T454=T$443,"OK","NOK")</f>
        <v>OK</v>
      </c>
      <c r="U455" s="17" t="str">
        <f>IF(U454=U$443,"OK","NOK")</f>
        <v>OK</v>
      </c>
      <c r="V455" s="359"/>
      <c r="W455" s="382"/>
      <c r="X455" s="539"/>
      <c r="Y455" s="539"/>
      <c r="Z455" s="201"/>
      <c r="AA455" s="201"/>
      <c r="AB455" s="201"/>
      <c r="AC455" s="84"/>
      <c r="AE455" s="46"/>
      <c r="AF455" s="46"/>
      <c r="AG455" s="17"/>
      <c r="AH455" s="539"/>
      <c r="AI455" s="91"/>
      <c r="AK455" s="46"/>
      <c r="AL455" s="46"/>
      <c r="AM455" s="17"/>
      <c r="AN455" s="539"/>
      <c r="AO455" s="91"/>
      <c r="AQ455" s="46"/>
      <c r="AR455" s="46"/>
      <c r="AS455" s="17"/>
      <c r="AT455" s="539"/>
      <c r="AU455" s="91"/>
      <c r="AW455" s="46"/>
      <c r="AX455" s="46"/>
      <c r="AY455" s="17"/>
      <c r="AZ455" s="539"/>
      <c r="BA455" s="91"/>
    </row>
    <row r="456" spans="1:53" ht="17.100000000000001" customHeight="1" x14ac:dyDescent="0.25">
      <c r="A456" s="40"/>
      <c r="B456" s="40"/>
      <c r="C456" s="56" t="s">
        <v>254</v>
      </c>
      <c r="D456" s="146" t="s">
        <v>255</v>
      </c>
      <c r="E456" s="149"/>
      <c r="F456" s="75"/>
      <c r="G456" s="75"/>
      <c r="H456" s="540"/>
      <c r="I456" s="229"/>
      <c r="J456" s="545"/>
      <c r="K456" s="545"/>
      <c r="L456" s="545"/>
      <c r="M456" s="545"/>
      <c r="N456" s="545"/>
      <c r="O456" s="545"/>
      <c r="P456" s="545"/>
      <c r="Q456" s="545"/>
      <c r="R456" s="545"/>
      <c r="S456" s="545"/>
      <c r="T456" s="545"/>
      <c r="U456" s="545"/>
      <c r="V456" s="364"/>
      <c r="W456" s="385"/>
      <c r="X456" s="545"/>
      <c r="Y456" s="545"/>
      <c r="Z456" s="545"/>
      <c r="AA456" s="545"/>
      <c r="AB456" s="545"/>
      <c r="AC456" s="545"/>
      <c r="AE456" s="545"/>
      <c r="AF456" s="545"/>
      <c r="AG456" s="545"/>
      <c r="AH456" s="545"/>
      <c r="AI456" s="545"/>
      <c r="AK456" s="545"/>
      <c r="AL456" s="545"/>
      <c r="AM456" s="545"/>
      <c r="AN456" s="545"/>
      <c r="AO456" s="545"/>
      <c r="AQ456" s="545"/>
      <c r="AR456" s="545"/>
      <c r="AS456" s="545"/>
      <c r="AT456" s="545"/>
      <c r="AU456" s="545"/>
      <c r="AW456" s="545"/>
      <c r="AX456" s="545"/>
      <c r="AY456" s="545"/>
      <c r="AZ456" s="545"/>
      <c r="BA456" s="545"/>
    </row>
    <row r="457" spans="1:53" ht="17.100000000000001" customHeight="1" x14ac:dyDescent="0.25">
      <c r="A457" s="40"/>
      <c r="B457" s="40"/>
      <c r="C457" s="55"/>
      <c r="D457" s="180" t="s">
        <v>256</v>
      </c>
      <c r="E457" s="146" t="s">
        <v>113</v>
      </c>
      <c r="F457" s="75"/>
      <c r="G457" s="75"/>
      <c r="H457" s="540"/>
      <c r="I457" s="229"/>
      <c r="J457" s="111"/>
      <c r="K457" s="111"/>
      <c r="L457" s="111"/>
      <c r="M457" s="111"/>
      <c r="N457" s="60"/>
      <c r="O457" s="60"/>
      <c r="P457" s="17">
        <f t="shared" ref="P457:P459" si="615">SUM(N457:O457)</f>
        <v>0</v>
      </c>
      <c r="Q457" s="60"/>
      <c r="R457" s="60"/>
      <c r="S457" s="17">
        <f t="shared" ref="S457:S459" si="616">SUM(Q457:R457)</f>
        <v>0</v>
      </c>
      <c r="T457" s="60"/>
      <c r="U457" s="60"/>
      <c r="V457" s="359">
        <f t="shared" ref="V457:V459" si="617">SUM(T457:U457)</f>
        <v>0</v>
      </c>
      <c r="W457" s="391">
        <f t="shared" ref="W457:W459" si="618">J457+K457+N457+Q457+T457</f>
        <v>0</v>
      </c>
      <c r="X457" s="17">
        <f t="shared" ref="X457:X459" si="619">L457+O457+R457+U457</f>
        <v>0</v>
      </c>
      <c r="Y457" s="18">
        <f>SUM(W457:X457)</f>
        <v>0</v>
      </c>
      <c r="Z457" s="19">
        <f>IF(Y$460=0,0,Y457/Y$460)</f>
        <v>0</v>
      </c>
      <c r="AA457" s="19"/>
      <c r="AB457" s="19"/>
      <c r="AC457" s="17"/>
      <c r="AE457" s="111"/>
      <c r="AF457" s="111"/>
      <c r="AG457" s="111"/>
      <c r="AH457" s="112"/>
      <c r="AI457" s="113"/>
      <c r="AK457" s="111"/>
      <c r="AL457" s="111"/>
      <c r="AM457" s="111"/>
      <c r="AN457" s="112"/>
      <c r="AO457" s="113"/>
      <c r="AQ457" s="17"/>
      <c r="AR457" s="17"/>
      <c r="AS457" s="17"/>
      <c r="AT457" s="18">
        <f t="shared" ref="AT457:AT459" si="620">W457</f>
        <v>0</v>
      </c>
      <c r="AU457" s="19">
        <f>IF(AT$460=0,0,AT457/AT$460)</f>
        <v>0</v>
      </c>
      <c r="AW457" s="17"/>
      <c r="AX457" s="17"/>
      <c r="AY457" s="17"/>
      <c r="AZ457" s="18">
        <f t="shared" ref="AZ457:AZ459" si="621">X457</f>
        <v>0</v>
      </c>
      <c r="BA457" s="19">
        <f>IF(AZ$460=0,0,AZ457/AZ$460)</f>
        <v>0</v>
      </c>
    </row>
    <row r="458" spans="1:53" ht="17.100000000000001" customHeight="1" x14ac:dyDescent="0.25">
      <c r="A458" s="40"/>
      <c r="B458" s="40"/>
      <c r="C458" s="55"/>
      <c r="D458" s="180" t="s">
        <v>257</v>
      </c>
      <c r="E458" s="146" t="s">
        <v>258</v>
      </c>
      <c r="F458" s="75"/>
      <c r="G458" s="75"/>
      <c r="H458" s="540"/>
      <c r="I458" s="229"/>
      <c r="J458" s="111"/>
      <c r="K458" s="111"/>
      <c r="L458" s="111"/>
      <c r="M458" s="111"/>
      <c r="N458" s="61"/>
      <c r="O458" s="61"/>
      <c r="P458" s="17">
        <f t="shared" si="615"/>
        <v>0</v>
      </c>
      <c r="Q458" s="61"/>
      <c r="R458" s="61"/>
      <c r="S458" s="17">
        <f t="shared" si="616"/>
        <v>0</v>
      </c>
      <c r="T458" s="61"/>
      <c r="U458" s="61"/>
      <c r="V458" s="359">
        <f t="shared" si="617"/>
        <v>0</v>
      </c>
      <c r="W458" s="391">
        <f t="shared" si="618"/>
        <v>0</v>
      </c>
      <c r="X458" s="17">
        <f t="shared" si="619"/>
        <v>0</v>
      </c>
      <c r="Y458" s="18">
        <f>SUM(W458:X458)</f>
        <v>0</v>
      </c>
      <c r="Z458" s="19">
        <f t="shared" ref="Z458:Z460" si="622">IF(Y$460=0,0,Y458/Y$460)</f>
        <v>0</v>
      </c>
      <c r="AA458" s="19"/>
      <c r="AB458" s="19"/>
      <c r="AC458" s="17"/>
      <c r="AE458" s="111"/>
      <c r="AF458" s="111"/>
      <c r="AG458" s="111"/>
      <c r="AH458" s="112"/>
      <c r="AI458" s="113"/>
      <c r="AK458" s="111"/>
      <c r="AL458" s="111"/>
      <c r="AM458" s="111"/>
      <c r="AN458" s="112"/>
      <c r="AO458" s="113"/>
      <c r="AQ458" s="17"/>
      <c r="AR458" s="17"/>
      <c r="AS458" s="17"/>
      <c r="AT458" s="18">
        <f t="shared" si="620"/>
        <v>0</v>
      </c>
      <c r="AU458" s="19">
        <f>IF(AT$460=0,0,AT458/AT$460)</f>
        <v>0</v>
      </c>
      <c r="AW458" s="17"/>
      <c r="AX458" s="17"/>
      <c r="AY458" s="17"/>
      <c r="AZ458" s="18">
        <f t="shared" si="621"/>
        <v>0</v>
      </c>
      <c r="BA458" s="19">
        <f>IF(AZ$460=0,0,AZ458/AZ$460)</f>
        <v>0</v>
      </c>
    </row>
    <row r="459" spans="1:53" ht="17.100000000000001" customHeight="1" x14ac:dyDescent="0.25">
      <c r="A459" s="40"/>
      <c r="B459" s="40"/>
      <c r="C459" s="55"/>
      <c r="D459" s="180" t="s">
        <v>259</v>
      </c>
      <c r="E459" s="596" t="s">
        <v>598</v>
      </c>
      <c r="F459" s="542"/>
      <c r="G459" s="542"/>
      <c r="H459" s="540"/>
      <c r="I459" s="235"/>
      <c r="J459" s="111"/>
      <c r="K459" s="111"/>
      <c r="L459" s="111"/>
      <c r="M459" s="111"/>
      <c r="N459" s="60"/>
      <c r="O459" s="60"/>
      <c r="P459" s="17">
        <f t="shared" si="615"/>
        <v>0</v>
      </c>
      <c r="Q459" s="60"/>
      <c r="R459" s="60"/>
      <c r="S459" s="17">
        <f t="shared" si="616"/>
        <v>0</v>
      </c>
      <c r="T459" s="60"/>
      <c r="U459" s="60"/>
      <c r="V459" s="359">
        <f t="shared" si="617"/>
        <v>0</v>
      </c>
      <c r="W459" s="391">
        <f t="shared" si="618"/>
        <v>0</v>
      </c>
      <c r="X459" s="17">
        <f t="shared" si="619"/>
        <v>0</v>
      </c>
      <c r="Y459" s="18">
        <f>SUM(W459:X459)</f>
        <v>0</v>
      </c>
      <c r="Z459" s="19">
        <f t="shared" si="622"/>
        <v>0</v>
      </c>
      <c r="AA459" s="19"/>
      <c r="AB459" s="19"/>
      <c r="AC459" s="17"/>
      <c r="AE459" s="111"/>
      <c r="AF459" s="111"/>
      <c r="AG459" s="111"/>
      <c r="AH459" s="112"/>
      <c r="AI459" s="113"/>
      <c r="AK459" s="111"/>
      <c r="AL459" s="111"/>
      <c r="AM459" s="111"/>
      <c r="AN459" s="112"/>
      <c r="AO459" s="113"/>
      <c r="AQ459" s="17"/>
      <c r="AR459" s="17"/>
      <c r="AS459" s="17"/>
      <c r="AT459" s="18">
        <f t="shared" si="620"/>
        <v>0</v>
      </c>
      <c r="AU459" s="19">
        <f>IF(AT$460=0,0,AT459/AT$460)</f>
        <v>0</v>
      </c>
      <c r="AW459" s="17"/>
      <c r="AX459" s="17"/>
      <c r="AY459" s="17"/>
      <c r="AZ459" s="18">
        <f t="shared" si="621"/>
        <v>0</v>
      </c>
      <c r="BA459" s="19">
        <f>IF(AZ$460=0,0,AZ459/AZ$460)</f>
        <v>0</v>
      </c>
    </row>
    <row r="460" spans="1:53" ht="17.100000000000001" customHeight="1" x14ac:dyDescent="0.25">
      <c r="A460" s="40"/>
      <c r="B460" s="40"/>
      <c r="C460" s="77"/>
      <c r="D460" s="134"/>
      <c r="E460" s="134"/>
      <c r="F460" s="134"/>
      <c r="G460" s="134"/>
      <c r="H460" s="540"/>
      <c r="I460" s="229"/>
      <c r="J460" s="80"/>
      <c r="K460" s="80"/>
      <c r="L460" s="81"/>
      <c r="M460" s="81"/>
      <c r="N460" s="81">
        <f>SUM(N457:N459)</f>
        <v>0</v>
      </c>
      <c r="O460" s="81">
        <f t="shared" ref="O460:V460" si="623">SUM(O457:O459)</f>
        <v>0</v>
      </c>
      <c r="P460" s="81">
        <f t="shared" si="623"/>
        <v>0</v>
      </c>
      <c r="Q460" s="81">
        <f t="shared" si="623"/>
        <v>0</v>
      </c>
      <c r="R460" s="81">
        <f t="shared" si="623"/>
        <v>0</v>
      </c>
      <c r="S460" s="81">
        <f t="shared" si="623"/>
        <v>0</v>
      </c>
      <c r="T460" s="81">
        <f t="shared" si="623"/>
        <v>0</v>
      </c>
      <c r="U460" s="81">
        <f t="shared" si="623"/>
        <v>0</v>
      </c>
      <c r="V460" s="81">
        <f t="shared" si="623"/>
        <v>0</v>
      </c>
      <c r="W460" s="381">
        <f>SUM(W457:W459)</f>
        <v>0</v>
      </c>
      <c r="X460" s="82">
        <f t="shared" ref="X460:Y460" si="624">SUM(X457:X459)</f>
        <v>0</v>
      </c>
      <c r="Y460" s="82">
        <f t="shared" si="624"/>
        <v>0</v>
      </c>
      <c r="Z460" s="205">
        <f t="shared" si="622"/>
        <v>0</v>
      </c>
      <c r="AA460" s="205"/>
      <c r="AB460" s="205"/>
      <c r="AC460" s="83"/>
      <c r="AE460" s="80"/>
      <c r="AF460" s="80"/>
      <c r="AG460" s="81"/>
      <c r="AH460" s="82"/>
      <c r="AI460" s="66"/>
      <c r="AK460" s="80"/>
      <c r="AL460" s="80"/>
      <c r="AM460" s="81"/>
      <c r="AN460" s="82"/>
      <c r="AO460" s="66"/>
      <c r="AQ460" s="80"/>
      <c r="AR460" s="80"/>
      <c r="AS460" s="81"/>
      <c r="AT460" s="82">
        <f>SUM(AT457:AT459)</f>
        <v>0</v>
      </c>
      <c r="AU460" s="66">
        <f>IF(AT$460=0,0,AT460/AT$460)</f>
        <v>0</v>
      </c>
      <c r="AW460" s="80"/>
      <c r="AX460" s="80"/>
      <c r="AY460" s="81"/>
      <c r="AZ460" s="82">
        <f>SUM(AZ457:AZ459)</f>
        <v>0</v>
      </c>
      <c r="BA460" s="66">
        <f>IF(AZ$460=0,0,AZ460/AZ$460)</f>
        <v>0</v>
      </c>
    </row>
    <row r="461" spans="1:53" s="117" customFormat="1" ht="17.100000000000001" customHeight="1" x14ac:dyDescent="0.25">
      <c r="A461" s="68"/>
      <c r="B461" s="119"/>
      <c r="C461" s="540"/>
      <c r="D461" s="261"/>
      <c r="E461" s="261"/>
      <c r="F461" s="68"/>
      <c r="G461" s="68"/>
      <c r="H461" s="119"/>
      <c r="I461" s="138"/>
      <c r="J461" s="17"/>
      <c r="K461" s="17"/>
      <c r="L461" s="17"/>
      <c r="M461" s="17"/>
      <c r="N461" s="17" t="str">
        <f>IF(N460=N$443,"OK","NOK")</f>
        <v>OK</v>
      </c>
      <c r="O461" s="17" t="str">
        <f>IF(O460=O$443,"OK","NOK")</f>
        <v>OK</v>
      </c>
      <c r="P461" s="17"/>
      <c r="Q461" s="17" t="str">
        <f>IF(Q460=Q$443,"OK","NOK")</f>
        <v>OK</v>
      </c>
      <c r="R461" s="17" t="str">
        <f>IF(R460=R$443,"OK","NOK")</f>
        <v>OK</v>
      </c>
      <c r="S461" s="17"/>
      <c r="T461" s="17" t="str">
        <f>IF(T460=T$443,"OK","NOK")</f>
        <v>OK</v>
      </c>
      <c r="U461" s="17" t="str">
        <f>IF(U460=U$443,"OK","NOK")</f>
        <v>OK</v>
      </c>
      <c r="V461" s="359"/>
      <c r="W461" s="382"/>
      <c r="X461" s="539"/>
      <c r="Y461" s="539"/>
      <c r="Z461" s="201"/>
      <c r="AA461" s="201"/>
      <c r="AB461" s="201"/>
      <c r="AC461" s="84"/>
      <c r="AE461" s="46"/>
      <c r="AF461" s="46"/>
      <c r="AG461" s="17"/>
      <c r="AH461" s="539"/>
      <c r="AI461" s="91"/>
      <c r="AK461" s="46"/>
      <c r="AL461" s="46"/>
      <c r="AM461" s="17"/>
      <c r="AN461" s="539"/>
      <c r="AO461" s="91"/>
      <c r="AQ461" s="46"/>
      <c r="AR461" s="46"/>
      <c r="AS461" s="17"/>
      <c r="AT461" s="539"/>
      <c r="AU461" s="91"/>
      <c r="AW461" s="46"/>
      <c r="AX461" s="46"/>
      <c r="AY461" s="17"/>
      <c r="AZ461" s="539"/>
      <c r="BA461" s="91"/>
    </row>
    <row r="462" spans="1:53" s="117" customFormat="1" ht="17.100000000000001" customHeight="1" x14ac:dyDescent="0.25">
      <c r="A462" s="68"/>
      <c r="B462" s="119"/>
      <c r="C462" s="56" t="s">
        <v>260</v>
      </c>
      <c r="D462" s="57" t="s">
        <v>275</v>
      </c>
      <c r="E462" s="149"/>
      <c r="F462" s="149"/>
      <c r="G462" s="149"/>
      <c r="H462" s="182"/>
      <c r="I462" s="241"/>
      <c r="J462" s="152"/>
      <c r="K462" s="152"/>
      <c r="L462" s="111"/>
      <c r="M462" s="111"/>
      <c r="N462" s="111"/>
      <c r="O462" s="111"/>
      <c r="P462" s="111"/>
      <c r="Q462" s="111"/>
      <c r="R462" s="111"/>
      <c r="S462" s="111"/>
      <c r="T462" s="111"/>
      <c r="U462" s="111"/>
      <c r="V462" s="358"/>
      <c r="W462" s="380"/>
      <c r="X462" s="111"/>
      <c r="Y462" s="545"/>
      <c r="Z462" s="131"/>
      <c r="AA462" s="131"/>
      <c r="AB462" s="131"/>
      <c r="AC462" s="113"/>
      <c r="AE462" s="152"/>
      <c r="AF462" s="152"/>
      <c r="AG462" s="111"/>
      <c r="AH462" s="545"/>
      <c r="AI462" s="131"/>
      <c r="AK462" s="152"/>
      <c r="AL462" s="152"/>
      <c r="AM462" s="111"/>
      <c r="AN462" s="545"/>
      <c r="AO462" s="131"/>
      <c r="AQ462" s="152"/>
      <c r="AR462" s="152"/>
      <c r="AS462" s="111"/>
      <c r="AT462" s="545"/>
      <c r="AU462" s="131"/>
      <c r="AW462" s="152"/>
      <c r="AX462" s="152"/>
      <c r="AY462" s="111"/>
      <c r="AZ462" s="545"/>
      <c r="BA462" s="131"/>
    </row>
    <row r="463" spans="1:53" ht="17.100000000000001" customHeight="1" x14ac:dyDescent="0.25">
      <c r="A463" s="175"/>
      <c r="B463" s="40"/>
      <c r="C463" s="55"/>
      <c r="D463" s="56" t="s">
        <v>261</v>
      </c>
      <c r="E463" s="85" t="s">
        <v>173</v>
      </c>
      <c r="F463" s="225"/>
      <c r="G463" s="149"/>
      <c r="H463" s="182"/>
      <c r="I463" s="241"/>
      <c r="J463" s="111"/>
      <c r="K463" s="111"/>
      <c r="L463" s="111"/>
      <c r="M463" s="111"/>
      <c r="N463" s="60"/>
      <c r="O463" s="60"/>
      <c r="P463" s="17">
        <f>SUM(N463:O463)</f>
        <v>0</v>
      </c>
      <c r="Q463" s="60"/>
      <c r="R463" s="60"/>
      <c r="S463" s="17">
        <f>SUM(Q463:R463)</f>
        <v>0</v>
      </c>
      <c r="T463" s="60"/>
      <c r="U463" s="60"/>
      <c r="V463" s="359">
        <f>SUM(T463:U463)</f>
        <v>0</v>
      </c>
      <c r="W463" s="391">
        <f t="shared" ref="W463:W464" si="625">J463+K463+N463+Q463+T463</f>
        <v>0</v>
      </c>
      <c r="X463" s="17">
        <f t="shared" ref="X463:X464" si="626">L463+O463+R463+U463</f>
        <v>0</v>
      </c>
      <c r="Y463" s="18">
        <f>SUM(W463:X463)</f>
        <v>0</v>
      </c>
      <c r="Z463" s="19">
        <f>IF(Y$370=0,0,Y463/Y$370)</f>
        <v>0</v>
      </c>
      <c r="AA463" s="19"/>
      <c r="AB463" s="19"/>
      <c r="AC463" s="20"/>
      <c r="AE463" s="111"/>
      <c r="AF463" s="111"/>
      <c r="AG463" s="111"/>
      <c r="AH463" s="112"/>
      <c r="AI463" s="113"/>
      <c r="AK463" s="111"/>
      <c r="AL463" s="111"/>
      <c r="AM463" s="111"/>
      <c r="AN463" s="112"/>
      <c r="AO463" s="113"/>
      <c r="AQ463" s="17"/>
      <c r="AR463" s="17"/>
      <c r="AS463" s="17"/>
      <c r="AT463" s="18">
        <f t="shared" ref="AT463:AT464" si="627">W463</f>
        <v>0</v>
      </c>
      <c r="AU463" s="19">
        <f>IF(AT$469=0,0,AT463/AT$469)</f>
        <v>0</v>
      </c>
      <c r="AW463" s="17"/>
      <c r="AX463" s="17"/>
      <c r="AY463" s="17"/>
      <c r="AZ463" s="18">
        <f t="shared" ref="AZ463:AZ464" si="628">X463</f>
        <v>0</v>
      </c>
      <c r="BA463" s="19">
        <f>IF(AZ$469=0,0,AZ463/AZ$469)</f>
        <v>0</v>
      </c>
    </row>
    <row r="464" spans="1:53" ht="17.100000000000001" customHeight="1" x14ac:dyDescent="0.25">
      <c r="A464" s="175"/>
      <c r="B464" s="40"/>
      <c r="C464" s="55"/>
      <c r="D464" s="56" t="s">
        <v>262</v>
      </c>
      <c r="E464" s="85" t="s">
        <v>544</v>
      </c>
      <c r="F464" s="225"/>
      <c r="G464" s="149"/>
      <c r="H464" s="182"/>
      <c r="I464" s="241"/>
      <c r="J464" s="111"/>
      <c r="K464" s="111"/>
      <c r="L464" s="111"/>
      <c r="M464" s="111"/>
      <c r="N464" s="61"/>
      <c r="O464" s="61"/>
      <c r="P464" s="17">
        <f t="shared" ref="P464" si="629">SUM(N464:O464)</f>
        <v>0</v>
      </c>
      <c r="Q464" s="61"/>
      <c r="R464" s="61"/>
      <c r="S464" s="17">
        <f t="shared" ref="S464" si="630">SUM(Q464:R464)</f>
        <v>0</v>
      </c>
      <c r="T464" s="61"/>
      <c r="U464" s="61"/>
      <c r="V464" s="359">
        <f t="shared" ref="V464" si="631">SUM(T464:U464)</f>
        <v>0</v>
      </c>
      <c r="W464" s="391">
        <f t="shared" si="625"/>
        <v>0</v>
      </c>
      <c r="X464" s="17">
        <f t="shared" si="626"/>
        <v>0</v>
      </c>
      <c r="Y464" s="18">
        <f>SUM(W464:X464)</f>
        <v>0</v>
      </c>
      <c r="Z464" s="19">
        <f>IF(Y$370=0,0,Y464/Y$370)</f>
        <v>0</v>
      </c>
      <c r="AA464" s="19"/>
      <c r="AB464" s="19"/>
      <c r="AC464" s="20"/>
      <c r="AE464" s="111"/>
      <c r="AF464" s="111"/>
      <c r="AG464" s="111"/>
      <c r="AH464" s="112"/>
      <c r="AI464" s="113"/>
      <c r="AK464" s="111"/>
      <c r="AL464" s="111"/>
      <c r="AM464" s="111"/>
      <c r="AN464" s="112"/>
      <c r="AO464" s="113"/>
      <c r="AQ464" s="17"/>
      <c r="AR464" s="17"/>
      <c r="AS464" s="17"/>
      <c r="AT464" s="18">
        <f t="shared" si="627"/>
        <v>0</v>
      </c>
      <c r="AU464" s="19">
        <f>IF(AT$469=0,0,AT464/AT$469)</f>
        <v>0</v>
      </c>
      <c r="AW464" s="17"/>
      <c r="AX464" s="17"/>
      <c r="AY464" s="17"/>
      <c r="AZ464" s="18">
        <f t="shared" si="628"/>
        <v>0</v>
      </c>
      <c r="BA464" s="19">
        <f>IF(AZ$469=0,0,AZ464/AZ$469)</f>
        <v>0</v>
      </c>
    </row>
    <row r="465" spans="1:53" ht="17.100000000000001" customHeight="1" x14ac:dyDescent="0.25">
      <c r="A465" s="175"/>
      <c r="B465" s="40"/>
      <c r="C465" s="55"/>
      <c r="D465" s="56" t="s">
        <v>263</v>
      </c>
      <c r="E465" s="146" t="s">
        <v>484</v>
      </c>
      <c r="F465" s="225"/>
      <c r="G465" s="149"/>
      <c r="H465" s="182"/>
      <c r="I465" s="241"/>
      <c r="J465" s="111"/>
      <c r="K465" s="111"/>
      <c r="L465" s="111"/>
      <c r="M465" s="111"/>
      <c r="N465" s="60"/>
      <c r="O465" s="60"/>
      <c r="P465" s="17"/>
      <c r="Q465" s="60"/>
      <c r="R465" s="60"/>
      <c r="S465" s="17"/>
      <c r="T465" s="60"/>
      <c r="U465" s="60"/>
      <c r="V465" s="359"/>
      <c r="W465" s="391">
        <f>MIN(N465,Q465,T465)</f>
        <v>0</v>
      </c>
      <c r="X465" s="17">
        <f>MIN(O465,R465,U465)</f>
        <v>0</v>
      </c>
      <c r="Y465" s="18"/>
      <c r="Z465" s="19"/>
      <c r="AA465" s="17">
        <f>MIN(N465:U465)</f>
        <v>0</v>
      </c>
      <c r="AB465" s="17"/>
      <c r="AC465" s="17"/>
      <c r="AE465" s="111"/>
      <c r="AF465" s="111"/>
      <c r="AG465" s="111"/>
      <c r="AH465" s="545"/>
      <c r="AI465" s="131"/>
      <c r="AK465" s="111"/>
      <c r="AL465" s="111"/>
      <c r="AM465" s="111"/>
      <c r="AN465" s="545"/>
      <c r="AO465" s="131"/>
      <c r="AQ465" s="17">
        <f>W465</f>
        <v>0</v>
      </c>
      <c r="AR465" s="17"/>
      <c r="AS465" s="17"/>
      <c r="AT465" s="18"/>
      <c r="AU465" s="19"/>
      <c r="AW465" s="17">
        <f>X465</f>
        <v>0</v>
      </c>
      <c r="AX465" s="17"/>
      <c r="AY465" s="17"/>
      <c r="AZ465" s="18"/>
      <c r="BA465" s="19"/>
    </row>
    <row r="466" spans="1:53" ht="17.100000000000001" customHeight="1" x14ac:dyDescent="0.25">
      <c r="A466" s="175"/>
      <c r="B466" s="40"/>
      <c r="C466" s="55"/>
      <c r="D466" s="56" t="s">
        <v>264</v>
      </c>
      <c r="E466" s="146" t="s">
        <v>485</v>
      </c>
      <c r="F466" s="225"/>
      <c r="G466" s="149"/>
      <c r="H466" s="182"/>
      <c r="I466" s="241"/>
      <c r="J466" s="111"/>
      <c r="K466" s="111"/>
      <c r="L466" s="111"/>
      <c r="M466" s="111"/>
      <c r="N466" s="61"/>
      <c r="O466" s="61"/>
      <c r="P466" s="17"/>
      <c r="Q466" s="61"/>
      <c r="R466" s="61"/>
      <c r="S466" s="17"/>
      <c r="T466" s="61"/>
      <c r="U466" s="61"/>
      <c r="V466" s="359"/>
      <c r="W466" s="391">
        <f>MAX(N466,Q466,T466)</f>
        <v>0</v>
      </c>
      <c r="X466" s="17">
        <f>MAX(O466,R466,U466)</f>
        <v>0</v>
      </c>
      <c r="Y466" s="18"/>
      <c r="Z466" s="19"/>
      <c r="AA466" s="17"/>
      <c r="AB466" s="17">
        <f>MAX(N466:U466)</f>
        <v>0</v>
      </c>
      <c r="AC466" s="17"/>
      <c r="AE466" s="111"/>
      <c r="AF466" s="111"/>
      <c r="AG466" s="111"/>
      <c r="AH466" s="545"/>
      <c r="AI466" s="131"/>
      <c r="AK466" s="111"/>
      <c r="AL466" s="111"/>
      <c r="AM466" s="111"/>
      <c r="AN466" s="545"/>
      <c r="AO466" s="131"/>
      <c r="AQ466" s="17"/>
      <c r="AR466" s="17">
        <f>W466</f>
        <v>0</v>
      </c>
      <c r="AS466" s="17"/>
      <c r="AT466" s="18"/>
      <c r="AU466" s="19"/>
      <c r="AW466" s="17"/>
      <c r="AX466" s="17">
        <f>X466</f>
        <v>0</v>
      </c>
      <c r="AY466" s="17"/>
      <c r="AZ466" s="18"/>
      <c r="BA466" s="19"/>
    </row>
    <row r="467" spans="1:53" ht="17.100000000000001" customHeight="1" x14ac:dyDescent="0.25">
      <c r="A467" s="175"/>
      <c r="B467" s="40"/>
      <c r="C467" s="55"/>
      <c r="D467" s="56" t="s">
        <v>265</v>
      </c>
      <c r="E467" s="146" t="s">
        <v>543</v>
      </c>
      <c r="F467" s="225"/>
      <c r="G467" s="149"/>
      <c r="H467" s="182"/>
      <c r="I467" s="241"/>
      <c r="J467" s="111"/>
      <c r="K467" s="111"/>
      <c r="L467" s="111"/>
      <c r="M467" s="111"/>
      <c r="N467" s="60"/>
      <c r="O467" s="60"/>
      <c r="P467" s="17"/>
      <c r="Q467" s="60"/>
      <c r="R467" s="60"/>
      <c r="S467" s="17"/>
      <c r="T467" s="60"/>
      <c r="U467" s="60"/>
      <c r="V467" s="359"/>
      <c r="W467" s="391">
        <f>IF(N467+Q467+T467=0,0,AVERAGE(N467,Q467,T467))</f>
        <v>0</v>
      </c>
      <c r="X467" s="17">
        <f>IF(O467+R467+U467=0,0,AVERAGE(O467,R467,U467))</f>
        <v>0</v>
      </c>
      <c r="Y467" s="18"/>
      <c r="Z467" s="19"/>
      <c r="AA467" s="17"/>
      <c r="AB467" s="17"/>
      <c r="AC467" s="17">
        <f>IF(SUM(N467:U467)=0,0,AVERAGE(N467:U467))</f>
        <v>0</v>
      </c>
      <c r="AE467" s="111"/>
      <c r="AF467" s="111"/>
      <c r="AG467" s="111"/>
      <c r="AH467" s="545"/>
      <c r="AI467" s="131"/>
      <c r="AK467" s="111"/>
      <c r="AL467" s="111"/>
      <c r="AM467" s="111"/>
      <c r="AN467" s="545"/>
      <c r="AO467" s="131"/>
      <c r="AQ467" s="17"/>
      <c r="AR467" s="17"/>
      <c r="AS467" s="17">
        <f>W467</f>
        <v>0</v>
      </c>
      <c r="AT467" s="18"/>
      <c r="AU467" s="19"/>
      <c r="AW467" s="17"/>
      <c r="AX467" s="17"/>
      <c r="AY467" s="17">
        <f>X467</f>
        <v>0</v>
      </c>
      <c r="AZ467" s="18"/>
      <c r="BA467" s="19"/>
    </row>
    <row r="468" spans="1:53" ht="17.100000000000001" customHeight="1" x14ac:dyDescent="0.25">
      <c r="A468" s="175"/>
      <c r="B468" s="40"/>
      <c r="C468" s="55"/>
      <c r="D468" s="56" t="s">
        <v>266</v>
      </c>
      <c r="E468" s="596" t="s">
        <v>598</v>
      </c>
      <c r="F468" s="225"/>
      <c r="G468" s="149"/>
      <c r="H468" s="182"/>
      <c r="I468" s="241"/>
      <c r="J468" s="111"/>
      <c r="K468" s="111"/>
      <c r="L468" s="111"/>
      <c r="M468" s="111"/>
      <c r="N468" s="61"/>
      <c r="O468" s="61"/>
      <c r="P468" s="17">
        <f t="shared" ref="P468" si="632">SUM(N468:O468)</f>
        <v>0</v>
      </c>
      <c r="Q468" s="61"/>
      <c r="R468" s="61"/>
      <c r="S468" s="17">
        <f t="shared" ref="S468" si="633">SUM(Q468:R468)</f>
        <v>0</v>
      </c>
      <c r="T468" s="61"/>
      <c r="U468" s="61"/>
      <c r="V468" s="359">
        <f t="shared" ref="V468" si="634">SUM(T468:U468)</f>
        <v>0</v>
      </c>
      <c r="W468" s="391">
        <f t="shared" ref="W468" si="635">J468+K468+N468+Q468+T468</f>
        <v>0</v>
      </c>
      <c r="X468" s="17">
        <f t="shared" ref="X468" si="636">L468+O468+R468+U468</f>
        <v>0</v>
      </c>
      <c r="Y468" s="18">
        <f>SUM(W468:X468)</f>
        <v>0</v>
      </c>
      <c r="Z468" s="19">
        <f>IF(Y$370=0,0,Y468/Y$370)</f>
        <v>0</v>
      </c>
      <c r="AA468" s="19"/>
      <c r="AB468" s="19"/>
      <c r="AC468" s="20"/>
      <c r="AE468" s="111"/>
      <c r="AF468" s="111"/>
      <c r="AG468" s="111"/>
      <c r="AH468" s="112"/>
      <c r="AI468" s="113"/>
      <c r="AK468" s="111"/>
      <c r="AL468" s="111"/>
      <c r="AM468" s="111"/>
      <c r="AN468" s="112"/>
      <c r="AO468" s="113"/>
      <c r="AQ468" s="17"/>
      <c r="AR468" s="17"/>
      <c r="AS468" s="17"/>
      <c r="AT468" s="18">
        <f t="shared" ref="AT468" si="637">W468</f>
        <v>0</v>
      </c>
      <c r="AU468" s="19">
        <f t="shared" ref="AU468:AU469" si="638">IF(AT$469=0,0,AT468/AT$469)</f>
        <v>0</v>
      </c>
      <c r="AW468" s="17"/>
      <c r="AX468" s="17"/>
      <c r="AY468" s="17"/>
      <c r="AZ468" s="18">
        <f t="shared" ref="AZ468" si="639">X468</f>
        <v>0</v>
      </c>
      <c r="BA468" s="19">
        <f t="shared" ref="BA468:BA469" si="640">IF(AZ$469=0,0,AZ468/AZ$469)</f>
        <v>0</v>
      </c>
    </row>
    <row r="469" spans="1:53" s="117" customFormat="1" ht="17.100000000000001" customHeight="1" x14ac:dyDescent="0.25">
      <c r="A469" s="68"/>
      <c r="B469" s="119"/>
      <c r="C469" s="77"/>
      <c r="D469" s="134"/>
      <c r="E469" s="134"/>
      <c r="F469" s="134"/>
      <c r="G469" s="134"/>
      <c r="H469" s="540"/>
      <c r="I469" s="229"/>
      <c r="J469" s="80"/>
      <c r="K469" s="80"/>
      <c r="L469" s="81"/>
      <c r="M469" s="81"/>
      <c r="N469" s="81">
        <f>N463+N464+N468</f>
        <v>0</v>
      </c>
      <c r="O469" s="81">
        <f t="shared" ref="O469:V469" si="641">O463+O464+O468</f>
        <v>0</v>
      </c>
      <c r="P469" s="81">
        <f t="shared" si="641"/>
        <v>0</v>
      </c>
      <c r="Q469" s="81">
        <f t="shared" si="641"/>
        <v>0</v>
      </c>
      <c r="R469" s="81">
        <f t="shared" si="641"/>
        <v>0</v>
      </c>
      <c r="S469" s="81">
        <f t="shared" si="641"/>
        <v>0</v>
      </c>
      <c r="T469" s="81">
        <f t="shared" si="641"/>
        <v>0</v>
      </c>
      <c r="U469" s="81">
        <f t="shared" si="641"/>
        <v>0</v>
      </c>
      <c r="V469" s="81">
        <f t="shared" si="641"/>
        <v>0</v>
      </c>
      <c r="W469" s="381">
        <f>W463+W464+W468</f>
        <v>0</v>
      </c>
      <c r="X469" s="82">
        <f t="shared" ref="X469" si="642">X463+X464+X468</f>
        <v>0</v>
      </c>
      <c r="Y469" s="338">
        <f t="shared" ref="Y469" si="643">Y463+Y464+Y468</f>
        <v>0</v>
      </c>
      <c r="Z469" s="205">
        <f>IF(Y$430=0,0,Y469/Y$430)</f>
        <v>0</v>
      </c>
      <c r="AA469" s="205"/>
      <c r="AB469" s="205"/>
      <c r="AC469" s="83"/>
      <c r="AE469" s="80"/>
      <c r="AF469" s="80"/>
      <c r="AG469" s="81"/>
      <c r="AH469" s="82"/>
      <c r="AI469" s="66"/>
      <c r="AK469" s="80"/>
      <c r="AL469" s="80"/>
      <c r="AM469" s="81"/>
      <c r="AN469" s="82"/>
      <c r="AO469" s="66"/>
      <c r="AQ469" s="80"/>
      <c r="AR469" s="80"/>
      <c r="AS469" s="81"/>
      <c r="AT469" s="82">
        <f>SUM(AT463:AT468)</f>
        <v>0</v>
      </c>
      <c r="AU469" s="66">
        <f t="shared" si="638"/>
        <v>0</v>
      </c>
      <c r="AW469" s="80"/>
      <c r="AX469" s="80"/>
      <c r="AY469" s="81"/>
      <c r="AZ469" s="82">
        <f>SUM(AZ463:AZ468)</f>
        <v>0</v>
      </c>
      <c r="BA469" s="66">
        <f t="shared" si="640"/>
        <v>0</v>
      </c>
    </row>
    <row r="470" spans="1:53" s="117" customFormat="1" ht="17.100000000000001" customHeight="1" x14ac:dyDescent="0.25">
      <c r="A470" s="68"/>
      <c r="B470" s="119"/>
      <c r="C470" s="540"/>
      <c r="D470" s="261"/>
      <c r="E470" s="261"/>
      <c r="F470" s="68"/>
      <c r="G470" s="68"/>
      <c r="H470" s="119"/>
      <c r="I470" s="138"/>
      <c r="J470" s="17"/>
      <c r="K470" s="17"/>
      <c r="L470" s="17"/>
      <c r="M470" s="17"/>
      <c r="N470" s="17" t="str">
        <f>IF(N469=N$443,"OK","NOK")</f>
        <v>OK</v>
      </c>
      <c r="O470" s="17" t="str">
        <f>IF(O469=O$443,"OK","NOK")</f>
        <v>OK</v>
      </c>
      <c r="P470" s="17"/>
      <c r="Q470" s="17" t="str">
        <f>IF(Q469=Q$443,"OK","NOK")</f>
        <v>OK</v>
      </c>
      <c r="R470" s="17" t="str">
        <f>IF(R469=R$443,"OK","NOK")</f>
        <v>OK</v>
      </c>
      <c r="S470" s="17"/>
      <c r="T470" s="17" t="str">
        <f>IF(T469=T$443,"OK","NOK")</f>
        <v>OK</v>
      </c>
      <c r="U470" s="17" t="str">
        <f>IF(U469=U$443,"OK","NOK")</f>
        <v>OK</v>
      </c>
      <c r="V470" s="359"/>
      <c r="W470" s="382"/>
      <c r="X470" s="539"/>
      <c r="Y470" s="539"/>
      <c r="Z470" s="201"/>
      <c r="AA470" s="201"/>
      <c r="AB470" s="201"/>
      <c r="AC470" s="84"/>
      <c r="AE470" s="46"/>
      <c r="AF470" s="46"/>
      <c r="AG470" s="17"/>
      <c r="AH470" s="539"/>
      <c r="AI470" s="91"/>
      <c r="AK470" s="46"/>
      <c r="AL470" s="46"/>
      <c r="AM470" s="17"/>
      <c r="AN470" s="539"/>
      <c r="AO470" s="91"/>
      <c r="AQ470" s="46"/>
      <c r="AR470" s="46"/>
      <c r="AS470" s="17"/>
      <c r="AT470" s="539"/>
      <c r="AU470" s="91"/>
      <c r="AW470" s="46"/>
      <c r="AX470" s="46"/>
      <c r="AY470" s="17"/>
      <c r="AZ470" s="539"/>
      <c r="BA470" s="91"/>
    </row>
    <row r="471" spans="1:53" s="117" customFormat="1" ht="17.100000000000001" customHeight="1" x14ac:dyDescent="0.25">
      <c r="A471" s="68"/>
      <c r="B471" s="119"/>
      <c r="C471" s="56" t="s">
        <v>267</v>
      </c>
      <c r="D471" s="57" t="s">
        <v>276</v>
      </c>
      <c r="E471" s="149"/>
      <c r="F471" s="149"/>
      <c r="G471" s="149"/>
      <c r="H471" s="182"/>
      <c r="I471" s="241"/>
      <c r="J471" s="152"/>
      <c r="K471" s="152"/>
      <c r="L471" s="111"/>
      <c r="M471" s="111"/>
      <c r="N471" s="111"/>
      <c r="O471" s="111"/>
      <c r="P471" s="111"/>
      <c r="Q471" s="111"/>
      <c r="R471" s="111"/>
      <c r="S471" s="111"/>
      <c r="T471" s="111"/>
      <c r="U471" s="111"/>
      <c r="V471" s="358"/>
      <c r="W471" s="380"/>
      <c r="X471" s="111"/>
      <c r="Y471" s="545"/>
      <c r="Z471" s="131"/>
      <c r="AA471" s="131"/>
      <c r="AB471" s="131"/>
      <c r="AC471" s="113"/>
      <c r="AE471" s="152"/>
      <c r="AF471" s="152"/>
      <c r="AG471" s="111"/>
      <c r="AH471" s="545"/>
      <c r="AI471" s="131"/>
      <c r="AK471" s="152"/>
      <c r="AL471" s="152"/>
      <c r="AM471" s="111"/>
      <c r="AN471" s="545"/>
      <c r="AO471" s="131"/>
      <c r="AQ471" s="152"/>
      <c r="AR471" s="152"/>
      <c r="AS471" s="111"/>
      <c r="AT471" s="545"/>
      <c r="AU471" s="131"/>
      <c r="AW471" s="152"/>
      <c r="AX471" s="152"/>
      <c r="AY471" s="111"/>
      <c r="AZ471" s="545"/>
      <c r="BA471" s="131"/>
    </row>
    <row r="472" spans="1:53" s="117" customFormat="1" ht="17.100000000000001" customHeight="1" x14ac:dyDescent="0.25">
      <c r="A472" s="68"/>
      <c r="B472" s="119"/>
      <c r="C472" s="55"/>
      <c r="D472" s="56" t="s">
        <v>268</v>
      </c>
      <c r="E472" s="85" t="s">
        <v>478</v>
      </c>
      <c r="F472" s="149"/>
      <c r="G472" s="149"/>
      <c r="H472" s="182"/>
      <c r="I472" s="241"/>
      <c r="J472" s="111"/>
      <c r="K472" s="111"/>
      <c r="L472" s="111"/>
      <c r="M472" s="111"/>
      <c r="N472" s="60"/>
      <c r="O472" s="60"/>
      <c r="P472" s="17">
        <f t="shared" ref="P472:P479" si="644">SUM(N472:O472)</f>
        <v>0</v>
      </c>
      <c r="Q472" s="60"/>
      <c r="R472" s="60"/>
      <c r="S472" s="17">
        <f t="shared" ref="S472:S479" si="645">SUM(Q472:R472)</f>
        <v>0</v>
      </c>
      <c r="T472" s="60"/>
      <c r="U472" s="60"/>
      <c r="V472" s="359">
        <f t="shared" ref="V472:V479" si="646">SUM(T472:U472)</f>
        <v>0</v>
      </c>
      <c r="W472" s="391">
        <f t="shared" ref="W472:W479" si="647">J472+K472+N472+Q472+T472</f>
        <v>0</v>
      </c>
      <c r="X472" s="17">
        <f t="shared" ref="X472:X479" si="648">L472+O472+R472+U472</f>
        <v>0</v>
      </c>
      <c r="Y472" s="18">
        <f t="shared" ref="Y472:Y479" si="649">SUM(W472:X472)</f>
        <v>0</v>
      </c>
      <c r="Z472" s="19">
        <f>IF(Y$480=0,0,Y472/Y$480)</f>
        <v>0</v>
      </c>
      <c r="AA472" s="19"/>
      <c r="AB472" s="19"/>
      <c r="AC472" s="84"/>
      <c r="AE472" s="111"/>
      <c r="AF472" s="111"/>
      <c r="AG472" s="111"/>
      <c r="AH472" s="112"/>
      <c r="AI472" s="113"/>
      <c r="AK472" s="111"/>
      <c r="AL472" s="111"/>
      <c r="AM472" s="111"/>
      <c r="AN472" s="112"/>
      <c r="AO472" s="113"/>
      <c r="AQ472" s="17"/>
      <c r="AR472" s="17"/>
      <c r="AS472" s="17"/>
      <c r="AT472" s="18">
        <f t="shared" ref="AT472:AT479" si="650">W472</f>
        <v>0</v>
      </c>
      <c r="AU472" s="19">
        <f>IF(AT$480=0,0,AT472/AT$480)</f>
        <v>0</v>
      </c>
      <c r="AW472" s="17"/>
      <c r="AX472" s="17"/>
      <c r="AY472" s="17"/>
      <c r="AZ472" s="18">
        <f t="shared" ref="AZ472:AZ479" si="651">X472</f>
        <v>0</v>
      </c>
      <c r="BA472" s="19">
        <f>IF(AZ$480=0,0,AZ472/AZ$480)</f>
        <v>0</v>
      </c>
    </row>
    <row r="473" spans="1:53" s="117" customFormat="1" ht="17.100000000000001" customHeight="1" x14ac:dyDescent="0.25">
      <c r="A473" s="68"/>
      <c r="B473" s="119"/>
      <c r="C473" s="55"/>
      <c r="D473" s="56" t="s">
        <v>269</v>
      </c>
      <c r="E473" s="85" t="s">
        <v>165</v>
      </c>
      <c r="F473" s="149"/>
      <c r="G473" s="149"/>
      <c r="H473" s="182"/>
      <c r="I473" s="241"/>
      <c r="J473" s="111"/>
      <c r="K473" s="111"/>
      <c r="L473" s="111"/>
      <c r="M473" s="111"/>
      <c r="N473" s="61"/>
      <c r="O473" s="61"/>
      <c r="P473" s="17">
        <f t="shared" si="644"/>
        <v>0</v>
      </c>
      <c r="Q473" s="61"/>
      <c r="R473" s="61"/>
      <c r="S473" s="17">
        <f t="shared" si="645"/>
        <v>0</v>
      </c>
      <c r="T473" s="61"/>
      <c r="U473" s="61"/>
      <c r="V473" s="359">
        <f t="shared" si="646"/>
        <v>0</v>
      </c>
      <c r="W473" s="391">
        <f t="shared" si="647"/>
        <v>0</v>
      </c>
      <c r="X473" s="17">
        <f t="shared" si="648"/>
        <v>0</v>
      </c>
      <c r="Y473" s="18">
        <f t="shared" si="649"/>
        <v>0</v>
      </c>
      <c r="Z473" s="19">
        <f t="shared" ref="Z473:Z479" si="652">IF(Y$480=0,0,Y473/Y$480)</f>
        <v>0</v>
      </c>
      <c r="AA473" s="19"/>
      <c r="AB473" s="19"/>
      <c r="AC473" s="84"/>
      <c r="AE473" s="111"/>
      <c r="AF473" s="111"/>
      <c r="AG473" s="111"/>
      <c r="AH473" s="112"/>
      <c r="AI473" s="113"/>
      <c r="AK473" s="111"/>
      <c r="AL473" s="111"/>
      <c r="AM473" s="111"/>
      <c r="AN473" s="112"/>
      <c r="AO473" s="113"/>
      <c r="AQ473" s="17"/>
      <c r="AR473" s="17"/>
      <c r="AS473" s="17"/>
      <c r="AT473" s="18">
        <f t="shared" si="650"/>
        <v>0</v>
      </c>
      <c r="AU473" s="19">
        <f t="shared" ref="AU473:AU480" si="653">IF(AT$480=0,0,AT473/AT$480)</f>
        <v>0</v>
      </c>
      <c r="AW473" s="17"/>
      <c r="AX473" s="17"/>
      <c r="AY473" s="17"/>
      <c r="AZ473" s="18">
        <f t="shared" si="651"/>
        <v>0</v>
      </c>
      <c r="BA473" s="19">
        <f t="shared" ref="BA473:BA480" si="654">IF(AZ$480=0,0,AZ473/AZ$480)</f>
        <v>0</v>
      </c>
    </row>
    <row r="474" spans="1:53" s="117" customFormat="1" ht="17.100000000000001" customHeight="1" x14ac:dyDescent="0.25">
      <c r="A474" s="68"/>
      <c r="B474" s="119"/>
      <c r="C474" s="55"/>
      <c r="D474" s="56" t="s">
        <v>270</v>
      </c>
      <c r="E474" s="85" t="s">
        <v>167</v>
      </c>
      <c r="F474" s="149"/>
      <c r="G474" s="149"/>
      <c r="H474" s="182"/>
      <c r="I474" s="241"/>
      <c r="J474" s="111"/>
      <c r="K474" s="111"/>
      <c r="L474" s="111"/>
      <c r="M474" s="111"/>
      <c r="N474" s="60"/>
      <c r="O474" s="60"/>
      <c r="P474" s="17">
        <f t="shared" si="644"/>
        <v>0</v>
      </c>
      <c r="Q474" s="60"/>
      <c r="R474" s="60"/>
      <c r="S474" s="17">
        <f t="shared" si="645"/>
        <v>0</v>
      </c>
      <c r="T474" s="60"/>
      <c r="U474" s="60"/>
      <c r="V474" s="359">
        <f t="shared" si="646"/>
        <v>0</v>
      </c>
      <c r="W474" s="391">
        <f t="shared" si="647"/>
        <v>0</v>
      </c>
      <c r="X474" s="17">
        <f t="shared" si="648"/>
        <v>0</v>
      </c>
      <c r="Y474" s="18">
        <f t="shared" si="649"/>
        <v>0</v>
      </c>
      <c r="Z474" s="19">
        <f t="shared" si="652"/>
        <v>0</v>
      </c>
      <c r="AA474" s="19"/>
      <c r="AB474" s="19"/>
      <c r="AC474" s="84"/>
      <c r="AE474" s="111"/>
      <c r="AF474" s="111"/>
      <c r="AG474" s="111"/>
      <c r="AH474" s="112"/>
      <c r="AI474" s="113"/>
      <c r="AK474" s="111"/>
      <c r="AL474" s="111"/>
      <c r="AM474" s="111"/>
      <c r="AN474" s="112"/>
      <c r="AO474" s="113"/>
      <c r="AQ474" s="17"/>
      <c r="AR474" s="17"/>
      <c r="AS474" s="17"/>
      <c r="AT474" s="18">
        <f t="shared" si="650"/>
        <v>0</v>
      </c>
      <c r="AU474" s="19">
        <f t="shared" si="653"/>
        <v>0</v>
      </c>
      <c r="AW474" s="17"/>
      <c r="AX474" s="17"/>
      <c r="AY474" s="17"/>
      <c r="AZ474" s="18">
        <f t="shared" si="651"/>
        <v>0</v>
      </c>
      <c r="BA474" s="19">
        <f t="shared" si="654"/>
        <v>0</v>
      </c>
    </row>
    <row r="475" spans="1:53" s="117" customFormat="1" ht="17.100000000000001" customHeight="1" x14ac:dyDescent="0.25">
      <c r="A475" s="68"/>
      <c r="B475" s="119"/>
      <c r="C475" s="55"/>
      <c r="D475" s="56" t="s">
        <v>271</v>
      </c>
      <c r="E475" s="85" t="s">
        <v>437</v>
      </c>
      <c r="F475" s="149"/>
      <c r="G475" s="149"/>
      <c r="H475" s="182"/>
      <c r="I475" s="241"/>
      <c r="J475" s="111"/>
      <c r="K475" s="111"/>
      <c r="L475" s="111"/>
      <c r="M475" s="111"/>
      <c r="N475" s="61"/>
      <c r="O475" s="61"/>
      <c r="P475" s="17">
        <f t="shared" si="644"/>
        <v>0</v>
      </c>
      <c r="Q475" s="61"/>
      <c r="R475" s="61"/>
      <c r="S475" s="17">
        <f t="shared" si="645"/>
        <v>0</v>
      </c>
      <c r="T475" s="61"/>
      <c r="U475" s="61"/>
      <c r="V475" s="359">
        <f t="shared" si="646"/>
        <v>0</v>
      </c>
      <c r="W475" s="391">
        <f t="shared" si="647"/>
        <v>0</v>
      </c>
      <c r="X475" s="17">
        <f t="shared" si="648"/>
        <v>0</v>
      </c>
      <c r="Y475" s="18">
        <f t="shared" si="649"/>
        <v>0</v>
      </c>
      <c r="Z475" s="19">
        <f t="shared" si="652"/>
        <v>0</v>
      </c>
      <c r="AA475" s="19"/>
      <c r="AB475" s="19"/>
      <c r="AC475" s="84"/>
      <c r="AE475" s="111"/>
      <c r="AF475" s="111"/>
      <c r="AG475" s="111"/>
      <c r="AH475" s="112"/>
      <c r="AI475" s="113"/>
      <c r="AK475" s="111"/>
      <c r="AL475" s="111"/>
      <c r="AM475" s="111"/>
      <c r="AN475" s="112"/>
      <c r="AO475" s="113"/>
      <c r="AQ475" s="17"/>
      <c r="AR475" s="17"/>
      <c r="AS475" s="17"/>
      <c r="AT475" s="18">
        <f t="shared" si="650"/>
        <v>0</v>
      </c>
      <c r="AU475" s="19">
        <f t="shared" si="653"/>
        <v>0</v>
      </c>
      <c r="AW475" s="17"/>
      <c r="AX475" s="17"/>
      <c r="AY475" s="17"/>
      <c r="AZ475" s="18">
        <f t="shared" si="651"/>
        <v>0</v>
      </c>
      <c r="BA475" s="19">
        <f t="shared" si="654"/>
        <v>0</v>
      </c>
    </row>
    <row r="476" spans="1:53" s="117" customFormat="1" ht="17.100000000000001" customHeight="1" x14ac:dyDescent="0.25">
      <c r="A476" s="68"/>
      <c r="B476" s="119"/>
      <c r="C476" s="55"/>
      <c r="D476" s="56" t="s">
        <v>272</v>
      </c>
      <c r="E476" s="85" t="s">
        <v>438</v>
      </c>
      <c r="F476" s="149"/>
      <c r="G476" s="149"/>
      <c r="H476" s="182"/>
      <c r="I476" s="241"/>
      <c r="J476" s="111"/>
      <c r="K476" s="111"/>
      <c r="L476" s="111"/>
      <c r="M476" s="111"/>
      <c r="N476" s="60"/>
      <c r="O476" s="60"/>
      <c r="P476" s="17">
        <f t="shared" si="644"/>
        <v>0</v>
      </c>
      <c r="Q476" s="60"/>
      <c r="R476" s="60"/>
      <c r="S476" s="17">
        <f t="shared" si="645"/>
        <v>0</v>
      </c>
      <c r="T476" s="60"/>
      <c r="U476" s="60"/>
      <c r="V476" s="359">
        <f t="shared" si="646"/>
        <v>0</v>
      </c>
      <c r="W476" s="391">
        <f t="shared" si="647"/>
        <v>0</v>
      </c>
      <c r="X476" s="17">
        <f t="shared" si="648"/>
        <v>0</v>
      </c>
      <c r="Y476" s="18">
        <f t="shared" si="649"/>
        <v>0</v>
      </c>
      <c r="Z476" s="19">
        <f t="shared" si="652"/>
        <v>0</v>
      </c>
      <c r="AA476" s="19"/>
      <c r="AB476" s="19"/>
      <c r="AC476" s="84"/>
      <c r="AE476" s="111"/>
      <c r="AF476" s="111"/>
      <c r="AG476" s="111"/>
      <c r="AH476" s="112"/>
      <c r="AI476" s="113"/>
      <c r="AK476" s="111"/>
      <c r="AL476" s="111"/>
      <c r="AM476" s="111"/>
      <c r="AN476" s="112"/>
      <c r="AO476" s="113"/>
      <c r="AQ476" s="17"/>
      <c r="AR476" s="17"/>
      <c r="AS476" s="17"/>
      <c r="AT476" s="18">
        <f t="shared" si="650"/>
        <v>0</v>
      </c>
      <c r="AU476" s="19">
        <f t="shared" si="653"/>
        <v>0</v>
      </c>
      <c r="AW476" s="17"/>
      <c r="AX476" s="17"/>
      <c r="AY476" s="17"/>
      <c r="AZ476" s="18">
        <f t="shared" si="651"/>
        <v>0</v>
      </c>
      <c r="BA476" s="19">
        <f t="shared" si="654"/>
        <v>0</v>
      </c>
    </row>
    <row r="477" spans="1:53" s="117" customFormat="1" ht="17.100000000000001" customHeight="1" x14ac:dyDescent="0.25">
      <c r="A477" s="68"/>
      <c r="B477" s="119"/>
      <c r="C477" s="55"/>
      <c r="D477" s="56" t="s">
        <v>273</v>
      </c>
      <c r="E477" s="85" t="s">
        <v>439</v>
      </c>
      <c r="F477" s="595"/>
      <c r="G477" s="595"/>
      <c r="H477" s="17"/>
      <c r="I477" s="594"/>
      <c r="J477" s="111"/>
      <c r="K477" s="111"/>
      <c r="L477" s="111"/>
      <c r="M477" s="111"/>
      <c r="N477" s="61"/>
      <c r="O477" s="61"/>
      <c r="P477" s="17">
        <f t="shared" si="644"/>
        <v>0</v>
      </c>
      <c r="Q477" s="61"/>
      <c r="R477" s="61"/>
      <c r="S477" s="17">
        <f t="shared" si="645"/>
        <v>0</v>
      </c>
      <c r="T477" s="61"/>
      <c r="U477" s="61"/>
      <c r="V477" s="359">
        <f t="shared" si="646"/>
        <v>0</v>
      </c>
      <c r="W477" s="391">
        <f t="shared" si="647"/>
        <v>0</v>
      </c>
      <c r="X477" s="17">
        <f t="shared" si="648"/>
        <v>0</v>
      </c>
      <c r="Y477" s="18">
        <f t="shared" si="649"/>
        <v>0</v>
      </c>
      <c r="Z477" s="19">
        <f t="shared" si="652"/>
        <v>0</v>
      </c>
      <c r="AA477" s="19"/>
      <c r="AB477" s="19"/>
      <c r="AC477" s="84"/>
      <c r="AE477" s="111"/>
      <c r="AF477" s="111"/>
      <c r="AG477" s="111"/>
      <c r="AH477" s="112"/>
      <c r="AI477" s="113"/>
      <c r="AK477" s="111"/>
      <c r="AL477" s="111"/>
      <c r="AM477" s="111"/>
      <c r="AN477" s="112"/>
      <c r="AO477" s="113"/>
      <c r="AQ477" s="17"/>
      <c r="AR477" s="17"/>
      <c r="AS477" s="17"/>
      <c r="AT477" s="18">
        <f t="shared" si="650"/>
        <v>0</v>
      </c>
      <c r="AU477" s="19">
        <f t="shared" si="653"/>
        <v>0</v>
      </c>
      <c r="AW477" s="17"/>
      <c r="AX477" s="17"/>
      <c r="AY477" s="17"/>
      <c r="AZ477" s="18">
        <f t="shared" si="651"/>
        <v>0</v>
      </c>
      <c r="BA477" s="19">
        <f t="shared" si="654"/>
        <v>0</v>
      </c>
    </row>
    <row r="478" spans="1:53" s="117" customFormat="1" ht="17.100000000000001" customHeight="1" x14ac:dyDescent="0.25">
      <c r="A478" s="68"/>
      <c r="B478" s="119"/>
      <c r="C478" s="55"/>
      <c r="D478" s="56" t="s">
        <v>274</v>
      </c>
      <c r="E478" s="85" t="s">
        <v>483</v>
      </c>
      <c r="F478" s="595"/>
      <c r="G478" s="595"/>
      <c r="H478" s="17"/>
      <c r="I478" s="594"/>
      <c r="J478" s="111"/>
      <c r="K478" s="111"/>
      <c r="L478" s="111"/>
      <c r="M478" s="111"/>
      <c r="N478" s="60"/>
      <c r="O478" s="60"/>
      <c r="P478" s="17">
        <f t="shared" si="644"/>
        <v>0</v>
      </c>
      <c r="Q478" s="60"/>
      <c r="R478" s="60"/>
      <c r="S478" s="17">
        <f t="shared" si="645"/>
        <v>0</v>
      </c>
      <c r="T478" s="60"/>
      <c r="U478" s="60"/>
      <c r="V478" s="359">
        <f t="shared" si="646"/>
        <v>0</v>
      </c>
      <c r="W478" s="391">
        <f t="shared" si="647"/>
        <v>0</v>
      </c>
      <c r="X478" s="17">
        <f t="shared" si="648"/>
        <v>0</v>
      </c>
      <c r="Y478" s="18">
        <f t="shared" si="649"/>
        <v>0</v>
      </c>
      <c r="Z478" s="19">
        <f t="shared" si="652"/>
        <v>0</v>
      </c>
      <c r="AA478" s="19"/>
      <c r="AB478" s="19"/>
      <c r="AC478" s="84"/>
      <c r="AE478" s="111"/>
      <c r="AF478" s="111"/>
      <c r="AG478" s="111"/>
      <c r="AH478" s="112"/>
      <c r="AI478" s="113"/>
      <c r="AK478" s="111"/>
      <c r="AL478" s="111"/>
      <c r="AM478" s="111"/>
      <c r="AN478" s="112"/>
      <c r="AO478" s="113"/>
      <c r="AQ478" s="17"/>
      <c r="AR478" s="17"/>
      <c r="AS478" s="17"/>
      <c r="AT478" s="18">
        <f t="shared" si="650"/>
        <v>0</v>
      </c>
      <c r="AU478" s="19">
        <f t="shared" si="653"/>
        <v>0</v>
      </c>
      <c r="AW478" s="17"/>
      <c r="AX478" s="17"/>
      <c r="AY478" s="17"/>
      <c r="AZ478" s="18">
        <f t="shared" si="651"/>
        <v>0</v>
      </c>
      <c r="BA478" s="19">
        <f t="shared" si="654"/>
        <v>0</v>
      </c>
    </row>
    <row r="479" spans="1:53" s="117" customFormat="1" ht="17.100000000000001" customHeight="1" x14ac:dyDescent="0.25">
      <c r="A479" s="68"/>
      <c r="B479" s="119"/>
      <c r="C479" s="55"/>
      <c r="D479" s="56" t="s">
        <v>482</v>
      </c>
      <c r="E479" s="149" t="s">
        <v>129</v>
      </c>
      <c r="F479" s="149"/>
      <c r="G479" s="149"/>
      <c r="H479" s="182"/>
      <c r="I479" s="241"/>
      <c r="J479" s="111"/>
      <c r="K479" s="111"/>
      <c r="L479" s="111"/>
      <c r="M479" s="111"/>
      <c r="N479" s="61"/>
      <c r="O479" s="61"/>
      <c r="P479" s="17">
        <f t="shared" si="644"/>
        <v>0</v>
      </c>
      <c r="Q479" s="61"/>
      <c r="R479" s="61"/>
      <c r="S479" s="17">
        <f t="shared" si="645"/>
        <v>0</v>
      </c>
      <c r="T479" s="61"/>
      <c r="U479" s="61"/>
      <c r="V479" s="359">
        <f t="shared" si="646"/>
        <v>0</v>
      </c>
      <c r="W479" s="391">
        <f t="shared" si="647"/>
        <v>0</v>
      </c>
      <c r="X479" s="17">
        <f t="shared" si="648"/>
        <v>0</v>
      </c>
      <c r="Y479" s="18">
        <f t="shared" si="649"/>
        <v>0</v>
      </c>
      <c r="Z479" s="19">
        <f t="shared" si="652"/>
        <v>0</v>
      </c>
      <c r="AA479" s="19"/>
      <c r="AB479" s="19"/>
      <c r="AC479" s="84"/>
      <c r="AE479" s="111"/>
      <c r="AF479" s="111"/>
      <c r="AG479" s="111"/>
      <c r="AH479" s="112"/>
      <c r="AI479" s="113"/>
      <c r="AK479" s="111"/>
      <c r="AL479" s="111"/>
      <c r="AM479" s="111"/>
      <c r="AN479" s="112"/>
      <c r="AO479" s="113"/>
      <c r="AQ479" s="17"/>
      <c r="AR479" s="17"/>
      <c r="AS479" s="17"/>
      <c r="AT479" s="18">
        <f t="shared" si="650"/>
        <v>0</v>
      </c>
      <c r="AU479" s="19">
        <f t="shared" si="653"/>
        <v>0</v>
      </c>
      <c r="AW479" s="17"/>
      <c r="AX479" s="17"/>
      <c r="AY479" s="17"/>
      <c r="AZ479" s="18">
        <f t="shared" si="651"/>
        <v>0</v>
      </c>
      <c r="BA479" s="19">
        <f t="shared" si="654"/>
        <v>0</v>
      </c>
    </row>
    <row r="480" spans="1:53" s="117" customFormat="1" ht="17.100000000000001" customHeight="1" x14ac:dyDescent="0.25">
      <c r="A480" s="68"/>
      <c r="B480" s="119"/>
      <c r="C480" s="77"/>
      <c r="D480" s="134"/>
      <c r="E480" s="134"/>
      <c r="F480" s="134"/>
      <c r="G480" s="134"/>
      <c r="H480" s="540"/>
      <c r="I480" s="229"/>
      <c r="J480" s="80"/>
      <c r="K480" s="80"/>
      <c r="L480" s="81"/>
      <c r="M480" s="81"/>
      <c r="N480" s="81">
        <f>SUM(N472:N479)</f>
        <v>0</v>
      </c>
      <c r="O480" s="81">
        <f t="shared" ref="O480:V480" si="655">SUM(O472:O479)</f>
        <v>0</v>
      </c>
      <c r="P480" s="81">
        <f t="shared" si="655"/>
        <v>0</v>
      </c>
      <c r="Q480" s="81">
        <f t="shared" si="655"/>
        <v>0</v>
      </c>
      <c r="R480" s="81">
        <f t="shared" si="655"/>
        <v>0</v>
      </c>
      <c r="S480" s="81">
        <f t="shared" si="655"/>
        <v>0</v>
      </c>
      <c r="T480" s="81">
        <f t="shared" si="655"/>
        <v>0</v>
      </c>
      <c r="U480" s="81">
        <f t="shared" si="655"/>
        <v>0</v>
      </c>
      <c r="V480" s="81">
        <f t="shared" si="655"/>
        <v>0</v>
      </c>
      <c r="W480" s="381">
        <f>SUM(W472:W479)</f>
        <v>0</v>
      </c>
      <c r="X480" s="82">
        <f t="shared" ref="X480:Y480" si="656">SUM(X472:X479)</f>
        <v>0</v>
      </c>
      <c r="Y480" s="82">
        <f t="shared" si="656"/>
        <v>0</v>
      </c>
      <c r="Z480" s="205">
        <f>IF(Y$480=0,0,Y480/Y$480)</f>
        <v>0</v>
      </c>
      <c r="AA480" s="205"/>
      <c r="AB480" s="205"/>
      <c r="AC480" s="83"/>
      <c r="AE480" s="80"/>
      <c r="AF480" s="80"/>
      <c r="AG480" s="81"/>
      <c r="AH480" s="82"/>
      <c r="AI480" s="66"/>
      <c r="AK480" s="80"/>
      <c r="AL480" s="80"/>
      <c r="AM480" s="81"/>
      <c r="AN480" s="82"/>
      <c r="AO480" s="66"/>
      <c r="AQ480" s="80"/>
      <c r="AR480" s="80"/>
      <c r="AS480" s="81"/>
      <c r="AT480" s="82">
        <f>SUM(AT472:AT479)</f>
        <v>0</v>
      </c>
      <c r="AU480" s="66">
        <f t="shared" si="653"/>
        <v>0</v>
      </c>
      <c r="AW480" s="80"/>
      <c r="AX480" s="80"/>
      <c r="AY480" s="81"/>
      <c r="AZ480" s="82">
        <f>SUM(AZ472:AZ479)</f>
        <v>0</v>
      </c>
      <c r="BA480" s="66">
        <f t="shared" si="654"/>
        <v>0</v>
      </c>
    </row>
    <row r="481" spans="1:53" s="117" customFormat="1" ht="17.100000000000001" customHeight="1" x14ac:dyDescent="0.25">
      <c r="A481" s="68"/>
      <c r="B481" s="119"/>
      <c r="C481" s="540"/>
      <c r="D481" s="261"/>
      <c r="E481" s="261"/>
      <c r="F481" s="68"/>
      <c r="G481" s="68"/>
      <c r="H481" s="119"/>
      <c r="I481" s="138"/>
      <c r="J481" s="17"/>
      <c r="K481" s="17"/>
      <c r="L481" s="17"/>
      <c r="M481" s="17"/>
      <c r="N481" s="17" t="str">
        <f>IF(N480=N$443,"OK","NOK")</f>
        <v>OK</v>
      </c>
      <c r="O481" s="17" t="str">
        <f>IF(O480=O$443,"OK","NOK")</f>
        <v>OK</v>
      </c>
      <c r="P481" s="17"/>
      <c r="Q481" s="17" t="str">
        <f>IF(Q480=Q$443,"OK","NOK")</f>
        <v>OK</v>
      </c>
      <c r="R481" s="17" t="str">
        <f>IF(R480=R$443,"OK","NOK")</f>
        <v>OK</v>
      </c>
      <c r="S481" s="17"/>
      <c r="T481" s="17" t="str">
        <f>IF(T480=T$443,"OK","NOK")</f>
        <v>OK</v>
      </c>
      <c r="U481" s="17" t="str">
        <f>IF(U480=U$443,"OK","NOK")</f>
        <v>OK</v>
      </c>
      <c r="V481" s="359"/>
      <c r="W481" s="382"/>
      <c r="X481" s="539"/>
      <c r="Y481" s="539"/>
      <c r="Z481" s="201"/>
      <c r="AA481" s="201"/>
      <c r="AB481" s="201"/>
      <c r="AC481" s="84"/>
      <c r="AE481" s="46"/>
      <c r="AF481" s="46"/>
      <c r="AG481" s="17"/>
      <c r="AH481" s="539"/>
      <c r="AI481" s="91"/>
      <c r="AK481" s="46"/>
      <c r="AL481" s="46"/>
      <c r="AM481" s="17"/>
      <c r="AN481" s="539"/>
      <c r="AO481" s="91"/>
      <c r="AQ481" s="46"/>
      <c r="AR481" s="46"/>
      <c r="AS481" s="17"/>
      <c r="AT481" s="539"/>
      <c r="AU481" s="91"/>
      <c r="AW481" s="46"/>
      <c r="AX481" s="46"/>
      <c r="AY481" s="17"/>
      <c r="AZ481" s="539"/>
      <c r="BA481" s="91"/>
    </row>
    <row r="482" spans="1:53" s="117" customFormat="1" ht="17.100000000000001" customHeight="1" x14ac:dyDescent="0.25">
      <c r="A482" s="68"/>
      <c r="B482" s="119"/>
      <c r="C482" s="119"/>
      <c r="D482" s="56" t="s">
        <v>272</v>
      </c>
      <c r="E482" s="149" t="s">
        <v>751</v>
      </c>
      <c r="F482" s="149"/>
      <c r="G482" s="149"/>
      <c r="H482" s="182"/>
      <c r="I482" s="241"/>
      <c r="J482" s="152"/>
      <c r="K482" s="152"/>
      <c r="L482" s="111"/>
      <c r="M482" s="111"/>
      <c r="N482" s="111"/>
      <c r="O482" s="111"/>
      <c r="P482" s="111"/>
      <c r="Q482" s="111"/>
      <c r="R482" s="111"/>
      <c r="S482" s="111"/>
      <c r="T482" s="111"/>
      <c r="U482" s="111"/>
      <c r="V482" s="358"/>
      <c r="W482" s="380"/>
      <c r="X482" s="111"/>
      <c r="Y482" s="545"/>
      <c r="Z482" s="131"/>
      <c r="AA482" s="131"/>
      <c r="AB482" s="131"/>
      <c r="AC482" s="113"/>
      <c r="AE482" s="152"/>
      <c r="AF482" s="152"/>
      <c r="AG482" s="111"/>
      <c r="AH482" s="545"/>
      <c r="AI482" s="131"/>
      <c r="AK482" s="152"/>
      <c r="AL482" s="152"/>
      <c r="AM482" s="111"/>
      <c r="AN482" s="545"/>
      <c r="AO482" s="131"/>
      <c r="AQ482" s="152"/>
      <c r="AR482" s="152"/>
      <c r="AS482" s="111"/>
      <c r="AT482" s="545"/>
      <c r="AU482" s="131"/>
      <c r="AW482" s="152"/>
      <c r="AX482" s="152"/>
      <c r="AY482" s="111"/>
      <c r="AZ482" s="545"/>
      <c r="BA482" s="131"/>
    </row>
    <row r="483" spans="1:53" s="117" customFormat="1" ht="17.100000000000001" customHeight="1" x14ac:dyDescent="0.25">
      <c r="A483" s="68"/>
      <c r="B483" s="119"/>
      <c r="C483" s="55"/>
      <c r="D483" s="55"/>
      <c r="E483" s="74" t="s">
        <v>753</v>
      </c>
      <c r="F483" s="603" t="s">
        <v>752</v>
      </c>
      <c r="G483" s="603"/>
      <c r="H483" s="182"/>
      <c r="I483" s="241"/>
      <c r="J483" s="111"/>
      <c r="K483" s="152"/>
      <c r="L483" s="152"/>
      <c r="M483" s="152"/>
      <c r="N483" s="152"/>
      <c r="O483" s="111"/>
      <c r="P483" s="60"/>
      <c r="Q483" s="152"/>
      <c r="R483" s="111"/>
      <c r="S483" s="60"/>
      <c r="T483" s="152"/>
      <c r="U483" s="111"/>
      <c r="V483" s="361"/>
      <c r="W483" s="391"/>
      <c r="X483" s="17"/>
      <c r="Y483" s="18">
        <f t="shared" ref="Y483:Y485" si="657">M483+P483+S483+V483</f>
        <v>0</v>
      </c>
      <c r="Z483" s="19">
        <f>IF(Y$486=0,0,Y483/Y$486)</f>
        <v>0</v>
      </c>
      <c r="AA483" s="19"/>
      <c r="AB483" s="19"/>
      <c r="AC483" s="84"/>
      <c r="AE483" s="111"/>
      <c r="AF483" s="111"/>
      <c r="AG483" s="111"/>
      <c r="AH483" s="112"/>
      <c r="AI483" s="113"/>
      <c r="AK483" s="111"/>
      <c r="AL483" s="111"/>
      <c r="AM483" s="111"/>
      <c r="AN483" s="112"/>
      <c r="AO483" s="113"/>
      <c r="AQ483" s="111"/>
      <c r="AR483" s="111"/>
      <c r="AS483" s="111"/>
      <c r="AT483" s="545"/>
      <c r="AU483" s="131"/>
      <c r="AW483" s="111"/>
      <c r="AX483" s="111"/>
      <c r="AY483" s="111"/>
      <c r="AZ483" s="545"/>
      <c r="BA483" s="131"/>
    </row>
    <row r="484" spans="1:53" s="117" customFormat="1" ht="17.100000000000001" customHeight="1" x14ac:dyDescent="0.25">
      <c r="A484" s="68"/>
      <c r="B484" s="119"/>
      <c r="C484" s="55"/>
      <c r="D484" s="55"/>
      <c r="E484" s="74" t="s">
        <v>754</v>
      </c>
      <c r="F484" s="604"/>
      <c r="G484" s="604"/>
      <c r="H484" s="182"/>
      <c r="I484" s="241"/>
      <c r="J484" s="111"/>
      <c r="K484" s="152"/>
      <c r="L484" s="152"/>
      <c r="M484" s="152"/>
      <c r="N484" s="152"/>
      <c r="O484" s="111"/>
      <c r="P484" s="61"/>
      <c r="Q484" s="152"/>
      <c r="R484" s="111"/>
      <c r="S484" s="61"/>
      <c r="T484" s="152"/>
      <c r="U484" s="111"/>
      <c r="V484" s="362"/>
      <c r="W484" s="391"/>
      <c r="X484" s="17"/>
      <c r="Y484" s="18">
        <f t="shared" si="657"/>
        <v>0</v>
      </c>
      <c r="Z484" s="19">
        <f t="shared" ref="Z484:Z486" si="658">IF(Y$486=0,0,Y484/Y$486)</f>
        <v>0</v>
      </c>
      <c r="AA484" s="19"/>
      <c r="AB484" s="19"/>
      <c r="AC484" s="84"/>
      <c r="AE484" s="111"/>
      <c r="AF484" s="111"/>
      <c r="AG484" s="111"/>
      <c r="AH484" s="112"/>
      <c r="AI484" s="113"/>
      <c r="AK484" s="111"/>
      <c r="AL484" s="111"/>
      <c r="AM484" s="111"/>
      <c r="AN484" s="112"/>
      <c r="AO484" s="113"/>
      <c r="AQ484" s="111"/>
      <c r="AR484" s="111"/>
      <c r="AS484" s="111"/>
      <c r="AT484" s="545"/>
      <c r="AU484" s="131"/>
      <c r="AW484" s="111"/>
      <c r="AX484" s="111"/>
      <c r="AY484" s="111"/>
      <c r="AZ484" s="545"/>
      <c r="BA484" s="131"/>
    </row>
    <row r="485" spans="1:53" s="117" customFormat="1" ht="17.100000000000001" customHeight="1" x14ac:dyDescent="0.25">
      <c r="A485" s="68"/>
      <c r="B485" s="119"/>
      <c r="C485" s="55"/>
      <c r="D485" s="55"/>
      <c r="E485" s="74" t="s">
        <v>755</v>
      </c>
      <c r="F485" s="603"/>
      <c r="G485" s="603"/>
      <c r="H485" s="182"/>
      <c r="I485" s="241"/>
      <c r="J485" s="111"/>
      <c r="K485" s="152"/>
      <c r="L485" s="152"/>
      <c r="M485" s="152"/>
      <c r="N485" s="152"/>
      <c r="O485" s="111"/>
      <c r="P485" s="60"/>
      <c r="Q485" s="152"/>
      <c r="R485" s="111"/>
      <c r="S485" s="60"/>
      <c r="T485" s="152"/>
      <c r="U485" s="111"/>
      <c r="V485" s="361"/>
      <c r="W485" s="391"/>
      <c r="X485" s="17"/>
      <c r="Y485" s="18">
        <f t="shared" si="657"/>
        <v>0</v>
      </c>
      <c r="Z485" s="19">
        <f t="shared" si="658"/>
        <v>0</v>
      </c>
      <c r="AA485" s="19"/>
      <c r="AB485" s="19"/>
      <c r="AC485" s="84"/>
      <c r="AE485" s="111"/>
      <c r="AF485" s="111"/>
      <c r="AG485" s="111"/>
      <c r="AH485" s="112"/>
      <c r="AI485" s="113"/>
      <c r="AK485" s="111"/>
      <c r="AL485" s="111"/>
      <c r="AM485" s="111"/>
      <c r="AN485" s="112"/>
      <c r="AO485" s="113"/>
      <c r="AQ485" s="111"/>
      <c r="AR485" s="111"/>
      <c r="AS485" s="111"/>
      <c r="AT485" s="545"/>
      <c r="AU485" s="131"/>
      <c r="AW485" s="111"/>
      <c r="AX485" s="111"/>
      <c r="AY485" s="111"/>
      <c r="AZ485" s="545"/>
      <c r="BA485" s="131"/>
    </row>
    <row r="486" spans="1:53" s="117" customFormat="1" ht="17.100000000000001" customHeight="1" x14ac:dyDescent="0.25">
      <c r="A486" s="68"/>
      <c r="B486" s="119"/>
      <c r="C486" s="77"/>
      <c r="D486" s="134"/>
      <c r="E486" s="134"/>
      <c r="F486" s="134"/>
      <c r="G486" s="134"/>
      <c r="H486" s="540"/>
      <c r="I486" s="229"/>
      <c r="J486" s="80"/>
      <c r="K486" s="80"/>
      <c r="L486" s="81"/>
      <c r="M486" s="81"/>
      <c r="N486" s="81"/>
      <c r="O486" s="81"/>
      <c r="P486" s="81">
        <f>SUM(P483:P485)</f>
        <v>0</v>
      </c>
      <c r="Q486" s="81"/>
      <c r="R486" s="81"/>
      <c r="S486" s="81">
        <f>SUM(S483:S485)</f>
        <v>0</v>
      </c>
      <c r="T486" s="81"/>
      <c r="U486" s="81"/>
      <c r="V486" s="81">
        <f>SUM(V483:V485)</f>
        <v>0</v>
      </c>
      <c r="W486" s="381"/>
      <c r="X486" s="82"/>
      <c r="Y486" s="82">
        <f>SUM(Y483:Y485)</f>
        <v>0</v>
      </c>
      <c r="Z486" s="205">
        <f t="shared" si="658"/>
        <v>0</v>
      </c>
      <c r="AA486" s="205"/>
      <c r="AB486" s="205"/>
      <c r="AC486" s="83"/>
      <c r="AE486" s="80"/>
      <c r="AF486" s="80"/>
      <c r="AG486" s="81"/>
      <c r="AH486" s="82"/>
      <c r="AI486" s="66"/>
      <c r="AK486" s="80"/>
      <c r="AL486" s="80"/>
      <c r="AM486" s="81"/>
      <c r="AN486" s="82"/>
      <c r="AO486" s="66"/>
      <c r="AQ486" s="80"/>
      <c r="AR486" s="80"/>
      <c r="AS486" s="81"/>
      <c r="AT486" s="82"/>
      <c r="AU486" s="66"/>
      <c r="AW486" s="80"/>
      <c r="AX486" s="80"/>
      <c r="AY486" s="81"/>
      <c r="AZ486" s="82"/>
      <c r="BA486" s="66"/>
    </row>
    <row r="487" spans="1:53" s="117" customFormat="1" ht="17.100000000000001" customHeight="1" x14ac:dyDescent="0.25">
      <c r="A487" s="68"/>
      <c r="B487" s="119"/>
      <c r="C487" s="92"/>
      <c r="D487" s="93"/>
      <c r="E487" s="93"/>
      <c r="F487" s="93"/>
      <c r="G487" s="93"/>
      <c r="H487" s="540"/>
      <c r="I487" s="12"/>
      <c r="J487" s="46"/>
      <c r="K487" s="46"/>
      <c r="L487" s="17"/>
      <c r="M487" s="17"/>
      <c r="N487" s="17"/>
      <c r="O487" s="17"/>
      <c r="P487" s="17"/>
      <c r="Q487" s="17"/>
      <c r="R487" s="17"/>
      <c r="S487" s="17"/>
      <c r="T487" s="17"/>
      <c r="U487" s="17"/>
      <c r="V487" s="359"/>
      <c r="W487" s="382"/>
      <c r="X487" s="539"/>
      <c r="Y487" s="539"/>
      <c r="Z487" s="201"/>
      <c r="AA487" s="201"/>
      <c r="AB487" s="201"/>
      <c r="AC487" s="84"/>
      <c r="AE487" s="46"/>
      <c r="AF487" s="46"/>
      <c r="AG487" s="17"/>
      <c r="AH487" s="539"/>
      <c r="AI487" s="91"/>
      <c r="AK487" s="46"/>
      <c r="AL487" s="46"/>
      <c r="AM487" s="17"/>
      <c r="AN487" s="539"/>
      <c r="AO487" s="91"/>
      <c r="AQ487" s="46"/>
      <c r="AR487" s="46"/>
      <c r="AS487" s="17"/>
      <c r="AT487" s="539"/>
      <c r="AU487" s="91"/>
      <c r="AW487" s="46"/>
      <c r="AX487" s="46"/>
      <c r="AY487" s="17"/>
      <c r="AZ487" s="539"/>
      <c r="BA487" s="91"/>
    </row>
    <row r="488" spans="1:53" ht="17.100000000000001" customHeight="1" x14ac:dyDescent="0.25">
      <c r="A488" s="119"/>
      <c r="B488" s="41" t="s">
        <v>876</v>
      </c>
      <c r="C488" s="69" t="s">
        <v>12</v>
      </c>
      <c r="D488" s="50"/>
      <c r="E488" s="70"/>
      <c r="F488" s="70"/>
      <c r="G488" s="70"/>
      <c r="H488" s="119"/>
      <c r="J488" s="71"/>
      <c r="K488" s="71"/>
      <c r="L488" s="71"/>
      <c r="M488" s="71"/>
      <c r="N488" s="71"/>
      <c r="O488" s="71"/>
      <c r="P488" s="71"/>
      <c r="Q488" s="71"/>
      <c r="R488" s="71"/>
      <c r="S488" s="71"/>
      <c r="T488" s="71"/>
      <c r="U488" s="71"/>
      <c r="V488" s="355"/>
      <c r="W488" s="377"/>
      <c r="X488" s="71"/>
      <c r="Y488" s="72"/>
      <c r="Z488" s="73"/>
      <c r="AA488" s="73"/>
      <c r="AB488" s="73"/>
      <c r="AC488" s="73"/>
      <c r="AE488" s="71"/>
      <c r="AF488" s="71"/>
      <c r="AG488" s="71"/>
      <c r="AH488" s="72"/>
      <c r="AI488" s="73"/>
      <c r="AK488" s="71"/>
      <c r="AL488" s="71"/>
      <c r="AM488" s="71"/>
      <c r="AN488" s="72"/>
      <c r="AO488" s="73"/>
      <c r="AQ488" s="71"/>
      <c r="AR488" s="71"/>
      <c r="AS488" s="71"/>
      <c r="AT488" s="72"/>
      <c r="AU488" s="73"/>
      <c r="AW488" s="71"/>
      <c r="AX488" s="71"/>
      <c r="AY488" s="71"/>
      <c r="AZ488" s="72"/>
      <c r="BA488" s="73"/>
    </row>
    <row r="489" spans="1:53" s="173" customFormat="1" ht="17.100000000000001" customHeight="1" x14ac:dyDescent="0.25">
      <c r="A489" s="102"/>
      <c r="B489" s="102"/>
      <c r="C489" s="182"/>
      <c r="D489" s="127" t="s">
        <v>1006</v>
      </c>
      <c r="E489" s="128"/>
      <c r="F489" s="128"/>
      <c r="G489" s="128"/>
      <c r="H489" s="119"/>
      <c r="I489" s="231"/>
      <c r="J489" s="154"/>
      <c r="K489" s="154"/>
      <c r="L489" s="154"/>
      <c r="M489" s="154"/>
      <c r="N489" s="154">
        <f t="shared" ref="N489:O489" si="659">N174</f>
        <v>6</v>
      </c>
      <c r="O489" s="154">
        <f t="shared" si="659"/>
        <v>3</v>
      </c>
      <c r="P489" s="154">
        <f>SUM(N489:O489)</f>
        <v>9</v>
      </c>
      <c r="Q489" s="154">
        <f t="shared" ref="Q489:R489" si="660">Q174</f>
        <v>1</v>
      </c>
      <c r="R489" s="154">
        <f t="shared" si="660"/>
        <v>5</v>
      </c>
      <c r="S489" s="154">
        <f>SUM(Q489:R489)</f>
        <v>6</v>
      </c>
      <c r="T489" s="154">
        <f t="shared" ref="T489:U489" si="661">T174</f>
        <v>0</v>
      </c>
      <c r="U489" s="154">
        <f t="shared" si="661"/>
        <v>0</v>
      </c>
      <c r="V489" s="159">
        <f>SUM(T489:U489)</f>
        <v>0</v>
      </c>
      <c r="W489" s="387">
        <f t="shared" ref="W489:W490" si="662">J489+K489+N489+Q489+T489</f>
        <v>7</v>
      </c>
      <c r="X489" s="154">
        <f t="shared" ref="X489:X490" si="663">L489+O489+R489+U489</f>
        <v>8</v>
      </c>
      <c r="Y489" s="129">
        <f t="shared" ref="Y489:Y490" si="664">SUM(W489:X489)</f>
        <v>15</v>
      </c>
      <c r="Z489" s="130"/>
      <c r="AA489" s="130"/>
      <c r="AB489" s="130"/>
      <c r="AC489" s="125"/>
      <c r="AE489" s="154"/>
      <c r="AF489" s="154"/>
      <c r="AG489" s="154"/>
      <c r="AH489" s="129"/>
      <c r="AI489" s="130"/>
      <c r="AJ489" s="12"/>
      <c r="AK489" s="154"/>
      <c r="AL489" s="154"/>
      <c r="AM489" s="154"/>
      <c r="AN489" s="129"/>
      <c r="AO489" s="130"/>
      <c r="AP489" s="12"/>
      <c r="AQ489" s="154"/>
      <c r="AR489" s="154"/>
      <c r="AS489" s="154"/>
      <c r="AT489" s="129"/>
      <c r="AU489" s="130"/>
      <c r="AV489" s="12"/>
      <c r="AW489" s="154"/>
      <c r="AX489" s="154"/>
      <c r="AY489" s="154"/>
      <c r="AZ489" s="129"/>
      <c r="BA489" s="130"/>
    </row>
    <row r="490" spans="1:53" s="173" customFormat="1" ht="17.100000000000001" customHeight="1" x14ac:dyDescent="0.25">
      <c r="A490" s="102"/>
      <c r="B490" s="102"/>
      <c r="C490" s="182"/>
      <c r="D490" s="127" t="s">
        <v>278</v>
      </c>
      <c r="E490" s="128"/>
      <c r="F490" s="128"/>
      <c r="G490" s="128"/>
      <c r="H490" s="119"/>
      <c r="I490" s="231"/>
      <c r="J490" s="154"/>
      <c r="K490" s="154"/>
      <c r="L490" s="154"/>
      <c r="M490" s="154"/>
      <c r="N490" s="154">
        <f t="shared" ref="N490:O490" si="665">N377</f>
        <v>1</v>
      </c>
      <c r="O490" s="154">
        <f t="shared" si="665"/>
        <v>2</v>
      </c>
      <c r="P490" s="154">
        <f>SUM(N490:O490)</f>
        <v>3</v>
      </c>
      <c r="Q490" s="154">
        <f t="shared" ref="Q490:R490" si="666">Q377</f>
        <v>0</v>
      </c>
      <c r="R490" s="154">
        <f t="shared" si="666"/>
        <v>1</v>
      </c>
      <c r="S490" s="154">
        <f>SUM(Q490:R490)</f>
        <v>1</v>
      </c>
      <c r="T490" s="154">
        <f t="shared" ref="T490:U490" si="667">T377</f>
        <v>0</v>
      </c>
      <c r="U490" s="154">
        <f t="shared" si="667"/>
        <v>0</v>
      </c>
      <c r="V490" s="159">
        <f>SUM(T490:U490)</f>
        <v>0</v>
      </c>
      <c r="W490" s="387">
        <f t="shared" si="662"/>
        <v>1</v>
      </c>
      <c r="X490" s="154">
        <f t="shared" si="663"/>
        <v>3</v>
      </c>
      <c r="Y490" s="129">
        <f t="shared" si="664"/>
        <v>4</v>
      </c>
      <c r="Z490" s="130"/>
      <c r="AA490" s="130"/>
      <c r="AB490" s="130"/>
      <c r="AC490" s="125"/>
      <c r="AE490" s="154"/>
      <c r="AF490" s="154"/>
      <c r="AG490" s="154"/>
      <c r="AH490" s="129"/>
      <c r="AI490" s="130"/>
      <c r="AJ490" s="12"/>
      <c r="AK490" s="154"/>
      <c r="AL490" s="154"/>
      <c r="AM490" s="154"/>
      <c r="AN490" s="129"/>
      <c r="AO490" s="130"/>
      <c r="AP490" s="12"/>
      <c r="AQ490" s="154"/>
      <c r="AR490" s="154"/>
      <c r="AS490" s="154"/>
      <c r="AT490" s="129"/>
      <c r="AU490" s="130"/>
      <c r="AV490" s="12"/>
      <c r="AW490" s="154"/>
      <c r="AX490" s="154"/>
      <c r="AY490" s="154"/>
      <c r="AZ490" s="129"/>
      <c r="BA490" s="130"/>
    </row>
    <row r="491" spans="1:53" s="117" customFormat="1" ht="17.100000000000001" customHeight="1" x14ac:dyDescent="0.25">
      <c r="A491" s="119"/>
      <c r="B491" s="119"/>
      <c r="C491" s="56" t="s">
        <v>277</v>
      </c>
      <c r="D491" s="427" t="s">
        <v>1007</v>
      </c>
      <c r="E491" s="428"/>
      <c r="F491" s="428"/>
      <c r="G491" s="428"/>
      <c r="H491" s="119"/>
      <c r="I491" s="97"/>
      <c r="J491" s="17"/>
      <c r="K491" s="17"/>
      <c r="L491" s="17"/>
      <c r="M491" s="17"/>
      <c r="N491" s="91">
        <f>IF(N489=0,0,N490/N489)</f>
        <v>0.16666666666666666</v>
      </c>
      <c r="O491" s="91">
        <f t="shared" ref="O491:P491" si="668">IF(O489=0,0,O490/O489)</f>
        <v>0.66666666666666663</v>
      </c>
      <c r="P491" s="91">
        <f t="shared" si="668"/>
        <v>0.33333333333333331</v>
      </c>
      <c r="Q491" s="91">
        <f>IF(Q489=0,0,Q490/Q489)</f>
        <v>0</v>
      </c>
      <c r="R491" s="91">
        <f t="shared" ref="R491" si="669">IF(R489=0,0,R490/R489)</f>
        <v>0.2</v>
      </c>
      <c r="S491" s="91">
        <f t="shared" ref="S491" si="670">IF(S489=0,0,S490/S489)</f>
        <v>0.16666666666666666</v>
      </c>
      <c r="T491" s="91">
        <f>IF(T489=0,0,T490/T489)</f>
        <v>0</v>
      </c>
      <c r="U491" s="91">
        <f t="shared" ref="U491" si="671">IF(U489=0,0,U490/U489)</f>
        <v>0</v>
      </c>
      <c r="V491" s="373">
        <f t="shared" ref="V491" si="672">IF(V489=0,0,V490/V489)</f>
        <v>0</v>
      </c>
      <c r="W491" s="395">
        <f>IF(W489=0,0,W490/W489)</f>
        <v>0.14285714285714285</v>
      </c>
      <c r="X491" s="91">
        <f t="shared" ref="X491" si="673">IF(X489=0,0,X490/X489)</f>
        <v>0.375</v>
      </c>
      <c r="Y491" s="91">
        <f t="shared" ref="Y491" si="674">IF(Y489=0,0,Y490/Y489)</f>
        <v>0.26666666666666666</v>
      </c>
      <c r="Z491" s="84"/>
      <c r="AA491" s="84"/>
      <c r="AB491" s="84"/>
      <c r="AC491" s="84"/>
      <c r="AE491" s="17"/>
      <c r="AF491" s="17"/>
      <c r="AG491" s="17"/>
      <c r="AH491" s="568"/>
      <c r="AI491" s="84"/>
      <c r="AK491" s="17"/>
      <c r="AL491" s="17"/>
      <c r="AM491" s="17"/>
      <c r="AN491" s="568"/>
      <c r="AO491" s="84"/>
      <c r="AQ491" s="17"/>
      <c r="AR491" s="17"/>
      <c r="AS491" s="17"/>
      <c r="AT491" s="568"/>
      <c r="AU491" s="84"/>
      <c r="AW491" s="17"/>
      <c r="AX491" s="17"/>
      <c r="AY491" s="17"/>
      <c r="AZ491" s="568"/>
      <c r="BA491" s="84"/>
    </row>
    <row r="492" spans="1:53" s="173" customFormat="1" ht="17.100000000000001" customHeight="1" x14ac:dyDescent="0.25">
      <c r="A492" s="102"/>
      <c r="B492" s="102"/>
      <c r="C492" s="56" t="s">
        <v>279</v>
      </c>
      <c r="D492" s="85" t="s">
        <v>280</v>
      </c>
      <c r="E492" s="75"/>
      <c r="F492" s="75"/>
      <c r="G492" s="75"/>
      <c r="H492" s="540"/>
      <c r="I492" s="229"/>
      <c r="J492" s="181"/>
      <c r="K492" s="181"/>
      <c r="L492" s="181"/>
      <c r="M492" s="181"/>
      <c r="N492" s="181"/>
      <c r="O492" s="181"/>
      <c r="P492" s="181"/>
      <c r="Q492" s="181"/>
      <c r="R492" s="181"/>
      <c r="S492" s="181"/>
      <c r="T492" s="181"/>
      <c r="U492" s="181"/>
      <c r="V492" s="367"/>
      <c r="W492" s="392"/>
      <c r="X492" s="181"/>
      <c r="Y492" s="545"/>
      <c r="Z492" s="172"/>
      <c r="AA492" s="172"/>
      <c r="AB492" s="172"/>
      <c r="AC492" s="178"/>
      <c r="AE492" s="181"/>
      <c r="AF492" s="181"/>
      <c r="AG492" s="181"/>
      <c r="AH492" s="545"/>
      <c r="AI492" s="172"/>
      <c r="AJ492" s="12"/>
      <c r="AK492" s="181"/>
      <c r="AL492" s="181"/>
      <c r="AM492" s="181"/>
      <c r="AN492" s="545"/>
      <c r="AO492" s="172"/>
      <c r="AP492" s="12"/>
      <c r="AQ492" s="181"/>
      <c r="AR492" s="181"/>
      <c r="AS492" s="181"/>
      <c r="AT492" s="545"/>
      <c r="AU492" s="172"/>
      <c r="AV492" s="12"/>
      <c r="AW492" s="181"/>
      <c r="AX492" s="181"/>
      <c r="AY492" s="181"/>
      <c r="AZ492" s="545"/>
      <c r="BA492" s="172"/>
    </row>
    <row r="493" spans="1:53" s="173" customFormat="1" ht="17.100000000000001" customHeight="1" x14ac:dyDescent="0.25">
      <c r="A493" s="102"/>
      <c r="B493" s="102"/>
      <c r="C493" s="182"/>
      <c r="D493" s="127" t="s">
        <v>281</v>
      </c>
      <c r="E493" s="128"/>
      <c r="F493" s="128"/>
      <c r="G493" s="128"/>
      <c r="H493" s="119"/>
      <c r="I493" s="231"/>
      <c r="J493" s="154"/>
      <c r="K493" s="154"/>
      <c r="L493" s="154"/>
      <c r="M493" s="154"/>
      <c r="N493" s="154">
        <f>N402</f>
        <v>0</v>
      </c>
      <c r="O493" s="154">
        <f>O402</f>
        <v>2</v>
      </c>
      <c r="P493" s="154">
        <f t="shared" ref="P493:P500" si="675">SUM(N493:O493)</f>
        <v>2</v>
      </c>
      <c r="Q493" s="154">
        <f t="shared" ref="Q493:U493" si="676">Q402</f>
        <v>0</v>
      </c>
      <c r="R493" s="154">
        <f t="shared" si="676"/>
        <v>1</v>
      </c>
      <c r="S493" s="154">
        <f t="shared" ref="S493:S497" si="677">SUM(Q493:R493)</f>
        <v>1</v>
      </c>
      <c r="T493" s="154">
        <f t="shared" si="676"/>
        <v>0</v>
      </c>
      <c r="U493" s="154">
        <f t="shared" si="676"/>
        <v>0</v>
      </c>
      <c r="V493" s="154">
        <f t="shared" ref="V493:V497" si="678">SUM(T493:U493)</f>
        <v>0</v>
      </c>
      <c r="W493" s="387">
        <f t="shared" ref="W493" si="679">J493+K493+N493+Q493+T493</f>
        <v>0</v>
      </c>
      <c r="X493" s="154">
        <f t="shared" ref="X493" si="680">L493+O493+R493+U493</f>
        <v>3</v>
      </c>
      <c r="Y493" s="129">
        <f t="shared" ref="Y493:Y497" si="681">SUM(W493:X493)</f>
        <v>3</v>
      </c>
      <c r="Z493" s="130">
        <f t="shared" ref="Z493:Z498" si="682">IF(Y$498=0,0,Y493/Y$498)</f>
        <v>0.2</v>
      </c>
      <c r="AA493" s="130"/>
      <c r="AB493" s="130"/>
      <c r="AC493" s="125"/>
      <c r="AE493" s="154"/>
      <c r="AF493" s="154"/>
      <c r="AG493" s="154"/>
      <c r="AH493" s="129"/>
      <c r="AI493" s="130"/>
      <c r="AJ493" s="12"/>
      <c r="AK493" s="154"/>
      <c r="AL493" s="154"/>
      <c r="AM493" s="154"/>
      <c r="AN493" s="129"/>
      <c r="AO493" s="130"/>
      <c r="AP493" s="12"/>
      <c r="AQ493" s="154"/>
      <c r="AR493" s="154"/>
      <c r="AS493" s="154"/>
      <c r="AT493" s="129"/>
      <c r="AU493" s="130"/>
      <c r="AV493" s="12"/>
      <c r="AW493" s="154"/>
      <c r="AX493" s="154"/>
      <c r="AY493" s="154"/>
      <c r="AZ493" s="129"/>
      <c r="BA493" s="130"/>
    </row>
    <row r="494" spans="1:53" ht="17.100000000000001" customHeight="1" x14ac:dyDescent="0.25">
      <c r="A494" s="40"/>
      <c r="B494" s="40"/>
      <c r="C494" s="182"/>
      <c r="D494" s="127" t="s">
        <v>282</v>
      </c>
      <c r="E494" s="128"/>
      <c r="F494" s="128"/>
      <c r="G494" s="128"/>
      <c r="H494" s="119"/>
      <c r="I494" s="231"/>
      <c r="J494" s="154"/>
      <c r="K494" s="154"/>
      <c r="L494" s="154"/>
      <c r="M494" s="154"/>
      <c r="N494" s="154">
        <f t="shared" ref="N494:O497" si="683">N403</f>
        <v>6</v>
      </c>
      <c r="O494" s="154">
        <f t="shared" si="683"/>
        <v>1</v>
      </c>
      <c r="P494" s="154">
        <f t="shared" si="675"/>
        <v>7</v>
      </c>
      <c r="Q494" s="154">
        <f t="shared" ref="Q494:U494" si="684">Q403</f>
        <v>1</v>
      </c>
      <c r="R494" s="154">
        <f t="shared" si="684"/>
        <v>4</v>
      </c>
      <c r="S494" s="154">
        <f t="shared" si="677"/>
        <v>5</v>
      </c>
      <c r="T494" s="154">
        <f t="shared" si="684"/>
        <v>0</v>
      </c>
      <c r="U494" s="154">
        <f t="shared" si="684"/>
        <v>0</v>
      </c>
      <c r="V494" s="154">
        <f t="shared" si="678"/>
        <v>0</v>
      </c>
      <c r="W494" s="387">
        <f t="shared" ref="W494:W499" si="685">J494+K494+N494+Q494+T494</f>
        <v>7</v>
      </c>
      <c r="X494" s="154">
        <f t="shared" ref="X494:X499" si="686">L494+O494+R494+U494</f>
        <v>5</v>
      </c>
      <c r="Y494" s="129">
        <f t="shared" si="681"/>
        <v>12</v>
      </c>
      <c r="Z494" s="130">
        <f t="shared" si="682"/>
        <v>0.8</v>
      </c>
      <c r="AA494" s="130"/>
      <c r="AB494" s="130"/>
      <c r="AC494" s="125"/>
      <c r="AE494" s="154"/>
      <c r="AF494" s="154"/>
      <c r="AG494" s="154"/>
      <c r="AH494" s="129"/>
      <c r="AI494" s="130"/>
      <c r="AK494" s="154"/>
      <c r="AL494" s="154"/>
      <c r="AM494" s="154"/>
      <c r="AN494" s="129"/>
      <c r="AO494" s="130"/>
      <c r="AQ494" s="154"/>
      <c r="AR494" s="154"/>
      <c r="AS494" s="154"/>
      <c r="AT494" s="129"/>
      <c r="AU494" s="130"/>
      <c r="AW494" s="154"/>
      <c r="AX494" s="154"/>
      <c r="AY494" s="154"/>
      <c r="AZ494" s="129"/>
      <c r="BA494" s="130"/>
    </row>
    <row r="495" spans="1:53" ht="17.100000000000001" customHeight="1" x14ac:dyDescent="0.25">
      <c r="A495" s="40"/>
      <c r="B495" s="40"/>
      <c r="C495" s="182"/>
      <c r="D495" s="127" t="s">
        <v>283</v>
      </c>
      <c r="E495" s="128"/>
      <c r="F495" s="128"/>
      <c r="G495" s="128"/>
      <c r="H495" s="119"/>
      <c r="I495" s="231"/>
      <c r="J495" s="154"/>
      <c r="K495" s="154"/>
      <c r="L495" s="154"/>
      <c r="M495" s="154"/>
      <c r="N495" s="154">
        <f t="shared" si="683"/>
        <v>0</v>
      </c>
      <c r="O495" s="154">
        <f t="shared" si="683"/>
        <v>0</v>
      </c>
      <c r="P495" s="154">
        <f t="shared" si="675"/>
        <v>0</v>
      </c>
      <c r="Q495" s="154">
        <f t="shared" ref="Q495:U495" si="687">Q404</f>
        <v>0</v>
      </c>
      <c r="R495" s="154">
        <f t="shared" si="687"/>
        <v>0</v>
      </c>
      <c r="S495" s="154">
        <f t="shared" si="677"/>
        <v>0</v>
      </c>
      <c r="T495" s="154">
        <f t="shared" si="687"/>
        <v>0</v>
      </c>
      <c r="U495" s="154">
        <f t="shared" si="687"/>
        <v>0</v>
      </c>
      <c r="V495" s="154">
        <f t="shared" si="678"/>
        <v>0</v>
      </c>
      <c r="W495" s="387">
        <f t="shared" si="685"/>
        <v>0</v>
      </c>
      <c r="X495" s="154">
        <f t="shared" si="686"/>
        <v>0</v>
      </c>
      <c r="Y495" s="129">
        <f t="shared" si="681"/>
        <v>0</v>
      </c>
      <c r="Z495" s="130">
        <f t="shared" si="682"/>
        <v>0</v>
      </c>
      <c r="AA495" s="130"/>
      <c r="AB495" s="130"/>
      <c r="AC495" s="125"/>
      <c r="AE495" s="154"/>
      <c r="AF495" s="154"/>
      <c r="AG495" s="154"/>
      <c r="AH495" s="129"/>
      <c r="AI495" s="130"/>
      <c r="AK495" s="154"/>
      <c r="AL495" s="154"/>
      <c r="AM495" s="154"/>
      <c r="AN495" s="129"/>
      <c r="AO495" s="130"/>
      <c r="AQ495" s="154"/>
      <c r="AR495" s="154"/>
      <c r="AS495" s="154"/>
      <c r="AT495" s="129"/>
      <c r="AU495" s="130"/>
      <c r="AW495" s="154"/>
      <c r="AX495" s="154"/>
      <c r="AY495" s="154"/>
      <c r="AZ495" s="129"/>
      <c r="BA495" s="130"/>
    </row>
    <row r="496" spans="1:53" ht="17.100000000000001" customHeight="1" x14ac:dyDescent="0.25">
      <c r="A496" s="40"/>
      <c r="B496" s="40"/>
      <c r="C496" s="182"/>
      <c r="D496" s="127" t="s">
        <v>284</v>
      </c>
      <c r="E496" s="128"/>
      <c r="F496" s="128"/>
      <c r="G496" s="128"/>
      <c r="H496" s="119"/>
      <c r="I496" s="231"/>
      <c r="J496" s="154"/>
      <c r="K496" s="154"/>
      <c r="L496" s="154"/>
      <c r="M496" s="154"/>
      <c r="N496" s="154">
        <f t="shared" si="683"/>
        <v>0</v>
      </c>
      <c r="O496" s="154">
        <f t="shared" si="683"/>
        <v>0</v>
      </c>
      <c r="P496" s="154">
        <f t="shared" si="675"/>
        <v>0</v>
      </c>
      <c r="Q496" s="154">
        <f t="shared" ref="Q496:U496" si="688">Q405</f>
        <v>0</v>
      </c>
      <c r="R496" s="154">
        <f t="shared" si="688"/>
        <v>0</v>
      </c>
      <c r="S496" s="154">
        <f t="shared" si="677"/>
        <v>0</v>
      </c>
      <c r="T496" s="154">
        <f t="shared" si="688"/>
        <v>0</v>
      </c>
      <c r="U496" s="154">
        <f t="shared" si="688"/>
        <v>0</v>
      </c>
      <c r="V496" s="154">
        <f t="shared" si="678"/>
        <v>0</v>
      </c>
      <c r="W496" s="387">
        <f t="shared" si="685"/>
        <v>0</v>
      </c>
      <c r="X496" s="154">
        <f t="shared" si="686"/>
        <v>0</v>
      </c>
      <c r="Y496" s="129">
        <f t="shared" si="681"/>
        <v>0</v>
      </c>
      <c r="Z496" s="130">
        <f t="shared" si="682"/>
        <v>0</v>
      </c>
      <c r="AA496" s="130"/>
      <c r="AB496" s="130"/>
      <c r="AC496" s="125"/>
      <c r="AE496" s="154"/>
      <c r="AF496" s="154"/>
      <c r="AG496" s="154"/>
      <c r="AH496" s="129"/>
      <c r="AI496" s="130"/>
      <c r="AK496" s="154"/>
      <c r="AL496" s="154"/>
      <c r="AM496" s="154"/>
      <c r="AN496" s="129"/>
      <c r="AO496" s="130"/>
      <c r="AQ496" s="154"/>
      <c r="AR496" s="154"/>
      <c r="AS496" s="154"/>
      <c r="AT496" s="129"/>
      <c r="AU496" s="130"/>
      <c r="AW496" s="154"/>
      <c r="AX496" s="154"/>
      <c r="AY496" s="154"/>
      <c r="AZ496" s="129"/>
      <c r="BA496" s="130"/>
    </row>
    <row r="497" spans="1:53" ht="17.100000000000001" customHeight="1" x14ac:dyDescent="0.25">
      <c r="A497" s="40"/>
      <c r="B497" s="40"/>
      <c r="C497" s="182"/>
      <c r="D497" s="183" t="s">
        <v>129</v>
      </c>
      <c r="E497" s="128"/>
      <c r="F497" s="128"/>
      <c r="G497" s="128"/>
      <c r="H497" s="119"/>
      <c r="I497" s="231"/>
      <c r="J497" s="154"/>
      <c r="K497" s="154"/>
      <c r="L497" s="154"/>
      <c r="M497" s="154"/>
      <c r="N497" s="154">
        <f t="shared" si="683"/>
        <v>0</v>
      </c>
      <c r="O497" s="154">
        <f t="shared" si="683"/>
        <v>0</v>
      </c>
      <c r="P497" s="154">
        <f t="shared" si="675"/>
        <v>0</v>
      </c>
      <c r="Q497" s="154">
        <f t="shared" ref="Q497:U497" si="689">Q406</f>
        <v>0</v>
      </c>
      <c r="R497" s="154">
        <f t="shared" si="689"/>
        <v>0</v>
      </c>
      <c r="S497" s="154">
        <f t="shared" si="677"/>
        <v>0</v>
      </c>
      <c r="T497" s="154">
        <f t="shared" si="689"/>
        <v>0</v>
      </c>
      <c r="U497" s="154">
        <f t="shared" si="689"/>
        <v>0</v>
      </c>
      <c r="V497" s="154">
        <f t="shared" si="678"/>
        <v>0</v>
      </c>
      <c r="W497" s="387">
        <f t="shared" si="685"/>
        <v>0</v>
      </c>
      <c r="X497" s="154">
        <f t="shared" si="686"/>
        <v>0</v>
      </c>
      <c r="Y497" s="129">
        <f t="shared" si="681"/>
        <v>0</v>
      </c>
      <c r="Z497" s="130">
        <f t="shared" si="682"/>
        <v>0</v>
      </c>
      <c r="AA497" s="130"/>
      <c r="AB497" s="130"/>
      <c r="AC497" s="125"/>
      <c r="AE497" s="154"/>
      <c r="AF497" s="154"/>
      <c r="AG497" s="154"/>
      <c r="AH497" s="129"/>
      <c r="AI497" s="130"/>
      <c r="AK497" s="154"/>
      <c r="AL497" s="154"/>
      <c r="AM497" s="154"/>
      <c r="AN497" s="129"/>
      <c r="AO497" s="130"/>
      <c r="AQ497" s="154"/>
      <c r="AR497" s="154"/>
      <c r="AS497" s="154"/>
      <c r="AT497" s="129"/>
      <c r="AU497" s="130"/>
      <c r="AW497" s="154"/>
      <c r="AX497" s="154"/>
      <c r="AY497" s="154"/>
      <c r="AZ497" s="129"/>
      <c r="BA497" s="130"/>
    </row>
    <row r="498" spans="1:53" ht="17.100000000000001" customHeight="1" x14ac:dyDescent="0.25">
      <c r="A498" s="40"/>
      <c r="B498" s="40"/>
      <c r="C498" s="182"/>
      <c r="D498" s="127"/>
      <c r="E498" s="128"/>
      <c r="F498" s="128"/>
      <c r="G498" s="128"/>
      <c r="H498" s="119"/>
      <c r="I498" s="231"/>
      <c r="J498" s="154"/>
      <c r="K498" s="154"/>
      <c r="L498" s="154"/>
      <c r="M498" s="154"/>
      <c r="N498" s="154"/>
      <c r="O498" s="154"/>
      <c r="P498" s="154"/>
      <c r="Q498" s="154"/>
      <c r="R498" s="154"/>
      <c r="S498" s="154"/>
      <c r="T498" s="154"/>
      <c r="U498" s="154"/>
      <c r="V498" s="159"/>
      <c r="W498" s="387"/>
      <c r="X498" s="154"/>
      <c r="Y498" s="129">
        <f>SUM(Y493:Y497)</f>
        <v>15</v>
      </c>
      <c r="Z498" s="130">
        <f t="shared" si="682"/>
        <v>1</v>
      </c>
      <c r="AA498" s="130"/>
      <c r="AB498" s="130"/>
      <c r="AC498" s="125"/>
      <c r="AE498" s="160"/>
      <c r="AF498" s="160"/>
      <c r="AG498" s="160"/>
      <c r="AH498" s="129"/>
      <c r="AI498" s="130"/>
      <c r="AK498" s="160"/>
      <c r="AL498" s="160"/>
      <c r="AM498" s="160"/>
      <c r="AN498" s="129"/>
      <c r="AO498" s="130"/>
      <c r="AQ498" s="160"/>
      <c r="AR498" s="160"/>
      <c r="AS498" s="160"/>
      <c r="AT498" s="129"/>
      <c r="AU498" s="130"/>
      <c r="AW498" s="160"/>
      <c r="AX498" s="160"/>
      <c r="AY498" s="160"/>
      <c r="AZ498" s="129"/>
      <c r="BA498" s="130"/>
    </row>
    <row r="499" spans="1:53" ht="17.100000000000001" customHeight="1" x14ac:dyDescent="0.25">
      <c r="A499" s="40"/>
      <c r="B499" s="40"/>
      <c r="C499" s="182"/>
      <c r="D499" s="127" t="s">
        <v>285</v>
      </c>
      <c r="E499" s="128"/>
      <c r="F499" s="128"/>
      <c r="G499" s="128"/>
      <c r="H499" s="119"/>
      <c r="I499" s="231"/>
      <c r="J499" s="154"/>
      <c r="K499" s="154"/>
      <c r="L499" s="154"/>
      <c r="M499" s="154"/>
      <c r="N499" s="154">
        <f>N493+N497</f>
        <v>0</v>
      </c>
      <c r="O499" s="154">
        <f>O493+O497</f>
        <v>2</v>
      </c>
      <c r="P499" s="154">
        <f t="shared" si="675"/>
        <v>2</v>
      </c>
      <c r="Q499" s="154">
        <f>Q493+Q497</f>
        <v>0</v>
      </c>
      <c r="R499" s="154">
        <f>R493+R497</f>
        <v>1</v>
      </c>
      <c r="S499" s="154">
        <f t="shared" ref="S499:S500" si="690">SUM(Q499:R499)</f>
        <v>1</v>
      </c>
      <c r="T499" s="154">
        <f>T493+T497</f>
        <v>0</v>
      </c>
      <c r="U499" s="154">
        <f>U493+U497</f>
        <v>0</v>
      </c>
      <c r="V499" s="154">
        <f t="shared" ref="V499:V500" si="691">SUM(T499:U499)</f>
        <v>0</v>
      </c>
      <c r="W499" s="387">
        <f t="shared" si="685"/>
        <v>0</v>
      </c>
      <c r="X499" s="154">
        <f t="shared" si="686"/>
        <v>3</v>
      </c>
      <c r="Y499" s="129">
        <f t="shared" ref="Y499:Y500" si="692">SUM(W499:X499)</f>
        <v>3</v>
      </c>
      <c r="Z499" s="130"/>
      <c r="AA499" s="130"/>
      <c r="AB499" s="130"/>
      <c r="AC499" s="125"/>
      <c r="AE499" s="160"/>
      <c r="AF499" s="160"/>
      <c r="AG499" s="160"/>
      <c r="AH499" s="129"/>
      <c r="AI499" s="130"/>
      <c r="AK499" s="160"/>
      <c r="AL499" s="160"/>
      <c r="AM499" s="160"/>
      <c r="AN499" s="129"/>
      <c r="AO499" s="130"/>
      <c r="AQ499" s="160"/>
      <c r="AR499" s="160"/>
      <c r="AS499" s="160"/>
      <c r="AT499" s="129"/>
      <c r="AU499" s="130"/>
      <c r="AW499" s="160"/>
      <c r="AX499" s="160"/>
      <c r="AY499" s="160"/>
      <c r="AZ499" s="129"/>
      <c r="BA499" s="130"/>
    </row>
    <row r="500" spans="1:53" s="409" customFormat="1" ht="17.100000000000001" customHeight="1" x14ac:dyDescent="0.25">
      <c r="A500" s="540"/>
      <c r="B500" s="540"/>
      <c r="C500" s="56" t="s">
        <v>279</v>
      </c>
      <c r="D500" s="427" t="s">
        <v>286</v>
      </c>
      <c r="E500" s="93"/>
      <c r="F500" s="93"/>
      <c r="G500" s="93"/>
      <c r="H500" s="540"/>
      <c r="I500" s="12"/>
      <c r="J500" s="539"/>
      <c r="K500" s="539"/>
      <c r="L500" s="539"/>
      <c r="M500" s="539"/>
      <c r="N500" s="353">
        <f>SUM(N494:N496)</f>
        <v>6</v>
      </c>
      <c r="O500" s="353">
        <f>SUM(O494:O496)</f>
        <v>1</v>
      </c>
      <c r="P500" s="155">
        <f t="shared" si="675"/>
        <v>7</v>
      </c>
      <c r="Q500" s="353">
        <f>SUM(Q494:Q496)</f>
        <v>1</v>
      </c>
      <c r="R500" s="353">
        <f>SUM(R494:R496)</f>
        <v>4</v>
      </c>
      <c r="S500" s="155">
        <f t="shared" si="690"/>
        <v>5</v>
      </c>
      <c r="T500" s="353">
        <f>SUM(T494:T496)</f>
        <v>0</v>
      </c>
      <c r="U500" s="353">
        <f>SUM(U494:U496)</f>
        <v>0</v>
      </c>
      <c r="V500" s="155">
        <f t="shared" si="691"/>
        <v>0</v>
      </c>
      <c r="W500" s="388">
        <f t="shared" ref="W500" si="693">J500+K500+N500+Q500+T500</f>
        <v>7</v>
      </c>
      <c r="X500" s="155">
        <f t="shared" ref="X500" si="694">L500+O500+R500+U500</f>
        <v>5</v>
      </c>
      <c r="Y500" s="539">
        <f t="shared" si="692"/>
        <v>12</v>
      </c>
      <c r="Z500" s="23"/>
      <c r="AA500" s="23"/>
      <c r="AB500" s="23"/>
      <c r="AC500" s="23"/>
      <c r="AE500" s="539"/>
      <c r="AF500" s="539"/>
      <c r="AG500" s="539"/>
      <c r="AH500" s="568"/>
      <c r="AI500" s="23"/>
      <c r="AK500" s="539"/>
      <c r="AL500" s="539"/>
      <c r="AM500" s="539"/>
      <c r="AN500" s="568"/>
      <c r="AO500" s="23"/>
      <c r="AQ500" s="539"/>
      <c r="AR500" s="539"/>
      <c r="AS500" s="539"/>
      <c r="AT500" s="568"/>
      <c r="AU500" s="23"/>
      <c r="AW500" s="539"/>
      <c r="AX500" s="539"/>
      <c r="AY500" s="539"/>
      <c r="AZ500" s="568"/>
      <c r="BA500" s="23"/>
    </row>
    <row r="501" spans="1:53" s="97" customFormat="1" ht="17.100000000000001" customHeight="1" x14ac:dyDescent="0.25">
      <c r="A501" s="68"/>
      <c r="B501" s="68"/>
      <c r="C501" s="186"/>
      <c r="D501" s="165"/>
      <c r="E501" s="187"/>
      <c r="F501" s="187"/>
      <c r="G501" s="187"/>
      <c r="H501" s="540"/>
      <c r="I501" s="207"/>
      <c r="J501" s="95"/>
      <c r="K501" s="95"/>
      <c r="L501" s="95"/>
      <c r="M501" s="95"/>
      <c r="N501" s="95"/>
      <c r="O501" s="95"/>
      <c r="P501" s="95"/>
      <c r="Q501" s="95"/>
      <c r="R501" s="95"/>
      <c r="S501" s="95"/>
      <c r="T501" s="95"/>
      <c r="U501" s="95"/>
      <c r="V501" s="95"/>
      <c r="W501" s="378"/>
      <c r="X501" s="95"/>
      <c r="Y501" s="96"/>
      <c r="AE501" s="109"/>
      <c r="AF501" s="109"/>
      <c r="AG501" s="109"/>
      <c r="AH501" s="96"/>
      <c r="AK501" s="109"/>
      <c r="AL501" s="109"/>
      <c r="AM501" s="109"/>
      <c r="AN501" s="96"/>
      <c r="AQ501" s="109"/>
      <c r="AR501" s="109"/>
      <c r="AS501" s="109"/>
      <c r="AT501" s="96"/>
      <c r="AW501" s="109"/>
      <c r="AX501" s="109"/>
      <c r="AY501" s="109"/>
      <c r="AZ501" s="96"/>
    </row>
    <row r="502" spans="1:53" s="32" customFormat="1" ht="16.5" thickBot="1" x14ac:dyDescent="0.3">
      <c r="A502" s="24" t="s">
        <v>287</v>
      </c>
      <c r="B502" s="25" t="s">
        <v>288</v>
      </c>
      <c r="C502" s="26"/>
      <c r="D502" s="27"/>
      <c r="E502" s="27"/>
      <c r="F502" s="27"/>
      <c r="G502" s="27"/>
      <c r="H502" s="264"/>
      <c r="I502" s="228"/>
      <c r="J502" s="140"/>
      <c r="K502" s="140"/>
      <c r="L502" s="140"/>
      <c r="M502" s="140"/>
      <c r="N502" s="140"/>
      <c r="O502" s="140"/>
      <c r="P502" s="140"/>
      <c r="Q502" s="140"/>
      <c r="R502" s="140"/>
      <c r="S502" s="140"/>
      <c r="T502" s="140"/>
      <c r="U502" s="140"/>
      <c r="V502" s="365"/>
      <c r="W502" s="379"/>
      <c r="X502" s="140"/>
      <c r="Y502" s="30" t="s">
        <v>4</v>
      </c>
      <c r="Z502" s="30" t="s">
        <v>5</v>
      </c>
      <c r="AA502" s="30"/>
      <c r="AB502" s="30"/>
      <c r="AC502" s="188"/>
      <c r="AE502" s="33" t="s">
        <v>181</v>
      </c>
      <c r="AF502" s="33" t="s">
        <v>182</v>
      </c>
      <c r="AG502" s="33" t="s">
        <v>6</v>
      </c>
      <c r="AH502" s="33" t="s">
        <v>4</v>
      </c>
      <c r="AI502" s="34" t="s">
        <v>5</v>
      </c>
      <c r="AJ502" s="408"/>
      <c r="AK502" s="36" t="s">
        <v>181</v>
      </c>
      <c r="AL502" s="36" t="s">
        <v>182</v>
      </c>
      <c r="AM502" s="36" t="s">
        <v>6</v>
      </c>
      <c r="AN502" s="36" t="s">
        <v>4</v>
      </c>
      <c r="AO502" s="37" t="s">
        <v>5</v>
      </c>
      <c r="AP502" s="408"/>
      <c r="AQ502" s="36"/>
      <c r="AR502" s="36"/>
      <c r="AS502" s="36"/>
      <c r="AT502" s="36"/>
      <c r="AU502" s="37"/>
      <c r="AV502" s="408"/>
      <c r="AW502" s="38" t="s">
        <v>181</v>
      </c>
      <c r="AX502" s="38" t="s">
        <v>182</v>
      </c>
      <c r="AY502" s="38" t="s">
        <v>6</v>
      </c>
      <c r="AZ502" s="38" t="s">
        <v>4</v>
      </c>
      <c r="BA502" s="39" t="s">
        <v>5</v>
      </c>
    </row>
    <row r="503" spans="1:53" ht="17.100000000000001" customHeight="1" x14ac:dyDescent="0.25">
      <c r="A503" s="68"/>
      <c r="B503" s="41" t="s">
        <v>289</v>
      </c>
      <c r="C503" s="69" t="s">
        <v>620</v>
      </c>
      <c r="D503" s="50"/>
      <c r="E503" s="70"/>
      <c r="F503" s="70"/>
      <c r="G503" s="70"/>
      <c r="H503" s="119"/>
      <c r="J503" s="71"/>
      <c r="K503" s="71"/>
      <c r="L503" s="71"/>
      <c r="M503" s="71"/>
      <c r="N503" s="71"/>
      <c r="O503" s="71"/>
      <c r="P503" s="71"/>
      <c r="Q503" s="71"/>
      <c r="R503" s="71"/>
      <c r="S503" s="71"/>
      <c r="T503" s="71"/>
      <c r="U503" s="71"/>
      <c r="V503" s="355"/>
      <c r="W503" s="377"/>
      <c r="X503" s="71"/>
      <c r="Y503" s="72"/>
      <c r="Z503" s="73"/>
      <c r="AA503" s="73"/>
      <c r="AB503" s="73"/>
      <c r="AC503" s="73"/>
      <c r="AE503" s="71"/>
      <c r="AF503" s="71"/>
      <c r="AG503" s="71"/>
      <c r="AH503" s="72"/>
      <c r="AI503" s="73"/>
      <c r="AK503" s="71"/>
      <c r="AL503" s="71"/>
      <c r="AM503" s="71"/>
      <c r="AN503" s="72"/>
      <c r="AO503" s="73"/>
      <c r="AQ503" s="71"/>
      <c r="AR503" s="71"/>
      <c r="AS503" s="71"/>
      <c r="AT503" s="72"/>
      <c r="AU503" s="73"/>
      <c r="AW503" s="71"/>
      <c r="AX503" s="71"/>
      <c r="AY503" s="71"/>
      <c r="AZ503" s="72"/>
      <c r="BA503" s="73"/>
    </row>
    <row r="504" spans="1:53" ht="17.100000000000001" customHeight="1" x14ac:dyDescent="0.25">
      <c r="A504" s="40"/>
      <c r="B504" s="40"/>
      <c r="C504" s="74" t="s">
        <v>291</v>
      </c>
      <c r="D504" s="75" t="s">
        <v>292</v>
      </c>
      <c r="E504" s="105"/>
      <c r="F504" s="75"/>
      <c r="G504" s="75"/>
      <c r="H504" s="540"/>
      <c r="I504" s="229"/>
      <c r="J504" s="111"/>
      <c r="K504" s="111"/>
      <c r="L504" s="111"/>
      <c r="M504" s="111"/>
      <c r="N504" s="60">
        <v>3</v>
      </c>
      <c r="O504" s="60"/>
      <c r="P504" s="17">
        <f t="shared" ref="P504:P507" si="695">SUM(N504:O504)</f>
        <v>3</v>
      </c>
      <c r="Q504" s="60"/>
      <c r="R504" s="60"/>
      <c r="S504" s="17">
        <f t="shared" ref="S504:S507" si="696">SUM(Q504:R504)</f>
        <v>0</v>
      </c>
      <c r="T504" s="60"/>
      <c r="U504" s="60"/>
      <c r="V504" s="359">
        <f t="shared" ref="V504:V507" si="697">SUM(T504:U504)</f>
        <v>0</v>
      </c>
      <c r="W504" s="391">
        <f t="shared" ref="W504:W507" si="698">J504+K504+N504+Q504+T504</f>
        <v>3</v>
      </c>
      <c r="X504" s="17">
        <f t="shared" ref="X504:X507" si="699">L504+O504+R504+U504</f>
        <v>0</v>
      </c>
      <c r="Y504" s="18">
        <f>SUM(W504:X504)</f>
        <v>3</v>
      </c>
      <c r="Z504" s="19">
        <f>IF(Y$508=0,0,Y504/Y$508)</f>
        <v>0.2</v>
      </c>
      <c r="AA504" s="19"/>
      <c r="AB504" s="19"/>
      <c r="AC504" s="20"/>
      <c r="AE504" s="111"/>
      <c r="AF504" s="111"/>
      <c r="AG504" s="111"/>
      <c r="AH504" s="112"/>
      <c r="AI504" s="113"/>
      <c r="AK504" s="111"/>
      <c r="AL504" s="111"/>
      <c r="AM504" s="111"/>
      <c r="AN504" s="112"/>
      <c r="AO504" s="113"/>
      <c r="AQ504" s="17"/>
      <c r="AR504" s="17"/>
      <c r="AS504" s="17"/>
      <c r="AT504" s="18">
        <f t="shared" ref="AT504:AT507" si="700">W504</f>
        <v>3</v>
      </c>
      <c r="AU504" s="19">
        <f>IF(AT$508=0,0,AT504/AT$508)</f>
        <v>0.42857142857142855</v>
      </c>
      <c r="AW504" s="17"/>
      <c r="AX504" s="17"/>
      <c r="AY504" s="17"/>
      <c r="AZ504" s="18">
        <f t="shared" ref="AZ504:AZ507" si="701">X504</f>
        <v>0</v>
      </c>
      <c r="BA504" s="19">
        <f>IF(AZ$508=0,0,AZ504/AZ$508)</f>
        <v>0</v>
      </c>
    </row>
    <row r="505" spans="1:53" ht="17.100000000000001" customHeight="1" x14ac:dyDescent="0.25">
      <c r="A505" s="40"/>
      <c r="B505" s="40"/>
      <c r="C505" s="74" t="s">
        <v>293</v>
      </c>
      <c r="D505" s="75" t="s">
        <v>11</v>
      </c>
      <c r="E505" s="105"/>
      <c r="F505" s="75"/>
      <c r="G505" s="75"/>
      <c r="H505" s="540"/>
      <c r="I505" s="229"/>
      <c r="J505" s="111"/>
      <c r="K505" s="111"/>
      <c r="L505" s="111"/>
      <c r="M505" s="111"/>
      <c r="N505" s="61"/>
      <c r="O505" s="61"/>
      <c r="P505" s="17">
        <f t="shared" si="695"/>
        <v>0</v>
      </c>
      <c r="Q505" s="61"/>
      <c r="R505" s="61"/>
      <c r="S505" s="17">
        <f t="shared" si="696"/>
        <v>0</v>
      </c>
      <c r="T505" s="61"/>
      <c r="U505" s="61"/>
      <c r="V505" s="359">
        <f t="shared" si="697"/>
        <v>0</v>
      </c>
      <c r="W505" s="391">
        <f t="shared" si="698"/>
        <v>0</v>
      </c>
      <c r="X505" s="17">
        <f t="shared" si="699"/>
        <v>0</v>
      </c>
      <c r="Y505" s="18">
        <f>SUM(W505:X505)</f>
        <v>0</v>
      </c>
      <c r="Z505" s="19">
        <f t="shared" ref="Z505:Z508" si="702">IF(Y$508=0,0,Y505/Y$508)</f>
        <v>0</v>
      </c>
      <c r="AA505" s="19"/>
      <c r="AB505" s="19"/>
      <c r="AC505" s="20"/>
      <c r="AE505" s="111"/>
      <c r="AF505" s="111"/>
      <c r="AG505" s="111"/>
      <c r="AH505" s="112"/>
      <c r="AI505" s="113"/>
      <c r="AK505" s="111"/>
      <c r="AL505" s="111"/>
      <c r="AM505" s="111"/>
      <c r="AN505" s="112"/>
      <c r="AO505" s="113"/>
      <c r="AQ505" s="17"/>
      <c r="AR505" s="17"/>
      <c r="AS505" s="17"/>
      <c r="AT505" s="18">
        <f t="shared" si="700"/>
        <v>0</v>
      </c>
      <c r="AU505" s="19">
        <f>IF(AT$508=0,0,AT505/AT$508)</f>
        <v>0</v>
      </c>
      <c r="AW505" s="17"/>
      <c r="AX505" s="17"/>
      <c r="AY505" s="17"/>
      <c r="AZ505" s="18">
        <f t="shared" si="701"/>
        <v>0</v>
      </c>
      <c r="BA505" s="19">
        <f>IF(AZ$508=0,0,AZ505/AZ$508)</f>
        <v>0</v>
      </c>
    </row>
    <row r="506" spans="1:53" ht="17.100000000000001" customHeight="1" x14ac:dyDescent="0.25">
      <c r="A506" s="40"/>
      <c r="B506" s="40"/>
      <c r="C506" s="74" t="s">
        <v>294</v>
      </c>
      <c r="D506" s="75" t="s">
        <v>295</v>
      </c>
      <c r="E506" s="105"/>
      <c r="F506" s="75"/>
      <c r="G506" s="75"/>
      <c r="H506" s="540"/>
      <c r="I506" s="229"/>
      <c r="J506" s="111"/>
      <c r="K506" s="111"/>
      <c r="L506" s="111"/>
      <c r="M506" s="111"/>
      <c r="N506" s="60"/>
      <c r="O506" s="60"/>
      <c r="P506" s="17">
        <f t="shared" si="695"/>
        <v>0</v>
      </c>
      <c r="Q506" s="60"/>
      <c r="R506" s="60"/>
      <c r="S506" s="17">
        <f t="shared" si="696"/>
        <v>0</v>
      </c>
      <c r="T506" s="60"/>
      <c r="U506" s="60"/>
      <c r="V506" s="359">
        <f t="shared" si="697"/>
        <v>0</v>
      </c>
      <c r="W506" s="391">
        <f t="shared" si="698"/>
        <v>0</v>
      </c>
      <c r="X506" s="17">
        <f t="shared" si="699"/>
        <v>0</v>
      </c>
      <c r="Y506" s="18">
        <f>SUM(W506:X506)</f>
        <v>0</v>
      </c>
      <c r="Z506" s="19">
        <f t="shared" si="702"/>
        <v>0</v>
      </c>
      <c r="AA506" s="19"/>
      <c r="AB506" s="19"/>
      <c r="AC506" s="20"/>
      <c r="AE506" s="111"/>
      <c r="AF506" s="111"/>
      <c r="AG506" s="111"/>
      <c r="AH506" s="112"/>
      <c r="AI506" s="113"/>
      <c r="AK506" s="111"/>
      <c r="AL506" s="111"/>
      <c r="AM506" s="111"/>
      <c r="AN506" s="112"/>
      <c r="AO506" s="113"/>
      <c r="AQ506" s="17"/>
      <c r="AR506" s="17"/>
      <c r="AS506" s="17"/>
      <c r="AT506" s="18">
        <f t="shared" si="700"/>
        <v>0</v>
      </c>
      <c r="AU506" s="19">
        <f>IF(AT$508=0,0,AT506/AT$508)</f>
        <v>0</v>
      </c>
      <c r="AW506" s="17"/>
      <c r="AX506" s="17"/>
      <c r="AY506" s="17"/>
      <c r="AZ506" s="18">
        <f t="shared" si="701"/>
        <v>0</v>
      </c>
      <c r="BA506" s="19">
        <f>IF(AZ$508=0,0,AZ506/AZ$508)</f>
        <v>0</v>
      </c>
    </row>
    <row r="507" spans="1:53" ht="17.100000000000001" customHeight="1" x14ac:dyDescent="0.25">
      <c r="A507" s="40"/>
      <c r="B507" s="40"/>
      <c r="C507" s="74" t="s">
        <v>296</v>
      </c>
      <c r="D507" s="75" t="s">
        <v>9</v>
      </c>
      <c r="E507" s="105"/>
      <c r="F507" s="75"/>
      <c r="G507" s="75"/>
      <c r="H507" s="540"/>
      <c r="I507" s="229"/>
      <c r="J507" s="111"/>
      <c r="K507" s="111"/>
      <c r="L507" s="111"/>
      <c r="M507" s="111"/>
      <c r="N507" s="61">
        <v>3</v>
      </c>
      <c r="O507" s="61">
        <v>3</v>
      </c>
      <c r="P507" s="17">
        <f t="shared" si="695"/>
        <v>6</v>
      </c>
      <c r="Q507" s="61">
        <v>1</v>
      </c>
      <c r="R507" s="61">
        <v>5</v>
      </c>
      <c r="S507" s="17">
        <f t="shared" si="696"/>
        <v>6</v>
      </c>
      <c r="T507" s="61"/>
      <c r="U507" s="61"/>
      <c r="V507" s="359">
        <f t="shared" si="697"/>
        <v>0</v>
      </c>
      <c r="W507" s="391">
        <f t="shared" si="698"/>
        <v>4</v>
      </c>
      <c r="X507" s="17">
        <f t="shared" si="699"/>
        <v>8</v>
      </c>
      <c r="Y507" s="18">
        <f>SUM(W507:X507)</f>
        <v>12</v>
      </c>
      <c r="Z507" s="19">
        <f t="shared" si="702"/>
        <v>0.8</v>
      </c>
      <c r="AA507" s="19"/>
      <c r="AB507" s="19"/>
      <c r="AC507" s="20"/>
      <c r="AE507" s="111"/>
      <c r="AF507" s="111"/>
      <c r="AG507" s="111"/>
      <c r="AH507" s="112"/>
      <c r="AI507" s="113"/>
      <c r="AK507" s="111"/>
      <c r="AL507" s="111"/>
      <c r="AM507" s="111"/>
      <c r="AN507" s="112"/>
      <c r="AO507" s="113"/>
      <c r="AQ507" s="17"/>
      <c r="AR507" s="17"/>
      <c r="AS507" s="17"/>
      <c r="AT507" s="18">
        <f t="shared" si="700"/>
        <v>4</v>
      </c>
      <c r="AU507" s="19">
        <f>IF(AT$508=0,0,AT507/AT$508)</f>
        <v>0.5714285714285714</v>
      </c>
      <c r="AW507" s="17"/>
      <c r="AX507" s="17"/>
      <c r="AY507" s="17"/>
      <c r="AZ507" s="18">
        <f t="shared" si="701"/>
        <v>8</v>
      </c>
      <c r="BA507" s="19">
        <f>IF(AZ$508=0,0,AZ507/AZ$508)</f>
        <v>1</v>
      </c>
    </row>
    <row r="508" spans="1:53" ht="17.100000000000001" customHeight="1" x14ac:dyDescent="0.25">
      <c r="A508" s="40"/>
      <c r="B508" s="40"/>
      <c r="C508" s="292"/>
      <c r="D508" s="134"/>
      <c r="E508" s="134"/>
      <c r="F508" s="134"/>
      <c r="G508" s="134"/>
      <c r="H508" s="540"/>
      <c r="I508" s="229"/>
      <c r="J508" s="80"/>
      <c r="K508" s="80"/>
      <c r="L508" s="81"/>
      <c r="M508" s="81"/>
      <c r="N508" s="81">
        <f>SUM(N504:N507)</f>
        <v>6</v>
      </c>
      <c r="O508" s="81">
        <f t="shared" ref="O508:V508" si="703">SUM(O504:O507)</f>
        <v>3</v>
      </c>
      <c r="P508" s="81">
        <f t="shared" si="703"/>
        <v>9</v>
      </c>
      <c r="Q508" s="81">
        <f t="shared" si="703"/>
        <v>1</v>
      </c>
      <c r="R508" s="81">
        <f t="shared" si="703"/>
        <v>5</v>
      </c>
      <c r="S508" s="81">
        <f t="shared" si="703"/>
        <v>6</v>
      </c>
      <c r="T508" s="81">
        <f t="shared" si="703"/>
        <v>0</v>
      </c>
      <c r="U508" s="81">
        <f t="shared" si="703"/>
        <v>0</v>
      </c>
      <c r="V508" s="81">
        <f t="shared" si="703"/>
        <v>0</v>
      </c>
      <c r="W508" s="381">
        <f>SUM(W504:W507)</f>
        <v>7</v>
      </c>
      <c r="X508" s="82">
        <f t="shared" ref="X508:Y508" si="704">SUM(X504:X507)</f>
        <v>8</v>
      </c>
      <c r="Y508" s="82">
        <f t="shared" si="704"/>
        <v>15</v>
      </c>
      <c r="Z508" s="205">
        <f t="shared" si="702"/>
        <v>1</v>
      </c>
      <c r="AA508" s="205"/>
      <c r="AB508" s="205"/>
      <c r="AC508" s="83"/>
      <c r="AE508" s="80"/>
      <c r="AF508" s="80"/>
      <c r="AG508" s="81"/>
      <c r="AH508" s="82"/>
      <c r="AI508" s="66"/>
      <c r="AK508" s="80"/>
      <c r="AL508" s="80"/>
      <c r="AM508" s="81"/>
      <c r="AN508" s="82"/>
      <c r="AO508" s="66"/>
      <c r="AQ508" s="80"/>
      <c r="AR508" s="80"/>
      <c r="AS508" s="81"/>
      <c r="AT508" s="82">
        <f>SUM(AT504:AT507)</f>
        <v>7</v>
      </c>
      <c r="AU508" s="66">
        <f>IF(AT$508=0,0,AT508/AT$508)</f>
        <v>1</v>
      </c>
      <c r="AW508" s="80"/>
      <c r="AX508" s="80"/>
      <c r="AY508" s="81"/>
      <c r="AZ508" s="82">
        <f>SUM(AZ504:AZ507)</f>
        <v>8</v>
      </c>
      <c r="BA508" s="66">
        <f>IF(AZ$508=0,0,AZ508/AZ$508)</f>
        <v>1</v>
      </c>
    </row>
    <row r="509" spans="1:53" s="117" customFormat="1" ht="17.100000000000001" customHeight="1" x14ac:dyDescent="0.25">
      <c r="A509" s="68"/>
      <c r="B509" s="119"/>
      <c r="C509" s="540"/>
      <c r="D509" s="261"/>
      <c r="E509" s="261"/>
      <c r="F509" s="68"/>
      <c r="G509" s="68"/>
      <c r="H509" s="119"/>
      <c r="I509" s="138"/>
      <c r="J509" s="17"/>
      <c r="K509" s="17"/>
      <c r="L509" s="17"/>
      <c r="M509" s="17"/>
      <c r="N509" s="17" t="str">
        <f>IF(N508=N$20,"OK","NOK")</f>
        <v>OK</v>
      </c>
      <c r="O509" s="17" t="str">
        <f>IF(O508=O$20,"OK","NOK")</f>
        <v>OK</v>
      </c>
      <c r="P509" s="17"/>
      <c r="Q509" s="17" t="str">
        <f>IF(Q508=Q$20,"OK","NOK")</f>
        <v>OK</v>
      </c>
      <c r="R509" s="17" t="str">
        <f>IF(R508=R$20,"OK","NOK")</f>
        <v>OK</v>
      </c>
      <c r="S509" s="17"/>
      <c r="T509" s="17" t="str">
        <f>IF(T508=T$20,"OK","NOK")</f>
        <v>OK</v>
      </c>
      <c r="U509" s="17" t="str">
        <f>IF(U508=U$20,"OK","NOK")</f>
        <v>OK</v>
      </c>
      <c r="V509" s="359"/>
      <c r="W509" s="382"/>
      <c r="X509" s="539"/>
      <c r="Y509" s="539"/>
      <c r="Z509" s="201"/>
      <c r="AA509" s="201"/>
      <c r="AB509" s="201"/>
      <c r="AC509" s="84"/>
      <c r="AE509" s="46"/>
      <c r="AF509" s="46"/>
      <c r="AG509" s="17"/>
      <c r="AH509" s="539"/>
      <c r="AI509" s="91"/>
      <c r="AK509" s="46"/>
      <c r="AL509" s="46"/>
      <c r="AM509" s="17"/>
      <c r="AN509" s="539"/>
      <c r="AO509" s="91"/>
      <c r="AQ509" s="46"/>
      <c r="AR509" s="46"/>
      <c r="AS509" s="17"/>
      <c r="AT509" s="539"/>
      <c r="AU509" s="91"/>
      <c r="AW509" s="46"/>
      <c r="AX509" s="46"/>
      <c r="AY509" s="17"/>
      <c r="AZ509" s="539"/>
      <c r="BA509" s="91"/>
    </row>
    <row r="510" spans="1:53" ht="17.100000000000001" customHeight="1" x14ac:dyDescent="0.25">
      <c r="A510" s="68"/>
      <c r="B510" s="41" t="s">
        <v>297</v>
      </c>
      <c r="C510" s="69" t="s">
        <v>290</v>
      </c>
      <c r="D510" s="50"/>
      <c r="E510" s="70"/>
      <c r="F510" s="70"/>
      <c r="G510" s="70"/>
      <c r="H510" s="119"/>
      <c r="J510" s="71"/>
      <c r="K510" s="71"/>
      <c r="L510" s="71"/>
      <c r="M510" s="71"/>
      <c r="N510" s="71"/>
      <c r="O510" s="71"/>
      <c r="P510" s="71"/>
      <c r="Q510" s="71"/>
      <c r="R510" s="71"/>
      <c r="S510" s="71"/>
      <c r="T510" s="71"/>
      <c r="U510" s="71"/>
      <c r="V510" s="355"/>
      <c r="W510" s="377"/>
      <c r="X510" s="71"/>
      <c r="Y510" s="72"/>
      <c r="Z510" s="73"/>
      <c r="AA510" s="73"/>
      <c r="AB510" s="73"/>
      <c r="AC510" s="73"/>
      <c r="AE510" s="71"/>
      <c r="AF510" s="71"/>
      <c r="AG510" s="71"/>
      <c r="AH510" s="72"/>
      <c r="AI510" s="73"/>
      <c r="AK510" s="71"/>
      <c r="AL510" s="71"/>
      <c r="AM510" s="71"/>
      <c r="AN510" s="72"/>
      <c r="AO510" s="73"/>
      <c r="AQ510" s="71"/>
      <c r="AR510" s="71"/>
      <c r="AS510" s="71"/>
      <c r="AT510" s="72"/>
      <c r="AU510" s="73"/>
      <c r="AW510" s="71"/>
      <c r="AX510" s="71"/>
      <c r="AY510" s="71"/>
      <c r="AZ510" s="72"/>
      <c r="BA510" s="73"/>
    </row>
    <row r="511" spans="1:53" ht="17.100000000000001" customHeight="1" x14ac:dyDescent="0.25">
      <c r="A511" s="40"/>
      <c r="B511" s="40"/>
      <c r="C511" s="74" t="s">
        <v>298</v>
      </c>
      <c r="D511" s="75" t="s">
        <v>292</v>
      </c>
      <c r="E511" s="105"/>
      <c r="F511" s="75"/>
      <c r="G511" s="75"/>
      <c r="H511" s="540"/>
      <c r="I511" s="229"/>
      <c r="J511" s="111"/>
      <c r="K511" s="111"/>
      <c r="L511" s="111"/>
      <c r="M511" s="111"/>
      <c r="N511" s="60"/>
      <c r="O511" s="60"/>
      <c r="P511" s="17">
        <f t="shared" ref="P511:P514" si="705">SUM(N511:O511)</f>
        <v>0</v>
      </c>
      <c r="Q511" s="60"/>
      <c r="R511" s="60"/>
      <c r="S511" s="17">
        <f t="shared" ref="S511:S514" si="706">SUM(Q511:R511)</f>
        <v>0</v>
      </c>
      <c r="T511" s="60"/>
      <c r="U511" s="60"/>
      <c r="V511" s="359">
        <f t="shared" ref="V511:V514" si="707">SUM(T511:U511)</f>
        <v>0</v>
      </c>
      <c r="W511" s="391">
        <f t="shared" ref="W511:W514" si="708">J511+K511+N511+Q511+T511</f>
        <v>0</v>
      </c>
      <c r="X511" s="17">
        <f t="shared" ref="X511:X514" si="709">L511+O511+R511+U511</f>
        <v>0</v>
      </c>
      <c r="Y511" s="18">
        <f>SUM(W511:X511)</f>
        <v>0</v>
      </c>
      <c r="Z511" s="19">
        <f>IF(Y$515=0,0,Y511/Y$515)</f>
        <v>0</v>
      </c>
      <c r="AA511" s="19"/>
      <c r="AB511" s="19"/>
      <c r="AC511" s="20"/>
      <c r="AE511" s="111"/>
      <c r="AF511" s="111"/>
      <c r="AG511" s="111"/>
      <c r="AH511" s="112"/>
      <c r="AI511" s="113"/>
      <c r="AK511" s="111"/>
      <c r="AL511" s="111"/>
      <c r="AM511" s="111"/>
      <c r="AN511" s="112"/>
      <c r="AO511" s="113"/>
      <c r="AQ511" s="17"/>
      <c r="AR511" s="17"/>
      <c r="AS511" s="17"/>
      <c r="AT511" s="18">
        <f t="shared" ref="AT511:AT514" si="710">W511</f>
        <v>0</v>
      </c>
      <c r="AU511" s="19">
        <f t="shared" ref="AU511:AU514" si="711">IF(AT$508=0,0,AT511/AT$508)</f>
        <v>0</v>
      </c>
      <c r="AW511" s="17"/>
      <c r="AX511" s="17"/>
      <c r="AY511" s="17"/>
      <c r="AZ511" s="18">
        <f t="shared" ref="AZ511:AZ514" si="712">X511</f>
        <v>0</v>
      </c>
      <c r="BA511" s="19">
        <f>IF(AZ$515=0,0,AZ511/AZ$515)</f>
        <v>0</v>
      </c>
    </row>
    <row r="512" spans="1:53" ht="17.100000000000001" customHeight="1" x14ac:dyDescent="0.25">
      <c r="A512" s="40"/>
      <c r="B512" s="40"/>
      <c r="C512" s="74" t="s">
        <v>299</v>
      </c>
      <c r="D512" s="75" t="s">
        <v>11</v>
      </c>
      <c r="E512" s="105"/>
      <c r="F512" s="75"/>
      <c r="G512" s="75"/>
      <c r="H512" s="540"/>
      <c r="I512" s="229"/>
      <c r="J512" s="111"/>
      <c r="K512" s="111"/>
      <c r="L512" s="111"/>
      <c r="M512" s="111"/>
      <c r="N512" s="61"/>
      <c r="O512" s="61"/>
      <c r="P512" s="17">
        <f t="shared" si="705"/>
        <v>0</v>
      </c>
      <c r="Q512" s="61">
        <v>1</v>
      </c>
      <c r="R512" s="61">
        <v>4</v>
      </c>
      <c r="S512" s="17">
        <f t="shared" si="706"/>
        <v>5</v>
      </c>
      <c r="T512" s="61"/>
      <c r="U512" s="61"/>
      <c r="V512" s="359">
        <f t="shared" si="707"/>
        <v>0</v>
      </c>
      <c r="W512" s="391">
        <f t="shared" si="708"/>
        <v>1</v>
      </c>
      <c r="X512" s="17">
        <f t="shared" si="709"/>
        <v>4</v>
      </c>
      <c r="Y512" s="18">
        <f>SUM(W512:X512)</f>
        <v>5</v>
      </c>
      <c r="Z512" s="19">
        <f t="shared" ref="Z512:Z515" si="713">IF(Y$515=0,0,Y512/Y$515)</f>
        <v>0.33333333333333331</v>
      </c>
      <c r="AA512" s="19"/>
      <c r="AB512" s="19"/>
      <c r="AC512" s="20"/>
      <c r="AE512" s="111"/>
      <c r="AF512" s="111"/>
      <c r="AG512" s="111"/>
      <c r="AH512" s="112"/>
      <c r="AI512" s="113"/>
      <c r="AK512" s="111"/>
      <c r="AL512" s="111"/>
      <c r="AM512" s="111"/>
      <c r="AN512" s="112"/>
      <c r="AO512" s="113"/>
      <c r="AQ512" s="17"/>
      <c r="AR512" s="17"/>
      <c r="AS512" s="17"/>
      <c r="AT512" s="18">
        <f t="shared" si="710"/>
        <v>1</v>
      </c>
      <c r="AU512" s="19">
        <f t="shared" si="711"/>
        <v>0.14285714285714285</v>
      </c>
      <c r="AW512" s="17"/>
      <c r="AX512" s="17"/>
      <c r="AY512" s="17"/>
      <c r="AZ512" s="18">
        <f t="shared" si="712"/>
        <v>4</v>
      </c>
      <c r="BA512" s="19">
        <f t="shared" ref="BA512:BA515" si="714">IF(AZ$515=0,0,AZ512/AZ$515)</f>
        <v>0.5</v>
      </c>
    </row>
    <row r="513" spans="1:53" ht="17.100000000000001" customHeight="1" x14ac:dyDescent="0.25">
      <c r="A513" s="40"/>
      <c r="B513" s="40"/>
      <c r="C513" s="74" t="s">
        <v>301</v>
      </c>
      <c r="D513" s="75" t="s">
        <v>295</v>
      </c>
      <c r="E513" s="105"/>
      <c r="F513" s="75"/>
      <c r="G513" s="75"/>
      <c r="H513" s="540"/>
      <c r="I513" s="229"/>
      <c r="J513" s="111"/>
      <c r="K513" s="111"/>
      <c r="L513" s="111"/>
      <c r="M513" s="111"/>
      <c r="N513" s="60"/>
      <c r="O513" s="60"/>
      <c r="P513" s="17">
        <f t="shared" si="705"/>
        <v>0</v>
      </c>
      <c r="Q513" s="60"/>
      <c r="R513" s="60"/>
      <c r="S513" s="17">
        <f t="shared" si="706"/>
        <v>0</v>
      </c>
      <c r="T513" s="60"/>
      <c r="U513" s="60"/>
      <c r="V513" s="359">
        <f t="shared" si="707"/>
        <v>0</v>
      </c>
      <c r="W513" s="391">
        <f t="shared" si="708"/>
        <v>0</v>
      </c>
      <c r="X513" s="17">
        <f t="shared" si="709"/>
        <v>0</v>
      </c>
      <c r="Y513" s="18">
        <f>SUM(W513:X513)</f>
        <v>0</v>
      </c>
      <c r="Z513" s="19">
        <f t="shared" si="713"/>
        <v>0</v>
      </c>
      <c r="AA513" s="19"/>
      <c r="AB513" s="19"/>
      <c r="AC513" s="20"/>
      <c r="AE513" s="111"/>
      <c r="AF513" s="111"/>
      <c r="AG513" s="111"/>
      <c r="AH513" s="112"/>
      <c r="AI513" s="113"/>
      <c r="AK513" s="111"/>
      <c r="AL513" s="111"/>
      <c r="AM513" s="111"/>
      <c r="AN513" s="112"/>
      <c r="AO513" s="113"/>
      <c r="AQ513" s="17"/>
      <c r="AR513" s="17"/>
      <c r="AS513" s="17"/>
      <c r="AT513" s="18">
        <f t="shared" si="710"/>
        <v>0</v>
      </c>
      <c r="AU513" s="19">
        <f t="shared" si="711"/>
        <v>0</v>
      </c>
      <c r="AW513" s="17"/>
      <c r="AX513" s="17"/>
      <c r="AY513" s="17"/>
      <c r="AZ513" s="18">
        <f t="shared" si="712"/>
        <v>0</v>
      </c>
      <c r="BA513" s="19">
        <f t="shared" si="714"/>
        <v>0</v>
      </c>
    </row>
    <row r="514" spans="1:53" ht="17.100000000000001" customHeight="1" x14ac:dyDescent="0.25">
      <c r="A514" s="40"/>
      <c r="B514" s="40"/>
      <c r="C514" s="74" t="s">
        <v>303</v>
      </c>
      <c r="D514" s="75" t="s">
        <v>9</v>
      </c>
      <c r="E514" s="105"/>
      <c r="F514" s="75"/>
      <c r="G514" s="75"/>
      <c r="H514" s="540"/>
      <c r="I514" s="229"/>
      <c r="J514" s="111"/>
      <c r="K514" s="111"/>
      <c r="L514" s="111"/>
      <c r="M514" s="111"/>
      <c r="N514" s="61">
        <v>6</v>
      </c>
      <c r="O514" s="61">
        <v>3</v>
      </c>
      <c r="P514" s="17">
        <f t="shared" si="705"/>
        <v>9</v>
      </c>
      <c r="Q514" s="61"/>
      <c r="R514" s="61">
        <v>1</v>
      </c>
      <c r="S514" s="17">
        <f t="shared" si="706"/>
        <v>1</v>
      </c>
      <c r="T514" s="61"/>
      <c r="U514" s="61"/>
      <c r="V514" s="359">
        <f t="shared" si="707"/>
        <v>0</v>
      </c>
      <c r="W514" s="391">
        <f t="shared" si="708"/>
        <v>6</v>
      </c>
      <c r="X514" s="17">
        <f t="shared" si="709"/>
        <v>4</v>
      </c>
      <c r="Y514" s="18">
        <f>SUM(W514:X514)</f>
        <v>10</v>
      </c>
      <c r="Z514" s="19">
        <f t="shared" si="713"/>
        <v>0.66666666666666663</v>
      </c>
      <c r="AA514" s="19"/>
      <c r="AB514" s="19"/>
      <c r="AC514" s="20"/>
      <c r="AE514" s="111"/>
      <c r="AF514" s="111"/>
      <c r="AG514" s="111"/>
      <c r="AH514" s="112"/>
      <c r="AI514" s="113"/>
      <c r="AK514" s="111"/>
      <c r="AL514" s="111"/>
      <c r="AM514" s="111"/>
      <c r="AN514" s="112"/>
      <c r="AO514" s="113"/>
      <c r="AQ514" s="17"/>
      <c r="AR514" s="17"/>
      <c r="AS514" s="17"/>
      <c r="AT514" s="18">
        <f t="shared" si="710"/>
        <v>6</v>
      </c>
      <c r="AU514" s="19">
        <f t="shared" si="711"/>
        <v>0.8571428571428571</v>
      </c>
      <c r="AW514" s="17"/>
      <c r="AX514" s="17"/>
      <c r="AY514" s="17"/>
      <c r="AZ514" s="18">
        <f t="shared" si="712"/>
        <v>4</v>
      </c>
      <c r="BA514" s="19">
        <f t="shared" si="714"/>
        <v>0.5</v>
      </c>
    </row>
    <row r="515" spans="1:53" ht="17.100000000000001" customHeight="1" x14ac:dyDescent="0.25">
      <c r="A515" s="175"/>
      <c r="B515" s="40"/>
      <c r="C515" s="163"/>
      <c r="D515" s="134"/>
      <c r="E515" s="134"/>
      <c r="F515" s="134"/>
      <c r="G515" s="134"/>
      <c r="H515" s="540"/>
      <c r="I515" s="12"/>
      <c r="J515" s="80"/>
      <c r="K515" s="80"/>
      <c r="L515" s="81"/>
      <c r="M515" s="81"/>
      <c r="N515" s="81">
        <f>SUM(N511:N514)</f>
        <v>6</v>
      </c>
      <c r="O515" s="81">
        <f t="shared" ref="O515:V515" si="715">SUM(O511:O514)</f>
        <v>3</v>
      </c>
      <c r="P515" s="81">
        <f t="shared" si="715"/>
        <v>9</v>
      </c>
      <c r="Q515" s="81">
        <f t="shared" si="715"/>
        <v>1</v>
      </c>
      <c r="R515" s="81">
        <f t="shared" si="715"/>
        <v>5</v>
      </c>
      <c r="S515" s="81">
        <f t="shared" si="715"/>
        <v>6</v>
      </c>
      <c r="T515" s="81">
        <f t="shared" si="715"/>
        <v>0</v>
      </c>
      <c r="U515" s="81">
        <f t="shared" si="715"/>
        <v>0</v>
      </c>
      <c r="V515" s="81">
        <f t="shared" si="715"/>
        <v>0</v>
      </c>
      <c r="W515" s="381">
        <f>SUM(W511:W514)</f>
        <v>7</v>
      </c>
      <c r="X515" s="82">
        <f t="shared" ref="X515" si="716">SUM(X511:X514)</f>
        <v>8</v>
      </c>
      <c r="Y515" s="82">
        <f t="shared" ref="Y515" si="717">SUM(Y511:Y514)</f>
        <v>15</v>
      </c>
      <c r="Z515" s="205">
        <f t="shared" si="713"/>
        <v>1</v>
      </c>
      <c r="AA515" s="205"/>
      <c r="AB515" s="205"/>
      <c r="AC515" s="83"/>
      <c r="AE515" s="80"/>
      <c r="AF515" s="80"/>
      <c r="AG515" s="81"/>
      <c r="AH515" s="82">
        <f>SUM(AH511:AH514)</f>
        <v>0</v>
      </c>
      <c r="AI515" s="66">
        <f t="shared" ref="AI515" si="718">IF(AH$515=0,0,AH515/AH$515)</f>
        <v>0</v>
      </c>
      <c r="AK515" s="80"/>
      <c r="AL515" s="80"/>
      <c r="AM515" s="81"/>
      <c r="AN515" s="82">
        <f>SUM(AN511:AN514)</f>
        <v>0</v>
      </c>
      <c r="AO515" s="66">
        <f t="shared" ref="AO515" si="719">IF(AN$515=0,0,AN515/AN$515)</f>
        <v>0</v>
      </c>
      <c r="AQ515" s="80"/>
      <c r="AR515" s="80"/>
      <c r="AS515" s="81"/>
      <c r="AT515" s="82"/>
      <c r="AU515" s="66"/>
      <c r="AW515" s="80"/>
      <c r="AX515" s="80"/>
      <c r="AY515" s="81"/>
      <c r="AZ515" s="82">
        <f>SUM(AZ511:AZ514)</f>
        <v>8</v>
      </c>
      <c r="BA515" s="66">
        <f t="shared" si="714"/>
        <v>1</v>
      </c>
    </row>
    <row r="516" spans="1:53" s="117" customFormat="1" ht="17.100000000000001" customHeight="1" x14ac:dyDescent="0.25">
      <c r="A516" s="68"/>
      <c r="B516" s="119"/>
      <c r="C516" s="540"/>
      <c r="D516" s="261"/>
      <c r="E516" s="261"/>
      <c r="F516" s="68"/>
      <c r="G516" s="68"/>
      <c r="H516" s="119"/>
      <c r="I516" s="138"/>
      <c r="J516" s="17"/>
      <c r="K516" s="17"/>
      <c r="L516" s="17"/>
      <c r="M516" s="17"/>
      <c r="N516" s="17" t="str">
        <f>IF(N515=N$20,"OK","NOK")</f>
        <v>OK</v>
      </c>
      <c r="O516" s="17" t="str">
        <f>IF(O515=O$20,"OK","NOK")</f>
        <v>OK</v>
      </c>
      <c r="P516" s="17"/>
      <c r="Q516" s="17" t="str">
        <f>IF(Q515=Q$20,"OK","NOK")</f>
        <v>OK</v>
      </c>
      <c r="R516" s="17" t="str">
        <f>IF(R515=R$20,"OK","NOK")</f>
        <v>OK</v>
      </c>
      <c r="S516" s="17"/>
      <c r="T516" s="17" t="str">
        <f>IF(T515=T$20,"OK","NOK")</f>
        <v>OK</v>
      </c>
      <c r="U516" s="17" t="str">
        <f>IF(U515=U$20,"OK","NOK")</f>
        <v>OK</v>
      </c>
      <c r="V516" s="359"/>
      <c r="W516" s="382"/>
      <c r="X516" s="539"/>
      <c r="Y516" s="539"/>
      <c r="Z516" s="201"/>
      <c r="AA516" s="201"/>
      <c r="AB516" s="201"/>
      <c r="AC516" s="84"/>
      <c r="AE516" s="46"/>
      <c r="AF516" s="46"/>
      <c r="AG516" s="17"/>
      <c r="AH516" s="539"/>
      <c r="AI516" s="91"/>
      <c r="AK516" s="46"/>
      <c r="AL516" s="46"/>
      <c r="AM516" s="17"/>
      <c r="AN516" s="539"/>
      <c r="AO516" s="91"/>
      <c r="AQ516" s="46"/>
      <c r="AR516" s="46"/>
      <c r="AS516" s="17"/>
      <c r="AT516" s="539"/>
      <c r="AU516" s="91"/>
      <c r="AW516" s="46"/>
      <c r="AX516" s="46"/>
      <c r="AY516" s="17"/>
      <c r="AZ516" s="539"/>
      <c r="BA516" s="91"/>
    </row>
    <row r="517" spans="1:53" ht="17.100000000000001" customHeight="1" x14ac:dyDescent="0.25">
      <c r="A517" s="68"/>
      <c r="B517" s="41" t="s">
        <v>306</v>
      </c>
      <c r="C517" s="69" t="s">
        <v>486</v>
      </c>
      <c r="D517" s="50"/>
      <c r="E517" s="70"/>
      <c r="F517" s="70"/>
      <c r="G517" s="70"/>
      <c r="H517" s="119"/>
      <c r="J517" s="71"/>
      <c r="K517" s="71"/>
      <c r="L517" s="71"/>
      <c r="M517" s="71"/>
      <c r="N517" s="71"/>
      <c r="O517" s="71"/>
      <c r="P517" s="71"/>
      <c r="Q517" s="71"/>
      <c r="R517" s="71"/>
      <c r="S517" s="71"/>
      <c r="T517" s="71"/>
      <c r="U517" s="71"/>
      <c r="V517" s="355"/>
      <c r="W517" s="377"/>
      <c r="X517" s="71"/>
      <c r="Y517" s="72"/>
      <c r="Z517" s="73"/>
      <c r="AA517" s="73"/>
      <c r="AB517" s="73"/>
      <c r="AC517" s="73"/>
      <c r="AE517" s="71"/>
      <c r="AF517" s="71"/>
      <c r="AG517" s="71"/>
      <c r="AH517" s="72"/>
      <c r="AI517" s="73"/>
      <c r="AK517" s="71"/>
      <c r="AL517" s="71"/>
      <c r="AM517" s="71"/>
      <c r="AN517" s="72"/>
      <c r="AO517" s="73"/>
      <c r="AQ517" s="71"/>
      <c r="AR517" s="71"/>
      <c r="AS517" s="71"/>
      <c r="AT517" s="72"/>
      <c r="AU517" s="73"/>
      <c r="AW517" s="71"/>
      <c r="AX517" s="71"/>
      <c r="AY517" s="71"/>
      <c r="AZ517" s="72"/>
      <c r="BA517" s="73"/>
    </row>
    <row r="518" spans="1:53" ht="17.100000000000001" customHeight="1" x14ac:dyDescent="0.25">
      <c r="A518" s="40"/>
      <c r="B518" s="40"/>
      <c r="C518" s="74" t="s">
        <v>308</v>
      </c>
      <c r="D518" s="85" t="s">
        <v>292</v>
      </c>
      <c r="E518" s="105"/>
      <c r="F518" s="105"/>
      <c r="G518" s="105"/>
      <c r="H518" s="119"/>
      <c r="I518" s="231"/>
      <c r="J518" s="111"/>
      <c r="K518" s="111"/>
      <c r="L518" s="111"/>
      <c r="M518" s="111"/>
      <c r="N518" s="60"/>
      <c r="O518" s="60"/>
      <c r="P518" s="17">
        <f t="shared" ref="P518:P528" si="720">SUM(N518:O518)</f>
        <v>0</v>
      </c>
      <c r="Q518" s="60"/>
      <c r="R518" s="60"/>
      <c r="S518" s="17">
        <f t="shared" ref="S518:S528" si="721">SUM(Q518:R518)</f>
        <v>0</v>
      </c>
      <c r="T518" s="60"/>
      <c r="U518" s="60"/>
      <c r="V518" s="359">
        <f t="shared" ref="V518:V528" si="722">SUM(T518:U518)</f>
        <v>0</v>
      </c>
      <c r="W518" s="391">
        <f t="shared" ref="W518:W526" si="723">J518+K518+N518+Q518+T518</f>
        <v>0</v>
      </c>
      <c r="X518" s="17">
        <f t="shared" ref="X518:X526" si="724">L518+O518+R518+U518</f>
        <v>0</v>
      </c>
      <c r="Y518" s="18">
        <f t="shared" ref="Y518:Y528" si="725">SUM(W518:X518)</f>
        <v>0</v>
      </c>
      <c r="Z518" s="19">
        <f t="shared" ref="Z518:Z528" si="726">IF(Y$533=0,0,Y518/Y$533)</f>
        <v>0</v>
      </c>
      <c r="AA518" s="19"/>
      <c r="AB518" s="19"/>
      <c r="AC518" s="20"/>
      <c r="AE518" s="111"/>
      <c r="AF518" s="111"/>
      <c r="AG518" s="111"/>
      <c r="AH518" s="112"/>
      <c r="AI518" s="113"/>
      <c r="AK518" s="111"/>
      <c r="AL518" s="111"/>
      <c r="AM518" s="111"/>
      <c r="AN518" s="112"/>
      <c r="AO518" s="113"/>
      <c r="AQ518" s="17"/>
      <c r="AR518" s="17"/>
      <c r="AS518" s="17"/>
      <c r="AT518" s="18">
        <f t="shared" ref="AT518:AT528" si="727">W518</f>
        <v>0</v>
      </c>
      <c r="AU518" s="19">
        <f t="shared" ref="AU518:AU526" si="728">IF(AT$533=0,0,AT518/AT$533)</f>
        <v>0</v>
      </c>
      <c r="AW518" s="17"/>
      <c r="AX518" s="17"/>
      <c r="AY518" s="17"/>
      <c r="AZ518" s="18">
        <f t="shared" ref="AZ518:AZ528" si="729">X518</f>
        <v>0</v>
      </c>
      <c r="BA518" s="19">
        <f t="shared" ref="BA518:BA526" si="730">IF(AZ$533=0,0,AZ518/AZ$533)</f>
        <v>0</v>
      </c>
    </row>
    <row r="519" spans="1:53" ht="17.100000000000001" customHeight="1" x14ac:dyDescent="0.25">
      <c r="A519" s="40"/>
      <c r="B519" s="40"/>
      <c r="C519" s="74" t="s">
        <v>309</v>
      </c>
      <c r="D519" s="146" t="s">
        <v>757</v>
      </c>
      <c r="E519" s="105"/>
      <c r="F519" s="105"/>
      <c r="G519" s="105"/>
      <c r="H519" s="119"/>
      <c r="I519" s="231"/>
      <c r="J519" s="111"/>
      <c r="K519" s="111"/>
      <c r="L519" s="111"/>
      <c r="M519" s="111"/>
      <c r="N519" s="61"/>
      <c r="O519" s="61"/>
      <c r="P519" s="17">
        <f t="shared" si="720"/>
        <v>0</v>
      </c>
      <c r="Q519" s="61">
        <v>1</v>
      </c>
      <c r="R519" s="61">
        <v>4</v>
      </c>
      <c r="S519" s="17">
        <f t="shared" si="721"/>
        <v>5</v>
      </c>
      <c r="T519" s="61"/>
      <c r="U519" s="61"/>
      <c r="V519" s="359">
        <f t="shared" si="722"/>
        <v>0</v>
      </c>
      <c r="W519" s="391">
        <f t="shared" si="723"/>
        <v>1</v>
      </c>
      <c r="X519" s="17">
        <f t="shared" si="724"/>
        <v>4</v>
      </c>
      <c r="Y519" s="18">
        <f t="shared" si="725"/>
        <v>5</v>
      </c>
      <c r="Z519" s="19">
        <f t="shared" si="726"/>
        <v>0.33333333333333331</v>
      </c>
      <c r="AA519" s="19"/>
      <c r="AB519" s="19"/>
      <c r="AC519" s="20"/>
      <c r="AE519" s="111"/>
      <c r="AF519" s="111"/>
      <c r="AG519" s="111"/>
      <c r="AH519" s="112"/>
      <c r="AI519" s="113"/>
      <c r="AK519" s="111"/>
      <c r="AL519" s="111"/>
      <c r="AM519" s="111"/>
      <c r="AN519" s="112"/>
      <c r="AO519" s="113"/>
      <c r="AQ519" s="17"/>
      <c r="AR519" s="17"/>
      <c r="AS519" s="17"/>
      <c r="AT519" s="18">
        <f t="shared" si="727"/>
        <v>1</v>
      </c>
      <c r="AU519" s="19">
        <f t="shared" si="728"/>
        <v>1</v>
      </c>
      <c r="AW519" s="17"/>
      <c r="AX519" s="17"/>
      <c r="AY519" s="17"/>
      <c r="AZ519" s="18">
        <f t="shared" si="729"/>
        <v>4</v>
      </c>
      <c r="BA519" s="19">
        <f t="shared" si="730"/>
        <v>0.8</v>
      </c>
    </row>
    <row r="520" spans="1:53" ht="17.100000000000001" customHeight="1" x14ac:dyDescent="0.25">
      <c r="A520" s="40"/>
      <c r="B520" s="40"/>
      <c r="C520" s="74" t="s">
        <v>489</v>
      </c>
      <c r="D520" s="85" t="s">
        <v>300</v>
      </c>
      <c r="E520" s="105"/>
      <c r="F520" s="105"/>
      <c r="G520" s="105"/>
      <c r="H520" s="119"/>
      <c r="I520" s="231"/>
      <c r="J520" s="111"/>
      <c r="K520" s="111"/>
      <c r="L520" s="111"/>
      <c r="M520" s="111"/>
      <c r="N520" s="60"/>
      <c r="O520" s="60"/>
      <c r="P520" s="17">
        <f t="shared" ref="P520:P521" si="731">SUM(N520:O520)</f>
        <v>0</v>
      </c>
      <c r="Q520" s="60"/>
      <c r="R520" s="60">
        <v>1</v>
      </c>
      <c r="S520" s="17">
        <f t="shared" ref="S520:S521" si="732">SUM(Q520:R520)</f>
        <v>1</v>
      </c>
      <c r="T520" s="60"/>
      <c r="U520" s="60"/>
      <c r="V520" s="359">
        <f t="shared" ref="V520:V521" si="733">SUM(T520:U520)</f>
        <v>0</v>
      </c>
      <c r="W520" s="391">
        <f t="shared" ref="W520:W521" si="734">J520+K520+N520+Q520+T520</f>
        <v>0</v>
      </c>
      <c r="X520" s="17">
        <f t="shared" ref="X520:X521" si="735">L520+O520+R520+U520</f>
        <v>1</v>
      </c>
      <c r="Y520" s="18">
        <f t="shared" si="725"/>
        <v>1</v>
      </c>
      <c r="Z520" s="19">
        <f t="shared" si="726"/>
        <v>6.6666666666666666E-2</v>
      </c>
      <c r="AA520" s="19"/>
      <c r="AB520" s="19"/>
      <c r="AC520" s="20"/>
      <c r="AE520" s="111"/>
      <c r="AF520" s="111"/>
      <c r="AG520" s="111"/>
      <c r="AH520" s="112"/>
      <c r="AI520" s="113"/>
      <c r="AK520" s="111"/>
      <c r="AL520" s="111"/>
      <c r="AM520" s="111"/>
      <c r="AN520" s="112"/>
      <c r="AO520" s="113"/>
      <c r="AQ520" s="17"/>
      <c r="AR520" s="17"/>
      <c r="AS520" s="17"/>
      <c r="AT520" s="18">
        <f t="shared" si="727"/>
        <v>0</v>
      </c>
      <c r="AU520" s="19">
        <f t="shared" si="728"/>
        <v>0</v>
      </c>
      <c r="AW520" s="17"/>
      <c r="AX520" s="17"/>
      <c r="AY520" s="17"/>
      <c r="AZ520" s="18">
        <f t="shared" si="729"/>
        <v>1</v>
      </c>
      <c r="BA520" s="19">
        <f t="shared" si="730"/>
        <v>0.2</v>
      </c>
    </row>
    <row r="521" spans="1:53" ht="17.100000000000001" customHeight="1" x14ac:dyDescent="0.25">
      <c r="A521" s="40"/>
      <c r="B521" s="40"/>
      <c r="C521" s="74" t="s">
        <v>621</v>
      </c>
      <c r="D521" s="85" t="s">
        <v>670</v>
      </c>
      <c r="E521" s="105"/>
      <c r="F521" s="105"/>
      <c r="G521" s="105"/>
      <c r="H521" s="119"/>
      <c r="I521" s="231"/>
      <c r="J521" s="111"/>
      <c r="K521" s="111"/>
      <c r="L521" s="111"/>
      <c r="M521" s="111"/>
      <c r="N521" s="61"/>
      <c r="O521" s="61"/>
      <c r="P521" s="17">
        <f t="shared" si="731"/>
        <v>0</v>
      </c>
      <c r="Q521" s="61"/>
      <c r="R521" s="61"/>
      <c r="S521" s="17">
        <f t="shared" si="732"/>
        <v>0</v>
      </c>
      <c r="T521" s="61"/>
      <c r="U521" s="61"/>
      <c r="V521" s="359">
        <f t="shared" si="733"/>
        <v>0</v>
      </c>
      <c r="W521" s="391">
        <f t="shared" si="734"/>
        <v>0</v>
      </c>
      <c r="X521" s="17">
        <f t="shared" si="735"/>
        <v>0</v>
      </c>
      <c r="Y521" s="18">
        <f t="shared" si="725"/>
        <v>0</v>
      </c>
      <c r="Z521" s="19">
        <f t="shared" si="726"/>
        <v>0</v>
      </c>
      <c r="AA521" s="19"/>
      <c r="AB521" s="19"/>
      <c r="AC521" s="20"/>
      <c r="AE521" s="111"/>
      <c r="AF521" s="111"/>
      <c r="AG521" s="111"/>
      <c r="AH521" s="112"/>
      <c r="AI521" s="113"/>
      <c r="AK521" s="111"/>
      <c r="AL521" s="111"/>
      <c r="AM521" s="111"/>
      <c r="AN521" s="112"/>
      <c r="AO521" s="113"/>
      <c r="AQ521" s="17"/>
      <c r="AR521" s="17"/>
      <c r="AS521" s="17"/>
      <c r="AT521" s="18">
        <f t="shared" si="727"/>
        <v>0</v>
      </c>
      <c r="AU521" s="19">
        <f t="shared" si="728"/>
        <v>0</v>
      </c>
      <c r="AW521" s="17"/>
      <c r="AX521" s="17"/>
      <c r="AY521" s="17"/>
      <c r="AZ521" s="18">
        <f t="shared" si="729"/>
        <v>0</v>
      </c>
      <c r="BA521" s="19">
        <f t="shared" si="730"/>
        <v>0</v>
      </c>
    </row>
    <row r="522" spans="1:53" ht="17.100000000000001" customHeight="1" x14ac:dyDescent="0.25">
      <c r="A522" s="40"/>
      <c r="B522" s="40"/>
      <c r="C522" s="74" t="s">
        <v>622</v>
      </c>
      <c r="D522" s="85" t="s">
        <v>671</v>
      </c>
      <c r="E522" s="105"/>
      <c r="F522" s="105"/>
      <c r="G522" s="105"/>
      <c r="H522" s="119"/>
      <c r="I522" s="231"/>
      <c r="J522" s="111"/>
      <c r="K522" s="111"/>
      <c r="L522" s="111"/>
      <c r="M522" s="111"/>
      <c r="N522" s="60"/>
      <c r="O522" s="60"/>
      <c r="P522" s="17">
        <f t="shared" si="720"/>
        <v>0</v>
      </c>
      <c r="Q522" s="60"/>
      <c r="R522" s="60"/>
      <c r="S522" s="17">
        <f t="shared" si="721"/>
        <v>0</v>
      </c>
      <c r="T522" s="60"/>
      <c r="U522" s="60"/>
      <c r="V522" s="359">
        <f t="shared" si="722"/>
        <v>0</v>
      </c>
      <c r="W522" s="391">
        <f t="shared" si="723"/>
        <v>0</v>
      </c>
      <c r="X522" s="17">
        <f t="shared" si="724"/>
        <v>0</v>
      </c>
      <c r="Y522" s="18">
        <f t="shared" si="725"/>
        <v>0</v>
      </c>
      <c r="Z522" s="19">
        <f t="shared" si="726"/>
        <v>0</v>
      </c>
      <c r="AA522" s="19"/>
      <c r="AB522" s="19"/>
      <c r="AC522" s="20"/>
      <c r="AE522" s="111"/>
      <c r="AF522" s="111"/>
      <c r="AG522" s="111"/>
      <c r="AH522" s="112"/>
      <c r="AI522" s="113"/>
      <c r="AK522" s="111"/>
      <c r="AL522" s="111"/>
      <c r="AM522" s="111"/>
      <c r="AN522" s="112"/>
      <c r="AO522" s="113"/>
      <c r="AQ522" s="17"/>
      <c r="AR522" s="17"/>
      <c r="AS522" s="17"/>
      <c r="AT522" s="18">
        <f t="shared" si="727"/>
        <v>0</v>
      </c>
      <c r="AU522" s="19">
        <f t="shared" si="728"/>
        <v>0</v>
      </c>
      <c r="AW522" s="17"/>
      <c r="AX522" s="17"/>
      <c r="AY522" s="17"/>
      <c r="AZ522" s="18">
        <f t="shared" si="729"/>
        <v>0</v>
      </c>
      <c r="BA522" s="19">
        <f t="shared" si="730"/>
        <v>0</v>
      </c>
    </row>
    <row r="523" spans="1:53" ht="17.100000000000001" customHeight="1" x14ac:dyDescent="0.25">
      <c r="A523" s="40"/>
      <c r="B523" s="40"/>
      <c r="C523" s="74" t="s">
        <v>623</v>
      </c>
      <c r="D523" s="85" t="s">
        <v>302</v>
      </c>
      <c r="E523" s="105"/>
      <c r="F523" s="105"/>
      <c r="G523" s="105"/>
      <c r="H523" s="119"/>
      <c r="I523" s="231"/>
      <c r="J523" s="111"/>
      <c r="K523" s="111"/>
      <c r="L523" s="111"/>
      <c r="M523" s="111"/>
      <c r="N523" s="61"/>
      <c r="O523" s="61"/>
      <c r="P523" s="17">
        <f t="shared" si="720"/>
        <v>0</v>
      </c>
      <c r="Q523" s="61"/>
      <c r="R523" s="61"/>
      <c r="S523" s="17">
        <f t="shared" si="721"/>
        <v>0</v>
      </c>
      <c r="T523" s="61"/>
      <c r="U523" s="61"/>
      <c r="V523" s="359">
        <f t="shared" si="722"/>
        <v>0</v>
      </c>
      <c r="W523" s="391">
        <f t="shared" si="723"/>
        <v>0</v>
      </c>
      <c r="X523" s="17">
        <f t="shared" si="724"/>
        <v>0</v>
      </c>
      <c r="Y523" s="18">
        <f t="shared" si="725"/>
        <v>0</v>
      </c>
      <c r="Z523" s="19">
        <f t="shared" si="726"/>
        <v>0</v>
      </c>
      <c r="AA523" s="19"/>
      <c r="AB523" s="19"/>
      <c r="AC523" s="20"/>
      <c r="AE523" s="111"/>
      <c r="AF523" s="111"/>
      <c r="AG523" s="111"/>
      <c r="AH523" s="112"/>
      <c r="AI523" s="113"/>
      <c r="AK523" s="111"/>
      <c r="AL523" s="111"/>
      <c r="AM523" s="111"/>
      <c r="AN523" s="112"/>
      <c r="AO523" s="113"/>
      <c r="AQ523" s="17"/>
      <c r="AR523" s="17"/>
      <c r="AS523" s="17"/>
      <c r="AT523" s="18">
        <f t="shared" si="727"/>
        <v>0</v>
      </c>
      <c r="AU523" s="19">
        <f t="shared" si="728"/>
        <v>0</v>
      </c>
      <c r="AW523" s="17"/>
      <c r="AX523" s="17"/>
      <c r="AY523" s="17"/>
      <c r="AZ523" s="18">
        <f t="shared" si="729"/>
        <v>0</v>
      </c>
      <c r="BA523" s="19">
        <f t="shared" si="730"/>
        <v>0</v>
      </c>
    </row>
    <row r="524" spans="1:53" ht="17.100000000000001" customHeight="1" x14ac:dyDescent="0.25">
      <c r="A524" s="40"/>
      <c r="B524" s="40"/>
      <c r="C524" s="74" t="s">
        <v>624</v>
      </c>
      <c r="D524" s="85" t="s">
        <v>487</v>
      </c>
      <c r="E524" s="75"/>
      <c r="F524" s="75"/>
      <c r="G524" s="75"/>
      <c r="H524" s="540"/>
      <c r="I524" s="229"/>
      <c r="J524" s="111"/>
      <c r="K524" s="111"/>
      <c r="L524" s="111"/>
      <c r="M524" s="111"/>
      <c r="N524" s="60"/>
      <c r="O524" s="60"/>
      <c r="P524" s="17">
        <f t="shared" si="720"/>
        <v>0</v>
      </c>
      <c r="Q524" s="60"/>
      <c r="R524" s="60"/>
      <c r="S524" s="17">
        <f t="shared" si="721"/>
        <v>0</v>
      </c>
      <c r="T524" s="60"/>
      <c r="U524" s="60"/>
      <c r="V524" s="359">
        <f t="shared" si="722"/>
        <v>0</v>
      </c>
      <c r="W524" s="391">
        <f t="shared" si="723"/>
        <v>0</v>
      </c>
      <c r="X524" s="17">
        <f t="shared" si="724"/>
        <v>0</v>
      </c>
      <c r="Y524" s="18">
        <f t="shared" si="725"/>
        <v>0</v>
      </c>
      <c r="Z524" s="19">
        <f t="shared" si="726"/>
        <v>0</v>
      </c>
      <c r="AA524" s="19"/>
      <c r="AB524" s="19"/>
      <c r="AC524" s="20"/>
      <c r="AE524" s="111"/>
      <c r="AF524" s="111"/>
      <c r="AG524" s="111"/>
      <c r="AH524" s="112"/>
      <c r="AI524" s="113"/>
      <c r="AK524" s="111"/>
      <c r="AL524" s="111"/>
      <c r="AM524" s="111"/>
      <c r="AN524" s="112"/>
      <c r="AO524" s="113"/>
      <c r="AQ524" s="17"/>
      <c r="AR524" s="17"/>
      <c r="AS524" s="17"/>
      <c r="AT524" s="18">
        <f t="shared" si="727"/>
        <v>0</v>
      </c>
      <c r="AU524" s="19">
        <f t="shared" si="728"/>
        <v>0</v>
      </c>
      <c r="AW524" s="17"/>
      <c r="AX524" s="17"/>
      <c r="AY524" s="17"/>
      <c r="AZ524" s="18">
        <f t="shared" si="729"/>
        <v>0</v>
      </c>
      <c r="BA524" s="19">
        <f t="shared" si="730"/>
        <v>0</v>
      </c>
    </row>
    <row r="525" spans="1:53" ht="17.100000000000001" customHeight="1" x14ac:dyDescent="0.25">
      <c r="A525" s="40"/>
      <c r="B525" s="40"/>
      <c r="C525" s="74" t="s">
        <v>625</v>
      </c>
      <c r="D525" s="85" t="s">
        <v>488</v>
      </c>
      <c r="E525" s="542"/>
      <c r="F525" s="105"/>
      <c r="G525" s="105"/>
      <c r="H525" s="119"/>
      <c r="I525" s="231"/>
      <c r="J525" s="111"/>
      <c r="K525" s="111"/>
      <c r="L525" s="111"/>
      <c r="M525" s="111"/>
      <c r="N525" s="61"/>
      <c r="O525" s="61"/>
      <c r="P525" s="17">
        <f t="shared" si="720"/>
        <v>0</v>
      </c>
      <c r="Q525" s="61"/>
      <c r="R525" s="61"/>
      <c r="S525" s="17">
        <f t="shared" si="721"/>
        <v>0</v>
      </c>
      <c r="T525" s="61"/>
      <c r="U525" s="61"/>
      <c r="V525" s="359">
        <f t="shared" si="722"/>
        <v>0</v>
      </c>
      <c r="W525" s="391">
        <f t="shared" si="723"/>
        <v>0</v>
      </c>
      <c r="X525" s="17">
        <f t="shared" si="724"/>
        <v>0</v>
      </c>
      <c r="Y525" s="18">
        <f t="shared" si="725"/>
        <v>0</v>
      </c>
      <c r="Z525" s="19">
        <f t="shared" si="726"/>
        <v>0</v>
      </c>
      <c r="AA525" s="19"/>
      <c r="AB525" s="19"/>
      <c r="AC525" s="20"/>
      <c r="AE525" s="111"/>
      <c r="AF525" s="111"/>
      <c r="AG525" s="111"/>
      <c r="AH525" s="112"/>
      <c r="AI525" s="113"/>
      <c r="AK525" s="111"/>
      <c r="AL525" s="111"/>
      <c r="AM525" s="111"/>
      <c r="AN525" s="112"/>
      <c r="AO525" s="113"/>
      <c r="AQ525" s="17"/>
      <c r="AR525" s="17"/>
      <c r="AS525" s="17"/>
      <c r="AT525" s="18">
        <f t="shared" si="727"/>
        <v>0</v>
      </c>
      <c r="AU525" s="19">
        <f t="shared" si="728"/>
        <v>0</v>
      </c>
      <c r="AW525" s="17"/>
      <c r="AX525" s="17"/>
      <c r="AY525" s="17"/>
      <c r="AZ525" s="18">
        <f t="shared" si="729"/>
        <v>0</v>
      </c>
      <c r="BA525" s="19">
        <f t="shared" si="730"/>
        <v>0</v>
      </c>
    </row>
    <row r="526" spans="1:53" ht="17.100000000000001" customHeight="1" x14ac:dyDescent="0.25">
      <c r="A526" s="40"/>
      <c r="B526" s="40"/>
      <c r="C526" s="74" t="s">
        <v>668</v>
      </c>
      <c r="D526" s="85" t="s">
        <v>304</v>
      </c>
      <c r="E526" s="542"/>
      <c r="F526" s="105"/>
      <c r="G526" s="105"/>
      <c r="H526" s="119"/>
      <c r="I526" s="231"/>
      <c r="J526" s="111"/>
      <c r="K526" s="111"/>
      <c r="L526" s="111"/>
      <c r="M526" s="111"/>
      <c r="N526" s="60"/>
      <c r="O526" s="60"/>
      <c r="P526" s="17">
        <f t="shared" si="720"/>
        <v>0</v>
      </c>
      <c r="Q526" s="60"/>
      <c r="R526" s="60"/>
      <c r="S526" s="17">
        <f t="shared" si="721"/>
        <v>0</v>
      </c>
      <c r="T526" s="60"/>
      <c r="U526" s="60"/>
      <c r="V526" s="359">
        <f t="shared" si="722"/>
        <v>0</v>
      </c>
      <c r="W526" s="391">
        <f t="shared" si="723"/>
        <v>0</v>
      </c>
      <c r="X526" s="17">
        <f t="shared" si="724"/>
        <v>0</v>
      </c>
      <c r="Y526" s="18">
        <f t="shared" si="725"/>
        <v>0</v>
      </c>
      <c r="Z526" s="19">
        <f t="shared" si="726"/>
        <v>0</v>
      </c>
      <c r="AA526" s="19"/>
      <c r="AB526" s="19"/>
      <c r="AC526" s="20"/>
      <c r="AE526" s="111"/>
      <c r="AF526" s="111"/>
      <c r="AG526" s="111"/>
      <c r="AH526" s="112"/>
      <c r="AI526" s="113"/>
      <c r="AK526" s="111"/>
      <c r="AL526" s="111"/>
      <c r="AM526" s="111"/>
      <c r="AN526" s="112"/>
      <c r="AO526" s="113"/>
      <c r="AQ526" s="17"/>
      <c r="AR526" s="17"/>
      <c r="AS526" s="17"/>
      <c r="AT526" s="18">
        <f t="shared" si="727"/>
        <v>0</v>
      </c>
      <c r="AU526" s="19">
        <f t="shared" si="728"/>
        <v>0</v>
      </c>
      <c r="AW526" s="17"/>
      <c r="AX526" s="17"/>
      <c r="AY526" s="17"/>
      <c r="AZ526" s="18">
        <f t="shared" si="729"/>
        <v>0</v>
      </c>
      <c r="BA526" s="19">
        <f t="shared" si="730"/>
        <v>0</v>
      </c>
    </row>
    <row r="527" spans="1:53" ht="17.100000000000001" customHeight="1" x14ac:dyDescent="0.25">
      <c r="A527" s="40"/>
      <c r="B527" s="40"/>
      <c r="C527" s="74" t="s">
        <v>669</v>
      </c>
      <c r="D527" s="85" t="s">
        <v>758</v>
      </c>
      <c r="E527" s="542"/>
      <c r="F527" s="105"/>
      <c r="G527" s="105"/>
      <c r="H527" s="119"/>
      <c r="I527" s="231"/>
      <c r="J527" s="111"/>
      <c r="K527" s="111"/>
      <c r="L527" s="111"/>
      <c r="M527" s="111"/>
      <c r="N527" s="61">
        <v>6</v>
      </c>
      <c r="O527" s="61">
        <v>3</v>
      </c>
      <c r="P527" s="17">
        <f t="shared" ref="P527" si="736">SUM(N527:O527)</f>
        <v>9</v>
      </c>
      <c r="Q527" s="61"/>
      <c r="R527" s="61"/>
      <c r="S527" s="17">
        <f t="shared" ref="S527" si="737">SUM(Q527:R527)</f>
        <v>0</v>
      </c>
      <c r="T527" s="61"/>
      <c r="U527" s="61"/>
      <c r="V527" s="359">
        <f t="shared" ref="V527" si="738">SUM(T527:U527)</f>
        <v>0</v>
      </c>
      <c r="W527" s="391">
        <f t="shared" ref="W527" si="739">J527+K527+N527+Q527+T527</f>
        <v>6</v>
      </c>
      <c r="X527" s="17">
        <f t="shared" ref="X527" si="740">L527+O527+R527+U527</f>
        <v>3</v>
      </c>
      <c r="Y527" s="18">
        <f t="shared" ref="Y527" si="741">SUM(W527:X527)</f>
        <v>9</v>
      </c>
      <c r="Z527" s="19">
        <f t="shared" si="726"/>
        <v>0.6</v>
      </c>
      <c r="AA527" s="19"/>
      <c r="AB527" s="19"/>
      <c r="AC527" s="20"/>
      <c r="AE527" s="111"/>
      <c r="AF527" s="111"/>
      <c r="AG527" s="111"/>
      <c r="AH527" s="112"/>
      <c r="AI527" s="113"/>
      <c r="AK527" s="111"/>
      <c r="AL527" s="111"/>
      <c r="AM527" s="111"/>
      <c r="AN527" s="112"/>
      <c r="AO527" s="113"/>
      <c r="AQ527" s="17"/>
      <c r="AR527" s="17"/>
      <c r="AS527" s="17"/>
      <c r="AT527" s="18"/>
      <c r="AU527" s="19"/>
      <c r="AW527" s="17"/>
      <c r="AX527" s="17"/>
      <c r="AY527" s="17"/>
      <c r="AZ527" s="18"/>
      <c r="BA527" s="19"/>
    </row>
    <row r="528" spans="1:53" ht="17.100000000000001" customHeight="1" x14ac:dyDescent="0.25">
      <c r="A528" s="40"/>
      <c r="B528" s="40"/>
      <c r="C528" s="74" t="s">
        <v>756</v>
      </c>
      <c r="D528" s="85" t="s">
        <v>305</v>
      </c>
      <c r="E528" s="542"/>
      <c r="F528" s="105"/>
      <c r="G528" s="105"/>
      <c r="H528" s="119"/>
      <c r="I528" s="231"/>
      <c r="J528" s="111"/>
      <c r="K528" s="111"/>
      <c r="L528" s="111"/>
      <c r="M528" s="111"/>
      <c r="N528" s="111">
        <f t="shared" ref="N528:U528" si="742">SUM(N529:N532)</f>
        <v>0</v>
      </c>
      <c r="O528" s="111">
        <f t="shared" si="742"/>
        <v>0</v>
      </c>
      <c r="P528" s="111">
        <f t="shared" si="720"/>
        <v>0</v>
      </c>
      <c r="Q528" s="111">
        <f t="shared" si="742"/>
        <v>0</v>
      </c>
      <c r="R528" s="111">
        <f t="shared" si="742"/>
        <v>0</v>
      </c>
      <c r="S528" s="111">
        <f t="shared" si="721"/>
        <v>0</v>
      </c>
      <c r="T528" s="111">
        <f t="shared" si="742"/>
        <v>0</v>
      </c>
      <c r="U528" s="111">
        <f t="shared" si="742"/>
        <v>0</v>
      </c>
      <c r="V528" s="358">
        <f t="shared" si="722"/>
        <v>0</v>
      </c>
      <c r="W528" s="380">
        <f t="shared" ref="W528" si="743">J528+K528+N528+Q528+T528</f>
        <v>0</v>
      </c>
      <c r="X528" s="111">
        <f t="shared" ref="X528" si="744">L528+O528+R528+U528</f>
        <v>0</v>
      </c>
      <c r="Y528" s="545">
        <f t="shared" si="725"/>
        <v>0</v>
      </c>
      <c r="Z528" s="131">
        <f t="shared" si="726"/>
        <v>0</v>
      </c>
      <c r="AA528" s="131"/>
      <c r="AB528" s="131"/>
      <c r="AC528" s="113"/>
      <c r="AE528" s="111"/>
      <c r="AF528" s="111"/>
      <c r="AG528" s="111"/>
      <c r="AH528" s="112"/>
      <c r="AI528" s="113"/>
      <c r="AK528" s="111"/>
      <c r="AL528" s="111"/>
      <c r="AM528" s="111"/>
      <c r="AN528" s="112"/>
      <c r="AO528" s="113"/>
      <c r="AQ528" s="111"/>
      <c r="AR528" s="111"/>
      <c r="AS528" s="111"/>
      <c r="AT528" s="545">
        <f t="shared" si="727"/>
        <v>0</v>
      </c>
      <c r="AU528" s="131">
        <f>IF(AT$533=0,0,AT528/AT$533)</f>
        <v>0</v>
      </c>
      <c r="AW528" s="111"/>
      <c r="AX528" s="111"/>
      <c r="AY528" s="111"/>
      <c r="AZ528" s="545">
        <f t="shared" si="729"/>
        <v>0</v>
      </c>
      <c r="BA528" s="131">
        <f>IF(AZ$533=0,0,AZ528/AZ$533)</f>
        <v>0</v>
      </c>
    </row>
    <row r="529" spans="1:53" ht="17.100000000000001" customHeight="1" x14ac:dyDescent="0.25">
      <c r="A529" s="40"/>
      <c r="B529" s="40"/>
      <c r="C529" s="74"/>
      <c r="D529" s="168"/>
      <c r="E529" s="169"/>
      <c r="F529" s="169"/>
      <c r="G529" s="169"/>
      <c r="H529" s="17"/>
      <c r="I529" s="594"/>
      <c r="J529" s="111"/>
      <c r="K529" s="111"/>
      <c r="L529" s="111"/>
      <c r="M529" s="111"/>
      <c r="N529" s="60"/>
      <c r="O529" s="60"/>
      <c r="P529" s="17"/>
      <c r="Q529" s="60"/>
      <c r="R529" s="60"/>
      <c r="S529" s="17"/>
      <c r="T529" s="60"/>
      <c r="U529" s="60"/>
      <c r="V529" s="359"/>
      <c r="W529" s="391"/>
      <c r="X529" s="17"/>
      <c r="Y529" s="86"/>
      <c r="Z529" s="20"/>
      <c r="AA529" s="20"/>
      <c r="AB529" s="20"/>
      <c r="AC529" s="20"/>
      <c r="AE529" s="17"/>
      <c r="AF529" s="17"/>
      <c r="AG529" s="17"/>
      <c r="AH529" s="86"/>
      <c r="AI529" s="20"/>
      <c r="AK529" s="17"/>
      <c r="AL529" s="17"/>
      <c r="AM529" s="17"/>
      <c r="AN529" s="86"/>
      <c r="AO529" s="20"/>
      <c r="AQ529" s="17"/>
      <c r="AR529" s="17"/>
      <c r="AS529" s="17"/>
      <c r="AT529" s="86"/>
      <c r="AU529" s="20"/>
      <c r="AW529" s="17"/>
      <c r="AX529" s="17"/>
      <c r="AY529" s="17"/>
      <c r="AZ529" s="86"/>
      <c r="BA529" s="20"/>
    </row>
    <row r="530" spans="1:53" ht="17.100000000000001" customHeight="1" x14ac:dyDescent="0.25">
      <c r="A530" s="40"/>
      <c r="B530" s="40"/>
      <c r="C530" s="74"/>
      <c r="D530" s="170"/>
      <c r="E530" s="171"/>
      <c r="F530" s="171"/>
      <c r="G530" s="171"/>
      <c r="H530" s="17"/>
      <c r="I530" s="594"/>
      <c r="J530" s="111"/>
      <c r="K530" s="111"/>
      <c r="L530" s="111"/>
      <c r="M530" s="111"/>
      <c r="N530" s="61"/>
      <c r="O530" s="61"/>
      <c r="P530" s="17"/>
      <c r="Q530" s="61"/>
      <c r="R530" s="61"/>
      <c r="S530" s="17"/>
      <c r="T530" s="61"/>
      <c r="U530" s="61"/>
      <c r="V530" s="359"/>
      <c r="W530" s="391"/>
      <c r="X530" s="17"/>
      <c r="Y530" s="86"/>
      <c r="Z530" s="20"/>
      <c r="AA530" s="20"/>
      <c r="AB530" s="20"/>
      <c r="AC530" s="20"/>
      <c r="AE530" s="17"/>
      <c r="AF530" s="17"/>
      <c r="AG530" s="17"/>
      <c r="AH530" s="86"/>
      <c r="AI530" s="20"/>
      <c r="AK530" s="17"/>
      <c r="AL530" s="17"/>
      <c r="AM530" s="17"/>
      <c r="AN530" s="86"/>
      <c r="AO530" s="20"/>
      <c r="AQ530" s="17"/>
      <c r="AR530" s="17"/>
      <c r="AS530" s="17"/>
      <c r="AT530" s="86"/>
      <c r="AU530" s="20"/>
      <c r="AW530" s="17"/>
      <c r="AX530" s="17"/>
      <c r="AY530" s="17"/>
      <c r="AZ530" s="86"/>
      <c r="BA530" s="20"/>
    </row>
    <row r="531" spans="1:53" ht="17.100000000000001" customHeight="1" x14ac:dyDescent="0.25">
      <c r="A531" s="40"/>
      <c r="B531" s="40"/>
      <c r="C531" s="74"/>
      <c r="D531" s="168"/>
      <c r="E531" s="169"/>
      <c r="F531" s="169"/>
      <c r="G531" s="169"/>
      <c r="H531" s="17"/>
      <c r="I531" s="594"/>
      <c r="J531" s="111"/>
      <c r="K531" s="111"/>
      <c r="L531" s="111"/>
      <c r="M531" s="111"/>
      <c r="N531" s="60"/>
      <c r="O531" s="60"/>
      <c r="P531" s="17"/>
      <c r="Q531" s="60"/>
      <c r="R531" s="60"/>
      <c r="S531" s="17"/>
      <c r="T531" s="60"/>
      <c r="U531" s="60"/>
      <c r="V531" s="359"/>
      <c r="W531" s="391"/>
      <c r="X531" s="17"/>
      <c r="Y531" s="86"/>
      <c r="Z531" s="20"/>
      <c r="AA531" s="20"/>
      <c r="AB531" s="20"/>
      <c r="AC531" s="20"/>
      <c r="AE531" s="17"/>
      <c r="AF531" s="17"/>
      <c r="AG531" s="17"/>
      <c r="AH531" s="86"/>
      <c r="AI531" s="20"/>
      <c r="AK531" s="17"/>
      <c r="AL531" s="17"/>
      <c r="AM531" s="17"/>
      <c r="AN531" s="86"/>
      <c r="AO531" s="20"/>
      <c r="AQ531" s="17"/>
      <c r="AR531" s="17"/>
      <c r="AS531" s="17"/>
      <c r="AT531" s="86"/>
      <c r="AU531" s="20"/>
      <c r="AW531" s="17"/>
      <c r="AX531" s="17"/>
      <c r="AY531" s="17"/>
      <c r="AZ531" s="86"/>
      <c r="BA531" s="20"/>
    </row>
    <row r="532" spans="1:53" ht="17.100000000000001" customHeight="1" x14ac:dyDescent="0.25">
      <c r="A532" s="40"/>
      <c r="B532" s="40"/>
      <c r="C532" s="74"/>
      <c r="D532" s="170"/>
      <c r="E532" s="171"/>
      <c r="F532" s="171"/>
      <c r="G532" s="171"/>
      <c r="H532" s="17"/>
      <c r="I532" s="594"/>
      <c r="J532" s="111"/>
      <c r="K532" s="111"/>
      <c r="L532" s="111"/>
      <c r="M532" s="111"/>
      <c r="N532" s="61"/>
      <c r="O532" s="61"/>
      <c r="P532" s="17"/>
      <c r="Q532" s="61"/>
      <c r="R532" s="61"/>
      <c r="S532" s="17"/>
      <c r="T532" s="61"/>
      <c r="U532" s="61"/>
      <c r="V532" s="359"/>
      <c r="W532" s="391"/>
      <c r="X532" s="17"/>
      <c r="Y532" s="86"/>
      <c r="Z532" s="20"/>
      <c r="AA532" s="20"/>
      <c r="AB532" s="20"/>
      <c r="AC532" s="20"/>
      <c r="AE532" s="17"/>
      <c r="AF532" s="17"/>
      <c r="AG532" s="17"/>
      <c r="AH532" s="86"/>
      <c r="AI532" s="20"/>
      <c r="AK532" s="17"/>
      <c r="AL532" s="17"/>
      <c r="AM532" s="17"/>
      <c r="AN532" s="86"/>
      <c r="AO532" s="20"/>
      <c r="AQ532" s="17"/>
      <c r="AR532" s="17"/>
      <c r="AS532" s="17"/>
      <c r="AT532" s="86"/>
      <c r="AU532" s="20"/>
      <c r="AW532" s="17"/>
      <c r="AX532" s="17"/>
      <c r="AY532" s="17"/>
      <c r="AZ532" s="86"/>
      <c r="BA532" s="20"/>
    </row>
    <row r="533" spans="1:53" ht="17.100000000000001" customHeight="1" x14ac:dyDescent="0.25">
      <c r="A533" s="40"/>
      <c r="B533" s="40"/>
      <c r="C533" s="77"/>
      <c r="D533" s="134"/>
      <c r="E533" s="134"/>
      <c r="F533" s="134"/>
      <c r="G533" s="134"/>
      <c r="H533" s="540"/>
      <c r="I533" s="229"/>
      <c r="J533" s="80"/>
      <c r="K533" s="80"/>
      <c r="L533" s="81"/>
      <c r="M533" s="81"/>
      <c r="N533" s="81">
        <f>SUM(N518:N528)</f>
        <v>6</v>
      </c>
      <c r="O533" s="81">
        <f t="shared" ref="O533:V533" si="745">SUM(O518:O528)</f>
        <v>3</v>
      </c>
      <c r="P533" s="82">
        <f t="shared" si="745"/>
        <v>9</v>
      </c>
      <c r="Q533" s="81">
        <f>SUM(Q518:Q528)</f>
        <v>1</v>
      </c>
      <c r="R533" s="81">
        <f t="shared" si="745"/>
        <v>5</v>
      </c>
      <c r="S533" s="82">
        <f t="shared" si="745"/>
        <v>6</v>
      </c>
      <c r="T533" s="81">
        <f>SUM(T518:T528)</f>
        <v>0</v>
      </c>
      <c r="U533" s="81">
        <f t="shared" si="745"/>
        <v>0</v>
      </c>
      <c r="V533" s="360">
        <f t="shared" si="745"/>
        <v>0</v>
      </c>
      <c r="W533" s="381">
        <f>SUM(W518:W528)</f>
        <v>7</v>
      </c>
      <c r="X533" s="82">
        <f t="shared" ref="X533:Y533" si="746">SUM(X518:X528)</f>
        <v>8</v>
      </c>
      <c r="Y533" s="82">
        <f t="shared" si="746"/>
        <v>15</v>
      </c>
      <c r="Z533" s="205">
        <f t="shared" ref="Z533" si="747">IF(Y$533=0,0,Y533/Y$533)</f>
        <v>1</v>
      </c>
      <c r="AA533" s="205"/>
      <c r="AB533" s="205"/>
      <c r="AC533" s="83"/>
      <c r="AE533" s="80"/>
      <c r="AF533" s="80"/>
      <c r="AG533" s="81"/>
      <c r="AH533" s="82"/>
      <c r="AI533" s="66"/>
      <c r="AK533" s="80"/>
      <c r="AL533" s="80"/>
      <c r="AM533" s="81"/>
      <c r="AN533" s="82"/>
      <c r="AO533" s="66"/>
      <c r="AQ533" s="80"/>
      <c r="AR533" s="80"/>
      <c r="AS533" s="81"/>
      <c r="AT533" s="82">
        <f>SUM(AT518:AT528)</f>
        <v>1</v>
      </c>
      <c r="AU533" s="66">
        <f>IF(AT$533=0,0,AT533/AT$533)</f>
        <v>1</v>
      </c>
      <c r="AW533" s="80"/>
      <c r="AX533" s="80"/>
      <c r="AY533" s="81"/>
      <c r="AZ533" s="82">
        <f>SUM(AZ518:AZ528)</f>
        <v>5</v>
      </c>
      <c r="BA533" s="66">
        <f>IF(AZ$533=0,0,AZ533/AZ$533)</f>
        <v>1</v>
      </c>
    </row>
    <row r="534" spans="1:53" ht="17.100000000000001" customHeight="1" x14ac:dyDescent="0.25">
      <c r="A534" s="68"/>
      <c r="B534" s="41" t="s">
        <v>310</v>
      </c>
      <c r="C534" s="49" t="s">
        <v>307</v>
      </c>
      <c r="D534" s="50"/>
      <c r="E534" s="70"/>
      <c r="F534" s="70"/>
      <c r="G534" s="70"/>
      <c r="H534" s="119"/>
      <c r="J534" s="71"/>
      <c r="K534" s="71"/>
      <c r="L534" s="71"/>
      <c r="M534" s="71"/>
      <c r="N534" s="71"/>
      <c r="O534" s="71"/>
      <c r="P534" s="71"/>
      <c r="Q534" s="71"/>
      <c r="R534" s="71"/>
      <c r="S534" s="71"/>
      <c r="T534" s="71"/>
      <c r="U534" s="71"/>
      <c r="V534" s="355"/>
      <c r="W534" s="377"/>
      <c r="X534" s="71"/>
      <c r="Y534" s="72"/>
      <c r="Z534" s="73"/>
      <c r="AA534" s="73"/>
      <c r="AB534" s="73"/>
      <c r="AC534" s="73"/>
      <c r="AE534" s="71"/>
      <c r="AF534" s="71"/>
      <c r="AG534" s="71"/>
      <c r="AH534" s="72"/>
      <c r="AI534" s="73"/>
      <c r="AK534" s="71"/>
      <c r="AL534" s="71"/>
      <c r="AM534" s="71"/>
      <c r="AN534" s="72"/>
      <c r="AO534" s="73"/>
      <c r="AQ534" s="71"/>
      <c r="AR534" s="71"/>
      <c r="AS534" s="71"/>
      <c r="AT534" s="72"/>
      <c r="AU534" s="73"/>
      <c r="AW534" s="71"/>
      <c r="AX534" s="71"/>
      <c r="AY534" s="71"/>
      <c r="AZ534" s="72"/>
      <c r="BA534" s="73"/>
    </row>
    <row r="535" spans="1:53" ht="17.100000000000001" customHeight="1" x14ac:dyDescent="0.25">
      <c r="A535" s="119"/>
      <c r="B535" s="119"/>
      <c r="C535" s="56" t="s">
        <v>311</v>
      </c>
      <c r="D535" s="146" t="s">
        <v>9</v>
      </c>
      <c r="E535" s="105"/>
      <c r="F535" s="105"/>
      <c r="G535" s="105"/>
      <c r="H535" s="119"/>
      <c r="I535" s="231"/>
      <c r="J535" s="111"/>
      <c r="K535" s="111"/>
      <c r="L535" s="111"/>
      <c r="M535" s="111"/>
      <c r="N535" s="60">
        <v>6</v>
      </c>
      <c r="O535" s="60">
        <v>3</v>
      </c>
      <c r="P535" s="17">
        <f t="shared" ref="P535:P537" si="748">SUM(N535:O535)</f>
        <v>9</v>
      </c>
      <c r="Q535" s="60">
        <v>1</v>
      </c>
      <c r="R535" s="60">
        <v>5</v>
      </c>
      <c r="S535" s="17">
        <f t="shared" ref="S535:S537" si="749">SUM(Q535:R535)</f>
        <v>6</v>
      </c>
      <c r="T535" s="60"/>
      <c r="U535" s="60"/>
      <c r="V535" s="359">
        <f t="shared" ref="V535:V537" si="750">SUM(T535:U535)</f>
        <v>0</v>
      </c>
      <c r="W535" s="391">
        <f t="shared" ref="W535:W537" si="751">J535+K535+N535+Q535+T535</f>
        <v>7</v>
      </c>
      <c r="X535" s="17">
        <f t="shared" ref="X535:X537" si="752">L535+O535+R535+U535</f>
        <v>8</v>
      </c>
      <c r="Y535" s="18">
        <f>SUM(W535:X535)</f>
        <v>15</v>
      </c>
      <c r="Z535" s="19">
        <f>IF(Y$538=0,0,Y535/Y$538)</f>
        <v>1</v>
      </c>
      <c r="AA535" s="19"/>
      <c r="AB535" s="19"/>
      <c r="AC535" s="20"/>
      <c r="AE535" s="111"/>
      <c r="AF535" s="111"/>
      <c r="AG535" s="111"/>
      <c r="AH535" s="112"/>
      <c r="AI535" s="113"/>
      <c r="AK535" s="111"/>
      <c r="AL535" s="111"/>
      <c r="AM535" s="111"/>
      <c r="AN535" s="112"/>
      <c r="AO535" s="113"/>
      <c r="AQ535" s="17"/>
      <c r="AR535" s="17"/>
      <c r="AS535" s="17"/>
      <c r="AT535" s="18">
        <f t="shared" ref="AT535" si="753">W535</f>
        <v>7</v>
      </c>
      <c r="AU535" s="19">
        <f>IF(AT$538=0,0,AT535/AT$538)</f>
        <v>1</v>
      </c>
      <c r="AW535" s="17"/>
      <c r="AX535" s="17"/>
      <c r="AY535" s="17"/>
      <c r="AZ535" s="18">
        <f t="shared" ref="AZ535" si="754">X535</f>
        <v>8</v>
      </c>
      <c r="BA535" s="19">
        <f>IF(AZ$538=0,0,AZ535/AZ$538)</f>
        <v>1</v>
      </c>
    </row>
    <row r="536" spans="1:53" ht="17.100000000000001" customHeight="1" x14ac:dyDescent="0.25">
      <c r="A536" s="119"/>
      <c r="B536" s="119"/>
      <c r="C536" s="56" t="s">
        <v>312</v>
      </c>
      <c r="D536" s="146" t="s">
        <v>11</v>
      </c>
      <c r="E536" s="105"/>
      <c r="F536" s="105"/>
      <c r="G536" s="105"/>
      <c r="H536" s="119"/>
      <c r="I536" s="231"/>
      <c r="J536" s="111"/>
      <c r="K536" s="111"/>
      <c r="L536" s="111"/>
      <c r="M536" s="111"/>
      <c r="N536" s="61"/>
      <c r="O536" s="61"/>
      <c r="P536" s="17">
        <f t="shared" si="748"/>
        <v>0</v>
      </c>
      <c r="Q536" s="61"/>
      <c r="R536" s="61"/>
      <c r="S536" s="17">
        <f t="shared" si="749"/>
        <v>0</v>
      </c>
      <c r="T536" s="61"/>
      <c r="U536" s="61"/>
      <c r="V536" s="359">
        <f t="shared" si="750"/>
        <v>0</v>
      </c>
      <c r="W536" s="391">
        <f t="shared" si="751"/>
        <v>0</v>
      </c>
      <c r="X536" s="17">
        <f t="shared" si="752"/>
        <v>0</v>
      </c>
      <c r="Y536" s="18">
        <f>SUM(W536:X536)</f>
        <v>0</v>
      </c>
      <c r="Z536" s="19">
        <f t="shared" ref="Z536:Z538" si="755">IF(Y$538=0,0,Y536/Y$538)</f>
        <v>0</v>
      </c>
      <c r="AA536" s="19"/>
      <c r="AB536" s="19"/>
      <c r="AC536" s="20"/>
      <c r="AE536" s="111"/>
      <c r="AF536" s="111"/>
      <c r="AG536" s="111"/>
      <c r="AH536" s="112"/>
      <c r="AI536" s="113"/>
      <c r="AK536" s="111"/>
      <c r="AL536" s="111"/>
      <c r="AM536" s="111"/>
      <c r="AN536" s="112"/>
      <c r="AO536" s="113"/>
      <c r="AQ536" s="17"/>
      <c r="AR536" s="17"/>
      <c r="AS536" s="17"/>
      <c r="AT536" s="18">
        <f t="shared" ref="AT536:AT537" si="756">W536</f>
        <v>0</v>
      </c>
      <c r="AU536" s="19">
        <f t="shared" ref="AU536:AU538" si="757">IF(AT$538=0,0,AT536/AT$538)</f>
        <v>0</v>
      </c>
      <c r="AW536" s="17"/>
      <c r="AX536" s="17"/>
      <c r="AY536" s="17"/>
      <c r="AZ536" s="18">
        <f t="shared" ref="AZ536:AZ537" si="758">X536</f>
        <v>0</v>
      </c>
      <c r="BA536" s="19">
        <f t="shared" ref="BA536:BA538" si="759">IF(AZ$538=0,0,AZ536/AZ$538)</f>
        <v>0</v>
      </c>
    </row>
    <row r="537" spans="1:53" ht="17.100000000000001" customHeight="1" x14ac:dyDescent="0.25">
      <c r="A537" s="119"/>
      <c r="B537" s="119"/>
      <c r="C537" s="56" t="s">
        <v>490</v>
      </c>
      <c r="D537" s="146" t="s">
        <v>617</v>
      </c>
      <c r="E537" s="105"/>
      <c r="F537" s="105"/>
      <c r="G537" s="105"/>
      <c r="H537" s="119"/>
      <c r="I537" s="231"/>
      <c r="J537" s="111"/>
      <c r="K537" s="111"/>
      <c r="L537" s="111"/>
      <c r="M537" s="111"/>
      <c r="N537" s="60"/>
      <c r="O537" s="60"/>
      <c r="P537" s="17">
        <f t="shared" si="748"/>
        <v>0</v>
      </c>
      <c r="Q537" s="60"/>
      <c r="R537" s="60"/>
      <c r="S537" s="17">
        <f t="shared" si="749"/>
        <v>0</v>
      </c>
      <c r="T537" s="60"/>
      <c r="U537" s="60"/>
      <c r="V537" s="359">
        <f t="shared" si="750"/>
        <v>0</v>
      </c>
      <c r="W537" s="391">
        <f t="shared" si="751"/>
        <v>0</v>
      </c>
      <c r="X537" s="17">
        <f t="shared" si="752"/>
        <v>0</v>
      </c>
      <c r="Y537" s="18">
        <f>SUM(W537:X537)</f>
        <v>0</v>
      </c>
      <c r="Z537" s="19">
        <f t="shared" si="755"/>
        <v>0</v>
      </c>
      <c r="AA537" s="19"/>
      <c r="AB537" s="19"/>
      <c r="AC537" s="20"/>
      <c r="AE537" s="111"/>
      <c r="AF537" s="111"/>
      <c r="AG537" s="111"/>
      <c r="AH537" s="112"/>
      <c r="AI537" s="113"/>
      <c r="AK537" s="111"/>
      <c r="AL537" s="111"/>
      <c r="AM537" s="111"/>
      <c r="AN537" s="112"/>
      <c r="AO537" s="113"/>
      <c r="AQ537" s="17"/>
      <c r="AR537" s="17"/>
      <c r="AS537" s="17"/>
      <c r="AT537" s="18">
        <f t="shared" si="756"/>
        <v>0</v>
      </c>
      <c r="AU537" s="19">
        <f t="shared" si="757"/>
        <v>0</v>
      </c>
      <c r="AW537" s="17"/>
      <c r="AX537" s="17"/>
      <c r="AY537" s="17"/>
      <c r="AZ537" s="18">
        <f t="shared" si="758"/>
        <v>0</v>
      </c>
      <c r="BA537" s="19">
        <f t="shared" si="759"/>
        <v>0</v>
      </c>
    </row>
    <row r="538" spans="1:53" ht="17.100000000000001" customHeight="1" x14ac:dyDescent="0.25">
      <c r="A538" s="40"/>
      <c r="B538" s="40"/>
      <c r="C538" s="77"/>
      <c r="D538" s="134"/>
      <c r="E538" s="134"/>
      <c r="F538" s="134"/>
      <c r="G538" s="134"/>
      <c r="H538" s="540"/>
      <c r="I538" s="229"/>
      <c r="J538" s="80"/>
      <c r="K538" s="80"/>
      <c r="L538" s="81"/>
      <c r="M538" s="81"/>
      <c r="N538" s="81">
        <f>SUM(N535:N537)</f>
        <v>6</v>
      </c>
      <c r="O538" s="81">
        <f t="shared" ref="O538:V538" si="760">SUM(O535:O537)</f>
        <v>3</v>
      </c>
      <c r="P538" s="81">
        <f t="shared" si="760"/>
        <v>9</v>
      </c>
      <c r="Q538" s="81">
        <f t="shared" si="760"/>
        <v>1</v>
      </c>
      <c r="R538" s="81">
        <f t="shared" si="760"/>
        <v>5</v>
      </c>
      <c r="S538" s="81">
        <f t="shared" si="760"/>
        <v>6</v>
      </c>
      <c r="T538" s="81">
        <f t="shared" si="760"/>
        <v>0</v>
      </c>
      <c r="U538" s="81">
        <f t="shared" si="760"/>
        <v>0</v>
      </c>
      <c r="V538" s="81">
        <f t="shared" si="760"/>
        <v>0</v>
      </c>
      <c r="W538" s="381">
        <f>SUM(W535:W537)</f>
        <v>7</v>
      </c>
      <c r="X538" s="82">
        <f t="shared" ref="X538:Y538" si="761">SUM(X535:X537)</f>
        <v>8</v>
      </c>
      <c r="Y538" s="82">
        <f t="shared" si="761"/>
        <v>15</v>
      </c>
      <c r="Z538" s="205">
        <f t="shared" si="755"/>
        <v>1</v>
      </c>
      <c r="AA538" s="205"/>
      <c r="AB538" s="205"/>
      <c r="AC538" s="83"/>
      <c r="AE538" s="80"/>
      <c r="AF538" s="80"/>
      <c r="AG538" s="81"/>
      <c r="AH538" s="82"/>
      <c r="AI538" s="66"/>
      <c r="AK538" s="80"/>
      <c r="AL538" s="80"/>
      <c r="AM538" s="81"/>
      <c r="AN538" s="82"/>
      <c r="AO538" s="66"/>
      <c r="AQ538" s="80"/>
      <c r="AR538" s="80"/>
      <c r="AS538" s="81"/>
      <c r="AT538" s="82">
        <f>SUM(AT535:AT537)</f>
        <v>7</v>
      </c>
      <c r="AU538" s="66">
        <f t="shared" si="757"/>
        <v>1</v>
      </c>
      <c r="AW538" s="80"/>
      <c r="AX538" s="80"/>
      <c r="AY538" s="81"/>
      <c r="AZ538" s="82">
        <f>SUM(AZ535:AZ537)</f>
        <v>8</v>
      </c>
      <c r="BA538" s="66">
        <f t="shared" si="759"/>
        <v>1</v>
      </c>
    </row>
    <row r="539" spans="1:53" s="117" customFormat="1" ht="17.100000000000001" customHeight="1" x14ac:dyDescent="0.25">
      <c r="A539" s="68"/>
      <c r="B539" s="119"/>
      <c r="C539" s="540"/>
      <c r="D539" s="261"/>
      <c r="E539" s="261"/>
      <c r="F539" s="68"/>
      <c r="G539" s="68"/>
      <c r="H539" s="119"/>
      <c r="I539" s="138"/>
      <c r="J539" s="17"/>
      <c r="K539" s="17"/>
      <c r="L539" s="17"/>
      <c r="M539" s="17"/>
      <c r="N539" s="17" t="str">
        <f>IF(N538=N$20,"OK","NOK")</f>
        <v>OK</v>
      </c>
      <c r="O539" s="17" t="str">
        <f>IF(O538=O$20,"OK","NOK")</f>
        <v>OK</v>
      </c>
      <c r="P539" s="17"/>
      <c r="Q539" s="17" t="str">
        <f>IF(Q538=Q$20,"OK","NOK")</f>
        <v>OK</v>
      </c>
      <c r="R539" s="17" t="str">
        <f>IF(R538=R$20,"OK","NOK")</f>
        <v>OK</v>
      </c>
      <c r="S539" s="17"/>
      <c r="T539" s="17" t="str">
        <f>IF(T538=T$20,"OK","NOK")</f>
        <v>OK</v>
      </c>
      <c r="U539" s="17" t="str">
        <f>IF(U538=U$20,"OK","NOK")</f>
        <v>OK</v>
      </c>
      <c r="V539" s="359"/>
      <c r="W539" s="382"/>
      <c r="X539" s="539"/>
      <c r="Y539" s="539"/>
      <c r="Z539" s="201"/>
      <c r="AA539" s="201"/>
      <c r="AB539" s="201"/>
      <c r="AC539" s="84"/>
      <c r="AE539" s="46"/>
      <c r="AF539" s="46"/>
      <c r="AG539" s="17"/>
      <c r="AH539" s="539"/>
      <c r="AI539" s="91"/>
      <c r="AK539" s="46"/>
      <c r="AL539" s="46"/>
      <c r="AM539" s="17"/>
      <c r="AN539" s="539"/>
      <c r="AO539" s="91"/>
      <c r="AQ539" s="46"/>
      <c r="AR539" s="46"/>
      <c r="AS539" s="17"/>
      <c r="AT539" s="539"/>
      <c r="AU539" s="91"/>
      <c r="AW539" s="46"/>
      <c r="AX539" s="46"/>
      <c r="AY539" s="17"/>
      <c r="AZ539" s="539"/>
      <c r="BA539" s="91"/>
    </row>
    <row r="540" spans="1:53" s="117" customFormat="1" ht="17.100000000000001" customHeight="1" x14ac:dyDescent="0.25">
      <c r="A540" s="68"/>
      <c r="B540" s="119"/>
      <c r="C540" s="56" t="s">
        <v>672</v>
      </c>
      <c r="D540" s="146" t="s">
        <v>673</v>
      </c>
      <c r="E540" s="149"/>
      <c r="F540" s="149"/>
      <c r="G540" s="151"/>
      <c r="H540" s="119"/>
      <c r="I540" s="138"/>
      <c r="J540" s="111"/>
      <c r="K540" s="111"/>
      <c r="L540" s="111"/>
      <c r="M540" s="111"/>
      <c r="N540" s="111"/>
      <c r="O540" s="111"/>
      <c r="P540" s="336">
        <v>0.5</v>
      </c>
      <c r="Q540" s="341"/>
      <c r="R540" s="341"/>
      <c r="S540" s="336">
        <v>3</v>
      </c>
      <c r="T540" s="341"/>
      <c r="U540" s="341"/>
      <c r="V540" s="368"/>
      <c r="W540" s="382"/>
      <c r="X540" s="539"/>
      <c r="Y540" s="539"/>
      <c r="Z540" s="201"/>
      <c r="AA540" s="340">
        <f>MIN(P540,S540,V540)</f>
        <v>0.5</v>
      </c>
      <c r="AB540" s="340">
        <f>MAX(P540,S540,V540)</f>
        <v>3</v>
      </c>
      <c r="AC540" s="340">
        <f>IF(P540+S540+V540=0,0,AVERAGE(P540,S540,V540))</f>
        <v>1.75</v>
      </c>
      <c r="AE540" s="152"/>
      <c r="AF540" s="152"/>
      <c r="AG540" s="111"/>
      <c r="AH540" s="545"/>
      <c r="AI540" s="131"/>
      <c r="AK540" s="152"/>
      <c r="AL540" s="152"/>
      <c r="AM540" s="111"/>
      <c r="AN540" s="545"/>
      <c r="AO540" s="131"/>
      <c r="AQ540" s="152"/>
      <c r="AR540" s="152"/>
      <c r="AS540" s="111"/>
      <c r="AT540" s="545"/>
      <c r="AU540" s="131"/>
      <c r="AW540" s="152"/>
      <c r="AX540" s="152"/>
      <c r="AY540" s="111"/>
      <c r="AZ540" s="545"/>
      <c r="BA540" s="131"/>
    </row>
    <row r="541" spans="1:53" s="117" customFormat="1" ht="17.100000000000001" customHeight="1" x14ac:dyDescent="0.25">
      <c r="A541" s="68"/>
      <c r="B541" s="119"/>
      <c r="C541" s="92"/>
      <c r="D541" s="261"/>
      <c r="E541" s="261"/>
      <c r="F541" s="68"/>
      <c r="G541" s="68"/>
      <c r="H541" s="119"/>
      <c r="I541" s="138"/>
      <c r="J541" s="17"/>
      <c r="K541" s="17"/>
      <c r="L541" s="17"/>
      <c r="M541" s="17"/>
      <c r="N541" s="17"/>
      <c r="O541" s="17"/>
      <c r="P541" s="17"/>
      <c r="Q541" s="17"/>
      <c r="R541" s="17"/>
      <c r="S541" s="17"/>
      <c r="T541" s="17"/>
      <c r="U541" s="17"/>
      <c r="V541" s="359"/>
      <c r="W541" s="382"/>
      <c r="X541" s="539"/>
      <c r="Y541" s="539"/>
      <c r="Z541" s="201"/>
      <c r="AA541" s="201"/>
      <c r="AB541" s="201"/>
      <c r="AC541" s="84"/>
      <c r="AE541" s="46"/>
      <c r="AF541" s="46"/>
      <c r="AG541" s="17"/>
      <c r="AH541" s="539"/>
      <c r="AI541" s="91"/>
      <c r="AK541" s="46"/>
      <c r="AL541" s="46"/>
      <c r="AM541" s="17"/>
      <c r="AN541" s="539"/>
      <c r="AO541" s="91"/>
      <c r="AQ541" s="46"/>
      <c r="AR541" s="46"/>
      <c r="AS541" s="17"/>
      <c r="AT541" s="539"/>
      <c r="AU541" s="91"/>
      <c r="AW541" s="46"/>
      <c r="AX541" s="46"/>
      <c r="AY541" s="17"/>
      <c r="AZ541" s="539"/>
      <c r="BA541" s="91"/>
    </row>
    <row r="542" spans="1:53" ht="17.100000000000001" customHeight="1" x14ac:dyDescent="0.25">
      <c r="A542" s="68"/>
      <c r="B542" s="41" t="s">
        <v>313</v>
      </c>
      <c r="C542" s="69" t="s">
        <v>492</v>
      </c>
      <c r="D542" s="50"/>
      <c r="E542" s="70"/>
      <c r="F542" s="70"/>
      <c r="G542" s="70"/>
      <c r="H542" s="119"/>
      <c r="J542" s="71"/>
      <c r="K542" s="71"/>
      <c r="L542" s="71"/>
      <c r="M542" s="71"/>
      <c r="N542" s="71"/>
      <c r="O542" s="71"/>
      <c r="P542" s="71"/>
      <c r="Q542" s="71"/>
      <c r="R542" s="71"/>
      <c r="S542" s="71"/>
      <c r="T542" s="71"/>
      <c r="U542" s="71"/>
      <c r="V542" s="355"/>
      <c r="W542" s="377"/>
      <c r="X542" s="71"/>
      <c r="Y542" s="72"/>
      <c r="Z542" s="73"/>
      <c r="AA542" s="73"/>
      <c r="AB542" s="73"/>
      <c r="AC542" s="73"/>
      <c r="AE542" s="71"/>
      <c r="AF542" s="71"/>
      <c r="AG542" s="71"/>
      <c r="AH542" s="72"/>
      <c r="AI542" s="73"/>
      <c r="AK542" s="71"/>
      <c r="AL542" s="71"/>
      <c r="AM542" s="71"/>
      <c r="AN542" s="72"/>
      <c r="AO542" s="73"/>
      <c r="AQ542" s="71"/>
      <c r="AR542" s="71"/>
      <c r="AS542" s="71"/>
      <c r="AT542" s="72"/>
      <c r="AU542" s="73"/>
      <c r="AW542" s="71"/>
      <c r="AX542" s="71"/>
      <c r="AY542" s="71"/>
      <c r="AZ542" s="72"/>
      <c r="BA542" s="73"/>
    </row>
    <row r="543" spans="1:53" ht="17.100000000000001" customHeight="1" x14ac:dyDescent="0.25">
      <c r="A543" s="119"/>
      <c r="B543" s="119"/>
      <c r="C543" s="56" t="s">
        <v>314</v>
      </c>
      <c r="D543" s="149" t="s">
        <v>129</v>
      </c>
      <c r="E543" s="105"/>
      <c r="F543" s="105"/>
      <c r="G543" s="105"/>
      <c r="H543" s="119"/>
      <c r="J543" s="111"/>
      <c r="K543" s="111"/>
      <c r="L543" s="111"/>
      <c r="M543" s="111"/>
      <c r="N543" s="598"/>
      <c r="O543" s="598"/>
      <c r="P543" s="327"/>
      <c r="Q543" s="598"/>
      <c r="R543" s="598"/>
      <c r="S543" s="327"/>
      <c r="T543" s="598"/>
      <c r="U543" s="598"/>
      <c r="V543" s="369"/>
      <c r="W543" s="391"/>
      <c r="X543" s="17"/>
      <c r="Y543" s="328">
        <f>P543+S543+V543</f>
        <v>0</v>
      </c>
      <c r="Z543" s="19">
        <f>IF(Y$546=0,0,Y543/Y$546)</f>
        <v>0</v>
      </c>
      <c r="AA543" s="19"/>
      <c r="AB543" s="19"/>
      <c r="AC543" s="20"/>
      <c r="AE543" s="111"/>
      <c r="AF543" s="111"/>
      <c r="AG543" s="111"/>
      <c r="AH543" s="545"/>
      <c r="AI543" s="131"/>
      <c r="AK543" s="111"/>
      <c r="AL543" s="111"/>
      <c r="AM543" s="111"/>
      <c r="AN543" s="545"/>
      <c r="AO543" s="131"/>
      <c r="AQ543" s="111"/>
      <c r="AR543" s="111"/>
      <c r="AS543" s="111"/>
      <c r="AT543" s="545"/>
      <c r="AU543" s="131"/>
      <c r="AW543" s="111"/>
      <c r="AX543" s="111"/>
      <c r="AY543" s="111"/>
      <c r="AZ543" s="545"/>
      <c r="BA543" s="131"/>
    </row>
    <row r="544" spans="1:53" ht="17.100000000000001" customHeight="1" x14ac:dyDescent="0.25">
      <c r="A544" s="119"/>
      <c r="B544" s="119"/>
      <c r="C544" s="56" t="s">
        <v>327</v>
      </c>
      <c r="D544" s="149" t="s">
        <v>491</v>
      </c>
      <c r="E544" s="105"/>
      <c r="F544" s="105"/>
      <c r="G544" s="105"/>
      <c r="H544" s="119"/>
      <c r="J544" s="599"/>
      <c r="K544" s="599"/>
      <c r="L544" s="599"/>
      <c r="M544" s="599"/>
      <c r="N544" s="598"/>
      <c r="O544" s="598"/>
      <c r="P544" s="329">
        <v>1</v>
      </c>
      <c r="Q544" s="598"/>
      <c r="R544" s="598"/>
      <c r="S544" s="329">
        <v>1</v>
      </c>
      <c r="T544" s="598"/>
      <c r="U544" s="598"/>
      <c r="V544" s="370"/>
      <c r="W544" s="391"/>
      <c r="X544" s="17"/>
      <c r="Y544" s="328">
        <f t="shared" ref="Y544:Y545" si="762">P544+S544+V544</f>
        <v>2</v>
      </c>
      <c r="Z544" s="19">
        <f>IF(Y$546=0,0,Y544/Y$546)</f>
        <v>1</v>
      </c>
      <c r="AA544" s="19"/>
      <c r="AB544" s="19"/>
      <c r="AC544" s="189"/>
      <c r="AE544" s="111"/>
      <c r="AF544" s="111"/>
      <c r="AG544" s="111"/>
      <c r="AH544" s="545"/>
      <c r="AI544" s="131"/>
      <c r="AK544" s="111"/>
      <c r="AL544" s="111"/>
      <c r="AM544" s="111"/>
      <c r="AN544" s="545"/>
      <c r="AO544" s="131"/>
      <c r="AQ544" s="111"/>
      <c r="AR544" s="111"/>
      <c r="AS544" s="111"/>
      <c r="AT544" s="545"/>
      <c r="AU544" s="131"/>
      <c r="AW544" s="111"/>
      <c r="AX544" s="111"/>
      <c r="AY544" s="111"/>
      <c r="AZ544" s="545"/>
      <c r="BA544" s="131"/>
    </row>
    <row r="545" spans="1:53" ht="17.100000000000001" customHeight="1" x14ac:dyDescent="0.25">
      <c r="A545" s="119"/>
      <c r="B545" s="119"/>
      <c r="C545" s="56" t="s">
        <v>328</v>
      </c>
      <c r="D545" s="149" t="s">
        <v>493</v>
      </c>
      <c r="E545" s="105"/>
      <c r="F545" s="105"/>
      <c r="G545" s="105"/>
      <c r="H545" s="119"/>
      <c r="J545" s="111"/>
      <c r="K545" s="111"/>
      <c r="L545" s="111"/>
      <c r="M545" s="111"/>
      <c r="N545" s="598"/>
      <c r="O545" s="598"/>
      <c r="P545" s="327"/>
      <c r="Q545" s="598"/>
      <c r="R545" s="598"/>
      <c r="S545" s="327"/>
      <c r="T545" s="598"/>
      <c r="U545" s="598"/>
      <c r="V545" s="369"/>
      <c r="W545" s="391"/>
      <c r="X545" s="17"/>
      <c r="Y545" s="328">
        <f t="shared" si="762"/>
        <v>0</v>
      </c>
      <c r="Z545" s="19">
        <f>IF(Y$546=0,0,Y545/Y$546)</f>
        <v>0</v>
      </c>
      <c r="AA545" s="19"/>
      <c r="AB545" s="19"/>
      <c r="AC545" s="20"/>
      <c r="AE545" s="111"/>
      <c r="AF545" s="111"/>
      <c r="AG545" s="111"/>
      <c r="AH545" s="545"/>
      <c r="AI545" s="131"/>
      <c r="AK545" s="111"/>
      <c r="AL545" s="111"/>
      <c r="AM545" s="111"/>
      <c r="AN545" s="545"/>
      <c r="AO545" s="131"/>
      <c r="AQ545" s="111"/>
      <c r="AR545" s="111"/>
      <c r="AS545" s="111"/>
      <c r="AT545" s="545"/>
      <c r="AU545" s="131"/>
      <c r="AW545" s="111"/>
      <c r="AX545" s="111"/>
      <c r="AY545" s="111"/>
      <c r="AZ545" s="545"/>
      <c r="BA545" s="131"/>
    </row>
    <row r="546" spans="1:53" ht="17.100000000000001" customHeight="1" x14ac:dyDescent="0.25">
      <c r="A546" s="119"/>
      <c r="B546" s="119"/>
      <c r="C546" s="325"/>
      <c r="D546" s="326"/>
      <c r="E546" s="184"/>
      <c r="F546" s="184"/>
      <c r="G546" s="184"/>
      <c r="H546" s="119"/>
      <c r="J546" s="600"/>
      <c r="K546" s="600"/>
      <c r="L546" s="600"/>
      <c r="M546" s="600"/>
      <c r="N546" s="600"/>
      <c r="O546" s="600"/>
      <c r="P546" s="601">
        <f>SUM(P543:P545)</f>
        <v>1</v>
      </c>
      <c r="Q546" s="600"/>
      <c r="R546" s="600"/>
      <c r="S546" s="601">
        <f>SUM(S543:S545)</f>
        <v>1</v>
      </c>
      <c r="T546" s="600"/>
      <c r="U546" s="600"/>
      <c r="V546" s="602">
        <f>SUM(V543:V545)</f>
        <v>0</v>
      </c>
      <c r="W546" s="381"/>
      <c r="X546" s="82"/>
      <c r="Y546" s="82">
        <f t="shared" ref="Y546" si="763">SUM(Y543:Y545)</f>
        <v>2</v>
      </c>
      <c r="Z546" s="205">
        <f>IF(Y$546=0,0,Y546/Y$546)</f>
        <v>1</v>
      </c>
      <c r="AA546" s="205"/>
      <c r="AB546" s="205"/>
      <c r="AC546" s="204"/>
      <c r="AE546" s="81"/>
      <c r="AF546" s="81"/>
      <c r="AG546" s="81"/>
      <c r="AH546" s="82"/>
      <c r="AI546" s="66"/>
      <c r="AK546" s="81"/>
      <c r="AL546" s="81"/>
      <c r="AM546" s="81"/>
      <c r="AN546" s="82"/>
      <c r="AO546" s="66"/>
      <c r="AQ546" s="81"/>
      <c r="AR546" s="81"/>
      <c r="AS546" s="81"/>
      <c r="AT546" s="82"/>
      <c r="AU546" s="66"/>
      <c r="AW546" s="81"/>
      <c r="AX546" s="81"/>
      <c r="AY546" s="81"/>
      <c r="AZ546" s="82"/>
      <c r="BA546" s="66"/>
    </row>
    <row r="547" spans="1:53" s="117" customFormat="1" ht="17.100000000000001" customHeight="1" x14ac:dyDescent="0.25">
      <c r="A547" s="68"/>
      <c r="B547" s="119"/>
      <c r="C547" s="540"/>
      <c r="D547" s="261"/>
      <c r="E547" s="261"/>
      <c r="F547" s="68"/>
      <c r="G547" s="68"/>
      <c r="H547" s="119"/>
      <c r="I547" s="138"/>
      <c r="J547" s="17"/>
      <c r="K547" s="17"/>
      <c r="L547" s="17"/>
      <c r="M547" s="17"/>
      <c r="N547" s="17"/>
      <c r="O547" s="17"/>
      <c r="P547" s="17" t="str">
        <f>IF(P546=1,"OK","NOK")</f>
        <v>OK</v>
      </c>
      <c r="Q547" s="17"/>
      <c r="R547" s="17"/>
      <c r="S547" s="17" t="str">
        <f>IF(S546=1,"OK","NOK")</f>
        <v>OK</v>
      </c>
      <c r="T547" s="17"/>
      <c r="U547" s="17"/>
      <c r="V547" s="359" t="str">
        <f>IF(V546=1,"OK","NOK")</f>
        <v>NOK</v>
      </c>
      <c r="W547" s="382"/>
      <c r="X547" s="539"/>
      <c r="Y547" s="539"/>
      <c r="Z547" s="201"/>
      <c r="AA547" s="201"/>
      <c r="AB547" s="201"/>
      <c r="AC547" s="84"/>
      <c r="AE547" s="46"/>
      <c r="AF547" s="46"/>
      <c r="AG547" s="17"/>
      <c r="AH547" s="539"/>
      <c r="AI547" s="91"/>
      <c r="AK547" s="46"/>
      <c r="AL547" s="46"/>
      <c r="AM547" s="17"/>
      <c r="AN547" s="539"/>
      <c r="AO547" s="91"/>
      <c r="AQ547" s="46"/>
      <c r="AR547" s="46"/>
      <c r="AS547" s="17"/>
      <c r="AT547" s="539"/>
      <c r="AU547" s="91"/>
      <c r="AW547" s="46"/>
      <c r="AX547" s="46"/>
      <c r="AY547" s="17"/>
      <c r="AZ547" s="539"/>
      <c r="BA547" s="91"/>
    </row>
    <row r="548" spans="1:53" s="117" customFormat="1" ht="17.100000000000001" customHeight="1" x14ac:dyDescent="0.25">
      <c r="A548" s="68"/>
      <c r="B548" s="119"/>
      <c r="C548" s="92"/>
      <c r="D548" s="93"/>
      <c r="E548" s="93"/>
      <c r="F548" s="93"/>
      <c r="G548" s="93"/>
      <c r="H548" s="540"/>
      <c r="I548" s="12"/>
      <c r="J548" s="46"/>
      <c r="K548" s="46"/>
      <c r="L548" s="17"/>
      <c r="M548" s="17"/>
      <c r="N548" s="17"/>
      <c r="O548" s="17"/>
      <c r="P548" s="17"/>
      <c r="Q548" s="17"/>
      <c r="R548" s="17"/>
      <c r="S548" s="17"/>
      <c r="T548" s="17"/>
      <c r="U548" s="17"/>
      <c r="V548" s="359"/>
      <c r="W548" s="391"/>
      <c r="X548" s="17"/>
      <c r="Y548" s="539"/>
      <c r="Z548" s="91"/>
      <c r="AA548" s="91"/>
      <c r="AB548" s="91"/>
      <c r="AC548" s="84"/>
      <c r="AE548" s="46"/>
      <c r="AF548" s="46"/>
      <c r="AG548" s="17"/>
      <c r="AH548" s="539"/>
      <c r="AI548" s="91"/>
      <c r="AK548" s="46"/>
      <c r="AL548" s="46"/>
      <c r="AM548" s="17"/>
      <c r="AN548" s="539"/>
      <c r="AO548" s="91"/>
      <c r="AQ548" s="46"/>
      <c r="AR548" s="46"/>
      <c r="AS548" s="17"/>
      <c r="AT548" s="539"/>
      <c r="AU548" s="91"/>
      <c r="AW548" s="46"/>
      <c r="AX548" s="46"/>
      <c r="AY548" s="17"/>
      <c r="AZ548" s="539"/>
      <c r="BA548" s="91"/>
    </row>
    <row r="549" spans="1:53" ht="17.100000000000001" customHeight="1" x14ac:dyDescent="0.25">
      <c r="A549" s="68"/>
      <c r="B549" s="41" t="s">
        <v>1443</v>
      </c>
      <c r="C549" s="69" t="s">
        <v>12</v>
      </c>
      <c r="D549" s="50"/>
      <c r="E549" s="70"/>
      <c r="F549" s="70"/>
      <c r="G549" s="70"/>
      <c r="H549" s="119"/>
      <c r="J549" s="71"/>
      <c r="K549" s="71"/>
      <c r="L549" s="71"/>
      <c r="M549" s="71"/>
      <c r="N549" s="71"/>
      <c r="O549" s="71"/>
      <c r="P549" s="71"/>
      <c r="Q549" s="71"/>
      <c r="R549" s="71"/>
      <c r="S549" s="71"/>
      <c r="T549" s="71"/>
      <c r="U549" s="71"/>
      <c r="V549" s="355"/>
      <c r="W549" s="377"/>
      <c r="X549" s="71"/>
      <c r="Y549" s="72"/>
      <c r="Z549" s="73"/>
      <c r="AA549" s="73"/>
      <c r="AB549" s="73"/>
      <c r="AC549" s="73"/>
      <c r="AE549" s="71"/>
      <c r="AF549" s="71"/>
      <c r="AG549" s="71"/>
      <c r="AH549" s="72"/>
      <c r="AI549" s="73"/>
      <c r="AK549" s="71"/>
      <c r="AL549" s="71"/>
      <c r="AM549" s="71"/>
      <c r="AN549" s="72"/>
      <c r="AO549" s="73"/>
      <c r="AQ549" s="71"/>
      <c r="AR549" s="71"/>
      <c r="AS549" s="71"/>
      <c r="AT549" s="72"/>
      <c r="AU549" s="73"/>
      <c r="AW549" s="71"/>
      <c r="AX549" s="71"/>
      <c r="AY549" s="71"/>
      <c r="AZ549" s="72"/>
      <c r="BA549" s="73"/>
    </row>
    <row r="550" spans="1:53" ht="17.100000000000001" customHeight="1" x14ac:dyDescent="0.25">
      <c r="A550" s="40"/>
      <c r="B550" s="40"/>
      <c r="C550" s="74" t="s">
        <v>1444</v>
      </c>
      <c r="D550" s="931" t="s">
        <v>315</v>
      </c>
      <c r="E550" s="75"/>
      <c r="F550" s="75"/>
      <c r="G550" s="75"/>
      <c r="H550" s="928"/>
      <c r="I550" s="12"/>
      <c r="J550" s="152"/>
      <c r="K550" s="152"/>
      <c r="L550" s="152"/>
      <c r="M550" s="152"/>
      <c r="N550" s="152">
        <f>IF(N20&gt;0,1,0)</f>
        <v>1</v>
      </c>
      <c r="O550" s="152">
        <f>IF(O20&gt;0,1,0)</f>
        <v>1</v>
      </c>
      <c r="P550" s="152"/>
      <c r="Q550" s="152">
        <f>IF(Q20&gt;0,1,0)</f>
        <v>1</v>
      </c>
      <c r="R550" s="152">
        <f>IF(R20&gt;0,1,0)</f>
        <v>1</v>
      </c>
      <c r="S550" s="152"/>
      <c r="T550" s="152">
        <f>IF(T20&gt;0,1,0)</f>
        <v>0</v>
      </c>
      <c r="U550" s="152">
        <f>IF(U20&gt;0,1,0)</f>
        <v>0</v>
      </c>
      <c r="V550" s="152"/>
      <c r="W550" s="389"/>
      <c r="X550" s="152"/>
      <c r="Y550" s="932"/>
      <c r="Z550" s="131"/>
      <c r="AA550" s="131"/>
      <c r="AB550" s="131"/>
      <c r="AC550" s="113"/>
      <c r="AE550" s="152"/>
      <c r="AF550" s="152"/>
      <c r="AG550" s="152"/>
      <c r="AH550" s="932"/>
      <c r="AI550" s="131"/>
      <c r="AK550" s="152"/>
      <c r="AL550" s="152"/>
      <c r="AM550" s="152"/>
      <c r="AN550" s="932"/>
      <c r="AO550" s="131"/>
      <c r="AQ550" s="152"/>
      <c r="AR550" s="152"/>
      <c r="AS550" s="152"/>
      <c r="AT550" s="932"/>
      <c r="AU550" s="131"/>
      <c r="AW550" s="152"/>
      <c r="AX550" s="152"/>
      <c r="AY550" s="152"/>
      <c r="AZ550" s="932"/>
      <c r="BA550" s="131"/>
    </row>
    <row r="551" spans="1:53" ht="17.100000000000001" customHeight="1" x14ac:dyDescent="0.25">
      <c r="A551" s="119"/>
      <c r="B551" s="40"/>
      <c r="C551" s="40"/>
      <c r="D551" s="128" t="s">
        <v>1017</v>
      </c>
      <c r="E551" s="122"/>
      <c r="F551" s="122"/>
      <c r="G551" s="122"/>
      <c r="H551" s="928"/>
      <c r="I551" s="12"/>
      <c r="J551" s="190"/>
      <c r="K551" s="190"/>
      <c r="L551" s="190"/>
      <c r="M551" s="190"/>
      <c r="N551" s="570">
        <f>IF(N508=0,0,N506/N508)*0.5</f>
        <v>0</v>
      </c>
      <c r="O551" s="570">
        <f>IF(O508=0,0,O506/O508)*0.5</f>
        <v>0</v>
      </c>
      <c r="P551" s="190"/>
      <c r="Q551" s="570">
        <f>IF(Q508=0,0,Q506/Q508)*0.5</f>
        <v>0</v>
      </c>
      <c r="R551" s="570">
        <f>IF(R508=0,0,R506/R508)*0.5</f>
        <v>0</v>
      </c>
      <c r="S551" s="190"/>
      <c r="T551" s="570">
        <f>IF(T508=0,0,T506/T508)*0.5</f>
        <v>0</v>
      </c>
      <c r="U551" s="570">
        <f>IF(U508=0,0,U506/U508)*0.5</f>
        <v>0</v>
      </c>
      <c r="V551" s="371"/>
      <c r="W551" s="393"/>
      <c r="X551" s="190"/>
      <c r="Y551" s="129"/>
      <c r="Z551" s="130"/>
      <c r="AA551" s="130"/>
      <c r="AB551" s="130"/>
      <c r="AC551" s="125"/>
      <c r="AE551" s="190"/>
      <c r="AF551" s="190"/>
      <c r="AG551" s="190"/>
      <c r="AH551" s="129"/>
      <c r="AI551" s="130"/>
      <c r="AK551" s="190"/>
      <c r="AL551" s="190"/>
      <c r="AM551" s="190"/>
      <c r="AN551" s="129"/>
      <c r="AO551" s="130"/>
      <c r="AQ551" s="190"/>
      <c r="AR551" s="190"/>
      <c r="AS551" s="190"/>
      <c r="AT551" s="129"/>
      <c r="AU551" s="130"/>
      <c r="AW551" s="190"/>
      <c r="AX551" s="190"/>
      <c r="AY551" s="190"/>
      <c r="AZ551" s="129"/>
      <c r="BA551" s="130"/>
    </row>
    <row r="552" spans="1:53" ht="17.100000000000001" customHeight="1" x14ac:dyDescent="0.25">
      <c r="A552" s="119"/>
      <c r="B552" s="40"/>
      <c r="C552" s="40"/>
      <c r="D552" s="128" t="s">
        <v>1018</v>
      </c>
      <c r="E552" s="122"/>
      <c r="F552" s="122"/>
      <c r="G552" s="122"/>
      <c r="H552" s="928"/>
      <c r="I552" s="12"/>
      <c r="J552" s="190"/>
      <c r="K552" s="190"/>
      <c r="L552" s="190"/>
      <c r="M552" s="190"/>
      <c r="N552" s="570">
        <f>IF(N508=0,0,N507/N508)*1</f>
        <v>0.5</v>
      </c>
      <c r="O552" s="570">
        <f>IF(O508=0,0,O507/O508)*1</f>
        <v>1</v>
      </c>
      <c r="P552" s="190"/>
      <c r="Q552" s="570">
        <f>IF(Q508=0,0,Q507/Q508)*1</f>
        <v>1</v>
      </c>
      <c r="R552" s="570">
        <f>IF(R508=0,0,R507/R508)*1</f>
        <v>1</v>
      </c>
      <c r="S552" s="190"/>
      <c r="T552" s="570">
        <f>IF(T508=0,0,T507/T508)*1</f>
        <v>0</v>
      </c>
      <c r="U552" s="570">
        <f>IF(U508=0,0,U507/U508)*1</f>
        <v>0</v>
      </c>
      <c r="V552" s="371"/>
      <c r="W552" s="393"/>
      <c r="X552" s="190"/>
      <c r="Y552" s="129"/>
      <c r="Z552" s="130"/>
      <c r="AA552" s="130"/>
      <c r="AB552" s="130"/>
      <c r="AC552" s="125"/>
      <c r="AE552" s="190"/>
      <c r="AF552" s="190"/>
      <c r="AG552" s="190"/>
      <c r="AH552" s="129"/>
      <c r="AI552" s="130"/>
      <c r="AK552" s="190"/>
      <c r="AL552" s="190"/>
      <c r="AM552" s="190"/>
      <c r="AN552" s="129"/>
      <c r="AO552" s="130"/>
      <c r="AQ552" s="190"/>
      <c r="AR552" s="190"/>
      <c r="AS552" s="190"/>
      <c r="AT552" s="129"/>
      <c r="AU552" s="130"/>
      <c r="AW552" s="190"/>
      <c r="AX552" s="190"/>
      <c r="AY552" s="190"/>
      <c r="AZ552" s="129"/>
      <c r="BA552" s="130"/>
    </row>
    <row r="553" spans="1:53" ht="17.100000000000001" customHeight="1" x14ac:dyDescent="0.25">
      <c r="A553" s="119"/>
      <c r="B553" s="40"/>
      <c r="C553" s="40"/>
      <c r="D553" s="128" t="s">
        <v>316</v>
      </c>
      <c r="E553" s="122"/>
      <c r="F553" s="122"/>
      <c r="G553" s="122"/>
      <c r="H553" s="928"/>
      <c r="I553" s="12"/>
      <c r="J553" s="190"/>
      <c r="K553" s="190"/>
      <c r="L553" s="190"/>
      <c r="M553" s="190"/>
      <c r="N553" s="570">
        <f>IF(N515=0,0,N513/N515)*0.5</f>
        <v>0</v>
      </c>
      <c r="O553" s="570">
        <f>IF(O515=0,0,O513/O515)*0.5</f>
        <v>0</v>
      </c>
      <c r="P553" s="190"/>
      <c r="Q553" s="570">
        <f>IF(Q515=0,0,Q513/Q515)*0.5</f>
        <v>0</v>
      </c>
      <c r="R553" s="570">
        <f>IF(R515=0,0,R513/R515)*0.5</f>
        <v>0</v>
      </c>
      <c r="S553" s="190"/>
      <c r="T553" s="570">
        <f>IF(T515=0,0,T513/T515)*0.5</f>
        <v>0</v>
      </c>
      <c r="U553" s="570">
        <f>IF(U515=0,0,U513/U515)*0.5</f>
        <v>0</v>
      </c>
      <c r="V553" s="371"/>
      <c r="W553" s="393"/>
      <c r="X553" s="190"/>
      <c r="Y553" s="129"/>
      <c r="Z553" s="130"/>
      <c r="AA553" s="130"/>
      <c r="AB553" s="130"/>
      <c r="AC553" s="125"/>
      <c r="AE553" s="190"/>
      <c r="AF553" s="190"/>
      <c r="AG553" s="190"/>
      <c r="AH553" s="129"/>
      <c r="AI553" s="130"/>
      <c r="AK553" s="190"/>
      <c r="AL553" s="190"/>
      <c r="AM553" s="190"/>
      <c r="AN553" s="129"/>
      <c r="AO553" s="130"/>
      <c r="AQ553" s="190"/>
      <c r="AR553" s="190"/>
      <c r="AS553" s="190"/>
      <c r="AT553" s="129"/>
      <c r="AU553" s="130"/>
      <c r="AW553" s="190"/>
      <c r="AX553" s="190"/>
      <c r="AY553" s="190"/>
      <c r="AZ553" s="129"/>
      <c r="BA553" s="130"/>
    </row>
    <row r="554" spans="1:53" ht="17.100000000000001" customHeight="1" x14ac:dyDescent="0.25">
      <c r="A554" s="119"/>
      <c r="B554" s="40"/>
      <c r="C554" s="40"/>
      <c r="D554" s="128" t="s">
        <v>317</v>
      </c>
      <c r="E554" s="122"/>
      <c r="F554" s="122"/>
      <c r="G554" s="122"/>
      <c r="H554" s="928"/>
      <c r="I554" s="12"/>
      <c r="J554" s="190"/>
      <c r="K554" s="190"/>
      <c r="L554" s="190"/>
      <c r="M554" s="190"/>
      <c r="N554" s="570">
        <f>IF(N515=0,0,N514/N515)*1</f>
        <v>1</v>
      </c>
      <c r="O554" s="570">
        <f>IF(O515=0,0,O514/O515)*1</f>
        <v>1</v>
      </c>
      <c r="P554" s="190"/>
      <c r="Q554" s="570">
        <f>IF(Q515=0,0,Q514/Q515)*1</f>
        <v>0</v>
      </c>
      <c r="R554" s="570">
        <f>IF(R515=0,0,R514/R515)*1</f>
        <v>0.2</v>
      </c>
      <c r="S554" s="190"/>
      <c r="T554" s="570">
        <f>IF(T515=0,0,T514/T515)*1</f>
        <v>0</v>
      </c>
      <c r="U554" s="570">
        <f>IF(U515=0,0,U514/U515)*1</f>
        <v>0</v>
      </c>
      <c r="V554" s="371"/>
      <c r="W554" s="393"/>
      <c r="X554" s="190"/>
      <c r="Y554" s="129"/>
      <c r="Z554" s="130"/>
      <c r="AA554" s="130"/>
      <c r="AB554" s="130"/>
      <c r="AC554" s="125"/>
      <c r="AE554" s="190"/>
      <c r="AF554" s="190"/>
      <c r="AG554" s="190"/>
      <c r="AH554" s="129"/>
      <c r="AI554" s="130"/>
      <c r="AK554" s="190"/>
      <c r="AL554" s="190"/>
      <c r="AM554" s="190"/>
      <c r="AN554" s="129"/>
      <c r="AO554" s="130"/>
      <c r="AQ554" s="190"/>
      <c r="AR554" s="190"/>
      <c r="AS554" s="190"/>
      <c r="AT554" s="129"/>
      <c r="AU554" s="130"/>
      <c r="AW554" s="190"/>
      <c r="AX554" s="190"/>
      <c r="AY554" s="190"/>
      <c r="AZ554" s="129"/>
      <c r="BA554" s="130"/>
    </row>
    <row r="555" spans="1:53" ht="17.100000000000001" customHeight="1" x14ac:dyDescent="0.25">
      <c r="A555" s="137"/>
      <c r="B555" s="40"/>
      <c r="C555" s="40"/>
      <c r="D555" s="128" t="s">
        <v>1019</v>
      </c>
      <c r="E555" s="122"/>
      <c r="F555" s="122"/>
      <c r="G555" s="122"/>
      <c r="H555" s="928"/>
      <c r="I555" s="12"/>
      <c r="J555" s="190"/>
      <c r="K555" s="190"/>
      <c r="L555" s="190"/>
      <c r="M555" s="190"/>
      <c r="N555" s="570"/>
      <c r="O555" s="570"/>
      <c r="P555" s="190"/>
      <c r="Q555" s="570"/>
      <c r="R555" s="570"/>
      <c r="S555" s="190"/>
      <c r="T555" s="570"/>
      <c r="U555" s="570"/>
      <c r="V555" s="371"/>
      <c r="W555" s="393"/>
      <c r="X555" s="190"/>
      <c r="Y555" s="129"/>
      <c r="Z555" s="130"/>
      <c r="AA555" s="130"/>
      <c r="AB555" s="130"/>
      <c r="AC555" s="125"/>
      <c r="AE555" s="190"/>
      <c r="AF555" s="190"/>
      <c r="AG555" s="190"/>
      <c r="AH555" s="129"/>
      <c r="AI555" s="130"/>
      <c r="AK555" s="190"/>
      <c r="AL555" s="190"/>
      <c r="AM555" s="190"/>
      <c r="AN555" s="129"/>
      <c r="AO555" s="130"/>
      <c r="AQ555" s="190"/>
      <c r="AR555" s="190"/>
      <c r="AS555" s="190"/>
      <c r="AT555" s="129"/>
      <c r="AU555" s="130"/>
      <c r="AW555" s="190"/>
      <c r="AX555" s="190"/>
      <c r="AY555" s="190"/>
      <c r="AZ555" s="129"/>
      <c r="BA555" s="130"/>
    </row>
    <row r="556" spans="1:53" ht="17.100000000000001" customHeight="1" x14ac:dyDescent="0.25">
      <c r="A556" s="119"/>
      <c r="B556" s="40"/>
      <c r="C556" s="40"/>
      <c r="D556" s="128" t="s">
        <v>318</v>
      </c>
      <c r="E556" s="122"/>
      <c r="F556" s="122"/>
      <c r="G556" s="122"/>
      <c r="H556" s="928"/>
      <c r="I556" s="12"/>
      <c r="J556" s="190"/>
      <c r="K556" s="190"/>
      <c r="L556" s="190"/>
      <c r="M556" s="190"/>
      <c r="N556" s="570">
        <f>IF(N533=0,0,(SUM(N524:N525)+N522+N527)/N533)</f>
        <v>1</v>
      </c>
      <c r="O556" s="570">
        <f>IF(O533=0,0,(SUM(O524:O525)+O522+O527)/O533)</f>
        <v>1</v>
      </c>
      <c r="P556" s="190"/>
      <c r="Q556" s="570">
        <f>IF(Q533=0,0,(SUM(Q524:Q525)+Q522+Q527)/Q533)</f>
        <v>0</v>
      </c>
      <c r="R556" s="570">
        <f>IF(R533=0,0,(SUM(R524:R525)+R522+R527)/R533)</f>
        <v>0</v>
      </c>
      <c r="S556" s="190"/>
      <c r="T556" s="570">
        <f>IF(T533=0,0,(SUM(T524:T525)+T522+T527)/T533)</f>
        <v>0</v>
      </c>
      <c r="U556" s="570">
        <f>IF(U533=0,0,(SUM(U524:U525)+U522+U527)/U533)</f>
        <v>0</v>
      </c>
      <c r="V556" s="371"/>
      <c r="W556" s="393"/>
      <c r="X556" s="190"/>
      <c r="Y556" s="129"/>
      <c r="Z556" s="130"/>
      <c r="AA556" s="130"/>
      <c r="AB556" s="130"/>
      <c r="AC556" s="125"/>
      <c r="AE556" s="190"/>
      <c r="AF556" s="190"/>
      <c r="AG556" s="190"/>
      <c r="AH556" s="129"/>
      <c r="AI556" s="130"/>
      <c r="AK556" s="190"/>
      <c r="AL556" s="190"/>
      <c r="AM556" s="190"/>
      <c r="AN556" s="129"/>
      <c r="AO556" s="130"/>
      <c r="AQ556" s="190"/>
      <c r="AR556" s="190"/>
      <c r="AS556" s="190"/>
      <c r="AT556" s="129"/>
      <c r="AU556" s="130"/>
      <c r="AW556" s="190"/>
      <c r="AX556" s="190"/>
      <c r="AY556" s="190"/>
      <c r="AZ556" s="129"/>
      <c r="BA556" s="130"/>
    </row>
    <row r="557" spans="1:53" ht="17.100000000000001" customHeight="1" x14ac:dyDescent="0.25">
      <c r="A557" s="137"/>
      <c r="B557" s="40"/>
      <c r="C557" s="40"/>
      <c r="D557" s="128" t="s">
        <v>319</v>
      </c>
      <c r="E557" s="122"/>
      <c r="F557" s="122"/>
      <c r="G557" s="122"/>
      <c r="H557" s="928"/>
      <c r="I557" s="12"/>
      <c r="J557" s="190"/>
      <c r="K557" s="190"/>
      <c r="L557" s="190"/>
      <c r="M557" s="190"/>
      <c r="N557" s="570">
        <f>IF(N538=0,0,(N535/N538)*0.5)</f>
        <v>0.5</v>
      </c>
      <c r="O557" s="570">
        <f>IF(O538=0,0,(O535/O538)*0.5)</f>
        <v>0.5</v>
      </c>
      <c r="P557" s="190"/>
      <c r="Q557" s="570">
        <f>IF(Q538=0,0,(Q535/Q538)*0.5)</f>
        <v>0.5</v>
      </c>
      <c r="R557" s="570">
        <f>IF(R538=0,0,(R535/R538)*0.5)</f>
        <v>0.5</v>
      </c>
      <c r="S557" s="190"/>
      <c r="T557" s="570">
        <f>IF(T538=0,0,(T535/T538)*0.5)</f>
        <v>0</v>
      </c>
      <c r="U557" s="570">
        <f>IF(U538=0,0,(U535/U538)*0.5)</f>
        <v>0</v>
      </c>
      <c r="V557" s="371"/>
      <c r="W557" s="393"/>
      <c r="X557" s="190"/>
      <c r="Y557" s="129"/>
      <c r="Z557" s="130"/>
      <c r="AA557" s="130"/>
      <c r="AB557" s="130"/>
      <c r="AC557" s="125"/>
      <c r="AE557" s="190"/>
      <c r="AF557" s="190"/>
      <c r="AG557" s="190"/>
      <c r="AH557" s="129"/>
      <c r="AI557" s="130"/>
      <c r="AK557" s="190"/>
      <c r="AL557" s="190"/>
      <c r="AM557" s="190"/>
      <c r="AN557" s="129"/>
      <c r="AO557" s="130"/>
      <c r="AQ557" s="190"/>
      <c r="AR557" s="190"/>
      <c r="AS557" s="190"/>
      <c r="AT557" s="129"/>
      <c r="AU557" s="130"/>
      <c r="AW557" s="190"/>
      <c r="AX557" s="190"/>
      <c r="AY557" s="190"/>
      <c r="AZ557" s="129"/>
      <c r="BA557" s="130"/>
    </row>
    <row r="558" spans="1:53" ht="17.100000000000001" customHeight="1" x14ac:dyDescent="0.25">
      <c r="A558" s="119"/>
      <c r="B558" s="40"/>
      <c r="C558" s="40"/>
      <c r="D558" s="128" t="s">
        <v>320</v>
      </c>
      <c r="E558" s="122"/>
      <c r="F558" s="122"/>
      <c r="G558" s="122"/>
      <c r="H558" s="928"/>
      <c r="I558" s="12"/>
      <c r="J558" s="190"/>
      <c r="K558" s="190"/>
      <c r="L558" s="190"/>
      <c r="M558" s="190"/>
      <c r="N558" s="570">
        <f>SUM(N551:N557)</f>
        <v>3</v>
      </c>
      <c r="O558" s="570">
        <f>SUM(O551:O557)</f>
        <v>3.5</v>
      </c>
      <c r="P558" s="190"/>
      <c r="Q558" s="570">
        <f>SUM(Q551:Q557)</f>
        <v>1.5</v>
      </c>
      <c r="R558" s="570">
        <f>SUM(R551:R557)</f>
        <v>1.7</v>
      </c>
      <c r="S558" s="190"/>
      <c r="T558" s="570">
        <f>SUM(T551:T557)</f>
        <v>0</v>
      </c>
      <c r="U558" s="570">
        <f>SUM(U551:U557)</f>
        <v>0</v>
      </c>
      <c r="V558" s="371"/>
      <c r="W558" s="393"/>
      <c r="X558" s="190"/>
      <c r="Y558" s="129"/>
      <c r="Z558" s="130"/>
      <c r="AA558" s="130"/>
      <c r="AB558" s="130"/>
      <c r="AC558" s="125"/>
      <c r="AE558" s="190"/>
      <c r="AF558" s="190"/>
      <c r="AG558" s="190"/>
      <c r="AH558" s="129"/>
      <c r="AI558" s="130"/>
      <c r="AK558" s="190"/>
      <c r="AL558" s="190"/>
      <c r="AM558" s="190"/>
      <c r="AN558" s="129"/>
      <c r="AO558" s="130"/>
      <c r="AQ558" s="190"/>
      <c r="AR558" s="190"/>
      <c r="AS558" s="190"/>
      <c r="AT558" s="129"/>
      <c r="AU558" s="130"/>
      <c r="AW558" s="190"/>
      <c r="AX558" s="190"/>
      <c r="AY558" s="190"/>
      <c r="AZ558" s="129"/>
      <c r="BA558" s="130"/>
    </row>
    <row r="559" spans="1:53" ht="17.100000000000001" customHeight="1" x14ac:dyDescent="0.25">
      <c r="A559" s="119"/>
      <c r="B559" s="40"/>
      <c r="C559" s="40"/>
      <c r="D559" s="128" t="s">
        <v>321</v>
      </c>
      <c r="E559" s="122"/>
      <c r="F559" s="122"/>
      <c r="G559" s="122"/>
      <c r="H559" s="928"/>
      <c r="I559" s="12"/>
      <c r="J559" s="190"/>
      <c r="K559" s="190"/>
      <c r="L559" s="190"/>
      <c r="M559" s="190"/>
      <c r="N559" s="190">
        <v>3.5</v>
      </c>
      <c r="O559" s="190">
        <v>3.5</v>
      </c>
      <c r="P559" s="190"/>
      <c r="Q559" s="190">
        <v>3.5</v>
      </c>
      <c r="R559" s="190">
        <v>3.5</v>
      </c>
      <c r="S559" s="190"/>
      <c r="T559" s="190">
        <v>3.5</v>
      </c>
      <c r="U559" s="190">
        <v>3.5</v>
      </c>
      <c r="V559" s="371"/>
      <c r="W559" s="393"/>
      <c r="X559" s="190"/>
      <c r="Y559" s="129"/>
      <c r="Z559" s="130"/>
      <c r="AA559" s="130"/>
      <c r="AB559" s="130"/>
      <c r="AC559" s="125"/>
      <c r="AE559" s="190"/>
      <c r="AF559" s="190"/>
      <c r="AG559" s="190"/>
      <c r="AH559" s="129"/>
      <c r="AI559" s="130"/>
      <c r="AK559" s="190"/>
      <c r="AL559" s="190"/>
      <c r="AM559" s="190"/>
      <c r="AN559" s="129"/>
      <c r="AO559" s="130"/>
      <c r="AQ559" s="190"/>
      <c r="AR559" s="190"/>
      <c r="AS559" s="190"/>
      <c r="AT559" s="129"/>
      <c r="AU559" s="130"/>
      <c r="AW559" s="190"/>
      <c r="AX559" s="190"/>
      <c r="AY559" s="190"/>
      <c r="AZ559" s="129"/>
      <c r="BA559" s="130"/>
    </row>
    <row r="560" spans="1:53" ht="17.100000000000001" customHeight="1" x14ac:dyDescent="0.25">
      <c r="A560" s="119"/>
      <c r="B560" s="40"/>
      <c r="C560" s="40"/>
      <c r="D560" s="75" t="s">
        <v>322</v>
      </c>
      <c r="E560" s="75"/>
      <c r="F560" s="75"/>
      <c r="G560" s="75"/>
      <c r="H560" s="1322"/>
      <c r="I560" s="12"/>
      <c r="J560" s="191" t="str">
        <f>IF(J$502=0,"",J561)</f>
        <v/>
      </c>
      <c r="K560" s="191" t="str">
        <f>IF(K$502=0,"",K561)</f>
        <v/>
      </c>
      <c r="L560" s="191" t="str">
        <f>IF(L$502=0,"",L561)</f>
        <v/>
      </c>
      <c r="M560" s="191"/>
      <c r="N560" s="191">
        <f>IF(N550=0,"",IF(N561=0,0,N561))</f>
        <v>0.8571428571428571</v>
      </c>
      <c r="O560" s="191">
        <f>IF(O550=0,"",IF(O561=0,0,O561))</f>
        <v>1</v>
      </c>
      <c r="P560" s="191"/>
      <c r="Q560" s="191">
        <f>IF(Q550=0,"",IF(Q561=0,0,Q561))</f>
        <v>0.42857142857142855</v>
      </c>
      <c r="R560" s="191">
        <f>IF(R550=0,"",IF(R561=0,0,R561))</f>
        <v>0.48571428571428571</v>
      </c>
      <c r="S560" s="191"/>
      <c r="T560" s="191" t="str">
        <f>IF(T550=0,"",IF(T561=0,0,T561))</f>
        <v/>
      </c>
      <c r="U560" s="191" t="str">
        <f>IF(U550=0,"",IF(U561=0,0,U561))</f>
        <v/>
      </c>
      <c r="V560" s="191"/>
      <c r="W560" s="394"/>
      <c r="X560" s="191"/>
      <c r="Y560" s="164"/>
      <c r="Z560" s="192"/>
      <c r="AA560" s="192"/>
      <c r="AB560" s="192"/>
      <c r="AC560" s="193">
        <f>IF(Y560=0,0,AVERAGE(J560:X560))</f>
        <v>0</v>
      </c>
      <c r="AE560" s="191"/>
      <c r="AF560" s="191"/>
      <c r="AG560" s="191"/>
      <c r="AH560" s="164"/>
      <c r="AI560" s="192"/>
      <c r="AK560" s="191"/>
      <c r="AL560" s="191"/>
      <c r="AM560" s="191"/>
      <c r="AN560" s="164"/>
      <c r="AO560" s="192"/>
      <c r="AQ560" s="191"/>
      <c r="AR560" s="191"/>
      <c r="AS560" s="191"/>
      <c r="AT560" s="164"/>
      <c r="AU560" s="192"/>
      <c r="AW560" s="191"/>
      <c r="AX560" s="191"/>
      <c r="AY560" s="191"/>
      <c r="AZ560" s="164"/>
      <c r="BA560" s="192"/>
    </row>
    <row r="561" spans="1:53" ht="17.100000000000001" customHeight="1" x14ac:dyDescent="0.25">
      <c r="A561" s="119"/>
      <c r="B561" s="40"/>
      <c r="C561" s="40"/>
      <c r="D561" s="128" t="s">
        <v>323</v>
      </c>
      <c r="E561" s="122"/>
      <c r="F561" s="122"/>
      <c r="G561" s="122"/>
      <c r="H561" s="1322"/>
      <c r="I561" s="12"/>
      <c r="J561" s="194"/>
      <c r="K561" s="194"/>
      <c r="L561" s="194"/>
      <c r="M561" s="194"/>
      <c r="N561" s="194">
        <f>N558/N559</f>
        <v>0.8571428571428571</v>
      </c>
      <c r="O561" s="194">
        <f t="shared" ref="O561" si="764">O558/O559</f>
        <v>1</v>
      </c>
      <c r="P561" s="194"/>
      <c r="Q561" s="194">
        <f>Q558/Q559</f>
        <v>0.42857142857142855</v>
      </c>
      <c r="R561" s="194">
        <f t="shared" ref="R561" si="765">R558/R559</f>
        <v>0.48571428571428571</v>
      </c>
      <c r="S561" s="194"/>
      <c r="T561" s="194">
        <f>T558/T559</f>
        <v>0</v>
      </c>
      <c r="U561" s="194">
        <f t="shared" ref="U561" si="766">U558/U559</f>
        <v>0</v>
      </c>
      <c r="V561" s="194"/>
      <c r="W561" s="969">
        <f>N561+Q561+T561</f>
        <v>1.2857142857142856</v>
      </c>
      <c r="X561" s="504">
        <f>O561+R561+U561</f>
        <v>1.4857142857142858</v>
      </c>
      <c r="Y561" s="162"/>
      <c r="Z561" s="195"/>
      <c r="AA561" s="195"/>
      <c r="AB561" s="195"/>
      <c r="AC561" s="161"/>
      <c r="AE561" s="194"/>
      <c r="AF561" s="194"/>
      <c r="AG561" s="194"/>
      <c r="AH561" s="162"/>
      <c r="AI561" s="195"/>
      <c r="AK561" s="194"/>
      <c r="AL561" s="194"/>
      <c r="AM561" s="194"/>
      <c r="AN561" s="162"/>
      <c r="AO561" s="195"/>
      <c r="AQ561" s="194"/>
      <c r="AR561" s="194"/>
      <c r="AS561" s="194"/>
      <c r="AT561" s="162"/>
      <c r="AU561" s="195"/>
      <c r="AW561" s="194"/>
      <c r="AX561" s="194"/>
      <c r="AY561" s="194"/>
      <c r="AZ561" s="162"/>
      <c r="BA561" s="195"/>
    </row>
    <row r="562" spans="1:53" ht="17.100000000000001" customHeight="1" x14ac:dyDescent="0.25">
      <c r="A562" s="137"/>
      <c r="B562" s="137"/>
      <c r="C562" s="40"/>
      <c r="D562" s="128"/>
      <c r="E562" s="122"/>
      <c r="F562" s="122"/>
      <c r="G562" s="122"/>
      <c r="H562" s="1322"/>
      <c r="I562" s="12"/>
      <c r="J562" s="194"/>
      <c r="K562" s="194"/>
      <c r="L562" s="194"/>
      <c r="M562" s="194"/>
      <c r="N562" s="194">
        <f>IF(N550=0,"",N561)</f>
        <v>0.8571428571428571</v>
      </c>
      <c r="O562" s="194">
        <f>IF(O550=0,"",O561)</f>
        <v>1</v>
      </c>
      <c r="P562" s="194"/>
      <c r="Q562" s="194">
        <f>IF(Q550=0,"",Q561)</f>
        <v>0.42857142857142855</v>
      </c>
      <c r="R562" s="194">
        <f>IF(R550=0,"",R561)</f>
        <v>0.48571428571428571</v>
      </c>
      <c r="S562" s="194"/>
      <c r="T562" s="194" t="str">
        <f>IF(T550=0,"",T561)</f>
        <v/>
      </c>
      <c r="U562" s="194" t="str">
        <f>IF(U550=0,"",U561)</f>
        <v/>
      </c>
      <c r="V562" s="194"/>
      <c r="W562" s="969">
        <f>IF(W561=0,"",AVERAGE(N562,Q562,T562))</f>
        <v>0.64285714285714279</v>
      </c>
      <c r="X562" s="504">
        <f>IF(X561=0,"",AVERAGE(O562,R562,U562))</f>
        <v>0.74285714285714288</v>
      </c>
      <c r="Y562" s="504">
        <f>AVERAGE(N562:U562)</f>
        <v>0.69285714285714284</v>
      </c>
      <c r="Z562" s="195"/>
      <c r="AA562" s="195"/>
      <c r="AB562" s="195"/>
      <c r="AC562" s="161"/>
      <c r="AE562" s="194"/>
      <c r="AF562" s="194"/>
      <c r="AG562" s="194"/>
      <c r="AH562" s="162"/>
      <c r="AI562" s="195"/>
      <c r="AK562" s="194"/>
      <c r="AL562" s="194"/>
      <c r="AM562" s="194"/>
      <c r="AN562" s="162"/>
      <c r="AO562" s="195"/>
      <c r="AQ562" s="194"/>
      <c r="AR562" s="194"/>
      <c r="AS562" s="194"/>
      <c r="AT562" s="162"/>
      <c r="AU562" s="195"/>
      <c r="AW562" s="194"/>
      <c r="AX562" s="194"/>
      <c r="AY562" s="194"/>
      <c r="AZ562" s="162"/>
      <c r="BA562" s="195"/>
    </row>
    <row r="563" spans="1:53" s="117" customFormat="1" ht="17.100000000000001" customHeight="1" x14ac:dyDescent="0.25">
      <c r="A563" s="119"/>
      <c r="B563" s="119"/>
      <c r="C563" s="196"/>
      <c r="D563" s="75" t="s">
        <v>324</v>
      </c>
      <c r="E563" s="75"/>
      <c r="F563" s="75"/>
      <c r="G563" s="75"/>
      <c r="H563" s="1322"/>
      <c r="I563" s="12"/>
      <c r="J563" s="55" t="str">
        <f>IF(J$502=0,"",IF(J560&gt;=0.75,1,0))</f>
        <v/>
      </c>
      <c r="K563" s="55" t="str">
        <f>IF(K$502=0,"",IF(K560&gt;=0.75,1,0))</f>
        <v/>
      </c>
      <c r="L563" s="55" t="str">
        <f>IF(L$502=0,"",IF(L560&gt;=0.75,1,0))</f>
        <v/>
      </c>
      <c r="M563" s="55"/>
      <c r="N563" s="55">
        <f>IF(N$550=0,0,IF(N$560&gt;=0.75,1,0))</f>
        <v>1</v>
      </c>
      <c r="O563" s="55">
        <f>IF(O$550=0,0,IF(O$560&gt;=0.75,1,0))</f>
        <v>1</v>
      </c>
      <c r="P563" s="55">
        <f>IF(SUM(N563:O563)=0,0,IF(SUM(N563:O563)=2,1,IF(AND(N$561=0,O563&gt;0),O563,SUM(N563:O563)/2)))</f>
        <v>1</v>
      </c>
      <c r="Q563" s="55">
        <f>IF(Q$550=0,0,IF(Q$560&gt;=0.75,1,0))</f>
        <v>0</v>
      </c>
      <c r="R563" s="55">
        <f>IF(R$550=0,0,IF(R$560&gt;=0.75,1,0))</f>
        <v>0</v>
      </c>
      <c r="S563" s="55">
        <f>IF(SUM(Q563:R563)=0,0,IF(SUM(Q563:R563)=2,1,IF(AND(Q$561=0,R563&gt;0),R563,SUM(Q563:R563)/2)))</f>
        <v>0</v>
      </c>
      <c r="T563" s="55">
        <f>IF(T$550=0,0,IF(T$560&gt;=0.75,1,0))</f>
        <v>0</v>
      </c>
      <c r="U563" s="55">
        <f>IF(U$550=0,0,IF(U$560&gt;=0.75,1,0))</f>
        <v>0</v>
      </c>
      <c r="V563" s="55">
        <f>IF(SUM(T563:U563)=0,0,IF(SUM(T563:U563)=2,1,IF(AND(T$561=0,U563&gt;0),U563,SUM(T563:U563)/2)))</f>
        <v>0</v>
      </c>
      <c r="W563" s="391">
        <f>N563+Q563+T563</f>
        <v>1</v>
      </c>
      <c r="X563" s="17">
        <f>O563+R563+U563</f>
        <v>1</v>
      </c>
      <c r="Y563" s="17">
        <f>P563+S563+V563</f>
        <v>1</v>
      </c>
      <c r="Z563" s="19">
        <f>IF(Y$566=0,0,Y563/Y$566)</f>
        <v>0.5</v>
      </c>
      <c r="AA563" s="197"/>
      <c r="AB563" s="197"/>
      <c r="AC563" s="198"/>
      <c r="AE563" s="55"/>
      <c r="AF563" s="55"/>
      <c r="AG563" s="55"/>
      <c r="AH563" s="164"/>
      <c r="AI563" s="197"/>
      <c r="AK563" s="55"/>
      <c r="AL563" s="55"/>
      <c r="AM563" s="55"/>
      <c r="AN563" s="164"/>
      <c r="AO563" s="197"/>
      <c r="AQ563" s="55"/>
      <c r="AR563" s="55"/>
      <c r="AS563" s="55"/>
      <c r="AT563" s="164"/>
      <c r="AU563" s="197"/>
      <c r="AW563" s="55"/>
      <c r="AX563" s="55"/>
      <c r="AY563" s="55"/>
      <c r="AZ563" s="164"/>
      <c r="BA563" s="197"/>
    </row>
    <row r="564" spans="1:53" s="117" customFormat="1" ht="17.100000000000001" customHeight="1" x14ac:dyDescent="0.25">
      <c r="A564" s="119"/>
      <c r="B564" s="119"/>
      <c r="C564" s="136"/>
      <c r="D564" s="75" t="s">
        <v>325</v>
      </c>
      <c r="E564" s="75"/>
      <c r="F564" s="75"/>
      <c r="G564" s="75"/>
      <c r="H564" s="1322"/>
      <c r="I564" s="12"/>
      <c r="J564" s="55" t="str">
        <f>IF(J$502=0,"",IF(AND(J561&gt;=0.5,J561&lt;0.75),1,0))</f>
        <v/>
      </c>
      <c r="K564" s="55" t="str">
        <f>IF(K$502=0,"",IF(AND(K561&gt;=0.5,K561&lt;0.75),1,0))</f>
        <v/>
      </c>
      <c r="L564" s="55" t="str">
        <f>IF(L$502=0,"",IF(AND(L561&gt;=0.5,L561&lt;0.75),1,0))</f>
        <v/>
      </c>
      <c r="M564" s="55"/>
      <c r="N564" s="55">
        <f>IF(N$550=0,0,IF(AND(N560&gt;=0.5,N560&lt;0.75),1,0))</f>
        <v>0</v>
      </c>
      <c r="O564" s="55">
        <f t="shared" ref="O564" si="767">IF(O$550=0,0,IF(AND(O560&gt;=0.5,O560&lt;0.75),1,0))</f>
        <v>0</v>
      </c>
      <c r="P564" s="55">
        <f t="shared" ref="P564:P565" si="768">IF(SUM(N564:O564)=0,0,IF(SUM(N564:O564)=2,1,IF(AND(N$561=0,O564&gt;0),O564,SUM(N564:O564)/2)))</f>
        <v>0</v>
      </c>
      <c r="Q564" s="55">
        <f>IF(Q$550=0,0,IF(AND(Q560&gt;=0.5,Q560&lt;0.75),1,0))</f>
        <v>0</v>
      </c>
      <c r="R564" s="55">
        <f t="shared" ref="R564" si="769">IF(R$550=0,0,IF(AND(R560&gt;=0.5,R560&lt;0.75),1,0))</f>
        <v>0</v>
      </c>
      <c r="S564" s="55">
        <f t="shared" ref="S564:S565" si="770">IF(SUM(Q564:R564)=0,0,IF(SUM(Q564:R564)=2,1,IF(AND(Q$561=0,R564&gt;0),R564,SUM(Q564:R564)/2)))</f>
        <v>0</v>
      </c>
      <c r="T564" s="55">
        <f>IF(T$550=0,0,IF(AND(T560&gt;=0.5,T560&lt;0.75),1,0))</f>
        <v>0</v>
      </c>
      <c r="U564" s="55">
        <f t="shared" ref="U564" si="771">IF(U$550=0,0,IF(AND(U560&gt;=0.5,U560&lt;0.75),1,0))</f>
        <v>0</v>
      </c>
      <c r="V564" s="55">
        <f t="shared" ref="V564:V565" si="772">IF(SUM(T564:U564)=0,0,IF(SUM(T564:U564)=2,1,IF(AND(T$561=0,U564&gt;0),U564,SUM(T564:U564)/2)))</f>
        <v>0</v>
      </c>
      <c r="W564" s="391">
        <f t="shared" ref="W564:Y565" si="773">N564+Q564+T564</f>
        <v>0</v>
      </c>
      <c r="X564" s="17">
        <f t="shared" si="773"/>
        <v>0</v>
      </c>
      <c r="Y564" s="17">
        <f t="shared" si="773"/>
        <v>0</v>
      </c>
      <c r="Z564" s="19">
        <f t="shared" ref="Z564:Z566" si="774">IF(Y$566=0,0,Y564/Y$566)</f>
        <v>0</v>
      </c>
      <c r="AA564" s="197"/>
      <c r="AB564" s="197"/>
      <c r="AC564" s="198"/>
      <c r="AE564" s="55"/>
      <c r="AF564" s="55"/>
      <c r="AG564" s="55"/>
      <c r="AH564" s="164"/>
      <c r="AI564" s="197"/>
      <c r="AK564" s="55"/>
      <c r="AL564" s="55"/>
      <c r="AM564" s="55"/>
      <c r="AN564" s="164"/>
      <c r="AO564" s="197"/>
      <c r="AQ564" s="55"/>
      <c r="AR564" s="55"/>
      <c r="AS564" s="55"/>
      <c r="AT564" s="164"/>
      <c r="AU564" s="197"/>
      <c r="AW564" s="55"/>
      <c r="AX564" s="55"/>
      <c r="AY564" s="55"/>
      <c r="AZ564" s="164"/>
      <c r="BA564" s="197"/>
    </row>
    <row r="565" spans="1:53" s="97" customFormat="1" ht="17.100000000000001" customHeight="1" x14ac:dyDescent="0.25">
      <c r="A565" s="119"/>
      <c r="B565" s="119"/>
      <c r="C565" s="137"/>
      <c r="D565" s="75" t="s">
        <v>326</v>
      </c>
      <c r="E565" s="75"/>
      <c r="F565" s="75"/>
      <c r="G565" s="75"/>
      <c r="H565" s="1322"/>
      <c r="I565" s="12"/>
      <c r="J565" s="55" t="str">
        <f>IF(J$502=0,"",IF(J561&lt;0.5,1,0))</f>
        <v/>
      </c>
      <c r="K565" s="55" t="str">
        <f>IF(K$502=0,"",IF(K561&lt;0.5,1,0))</f>
        <v/>
      </c>
      <c r="L565" s="55" t="str">
        <f>IF(L$502=0,"",IF(L561&lt;0.5,1,0))</f>
        <v/>
      </c>
      <c r="M565" s="55"/>
      <c r="N565" s="55">
        <f>IF(N$550=0,0,IF(N560&lt;0.5,1,0))</f>
        <v>0</v>
      </c>
      <c r="O565" s="55">
        <f t="shared" ref="O565" si="775">IF(O$550=0,0,IF(O560&lt;0.5,1,0))</f>
        <v>0</v>
      </c>
      <c r="P565" s="55">
        <f t="shared" si="768"/>
        <v>0</v>
      </c>
      <c r="Q565" s="55">
        <f>IF(Q$550=0,0,IF(Q560&lt;0.5,1,0))</f>
        <v>1</v>
      </c>
      <c r="R565" s="55">
        <f t="shared" ref="R565" si="776">IF(R$550=0,0,IF(R560&lt;0.5,1,0))</f>
        <v>1</v>
      </c>
      <c r="S565" s="55">
        <f t="shared" si="770"/>
        <v>1</v>
      </c>
      <c r="T565" s="55">
        <f>IF(T$550=0,0,IF(T560&lt;0.5,1,0))</f>
        <v>0</v>
      </c>
      <c r="U565" s="55">
        <f t="shared" ref="U565" si="777">IF(U$550=0,0,IF(U560&lt;0.5,1,0))</f>
        <v>0</v>
      </c>
      <c r="V565" s="55">
        <f t="shared" si="772"/>
        <v>0</v>
      </c>
      <c r="W565" s="391">
        <f t="shared" si="773"/>
        <v>1</v>
      </c>
      <c r="X565" s="17">
        <f t="shared" si="773"/>
        <v>1</v>
      </c>
      <c r="Y565" s="17">
        <f t="shared" si="773"/>
        <v>1</v>
      </c>
      <c r="Z565" s="19">
        <f t="shared" si="774"/>
        <v>0.5</v>
      </c>
      <c r="AA565" s="197"/>
      <c r="AB565" s="197"/>
      <c r="AC565" s="198"/>
      <c r="AE565" s="55"/>
      <c r="AF565" s="55"/>
      <c r="AG565" s="55"/>
      <c r="AH565" s="164"/>
      <c r="AI565" s="197"/>
      <c r="AK565" s="55"/>
      <c r="AL565" s="55"/>
      <c r="AM565" s="55"/>
      <c r="AN565" s="164"/>
      <c r="AO565" s="197"/>
      <c r="AQ565" s="55"/>
      <c r="AR565" s="55"/>
      <c r="AS565" s="55"/>
      <c r="AT565" s="164"/>
      <c r="AU565" s="197"/>
      <c r="AW565" s="55"/>
      <c r="AX565" s="55"/>
      <c r="AY565" s="55"/>
      <c r="AZ565" s="164"/>
      <c r="BA565" s="197"/>
    </row>
    <row r="566" spans="1:53" s="117" customFormat="1" ht="17.100000000000001" customHeight="1" x14ac:dyDescent="0.25">
      <c r="A566" s="119"/>
      <c r="B566" s="119"/>
      <c r="C566" s="119"/>
      <c r="D566" s="428"/>
      <c r="E566" s="93"/>
      <c r="F566" s="93"/>
      <c r="G566" s="93"/>
      <c r="H566" s="1322"/>
      <c r="I566" s="12"/>
      <c r="J566" s="191"/>
      <c r="K566" s="191"/>
      <c r="L566" s="191"/>
      <c r="M566" s="191"/>
      <c r="N566" s="191"/>
      <c r="O566" s="191"/>
      <c r="P566" s="191"/>
      <c r="Q566" s="191"/>
      <c r="R566" s="191"/>
      <c r="S566" s="191"/>
      <c r="T566" s="191"/>
      <c r="U566" s="191"/>
      <c r="V566" s="191"/>
      <c r="W566" s="394"/>
      <c r="X566" s="191"/>
      <c r="Y566" s="164">
        <f>SUM(Y563:Y565)</f>
        <v>2</v>
      </c>
      <c r="Z566" s="19">
        <f t="shared" si="774"/>
        <v>1</v>
      </c>
      <c r="AA566" s="192"/>
      <c r="AB566" s="192"/>
      <c r="AC566" s="198"/>
      <c r="AE566" s="191"/>
      <c r="AF566" s="191"/>
      <c r="AG566" s="191"/>
      <c r="AH566" s="164"/>
      <c r="AI566" s="192"/>
      <c r="AK566" s="191"/>
      <c r="AL566" s="191"/>
      <c r="AM566" s="191"/>
      <c r="AN566" s="164"/>
      <c r="AO566" s="192"/>
      <c r="AQ566" s="191"/>
      <c r="AR566" s="191"/>
      <c r="AS566" s="191"/>
      <c r="AT566" s="164"/>
      <c r="AU566" s="192"/>
      <c r="AW566" s="191"/>
      <c r="AX566" s="191"/>
      <c r="AY566" s="191"/>
      <c r="AZ566" s="164"/>
      <c r="BA566" s="192"/>
    </row>
    <row r="567" spans="1:53" s="97" customFormat="1" ht="17.100000000000001" customHeight="1" x14ac:dyDescent="0.25">
      <c r="A567" s="68"/>
      <c r="B567" s="68"/>
      <c r="C567" s="92"/>
      <c r="D567" s="93"/>
      <c r="E567" s="93"/>
      <c r="F567" s="93"/>
      <c r="G567" s="93"/>
      <c r="H567" s="165"/>
      <c r="I567" s="12"/>
      <c r="J567" s="94"/>
      <c r="K567" s="94"/>
      <c r="L567" s="95"/>
      <c r="M567" s="95"/>
      <c r="N567" s="95"/>
      <c r="O567" s="95"/>
      <c r="P567" s="95"/>
      <c r="Q567" s="95"/>
      <c r="R567" s="95"/>
      <c r="S567" s="95"/>
      <c r="T567" s="95"/>
      <c r="U567" s="95"/>
      <c r="V567" s="95"/>
      <c r="W567" s="378"/>
      <c r="X567" s="95"/>
      <c r="Y567" s="96"/>
      <c r="AE567" s="109"/>
      <c r="AF567" s="109"/>
      <c r="AG567" s="109"/>
      <c r="AH567" s="96"/>
      <c r="AK567" s="109"/>
      <c r="AL567" s="109"/>
      <c r="AM567" s="109"/>
      <c r="AN567" s="96"/>
      <c r="AQ567" s="109"/>
      <c r="AR567" s="109"/>
      <c r="AS567" s="109"/>
      <c r="AT567" s="96"/>
      <c r="AW567" s="109"/>
      <c r="AX567" s="109"/>
      <c r="AY567" s="109"/>
      <c r="AZ567" s="96"/>
    </row>
    <row r="568" spans="1:53" s="32" customFormat="1" ht="16.5" thickBot="1" x14ac:dyDescent="0.3">
      <c r="A568" s="24" t="s">
        <v>329</v>
      </c>
      <c r="B568" s="25" t="s">
        <v>330</v>
      </c>
      <c r="C568" s="26"/>
      <c r="D568" s="27"/>
      <c r="E568" s="27"/>
      <c r="F568" s="27"/>
      <c r="G568" s="28"/>
      <c r="H568" s="215"/>
      <c r="I568" s="228"/>
      <c r="J568" s="101"/>
      <c r="K568" s="101"/>
      <c r="L568" s="101"/>
      <c r="M568" s="101"/>
      <c r="N568" s="101"/>
      <c r="O568" s="101"/>
      <c r="P568" s="101"/>
      <c r="Q568" s="101"/>
      <c r="R568" s="101"/>
      <c r="S568" s="101"/>
      <c r="T568" s="101"/>
      <c r="U568" s="101"/>
      <c r="V568" s="357"/>
      <c r="W568" s="379"/>
      <c r="X568" s="101"/>
      <c r="Y568" s="30" t="s">
        <v>4</v>
      </c>
      <c r="Z568" s="30" t="s">
        <v>5</v>
      </c>
      <c r="AA568" s="30"/>
      <c r="AB568" s="30"/>
      <c r="AC568" s="30" t="s">
        <v>6</v>
      </c>
      <c r="AE568" s="33" t="s">
        <v>181</v>
      </c>
      <c r="AF568" s="33" t="s">
        <v>182</v>
      </c>
      <c r="AG568" s="33" t="s">
        <v>6</v>
      </c>
      <c r="AH568" s="33" t="s">
        <v>4</v>
      </c>
      <c r="AI568" s="34" t="s">
        <v>5</v>
      </c>
      <c r="AJ568" s="408"/>
      <c r="AK568" s="36" t="s">
        <v>181</v>
      </c>
      <c r="AL568" s="36" t="s">
        <v>182</v>
      </c>
      <c r="AM568" s="36" t="s">
        <v>6</v>
      </c>
      <c r="AN568" s="36" t="s">
        <v>4</v>
      </c>
      <c r="AO568" s="37" t="s">
        <v>5</v>
      </c>
      <c r="AP568" s="408"/>
      <c r="AQ568" s="36"/>
      <c r="AR568" s="36"/>
      <c r="AS568" s="36"/>
      <c r="AT568" s="36"/>
      <c r="AU568" s="37"/>
      <c r="AV568" s="408"/>
      <c r="AW568" s="38" t="s">
        <v>181</v>
      </c>
      <c r="AX568" s="38" t="s">
        <v>182</v>
      </c>
      <c r="AY568" s="38" t="s">
        <v>6</v>
      </c>
      <c r="AZ568" s="38" t="s">
        <v>4</v>
      </c>
      <c r="BA568" s="39" t="s">
        <v>5</v>
      </c>
    </row>
    <row r="569" spans="1:53" ht="17.100000000000001" customHeight="1" x14ac:dyDescent="0.25">
      <c r="A569" s="68"/>
      <c r="B569" s="41" t="s">
        <v>675</v>
      </c>
      <c r="C569" s="49" t="s">
        <v>674</v>
      </c>
      <c r="D569" s="50"/>
      <c r="E569" s="70"/>
      <c r="F569" s="70"/>
      <c r="G569" s="70"/>
      <c r="H569" s="119"/>
      <c r="J569" s="71"/>
      <c r="K569" s="71"/>
      <c r="L569" s="71"/>
      <c r="M569" s="71"/>
      <c r="N569" s="71"/>
      <c r="O569" s="71"/>
      <c r="P569" s="71"/>
      <c r="Q569" s="71"/>
      <c r="R569" s="71"/>
      <c r="S569" s="71"/>
      <c r="T569" s="71"/>
      <c r="U569" s="71"/>
      <c r="V569" s="355"/>
      <c r="W569" s="377"/>
      <c r="X569" s="71"/>
      <c r="Y569" s="72"/>
      <c r="Z569" s="73"/>
      <c r="AA569" s="73"/>
      <c r="AB569" s="73"/>
      <c r="AC569" s="73"/>
      <c r="AE569" s="71"/>
      <c r="AF569" s="71"/>
      <c r="AG569" s="71"/>
      <c r="AH569" s="72"/>
      <c r="AI569" s="73"/>
      <c r="AK569" s="71"/>
      <c r="AL569" s="71"/>
      <c r="AM569" s="71"/>
      <c r="AN569" s="72"/>
      <c r="AO569" s="73"/>
      <c r="AQ569" s="71"/>
      <c r="AR569" s="71"/>
      <c r="AS569" s="71"/>
      <c r="AT569" s="72"/>
      <c r="AU569" s="73"/>
      <c r="AW569" s="71"/>
      <c r="AX569" s="71"/>
      <c r="AY569" s="71"/>
      <c r="AZ569" s="72"/>
      <c r="BA569" s="73"/>
    </row>
    <row r="570" spans="1:53" ht="17.100000000000001" customHeight="1" x14ac:dyDescent="0.25">
      <c r="A570" s="119"/>
      <c r="B570" s="119"/>
      <c r="C570" s="56" t="s">
        <v>676</v>
      </c>
      <c r="D570" s="146" t="s">
        <v>9</v>
      </c>
      <c r="E570" s="105"/>
      <c r="F570" s="105"/>
      <c r="G570" s="105"/>
      <c r="H570" s="119"/>
      <c r="I570" s="231"/>
      <c r="J570" s="111"/>
      <c r="K570" s="111"/>
      <c r="L570" s="111"/>
      <c r="M570" s="111"/>
      <c r="N570" s="60"/>
      <c r="O570" s="60">
        <v>2</v>
      </c>
      <c r="P570" s="17">
        <f t="shared" ref="P570:P571" si="778">SUM(N570:O570)</f>
        <v>2</v>
      </c>
      <c r="Q570" s="60">
        <v>1</v>
      </c>
      <c r="R570" s="60">
        <v>5</v>
      </c>
      <c r="S570" s="17">
        <f t="shared" ref="S570:S571" si="779">SUM(Q570:R570)</f>
        <v>6</v>
      </c>
      <c r="T570" s="60"/>
      <c r="U570" s="60"/>
      <c r="V570" s="359">
        <f t="shared" ref="V570:V571" si="780">SUM(T570:U570)</f>
        <v>0</v>
      </c>
      <c r="W570" s="391">
        <f t="shared" ref="W570:W571" si="781">J570+K570+N570+Q570+T570</f>
        <v>1</v>
      </c>
      <c r="X570" s="17">
        <f t="shared" ref="X570:X571" si="782">L570+O570+R570+U570</f>
        <v>7</v>
      </c>
      <c r="Y570" s="18">
        <f>SUM(W570:X570)</f>
        <v>8</v>
      </c>
      <c r="Z570" s="19">
        <f>IF(Y$538=0,0,Y570/Y$538)</f>
        <v>0.53333333333333333</v>
      </c>
      <c r="AA570" s="19"/>
      <c r="AB570" s="19"/>
      <c r="AC570" s="20"/>
      <c r="AE570" s="111"/>
      <c r="AF570" s="111"/>
      <c r="AG570" s="111"/>
      <c r="AH570" s="112"/>
      <c r="AI570" s="113"/>
      <c r="AK570" s="111"/>
      <c r="AL570" s="111"/>
      <c r="AM570" s="111"/>
      <c r="AN570" s="112"/>
      <c r="AO570" s="113"/>
      <c r="AQ570" s="17"/>
      <c r="AR570" s="17"/>
      <c r="AS570" s="17"/>
      <c r="AT570" s="18">
        <f t="shared" ref="AT570:AT571" si="783">W570</f>
        <v>1</v>
      </c>
      <c r="AU570" s="19">
        <f>IF(AT$538=0,0,AT570/AT$538)</f>
        <v>0.14285714285714285</v>
      </c>
      <c r="AW570" s="17"/>
      <c r="AX570" s="17"/>
      <c r="AY570" s="17"/>
      <c r="AZ570" s="18">
        <f t="shared" ref="AZ570:AZ571" si="784">X570</f>
        <v>7</v>
      </c>
      <c r="BA570" s="19">
        <f>IF(AZ$538=0,0,AZ570/AZ$538)</f>
        <v>0.875</v>
      </c>
    </row>
    <row r="571" spans="1:53" ht="17.100000000000001" customHeight="1" x14ac:dyDescent="0.25">
      <c r="A571" s="119"/>
      <c r="B571" s="119"/>
      <c r="C571" s="56" t="s">
        <v>677</v>
      </c>
      <c r="D571" s="146" t="s">
        <v>11</v>
      </c>
      <c r="E571" s="105"/>
      <c r="F571" s="105"/>
      <c r="G571" s="105"/>
      <c r="H571" s="119"/>
      <c r="I571" s="231"/>
      <c r="J571" s="111"/>
      <c r="K571" s="111"/>
      <c r="L571" s="111"/>
      <c r="M571" s="111"/>
      <c r="N571" s="61">
        <v>6</v>
      </c>
      <c r="O571" s="61">
        <v>1</v>
      </c>
      <c r="P571" s="17">
        <f t="shared" si="778"/>
        <v>7</v>
      </c>
      <c r="Q571" s="61"/>
      <c r="R571" s="61"/>
      <c r="S571" s="17">
        <f t="shared" si="779"/>
        <v>0</v>
      </c>
      <c r="T571" s="61"/>
      <c r="U571" s="61"/>
      <c r="V571" s="359">
        <f t="shared" si="780"/>
        <v>0</v>
      </c>
      <c r="W571" s="391">
        <f t="shared" si="781"/>
        <v>6</v>
      </c>
      <c r="X571" s="17">
        <f t="shared" si="782"/>
        <v>1</v>
      </c>
      <c r="Y571" s="18">
        <f>SUM(W571:X571)</f>
        <v>7</v>
      </c>
      <c r="Z571" s="19">
        <f t="shared" ref="Z571:Z572" si="785">IF(Y$538=0,0,Y571/Y$538)</f>
        <v>0.46666666666666667</v>
      </c>
      <c r="AA571" s="19"/>
      <c r="AB571" s="19"/>
      <c r="AC571" s="20"/>
      <c r="AE571" s="111"/>
      <c r="AF571" s="111"/>
      <c r="AG571" s="111"/>
      <c r="AH571" s="112"/>
      <c r="AI571" s="113"/>
      <c r="AK571" s="111"/>
      <c r="AL571" s="111"/>
      <c r="AM571" s="111"/>
      <c r="AN571" s="112"/>
      <c r="AO571" s="113"/>
      <c r="AQ571" s="17"/>
      <c r="AR571" s="17"/>
      <c r="AS571" s="17"/>
      <c r="AT571" s="18">
        <f t="shared" si="783"/>
        <v>6</v>
      </c>
      <c r="AU571" s="19">
        <f t="shared" ref="AU571:AU572" si="786">IF(AT$538=0,0,AT571/AT$538)</f>
        <v>0.8571428571428571</v>
      </c>
      <c r="AW571" s="17"/>
      <c r="AX571" s="17"/>
      <c r="AY571" s="17"/>
      <c r="AZ571" s="18">
        <f t="shared" si="784"/>
        <v>1</v>
      </c>
      <c r="BA571" s="19">
        <f t="shared" ref="BA571:BA572" si="787">IF(AZ$538=0,0,AZ571/AZ$538)</f>
        <v>0.125</v>
      </c>
    </row>
    <row r="572" spans="1:53" ht="17.100000000000001" customHeight="1" x14ac:dyDescent="0.25">
      <c r="A572" s="40"/>
      <c r="B572" s="40"/>
      <c r="C572" s="77"/>
      <c r="D572" s="134"/>
      <c r="E572" s="134"/>
      <c r="F572" s="134"/>
      <c r="G572" s="134"/>
      <c r="H572" s="540"/>
      <c r="I572" s="229"/>
      <c r="J572" s="80"/>
      <c r="K572" s="80"/>
      <c r="L572" s="81"/>
      <c r="M572" s="81"/>
      <c r="N572" s="81">
        <f t="shared" ref="N572:Y572" si="788">SUM(N570:N571)</f>
        <v>6</v>
      </c>
      <c r="O572" s="81">
        <f t="shared" ref="O572" si="789">SUM(O570:O571)</f>
        <v>3</v>
      </c>
      <c r="P572" s="81">
        <f t="shared" ref="P572" si="790">SUM(P570:P571)</f>
        <v>9</v>
      </c>
      <c r="Q572" s="81">
        <f t="shared" ref="Q572" si="791">SUM(Q570:Q571)</f>
        <v>1</v>
      </c>
      <c r="R572" s="81">
        <f t="shared" ref="R572" si="792">SUM(R570:R571)</f>
        <v>5</v>
      </c>
      <c r="S572" s="81">
        <f t="shared" ref="S572" si="793">SUM(S570:S571)</f>
        <v>6</v>
      </c>
      <c r="T572" s="81">
        <f t="shared" ref="T572" si="794">SUM(T570:T571)</f>
        <v>0</v>
      </c>
      <c r="U572" s="81">
        <f t="shared" ref="U572" si="795">SUM(U570:U571)</f>
        <v>0</v>
      </c>
      <c r="V572" s="81">
        <f t="shared" ref="V572" si="796">SUM(V570:V571)</f>
        <v>0</v>
      </c>
      <c r="W572" s="381">
        <f t="shared" si="788"/>
        <v>7</v>
      </c>
      <c r="X572" s="82">
        <f t="shared" si="788"/>
        <v>8</v>
      </c>
      <c r="Y572" s="82">
        <f t="shared" si="788"/>
        <v>15</v>
      </c>
      <c r="Z572" s="205">
        <f t="shared" si="785"/>
        <v>1</v>
      </c>
      <c r="AA572" s="205"/>
      <c r="AB572" s="205"/>
      <c r="AC572" s="83"/>
      <c r="AE572" s="80"/>
      <c r="AF572" s="80"/>
      <c r="AG572" s="81"/>
      <c r="AH572" s="82"/>
      <c r="AI572" s="66"/>
      <c r="AK572" s="80"/>
      <c r="AL572" s="80"/>
      <c r="AM572" s="81"/>
      <c r="AN572" s="82"/>
      <c r="AO572" s="66"/>
      <c r="AQ572" s="80"/>
      <c r="AR572" s="80"/>
      <c r="AS572" s="81"/>
      <c r="AT572" s="82">
        <f>SUM(AT570:AT571)</f>
        <v>7</v>
      </c>
      <c r="AU572" s="66">
        <f t="shared" si="786"/>
        <v>1</v>
      </c>
      <c r="AW572" s="80"/>
      <c r="AX572" s="80"/>
      <c r="AY572" s="81"/>
      <c r="AZ572" s="82">
        <f>SUM(AZ570:AZ571)</f>
        <v>8</v>
      </c>
      <c r="BA572" s="66">
        <f t="shared" si="787"/>
        <v>1</v>
      </c>
    </row>
    <row r="573" spans="1:53" s="117" customFormat="1" ht="17.100000000000001" customHeight="1" x14ac:dyDescent="0.25">
      <c r="A573" s="68"/>
      <c r="B573" s="119"/>
      <c r="C573" s="540"/>
      <c r="D573" s="261"/>
      <c r="E573" s="261"/>
      <c r="F573" s="68"/>
      <c r="G573" s="68"/>
      <c r="H573" s="119"/>
      <c r="I573" s="138"/>
      <c r="J573" s="17"/>
      <c r="K573" s="17"/>
      <c r="L573" s="17"/>
      <c r="M573" s="17"/>
      <c r="N573" s="17" t="str">
        <f>IF(N572=N$20,"OK","NOK")</f>
        <v>OK</v>
      </c>
      <c r="O573" s="17" t="str">
        <f>IF(O572=O$20,"OK","NOK")</f>
        <v>OK</v>
      </c>
      <c r="P573" s="17"/>
      <c r="Q573" s="17" t="str">
        <f>IF(Q572=Q$20,"OK","NOK")</f>
        <v>OK</v>
      </c>
      <c r="R573" s="17" t="str">
        <f>IF(R572=R$20,"OK","NOK")</f>
        <v>OK</v>
      </c>
      <c r="S573" s="17"/>
      <c r="T573" s="17" t="str">
        <f>IF(T572=T$20,"OK","NOK")</f>
        <v>OK</v>
      </c>
      <c r="U573" s="17" t="str">
        <f>IF(U572=U$20,"OK","NOK")</f>
        <v>OK</v>
      </c>
      <c r="V573" s="359"/>
      <c r="W573" s="382"/>
      <c r="X573" s="539"/>
      <c r="Y573" s="539"/>
      <c r="Z573" s="201"/>
      <c r="AA573" s="201"/>
      <c r="AB573" s="201"/>
      <c r="AC573" s="84"/>
      <c r="AE573" s="46"/>
      <c r="AF573" s="46"/>
      <c r="AG573" s="17"/>
      <c r="AH573" s="539"/>
      <c r="AI573" s="91"/>
      <c r="AK573" s="46"/>
      <c r="AL573" s="46"/>
      <c r="AM573" s="17"/>
      <c r="AN573" s="539"/>
      <c r="AO573" s="91"/>
      <c r="AQ573" s="46"/>
      <c r="AR573" s="46"/>
      <c r="AS573" s="17"/>
      <c r="AT573" s="539"/>
      <c r="AU573" s="91"/>
      <c r="AW573" s="46"/>
      <c r="AX573" s="46"/>
      <c r="AY573" s="17"/>
      <c r="AZ573" s="539"/>
      <c r="BA573" s="91"/>
    </row>
    <row r="574" spans="1:53" s="32" customFormat="1" ht="15.75" x14ac:dyDescent="0.25">
      <c r="A574" s="342"/>
      <c r="B574" s="330"/>
      <c r="C574" s="331"/>
      <c r="D574" s="343"/>
      <c r="E574" s="343"/>
      <c r="F574" s="343"/>
      <c r="G574" s="343"/>
      <c r="H574" s="344"/>
      <c r="I574" s="14"/>
      <c r="J574" s="345"/>
      <c r="K574" s="345"/>
      <c r="L574" s="345"/>
      <c r="M574" s="345"/>
      <c r="N574" s="345"/>
      <c r="O574" s="345"/>
      <c r="P574" s="345"/>
      <c r="Q574" s="345"/>
      <c r="R574" s="345"/>
      <c r="S574" s="345"/>
      <c r="T574" s="345"/>
      <c r="U574" s="345"/>
      <c r="V574" s="374"/>
      <c r="W574" s="396"/>
      <c r="X574" s="345"/>
      <c r="Y574" s="346"/>
      <c r="Z574" s="346"/>
      <c r="AA574" s="346"/>
      <c r="AB574" s="346"/>
      <c r="AC574" s="346"/>
      <c r="AE574" s="347"/>
      <c r="AF574" s="347"/>
      <c r="AG574" s="347"/>
      <c r="AH574" s="347"/>
      <c r="AI574" s="348"/>
      <c r="AJ574" s="408"/>
      <c r="AK574" s="349"/>
      <c r="AL574" s="349"/>
      <c r="AM574" s="349"/>
      <c r="AN574" s="349"/>
      <c r="AO574" s="350"/>
      <c r="AP574" s="408"/>
      <c r="AQ574" s="349"/>
      <c r="AR574" s="349"/>
      <c r="AS574" s="349"/>
      <c r="AT574" s="349"/>
      <c r="AU574" s="350"/>
      <c r="AV574" s="408"/>
      <c r="AW574" s="351"/>
      <c r="AX574" s="351"/>
      <c r="AY574" s="351"/>
      <c r="AZ574" s="351"/>
      <c r="BA574" s="352"/>
    </row>
    <row r="575" spans="1:53" ht="17.100000000000001" customHeight="1" x14ac:dyDescent="0.25">
      <c r="A575" s="68"/>
      <c r="B575" s="41" t="s">
        <v>331</v>
      </c>
      <c r="C575" s="69" t="s">
        <v>332</v>
      </c>
      <c r="D575" s="50"/>
      <c r="E575" s="70"/>
      <c r="F575" s="70"/>
      <c r="G575" s="70"/>
      <c r="H575" s="243">
        <v>17</v>
      </c>
      <c r="J575" s="71"/>
      <c r="K575" s="71"/>
      <c r="L575" s="71"/>
      <c r="M575" s="71"/>
      <c r="N575" s="71"/>
      <c r="O575" s="71"/>
      <c r="P575" s="71"/>
      <c r="Q575" s="71"/>
      <c r="R575" s="71"/>
      <c r="S575" s="71"/>
      <c r="T575" s="71"/>
      <c r="U575" s="71"/>
      <c r="V575" s="355"/>
      <c r="W575" s="377"/>
      <c r="X575" s="71"/>
      <c r="Y575" s="72"/>
      <c r="Z575" s="73"/>
      <c r="AA575" s="73"/>
      <c r="AB575" s="73"/>
      <c r="AC575" s="73"/>
      <c r="AE575" s="71"/>
      <c r="AF575" s="71"/>
      <c r="AG575" s="71"/>
      <c r="AH575" s="72"/>
      <c r="AI575" s="73"/>
      <c r="AK575" s="71"/>
      <c r="AL575" s="71"/>
      <c r="AM575" s="71"/>
      <c r="AN575" s="72"/>
      <c r="AO575" s="73"/>
      <c r="AQ575" s="71"/>
      <c r="AR575" s="71"/>
      <c r="AS575" s="71"/>
      <c r="AT575" s="72"/>
      <c r="AU575" s="73"/>
      <c r="AW575" s="71"/>
      <c r="AX575" s="71"/>
      <c r="AY575" s="71"/>
      <c r="AZ575" s="72"/>
      <c r="BA575" s="73"/>
    </row>
    <row r="576" spans="1:53" ht="17.100000000000001" customHeight="1" x14ac:dyDescent="0.25">
      <c r="A576" s="40"/>
      <c r="B576" s="40"/>
      <c r="C576" s="74" t="s">
        <v>333</v>
      </c>
      <c r="D576" s="85" t="s">
        <v>9</v>
      </c>
      <c r="E576" s="105"/>
      <c r="F576" s="105"/>
      <c r="G576" s="105"/>
      <c r="H576" s="119"/>
      <c r="I576" s="231"/>
      <c r="J576" s="581"/>
      <c r="K576" s="581">
        <v>1</v>
      </c>
      <c r="L576" s="582">
        <v>25</v>
      </c>
      <c r="M576" s="593">
        <f>SUM(J576:L576)</f>
        <v>26</v>
      </c>
      <c r="N576" s="111"/>
      <c r="O576" s="111"/>
      <c r="P576" s="111"/>
      <c r="Q576" s="111"/>
      <c r="R576" s="111"/>
      <c r="S576" s="111"/>
      <c r="T576" s="111"/>
      <c r="U576" s="111"/>
      <c r="V576" s="358"/>
      <c r="W576" s="391">
        <f t="shared" ref="W576:W579" si="797">J576+K576+N576+Q576+T576</f>
        <v>1</v>
      </c>
      <c r="X576" s="17">
        <f t="shared" ref="X576:X579" si="798">L576+O576+R576+U576</f>
        <v>25</v>
      </c>
      <c r="Y576" s="18">
        <f>SUM(W576:X576)</f>
        <v>26</v>
      </c>
      <c r="Z576" s="19">
        <f>IF(Y$580=0,0,Y576/Y$580)</f>
        <v>9.9236641221374045E-2</v>
      </c>
      <c r="AA576" s="19"/>
      <c r="AB576" s="19"/>
      <c r="AC576" s="17"/>
      <c r="AE576" s="17"/>
      <c r="AF576" s="17"/>
      <c r="AG576" s="17"/>
      <c r="AH576" s="18">
        <f t="shared" ref="AH576:AH579" si="799">J576</f>
        <v>0</v>
      </c>
      <c r="AI576" s="19">
        <f>IF(AH$580=0,0,AH576/AH$580)</f>
        <v>0</v>
      </c>
      <c r="AJ576" s="97"/>
      <c r="AK576" s="17"/>
      <c r="AL576" s="17"/>
      <c r="AM576" s="17"/>
      <c r="AN576" s="18">
        <f t="shared" ref="AN576:AN579" si="800">K576</f>
        <v>1</v>
      </c>
      <c r="AO576" s="19">
        <f>IF(AN$580=0,0,AN576/AN$580)</f>
        <v>8.3333333333333329E-2</v>
      </c>
      <c r="AP576" s="97"/>
      <c r="AQ576" s="17"/>
      <c r="AR576" s="17"/>
      <c r="AS576" s="17"/>
      <c r="AT576" s="18">
        <f t="shared" ref="AT576:AT579" si="801">W576</f>
        <v>1</v>
      </c>
      <c r="AU576" s="19">
        <f>IF(AT$580=0,0,AT576/AT$580)</f>
        <v>3.5714285714285712E-2</v>
      </c>
      <c r="AV576" s="97"/>
      <c r="AW576" s="17"/>
      <c r="AX576" s="17"/>
      <c r="AY576" s="17"/>
      <c r="AZ576" s="18">
        <f t="shared" ref="AZ576:AZ579" si="802">X576</f>
        <v>25</v>
      </c>
      <c r="BA576" s="19">
        <f>IF(AZ$580=0,0,AZ576/AZ$580)</f>
        <v>0.10683760683760683</v>
      </c>
    </row>
    <row r="577" spans="1:53" ht="17.100000000000001" customHeight="1" x14ac:dyDescent="0.25">
      <c r="A577" s="40"/>
      <c r="B577" s="40"/>
      <c r="C577" s="74" t="s">
        <v>334</v>
      </c>
      <c r="D577" s="85" t="s">
        <v>335</v>
      </c>
      <c r="E577" s="105"/>
      <c r="F577" s="105"/>
      <c r="G577" s="105"/>
      <c r="H577" s="119"/>
      <c r="I577" s="231"/>
      <c r="J577" s="583">
        <v>16</v>
      </c>
      <c r="K577" s="583">
        <v>11</v>
      </c>
      <c r="L577" s="584">
        <v>208</v>
      </c>
      <c r="M577" s="593">
        <f t="shared" ref="M577:M579" si="803">SUM(J577:L577)</f>
        <v>235</v>
      </c>
      <c r="N577" s="111"/>
      <c r="O577" s="111"/>
      <c r="P577" s="111"/>
      <c r="Q577" s="111"/>
      <c r="R577" s="111"/>
      <c r="S577" s="111"/>
      <c r="T577" s="111"/>
      <c r="U577" s="111"/>
      <c r="V577" s="358"/>
      <c r="W577" s="391">
        <f t="shared" si="797"/>
        <v>27</v>
      </c>
      <c r="X577" s="17">
        <f t="shared" si="798"/>
        <v>208</v>
      </c>
      <c r="Y577" s="18">
        <f>SUM(W577:X577)</f>
        <v>235</v>
      </c>
      <c r="Z577" s="19">
        <f t="shared" ref="Z577:Z579" si="804">IF(Y$580=0,0,Y577/Y$580)</f>
        <v>0.89694656488549618</v>
      </c>
      <c r="AA577" s="19"/>
      <c r="AB577" s="19"/>
      <c r="AC577" s="17"/>
      <c r="AE577" s="17"/>
      <c r="AF577" s="17"/>
      <c r="AG577" s="17"/>
      <c r="AH577" s="18">
        <f t="shared" si="799"/>
        <v>16</v>
      </c>
      <c r="AI577" s="19">
        <f t="shared" ref="AI577:AI580" si="805">IF(AH$580=0,0,AH577/AH$580)</f>
        <v>1</v>
      </c>
      <c r="AJ577" s="97"/>
      <c r="AK577" s="17"/>
      <c r="AL577" s="17"/>
      <c r="AM577" s="17"/>
      <c r="AN577" s="18">
        <f t="shared" si="800"/>
        <v>11</v>
      </c>
      <c r="AO577" s="19">
        <f t="shared" ref="AO577:AO580" si="806">IF(AN$580=0,0,AN577/AN$580)</f>
        <v>0.91666666666666663</v>
      </c>
      <c r="AP577" s="97"/>
      <c r="AQ577" s="17"/>
      <c r="AR577" s="17"/>
      <c r="AS577" s="17"/>
      <c r="AT577" s="18">
        <f t="shared" si="801"/>
        <v>27</v>
      </c>
      <c r="AU577" s="19">
        <f t="shared" ref="AU577:AU580" si="807">IF(AT$580=0,0,AT577/AT$580)</f>
        <v>0.9642857142857143</v>
      </c>
      <c r="AV577" s="97"/>
      <c r="AW577" s="17"/>
      <c r="AX577" s="17"/>
      <c r="AY577" s="17"/>
      <c r="AZ577" s="18">
        <f t="shared" si="802"/>
        <v>208</v>
      </c>
      <c r="BA577" s="19">
        <f t="shared" ref="BA577:BA580" si="808">IF(AZ$580=0,0,AZ577/AZ$580)</f>
        <v>0.88888888888888884</v>
      </c>
    </row>
    <row r="578" spans="1:53" ht="17.100000000000001" customHeight="1" x14ac:dyDescent="0.25">
      <c r="A578" s="40"/>
      <c r="B578" s="40"/>
      <c r="C578" s="74" t="s">
        <v>336</v>
      </c>
      <c r="D578" s="85" t="s">
        <v>129</v>
      </c>
      <c r="E578" s="105"/>
      <c r="F578" s="105"/>
      <c r="G578" s="105"/>
      <c r="H578" s="119"/>
      <c r="I578" s="231"/>
      <c r="J578" s="581"/>
      <c r="K578" s="581"/>
      <c r="L578" s="582">
        <v>1</v>
      </c>
      <c r="M578" s="593">
        <f t="shared" si="803"/>
        <v>1</v>
      </c>
      <c r="N578" s="111"/>
      <c r="O578" s="111"/>
      <c r="P578" s="111"/>
      <c r="Q578" s="111"/>
      <c r="R578" s="111"/>
      <c r="S578" s="111"/>
      <c r="T578" s="111"/>
      <c r="U578" s="111"/>
      <c r="V578" s="358"/>
      <c r="W578" s="391">
        <f t="shared" si="797"/>
        <v>0</v>
      </c>
      <c r="X578" s="17">
        <f t="shared" si="798"/>
        <v>1</v>
      </c>
      <c r="Y578" s="18">
        <f>SUM(W578:X578)</f>
        <v>1</v>
      </c>
      <c r="Z578" s="19">
        <f t="shared" si="804"/>
        <v>3.8167938931297708E-3</v>
      </c>
      <c r="AA578" s="19"/>
      <c r="AB578" s="19"/>
      <c r="AC578" s="17"/>
      <c r="AE578" s="17"/>
      <c r="AF578" s="17"/>
      <c r="AG578" s="17"/>
      <c r="AH578" s="18">
        <f t="shared" si="799"/>
        <v>0</v>
      </c>
      <c r="AI578" s="19">
        <f t="shared" si="805"/>
        <v>0</v>
      </c>
      <c r="AJ578" s="97"/>
      <c r="AK578" s="17"/>
      <c r="AL578" s="17"/>
      <c r="AM578" s="17"/>
      <c r="AN578" s="18">
        <f t="shared" si="800"/>
        <v>0</v>
      </c>
      <c r="AO578" s="19">
        <f t="shared" si="806"/>
        <v>0</v>
      </c>
      <c r="AP578" s="97"/>
      <c r="AQ578" s="17"/>
      <c r="AR578" s="17"/>
      <c r="AS578" s="17"/>
      <c r="AT578" s="18">
        <f t="shared" si="801"/>
        <v>0</v>
      </c>
      <c r="AU578" s="19">
        <f t="shared" si="807"/>
        <v>0</v>
      </c>
      <c r="AV578" s="97"/>
      <c r="AW578" s="17"/>
      <c r="AX578" s="17"/>
      <c r="AY578" s="17"/>
      <c r="AZ578" s="18">
        <f t="shared" si="802"/>
        <v>1</v>
      </c>
      <c r="BA578" s="19">
        <f t="shared" si="808"/>
        <v>4.2735042735042739E-3</v>
      </c>
    </row>
    <row r="579" spans="1:53" ht="17.100000000000001" customHeight="1" x14ac:dyDescent="0.25">
      <c r="A579" s="40"/>
      <c r="B579" s="40"/>
      <c r="C579" s="74" t="s">
        <v>554</v>
      </c>
      <c r="D579" s="85" t="s">
        <v>530</v>
      </c>
      <c r="E579" s="105"/>
      <c r="F579" s="105"/>
      <c r="G579" s="105"/>
      <c r="H579" s="119"/>
      <c r="I579" s="231"/>
      <c r="J579" s="583"/>
      <c r="K579" s="583"/>
      <c r="L579" s="584"/>
      <c r="M579" s="593">
        <f t="shared" si="803"/>
        <v>0</v>
      </c>
      <c r="N579" s="111"/>
      <c r="O579" s="111"/>
      <c r="P579" s="111"/>
      <c r="Q579" s="111"/>
      <c r="R579" s="111"/>
      <c r="S579" s="111"/>
      <c r="T579" s="111"/>
      <c r="U579" s="111"/>
      <c r="V579" s="358"/>
      <c r="W579" s="391">
        <f t="shared" si="797"/>
        <v>0</v>
      </c>
      <c r="X579" s="17">
        <f t="shared" si="798"/>
        <v>0</v>
      </c>
      <c r="Y579" s="18">
        <f>SUM(W579:X579)</f>
        <v>0</v>
      </c>
      <c r="Z579" s="19">
        <f t="shared" si="804"/>
        <v>0</v>
      </c>
      <c r="AA579" s="19"/>
      <c r="AB579" s="19"/>
      <c r="AC579" s="17"/>
      <c r="AE579" s="17"/>
      <c r="AF579" s="17"/>
      <c r="AG579" s="17"/>
      <c r="AH579" s="18">
        <f t="shared" si="799"/>
        <v>0</v>
      </c>
      <c r="AI579" s="19">
        <f t="shared" si="805"/>
        <v>0</v>
      </c>
      <c r="AJ579" s="97"/>
      <c r="AK579" s="17"/>
      <c r="AL579" s="17"/>
      <c r="AM579" s="17"/>
      <c r="AN579" s="18">
        <f t="shared" si="800"/>
        <v>0</v>
      </c>
      <c r="AO579" s="19">
        <f t="shared" si="806"/>
        <v>0</v>
      </c>
      <c r="AP579" s="97"/>
      <c r="AQ579" s="17"/>
      <c r="AR579" s="17"/>
      <c r="AS579" s="17"/>
      <c r="AT579" s="18">
        <f t="shared" si="801"/>
        <v>0</v>
      </c>
      <c r="AU579" s="19">
        <f t="shared" si="807"/>
        <v>0</v>
      </c>
      <c r="AV579" s="97"/>
      <c r="AW579" s="17"/>
      <c r="AX579" s="17"/>
      <c r="AY579" s="17"/>
      <c r="AZ579" s="18">
        <f t="shared" si="802"/>
        <v>0</v>
      </c>
      <c r="BA579" s="19">
        <f t="shared" si="808"/>
        <v>0</v>
      </c>
    </row>
    <row r="580" spans="1:53" ht="17.100000000000001" customHeight="1" x14ac:dyDescent="0.25">
      <c r="A580" s="40"/>
      <c r="B580" s="40"/>
      <c r="C580" s="77"/>
      <c r="D580" s="134"/>
      <c r="E580" s="134"/>
      <c r="F580" s="134"/>
      <c r="G580" s="134"/>
      <c r="H580" s="540"/>
      <c r="I580" s="229"/>
      <c r="J580" s="80">
        <f>SUM(J576:J579)</f>
        <v>16</v>
      </c>
      <c r="K580" s="80">
        <f t="shared" ref="K580:M580" si="809">SUM(K576:K579)</f>
        <v>12</v>
      </c>
      <c r="L580" s="80">
        <f t="shared" si="809"/>
        <v>234</v>
      </c>
      <c r="M580" s="80">
        <f t="shared" si="809"/>
        <v>262</v>
      </c>
      <c r="N580" s="81"/>
      <c r="O580" s="81"/>
      <c r="P580" s="81"/>
      <c r="Q580" s="81"/>
      <c r="R580" s="81"/>
      <c r="S580" s="81"/>
      <c r="T580" s="81"/>
      <c r="U580" s="81"/>
      <c r="V580" s="356"/>
      <c r="W580" s="381">
        <f t="shared" ref="W580:X580" si="810">SUM(W576:W579)</f>
        <v>28</v>
      </c>
      <c r="X580" s="82">
        <f t="shared" si="810"/>
        <v>234</v>
      </c>
      <c r="Y580" s="82">
        <f>SUM(Y576:Y579)</f>
        <v>262</v>
      </c>
      <c r="Z580" s="205">
        <f>IF(Y$580=0,0,Y580/Y$580)</f>
        <v>1</v>
      </c>
      <c r="AA580" s="205"/>
      <c r="AB580" s="205"/>
      <c r="AC580" s="83"/>
      <c r="AE580" s="80"/>
      <c r="AF580" s="80"/>
      <c r="AG580" s="81"/>
      <c r="AH580" s="82">
        <f>SUM(AH576:AH579)</f>
        <v>16</v>
      </c>
      <c r="AI580" s="66">
        <f t="shared" si="805"/>
        <v>1</v>
      </c>
      <c r="AK580" s="80"/>
      <c r="AL580" s="80"/>
      <c r="AM580" s="81"/>
      <c r="AN580" s="82">
        <f>SUM(AN576:AN579)</f>
        <v>12</v>
      </c>
      <c r="AO580" s="66">
        <f t="shared" si="806"/>
        <v>1</v>
      </c>
      <c r="AQ580" s="80"/>
      <c r="AR580" s="80"/>
      <c r="AS580" s="81"/>
      <c r="AT580" s="82">
        <f>SUM(AT576:AT579)</f>
        <v>28</v>
      </c>
      <c r="AU580" s="66">
        <f t="shared" si="807"/>
        <v>1</v>
      </c>
      <c r="AW580" s="80"/>
      <c r="AX580" s="80"/>
      <c r="AY580" s="81"/>
      <c r="AZ580" s="82">
        <f>SUM(AZ576:AZ579)</f>
        <v>234</v>
      </c>
      <c r="BA580" s="66">
        <f t="shared" si="808"/>
        <v>1</v>
      </c>
    </row>
    <row r="581" spans="1:53" s="117" customFormat="1" ht="17.100000000000001" customHeight="1" x14ac:dyDescent="0.25">
      <c r="A581" s="68"/>
      <c r="B581" s="119"/>
      <c r="C581" s="540"/>
      <c r="D581" s="261"/>
      <c r="E581" s="261"/>
      <c r="F581" s="68"/>
      <c r="G581" s="68"/>
      <c r="H581" s="924"/>
      <c r="I581" s="138"/>
      <c r="J581" s="17" t="str">
        <f>IF(J580=J$15,"OK","NOK")</f>
        <v>OK</v>
      </c>
      <c r="K581" s="17" t="str">
        <f t="shared" ref="K581:L581" si="811">IF(K580=K$15,"OK","NOK")</f>
        <v>OK</v>
      </c>
      <c r="L581" s="17" t="str">
        <f t="shared" si="811"/>
        <v>OK</v>
      </c>
      <c r="M581" s="17"/>
      <c r="N581" s="17"/>
      <c r="O581" s="17"/>
      <c r="P581" s="17"/>
      <c r="Q581" s="17"/>
      <c r="R581" s="17"/>
      <c r="S581" s="17"/>
      <c r="T581" s="17"/>
      <c r="U581" s="17"/>
      <c r="V581" s="359"/>
      <c r="W581" s="382"/>
      <c r="X581" s="539"/>
      <c r="Y581" s="539"/>
      <c r="Z581" s="201"/>
      <c r="AA581" s="201"/>
      <c r="AB581" s="201"/>
      <c r="AC581" s="84"/>
      <c r="AE581" s="46"/>
      <c r="AF581" s="46"/>
      <c r="AG581" s="17"/>
      <c r="AH581" s="539"/>
      <c r="AI581" s="91"/>
      <c r="AK581" s="46"/>
      <c r="AL581" s="46"/>
      <c r="AM581" s="17"/>
      <c r="AN581" s="539"/>
      <c r="AO581" s="91"/>
      <c r="AQ581" s="46"/>
      <c r="AR581" s="46"/>
      <c r="AS581" s="17"/>
      <c r="AT581" s="539"/>
      <c r="AU581" s="91"/>
      <c r="AW581" s="46"/>
      <c r="AX581" s="46"/>
      <c r="AY581" s="17"/>
      <c r="AZ581" s="539"/>
      <c r="BA581" s="91"/>
    </row>
    <row r="582" spans="1:53" ht="17.100000000000001" customHeight="1" x14ac:dyDescent="0.25">
      <c r="A582" s="40"/>
      <c r="B582" s="41" t="s">
        <v>337</v>
      </c>
      <c r="C582" s="69" t="s">
        <v>361</v>
      </c>
      <c r="D582" s="50"/>
      <c r="E582" s="70"/>
      <c r="F582" s="70"/>
      <c r="G582" s="70"/>
      <c r="H582" s="243">
        <v>21</v>
      </c>
      <c r="J582" s="71"/>
      <c r="K582" s="71"/>
      <c r="L582" s="71"/>
      <c r="M582" s="71"/>
      <c r="N582" s="71"/>
      <c r="O582" s="71"/>
      <c r="P582" s="71"/>
      <c r="Q582" s="71"/>
      <c r="R582" s="71"/>
      <c r="S582" s="71"/>
      <c r="T582" s="71"/>
      <c r="U582" s="71"/>
      <c r="V582" s="355"/>
      <c r="W582" s="377"/>
      <c r="X582" s="71"/>
      <c r="Y582" s="89"/>
      <c r="Z582" s="90"/>
      <c r="AA582" s="90"/>
      <c r="AB582" s="90"/>
      <c r="AC582" s="227"/>
      <c r="AE582" s="71"/>
      <c r="AF582" s="71"/>
      <c r="AG582" s="71"/>
      <c r="AH582" s="89"/>
      <c r="AI582" s="71"/>
      <c r="AK582" s="71"/>
      <c r="AL582" s="71"/>
      <c r="AM582" s="71"/>
      <c r="AN582" s="89"/>
      <c r="AO582" s="71"/>
      <c r="AQ582" s="71"/>
      <c r="AR582" s="71"/>
      <c r="AS582" s="71"/>
      <c r="AT582" s="89"/>
      <c r="AU582" s="71"/>
      <c r="AW582" s="71"/>
      <c r="AX582" s="71"/>
      <c r="AY582" s="71"/>
      <c r="AZ582" s="89"/>
      <c r="BA582" s="71"/>
    </row>
    <row r="583" spans="1:53" ht="17.100000000000001" customHeight="1" x14ac:dyDescent="0.25">
      <c r="A583" s="40"/>
      <c r="B583" s="40"/>
      <c r="C583" s="74" t="s">
        <v>499</v>
      </c>
      <c r="D583" s="85" t="s">
        <v>495</v>
      </c>
      <c r="E583" s="105"/>
      <c r="F583" s="105"/>
      <c r="G583" s="105"/>
      <c r="H583" s="119"/>
      <c r="I583" s="231"/>
      <c r="J583" s="581"/>
      <c r="K583" s="581">
        <v>1</v>
      </c>
      <c r="L583" s="582">
        <v>15</v>
      </c>
      <c r="M583" s="593">
        <f t="shared" ref="M583:M588" si="812">SUM(J583:L583)</f>
        <v>16</v>
      </c>
      <c r="N583" s="111"/>
      <c r="O583" s="111"/>
      <c r="P583" s="111"/>
      <c r="Q583" s="111"/>
      <c r="R583" s="111"/>
      <c r="S583" s="111"/>
      <c r="T583" s="111"/>
      <c r="U583" s="111"/>
      <c r="V583" s="358"/>
      <c r="W583" s="391">
        <f t="shared" ref="W583:W588" si="813">J583+K583+N583+Q583+T583</f>
        <v>1</v>
      </c>
      <c r="X583" s="17">
        <f t="shared" ref="X583:X588" si="814">L583+O583+R583+U583</f>
        <v>15</v>
      </c>
      <c r="Y583" s="18">
        <f t="shared" ref="Y583:Y588" si="815">SUM(W583:X583)</f>
        <v>16</v>
      </c>
      <c r="Z583" s="19">
        <f>IF(Y$589=0,0,Y583/Y$589)</f>
        <v>0.61538461538461542</v>
      </c>
      <c r="AA583" s="19"/>
      <c r="AB583" s="19"/>
      <c r="AC583" s="17"/>
      <c r="AE583" s="17"/>
      <c r="AF583" s="17"/>
      <c r="AG583" s="17"/>
      <c r="AH583" s="18">
        <f t="shared" ref="AH583:AH588" si="816">J583</f>
        <v>0</v>
      </c>
      <c r="AI583" s="19">
        <f>IF(AH$589=0,0,AH583/AH$589)</f>
        <v>0</v>
      </c>
      <c r="AJ583" s="97"/>
      <c r="AK583" s="17"/>
      <c r="AL583" s="17"/>
      <c r="AM583" s="17"/>
      <c r="AN583" s="18">
        <f t="shared" ref="AN583:AN588" si="817">K583</f>
        <v>1</v>
      </c>
      <c r="AO583" s="19">
        <f>IF(AN$589=0,0,AN583/AN$589)</f>
        <v>1</v>
      </c>
      <c r="AP583" s="97"/>
      <c r="AQ583" s="17"/>
      <c r="AR583" s="17"/>
      <c r="AS583" s="17"/>
      <c r="AT583" s="18">
        <f t="shared" ref="AT583:AT588" si="818">W583</f>
        <v>1</v>
      </c>
      <c r="AU583" s="19">
        <f>IF(AT$589=0,0,AT583/AT$589)</f>
        <v>1</v>
      </c>
      <c r="AV583" s="97"/>
      <c r="AW583" s="17"/>
      <c r="AX583" s="17"/>
      <c r="AY583" s="17"/>
      <c r="AZ583" s="18">
        <f t="shared" ref="AZ583:AZ588" si="819">X583</f>
        <v>15</v>
      </c>
      <c r="BA583" s="19">
        <f>IF(AZ$589=0,0,AZ583/AZ$589)</f>
        <v>0.6</v>
      </c>
    </row>
    <row r="584" spans="1:53" ht="17.100000000000001" customHeight="1" x14ac:dyDescent="0.25">
      <c r="A584" s="40"/>
      <c r="B584" s="40"/>
      <c r="C584" s="74" t="s">
        <v>500</v>
      </c>
      <c r="D584" s="85" t="s">
        <v>496</v>
      </c>
      <c r="E584" s="105"/>
      <c r="F584" s="105"/>
      <c r="G584" s="105"/>
      <c r="H584" s="119"/>
      <c r="I584" s="231"/>
      <c r="J584" s="583"/>
      <c r="K584" s="583"/>
      <c r="L584" s="584">
        <v>9</v>
      </c>
      <c r="M584" s="593">
        <f t="shared" si="812"/>
        <v>9</v>
      </c>
      <c r="N584" s="111"/>
      <c r="O584" s="111"/>
      <c r="P584" s="111"/>
      <c r="Q584" s="111"/>
      <c r="R584" s="111"/>
      <c r="S584" s="111"/>
      <c r="T584" s="111"/>
      <c r="U584" s="111"/>
      <c r="V584" s="358"/>
      <c r="W584" s="391">
        <f t="shared" si="813"/>
        <v>0</v>
      </c>
      <c r="X584" s="17">
        <f t="shared" si="814"/>
        <v>9</v>
      </c>
      <c r="Y584" s="18">
        <f t="shared" si="815"/>
        <v>9</v>
      </c>
      <c r="Z584" s="19">
        <f t="shared" ref="Z584:Z588" si="820">IF(Y$589=0,0,Y584/Y$589)</f>
        <v>0.34615384615384615</v>
      </c>
      <c r="AA584" s="19"/>
      <c r="AB584" s="19"/>
      <c r="AC584" s="17"/>
      <c r="AE584" s="17"/>
      <c r="AF584" s="17"/>
      <c r="AG584" s="17"/>
      <c r="AH584" s="18">
        <f t="shared" si="816"/>
        <v>0</v>
      </c>
      <c r="AI584" s="19">
        <f t="shared" ref="AI584:AI589" si="821">IF(AH$589=0,0,AH584/AH$589)</f>
        <v>0</v>
      </c>
      <c r="AJ584" s="97"/>
      <c r="AK584" s="17"/>
      <c r="AL584" s="17"/>
      <c r="AM584" s="17"/>
      <c r="AN584" s="18">
        <f t="shared" si="817"/>
        <v>0</v>
      </c>
      <c r="AO584" s="19">
        <f t="shared" ref="AO584:AO589" si="822">IF(AN$589=0,0,AN584/AN$589)</f>
        <v>0</v>
      </c>
      <c r="AP584" s="97"/>
      <c r="AQ584" s="17"/>
      <c r="AR584" s="17"/>
      <c r="AS584" s="17"/>
      <c r="AT584" s="18">
        <f t="shared" si="818"/>
        <v>0</v>
      </c>
      <c r="AU584" s="19">
        <f t="shared" ref="AU584:AU589" si="823">IF(AT$589=0,0,AT584/AT$589)</f>
        <v>0</v>
      </c>
      <c r="AV584" s="97"/>
      <c r="AW584" s="17"/>
      <c r="AX584" s="17"/>
      <c r="AY584" s="17"/>
      <c r="AZ584" s="18">
        <f t="shared" si="819"/>
        <v>9</v>
      </c>
      <c r="BA584" s="19">
        <f t="shared" ref="BA584:BA589" si="824">IF(AZ$589=0,0,AZ584/AZ$589)</f>
        <v>0.36</v>
      </c>
    </row>
    <row r="585" spans="1:53" ht="17.100000000000001" customHeight="1" x14ac:dyDescent="0.25">
      <c r="A585" s="40"/>
      <c r="B585" s="40"/>
      <c r="C585" s="74" t="s">
        <v>501</v>
      </c>
      <c r="D585" s="85" t="s">
        <v>497</v>
      </c>
      <c r="E585" s="105"/>
      <c r="F585" s="105"/>
      <c r="G585" s="105"/>
      <c r="H585" s="119"/>
      <c r="I585" s="231"/>
      <c r="J585" s="581"/>
      <c r="K585" s="581"/>
      <c r="L585" s="582">
        <v>1</v>
      </c>
      <c r="M585" s="593">
        <f t="shared" si="812"/>
        <v>1</v>
      </c>
      <c r="N585" s="111"/>
      <c r="O585" s="111"/>
      <c r="P585" s="111"/>
      <c r="Q585" s="111"/>
      <c r="R585" s="111"/>
      <c r="S585" s="111"/>
      <c r="T585" s="111"/>
      <c r="U585" s="111"/>
      <c r="V585" s="358"/>
      <c r="W585" s="391">
        <f t="shared" si="813"/>
        <v>0</v>
      </c>
      <c r="X585" s="17">
        <f t="shared" si="814"/>
        <v>1</v>
      </c>
      <c r="Y585" s="18">
        <f t="shared" si="815"/>
        <v>1</v>
      </c>
      <c r="Z585" s="19">
        <f t="shared" si="820"/>
        <v>3.8461538461538464E-2</v>
      </c>
      <c r="AA585" s="19"/>
      <c r="AB585" s="19"/>
      <c r="AC585" s="17"/>
      <c r="AE585" s="17"/>
      <c r="AF585" s="17"/>
      <c r="AG585" s="17"/>
      <c r="AH585" s="18">
        <f t="shared" si="816"/>
        <v>0</v>
      </c>
      <c r="AI585" s="19">
        <f t="shared" si="821"/>
        <v>0</v>
      </c>
      <c r="AJ585" s="97"/>
      <c r="AK585" s="17"/>
      <c r="AL585" s="17"/>
      <c r="AM585" s="17"/>
      <c r="AN585" s="18">
        <f t="shared" si="817"/>
        <v>0</v>
      </c>
      <c r="AO585" s="19">
        <f t="shared" si="822"/>
        <v>0</v>
      </c>
      <c r="AP585" s="97"/>
      <c r="AQ585" s="17"/>
      <c r="AR585" s="17"/>
      <c r="AS585" s="17"/>
      <c r="AT585" s="18">
        <f t="shared" si="818"/>
        <v>0</v>
      </c>
      <c r="AU585" s="19">
        <f t="shared" si="823"/>
        <v>0</v>
      </c>
      <c r="AV585" s="97"/>
      <c r="AW585" s="17"/>
      <c r="AX585" s="17"/>
      <c r="AY585" s="17"/>
      <c r="AZ585" s="18">
        <f t="shared" si="819"/>
        <v>1</v>
      </c>
      <c r="BA585" s="19">
        <f t="shared" si="824"/>
        <v>0.04</v>
      </c>
    </row>
    <row r="586" spans="1:53" ht="17.100000000000001" customHeight="1" x14ac:dyDescent="0.25">
      <c r="A586" s="40"/>
      <c r="B586" s="40"/>
      <c r="C586" s="74" t="s">
        <v>502</v>
      </c>
      <c r="D586" s="85" t="s">
        <v>498</v>
      </c>
      <c r="E586" s="105"/>
      <c r="F586" s="105"/>
      <c r="G586" s="105"/>
      <c r="H586" s="119"/>
      <c r="I586" s="231"/>
      <c r="J586" s="583"/>
      <c r="K586" s="583"/>
      <c r="L586" s="584"/>
      <c r="M586" s="593">
        <f t="shared" si="812"/>
        <v>0</v>
      </c>
      <c r="N586" s="111"/>
      <c r="O586" s="111"/>
      <c r="P586" s="111"/>
      <c r="Q586" s="111"/>
      <c r="R586" s="111"/>
      <c r="S586" s="111"/>
      <c r="T586" s="111"/>
      <c r="U586" s="111"/>
      <c r="V586" s="358"/>
      <c r="W586" s="391">
        <f t="shared" si="813"/>
        <v>0</v>
      </c>
      <c r="X586" s="17">
        <f t="shared" si="814"/>
        <v>0</v>
      </c>
      <c r="Y586" s="18">
        <f t="shared" si="815"/>
        <v>0</v>
      </c>
      <c r="Z586" s="19">
        <f t="shared" si="820"/>
        <v>0</v>
      </c>
      <c r="AA586" s="19"/>
      <c r="AB586" s="19"/>
      <c r="AC586" s="17"/>
      <c r="AE586" s="17"/>
      <c r="AF586" s="17"/>
      <c r="AG586" s="17"/>
      <c r="AH586" s="18">
        <f t="shared" si="816"/>
        <v>0</v>
      </c>
      <c r="AI586" s="19">
        <f t="shared" si="821"/>
        <v>0</v>
      </c>
      <c r="AJ586" s="97"/>
      <c r="AK586" s="17"/>
      <c r="AL586" s="17"/>
      <c r="AM586" s="17"/>
      <c r="AN586" s="18">
        <f t="shared" si="817"/>
        <v>0</v>
      </c>
      <c r="AO586" s="19">
        <f t="shared" si="822"/>
        <v>0</v>
      </c>
      <c r="AP586" s="97"/>
      <c r="AQ586" s="17"/>
      <c r="AR586" s="17"/>
      <c r="AS586" s="17"/>
      <c r="AT586" s="18">
        <f t="shared" si="818"/>
        <v>0</v>
      </c>
      <c r="AU586" s="19">
        <f t="shared" si="823"/>
        <v>0</v>
      </c>
      <c r="AV586" s="97"/>
      <c r="AW586" s="17"/>
      <c r="AX586" s="17"/>
      <c r="AY586" s="17"/>
      <c r="AZ586" s="18">
        <f t="shared" si="819"/>
        <v>0</v>
      </c>
      <c r="BA586" s="19">
        <f t="shared" si="824"/>
        <v>0</v>
      </c>
    </row>
    <row r="587" spans="1:53" ht="17.100000000000001" customHeight="1" x14ac:dyDescent="0.25">
      <c r="A587" s="40"/>
      <c r="B587" s="40"/>
      <c r="C587" s="74" t="s">
        <v>503</v>
      </c>
      <c r="D587" s="85" t="s">
        <v>129</v>
      </c>
      <c r="E587" s="105"/>
      <c r="F587" s="105"/>
      <c r="G587" s="105"/>
      <c r="H587" s="119"/>
      <c r="I587" s="231"/>
      <c r="J587" s="581"/>
      <c r="K587" s="581"/>
      <c r="L587" s="582"/>
      <c r="M587" s="593">
        <f t="shared" si="812"/>
        <v>0</v>
      </c>
      <c r="N587" s="111"/>
      <c r="O587" s="111"/>
      <c r="P587" s="111"/>
      <c r="Q587" s="111"/>
      <c r="R587" s="111"/>
      <c r="S587" s="111"/>
      <c r="T587" s="111"/>
      <c r="U587" s="111"/>
      <c r="V587" s="358"/>
      <c r="W587" s="391">
        <f t="shared" si="813"/>
        <v>0</v>
      </c>
      <c r="X587" s="17">
        <f t="shared" si="814"/>
        <v>0</v>
      </c>
      <c r="Y587" s="18">
        <f t="shared" si="815"/>
        <v>0</v>
      </c>
      <c r="Z587" s="19">
        <f t="shared" si="820"/>
        <v>0</v>
      </c>
      <c r="AA587" s="19"/>
      <c r="AB587" s="19"/>
      <c r="AC587" s="17"/>
      <c r="AE587" s="17"/>
      <c r="AF587" s="17"/>
      <c r="AG587" s="17"/>
      <c r="AH587" s="18">
        <f t="shared" si="816"/>
        <v>0</v>
      </c>
      <c r="AI587" s="19">
        <f t="shared" si="821"/>
        <v>0</v>
      </c>
      <c r="AJ587" s="97"/>
      <c r="AK587" s="17"/>
      <c r="AL587" s="17"/>
      <c r="AM587" s="17"/>
      <c r="AN587" s="18">
        <f t="shared" si="817"/>
        <v>0</v>
      </c>
      <c r="AO587" s="19">
        <f t="shared" si="822"/>
        <v>0</v>
      </c>
      <c r="AP587" s="97"/>
      <c r="AQ587" s="17"/>
      <c r="AR587" s="17"/>
      <c r="AS587" s="17"/>
      <c r="AT587" s="18">
        <f t="shared" si="818"/>
        <v>0</v>
      </c>
      <c r="AU587" s="19">
        <f t="shared" si="823"/>
        <v>0</v>
      </c>
      <c r="AV587" s="97"/>
      <c r="AW587" s="17"/>
      <c r="AX587" s="17"/>
      <c r="AY587" s="17"/>
      <c r="AZ587" s="18">
        <f t="shared" si="819"/>
        <v>0</v>
      </c>
      <c r="BA587" s="19">
        <f t="shared" si="824"/>
        <v>0</v>
      </c>
    </row>
    <row r="588" spans="1:53" ht="17.100000000000001" customHeight="1" x14ac:dyDescent="0.25">
      <c r="A588" s="40"/>
      <c r="B588" s="40"/>
      <c r="C588" s="74" t="s">
        <v>551</v>
      </c>
      <c r="D588" s="85" t="s">
        <v>550</v>
      </c>
      <c r="E588" s="105"/>
      <c r="F588" s="105"/>
      <c r="G588" s="105"/>
      <c r="H588" s="119"/>
      <c r="I588" s="231"/>
      <c r="J588" s="583"/>
      <c r="K588" s="583"/>
      <c r="L588" s="584"/>
      <c r="M588" s="593">
        <f t="shared" si="812"/>
        <v>0</v>
      </c>
      <c r="N588" s="111"/>
      <c r="O588" s="111"/>
      <c r="P588" s="111"/>
      <c r="Q588" s="111"/>
      <c r="R588" s="111"/>
      <c r="S588" s="111"/>
      <c r="T588" s="111"/>
      <c r="U588" s="111"/>
      <c r="V588" s="358"/>
      <c r="W588" s="391">
        <f t="shared" si="813"/>
        <v>0</v>
      </c>
      <c r="X588" s="17">
        <f t="shared" si="814"/>
        <v>0</v>
      </c>
      <c r="Y588" s="18">
        <f t="shared" si="815"/>
        <v>0</v>
      </c>
      <c r="Z588" s="19">
        <f t="shared" si="820"/>
        <v>0</v>
      </c>
      <c r="AA588" s="19"/>
      <c r="AB588" s="19"/>
      <c r="AC588" s="17"/>
      <c r="AE588" s="17"/>
      <c r="AF588" s="17"/>
      <c r="AG588" s="17"/>
      <c r="AH588" s="18">
        <f t="shared" si="816"/>
        <v>0</v>
      </c>
      <c r="AI588" s="19">
        <f t="shared" si="821"/>
        <v>0</v>
      </c>
      <c r="AJ588" s="97"/>
      <c r="AK588" s="17"/>
      <c r="AL588" s="17"/>
      <c r="AM588" s="17"/>
      <c r="AN588" s="18">
        <f t="shared" si="817"/>
        <v>0</v>
      </c>
      <c r="AO588" s="19">
        <f t="shared" si="822"/>
        <v>0</v>
      </c>
      <c r="AP588" s="97"/>
      <c r="AQ588" s="17"/>
      <c r="AR588" s="17"/>
      <c r="AS588" s="17"/>
      <c r="AT588" s="18">
        <f t="shared" si="818"/>
        <v>0</v>
      </c>
      <c r="AU588" s="19">
        <f t="shared" si="823"/>
        <v>0</v>
      </c>
      <c r="AV588" s="97"/>
      <c r="AW588" s="17"/>
      <c r="AX588" s="17"/>
      <c r="AY588" s="17"/>
      <c r="AZ588" s="18">
        <f t="shared" si="819"/>
        <v>0</v>
      </c>
      <c r="BA588" s="19">
        <f t="shared" si="824"/>
        <v>0</v>
      </c>
    </row>
    <row r="589" spans="1:53" ht="17.100000000000001" customHeight="1" x14ac:dyDescent="0.25">
      <c r="A589" s="40"/>
      <c r="B589" s="40"/>
      <c r="C589" s="77"/>
      <c r="D589" s="134"/>
      <c r="E589" s="134"/>
      <c r="F589" s="134"/>
      <c r="G589" s="134"/>
      <c r="H589" s="540"/>
      <c r="I589" s="229"/>
      <c r="J589" s="80">
        <f>SUM(J583:J588)</f>
        <v>0</v>
      </c>
      <c r="K589" s="80">
        <f t="shared" ref="K589:M589" si="825">SUM(K583:K588)</f>
        <v>1</v>
      </c>
      <c r="L589" s="80">
        <f t="shared" si="825"/>
        <v>25</v>
      </c>
      <c r="M589" s="80">
        <f t="shared" si="825"/>
        <v>26</v>
      </c>
      <c r="N589" s="81"/>
      <c r="O589" s="81"/>
      <c r="P589" s="81"/>
      <c r="Q589" s="81"/>
      <c r="R589" s="81"/>
      <c r="S589" s="81"/>
      <c r="T589" s="81"/>
      <c r="U589" s="81"/>
      <c r="V589" s="356"/>
      <c r="W589" s="381">
        <f t="shared" ref="W589:X589" si="826">SUM(W583:W588)</f>
        <v>1</v>
      </c>
      <c r="X589" s="82">
        <f t="shared" si="826"/>
        <v>25</v>
      </c>
      <c r="Y589" s="82">
        <f>SUM(Y583:Y588)</f>
        <v>26</v>
      </c>
      <c r="Z589" s="205">
        <f>IF(Y$589=0,0,Y589/Y$589)</f>
        <v>1</v>
      </c>
      <c r="AA589" s="205"/>
      <c r="AB589" s="205"/>
      <c r="AC589" s="83"/>
      <c r="AE589" s="80"/>
      <c r="AF589" s="80"/>
      <c r="AG589" s="81"/>
      <c r="AH589" s="82">
        <f>SUM(AH583:AH588)</f>
        <v>0</v>
      </c>
      <c r="AI589" s="66">
        <f t="shared" si="821"/>
        <v>0</v>
      </c>
      <c r="AK589" s="80"/>
      <c r="AL589" s="80"/>
      <c r="AM589" s="81"/>
      <c r="AN589" s="82">
        <f>SUM(AN583:AN588)</f>
        <v>1</v>
      </c>
      <c r="AO589" s="66">
        <f t="shared" si="822"/>
        <v>1</v>
      </c>
      <c r="AQ589" s="80"/>
      <c r="AR589" s="80"/>
      <c r="AS589" s="81"/>
      <c r="AT589" s="82">
        <f>SUM(AT583:AT588)</f>
        <v>1</v>
      </c>
      <c r="AU589" s="66">
        <f t="shared" si="823"/>
        <v>1</v>
      </c>
      <c r="AW589" s="80"/>
      <c r="AX589" s="80"/>
      <c r="AY589" s="81"/>
      <c r="AZ589" s="82">
        <f>SUM(AZ583:AZ588)</f>
        <v>25</v>
      </c>
      <c r="BA589" s="66">
        <f t="shared" si="824"/>
        <v>1</v>
      </c>
    </row>
    <row r="590" spans="1:53" s="117" customFormat="1" ht="17.100000000000001" customHeight="1" x14ac:dyDescent="0.25">
      <c r="A590" s="68"/>
      <c r="B590" s="119"/>
      <c r="C590" s="540"/>
      <c r="D590" s="261"/>
      <c r="E590" s="261"/>
      <c r="F590" s="68"/>
      <c r="G590" s="68"/>
      <c r="H590" s="119"/>
      <c r="I590" s="138"/>
      <c r="J590" s="17" t="str">
        <f t="shared" ref="J590:L590" si="827">IF(J589=J$576,"OK","NOK")</f>
        <v>OK</v>
      </c>
      <c r="K590" s="17" t="str">
        <f t="shared" si="827"/>
        <v>OK</v>
      </c>
      <c r="L590" s="17" t="str">
        <f t="shared" si="827"/>
        <v>OK</v>
      </c>
      <c r="M590" s="17"/>
      <c r="N590" s="17"/>
      <c r="O590" s="17"/>
      <c r="P590" s="17"/>
      <c r="Q590" s="17"/>
      <c r="R590" s="17"/>
      <c r="S590" s="17"/>
      <c r="T590" s="17"/>
      <c r="U590" s="17"/>
      <c r="V590" s="359"/>
      <c r="W590" s="382"/>
      <c r="X590" s="539"/>
      <c r="Y590" s="539"/>
      <c r="Z590" s="201"/>
      <c r="AA590" s="201"/>
      <c r="AB590" s="201"/>
      <c r="AC590" s="84"/>
      <c r="AE590" s="46"/>
      <c r="AF590" s="46"/>
      <c r="AG590" s="17"/>
      <c r="AH590" s="539"/>
      <c r="AI590" s="91"/>
      <c r="AK590" s="46"/>
      <c r="AL590" s="46"/>
      <c r="AM590" s="17"/>
      <c r="AN590" s="539"/>
      <c r="AO590" s="91"/>
      <c r="AQ590" s="46"/>
      <c r="AR590" s="46"/>
      <c r="AS590" s="17"/>
      <c r="AT590" s="539"/>
      <c r="AU590" s="91"/>
      <c r="AW590" s="46"/>
      <c r="AX590" s="46"/>
      <c r="AY590" s="17"/>
      <c r="AZ590" s="539"/>
      <c r="BA590" s="91"/>
    </row>
    <row r="591" spans="1:53" ht="17.100000000000001" customHeight="1" x14ac:dyDescent="0.25">
      <c r="A591" s="68"/>
      <c r="B591" s="41" t="s">
        <v>338</v>
      </c>
      <c r="C591" s="69" t="s">
        <v>360</v>
      </c>
      <c r="D591" s="50"/>
      <c r="E591" s="70"/>
      <c r="F591" s="70"/>
      <c r="G591" s="70"/>
      <c r="H591" s="243">
        <v>18</v>
      </c>
      <c r="J591" s="71"/>
      <c r="K591" s="71"/>
      <c r="L591" s="71"/>
      <c r="M591" s="71"/>
      <c r="N591" s="71"/>
      <c r="O591" s="71"/>
      <c r="P591" s="71"/>
      <c r="Q591" s="71"/>
      <c r="R591" s="71"/>
      <c r="S591" s="71"/>
      <c r="T591" s="71"/>
      <c r="U591" s="71"/>
      <c r="V591" s="355"/>
      <c r="W591" s="377"/>
      <c r="X591" s="71"/>
      <c r="Y591" s="72"/>
      <c r="Z591" s="73"/>
      <c r="AA591" s="73"/>
      <c r="AB591" s="73"/>
      <c r="AC591" s="73"/>
      <c r="AE591" s="71"/>
      <c r="AF591" s="71"/>
      <c r="AG591" s="71"/>
      <c r="AH591" s="72"/>
      <c r="AI591" s="73"/>
      <c r="AK591" s="71"/>
      <c r="AL591" s="71"/>
      <c r="AM591" s="71"/>
      <c r="AN591" s="72"/>
      <c r="AO591" s="73"/>
      <c r="AQ591" s="71"/>
      <c r="AR591" s="71"/>
      <c r="AS591" s="71"/>
      <c r="AT591" s="72"/>
      <c r="AU591" s="73"/>
      <c r="AW591" s="71"/>
      <c r="AX591" s="71"/>
      <c r="AY591" s="71"/>
      <c r="AZ591" s="72"/>
      <c r="BA591" s="73"/>
    </row>
    <row r="592" spans="1:53" ht="17.100000000000001" customHeight="1" x14ac:dyDescent="0.25">
      <c r="A592" s="40"/>
      <c r="B592" s="40"/>
      <c r="C592" s="74" t="s">
        <v>339</v>
      </c>
      <c r="D592" s="85" t="s">
        <v>504</v>
      </c>
      <c r="E592" s="105"/>
      <c r="F592" s="105"/>
      <c r="G592" s="105"/>
      <c r="H592" s="119"/>
      <c r="I592" s="231"/>
      <c r="J592" s="581"/>
      <c r="K592" s="581">
        <v>1</v>
      </c>
      <c r="L592" s="582">
        <v>23</v>
      </c>
      <c r="M592" s="593">
        <f t="shared" ref="M592:M596" si="828">SUM(J592:L592)</f>
        <v>24</v>
      </c>
      <c r="N592" s="111"/>
      <c r="O592" s="111"/>
      <c r="P592" s="111"/>
      <c r="Q592" s="111"/>
      <c r="R592" s="111"/>
      <c r="S592" s="111"/>
      <c r="T592" s="111"/>
      <c r="U592" s="111"/>
      <c r="V592" s="358"/>
      <c r="W592" s="391">
        <f t="shared" ref="W592:W596" si="829">J592+K592+N592+Q592+T592</f>
        <v>1</v>
      </c>
      <c r="X592" s="17">
        <f t="shared" ref="X592:X596" si="830">L592+O592+R592+U592</f>
        <v>23</v>
      </c>
      <c r="Y592" s="18">
        <f>SUM(W592:X592)</f>
        <v>24</v>
      </c>
      <c r="Z592" s="19">
        <f>IF(Y$597=0,0,Y592/Y$597)</f>
        <v>0.92307692307692313</v>
      </c>
      <c r="AA592" s="19"/>
      <c r="AB592" s="19"/>
      <c r="AC592" s="17"/>
      <c r="AE592" s="17"/>
      <c r="AF592" s="17"/>
      <c r="AG592" s="17"/>
      <c r="AH592" s="18">
        <f t="shared" ref="AH592:AH596" si="831">J592</f>
        <v>0</v>
      </c>
      <c r="AI592" s="19">
        <f>IF(AH$597=0,0,AH592/AH$597)</f>
        <v>0</v>
      </c>
      <c r="AJ592" s="97"/>
      <c r="AK592" s="17"/>
      <c r="AL592" s="17"/>
      <c r="AM592" s="17"/>
      <c r="AN592" s="18">
        <f t="shared" ref="AN592:AN596" si="832">K592</f>
        <v>1</v>
      </c>
      <c r="AO592" s="19">
        <f>IF(AN$597=0,0,AN592/AN$597)</f>
        <v>1</v>
      </c>
      <c r="AP592" s="97"/>
      <c r="AQ592" s="17"/>
      <c r="AR592" s="17"/>
      <c r="AS592" s="17"/>
      <c r="AT592" s="18">
        <f t="shared" ref="AT592:AT596" si="833">W592</f>
        <v>1</v>
      </c>
      <c r="AU592" s="19">
        <f>IF(AT$597=0,0,AT592/AT$597)</f>
        <v>1</v>
      </c>
      <c r="AV592" s="97"/>
      <c r="AW592" s="17"/>
      <c r="AX592" s="17"/>
      <c r="AY592" s="17"/>
      <c r="AZ592" s="18">
        <f t="shared" ref="AZ592:AZ596" si="834">X592</f>
        <v>23</v>
      </c>
      <c r="BA592" s="19">
        <f>IF(AZ$597=0,0,AZ592/AZ$597)</f>
        <v>0.92</v>
      </c>
    </row>
    <row r="593" spans="1:53" ht="17.100000000000001" customHeight="1" x14ac:dyDescent="0.25">
      <c r="A593" s="40"/>
      <c r="B593" s="40"/>
      <c r="C593" s="74" t="s">
        <v>340</v>
      </c>
      <c r="D593" s="85" t="s">
        <v>505</v>
      </c>
      <c r="E593" s="105"/>
      <c r="F593" s="105"/>
      <c r="G593" s="105"/>
      <c r="H593" s="119"/>
      <c r="I593" s="231"/>
      <c r="J593" s="583"/>
      <c r="K593" s="583"/>
      <c r="L593" s="584">
        <v>1</v>
      </c>
      <c r="M593" s="593">
        <f t="shared" si="828"/>
        <v>1</v>
      </c>
      <c r="N593" s="111"/>
      <c r="O593" s="111"/>
      <c r="P593" s="111"/>
      <c r="Q593" s="111"/>
      <c r="R593" s="111"/>
      <c r="S593" s="111"/>
      <c r="T593" s="111"/>
      <c r="U593" s="111"/>
      <c r="V593" s="358"/>
      <c r="W593" s="391">
        <f t="shared" si="829"/>
        <v>0</v>
      </c>
      <c r="X593" s="17">
        <f t="shared" si="830"/>
        <v>1</v>
      </c>
      <c r="Y593" s="18">
        <f>SUM(W593:X593)</f>
        <v>1</v>
      </c>
      <c r="Z593" s="19">
        <f t="shared" ref="Z593:Z596" si="835">IF(Y$597=0,0,Y593/Y$597)</f>
        <v>3.8461538461538464E-2</v>
      </c>
      <c r="AA593" s="19"/>
      <c r="AB593" s="19"/>
      <c r="AC593" s="17"/>
      <c r="AE593" s="17"/>
      <c r="AF593" s="17"/>
      <c r="AG593" s="17"/>
      <c r="AH593" s="18">
        <f t="shared" si="831"/>
        <v>0</v>
      </c>
      <c r="AI593" s="19">
        <f t="shared" ref="AI593:AI597" si="836">IF(AH$597=0,0,AH593/AH$597)</f>
        <v>0</v>
      </c>
      <c r="AJ593" s="97"/>
      <c r="AK593" s="17"/>
      <c r="AL593" s="17"/>
      <c r="AM593" s="17"/>
      <c r="AN593" s="18">
        <f t="shared" si="832"/>
        <v>0</v>
      </c>
      <c r="AO593" s="19">
        <f t="shared" ref="AO593:AO597" si="837">IF(AN$597=0,0,AN593/AN$597)</f>
        <v>0</v>
      </c>
      <c r="AP593" s="97"/>
      <c r="AQ593" s="17"/>
      <c r="AR593" s="17"/>
      <c r="AS593" s="17"/>
      <c r="AT593" s="18">
        <f t="shared" si="833"/>
        <v>0</v>
      </c>
      <c r="AU593" s="19">
        <f t="shared" ref="AU593:AU597" si="838">IF(AT$597=0,0,AT593/AT$597)</f>
        <v>0</v>
      </c>
      <c r="AV593" s="97"/>
      <c r="AW593" s="17"/>
      <c r="AX593" s="17"/>
      <c r="AY593" s="17"/>
      <c r="AZ593" s="18">
        <f t="shared" si="834"/>
        <v>1</v>
      </c>
      <c r="BA593" s="19">
        <f t="shared" ref="BA593:BA597" si="839">IF(AZ$597=0,0,AZ593/AZ$597)</f>
        <v>0.04</v>
      </c>
    </row>
    <row r="594" spans="1:53" ht="17.100000000000001" customHeight="1" x14ac:dyDescent="0.25">
      <c r="A594" s="40"/>
      <c r="B594" s="40"/>
      <c r="C594" s="74" t="s">
        <v>341</v>
      </c>
      <c r="D594" s="85" t="s">
        <v>506</v>
      </c>
      <c r="E594" s="105"/>
      <c r="F594" s="105"/>
      <c r="G594" s="105"/>
      <c r="H594" s="119"/>
      <c r="I594" s="231"/>
      <c r="J594" s="581"/>
      <c r="K594" s="581"/>
      <c r="L594" s="582">
        <v>1</v>
      </c>
      <c r="M594" s="593">
        <f t="shared" si="828"/>
        <v>1</v>
      </c>
      <c r="N594" s="111"/>
      <c r="O594" s="111"/>
      <c r="P594" s="111"/>
      <c r="Q594" s="111"/>
      <c r="R594" s="111"/>
      <c r="S594" s="111"/>
      <c r="T594" s="111"/>
      <c r="U594" s="111"/>
      <c r="V594" s="358"/>
      <c r="W594" s="391">
        <f t="shared" si="829"/>
        <v>0</v>
      </c>
      <c r="X594" s="17">
        <f t="shared" si="830"/>
        <v>1</v>
      </c>
      <c r="Y594" s="18">
        <f>SUM(W594:X594)</f>
        <v>1</v>
      </c>
      <c r="Z594" s="19">
        <f t="shared" si="835"/>
        <v>3.8461538461538464E-2</v>
      </c>
      <c r="AA594" s="19"/>
      <c r="AB594" s="19"/>
      <c r="AC594" s="17"/>
      <c r="AE594" s="17"/>
      <c r="AF594" s="17"/>
      <c r="AG594" s="17"/>
      <c r="AH594" s="18">
        <f t="shared" si="831"/>
        <v>0</v>
      </c>
      <c r="AI594" s="19">
        <f t="shared" si="836"/>
        <v>0</v>
      </c>
      <c r="AJ594" s="97"/>
      <c r="AK594" s="17"/>
      <c r="AL594" s="17"/>
      <c r="AM594" s="17"/>
      <c r="AN594" s="18">
        <f t="shared" si="832"/>
        <v>0</v>
      </c>
      <c r="AO594" s="19">
        <f t="shared" si="837"/>
        <v>0</v>
      </c>
      <c r="AP594" s="97"/>
      <c r="AQ594" s="17"/>
      <c r="AR594" s="17"/>
      <c r="AS594" s="17"/>
      <c r="AT594" s="18">
        <f t="shared" si="833"/>
        <v>0</v>
      </c>
      <c r="AU594" s="19">
        <f t="shared" si="838"/>
        <v>0</v>
      </c>
      <c r="AV594" s="97"/>
      <c r="AW594" s="17"/>
      <c r="AX594" s="17"/>
      <c r="AY594" s="17"/>
      <c r="AZ594" s="18">
        <f t="shared" si="834"/>
        <v>1</v>
      </c>
      <c r="BA594" s="19">
        <f t="shared" si="839"/>
        <v>0.04</v>
      </c>
    </row>
    <row r="595" spans="1:53" ht="17.100000000000001" customHeight="1" x14ac:dyDescent="0.25">
      <c r="A595" s="40"/>
      <c r="B595" s="40"/>
      <c r="C595" s="74" t="s">
        <v>342</v>
      </c>
      <c r="D595" s="85" t="s">
        <v>129</v>
      </c>
      <c r="E595" s="105"/>
      <c r="F595" s="105"/>
      <c r="G595" s="105"/>
      <c r="H595" s="119"/>
      <c r="I595" s="231"/>
      <c r="J595" s="583"/>
      <c r="K595" s="583"/>
      <c r="L595" s="584"/>
      <c r="M595" s="593">
        <f t="shared" si="828"/>
        <v>0</v>
      </c>
      <c r="N595" s="111"/>
      <c r="O595" s="111"/>
      <c r="P595" s="111"/>
      <c r="Q595" s="111"/>
      <c r="R595" s="111"/>
      <c r="S595" s="111"/>
      <c r="T595" s="111"/>
      <c r="U595" s="111"/>
      <c r="V595" s="358"/>
      <c r="W595" s="391">
        <f t="shared" si="829"/>
        <v>0</v>
      </c>
      <c r="X595" s="17">
        <f t="shared" si="830"/>
        <v>0</v>
      </c>
      <c r="Y595" s="18">
        <f>SUM(W595:X595)</f>
        <v>0</v>
      </c>
      <c r="Z595" s="19">
        <f t="shared" si="835"/>
        <v>0</v>
      </c>
      <c r="AA595" s="19"/>
      <c r="AB595" s="19"/>
      <c r="AC595" s="17"/>
      <c r="AE595" s="17"/>
      <c r="AF595" s="17"/>
      <c r="AG595" s="17"/>
      <c r="AH595" s="18">
        <f t="shared" si="831"/>
        <v>0</v>
      </c>
      <c r="AI595" s="19">
        <f t="shared" si="836"/>
        <v>0</v>
      </c>
      <c r="AJ595" s="97"/>
      <c r="AK595" s="17"/>
      <c r="AL595" s="17"/>
      <c r="AM595" s="17"/>
      <c r="AN595" s="18">
        <f t="shared" si="832"/>
        <v>0</v>
      </c>
      <c r="AO595" s="19">
        <f t="shared" si="837"/>
        <v>0</v>
      </c>
      <c r="AP595" s="97"/>
      <c r="AQ595" s="17"/>
      <c r="AR595" s="17"/>
      <c r="AS595" s="17"/>
      <c r="AT595" s="18">
        <f t="shared" si="833"/>
        <v>0</v>
      </c>
      <c r="AU595" s="19">
        <f t="shared" si="838"/>
        <v>0</v>
      </c>
      <c r="AV595" s="97"/>
      <c r="AW595" s="17"/>
      <c r="AX595" s="17"/>
      <c r="AY595" s="17"/>
      <c r="AZ595" s="18">
        <f t="shared" si="834"/>
        <v>0</v>
      </c>
      <c r="BA595" s="19">
        <f t="shared" si="839"/>
        <v>0</v>
      </c>
    </row>
    <row r="596" spans="1:53" ht="17.100000000000001" customHeight="1" x14ac:dyDescent="0.25">
      <c r="A596" s="40"/>
      <c r="B596" s="40"/>
      <c r="C596" s="74" t="s">
        <v>553</v>
      </c>
      <c r="D596" s="85" t="s">
        <v>530</v>
      </c>
      <c r="E596" s="105"/>
      <c r="F596" s="105"/>
      <c r="G596" s="105"/>
      <c r="H596" s="119"/>
      <c r="I596" s="231"/>
      <c r="J596" s="581"/>
      <c r="K596" s="581"/>
      <c r="L596" s="582"/>
      <c r="M596" s="593">
        <f t="shared" si="828"/>
        <v>0</v>
      </c>
      <c r="N596" s="111"/>
      <c r="O596" s="111"/>
      <c r="P596" s="111"/>
      <c r="Q596" s="111"/>
      <c r="R596" s="111"/>
      <c r="S596" s="111"/>
      <c r="T596" s="111"/>
      <c r="U596" s="111"/>
      <c r="V596" s="358"/>
      <c r="W596" s="391">
        <f t="shared" si="829"/>
        <v>0</v>
      </c>
      <c r="X596" s="17">
        <f t="shared" si="830"/>
        <v>0</v>
      </c>
      <c r="Y596" s="18">
        <f>SUM(W596:X596)</f>
        <v>0</v>
      </c>
      <c r="Z596" s="19">
        <f t="shared" si="835"/>
        <v>0</v>
      </c>
      <c r="AA596" s="19"/>
      <c r="AB596" s="19"/>
      <c r="AC596" s="17"/>
      <c r="AE596" s="17"/>
      <c r="AF596" s="17"/>
      <c r="AG596" s="17"/>
      <c r="AH596" s="18">
        <f t="shared" si="831"/>
        <v>0</v>
      </c>
      <c r="AI596" s="19">
        <f t="shared" si="836"/>
        <v>0</v>
      </c>
      <c r="AJ596" s="97"/>
      <c r="AK596" s="17"/>
      <c r="AL596" s="17"/>
      <c r="AM596" s="17"/>
      <c r="AN596" s="18">
        <f t="shared" si="832"/>
        <v>0</v>
      </c>
      <c r="AO596" s="19">
        <f t="shared" si="837"/>
        <v>0</v>
      </c>
      <c r="AP596" s="97"/>
      <c r="AQ596" s="17"/>
      <c r="AR596" s="17"/>
      <c r="AS596" s="17"/>
      <c r="AT596" s="18">
        <f t="shared" si="833"/>
        <v>0</v>
      </c>
      <c r="AU596" s="19">
        <f t="shared" si="838"/>
        <v>0</v>
      </c>
      <c r="AV596" s="97"/>
      <c r="AW596" s="17"/>
      <c r="AX596" s="17"/>
      <c r="AY596" s="17"/>
      <c r="AZ596" s="18">
        <f t="shared" si="834"/>
        <v>0</v>
      </c>
      <c r="BA596" s="19">
        <f t="shared" si="839"/>
        <v>0</v>
      </c>
    </row>
    <row r="597" spans="1:53" ht="17.100000000000001" customHeight="1" x14ac:dyDescent="0.25">
      <c r="A597" s="40"/>
      <c r="B597" s="40"/>
      <c r="C597" s="77"/>
      <c r="D597" s="134"/>
      <c r="E597" s="134"/>
      <c r="F597" s="134"/>
      <c r="G597" s="134"/>
      <c r="H597" s="540"/>
      <c r="I597" s="229"/>
      <c r="J597" s="80">
        <f>SUM(J592:J596)</f>
        <v>0</v>
      </c>
      <c r="K597" s="80">
        <f t="shared" ref="K597:M597" si="840">SUM(K592:K596)</f>
        <v>1</v>
      </c>
      <c r="L597" s="80">
        <f t="shared" si="840"/>
        <v>25</v>
      </c>
      <c r="M597" s="80">
        <f t="shared" si="840"/>
        <v>26</v>
      </c>
      <c r="N597" s="81"/>
      <c r="O597" s="81"/>
      <c r="P597" s="81"/>
      <c r="Q597" s="81"/>
      <c r="R597" s="81"/>
      <c r="S597" s="81"/>
      <c r="T597" s="81"/>
      <c r="U597" s="81"/>
      <c r="V597" s="356"/>
      <c r="W597" s="381">
        <f>SUM(W592:W596)</f>
        <v>1</v>
      </c>
      <c r="X597" s="82">
        <f t="shared" ref="X597:Y597" si="841">SUM(X592:X596)</f>
        <v>25</v>
      </c>
      <c r="Y597" s="82">
        <f t="shared" si="841"/>
        <v>26</v>
      </c>
      <c r="Z597" s="205">
        <f>IF(Y$597=0,0,Y597/Y$597)</f>
        <v>1</v>
      </c>
      <c r="AA597" s="205"/>
      <c r="AB597" s="205"/>
      <c r="AC597" s="83"/>
      <c r="AE597" s="80"/>
      <c r="AF597" s="80"/>
      <c r="AG597" s="81"/>
      <c r="AH597" s="82">
        <f>SUM(AH592:AH596)</f>
        <v>0</v>
      </c>
      <c r="AI597" s="66">
        <f t="shared" si="836"/>
        <v>0</v>
      </c>
      <c r="AK597" s="80"/>
      <c r="AL597" s="80"/>
      <c r="AM597" s="81"/>
      <c r="AN597" s="82">
        <f>SUM(AN592:AN596)</f>
        <v>1</v>
      </c>
      <c r="AO597" s="66">
        <f t="shared" si="837"/>
        <v>1</v>
      </c>
      <c r="AQ597" s="80"/>
      <c r="AR597" s="80"/>
      <c r="AS597" s="81"/>
      <c r="AT597" s="82">
        <f>SUM(AT592:AT596)</f>
        <v>1</v>
      </c>
      <c r="AU597" s="66">
        <f t="shared" si="838"/>
        <v>1</v>
      </c>
      <c r="AW597" s="80"/>
      <c r="AX597" s="80"/>
      <c r="AY597" s="81"/>
      <c r="AZ597" s="82">
        <f>SUM(AZ592:AZ596)</f>
        <v>25</v>
      </c>
      <c r="BA597" s="66">
        <f t="shared" si="839"/>
        <v>1</v>
      </c>
    </row>
    <row r="598" spans="1:53" s="117" customFormat="1" ht="17.100000000000001" customHeight="1" x14ac:dyDescent="0.25">
      <c r="A598" s="68"/>
      <c r="B598" s="119"/>
      <c r="C598" s="540"/>
      <c r="D598" s="261"/>
      <c r="E598" s="261"/>
      <c r="F598" s="68"/>
      <c r="G598" s="68"/>
      <c r="H598" s="119"/>
      <c r="I598" s="138"/>
      <c r="J598" s="17" t="str">
        <f t="shared" ref="J598:L598" si="842">IF(J597=J$576,"OK","NOK")</f>
        <v>OK</v>
      </c>
      <c r="K598" s="17" t="str">
        <f t="shared" si="842"/>
        <v>OK</v>
      </c>
      <c r="L598" s="17" t="str">
        <f t="shared" si="842"/>
        <v>OK</v>
      </c>
      <c r="M598" s="17"/>
      <c r="N598" s="17"/>
      <c r="O598" s="17"/>
      <c r="P598" s="17"/>
      <c r="Q598" s="17"/>
      <c r="R598" s="17"/>
      <c r="S598" s="17"/>
      <c r="T598" s="17"/>
      <c r="U598" s="17"/>
      <c r="V598" s="359"/>
      <c r="W598" s="382"/>
      <c r="X598" s="539"/>
      <c r="Y598" s="539"/>
      <c r="Z598" s="201"/>
      <c r="AA598" s="201"/>
      <c r="AB598" s="201"/>
      <c r="AC598" s="84"/>
      <c r="AE598" s="46"/>
      <c r="AF598" s="46"/>
      <c r="AG598" s="17"/>
      <c r="AH598" s="539"/>
      <c r="AI598" s="91"/>
      <c r="AK598" s="46"/>
      <c r="AL598" s="46"/>
      <c r="AM598" s="17"/>
      <c r="AN598" s="539"/>
      <c r="AO598" s="91"/>
      <c r="AQ598" s="46"/>
      <c r="AR598" s="46"/>
      <c r="AS598" s="17"/>
      <c r="AT598" s="539"/>
      <c r="AU598" s="91"/>
      <c r="AW598" s="46"/>
      <c r="AX598" s="46"/>
      <c r="AY598" s="17"/>
      <c r="AZ598" s="539"/>
      <c r="BA598" s="91"/>
    </row>
    <row r="599" spans="1:53" ht="17.100000000000001" customHeight="1" x14ac:dyDescent="0.25">
      <c r="A599" s="68"/>
      <c r="B599" s="41" t="s">
        <v>343</v>
      </c>
      <c r="C599" s="69" t="s">
        <v>507</v>
      </c>
      <c r="D599" s="50"/>
      <c r="E599" s="70"/>
      <c r="F599" s="70"/>
      <c r="G599" s="70"/>
      <c r="H599" s="243">
        <v>19</v>
      </c>
      <c r="J599" s="71"/>
      <c r="K599" s="71"/>
      <c r="L599" s="71"/>
      <c r="M599" s="71"/>
      <c r="N599" s="71"/>
      <c r="O599" s="71"/>
      <c r="P599" s="71"/>
      <c r="Q599" s="71"/>
      <c r="R599" s="71"/>
      <c r="S599" s="71"/>
      <c r="T599" s="71"/>
      <c r="U599" s="71"/>
      <c r="V599" s="355"/>
      <c r="W599" s="377"/>
      <c r="X599" s="71"/>
      <c r="Y599" s="72"/>
      <c r="Z599" s="73"/>
      <c r="AA599" s="73"/>
      <c r="AB599" s="73"/>
      <c r="AC599" s="73"/>
      <c r="AE599" s="71"/>
      <c r="AF599" s="71"/>
      <c r="AG599" s="71"/>
      <c r="AH599" s="72"/>
      <c r="AI599" s="73"/>
      <c r="AK599" s="71"/>
      <c r="AL599" s="71"/>
      <c r="AM599" s="71"/>
      <c r="AN599" s="72"/>
      <c r="AO599" s="73"/>
      <c r="AQ599" s="71"/>
      <c r="AR599" s="71"/>
      <c r="AS599" s="71"/>
      <c r="AT599" s="72"/>
      <c r="AU599" s="73"/>
      <c r="AW599" s="71"/>
      <c r="AX599" s="71"/>
      <c r="AY599" s="71"/>
      <c r="AZ599" s="72"/>
      <c r="BA599" s="73"/>
    </row>
    <row r="600" spans="1:53" ht="17.100000000000001" customHeight="1" x14ac:dyDescent="0.25">
      <c r="A600" s="40"/>
      <c r="B600" s="40"/>
      <c r="C600" s="74" t="s">
        <v>344</v>
      </c>
      <c r="D600" s="85" t="s">
        <v>173</v>
      </c>
      <c r="E600" s="105"/>
      <c r="F600" s="105"/>
      <c r="G600" s="105"/>
      <c r="H600" s="119"/>
      <c r="I600" s="231"/>
      <c r="J600" s="581"/>
      <c r="K600" s="581"/>
      <c r="L600" s="582">
        <v>2</v>
      </c>
      <c r="M600" s="593">
        <f t="shared" ref="M600:M606" si="843">SUM(J600:L600)</f>
        <v>2</v>
      </c>
      <c r="N600" s="111"/>
      <c r="O600" s="111"/>
      <c r="P600" s="111"/>
      <c r="Q600" s="111"/>
      <c r="R600" s="111"/>
      <c r="S600" s="111"/>
      <c r="T600" s="111"/>
      <c r="U600" s="111"/>
      <c r="V600" s="358"/>
      <c r="W600" s="391">
        <f t="shared" ref="W600:W601" si="844">J600+K600+N600+Q600+T600</f>
        <v>0</v>
      </c>
      <c r="X600" s="17">
        <f t="shared" ref="X600:X601" si="845">L600+O600+R600+U600</f>
        <v>2</v>
      </c>
      <c r="Y600" s="18">
        <f>SUM(W600:X600)</f>
        <v>2</v>
      </c>
      <c r="Z600" s="19">
        <f>IF(Y$607=0,0,Y600/Y$607)</f>
        <v>7.6923076923076927E-2</v>
      </c>
      <c r="AA600" s="19"/>
      <c r="AB600" s="19"/>
      <c r="AC600" s="17"/>
      <c r="AE600" s="17"/>
      <c r="AF600" s="17"/>
      <c r="AG600" s="17"/>
      <c r="AH600" s="18">
        <f t="shared" ref="AH600:AH601" si="846">J600</f>
        <v>0</v>
      </c>
      <c r="AI600" s="19">
        <f>IF(AH$607=0,0,AH600/AH$607)</f>
        <v>0</v>
      </c>
      <c r="AJ600" s="97"/>
      <c r="AK600" s="17"/>
      <c r="AL600" s="17"/>
      <c r="AM600" s="17"/>
      <c r="AN600" s="18">
        <f t="shared" ref="AN600:AN601" si="847">K600</f>
        <v>0</v>
      </c>
      <c r="AO600" s="19">
        <f>IF(AN$607=0,0,AN600/AN$607)</f>
        <v>0</v>
      </c>
      <c r="AP600" s="97"/>
      <c r="AQ600" s="17"/>
      <c r="AR600" s="17"/>
      <c r="AS600" s="17"/>
      <c r="AT600" s="18">
        <f t="shared" ref="AT600:AT601" si="848">W600</f>
        <v>0</v>
      </c>
      <c r="AU600" s="19">
        <f>IF(AT$607=0,0,AT600/AT$607)</f>
        <v>0</v>
      </c>
      <c r="AV600" s="97"/>
      <c r="AW600" s="17"/>
      <c r="AX600" s="17"/>
      <c r="AY600" s="17"/>
      <c r="AZ600" s="18">
        <f t="shared" ref="AZ600:AZ601" si="849">X600</f>
        <v>2</v>
      </c>
      <c r="BA600" s="19">
        <f>IF(AZ$607=0,0,AZ600/AZ$607)</f>
        <v>0.08</v>
      </c>
    </row>
    <row r="601" spans="1:53" ht="17.100000000000001" customHeight="1" x14ac:dyDescent="0.25">
      <c r="A601" s="40"/>
      <c r="B601" s="40"/>
      <c r="C601" s="74" t="s">
        <v>345</v>
      </c>
      <c r="D601" s="85" t="s">
        <v>544</v>
      </c>
      <c r="E601" s="105"/>
      <c r="F601" s="105"/>
      <c r="G601" s="105"/>
      <c r="H601" s="119"/>
      <c r="I601" s="231"/>
      <c r="J601" s="583"/>
      <c r="K601" s="583">
        <v>1</v>
      </c>
      <c r="L601" s="584">
        <v>19</v>
      </c>
      <c r="M601" s="593">
        <f t="shared" si="843"/>
        <v>20</v>
      </c>
      <c r="N601" s="111"/>
      <c r="O601" s="111"/>
      <c r="P601" s="111"/>
      <c r="Q601" s="111"/>
      <c r="R601" s="111"/>
      <c r="S601" s="111"/>
      <c r="T601" s="111"/>
      <c r="U601" s="111"/>
      <c r="V601" s="358"/>
      <c r="W601" s="391">
        <f t="shared" si="844"/>
        <v>1</v>
      </c>
      <c r="X601" s="17">
        <f t="shared" si="845"/>
        <v>19</v>
      </c>
      <c r="Y601" s="18">
        <f>SUM(W601:X601)</f>
        <v>20</v>
      </c>
      <c r="Z601" s="19">
        <f t="shared" ref="Z601:Z606" si="850">IF(Y$607=0,0,Y601/Y$607)</f>
        <v>0.76923076923076927</v>
      </c>
      <c r="AA601" s="19"/>
      <c r="AB601" s="19"/>
      <c r="AC601" s="17"/>
      <c r="AE601" s="17"/>
      <c r="AF601" s="17"/>
      <c r="AG601" s="17"/>
      <c r="AH601" s="18">
        <f t="shared" si="846"/>
        <v>0</v>
      </c>
      <c r="AI601" s="19">
        <f>IF(AH$607=0,0,AH601/AH$607)</f>
        <v>0</v>
      </c>
      <c r="AJ601" s="97"/>
      <c r="AK601" s="17"/>
      <c r="AL601" s="17"/>
      <c r="AM601" s="17"/>
      <c r="AN601" s="18">
        <f t="shared" si="847"/>
        <v>1</v>
      </c>
      <c r="AO601" s="19">
        <f>IF(AN$607=0,0,AN601/AN$607)</f>
        <v>1</v>
      </c>
      <c r="AP601" s="97"/>
      <c r="AQ601" s="17"/>
      <c r="AR601" s="17"/>
      <c r="AS601" s="17"/>
      <c r="AT601" s="18">
        <f t="shared" si="848"/>
        <v>1</v>
      </c>
      <c r="AU601" s="19">
        <f>IF(AT$607=0,0,AT601/AT$607)</f>
        <v>1</v>
      </c>
      <c r="AV601" s="97"/>
      <c r="AW601" s="17"/>
      <c r="AX601" s="17"/>
      <c r="AY601" s="17"/>
      <c r="AZ601" s="18">
        <f t="shared" si="849"/>
        <v>19</v>
      </c>
      <c r="BA601" s="19">
        <f>IF(AZ$607=0,0,AZ601/AZ$607)</f>
        <v>0.76</v>
      </c>
    </row>
    <row r="602" spans="1:53" ht="17.100000000000001" customHeight="1" x14ac:dyDescent="0.25">
      <c r="A602" s="40"/>
      <c r="B602" s="40"/>
      <c r="C602" s="74" t="s">
        <v>346</v>
      </c>
      <c r="D602" s="146" t="s">
        <v>484</v>
      </c>
      <c r="E602" s="75"/>
      <c r="F602" s="105"/>
      <c r="G602" s="105"/>
      <c r="H602" s="119"/>
      <c r="I602" s="231"/>
      <c r="J602" s="581"/>
      <c r="K602" s="581">
        <v>10000</v>
      </c>
      <c r="L602" s="582">
        <v>0</v>
      </c>
      <c r="M602" s="593">
        <v>0</v>
      </c>
      <c r="N602" s="111"/>
      <c r="O602" s="111"/>
      <c r="P602" s="111"/>
      <c r="Q602" s="111"/>
      <c r="R602" s="111"/>
      <c r="S602" s="111"/>
      <c r="T602" s="111"/>
      <c r="U602" s="111"/>
      <c r="V602" s="358"/>
      <c r="W602" s="391">
        <f>MIN(J602:K602)</f>
        <v>10000</v>
      </c>
      <c r="X602" s="17">
        <f>L602</f>
        <v>0</v>
      </c>
      <c r="Y602" s="17">
        <f>M602</f>
        <v>0</v>
      </c>
      <c r="Z602" s="19"/>
      <c r="AA602" s="17">
        <f>MIN(J602:L602)</f>
        <v>0</v>
      </c>
      <c r="AB602" s="17"/>
      <c r="AC602" s="17"/>
      <c r="AE602" s="17">
        <f>J602</f>
        <v>0</v>
      </c>
      <c r="AF602" s="17"/>
      <c r="AG602" s="17"/>
      <c r="AH602" s="18"/>
      <c r="AI602" s="19"/>
      <c r="AJ602" s="97"/>
      <c r="AK602" s="17">
        <f>K602</f>
        <v>10000</v>
      </c>
      <c r="AL602" s="17"/>
      <c r="AM602" s="17"/>
      <c r="AN602" s="18"/>
      <c r="AO602" s="19"/>
      <c r="AP602" s="97"/>
      <c r="AQ602" s="17">
        <f>W602</f>
        <v>10000</v>
      </c>
      <c r="AR602" s="17"/>
      <c r="AS602" s="17"/>
      <c r="AT602" s="18"/>
      <c r="AU602" s="19"/>
      <c r="AV602" s="97"/>
      <c r="AW602" s="17">
        <f>L602</f>
        <v>0</v>
      </c>
      <c r="AX602" s="17"/>
      <c r="AY602" s="17"/>
      <c r="AZ602" s="18"/>
      <c r="BA602" s="19"/>
    </row>
    <row r="603" spans="1:53" ht="17.100000000000001" customHeight="1" x14ac:dyDescent="0.25">
      <c r="A603" s="40"/>
      <c r="B603" s="40"/>
      <c r="C603" s="74" t="s">
        <v>347</v>
      </c>
      <c r="D603" s="146" t="s">
        <v>485</v>
      </c>
      <c r="E603" s="75"/>
      <c r="F603" s="105"/>
      <c r="G603" s="105"/>
      <c r="H603" s="119"/>
      <c r="I603" s="231"/>
      <c r="J603" s="583"/>
      <c r="K603" s="583">
        <v>10000</v>
      </c>
      <c r="L603" s="584">
        <v>100000</v>
      </c>
      <c r="M603" s="593">
        <v>100000</v>
      </c>
      <c r="N603" s="111"/>
      <c r="O603" s="111"/>
      <c r="P603" s="111"/>
      <c r="Q603" s="111"/>
      <c r="R603" s="111"/>
      <c r="S603" s="111"/>
      <c r="T603" s="111"/>
      <c r="U603" s="111"/>
      <c r="V603" s="358"/>
      <c r="W603" s="391">
        <f>MAX(J603:K603)</f>
        <v>10000</v>
      </c>
      <c r="X603" s="17">
        <f t="shared" ref="X603:Y604" si="851">L603</f>
        <v>100000</v>
      </c>
      <c r="Y603" s="17">
        <f t="shared" si="851"/>
        <v>100000</v>
      </c>
      <c r="Z603" s="19"/>
      <c r="AA603" s="17"/>
      <c r="AB603" s="17">
        <f>MAX(J603:L603)</f>
        <v>100000</v>
      </c>
      <c r="AC603" s="17"/>
      <c r="AE603" s="17"/>
      <c r="AF603" s="17">
        <f>J603</f>
        <v>0</v>
      </c>
      <c r="AG603" s="17"/>
      <c r="AH603" s="18"/>
      <c r="AI603" s="19"/>
      <c r="AJ603" s="97"/>
      <c r="AK603" s="17"/>
      <c r="AL603" s="17">
        <f>K603</f>
        <v>10000</v>
      </c>
      <c r="AM603" s="17"/>
      <c r="AN603" s="18"/>
      <c r="AO603" s="19"/>
      <c r="AP603" s="97"/>
      <c r="AQ603" s="17"/>
      <c r="AR603" s="17">
        <f>W603</f>
        <v>10000</v>
      </c>
      <c r="AS603" s="17"/>
      <c r="AT603" s="18"/>
      <c r="AU603" s="19"/>
      <c r="AV603" s="97"/>
      <c r="AW603" s="17"/>
      <c r="AX603" s="17">
        <f>L603</f>
        <v>100000</v>
      </c>
      <c r="AY603" s="17"/>
      <c r="AZ603" s="18"/>
      <c r="BA603" s="19"/>
    </row>
    <row r="604" spans="1:53" ht="17.100000000000001" customHeight="1" x14ac:dyDescent="0.25">
      <c r="A604" s="40"/>
      <c r="B604" s="40"/>
      <c r="C604" s="74" t="s">
        <v>348</v>
      </c>
      <c r="D604" s="146" t="s">
        <v>543</v>
      </c>
      <c r="E604" s="75"/>
      <c r="F604" s="105"/>
      <c r="G604" s="105"/>
      <c r="H604" s="119"/>
      <c r="I604" s="231"/>
      <c r="J604" s="581"/>
      <c r="K604" s="581">
        <v>10000</v>
      </c>
      <c r="L604" s="582">
        <v>19642.857142857141</v>
      </c>
      <c r="M604" s="593">
        <v>19204.545454545456</v>
      </c>
      <c r="N604" s="111"/>
      <c r="O604" s="111"/>
      <c r="P604" s="111"/>
      <c r="Q604" s="111"/>
      <c r="R604" s="111"/>
      <c r="S604" s="111"/>
      <c r="T604" s="111"/>
      <c r="U604" s="111"/>
      <c r="V604" s="358"/>
      <c r="W604" s="391">
        <f>IF(SUM(J604:K604)=0,0,AVERAGE(J604:K604))</f>
        <v>10000</v>
      </c>
      <c r="X604" s="17">
        <f t="shared" si="851"/>
        <v>19642.857142857141</v>
      </c>
      <c r="Y604" s="17">
        <f t="shared" si="851"/>
        <v>19204.545454545456</v>
      </c>
      <c r="Z604" s="19"/>
      <c r="AA604" s="17"/>
      <c r="AB604" s="17"/>
      <c r="AC604" s="17">
        <f>IF(SUM(J604:L604)=0,0,AVERAGE(J604:L604))</f>
        <v>14821.428571428571</v>
      </c>
      <c r="AE604" s="17"/>
      <c r="AF604" s="17"/>
      <c r="AG604" s="17">
        <f>J604</f>
        <v>0</v>
      </c>
      <c r="AH604" s="18"/>
      <c r="AI604" s="19"/>
      <c r="AJ604" s="97"/>
      <c r="AK604" s="17"/>
      <c r="AL604" s="17"/>
      <c r="AM604" s="17">
        <f>K604</f>
        <v>10000</v>
      </c>
      <c r="AN604" s="18"/>
      <c r="AO604" s="19"/>
      <c r="AP604" s="97"/>
      <c r="AQ604" s="17"/>
      <c r="AR604" s="17"/>
      <c r="AS604" s="17">
        <f>W604</f>
        <v>10000</v>
      </c>
      <c r="AT604" s="18"/>
      <c r="AU604" s="19"/>
      <c r="AV604" s="97"/>
      <c r="AW604" s="17"/>
      <c r="AX604" s="17"/>
      <c r="AY604" s="17">
        <f>L604</f>
        <v>19642.857142857141</v>
      </c>
      <c r="AZ604" s="18"/>
      <c r="BA604" s="19"/>
    </row>
    <row r="605" spans="1:53" ht="17.100000000000001" customHeight="1" x14ac:dyDescent="0.25">
      <c r="A605" s="40"/>
      <c r="B605" s="40"/>
      <c r="C605" s="74" t="s">
        <v>349</v>
      </c>
      <c r="D605" s="75" t="s">
        <v>129</v>
      </c>
      <c r="E605" s="75"/>
      <c r="F605" s="105"/>
      <c r="G605" s="105"/>
      <c r="H605" s="119"/>
      <c r="I605" s="231"/>
      <c r="J605" s="583"/>
      <c r="K605" s="583"/>
      <c r="L605" s="584">
        <v>4</v>
      </c>
      <c r="M605" s="593">
        <f t="shared" si="843"/>
        <v>4</v>
      </c>
      <c r="N605" s="111"/>
      <c r="O605" s="111"/>
      <c r="P605" s="111"/>
      <c r="Q605" s="111"/>
      <c r="R605" s="111"/>
      <c r="S605" s="111"/>
      <c r="T605" s="111"/>
      <c r="U605" s="111"/>
      <c r="V605" s="358"/>
      <c r="W605" s="391">
        <f t="shared" ref="W605:W606" si="852">J605+K605+N605+Q605+T605</f>
        <v>0</v>
      </c>
      <c r="X605" s="17">
        <f t="shared" ref="X605:X606" si="853">L605+O605+R605+U605</f>
        <v>4</v>
      </c>
      <c r="Y605" s="18">
        <f>SUM(W605:X605)</f>
        <v>4</v>
      </c>
      <c r="Z605" s="19">
        <f t="shared" si="850"/>
        <v>0.15384615384615385</v>
      </c>
      <c r="AA605" s="19"/>
      <c r="AB605" s="19"/>
      <c r="AC605" s="17"/>
      <c r="AE605" s="17"/>
      <c r="AF605" s="17"/>
      <c r="AG605" s="17"/>
      <c r="AH605" s="18">
        <f t="shared" ref="AH605:AH606" si="854">J605</f>
        <v>0</v>
      </c>
      <c r="AI605" s="19">
        <f>IF(AH$607=0,0,AH605/AH$607)</f>
        <v>0</v>
      </c>
      <c r="AJ605" s="97"/>
      <c r="AK605" s="17"/>
      <c r="AL605" s="17"/>
      <c r="AM605" s="17"/>
      <c r="AN605" s="18">
        <f t="shared" ref="AN605:AN606" si="855">K605</f>
        <v>0</v>
      </c>
      <c r="AO605" s="19">
        <f>IF(AN$607=0,0,AN605/AN$607)</f>
        <v>0</v>
      </c>
      <c r="AP605" s="97"/>
      <c r="AQ605" s="17"/>
      <c r="AR605" s="17"/>
      <c r="AS605" s="17"/>
      <c r="AT605" s="18">
        <f t="shared" ref="AT605:AT606" si="856">W605</f>
        <v>0</v>
      </c>
      <c r="AU605" s="19">
        <f>IF(AT$607=0,0,AT605/AT$607)</f>
        <v>0</v>
      </c>
      <c r="AV605" s="97"/>
      <c r="AW605" s="17"/>
      <c r="AX605" s="17"/>
      <c r="AY605" s="17"/>
      <c r="AZ605" s="18">
        <f t="shared" ref="AZ605:AZ606" si="857">X605</f>
        <v>4</v>
      </c>
      <c r="BA605" s="19">
        <f>IF(AZ$607=0,0,AZ605/AZ$607)</f>
        <v>0.16</v>
      </c>
    </row>
    <row r="606" spans="1:53" ht="17.100000000000001" customHeight="1" x14ac:dyDescent="0.25">
      <c r="A606" s="40"/>
      <c r="B606" s="40"/>
      <c r="C606" s="74" t="s">
        <v>552</v>
      </c>
      <c r="D606" s="75" t="s">
        <v>530</v>
      </c>
      <c r="E606" s="105"/>
      <c r="F606" s="105"/>
      <c r="G606" s="105"/>
      <c r="H606" s="119"/>
      <c r="I606" s="231"/>
      <c r="J606" s="581"/>
      <c r="K606" s="581"/>
      <c r="L606" s="582"/>
      <c r="M606" s="593">
        <f t="shared" si="843"/>
        <v>0</v>
      </c>
      <c r="N606" s="111"/>
      <c r="O606" s="111"/>
      <c r="P606" s="111"/>
      <c r="Q606" s="111"/>
      <c r="R606" s="111"/>
      <c r="S606" s="111"/>
      <c r="T606" s="111"/>
      <c r="U606" s="111"/>
      <c r="V606" s="358"/>
      <c r="W606" s="391">
        <f t="shared" si="852"/>
        <v>0</v>
      </c>
      <c r="X606" s="17">
        <f t="shared" si="853"/>
        <v>0</v>
      </c>
      <c r="Y606" s="18">
        <f>SUM(W606:X606)</f>
        <v>0</v>
      </c>
      <c r="Z606" s="19">
        <f t="shared" si="850"/>
        <v>0</v>
      </c>
      <c r="AA606" s="19"/>
      <c r="AB606" s="19"/>
      <c r="AC606" s="17"/>
      <c r="AE606" s="17"/>
      <c r="AF606" s="17"/>
      <c r="AG606" s="17"/>
      <c r="AH606" s="18">
        <f t="shared" si="854"/>
        <v>0</v>
      </c>
      <c r="AI606" s="19">
        <f>IF(AH$607=0,0,AH606/AH$607)</f>
        <v>0</v>
      </c>
      <c r="AJ606" s="97"/>
      <c r="AK606" s="17"/>
      <c r="AL606" s="17"/>
      <c r="AM606" s="17"/>
      <c r="AN606" s="18">
        <f t="shared" si="855"/>
        <v>0</v>
      </c>
      <c r="AO606" s="19">
        <f>IF(AN$607=0,0,AN606/AN$607)</f>
        <v>0</v>
      </c>
      <c r="AP606" s="97"/>
      <c r="AQ606" s="17"/>
      <c r="AR606" s="17"/>
      <c r="AS606" s="17"/>
      <c r="AT606" s="18">
        <f t="shared" si="856"/>
        <v>0</v>
      </c>
      <c r="AU606" s="19">
        <f>IF(AT$607=0,0,AT606/AT$607)</f>
        <v>0</v>
      </c>
      <c r="AV606" s="97"/>
      <c r="AW606" s="17"/>
      <c r="AX606" s="17"/>
      <c r="AY606" s="17"/>
      <c r="AZ606" s="18">
        <f t="shared" si="857"/>
        <v>0</v>
      </c>
      <c r="BA606" s="19">
        <f>IF(AZ$607=0,0,AZ606/AZ$607)</f>
        <v>0</v>
      </c>
    </row>
    <row r="607" spans="1:53" ht="17.100000000000001" customHeight="1" x14ac:dyDescent="0.25">
      <c r="A607" s="40"/>
      <c r="B607" s="40"/>
      <c r="C607" s="77"/>
      <c r="D607" s="134"/>
      <c r="E607" s="134"/>
      <c r="F607" s="134"/>
      <c r="G607" s="134"/>
      <c r="H607" s="540"/>
      <c r="I607" s="229"/>
      <c r="J607" s="80">
        <f>J600+J601+J605+J606</f>
        <v>0</v>
      </c>
      <c r="K607" s="80">
        <f t="shared" ref="K607:M607" si="858">K600+K601+K605+K606</f>
        <v>1</v>
      </c>
      <c r="L607" s="80">
        <f t="shared" si="858"/>
        <v>25</v>
      </c>
      <c r="M607" s="80">
        <f t="shared" si="858"/>
        <v>26</v>
      </c>
      <c r="N607" s="81"/>
      <c r="O607" s="81"/>
      <c r="P607" s="81"/>
      <c r="Q607" s="81"/>
      <c r="R607" s="81"/>
      <c r="S607" s="81"/>
      <c r="T607" s="81"/>
      <c r="U607" s="81"/>
      <c r="V607" s="356"/>
      <c r="W607" s="381">
        <f>W600+W601+W605+W606</f>
        <v>1</v>
      </c>
      <c r="X607" s="82">
        <f t="shared" ref="X607:Y607" si="859">X600+X601+X605+X606</f>
        <v>25</v>
      </c>
      <c r="Y607" s="82">
        <f t="shared" si="859"/>
        <v>26</v>
      </c>
      <c r="Z607" s="205">
        <f>IF(Y$607=0,0,Y607/Y$607)</f>
        <v>1</v>
      </c>
      <c r="AA607" s="205"/>
      <c r="AB607" s="205"/>
      <c r="AC607" s="83"/>
      <c r="AE607" s="80"/>
      <c r="AF607" s="80"/>
      <c r="AG607" s="81"/>
      <c r="AH607" s="82">
        <f>SUM(AH600:AH606)</f>
        <v>0</v>
      </c>
      <c r="AI607" s="66">
        <f>IF(AH$607=0,0,AH607/AH$607)</f>
        <v>0</v>
      </c>
      <c r="AK607" s="80"/>
      <c r="AL607" s="80"/>
      <c r="AM607" s="81"/>
      <c r="AN607" s="82">
        <f>SUM(AN600:AN606)</f>
        <v>1</v>
      </c>
      <c r="AO607" s="66">
        <f>IF(AN$607=0,0,AN607/AN$607)</f>
        <v>1</v>
      </c>
      <c r="AQ607" s="80"/>
      <c r="AR607" s="80"/>
      <c r="AS607" s="81"/>
      <c r="AT607" s="82">
        <f>SUM(AT600:AT606)</f>
        <v>1</v>
      </c>
      <c r="AU607" s="66">
        <f>IF(AT$607=0,0,AT607/AT$607)</f>
        <v>1</v>
      </c>
      <c r="AW607" s="80"/>
      <c r="AX607" s="80"/>
      <c r="AY607" s="81"/>
      <c r="AZ607" s="82">
        <f>SUM(AZ600:AZ606)</f>
        <v>25</v>
      </c>
      <c r="BA607" s="66">
        <f>IF(AZ$607=0,0,AZ607/AZ$607)</f>
        <v>1</v>
      </c>
    </row>
    <row r="608" spans="1:53" s="117" customFormat="1" ht="17.100000000000001" customHeight="1" x14ac:dyDescent="0.25">
      <c r="A608" s="68"/>
      <c r="B608" s="119"/>
      <c r="C608" s="540"/>
      <c r="D608" s="261"/>
      <c r="E608" s="261"/>
      <c r="F608" s="68"/>
      <c r="G608" s="68"/>
      <c r="H608" s="119"/>
      <c r="I608" s="138"/>
      <c r="J608" s="17" t="str">
        <f>IF(J607=J$576,"OK","NOK")</f>
        <v>OK</v>
      </c>
      <c r="K608" s="17" t="str">
        <f t="shared" ref="K608:L608" si="860">IF(K607=K$576,"OK","NOK")</f>
        <v>OK</v>
      </c>
      <c r="L608" s="17" t="str">
        <f t="shared" si="860"/>
        <v>OK</v>
      </c>
      <c r="M608" s="17"/>
      <c r="N608" s="17"/>
      <c r="O608" s="17"/>
      <c r="P608" s="17"/>
      <c r="Q608" s="17"/>
      <c r="R608" s="17"/>
      <c r="S608" s="17"/>
      <c r="T608" s="17"/>
      <c r="U608" s="17"/>
      <c r="V608" s="359"/>
      <c r="W608" s="382"/>
      <c r="X608" s="539"/>
      <c r="Y608" s="539"/>
      <c r="Z608" s="201"/>
      <c r="AA608" s="201"/>
      <c r="AB608" s="201"/>
      <c r="AC608" s="84"/>
      <c r="AE608" s="46"/>
      <c r="AF608" s="46"/>
      <c r="AG608" s="17"/>
      <c r="AH608" s="539"/>
      <c r="AI608" s="91"/>
      <c r="AK608" s="46"/>
      <c r="AL608" s="46"/>
      <c r="AM608" s="17"/>
      <c r="AN608" s="539"/>
      <c r="AO608" s="91"/>
      <c r="AQ608" s="46"/>
      <c r="AR608" s="46"/>
      <c r="AS608" s="17"/>
      <c r="AT608" s="539"/>
      <c r="AU608" s="91"/>
      <c r="AW608" s="46"/>
      <c r="AX608" s="46"/>
      <c r="AY608" s="17"/>
      <c r="AZ608" s="539"/>
      <c r="BA608" s="91"/>
    </row>
    <row r="609" spans="1:53" ht="17.100000000000001" customHeight="1" x14ac:dyDescent="0.25">
      <c r="A609" s="68"/>
      <c r="B609" s="41" t="s">
        <v>350</v>
      </c>
      <c r="C609" s="69" t="s">
        <v>362</v>
      </c>
      <c r="D609" s="50"/>
      <c r="E609" s="70"/>
      <c r="F609" s="70"/>
      <c r="G609" s="70"/>
      <c r="H609" s="243">
        <v>22</v>
      </c>
      <c r="J609" s="71"/>
      <c r="K609" s="71"/>
      <c r="L609" s="71"/>
      <c r="M609" s="71"/>
      <c r="N609" s="71"/>
      <c r="O609" s="71"/>
      <c r="P609" s="71"/>
      <c r="Q609" s="71"/>
      <c r="R609" s="71"/>
      <c r="S609" s="71"/>
      <c r="T609" s="71"/>
      <c r="U609" s="71"/>
      <c r="V609" s="355"/>
      <c r="W609" s="377"/>
      <c r="X609" s="71"/>
      <c r="Y609" s="72"/>
      <c r="Z609" s="73"/>
      <c r="AA609" s="73"/>
      <c r="AB609" s="73"/>
      <c r="AC609" s="73"/>
      <c r="AE609" s="71"/>
      <c r="AF609" s="71"/>
      <c r="AG609" s="71"/>
      <c r="AH609" s="72"/>
      <c r="AI609" s="73"/>
      <c r="AK609" s="71"/>
      <c r="AL609" s="71"/>
      <c r="AM609" s="71"/>
      <c r="AN609" s="72"/>
      <c r="AO609" s="73"/>
      <c r="AQ609" s="71"/>
      <c r="AR609" s="71"/>
      <c r="AS609" s="71"/>
      <c r="AT609" s="72"/>
      <c r="AU609" s="73"/>
      <c r="AW609" s="71"/>
      <c r="AX609" s="71"/>
      <c r="AY609" s="71"/>
      <c r="AZ609" s="72"/>
      <c r="BA609" s="73"/>
    </row>
    <row r="610" spans="1:53" ht="17.100000000000001" customHeight="1" x14ac:dyDescent="0.25">
      <c r="A610" s="40"/>
      <c r="B610" s="40"/>
      <c r="C610" s="74" t="s">
        <v>351</v>
      </c>
      <c r="D610" s="57" t="s">
        <v>1025</v>
      </c>
      <c r="E610" s="105"/>
      <c r="F610" s="105"/>
      <c r="G610" s="105"/>
      <c r="H610" s="119"/>
      <c r="I610" s="231"/>
      <c r="J610" s="111"/>
      <c r="K610" s="111"/>
      <c r="L610" s="111"/>
      <c r="M610" s="111"/>
      <c r="N610" s="111"/>
      <c r="O610" s="111"/>
      <c r="P610" s="111"/>
      <c r="Q610" s="111"/>
      <c r="R610" s="111"/>
      <c r="S610" s="111"/>
      <c r="T610" s="111"/>
      <c r="U610" s="111"/>
      <c r="V610" s="358"/>
      <c r="W610" s="380"/>
      <c r="X610" s="111"/>
      <c r="Y610" s="545"/>
      <c r="Z610" s="111"/>
      <c r="AA610" s="111"/>
      <c r="AB610" s="111"/>
      <c r="AC610" s="111"/>
      <c r="AE610" s="111"/>
      <c r="AF610" s="111"/>
      <c r="AG610" s="111"/>
      <c r="AH610" s="545"/>
      <c r="AI610" s="111"/>
      <c r="AK610" s="111"/>
      <c r="AL610" s="111"/>
      <c r="AM610" s="111"/>
      <c r="AN610" s="545"/>
      <c r="AO610" s="111"/>
      <c r="AQ610" s="111"/>
      <c r="AR610" s="111"/>
      <c r="AS610" s="111"/>
      <c r="AT610" s="545"/>
      <c r="AU610" s="111"/>
      <c r="AW610" s="111"/>
      <c r="AX610" s="111"/>
      <c r="AY610" s="111"/>
      <c r="AZ610" s="545"/>
      <c r="BA610" s="111"/>
    </row>
    <row r="611" spans="1:53" ht="17.100000000000001" customHeight="1" x14ac:dyDescent="0.25">
      <c r="A611" s="40"/>
      <c r="B611" s="40"/>
      <c r="C611" s="119"/>
      <c r="D611" s="180" t="s">
        <v>352</v>
      </c>
      <c r="E611" s="85" t="s">
        <v>512</v>
      </c>
      <c r="F611" s="105"/>
      <c r="G611" s="105"/>
      <c r="H611" s="119"/>
      <c r="I611" s="231"/>
      <c r="J611" s="581"/>
      <c r="K611" s="581"/>
      <c r="L611" s="582"/>
      <c r="M611" s="593">
        <f t="shared" ref="M611:M619" si="861">SUM(J611:L611)</f>
        <v>0</v>
      </c>
      <c r="N611" s="111"/>
      <c r="O611" s="111"/>
      <c r="P611" s="111"/>
      <c r="Q611" s="111"/>
      <c r="R611" s="111"/>
      <c r="S611" s="111"/>
      <c r="T611" s="111"/>
      <c r="U611" s="111"/>
      <c r="V611" s="358"/>
      <c r="W611" s="391">
        <f t="shared" ref="W611:W619" si="862">J611+K611+N611+Q611+T611</f>
        <v>0</v>
      </c>
      <c r="X611" s="17">
        <f t="shared" ref="X611:X619" si="863">L611+O611+R611+U611</f>
        <v>0</v>
      </c>
      <c r="Y611" s="18">
        <f t="shared" ref="Y611:Y619" si="864">SUM(W611:X611)</f>
        <v>0</v>
      </c>
      <c r="Z611" s="19">
        <f>IF(Y$620=0,0,Y611/Y$620)</f>
        <v>0</v>
      </c>
      <c r="AA611" s="19"/>
      <c r="AB611" s="19"/>
      <c r="AC611" s="17"/>
      <c r="AE611" s="17"/>
      <c r="AF611" s="17"/>
      <c r="AG611" s="17"/>
      <c r="AH611" s="18">
        <f t="shared" ref="AH611:AH619" si="865">J611</f>
        <v>0</v>
      </c>
      <c r="AI611" s="19">
        <f>IF(AH$620=0,0,AH611/AH$620)</f>
        <v>0</v>
      </c>
      <c r="AJ611" s="97"/>
      <c r="AK611" s="17"/>
      <c r="AL611" s="17"/>
      <c r="AM611" s="17"/>
      <c r="AN611" s="18">
        <f t="shared" ref="AN611:AN619" si="866">K611</f>
        <v>0</v>
      </c>
      <c r="AO611" s="19">
        <f>IF(AN$620=0,0,AN611/AN$620)</f>
        <v>0</v>
      </c>
      <c r="AP611" s="97"/>
      <c r="AQ611" s="17"/>
      <c r="AR611" s="17"/>
      <c r="AS611" s="17"/>
      <c r="AT611" s="18">
        <f t="shared" ref="AT611:AT619" si="867">W611</f>
        <v>0</v>
      </c>
      <c r="AU611" s="19">
        <f>IF(AT$620=0,0,AT611/AT$620)</f>
        <v>0</v>
      </c>
      <c r="AV611" s="97"/>
      <c r="AW611" s="17"/>
      <c r="AX611" s="17"/>
      <c r="AY611" s="17"/>
      <c r="AZ611" s="18">
        <f t="shared" ref="AZ611:AZ619" si="868">X611</f>
        <v>0</v>
      </c>
      <c r="BA611" s="19">
        <f>IF(AZ$620=0,0,AZ611/AZ$620)</f>
        <v>0</v>
      </c>
    </row>
    <row r="612" spans="1:53" ht="17.100000000000001" customHeight="1" x14ac:dyDescent="0.25">
      <c r="A612" s="40"/>
      <c r="B612" s="40"/>
      <c r="C612" s="119"/>
      <c r="D612" s="180" t="s">
        <v>353</v>
      </c>
      <c r="E612" s="85" t="s">
        <v>513</v>
      </c>
      <c r="F612" s="105"/>
      <c r="G612" s="105"/>
      <c r="H612" s="119"/>
      <c r="I612" s="231"/>
      <c r="J612" s="583"/>
      <c r="K612" s="583"/>
      <c r="L612" s="584">
        <v>11</v>
      </c>
      <c r="M612" s="593">
        <f t="shared" si="861"/>
        <v>11</v>
      </c>
      <c r="N612" s="111"/>
      <c r="O612" s="111"/>
      <c r="P612" s="111"/>
      <c r="Q612" s="111"/>
      <c r="R612" s="111"/>
      <c r="S612" s="111"/>
      <c r="T612" s="111"/>
      <c r="U612" s="111"/>
      <c r="V612" s="358"/>
      <c r="W612" s="391">
        <f t="shared" si="862"/>
        <v>0</v>
      </c>
      <c r="X612" s="17">
        <f t="shared" si="863"/>
        <v>11</v>
      </c>
      <c r="Y612" s="18">
        <f t="shared" si="864"/>
        <v>11</v>
      </c>
      <c r="Z612" s="19">
        <f t="shared" ref="Z612:Z620" si="869">IF(Y$620=0,0,Y612/Y$620)</f>
        <v>0.42307692307692307</v>
      </c>
      <c r="AA612" s="19"/>
      <c r="AB612" s="19"/>
      <c r="AC612" s="17"/>
      <c r="AE612" s="17"/>
      <c r="AF612" s="17"/>
      <c r="AG612" s="17"/>
      <c r="AH612" s="18">
        <f t="shared" si="865"/>
        <v>0</v>
      </c>
      <c r="AI612" s="19">
        <f t="shared" ref="AI612:AI619" si="870">IF(AH$620=0,0,AH612/AH$620)</f>
        <v>0</v>
      </c>
      <c r="AJ612" s="97"/>
      <c r="AK612" s="17"/>
      <c r="AL612" s="17"/>
      <c r="AM612" s="17"/>
      <c r="AN612" s="18">
        <f t="shared" si="866"/>
        <v>0</v>
      </c>
      <c r="AO612" s="19">
        <f t="shared" ref="AO612:AO619" si="871">IF(AN$620=0,0,AN612/AN$620)</f>
        <v>0</v>
      </c>
      <c r="AP612" s="97"/>
      <c r="AQ612" s="17"/>
      <c r="AR612" s="17"/>
      <c r="AS612" s="17"/>
      <c r="AT612" s="18">
        <f t="shared" si="867"/>
        <v>0</v>
      </c>
      <c r="AU612" s="19">
        <f t="shared" ref="AU612:AU619" si="872">IF(AT$620=0,0,AT612/AT$620)</f>
        <v>0</v>
      </c>
      <c r="AV612" s="97"/>
      <c r="AW612" s="17"/>
      <c r="AX612" s="17"/>
      <c r="AY612" s="17"/>
      <c r="AZ612" s="18">
        <f t="shared" si="868"/>
        <v>11</v>
      </c>
      <c r="BA612" s="19">
        <f t="shared" ref="BA612:BA619" si="873">IF(AZ$620=0,0,AZ612/AZ$620)</f>
        <v>0.44</v>
      </c>
    </row>
    <row r="613" spans="1:53" ht="17.100000000000001" customHeight="1" x14ac:dyDescent="0.25">
      <c r="A613" s="40"/>
      <c r="B613" s="40"/>
      <c r="C613" s="119"/>
      <c r="D613" s="180" t="s">
        <v>354</v>
      </c>
      <c r="E613" s="85" t="s">
        <v>514</v>
      </c>
      <c r="F613" s="105"/>
      <c r="G613" s="105"/>
      <c r="H613" s="119"/>
      <c r="I613" s="231"/>
      <c r="J613" s="581"/>
      <c r="K613" s="581">
        <v>1</v>
      </c>
      <c r="L613" s="582">
        <v>12</v>
      </c>
      <c r="M613" s="593">
        <f t="shared" si="861"/>
        <v>13</v>
      </c>
      <c r="N613" s="111"/>
      <c r="O613" s="111"/>
      <c r="P613" s="111"/>
      <c r="Q613" s="111"/>
      <c r="R613" s="111"/>
      <c r="S613" s="111"/>
      <c r="T613" s="111"/>
      <c r="U613" s="111"/>
      <c r="V613" s="358"/>
      <c r="W613" s="391">
        <f t="shared" si="862"/>
        <v>1</v>
      </c>
      <c r="X613" s="17">
        <f t="shared" si="863"/>
        <v>12</v>
      </c>
      <c r="Y613" s="18">
        <f t="shared" si="864"/>
        <v>13</v>
      </c>
      <c r="Z613" s="19">
        <f t="shared" si="869"/>
        <v>0.5</v>
      </c>
      <c r="AA613" s="19"/>
      <c r="AB613" s="19"/>
      <c r="AC613" s="17"/>
      <c r="AE613" s="17"/>
      <c r="AF613" s="17"/>
      <c r="AG613" s="17"/>
      <c r="AH613" s="18">
        <f t="shared" si="865"/>
        <v>0</v>
      </c>
      <c r="AI613" s="19">
        <f t="shared" si="870"/>
        <v>0</v>
      </c>
      <c r="AJ613" s="97"/>
      <c r="AK613" s="17"/>
      <c r="AL613" s="17"/>
      <c r="AM613" s="17"/>
      <c r="AN613" s="18">
        <f t="shared" si="866"/>
        <v>1</v>
      </c>
      <c r="AO613" s="19">
        <f t="shared" si="871"/>
        <v>1</v>
      </c>
      <c r="AP613" s="97"/>
      <c r="AQ613" s="17"/>
      <c r="AR613" s="17"/>
      <c r="AS613" s="17"/>
      <c r="AT613" s="18">
        <f t="shared" si="867"/>
        <v>1</v>
      </c>
      <c r="AU613" s="19">
        <f t="shared" si="872"/>
        <v>1</v>
      </c>
      <c r="AV613" s="97"/>
      <c r="AW613" s="17"/>
      <c r="AX613" s="17"/>
      <c r="AY613" s="17"/>
      <c r="AZ613" s="18">
        <f t="shared" si="868"/>
        <v>12</v>
      </c>
      <c r="BA613" s="19">
        <f t="shared" si="873"/>
        <v>0.48</v>
      </c>
    </row>
    <row r="614" spans="1:53" ht="17.100000000000001" customHeight="1" x14ac:dyDescent="0.25">
      <c r="A614" s="40"/>
      <c r="B614" s="40"/>
      <c r="C614" s="119"/>
      <c r="D614" s="180" t="s">
        <v>355</v>
      </c>
      <c r="E614" s="85" t="s">
        <v>357</v>
      </c>
      <c r="F614" s="105"/>
      <c r="G614" s="105"/>
      <c r="H614" s="119"/>
      <c r="I614" s="231"/>
      <c r="J614" s="583"/>
      <c r="K614" s="583"/>
      <c r="L614" s="584">
        <v>1</v>
      </c>
      <c r="M614" s="593">
        <f t="shared" si="861"/>
        <v>1</v>
      </c>
      <c r="N614" s="111"/>
      <c r="O614" s="111"/>
      <c r="P614" s="111"/>
      <c r="Q614" s="111"/>
      <c r="R614" s="111"/>
      <c r="S614" s="111"/>
      <c r="T614" s="111"/>
      <c r="U614" s="111"/>
      <c r="V614" s="358"/>
      <c r="W614" s="391">
        <f t="shared" si="862"/>
        <v>0</v>
      </c>
      <c r="X614" s="17">
        <f t="shared" si="863"/>
        <v>1</v>
      </c>
      <c r="Y614" s="18">
        <f t="shared" si="864"/>
        <v>1</v>
      </c>
      <c r="Z614" s="19">
        <f t="shared" si="869"/>
        <v>3.8461538461538464E-2</v>
      </c>
      <c r="AA614" s="19"/>
      <c r="AB614" s="19"/>
      <c r="AC614" s="17"/>
      <c r="AE614" s="17"/>
      <c r="AF614" s="17"/>
      <c r="AG614" s="17"/>
      <c r="AH614" s="18">
        <f t="shared" si="865"/>
        <v>0</v>
      </c>
      <c r="AI614" s="19">
        <f t="shared" si="870"/>
        <v>0</v>
      </c>
      <c r="AJ614" s="97"/>
      <c r="AK614" s="17"/>
      <c r="AL614" s="17"/>
      <c r="AM614" s="17"/>
      <c r="AN614" s="18">
        <f t="shared" si="866"/>
        <v>0</v>
      </c>
      <c r="AO614" s="19">
        <f t="shared" si="871"/>
        <v>0</v>
      </c>
      <c r="AP614" s="97"/>
      <c r="AQ614" s="17"/>
      <c r="AR614" s="17"/>
      <c r="AS614" s="17"/>
      <c r="AT614" s="18">
        <f t="shared" si="867"/>
        <v>0</v>
      </c>
      <c r="AU614" s="19">
        <f t="shared" si="872"/>
        <v>0</v>
      </c>
      <c r="AV614" s="97"/>
      <c r="AW614" s="17"/>
      <c r="AX614" s="17"/>
      <c r="AY614" s="17"/>
      <c r="AZ614" s="18">
        <f t="shared" si="868"/>
        <v>1</v>
      </c>
      <c r="BA614" s="19">
        <f t="shared" si="873"/>
        <v>0.04</v>
      </c>
    </row>
    <row r="615" spans="1:53" ht="17.100000000000001" customHeight="1" x14ac:dyDescent="0.25">
      <c r="A615" s="40"/>
      <c r="B615" s="40"/>
      <c r="C615" s="119"/>
      <c r="D615" s="180" t="s">
        <v>356</v>
      </c>
      <c r="E615" s="85" t="s">
        <v>515</v>
      </c>
      <c r="F615" s="105"/>
      <c r="G615" s="105"/>
      <c r="H615" s="119"/>
      <c r="I615" s="231"/>
      <c r="J615" s="581"/>
      <c r="K615" s="581"/>
      <c r="L615" s="582"/>
      <c r="M615" s="593">
        <f t="shared" si="861"/>
        <v>0</v>
      </c>
      <c r="N615" s="111"/>
      <c r="O615" s="111"/>
      <c r="P615" s="111"/>
      <c r="Q615" s="111"/>
      <c r="R615" s="111"/>
      <c r="S615" s="111"/>
      <c r="T615" s="111"/>
      <c r="U615" s="111"/>
      <c r="V615" s="358"/>
      <c r="W615" s="391">
        <f t="shared" si="862"/>
        <v>0</v>
      </c>
      <c r="X615" s="17">
        <f t="shared" si="863"/>
        <v>0</v>
      </c>
      <c r="Y615" s="18">
        <f t="shared" si="864"/>
        <v>0</v>
      </c>
      <c r="Z615" s="19">
        <f t="shared" si="869"/>
        <v>0</v>
      </c>
      <c r="AA615" s="19"/>
      <c r="AB615" s="19"/>
      <c r="AC615" s="17"/>
      <c r="AE615" s="17"/>
      <c r="AF615" s="17"/>
      <c r="AG615" s="17"/>
      <c r="AH615" s="18">
        <f t="shared" si="865"/>
        <v>0</v>
      </c>
      <c r="AI615" s="19">
        <f t="shared" si="870"/>
        <v>0</v>
      </c>
      <c r="AJ615" s="97"/>
      <c r="AK615" s="17"/>
      <c r="AL615" s="17"/>
      <c r="AM615" s="17"/>
      <c r="AN615" s="18">
        <f t="shared" si="866"/>
        <v>0</v>
      </c>
      <c r="AO615" s="19">
        <f t="shared" si="871"/>
        <v>0</v>
      </c>
      <c r="AP615" s="97"/>
      <c r="AQ615" s="17"/>
      <c r="AR615" s="17"/>
      <c r="AS615" s="17"/>
      <c r="AT615" s="18">
        <f t="shared" si="867"/>
        <v>0</v>
      </c>
      <c r="AU615" s="19">
        <f t="shared" si="872"/>
        <v>0</v>
      </c>
      <c r="AV615" s="97"/>
      <c r="AW615" s="17"/>
      <c r="AX615" s="17"/>
      <c r="AY615" s="17"/>
      <c r="AZ615" s="18">
        <f t="shared" si="868"/>
        <v>0</v>
      </c>
      <c r="BA615" s="19">
        <f t="shared" si="873"/>
        <v>0</v>
      </c>
    </row>
    <row r="616" spans="1:53" ht="17.100000000000001" customHeight="1" x14ac:dyDescent="0.25">
      <c r="A616" s="40"/>
      <c r="B616" s="40"/>
      <c r="C616" s="119"/>
      <c r="D616" s="180" t="s">
        <v>508</v>
      </c>
      <c r="E616" s="85" t="s">
        <v>516</v>
      </c>
      <c r="F616" s="105"/>
      <c r="G616" s="105"/>
      <c r="H616" s="119"/>
      <c r="I616" s="231"/>
      <c r="J616" s="583"/>
      <c r="K616" s="583"/>
      <c r="L616" s="584">
        <v>1</v>
      </c>
      <c r="M616" s="593">
        <f t="shared" si="861"/>
        <v>1</v>
      </c>
      <c r="N616" s="111"/>
      <c r="O616" s="111"/>
      <c r="P616" s="111"/>
      <c r="Q616" s="111"/>
      <c r="R616" s="111"/>
      <c r="S616" s="111"/>
      <c r="T616" s="111"/>
      <c r="U616" s="111"/>
      <c r="V616" s="358"/>
      <c r="W616" s="391">
        <f t="shared" si="862"/>
        <v>0</v>
      </c>
      <c r="X616" s="17">
        <f t="shared" si="863"/>
        <v>1</v>
      </c>
      <c r="Y616" s="18">
        <f t="shared" si="864"/>
        <v>1</v>
      </c>
      <c r="Z616" s="19">
        <f t="shared" si="869"/>
        <v>3.8461538461538464E-2</v>
      </c>
      <c r="AA616" s="19"/>
      <c r="AB616" s="19"/>
      <c r="AC616" s="17"/>
      <c r="AE616" s="17"/>
      <c r="AF616" s="17"/>
      <c r="AG616" s="17"/>
      <c r="AH616" s="18">
        <f t="shared" si="865"/>
        <v>0</v>
      </c>
      <c r="AI616" s="19">
        <f t="shared" si="870"/>
        <v>0</v>
      </c>
      <c r="AJ616" s="97"/>
      <c r="AK616" s="17"/>
      <c r="AL616" s="17"/>
      <c r="AM616" s="17"/>
      <c r="AN616" s="18">
        <f t="shared" si="866"/>
        <v>0</v>
      </c>
      <c r="AO616" s="19">
        <f t="shared" si="871"/>
        <v>0</v>
      </c>
      <c r="AP616" s="97"/>
      <c r="AQ616" s="17"/>
      <c r="AR616" s="17"/>
      <c r="AS616" s="17"/>
      <c r="AT616" s="18">
        <f t="shared" si="867"/>
        <v>0</v>
      </c>
      <c r="AU616" s="19">
        <f t="shared" si="872"/>
        <v>0</v>
      </c>
      <c r="AV616" s="97"/>
      <c r="AW616" s="17"/>
      <c r="AX616" s="17"/>
      <c r="AY616" s="17"/>
      <c r="AZ616" s="18">
        <f t="shared" si="868"/>
        <v>1</v>
      </c>
      <c r="BA616" s="19">
        <f t="shared" si="873"/>
        <v>0.04</v>
      </c>
    </row>
    <row r="617" spans="1:53" ht="17.100000000000001" customHeight="1" x14ac:dyDescent="0.25">
      <c r="A617" s="40"/>
      <c r="B617" s="40"/>
      <c r="C617" s="119"/>
      <c r="D617" s="180" t="s">
        <v>509</v>
      </c>
      <c r="E617" s="85" t="s">
        <v>517</v>
      </c>
      <c r="F617" s="105"/>
      <c r="G617" s="105"/>
      <c r="H617" s="119"/>
      <c r="I617" s="231"/>
      <c r="J617" s="581"/>
      <c r="K617" s="581"/>
      <c r="L617" s="582"/>
      <c r="M617" s="593">
        <f t="shared" si="861"/>
        <v>0</v>
      </c>
      <c r="N617" s="111"/>
      <c r="O617" s="111"/>
      <c r="P617" s="111"/>
      <c r="Q617" s="111"/>
      <c r="R617" s="111"/>
      <c r="S617" s="111"/>
      <c r="T617" s="111"/>
      <c r="U617" s="111"/>
      <c r="V617" s="358"/>
      <c r="W617" s="391">
        <f t="shared" si="862"/>
        <v>0</v>
      </c>
      <c r="X617" s="17">
        <f t="shared" si="863"/>
        <v>0</v>
      </c>
      <c r="Y617" s="18">
        <f t="shared" si="864"/>
        <v>0</v>
      </c>
      <c r="Z617" s="19">
        <f t="shared" si="869"/>
        <v>0</v>
      </c>
      <c r="AA617" s="19"/>
      <c r="AB617" s="19"/>
      <c r="AC617" s="17"/>
      <c r="AE617" s="17"/>
      <c r="AF617" s="17"/>
      <c r="AG617" s="17"/>
      <c r="AH617" s="18">
        <f t="shared" si="865"/>
        <v>0</v>
      </c>
      <c r="AI617" s="19">
        <f t="shared" si="870"/>
        <v>0</v>
      </c>
      <c r="AJ617" s="97"/>
      <c r="AK617" s="17"/>
      <c r="AL617" s="17"/>
      <c r="AM617" s="17"/>
      <c r="AN617" s="18">
        <f t="shared" si="866"/>
        <v>0</v>
      </c>
      <c r="AO617" s="19">
        <f t="shared" si="871"/>
        <v>0</v>
      </c>
      <c r="AP617" s="97"/>
      <c r="AQ617" s="17"/>
      <c r="AR617" s="17"/>
      <c r="AS617" s="17"/>
      <c r="AT617" s="18">
        <f t="shared" si="867"/>
        <v>0</v>
      </c>
      <c r="AU617" s="19">
        <f t="shared" si="872"/>
        <v>0</v>
      </c>
      <c r="AV617" s="97"/>
      <c r="AW617" s="17"/>
      <c r="AX617" s="17"/>
      <c r="AY617" s="17"/>
      <c r="AZ617" s="18">
        <f t="shared" si="868"/>
        <v>0</v>
      </c>
      <c r="BA617" s="19">
        <f t="shared" si="873"/>
        <v>0</v>
      </c>
    </row>
    <row r="618" spans="1:53" ht="17.100000000000001" customHeight="1" x14ac:dyDescent="0.25">
      <c r="A618" s="40"/>
      <c r="B618" s="40"/>
      <c r="C618" s="119"/>
      <c r="D618" s="180" t="s">
        <v>510</v>
      </c>
      <c r="E618" s="85" t="s">
        <v>518</v>
      </c>
      <c r="F618" s="105"/>
      <c r="G618" s="105"/>
      <c r="H618" s="119"/>
      <c r="I618" s="231"/>
      <c r="J618" s="583"/>
      <c r="K618" s="583"/>
      <c r="L618" s="584"/>
      <c r="M618" s="593">
        <f t="shared" si="861"/>
        <v>0</v>
      </c>
      <c r="N618" s="111"/>
      <c r="O618" s="111"/>
      <c r="P618" s="111"/>
      <c r="Q618" s="111"/>
      <c r="R618" s="111"/>
      <c r="S618" s="111"/>
      <c r="T618" s="111"/>
      <c r="U618" s="111"/>
      <c r="V618" s="358"/>
      <c r="W618" s="391">
        <f t="shared" si="862"/>
        <v>0</v>
      </c>
      <c r="X618" s="17">
        <f t="shared" si="863"/>
        <v>0</v>
      </c>
      <c r="Y618" s="18">
        <f t="shared" si="864"/>
        <v>0</v>
      </c>
      <c r="Z618" s="19">
        <f t="shared" si="869"/>
        <v>0</v>
      </c>
      <c r="AA618" s="19"/>
      <c r="AB618" s="19"/>
      <c r="AC618" s="17"/>
      <c r="AE618" s="17"/>
      <c r="AF618" s="17"/>
      <c r="AG618" s="17"/>
      <c r="AH618" s="18">
        <f t="shared" si="865"/>
        <v>0</v>
      </c>
      <c r="AI618" s="19">
        <f t="shared" si="870"/>
        <v>0</v>
      </c>
      <c r="AJ618" s="97"/>
      <c r="AK618" s="17"/>
      <c r="AL618" s="17"/>
      <c r="AM618" s="17"/>
      <c r="AN618" s="18">
        <f t="shared" si="866"/>
        <v>0</v>
      </c>
      <c r="AO618" s="19">
        <f t="shared" si="871"/>
        <v>0</v>
      </c>
      <c r="AP618" s="97"/>
      <c r="AQ618" s="17"/>
      <c r="AR618" s="17"/>
      <c r="AS618" s="17"/>
      <c r="AT618" s="18">
        <f t="shared" si="867"/>
        <v>0</v>
      </c>
      <c r="AU618" s="19">
        <f t="shared" si="872"/>
        <v>0</v>
      </c>
      <c r="AV618" s="97"/>
      <c r="AW618" s="17"/>
      <c r="AX618" s="17"/>
      <c r="AY618" s="17"/>
      <c r="AZ618" s="18">
        <f t="shared" si="868"/>
        <v>0</v>
      </c>
      <c r="BA618" s="19">
        <f t="shared" si="873"/>
        <v>0</v>
      </c>
    </row>
    <row r="619" spans="1:53" ht="17.100000000000001" customHeight="1" x14ac:dyDescent="0.25">
      <c r="A619" s="40"/>
      <c r="B619" s="40"/>
      <c r="C619" s="119"/>
      <c r="D619" s="180" t="s">
        <v>511</v>
      </c>
      <c r="E619" s="85" t="s">
        <v>129</v>
      </c>
      <c r="F619" s="105"/>
      <c r="G619" s="105"/>
      <c r="H619" s="119"/>
      <c r="I619" s="231"/>
      <c r="J619" s="581"/>
      <c r="K619" s="581"/>
      <c r="L619" s="582"/>
      <c r="M619" s="593">
        <f t="shared" si="861"/>
        <v>0</v>
      </c>
      <c r="N619" s="111"/>
      <c r="O619" s="111"/>
      <c r="P619" s="111"/>
      <c r="Q619" s="111"/>
      <c r="R619" s="111"/>
      <c r="S619" s="111"/>
      <c r="T619" s="111"/>
      <c r="U619" s="111"/>
      <c r="V619" s="358"/>
      <c r="W619" s="391">
        <f t="shared" si="862"/>
        <v>0</v>
      </c>
      <c r="X619" s="17">
        <f t="shared" si="863"/>
        <v>0</v>
      </c>
      <c r="Y619" s="18">
        <f t="shared" si="864"/>
        <v>0</v>
      </c>
      <c r="Z619" s="19">
        <f t="shared" si="869"/>
        <v>0</v>
      </c>
      <c r="AA619" s="19"/>
      <c r="AB619" s="19"/>
      <c r="AC619" s="17"/>
      <c r="AE619" s="17"/>
      <c r="AF619" s="17"/>
      <c r="AG619" s="17"/>
      <c r="AH619" s="18">
        <f t="shared" si="865"/>
        <v>0</v>
      </c>
      <c r="AI619" s="19">
        <f t="shared" si="870"/>
        <v>0</v>
      </c>
      <c r="AJ619" s="97"/>
      <c r="AK619" s="17"/>
      <c r="AL619" s="17"/>
      <c r="AM619" s="17"/>
      <c r="AN619" s="18">
        <f t="shared" si="866"/>
        <v>0</v>
      </c>
      <c r="AO619" s="19">
        <f t="shared" si="871"/>
        <v>0</v>
      </c>
      <c r="AP619" s="97"/>
      <c r="AQ619" s="17"/>
      <c r="AR619" s="17"/>
      <c r="AS619" s="17"/>
      <c r="AT619" s="18">
        <f t="shared" si="867"/>
        <v>0</v>
      </c>
      <c r="AU619" s="19">
        <f t="shared" si="872"/>
        <v>0</v>
      </c>
      <c r="AV619" s="97"/>
      <c r="AW619" s="17"/>
      <c r="AX619" s="17"/>
      <c r="AY619" s="17"/>
      <c r="AZ619" s="18">
        <f t="shared" si="868"/>
        <v>0</v>
      </c>
      <c r="BA619" s="19">
        <f t="shared" si="873"/>
        <v>0</v>
      </c>
    </row>
    <row r="620" spans="1:53" ht="17.100000000000001" customHeight="1" x14ac:dyDescent="0.25">
      <c r="A620" s="40"/>
      <c r="B620" s="40"/>
      <c r="C620" s="77"/>
      <c r="D620" s="134"/>
      <c r="E620" s="134"/>
      <c r="F620" s="134"/>
      <c r="G620" s="134"/>
      <c r="H620" s="540"/>
      <c r="I620" s="229"/>
      <c r="J620" s="80">
        <f>SUM(J611:J619)</f>
        <v>0</v>
      </c>
      <c r="K620" s="80">
        <f t="shared" ref="K620:M620" si="874">SUM(K611:K619)</f>
        <v>1</v>
      </c>
      <c r="L620" s="80">
        <f t="shared" si="874"/>
        <v>25</v>
      </c>
      <c r="M620" s="80">
        <f t="shared" si="874"/>
        <v>26</v>
      </c>
      <c r="N620" s="81"/>
      <c r="O620" s="81"/>
      <c r="P620" s="81"/>
      <c r="Q620" s="81"/>
      <c r="R620" s="81"/>
      <c r="S620" s="81"/>
      <c r="T620" s="81"/>
      <c r="U620" s="81"/>
      <c r="V620" s="356"/>
      <c r="W620" s="381">
        <f>SUM(W611:W619)</f>
        <v>1</v>
      </c>
      <c r="X620" s="82">
        <f t="shared" ref="X620:Y620" si="875">SUM(X611:X619)</f>
        <v>25</v>
      </c>
      <c r="Y620" s="82">
        <f t="shared" si="875"/>
        <v>26</v>
      </c>
      <c r="Z620" s="205">
        <f t="shared" si="869"/>
        <v>1</v>
      </c>
      <c r="AA620" s="205"/>
      <c r="AB620" s="205"/>
      <c r="AC620" s="83"/>
      <c r="AE620" s="80"/>
      <c r="AF620" s="80"/>
      <c r="AG620" s="81"/>
      <c r="AH620" s="82">
        <f>SUM(AH611:AH619)</f>
        <v>0</v>
      </c>
      <c r="AI620" s="66">
        <f>IF(AH$620=0,0,AH620/AH$620)</f>
        <v>0</v>
      </c>
      <c r="AK620" s="80"/>
      <c r="AL620" s="80"/>
      <c r="AM620" s="81"/>
      <c r="AN620" s="82">
        <f>SUM(AN611:AN619)</f>
        <v>1</v>
      </c>
      <c r="AO620" s="66">
        <f>IF(AN$620=0,0,AN620/AN$620)</f>
        <v>1</v>
      </c>
      <c r="AQ620" s="80"/>
      <c r="AR620" s="80"/>
      <c r="AS620" s="81"/>
      <c r="AT620" s="82">
        <f>SUM(AT611:AT619)</f>
        <v>1</v>
      </c>
      <c r="AU620" s="66">
        <f>IF(AT$620=0,0,AT620/AT$620)</f>
        <v>1</v>
      </c>
      <c r="AW620" s="80"/>
      <c r="AX620" s="80"/>
      <c r="AY620" s="81"/>
      <c r="AZ620" s="82">
        <f>SUM(AZ611:AZ619)</f>
        <v>25</v>
      </c>
      <c r="BA620" s="66">
        <f>IF(AZ$620=0,0,AZ620/AZ$620)</f>
        <v>1</v>
      </c>
    </row>
    <row r="621" spans="1:53" s="117" customFormat="1" ht="17.100000000000001" customHeight="1" x14ac:dyDescent="0.25">
      <c r="A621" s="68"/>
      <c r="B621" s="119"/>
      <c r="C621" s="540"/>
      <c r="D621" s="261"/>
      <c r="E621" s="261"/>
      <c r="F621" s="68"/>
      <c r="G621" s="68"/>
      <c r="H621" s="119"/>
      <c r="I621" s="138"/>
      <c r="J621" s="17" t="str">
        <f>IF(J620=J$576,"OK","NOK")</f>
        <v>OK</v>
      </c>
      <c r="K621" s="17" t="str">
        <f t="shared" ref="K621" si="876">IF(K620=K$576,"OK","NOK")</f>
        <v>OK</v>
      </c>
      <c r="L621" s="17" t="str">
        <f t="shared" ref="L621" si="877">IF(L620=L$576,"OK","NOK")</f>
        <v>OK</v>
      </c>
      <c r="M621" s="17"/>
      <c r="N621" s="17"/>
      <c r="O621" s="17"/>
      <c r="P621" s="17"/>
      <c r="Q621" s="17"/>
      <c r="R621" s="17"/>
      <c r="S621" s="17"/>
      <c r="T621" s="17"/>
      <c r="U621" s="17"/>
      <c r="V621" s="359"/>
      <c r="W621" s="382"/>
      <c r="X621" s="539"/>
      <c r="Y621" s="539"/>
      <c r="Z621" s="201"/>
      <c r="AA621" s="201"/>
      <c r="AB621" s="201"/>
      <c r="AC621" s="84"/>
      <c r="AE621" s="46"/>
      <c r="AF621" s="46"/>
      <c r="AG621" s="17"/>
      <c r="AH621" s="539"/>
      <c r="AI621" s="91"/>
      <c r="AK621" s="46"/>
      <c r="AL621" s="46"/>
      <c r="AM621" s="17"/>
      <c r="AN621" s="539"/>
      <c r="AO621" s="91"/>
      <c r="AQ621" s="46"/>
      <c r="AR621" s="46"/>
      <c r="AS621" s="17"/>
      <c r="AT621" s="539"/>
      <c r="AU621" s="91"/>
      <c r="AW621" s="46"/>
      <c r="AX621" s="46"/>
      <c r="AY621" s="17"/>
      <c r="AZ621" s="539"/>
      <c r="BA621" s="91"/>
    </row>
    <row r="622" spans="1:53" ht="17.100000000000001" customHeight="1" x14ac:dyDescent="0.25">
      <c r="A622" s="68"/>
      <c r="B622" s="48" t="s">
        <v>678</v>
      </c>
      <c r="C622" s="50" t="s">
        <v>679</v>
      </c>
      <c r="D622" s="50"/>
      <c r="E622" s="70"/>
      <c r="F622" s="70"/>
      <c r="G622" s="70"/>
      <c r="H622" s="119"/>
      <c r="J622" s="71"/>
      <c r="K622" s="71"/>
      <c r="L622" s="71"/>
      <c r="M622" s="71"/>
      <c r="N622" s="71"/>
      <c r="O622" s="71"/>
      <c r="P622" s="71"/>
      <c r="Q622" s="71"/>
      <c r="R622" s="71"/>
      <c r="S622" s="71"/>
      <c r="T622" s="71"/>
      <c r="U622" s="71"/>
      <c r="V622" s="355"/>
      <c r="W622" s="377"/>
      <c r="X622" s="71"/>
      <c r="Y622" s="72"/>
      <c r="Z622" s="73"/>
      <c r="AA622" s="73"/>
      <c r="AB622" s="73"/>
      <c r="AC622" s="73"/>
      <c r="AE622" s="71"/>
      <c r="AF622" s="71"/>
      <c r="AG622" s="71"/>
      <c r="AH622" s="72"/>
      <c r="AI622" s="73"/>
      <c r="AK622" s="71"/>
      <c r="AL622" s="71"/>
      <c r="AM622" s="71"/>
      <c r="AN622" s="72"/>
      <c r="AO622" s="73"/>
      <c r="AQ622" s="71"/>
      <c r="AR622" s="71"/>
      <c r="AS622" s="71"/>
      <c r="AT622" s="72"/>
      <c r="AU622" s="73"/>
      <c r="AW622" s="71"/>
      <c r="AX622" s="71"/>
      <c r="AY622" s="71"/>
      <c r="AZ622" s="72"/>
      <c r="BA622" s="73"/>
    </row>
    <row r="623" spans="1:53" s="117" customFormat="1" ht="17.100000000000001" customHeight="1" x14ac:dyDescent="0.25">
      <c r="A623" s="68"/>
      <c r="B623" s="119"/>
      <c r="C623" s="74" t="s">
        <v>680</v>
      </c>
      <c r="D623" s="85" t="s">
        <v>504</v>
      </c>
      <c r="E623" s="75"/>
      <c r="F623" s="151"/>
      <c r="G623" s="318"/>
      <c r="H623" s="119"/>
      <c r="I623" s="138"/>
      <c r="J623" s="111"/>
      <c r="K623" s="111"/>
      <c r="L623" s="111"/>
      <c r="M623" s="111"/>
      <c r="N623" s="111"/>
      <c r="O623" s="111"/>
      <c r="P623" s="327">
        <v>1</v>
      </c>
      <c r="Q623" s="111"/>
      <c r="R623" s="111"/>
      <c r="S623" s="327"/>
      <c r="T623" s="111"/>
      <c r="U623" s="111"/>
      <c r="V623" s="369"/>
      <c r="W623" s="391"/>
      <c r="X623" s="17"/>
      <c r="Y623" s="328">
        <f t="shared" ref="Y623:Y624" si="878">P623+S623+V623</f>
        <v>1</v>
      </c>
      <c r="Z623" s="19">
        <f>IF(Y$628=0,0,Y623/Y$628)</f>
        <v>0.5</v>
      </c>
      <c r="AA623" s="201"/>
      <c r="AB623" s="201"/>
      <c r="AC623" s="84"/>
      <c r="AE623" s="111"/>
      <c r="AF623" s="111"/>
      <c r="AG623" s="111"/>
      <c r="AH623" s="545"/>
      <c r="AI623" s="131"/>
      <c r="AK623" s="111"/>
      <c r="AL623" s="111"/>
      <c r="AM623" s="111"/>
      <c r="AN623" s="545"/>
      <c r="AO623" s="131"/>
      <c r="AQ623" s="111"/>
      <c r="AR623" s="111"/>
      <c r="AS623" s="111"/>
      <c r="AT623" s="545"/>
      <c r="AU623" s="131"/>
      <c r="AW623" s="111"/>
      <c r="AX623" s="111"/>
      <c r="AY623" s="111"/>
      <c r="AZ623" s="545"/>
      <c r="BA623" s="131"/>
    </row>
    <row r="624" spans="1:53" s="117" customFormat="1" ht="17.100000000000001" customHeight="1" x14ac:dyDescent="0.25">
      <c r="A624" s="68"/>
      <c r="B624" s="119"/>
      <c r="C624" s="74" t="s">
        <v>681</v>
      </c>
      <c r="D624" s="85" t="s">
        <v>505</v>
      </c>
      <c r="E624" s="75"/>
      <c r="F624" s="151"/>
      <c r="G624" s="318"/>
      <c r="H624" s="119"/>
      <c r="I624" s="138"/>
      <c r="J624" s="111"/>
      <c r="K624" s="111"/>
      <c r="L624" s="111"/>
      <c r="M624" s="111"/>
      <c r="N624" s="111"/>
      <c r="O624" s="111"/>
      <c r="P624" s="329"/>
      <c r="Q624" s="111"/>
      <c r="R624" s="111"/>
      <c r="S624" s="329"/>
      <c r="T624" s="111"/>
      <c r="U624" s="111"/>
      <c r="V624" s="370"/>
      <c r="W624" s="391"/>
      <c r="X624" s="17"/>
      <c r="Y624" s="328">
        <f t="shared" si="878"/>
        <v>0</v>
      </c>
      <c r="Z624" s="19">
        <f t="shared" ref="Z624:Z628" si="879">IF(Y$628=0,0,Y624/Y$628)</f>
        <v>0</v>
      </c>
      <c r="AA624" s="201"/>
      <c r="AB624" s="201"/>
      <c r="AC624" s="84"/>
      <c r="AE624" s="111"/>
      <c r="AF624" s="111"/>
      <c r="AG624" s="111"/>
      <c r="AH624" s="545"/>
      <c r="AI624" s="131"/>
      <c r="AK624" s="111"/>
      <c r="AL624" s="111"/>
      <c r="AM624" s="111"/>
      <c r="AN624" s="545"/>
      <c r="AO624" s="131"/>
      <c r="AQ624" s="111"/>
      <c r="AR624" s="111"/>
      <c r="AS624" s="111"/>
      <c r="AT624" s="545"/>
      <c r="AU624" s="131"/>
      <c r="AW624" s="111"/>
      <c r="AX624" s="111"/>
      <c r="AY624" s="111"/>
      <c r="AZ624" s="545"/>
      <c r="BA624" s="131"/>
    </row>
    <row r="625" spans="1:53" s="117" customFormat="1" ht="17.100000000000001" customHeight="1" x14ac:dyDescent="0.25">
      <c r="A625" s="68"/>
      <c r="B625" s="119"/>
      <c r="C625" s="74" t="s">
        <v>682</v>
      </c>
      <c r="D625" s="85" t="s">
        <v>683</v>
      </c>
      <c r="E625" s="75"/>
      <c r="F625" s="151"/>
      <c r="G625" s="318"/>
      <c r="H625" s="119"/>
      <c r="I625" s="138"/>
      <c r="J625" s="111"/>
      <c r="K625" s="111"/>
      <c r="L625" s="111"/>
      <c r="M625" s="111"/>
      <c r="N625" s="111"/>
      <c r="O625" s="111"/>
      <c r="P625" s="327"/>
      <c r="Q625" s="111"/>
      <c r="R625" s="111"/>
      <c r="S625" s="327"/>
      <c r="T625" s="111"/>
      <c r="U625" s="111"/>
      <c r="V625" s="369"/>
      <c r="W625" s="391"/>
      <c r="X625" s="17"/>
      <c r="Y625" s="328">
        <f>P625+S625+V625</f>
        <v>0</v>
      </c>
      <c r="Z625" s="19">
        <f t="shared" si="879"/>
        <v>0</v>
      </c>
      <c r="AA625" s="201"/>
      <c r="AB625" s="201"/>
      <c r="AC625" s="84"/>
      <c r="AE625" s="111"/>
      <c r="AF625" s="111"/>
      <c r="AG625" s="111"/>
      <c r="AH625" s="545"/>
      <c r="AI625" s="131"/>
      <c r="AK625" s="111"/>
      <c r="AL625" s="111"/>
      <c r="AM625" s="111"/>
      <c r="AN625" s="545"/>
      <c r="AO625" s="131"/>
      <c r="AQ625" s="111"/>
      <c r="AR625" s="111"/>
      <c r="AS625" s="111"/>
      <c r="AT625" s="545"/>
      <c r="AU625" s="131"/>
      <c r="AW625" s="111"/>
      <c r="AX625" s="111"/>
      <c r="AY625" s="111"/>
      <c r="AZ625" s="545"/>
      <c r="BA625" s="131"/>
    </row>
    <row r="626" spans="1:53" s="117" customFormat="1" ht="17.100000000000001" customHeight="1" x14ac:dyDescent="0.25">
      <c r="A626" s="68"/>
      <c r="B626" s="119"/>
      <c r="C626" s="74" t="s">
        <v>684</v>
      </c>
      <c r="D626" s="85" t="s">
        <v>685</v>
      </c>
      <c r="E626" s="75"/>
      <c r="F626" s="151"/>
      <c r="G626" s="318"/>
      <c r="H626" s="119"/>
      <c r="I626" s="138"/>
      <c r="J626" s="111"/>
      <c r="K626" s="111"/>
      <c r="L626" s="111"/>
      <c r="M626" s="111"/>
      <c r="N626" s="111"/>
      <c r="O626" s="111"/>
      <c r="P626" s="329"/>
      <c r="Q626" s="111"/>
      <c r="R626" s="111"/>
      <c r="S626" s="329"/>
      <c r="T626" s="111"/>
      <c r="U626" s="111"/>
      <c r="V626" s="370"/>
      <c r="W626" s="391"/>
      <c r="X626" s="17"/>
      <c r="Y626" s="328">
        <f t="shared" ref="Y626:Y627" si="880">P626+S626+V626</f>
        <v>0</v>
      </c>
      <c r="Z626" s="19">
        <f t="shared" si="879"/>
        <v>0</v>
      </c>
      <c r="AA626" s="201"/>
      <c r="AB626" s="201"/>
      <c r="AC626" s="84"/>
      <c r="AE626" s="111"/>
      <c r="AF626" s="111"/>
      <c r="AG626" s="111"/>
      <c r="AH626" s="545"/>
      <c r="AI626" s="131"/>
      <c r="AK626" s="111"/>
      <c r="AL626" s="111"/>
      <c r="AM626" s="111"/>
      <c r="AN626" s="545"/>
      <c r="AO626" s="131"/>
      <c r="AQ626" s="111"/>
      <c r="AR626" s="111"/>
      <c r="AS626" s="111"/>
      <c r="AT626" s="545"/>
      <c r="AU626" s="131"/>
      <c r="AW626" s="111"/>
      <c r="AX626" s="111"/>
      <c r="AY626" s="111"/>
      <c r="AZ626" s="545"/>
      <c r="BA626" s="131"/>
    </row>
    <row r="627" spans="1:53" s="117" customFormat="1" ht="17.100000000000001" customHeight="1" x14ac:dyDescent="0.25">
      <c r="A627" s="68"/>
      <c r="B627" s="119"/>
      <c r="C627" s="74" t="s">
        <v>686</v>
      </c>
      <c r="D627" s="85" t="s">
        <v>129</v>
      </c>
      <c r="E627" s="75"/>
      <c r="F627" s="151"/>
      <c r="G627" s="318"/>
      <c r="H627" s="119"/>
      <c r="I627" s="138"/>
      <c r="J627" s="111"/>
      <c r="K627" s="111"/>
      <c r="L627" s="111"/>
      <c r="M627" s="111"/>
      <c r="N627" s="111"/>
      <c r="O627" s="111"/>
      <c r="P627" s="327"/>
      <c r="Q627" s="111"/>
      <c r="R627" s="111"/>
      <c r="S627" s="327">
        <v>1</v>
      </c>
      <c r="T627" s="111"/>
      <c r="U627" s="111"/>
      <c r="V627" s="369"/>
      <c r="W627" s="391"/>
      <c r="X627" s="17"/>
      <c r="Y627" s="328">
        <f t="shared" si="880"/>
        <v>1</v>
      </c>
      <c r="Z627" s="19">
        <f t="shared" si="879"/>
        <v>0.5</v>
      </c>
      <c r="AA627" s="201"/>
      <c r="AB627" s="201"/>
      <c r="AC627" s="84"/>
      <c r="AE627" s="111"/>
      <c r="AF627" s="111"/>
      <c r="AG627" s="111"/>
      <c r="AH627" s="545"/>
      <c r="AI627" s="131"/>
      <c r="AK627" s="111"/>
      <c r="AL627" s="111"/>
      <c r="AM627" s="111"/>
      <c r="AN627" s="545"/>
      <c r="AO627" s="131"/>
      <c r="AQ627" s="111"/>
      <c r="AR627" s="111"/>
      <c r="AS627" s="111"/>
      <c r="AT627" s="545"/>
      <c r="AU627" s="131"/>
      <c r="AW627" s="111"/>
      <c r="AX627" s="111"/>
      <c r="AY627" s="111"/>
      <c r="AZ627" s="545"/>
      <c r="BA627" s="131"/>
    </row>
    <row r="628" spans="1:53" ht="17.100000000000001" customHeight="1" x14ac:dyDescent="0.25">
      <c r="A628" s="40"/>
      <c r="B628" s="40"/>
      <c r="C628" s="77"/>
      <c r="D628" s="134"/>
      <c r="E628" s="134"/>
      <c r="F628" s="134"/>
      <c r="G628" s="134"/>
      <c r="H628" s="540"/>
      <c r="I628" s="229"/>
      <c r="J628" s="80"/>
      <c r="K628" s="80"/>
      <c r="L628" s="80"/>
      <c r="M628" s="80"/>
      <c r="N628" s="81"/>
      <c r="O628" s="81"/>
      <c r="P628" s="82">
        <f>SUM(P623:P627)</f>
        <v>1</v>
      </c>
      <c r="Q628" s="81"/>
      <c r="R628" s="81"/>
      <c r="S628" s="82">
        <f>SUM(S623:S627)</f>
        <v>1</v>
      </c>
      <c r="T628" s="81"/>
      <c r="U628" s="81"/>
      <c r="V628" s="360">
        <f>SUM(V623:V627)</f>
        <v>0</v>
      </c>
      <c r="W628" s="381"/>
      <c r="X628" s="82"/>
      <c r="Y628" s="82">
        <f>SUM(Y623:Y627)</f>
        <v>2</v>
      </c>
      <c r="Z628" s="205">
        <f t="shared" si="879"/>
        <v>1</v>
      </c>
      <c r="AA628" s="205"/>
      <c r="AB628" s="205"/>
      <c r="AC628" s="83"/>
      <c r="AE628" s="80"/>
      <c r="AF628" s="80"/>
      <c r="AG628" s="81"/>
      <c r="AH628" s="82"/>
      <c r="AI628" s="66"/>
      <c r="AK628" s="80"/>
      <c r="AL628" s="80"/>
      <c r="AM628" s="81"/>
      <c r="AN628" s="82"/>
      <c r="AO628" s="66"/>
      <c r="AQ628" s="80"/>
      <c r="AR628" s="80"/>
      <c r="AS628" s="81"/>
      <c r="AT628" s="82"/>
      <c r="AU628" s="66"/>
      <c r="AW628" s="80"/>
      <c r="AX628" s="80"/>
      <c r="AY628" s="81"/>
      <c r="AZ628" s="82"/>
      <c r="BA628" s="66"/>
    </row>
    <row r="629" spans="1:53" s="117" customFormat="1" ht="17.100000000000001" customHeight="1" x14ac:dyDescent="0.25">
      <c r="A629" s="68"/>
      <c r="B629" s="119"/>
      <c r="C629" s="540"/>
      <c r="D629" s="261"/>
      <c r="E629" s="261"/>
      <c r="F629" s="68"/>
      <c r="G629" s="68"/>
      <c r="H629" s="119"/>
      <c r="I629" s="138"/>
      <c r="J629" s="17"/>
      <c r="K629" s="17"/>
      <c r="L629" s="17"/>
      <c r="M629" s="17"/>
      <c r="N629" s="17"/>
      <c r="O629" s="17"/>
      <c r="P629" s="17" t="str">
        <f>IF(P628=1,"OK","NOK")</f>
        <v>OK</v>
      </c>
      <c r="Q629" s="17"/>
      <c r="R629" s="17"/>
      <c r="S629" s="17" t="str">
        <f>IF(S628=1,"OK","NOK")</f>
        <v>OK</v>
      </c>
      <c r="T629" s="17"/>
      <c r="U629" s="17"/>
      <c r="V629" s="359" t="str">
        <f>IF(V628=1,"OK","NOK")</f>
        <v>NOK</v>
      </c>
      <c r="W629" s="382"/>
      <c r="X629" s="539"/>
      <c r="Y629" s="539"/>
      <c r="Z629" s="201"/>
      <c r="AA629" s="201"/>
      <c r="AB629" s="201"/>
      <c r="AC629" s="84"/>
      <c r="AE629" s="46"/>
      <c r="AF629" s="46"/>
      <c r="AG629" s="17"/>
      <c r="AH629" s="539"/>
      <c r="AI629" s="91"/>
      <c r="AK629" s="46"/>
      <c r="AL629" s="46"/>
      <c r="AM629" s="17"/>
      <c r="AN629" s="539"/>
      <c r="AO629" s="91"/>
      <c r="AQ629" s="46"/>
      <c r="AR629" s="46"/>
      <c r="AS629" s="17"/>
      <c r="AT629" s="539"/>
      <c r="AU629" s="91"/>
      <c r="AW629" s="46"/>
      <c r="AX629" s="46"/>
      <c r="AY629" s="17"/>
      <c r="AZ629" s="539"/>
      <c r="BA629" s="91"/>
    </row>
    <row r="630" spans="1:53" ht="17.100000000000001" customHeight="1" x14ac:dyDescent="0.25">
      <c r="A630" s="119"/>
      <c r="B630" s="48" t="s">
        <v>687</v>
      </c>
      <c r="C630" s="50" t="s">
        <v>688</v>
      </c>
      <c r="D630" s="50"/>
      <c r="E630" s="70"/>
      <c r="F630" s="70"/>
      <c r="G630" s="70"/>
      <c r="H630" s="119"/>
      <c r="J630" s="71"/>
      <c r="K630" s="71"/>
      <c r="L630" s="71"/>
      <c r="M630" s="71"/>
      <c r="N630" s="71"/>
      <c r="O630" s="71"/>
      <c r="P630" s="71"/>
      <c r="Q630" s="71"/>
      <c r="R630" s="71"/>
      <c r="S630" s="71"/>
      <c r="T630" s="71"/>
      <c r="U630" s="71"/>
      <c r="V630" s="355"/>
      <c r="W630" s="377"/>
      <c r="X630" s="71"/>
      <c r="Y630" s="72"/>
      <c r="Z630" s="73"/>
      <c r="AA630" s="73"/>
      <c r="AB630" s="73"/>
      <c r="AC630" s="73"/>
      <c r="AE630" s="71"/>
      <c r="AF630" s="71"/>
      <c r="AG630" s="71"/>
      <c r="AH630" s="72"/>
      <c r="AI630" s="73"/>
      <c r="AK630" s="71"/>
      <c r="AL630" s="71"/>
      <c r="AM630" s="71"/>
      <c r="AN630" s="72"/>
      <c r="AO630" s="73"/>
      <c r="AQ630" s="71"/>
      <c r="AR630" s="71"/>
      <c r="AS630" s="71"/>
      <c r="AT630" s="72"/>
      <c r="AU630" s="73"/>
      <c r="AW630" s="71"/>
      <c r="AX630" s="71"/>
      <c r="AY630" s="71"/>
      <c r="AZ630" s="72"/>
      <c r="BA630" s="73"/>
    </row>
    <row r="631" spans="1:53" ht="17.100000000000001" customHeight="1" x14ac:dyDescent="0.25">
      <c r="A631" s="119"/>
      <c r="B631" s="119"/>
      <c r="C631" s="48" t="s">
        <v>689</v>
      </c>
      <c r="D631" s="50" t="s">
        <v>690</v>
      </c>
      <c r="E631" s="70"/>
      <c r="F631" s="70"/>
      <c r="G631" s="70"/>
      <c r="H631" s="119"/>
      <c r="J631" s="71"/>
      <c r="K631" s="71"/>
      <c r="L631" s="71"/>
      <c r="M631" s="71"/>
      <c r="N631" s="71"/>
      <c r="O631" s="71"/>
      <c r="P631" s="71"/>
      <c r="Q631" s="71"/>
      <c r="R631" s="71"/>
      <c r="S631" s="71"/>
      <c r="T631" s="71"/>
      <c r="U631" s="71"/>
      <c r="V631" s="355"/>
      <c r="W631" s="377"/>
      <c r="X631" s="71"/>
      <c r="Y631" s="72"/>
      <c r="Z631" s="73"/>
      <c r="AA631" s="73"/>
      <c r="AB631" s="73"/>
      <c r="AC631" s="73"/>
      <c r="AE631" s="71"/>
      <c r="AF631" s="71"/>
      <c r="AG631" s="71"/>
      <c r="AH631" s="72"/>
      <c r="AI631" s="73"/>
      <c r="AK631" s="71"/>
      <c r="AL631" s="71"/>
      <c r="AM631" s="71"/>
      <c r="AN631" s="72"/>
      <c r="AO631" s="73"/>
      <c r="AQ631" s="71"/>
      <c r="AR631" s="71"/>
      <c r="AS631" s="71"/>
      <c r="AT631" s="72"/>
      <c r="AU631" s="73"/>
      <c r="AW631" s="71"/>
      <c r="AX631" s="71"/>
      <c r="AY631" s="71"/>
      <c r="AZ631" s="72"/>
      <c r="BA631" s="73"/>
    </row>
    <row r="632" spans="1:53" s="117" customFormat="1" ht="17.100000000000001" customHeight="1" x14ac:dyDescent="0.25">
      <c r="A632" s="119"/>
      <c r="B632" s="40"/>
      <c r="C632" s="40"/>
      <c r="D632" s="74" t="s">
        <v>691</v>
      </c>
      <c r="E632" s="75" t="s">
        <v>692</v>
      </c>
      <c r="F632" s="105"/>
      <c r="G632" s="151"/>
      <c r="H632" s="119"/>
      <c r="I632" s="138"/>
      <c r="J632" s="111"/>
      <c r="K632" s="111"/>
      <c r="L632" s="111"/>
      <c r="M632" s="111"/>
      <c r="N632" s="111"/>
      <c r="O632" s="111"/>
      <c r="P632" s="327">
        <v>1</v>
      </c>
      <c r="Q632" s="111"/>
      <c r="R632" s="111"/>
      <c r="S632" s="327">
        <v>1</v>
      </c>
      <c r="T632" s="111"/>
      <c r="U632" s="111"/>
      <c r="V632" s="369"/>
      <c r="W632" s="391"/>
      <c r="X632" s="17"/>
      <c r="Y632" s="328">
        <f t="shared" ref="Y632" si="881">P632+S632+V632</f>
        <v>2</v>
      </c>
      <c r="Z632" s="19">
        <f>IF(Y$636=0,0,Y632/Y$636)</f>
        <v>1</v>
      </c>
      <c r="AA632" s="201"/>
      <c r="AB632" s="201"/>
      <c r="AC632" s="84"/>
      <c r="AE632" s="111"/>
      <c r="AF632" s="111"/>
      <c r="AG632" s="111"/>
      <c r="AH632" s="545"/>
      <c r="AI632" s="131"/>
      <c r="AK632" s="111"/>
      <c r="AL632" s="111"/>
      <c r="AM632" s="111"/>
      <c r="AN632" s="545"/>
      <c r="AO632" s="131"/>
      <c r="AQ632" s="111"/>
      <c r="AR632" s="111"/>
      <c r="AS632" s="111"/>
      <c r="AT632" s="545"/>
      <c r="AU632" s="131"/>
      <c r="AW632" s="111"/>
      <c r="AX632" s="111"/>
      <c r="AY632" s="111"/>
      <c r="AZ632" s="545"/>
      <c r="BA632" s="131"/>
    </row>
    <row r="633" spans="1:53" s="117" customFormat="1" ht="17.100000000000001" customHeight="1" x14ac:dyDescent="0.25">
      <c r="A633" s="68"/>
      <c r="B633" s="40"/>
      <c r="C633" s="40"/>
      <c r="D633" s="74" t="s">
        <v>704</v>
      </c>
      <c r="E633" s="85" t="s">
        <v>694</v>
      </c>
      <c r="F633" s="75"/>
      <c r="G633" s="151"/>
      <c r="H633" s="119"/>
      <c r="I633" s="138"/>
      <c r="J633" s="111"/>
      <c r="K633" s="111"/>
      <c r="L633" s="111"/>
      <c r="M633" s="111"/>
      <c r="N633" s="111"/>
      <c r="O633" s="111"/>
      <c r="P633" s="329"/>
      <c r="Q633" s="111"/>
      <c r="R633" s="111"/>
      <c r="S633" s="329"/>
      <c r="T633" s="111"/>
      <c r="U633" s="111"/>
      <c r="V633" s="370"/>
      <c r="W633" s="382"/>
      <c r="X633" s="539"/>
      <c r="Y633" s="539"/>
      <c r="Z633" s="201"/>
      <c r="AA633" s="353">
        <f>MIN(P633,S633,V633)</f>
        <v>0</v>
      </c>
      <c r="AB633" s="353">
        <f>MAX(P633,S633,V633)</f>
        <v>0</v>
      </c>
      <c r="AC633" s="353">
        <f>IF(P633+S633+V633=0,0,AVERAGE(P633,S633,V633))</f>
        <v>0</v>
      </c>
      <c r="AE633" s="111"/>
      <c r="AF633" s="111"/>
      <c r="AG633" s="111"/>
      <c r="AH633" s="545"/>
      <c r="AI633" s="131"/>
      <c r="AK633" s="111"/>
      <c r="AL633" s="111"/>
      <c r="AM633" s="111"/>
      <c r="AN633" s="545"/>
      <c r="AO633" s="131"/>
      <c r="AQ633" s="111"/>
      <c r="AR633" s="111"/>
      <c r="AS633" s="111"/>
      <c r="AT633" s="545"/>
      <c r="AU633" s="131"/>
      <c r="AW633" s="111"/>
      <c r="AX633" s="111"/>
      <c r="AY633" s="111"/>
      <c r="AZ633" s="545"/>
      <c r="BA633" s="131"/>
    </row>
    <row r="634" spans="1:53" ht="17.100000000000001" customHeight="1" x14ac:dyDescent="0.25">
      <c r="A634" s="40"/>
      <c r="B634" s="40"/>
      <c r="C634" s="40"/>
      <c r="D634" s="77" t="s">
        <v>704</v>
      </c>
      <c r="E634" s="134" t="s">
        <v>697</v>
      </c>
      <c r="F634" s="134"/>
      <c r="G634" s="134"/>
      <c r="H634" s="540"/>
      <c r="I634" s="229"/>
      <c r="J634" s="80"/>
      <c r="K634" s="80"/>
      <c r="L634" s="80"/>
      <c r="M634" s="80"/>
      <c r="N634" s="81"/>
      <c r="O634" s="81"/>
      <c r="P634" s="81">
        <f>IF(P633&gt;0,1,0)</f>
        <v>0</v>
      </c>
      <c r="Q634" s="81"/>
      <c r="R634" s="81"/>
      <c r="S634" s="81">
        <f>IF(S633&gt;0,1,0)</f>
        <v>0</v>
      </c>
      <c r="T634" s="81"/>
      <c r="U634" s="81"/>
      <c r="V634" s="356">
        <f>IF(V633&gt;0,1,0)</f>
        <v>0</v>
      </c>
      <c r="W634" s="382"/>
      <c r="X634" s="539"/>
      <c r="Y634" s="328">
        <f t="shared" ref="Y634" si="882">P634+S634+V634</f>
        <v>0</v>
      </c>
      <c r="Z634" s="19">
        <f t="shared" ref="Z634:Z636" si="883">IF(Y$636=0,0,Y634/Y$636)</f>
        <v>0</v>
      </c>
      <c r="AA634" s="201"/>
      <c r="AB634" s="201"/>
      <c r="AC634" s="84"/>
      <c r="AE634" s="80"/>
      <c r="AF634" s="80"/>
      <c r="AG634" s="81"/>
      <c r="AH634" s="82"/>
      <c r="AI634" s="66"/>
      <c r="AK634" s="80"/>
      <c r="AL634" s="80"/>
      <c r="AM634" s="81"/>
      <c r="AN634" s="82"/>
      <c r="AO634" s="66"/>
      <c r="AQ634" s="80"/>
      <c r="AR634" s="80"/>
      <c r="AS634" s="81"/>
      <c r="AT634" s="82"/>
      <c r="AU634" s="66"/>
      <c r="AW634" s="80"/>
      <c r="AX634" s="80"/>
      <c r="AY634" s="81"/>
      <c r="AZ634" s="82"/>
      <c r="BA634" s="66"/>
    </row>
    <row r="635" spans="1:53" s="117" customFormat="1" ht="17.100000000000001" customHeight="1" x14ac:dyDescent="0.25">
      <c r="A635" s="68"/>
      <c r="B635" s="40"/>
      <c r="C635" s="40"/>
      <c r="D635" s="74" t="s">
        <v>695</v>
      </c>
      <c r="E635" s="85" t="s">
        <v>696</v>
      </c>
      <c r="F635" s="105"/>
      <c r="G635" s="151"/>
      <c r="H635" s="119"/>
      <c r="I635" s="138"/>
      <c r="J635" s="111"/>
      <c r="K635" s="111"/>
      <c r="L635" s="111"/>
      <c r="M635" s="111"/>
      <c r="N635" s="111"/>
      <c r="O635" s="111"/>
      <c r="P635" s="327"/>
      <c r="Q635" s="111"/>
      <c r="R635" s="111"/>
      <c r="S635" s="327"/>
      <c r="T635" s="111"/>
      <c r="U635" s="111"/>
      <c r="V635" s="369"/>
      <c r="W635" s="391"/>
      <c r="X635" s="17"/>
      <c r="Y635" s="328">
        <f t="shared" ref="Y635" si="884">P635+S635+V635</f>
        <v>0</v>
      </c>
      <c r="Z635" s="19">
        <f t="shared" si="883"/>
        <v>0</v>
      </c>
      <c r="AA635" s="201"/>
      <c r="AB635" s="201"/>
      <c r="AC635" s="84"/>
      <c r="AE635" s="111"/>
      <c r="AF635" s="111"/>
      <c r="AG635" s="111"/>
      <c r="AH635" s="545"/>
      <c r="AI635" s="131"/>
      <c r="AK635" s="111"/>
      <c r="AL635" s="111"/>
      <c r="AM635" s="111"/>
      <c r="AN635" s="545"/>
      <c r="AO635" s="131"/>
      <c r="AQ635" s="111"/>
      <c r="AR635" s="111"/>
      <c r="AS635" s="111"/>
      <c r="AT635" s="545"/>
      <c r="AU635" s="131"/>
      <c r="AW635" s="111"/>
      <c r="AX635" s="111"/>
      <c r="AY635" s="111"/>
      <c r="AZ635" s="545"/>
      <c r="BA635" s="131"/>
    </row>
    <row r="636" spans="1:53" ht="17.100000000000001" customHeight="1" x14ac:dyDescent="0.25">
      <c r="A636" s="40"/>
      <c r="B636" s="40"/>
      <c r="C636" s="77"/>
      <c r="D636" s="134"/>
      <c r="E636" s="134"/>
      <c r="F636" s="134"/>
      <c r="G636" s="134"/>
      <c r="H636" s="540"/>
      <c r="I636" s="229"/>
      <c r="J636" s="80"/>
      <c r="K636" s="80"/>
      <c r="L636" s="80"/>
      <c r="M636" s="80"/>
      <c r="N636" s="81"/>
      <c r="O636" s="81"/>
      <c r="P636" s="82">
        <f>P632+P634+P635</f>
        <v>1</v>
      </c>
      <c r="Q636" s="81"/>
      <c r="R636" s="81"/>
      <c r="S636" s="82">
        <f>S632+S634+S635</f>
        <v>1</v>
      </c>
      <c r="T636" s="81"/>
      <c r="U636" s="81"/>
      <c r="V636" s="360">
        <f>V632+V634+V635</f>
        <v>0</v>
      </c>
      <c r="W636" s="381"/>
      <c r="X636" s="82"/>
      <c r="Y636" s="82">
        <f>SUM(Y630:Y635)</f>
        <v>2</v>
      </c>
      <c r="Z636" s="205">
        <f t="shared" si="883"/>
        <v>1</v>
      </c>
      <c r="AA636" s="205"/>
      <c r="AB636" s="205"/>
      <c r="AC636" s="83"/>
      <c r="AE636" s="80"/>
      <c r="AF636" s="80"/>
      <c r="AG636" s="81"/>
      <c r="AH636" s="82"/>
      <c r="AI636" s="66"/>
      <c r="AK636" s="80"/>
      <c r="AL636" s="80"/>
      <c r="AM636" s="81"/>
      <c r="AN636" s="82"/>
      <c r="AO636" s="66"/>
      <c r="AQ636" s="80"/>
      <c r="AR636" s="80"/>
      <c r="AS636" s="81"/>
      <c r="AT636" s="82"/>
      <c r="AU636" s="66"/>
      <c r="AW636" s="80"/>
      <c r="AX636" s="80"/>
      <c r="AY636" s="81"/>
      <c r="AZ636" s="82"/>
      <c r="BA636" s="66"/>
    </row>
    <row r="637" spans="1:53" s="117" customFormat="1" ht="17.100000000000001" customHeight="1" x14ac:dyDescent="0.25">
      <c r="A637" s="68"/>
      <c r="B637" s="119"/>
      <c r="C637" s="540"/>
      <c r="D637" s="261"/>
      <c r="E637" s="261"/>
      <c r="F637" s="68"/>
      <c r="G637" s="68"/>
      <c r="H637" s="119"/>
      <c r="I637" s="138"/>
      <c r="J637" s="17"/>
      <c r="K637" s="17"/>
      <c r="L637" s="17"/>
      <c r="M637" s="17"/>
      <c r="N637" s="17"/>
      <c r="O637" s="17"/>
      <c r="P637" s="17" t="str">
        <f>IF(P636=1,"OK","NOK")</f>
        <v>OK</v>
      </c>
      <c r="Q637" s="17"/>
      <c r="R637" s="17"/>
      <c r="S637" s="17" t="str">
        <f>IF(S636=1,"OK","NOK")</f>
        <v>OK</v>
      </c>
      <c r="T637" s="17"/>
      <c r="U637" s="17"/>
      <c r="V637" s="359" t="str">
        <f>IF(V636=1,"OK","NOK")</f>
        <v>NOK</v>
      </c>
      <c r="W637" s="382"/>
      <c r="X637" s="539"/>
      <c r="Y637" s="539"/>
      <c r="Z637" s="201"/>
      <c r="AA637" s="201"/>
      <c r="AB637" s="201"/>
      <c r="AC637" s="84"/>
      <c r="AE637" s="46"/>
      <c r="AF637" s="46"/>
      <c r="AG637" s="17"/>
      <c r="AH637" s="539"/>
      <c r="AI637" s="91"/>
      <c r="AK637" s="46"/>
      <c r="AL637" s="46"/>
      <c r="AM637" s="17"/>
      <c r="AN637" s="539"/>
      <c r="AO637" s="91"/>
      <c r="AQ637" s="46"/>
      <c r="AR637" s="46"/>
      <c r="AS637" s="17"/>
      <c r="AT637" s="539"/>
      <c r="AU637" s="91"/>
      <c r="AW637" s="46"/>
      <c r="AX637" s="46"/>
      <c r="AY637" s="17"/>
      <c r="AZ637" s="539"/>
      <c r="BA637" s="91"/>
    </row>
    <row r="638" spans="1:53" ht="17.100000000000001" customHeight="1" x14ac:dyDescent="0.25">
      <c r="A638" s="119"/>
      <c r="B638" s="119"/>
      <c r="C638" s="48" t="s">
        <v>698</v>
      </c>
      <c r="D638" s="551" t="s">
        <v>699</v>
      </c>
      <c r="E638" s="70"/>
      <c r="F638" s="70"/>
      <c r="G638" s="70"/>
      <c r="H638" s="119"/>
      <c r="J638" s="71"/>
      <c r="K638" s="71"/>
      <c r="L638" s="71"/>
      <c r="M638" s="71"/>
      <c r="N638" s="71"/>
      <c r="O638" s="71"/>
      <c r="P638" s="71"/>
      <c r="Q638" s="71"/>
      <c r="R638" s="71"/>
      <c r="S638" s="71"/>
      <c r="T638" s="71"/>
      <c r="U638" s="71"/>
      <c r="V638" s="355"/>
      <c r="W638" s="377"/>
      <c r="X638" s="71"/>
      <c r="Y638" s="72"/>
      <c r="Z638" s="73"/>
      <c r="AA638" s="73"/>
      <c r="AB638" s="73"/>
      <c r="AC638" s="73"/>
      <c r="AE638" s="71"/>
      <c r="AF638" s="71"/>
      <c r="AG638" s="71"/>
      <c r="AH638" s="72"/>
      <c r="AI638" s="73"/>
      <c r="AK638" s="71"/>
      <c r="AL638" s="71"/>
      <c r="AM638" s="71"/>
      <c r="AN638" s="72"/>
      <c r="AO638" s="73"/>
      <c r="AQ638" s="71"/>
      <c r="AR638" s="71"/>
      <c r="AS638" s="71"/>
      <c r="AT638" s="72"/>
      <c r="AU638" s="73"/>
      <c r="AW638" s="71"/>
      <c r="AX638" s="71"/>
      <c r="AY638" s="71"/>
      <c r="AZ638" s="72"/>
      <c r="BA638" s="73"/>
    </row>
    <row r="639" spans="1:53" s="117" customFormat="1" ht="17.100000000000001" customHeight="1" x14ac:dyDescent="0.25">
      <c r="A639" s="119"/>
      <c r="B639" s="40"/>
      <c r="C639" s="40"/>
      <c r="D639" s="74" t="s">
        <v>702</v>
      </c>
      <c r="E639" s="75" t="s">
        <v>692</v>
      </c>
      <c r="F639" s="105"/>
      <c r="G639" s="151"/>
      <c r="H639" s="119"/>
      <c r="I639" s="138"/>
      <c r="J639" s="111"/>
      <c r="K639" s="111"/>
      <c r="L639" s="111"/>
      <c r="M639" s="111"/>
      <c r="N639" s="111"/>
      <c r="O639" s="111"/>
      <c r="P639" s="327">
        <v>1</v>
      </c>
      <c r="Q639" s="111"/>
      <c r="R639" s="111"/>
      <c r="S639" s="327">
        <v>1</v>
      </c>
      <c r="T639" s="111"/>
      <c r="U639" s="111"/>
      <c r="V639" s="369"/>
      <c r="W639" s="391"/>
      <c r="X639" s="17"/>
      <c r="Y639" s="328">
        <f t="shared" ref="Y639" si="885">P639+S639+V639</f>
        <v>2</v>
      </c>
      <c r="Z639" s="19">
        <f>IF(Y$643=0,0,Y639/Y$643)</f>
        <v>1</v>
      </c>
      <c r="AA639" s="201"/>
      <c r="AB639" s="201"/>
      <c r="AC639" s="84"/>
      <c r="AE639" s="111"/>
      <c r="AF639" s="111"/>
      <c r="AG639" s="111"/>
      <c r="AH639" s="545"/>
      <c r="AI639" s="131"/>
      <c r="AK639" s="111"/>
      <c r="AL639" s="111"/>
      <c r="AM639" s="111"/>
      <c r="AN639" s="545"/>
      <c r="AO639" s="131"/>
      <c r="AQ639" s="111"/>
      <c r="AR639" s="111"/>
      <c r="AS639" s="111"/>
      <c r="AT639" s="545"/>
      <c r="AU639" s="131"/>
      <c r="AW639" s="111"/>
      <c r="AX639" s="111"/>
      <c r="AY639" s="111"/>
      <c r="AZ639" s="545"/>
      <c r="BA639" s="131"/>
    </row>
    <row r="640" spans="1:53" s="117" customFormat="1" ht="17.100000000000001" customHeight="1" x14ac:dyDescent="0.25">
      <c r="A640" s="68"/>
      <c r="B640" s="40"/>
      <c r="C640" s="40"/>
      <c r="D640" s="74" t="s">
        <v>693</v>
      </c>
      <c r="E640" s="85" t="s">
        <v>694</v>
      </c>
      <c r="F640" s="75"/>
      <c r="G640" s="151"/>
      <c r="H640" s="119"/>
      <c r="I640" s="138"/>
      <c r="J640" s="111"/>
      <c r="K640" s="111"/>
      <c r="L640" s="111"/>
      <c r="M640" s="111"/>
      <c r="N640" s="111"/>
      <c r="O640" s="111"/>
      <c r="P640" s="329"/>
      <c r="Q640" s="111"/>
      <c r="R640" s="111"/>
      <c r="S640" s="329"/>
      <c r="T640" s="111"/>
      <c r="U640" s="111"/>
      <c r="V640" s="370"/>
      <c r="W640" s="382"/>
      <c r="X640" s="539"/>
      <c r="Y640" s="539"/>
      <c r="Z640" s="19"/>
      <c r="AA640" s="353">
        <f>MIN(P640,S640,V640)</f>
        <v>0</v>
      </c>
      <c r="AB640" s="353">
        <f>MAX(P640,S640,V640)</f>
        <v>0</v>
      </c>
      <c r="AC640" s="353">
        <f>IF(P640+S640+V640=0,0,AVERAGE(P640,S640,V640))</f>
        <v>0</v>
      </c>
      <c r="AE640" s="111"/>
      <c r="AF640" s="111"/>
      <c r="AG640" s="111"/>
      <c r="AH640" s="545"/>
      <c r="AI640" s="131"/>
      <c r="AK640" s="111"/>
      <c r="AL640" s="111"/>
      <c r="AM640" s="111"/>
      <c r="AN640" s="545"/>
      <c r="AO640" s="131"/>
      <c r="AQ640" s="111"/>
      <c r="AR640" s="111"/>
      <c r="AS640" s="111"/>
      <c r="AT640" s="545"/>
      <c r="AU640" s="131"/>
      <c r="AW640" s="111"/>
      <c r="AX640" s="111"/>
      <c r="AY640" s="111"/>
      <c r="AZ640" s="545"/>
      <c r="BA640" s="131"/>
    </row>
    <row r="641" spans="1:53" ht="17.100000000000001" customHeight="1" x14ac:dyDescent="0.25">
      <c r="A641" s="40"/>
      <c r="B641" s="40"/>
      <c r="C641" s="40"/>
      <c r="D641" s="77" t="s">
        <v>693</v>
      </c>
      <c r="E641" s="134" t="s">
        <v>697</v>
      </c>
      <c r="F641" s="134"/>
      <c r="G641" s="134"/>
      <c r="H641" s="540"/>
      <c r="I641" s="229"/>
      <c r="J641" s="80"/>
      <c r="K641" s="80"/>
      <c r="L641" s="80"/>
      <c r="M641" s="80"/>
      <c r="N641" s="81"/>
      <c r="O641" s="81"/>
      <c r="P641" s="81">
        <f>IF(P640&gt;0,1,0)</f>
        <v>0</v>
      </c>
      <c r="Q641" s="81"/>
      <c r="R641" s="81"/>
      <c r="S641" s="81">
        <f>IF(S640&gt;0,1,0)</f>
        <v>0</v>
      </c>
      <c r="T641" s="81"/>
      <c r="U641" s="81"/>
      <c r="V641" s="356">
        <f>IF(V640&gt;0,1,0)</f>
        <v>0</v>
      </c>
      <c r="W641" s="382"/>
      <c r="X641" s="539"/>
      <c r="Y641" s="328">
        <f t="shared" ref="Y641:Y642" si="886">P641+S641+V641</f>
        <v>0</v>
      </c>
      <c r="Z641" s="19">
        <f t="shared" ref="Z641:Z643" si="887">IF(Y$643=0,0,Y641/Y$643)</f>
        <v>0</v>
      </c>
      <c r="AA641" s="201"/>
      <c r="AB641" s="201"/>
      <c r="AC641" s="84"/>
      <c r="AE641" s="80"/>
      <c r="AF641" s="80"/>
      <c r="AG641" s="81"/>
      <c r="AH641" s="82"/>
      <c r="AI641" s="66"/>
      <c r="AK641" s="80"/>
      <c r="AL641" s="80"/>
      <c r="AM641" s="81"/>
      <c r="AN641" s="82"/>
      <c r="AO641" s="66"/>
      <c r="AQ641" s="80"/>
      <c r="AR641" s="80"/>
      <c r="AS641" s="81"/>
      <c r="AT641" s="82"/>
      <c r="AU641" s="66"/>
      <c r="AW641" s="80"/>
      <c r="AX641" s="80"/>
      <c r="AY641" s="81"/>
      <c r="AZ641" s="82"/>
      <c r="BA641" s="66"/>
    </row>
    <row r="642" spans="1:53" s="117" customFormat="1" ht="17.100000000000001" customHeight="1" x14ac:dyDescent="0.25">
      <c r="A642" s="68"/>
      <c r="B642" s="40"/>
      <c r="C642" s="40"/>
      <c r="D642" s="74" t="s">
        <v>703</v>
      </c>
      <c r="E642" s="85" t="s">
        <v>696</v>
      </c>
      <c r="F642" s="105"/>
      <c r="G642" s="151"/>
      <c r="H642" s="119"/>
      <c r="I642" s="138"/>
      <c r="J642" s="111"/>
      <c r="K642" s="111"/>
      <c r="L642" s="111"/>
      <c r="M642" s="111"/>
      <c r="N642" s="111"/>
      <c r="O642" s="111"/>
      <c r="P642" s="327"/>
      <c r="Q642" s="111"/>
      <c r="R642" s="111"/>
      <c r="S642" s="327"/>
      <c r="T642" s="111"/>
      <c r="U642" s="111"/>
      <c r="V642" s="369"/>
      <c r="W642" s="391"/>
      <c r="X642" s="17"/>
      <c r="Y642" s="328">
        <f t="shared" si="886"/>
        <v>0</v>
      </c>
      <c r="Z642" s="19">
        <f t="shared" si="887"/>
        <v>0</v>
      </c>
      <c r="AA642" s="201"/>
      <c r="AB642" s="201"/>
      <c r="AC642" s="84"/>
      <c r="AE642" s="111"/>
      <c r="AF642" s="111"/>
      <c r="AG642" s="111"/>
      <c r="AH642" s="545"/>
      <c r="AI642" s="131"/>
      <c r="AK642" s="111"/>
      <c r="AL642" s="111"/>
      <c r="AM642" s="111"/>
      <c r="AN642" s="545"/>
      <c r="AO642" s="131"/>
      <c r="AQ642" s="111"/>
      <c r="AR642" s="111"/>
      <c r="AS642" s="111"/>
      <c r="AT642" s="545"/>
      <c r="AU642" s="131"/>
      <c r="AW642" s="111"/>
      <c r="AX642" s="111"/>
      <c r="AY642" s="111"/>
      <c r="AZ642" s="545"/>
      <c r="BA642" s="131"/>
    </row>
    <row r="643" spans="1:53" ht="17.100000000000001" customHeight="1" x14ac:dyDescent="0.25">
      <c r="A643" s="40"/>
      <c r="B643" s="40"/>
      <c r="C643" s="77"/>
      <c r="D643" s="134"/>
      <c r="E643" s="134"/>
      <c r="F643" s="134"/>
      <c r="G643" s="134"/>
      <c r="H643" s="540"/>
      <c r="I643" s="229"/>
      <c r="J643" s="80"/>
      <c r="K643" s="80"/>
      <c r="L643" s="80"/>
      <c r="M643" s="80"/>
      <c r="N643" s="81"/>
      <c r="O643" s="81"/>
      <c r="P643" s="82">
        <f>P639+P641+P642</f>
        <v>1</v>
      </c>
      <c r="Q643" s="81"/>
      <c r="R643" s="81"/>
      <c r="S643" s="82">
        <f>S639+S641+S642</f>
        <v>1</v>
      </c>
      <c r="T643" s="81"/>
      <c r="U643" s="81"/>
      <c r="V643" s="360">
        <f>V639+V641+V642</f>
        <v>0</v>
      </c>
      <c r="W643" s="381"/>
      <c r="X643" s="82"/>
      <c r="Y643" s="82">
        <f>SUM(Y637:Y642)</f>
        <v>2</v>
      </c>
      <c r="Z643" s="205">
        <f t="shared" si="887"/>
        <v>1</v>
      </c>
      <c r="AA643" s="205"/>
      <c r="AB643" s="205"/>
      <c r="AC643" s="83"/>
      <c r="AE643" s="80"/>
      <c r="AF643" s="80"/>
      <c r="AG643" s="81"/>
      <c r="AH643" s="82"/>
      <c r="AI643" s="66"/>
      <c r="AK643" s="80"/>
      <c r="AL643" s="80"/>
      <c r="AM643" s="81"/>
      <c r="AN643" s="82"/>
      <c r="AO643" s="66"/>
      <c r="AQ643" s="80"/>
      <c r="AR643" s="80"/>
      <c r="AS643" s="81"/>
      <c r="AT643" s="82"/>
      <c r="AU643" s="66"/>
      <c r="AW643" s="80"/>
      <c r="AX643" s="80"/>
      <c r="AY643" s="81"/>
      <c r="AZ643" s="82"/>
      <c r="BA643" s="66"/>
    </row>
    <row r="644" spans="1:53" s="117" customFormat="1" ht="17.100000000000001" customHeight="1" x14ac:dyDescent="0.25">
      <c r="A644" s="68"/>
      <c r="B644" s="119"/>
      <c r="C644" s="540"/>
      <c r="D644" s="261"/>
      <c r="E644" s="261"/>
      <c r="F644" s="68"/>
      <c r="G644" s="68"/>
      <c r="H644" s="119"/>
      <c r="I644" s="138"/>
      <c r="J644" s="17"/>
      <c r="K644" s="17"/>
      <c r="L644" s="17"/>
      <c r="M644" s="17"/>
      <c r="N644" s="17"/>
      <c r="O644" s="17"/>
      <c r="P644" s="17" t="str">
        <f>IF(P643=1,"OK","NOK")</f>
        <v>OK</v>
      </c>
      <c r="Q644" s="17"/>
      <c r="R644" s="17"/>
      <c r="S644" s="17" t="str">
        <f>IF(S643=1,"OK","NOK")</f>
        <v>OK</v>
      </c>
      <c r="T644" s="17"/>
      <c r="U644" s="17"/>
      <c r="V644" s="359" t="str">
        <f>IF(V643=1,"OK","NOK")</f>
        <v>NOK</v>
      </c>
      <c r="W644" s="382"/>
      <c r="X644" s="539"/>
      <c r="Y644" s="539"/>
      <c r="Z644" s="201"/>
      <c r="AA644" s="201"/>
      <c r="AB644" s="201"/>
      <c r="AC644" s="84"/>
      <c r="AE644" s="46"/>
      <c r="AF644" s="46"/>
      <c r="AG644" s="17"/>
      <c r="AH644" s="539"/>
      <c r="AI644" s="91"/>
      <c r="AK644" s="46"/>
      <c r="AL644" s="46"/>
      <c r="AM644" s="17"/>
      <c r="AN644" s="539"/>
      <c r="AO644" s="91"/>
      <c r="AQ644" s="46"/>
      <c r="AR644" s="46"/>
      <c r="AS644" s="17"/>
      <c r="AT644" s="539"/>
      <c r="AU644" s="91"/>
      <c r="AW644" s="46"/>
      <c r="AX644" s="46"/>
      <c r="AY644" s="17"/>
      <c r="AZ644" s="539"/>
      <c r="BA644" s="91"/>
    </row>
    <row r="645" spans="1:53" ht="17.100000000000001" customHeight="1" x14ac:dyDescent="0.25">
      <c r="A645" s="119"/>
      <c r="B645" s="119"/>
      <c r="C645" s="48" t="s">
        <v>700</v>
      </c>
      <c r="D645" s="551" t="s">
        <v>701</v>
      </c>
      <c r="E645" s="43"/>
      <c r="F645" s="43"/>
      <c r="G645" s="43"/>
      <c r="H645" s="43"/>
      <c r="I645" s="43"/>
      <c r="J645" s="44"/>
      <c r="K645" s="71"/>
      <c r="L645" s="71"/>
      <c r="M645" s="71"/>
      <c r="N645" s="71"/>
      <c r="O645" s="71"/>
      <c r="P645" s="71"/>
      <c r="Q645" s="71"/>
      <c r="R645" s="71"/>
      <c r="S645" s="71"/>
      <c r="T645" s="71"/>
      <c r="U645" s="71"/>
      <c r="V645" s="355"/>
      <c r="W645" s="377"/>
      <c r="X645" s="71"/>
      <c r="Y645" s="72"/>
      <c r="Z645" s="73"/>
      <c r="AA645" s="73"/>
      <c r="AB645" s="73"/>
      <c r="AC645" s="73"/>
      <c r="AE645" s="71"/>
      <c r="AF645" s="71"/>
      <c r="AG645" s="71"/>
      <c r="AH645" s="72"/>
      <c r="AI645" s="73"/>
      <c r="AK645" s="71"/>
      <c r="AL645" s="71"/>
      <c r="AM645" s="71"/>
      <c r="AN645" s="72"/>
      <c r="AO645" s="73"/>
      <c r="AQ645" s="71"/>
      <c r="AR645" s="71"/>
      <c r="AS645" s="71"/>
      <c r="AT645" s="72"/>
      <c r="AU645" s="73"/>
      <c r="AW645" s="71"/>
      <c r="AX645" s="71"/>
      <c r="AY645" s="71"/>
      <c r="AZ645" s="72"/>
      <c r="BA645" s="73"/>
    </row>
    <row r="646" spans="1:53" s="117" customFormat="1" ht="17.100000000000001" customHeight="1" x14ac:dyDescent="0.25">
      <c r="A646" s="119"/>
      <c r="B646" s="40"/>
      <c r="C646" s="40"/>
      <c r="D646" s="74" t="s">
        <v>705</v>
      </c>
      <c r="E646" s="75" t="s">
        <v>692</v>
      </c>
      <c r="F646" s="105"/>
      <c r="G646" s="151"/>
      <c r="H646" s="119"/>
      <c r="I646" s="138"/>
      <c r="J646" s="111"/>
      <c r="K646" s="111"/>
      <c r="L646" s="111"/>
      <c r="M646" s="111"/>
      <c r="N646" s="111"/>
      <c r="O646" s="111"/>
      <c r="P646" s="327">
        <v>1</v>
      </c>
      <c r="Q646" s="111"/>
      <c r="R646" s="111"/>
      <c r="S646" s="327">
        <v>1</v>
      </c>
      <c r="T646" s="111"/>
      <c r="U646" s="111"/>
      <c r="V646" s="369"/>
      <c r="W646" s="391"/>
      <c r="X646" s="17"/>
      <c r="Y646" s="328">
        <f t="shared" ref="Y646" si="888">P646+S646+V646</f>
        <v>2</v>
      </c>
      <c r="Z646" s="19">
        <f>IF(Y$650=0,0,Y646/Y$650)</f>
        <v>1</v>
      </c>
      <c r="AA646" s="201"/>
      <c r="AB646" s="201"/>
      <c r="AC646" s="84"/>
      <c r="AE646" s="111"/>
      <c r="AF646" s="111"/>
      <c r="AG646" s="111"/>
      <c r="AH646" s="545"/>
      <c r="AI646" s="131"/>
      <c r="AK646" s="111"/>
      <c r="AL646" s="111"/>
      <c r="AM646" s="111"/>
      <c r="AN646" s="545"/>
      <c r="AO646" s="131"/>
      <c r="AQ646" s="111"/>
      <c r="AR646" s="111"/>
      <c r="AS646" s="111"/>
      <c r="AT646" s="545"/>
      <c r="AU646" s="131"/>
      <c r="AW646" s="111"/>
      <c r="AX646" s="111"/>
      <c r="AY646" s="111"/>
      <c r="AZ646" s="545"/>
      <c r="BA646" s="131"/>
    </row>
    <row r="647" spans="1:53" s="117" customFormat="1" ht="17.100000000000001" customHeight="1" x14ac:dyDescent="0.25">
      <c r="A647" s="68"/>
      <c r="B647" s="40"/>
      <c r="C647" s="40"/>
      <c r="D647" s="74" t="s">
        <v>706</v>
      </c>
      <c r="E647" s="85" t="s">
        <v>694</v>
      </c>
      <c r="F647" s="75"/>
      <c r="G647" s="151"/>
      <c r="H647" s="119"/>
      <c r="I647" s="138"/>
      <c r="J647" s="111"/>
      <c r="K647" s="111"/>
      <c r="L647" s="111"/>
      <c r="M647" s="111"/>
      <c r="N647" s="111"/>
      <c r="O647" s="111"/>
      <c r="P647" s="329"/>
      <c r="Q647" s="111"/>
      <c r="R647" s="111"/>
      <c r="S647" s="329"/>
      <c r="T647" s="111"/>
      <c r="U647" s="111"/>
      <c r="V647" s="370"/>
      <c r="W647" s="382"/>
      <c r="X647" s="539"/>
      <c r="Y647" s="539"/>
      <c r="Z647" s="201"/>
      <c r="AA647" s="353">
        <f>MIN(P647,S647,V647)</f>
        <v>0</v>
      </c>
      <c r="AB647" s="353">
        <f>MAX(P647,S647,V647)</f>
        <v>0</v>
      </c>
      <c r="AC647" s="353">
        <f>IF(P647+S647+V647=0,0,AVERAGE(P647,S647,V647))</f>
        <v>0</v>
      </c>
      <c r="AE647" s="111"/>
      <c r="AF647" s="111"/>
      <c r="AG647" s="111"/>
      <c r="AH647" s="545"/>
      <c r="AI647" s="131"/>
      <c r="AK647" s="111"/>
      <c r="AL647" s="111"/>
      <c r="AM647" s="111"/>
      <c r="AN647" s="545"/>
      <c r="AO647" s="131"/>
      <c r="AQ647" s="111"/>
      <c r="AR647" s="111"/>
      <c r="AS647" s="111"/>
      <c r="AT647" s="545"/>
      <c r="AU647" s="131"/>
      <c r="AW647" s="111"/>
      <c r="AX647" s="111"/>
      <c r="AY647" s="111"/>
      <c r="AZ647" s="545"/>
      <c r="BA647" s="131"/>
    </row>
    <row r="648" spans="1:53" ht="17.100000000000001" customHeight="1" x14ac:dyDescent="0.25">
      <c r="A648" s="40"/>
      <c r="B648" s="40"/>
      <c r="C648" s="40"/>
      <c r="D648" s="77" t="s">
        <v>706</v>
      </c>
      <c r="E648" s="134" t="s">
        <v>697</v>
      </c>
      <c r="F648" s="134"/>
      <c r="G648" s="134"/>
      <c r="H648" s="540"/>
      <c r="I648" s="229"/>
      <c r="J648" s="80"/>
      <c r="K648" s="80"/>
      <c r="L648" s="80"/>
      <c r="M648" s="80"/>
      <c r="N648" s="81"/>
      <c r="O648" s="81"/>
      <c r="P648" s="81">
        <f>IF(P647&gt;0,1,0)</f>
        <v>0</v>
      </c>
      <c r="Q648" s="81"/>
      <c r="R648" s="81"/>
      <c r="S648" s="81">
        <f>IF(S647&gt;0,1,0)</f>
        <v>0</v>
      </c>
      <c r="T648" s="81"/>
      <c r="U648" s="81"/>
      <c r="V648" s="356">
        <f>IF(V647&gt;0,1,0)</f>
        <v>0</v>
      </c>
      <c r="W648" s="382"/>
      <c r="X648" s="539"/>
      <c r="Y648" s="328">
        <f t="shared" ref="Y648:Y649" si="889">P648+S648+V648</f>
        <v>0</v>
      </c>
      <c r="Z648" s="19">
        <f t="shared" ref="Z648:Z650" si="890">IF(Y$650=0,0,Y648/Y$650)</f>
        <v>0</v>
      </c>
      <c r="AA648" s="201"/>
      <c r="AB648" s="201"/>
      <c r="AC648" s="84"/>
      <c r="AE648" s="80"/>
      <c r="AF648" s="80"/>
      <c r="AG648" s="81"/>
      <c r="AH648" s="82"/>
      <c r="AI648" s="66"/>
      <c r="AK648" s="80"/>
      <c r="AL648" s="80"/>
      <c r="AM648" s="81"/>
      <c r="AN648" s="82"/>
      <c r="AO648" s="66"/>
      <c r="AQ648" s="80"/>
      <c r="AR648" s="80"/>
      <c r="AS648" s="81"/>
      <c r="AT648" s="82"/>
      <c r="AU648" s="66"/>
      <c r="AW648" s="80"/>
      <c r="AX648" s="80"/>
      <c r="AY648" s="81"/>
      <c r="AZ648" s="82"/>
      <c r="BA648" s="66"/>
    </row>
    <row r="649" spans="1:53" s="117" customFormat="1" ht="17.100000000000001" customHeight="1" x14ac:dyDescent="0.25">
      <c r="A649" s="68"/>
      <c r="B649" s="40"/>
      <c r="C649" s="40"/>
      <c r="D649" s="74" t="s">
        <v>707</v>
      </c>
      <c r="E649" s="85" t="s">
        <v>696</v>
      </c>
      <c r="F649" s="105"/>
      <c r="G649" s="151"/>
      <c r="H649" s="119"/>
      <c r="I649" s="138"/>
      <c r="J649" s="111"/>
      <c r="K649" s="111"/>
      <c r="L649" s="111"/>
      <c r="M649" s="111"/>
      <c r="N649" s="111"/>
      <c r="O649" s="111"/>
      <c r="P649" s="327"/>
      <c r="Q649" s="111"/>
      <c r="R649" s="111"/>
      <c r="S649" s="327"/>
      <c r="T649" s="111"/>
      <c r="U649" s="111"/>
      <c r="V649" s="369"/>
      <c r="W649" s="391"/>
      <c r="X649" s="17"/>
      <c r="Y649" s="328">
        <f t="shared" si="889"/>
        <v>0</v>
      </c>
      <c r="Z649" s="19">
        <f t="shared" si="890"/>
        <v>0</v>
      </c>
      <c r="AA649" s="201"/>
      <c r="AB649" s="201"/>
      <c r="AC649" s="84"/>
      <c r="AE649" s="111"/>
      <c r="AF649" s="111"/>
      <c r="AG649" s="111"/>
      <c r="AH649" s="545"/>
      <c r="AI649" s="131"/>
      <c r="AK649" s="111"/>
      <c r="AL649" s="111"/>
      <c r="AM649" s="111"/>
      <c r="AN649" s="545"/>
      <c r="AO649" s="131"/>
      <c r="AQ649" s="111"/>
      <c r="AR649" s="111"/>
      <c r="AS649" s="111"/>
      <c r="AT649" s="545"/>
      <c r="AU649" s="131"/>
      <c r="AW649" s="111"/>
      <c r="AX649" s="111"/>
      <c r="AY649" s="111"/>
      <c r="AZ649" s="545"/>
      <c r="BA649" s="131"/>
    </row>
    <row r="650" spans="1:53" ht="17.100000000000001" customHeight="1" x14ac:dyDescent="0.25">
      <c r="A650" s="40"/>
      <c r="B650" s="40"/>
      <c r="C650" s="77"/>
      <c r="D650" s="134"/>
      <c r="E650" s="134"/>
      <c r="F650" s="134"/>
      <c r="G650" s="134"/>
      <c r="H650" s="540"/>
      <c r="I650" s="229"/>
      <c r="J650" s="80"/>
      <c r="K650" s="80"/>
      <c r="L650" s="80"/>
      <c r="M650" s="80"/>
      <c r="N650" s="81"/>
      <c r="O650" s="81"/>
      <c r="P650" s="82">
        <f>P646+P648+P649</f>
        <v>1</v>
      </c>
      <c r="Q650" s="81"/>
      <c r="R650" s="81"/>
      <c r="S650" s="82">
        <f>S646+S648+S649</f>
        <v>1</v>
      </c>
      <c r="T650" s="81"/>
      <c r="U650" s="81"/>
      <c r="V650" s="360">
        <f>V646+V648+V649</f>
        <v>0</v>
      </c>
      <c r="W650" s="381"/>
      <c r="X650" s="82"/>
      <c r="Y650" s="82">
        <f>SUM(Y644:Y649)</f>
        <v>2</v>
      </c>
      <c r="Z650" s="205">
        <f t="shared" si="890"/>
        <v>1</v>
      </c>
      <c r="AA650" s="205"/>
      <c r="AB650" s="205"/>
      <c r="AC650" s="83"/>
      <c r="AE650" s="80"/>
      <c r="AF650" s="80"/>
      <c r="AG650" s="81"/>
      <c r="AH650" s="82"/>
      <c r="AI650" s="66"/>
      <c r="AK650" s="80"/>
      <c r="AL650" s="80"/>
      <c r="AM650" s="81"/>
      <c r="AN650" s="82"/>
      <c r="AO650" s="66"/>
      <c r="AQ650" s="80"/>
      <c r="AR650" s="80"/>
      <c r="AS650" s="81"/>
      <c r="AT650" s="82"/>
      <c r="AU650" s="66"/>
      <c r="AW650" s="80"/>
      <c r="AX650" s="80"/>
      <c r="AY650" s="81"/>
      <c r="AZ650" s="82"/>
      <c r="BA650" s="66"/>
    </row>
    <row r="651" spans="1:53" s="117" customFormat="1" ht="17.100000000000001" customHeight="1" x14ac:dyDescent="0.25">
      <c r="A651" s="68"/>
      <c r="B651" s="119"/>
      <c r="C651" s="540"/>
      <c r="D651" s="261"/>
      <c r="E651" s="261"/>
      <c r="F651" s="68"/>
      <c r="G651" s="68"/>
      <c r="H651" s="119"/>
      <c r="I651" s="138"/>
      <c r="J651" s="17"/>
      <c r="K651" s="17"/>
      <c r="L651" s="17"/>
      <c r="M651" s="17"/>
      <c r="N651" s="17"/>
      <c r="O651" s="17"/>
      <c r="P651" s="17" t="str">
        <f>IF(P650=1,"OK","NOK")</f>
        <v>OK</v>
      </c>
      <c r="Q651" s="17"/>
      <c r="R651" s="17"/>
      <c r="S651" s="17" t="str">
        <f>IF(S650=1,"OK","NOK")</f>
        <v>OK</v>
      </c>
      <c r="T651" s="17"/>
      <c r="U651" s="17"/>
      <c r="V651" s="359" t="str">
        <f>IF(V650=1,"OK","NOK")</f>
        <v>NOK</v>
      </c>
      <c r="W651" s="382"/>
      <c r="X651" s="539"/>
      <c r="Y651" s="539"/>
      <c r="Z651" s="201"/>
      <c r="AA651" s="201"/>
      <c r="AB651" s="201"/>
      <c r="AC651" s="84"/>
      <c r="AE651" s="46"/>
      <c r="AF651" s="46"/>
      <c r="AG651" s="17"/>
      <c r="AH651" s="539"/>
      <c r="AI651" s="91"/>
      <c r="AK651" s="46"/>
      <c r="AL651" s="46"/>
      <c r="AM651" s="17"/>
      <c r="AN651" s="539"/>
      <c r="AO651" s="91"/>
      <c r="AQ651" s="46"/>
      <c r="AR651" s="46"/>
      <c r="AS651" s="17"/>
      <c r="AT651" s="539"/>
      <c r="AU651" s="91"/>
      <c r="AW651" s="46"/>
      <c r="AX651" s="46"/>
      <c r="AY651" s="17"/>
      <c r="AZ651" s="539"/>
      <c r="BA651" s="91"/>
    </row>
    <row r="652" spans="1:53" ht="17.100000000000001" customHeight="1" x14ac:dyDescent="0.25">
      <c r="A652" s="119"/>
      <c r="B652" s="48" t="s">
        <v>708</v>
      </c>
      <c r="C652" s="50" t="s">
        <v>709</v>
      </c>
      <c r="D652" s="50"/>
      <c r="E652" s="70"/>
      <c r="F652" s="70"/>
      <c r="G652" s="70"/>
      <c r="H652" s="119"/>
      <c r="J652" s="71"/>
      <c r="K652" s="71"/>
      <c r="L652" s="71"/>
      <c r="M652" s="71"/>
      <c r="N652" s="71"/>
      <c r="O652" s="71"/>
      <c r="P652" s="71"/>
      <c r="Q652" s="71"/>
      <c r="R652" s="71"/>
      <c r="S652" s="71"/>
      <c r="T652" s="71"/>
      <c r="U652" s="71"/>
      <c r="V652" s="355"/>
      <c r="W652" s="377"/>
      <c r="X652" s="71"/>
      <c r="Y652" s="72"/>
      <c r="Z652" s="73"/>
      <c r="AA652" s="73"/>
      <c r="AB652" s="73"/>
      <c r="AC652" s="73"/>
      <c r="AE652" s="71"/>
      <c r="AF652" s="71"/>
      <c r="AG652" s="71"/>
      <c r="AH652" s="72"/>
      <c r="AI652" s="73"/>
      <c r="AK652" s="71"/>
      <c r="AL652" s="71"/>
      <c r="AM652" s="71"/>
      <c r="AN652" s="72"/>
      <c r="AO652" s="73"/>
      <c r="AQ652" s="71"/>
      <c r="AR652" s="71"/>
      <c r="AS652" s="71"/>
      <c r="AT652" s="72"/>
      <c r="AU652" s="73"/>
      <c r="AW652" s="71"/>
      <c r="AX652" s="71"/>
      <c r="AY652" s="71"/>
      <c r="AZ652" s="72"/>
      <c r="BA652" s="73"/>
    </row>
    <row r="653" spans="1:53" ht="17.100000000000001" customHeight="1" x14ac:dyDescent="0.25">
      <c r="A653" s="119"/>
      <c r="B653" s="119"/>
      <c r="C653" s="48" t="s">
        <v>710</v>
      </c>
      <c r="D653" s="50" t="s">
        <v>711</v>
      </c>
      <c r="E653" s="70"/>
      <c r="F653" s="70"/>
      <c r="G653" s="70"/>
      <c r="H653" s="119"/>
      <c r="J653" s="71"/>
      <c r="K653" s="71"/>
      <c r="L653" s="71"/>
      <c r="M653" s="71"/>
      <c r="N653" s="71"/>
      <c r="O653" s="71"/>
      <c r="P653" s="71"/>
      <c r="Q653" s="71"/>
      <c r="R653" s="71"/>
      <c r="S653" s="71"/>
      <c r="T653" s="71"/>
      <c r="U653" s="71"/>
      <c r="V653" s="355"/>
      <c r="W653" s="377"/>
      <c r="X653" s="71"/>
      <c r="Y653" s="72"/>
      <c r="Z653" s="73"/>
      <c r="AA653" s="73"/>
      <c r="AB653" s="73"/>
      <c r="AC653" s="73"/>
      <c r="AE653" s="71"/>
      <c r="AF653" s="71"/>
      <c r="AG653" s="71"/>
      <c r="AH653" s="72"/>
      <c r="AI653" s="73"/>
      <c r="AK653" s="71"/>
      <c r="AL653" s="71"/>
      <c r="AM653" s="71"/>
      <c r="AN653" s="72"/>
      <c r="AO653" s="73"/>
      <c r="AQ653" s="71"/>
      <c r="AR653" s="71"/>
      <c r="AS653" s="71"/>
      <c r="AT653" s="72"/>
      <c r="AU653" s="73"/>
      <c r="AW653" s="71"/>
      <c r="AX653" s="71"/>
      <c r="AY653" s="71"/>
      <c r="AZ653" s="72"/>
      <c r="BA653" s="73"/>
    </row>
    <row r="654" spans="1:53" s="117" customFormat="1" ht="17.100000000000001" customHeight="1" x14ac:dyDescent="0.25">
      <c r="A654" s="68"/>
      <c r="B654" s="119"/>
      <c r="C654" s="92"/>
      <c r="D654" s="180" t="s">
        <v>712</v>
      </c>
      <c r="E654" s="85" t="s">
        <v>692</v>
      </c>
      <c r="F654" s="75"/>
      <c r="G654" s="151"/>
      <c r="H654" s="119"/>
      <c r="I654" s="138"/>
      <c r="J654" s="111"/>
      <c r="K654" s="111"/>
      <c r="L654" s="111"/>
      <c r="M654" s="111"/>
      <c r="N654" s="111"/>
      <c r="O654" s="111"/>
      <c r="P654" s="327"/>
      <c r="Q654" s="111"/>
      <c r="R654" s="111"/>
      <c r="S654" s="327">
        <v>1</v>
      </c>
      <c r="T654" s="111"/>
      <c r="U654" s="111"/>
      <c r="V654" s="369"/>
      <c r="W654" s="382"/>
      <c r="X654" s="539"/>
      <c r="Y654" s="328">
        <f t="shared" ref="Y654:Y662" si="891">P654+S654+V654</f>
        <v>1</v>
      </c>
      <c r="Z654" s="19">
        <f>IF(Y$663=0,0,Y654/Y$663)</f>
        <v>0.5</v>
      </c>
      <c r="AA654" s="201"/>
      <c r="AB654" s="201"/>
      <c r="AC654" s="84"/>
      <c r="AE654" s="111"/>
      <c r="AF654" s="111"/>
      <c r="AG654" s="111"/>
      <c r="AH654" s="545"/>
      <c r="AI654" s="131"/>
      <c r="AK654" s="111"/>
      <c r="AL654" s="111"/>
      <c r="AM654" s="111"/>
      <c r="AN654" s="545"/>
      <c r="AO654" s="131"/>
      <c r="AQ654" s="111"/>
      <c r="AR654" s="111"/>
      <c r="AS654" s="111"/>
      <c r="AT654" s="545"/>
      <c r="AU654" s="131"/>
      <c r="AW654" s="111"/>
      <c r="AX654" s="111"/>
      <c r="AY654" s="111"/>
      <c r="AZ654" s="545"/>
      <c r="BA654" s="131"/>
    </row>
    <row r="655" spans="1:53" s="117" customFormat="1" ht="17.100000000000001" customHeight="1" x14ac:dyDescent="0.25">
      <c r="A655" s="68"/>
      <c r="B655" s="119"/>
      <c r="C655" s="92"/>
      <c r="D655" s="180" t="s">
        <v>713</v>
      </c>
      <c r="E655" s="85" t="s">
        <v>512</v>
      </c>
      <c r="F655" s="75"/>
      <c r="G655" s="151"/>
      <c r="H655" s="119"/>
      <c r="I655" s="138"/>
      <c r="J655" s="111"/>
      <c r="K655" s="111"/>
      <c r="L655" s="111"/>
      <c r="M655" s="111"/>
      <c r="N655" s="111"/>
      <c r="O655" s="111"/>
      <c r="P655" s="329"/>
      <c r="Q655" s="111"/>
      <c r="R655" s="111"/>
      <c r="S655" s="329"/>
      <c r="T655" s="111"/>
      <c r="U655" s="111"/>
      <c r="V655" s="370"/>
      <c r="W655" s="382"/>
      <c r="X655" s="539"/>
      <c r="Y655" s="328">
        <f t="shared" si="891"/>
        <v>0</v>
      </c>
      <c r="Z655" s="19">
        <f t="shared" ref="Z655:Z663" si="892">IF(Y$663=0,0,Y655/Y$663)</f>
        <v>0</v>
      </c>
      <c r="AA655" s="201"/>
      <c r="AB655" s="201"/>
      <c r="AC655" s="84"/>
      <c r="AE655" s="111"/>
      <c r="AF655" s="111"/>
      <c r="AG655" s="111"/>
      <c r="AH655" s="545"/>
      <c r="AI655" s="131"/>
      <c r="AK655" s="111"/>
      <c r="AL655" s="111"/>
      <c r="AM655" s="111"/>
      <c r="AN655" s="545"/>
      <c r="AO655" s="131"/>
      <c r="AQ655" s="111"/>
      <c r="AR655" s="111"/>
      <c r="AS655" s="111"/>
      <c r="AT655" s="545"/>
      <c r="AU655" s="131"/>
      <c r="AW655" s="111"/>
      <c r="AX655" s="111"/>
      <c r="AY655" s="111"/>
      <c r="AZ655" s="545"/>
      <c r="BA655" s="131"/>
    </row>
    <row r="656" spans="1:53" s="117" customFormat="1" ht="17.100000000000001" customHeight="1" x14ac:dyDescent="0.25">
      <c r="A656" s="68"/>
      <c r="B656" s="119"/>
      <c r="C656" s="92"/>
      <c r="D656" s="180" t="s">
        <v>714</v>
      </c>
      <c r="E656" s="85" t="s">
        <v>513</v>
      </c>
      <c r="F656" s="75"/>
      <c r="G656" s="151"/>
      <c r="H656" s="119"/>
      <c r="I656" s="138"/>
      <c r="J656" s="111"/>
      <c r="K656" s="111"/>
      <c r="L656" s="111"/>
      <c r="M656" s="111"/>
      <c r="N656" s="111"/>
      <c r="O656" s="111"/>
      <c r="P656" s="327"/>
      <c r="Q656" s="111"/>
      <c r="R656" s="111"/>
      <c r="S656" s="327"/>
      <c r="T656" s="111"/>
      <c r="U656" s="111"/>
      <c r="V656" s="369"/>
      <c r="W656" s="382"/>
      <c r="X656" s="539"/>
      <c r="Y656" s="328">
        <f t="shared" si="891"/>
        <v>0</v>
      </c>
      <c r="Z656" s="19">
        <f t="shared" si="892"/>
        <v>0</v>
      </c>
      <c r="AA656" s="201"/>
      <c r="AB656" s="201"/>
      <c r="AC656" s="84"/>
      <c r="AE656" s="111"/>
      <c r="AF656" s="111"/>
      <c r="AG656" s="111"/>
      <c r="AH656" s="545"/>
      <c r="AI656" s="131"/>
      <c r="AK656" s="111"/>
      <c r="AL656" s="111"/>
      <c r="AM656" s="111"/>
      <c r="AN656" s="545"/>
      <c r="AO656" s="131"/>
      <c r="AQ656" s="111"/>
      <c r="AR656" s="111"/>
      <c r="AS656" s="111"/>
      <c r="AT656" s="545"/>
      <c r="AU656" s="131"/>
      <c r="AW656" s="111"/>
      <c r="AX656" s="111"/>
      <c r="AY656" s="111"/>
      <c r="AZ656" s="545"/>
      <c r="BA656" s="131"/>
    </row>
    <row r="657" spans="1:53" s="117" customFormat="1" ht="17.100000000000001" customHeight="1" x14ac:dyDescent="0.25">
      <c r="A657" s="68"/>
      <c r="B657" s="119"/>
      <c r="C657" s="92"/>
      <c r="D657" s="180" t="s">
        <v>715</v>
      </c>
      <c r="E657" s="85" t="s">
        <v>514</v>
      </c>
      <c r="F657" s="75"/>
      <c r="G657" s="151"/>
      <c r="H657" s="119"/>
      <c r="I657" s="138"/>
      <c r="J657" s="111"/>
      <c r="K657" s="111"/>
      <c r="L657" s="111"/>
      <c r="M657" s="111"/>
      <c r="N657" s="111"/>
      <c r="O657" s="111"/>
      <c r="P657" s="329">
        <v>1</v>
      </c>
      <c r="Q657" s="111"/>
      <c r="R657" s="111"/>
      <c r="S657" s="329"/>
      <c r="T657" s="111"/>
      <c r="U657" s="111"/>
      <c r="V657" s="370"/>
      <c r="W657" s="382"/>
      <c r="X657" s="539"/>
      <c r="Y657" s="328">
        <f t="shared" si="891"/>
        <v>1</v>
      </c>
      <c r="Z657" s="19">
        <f t="shared" si="892"/>
        <v>0.5</v>
      </c>
      <c r="AA657" s="201"/>
      <c r="AB657" s="201"/>
      <c r="AC657" s="84"/>
      <c r="AE657" s="111"/>
      <c r="AF657" s="111"/>
      <c r="AG657" s="111"/>
      <c r="AH657" s="545"/>
      <c r="AI657" s="131"/>
      <c r="AK657" s="111"/>
      <c r="AL657" s="111"/>
      <c r="AM657" s="111"/>
      <c r="AN657" s="545"/>
      <c r="AO657" s="131"/>
      <c r="AQ657" s="111"/>
      <c r="AR657" s="111"/>
      <c r="AS657" s="111"/>
      <c r="AT657" s="545"/>
      <c r="AU657" s="131"/>
      <c r="AW657" s="111"/>
      <c r="AX657" s="111"/>
      <c r="AY657" s="111"/>
      <c r="AZ657" s="545"/>
      <c r="BA657" s="131"/>
    </row>
    <row r="658" spans="1:53" s="117" customFormat="1" ht="17.100000000000001" customHeight="1" x14ac:dyDescent="0.25">
      <c r="A658" s="68"/>
      <c r="B658" s="119"/>
      <c r="C658" s="92"/>
      <c r="D658" s="180" t="s">
        <v>716</v>
      </c>
      <c r="E658" s="85" t="s">
        <v>357</v>
      </c>
      <c r="F658" s="75"/>
      <c r="G658" s="151"/>
      <c r="H658" s="119"/>
      <c r="I658" s="138"/>
      <c r="J658" s="111"/>
      <c r="K658" s="111"/>
      <c r="L658" s="111"/>
      <c r="M658" s="111"/>
      <c r="N658" s="111"/>
      <c r="O658" s="111"/>
      <c r="P658" s="327"/>
      <c r="Q658" s="111"/>
      <c r="R658" s="111"/>
      <c r="S658" s="327"/>
      <c r="T658" s="111"/>
      <c r="U658" s="111"/>
      <c r="V658" s="369"/>
      <c r="W658" s="382"/>
      <c r="X658" s="539"/>
      <c r="Y658" s="328">
        <f t="shared" si="891"/>
        <v>0</v>
      </c>
      <c r="Z658" s="19">
        <f t="shared" si="892"/>
        <v>0</v>
      </c>
      <c r="AA658" s="201"/>
      <c r="AB658" s="201"/>
      <c r="AC658" s="84"/>
      <c r="AE658" s="111"/>
      <c r="AF658" s="111"/>
      <c r="AG658" s="111"/>
      <c r="AH658" s="545"/>
      <c r="AI658" s="131"/>
      <c r="AK658" s="111"/>
      <c r="AL658" s="111"/>
      <c r="AM658" s="111"/>
      <c r="AN658" s="545"/>
      <c r="AO658" s="131"/>
      <c r="AQ658" s="111"/>
      <c r="AR658" s="111"/>
      <c r="AS658" s="111"/>
      <c r="AT658" s="545"/>
      <c r="AU658" s="131"/>
      <c r="AW658" s="111"/>
      <c r="AX658" s="111"/>
      <c r="AY658" s="111"/>
      <c r="AZ658" s="545"/>
      <c r="BA658" s="131"/>
    </row>
    <row r="659" spans="1:53" s="117" customFormat="1" ht="17.100000000000001" customHeight="1" x14ac:dyDescent="0.25">
      <c r="A659" s="68"/>
      <c r="B659" s="119"/>
      <c r="C659" s="92"/>
      <c r="D659" s="180" t="s">
        <v>717</v>
      </c>
      <c r="E659" s="85" t="s">
        <v>515</v>
      </c>
      <c r="F659" s="75"/>
      <c r="G659" s="151"/>
      <c r="H659" s="119"/>
      <c r="I659" s="138"/>
      <c r="J659" s="111"/>
      <c r="K659" s="111"/>
      <c r="L659" s="111"/>
      <c r="M659" s="111"/>
      <c r="N659" s="111"/>
      <c r="O659" s="111"/>
      <c r="P659" s="329"/>
      <c r="Q659" s="111"/>
      <c r="R659" s="111"/>
      <c r="S659" s="329"/>
      <c r="T659" s="111"/>
      <c r="U659" s="111"/>
      <c r="V659" s="370"/>
      <c r="W659" s="382"/>
      <c r="X659" s="539"/>
      <c r="Y659" s="328">
        <f t="shared" si="891"/>
        <v>0</v>
      </c>
      <c r="Z659" s="19">
        <f t="shared" si="892"/>
        <v>0</v>
      </c>
      <c r="AA659" s="201"/>
      <c r="AB659" s="201"/>
      <c r="AC659" s="84"/>
      <c r="AE659" s="111"/>
      <c r="AF659" s="111"/>
      <c r="AG659" s="111"/>
      <c r="AH659" s="545"/>
      <c r="AI659" s="131"/>
      <c r="AK659" s="111"/>
      <c r="AL659" s="111"/>
      <c r="AM659" s="111"/>
      <c r="AN659" s="545"/>
      <c r="AO659" s="131"/>
      <c r="AQ659" s="111"/>
      <c r="AR659" s="111"/>
      <c r="AS659" s="111"/>
      <c r="AT659" s="545"/>
      <c r="AU659" s="131"/>
      <c r="AW659" s="111"/>
      <c r="AX659" s="111"/>
      <c r="AY659" s="111"/>
      <c r="AZ659" s="545"/>
      <c r="BA659" s="131"/>
    </row>
    <row r="660" spans="1:53" s="117" customFormat="1" ht="17.100000000000001" customHeight="1" x14ac:dyDescent="0.25">
      <c r="A660" s="68"/>
      <c r="B660" s="119"/>
      <c r="C660" s="92"/>
      <c r="D660" s="180" t="s">
        <v>718</v>
      </c>
      <c r="E660" s="85" t="s">
        <v>516</v>
      </c>
      <c r="F660" s="75"/>
      <c r="G660" s="151"/>
      <c r="H660" s="119"/>
      <c r="I660" s="138"/>
      <c r="J660" s="111"/>
      <c r="K660" s="111"/>
      <c r="L660" s="111"/>
      <c r="M660" s="111"/>
      <c r="N660" s="111"/>
      <c r="O660" s="111"/>
      <c r="P660" s="327"/>
      <c r="Q660" s="111"/>
      <c r="R660" s="111"/>
      <c r="S660" s="327"/>
      <c r="T660" s="111"/>
      <c r="U660" s="111"/>
      <c r="V660" s="369"/>
      <c r="W660" s="382"/>
      <c r="X660" s="539"/>
      <c r="Y660" s="328">
        <f t="shared" si="891"/>
        <v>0</v>
      </c>
      <c r="Z660" s="19">
        <f t="shared" si="892"/>
        <v>0</v>
      </c>
      <c r="AA660" s="201"/>
      <c r="AB660" s="201"/>
      <c r="AC660" s="84"/>
      <c r="AE660" s="111"/>
      <c r="AF660" s="111"/>
      <c r="AG660" s="111"/>
      <c r="AH660" s="545"/>
      <c r="AI660" s="131"/>
      <c r="AK660" s="111"/>
      <c r="AL660" s="111"/>
      <c r="AM660" s="111"/>
      <c r="AN660" s="545"/>
      <c r="AO660" s="131"/>
      <c r="AQ660" s="111"/>
      <c r="AR660" s="111"/>
      <c r="AS660" s="111"/>
      <c r="AT660" s="545"/>
      <c r="AU660" s="131"/>
      <c r="AW660" s="111"/>
      <c r="AX660" s="111"/>
      <c r="AY660" s="111"/>
      <c r="AZ660" s="545"/>
      <c r="BA660" s="131"/>
    </row>
    <row r="661" spans="1:53" s="117" customFormat="1" ht="17.100000000000001" customHeight="1" x14ac:dyDescent="0.25">
      <c r="A661" s="68"/>
      <c r="B661" s="119"/>
      <c r="C661" s="92"/>
      <c r="D661" s="180" t="s">
        <v>719</v>
      </c>
      <c r="E661" s="85" t="s">
        <v>517</v>
      </c>
      <c r="F661" s="75"/>
      <c r="G661" s="151"/>
      <c r="H661" s="119"/>
      <c r="I661" s="138"/>
      <c r="J661" s="111"/>
      <c r="K661" s="111"/>
      <c r="L661" s="111"/>
      <c r="M661" s="111"/>
      <c r="N661" s="111"/>
      <c r="O661" s="111"/>
      <c r="P661" s="329"/>
      <c r="Q661" s="111"/>
      <c r="R661" s="111"/>
      <c r="S661" s="329"/>
      <c r="T661" s="111"/>
      <c r="U661" s="111"/>
      <c r="V661" s="370"/>
      <c r="W661" s="382"/>
      <c r="X661" s="539"/>
      <c r="Y661" s="328">
        <f t="shared" si="891"/>
        <v>0</v>
      </c>
      <c r="Z661" s="19">
        <f t="shared" si="892"/>
        <v>0</v>
      </c>
      <c r="AA661" s="201"/>
      <c r="AB661" s="201"/>
      <c r="AC661" s="84"/>
      <c r="AE661" s="111"/>
      <c r="AF661" s="111"/>
      <c r="AG661" s="111"/>
      <c r="AH661" s="545"/>
      <c r="AI661" s="131"/>
      <c r="AK661" s="111"/>
      <c r="AL661" s="111"/>
      <c r="AM661" s="111"/>
      <c r="AN661" s="545"/>
      <c r="AO661" s="131"/>
      <c r="AQ661" s="111"/>
      <c r="AR661" s="111"/>
      <c r="AS661" s="111"/>
      <c r="AT661" s="545"/>
      <c r="AU661" s="131"/>
      <c r="AW661" s="111"/>
      <c r="AX661" s="111"/>
      <c r="AY661" s="111"/>
      <c r="AZ661" s="545"/>
      <c r="BA661" s="131"/>
    </row>
    <row r="662" spans="1:53" s="117" customFormat="1" ht="17.100000000000001" customHeight="1" x14ac:dyDescent="0.25">
      <c r="A662" s="68"/>
      <c r="B662" s="119"/>
      <c r="C662" s="92"/>
      <c r="D662" s="180" t="s">
        <v>720</v>
      </c>
      <c r="E662" s="85" t="s">
        <v>129</v>
      </c>
      <c r="F662" s="75"/>
      <c r="G662" s="151"/>
      <c r="H662" s="119"/>
      <c r="I662" s="138"/>
      <c r="J662" s="111"/>
      <c r="K662" s="111"/>
      <c r="L662" s="111"/>
      <c r="M662" s="111"/>
      <c r="N662" s="111"/>
      <c r="O662" s="111"/>
      <c r="P662" s="327"/>
      <c r="Q662" s="111"/>
      <c r="R662" s="111"/>
      <c r="S662" s="327"/>
      <c r="T662" s="111"/>
      <c r="U662" s="111"/>
      <c r="V662" s="369"/>
      <c r="W662" s="382"/>
      <c r="X662" s="539"/>
      <c r="Y662" s="328">
        <f t="shared" si="891"/>
        <v>0</v>
      </c>
      <c r="Z662" s="19">
        <f t="shared" si="892"/>
        <v>0</v>
      </c>
      <c r="AA662" s="201"/>
      <c r="AB662" s="201"/>
      <c r="AC662" s="84"/>
      <c r="AE662" s="111"/>
      <c r="AF662" s="111"/>
      <c r="AG662" s="111"/>
      <c r="AH662" s="545"/>
      <c r="AI662" s="131"/>
      <c r="AK662" s="111"/>
      <c r="AL662" s="111"/>
      <c r="AM662" s="111"/>
      <c r="AN662" s="545"/>
      <c r="AO662" s="131"/>
      <c r="AQ662" s="111"/>
      <c r="AR662" s="111"/>
      <c r="AS662" s="111"/>
      <c r="AT662" s="545"/>
      <c r="AU662" s="131"/>
      <c r="AW662" s="111"/>
      <c r="AX662" s="111"/>
      <c r="AY662" s="111"/>
      <c r="AZ662" s="545"/>
      <c r="BA662" s="131"/>
    </row>
    <row r="663" spans="1:53" ht="17.100000000000001" customHeight="1" x14ac:dyDescent="0.25">
      <c r="A663" s="40"/>
      <c r="B663" s="40"/>
      <c r="C663" s="77"/>
      <c r="D663" s="134"/>
      <c r="E663" s="134"/>
      <c r="F663" s="134"/>
      <c r="G663" s="134"/>
      <c r="H663" s="540"/>
      <c r="I663" s="229"/>
      <c r="J663" s="80"/>
      <c r="K663" s="80"/>
      <c r="L663" s="80"/>
      <c r="M663" s="80"/>
      <c r="N663" s="81"/>
      <c r="O663" s="81"/>
      <c r="P663" s="82">
        <f>SUM(P654:P662)</f>
        <v>1</v>
      </c>
      <c r="Q663" s="81"/>
      <c r="R663" s="81"/>
      <c r="S663" s="82">
        <f>SUM(S654:S662)</f>
        <v>1</v>
      </c>
      <c r="T663" s="81"/>
      <c r="U663" s="81"/>
      <c r="V663" s="360">
        <f>SUM(V654:V662)</f>
        <v>0</v>
      </c>
      <c r="W663" s="381"/>
      <c r="X663" s="82"/>
      <c r="Y663" s="82">
        <f>SUM(Y654:Y662)</f>
        <v>2</v>
      </c>
      <c r="Z663" s="205">
        <f t="shared" si="892"/>
        <v>1</v>
      </c>
      <c r="AA663" s="205"/>
      <c r="AB663" s="205"/>
      <c r="AC663" s="83"/>
      <c r="AE663" s="80"/>
      <c r="AF663" s="80"/>
      <c r="AG663" s="81"/>
      <c r="AH663" s="82"/>
      <c r="AI663" s="66"/>
      <c r="AK663" s="80"/>
      <c r="AL663" s="80"/>
      <c r="AM663" s="81"/>
      <c r="AN663" s="82"/>
      <c r="AO663" s="66"/>
      <c r="AQ663" s="80"/>
      <c r="AR663" s="80"/>
      <c r="AS663" s="81"/>
      <c r="AT663" s="82"/>
      <c r="AU663" s="66"/>
      <c r="AW663" s="80"/>
      <c r="AX663" s="80"/>
      <c r="AY663" s="81"/>
      <c r="AZ663" s="82"/>
      <c r="BA663" s="66"/>
    </row>
    <row r="664" spans="1:53" ht="17.100000000000001" customHeight="1" x14ac:dyDescent="0.25">
      <c r="A664" s="119"/>
      <c r="B664" s="119"/>
      <c r="C664" s="48" t="s">
        <v>721</v>
      </c>
      <c r="D664" s="50" t="s">
        <v>722</v>
      </c>
      <c r="E664" s="70"/>
      <c r="F664" s="70"/>
      <c r="G664" s="70"/>
      <c r="H664" s="119"/>
      <c r="J664" s="71"/>
      <c r="K664" s="71"/>
      <c r="L664" s="71"/>
      <c r="M664" s="71"/>
      <c r="N664" s="71"/>
      <c r="O664" s="71"/>
      <c r="P664" s="71"/>
      <c r="Q664" s="71"/>
      <c r="R664" s="71"/>
      <c r="S664" s="71"/>
      <c r="T664" s="71"/>
      <c r="U664" s="71"/>
      <c r="V664" s="355"/>
      <c r="W664" s="377"/>
      <c r="X664" s="71"/>
      <c r="Y664" s="72"/>
      <c r="Z664" s="73"/>
      <c r="AA664" s="73"/>
      <c r="AB664" s="73"/>
      <c r="AC664" s="73"/>
      <c r="AE664" s="71"/>
      <c r="AF664" s="71"/>
      <c r="AG664" s="71"/>
      <c r="AH664" s="72"/>
      <c r="AI664" s="73"/>
      <c r="AK664" s="71"/>
      <c r="AL664" s="71"/>
      <c r="AM664" s="71"/>
      <c r="AN664" s="72"/>
      <c r="AO664" s="73"/>
      <c r="AQ664" s="71"/>
      <c r="AR664" s="71"/>
      <c r="AS664" s="71"/>
      <c r="AT664" s="72"/>
      <c r="AU664" s="73"/>
      <c r="AW664" s="71"/>
      <c r="AX664" s="71"/>
      <c r="AY664" s="71"/>
      <c r="AZ664" s="72"/>
      <c r="BA664" s="73"/>
    </row>
    <row r="665" spans="1:53" s="117" customFormat="1" ht="17.100000000000001" customHeight="1" x14ac:dyDescent="0.25">
      <c r="A665" s="68"/>
      <c r="B665" s="119"/>
      <c r="C665" s="92"/>
      <c r="D665" s="56" t="s">
        <v>723</v>
      </c>
      <c r="E665" s="85" t="s">
        <v>692</v>
      </c>
      <c r="F665" s="75"/>
      <c r="G665" s="151"/>
      <c r="H665" s="119"/>
      <c r="I665" s="138"/>
      <c r="J665" s="111"/>
      <c r="K665" s="111"/>
      <c r="L665" s="111"/>
      <c r="M665" s="111"/>
      <c r="N665" s="111"/>
      <c r="O665" s="111"/>
      <c r="P665" s="327">
        <v>1</v>
      </c>
      <c r="Q665" s="111"/>
      <c r="R665" s="111"/>
      <c r="S665" s="327">
        <v>1</v>
      </c>
      <c r="T665" s="111"/>
      <c r="U665" s="111"/>
      <c r="V665" s="369"/>
      <c r="W665" s="382"/>
      <c r="X665" s="539"/>
      <c r="Y665" s="328">
        <f t="shared" ref="Y665:Y669" si="893">P665+S665+V665</f>
        <v>2</v>
      </c>
      <c r="Z665" s="19">
        <f>IF(Y$670=0,0,Y665/Y$670)</f>
        <v>1</v>
      </c>
      <c r="AA665" s="201"/>
      <c r="AB665" s="201"/>
      <c r="AC665" s="84"/>
      <c r="AE665" s="111"/>
      <c r="AF665" s="111"/>
      <c r="AG665" s="111"/>
      <c r="AH665" s="545"/>
      <c r="AI665" s="131"/>
      <c r="AK665" s="111"/>
      <c r="AL665" s="111"/>
      <c r="AM665" s="111"/>
      <c r="AN665" s="545"/>
      <c r="AO665" s="131"/>
      <c r="AQ665" s="111"/>
      <c r="AR665" s="111"/>
      <c r="AS665" s="111"/>
      <c r="AT665" s="545"/>
      <c r="AU665" s="131"/>
      <c r="AW665" s="111"/>
      <c r="AX665" s="111"/>
      <c r="AY665" s="111"/>
      <c r="AZ665" s="545"/>
      <c r="BA665" s="131"/>
    </row>
    <row r="666" spans="1:53" s="117" customFormat="1" ht="17.100000000000001" customHeight="1" x14ac:dyDescent="0.25">
      <c r="A666" s="68"/>
      <c r="B666" s="119"/>
      <c r="C666" s="92"/>
      <c r="D666" s="56" t="s">
        <v>724</v>
      </c>
      <c r="E666" s="85" t="s">
        <v>725</v>
      </c>
      <c r="F666" s="75"/>
      <c r="G666" s="151"/>
      <c r="H666" s="119"/>
      <c r="I666" s="138"/>
      <c r="J666" s="111"/>
      <c r="K666" s="111"/>
      <c r="L666" s="111"/>
      <c r="M666" s="111"/>
      <c r="N666" s="111"/>
      <c r="O666" s="111"/>
      <c r="P666" s="329"/>
      <c r="Q666" s="111"/>
      <c r="R666" s="111"/>
      <c r="S666" s="329"/>
      <c r="T666" s="111"/>
      <c r="U666" s="111"/>
      <c r="V666" s="370"/>
      <c r="W666" s="382"/>
      <c r="X666" s="539"/>
      <c r="Y666" s="328">
        <f t="shared" si="893"/>
        <v>0</v>
      </c>
      <c r="Z666" s="19">
        <f t="shared" ref="Z666:Z670" si="894">IF(Y$670=0,0,Y666/Y$670)</f>
        <v>0</v>
      </c>
      <c r="AA666" s="201"/>
      <c r="AB666" s="201"/>
      <c r="AC666" s="84"/>
      <c r="AE666" s="111"/>
      <c r="AF666" s="111"/>
      <c r="AG666" s="111"/>
      <c r="AH666" s="545"/>
      <c r="AI666" s="131"/>
      <c r="AK666" s="111"/>
      <c r="AL666" s="111"/>
      <c r="AM666" s="111"/>
      <c r="AN666" s="545"/>
      <c r="AO666" s="131"/>
      <c r="AQ666" s="111"/>
      <c r="AR666" s="111"/>
      <c r="AS666" s="111"/>
      <c r="AT666" s="545"/>
      <c r="AU666" s="131"/>
      <c r="AW666" s="111"/>
      <c r="AX666" s="111"/>
      <c r="AY666" s="111"/>
      <c r="AZ666" s="545"/>
      <c r="BA666" s="131"/>
    </row>
    <row r="667" spans="1:53" s="117" customFormat="1" ht="17.100000000000001" customHeight="1" x14ac:dyDescent="0.25">
      <c r="A667" s="68"/>
      <c r="B667" s="119"/>
      <c r="C667" s="92"/>
      <c r="D667" s="56" t="s">
        <v>726</v>
      </c>
      <c r="E667" s="85" t="s">
        <v>727</v>
      </c>
      <c r="F667" s="75"/>
      <c r="G667" s="151"/>
      <c r="H667" s="119"/>
      <c r="I667" s="138"/>
      <c r="J667" s="111"/>
      <c r="K667" s="111"/>
      <c r="L667" s="111"/>
      <c r="M667" s="111"/>
      <c r="N667" s="111"/>
      <c r="O667" s="111"/>
      <c r="P667" s="327"/>
      <c r="Q667" s="111"/>
      <c r="R667" s="111"/>
      <c r="S667" s="327"/>
      <c r="T667" s="111"/>
      <c r="U667" s="111"/>
      <c r="V667" s="369"/>
      <c r="W667" s="382"/>
      <c r="X667" s="539"/>
      <c r="Y667" s="328">
        <f t="shared" si="893"/>
        <v>0</v>
      </c>
      <c r="Z667" s="19">
        <f t="shared" si="894"/>
        <v>0</v>
      </c>
      <c r="AA667" s="201"/>
      <c r="AB667" s="201"/>
      <c r="AC667" s="84"/>
      <c r="AE667" s="111"/>
      <c r="AF667" s="111"/>
      <c r="AG667" s="111"/>
      <c r="AH667" s="545"/>
      <c r="AI667" s="131"/>
      <c r="AK667" s="111"/>
      <c r="AL667" s="111"/>
      <c r="AM667" s="111"/>
      <c r="AN667" s="545"/>
      <c r="AO667" s="131"/>
      <c r="AQ667" s="111"/>
      <c r="AR667" s="111"/>
      <c r="AS667" s="111"/>
      <c r="AT667" s="545"/>
      <c r="AU667" s="131"/>
      <c r="AW667" s="111"/>
      <c r="AX667" s="111"/>
      <c r="AY667" s="111"/>
      <c r="AZ667" s="545"/>
      <c r="BA667" s="131"/>
    </row>
    <row r="668" spans="1:53" s="117" customFormat="1" ht="17.100000000000001" customHeight="1" x14ac:dyDescent="0.25">
      <c r="A668" s="68"/>
      <c r="B668" s="119"/>
      <c r="C668" s="92"/>
      <c r="D668" s="56" t="s">
        <v>728</v>
      </c>
      <c r="E668" s="85" t="s">
        <v>729</v>
      </c>
      <c r="F668" s="75"/>
      <c r="G668" s="151"/>
      <c r="H668" s="119"/>
      <c r="I668" s="138"/>
      <c r="J668" s="111"/>
      <c r="K668" s="111"/>
      <c r="L668" s="111"/>
      <c r="M668" s="111"/>
      <c r="N668" s="111"/>
      <c r="O668" s="111"/>
      <c r="P668" s="329"/>
      <c r="Q668" s="111"/>
      <c r="R668" s="111"/>
      <c r="S668" s="329"/>
      <c r="T668" s="111"/>
      <c r="U668" s="111"/>
      <c r="V668" s="370"/>
      <c r="W668" s="382"/>
      <c r="X668" s="539"/>
      <c r="Y668" s="328">
        <f t="shared" si="893"/>
        <v>0</v>
      </c>
      <c r="Z668" s="19">
        <f t="shared" si="894"/>
        <v>0</v>
      </c>
      <c r="AA668" s="201"/>
      <c r="AB668" s="201"/>
      <c r="AC668" s="84"/>
      <c r="AE668" s="111"/>
      <c r="AF668" s="111"/>
      <c r="AG668" s="111"/>
      <c r="AH668" s="545"/>
      <c r="AI668" s="131"/>
      <c r="AK668" s="111"/>
      <c r="AL668" s="111"/>
      <c r="AM668" s="111"/>
      <c r="AN668" s="545"/>
      <c r="AO668" s="131"/>
      <c r="AQ668" s="111"/>
      <c r="AR668" s="111"/>
      <c r="AS668" s="111"/>
      <c r="AT668" s="545"/>
      <c r="AU668" s="131"/>
      <c r="AW668" s="111"/>
      <c r="AX668" s="111"/>
      <c r="AY668" s="111"/>
      <c r="AZ668" s="545"/>
      <c r="BA668" s="131"/>
    </row>
    <row r="669" spans="1:53" s="117" customFormat="1" ht="17.100000000000001" customHeight="1" x14ac:dyDescent="0.25">
      <c r="A669" s="68"/>
      <c r="B669" s="119"/>
      <c r="C669" s="92"/>
      <c r="D669" s="56" t="s">
        <v>730</v>
      </c>
      <c r="E669" s="85" t="s">
        <v>129</v>
      </c>
      <c r="F669" s="75"/>
      <c r="G669" s="151"/>
      <c r="H669" s="119"/>
      <c r="I669" s="138"/>
      <c r="J669" s="111"/>
      <c r="K669" s="111"/>
      <c r="L669" s="111"/>
      <c r="M669" s="111"/>
      <c r="N669" s="111"/>
      <c r="O669" s="111"/>
      <c r="P669" s="327"/>
      <c r="Q669" s="111"/>
      <c r="R669" s="111"/>
      <c r="S669" s="327"/>
      <c r="T669" s="111"/>
      <c r="U669" s="111"/>
      <c r="V669" s="369"/>
      <c r="W669" s="382"/>
      <c r="X669" s="539"/>
      <c r="Y669" s="328">
        <f t="shared" si="893"/>
        <v>0</v>
      </c>
      <c r="Z669" s="19">
        <f t="shared" si="894"/>
        <v>0</v>
      </c>
      <c r="AA669" s="201"/>
      <c r="AB669" s="201"/>
      <c r="AC669" s="84"/>
      <c r="AE669" s="111"/>
      <c r="AF669" s="111"/>
      <c r="AG669" s="111"/>
      <c r="AH669" s="545"/>
      <c r="AI669" s="131"/>
      <c r="AK669" s="111"/>
      <c r="AL669" s="111"/>
      <c r="AM669" s="111"/>
      <c r="AN669" s="545"/>
      <c r="AO669" s="131"/>
      <c r="AQ669" s="111"/>
      <c r="AR669" s="111"/>
      <c r="AS669" s="111"/>
      <c r="AT669" s="545"/>
      <c r="AU669" s="131"/>
      <c r="AW669" s="111"/>
      <c r="AX669" s="111"/>
      <c r="AY669" s="111"/>
      <c r="AZ669" s="545"/>
      <c r="BA669" s="131"/>
    </row>
    <row r="670" spans="1:53" ht="17.100000000000001" customHeight="1" x14ac:dyDescent="0.25">
      <c r="A670" s="40"/>
      <c r="B670" s="40"/>
      <c r="C670" s="77"/>
      <c r="D670" s="134"/>
      <c r="E670" s="134"/>
      <c r="F670" s="134"/>
      <c r="G670" s="134"/>
      <c r="H670" s="540"/>
      <c r="I670" s="229"/>
      <c r="J670" s="80"/>
      <c r="K670" s="80"/>
      <c r="L670" s="80"/>
      <c r="M670" s="80"/>
      <c r="N670" s="81"/>
      <c r="O670" s="81"/>
      <c r="P670" s="82">
        <f>SUM(P665:P669)</f>
        <v>1</v>
      </c>
      <c r="Q670" s="81"/>
      <c r="R670" s="81"/>
      <c r="S670" s="82">
        <f>SUM(S665:S669)</f>
        <v>1</v>
      </c>
      <c r="T670" s="81"/>
      <c r="U670" s="81"/>
      <c r="V670" s="360">
        <f>SUM(V665:V669)</f>
        <v>0</v>
      </c>
      <c r="W670" s="381"/>
      <c r="X670" s="82"/>
      <c r="Y670" s="82">
        <f>SUM(Y665:Y669)</f>
        <v>2</v>
      </c>
      <c r="Z670" s="205">
        <f t="shared" si="894"/>
        <v>1</v>
      </c>
      <c r="AA670" s="205"/>
      <c r="AB670" s="205"/>
      <c r="AC670" s="83"/>
      <c r="AE670" s="80"/>
      <c r="AF670" s="80"/>
      <c r="AG670" s="81"/>
      <c r="AH670" s="82"/>
      <c r="AI670" s="66"/>
      <c r="AK670" s="80"/>
      <c r="AL670" s="80"/>
      <c r="AM670" s="81"/>
      <c r="AN670" s="82"/>
      <c r="AO670" s="66"/>
      <c r="AQ670" s="80"/>
      <c r="AR670" s="80"/>
      <c r="AS670" s="81"/>
      <c r="AT670" s="82"/>
      <c r="AU670" s="66"/>
      <c r="AW670" s="80"/>
      <c r="AX670" s="80"/>
      <c r="AY670" s="81"/>
      <c r="AZ670" s="82"/>
      <c r="BA670" s="66"/>
    </row>
    <row r="671" spans="1:53" s="117" customFormat="1" ht="17.100000000000001" customHeight="1" x14ac:dyDescent="0.25">
      <c r="A671" s="68"/>
      <c r="B671" s="119"/>
      <c r="C671" s="92"/>
      <c r="D671" s="261"/>
      <c r="E671" s="261"/>
      <c r="F671" s="68"/>
      <c r="G671" s="68"/>
      <c r="H671" s="119"/>
      <c r="I671" s="138"/>
      <c r="J671" s="17"/>
      <c r="K671" s="17"/>
      <c r="L671" s="17"/>
      <c r="M671" s="17"/>
      <c r="N671" s="17"/>
      <c r="O671" s="17"/>
      <c r="P671" s="17"/>
      <c r="Q671" s="17"/>
      <c r="R671" s="17"/>
      <c r="S671" s="17"/>
      <c r="T671" s="17"/>
      <c r="U671" s="17"/>
      <c r="V671" s="359"/>
      <c r="W671" s="382"/>
      <c r="X671" s="539"/>
      <c r="Y671" s="539"/>
      <c r="Z671" s="201"/>
      <c r="AA671" s="201"/>
      <c r="AB671" s="201"/>
      <c r="AC671" s="84"/>
      <c r="AE671" s="46"/>
      <c r="AF671" s="46"/>
      <c r="AG671" s="17"/>
      <c r="AH671" s="539"/>
      <c r="AI671" s="91"/>
      <c r="AK671" s="46"/>
      <c r="AL671" s="46"/>
      <c r="AM671" s="17"/>
      <c r="AN671" s="539"/>
      <c r="AO671" s="91"/>
      <c r="AQ671" s="46"/>
      <c r="AR671" s="46"/>
      <c r="AS671" s="17"/>
      <c r="AT671" s="539"/>
      <c r="AU671" s="91"/>
      <c r="AW671" s="46"/>
      <c r="AX671" s="46"/>
      <c r="AY671" s="17"/>
      <c r="AZ671" s="539"/>
      <c r="BA671" s="91"/>
    </row>
    <row r="672" spans="1:53" ht="17.100000000000001" customHeight="1" x14ac:dyDescent="0.25">
      <c r="A672" s="68"/>
      <c r="B672" s="41" t="s">
        <v>1445</v>
      </c>
      <c r="C672" s="69" t="s">
        <v>12</v>
      </c>
      <c r="D672" s="50"/>
      <c r="E672" s="70"/>
      <c r="F672" s="70"/>
      <c r="G672" s="70"/>
      <c r="H672" s="119"/>
      <c r="J672" s="71"/>
      <c r="K672" s="71"/>
      <c r="L672" s="71"/>
      <c r="M672" s="71"/>
      <c r="N672" s="71"/>
      <c r="O672" s="71"/>
      <c r="P672" s="71"/>
      <c r="Q672" s="71"/>
      <c r="R672" s="71"/>
      <c r="S672" s="71"/>
      <c r="T672" s="71"/>
      <c r="U672" s="71"/>
      <c r="V672" s="355"/>
      <c r="W672" s="377"/>
      <c r="X672" s="71"/>
      <c r="Y672" s="72"/>
      <c r="Z672" s="73"/>
      <c r="AA672" s="73"/>
      <c r="AB672" s="73"/>
      <c r="AC672" s="73"/>
      <c r="AE672" s="71"/>
      <c r="AF672" s="71"/>
      <c r="AG672" s="71"/>
      <c r="AH672" s="72"/>
      <c r="AI672" s="73"/>
      <c r="AK672" s="71"/>
      <c r="AL672" s="71"/>
      <c r="AM672" s="71"/>
      <c r="AN672" s="72"/>
      <c r="AO672" s="73"/>
      <c r="AQ672" s="71"/>
      <c r="AR672" s="71"/>
      <c r="AS672" s="71"/>
      <c r="AT672" s="72"/>
      <c r="AU672" s="73"/>
      <c r="AW672" s="71"/>
      <c r="AX672" s="71"/>
      <c r="AY672" s="71"/>
      <c r="AZ672" s="72" t="s">
        <v>4</v>
      </c>
      <c r="BA672" s="73"/>
    </row>
    <row r="686" spans="4:52" s="2" customFormat="1" ht="17.100000000000001" customHeight="1" x14ac:dyDescent="0.25">
      <c r="D686" s="3"/>
      <c r="E686" s="3"/>
      <c r="F686" s="4"/>
      <c r="G686" s="4"/>
      <c r="H686" s="138"/>
      <c r="I686" s="97"/>
      <c r="J686" s="6"/>
      <c r="K686" s="6"/>
      <c r="L686" s="6"/>
      <c r="M686" s="6"/>
      <c r="N686" s="6"/>
      <c r="O686" s="6"/>
      <c r="P686" s="6"/>
      <c r="Q686" s="6"/>
      <c r="R686" s="6"/>
      <c r="S686" s="6"/>
      <c r="T686" s="6"/>
      <c r="U686" s="6"/>
      <c r="V686" s="339"/>
      <c r="W686" s="339"/>
      <c r="X686" s="6"/>
      <c r="Y686" s="206"/>
      <c r="AE686" s="6"/>
      <c r="AF686" s="6"/>
      <c r="AG686" s="6"/>
      <c r="AH686" s="206"/>
      <c r="AJ686" s="213"/>
      <c r="AK686" s="6"/>
      <c r="AL686" s="6"/>
      <c r="AM686" s="6"/>
      <c r="AN686" s="206"/>
      <c r="AP686" s="213"/>
      <c r="AQ686" s="6"/>
      <c r="AR686" s="6"/>
      <c r="AS686" s="6"/>
      <c r="AT686" s="206"/>
      <c r="AV686" s="213"/>
      <c r="AW686" s="6"/>
      <c r="AX686" s="6"/>
      <c r="AY686" s="6"/>
      <c r="AZ686" s="206"/>
    </row>
    <row r="687" spans="4:52" s="2" customFormat="1" ht="17.100000000000001" customHeight="1" x14ac:dyDescent="0.25">
      <c r="D687" s="3"/>
      <c r="E687" s="3"/>
      <c r="F687" s="4"/>
      <c r="G687" s="4"/>
      <c r="H687" s="138"/>
      <c r="I687" s="97"/>
      <c r="J687" s="6"/>
      <c r="K687" s="6"/>
      <c r="L687" s="6"/>
      <c r="M687" s="6"/>
      <c r="N687" s="6"/>
      <c r="O687" s="6"/>
      <c r="P687" s="6"/>
      <c r="Q687" s="6"/>
      <c r="R687" s="6"/>
      <c r="S687" s="6"/>
      <c r="T687" s="6"/>
      <c r="U687" s="6"/>
      <c r="V687" s="339"/>
      <c r="W687" s="339"/>
      <c r="X687" s="6"/>
      <c r="Y687" s="206"/>
      <c r="AE687" s="6"/>
      <c r="AF687" s="6"/>
      <c r="AG687" s="6"/>
      <c r="AH687" s="206"/>
      <c r="AJ687" s="213"/>
      <c r="AK687" s="6"/>
      <c r="AL687" s="6"/>
      <c r="AM687" s="6"/>
      <c r="AN687" s="206"/>
      <c r="AP687" s="213"/>
      <c r="AQ687" s="6"/>
      <c r="AR687" s="6"/>
      <c r="AS687" s="6"/>
      <c r="AT687" s="206"/>
      <c r="AV687" s="213"/>
      <c r="AW687" s="6"/>
      <c r="AX687" s="6"/>
      <c r="AY687" s="6"/>
      <c r="AZ687" s="206"/>
    </row>
    <row r="688" spans="4:52" s="2" customFormat="1" ht="17.100000000000001" customHeight="1" x14ac:dyDescent="0.25">
      <c r="D688" s="3"/>
      <c r="E688" s="3"/>
      <c r="F688" s="4"/>
      <c r="G688" s="4"/>
      <c r="H688" s="138"/>
      <c r="I688" s="97"/>
      <c r="J688" s="6"/>
      <c r="K688" s="6"/>
      <c r="L688" s="6"/>
      <c r="M688" s="6"/>
      <c r="N688" s="6"/>
      <c r="O688" s="6"/>
      <c r="P688" s="6"/>
      <c r="Q688" s="6"/>
      <c r="R688" s="6"/>
      <c r="S688" s="6"/>
      <c r="T688" s="6"/>
      <c r="U688" s="6"/>
      <c r="V688" s="339"/>
      <c r="W688" s="339"/>
      <c r="X688" s="6"/>
      <c r="Y688" s="206"/>
      <c r="AE688" s="6"/>
      <c r="AF688" s="6"/>
      <c r="AG688" s="6"/>
      <c r="AH688" s="206"/>
      <c r="AJ688" s="213"/>
      <c r="AK688" s="6"/>
      <c r="AL688" s="6"/>
      <c r="AM688" s="6"/>
      <c r="AN688" s="206"/>
      <c r="AP688" s="213"/>
      <c r="AQ688" s="6"/>
      <c r="AR688" s="6"/>
      <c r="AS688" s="6"/>
      <c r="AT688" s="206"/>
      <c r="AV688" s="213"/>
      <c r="AW688" s="6"/>
      <c r="AX688" s="6"/>
      <c r="AY688" s="6"/>
      <c r="AZ688" s="206"/>
    </row>
    <row r="689" spans="4:52" s="2" customFormat="1" ht="17.100000000000001" customHeight="1" x14ac:dyDescent="0.25">
      <c r="D689" s="3"/>
      <c r="E689" s="3"/>
      <c r="F689" s="4"/>
      <c r="G689" s="4"/>
      <c r="H689" s="138"/>
      <c r="I689" s="97"/>
      <c r="J689" s="6"/>
      <c r="K689" s="6"/>
      <c r="L689" s="6"/>
      <c r="M689" s="6"/>
      <c r="N689" s="6"/>
      <c r="O689" s="6"/>
      <c r="P689" s="6"/>
      <c r="Q689" s="6"/>
      <c r="R689" s="6"/>
      <c r="S689" s="6"/>
      <c r="T689" s="6"/>
      <c r="U689" s="6"/>
      <c r="V689" s="339"/>
      <c r="W689" s="339"/>
      <c r="X689" s="6"/>
      <c r="Y689" s="206"/>
      <c r="AE689" s="6"/>
      <c r="AF689" s="6"/>
      <c r="AG689" s="6"/>
      <c r="AH689" s="206"/>
      <c r="AJ689" s="213"/>
      <c r="AK689" s="6"/>
      <c r="AL689" s="6"/>
      <c r="AM689" s="6"/>
      <c r="AN689" s="206"/>
      <c r="AP689" s="213"/>
      <c r="AQ689" s="6"/>
      <c r="AR689" s="6"/>
      <c r="AS689" s="6"/>
      <c r="AT689" s="206"/>
      <c r="AV689" s="213"/>
      <c r="AW689" s="6"/>
      <c r="AX689" s="6"/>
      <c r="AY689" s="6"/>
      <c r="AZ689" s="206"/>
    </row>
    <row r="690" spans="4:52" s="2" customFormat="1" ht="17.100000000000001" customHeight="1" x14ac:dyDescent="0.25">
      <c r="D690" s="3"/>
      <c r="E690" s="3"/>
      <c r="F690" s="4"/>
      <c r="G690" s="4"/>
      <c r="H690" s="138"/>
      <c r="I690" s="97"/>
      <c r="J690" s="6"/>
      <c r="K690" s="6"/>
      <c r="L690" s="6"/>
      <c r="M690" s="6"/>
      <c r="N690" s="6"/>
      <c r="O690" s="6"/>
      <c r="P690" s="6"/>
      <c r="Q690" s="6"/>
      <c r="R690" s="6"/>
      <c r="S690" s="6"/>
      <c r="T690" s="6"/>
      <c r="U690" s="6"/>
      <c r="V690" s="339"/>
      <c r="W690" s="339"/>
      <c r="X690" s="6"/>
      <c r="Y690" s="206"/>
      <c r="AE690" s="6"/>
      <c r="AF690" s="6"/>
      <c r="AG690" s="6"/>
      <c r="AH690" s="206"/>
      <c r="AJ690" s="213"/>
      <c r="AK690" s="6"/>
      <c r="AL690" s="6"/>
      <c r="AM690" s="6"/>
      <c r="AN690" s="206"/>
      <c r="AP690" s="213"/>
      <c r="AQ690" s="6"/>
      <c r="AR690" s="6"/>
      <c r="AS690" s="6"/>
      <c r="AT690" s="206"/>
      <c r="AV690" s="213"/>
      <c r="AW690" s="6"/>
      <c r="AX690" s="6"/>
      <c r="AY690" s="6"/>
      <c r="AZ690" s="206"/>
    </row>
    <row r="691" spans="4:52" s="2" customFormat="1" ht="17.100000000000001" customHeight="1" x14ac:dyDescent="0.25">
      <c r="D691" s="3"/>
      <c r="E691" s="3"/>
      <c r="F691" s="4"/>
      <c r="G691" s="4"/>
      <c r="H691" s="138"/>
      <c r="I691" s="97"/>
      <c r="J691" s="6"/>
      <c r="K691" s="6"/>
      <c r="L691" s="6"/>
      <c r="M691" s="6"/>
      <c r="N691" s="6"/>
      <c r="O691" s="6"/>
      <c r="P691" s="6"/>
      <c r="Q691" s="6"/>
      <c r="R691" s="6"/>
      <c r="S691" s="6"/>
      <c r="T691" s="6"/>
      <c r="U691" s="6"/>
      <c r="V691" s="339"/>
      <c r="W691" s="339"/>
      <c r="X691" s="6"/>
      <c r="Y691" s="206"/>
      <c r="AE691" s="6"/>
      <c r="AF691" s="6"/>
      <c r="AG691" s="6"/>
      <c r="AH691" s="206"/>
      <c r="AJ691" s="213"/>
      <c r="AK691" s="6"/>
      <c r="AL691" s="6"/>
      <c r="AM691" s="6"/>
      <c r="AN691" s="206"/>
      <c r="AP691" s="213"/>
      <c r="AQ691" s="6"/>
      <c r="AR691" s="6"/>
      <c r="AS691" s="6"/>
      <c r="AT691" s="206"/>
      <c r="AV691" s="213"/>
      <c r="AW691" s="6"/>
      <c r="AX691" s="6"/>
      <c r="AY691" s="6"/>
      <c r="AZ691" s="206"/>
    </row>
    <row r="692" spans="4:52" s="2" customFormat="1" ht="17.100000000000001" customHeight="1" x14ac:dyDescent="0.25">
      <c r="D692" s="3"/>
      <c r="E692" s="3"/>
      <c r="F692" s="4"/>
      <c r="G692" s="4"/>
      <c r="H692" s="138"/>
      <c r="I692" s="97"/>
      <c r="J692" s="6"/>
      <c r="K692" s="6"/>
      <c r="L692" s="6"/>
      <c r="M692" s="6"/>
      <c r="N692" s="6"/>
      <c r="O692" s="6"/>
      <c r="P692" s="6"/>
      <c r="Q692" s="6"/>
      <c r="R692" s="6"/>
      <c r="S692" s="6"/>
      <c r="T692" s="6"/>
      <c r="U692" s="6"/>
      <c r="V692" s="339"/>
      <c r="W692" s="339"/>
      <c r="X692" s="6"/>
      <c r="Y692" s="206"/>
      <c r="AE692" s="6"/>
      <c r="AF692" s="6"/>
      <c r="AG692" s="6"/>
      <c r="AH692" s="206"/>
      <c r="AJ692" s="213"/>
      <c r="AK692" s="6"/>
      <c r="AL692" s="6"/>
      <c r="AM692" s="6"/>
      <c r="AN692" s="206"/>
      <c r="AP692" s="213"/>
      <c r="AQ692" s="6"/>
      <c r="AR692" s="6"/>
      <c r="AS692" s="6"/>
      <c r="AT692" s="206"/>
      <c r="AV692" s="213"/>
      <c r="AW692" s="6"/>
      <c r="AX692" s="6"/>
      <c r="AY692" s="6"/>
      <c r="AZ692" s="206"/>
    </row>
    <row r="693" spans="4:52" s="2" customFormat="1" ht="17.100000000000001" customHeight="1" x14ac:dyDescent="0.25">
      <c r="D693" s="3"/>
      <c r="E693" s="3"/>
      <c r="F693" s="4"/>
      <c r="G693" s="4"/>
      <c r="H693" s="138"/>
      <c r="I693" s="97"/>
      <c r="J693" s="6"/>
      <c r="K693" s="6"/>
      <c r="L693" s="6"/>
      <c r="M693" s="6"/>
      <c r="N693" s="6"/>
      <c r="O693" s="6"/>
      <c r="P693" s="6"/>
      <c r="Q693" s="6"/>
      <c r="R693" s="6"/>
      <c r="S693" s="6"/>
      <c r="T693" s="6"/>
      <c r="U693" s="6"/>
      <c r="V693" s="339"/>
      <c r="W693" s="339"/>
      <c r="X693" s="6"/>
      <c r="Y693" s="206"/>
      <c r="AE693" s="6"/>
      <c r="AF693" s="6"/>
      <c r="AG693" s="6"/>
      <c r="AH693" s="206"/>
      <c r="AJ693" s="213"/>
      <c r="AK693" s="6"/>
      <c r="AL693" s="6"/>
      <c r="AM693" s="6"/>
      <c r="AN693" s="206"/>
      <c r="AP693" s="213"/>
      <c r="AQ693" s="6"/>
      <c r="AR693" s="6"/>
      <c r="AS693" s="6"/>
      <c r="AT693" s="206"/>
      <c r="AV693" s="213"/>
      <c r="AW693" s="6"/>
      <c r="AX693" s="6"/>
      <c r="AY693" s="6"/>
      <c r="AZ693" s="206"/>
    </row>
    <row r="694" spans="4:52" s="2" customFormat="1" ht="17.100000000000001" customHeight="1" x14ac:dyDescent="0.25">
      <c r="D694" s="3"/>
      <c r="E694" s="3"/>
      <c r="F694" s="4"/>
      <c r="G694" s="4"/>
      <c r="H694" s="138"/>
      <c r="I694" s="97"/>
      <c r="J694" s="6"/>
      <c r="K694" s="6"/>
      <c r="L694" s="6"/>
      <c r="M694" s="6"/>
      <c r="N694" s="6"/>
      <c r="O694" s="6"/>
      <c r="P694" s="6"/>
      <c r="Q694" s="6"/>
      <c r="R694" s="6"/>
      <c r="S694" s="6"/>
      <c r="T694" s="6"/>
      <c r="U694" s="6"/>
      <c r="V694" s="339"/>
      <c r="W694" s="339"/>
      <c r="X694" s="6"/>
      <c r="Y694" s="206"/>
      <c r="AE694" s="6"/>
      <c r="AF694" s="6"/>
      <c r="AG694" s="6"/>
      <c r="AH694" s="206"/>
      <c r="AJ694" s="213"/>
      <c r="AK694" s="6"/>
      <c r="AL694" s="6"/>
      <c r="AM694" s="6"/>
      <c r="AN694" s="206"/>
      <c r="AP694" s="213"/>
      <c r="AQ694" s="6"/>
      <c r="AR694" s="6"/>
      <c r="AS694" s="6"/>
      <c r="AT694" s="206"/>
      <c r="AV694" s="213"/>
      <c r="AW694" s="6"/>
      <c r="AX694" s="6"/>
      <c r="AY694" s="6"/>
      <c r="AZ694" s="206"/>
    </row>
    <row r="695" spans="4:52" s="2" customFormat="1" ht="17.100000000000001" customHeight="1" x14ac:dyDescent="0.25">
      <c r="D695" s="3"/>
      <c r="E695" s="3"/>
      <c r="F695" s="4"/>
      <c r="G695" s="4"/>
      <c r="H695" s="138"/>
      <c r="I695" s="97"/>
      <c r="J695" s="6"/>
      <c r="K695" s="6"/>
      <c r="L695" s="6"/>
      <c r="M695" s="6"/>
      <c r="N695" s="6"/>
      <c r="O695" s="6"/>
      <c r="P695" s="6"/>
      <c r="Q695" s="6"/>
      <c r="R695" s="6"/>
      <c r="S695" s="6"/>
      <c r="T695" s="6"/>
      <c r="U695" s="6"/>
      <c r="V695" s="339"/>
      <c r="W695" s="339"/>
      <c r="X695" s="6"/>
      <c r="Y695" s="206"/>
      <c r="AE695" s="6"/>
      <c r="AF695" s="6"/>
      <c r="AG695" s="6"/>
      <c r="AH695" s="206"/>
      <c r="AJ695" s="213"/>
      <c r="AK695" s="6"/>
      <c r="AL695" s="6"/>
      <c r="AM695" s="6"/>
      <c r="AN695" s="206"/>
      <c r="AP695" s="213"/>
      <c r="AQ695" s="6"/>
      <c r="AR695" s="6"/>
      <c r="AS695" s="6"/>
      <c r="AT695" s="206"/>
      <c r="AV695" s="213"/>
      <c r="AW695" s="6"/>
      <c r="AX695" s="6"/>
      <c r="AY695" s="6"/>
      <c r="AZ695" s="206"/>
    </row>
    <row r="696" spans="4:52" s="2" customFormat="1" ht="17.100000000000001" customHeight="1" x14ac:dyDescent="0.25">
      <c r="D696" s="3"/>
      <c r="E696" s="3"/>
      <c r="F696" s="4"/>
      <c r="G696" s="4"/>
      <c r="H696" s="138"/>
      <c r="I696" s="97"/>
      <c r="J696" s="6"/>
      <c r="K696" s="6"/>
      <c r="L696" s="6"/>
      <c r="M696" s="6"/>
      <c r="N696" s="6"/>
      <c r="O696" s="6"/>
      <c r="P696" s="6"/>
      <c r="Q696" s="6"/>
      <c r="R696" s="6"/>
      <c r="S696" s="6"/>
      <c r="T696" s="6"/>
      <c r="U696" s="6"/>
      <c r="V696" s="339"/>
      <c r="W696" s="339"/>
      <c r="X696" s="6"/>
      <c r="Y696" s="206"/>
      <c r="AE696" s="6"/>
      <c r="AF696" s="6"/>
      <c r="AG696" s="6"/>
      <c r="AH696" s="206"/>
      <c r="AJ696" s="213"/>
      <c r="AK696" s="6"/>
      <c r="AL696" s="6"/>
      <c r="AM696" s="6"/>
      <c r="AN696" s="206"/>
      <c r="AP696" s="213"/>
      <c r="AQ696" s="6"/>
      <c r="AR696" s="6"/>
      <c r="AS696" s="6"/>
      <c r="AT696" s="206"/>
      <c r="AV696" s="213"/>
      <c r="AW696" s="6"/>
      <c r="AX696" s="6"/>
      <c r="AY696" s="6"/>
      <c r="AZ696" s="206"/>
    </row>
    <row r="697" spans="4:52" s="2" customFormat="1" ht="17.100000000000001" customHeight="1" x14ac:dyDescent="0.25">
      <c r="D697" s="3"/>
      <c r="E697" s="3"/>
      <c r="F697" s="4"/>
      <c r="G697" s="4"/>
      <c r="H697" s="138"/>
      <c r="I697" s="97"/>
      <c r="J697" s="6"/>
      <c r="K697" s="6"/>
      <c r="L697" s="6"/>
      <c r="M697" s="6"/>
      <c r="N697" s="6"/>
      <c r="O697" s="6"/>
      <c r="P697" s="6"/>
      <c r="Q697" s="6"/>
      <c r="R697" s="6"/>
      <c r="S697" s="6"/>
      <c r="T697" s="6"/>
      <c r="U697" s="6"/>
      <c r="V697" s="339"/>
      <c r="W697" s="339"/>
      <c r="X697" s="6"/>
      <c r="Y697" s="206"/>
      <c r="AE697" s="6"/>
      <c r="AF697" s="6"/>
      <c r="AG697" s="6"/>
      <c r="AH697" s="206"/>
      <c r="AJ697" s="213"/>
      <c r="AK697" s="6"/>
      <c r="AL697" s="6"/>
      <c r="AM697" s="6"/>
      <c r="AN697" s="206"/>
      <c r="AP697" s="213"/>
      <c r="AQ697" s="6"/>
      <c r="AR697" s="6"/>
      <c r="AS697" s="6"/>
      <c r="AT697" s="206"/>
      <c r="AV697" s="213"/>
      <c r="AW697" s="6"/>
      <c r="AX697" s="6"/>
      <c r="AY697" s="6"/>
      <c r="AZ697" s="206"/>
    </row>
    <row r="698" spans="4:52" s="2" customFormat="1" ht="17.100000000000001" customHeight="1" x14ac:dyDescent="0.25">
      <c r="D698" s="3"/>
      <c r="E698" s="3"/>
      <c r="F698" s="4"/>
      <c r="G698" s="4"/>
      <c r="H698" s="138"/>
      <c r="I698" s="97"/>
      <c r="J698" s="6"/>
      <c r="K698" s="6"/>
      <c r="L698" s="6"/>
      <c r="M698" s="6"/>
      <c r="N698" s="6"/>
      <c r="O698" s="6"/>
      <c r="P698" s="6"/>
      <c r="Q698" s="6"/>
      <c r="R698" s="6"/>
      <c r="S698" s="6"/>
      <c r="T698" s="6"/>
      <c r="U698" s="6"/>
      <c r="V698" s="339"/>
      <c r="W698" s="339"/>
      <c r="X698" s="6"/>
      <c r="Y698" s="206"/>
      <c r="AE698" s="6"/>
      <c r="AF698" s="6"/>
      <c r="AG698" s="6"/>
      <c r="AH698" s="206"/>
      <c r="AJ698" s="213"/>
      <c r="AK698" s="6"/>
      <c r="AL698" s="6"/>
      <c r="AM698" s="6"/>
      <c r="AN698" s="206"/>
      <c r="AP698" s="213"/>
      <c r="AQ698" s="6"/>
      <c r="AR698" s="6"/>
      <c r="AS698" s="6"/>
      <c r="AT698" s="206"/>
      <c r="AV698" s="213"/>
      <c r="AW698" s="6"/>
      <c r="AX698" s="6"/>
      <c r="AY698" s="6"/>
      <c r="AZ698" s="206"/>
    </row>
    <row r="699" spans="4:52" s="2" customFormat="1" ht="17.100000000000001" customHeight="1" x14ac:dyDescent="0.25">
      <c r="D699" s="3"/>
      <c r="E699" s="3"/>
      <c r="F699" s="4"/>
      <c r="G699" s="4"/>
      <c r="H699" s="138"/>
      <c r="I699" s="97"/>
      <c r="J699" s="6"/>
      <c r="K699" s="6"/>
      <c r="L699" s="6"/>
      <c r="M699" s="6"/>
      <c r="N699" s="6"/>
      <c r="O699" s="6"/>
      <c r="P699" s="6"/>
      <c r="Q699" s="6"/>
      <c r="R699" s="6"/>
      <c r="S699" s="6"/>
      <c r="T699" s="6"/>
      <c r="U699" s="6"/>
      <c r="V699" s="339"/>
      <c r="W699" s="339"/>
      <c r="X699" s="6"/>
      <c r="Y699" s="206"/>
      <c r="AE699" s="6"/>
      <c r="AF699" s="6"/>
      <c r="AG699" s="6"/>
      <c r="AH699" s="206"/>
      <c r="AJ699" s="213"/>
      <c r="AK699" s="6"/>
      <c r="AL699" s="6"/>
      <c r="AM699" s="6"/>
      <c r="AN699" s="206"/>
      <c r="AP699" s="213"/>
      <c r="AQ699" s="6"/>
      <c r="AR699" s="6"/>
      <c r="AS699" s="6"/>
      <c r="AT699" s="206"/>
      <c r="AV699" s="213"/>
      <c r="AW699" s="6"/>
      <c r="AX699" s="6"/>
      <c r="AY699" s="6"/>
      <c r="AZ699" s="206"/>
    </row>
    <row r="700" spans="4:52" s="2" customFormat="1" ht="17.100000000000001" customHeight="1" x14ac:dyDescent="0.25">
      <c r="D700" s="3"/>
      <c r="E700" s="3"/>
      <c r="F700" s="4"/>
      <c r="G700" s="4"/>
      <c r="H700" s="138"/>
      <c r="I700" s="97"/>
      <c r="J700" s="6"/>
      <c r="K700" s="6"/>
      <c r="L700" s="6"/>
      <c r="M700" s="6"/>
      <c r="N700" s="6"/>
      <c r="O700" s="6"/>
      <c r="P700" s="6"/>
      <c r="Q700" s="6"/>
      <c r="R700" s="6"/>
      <c r="S700" s="6"/>
      <c r="T700" s="6"/>
      <c r="U700" s="6"/>
      <c r="V700" s="339"/>
      <c r="W700" s="339"/>
      <c r="X700" s="6"/>
      <c r="Y700" s="206"/>
      <c r="AE700" s="6"/>
      <c r="AF700" s="6"/>
      <c r="AG700" s="6"/>
      <c r="AH700" s="206"/>
      <c r="AJ700" s="213"/>
      <c r="AK700" s="6"/>
      <c r="AL700" s="6"/>
      <c r="AM700" s="6"/>
      <c r="AN700" s="206"/>
      <c r="AP700" s="213"/>
      <c r="AQ700" s="6"/>
      <c r="AR700" s="6"/>
      <c r="AS700" s="6"/>
      <c r="AT700" s="206"/>
      <c r="AV700" s="213"/>
      <c r="AW700" s="6"/>
      <c r="AX700" s="6"/>
      <c r="AY700" s="6"/>
      <c r="AZ700" s="206"/>
    </row>
    <row r="701" spans="4:52" s="2" customFormat="1" ht="17.100000000000001" customHeight="1" x14ac:dyDescent="0.25">
      <c r="D701" s="3"/>
      <c r="E701" s="3"/>
      <c r="F701" s="4"/>
      <c r="G701" s="4"/>
      <c r="H701" s="138"/>
      <c r="I701" s="97"/>
      <c r="J701" s="6"/>
      <c r="K701" s="6"/>
      <c r="L701" s="6"/>
      <c r="M701" s="6"/>
      <c r="N701" s="6"/>
      <c r="O701" s="6"/>
      <c r="P701" s="6"/>
      <c r="Q701" s="6"/>
      <c r="R701" s="6"/>
      <c r="S701" s="6"/>
      <c r="T701" s="6"/>
      <c r="U701" s="6"/>
      <c r="V701" s="339"/>
      <c r="W701" s="339"/>
      <c r="X701" s="6"/>
      <c r="Y701" s="206"/>
      <c r="AE701" s="6"/>
      <c r="AF701" s="6"/>
      <c r="AG701" s="6"/>
      <c r="AH701" s="206"/>
      <c r="AJ701" s="213"/>
      <c r="AK701" s="6"/>
      <c r="AL701" s="6"/>
      <c r="AM701" s="6"/>
      <c r="AN701" s="206"/>
      <c r="AP701" s="213"/>
      <c r="AQ701" s="6"/>
      <c r="AR701" s="6"/>
      <c r="AS701" s="6"/>
      <c r="AT701" s="206"/>
      <c r="AV701" s="213"/>
      <c r="AW701" s="6"/>
      <c r="AX701" s="6"/>
      <c r="AY701" s="6"/>
      <c r="AZ701" s="206"/>
    </row>
    <row r="702" spans="4:52" s="2" customFormat="1" ht="17.100000000000001" customHeight="1" x14ac:dyDescent="0.25">
      <c r="D702" s="3"/>
      <c r="E702" s="3"/>
      <c r="F702" s="4"/>
      <c r="G702" s="4"/>
      <c r="H702" s="138"/>
      <c r="I702" s="97"/>
      <c r="J702" s="6"/>
      <c r="K702" s="6"/>
      <c r="L702" s="6"/>
      <c r="M702" s="6"/>
      <c r="N702" s="6"/>
      <c r="O702" s="6"/>
      <c r="P702" s="6"/>
      <c r="Q702" s="6"/>
      <c r="R702" s="6"/>
      <c r="S702" s="6"/>
      <c r="T702" s="6"/>
      <c r="U702" s="6"/>
      <c r="V702" s="339"/>
      <c r="W702" s="339"/>
      <c r="X702" s="6"/>
      <c r="Y702" s="206"/>
      <c r="AE702" s="6"/>
      <c r="AF702" s="6"/>
      <c r="AG702" s="6"/>
      <c r="AH702" s="206"/>
      <c r="AJ702" s="213"/>
      <c r="AK702" s="6"/>
      <c r="AL702" s="6"/>
      <c r="AM702" s="6"/>
      <c r="AN702" s="206"/>
      <c r="AP702" s="213"/>
      <c r="AQ702" s="6"/>
      <c r="AR702" s="6"/>
      <c r="AS702" s="6"/>
      <c r="AT702" s="206"/>
      <c r="AV702" s="213"/>
      <c r="AW702" s="6"/>
      <c r="AX702" s="6"/>
      <c r="AY702" s="6"/>
      <c r="AZ702" s="206"/>
    </row>
    <row r="703" spans="4:52" s="2" customFormat="1" ht="17.100000000000001" customHeight="1" x14ac:dyDescent="0.25">
      <c r="D703" s="3"/>
      <c r="E703" s="3"/>
      <c r="F703" s="4"/>
      <c r="G703" s="4"/>
      <c r="H703" s="138"/>
      <c r="I703" s="97"/>
      <c r="J703" s="6"/>
      <c r="K703" s="6"/>
      <c r="L703" s="6"/>
      <c r="M703" s="6"/>
      <c r="N703" s="6"/>
      <c r="O703" s="6"/>
      <c r="P703" s="6"/>
      <c r="Q703" s="6"/>
      <c r="R703" s="6"/>
      <c r="S703" s="6"/>
      <c r="T703" s="6"/>
      <c r="U703" s="6"/>
      <c r="V703" s="339"/>
      <c r="W703" s="339"/>
      <c r="X703" s="6"/>
      <c r="Y703" s="206"/>
      <c r="AE703" s="6"/>
      <c r="AF703" s="6"/>
      <c r="AG703" s="6"/>
      <c r="AH703" s="206"/>
      <c r="AJ703" s="213"/>
      <c r="AK703" s="6"/>
      <c r="AL703" s="6"/>
      <c r="AM703" s="6"/>
      <c r="AN703" s="206"/>
      <c r="AP703" s="213"/>
      <c r="AQ703" s="6"/>
      <c r="AR703" s="6"/>
      <c r="AS703" s="6"/>
      <c r="AT703" s="206"/>
      <c r="AV703" s="213"/>
      <c r="AW703" s="6"/>
      <c r="AX703" s="6"/>
      <c r="AY703" s="6"/>
      <c r="AZ703" s="206"/>
    </row>
    <row r="704" spans="4:52" s="2" customFormat="1" ht="17.100000000000001" customHeight="1" x14ac:dyDescent="0.25">
      <c r="D704" s="3"/>
      <c r="E704" s="3"/>
      <c r="F704" s="4"/>
      <c r="G704" s="4"/>
      <c r="H704" s="138"/>
      <c r="I704" s="97"/>
      <c r="J704" s="6"/>
      <c r="K704" s="6"/>
      <c r="L704" s="6"/>
      <c r="M704" s="6"/>
      <c r="N704" s="6"/>
      <c r="O704" s="6"/>
      <c r="P704" s="6"/>
      <c r="Q704" s="6"/>
      <c r="R704" s="6"/>
      <c r="S704" s="6"/>
      <c r="T704" s="6"/>
      <c r="U704" s="6"/>
      <c r="V704" s="339"/>
      <c r="W704" s="339"/>
      <c r="X704" s="6"/>
      <c r="Y704" s="206"/>
      <c r="AE704" s="6"/>
      <c r="AF704" s="6"/>
      <c r="AG704" s="6"/>
      <c r="AH704" s="206"/>
      <c r="AJ704" s="213"/>
      <c r="AK704" s="6"/>
      <c r="AL704" s="6"/>
      <c r="AM704" s="6"/>
      <c r="AN704" s="206"/>
      <c r="AP704" s="213"/>
      <c r="AQ704" s="6"/>
      <c r="AR704" s="6"/>
      <c r="AS704" s="6"/>
      <c r="AT704" s="206"/>
      <c r="AV704" s="213"/>
      <c r="AW704" s="6"/>
      <c r="AX704" s="6"/>
      <c r="AY704" s="6"/>
      <c r="AZ704" s="206"/>
    </row>
    <row r="705" spans="4:52" s="2" customFormat="1" ht="17.100000000000001" customHeight="1" x14ac:dyDescent="0.25">
      <c r="D705" s="3"/>
      <c r="E705" s="3"/>
      <c r="F705" s="4"/>
      <c r="G705" s="4"/>
      <c r="H705" s="138"/>
      <c r="I705" s="97"/>
      <c r="J705" s="6"/>
      <c r="K705" s="6"/>
      <c r="L705" s="6"/>
      <c r="M705" s="6"/>
      <c r="N705" s="6"/>
      <c r="O705" s="6"/>
      <c r="P705" s="6"/>
      <c r="Q705" s="6"/>
      <c r="R705" s="6"/>
      <c r="S705" s="6"/>
      <c r="T705" s="6"/>
      <c r="U705" s="6"/>
      <c r="V705" s="339"/>
      <c r="W705" s="339"/>
      <c r="X705" s="6"/>
      <c r="Y705" s="206"/>
      <c r="AE705" s="6"/>
      <c r="AF705" s="6"/>
      <c r="AG705" s="6"/>
      <c r="AH705" s="206"/>
      <c r="AJ705" s="213"/>
      <c r="AK705" s="6"/>
      <c r="AL705" s="6"/>
      <c r="AM705" s="6"/>
      <c r="AN705" s="206"/>
      <c r="AP705" s="213"/>
      <c r="AQ705" s="6"/>
      <c r="AR705" s="6"/>
      <c r="AS705" s="6"/>
      <c r="AT705" s="206"/>
      <c r="AV705" s="213"/>
      <c r="AW705" s="6"/>
      <c r="AX705" s="6"/>
      <c r="AY705" s="6"/>
      <c r="AZ705" s="206"/>
    </row>
    <row r="706" spans="4:52" s="2" customFormat="1" ht="17.100000000000001" customHeight="1" x14ac:dyDescent="0.25">
      <c r="D706" s="3"/>
      <c r="E706" s="3"/>
      <c r="F706" s="4"/>
      <c r="G706" s="4"/>
      <c r="H706" s="138"/>
      <c r="I706" s="97"/>
      <c r="J706" s="6"/>
      <c r="K706" s="6"/>
      <c r="L706" s="6"/>
      <c r="M706" s="6"/>
      <c r="N706" s="6"/>
      <c r="O706" s="6"/>
      <c r="P706" s="6"/>
      <c r="Q706" s="6"/>
      <c r="R706" s="6"/>
      <c r="S706" s="6"/>
      <c r="T706" s="6"/>
      <c r="U706" s="6"/>
      <c r="V706" s="339"/>
      <c r="W706" s="339"/>
      <c r="X706" s="6"/>
      <c r="Y706" s="206"/>
      <c r="AE706" s="6"/>
      <c r="AF706" s="6"/>
      <c r="AG706" s="6"/>
      <c r="AH706" s="206"/>
      <c r="AJ706" s="213"/>
      <c r="AK706" s="6"/>
      <c r="AL706" s="6"/>
      <c r="AM706" s="6"/>
      <c r="AN706" s="206"/>
      <c r="AP706" s="213"/>
      <c r="AQ706" s="6"/>
      <c r="AR706" s="6"/>
      <c r="AS706" s="6"/>
      <c r="AT706" s="206"/>
      <c r="AV706" s="213"/>
      <c r="AW706" s="6"/>
      <c r="AX706" s="6"/>
      <c r="AY706" s="6"/>
      <c r="AZ706" s="206"/>
    </row>
    <row r="707" spans="4:52" s="2" customFormat="1" ht="17.100000000000001" customHeight="1" x14ac:dyDescent="0.25">
      <c r="D707" s="3"/>
      <c r="E707" s="3"/>
      <c r="F707" s="4"/>
      <c r="G707" s="4"/>
      <c r="H707" s="138"/>
      <c r="I707" s="97"/>
      <c r="J707" s="6"/>
      <c r="K707" s="6"/>
      <c r="L707" s="6"/>
      <c r="M707" s="6"/>
      <c r="N707" s="6"/>
      <c r="O707" s="6"/>
      <c r="P707" s="6"/>
      <c r="Q707" s="6"/>
      <c r="R707" s="6"/>
      <c r="S707" s="6"/>
      <c r="T707" s="6"/>
      <c r="U707" s="6"/>
      <c r="V707" s="339"/>
      <c r="W707" s="339"/>
      <c r="X707" s="6"/>
      <c r="Y707" s="206"/>
      <c r="AE707" s="6"/>
      <c r="AF707" s="6"/>
      <c r="AG707" s="6"/>
      <c r="AH707" s="206"/>
      <c r="AJ707" s="213"/>
      <c r="AK707" s="6"/>
      <c r="AL707" s="6"/>
      <c r="AM707" s="6"/>
      <c r="AN707" s="206"/>
      <c r="AP707" s="213"/>
      <c r="AQ707" s="6"/>
      <c r="AR707" s="6"/>
      <c r="AS707" s="6"/>
      <c r="AT707" s="206"/>
      <c r="AV707" s="213"/>
      <c r="AW707" s="6"/>
      <c r="AX707" s="6"/>
      <c r="AY707" s="6"/>
      <c r="AZ707" s="206"/>
    </row>
    <row r="708" spans="4:52" s="2" customFormat="1" ht="17.100000000000001" customHeight="1" x14ac:dyDescent="0.25">
      <c r="D708" s="3"/>
      <c r="E708" s="3"/>
      <c r="F708" s="4"/>
      <c r="G708" s="4"/>
      <c r="H708" s="138"/>
      <c r="I708" s="97"/>
      <c r="J708" s="6"/>
      <c r="K708" s="6"/>
      <c r="L708" s="6"/>
      <c r="M708" s="6"/>
      <c r="N708" s="6"/>
      <c r="O708" s="6"/>
      <c r="P708" s="6"/>
      <c r="Q708" s="6"/>
      <c r="R708" s="6"/>
      <c r="S708" s="6"/>
      <c r="T708" s="6"/>
      <c r="U708" s="6"/>
      <c r="V708" s="339"/>
      <c r="W708" s="339"/>
      <c r="X708" s="6"/>
      <c r="Y708" s="206"/>
      <c r="AE708" s="6"/>
      <c r="AF708" s="6"/>
      <c r="AG708" s="6"/>
      <c r="AH708" s="206"/>
      <c r="AJ708" s="213"/>
      <c r="AK708" s="6"/>
      <c r="AL708" s="6"/>
      <c r="AM708" s="6"/>
      <c r="AN708" s="206"/>
      <c r="AP708" s="213"/>
      <c r="AQ708" s="6"/>
      <c r="AR708" s="6"/>
      <c r="AS708" s="6"/>
      <c r="AT708" s="206"/>
      <c r="AV708" s="213"/>
      <c r="AW708" s="6"/>
      <c r="AX708" s="6"/>
      <c r="AY708" s="6"/>
      <c r="AZ708" s="206"/>
    </row>
    <row r="709" spans="4:52" s="2" customFormat="1" ht="17.100000000000001" customHeight="1" x14ac:dyDescent="0.25">
      <c r="D709" s="3"/>
      <c r="E709" s="3"/>
      <c r="F709" s="4"/>
      <c r="G709" s="4"/>
      <c r="H709" s="138"/>
      <c r="I709" s="97"/>
      <c r="J709" s="6"/>
      <c r="K709" s="6"/>
      <c r="L709" s="6"/>
      <c r="M709" s="6"/>
      <c r="N709" s="6"/>
      <c r="O709" s="6"/>
      <c r="P709" s="6"/>
      <c r="Q709" s="6"/>
      <c r="R709" s="6"/>
      <c r="S709" s="6"/>
      <c r="T709" s="6"/>
      <c r="U709" s="6"/>
      <c r="V709" s="339"/>
      <c r="W709" s="339"/>
      <c r="X709" s="6"/>
      <c r="Y709" s="206"/>
      <c r="AE709" s="6"/>
      <c r="AF709" s="6"/>
      <c r="AG709" s="6"/>
      <c r="AH709" s="206"/>
      <c r="AJ709" s="213"/>
      <c r="AK709" s="6"/>
      <c r="AL709" s="6"/>
      <c r="AM709" s="6"/>
      <c r="AN709" s="206"/>
      <c r="AP709" s="213"/>
      <c r="AQ709" s="6"/>
      <c r="AR709" s="6"/>
      <c r="AS709" s="6"/>
      <c r="AT709" s="206"/>
      <c r="AV709" s="213"/>
      <c r="AW709" s="6"/>
      <c r="AX709" s="6"/>
      <c r="AY709" s="6"/>
      <c r="AZ709" s="206"/>
    </row>
    <row r="710" spans="4:52" s="2" customFormat="1" ht="17.100000000000001" customHeight="1" x14ac:dyDescent="0.25">
      <c r="D710" s="3"/>
      <c r="E710" s="3"/>
      <c r="F710" s="4"/>
      <c r="G710" s="4"/>
      <c r="H710" s="138"/>
      <c r="I710" s="97"/>
      <c r="J710" s="6"/>
      <c r="K710" s="6"/>
      <c r="L710" s="6"/>
      <c r="M710" s="6"/>
      <c r="N710" s="6"/>
      <c r="O710" s="6"/>
      <c r="P710" s="6"/>
      <c r="Q710" s="6"/>
      <c r="R710" s="6"/>
      <c r="S710" s="6"/>
      <c r="T710" s="6"/>
      <c r="U710" s="6"/>
      <c r="V710" s="339"/>
      <c r="W710" s="339"/>
      <c r="X710" s="6"/>
      <c r="Y710" s="206"/>
      <c r="AE710" s="6"/>
      <c r="AF710" s="6"/>
      <c r="AG710" s="6"/>
      <c r="AH710" s="206"/>
      <c r="AJ710" s="213"/>
      <c r="AK710" s="6"/>
      <c r="AL710" s="6"/>
      <c r="AM710" s="6"/>
      <c r="AN710" s="206"/>
      <c r="AP710" s="213"/>
      <c r="AQ710" s="6"/>
      <c r="AR710" s="6"/>
      <c r="AS710" s="6"/>
      <c r="AT710" s="206"/>
      <c r="AV710" s="213"/>
      <c r="AW710" s="6"/>
      <c r="AX710" s="6"/>
      <c r="AY710" s="6"/>
      <c r="AZ710" s="206"/>
    </row>
    <row r="711" spans="4:52" s="2" customFormat="1" ht="17.100000000000001" customHeight="1" x14ac:dyDescent="0.25">
      <c r="D711" s="3"/>
      <c r="E711" s="3"/>
      <c r="F711" s="4"/>
      <c r="G711" s="4"/>
      <c r="H711" s="138"/>
      <c r="I711" s="97"/>
      <c r="J711" s="6"/>
      <c r="K711" s="6"/>
      <c r="L711" s="6"/>
      <c r="M711" s="6"/>
      <c r="N711" s="6"/>
      <c r="O711" s="6"/>
      <c r="P711" s="6"/>
      <c r="Q711" s="6"/>
      <c r="R711" s="6"/>
      <c r="S711" s="6"/>
      <c r="T711" s="6"/>
      <c r="U711" s="6"/>
      <c r="V711" s="339"/>
      <c r="W711" s="339"/>
      <c r="X711" s="6"/>
      <c r="Y711" s="206"/>
      <c r="AE711" s="6"/>
      <c r="AF711" s="6"/>
      <c r="AG711" s="6"/>
      <c r="AH711" s="206"/>
      <c r="AJ711" s="213"/>
      <c r="AK711" s="6"/>
      <c r="AL711" s="6"/>
      <c r="AM711" s="6"/>
      <c r="AN711" s="206"/>
      <c r="AP711" s="213"/>
      <c r="AQ711" s="6"/>
      <c r="AR711" s="6"/>
      <c r="AS711" s="6"/>
      <c r="AT711" s="206"/>
      <c r="AV711" s="213"/>
      <c r="AW711" s="6"/>
      <c r="AX711" s="6"/>
      <c r="AY711" s="6"/>
      <c r="AZ711" s="206"/>
    </row>
    <row r="712" spans="4:52" s="2" customFormat="1" ht="17.100000000000001" customHeight="1" x14ac:dyDescent="0.25">
      <c r="D712" s="3"/>
      <c r="E712" s="3"/>
      <c r="F712" s="4"/>
      <c r="G712" s="4"/>
      <c r="H712" s="138"/>
      <c r="I712" s="97"/>
      <c r="J712" s="6"/>
      <c r="K712" s="6"/>
      <c r="L712" s="6"/>
      <c r="M712" s="6"/>
      <c r="N712" s="6"/>
      <c r="O712" s="6"/>
      <c r="P712" s="6"/>
      <c r="Q712" s="6"/>
      <c r="R712" s="6"/>
      <c r="S712" s="6"/>
      <c r="T712" s="6"/>
      <c r="U712" s="6"/>
      <c r="V712" s="339"/>
      <c r="W712" s="339"/>
      <c r="X712" s="6"/>
      <c r="Y712" s="206"/>
      <c r="AE712" s="6"/>
      <c r="AF712" s="6"/>
      <c r="AG712" s="6"/>
      <c r="AH712" s="206"/>
      <c r="AJ712" s="213"/>
      <c r="AK712" s="6"/>
      <c r="AL712" s="6"/>
      <c r="AM712" s="6"/>
      <c r="AN712" s="206"/>
      <c r="AP712" s="213"/>
      <c r="AQ712" s="6"/>
      <c r="AR712" s="6"/>
      <c r="AS712" s="6"/>
      <c r="AT712" s="206"/>
      <c r="AV712" s="213"/>
      <c r="AW712" s="6"/>
      <c r="AX712" s="6"/>
      <c r="AY712" s="6"/>
      <c r="AZ712" s="206"/>
    </row>
    <row r="713" spans="4:52" s="2" customFormat="1" ht="17.100000000000001" customHeight="1" x14ac:dyDescent="0.25">
      <c r="D713" s="3"/>
      <c r="E713" s="3"/>
      <c r="F713" s="4"/>
      <c r="G713" s="4"/>
      <c r="H713" s="138"/>
      <c r="I713" s="97"/>
      <c r="J713" s="6"/>
      <c r="K713" s="6"/>
      <c r="L713" s="6"/>
      <c r="M713" s="6"/>
      <c r="N713" s="6"/>
      <c r="O713" s="6"/>
      <c r="P713" s="6"/>
      <c r="Q713" s="6"/>
      <c r="R713" s="6"/>
      <c r="S713" s="6"/>
      <c r="T713" s="6"/>
      <c r="U713" s="6"/>
      <c r="V713" s="339"/>
      <c r="W713" s="339"/>
      <c r="X713" s="6"/>
      <c r="Y713" s="206"/>
      <c r="AE713" s="6"/>
      <c r="AF713" s="6"/>
      <c r="AG713" s="6"/>
      <c r="AH713" s="206"/>
      <c r="AJ713" s="213"/>
      <c r="AK713" s="6"/>
      <c r="AL713" s="6"/>
      <c r="AM713" s="6"/>
      <c r="AN713" s="206"/>
      <c r="AP713" s="213"/>
      <c r="AQ713" s="6"/>
      <c r="AR713" s="6"/>
      <c r="AS713" s="6"/>
      <c r="AT713" s="206"/>
      <c r="AV713" s="213"/>
      <c r="AW713" s="6"/>
      <c r="AX713" s="6"/>
      <c r="AY713" s="6"/>
      <c r="AZ713" s="206"/>
    </row>
    <row r="714" spans="4:52" s="2" customFormat="1" ht="17.100000000000001" customHeight="1" x14ac:dyDescent="0.25">
      <c r="D714" s="3"/>
      <c r="E714" s="3"/>
      <c r="F714" s="4"/>
      <c r="G714" s="4"/>
      <c r="H714" s="138"/>
      <c r="I714" s="97"/>
      <c r="J714" s="6"/>
      <c r="K714" s="6"/>
      <c r="L714" s="6"/>
      <c r="M714" s="6"/>
      <c r="N714" s="6"/>
      <c r="O714" s="6"/>
      <c r="P714" s="6"/>
      <c r="Q714" s="6"/>
      <c r="R714" s="6"/>
      <c r="S714" s="6"/>
      <c r="T714" s="6"/>
      <c r="U714" s="6"/>
      <c r="V714" s="339"/>
      <c r="W714" s="339"/>
      <c r="X714" s="6"/>
      <c r="Y714" s="206"/>
      <c r="AE714" s="6"/>
      <c r="AF714" s="6"/>
      <c r="AG714" s="6"/>
      <c r="AH714" s="206"/>
      <c r="AJ714" s="213"/>
      <c r="AK714" s="6"/>
      <c r="AL714" s="6"/>
      <c r="AM714" s="6"/>
      <c r="AN714" s="206"/>
      <c r="AP714" s="213"/>
      <c r="AQ714" s="6"/>
      <c r="AR714" s="6"/>
      <c r="AS714" s="6"/>
      <c r="AT714" s="206"/>
      <c r="AV714" s="213"/>
      <c r="AW714" s="6"/>
      <c r="AX714" s="6"/>
      <c r="AY714" s="6"/>
      <c r="AZ714" s="206"/>
    </row>
    <row r="715" spans="4:52" s="2" customFormat="1" ht="17.100000000000001" customHeight="1" x14ac:dyDescent="0.25">
      <c r="D715" s="3"/>
      <c r="E715" s="3"/>
      <c r="F715" s="4"/>
      <c r="G715" s="4"/>
      <c r="H715" s="138"/>
      <c r="I715" s="97"/>
      <c r="J715" s="6"/>
      <c r="K715" s="6"/>
      <c r="L715" s="6"/>
      <c r="M715" s="6"/>
      <c r="N715" s="6"/>
      <c r="O715" s="6"/>
      <c r="P715" s="6"/>
      <c r="Q715" s="6"/>
      <c r="R715" s="6"/>
      <c r="S715" s="6"/>
      <c r="T715" s="6"/>
      <c r="U715" s="6"/>
      <c r="V715" s="339"/>
      <c r="W715" s="339"/>
      <c r="X715" s="6"/>
      <c r="Y715" s="206"/>
      <c r="AE715" s="6"/>
      <c r="AF715" s="6"/>
      <c r="AG715" s="6"/>
      <c r="AH715" s="206"/>
      <c r="AJ715" s="213"/>
      <c r="AK715" s="6"/>
      <c r="AL715" s="6"/>
      <c r="AM715" s="6"/>
      <c r="AN715" s="206"/>
      <c r="AP715" s="213"/>
      <c r="AQ715" s="6"/>
      <c r="AR715" s="6"/>
      <c r="AS715" s="6"/>
      <c r="AT715" s="206"/>
      <c r="AV715" s="213"/>
      <c r="AW715" s="6"/>
      <c r="AX715" s="6"/>
      <c r="AY715" s="6"/>
      <c r="AZ715" s="206"/>
    </row>
    <row r="716" spans="4:52" s="2" customFormat="1" ht="17.100000000000001" customHeight="1" x14ac:dyDescent="0.25">
      <c r="D716" s="3"/>
      <c r="E716" s="3"/>
      <c r="F716" s="4"/>
      <c r="G716" s="4"/>
      <c r="H716" s="138"/>
      <c r="I716" s="97"/>
      <c r="J716" s="6"/>
      <c r="K716" s="6"/>
      <c r="L716" s="6"/>
      <c r="M716" s="6"/>
      <c r="N716" s="6"/>
      <c r="O716" s="6"/>
      <c r="P716" s="6"/>
      <c r="Q716" s="6"/>
      <c r="R716" s="6"/>
      <c r="S716" s="6"/>
      <c r="T716" s="6"/>
      <c r="U716" s="6"/>
      <c r="V716" s="339"/>
      <c r="W716" s="339"/>
      <c r="X716" s="6"/>
      <c r="Y716" s="206"/>
      <c r="AE716" s="6"/>
      <c r="AF716" s="6"/>
      <c r="AG716" s="6"/>
      <c r="AH716" s="206"/>
      <c r="AJ716" s="213"/>
      <c r="AK716" s="6"/>
      <c r="AL716" s="6"/>
      <c r="AM716" s="6"/>
      <c r="AN716" s="206"/>
      <c r="AP716" s="213"/>
      <c r="AQ716" s="6"/>
      <c r="AR716" s="6"/>
      <c r="AS716" s="6"/>
      <c r="AT716" s="206"/>
      <c r="AV716" s="213"/>
      <c r="AW716" s="6"/>
      <c r="AX716" s="6"/>
      <c r="AY716" s="6"/>
      <c r="AZ716" s="206"/>
    </row>
    <row r="717" spans="4:52" s="2" customFormat="1" ht="17.100000000000001" customHeight="1" x14ac:dyDescent="0.25">
      <c r="D717" s="3"/>
      <c r="E717" s="3"/>
      <c r="F717" s="4"/>
      <c r="G717" s="4"/>
      <c r="H717" s="138"/>
      <c r="I717" s="97"/>
      <c r="J717" s="6"/>
      <c r="K717" s="6"/>
      <c r="L717" s="6"/>
      <c r="M717" s="6"/>
      <c r="N717" s="6"/>
      <c r="O717" s="6"/>
      <c r="P717" s="6"/>
      <c r="Q717" s="6"/>
      <c r="R717" s="6"/>
      <c r="S717" s="6"/>
      <c r="T717" s="6"/>
      <c r="U717" s="6"/>
      <c r="V717" s="339"/>
      <c r="W717" s="339"/>
      <c r="X717" s="6"/>
      <c r="Y717" s="206"/>
      <c r="AE717" s="6"/>
      <c r="AF717" s="6"/>
      <c r="AG717" s="6"/>
      <c r="AH717" s="206"/>
      <c r="AJ717" s="213"/>
      <c r="AK717" s="6"/>
      <c r="AL717" s="6"/>
      <c r="AM717" s="6"/>
      <c r="AN717" s="206"/>
      <c r="AP717" s="213"/>
      <c r="AQ717" s="6"/>
      <c r="AR717" s="6"/>
      <c r="AS717" s="6"/>
      <c r="AT717" s="206"/>
      <c r="AV717" s="213"/>
      <c r="AW717" s="6"/>
      <c r="AX717" s="6"/>
      <c r="AY717" s="6"/>
      <c r="AZ717" s="206"/>
    </row>
    <row r="718" spans="4:52" s="2" customFormat="1" ht="17.100000000000001" customHeight="1" x14ac:dyDescent="0.25">
      <c r="D718" s="3"/>
      <c r="E718" s="3"/>
      <c r="F718" s="4"/>
      <c r="G718" s="4"/>
      <c r="H718" s="138"/>
      <c r="I718" s="97"/>
      <c r="J718" s="6"/>
      <c r="K718" s="6"/>
      <c r="L718" s="6"/>
      <c r="M718" s="6"/>
      <c r="N718" s="6"/>
      <c r="O718" s="6"/>
      <c r="P718" s="6"/>
      <c r="Q718" s="6"/>
      <c r="R718" s="6"/>
      <c r="S718" s="6"/>
      <c r="T718" s="6"/>
      <c r="U718" s="6"/>
      <c r="V718" s="339"/>
      <c r="W718" s="339"/>
      <c r="X718" s="6"/>
      <c r="Y718" s="206"/>
      <c r="AE718" s="6"/>
      <c r="AF718" s="6"/>
      <c r="AG718" s="6"/>
      <c r="AH718" s="206"/>
      <c r="AJ718" s="213"/>
      <c r="AK718" s="6"/>
      <c r="AL718" s="6"/>
      <c r="AM718" s="6"/>
      <c r="AN718" s="206"/>
      <c r="AP718" s="213"/>
      <c r="AQ718" s="6"/>
      <c r="AR718" s="6"/>
      <c r="AS718" s="6"/>
      <c r="AT718" s="206"/>
      <c r="AV718" s="213"/>
      <c r="AW718" s="6"/>
      <c r="AX718" s="6"/>
      <c r="AY718" s="6"/>
      <c r="AZ718" s="206"/>
    </row>
    <row r="719" spans="4:52" s="2" customFormat="1" ht="17.100000000000001" customHeight="1" x14ac:dyDescent="0.25">
      <c r="D719" s="3"/>
      <c r="E719" s="3"/>
      <c r="F719" s="4"/>
      <c r="G719" s="4"/>
      <c r="H719" s="138"/>
      <c r="I719" s="97"/>
      <c r="J719" s="6"/>
      <c r="K719" s="6"/>
      <c r="L719" s="6"/>
      <c r="M719" s="6"/>
      <c r="N719" s="6"/>
      <c r="O719" s="6"/>
      <c r="P719" s="6"/>
      <c r="Q719" s="6"/>
      <c r="R719" s="6"/>
      <c r="S719" s="6"/>
      <c r="T719" s="6"/>
      <c r="U719" s="6"/>
      <c r="V719" s="339"/>
      <c r="W719" s="339"/>
      <c r="X719" s="6"/>
      <c r="Y719" s="206"/>
      <c r="AE719" s="6"/>
      <c r="AF719" s="6"/>
      <c r="AG719" s="6"/>
      <c r="AH719" s="206"/>
      <c r="AJ719" s="213"/>
      <c r="AK719" s="6"/>
      <c r="AL719" s="6"/>
      <c r="AM719" s="6"/>
      <c r="AN719" s="206"/>
      <c r="AP719" s="213"/>
      <c r="AQ719" s="6"/>
      <c r="AR719" s="6"/>
      <c r="AS719" s="6"/>
      <c r="AT719" s="206"/>
      <c r="AV719" s="213"/>
      <c r="AW719" s="6"/>
      <c r="AX719" s="6"/>
      <c r="AY719" s="6"/>
      <c r="AZ719" s="206"/>
    </row>
    <row r="720" spans="4:52" s="2" customFormat="1" ht="17.100000000000001" customHeight="1" x14ac:dyDescent="0.25">
      <c r="D720" s="3"/>
      <c r="E720" s="3"/>
      <c r="F720" s="4"/>
      <c r="G720" s="4"/>
      <c r="H720" s="138"/>
      <c r="I720" s="97"/>
      <c r="J720" s="6"/>
      <c r="K720" s="6"/>
      <c r="L720" s="6"/>
      <c r="M720" s="6"/>
      <c r="N720" s="6"/>
      <c r="O720" s="6"/>
      <c r="P720" s="6"/>
      <c r="Q720" s="6"/>
      <c r="R720" s="6"/>
      <c r="S720" s="6"/>
      <c r="T720" s="6"/>
      <c r="U720" s="6"/>
      <c r="V720" s="339"/>
      <c r="W720" s="339"/>
      <c r="X720" s="6"/>
      <c r="Y720" s="206"/>
      <c r="AE720" s="6"/>
      <c r="AF720" s="6"/>
      <c r="AG720" s="6"/>
      <c r="AH720" s="206"/>
      <c r="AJ720" s="213"/>
      <c r="AK720" s="6"/>
      <c r="AL720" s="6"/>
      <c r="AM720" s="6"/>
      <c r="AN720" s="206"/>
      <c r="AP720" s="213"/>
      <c r="AQ720" s="6"/>
      <c r="AR720" s="6"/>
      <c r="AS720" s="6"/>
      <c r="AT720" s="206"/>
      <c r="AV720" s="213"/>
      <c r="AW720" s="6"/>
      <c r="AX720" s="6"/>
      <c r="AY720" s="6"/>
      <c r="AZ720" s="206"/>
    </row>
    <row r="721" spans="4:52" s="2" customFormat="1" ht="17.100000000000001" customHeight="1" x14ac:dyDescent="0.25">
      <c r="D721" s="3"/>
      <c r="E721" s="3"/>
      <c r="F721" s="4"/>
      <c r="G721" s="4"/>
      <c r="H721" s="138"/>
      <c r="I721" s="97"/>
      <c r="J721" s="6"/>
      <c r="K721" s="6"/>
      <c r="L721" s="6"/>
      <c r="M721" s="6"/>
      <c r="N721" s="6"/>
      <c r="O721" s="6"/>
      <c r="P721" s="6"/>
      <c r="Q721" s="6"/>
      <c r="R721" s="6"/>
      <c r="S721" s="6"/>
      <c r="T721" s="6"/>
      <c r="U721" s="6"/>
      <c r="V721" s="339"/>
      <c r="W721" s="339"/>
      <c r="X721" s="6"/>
      <c r="Y721" s="206"/>
      <c r="AE721" s="6"/>
      <c r="AF721" s="6"/>
      <c r="AG721" s="6"/>
      <c r="AH721" s="206"/>
      <c r="AJ721" s="213"/>
      <c r="AK721" s="6"/>
      <c r="AL721" s="6"/>
      <c r="AM721" s="6"/>
      <c r="AN721" s="206"/>
      <c r="AP721" s="213"/>
      <c r="AQ721" s="6"/>
      <c r="AR721" s="6"/>
      <c r="AS721" s="6"/>
      <c r="AT721" s="206"/>
      <c r="AV721" s="213"/>
      <c r="AW721" s="6"/>
      <c r="AX721" s="6"/>
      <c r="AY721" s="6"/>
      <c r="AZ721" s="206"/>
    </row>
    <row r="722" spans="4:52" s="2" customFormat="1" ht="17.100000000000001" customHeight="1" x14ac:dyDescent="0.25">
      <c r="D722" s="3"/>
      <c r="E722" s="3"/>
      <c r="F722" s="4"/>
      <c r="G722" s="4"/>
      <c r="H722" s="138"/>
      <c r="I722" s="97"/>
      <c r="J722" s="6"/>
      <c r="K722" s="6"/>
      <c r="L722" s="6"/>
      <c r="M722" s="6"/>
      <c r="N722" s="6"/>
      <c r="O722" s="6"/>
      <c r="P722" s="6"/>
      <c r="Q722" s="6"/>
      <c r="R722" s="6"/>
      <c r="S722" s="6"/>
      <c r="T722" s="6"/>
      <c r="U722" s="6"/>
      <c r="V722" s="339"/>
      <c r="W722" s="339"/>
      <c r="X722" s="6"/>
      <c r="Y722" s="206"/>
      <c r="AE722" s="6"/>
      <c r="AF722" s="6"/>
      <c r="AG722" s="6"/>
      <c r="AH722" s="206"/>
      <c r="AJ722" s="213"/>
      <c r="AK722" s="6"/>
      <c r="AL722" s="6"/>
      <c r="AM722" s="6"/>
      <c r="AN722" s="206"/>
      <c r="AP722" s="213"/>
      <c r="AQ722" s="6"/>
      <c r="AR722" s="6"/>
      <c r="AS722" s="6"/>
      <c r="AT722" s="206"/>
      <c r="AV722" s="213"/>
      <c r="AW722" s="6"/>
      <c r="AX722" s="6"/>
      <c r="AY722" s="6"/>
      <c r="AZ722" s="206"/>
    </row>
    <row r="723" spans="4:52" s="2" customFormat="1" ht="17.100000000000001" customHeight="1" x14ac:dyDescent="0.25">
      <c r="D723" s="3"/>
      <c r="E723" s="3"/>
      <c r="F723" s="4"/>
      <c r="G723" s="4"/>
      <c r="H723" s="138"/>
      <c r="I723" s="97"/>
      <c r="J723" s="6"/>
      <c r="K723" s="6"/>
      <c r="L723" s="6"/>
      <c r="M723" s="6"/>
      <c r="N723" s="6"/>
      <c r="O723" s="6"/>
      <c r="P723" s="6"/>
      <c r="Q723" s="6"/>
      <c r="R723" s="6"/>
      <c r="S723" s="6"/>
      <c r="T723" s="6"/>
      <c r="U723" s="6"/>
      <c r="V723" s="339"/>
      <c r="W723" s="339"/>
      <c r="X723" s="6"/>
      <c r="Y723" s="206"/>
      <c r="AE723" s="6"/>
      <c r="AF723" s="6"/>
      <c r="AG723" s="6"/>
      <c r="AH723" s="206"/>
      <c r="AJ723" s="213"/>
      <c r="AK723" s="6"/>
      <c r="AL723" s="6"/>
      <c r="AM723" s="6"/>
      <c r="AN723" s="206"/>
      <c r="AP723" s="213"/>
      <c r="AQ723" s="6"/>
      <c r="AR723" s="6"/>
      <c r="AS723" s="6"/>
      <c r="AT723" s="206"/>
      <c r="AV723" s="213"/>
      <c r="AW723" s="6"/>
      <c r="AX723" s="6"/>
      <c r="AY723" s="6"/>
      <c r="AZ723" s="206"/>
    </row>
    <row r="724" spans="4:52" s="2" customFormat="1" ht="17.100000000000001" customHeight="1" x14ac:dyDescent="0.25">
      <c r="D724" s="3"/>
      <c r="E724" s="3"/>
      <c r="F724" s="4"/>
      <c r="G724" s="4"/>
      <c r="H724" s="138"/>
      <c r="I724" s="97"/>
      <c r="J724" s="6"/>
      <c r="K724" s="6"/>
      <c r="L724" s="6"/>
      <c r="M724" s="6"/>
      <c r="N724" s="6"/>
      <c r="O724" s="6"/>
      <c r="P724" s="6"/>
      <c r="Q724" s="6"/>
      <c r="R724" s="6"/>
      <c r="S724" s="6"/>
      <c r="T724" s="6"/>
      <c r="U724" s="6"/>
      <c r="V724" s="339"/>
      <c r="W724" s="339"/>
      <c r="X724" s="6"/>
      <c r="Y724" s="206"/>
      <c r="AE724" s="6"/>
      <c r="AF724" s="6"/>
      <c r="AG724" s="6"/>
      <c r="AH724" s="206"/>
      <c r="AJ724" s="213"/>
      <c r="AK724" s="6"/>
      <c r="AL724" s="6"/>
      <c r="AM724" s="6"/>
      <c r="AN724" s="206"/>
      <c r="AP724" s="213"/>
      <c r="AQ724" s="6"/>
      <c r="AR724" s="6"/>
      <c r="AS724" s="6"/>
      <c r="AT724" s="206"/>
      <c r="AV724" s="213"/>
      <c r="AW724" s="6"/>
      <c r="AX724" s="6"/>
      <c r="AY724" s="6"/>
      <c r="AZ724" s="206"/>
    </row>
    <row r="725" spans="4:52" s="2" customFormat="1" ht="17.100000000000001" customHeight="1" x14ac:dyDescent="0.25">
      <c r="D725" s="3"/>
      <c r="E725" s="3"/>
      <c r="F725" s="4"/>
      <c r="G725" s="4"/>
      <c r="H725" s="138"/>
      <c r="I725" s="97"/>
      <c r="J725" s="6"/>
      <c r="K725" s="6"/>
      <c r="L725" s="6"/>
      <c r="M725" s="6"/>
      <c r="N725" s="6"/>
      <c r="O725" s="6"/>
      <c r="P725" s="6"/>
      <c r="Q725" s="6"/>
      <c r="R725" s="6"/>
      <c r="S725" s="6"/>
      <c r="T725" s="6"/>
      <c r="U725" s="6"/>
      <c r="V725" s="339"/>
      <c r="W725" s="339"/>
      <c r="X725" s="6"/>
      <c r="Y725" s="206"/>
      <c r="AE725" s="6"/>
      <c r="AF725" s="6"/>
      <c r="AG725" s="6"/>
      <c r="AH725" s="206"/>
      <c r="AJ725" s="213"/>
      <c r="AK725" s="6"/>
      <c r="AL725" s="6"/>
      <c r="AM725" s="6"/>
      <c r="AN725" s="206"/>
      <c r="AP725" s="213"/>
      <c r="AQ725" s="6"/>
      <c r="AR725" s="6"/>
      <c r="AS725" s="6"/>
      <c r="AT725" s="206"/>
      <c r="AV725" s="213"/>
      <c r="AW725" s="6"/>
      <c r="AX725" s="6"/>
      <c r="AY725" s="6"/>
      <c r="AZ725" s="206"/>
    </row>
    <row r="726" spans="4:52" s="2" customFormat="1" ht="17.100000000000001" customHeight="1" x14ac:dyDescent="0.25">
      <c r="D726" s="3"/>
      <c r="E726" s="3"/>
      <c r="F726" s="4"/>
      <c r="G726" s="4"/>
      <c r="H726" s="138"/>
      <c r="I726" s="97"/>
      <c r="J726" s="6"/>
      <c r="K726" s="6"/>
      <c r="L726" s="6"/>
      <c r="M726" s="6"/>
      <c r="N726" s="6"/>
      <c r="O726" s="6"/>
      <c r="P726" s="6"/>
      <c r="Q726" s="6"/>
      <c r="R726" s="6"/>
      <c r="S726" s="6"/>
      <c r="T726" s="6"/>
      <c r="U726" s="6"/>
      <c r="V726" s="339"/>
      <c r="W726" s="339"/>
      <c r="X726" s="6"/>
      <c r="Y726" s="206"/>
      <c r="AE726" s="6"/>
      <c r="AF726" s="6"/>
      <c r="AG726" s="6"/>
      <c r="AH726" s="206"/>
      <c r="AJ726" s="213"/>
      <c r="AK726" s="6"/>
      <c r="AL726" s="6"/>
      <c r="AM726" s="6"/>
      <c r="AN726" s="206"/>
      <c r="AP726" s="213"/>
      <c r="AQ726" s="6"/>
      <c r="AR726" s="6"/>
      <c r="AS726" s="6"/>
      <c r="AT726" s="206"/>
      <c r="AV726" s="213"/>
      <c r="AW726" s="6"/>
      <c r="AX726" s="6"/>
      <c r="AY726" s="6"/>
      <c r="AZ726" s="206"/>
    </row>
    <row r="727" spans="4:52" s="2" customFormat="1" ht="17.100000000000001" customHeight="1" x14ac:dyDescent="0.25">
      <c r="D727" s="3"/>
      <c r="E727" s="3"/>
      <c r="F727" s="4"/>
      <c r="G727" s="4"/>
      <c r="H727" s="138"/>
      <c r="I727" s="97"/>
      <c r="J727" s="6"/>
      <c r="K727" s="6"/>
      <c r="L727" s="6"/>
      <c r="M727" s="6"/>
      <c r="N727" s="6"/>
      <c r="O727" s="6"/>
      <c r="P727" s="6"/>
      <c r="Q727" s="6"/>
      <c r="R727" s="6"/>
      <c r="S727" s="6"/>
      <c r="T727" s="6"/>
      <c r="U727" s="6"/>
      <c r="V727" s="339"/>
      <c r="W727" s="339"/>
      <c r="X727" s="6"/>
      <c r="Y727" s="206"/>
      <c r="AE727" s="6"/>
      <c r="AF727" s="6"/>
      <c r="AG727" s="6"/>
      <c r="AH727" s="206"/>
      <c r="AJ727" s="213"/>
      <c r="AK727" s="6"/>
      <c r="AL727" s="6"/>
      <c r="AM727" s="6"/>
      <c r="AN727" s="206"/>
      <c r="AP727" s="213"/>
      <c r="AQ727" s="6"/>
      <c r="AR727" s="6"/>
      <c r="AS727" s="6"/>
      <c r="AT727" s="206"/>
      <c r="AV727" s="213"/>
      <c r="AW727" s="6"/>
      <c r="AX727" s="6"/>
      <c r="AY727" s="6"/>
      <c r="AZ727" s="206"/>
    </row>
    <row r="728" spans="4:52" s="2" customFormat="1" ht="17.100000000000001" customHeight="1" x14ac:dyDescent="0.25">
      <c r="D728" s="3"/>
      <c r="E728" s="3"/>
      <c r="F728" s="4"/>
      <c r="G728" s="4"/>
      <c r="H728" s="138"/>
      <c r="I728" s="97"/>
      <c r="J728" s="6"/>
      <c r="K728" s="6"/>
      <c r="L728" s="6"/>
      <c r="M728" s="6"/>
      <c r="N728" s="6"/>
      <c r="O728" s="6"/>
      <c r="P728" s="6"/>
      <c r="Q728" s="6"/>
      <c r="R728" s="6"/>
      <c r="S728" s="6"/>
      <c r="T728" s="6"/>
      <c r="U728" s="6"/>
      <c r="V728" s="339"/>
      <c r="W728" s="339"/>
      <c r="X728" s="6"/>
      <c r="Y728" s="206"/>
      <c r="AE728" s="6"/>
      <c r="AF728" s="6"/>
      <c r="AG728" s="6"/>
      <c r="AH728" s="206"/>
      <c r="AJ728" s="213"/>
      <c r="AK728" s="6"/>
      <c r="AL728" s="6"/>
      <c r="AM728" s="6"/>
      <c r="AN728" s="206"/>
      <c r="AP728" s="213"/>
      <c r="AQ728" s="6"/>
      <c r="AR728" s="6"/>
      <c r="AS728" s="6"/>
      <c r="AT728" s="206"/>
      <c r="AV728" s="213"/>
      <c r="AW728" s="6"/>
      <c r="AX728" s="6"/>
      <c r="AY728" s="6"/>
      <c r="AZ728" s="206"/>
    </row>
    <row r="729" spans="4:52" s="2" customFormat="1" ht="17.100000000000001" customHeight="1" x14ac:dyDescent="0.25">
      <c r="D729" s="3"/>
      <c r="E729" s="3"/>
      <c r="F729" s="4"/>
      <c r="G729" s="4"/>
      <c r="H729" s="138"/>
      <c r="I729" s="97"/>
      <c r="J729" s="6"/>
      <c r="K729" s="6"/>
      <c r="L729" s="6"/>
      <c r="M729" s="6"/>
      <c r="N729" s="6"/>
      <c r="O729" s="6"/>
      <c r="P729" s="6"/>
      <c r="Q729" s="6"/>
      <c r="R729" s="6"/>
      <c r="S729" s="6"/>
      <c r="T729" s="6"/>
      <c r="U729" s="6"/>
      <c r="V729" s="339"/>
      <c r="W729" s="339"/>
      <c r="X729" s="6"/>
      <c r="Y729" s="206"/>
      <c r="AE729" s="6"/>
      <c r="AF729" s="6"/>
      <c r="AG729" s="6"/>
      <c r="AH729" s="206"/>
      <c r="AJ729" s="213"/>
      <c r="AK729" s="6"/>
      <c r="AL729" s="6"/>
      <c r="AM729" s="6"/>
      <c r="AN729" s="206"/>
      <c r="AP729" s="213"/>
      <c r="AQ729" s="6"/>
      <c r="AR729" s="6"/>
      <c r="AS729" s="6"/>
      <c r="AT729" s="206"/>
      <c r="AV729" s="213"/>
      <c r="AW729" s="6"/>
      <c r="AX729" s="6"/>
      <c r="AY729" s="6"/>
      <c r="AZ729" s="206"/>
    </row>
    <row r="730" spans="4:52" s="2" customFormat="1" ht="17.100000000000001" customHeight="1" x14ac:dyDescent="0.25">
      <c r="D730" s="3"/>
      <c r="E730" s="3"/>
      <c r="F730" s="4"/>
      <c r="G730" s="4"/>
      <c r="H730" s="138"/>
      <c r="I730" s="97"/>
      <c r="J730" s="6"/>
      <c r="K730" s="6"/>
      <c r="L730" s="6"/>
      <c r="M730" s="6"/>
      <c r="N730" s="6"/>
      <c r="O730" s="6"/>
      <c r="P730" s="6"/>
      <c r="Q730" s="6"/>
      <c r="R730" s="6"/>
      <c r="S730" s="6"/>
      <c r="T730" s="6"/>
      <c r="U730" s="6"/>
      <c r="V730" s="339"/>
      <c r="W730" s="339"/>
      <c r="X730" s="6"/>
      <c r="Y730" s="206"/>
      <c r="AE730" s="6"/>
      <c r="AF730" s="6"/>
      <c r="AG730" s="6"/>
      <c r="AH730" s="206"/>
      <c r="AJ730" s="213"/>
      <c r="AK730" s="6"/>
      <c r="AL730" s="6"/>
      <c r="AM730" s="6"/>
      <c r="AN730" s="206"/>
      <c r="AP730" s="213"/>
      <c r="AQ730" s="6"/>
      <c r="AR730" s="6"/>
      <c r="AS730" s="6"/>
      <c r="AT730" s="206"/>
      <c r="AV730" s="213"/>
      <c r="AW730" s="6"/>
      <c r="AX730" s="6"/>
      <c r="AY730" s="6"/>
      <c r="AZ730" s="206"/>
    </row>
    <row r="731" spans="4:52" s="2" customFormat="1" ht="17.100000000000001" customHeight="1" x14ac:dyDescent="0.25">
      <c r="D731" s="3"/>
      <c r="E731" s="3"/>
      <c r="F731" s="4"/>
      <c r="G731" s="4"/>
      <c r="H731" s="138"/>
      <c r="I731" s="97"/>
      <c r="J731" s="6"/>
      <c r="K731" s="6"/>
      <c r="L731" s="6"/>
      <c r="M731" s="6"/>
      <c r="N731" s="6"/>
      <c r="O731" s="6"/>
      <c r="P731" s="6"/>
      <c r="Q731" s="6"/>
      <c r="R731" s="6"/>
      <c r="S731" s="6"/>
      <c r="T731" s="6"/>
      <c r="U731" s="6"/>
      <c r="V731" s="339"/>
      <c r="W731" s="339"/>
      <c r="X731" s="6"/>
      <c r="Y731" s="206"/>
      <c r="AE731" s="6"/>
      <c r="AF731" s="6"/>
      <c r="AG731" s="6"/>
      <c r="AH731" s="206"/>
      <c r="AJ731" s="213"/>
      <c r="AK731" s="6"/>
      <c r="AL731" s="6"/>
      <c r="AM731" s="6"/>
      <c r="AN731" s="206"/>
      <c r="AP731" s="213"/>
      <c r="AQ731" s="6"/>
      <c r="AR731" s="6"/>
      <c r="AS731" s="6"/>
      <c r="AT731" s="206"/>
      <c r="AV731" s="213"/>
      <c r="AW731" s="6"/>
      <c r="AX731" s="6"/>
      <c r="AY731" s="6"/>
      <c r="AZ731" s="206"/>
    </row>
    <row r="732" spans="4:52" s="2" customFormat="1" ht="17.100000000000001" customHeight="1" x14ac:dyDescent="0.25">
      <c r="D732" s="3"/>
      <c r="E732" s="3"/>
      <c r="F732" s="4"/>
      <c r="G732" s="4"/>
      <c r="H732" s="138"/>
      <c r="I732" s="97"/>
      <c r="J732" s="6"/>
      <c r="K732" s="6"/>
      <c r="L732" s="6"/>
      <c r="M732" s="6"/>
      <c r="N732" s="6"/>
      <c r="O732" s="6"/>
      <c r="P732" s="6"/>
      <c r="Q732" s="6"/>
      <c r="R732" s="6"/>
      <c r="S732" s="6"/>
      <c r="T732" s="6"/>
      <c r="U732" s="6"/>
      <c r="V732" s="339"/>
      <c r="W732" s="339"/>
      <c r="X732" s="6"/>
      <c r="Y732" s="206"/>
      <c r="AE732" s="6"/>
      <c r="AF732" s="6"/>
      <c r="AG732" s="6"/>
      <c r="AH732" s="206"/>
      <c r="AJ732" s="213"/>
      <c r="AK732" s="6"/>
      <c r="AL732" s="6"/>
      <c r="AM732" s="6"/>
      <c r="AN732" s="206"/>
      <c r="AP732" s="213"/>
      <c r="AQ732" s="6"/>
      <c r="AR732" s="6"/>
      <c r="AS732" s="6"/>
      <c r="AT732" s="206"/>
      <c r="AV732" s="213"/>
      <c r="AW732" s="6"/>
      <c r="AX732" s="6"/>
      <c r="AY732" s="6"/>
      <c r="AZ732" s="206"/>
    </row>
    <row r="733" spans="4:52" s="2" customFormat="1" ht="17.100000000000001" customHeight="1" x14ac:dyDescent="0.25">
      <c r="D733" s="3"/>
      <c r="E733" s="3"/>
      <c r="F733" s="4"/>
      <c r="G733" s="4"/>
      <c r="H733" s="138"/>
      <c r="I733" s="97"/>
      <c r="J733" s="6"/>
      <c r="K733" s="6"/>
      <c r="L733" s="6"/>
      <c r="M733" s="6"/>
      <c r="N733" s="6"/>
      <c r="O733" s="6"/>
      <c r="P733" s="6"/>
      <c r="Q733" s="6"/>
      <c r="R733" s="6"/>
      <c r="S733" s="6"/>
      <c r="T733" s="6"/>
      <c r="U733" s="6"/>
      <c r="V733" s="339"/>
      <c r="W733" s="339"/>
      <c r="X733" s="6"/>
      <c r="Y733" s="206"/>
      <c r="AE733" s="6"/>
      <c r="AF733" s="6"/>
      <c r="AG733" s="6"/>
      <c r="AH733" s="206"/>
      <c r="AJ733" s="213"/>
      <c r="AK733" s="6"/>
      <c r="AL733" s="6"/>
      <c r="AM733" s="6"/>
      <c r="AN733" s="206"/>
      <c r="AP733" s="213"/>
      <c r="AQ733" s="6"/>
      <c r="AR733" s="6"/>
      <c r="AS733" s="6"/>
      <c r="AT733" s="206"/>
      <c r="AV733" s="213"/>
      <c r="AW733" s="6"/>
      <c r="AX733" s="6"/>
      <c r="AY733" s="6"/>
      <c r="AZ733" s="206"/>
    </row>
    <row r="734" spans="4:52" s="2" customFormat="1" ht="17.100000000000001" customHeight="1" x14ac:dyDescent="0.25">
      <c r="D734" s="3"/>
      <c r="E734" s="3"/>
      <c r="F734" s="4"/>
      <c r="G734" s="4"/>
      <c r="H734" s="138"/>
      <c r="I734" s="97"/>
      <c r="J734" s="6"/>
      <c r="K734" s="6"/>
      <c r="L734" s="6"/>
      <c r="M734" s="6"/>
      <c r="N734" s="6"/>
      <c r="O734" s="6"/>
      <c r="P734" s="6"/>
      <c r="Q734" s="6"/>
      <c r="R734" s="6"/>
      <c r="S734" s="6"/>
      <c r="T734" s="6"/>
      <c r="U734" s="6"/>
      <c r="V734" s="339"/>
      <c r="W734" s="339"/>
      <c r="X734" s="6"/>
      <c r="Y734" s="206"/>
      <c r="AE734" s="6"/>
      <c r="AF734" s="6"/>
      <c r="AG734" s="6"/>
      <c r="AH734" s="206"/>
      <c r="AJ734" s="213"/>
      <c r="AK734" s="6"/>
      <c r="AL734" s="6"/>
      <c r="AM734" s="6"/>
      <c r="AN734" s="206"/>
      <c r="AP734" s="213"/>
      <c r="AQ734" s="6"/>
      <c r="AR734" s="6"/>
      <c r="AS734" s="6"/>
      <c r="AT734" s="206"/>
      <c r="AV734" s="213"/>
      <c r="AW734" s="6"/>
      <c r="AX734" s="6"/>
      <c r="AY734" s="6"/>
      <c r="AZ734" s="206"/>
    </row>
    <row r="735" spans="4:52" s="2" customFormat="1" ht="17.100000000000001" customHeight="1" x14ac:dyDescent="0.25">
      <c r="D735" s="3"/>
      <c r="E735" s="3"/>
      <c r="F735" s="4"/>
      <c r="G735" s="4"/>
      <c r="H735" s="138"/>
      <c r="I735" s="97"/>
      <c r="J735" s="6"/>
      <c r="K735" s="6"/>
      <c r="L735" s="6"/>
      <c r="M735" s="6"/>
      <c r="N735" s="6"/>
      <c r="O735" s="6"/>
      <c r="P735" s="6"/>
      <c r="Q735" s="6"/>
      <c r="R735" s="6"/>
      <c r="S735" s="6"/>
      <c r="T735" s="6"/>
      <c r="U735" s="6"/>
      <c r="V735" s="339"/>
      <c r="W735" s="339"/>
      <c r="X735" s="6"/>
      <c r="Y735" s="206"/>
      <c r="AE735" s="6"/>
      <c r="AF735" s="6"/>
      <c r="AG735" s="6"/>
      <c r="AH735" s="206"/>
      <c r="AJ735" s="213"/>
      <c r="AK735" s="6"/>
      <c r="AL735" s="6"/>
      <c r="AM735" s="6"/>
      <c r="AN735" s="206"/>
      <c r="AP735" s="213"/>
      <c r="AQ735" s="6"/>
      <c r="AR735" s="6"/>
      <c r="AS735" s="6"/>
      <c r="AT735" s="206"/>
      <c r="AV735" s="213"/>
      <c r="AW735" s="6"/>
      <c r="AX735" s="6"/>
      <c r="AY735" s="6"/>
      <c r="AZ735" s="206"/>
    </row>
    <row r="736" spans="4:52" s="2" customFormat="1" ht="17.100000000000001" customHeight="1" x14ac:dyDescent="0.25">
      <c r="D736" s="3"/>
      <c r="E736" s="3"/>
      <c r="F736" s="4"/>
      <c r="G736" s="4"/>
      <c r="H736" s="138"/>
      <c r="I736" s="97"/>
      <c r="J736" s="6"/>
      <c r="K736" s="6"/>
      <c r="L736" s="6"/>
      <c r="M736" s="6"/>
      <c r="N736" s="6"/>
      <c r="O736" s="6"/>
      <c r="P736" s="6"/>
      <c r="Q736" s="6"/>
      <c r="R736" s="6"/>
      <c r="S736" s="6"/>
      <c r="T736" s="6"/>
      <c r="U736" s="6"/>
      <c r="V736" s="339"/>
      <c r="W736" s="339"/>
      <c r="X736" s="6"/>
      <c r="Y736" s="206"/>
      <c r="AE736" s="6"/>
      <c r="AF736" s="6"/>
      <c r="AG736" s="6"/>
      <c r="AH736" s="206"/>
      <c r="AJ736" s="213"/>
      <c r="AK736" s="6"/>
      <c r="AL736" s="6"/>
      <c r="AM736" s="6"/>
      <c r="AN736" s="206"/>
      <c r="AP736" s="213"/>
      <c r="AQ736" s="6"/>
      <c r="AR736" s="6"/>
      <c r="AS736" s="6"/>
      <c r="AT736" s="206"/>
      <c r="AV736" s="213"/>
      <c r="AW736" s="6"/>
      <c r="AX736" s="6"/>
      <c r="AY736" s="6"/>
      <c r="AZ736" s="206"/>
    </row>
    <row r="737" spans="4:52" s="2" customFormat="1" ht="17.100000000000001" customHeight="1" x14ac:dyDescent="0.25">
      <c r="D737" s="3"/>
      <c r="E737" s="3"/>
      <c r="F737" s="4"/>
      <c r="G737" s="4"/>
      <c r="H737" s="138"/>
      <c r="I737" s="97"/>
      <c r="J737" s="6"/>
      <c r="K737" s="6"/>
      <c r="L737" s="6"/>
      <c r="M737" s="6"/>
      <c r="N737" s="6"/>
      <c r="O737" s="6"/>
      <c r="P737" s="6"/>
      <c r="Q737" s="6"/>
      <c r="R737" s="6"/>
      <c r="S737" s="6"/>
      <c r="T737" s="6"/>
      <c r="U737" s="6"/>
      <c r="V737" s="339"/>
      <c r="W737" s="339"/>
      <c r="X737" s="6"/>
      <c r="Y737" s="206"/>
      <c r="AE737" s="6"/>
      <c r="AF737" s="6"/>
      <c r="AG737" s="6"/>
      <c r="AH737" s="206"/>
      <c r="AJ737" s="213"/>
      <c r="AK737" s="6"/>
      <c r="AL737" s="6"/>
      <c r="AM737" s="6"/>
      <c r="AN737" s="206"/>
      <c r="AP737" s="213"/>
      <c r="AQ737" s="6"/>
      <c r="AR737" s="6"/>
      <c r="AS737" s="6"/>
      <c r="AT737" s="206"/>
      <c r="AV737" s="213"/>
      <c r="AW737" s="6"/>
      <c r="AX737" s="6"/>
      <c r="AY737" s="6"/>
      <c r="AZ737" s="206"/>
    </row>
    <row r="738" spans="4:52" s="2" customFormat="1" ht="17.100000000000001" customHeight="1" x14ac:dyDescent="0.25">
      <c r="D738" s="3"/>
      <c r="E738" s="3"/>
      <c r="F738" s="4"/>
      <c r="G738" s="4"/>
      <c r="H738" s="138"/>
      <c r="I738" s="97"/>
      <c r="J738" s="6"/>
      <c r="K738" s="6"/>
      <c r="L738" s="6"/>
      <c r="M738" s="6"/>
      <c r="N738" s="6"/>
      <c r="O738" s="6"/>
      <c r="P738" s="6"/>
      <c r="Q738" s="6"/>
      <c r="R738" s="6"/>
      <c r="S738" s="6"/>
      <c r="T738" s="6"/>
      <c r="U738" s="6"/>
      <c r="V738" s="339"/>
      <c r="W738" s="339"/>
      <c r="X738" s="6"/>
      <c r="Y738" s="206"/>
      <c r="AE738" s="6"/>
      <c r="AF738" s="6"/>
      <c r="AG738" s="6"/>
      <c r="AH738" s="206"/>
      <c r="AJ738" s="213"/>
      <c r="AK738" s="6"/>
      <c r="AL738" s="6"/>
      <c r="AM738" s="6"/>
      <c r="AN738" s="206"/>
      <c r="AP738" s="213"/>
      <c r="AQ738" s="6"/>
      <c r="AR738" s="6"/>
      <c r="AS738" s="6"/>
      <c r="AT738" s="206"/>
      <c r="AV738" s="213"/>
      <c r="AW738" s="6"/>
      <c r="AX738" s="6"/>
      <c r="AY738" s="6"/>
      <c r="AZ738" s="206"/>
    </row>
    <row r="739" spans="4:52" s="2" customFormat="1" ht="17.100000000000001" customHeight="1" x14ac:dyDescent="0.25">
      <c r="D739" s="3"/>
      <c r="E739" s="3"/>
      <c r="F739" s="4"/>
      <c r="G739" s="4"/>
      <c r="H739" s="138"/>
      <c r="I739" s="97"/>
      <c r="J739" s="6"/>
      <c r="K739" s="6"/>
      <c r="L739" s="6"/>
      <c r="M739" s="6"/>
      <c r="N739" s="6"/>
      <c r="O739" s="6"/>
      <c r="P739" s="6"/>
      <c r="Q739" s="6"/>
      <c r="R739" s="6"/>
      <c r="S739" s="6"/>
      <c r="T739" s="6"/>
      <c r="U739" s="6"/>
      <c r="V739" s="339"/>
      <c r="W739" s="339"/>
      <c r="X739" s="6"/>
      <c r="Y739" s="206"/>
      <c r="AE739" s="6"/>
      <c r="AF739" s="6"/>
      <c r="AG739" s="6"/>
      <c r="AH739" s="206"/>
      <c r="AJ739" s="213"/>
      <c r="AK739" s="6"/>
      <c r="AL739" s="6"/>
      <c r="AM739" s="6"/>
      <c r="AN739" s="206"/>
      <c r="AP739" s="213"/>
      <c r="AQ739" s="6"/>
      <c r="AR739" s="6"/>
      <c r="AS739" s="6"/>
      <c r="AT739" s="206"/>
      <c r="AV739" s="213"/>
      <c r="AW739" s="6"/>
      <c r="AX739" s="6"/>
      <c r="AY739" s="6"/>
      <c r="AZ739" s="206"/>
    </row>
    <row r="740" spans="4:52" s="2" customFormat="1" ht="17.100000000000001" customHeight="1" x14ac:dyDescent="0.25">
      <c r="D740" s="3"/>
      <c r="E740" s="3"/>
      <c r="F740" s="4"/>
      <c r="G740" s="4"/>
      <c r="H740" s="138"/>
      <c r="I740" s="97"/>
      <c r="J740" s="6"/>
      <c r="K740" s="6"/>
      <c r="L740" s="6"/>
      <c r="M740" s="6"/>
      <c r="N740" s="6"/>
      <c r="O740" s="6"/>
      <c r="P740" s="6"/>
      <c r="Q740" s="6"/>
      <c r="R740" s="6"/>
      <c r="S740" s="6"/>
      <c r="T740" s="6"/>
      <c r="U740" s="6"/>
      <c r="V740" s="339"/>
      <c r="W740" s="339"/>
      <c r="X740" s="6"/>
      <c r="Y740" s="206"/>
      <c r="AE740" s="6"/>
      <c r="AF740" s="6"/>
      <c r="AG740" s="6"/>
      <c r="AH740" s="206"/>
      <c r="AJ740" s="213"/>
      <c r="AK740" s="6"/>
      <c r="AL740" s="6"/>
      <c r="AM740" s="6"/>
      <c r="AN740" s="206"/>
      <c r="AP740" s="213"/>
      <c r="AQ740" s="6"/>
      <c r="AR740" s="6"/>
      <c r="AS740" s="6"/>
      <c r="AT740" s="206"/>
      <c r="AV740" s="213"/>
      <c r="AW740" s="6"/>
      <c r="AX740" s="6"/>
      <c r="AY740" s="6"/>
      <c r="AZ740" s="206"/>
    </row>
    <row r="741" spans="4:52" s="2" customFormat="1" ht="17.100000000000001" customHeight="1" x14ac:dyDescent="0.25">
      <c r="D741" s="3"/>
      <c r="E741" s="3"/>
      <c r="F741" s="4"/>
      <c r="G741" s="4"/>
      <c r="H741" s="138"/>
      <c r="I741" s="97"/>
      <c r="J741" s="6"/>
      <c r="K741" s="6"/>
      <c r="L741" s="6"/>
      <c r="M741" s="6"/>
      <c r="N741" s="6"/>
      <c r="O741" s="6"/>
      <c r="P741" s="6"/>
      <c r="Q741" s="6"/>
      <c r="R741" s="6"/>
      <c r="S741" s="6"/>
      <c r="T741" s="6"/>
      <c r="U741" s="6"/>
      <c r="V741" s="339"/>
      <c r="W741" s="339"/>
      <c r="X741" s="6"/>
      <c r="Y741" s="206"/>
      <c r="AE741" s="6"/>
      <c r="AF741" s="6"/>
      <c r="AG741" s="6"/>
      <c r="AH741" s="206"/>
      <c r="AJ741" s="213"/>
      <c r="AK741" s="6"/>
      <c r="AL741" s="6"/>
      <c r="AM741" s="6"/>
      <c r="AN741" s="206"/>
      <c r="AP741" s="213"/>
      <c r="AQ741" s="6"/>
      <c r="AR741" s="6"/>
      <c r="AS741" s="6"/>
      <c r="AT741" s="206"/>
      <c r="AV741" s="213"/>
      <c r="AW741" s="6"/>
      <c r="AX741" s="6"/>
      <c r="AY741" s="6"/>
      <c r="AZ741" s="206"/>
    </row>
    <row r="742" spans="4:52" s="2" customFormat="1" ht="17.100000000000001" customHeight="1" x14ac:dyDescent="0.25">
      <c r="D742" s="3"/>
      <c r="E742" s="3"/>
      <c r="F742" s="4"/>
      <c r="G742" s="4"/>
      <c r="H742" s="138"/>
      <c r="I742" s="97"/>
      <c r="J742" s="6"/>
      <c r="K742" s="6"/>
      <c r="L742" s="6"/>
      <c r="M742" s="6"/>
      <c r="N742" s="6"/>
      <c r="O742" s="6"/>
      <c r="P742" s="6"/>
      <c r="Q742" s="6"/>
      <c r="R742" s="6"/>
      <c r="S742" s="6"/>
      <c r="T742" s="6"/>
      <c r="U742" s="6"/>
      <c r="V742" s="339"/>
      <c r="W742" s="339"/>
      <c r="X742" s="6"/>
      <c r="Y742" s="206"/>
      <c r="AE742" s="6"/>
      <c r="AF742" s="6"/>
      <c r="AG742" s="6"/>
      <c r="AH742" s="206"/>
      <c r="AJ742" s="213"/>
      <c r="AK742" s="6"/>
      <c r="AL742" s="6"/>
      <c r="AM742" s="6"/>
      <c r="AN742" s="206"/>
      <c r="AP742" s="213"/>
      <c r="AQ742" s="6"/>
      <c r="AR742" s="6"/>
      <c r="AS742" s="6"/>
      <c r="AT742" s="206"/>
      <c r="AV742" s="213"/>
      <c r="AW742" s="6"/>
      <c r="AX742" s="6"/>
      <c r="AY742" s="6"/>
      <c r="AZ742" s="206"/>
    </row>
    <row r="743" spans="4:52" s="2" customFormat="1" ht="17.100000000000001" customHeight="1" x14ac:dyDescent="0.25">
      <c r="D743" s="3"/>
      <c r="E743" s="3"/>
      <c r="F743" s="4"/>
      <c r="G743" s="4"/>
      <c r="H743" s="138"/>
      <c r="I743" s="97"/>
      <c r="J743" s="6"/>
      <c r="K743" s="6"/>
      <c r="L743" s="6"/>
      <c r="M743" s="6"/>
      <c r="N743" s="6"/>
      <c r="O743" s="6"/>
      <c r="P743" s="6"/>
      <c r="Q743" s="6"/>
      <c r="R743" s="6"/>
      <c r="S743" s="6"/>
      <c r="T743" s="6"/>
      <c r="U743" s="6"/>
      <c r="V743" s="339"/>
      <c r="W743" s="339"/>
      <c r="X743" s="6"/>
      <c r="Y743" s="206"/>
      <c r="AE743" s="6"/>
      <c r="AF743" s="6"/>
      <c r="AG743" s="6"/>
      <c r="AH743" s="206"/>
      <c r="AJ743" s="213"/>
      <c r="AK743" s="6"/>
      <c r="AL743" s="6"/>
      <c r="AM743" s="6"/>
      <c r="AN743" s="206"/>
      <c r="AP743" s="213"/>
      <c r="AQ743" s="6"/>
      <c r="AR743" s="6"/>
      <c r="AS743" s="6"/>
      <c r="AT743" s="206"/>
      <c r="AV743" s="213"/>
      <c r="AW743" s="6"/>
      <c r="AX743" s="6"/>
      <c r="AY743" s="6"/>
      <c r="AZ743" s="206"/>
    </row>
    <row r="744" spans="4:52" s="2" customFormat="1" ht="17.100000000000001" customHeight="1" x14ac:dyDescent="0.25">
      <c r="D744" s="3"/>
      <c r="E744" s="3"/>
      <c r="F744" s="4"/>
      <c r="G744" s="4"/>
      <c r="H744" s="138"/>
      <c r="I744" s="97"/>
      <c r="J744" s="6"/>
      <c r="K744" s="6"/>
      <c r="L744" s="6"/>
      <c r="M744" s="6"/>
      <c r="N744" s="6"/>
      <c r="O744" s="6"/>
      <c r="P744" s="6"/>
      <c r="Q744" s="6"/>
      <c r="R744" s="6"/>
      <c r="S744" s="6"/>
      <c r="T744" s="6"/>
      <c r="U744" s="6"/>
      <c r="V744" s="339"/>
      <c r="W744" s="339"/>
      <c r="X744" s="6"/>
      <c r="Y744" s="206"/>
      <c r="AE744" s="6"/>
      <c r="AF744" s="6"/>
      <c r="AG744" s="6"/>
      <c r="AH744" s="206"/>
      <c r="AJ744" s="213"/>
      <c r="AK744" s="6"/>
      <c r="AL744" s="6"/>
      <c r="AM744" s="6"/>
      <c r="AN744" s="206"/>
      <c r="AP744" s="213"/>
      <c r="AQ744" s="6"/>
      <c r="AR744" s="6"/>
      <c r="AS744" s="6"/>
      <c r="AT744" s="206"/>
      <c r="AV744" s="213"/>
      <c r="AW744" s="6"/>
      <c r="AX744" s="6"/>
      <c r="AY744" s="6"/>
      <c r="AZ744" s="206"/>
    </row>
    <row r="745" spans="4:52" s="2" customFormat="1" ht="17.100000000000001" customHeight="1" x14ac:dyDescent="0.25">
      <c r="D745" s="3"/>
      <c r="E745" s="3"/>
      <c r="F745" s="4"/>
      <c r="G745" s="4"/>
      <c r="H745" s="138"/>
      <c r="I745" s="97"/>
      <c r="J745" s="6"/>
      <c r="K745" s="6"/>
      <c r="L745" s="6"/>
      <c r="M745" s="6"/>
      <c r="N745" s="6"/>
      <c r="O745" s="6"/>
      <c r="P745" s="6"/>
      <c r="Q745" s="6"/>
      <c r="R745" s="6"/>
      <c r="S745" s="6"/>
      <c r="T745" s="6"/>
      <c r="U745" s="6"/>
      <c r="V745" s="339"/>
      <c r="W745" s="339"/>
      <c r="X745" s="6"/>
      <c r="Y745" s="206"/>
      <c r="AE745" s="6"/>
      <c r="AF745" s="6"/>
      <c r="AG745" s="6"/>
      <c r="AH745" s="206"/>
      <c r="AJ745" s="213"/>
      <c r="AK745" s="6"/>
      <c r="AL745" s="6"/>
      <c r="AM745" s="6"/>
      <c r="AN745" s="206"/>
      <c r="AP745" s="213"/>
      <c r="AQ745" s="6"/>
      <c r="AR745" s="6"/>
      <c r="AS745" s="6"/>
      <c r="AT745" s="206"/>
      <c r="AV745" s="213"/>
      <c r="AW745" s="6"/>
      <c r="AX745" s="6"/>
      <c r="AY745" s="6"/>
      <c r="AZ745" s="206"/>
    </row>
    <row r="746" spans="4:52" s="2" customFormat="1" ht="17.100000000000001" customHeight="1" x14ac:dyDescent="0.25">
      <c r="D746" s="3"/>
      <c r="E746" s="3"/>
      <c r="F746" s="4"/>
      <c r="G746" s="4"/>
      <c r="H746" s="138"/>
      <c r="I746" s="97"/>
      <c r="J746" s="6"/>
      <c r="K746" s="6"/>
      <c r="L746" s="6"/>
      <c r="M746" s="6"/>
      <c r="N746" s="6"/>
      <c r="O746" s="6"/>
      <c r="P746" s="6"/>
      <c r="Q746" s="6"/>
      <c r="R746" s="6"/>
      <c r="S746" s="6"/>
      <c r="T746" s="6"/>
      <c r="U746" s="6"/>
      <c r="V746" s="339"/>
      <c r="W746" s="339"/>
      <c r="X746" s="6"/>
      <c r="Y746" s="206"/>
      <c r="AE746" s="6"/>
      <c r="AF746" s="6"/>
      <c r="AG746" s="6"/>
      <c r="AH746" s="206"/>
      <c r="AJ746" s="213"/>
      <c r="AK746" s="6"/>
      <c r="AL746" s="6"/>
      <c r="AM746" s="6"/>
      <c r="AN746" s="206"/>
      <c r="AP746" s="213"/>
      <c r="AQ746" s="6"/>
      <c r="AR746" s="6"/>
      <c r="AS746" s="6"/>
      <c r="AT746" s="206"/>
      <c r="AV746" s="213"/>
      <c r="AW746" s="6"/>
      <c r="AX746" s="6"/>
      <c r="AY746" s="6"/>
      <c r="AZ746" s="206"/>
    </row>
    <row r="747" spans="4:52" s="2" customFormat="1" ht="17.100000000000001" customHeight="1" x14ac:dyDescent="0.25">
      <c r="D747" s="3"/>
      <c r="E747" s="3"/>
      <c r="F747" s="4"/>
      <c r="G747" s="4"/>
      <c r="H747" s="138"/>
      <c r="I747" s="97"/>
      <c r="J747" s="6"/>
      <c r="K747" s="6"/>
      <c r="L747" s="6"/>
      <c r="M747" s="6"/>
      <c r="N747" s="6"/>
      <c r="O747" s="6"/>
      <c r="P747" s="6"/>
      <c r="Q747" s="6"/>
      <c r="R747" s="6"/>
      <c r="S747" s="6"/>
      <c r="T747" s="6"/>
      <c r="U747" s="6"/>
      <c r="V747" s="339"/>
      <c r="W747" s="339"/>
      <c r="X747" s="6"/>
      <c r="Y747" s="206"/>
      <c r="AE747" s="6"/>
      <c r="AF747" s="6"/>
      <c r="AG747" s="6"/>
      <c r="AH747" s="206"/>
      <c r="AJ747" s="213"/>
      <c r="AK747" s="6"/>
      <c r="AL747" s="6"/>
      <c r="AM747" s="6"/>
      <c r="AN747" s="206"/>
      <c r="AP747" s="213"/>
      <c r="AQ747" s="6"/>
      <c r="AR747" s="6"/>
      <c r="AS747" s="6"/>
      <c r="AT747" s="206"/>
      <c r="AV747" s="213"/>
      <c r="AW747" s="6"/>
      <c r="AX747" s="6"/>
      <c r="AY747" s="6"/>
      <c r="AZ747" s="206"/>
    </row>
    <row r="748" spans="4:52" s="2" customFormat="1" ht="17.100000000000001" customHeight="1" x14ac:dyDescent="0.25">
      <c r="D748" s="3"/>
      <c r="E748" s="3"/>
      <c r="F748" s="4"/>
      <c r="G748" s="4"/>
      <c r="H748" s="138"/>
      <c r="I748" s="97"/>
      <c r="J748" s="6"/>
      <c r="K748" s="6"/>
      <c r="L748" s="6"/>
      <c r="M748" s="6"/>
      <c r="N748" s="6"/>
      <c r="O748" s="6"/>
      <c r="P748" s="6"/>
      <c r="Q748" s="6"/>
      <c r="R748" s="6"/>
      <c r="S748" s="6"/>
      <c r="T748" s="6"/>
      <c r="U748" s="6"/>
      <c r="V748" s="339"/>
      <c r="W748" s="339"/>
      <c r="X748" s="6"/>
      <c r="Y748" s="206"/>
      <c r="AE748" s="6"/>
      <c r="AF748" s="6"/>
      <c r="AG748" s="6"/>
      <c r="AH748" s="206"/>
      <c r="AJ748" s="213"/>
      <c r="AK748" s="6"/>
      <c r="AL748" s="6"/>
      <c r="AM748" s="6"/>
      <c r="AN748" s="206"/>
      <c r="AP748" s="213"/>
      <c r="AQ748" s="6"/>
      <c r="AR748" s="6"/>
      <c r="AS748" s="6"/>
      <c r="AT748" s="206"/>
      <c r="AV748" s="213"/>
      <c r="AW748" s="6"/>
      <c r="AX748" s="6"/>
      <c r="AY748" s="6"/>
      <c r="AZ748" s="206"/>
    </row>
    <row r="749" spans="4:52" s="2" customFormat="1" ht="17.100000000000001" customHeight="1" x14ac:dyDescent="0.25">
      <c r="D749" s="3"/>
      <c r="E749" s="3"/>
      <c r="F749" s="4"/>
      <c r="G749" s="4"/>
      <c r="H749" s="138"/>
      <c r="I749" s="97"/>
      <c r="J749" s="6"/>
      <c r="K749" s="6"/>
      <c r="L749" s="6"/>
      <c r="M749" s="6"/>
      <c r="N749" s="6"/>
      <c r="O749" s="6"/>
      <c r="P749" s="6"/>
      <c r="Q749" s="6"/>
      <c r="R749" s="6"/>
      <c r="S749" s="6"/>
      <c r="T749" s="6"/>
      <c r="U749" s="6"/>
      <c r="V749" s="339"/>
      <c r="W749" s="339"/>
      <c r="X749" s="6"/>
      <c r="Y749" s="206"/>
      <c r="AE749" s="6"/>
      <c r="AF749" s="6"/>
      <c r="AG749" s="6"/>
      <c r="AH749" s="206"/>
      <c r="AJ749" s="213"/>
      <c r="AK749" s="6"/>
      <c r="AL749" s="6"/>
      <c r="AM749" s="6"/>
      <c r="AN749" s="206"/>
      <c r="AP749" s="213"/>
      <c r="AQ749" s="6"/>
      <c r="AR749" s="6"/>
      <c r="AS749" s="6"/>
      <c r="AT749" s="206"/>
      <c r="AV749" s="213"/>
      <c r="AW749" s="6"/>
      <c r="AX749" s="6"/>
      <c r="AY749" s="6"/>
      <c r="AZ749" s="206"/>
    </row>
    <row r="750" spans="4:52" s="2" customFormat="1" ht="17.100000000000001" customHeight="1" x14ac:dyDescent="0.25">
      <c r="D750" s="3"/>
      <c r="E750" s="3"/>
      <c r="F750" s="4"/>
      <c r="G750" s="4"/>
      <c r="H750" s="138"/>
      <c r="I750" s="97"/>
      <c r="J750" s="6"/>
      <c r="K750" s="6"/>
      <c r="L750" s="6"/>
      <c r="M750" s="6"/>
      <c r="N750" s="6"/>
      <c r="O750" s="6"/>
      <c r="P750" s="6"/>
      <c r="Q750" s="6"/>
      <c r="R750" s="6"/>
      <c r="S750" s="6"/>
      <c r="T750" s="6"/>
      <c r="U750" s="6"/>
      <c r="V750" s="339"/>
      <c r="W750" s="339"/>
      <c r="X750" s="6"/>
      <c r="Y750" s="206"/>
      <c r="AE750" s="6"/>
      <c r="AF750" s="6"/>
      <c r="AG750" s="6"/>
      <c r="AH750" s="206"/>
      <c r="AJ750" s="213"/>
      <c r="AK750" s="6"/>
      <c r="AL750" s="6"/>
      <c r="AM750" s="6"/>
      <c r="AN750" s="206"/>
      <c r="AP750" s="213"/>
      <c r="AQ750" s="6"/>
      <c r="AR750" s="6"/>
      <c r="AS750" s="6"/>
      <c r="AT750" s="206"/>
      <c r="AV750" s="213"/>
      <c r="AW750" s="6"/>
      <c r="AX750" s="6"/>
      <c r="AY750" s="6"/>
      <c r="AZ750" s="206"/>
    </row>
    <row r="751" spans="4:52" s="2" customFormat="1" ht="17.100000000000001" customHeight="1" x14ac:dyDescent="0.25">
      <c r="D751" s="3"/>
      <c r="E751" s="3"/>
      <c r="F751" s="4"/>
      <c r="G751" s="4"/>
      <c r="H751" s="138"/>
      <c r="I751" s="97"/>
      <c r="J751" s="6"/>
      <c r="K751" s="6"/>
      <c r="L751" s="6"/>
      <c r="M751" s="6"/>
      <c r="N751" s="6"/>
      <c r="O751" s="6"/>
      <c r="P751" s="6"/>
      <c r="Q751" s="6"/>
      <c r="R751" s="6"/>
      <c r="S751" s="6"/>
      <c r="T751" s="6"/>
      <c r="U751" s="6"/>
      <c r="V751" s="339"/>
      <c r="W751" s="339"/>
      <c r="X751" s="6"/>
      <c r="Y751" s="206"/>
      <c r="AE751" s="6"/>
      <c r="AF751" s="6"/>
      <c r="AG751" s="6"/>
      <c r="AH751" s="206"/>
      <c r="AJ751" s="213"/>
      <c r="AK751" s="6"/>
      <c r="AL751" s="6"/>
      <c r="AM751" s="6"/>
      <c r="AN751" s="206"/>
      <c r="AP751" s="213"/>
      <c r="AQ751" s="6"/>
      <c r="AR751" s="6"/>
      <c r="AS751" s="6"/>
      <c r="AT751" s="206"/>
      <c r="AV751" s="213"/>
      <c r="AW751" s="6"/>
      <c r="AX751" s="6"/>
      <c r="AY751" s="6"/>
      <c r="AZ751" s="206"/>
    </row>
    <row r="752" spans="4:52" s="2" customFormat="1" ht="17.100000000000001" customHeight="1" x14ac:dyDescent="0.25">
      <c r="D752" s="3"/>
      <c r="E752" s="3"/>
      <c r="F752" s="4"/>
      <c r="G752" s="4"/>
      <c r="H752" s="138"/>
      <c r="I752" s="97"/>
      <c r="J752" s="6"/>
      <c r="K752" s="6"/>
      <c r="L752" s="6"/>
      <c r="M752" s="6"/>
      <c r="N752" s="6"/>
      <c r="O752" s="6"/>
      <c r="P752" s="6"/>
      <c r="Q752" s="6"/>
      <c r="R752" s="6"/>
      <c r="S752" s="6"/>
      <c r="T752" s="6"/>
      <c r="U752" s="6"/>
      <c r="V752" s="339"/>
      <c r="W752" s="339"/>
      <c r="X752" s="6"/>
      <c r="Y752" s="206"/>
      <c r="AE752" s="6"/>
      <c r="AF752" s="6"/>
      <c r="AG752" s="6"/>
      <c r="AH752" s="206"/>
      <c r="AJ752" s="213"/>
      <c r="AK752" s="6"/>
      <c r="AL752" s="6"/>
      <c r="AM752" s="6"/>
      <c r="AN752" s="206"/>
      <c r="AP752" s="213"/>
      <c r="AQ752" s="6"/>
      <c r="AR752" s="6"/>
      <c r="AS752" s="6"/>
      <c r="AT752" s="206"/>
      <c r="AV752" s="213"/>
      <c r="AW752" s="6"/>
      <c r="AX752" s="6"/>
      <c r="AY752" s="6"/>
      <c r="AZ752" s="206"/>
    </row>
    <row r="753" spans="4:52" s="2" customFormat="1" ht="17.100000000000001" customHeight="1" x14ac:dyDescent="0.25">
      <c r="D753" s="3"/>
      <c r="E753" s="3"/>
      <c r="F753" s="4"/>
      <c r="G753" s="4"/>
      <c r="H753" s="138"/>
      <c r="I753" s="97"/>
      <c r="J753" s="6"/>
      <c r="K753" s="6"/>
      <c r="L753" s="6"/>
      <c r="M753" s="6"/>
      <c r="N753" s="6"/>
      <c r="O753" s="6"/>
      <c r="P753" s="6"/>
      <c r="Q753" s="6"/>
      <c r="R753" s="6"/>
      <c r="S753" s="6"/>
      <c r="T753" s="6"/>
      <c r="U753" s="6"/>
      <c r="V753" s="339"/>
      <c r="W753" s="339"/>
      <c r="X753" s="6"/>
      <c r="Y753" s="206"/>
      <c r="AE753" s="6"/>
      <c r="AF753" s="6"/>
      <c r="AG753" s="6"/>
      <c r="AH753" s="206"/>
      <c r="AJ753" s="213"/>
      <c r="AK753" s="6"/>
      <c r="AL753" s="6"/>
      <c r="AM753" s="6"/>
      <c r="AN753" s="206"/>
      <c r="AP753" s="213"/>
      <c r="AQ753" s="6"/>
      <c r="AR753" s="6"/>
      <c r="AS753" s="6"/>
      <c r="AT753" s="206"/>
      <c r="AV753" s="213"/>
      <c r="AW753" s="6"/>
      <c r="AX753" s="6"/>
      <c r="AY753" s="6"/>
      <c r="AZ753" s="206"/>
    </row>
    <row r="754" spans="4:52" s="2" customFormat="1" ht="17.100000000000001" customHeight="1" x14ac:dyDescent="0.25">
      <c r="D754" s="3"/>
      <c r="E754" s="3"/>
      <c r="F754" s="4"/>
      <c r="G754" s="4"/>
      <c r="H754" s="138"/>
      <c r="I754" s="97"/>
      <c r="J754" s="6"/>
      <c r="K754" s="6"/>
      <c r="L754" s="6"/>
      <c r="M754" s="6"/>
      <c r="N754" s="6"/>
      <c r="O754" s="6"/>
      <c r="P754" s="6"/>
      <c r="Q754" s="6"/>
      <c r="R754" s="6"/>
      <c r="S754" s="6"/>
      <c r="T754" s="6"/>
      <c r="U754" s="6"/>
      <c r="V754" s="339"/>
      <c r="W754" s="339"/>
      <c r="X754" s="6"/>
      <c r="Y754" s="206"/>
      <c r="AE754" s="6"/>
      <c r="AF754" s="6"/>
      <c r="AG754" s="6"/>
      <c r="AH754" s="206"/>
      <c r="AJ754" s="213"/>
      <c r="AK754" s="6"/>
      <c r="AL754" s="6"/>
      <c r="AM754" s="6"/>
      <c r="AN754" s="206"/>
      <c r="AP754" s="213"/>
      <c r="AQ754" s="6"/>
      <c r="AR754" s="6"/>
      <c r="AS754" s="6"/>
      <c r="AT754" s="206"/>
      <c r="AV754" s="213"/>
      <c r="AW754" s="6"/>
      <c r="AX754" s="6"/>
      <c r="AY754" s="6"/>
      <c r="AZ754" s="206"/>
    </row>
    <row r="755" spans="4:52" s="2" customFormat="1" ht="17.100000000000001" customHeight="1" x14ac:dyDescent="0.25">
      <c r="D755" s="3"/>
      <c r="E755" s="3"/>
      <c r="F755" s="4"/>
      <c r="G755" s="4"/>
      <c r="H755" s="138"/>
      <c r="I755" s="97"/>
      <c r="J755" s="6"/>
      <c r="K755" s="6"/>
      <c r="L755" s="6"/>
      <c r="M755" s="6"/>
      <c r="N755" s="6"/>
      <c r="O755" s="6"/>
      <c r="P755" s="6"/>
      <c r="Q755" s="6"/>
      <c r="R755" s="6"/>
      <c r="S755" s="6"/>
      <c r="T755" s="6"/>
      <c r="U755" s="6"/>
      <c r="V755" s="339"/>
      <c r="W755" s="339"/>
      <c r="X755" s="6"/>
      <c r="Y755" s="206"/>
      <c r="AE755" s="6"/>
      <c r="AF755" s="6"/>
      <c r="AG755" s="6"/>
      <c r="AH755" s="206"/>
      <c r="AJ755" s="213"/>
      <c r="AK755" s="6"/>
      <c r="AL755" s="6"/>
      <c r="AM755" s="6"/>
      <c r="AN755" s="206"/>
      <c r="AP755" s="213"/>
      <c r="AQ755" s="6"/>
      <c r="AR755" s="6"/>
      <c r="AS755" s="6"/>
      <c r="AT755" s="206"/>
      <c r="AV755" s="213"/>
      <c r="AW755" s="6"/>
      <c r="AX755" s="6"/>
      <c r="AY755" s="6"/>
      <c r="AZ755" s="206"/>
    </row>
    <row r="756" spans="4:52" s="2" customFormat="1" ht="17.100000000000001" customHeight="1" x14ac:dyDescent="0.25">
      <c r="D756" s="3"/>
      <c r="E756" s="3"/>
      <c r="F756" s="4"/>
      <c r="G756" s="4"/>
      <c r="H756" s="138"/>
      <c r="I756" s="97"/>
      <c r="J756" s="6"/>
      <c r="K756" s="6"/>
      <c r="L756" s="6"/>
      <c r="M756" s="6"/>
      <c r="N756" s="6"/>
      <c r="O756" s="6"/>
      <c r="P756" s="6"/>
      <c r="Q756" s="6"/>
      <c r="R756" s="6"/>
      <c r="S756" s="6"/>
      <c r="T756" s="6"/>
      <c r="U756" s="6"/>
      <c r="V756" s="339"/>
      <c r="W756" s="339"/>
      <c r="X756" s="6"/>
      <c r="Y756" s="206"/>
      <c r="AE756" s="6"/>
      <c r="AF756" s="6"/>
      <c r="AG756" s="6"/>
      <c r="AH756" s="206"/>
      <c r="AJ756" s="213"/>
      <c r="AK756" s="6"/>
      <c r="AL756" s="6"/>
      <c r="AM756" s="6"/>
      <c r="AN756" s="206"/>
      <c r="AP756" s="213"/>
      <c r="AQ756" s="6"/>
      <c r="AR756" s="6"/>
      <c r="AS756" s="6"/>
      <c r="AT756" s="206"/>
      <c r="AV756" s="213"/>
      <c r="AW756" s="6"/>
      <c r="AX756" s="6"/>
      <c r="AY756" s="6"/>
      <c r="AZ756" s="206"/>
    </row>
    <row r="757" spans="4:52" s="2" customFormat="1" ht="17.100000000000001" customHeight="1" x14ac:dyDescent="0.25">
      <c r="D757" s="3"/>
      <c r="E757" s="3"/>
      <c r="F757" s="4"/>
      <c r="G757" s="4"/>
      <c r="H757" s="138"/>
      <c r="I757" s="97"/>
      <c r="J757" s="6"/>
      <c r="K757" s="6"/>
      <c r="L757" s="6"/>
      <c r="M757" s="6"/>
      <c r="N757" s="6"/>
      <c r="O757" s="6"/>
      <c r="P757" s="6"/>
      <c r="Q757" s="6"/>
      <c r="R757" s="6"/>
      <c r="S757" s="6"/>
      <c r="T757" s="6"/>
      <c r="U757" s="6"/>
      <c r="V757" s="339"/>
      <c r="W757" s="339"/>
      <c r="X757" s="6"/>
      <c r="Y757" s="206"/>
      <c r="AE757" s="6"/>
      <c r="AF757" s="6"/>
      <c r="AG757" s="6"/>
      <c r="AH757" s="206"/>
      <c r="AJ757" s="213"/>
      <c r="AK757" s="6"/>
      <c r="AL757" s="6"/>
      <c r="AM757" s="6"/>
      <c r="AN757" s="206"/>
      <c r="AP757" s="213"/>
      <c r="AQ757" s="6"/>
      <c r="AR757" s="6"/>
      <c r="AS757" s="6"/>
      <c r="AT757" s="206"/>
      <c r="AV757" s="213"/>
      <c r="AW757" s="6"/>
      <c r="AX757" s="6"/>
      <c r="AY757" s="6"/>
      <c r="AZ757" s="206"/>
    </row>
    <row r="758" spans="4:52" s="2" customFormat="1" ht="17.100000000000001" customHeight="1" x14ac:dyDescent="0.25">
      <c r="D758" s="3"/>
      <c r="E758" s="3"/>
      <c r="F758" s="4"/>
      <c r="G758" s="4"/>
      <c r="H758" s="138"/>
      <c r="I758" s="97"/>
      <c r="J758" s="6"/>
      <c r="K758" s="6"/>
      <c r="L758" s="6"/>
      <c r="M758" s="6"/>
      <c r="N758" s="6"/>
      <c r="O758" s="6"/>
      <c r="P758" s="6"/>
      <c r="Q758" s="6"/>
      <c r="R758" s="6"/>
      <c r="S758" s="6"/>
      <c r="T758" s="6"/>
      <c r="U758" s="6"/>
      <c r="V758" s="339"/>
      <c r="W758" s="339"/>
      <c r="X758" s="6"/>
      <c r="Y758" s="206"/>
      <c r="AE758" s="6"/>
      <c r="AF758" s="6"/>
      <c r="AG758" s="6"/>
      <c r="AH758" s="206"/>
      <c r="AJ758" s="213"/>
      <c r="AK758" s="6"/>
      <c r="AL758" s="6"/>
      <c r="AM758" s="6"/>
      <c r="AN758" s="206"/>
      <c r="AP758" s="213"/>
      <c r="AQ758" s="6"/>
      <c r="AR758" s="6"/>
      <c r="AS758" s="6"/>
      <c r="AT758" s="206"/>
      <c r="AV758" s="213"/>
      <c r="AW758" s="6"/>
      <c r="AX758" s="6"/>
      <c r="AY758" s="6"/>
      <c r="AZ758" s="206"/>
    </row>
    <row r="759" spans="4:52" s="2" customFormat="1" ht="17.100000000000001" customHeight="1" x14ac:dyDescent="0.25">
      <c r="D759" s="3"/>
      <c r="E759" s="3"/>
      <c r="F759" s="4"/>
      <c r="G759" s="4"/>
      <c r="H759" s="138"/>
      <c r="I759" s="97"/>
      <c r="J759" s="6"/>
      <c r="K759" s="6"/>
      <c r="L759" s="6"/>
      <c r="M759" s="6"/>
      <c r="N759" s="6"/>
      <c r="O759" s="6"/>
      <c r="P759" s="6"/>
      <c r="Q759" s="6"/>
      <c r="R759" s="6"/>
      <c r="S759" s="6"/>
      <c r="T759" s="6"/>
      <c r="U759" s="6"/>
      <c r="V759" s="339"/>
      <c r="W759" s="339"/>
      <c r="X759" s="6"/>
      <c r="Y759" s="206"/>
      <c r="AE759" s="6"/>
      <c r="AF759" s="6"/>
      <c r="AG759" s="6"/>
      <c r="AH759" s="206"/>
      <c r="AJ759" s="213"/>
      <c r="AK759" s="6"/>
      <c r="AL759" s="6"/>
      <c r="AM759" s="6"/>
      <c r="AN759" s="206"/>
      <c r="AP759" s="213"/>
      <c r="AQ759" s="6"/>
      <c r="AR759" s="6"/>
      <c r="AS759" s="6"/>
      <c r="AT759" s="206"/>
      <c r="AV759" s="213"/>
      <c r="AW759" s="6"/>
      <c r="AX759" s="6"/>
      <c r="AY759" s="6"/>
      <c r="AZ759" s="206"/>
    </row>
    <row r="760" spans="4:52" s="2" customFormat="1" ht="17.100000000000001" customHeight="1" x14ac:dyDescent="0.25">
      <c r="D760" s="3"/>
      <c r="E760" s="3"/>
      <c r="F760" s="4"/>
      <c r="G760" s="4"/>
      <c r="H760" s="138"/>
      <c r="I760" s="97"/>
      <c r="J760" s="6"/>
      <c r="K760" s="6"/>
      <c r="L760" s="6"/>
      <c r="M760" s="6"/>
      <c r="N760" s="6"/>
      <c r="O760" s="6"/>
      <c r="P760" s="6"/>
      <c r="Q760" s="6"/>
      <c r="R760" s="6"/>
      <c r="S760" s="6"/>
      <c r="T760" s="6"/>
      <c r="U760" s="6"/>
      <c r="V760" s="339"/>
      <c r="W760" s="339"/>
      <c r="X760" s="6"/>
      <c r="Y760" s="206"/>
      <c r="AE760" s="6"/>
      <c r="AF760" s="6"/>
      <c r="AG760" s="6"/>
      <c r="AH760" s="206"/>
      <c r="AJ760" s="213"/>
      <c r="AK760" s="6"/>
      <c r="AL760" s="6"/>
      <c r="AM760" s="6"/>
      <c r="AN760" s="206"/>
      <c r="AP760" s="213"/>
      <c r="AQ760" s="6"/>
      <c r="AR760" s="6"/>
      <c r="AS760" s="6"/>
      <c r="AT760" s="206"/>
      <c r="AV760" s="213"/>
      <c r="AW760" s="6"/>
      <c r="AX760" s="6"/>
      <c r="AY760" s="6"/>
      <c r="AZ760" s="206"/>
    </row>
    <row r="761" spans="4:52" s="2" customFormat="1" ht="17.100000000000001" customHeight="1" x14ac:dyDescent="0.25">
      <c r="D761" s="3"/>
      <c r="E761" s="3"/>
      <c r="F761" s="4"/>
      <c r="G761" s="4"/>
      <c r="H761" s="138"/>
      <c r="I761" s="97"/>
      <c r="J761" s="6"/>
      <c r="K761" s="6"/>
      <c r="L761" s="6"/>
      <c r="M761" s="6"/>
      <c r="N761" s="6"/>
      <c r="O761" s="6"/>
      <c r="P761" s="6"/>
      <c r="Q761" s="6"/>
      <c r="R761" s="6"/>
      <c r="S761" s="6"/>
      <c r="T761" s="6"/>
      <c r="U761" s="6"/>
      <c r="V761" s="339"/>
      <c r="W761" s="339"/>
      <c r="X761" s="6"/>
      <c r="Y761" s="206"/>
      <c r="AE761" s="6"/>
      <c r="AF761" s="6"/>
      <c r="AG761" s="6"/>
      <c r="AH761" s="206"/>
      <c r="AJ761" s="213"/>
      <c r="AK761" s="6"/>
      <c r="AL761" s="6"/>
      <c r="AM761" s="6"/>
      <c r="AN761" s="206"/>
      <c r="AP761" s="213"/>
      <c r="AQ761" s="6"/>
      <c r="AR761" s="6"/>
      <c r="AS761" s="6"/>
      <c r="AT761" s="206"/>
      <c r="AV761" s="213"/>
      <c r="AW761" s="6"/>
      <c r="AX761" s="6"/>
      <c r="AY761" s="6"/>
      <c r="AZ761" s="206"/>
    </row>
    <row r="762" spans="4:52" s="2" customFormat="1" ht="17.100000000000001" customHeight="1" x14ac:dyDescent="0.25">
      <c r="D762" s="3"/>
      <c r="E762" s="3"/>
      <c r="F762" s="4"/>
      <c r="G762" s="4"/>
      <c r="H762" s="138"/>
      <c r="I762" s="97"/>
      <c r="J762" s="6"/>
      <c r="K762" s="6"/>
      <c r="L762" s="6"/>
      <c r="M762" s="6"/>
      <c r="N762" s="6"/>
      <c r="O762" s="6"/>
      <c r="P762" s="6"/>
      <c r="Q762" s="6"/>
      <c r="R762" s="6"/>
      <c r="S762" s="6"/>
      <c r="T762" s="6"/>
      <c r="U762" s="6"/>
      <c r="V762" s="339"/>
      <c r="W762" s="339"/>
      <c r="X762" s="6"/>
      <c r="Y762" s="206"/>
      <c r="AE762" s="6"/>
      <c r="AF762" s="6"/>
      <c r="AG762" s="6"/>
      <c r="AH762" s="206"/>
      <c r="AJ762" s="213"/>
      <c r="AK762" s="6"/>
      <c r="AL762" s="6"/>
      <c r="AM762" s="6"/>
      <c r="AN762" s="206"/>
      <c r="AP762" s="213"/>
      <c r="AQ762" s="6"/>
      <c r="AR762" s="6"/>
      <c r="AS762" s="6"/>
      <c r="AT762" s="206"/>
      <c r="AV762" s="213"/>
      <c r="AW762" s="6"/>
      <c r="AX762" s="6"/>
      <c r="AY762" s="6"/>
      <c r="AZ762" s="206"/>
    </row>
    <row r="763" spans="4:52" s="2" customFormat="1" ht="17.100000000000001" customHeight="1" x14ac:dyDescent="0.25">
      <c r="D763" s="3"/>
      <c r="E763" s="3"/>
      <c r="F763" s="4"/>
      <c r="G763" s="4"/>
      <c r="H763" s="138"/>
      <c r="I763" s="97"/>
      <c r="J763" s="6"/>
      <c r="K763" s="6"/>
      <c r="L763" s="6"/>
      <c r="M763" s="6"/>
      <c r="N763" s="6"/>
      <c r="O763" s="6"/>
      <c r="P763" s="6"/>
      <c r="Q763" s="6"/>
      <c r="R763" s="6"/>
      <c r="S763" s="6"/>
      <c r="T763" s="6"/>
      <c r="U763" s="6"/>
      <c r="V763" s="339"/>
      <c r="W763" s="339"/>
      <c r="X763" s="6"/>
      <c r="Y763" s="206"/>
      <c r="AE763" s="6"/>
      <c r="AF763" s="6"/>
      <c r="AG763" s="6"/>
      <c r="AH763" s="206"/>
      <c r="AJ763" s="213"/>
      <c r="AK763" s="6"/>
      <c r="AL763" s="6"/>
      <c r="AM763" s="6"/>
      <c r="AN763" s="206"/>
      <c r="AP763" s="213"/>
      <c r="AQ763" s="6"/>
      <c r="AR763" s="6"/>
      <c r="AS763" s="6"/>
      <c r="AT763" s="206"/>
      <c r="AV763" s="213"/>
      <c r="AW763" s="6"/>
      <c r="AX763" s="6"/>
      <c r="AY763" s="6"/>
      <c r="AZ763" s="206"/>
    </row>
    <row r="764" spans="4:52" s="2" customFormat="1" ht="17.100000000000001" customHeight="1" x14ac:dyDescent="0.25">
      <c r="D764" s="3"/>
      <c r="E764" s="3"/>
      <c r="F764" s="4"/>
      <c r="G764" s="4"/>
      <c r="H764" s="138"/>
      <c r="I764" s="97"/>
      <c r="J764" s="6"/>
      <c r="K764" s="6"/>
      <c r="L764" s="6"/>
      <c r="M764" s="6"/>
      <c r="N764" s="6"/>
      <c r="O764" s="6"/>
      <c r="P764" s="6"/>
      <c r="Q764" s="6"/>
      <c r="R764" s="6"/>
      <c r="S764" s="6"/>
      <c r="T764" s="6"/>
      <c r="U764" s="6"/>
      <c r="V764" s="339"/>
      <c r="W764" s="339"/>
      <c r="X764" s="6"/>
      <c r="Y764" s="206"/>
      <c r="AE764" s="6"/>
      <c r="AF764" s="6"/>
      <c r="AG764" s="6"/>
      <c r="AH764" s="206"/>
      <c r="AJ764" s="213"/>
      <c r="AK764" s="6"/>
      <c r="AL764" s="6"/>
      <c r="AM764" s="6"/>
      <c r="AN764" s="206"/>
      <c r="AP764" s="213"/>
      <c r="AQ764" s="6"/>
      <c r="AR764" s="6"/>
      <c r="AS764" s="6"/>
      <c r="AT764" s="206"/>
      <c r="AV764" s="213"/>
      <c r="AW764" s="6"/>
      <c r="AX764" s="6"/>
      <c r="AY764" s="6"/>
      <c r="AZ764" s="206"/>
    </row>
    <row r="765" spans="4:52" s="2" customFormat="1" ht="17.100000000000001" customHeight="1" x14ac:dyDescent="0.25">
      <c r="D765" s="3"/>
      <c r="E765" s="3"/>
      <c r="F765" s="4"/>
      <c r="G765" s="4"/>
      <c r="H765" s="138"/>
      <c r="I765" s="97"/>
      <c r="J765" s="6"/>
      <c r="K765" s="6"/>
      <c r="L765" s="6"/>
      <c r="M765" s="6"/>
      <c r="N765" s="6"/>
      <c r="O765" s="6"/>
      <c r="P765" s="6"/>
      <c r="Q765" s="6"/>
      <c r="R765" s="6"/>
      <c r="S765" s="6"/>
      <c r="T765" s="6"/>
      <c r="U765" s="6"/>
      <c r="V765" s="339"/>
      <c r="W765" s="339"/>
      <c r="X765" s="6"/>
      <c r="Y765" s="206"/>
      <c r="AE765" s="6"/>
      <c r="AF765" s="6"/>
      <c r="AG765" s="6"/>
      <c r="AH765" s="206"/>
      <c r="AJ765" s="213"/>
      <c r="AK765" s="6"/>
      <c r="AL765" s="6"/>
      <c r="AM765" s="6"/>
      <c r="AN765" s="206"/>
      <c r="AP765" s="213"/>
      <c r="AQ765" s="6"/>
      <c r="AR765" s="6"/>
      <c r="AS765" s="6"/>
      <c r="AT765" s="206"/>
      <c r="AV765" s="213"/>
      <c r="AW765" s="6"/>
      <c r="AX765" s="6"/>
      <c r="AY765" s="6"/>
      <c r="AZ765" s="206"/>
    </row>
    <row r="766" spans="4:52" s="2" customFormat="1" ht="17.100000000000001" customHeight="1" x14ac:dyDescent="0.25">
      <c r="D766" s="3"/>
      <c r="E766" s="3"/>
      <c r="F766" s="4"/>
      <c r="G766" s="4"/>
      <c r="H766" s="138"/>
      <c r="I766" s="97"/>
      <c r="J766" s="6"/>
      <c r="K766" s="6"/>
      <c r="L766" s="6"/>
      <c r="M766" s="6"/>
      <c r="N766" s="6"/>
      <c r="O766" s="6"/>
      <c r="P766" s="6"/>
      <c r="Q766" s="6"/>
      <c r="R766" s="6"/>
      <c r="S766" s="6"/>
      <c r="T766" s="6"/>
      <c r="U766" s="6"/>
      <c r="V766" s="339"/>
      <c r="W766" s="339"/>
      <c r="X766" s="6"/>
      <c r="Y766" s="206"/>
      <c r="AE766" s="6"/>
      <c r="AF766" s="6"/>
      <c r="AG766" s="6"/>
      <c r="AH766" s="206"/>
      <c r="AJ766" s="213"/>
      <c r="AK766" s="6"/>
      <c r="AL766" s="6"/>
      <c r="AM766" s="6"/>
      <c r="AN766" s="206"/>
      <c r="AP766" s="213"/>
      <c r="AQ766" s="6"/>
      <c r="AR766" s="6"/>
      <c r="AS766" s="6"/>
      <c r="AT766" s="206"/>
      <c r="AV766" s="213"/>
      <c r="AW766" s="6"/>
      <c r="AX766" s="6"/>
      <c r="AY766" s="6"/>
      <c r="AZ766" s="206"/>
    </row>
    <row r="767" spans="4:52" s="2" customFormat="1" ht="17.100000000000001" customHeight="1" x14ac:dyDescent="0.25">
      <c r="D767" s="3"/>
      <c r="E767" s="3"/>
      <c r="F767" s="4"/>
      <c r="G767" s="4"/>
      <c r="H767" s="138"/>
      <c r="I767" s="97"/>
      <c r="J767" s="6"/>
      <c r="K767" s="6"/>
      <c r="L767" s="6"/>
      <c r="M767" s="6"/>
      <c r="N767" s="6"/>
      <c r="O767" s="6"/>
      <c r="P767" s="6"/>
      <c r="Q767" s="6"/>
      <c r="R767" s="6"/>
      <c r="S767" s="6"/>
      <c r="T767" s="6"/>
      <c r="U767" s="6"/>
      <c r="V767" s="339"/>
      <c r="W767" s="339"/>
      <c r="X767" s="6"/>
      <c r="Y767" s="206"/>
      <c r="AE767" s="6"/>
      <c r="AF767" s="6"/>
      <c r="AG767" s="6"/>
      <c r="AH767" s="206"/>
      <c r="AJ767" s="213"/>
      <c r="AK767" s="6"/>
      <c r="AL767" s="6"/>
      <c r="AM767" s="6"/>
      <c r="AN767" s="206"/>
      <c r="AP767" s="213"/>
      <c r="AQ767" s="6"/>
      <c r="AR767" s="6"/>
      <c r="AS767" s="6"/>
      <c r="AT767" s="206"/>
      <c r="AV767" s="213"/>
      <c r="AW767" s="6"/>
      <c r="AX767" s="6"/>
      <c r="AY767" s="6"/>
      <c r="AZ767" s="206"/>
    </row>
    <row r="768" spans="4:52" s="2" customFormat="1" ht="17.100000000000001" customHeight="1" x14ac:dyDescent="0.25">
      <c r="D768" s="3"/>
      <c r="E768" s="3"/>
      <c r="F768" s="4"/>
      <c r="G768" s="4"/>
      <c r="H768" s="138"/>
      <c r="I768" s="97"/>
      <c r="J768" s="6"/>
      <c r="K768" s="6"/>
      <c r="L768" s="6"/>
      <c r="M768" s="6"/>
      <c r="N768" s="6"/>
      <c r="O768" s="6"/>
      <c r="P768" s="6"/>
      <c r="Q768" s="6"/>
      <c r="R768" s="6"/>
      <c r="S768" s="6"/>
      <c r="T768" s="6"/>
      <c r="U768" s="6"/>
      <c r="V768" s="339"/>
      <c r="W768" s="339"/>
      <c r="X768" s="6"/>
      <c r="Y768" s="206"/>
      <c r="AE768" s="6"/>
      <c r="AF768" s="6"/>
      <c r="AG768" s="6"/>
      <c r="AH768" s="206"/>
      <c r="AJ768" s="213"/>
      <c r="AK768" s="6"/>
      <c r="AL768" s="6"/>
      <c r="AM768" s="6"/>
      <c r="AN768" s="206"/>
      <c r="AP768" s="213"/>
      <c r="AQ768" s="6"/>
      <c r="AR768" s="6"/>
      <c r="AS768" s="6"/>
      <c r="AT768" s="206"/>
      <c r="AV768" s="213"/>
      <c r="AW768" s="6"/>
      <c r="AX768" s="6"/>
      <c r="AY768" s="6"/>
      <c r="AZ768" s="206"/>
    </row>
    <row r="769" spans="4:52" s="2" customFormat="1" ht="17.100000000000001" customHeight="1" x14ac:dyDescent="0.25">
      <c r="D769" s="3"/>
      <c r="E769" s="3"/>
      <c r="F769" s="4"/>
      <c r="G769" s="4"/>
      <c r="H769" s="138"/>
      <c r="I769" s="97"/>
      <c r="J769" s="6"/>
      <c r="K769" s="6"/>
      <c r="L769" s="6"/>
      <c r="M769" s="6"/>
      <c r="N769" s="6"/>
      <c r="O769" s="6"/>
      <c r="P769" s="6"/>
      <c r="Q769" s="6"/>
      <c r="R769" s="6"/>
      <c r="S769" s="6"/>
      <c r="T769" s="6"/>
      <c r="U769" s="6"/>
      <c r="V769" s="339"/>
      <c r="W769" s="339"/>
      <c r="X769" s="6"/>
      <c r="Y769" s="206"/>
      <c r="AE769" s="6"/>
      <c r="AF769" s="6"/>
      <c r="AG769" s="6"/>
      <c r="AH769" s="206"/>
      <c r="AJ769" s="213"/>
      <c r="AK769" s="6"/>
      <c r="AL769" s="6"/>
      <c r="AM769" s="6"/>
      <c r="AN769" s="206"/>
      <c r="AP769" s="213"/>
      <c r="AQ769" s="6"/>
      <c r="AR769" s="6"/>
      <c r="AS769" s="6"/>
      <c r="AT769" s="206"/>
      <c r="AV769" s="213"/>
      <c r="AW769" s="6"/>
      <c r="AX769" s="6"/>
      <c r="AY769" s="6"/>
      <c r="AZ769" s="206"/>
    </row>
    <row r="770" spans="4:52" s="2" customFormat="1" ht="17.100000000000001" customHeight="1" x14ac:dyDescent="0.25">
      <c r="D770" s="3"/>
      <c r="E770" s="3"/>
      <c r="F770" s="4"/>
      <c r="G770" s="4"/>
      <c r="H770" s="138"/>
      <c r="I770" s="97"/>
      <c r="J770" s="6"/>
      <c r="K770" s="6"/>
      <c r="L770" s="6"/>
      <c r="M770" s="6"/>
      <c r="N770" s="6"/>
      <c r="O770" s="6"/>
      <c r="P770" s="6"/>
      <c r="Q770" s="6"/>
      <c r="R770" s="6"/>
      <c r="S770" s="6"/>
      <c r="T770" s="6"/>
      <c r="U770" s="6"/>
      <c r="V770" s="339"/>
      <c r="W770" s="339"/>
      <c r="X770" s="6"/>
      <c r="Y770" s="206"/>
      <c r="AE770" s="6"/>
      <c r="AF770" s="6"/>
      <c r="AG770" s="6"/>
      <c r="AH770" s="206"/>
      <c r="AJ770" s="213"/>
      <c r="AK770" s="6"/>
      <c r="AL770" s="6"/>
      <c r="AM770" s="6"/>
      <c r="AN770" s="206"/>
      <c r="AP770" s="213"/>
      <c r="AQ770" s="6"/>
      <c r="AR770" s="6"/>
      <c r="AS770" s="6"/>
      <c r="AT770" s="206"/>
      <c r="AV770" s="213"/>
      <c r="AW770" s="6"/>
      <c r="AX770" s="6"/>
      <c r="AY770" s="6"/>
      <c r="AZ770" s="206"/>
    </row>
    <row r="771" spans="4:52" s="2" customFormat="1" ht="17.100000000000001" customHeight="1" x14ac:dyDescent="0.25">
      <c r="D771" s="3"/>
      <c r="E771" s="3"/>
      <c r="F771" s="4"/>
      <c r="G771" s="4"/>
      <c r="H771" s="138"/>
      <c r="I771" s="97"/>
      <c r="J771" s="6"/>
      <c r="K771" s="6"/>
      <c r="L771" s="6"/>
      <c r="M771" s="6"/>
      <c r="N771" s="6"/>
      <c r="O771" s="6"/>
      <c r="P771" s="6"/>
      <c r="Q771" s="6"/>
      <c r="R771" s="6"/>
      <c r="S771" s="6"/>
      <c r="T771" s="6"/>
      <c r="U771" s="6"/>
      <c r="V771" s="339"/>
      <c r="W771" s="339"/>
      <c r="X771" s="6"/>
      <c r="Y771" s="206"/>
      <c r="AE771" s="6"/>
      <c r="AF771" s="6"/>
      <c r="AG771" s="6"/>
      <c r="AH771" s="206"/>
      <c r="AJ771" s="213"/>
      <c r="AK771" s="6"/>
      <c r="AL771" s="6"/>
      <c r="AM771" s="6"/>
      <c r="AN771" s="206"/>
      <c r="AP771" s="213"/>
      <c r="AQ771" s="6"/>
      <c r="AR771" s="6"/>
      <c r="AS771" s="6"/>
      <c r="AT771" s="206"/>
      <c r="AV771" s="213"/>
      <c r="AW771" s="6"/>
      <c r="AX771" s="6"/>
      <c r="AY771" s="6"/>
      <c r="AZ771" s="206"/>
    </row>
    <row r="772" spans="4:52" s="2" customFormat="1" ht="17.100000000000001" customHeight="1" x14ac:dyDescent="0.25">
      <c r="D772" s="3"/>
      <c r="E772" s="3"/>
      <c r="F772" s="4"/>
      <c r="G772" s="4"/>
      <c r="H772" s="138"/>
      <c r="I772" s="97"/>
      <c r="J772" s="6"/>
      <c r="K772" s="6"/>
      <c r="L772" s="6"/>
      <c r="M772" s="6"/>
      <c r="N772" s="6"/>
      <c r="O772" s="6"/>
      <c r="P772" s="6"/>
      <c r="Q772" s="6"/>
      <c r="R772" s="6"/>
      <c r="S772" s="6"/>
      <c r="T772" s="6"/>
      <c r="U772" s="6"/>
      <c r="V772" s="339"/>
      <c r="W772" s="339"/>
      <c r="X772" s="6"/>
      <c r="Y772" s="206"/>
      <c r="AE772" s="6"/>
      <c r="AF772" s="6"/>
      <c r="AG772" s="6"/>
      <c r="AH772" s="206"/>
      <c r="AJ772" s="213"/>
      <c r="AK772" s="6"/>
      <c r="AL772" s="6"/>
      <c r="AM772" s="6"/>
      <c r="AN772" s="206"/>
      <c r="AP772" s="213"/>
      <c r="AQ772" s="6"/>
      <c r="AR772" s="6"/>
      <c r="AS772" s="6"/>
      <c r="AT772" s="206"/>
      <c r="AV772" s="213"/>
      <c r="AW772" s="6"/>
      <c r="AX772" s="6"/>
      <c r="AY772" s="6"/>
      <c r="AZ772" s="206"/>
    </row>
    <row r="773" spans="4:52" s="2" customFormat="1" ht="17.100000000000001" customHeight="1" x14ac:dyDescent="0.25">
      <c r="D773" s="3"/>
      <c r="E773" s="3"/>
      <c r="F773" s="4"/>
      <c r="G773" s="4"/>
      <c r="H773" s="138"/>
      <c r="I773" s="97"/>
      <c r="J773" s="6"/>
      <c r="K773" s="6"/>
      <c r="L773" s="6"/>
      <c r="M773" s="6"/>
      <c r="N773" s="6"/>
      <c r="O773" s="6"/>
      <c r="P773" s="6"/>
      <c r="Q773" s="6"/>
      <c r="R773" s="6"/>
      <c r="S773" s="6"/>
      <c r="T773" s="6"/>
      <c r="U773" s="6"/>
      <c r="V773" s="339"/>
      <c r="W773" s="339"/>
      <c r="X773" s="6"/>
      <c r="Y773" s="206"/>
      <c r="AE773" s="6"/>
      <c r="AF773" s="6"/>
      <c r="AG773" s="6"/>
      <c r="AH773" s="206"/>
      <c r="AJ773" s="213"/>
      <c r="AK773" s="6"/>
      <c r="AL773" s="6"/>
      <c r="AM773" s="6"/>
      <c r="AN773" s="206"/>
      <c r="AP773" s="213"/>
      <c r="AQ773" s="6"/>
      <c r="AR773" s="6"/>
      <c r="AS773" s="6"/>
      <c r="AT773" s="206"/>
      <c r="AV773" s="213"/>
      <c r="AW773" s="6"/>
      <c r="AX773" s="6"/>
      <c r="AY773" s="6"/>
      <c r="AZ773" s="206"/>
    </row>
    <row r="774" spans="4:52" s="2" customFormat="1" ht="17.100000000000001" customHeight="1" x14ac:dyDescent="0.25">
      <c r="D774" s="3"/>
      <c r="E774" s="3"/>
      <c r="F774" s="4"/>
      <c r="G774" s="4"/>
      <c r="H774" s="138"/>
      <c r="I774" s="97"/>
      <c r="J774" s="6"/>
      <c r="K774" s="6"/>
      <c r="L774" s="6"/>
      <c r="M774" s="6"/>
      <c r="N774" s="6"/>
      <c r="O774" s="6"/>
      <c r="P774" s="6"/>
      <c r="Q774" s="6"/>
      <c r="R774" s="6"/>
      <c r="S774" s="6"/>
      <c r="T774" s="6"/>
      <c r="U774" s="6"/>
      <c r="V774" s="339"/>
      <c r="W774" s="339"/>
      <c r="X774" s="6"/>
      <c r="Y774" s="206"/>
      <c r="AE774" s="6"/>
      <c r="AF774" s="6"/>
      <c r="AG774" s="6"/>
      <c r="AH774" s="206"/>
      <c r="AJ774" s="213"/>
      <c r="AK774" s="6"/>
      <c r="AL774" s="6"/>
      <c r="AM774" s="6"/>
      <c r="AN774" s="206"/>
      <c r="AP774" s="213"/>
      <c r="AQ774" s="6"/>
      <c r="AR774" s="6"/>
      <c r="AS774" s="6"/>
      <c r="AT774" s="206"/>
      <c r="AV774" s="213"/>
      <c r="AW774" s="6"/>
      <c r="AX774" s="6"/>
      <c r="AY774" s="6"/>
      <c r="AZ774" s="206"/>
    </row>
    <row r="775" spans="4:52" s="2" customFormat="1" ht="17.100000000000001" customHeight="1" x14ac:dyDescent="0.25">
      <c r="D775" s="3"/>
      <c r="E775" s="3"/>
      <c r="F775" s="4"/>
      <c r="G775" s="4"/>
      <c r="H775" s="138"/>
      <c r="I775" s="97"/>
      <c r="J775" s="6"/>
      <c r="K775" s="6"/>
      <c r="L775" s="6"/>
      <c r="M775" s="6"/>
      <c r="N775" s="6"/>
      <c r="O775" s="6"/>
      <c r="P775" s="6"/>
      <c r="Q775" s="6"/>
      <c r="R775" s="6"/>
      <c r="S775" s="6"/>
      <c r="T775" s="6"/>
      <c r="U775" s="6"/>
      <c r="V775" s="339"/>
      <c r="W775" s="339"/>
      <c r="X775" s="6"/>
      <c r="Y775" s="206"/>
      <c r="AE775" s="6"/>
      <c r="AF775" s="6"/>
      <c r="AG775" s="6"/>
      <c r="AH775" s="206"/>
      <c r="AJ775" s="213"/>
      <c r="AK775" s="6"/>
      <c r="AL775" s="6"/>
      <c r="AM775" s="6"/>
      <c r="AN775" s="206"/>
      <c r="AP775" s="213"/>
      <c r="AQ775" s="6"/>
      <c r="AR775" s="6"/>
      <c r="AS775" s="6"/>
      <c r="AT775" s="206"/>
      <c r="AV775" s="213"/>
      <c r="AW775" s="6"/>
      <c r="AX775" s="6"/>
      <c r="AY775" s="6"/>
      <c r="AZ775" s="206"/>
    </row>
    <row r="776" spans="4:52" s="2" customFormat="1" ht="17.100000000000001" customHeight="1" x14ac:dyDescent="0.25">
      <c r="D776" s="3"/>
      <c r="E776" s="3"/>
      <c r="F776" s="4"/>
      <c r="G776" s="4"/>
      <c r="H776" s="138"/>
      <c r="I776" s="97"/>
      <c r="J776" s="6"/>
      <c r="K776" s="6"/>
      <c r="L776" s="6"/>
      <c r="M776" s="6"/>
      <c r="N776" s="6"/>
      <c r="O776" s="6"/>
      <c r="P776" s="6"/>
      <c r="Q776" s="6"/>
      <c r="R776" s="6"/>
      <c r="S776" s="6"/>
      <c r="T776" s="6"/>
      <c r="U776" s="6"/>
      <c r="V776" s="339"/>
      <c r="W776" s="339"/>
      <c r="X776" s="6"/>
      <c r="Y776" s="206"/>
      <c r="AE776" s="6"/>
      <c r="AF776" s="6"/>
      <c r="AG776" s="6"/>
      <c r="AH776" s="206"/>
      <c r="AJ776" s="213"/>
      <c r="AK776" s="6"/>
      <c r="AL776" s="6"/>
      <c r="AM776" s="6"/>
      <c r="AN776" s="206"/>
      <c r="AP776" s="213"/>
      <c r="AQ776" s="6"/>
      <c r="AR776" s="6"/>
      <c r="AS776" s="6"/>
      <c r="AT776" s="206"/>
      <c r="AV776" s="213"/>
      <c r="AW776" s="6"/>
      <c r="AX776" s="6"/>
      <c r="AY776" s="6"/>
      <c r="AZ776" s="206"/>
    </row>
    <row r="777" spans="4:52" s="2" customFormat="1" ht="17.100000000000001" customHeight="1" x14ac:dyDescent="0.25">
      <c r="D777" s="3"/>
      <c r="E777" s="3"/>
      <c r="F777" s="4"/>
      <c r="G777" s="4"/>
      <c r="H777" s="138"/>
      <c r="I777" s="97"/>
      <c r="J777" s="6"/>
      <c r="K777" s="6"/>
      <c r="L777" s="6"/>
      <c r="M777" s="6"/>
      <c r="N777" s="6"/>
      <c r="O777" s="6"/>
      <c r="P777" s="6"/>
      <c r="Q777" s="6"/>
      <c r="R777" s="6"/>
      <c r="S777" s="6"/>
      <c r="T777" s="6"/>
      <c r="U777" s="6"/>
      <c r="V777" s="339"/>
      <c r="W777" s="339"/>
      <c r="X777" s="6"/>
      <c r="Y777" s="206"/>
      <c r="AE777" s="6"/>
      <c r="AF777" s="6"/>
      <c r="AG777" s="6"/>
      <c r="AH777" s="206"/>
      <c r="AJ777" s="213"/>
      <c r="AK777" s="6"/>
      <c r="AL777" s="6"/>
      <c r="AM777" s="6"/>
      <c r="AN777" s="206"/>
      <c r="AP777" s="213"/>
      <c r="AQ777" s="6"/>
      <c r="AR777" s="6"/>
      <c r="AS777" s="6"/>
      <c r="AT777" s="206"/>
      <c r="AV777" s="213"/>
      <c r="AW777" s="6"/>
      <c r="AX777" s="6"/>
      <c r="AY777" s="6"/>
      <c r="AZ777" s="206"/>
    </row>
    <row r="778" spans="4:52" s="2" customFormat="1" ht="17.100000000000001" customHeight="1" x14ac:dyDescent="0.25">
      <c r="D778" s="3"/>
      <c r="E778" s="3"/>
      <c r="F778" s="4"/>
      <c r="G778" s="4"/>
      <c r="H778" s="138"/>
      <c r="I778" s="97"/>
      <c r="J778" s="6"/>
      <c r="K778" s="6"/>
      <c r="L778" s="6"/>
      <c r="M778" s="6"/>
      <c r="N778" s="6"/>
      <c r="O778" s="6"/>
      <c r="P778" s="6"/>
      <c r="Q778" s="6"/>
      <c r="R778" s="6"/>
      <c r="S778" s="6"/>
      <c r="T778" s="6"/>
      <c r="U778" s="6"/>
      <c r="V778" s="339"/>
      <c r="W778" s="339"/>
      <c r="X778" s="6"/>
      <c r="Y778" s="206"/>
      <c r="AE778" s="6"/>
      <c r="AF778" s="6"/>
      <c r="AG778" s="6"/>
      <c r="AH778" s="206"/>
      <c r="AJ778" s="213"/>
      <c r="AK778" s="6"/>
      <c r="AL778" s="6"/>
      <c r="AM778" s="6"/>
      <c r="AN778" s="206"/>
      <c r="AP778" s="213"/>
      <c r="AQ778" s="6"/>
      <c r="AR778" s="6"/>
      <c r="AS778" s="6"/>
      <c r="AT778" s="206"/>
      <c r="AV778" s="213"/>
      <c r="AW778" s="6"/>
      <c r="AX778" s="6"/>
      <c r="AY778" s="6"/>
      <c r="AZ778" s="206"/>
    </row>
    <row r="779" spans="4:52" s="2" customFormat="1" ht="17.100000000000001" customHeight="1" x14ac:dyDescent="0.25">
      <c r="D779" s="3"/>
      <c r="E779" s="3"/>
      <c r="F779" s="4"/>
      <c r="G779" s="4"/>
      <c r="H779" s="138"/>
      <c r="I779" s="97"/>
      <c r="J779" s="6"/>
      <c r="K779" s="6"/>
      <c r="L779" s="6"/>
      <c r="M779" s="6"/>
      <c r="N779" s="6"/>
      <c r="O779" s="6"/>
      <c r="P779" s="6"/>
      <c r="Q779" s="6"/>
      <c r="R779" s="6"/>
      <c r="S779" s="6"/>
      <c r="T779" s="6"/>
      <c r="U779" s="6"/>
      <c r="V779" s="339"/>
      <c r="W779" s="339"/>
      <c r="X779" s="6"/>
      <c r="Y779" s="206"/>
      <c r="AE779" s="6"/>
      <c r="AF779" s="6"/>
      <c r="AG779" s="6"/>
      <c r="AH779" s="206"/>
      <c r="AJ779" s="213"/>
      <c r="AK779" s="6"/>
      <c r="AL779" s="6"/>
      <c r="AM779" s="6"/>
      <c r="AN779" s="206"/>
      <c r="AP779" s="213"/>
      <c r="AQ779" s="6"/>
      <c r="AR779" s="6"/>
      <c r="AS779" s="6"/>
      <c r="AT779" s="206"/>
      <c r="AV779" s="213"/>
      <c r="AW779" s="6"/>
      <c r="AX779" s="6"/>
      <c r="AY779" s="6"/>
      <c r="AZ779" s="206"/>
    </row>
    <row r="780" spans="4:52" s="2" customFormat="1" ht="17.100000000000001" customHeight="1" x14ac:dyDescent="0.25">
      <c r="D780" s="3"/>
      <c r="E780" s="3"/>
      <c r="F780" s="4"/>
      <c r="G780" s="4"/>
      <c r="H780" s="138"/>
      <c r="I780" s="97"/>
      <c r="J780" s="6"/>
      <c r="K780" s="6"/>
      <c r="L780" s="6"/>
      <c r="M780" s="6"/>
      <c r="N780" s="6"/>
      <c r="O780" s="6"/>
      <c r="P780" s="6"/>
      <c r="Q780" s="6"/>
      <c r="R780" s="6"/>
      <c r="S780" s="6"/>
      <c r="T780" s="6"/>
      <c r="U780" s="6"/>
      <c r="V780" s="339"/>
      <c r="W780" s="339"/>
      <c r="X780" s="6"/>
      <c r="Y780" s="206"/>
      <c r="AE780" s="6"/>
      <c r="AF780" s="6"/>
      <c r="AG780" s="6"/>
      <c r="AH780" s="206"/>
      <c r="AJ780" s="213"/>
      <c r="AK780" s="6"/>
      <c r="AL780" s="6"/>
      <c r="AM780" s="6"/>
      <c r="AN780" s="206"/>
      <c r="AP780" s="213"/>
      <c r="AQ780" s="6"/>
      <c r="AR780" s="6"/>
      <c r="AS780" s="6"/>
      <c r="AT780" s="206"/>
      <c r="AV780" s="213"/>
      <c r="AW780" s="6"/>
      <c r="AX780" s="6"/>
      <c r="AY780" s="6"/>
      <c r="AZ780" s="206"/>
    </row>
    <row r="781" spans="4:52" s="2" customFormat="1" ht="17.100000000000001" customHeight="1" x14ac:dyDescent="0.25">
      <c r="D781" s="3"/>
      <c r="E781" s="3"/>
      <c r="F781" s="4"/>
      <c r="G781" s="4"/>
      <c r="H781" s="138"/>
      <c r="I781" s="97"/>
      <c r="J781" s="6"/>
      <c r="K781" s="6"/>
      <c r="L781" s="6"/>
      <c r="M781" s="6"/>
      <c r="N781" s="6"/>
      <c r="O781" s="6"/>
      <c r="P781" s="6"/>
      <c r="Q781" s="6"/>
      <c r="R781" s="6"/>
      <c r="S781" s="6"/>
      <c r="T781" s="6"/>
      <c r="U781" s="6"/>
      <c r="V781" s="339"/>
      <c r="W781" s="339"/>
      <c r="X781" s="6"/>
      <c r="Y781" s="206"/>
      <c r="AE781" s="6"/>
      <c r="AF781" s="6"/>
      <c r="AG781" s="6"/>
      <c r="AH781" s="206"/>
      <c r="AJ781" s="213"/>
      <c r="AK781" s="6"/>
      <c r="AL781" s="6"/>
      <c r="AM781" s="6"/>
      <c r="AN781" s="206"/>
      <c r="AP781" s="213"/>
      <c r="AQ781" s="6"/>
      <c r="AR781" s="6"/>
      <c r="AS781" s="6"/>
      <c r="AT781" s="206"/>
      <c r="AV781" s="213"/>
      <c r="AW781" s="6"/>
      <c r="AX781" s="6"/>
      <c r="AY781" s="6"/>
      <c r="AZ781" s="206"/>
    </row>
    <row r="782" spans="4:52" s="2" customFormat="1" ht="17.100000000000001" customHeight="1" x14ac:dyDescent="0.25">
      <c r="D782" s="3"/>
      <c r="E782" s="3"/>
      <c r="F782" s="4"/>
      <c r="G782" s="4"/>
      <c r="H782" s="138"/>
      <c r="I782" s="97"/>
      <c r="J782" s="6"/>
      <c r="K782" s="6"/>
      <c r="L782" s="6"/>
      <c r="M782" s="6"/>
      <c r="N782" s="6"/>
      <c r="O782" s="6"/>
      <c r="P782" s="6"/>
      <c r="Q782" s="6"/>
      <c r="R782" s="6"/>
      <c r="S782" s="6"/>
      <c r="T782" s="6"/>
      <c r="U782" s="6"/>
      <c r="V782" s="339"/>
      <c r="W782" s="339"/>
      <c r="X782" s="6"/>
      <c r="Y782" s="206"/>
      <c r="AE782" s="6"/>
      <c r="AF782" s="6"/>
      <c r="AG782" s="6"/>
      <c r="AH782" s="206"/>
      <c r="AJ782" s="213"/>
      <c r="AK782" s="6"/>
      <c r="AL782" s="6"/>
      <c r="AM782" s="6"/>
      <c r="AN782" s="206"/>
      <c r="AP782" s="213"/>
      <c r="AQ782" s="6"/>
      <c r="AR782" s="6"/>
      <c r="AS782" s="6"/>
      <c r="AT782" s="206"/>
      <c r="AV782" s="213"/>
      <c r="AW782" s="6"/>
      <c r="AX782" s="6"/>
      <c r="AY782" s="6"/>
      <c r="AZ782" s="206"/>
    </row>
    <row r="783" spans="4:52" s="2" customFormat="1" ht="17.100000000000001" customHeight="1" x14ac:dyDescent="0.25">
      <c r="D783" s="3"/>
      <c r="E783" s="3"/>
      <c r="F783" s="4"/>
      <c r="G783" s="4"/>
      <c r="H783" s="138"/>
      <c r="I783" s="97"/>
      <c r="J783" s="6"/>
      <c r="K783" s="6"/>
      <c r="L783" s="6"/>
      <c r="M783" s="6"/>
      <c r="N783" s="6"/>
      <c r="O783" s="6"/>
      <c r="P783" s="6"/>
      <c r="Q783" s="6"/>
      <c r="R783" s="6"/>
      <c r="S783" s="6"/>
      <c r="T783" s="6"/>
      <c r="U783" s="6"/>
      <c r="V783" s="339"/>
      <c r="W783" s="339"/>
      <c r="X783" s="6"/>
      <c r="Y783" s="206"/>
      <c r="AE783" s="6"/>
      <c r="AF783" s="6"/>
      <c r="AG783" s="6"/>
      <c r="AH783" s="206"/>
      <c r="AJ783" s="213"/>
      <c r="AK783" s="6"/>
      <c r="AL783" s="6"/>
      <c r="AM783" s="6"/>
      <c r="AN783" s="206"/>
      <c r="AP783" s="213"/>
      <c r="AQ783" s="6"/>
      <c r="AR783" s="6"/>
      <c r="AS783" s="6"/>
      <c r="AT783" s="206"/>
      <c r="AV783" s="213"/>
      <c r="AW783" s="6"/>
      <c r="AX783" s="6"/>
      <c r="AY783" s="6"/>
      <c r="AZ783" s="206"/>
    </row>
    <row r="784" spans="4:52" s="2" customFormat="1" ht="17.100000000000001" customHeight="1" x14ac:dyDescent="0.25">
      <c r="D784" s="3"/>
      <c r="E784" s="3"/>
      <c r="F784" s="4"/>
      <c r="G784" s="4"/>
      <c r="H784" s="138"/>
      <c r="I784" s="97"/>
      <c r="J784" s="6"/>
      <c r="K784" s="6"/>
      <c r="L784" s="6"/>
      <c r="M784" s="6"/>
      <c r="N784" s="6"/>
      <c r="O784" s="6"/>
      <c r="P784" s="6"/>
      <c r="Q784" s="6"/>
      <c r="R784" s="6"/>
      <c r="S784" s="6"/>
      <c r="T784" s="6"/>
      <c r="U784" s="6"/>
      <c r="V784" s="339"/>
      <c r="W784" s="339"/>
      <c r="X784" s="6"/>
      <c r="Y784" s="206"/>
      <c r="AE784" s="6"/>
      <c r="AF784" s="6"/>
      <c r="AG784" s="6"/>
      <c r="AH784" s="206"/>
      <c r="AJ784" s="213"/>
      <c r="AK784" s="6"/>
      <c r="AL784" s="6"/>
      <c r="AM784" s="6"/>
      <c r="AN784" s="206"/>
      <c r="AP784" s="213"/>
      <c r="AQ784" s="6"/>
      <c r="AR784" s="6"/>
      <c r="AS784" s="6"/>
      <c r="AT784" s="206"/>
      <c r="AV784" s="213"/>
      <c r="AW784" s="6"/>
      <c r="AX784" s="6"/>
      <c r="AY784" s="6"/>
      <c r="AZ784" s="206"/>
    </row>
    <row r="785" spans="4:52" s="2" customFormat="1" ht="17.100000000000001" customHeight="1" x14ac:dyDescent="0.25">
      <c r="D785" s="3"/>
      <c r="E785" s="3"/>
      <c r="F785" s="4"/>
      <c r="G785" s="4"/>
      <c r="H785" s="138"/>
      <c r="I785" s="97"/>
      <c r="J785" s="6"/>
      <c r="K785" s="6"/>
      <c r="L785" s="6"/>
      <c r="M785" s="6"/>
      <c r="N785" s="6"/>
      <c r="O785" s="6"/>
      <c r="P785" s="6"/>
      <c r="Q785" s="6"/>
      <c r="R785" s="6"/>
      <c r="S785" s="6"/>
      <c r="T785" s="6"/>
      <c r="U785" s="6"/>
      <c r="V785" s="339"/>
      <c r="W785" s="339"/>
      <c r="X785" s="6"/>
      <c r="Y785" s="206"/>
      <c r="AE785" s="6"/>
      <c r="AF785" s="6"/>
      <c r="AG785" s="6"/>
      <c r="AH785" s="206"/>
      <c r="AJ785" s="213"/>
      <c r="AK785" s="6"/>
      <c r="AL785" s="6"/>
      <c r="AM785" s="6"/>
      <c r="AN785" s="206"/>
      <c r="AP785" s="213"/>
      <c r="AQ785" s="6"/>
      <c r="AR785" s="6"/>
      <c r="AS785" s="6"/>
      <c r="AT785" s="206"/>
      <c r="AV785" s="213"/>
      <c r="AW785" s="6"/>
      <c r="AX785" s="6"/>
      <c r="AY785" s="6"/>
      <c r="AZ785" s="206"/>
    </row>
    <row r="786" spans="4:52" s="2" customFormat="1" ht="17.100000000000001" customHeight="1" x14ac:dyDescent="0.25">
      <c r="D786" s="3"/>
      <c r="E786" s="3"/>
      <c r="F786" s="4"/>
      <c r="G786" s="4"/>
      <c r="H786" s="138"/>
      <c r="I786" s="97"/>
      <c r="J786" s="6"/>
      <c r="K786" s="6"/>
      <c r="L786" s="6"/>
      <c r="M786" s="6"/>
      <c r="N786" s="6"/>
      <c r="O786" s="6"/>
      <c r="P786" s="6"/>
      <c r="Q786" s="6"/>
      <c r="R786" s="6"/>
      <c r="S786" s="6"/>
      <c r="T786" s="6"/>
      <c r="U786" s="6"/>
      <c r="V786" s="339"/>
      <c r="W786" s="339"/>
      <c r="X786" s="6"/>
      <c r="Y786" s="206"/>
      <c r="AE786" s="6"/>
      <c r="AF786" s="6"/>
      <c r="AG786" s="6"/>
      <c r="AH786" s="206"/>
      <c r="AJ786" s="213"/>
      <c r="AK786" s="6"/>
      <c r="AL786" s="6"/>
      <c r="AM786" s="6"/>
      <c r="AN786" s="206"/>
      <c r="AP786" s="213"/>
      <c r="AQ786" s="6"/>
      <c r="AR786" s="6"/>
      <c r="AS786" s="6"/>
      <c r="AT786" s="206"/>
      <c r="AV786" s="213"/>
      <c r="AW786" s="6"/>
      <c r="AX786" s="6"/>
      <c r="AY786" s="6"/>
      <c r="AZ786" s="206"/>
    </row>
    <row r="787" spans="4:52" s="2" customFormat="1" ht="17.100000000000001" customHeight="1" x14ac:dyDescent="0.25">
      <c r="D787" s="3"/>
      <c r="E787" s="3"/>
      <c r="F787" s="4"/>
      <c r="G787" s="4"/>
      <c r="H787" s="138"/>
      <c r="I787" s="97"/>
      <c r="J787" s="6"/>
      <c r="K787" s="6"/>
      <c r="L787" s="6"/>
      <c r="M787" s="6"/>
      <c r="N787" s="6"/>
      <c r="O787" s="6"/>
      <c r="P787" s="6"/>
      <c r="Q787" s="6"/>
      <c r="R787" s="6"/>
      <c r="S787" s="6"/>
      <c r="T787" s="6"/>
      <c r="U787" s="6"/>
      <c r="V787" s="339"/>
      <c r="W787" s="339"/>
      <c r="X787" s="6"/>
      <c r="Y787" s="206"/>
      <c r="AE787" s="6"/>
      <c r="AF787" s="6"/>
      <c r="AG787" s="6"/>
      <c r="AH787" s="206"/>
      <c r="AJ787" s="213"/>
      <c r="AK787" s="6"/>
      <c r="AL787" s="6"/>
      <c r="AM787" s="6"/>
      <c r="AN787" s="206"/>
      <c r="AP787" s="213"/>
      <c r="AQ787" s="6"/>
      <c r="AR787" s="6"/>
      <c r="AS787" s="6"/>
      <c r="AT787" s="206"/>
      <c r="AV787" s="213"/>
      <c r="AW787" s="6"/>
      <c r="AX787" s="6"/>
      <c r="AY787" s="6"/>
      <c r="AZ787" s="206"/>
    </row>
    <row r="788" spans="4:52" s="2" customFormat="1" ht="17.100000000000001" customHeight="1" x14ac:dyDescent="0.25">
      <c r="D788" s="3"/>
      <c r="E788" s="3"/>
      <c r="F788" s="4"/>
      <c r="G788" s="4"/>
      <c r="H788" s="138"/>
      <c r="I788" s="97"/>
      <c r="J788" s="6"/>
      <c r="K788" s="6"/>
      <c r="L788" s="6"/>
      <c r="M788" s="6"/>
      <c r="N788" s="6"/>
      <c r="O788" s="6"/>
      <c r="P788" s="6"/>
      <c r="Q788" s="6"/>
      <c r="R788" s="6"/>
      <c r="S788" s="6"/>
      <c r="T788" s="6"/>
      <c r="U788" s="6"/>
      <c r="V788" s="339"/>
      <c r="W788" s="339"/>
      <c r="X788" s="6"/>
      <c r="Y788" s="206"/>
      <c r="AE788" s="6"/>
      <c r="AF788" s="6"/>
      <c r="AG788" s="6"/>
      <c r="AH788" s="206"/>
      <c r="AJ788" s="213"/>
      <c r="AK788" s="6"/>
      <c r="AL788" s="6"/>
      <c r="AM788" s="6"/>
      <c r="AN788" s="206"/>
      <c r="AP788" s="213"/>
      <c r="AQ788" s="6"/>
      <c r="AR788" s="6"/>
      <c r="AS788" s="6"/>
      <c r="AT788" s="206"/>
      <c r="AV788" s="213"/>
      <c r="AW788" s="6"/>
      <c r="AX788" s="6"/>
      <c r="AY788" s="6"/>
      <c r="AZ788" s="206"/>
    </row>
    <row r="789" spans="4:52" s="2" customFormat="1" ht="17.100000000000001" customHeight="1" x14ac:dyDescent="0.25">
      <c r="D789" s="3"/>
      <c r="E789" s="3"/>
      <c r="F789" s="4"/>
      <c r="G789" s="4"/>
      <c r="H789" s="138"/>
      <c r="I789" s="97"/>
      <c r="J789" s="6"/>
      <c r="K789" s="6"/>
      <c r="L789" s="6"/>
      <c r="M789" s="6"/>
      <c r="N789" s="6"/>
      <c r="O789" s="6"/>
      <c r="P789" s="6"/>
      <c r="Q789" s="6"/>
      <c r="R789" s="6"/>
      <c r="S789" s="6"/>
      <c r="T789" s="6"/>
      <c r="U789" s="6"/>
      <c r="V789" s="339"/>
      <c r="W789" s="339"/>
      <c r="X789" s="6"/>
      <c r="Y789" s="206"/>
      <c r="AE789" s="6"/>
      <c r="AF789" s="6"/>
      <c r="AG789" s="6"/>
      <c r="AH789" s="206"/>
      <c r="AJ789" s="213"/>
      <c r="AK789" s="6"/>
      <c r="AL789" s="6"/>
      <c r="AM789" s="6"/>
      <c r="AN789" s="206"/>
      <c r="AP789" s="213"/>
      <c r="AQ789" s="6"/>
      <c r="AR789" s="6"/>
      <c r="AS789" s="6"/>
      <c r="AT789" s="206"/>
      <c r="AV789" s="213"/>
      <c r="AW789" s="6"/>
      <c r="AX789" s="6"/>
      <c r="AY789" s="6"/>
      <c r="AZ789" s="206"/>
    </row>
    <row r="790" spans="4:52" s="2" customFormat="1" ht="17.100000000000001" customHeight="1" x14ac:dyDescent="0.25">
      <c r="D790" s="3"/>
      <c r="E790" s="3"/>
      <c r="F790" s="4"/>
      <c r="G790" s="4"/>
      <c r="H790" s="138"/>
      <c r="I790" s="97"/>
      <c r="J790" s="6"/>
      <c r="K790" s="6"/>
      <c r="L790" s="6"/>
      <c r="M790" s="6"/>
      <c r="N790" s="6"/>
      <c r="O790" s="6"/>
      <c r="P790" s="6"/>
      <c r="Q790" s="6"/>
      <c r="R790" s="6"/>
      <c r="S790" s="6"/>
      <c r="T790" s="6"/>
      <c r="U790" s="6"/>
      <c r="V790" s="339"/>
      <c r="W790" s="339"/>
      <c r="X790" s="6"/>
      <c r="Y790" s="206"/>
      <c r="AE790" s="6"/>
      <c r="AF790" s="6"/>
      <c r="AG790" s="6"/>
      <c r="AH790" s="206"/>
      <c r="AJ790" s="213"/>
      <c r="AK790" s="6"/>
      <c r="AL790" s="6"/>
      <c r="AM790" s="6"/>
      <c r="AN790" s="206"/>
      <c r="AP790" s="213"/>
      <c r="AQ790" s="6"/>
      <c r="AR790" s="6"/>
      <c r="AS790" s="6"/>
      <c r="AT790" s="206"/>
      <c r="AV790" s="213"/>
      <c r="AW790" s="6"/>
      <c r="AX790" s="6"/>
      <c r="AY790" s="6"/>
      <c r="AZ790" s="206"/>
    </row>
    <row r="791" spans="4:52" s="2" customFormat="1" ht="17.100000000000001" customHeight="1" x14ac:dyDescent="0.25">
      <c r="D791" s="3"/>
      <c r="E791" s="3"/>
      <c r="F791" s="4"/>
      <c r="G791" s="4"/>
      <c r="H791" s="138"/>
      <c r="I791" s="97"/>
      <c r="J791" s="6"/>
      <c r="K791" s="6"/>
      <c r="L791" s="6"/>
      <c r="M791" s="6"/>
      <c r="N791" s="6"/>
      <c r="O791" s="6"/>
      <c r="P791" s="6"/>
      <c r="Q791" s="6"/>
      <c r="R791" s="6"/>
      <c r="S791" s="6"/>
      <c r="T791" s="6"/>
      <c r="U791" s="6"/>
      <c r="V791" s="339"/>
      <c r="W791" s="339"/>
      <c r="X791" s="6"/>
      <c r="Y791" s="206"/>
      <c r="AE791" s="6"/>
      <c r="AF791" s="6"/>
      <c r="AG791" s="6"/>
      <c r="AH791" s="206"/>
      <c r="AJ791" s="213"/>
      <c r="AK791" s="6"/>
      <c r="AL791" s="6"/>
      <c r="AM791" s="6"/>
      <c r="AN791" s="206"/>
      <c r="AP791" s="213"/>
      <c r="AQ791" s="6"/>
      <c r="AR791" s="6"/>
      <c r="AS791" s="6"/>
      <c r="AT791" s="206"/>
      <c r="AV791" s="213"/>
      <c r="AW791" s="6"/>
      <c r="AX791" s="6"/>
      <c r="AY791" s="6"/>
      <c r="AZ791" s="206"/>
    </row>
    <row r="792" spans="4:52" s="2" customFormat="1" ht="17.100000000000001" customHeight="1" x14ac:dyDescent="0.25">
      <c r="D792" s="3"/>
      <c r="E792" s="3"/>
      <c r="F792" s="4"/>
      <c r="G792" s="4"/>
      <c r="H792" s="138"/>
      <c r="I792" s="97"/>
      <c r="J792" s="6"/>
      <c r="K792" s="6"/>
      <c r="L792" s="6"/>
      <c r="M792" s="6"/>
      <c r="N792" s="6"/>
      <c r="O792" s="6"/>
      <c r="P792" s="6"/>
      <c r="Q792" s="6"/>
      <c r="R792" s="6"/>
      <c r="S792" s="6"/>
      <c r="T792" s="6"/>
      <c r="U792" s="6"/>
      <c r="V792" s="339"/>
      <c r="W792" s="339"/>
      <c r="X792" s="6"/>
      <c r="Y792" s="206"/>
      <c r="AE792" s="6"/>
      <c r="AF792" s="6"/>
      <c r="AG792" s="6"/>
      <c r="AH792" s="206"/>
      <c r="AJ792" s="213"/>
      <c r="AK792" s="6"/>
      <c r="AL792" s="6"/>
      <c r="AM792" s="6"/>
      <c r="AN792" s="206"/>
      <c r="AP792" s="213"/>
      <c r="AQ792" s="6"/>
      <c r="AR792" s="6"/>
      <c r="AS792" s="6"/>
      <c r="AT792" s="206"/>
      <c r="AV792" s="213"/>
      <c r="AW792" s="6"/>
      <c r="AX792" s="6"/>
      <c r="AY792" s="6"/>
      <c r="AZ792" s="206"/>
    </row>
    <row r="793" spans="4:52" s="2" customFormat="1" ht="17.100000000000001" customHeight="1" x14ac:dyDescent="0.25">
      <c r="D793" s="3"/>
      <c r="E793" s="3"/>
      <c r="F793" s="4"/>
      <c r="G793" s="4"/>
      <c r="H793" s="138"/>
      <c r="I793" s="97"/>
      <c r="J793" s="6"/>
      <c r="K793" s="6"/>
      <c r="L793" s="6"/>
      <c r="M793" s="6"/>
      <c r="N793" s="6"/>
      <c r="O793" s="6"/>
      <c r="P793" s="6"/>
      <c r="Q793" s="6"/>
      <c r="R793" s="6"/>
      <c r="S793" s="6"/>
      <c r="T793" s="6"/>
      <c r="U793" s="6"/>
      <c r="V793" s="339"/>
      <c r="W793" s="339"/>
      <c r="X793" s="6"/>
      <c r="Y793" s="206"/>
      <c r="AE793" s="6"/>
      <c r="AF793" s="6"/>
      <c r="AG793" s="6"/>
      <c r="AH793" s="206"/>
      <c r="AJ793" s="213"/>
      <c r="AK793" s="6"/>
      <c r="AL793" s="6"/>
      <c r="AM793" s="6"/>
      <c r="AN793" s="206"/>
      <c r="AP793" s="213"/>
      <c r="AQ793" s="6"/>
      <c r="AR793" s="6"/>
      <c r="AS793" s="6"/>
      <c r="AT793" s="206"/>
      <c r="AV793" s="213"/>
      <c r="AW793" s="6"/>
      <c r="AX793" s="6"/>
      <c r="AY793" s="6"/>
      <c r="AZ793" s="206"/>
    </row>
    <row r="794" spans="4:52" s="2" customFormat="1" ht="17.100000000000001" customHeight="1" x14ac:dyDescent="0.25">
      <c r="D794" s="3"/>
      <c r="E794" s="3"/>
      <c r="F794" s="4"/>
      <c r="G794" s="4"/>
      <c r="H794" s="138"/>
      <c r="I794" s="97"/>
      <c r="J794" s="6"/>
      <c r="K794" s="6"/>
      <c r="L794" s="6"/>
      <c r="M794" s="6"/>
      <c r="N794" s="6"/>
      <c r="O794" s="6"/>
      <c r="P794" s="6"/>
      <c r="Q794" s="6"/>
      <c r="R794" s="6"/>
      <c r="S794" s="6"/>
      <c r="T794" s="6"/>
      <c r="U794" s="6"/>
      <c r="V794" s="339"/>
      <c r="W794" s="339"/>
      <c r="X794" s="6"/>
      <c r="Y794" s="206"/>
      <c r="AE794" s="6"/>
      <c r="AF794" s="6"/>
      <c r="AG794" s="6"/>
      <c r="AH794" s="206"/>
      <c r="AJ794" s="213"/>
      <c r="AK794" s="6"/>
      <c r="AL794" s="6"/>
      <c r="AM794" s="6"/>
      <c r="AN794" s="206"/>
      <c r="AP794" s="213"/>
      <c r="AQ794" s="6"/>
      <c r="AR794" s="6"/>
      <c r="AS794" s="6"/>
      <c r="AT794" s="206"/>
      <c r="AV794" s="213"/>
      <c r="AW794" s="6"/>
      <c r="AX794" s="6"/>
      <c r="AY794" s="6"/>
      <c r="AZ794" s="206"/>
    </row>
    <row r="795" spans="4:52" s="2" customFormat="1" ht="17.100000000000001" customHeight="1" x14ac:dyDescent="0.25">
      <c r="D795" s="3"/>
      <c r="E795" s="3"/>
      <c r="F795" s="4"/>
      <c r="G795" s="4"/>
      <c r="H795" s="138"/>
      <c r="I795" s="97"/>
      <c r="J795" s="6"/>
      <c r="K795" s="6"/>
      <c r="L795" s="6"/>
      <c r="M795" s="6"/>
      <c r="N795" s="6"/>
      <c r="O795" s="6"/>
      <c r="P795" s="6"/>
      <c r="Q795" s="6"/>
      <c r="R795" s="6"/>
      <c r="S795" s="6"/>
      <c r="T795" s="6"/>
      <c r="U795" s="6"/>
      <c r="V795" s="339"/>
      <c r="W795" s="339"/>
      <c r="X795" s="6"/>
      <c r="Y795" s="206"/>
      <c r="AE795" s="6"/>
      <c r="AF795" s="6"/>
      <c r="AG795" s="6"/>
      <c r="AH795" s="206"/>
      <c r="AJ795" s="213"/>
      <c r="AK795" s="6"/>
      <c r="AL795" s="6"/>
      <c r="AM795" s="6"/>
      <c r="AN795" s="206"/>
      <c r="AP795" s="213"/>
      <c r="AQ795" s="6"/>
      <c r="AR795" s="6"/>
      <c r="AS795" s="6"/>
      <c r="AT795" s="206"/>
      <c r="AV795" s="213"/>
      <c r="AW795" s="6"/>
      <c r="AX795" s="6"/>
      <c r="AY795" s="6"/>
      <c r="AZ795" s="206"/>
    </row>
    <row r="796" spans="4:52" s="2" customFormat="1" ht="17.100000000000001" customHeight="1" x14ac:dyDescent="0.25">
      <c r="D796" s="3"/>
      <c r="E796" s="3"/>
      <c r="F796" s="4"/>
      <c r="G796" s="4"/>
      <c r="H796" s="138"/>
      <c r="I796" s="97"/>
      <c r="J796" s="6"/>
      <c r="K796" s="6"/>
      <c r="L796" s="6"/>
      <c r="M796" s="6"/>
      <c r="N796" s="6"/>
      <c r="O796" s="6"/>
      <c r="P796" s="6"/>
      <c r="Q796" s="6"/>
      <c r="R796" s="6"/>
      <c r="S796" s="6"/>
      <c r="T796" s="6"/>
      <c r="U796" s="6"/>
      <c r="V796" s="339"/>
      <c r="W796" s="339"/>
      <c r="X796" s="6"/>
      <c r="Y796" s="206"/>
      <c r="AE796" s="6"/>
      <c r="AF796" s="6"/>
      <c r="AG796" s="6"/>
      <c r="AH796" s="206"/>
      <c r="AJ796" s="213"/>
      <c r="AK796" s="6"/>
      <c r="AL796" s="6"/>
      <c r="AM796" s="6"/>
      <c r="AN796" s="206"/>
      <c r="AP796" s="213"/>
      <c r="AQ796" s="6"/>
      <c r="AR796" s="6"/>
      <c r="AS796" s="6"/>
      <c r="AT796" s="206"/>
      <c r="AV796" s="213"/>
      <c r="AW796" s="6"/>
      <c r="AX796" s="6"/>
      <c r="AY796" s="6"/>
      <c r="AZ796" s="206"/>
    </row>
    <row r="797" spans="4:52" s="2" customFormat="1" ht="17.100000000000001" customHeight="1" x14ac:dyDescent="0.25">
      <c r="D797" s="3"/>
      <c r="E797" s="3"/>
      <c r="F797" s="4"/>
      <c r="G797" s="4"/>
      <c r="H797" s="138"/>
      <c r="I797" s="97"/>
      <c r="J797" s="6"/>
      <c r="K797" s="6"/>
      <c r="L797" s="6"/>
      <c r="M797" s="6"/>
      <c r="N797" s="6"/>
      <c r="O797" s="6"/>
      <c r="P797" s="6"/>
      <c r="Q797" s="6"/>
      <c r="R797" s="6"/>
      <c r="S797" s="6"/>
      <c r="T797" s="6"/>
      <c r="U797" s="6"/>
      <c r="V797" s="339"/>
      <c r="W797" s="339"/>
      <c r="X797" s="6"/>
      <c r="Y797" s="206"/>
      <c r="AE797" s="6"/>
      <c r="AF797" s="6"/>
      <c r="AG797" s="6"/>
      <c r="AH797" s="206"/>
      <c r="AJ797" s="213"/>
      <c r="AK797" s="6"/>
      <c r="AL797" s="6"/>
      <c r="AM797" s="6"/>
      <c r="AN797" s="206"/>
      <c r="AP797" s="213"/>
      <c r="AQ797" s="6"/>
      <c r="AR797" s="6"/>
      <c r="AS797" s="6"/>
      <c r="AT797" s="206"/>
      <c r="AV797" s="213"/>
      <c r="AW797" s="6"/>
      <c r="AX797" s="6"/>
      <c r="AY797" s="6"/>
      <c r="AZ797" s="206"/>
    </row>
    <row r="798" spans="4:52" s="2" customFormat="1" ht="17.100000000000001" customHeight="1" x14ac:dyDescent="0.25">
      <c r="D798" s="3"/>
      <c r="E798" s="3"/>
      <c r="F798" s="4"/>
      <c r="G798" s="4"/>
      <c r="H798" s="138"/>
      <c r="I798" s="97"/>
      <c r="J798" s="6"/>
      <c r="K798" s="6"/>
      <c r="L798" s="6"/>
      <c r="M798" s="6"/>
      <c r="N798" s="6"/>
      <c r="O798" s="6"/>
      <c r="P798" s="6"/>
      <c r="Q798" s="6"/>
      <c r="R798" s="6"/>
      <c r="S798" s="6"/>
      <c r="T798" s="6"/>
      <c r="U798" s="6"/>
      <c r="V798" s="339"/>
      <c r="W798" s="339"/>
      <c r="X798" s="6"/>
      <c r="Y798" s="206"/>
      <c r="AE798" s="6"/>
      <c r="AF798" s="6"/>
      <c r="AG798" s="6"/>
      <c r="AH798" s="206"/>
      <c r="AJ798" s="213"/>
      <c r="AK798" s="6"/>
      <c r="AL798" s="6"/>
      <c r="AM798" s="6"/>
      <c r="AN798" s="206"/>
      <c r="AP798" s="213"/>
      <c r="AQ798" s="6"/>
      <c r="AR798" s="6"/>
      <c r="AS798" s="6"/>
      <c r="AT798" s="206"/>
      <c r="AV798" s="213"/>
      <c r="AW798" s="6"/>
      <c r="AX798" s="6"/>
      <c r="AY798" s="6"/>
      <c r="AZ798" s="206"/>
    </row>
    <row r="799" spans="4:52" s="2" customFormat="1" ht="17.100000000000001" customHeight="1" x14ac:dyDescent="0.25">
      <c r="D799" s="3"/>
      <c r="E799" s="3"/>
      <c r="F799" s="4"/>
      <c r="G799" s="4"/>
      <c r="H799" s="138"/>
      <c r="I799" s="97"/>
      <c r="J799" s="6"/>
      <c r="K799" s="6"/>
      <c r="L799" s="6"/>
      <c r="M799" s="6"/>
      <c r="N799" s="6"/>
      <c r="O799" s="6"/>
      <c r="P799" s="6"/>
      <c r="Q799" s="6"/>
      <c r="R799" s="6"/>
      <c r="S799" s="6"/>
      <c r="T799" s="6"/>
      <c r="U799" s="6"/>
      <c r="V799" s="339"/>
      <c r="W799" s="339"/>
      <c r="X799" s="6"/>
      <c r="Y799" s="206"/>
      <c r="AE799" s="6"/>
      <c r="AF799" s="6"/>
      <c r="AG799" s="6"/>
      <c r="AH799" s="206"/>
      <c r="AJ799" s="213"/>
      <c r="AK799" s="6"/>
      <c r="AL799" s="6"/>
      <c r="AM799" s="6"/>
      <c r="AN799" s="206"/>
      <c r="AP799" s="213"/>
      <c r="AQ799" s="6"/>
      <c r="AR799" s="6"/>
      <c r="AS799" s="6"/>
      <c r="AT799" s="206"/>
      <c r="AV799" s="213"/>
      <c r="AW799" s="6"/>
      <c r="AX799" s="6"/>
      <c r="AY799" s="6"/>
      <c r="AZ799" s="206"/>
    </row>
    <row r="800" spans="4:52" s="2" customFormat="1" ht="17.100000000000001" customHeight="1" x14ac:dyDescent="0.25">
      <c r="D800" s="3"/>
      <c r="E800" s="3"/>
      <c r="F800" s="4"/>
      <c r="G800" s="4"/>
      <c r="H800" s="138"/>
      <c r="I800" s="97"/>
      <c r="J800" s="6"/>
      <c r="K800" s="6"/>
      <c r="L800" s="6"/>
      <c r="M800" s="6"/>
      <c r="N800" s="6"/>
      <c r="O800" s="6"/>
      <c r="P800" s="6"/>
      <c r="Q800" s="6"/>
      <c r="R800" s="6"/>
      <c r="S800" s="6"/>
      <c r="T800" s="6"/>
      <c r="U800" s="6"/>
      <c r="V800" s="339"/>
      <c r="W800" s="339"/>
      <c r="X800" s="6"/>
      <c r="Y800" s="206"/>
      <c r="AE800" s="6"/>
      <c r="AF800" s="6"/>
      <c r="AG800" s="6"/>
      <c r="AH800" s="206"/>
      <c r="AJ800" s="213"/>
      <c r="AK800" s="6"/>
      <c r="AL800" s="6"/>
      <c r="AM800" s="6"/>
      <c r="AN800" s="206"/>
      <c r="AP800" s="213"/>
      <c r="AQ800" s="6"/>
      <c r="AR800" s="6"/>
      <c r="AS800" s="6"/>
      <c r="AT800" s="206"/>
      <c r="AV800" s="213"/>
      <c r="AW800" s="6"/>
      <c r="AX800" s="6"/>
      <c r="AY800" s="6"/>
      <c r="AZ800" s="206"/>
    </row>
    <row r="801" spans="4:52" s="2" customFormat="1" ht="17.100000000000001" customHeight="1" x14ac:dyDescent="0.25">
      <c r="D801" s="3"/>
      <c r="E801" s="3"/>
      <c r="F801" s="4"/>
      <c r="G801" s="4"/>
      <c r="H801" s="138"/>
      <c r="I801" s="97"/>
      <c r="J801" s="6"/>
      <c r="K801" s="6"/>
      <c r="L801" s="6"/>
      <c r="M801" s="6"/>
      <c r="N801" s="6"/>
      <c r="O801" s="6"/>
      <c r="P801" s="6"/>
      <c r="Q801" s="6"/>
      <c r="R801" s="6"/>
      <c r="S801" s="6"/>
      <c r="T801" s="6"/>
      <c r="U801" s="6"/>
      <c r="V801" s="339"/>
      <c r="W801" s="339"/>
      <c r="X801" s="6"/>
      <c r="Y801" s="206"/>
      <c r="AE801" s="6"/>
      <c r="AF801" s="6"/>
      <c r="AG801" s="6"/>
      <c r="AH801" s="206"/>
      <c r="AJ801" s="213"/>
      <c r="AK801" s="6"/>
      <c r="AL801" s="6"/>
      <c r="AM801" s="6"/>
      <c r="AN801" s="206"/>
      <c r="AP801" s="213"/>
      <c r="AQ801" s="6"/>
      <c r="AR801" s="6"/>
      <c r="AS801" s="6"/>
      <c r="AT801" s="206"/>
      <c r="AV801" s="213"/>
      <c r="AW801" s="6"/>
      <c r="AX801" s="6"/>
      <c r="AY801" s="6"/>
      <c r="AZ801" s="206"/>
    </row>
    <row r="802" spans="4:52" s="2" customFormat="1" ht="17.100000000000001" customHeight="1" x14ac:dyDescent="0.25">
      <c r="D802" s="3"/>
      <c r="E802" s="3"/>
      <c r="F802" s="4"/>
      <c r="G802" s="4"/>
      <c r="H802" s="138"/>
      <c r="I802" s="97"/>
      <c r="J802" s="6"/>
      <c r="K802" s="6"/>
      <c r="L802" s="6"/>
      <c r="M802" s="6"/>
      <c r="N802" s="6"/>
      <c r="O802" s="6"/>
      <c r="P802" s="6"/>
      <c r="Q802" s="6"/>
      <c r="R802" s="6"/>
      <c r="S802" s="6"/>
      <c r="T802" s="6"/>
      <c r="U802" s="6"/>
      <c r="V802" s="339"/>
      <c r="W802" s="339"/>
      <c r="X802" s="6"/>
      <c r="Y802" s="206"/>
      <c r="AE802" s="6"/>
      <c r="AF802" s="6"/>
      <c r="AG802" s="6"/>
      <c r="AH802" s="206"/>
      <c r="AJ802" s="213"/>
      <c r="AK802" s="6"/>
      <c r="AL802" s="6"/>
      <c r="AM802" s="6"/>
      <c r="AN802" s="206"/>
      <c r="AP802" s="213"/>
      <c r="AQ802" s="6"/>
      <c r="AR802" s="6"/>
      <c r="AS802" s="6"/>
      <c r="AT802" s="206"/>
      <c r="AV802" s="213"/>
      <c r="AW802" s="6"/>
      <c r="AX802" s="6"/>
      <c r="AY802" s="6"/>
      <c r="AZ802" s="206"/>
    </row>
    <row r="803" spans="4:52" s="2" customFormat="1" ht="17.100000000000001" customHeight="1" x14ac:dyDescent="0.25">
      <c r="D803" s="3"/>
      <c r="E803" s="3"/>
      <c r="F803" s="4"/>
      <c r="G803" s="4"/>
      <c r="H803" s="138"/>
      <c r="I803" s="97"/>
      <c r="J803" s="6"/>
      <c r="K803" s="6"/>
      <c r="L803" s="6"/>
      <c r="M803" s="6"/>
      <c r="N803" s="6"/>
      <c r="O803" s="6"/>
      <c r="P803" s="6"/>
      <c r="Q803" s="6"/>
      <c r="R803" s="6"/>
      <c r="S803" s="6"/>
      <c r="T803" s="6"/>
      <c r="U803" s="6"/>
      <c r="V803" s="339"/>
      <c r="W803" s="339"/>
      <c r="X803" s="6"/>
      <c r="Y803" s="206"/>
      <c r="AE803" s="6"/>
      <c r="AF803" s="6"/>
      <c r="AG803" s="6"/>
      <c r="AH803" s="206"/>
      <c r="AJ803" s="213"/>
      <c r="AK803" s="6"/>
      <c r="AL803" s="6"/>
      <c r="AM803" s="6"/>
      <c r="AN803" s="206"/>
      <c r="AP803" s="213"/>
      <c r="AQ803" s="6"/>
      <c r="AR803" s="6"/>
      <c r="AS803" s="6"/>
      <c r="AT803" s="206"/>
      <c r="AV803" s="213"/>
      <c r="AW803" s="6"/>
      <c r="AX803" s="6"/>
      <c r="AY803" s="6"/>
      <c r="AZ803" s="206"/>
    </row>
    <row r="804" spans="4:52" s="2" customFormat="1" ht="17.100000000000001" customHeight="1" x14ac:dyDescent="0.25">
      <c r="D804" s="3"/>
      <c r="E804" s="3"/>
      <c r="F804" s="4"/>
      <c r="G804" s="4"/>
      <c r="H804" s="138"/>
      <c r="I804" s="97"/>
      <c r="J804" s="6"/>
      <c r="K804" s="6"/>
      <c r="L804" s="6"/>
      <c r="M804" s="6"/>
      <c r="N804" s="6"/>
      <c r="O804" s="6"/>
      <c r="P804" s="6"/>
      <c r="Q804" s="6"/>
      <c r="R804" s="6"/>
      <c r="S804" s="6"/>
      <c r="T804" s="6"/>
      <c r="U804" s="6"/>
      <c r="V804" s="339"/>
      <c r="W804" s="339"/>
      <c r="X804" s="6"/>
      <c r="Y804" s="206"/>
      <c r="AE804" s="6"/>
      <c r="AF804" s="6"/>
      <c r="AG804" s="6"/>
      <c r="AH804" s="206"/>
      <c r="AJ804" s="213"/>
      <c r="AK804" s="6"/>
      <c r="AL804" s="6"/>
      <c r="AM804" s="6"/>
      <c r="AN804" s="206"/>
      <c r="AP804" s="213"/>
      <c r="AQ804" s="6"/>
      <c r="AR804" s="6"/>
      <c r="AS804" s="6"/>
      <c r="AT804" s="206"/>
      <c r="AV804" s="213"/>
      <c r="AW804" s="6"/>
      <c r="AX804" s="6"/>
      <c r="AY804" s="6"/>
      <c r="AZ804" s="206"/>
    </row>
    <row r="805" spans="4:52" s="2" customFormat="1" ht="17.100000000000001" customHeight="1" x14ac:dyDescent="0.25">
      <c r="D805" s="3"/>
      <c r="E805" s="3"/>
      <c r="F805" s="4"/>
      <c r="G805" s="4"/>
      <c r="H805" s="138"/>
      <c r="I805" s="97"/>
      <c r="J805" s="6"/>
      <c r="K805" s="6"/>
      <c r="L805" s="6"/>
      <c r="M805" s="6"/>
      <c r="N805" s="6"/>
      <c r="O805" s="6"/>
      <c r="P805" s="6"/>
      <c r="Q805" s="6"/>
      <c r="R805" s="6"/>
      <c r="S805" s="6"/>
      <c r="T805" s="6"/>
      <c r="U805" s="6"/>
      <c r="V805" s="339"/>
      <c r="W805" s="339"/>
      <c r="X805" s="6"/>
      <c r="Y805" s="206"/>
      <c r="AE805" s="6"/>
      <c r="AF805" s="6"/>
      <c r="AG805" s="6"/>
      <c r="AH805" s="206"/>
      <c r="AJ805" s="213"/>
      <c r="AK805" s="6"/>
      <c r="AL805" s="6"/>
      <c r="AM805" s="6"/>
      <c r="AN805" s="206"/>
      <c r="AP805" s="213"/>
      <c r="AQ805" s="6"/>
      <c r="AR805" s="6"/>
      <c r="AS805" s="6"/>
      <c r="AT805" s="206"/>
      <c r="AV805" s="213"/>
      <c r="AW805" s="6"/>
      <c r="AX805" s="6"/>
      <c r="AY805" s="6"/>
      <c r="AZ805" s="206"/>
    </row>
    <row r="806" spans="4:52" s="2" customFormat="1" ht="17.100000000000001" customHeight="1" x14ac:dyDescent="0.25">
      <c r="D806" s="3"/>
      <c r="E806" s="3"/>
      <c r="F806" s="4"/>
      <c r="G806" s="4"/>
      <c r="H806" s="138"/>
      <c r="I806" s="97"/>
      <c r="J806" s="6"/>
      <c r="K806" s="6"/>
      <c r="L806" s="6"/>
      <c r="M806" s="6"/>
      <c r="N806" s="6"/>
      <c r="O806" s="6"/>
      <c r="P806" s="6"/>
      <c r="Q806" s="6"/>
      <c r="R806" s="6"/>
      <c r="S806" s="6"/>
      <c r="T806" s="6"/>
      <c r="U806" s="6"/>
      <c r="V806" s="339"/>
      <c r="W806" s="339"/>
      <c r="X806" s="6"/>
      <c r="Y806" s="206"/>
      <c r="AE806" s="6"/>
      <c r="AF806" s="6"/>
      <c r="AG806" s="6"/>
      <c r="AH806" s="206"/>
      <c r="AJ806" s="213"/>
      <c r="AK806" s="6"/>
      <c r="AL806" s="6"/>
      <c r="AM806" s="6"/>
      <c r="AN806" s="206"/>
      <c r="AP806" s="213"/>
      <c r="AQ806" s="6"/>
      <c r="AR806" s="6"/>
      <c r="AS806" s="6"/>
      <c r="AT806" s="206"/>
      <c r="AV806" s="213"/>
      <c r="AW806" s="6"/>
      <c r="AX806" s="6"/>
      <c r="AY806" s="6"/>
      <c r="AZ806" s="206"/>
    </row>
    <row r="807" spans="4:52" s="2" customFormat="1" ht="17.100000000000001" customHeight="1" x14ac:dyDescent="0.25">
      <c r="D807" s="3"/>
      <c r="E807" s="3"/>
      <c r="F807" s="4"/>
      <c r="G807" s="4"/>
      <c r="H807" s="138"/>
      <c r="I807" s="97"/>
      <c r="J807" s="6"/>
      <c r="K807" s="6"/>
      <c r="L807" s="6"/>
      <c r="M807" s="6"/>
      <c r="N807" s="6"/>
      <c r="O807" s="6"/>
      <c r="P807" s="6"/>
      <c r="Q807" s="6"/>
      <c r="R807" s="6"/>
      <c r="S807" s="6"/>
      <c r="T807" s="6"/>
      <c r="U807" s="6"/>
      <c r="V807" s="339"/>
      <c r="W807" s="339"/>
      <c r="X807" s="6"/>
      <c r="Y807" s="206"/>
      <c r="AE807" s="6"/>
      <c r="AF807" s="6"/>
      <c r="AG807" s="6"/>
      <c r="AH807" s="206"/>
      <c r="AJ807" s="213"/>
      <c r="AK807" s="6"/>
      <c r="AL807" s="6"/>
      <c r="AM807" s="6"/>
      <c r="AN807" s="206"/>
      <c r="AP807" s="213"/>
      <c r="AQ807" s="6"/>
      <c r="AR807" s="6"/>
      <c r="AS807" s="6"/>
      <c r="AT807" s="206"/>
      <c r="AV807" s="213"/>
      <c r="AW807" s="6"/>
      <c r="AX807" s="6"/>
      <c r="AY807" s="6"/>
      <c r="AZ807" s="206"/>
    </row>
    <row r="808" spans="4:52" s="2" customFormat="1" ht="17.100000000000001" customHeight="1" x14ac:dyDescent="0.25">
      <c r="D808" s="3"/>
      <c r="E808" s="3"/>
      <c r="F808" s="4"/>
      <c r="G808" s="4"/>
      <c r="H808" s="138"/>
      <c r="I808" s="97"/>
      <c r="J808" s="6"/>
      <c r="K808" s="6"/>
      <c r="L808" s="6"/>
      <c r="M808" s="6"/>
      <c r="N808" s="6"/>
      <c r="O808" s="6"/>
      <c r="P808" s="6"/>
      <c r="Q808" s="6"/>
      <c r="R808" s="6"/>
      <c r="S808" s="6"/>
      <c r="T808" s="6"/>
      <c r="U808" s="6"/>
      <c r="V808" s="339"/>
      <c r="W808" s="339"/>
      <c r="X808" s="6"/>
      <c r="Y808" s="206"/>
      <c r="AE808" s="6"/>
      <c r="AF808" s="6"/>
      <c r="AG808" s="6"/>
      <c r="AH808" s="206"/>
      <c r="AJ808" s="213"/>
      <c r="AK808" s="6"/>
      <c r="AL808" s="6"/>
      <c r="AM808" s="6"/>
      <c r="AN808" s="206"/>
      <c r="AP808" s="213"/>
      <c r="AQ808" s="6"/>
      <c r="AR808" s="6"/>
      <c r="AS808" s="6"/>
      <c r="AT808" s="206"/>
      <c r="AV808" s="213"/>
      <c r="AW808" s="6"/>
      <c r="AX808" s="6"/>
      <c r="AY808" s="6"/>
      <c r="AZ808" s="206"/>
    </row>
    <row r="809" spans="4:52" s="2" customFormat="1" ht="17.100000000000001" customHeight="1" x14ac:dyDescent="0.25">
      <c r="D809" s="3"/>
      <c r="E809" s="3"/>
      <c r="F809" s="4"/>
      <c r="G809" s="4"/>
      <c r="H809" s="138"/>
      <c r="I809" s="97"/>
      <c r="J809" s="6"/>
      <c r="K809" s="6"/>
      <c r="L809" s="6"/>
      <c r="M809" s="6"/>
      <c r="N809" s="6"/>
      <c r="O809" s="6"/>
      <c r="P809" s="6"/>
      <c r="Q809" s="6"/>
      <c r="R809" s="6"/>
      <c r="S809" s="6"/>
      <c r="T809" s="6"/>
      <c r="U809" s="6"/>
      <c r="V809" s="339"/>
      <c r="W809" s="339"/>
      <c r="X809" s="6"/>
      <c r="Y809" s="206"/>
      <c r="AE809" s="6"/>
      <c r="AF809" s="6"/>
      <c r="AG809" s="6"/>
      <c r="AH809" s="206"/>
      <c r="AJ809" s="213"/>
      <c r="AK809" s="6"/>
      <c r="AL809" s="6"/>
      <c r="AM809" s="6"/>
      <c r="AN809" s="206"/>
      <c r="AP809" s="213"/>
      <c r="AQ809" s="6"/>
      <c r="AR809" s="6"/>
      <c r="AS809" s="6"/>
      <c r="AT809" s="206"/>
      <c r="AV809" s="213"/>
      <c r="AW809" s="6"/>
      <c r="AX809" s="6"/>
      <c r="AY809" s="6"/>
      <c r="AZ809" s="206"/>
    </row>
    <row r="810" spans="4:52" s="2" customFormat="1" ht="17.100000000000001" customHeight="1" x14ac:dyDescent="0.25">
      <c r="D810" s="3"/>
      <c r="E810" s="3"/>
      <c r="F810" s="4"/>
      <c r="G810" s="4"/>
      <c r="H810" s="138"/>
      <c r="I810" s="97"/>
      <c r="J810" s="6"/>
      <c r="K810" s="6"/>
      <c r="L810" s="6"/>
      <c r="M810" s="6"/>
      <c r="N810" s="6"/>
      <c r="O810" s="6"/>
      <c r="P810" s="6"/>
      <c r="Q810" s="6"/>
      <c r="R810" s="6"/>
      <c r="S810" s="6"/>
      <c r="T810" s="6"/>
      <c r="U810" s="6"/>
      <c r="V810" s="339"/>
      <c r="W810" s="339"/>
      <c r="X810" s="6"/>
      <c r="Y810" s="206"/>
      <c r="AE810" s="6"/>
      <c r="AF810" s="6"/>
      <c r="AG810" s="6"/>
      <c r="AH810" s="206"/>
      <c r="AJ810" s="213"/>
      <c r="AK810" s="6"/>
      <c r="AL810" s="6"/>
      <c r="AM810" s="6"/>
      <c r="AN810" s="206"/>
      <c r="AP810" s="213"/>
      <c r="AQ810" s="6"/>
      <c r="AR810" s="6"/>
      <c r="AS810" s="6"/>
      <c r="AT810" s="206"/>
      <c r="AV810" s="213"/>
      <c r="AW810" s="6"/>
      <c r="AX810" s="6"/>
      <c r="AY810" s="6"/>
      <c r="AZ810" s="206"/>
    </row>
    <row r="811" spans="4:52" s="2" customFormat="1" ht="17.100000000000001" customHeight="1" x14ac:dyDescent="0.25">
      <c r="D811" s="3"/>
      <c r="E811" s="3"/>
      <c r="F811" s="4"/>
      <c r="G811" s="4"/>
      <c r="H811" s="138"/>
      <c r="I811" s="97"/>
      <c r="J811" s="6"/>
      <c r="K811" s="6"/>
      <c r="L811" s="6"/>
      <c r="M811" s="6"/>
      <c r="N811" s="6"/>
      <c r="O811" s="6"/>
      <c r="P811" s="6"/>
      <c r="Q811" s="6"/>
      <c r="R811" s="6"/>
      <c r="S811" s="6"/>
      <c r="T811" s="6"/>
      <c r="U811" s="6"/>
      <c r="V811" s="339"/>
      <c r="W811" s="339"/>
      <c r="X811" s="6"/>
      <c r="Y811" s="206"/>
      <c r="AE811" s="6"/>
      <c r="AF811" s="6"/>
      <c r="AG811" s="6"/>
      <c r="AH811" s="206"/>
      <c r="AJ811" s="213"/>
      <c r="AK811" s="6"/>
      <c r="AL811" s="6"/>
      <c r="AM811" s="6"/>
      <c r="AN811" s="206"/>
      <c r="AP811" s="213"/>
      <c r="AQ811" s="6"/>
      <c r="AR811" s="6"/>
      <c r="AS811" s="6"/>
      <c r="AT811" s="206"/>
      <c r="AV811" s="213"/>
      <c r="AW811" s="6"/>
      <c r="AX811" s="6"/>
      <c r="AY811" s="6"/>
      <c r="AZ811" s="206"/>
    </row>
    <row r="812" spans="4:52" s="2" customFormat="1" ht="17.100000000000001" customHeight="1" x14ac:dyDescent="0.25">
      <c r="D812" s="3"/>
      <c r="E812" s="3"/>
      <c r="F812" s="4"/>
      <c r="G812" s="4"/>
      <c r="H812" s="138"/>
      <c r="I812" s="97"/>
      <c r="J812" s="6"/>
      <c r="K812" s="6"/>
      <c r="L812" s="6"/>
      <c r="M812" s="6"/>
      <c r="N812" s="6"/>
      <c r="O812" s="6"/>
      <c r="P812" s="6"/>
      <c r="Q812" s="6"/>
      <c r="R812" s="6"/>
      <c r="S812" s="6"/>
      <c r="T812" s="6"/>
      <c r="U812" s="6"/>
      <c r="V812" s="339"/>
      <c r="W812" s="339"/>
      <c r="X812" s="6"/>
      <c r="Y812" s="206"/>
      <c r="AE812" s="6"/>
      <c r="AF812" s="6"/>
      <c r="AG812" s="6"/>
      <c r="AH812" s="206"/>
      <c r="AJ812" s="213"/>
      <c r="AK812" s="6"/>
      <c r="AL812" s="6"/>
      <c r="AM812" s="6"/>
      <c r="AN812" s="206"/>
      <c r="AP812" s="213"/>
      <c r="AQ812" s="6"/>
      <c r="AR812" s="6"/>
      <c r="AS812" s="6"/>
      <c r="AT812" s="206"/>
      <c r="AV812" s="213"/>
      <c r="AW812" s="6"/>
      <c r="AX812" s="6"/>
      <c r="AY812" s="6"/>
      <c r="AZ812" s="206"/>
    </row>
    <row r="813" spans="4:52" s="2" customFormat="1" ht="17.100000000000001" customHeight="1" x14ac:dyDescent="0.25">
      <c r="D813" s="3"/>
      <c r="E813" s="3"/>
      <c r="F813" s="4"/>
      <c r="G813" s="4"/>
      <c r="H813" s="138"/>
      <c r="I813" s="97"/>
      <c r="J813" s="6"/>
      <c r="K813" s="6"/>
      <c r="L813" s="6"/>
      <c r="M813" s="6"/>
      <c r="N813" s="6"/>
      <c r="O813" s="6"/>
      <c r="P813" s="6"/>
      <c r="Q813" s="6"/>
      <c r="R813" s="6"/>
      <c r="S813" s="6"/>
      <c r="T813" s="6"/>
      <c r="U813" s="6"/>
      <c r="V813" s="339"/>
      <c r="W813" s="339"/>
      <c r="X813" s="6"/>
      <c r="Y813" s="206"/>
      <c r="AE813" s="6"/>
      <c r="AF813" s="6"/>
      <c r="AG813" s="6"/>
      <c r="AH813" s="206"/>
      <c r="AJ813" s="213"/>
      <c r="AK813" s="6"/>
      <c r="AL813" s="6"/>
      <c r="AM813" s="6"/>
      <c r="AN813" s="206"/>
      <c r="AP813" s="213"/>
      <c r="AQ813" s="6"/>
      <c r="AR813" s="6"/>
      <c r="AS813" s="6"/>
      <c r="AT813" s="206"/>
      <c r="AV813" s="213"/>
      <c r="AW813" s="6"/>
      <c r="AX813" s="6"/>
      <c r="AY813" s="6"/>
      <c r="AZ813" s="206"/>
    </row>
    <row r="814" spans="4:52" s="2" customFormat="1" ht="17.100000000000001" customHeight="1" x14ac:dyDescent="0.25">
      <c r="D814" s="3"/>
      <c r="E814" s="3"/>
      <c r="F814" s="4"/>
      <c r="G814" s="4"/>
      <c r="H814" s="138"/>
      <c r="I814" s="97"/>
      <c r="J814" s="6"/>
      <c r="K814" s="6"/>
      <c r="L814" s="6"/>
      <c r="M814" s="6"/>
      <c r="N814" s="6"/>
      <c r="O814" s="6"/>
      <c r="P814" s="6"/>
      <c r="Q814" s="6"/>
      <c r="R814" s="6"/>
      <c r="S814" s="6"/>
      <c r="T814" s="6"/>
      <c r="U814" s="6"/>
      <c r="V814" s="339"/>
      <c r="W814" s="339"/>
      <c r="X814" s="6"/>
      <c r="Y814" s="206"/>
      <c r="AE814" s="6"/>
      <c r="AF814" s="6"/>
      <c r="AG814" s="6"/>
      <c r="AH814" s="206"/>
      <c r="AJ814" s="213"/>
      <c r="AK814" s="6"/>
      <c r="AL814" s="6"/>
      <c r="AM814" s="6"/>
      <c r="AN814" s="206"/>
      <c r="AP814" s="213"/>
      <c r="AQ814" s="6"/>
      <c r="AR814" s="6"/>
      <c r="AS814" s="6"/>
      <c r="AT814" s="206"/>
      <c r="AV814" s="213"/>
      <c r="AW814" s="6"/>
      <c r="AX814" s="6"/>
      <c r="AY814" s="6"/>
      <c r="AZ814" s="206"/>
    </row>
    <row r="815" spans="4:52" s="2" customFormat="1" ht="17.100000000000001" customHeight="1" x14ac:dyDescent="0.25">
      <c r="D815" s="3"/>
      <c r="E815" s="3"/>
      <c r="F815" s="4"/>
      <c r="G815" s="4"/>
      <c r="H815" s="138"/>
      <c r="I815" s="97"/>
      <c r="J815" s="6"/>
      <c r="K815" s="6"/>
      <c r="L815" s="6"/>
      <c r="M815" s="6"/>
      <c r="N815" s="6"/>
      <c r="O815" s="6"/>
      <c r="P815" s="6"/>
      <c r="Q815" s="6"/>
      <c r="R815" s="6"/>
      <c r="S815" s="6"/>
      <c r="T815" s="6"/>
      <c r="U815" s="6"/>
      <c r="V815" s="339"/>
      <c r="W815" s="339"/>
      <c r="X815" s="6"/>
      <c r="Y815" s="206"/>
      <c r="AE815" s="6"/>
      <c r="AF815" s="6"/>
      <c r="AG815" s="6"/>
      <c r="AH815" s="206"/>
      <c r="AJ815" s="213"/>
      <c r="AK815" s="6"/>
      <c r="AL815" s="6"/>
      <c r="AM815" s="6"/>
      <c r="AN815" s="206"/>
      <c r="AP815" s="213"/>
      <c r="AQ815" s="6"/>
      <c r="AR815" s="6"/>
      <c r="AS815" s="6"/>
      <c r="AT815" s="206"/>
      <c r="AV815" s="213"/>
      <c r="AW815" s="6"/>
      <c r="AX815" s="6"/>
      <c r="AY815" s="6"/>
      <c r="AZ815" s="206"/>
    </row>
    <row r="816" spans="4:52" s="2" customFormat="1" ht="17.100000000000001" customHeight="1" x14ac:dyDescent="0.25">
      <c r="D816" s="3"/>
      <c r="E816" s="3"/>
      <c r="F816" s="4"/>
      <c r="G816" s="4"/>
      <c r="H816" s="138"/>
      <c r="I816" s="97"/>
      <c r="J816" s="6"/>
      <c r="K816" s="6"/>
      <c r="L816" s="6"/>
      <c r="M816" s="6"/>
      <c r="N816" s="6"/>
      <c r="O816" s="6"/>
      <c r="P816" s="6"/>
      <c r="Q816" s="6"/>
      <c r="R816" s="6"/>
      <c r="S816" s="6"/>
      <c r="T816" s="6"/>
      <c r="U816" s="6"/>
      <c r="V816" s="339"/>
      <c r="W816" s="339"/>
      <c r="X816" s="6"/>
      <c r="Y816" s="206"/>
      <c r="AE816" s="6"/>
      <c r="AF816" s="6"/>
      <c r="AG816" s="6"/>
      <c r="AH816" s="206"/>
      <c r="AJ816" s="213"/>
      <c r="AK816" s="6"/>
      <c r="AL816" s="6"/>
      <c r="AM816" s="6"/>
      <c r="AN816" s="206"/>
      <c r="AP816" s="213"/>
      <c r="AQ816" s="6"/>
      <c r="AR816" s="6"/>
      <c r="AS816" s="6"/>
      <c r="AT816" s="206"/>
      <c r="AV816" s="213"/>
      <c r="AW816" s="6"/>
      <c r="AX816" s="6"/>
      <c r="AY816" s="6"/>
      <c r="AZ816" s="206"/>
    </row>
    <row r="817" spans="4:52" s="2" customFormat="1" ht="17.100000000000001" customHeight="1" x14ac:dyDescent="0.25">
      <c r="D817" s="3"/>
      <c r="E817" s="3"/>
      <c r="F817" s="4"/>
      <c r="G817" s="4"/>
      <c r="H817" s="138"/>
      <c r="I817" s="97"/>
      <c r="J817" s="6"/>
      <c r="K817" s="6"/>
      <c r="L817" s="6"/>
      <c r="M817" s="6"/>
      <c r="N817" s="6"/>
      <c r="O817" s="6"/>
      <c r="P817" s="6"/>
      <c r="Q817" s="6"/>
      <c r="R817" s="6"/>
      <c r="S817" s="6"/>
      <c r="T817" s="6"/>
      <c r="U817" s="6"/>
      <c r="V817" s="339"/>
      <c r="W817" s="339"/>
      <c r="X817" s="6"/>
      <c r="Y817" s="206"/>
      <c r="AE817" s="6"/>
      <c r="AF817" s="6"/>
      <c r="AG817" s="6"/>
      <c r="AH817" s="206"/>
      <c r="AJ817" s="213"/>
      <c r="AK817" s="6"/>
      <c r="AL817" s="6"/>
      <c r="AM817" s="6"/>
      <c r="AN817" s="206"/>
      <c r="AP817" s="213"/>
      <c r="AQ817" s="6"/>
      <c r="AR817" s="6"/>
      <c r="AS817" s="6"/>
      <c r="AT817" s="206"/>
      <c r="AV817" s="213"/>
      <c r="AW817" s="6"/>
      <c r="AX817" s="6"/>
      <c r="AY817" s="6"/>
      <c r="AZ817" s="206"/>
    </row>
    <row r="818" spans="4:52" s="2" customFormat="1" ht="17.100000000000001" customHeight="1" x14ac:dyDescent="0.25">
      <c r="D818" s="3"/>
      <c r="E818" s="3"/>
      <c r="F818" s="4"/>
      <c r="G818" s="4"/>
      <c r="H818" s="138"/>
      <c r="I818" s="97"/>
      <c r="J818" s="6"/>
      <c r="K818" s="6"/>
      <c r="L818" s="6"/>
      <c r="M818" s="6"/>
      <c r="N818" s="6"/>
      <c r="O818" s="6"/>
      <c r="P818" s="6"/>
      <c r="Q818" s="6"/>
      <c r="R818" s="6"/>
      <c r="S818" s="6"/>
      <c r="T818" s="6"/>
      <c r="U818" s="6"/>
      <c r="V818" s="339"/>
      <c r="W818" s="339"/>
      <c r="X818" s="6"/>
      <c r="Y818" s="206"/>
      <c r="AE818" s="6"/>
      <c r="AF818" s="6"/>
      <c r="AG818" s="6"/>
      <c r="AH818" s="206"/>
      <c r="AJ818" s="213"/>
      <c r="AK818" s="6"/>
      <c r="AL818" s="6"/>
      <c r="AM818" s="6"/>
      <c r="AN818" s="206"/>
      <c r="AP818" s="213"/>
      <c r="AQ818" s="6"/>
      <c r="AR818" s="6"/>
      <c r="AS818" s="6"/>
      <c r="AT818" s="206"/>
      <c r="AV818" s="213"/>
      <c r="AW818" s="6"/>
      <c r="AX818" s="6"/>
      <c r="AY818" s="6"/>
      <c r="AZ818" s="206"/>
    </row>
    <row r="819" spans="4:52" s="2" customFormat="1" ht="17.100000000000001" customHeight="1" x14ac:dyDescent="0.25">
      <c r="D819" s="3"/>
      <c r="E819" s="3"/>
      <c r="F819" s="4"/>
      <c r="G819" s="4"/>
      <c r="H819" s="138"/>
      <c r="I819" s="97"/>
      <c r="J819" s="6"/>
      <c r="K819" s="6"/>
      <c r="L819" s="6"/>
      <c r="M819" s="6"/>
      <c r="N819" s="6"/>
      <c r="O819" s="6"/>
      <c r="P819" s="6"/>
      <c r="Q819" s="6"/>
      <c r="R819" s="6"/>
      <c r="S819" s="6"/>
      <c r="T819" s="6"/>
      <c r="U819" s="6"/>
      <c r="V819" s="339"/>
      <c r="W819" s="339"/>
      <c r="X819" s="6"/>
      <c r="Y819" s="206"/>
      <c r="AE819" s="6"/>
      <c r="AF819" s="6"/>
      <c r="AG819" s="6"/>
      <c r="AH819" s="206"/>
      <c r="AJ819" s="213"/>
      <c r="AK819" s="6"/>
      <c r="AL819" s="6"/>
      <c r="AM819" s="6"/>
      <c r="AN819" s="206"/>
      <c r="AP819" s="213"/>
      <c r="AQ819" s="6"/>
      <c r="AR819" s="6"/>
      <c r="AS819" s="6"/>
      <c r="AT819" s="206"/>
      <c r="AV819" s="213"/>
      <c r="AW819" s="6"/>
      <c r="AX819" s="6"/>
      <c r="AY819" s="6"/>
      <c r="AZ819" s="206"/>
    </row>
    <row r="820" spans="4:52" s="2" customFormat="1" ht="17.100000000000001" customHeight="1" x14ac:dyDescent="0.25">
      <c r="D820" s="3"/>
      <c r="E820" s="3"/>
      <c r="F820" s="4"/>
      <c r="G820" s="4"/>
      <c r="H820" s="138"/>
      <c r="I820" s="97"/>
      <c r="J820" s="6"/>
      <c r="K820" s="6"/>
      <c r="L820" s="6"/>
      <c r="M820" s="6"/>
      <c r="N820" s="6"/>
      <c r="O820" s="6"/>
      <c r="P820" s="6"/>
      <c r="Q820" s="6"/>
      <c r="R820" s="6"/>
      <c r="S820" s="6"/>
      <c r="T820" s="6"/>
      <c r="U820" s="6"/>
      <c r="V820" s="339"/>
      <c r="W820" s="339"/>
      <c r="X820" s="6"/>
      <c r="Y820" s="206"/>
      <c r="AE820" s="6"/>
      <c r="AF820" s="6"/>
      <c r="AG820" s="6"/>
      <c r="AH820" s="206"/>
      <c r="AJ820" s="213"/>
      <c r="AK820" s="6"/>
      <c r="AL820" s="6"/>
      <c r="AM820" s="6"/>
      <c r="AN820" s="206"/>
      <c r="AP820" s="213"/>
      <c r="AQ820" s="6"/>
      <c r="AR820" s="6"/>
      <c r="AS820" s="6"/>
      <c r="AT820" s="206"/>
      <c r="AV820" s="213"/>
      <c r="AW820" s="6"/>
      <c r="AX820" s="6"/>
      <c r="AY820" s="6"/>
      <c r="AZ820" s="206"/>
    </row>
    <row r="821" spans="4:52" s="2" customFormat="1" ht="17.100000000000001" customHeight="1" x14ac:dyDescent="0.25">
      <c r="D821" s="3"/>
      <c r="E821" s="3"/>
      <c r="F821" s="4"/>
      <c r="G821" s="4"/>
      <c r="H821" s="138"/>
      <c r="I821" s="97"/>
      <c r="J821" s="6"/>
      <c r="K821" s="6"/>
      <c r="L821" s="6"/>
      <c r="M821" s="6"/>
      <c r="N821" s="6"/>
      <c r="O821" s="6"/>
      <c r="P821" s="6"/>
      <c r="Q821" s="6"/>
      <c r="R821" s="6"/>
      <c r="S821" s="6"/>
      <c r="T821" s="6"/>
      <c r="U821" s="6"/>
      <c r="V821" s="339"/>
      <c r="W821" s="339"/>
      <c r="X821" s="6"/>
      <c r="Y821" s="206"/>
      <c r="AE821" s="6"/>
      <c r="AF821" s="6"/>
      <c r="AG821" s="6"/>
      <c r="AH821" s="206"/>
      <c r="AJ821" s="213"/>
      <c r="AK821" s="6"/>
      <c r="AL821" s="6"/>
      <c r="AM821" s="6"/>
      <c r="AN821" s="206"/>
      <c r="AP821" s="213"/>
      <c r="AQ821" s="6"/>
      <c r="AR821" s="6"/>
      <c r="AS821" s="6"/>
      <c r="AT821" s="206"/>
      <c r="AV821" s="213"/>
      <c r="AW821" s="6"/>
      <c r="AX821" s="6"/>
      <c r="AY821" s="6"/>
      <c r="AZ821" s="206"/>
    </row>
    <row r="822" spans="4:52" s="2" customFormat="1" ht="17.100000000000001" customHeight="1" x14ac:dyDescent="0.25">
      <c r="D822" s="3"/>
      <c r="E822" s="3"/>
      <c r="F822" s="4"/>
      <c r="G822" s="4"/>
      <c r="H822" s="138"/>
      <c r="I822" s="97"/>
      <c r="J822" s="6"/>
      <c r="K822" s="6"/>
      <c r="L822" s="6"/>
      <c r="M822" s="6"/>
      <c r="N822" s="6"/>
      <c r="O822" s="6"/>
      <c r="P822" s="6"/>
      <c r="Q822" s="6"/>
      <c r="R822" s="6"/>
      <c r="S822" s="6"/>
      <c r="T822" s="6"/>
      <c r="U822" s="6"/>
      <c r="V822" s="339"/>
      <c r="W822" s="339"/>
      <c r="X822" s="6"/>
      <c r="Y822" s="206"/>
      <c r="AE822" s="6"/>
      <c r="AF822" s="6"/>
      <c r="AG822" s="6"/>
      <c r="AH822" s="206"/>
      <c r="AJ822" s="213"/>
      <c r="AK822" s="6"/>
      <c r="AL822" s="6"/>
      <c r="AM822" s="6"/>
      <c r="AN822" s="206"/>
      <c r="AP822" s="213"/>
      <c r="AQ822" s="6"/>
      <c r="AR822" s="6"/>
      <c r="AS822" s="6"/>
      <c r="AT822" s="206"/>
      <c r="AV822" s="213"/>
      <c r="AW822" s="6"/>
      <c r="AX822" s="6"/>
      <c r="AY822" s="6"/>
      <c r="AZ822" s="206"/>
    </row>
    <row r="823" spans="4:52" s="2" customFormat="1" ht="17.100000000000001" customHeight="1" x14ac:dyDescent="0.25">
      <c r="D823" s="3"/>
      <c r="E823" s="3"/>
      <c r="F823" s="4"/>
      <c r="G823" s="4"/>
      <c r="H823" s="138"/>
      <c r="I823" s="97"/>
      <c r="J823" s="6"/>
      <c r="K823" s="6"/>
      <c r="L823" s="6"/>
      <c r="M823" s="6"/>
      <c r="N823" s="6"/>
      <c r="O823" s="6"/>
      <c r="P823" s="6"/>
      <c r="Q823" s="6"/>
      <c r="R823" s="6"/>
      <c r="S823" s="6"/>
      <c r="T823" s="6"/>
      <c r="U823" s="6"/>
      <c r="V823" s="339"/>
      <c r="W823" s="339"/>
      <c r="X823" s="6"/>
      <c r="Y823" s="206"/>
      <c r="AE823" s="6"/>
      <c r="AF823" s="6"/>
      <c r="AG823" s="6"/>
      <c r="AH823" s="206"/>
      <c r="AJ823" s="213"/>
      <c r="AK823" s="6"/>
      <c r="AL823" s="6"/>
      <c r="AM823" s="6"/>
      <c r="AN823" s="206"/>
      <c r="AP823" s="213"/>
      <c r="AQ823" s="6"/>
      <c r="AR823" s="6"/>
      <c r="AS823" s="6"/>
      <c r="AT823" s="206"/>
      <c r="AV823" s="213"/>
      <c r="AW823" s="6"/>
      <c r="AX823" s="6"/>
      <c r="AY823" s="6"/>
      <c r="AZ823" s="206"/>
    </row>
    <row r="824" spans="4:52" s="2" customFormat="1" ht="17.100000000000001" customHeight="1" x14ac:dyDescent="0.25">
      <c r="D824" s="3"/>
      <c r="E824" s="3"/>
      <c r="F824" s="4"/>
      <c r="G824" s="4"/>
      <c r="H824" s="138"/>
      <c r="I824" s="97"/>
      <c r="J824" s="6"/>
      <c r="K824" s="6"/>
      <c r="L824" s="6"/>
      <c r="M824" s="6"/>
      <c r="N824" s="6"/>
      <c r="O824" s="6"/>
      <c r="P824" s="6"/>
      <c r="Q824" s="6"/>
      <c r="R824" s="6"/>
      <c r="S824" s="6"/>
      <c r="T824" s="6"/>
      <c r="U824" s="6"/>
      <c r="V824" s="339"/>
      <c r="W824" s="339"/>
      <c r="X824" s="6"/>
      <c r="Y824" s="206"/>
      <c r="AE824" s="6"/>
      <c r="AF824" s="6"/>
      <c r="AG824" s="6"/>
      <c r="AH824" s="206"/>
      <c r="AJ824" s="213"/>
      <c r="AK824" s="6"/>
      <c r="AL824" s="6"/>
      <c r="AM824" s="6"/>
      <c r="AN824" s="206"/>
      <c r="AP824" s="213"/>
      <c r="AQ824" s="6"/>
      <c r="AR824" s="6"/>
      <c r="AS824" s="6"/>
      <c r="AT824" s="206"/>
      <c r="AV824" s="213"/>
      <c r="AW824" s="6"/>
      <c r="AX824" s="6"/>
      <c r="AY824" s="6"/>
      <c r="AZ824" s="206"/>
    </row>
    <row r="825" spans="4:52" s="2" customFormat="1" ht="17.100000000000001" customHeight="1" x14ac:dyDescent="0.25">
      <c r="D825" s="3"/>
      <c r="E825" s="3"/>
      <c r="F825" s="4"/>
      <c r="G825" s="4"/>
      <c r="H825" s="138"/>
      <c r="I825" s="97"/>
      <c r="J825" s="6"/>
      <c r="K825" s="6"/>
      <c r="L825" s="6"/>
      <c r="M825" s="6"/>
      <c r="N825" s="6"/>
      <c r="O825" s="6"/>
      <c r="P825" s="6"/>
      <c r="Q825" s="6"/>
      <c r="R825" s="6"/>
      <c r="S825" s="6"/>
      <c r="T825" s="6"/>
      <c r="U825" s="6"/>
      <c r="V825" s="339"/>
      <c r="W825" s="339"/>
      <c r="X825" s="6"/>
      <c r="Y825" s="206"/>
      <c r="AE825" s="6"/>
      <c r="AF825" s="6"/>
      <c r="AG825" s="6"/>
      <c r="AH825" s="206"/>
      <c r="AJ825" s="213"/>
      <c r="AK825" s="6"/>
      <c r="AL825" s="6"/>
      <c r="AM825" s="6"/>
      <c r="AN825" s="206"/>
      <c r="AP825" s="213"/>
      <c r="AQ825" s="6"/>
      <c r="AR825" s="6"/>
      <c r="AS825" s="6"/>
      <c r="AT825" s="206"/>
      <c r="AV825" s="213"/>
      <c r="AW825" s="6"/>
      <c r="AX825" s="6"/>
      <c r="AY825" s="6"/>
      <c r="AZ825" s="206"/>
    </row>
    <row r="826" spans="4:52" s="2" customFormat="1" ht="17.100000000000001" customHeight="1" x14ac:dyDescent="0.25">
      <c r="D826" s="3"/>
      <c r="E826" s="3"/>
      <c r="F826" s="4"/>
      <c r="G826" s="4"/>
      <c r="H826" s="138"/>
      <c r="I826" s="97"/>
      <c r="J826" s="6"/>
      <c r="K826" s="6"/>
      <c r="L826" s="6"/>
      <c r="M826" s="6"/>
      <c r="N826" s="6"/>
      <c r="O826" s="6"/>
      <c r="P826" s="6"/>
      <c r="Q826" s="6"/>
      <c r="R826" s="6"/>
      <c r="S826" s="6"/>
      <c r="T826" s="6"/>
      <c r="U826" s="6"/>
      <c r="V826" s="339"/>
      <c r="W826" s="339"/>
      <c r="X826" s="6"/>
      <c r="Y826" s="206"/>
      <c r="AE826" s="6"/>
      <c r="AF826" s="6"/>
      <c r="AG826" s="6"/>
      <c r="AH826" s="206"/>
      <c r="AJ826" s="213"/>
      <c r="AK826" s="6"/>
      <c r="AL826" s="6"/>
      <c r="AM826" s="6"/>
      <c r="AN826" s="206"/>
      <c r="AP826" s="213"/>
      <c r="AQ826" s="6"/>
      <c r="AR826" s="6"/>
      <c r="AS826" s="6"/>
      <c r="AT826" s="206"/>
      <c r="AV826" s="213"/>
      <c r="AW826" s="6"/>
      <c r="AX826" s="6"/>
      <c r="AY826" s="6"/>
      <c r="AZ826" s="206"/>
    </row>
    <row r="827" spans="4:52" s="2" customFormat="1" ht="17.100000000000001" customHeight="1" x14ac:dyDescent="0.25">
      <c r="D827" s="3"/>
      <c r="E827" s="3"/>
      <c r="F827" s="4"/>
      <c r="G827" s="4"/>
      <c r="H827" s="138"/>
      <c r="I827" s="97"/>
      <c r="J827" s="6"/>
      <c r="K827" s="6"/>
      <c r="L827" s="6"/>
      <c r="M827" s="6"/>
      <c r="N827" s="6"/>
      <c r="O827" s="6"/>
      <c r="P827" s="6"/>
      <c r="Q827" s="6"/>
      <c r="R827" s="6"/>
      <c r="S827" s="6"/>
      <c r="T827" s="6"/>
      <c r="U827" s="6"/>
      <c r="V827" s="339"/>
      <c r="W827" s="339"/>
      <c r="X827" s="6"/>
      <c r="Y827" s="206"/>
      <c r="AE827" s="6"/>
      <c r="AF827" s="6"/>
      <c r="AG827" s="6"/>
      <c r="AH827" s="206"/>
      <c r="AJ827" s="213"/>
      <c r="AK827" s="6"/>
      <c r="AL827" s="6"/>
      <c r="AM827" s="6"/>
      <c r="AN827" s="206"/>
      <c r="AP827" s="213"/>
      <c r="AQ827" s="6"/>
      <c r="AR827" s="6"/>
      <c r="AS827" s="6"/>
      <c r="AT827" s="206"/>
      <c r="AV827" s="213"/>
      <c r="AW827" s="6"/>
      <c r="AX827" s="6"/>
      <c r="AY827" s="6"/>
      <c r="AZ827" s="206"/>
    </row>
    <row r="828" spans="4:52" s="2" customFormat="1" ht="17.100000000000001" customHeight="1" x14ac:dyDescent="0.25">
      <c r="D828" s="3"/>
      <c r="E828" s="3"/>
      <c r="F828" s="4"/>
      <c r="G828" s="4"/>
      <c r="H828" s="138"/>
      <c r="I828" s="97"/>
      <c r="J828" s="6"/>
      <c r="K828" s="6"/>
      <c r="L828" s="6"/>
      <c r="M828" s="6"/>
      <c r="N828" s="6"/>
      <c r="O828" s="6"/>
      <c r="P828" s="6"/>
      <c r="Q828" s="6"/>
      <c r="R828" s="6"/>
      <c r="S828" s="6"/>
      <c r="T828" s="6"/>
      <c r="U828" s="6"/>
      <c r="V828" s="339"/>
      <c r="W828" s="339"/>
      <c r="X828" s="6"/>
      <c r="Y828" s="206"/>
      <c r="AE828" s="6"/>
      <c r="AF828" s="6"/>
      <c r="AG828" s="6"/>
      <c r="AH828" s="206"/>
      <c r="AJ828" s="213"/>
      <c r="AK828" s="6"/>
      <c r="AL828" s="6"/>
      <c r="AM828" s="6"/>
      <c r="AN828" s="206"/>
      <c r="AP828" s="213"/>
      <c r="AQ828" s="6"/>
      <c r="AR828" s="6"/>
      <c r="AS828" s="6"/>
      <c r="AT828" s="206"/>
      <c r="AV828" s="213"/>
      <c r="AW828" s="6"/>
      <c r="AX828" s="6"/>
      <c r="AY828" s="6"/>
      <c r="AZ828" s="206"/>
    </row>
    <row r="829" spans="4:52" s="2" customFormat="1" ht="17.100000000000001" customHeight="1" x14ac:dyDescent="0.25">
      <c r="D829" s="3"/>
      <c r="E829" s="3"/>
      <c r="F829" s="4"/>
      <c r="G829" s="4"/>
      <c r="H829" s="138"/>
      <c r="I829" s="97"/>
      <c r="J829" s="6"/>
      <c r="K829" s="6"/>
      <c r="L829" s="6"/>
      <c r="M829" s="6"/>
      <c r="N829" s="6"/>
      <c r="O829" s="6"/>
      <c r="P829" s="6"/>
      <c r="Q829" s="6"/>
      <c r="R829" s="6"/>
      <c r="S829" s="6"/>
      <c r="T829" s="6"/>
      <c r="U829" s="6"/>
      <c r="V829" s="339"/>
      <c r="W829" s="339"/>
      <c r="X829" s="6"/>
      <c r="Y829" s="206"/>
      <c r="AE829" s="6"/>
      <c r="AF829" s="6"/>
      <c r="AG829" s="6"/>
      <c r="AH829" s="206"/>
      <c r="AJ829" s="213"/>
      <c r="AK829" s="6"/>
      <c r="AL829" s="6"/>
      <c r="AM829" s="6"/>
      <c r="AN829" s="206"/>
      <c r="AP829" s="213"/>
      <c r="AQ829" s="6"/>
      <c r="AR829" s="6"/>
      <c r="AS829" s="6"/>
      <c r="AT829" s="206"/>
      <c r="AV829" s="213"/>
      <c r="AW829" s="6"/>
      <c r="AX829" s="6"/>
      <c r="AY829" s="6"/>
      <c r="AZ829" s="206"/>
    </row>
    <row r="830" spans="4:52" s="2" customFormat="1" ht="17.100000000000001" customHeight="1" x14ac:dyDescent="0.25">
      <c r="D830" s="3"/>
      <c r="E830" s="3"/>
      <c r="F830" s="4"/>
      <c r="G830" s="4"/>
      <c r="H830" s="138"/>
      <c r="I830" s="97"/>
      <c r="J830" s="6"/>
      <c r="K830" s="6"/>
      <c r="L830" s="6"/>
      <c r="M830" s="6"/>
      <c r="N830" s="6"/>
      <c r="O830" s="6"/>
      <c r="P830" s="6"/>
      <c r="Q830" s="6"/>
      <c r="R830" s="6"/>
      <c r="S830" s="6"/>
      <c r="T830" s="6"/>
      <c r="U830" s="6"/>
      <c r="V830" s="339"/>
      <c r="W830" s="339"/>
      <c r="X830" s="6"/>
      <c r="Y830" s="206"/>
      <c r="AE830" s="6"/>
      <c r="AF830" s="6"/>
      <c r="AG830" s="6"/>
      <c r="AH830" s="206"/>
      <c r="AJ830" s="213"/>
      <c r="AK830" s="6"/>
      <c r="AL830" s="6"/>
      <c r="AM830" s="6"/>
      <c r="AN830" s="206"/>
      <c r="AP830" s="213"/>
      <c r="AQ830" s="6"/>
      <c r="AR830" s="6"/>
      <c r="AS830" s="6"/>
      <c r="AT830" s="206"/>
      <c r="AV830" s="213"/>
      <c r="AW830" s="6"/>
      <c r="AX830" s="6"/>
      <c r="AY830" s="6"/>
      <c r="AZ830" s="206"/>
    </row>
    <row r="831" spans="4:52" s="2" customFormat="1" ht="17.100000000000001" customHeight="1" x14ac:dyDescent="0.25">
      <c r="D831" s="3"/>
      <c r="E831" s="3"/>
      <c r="F831" s="4"/>
      <c r="G831" s="4"/>
      <c r="H831" s="138"/>
      <c r="I831" s="97"/>
      <c r="J831" s="6"/>
      <c r="K831" s="6"/>
      <c r="L831" s="6"/>
      <c r="M831" s="6"/>
      <c r="N831" s="6"/>
      <c r="O831" s="6"/>
      <c r="P831" s="6"/>
      <c r="Q831" s="6"/>
      <c r="R831" s="6"/>
      <c r="S831" s="6"/>
      <c r="T831" s="6"/>
      <c r="U831" s="6"/>
      <c r="V831" s="339"/>
      <c r="W831" s="339"/>
      <c r="X831" s="6"/>
      <c r="Y831" s="206"/>
      <c r="AE831" s="6"/>
      <c r="AF831" s="6"/>
      <c r="AG831" s="6"/>
      <c r="AH831" s="206"/>
      <c r="AJ831" s="213"/>
      <c r="AK831" s="6"/>
      <c r="AL831" s="6"/>
      <c r="AM831" s="6"/>
      <c r="AN831" s="206"/>
      <c r="AP831" s="213"/>
      <c r="AQ831" s="6"/>
      <c r="AR831" s="6"/>
      <c r="AS831" s="6"/>
      <c r="AT831" s="206"/>
      <c r="AV831" s="213"/>
      <c r="AW831" s="6"/>
      <c r="AX831" s="6"/>
      <c r="AY831" s="6"/>
      <c r="AZ831" s="206"/>
    </row>
    <row r="832" spans="4:52" s="2" customFormat="1" ht="17.100000000000001" customHeight="1" x14ac:dyDescent="0.25">
      <c r="D832" s="3"/>
      <c r="E832" s="3"/>
      <c r="F832" s="4"/>
      <c r="G832" s="4"/>
      <c r="H832" s="138"/>
      <c r="I832" s="97"/>
      <c r="J832" s="6"/>
      <c r="K832" s="6"/>
      <c r="L832" s="6"/>
      <c r="M832" s="6"/>
      <c r="N832" s="6"/>
      <c r="O832" s="6"/>
      <c r="P832" s="6"/>
      <c r="Q832" s="6"/>
      <c r="R832" s="6"/>
      <c r="S832" s="6"/>
      <c r="T832" s="6"/>
      <c r="U832" s="6"/>
      <c r="V832" s="339"/>
      <c r="W832" s="339"/>
      <c r="X832" s="6"/>
      <c r="Y832" s="206"/>
      <c r="AE832" s="6"/>
      <c r="AF832" s="6"/>
      <c r="AG832" s="6"/>
      <c r="AH832" s="206"/>
      <c r="AJ832" s="213"/>
      <c r="AK832" s="6"/>
      <c r="AL832" s="6"/>
      <c r="AM832" s="6"/>
      <c r="AN832" s="206"/>
      <c r="AP832" s="213"/>
      <c r="AQ832" s="6"/>
      <c r="AR832" s="6"/>
      <c r="AS832" s="6"/>
      <c r="AT832" s="206"/>
      <c r="AV832" s="213"/>
      <c r="AW832" s="6"/>
      <c r="AX832" s="6"/>
      <c r="AY832" s="6"/>
      <c r="AZ832" s="206"/>
    </row>
    <row r="833" spans="4:52" s="2" customFormat="1" ht="17.100000000000001" customHeight="1" x14ac:dyDescent="0.25">
      <c r="D833" s="3"/>
      <c r="E833" s="3"/>
      <c r="F833" s="4"/>
      <c r="G833" s="4"/>
      <c r="H833" s="138"/>
      <c r="I833" s="97"/>
      <c r="J833" s="6"/>
      <c r="K833" s="6"/>
      <c r="L833" s="6"/>
      <c r="M833" s="6"/>
      <c r="N833" s="6"/>
      <c r="O833" s="6"/>
      <c r="P833" s="6"/>
      <c r="Q833" s="6"/>
      <c r="R833" s="6"/>
      <c r="S833" s="6"/>
      <c r="T833" s="6"/>
      <c r="U833" s="6"/>
      <c r="V833" s="339"/>
      <c r="W833" s="339"/>
      <c r="X833" s="6"/>
      <c r="Y833" s="206"/>
      <c r="AE833" s="6"/>
      <c r="AF833" s="6"/>
      <c r="AG833" s="6"/>
      <c r="AH833" s="206"/>
      <c r="AJ833" s="213"/>
      <c r="AK833" s="6"/>
      <c r="AL833" s="6"/>
      <c r="AM833" s="6"/>
      <c r="AN833" s="206"/>
      <c r="AP833" s="213"/>
      <c r="AQ833" s="6"/>
      <c r="AR833" s="6"/>
      <c r="AS833" s="6"/>
      <c r="AT833" s="206"/>
      <c r="AV833" s="213"/>
      <c r="AW833" s="6"/>
      <c r="AX833" s="6"/>
      <c r="AY833" s="6"/>
      <c r="AZ833" s="206"/>
    </row>
    <row r="834" spans="4:52" s="2" customFormat="1" ht="17.100000000000001" customHeight="1" x14ac:dyDescent="0.25">
      <c r="D834" s="3"/>
      <c r="E834" s="3"/>
      <c r="F834" s="4"/>
      <c r="G834" s="4"/>
      <c r="H834" s="138"/>
      <c r="I834" s="97"/>
      <c r="J834" s="6"/>
      <c r="K834" s="6"/>
      <c r="L834" s="6"/>
      <c r="M834" s="6"/>
      <c r="N834" s="6"/>
      <c r="O834" s="6"/>
      <c r="P834" s="6"/>
      <c r="Q834" s="6"/>
      <c r="R834" s="6"/>
      <c r="S834" s="6"/>
      <c r="T834" s="6"/>
      <c r="U834" s="6"/>
      <c r="V834" s="339"/>
      <c r="W834" s="339"/>
      <c r="X834" s="6"/>
      <c r="Y834" s="206"/>
      <c r="AE834" s="6"/>
      <c r="AF834" s="6"/>
      <c r="AG834" s="6"/>
      <c r="AH834" s="206"/>
      <c r="AJ834" s="213"/>
      <c r="AK834" s="6"/>
      <c r="AL834" s="6"/>
      <c r="AM834" s="6"/>
      <c r="AN834" s="206"/>
      <c r="AP834" s="213"/>
      <c r="AQ834" s="6"/>
      <c r="AR834" s="6"/>
      <c r="AS834" s="6"/>
      <c r="AT834" s="206"/>
      <c r="AV834" s="213"/>
      <c r="AW834" s="6"/>
      <c r="AX834" s="6"/>
      <c r="AY834" s="6"/>
      <c r="AZ834" s="206"/>
    </row>
    <row r="835" spans="4:52" s="2" customFormat="1" ht="17.100000000000001" customHeight="1" x14ac:dyDescent="0.25">
      <c r="D835" s="3"/>
      <c r="E835" s="3"/>
      <c r="F835" s="4"/>
      <c r="G835" s="4"/>
      <c r="H835" s="138"/>
      <c r="I835" s="97"/>
      <c r="J835" s="6"/>
      <c r="K835" s="6"/>
      <c r="L835" s="6"/>
      <c r="M835" s="6"/>
      <c r="N835" s="6"/>
      <c r="O835" s="6"/>
      <c r="P835" s="6"/>
      <c r="Q835" s="6"/>
      <c r="R835" s="6"/>
      <c r="S835" s="6"/>
      <c r="T835" s="6"/>
      <c r="U835" s="6"/>
      <c r="V835" s="339"/>
      <c r="W835" s="339"/>
      <c r="X835" s="6"/>
      <c r="Y835" s="206"/>
      <c r="AE835" s="6"/>
      <c r="AF835" s="6"/>
      <c r="AG835" s="6"/>
      <c r="AH835" s="206"/>
      <c r="AJ835" s="213"/>
      <c r="AK835" s="6"/>
      <c r="AL835" s="6"/>
      <c r="AM835" s="6"/>
      <c r="AN835" s="206"/>
      <c r="AP835" s="213"/>
      <c r="AQ835" s="6"/>
      <c r="AR835" s="6"/>
      <c r="AS835" s="6"/>
      <c r="AT835" s="206"/>
      <c r="AV835" s="213"/>
      <c r="AW835" s="6"/>
      <c r="AX835" s="6"/>
      <c r="AY835" s="6"/>
      <c r="AZ835" s="206"/>
    </row>
    <row r="836" spans="4:52" s="2" customFormat="1" ht="17.100000000000001" customHeight="1" x14ac:dyDescent="0.25">
      <c r="D836" s="3"/>
      <c r="E836" s="3"/>
      <c r="F836" s="4"/>
      <c r="G836" s="4"/>
      <c r="H836" s="138"/>
      <c r="I836" s="97"/>
      <c r="J836" s="6"/>
      <c r="K836" s="6"/>
      <c r="L836" s="6"/>
      <c r="M836" s="6"/>
      <c r="N836" s="6"/>
      <c r="O836" s="6"/>
      <c r="P836" s="6"/>
      <c r="Q836" s="6"/>
      <c r="R836" s="6"/>
      <c r="S836" s="6"/>
      <c r="T836" s="6"/>
      <c r="U836" s="6"/>
      <c r="V836" s="339"/>
      <c r="W836" s="339"/>
      <c r="X836" s="6"/>
      <c r="Y836" s="206"/>
      <c r="AE836" s="6"/>
      <c r="AF836" s="6"/>
      <c r="AG836" s="6"/>
      <c r="AH836" s="206"/>
      <c r="AJ836" s="213"/>
      <c r="AK836" s="6"/>
      <c r="AL836" s="6"/>
      <c r="AM836" s="6"/>
      <c r="AN836" s="206"/>
      <c r="AP836" s="213"/>
      <c r="AQ836" s="6"/>
      <c r="AR836" s="6"/>
      <c r="AS836" s="6"/>
      <c r="AT836" s="206"/>
      <c r="AV836" s="213"/>
      <c r="AW836" s="6"/>
      <c r="AX836" s="6"/>
      <c r="AY836" s="6"/>
      <c r="AZ836" s="206"/>
    </row>
    <row r="837" spans="4:52" s="2" customFormat="1" ht="17.100000000000001" customHeight="1" x14ac:dyDescent="0.25">
      <c r="D837" s="3"/>
      <c r="E837" s="3"/>
      <c r="F837" s="4"/>
      <c r="G837" s="4"/>
      <c r="H837" s="138"/>
      <c r="I837" s="97"/>
      <c r="J837" s="6"/>
      <c r="K837" s="6"/>
      <c r="L837" s="6"/>
      <c r="M837" s="6"/>
      <c r="N837" s="6"/>
      <c r="O837" s="6"/>
      <c r="P837" s="6"/>
      <c r="Q837" s="6"/>
      <c r="R837" s="6"/>
      <c r="S837" s="6"/>
      <c r="T837" s="6"/>
      <c r="U837" s="6"/>
      <c r="V837" s="339"/>
      <c r="W837" s="339"/>
      <c r="X837" s="6"/>
      <c r="Y837" s="206"/>
      <c r="AE837" s="6"/>
      <c r="AF837" s="6"/>
      <c r="AG837" s="6"/>
      <c r="AH837" s="206"/>
      <c r="AJ837" s="213"/>
      <c r="AK837" s="6"/>
      <c r="AL837" s="6"/>
      <c r="AM837" s="6"/>
      <c r="AN837" s="206"/>
      <c r="AP837" s="213"/>
      <c r="AQ837" s="6"/>
      <c r="AR837" s="6"/>
      <c r="AS837" s="6"/>
      <c r="AT837" s="206"/>
      <c r="AV837" s="213"/>
      <c r="AW837" s="6"/>
      <c r="AX837" s="6"/>
      <c r="AY837" s="6"/>
      <c r="AZ837" s="206"/>
    </row>
    <row r="838" spans="4:52" s="2" customFormat="1" ht="17.100000000000001" customHeight="1" x14ac:dyDescent="0.25">
      <c r="D838" s="3"/>
      <c r="E838" s="3"/>
      <c r="F838" s="4"/>
      <c r="G838" s="4"/>
      <c r="H838" s="138"/>
      <c r="I838" s="97"/>
      <c r="J838" s="6"/>
      <c r="K838" s="6"/>
      <c r="L838" s="6"/>
      <c r="M838" s="6"/>
      <c r="N838" s="6"/>
      <c r="O838" s="6"/>
      <c r="P838" s="6"/>
      <c r="Q838" s="6"/>
      <c r="R838" s="6"/>
      <c r="S838" s="6"/>
      <c r="T838" s="6"/>
      <c r="U838" s="6"/>
      <c r="V838" s="339"/>
      <c r="W838" s="339"/>
      <c r="X838" s="6"/>
      <c r="Y838" s="206"/>
      <c r="AE838" s="6"/>
      <c r="AF838" s="6"/>
      <c r="AG838" s="6"/>
      <c r="AH838" s="206"/>
      <c r="AJ838" s="213"/>
      <c r="AK838" s="6"/>
      <c r="AL838" s="6"/>
      <c r="AM838" s="6"/>
      <c r="AN838" s="206"/>
      <c r="AP838" s="213"/>
      <c r="AQ838" s="6"/>
      <c r="AR838" s="6"/>
      <c r="AS838" s="6"/>
      <c r="AT838" s="206"/>
      <c r="AV838" s="213"/>
      <c r="AW838" s="6"/>
      <c r="AX838" s="6"/>
      <c r="AY838" s="6"/>
      <c r="AZ838" s="206"/>
    </row>
    <row r="839" spans="4:52" s="2" customFormat="1" ht="17.100000000000001" customHeight="1" x14ac:dyDescent="0.25">
      <c r="D839" s="3"/>
      <c r="E839" s="3"/>
      <c r="F839" s="4"/>
      <c r="G839" s="4"/>
      <c r="H839" s="138"/>
      <c r="I839" s="97"/>
      <c r="J839" s="6"/>
      <c r="K839" s="6"/>
      <c r="L839" s="6"/>
      <c r="M839" s="6"/>
      <c r="N839" s="6"/>
      <c r="O839" s="6"/>
      <c r="P839" s="6"/>
      <c r="Q839" s="6"/>
      <c r="R839" s="6"/>
      <c r="S839" s="6"/>
      <c r="T839" s="6"/>
      <c r="U839" s="6"/>
      <c r="V839" s="339"/>
      <c r="W839" s="339"/>
      <c r="X839" s="6"/>
      <c r="Y839" s="206"/>
      <c r="AE839" s="6"/>
      <c r="AF839" s="6"/>
      <c r="AG839" s="6"/>
      <c r="AH839" s="206"/>
      <c r="AJ839" s="213"/>
      <c r="AK839" s="6"/>
      <c r="AL839" s="6"/>
      <c r="AM839" s="6"/>
      <c r="AN839" s="206"/>
      <c r="AP839" s="213"/>
      <c r="AQ839" s="6"/>
      <c r="AR839" s="6"/>
      <c r="AS839" s="6"/>
      <c r="AT839" s="206"/>
      <c r="AV839" s="213"/>
      <c r="AW839" s="6"/>
      <c r="AX839" s="6"/>
      <c r="AY839" s="6"/>
      <c r="AZ839" s="206"/>
    </row>
    <row r="840" spans="4:52" s="2" customFormat="1" ht="17.100000000000001" customHeight="1" x14ac:dyDescent="0.25">
      <c r="D840" s="3"/>
      <c r="E840" s="3"/>
      <c r="F840" s="4"/>
      <c r="G840" s="4"/>
      <c r="H840" s="138"/>
      <c r="I840" s="97"/>
      <c r="J840" s="6"/>
      <c r="K840" s="6"/>
      <c r="L840" s="6"/>
      <c r="M840" s="6"/>
      <c r="N840" s="6"/>
      <c r="O840" s="6"/>
      <c r="P840" s="6"/>
      <c r="Q840" s="6"/>
      <c r="R840" s="6"/>
      <c r="S840" s="6"/>
      <c r="T840" s="6"/>
      <c r="U840" s="6"/>
      <c r="V840" s="339"/>
      <c r="W840" s="339"/>
      <c r="X840" s="6"/>
      <c r="Y840" s="206"/>
      <c r="AE840" s="6"/>
      <c r="AF840" s="6"/>
      <c r="AG840" s="6"/>
      <c r="AH840" s="206"/>
      <c r="AJ840" s="213"/>
      <c r="AK840" s="6"/>
      <c r="AL840" s="6"/>
      <c r="AM840" s="6"/>
      <c r="AN840" s="206"/>
      <c r="AP840" s="213"/>
      <c r="AQ840" s="6"/>
      <c r="AR840" s="6"/>
      <c r="AS840" s="6"/>
      <c r="AT840" s="206"/>
      <c r="AV840" s="213"/>
      <c r="AW840" s="6"/>
      <c r="AX840" s="6"/>
      <c r="AY840" s="6"/>
      <c r="AZ840" s="206"/>
    </row>
  </sheetData>
  <dataConsolidate/>
  <mergeCells count="19">
    <mergeCell ref="AW10:BA10"/>
    <mergeCell ref="W8:Y9"/>
    <mergeCell ref="E447:G447"/>
    <mergeCell ref="AE10:AI10"/>
    <mergeCell ref="E384:G384"/>
    <mergeCell ref="E382:G382"/>
    <mergeCell ref="E446:G446"/>
    <mergeCell ref="T8:V8"/>
    <mergeCell ref="T9:V9"/>
    <mergeCell ref="J8:M8"/>
    <mergeCell ref="J9:M9"/>
    <mergeCell ref="N8:P8"/>
    <mergeCell ref="N9:P9"/>
    <mergeCell ref="L6:M6"/>
    <mergeCell ref="AQ10:AU10"/>
    <mergeCell ref="AE8:AO8"/>
    <mergeCell ref="Q8:S8"/>
    <mergeCell ref="Q9:S9"/>
    <mergeCell ref="AK10:AO10"/>
  </mergeCells>
  <pageMargins left="0.7" right="0.7" top="0.75" bottom="0.75" header="0.3" footer="0.3"/>
  <pageSetup paperSize="9" scale="70" fitToHeight="5" orientation="portrait" r:id="rId1"/>
  <headerFooter>
    <oddFooter>&amp;L&amp;10SANITATION DEMAND AND SUPPLY STUDY&amp;C&amp;10&amp;P&amp;R&amp;10HOUSEHOLDS WITH TOILET</oddFooter>
  </headerFooter>
  <rowBreaks count="4" manualBreakCount="4">
    <brk id="89" max="10" man="1"/>
    <brk id="212" max="10" man="1"/>
    <brk id="373" max="10" man="1"/>
    <brk id="567" max="10" man="1"/>
  </rowBreaks>
  <ignoredErrors>
    <ignoredError sqref="Y137 Y150 Z178:Z183 Y220 Y214 Y226 Y326 Y346 Y357 Y376 Y402 Y411 Y433 Y445 Y457 Y472 Y535:Y536 Y576 Y195 M13:M14 P18:P19 M23:M25 P42 W20:Y21 P61:P64 S61:S64 S81 V81 P150:P151 S150:S151 M44:M57 M137:M146 M155:M160 M164:M165 P169:P173 S169:S173 P178:P183 P185:P186 S178:S186 V178:V186 M194:M195 M200:M201 M214:M215 M220:M221 M231:M235 M239:M243 S42 W15:Y16 W23:Y26 W155:Y161 V522:Y526 Y546 Y600 Y592 Y341:Z341 Y331:Z331 Y321:Z321 Y453:Z453 W30:Y33 V42:Y42 W44:Y57 V61:Y64 P68:P72 W13:X14 S18:S19 V18:X19 M30:M32 W38:Y39 W137:X146 V150:X151 W164:X165 V169:Y173 W177:Y183 W185:Z186 W194:X195 W206:Z208 W214:X215 W220:X221 W231:X235 W226:X227 W239:X243 N177:O177 AA190:AC190 W316:X317 W321:X322 W326:X327 W331:X332 W336:X337 W341:X342 W346:X353 W357:X359 AB365:AC365 W363:Y364 AA363:AC364 W368:Y370 AA368:AC370 P376:P378 S376:S378 P402:P406 S408:V408 P411:P415 S402:S406 S411:S415 W411:X416 P424:P425 P429 S424:S429 V424:AC429 P433:P440 S433:S440 P445:P448 S445:S448 S450:S453 P457:P459 S457:S459 P463:P468 P472:P479 S472:S479 V472:X479 P504:P507 S504:S507 V504:Y507 V518:Y519 P518:P526 V528:Y528 P535:P537 S535:S537 V535:X537 P546 S546:V546 P570:P571 W576:X579 W583:X588 W592:X596 W600:X601 W605:X606 W611:Y619 Y628 Y636 Y643:Y650 Y663 Y670 M316:M317 M321:M322 M326:M333 M336:M343 M346:M353 M357:M359 M363:M364 M368:M369 W469:AC469 M576:M579 M583:M588 M592:M596 M600:M601 M611:M619 M605:M606 P38:P40 S38:S40 V38:V40 W40:X40 W41:Y41 P206:P209 S206:S209 V206:V209 W209:X209 P382:P394 V395:Y395 N9:P9 Q9:V9 V68:Y72 W489:Y490 W527:X527 P511:P514 V520:X521 S68:S72 V376:X378 S382:S394 V382:X394 V402:X406 V411:V415 V433:X440 V445:X453 V457:X459 S463:S468 V463:AC468 S511:S514 V511:X514 S518:S526 S570:S571 V570:X571 W200:Y201" unlockedFormula="1"/>
    <ignoredError sqref="W379 Y580 Y323 X379:Y379 P450:P452 Q395:R395 P490 P489:V489 Q490:V490 P493:P497 S493:S497 V493:V497 Y498 P499:S499 P500:S500 P101:S107" formula="1"/>
    <ignoredError sqref="P177 Q177:V177 P449 P453 S449 P527:P528 S528 S395 P395 S527 V527" formula="1" unlockedFormula="1"/>
    <ignoredError sqref="X318:X320 W328:AC330 W338:AC340 X365:X367 U449 T449 W602:X604 AA318:AC320 Z365:AA367 AB366:AC367 Z602:AC604" formulaRange="1" unlockedFormula="1"/>
    <ignoredError sqref="Q449 R449 N443:U443 P120:P121 S120:V120"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BH840"/>
  <sheetViews>
    <sheetView zoomScale="80" zoomScaleNormal="80" workbookViewId="0">
      <pane xSplit="7" ySplit="11" topLeftCell="H12" activePane="bottomRight" state="frozen"/>
      <selection activeCell="W396" sqref="W396:X399"/>
      <selection pane="topRight" activeCell="W396" sqref="W396:X399"/>
      <selection pane="bottomLeft" activeCell="W396" sqref="W396:X399"/>
      <selection pane="bottomRight" activeCell="O5" sqref="O5"/>
    </sheetView>
  </sheetViews>
  <sheetFormatPr defaultRowHeight="17.100000000000001" customHeight="1" x14ac:dyDescent="0.25"/>
  <cols>
    <col min="1" max="2" width="4.7109375" style="2" customWidth="1"/>
    <col min="3" max="3" width="6.7109375" style="2" customWidth="1"/>
    <col min="4" max="4" width="7.7109375" style="3" customWidth="1"/>
    <col min="5" max="5" width="4.7109375" style="3" customWidth="1"/>
    <col min="6" max="6" width="30.7109375" style="4" customWidth="1"/>
    <col min="7" max="7" width="3.7109375" style="4" customWidth="1"/>
    <col min="8" max="8" width="4.42578125" style="138" customWidth="1"/>
    <col min="9" max="9" width="3.7109375" style="97" customWidth="1"/>
    <col min="10" max="21" width="10.7109375" style="6" customWidth="1"/>
    <col min="22" max="23" width="10.7109375" style="339" customWidth="1"/>
    <col min="24" max="24" width="10.7109375" style="6" customWidth="1"/>
    <col min="25" max="25" width="10.7109375" style="7" customWidth="1"/>
    <col min="26" max="29" width="10.7109375" style="3" customWidth="1"/>
    <col min="30" max="30" width="8.7109375" style="3" customWidth="1"/>
    <col min="31" max="33" width="9.7109375" style="8" customWidth="1"/>
    <col min="34" max="34" width="9.7109375" style="7" customWidth="1"/>
    <col min="35" max="35" width="9.7109375" style="3" customWidth="1"/>
    <col min="36" max="36" width="8.7109375" style="117" customWidth="1"/>
    <col min="37" max="39" width="9.7109375" style="8" customWidth="1"/>
    <col min="40" max="40" width="9.7109375" style="7" customWidth="1"/>
    <col min="41" max="41" width="9.7109375" style="3" customWidth="1"/>
    <col min="42" max="42" width="8.7109375" style="117" customWidth="1"/>
    <col min="43" max="45" width="9.7109375" style="8" customWidth="1"/>
    <col min="46" max="46" width="9.7109375" style="7" customWidth="1"/>
    <col min="47" max="47" width="9.7109375" style="3" customWidth="1"/>
    <col min="48" max="48" width="8.7109375" style="117" customWidth="1"/>
    <col min="49" max="51" width="9.7109375" style="8" customWidth="1"/>
    <col min="52" max="52" width="9.7109375" style="7" customWidth="1"/>
    <col min="53" max="53" width="9.7109375" style="3" customWidth="1"/>
    <col min="54" max="16384" width="9.140625" style="3"/>
  </cols>
  <sheetData>
    <row r="1" spans="1:53" ht="17.100000000000001" customHeight="1" x14ac:dyDescent="0.25">
      <c r="A1" s="1" t="s">
        <v>363</v>
      </c>
      <c r="J1" s="5" t="s">
        <v>883</v>
      </c>
      <c r="V1" s="6"/>
      <c r="W1" s="6"/>
    </row>
    <row r="2" spans="1:53" ht="17.100000000000001" customHeight="1" x14ac:dyDescent="0.25">
      <c r="A2" s="1" t="str">
        <f>'STUDY VILLAGES'!U7</f>
        <v>KAMPOT PROVINCE</v>
      </c>
      <c r="J2" s="5"/>
      <c r="V2" s="6"/>
      <c r="W2" s="6"/>
    </row>
    <row r="3" spans="1:53" ht="17.100000000000001" customHeight="1" x14ac:dyDescent="0.25">
      <c r="A3" s="1" t="str">
        <f>'STUDY VILLAGES'!U8</f>
        <v>BANTEAY MEAS DISTRICT</v>
      </c>
      <c r="J3" s="268" t="s">
        <v>555</v>
      </c>
      <c r="K3" s="95"/>
      <c r="L3" s="267" t="str">
        <f>'STUDY VILLAGES'!B11</f>
        <v>SK KHANG LECH</v>
      </c>
      <c r="M3" s="267"/>
      <c r="V3" s="6"/>
      <c r="W3" s="6"/>
    </row>
    <row r="4" spans="1:53" ht="12.75" x14ac:dyDescent="0.25">
      <c r="A4" s="3"/>
      <c r="B4" s="3"/>
      <c r="C4" s="3"/>
      <c r="F4" s="3"/>
      <c r="G4" s="3"/>
      <c r="H4" s="213"/>
      <c r="J4" s="3"/>
      <c r="K4" s="3"/>
      <c r="L4" s="3"/>
      <c r="M4" s="3"/>
      <c r="N4" s="3"/>
      <c r="O4" s="3"/>
      <c r="P4" s="3"/>
      <c r="V4" s="6"/>
      <c r="W4" s="6"/>
    </row>
    <row r="5" spans="1:53" ht="21" x14ac:dyDescent="0.25">
      <c r="A5" s="1" t="s">
        <v>743</v>
      </c>
      <c r="J5" s="9" t="s">
        <v>1</v>
      </c>
      <c r="K5" s="10"/>
      <c r="L5" s="653"/>
      <c r="M5" s="397"/>
      <c r="N5" s="3"/>
      <c r="O5" s="519" t="s">
        <v>1069</v>
      </c>
      <c r="P5" s="3"/>
      <c r="V5" s="6"/>
      <c r="W5" s="6"/>
    </row>
    <row r="6" spans="1:53" ht="21" customHeight="1" x14ac:dyDescent="0.25">
      <c r="A6" s="444" t="s">
        <v>618</v>
      </c>
      <c r="J6" s="11" t="s">
        <v>2</v>
      </c>
      <c r="K6" s="10"/>
      <c r="L6" s="1379"/>
      <c r="M6" s="1379"/>
      <c r="N6" s="3"/>
      <c r="O6" s="3"/>
      <c r="P6" s="3"/>
      <c r="V6" s="6"/>
      <c r="W6" s="6"/>
    </row>
    <row r="7" spans="1:53" ht="9.9499999999999993" customHeight="1" x14ac:dyDescent="0.25">
      <c r="A7" s="12"/>
      <c r="B7" s="13"/>
      <c r="C7" s="14"/>
      <c r="D7" s="15"/>
      <c r="E7" s="16"/>
      <c r="F7" s="16"/>
      <c r="G7" s="16"/>
      <c r="H7" s="214"/>
      <c r="I7" s="16"/>
      <c r="V7" s="6"/>
      <c r="W7" s="6"/>
    </row>
    <row r="8" spans="1:53" ht="17.100000000000001" customHeight="1" x14ac:dyDescent="0.25">
      <c r="D8" s="2"/>
      <c r="E8" s="2"/>
      <c r="F8" s="21"/>
      <c r="G8" s="21"/>
      <c r="H8" s="12"/>
      <c r="I8" s="138"/>
      <c r="J8" s="1384" t="s">
        <v>541</v>
      </c>
      <c r="K8" s="1385"/>
      <c r="L8" s="1385"/>
      <c r="M8" s="1386"/>
      <c r="N8" s="1384" t="s">
        <v>364</v>
      </c>
      <c r="O8" s="1385"/>
      <c r="P8" s="1386"/>
      <c r="Q8" s="1384" t="s">
        <v>365</v>
      </c>
      <c r="R8" s="1385"/>
      <c r="S8" s="1386"/>
      <c r="T8" s="1384" t="s">
        <v>366</v>
      </c>
      <c r="U8" s="1385"/>
      <c r="V8" s="1385"/>
      <c r="W8" s="1396" t="s">
        <v>4</v>
      </c>
      <c r="X8" s="1397"/>
      <c r="Y8" s="1397"/>
      <c r="AE8" s="1383" t="s">
        <v>731</v>
      </c>
      <c r="AF8" s="1383"/>
      <c r="AG8" s="1383"/>
      <c r="AH8" s="1383"/>
      <c r="AI8" s="1383"/>
      <c r="AJ8" s="1383"/>
      <c r="AK8" s="1383"/>
      <c r="AL8" s="1383"/>
      <c r="AM8" s="1383"/>
      <c r="AN8" s="1383"/>
      <c r="AO8" s="1383"/>
      <c r="AP8" s="3"/>
      <c r="AV8" s="3"/>
    </row>
    <row r="9" spans="1:53" ht="17.100000000000001" customHeight="1" x14ac:dyDescent="0.25">
      <c r="D9" s="2"/>
      <c r="E9" s="2"/>
      <c r="F9" s="21"/>
      <c r="G9" s="21"/>
      <c r="H9" s="12"/>
      <c r="I9" s="138"/>
      <c r="J9" s="1384" t="s">
        <v>542</v>
      </c>
      <c r="K9" s="1385"/>
      <c r="L9" s="1385"/>
      <c r="M9" s="1386"/>
      <c r="N9" s="1387" t="str">
        <f>'STUDY VILLAGES'!C11</f>
        <v>Chamlang Chrey</v>
      </c>
      <c r="O9" s="1388"/>
      <c r="P9" s="1389"/>
      <c r="Q9" s="1387" t="str">
        <f>'STUDY VILLAGES'!F11</f>
        <v>Prey Ta Prit</v>
      </c>
      <c r="R9" s="1388"/>
      <c r="S9" s="1389"/>
      <c r="T9" s="1387">
        <f>'STUDY VILLAGES'!I11</f>
        <v>0</v>
      </c>
      <c r="U9" s="1388"/>
      <c r="V9" s="1389"/>
      <c r="W9" s="1396"/>
      <c r="X9" s="1397"/>
      <c r="Y9" s="1397"/>
      <c r="AB9" s="513" t="s">
        <v>900</v>
      </c>
      <c r="AC9" s="514">
        <f>SUM(AA10:AC10)</f>
        <v>2</v>
      </c>
    </row>
    <row r="10" spans="1:53" ht="17.100000000000001" customHeight="1" x14ac:dyDescent="0.25">
      <c r="A10" s="21"/>
      <c r="B10" s="21"/>
      <c r="C10" s="21"/>
      <c r="D10" s="4"/>
      <c r="E10" s="4"/>
      <c r="G10" s="22"/>
      <c r="H10" s="166"/>
      <c r="I10" s="208"/>
      <c r="J10" s="334" t="s">
        <v>733</v>
      </c>
      <c r="K10" s="334" t="s">
        <v>734</v>
      </c>
      <c r="L10" s="334" t="s">
        <v>657</v>
      </c>
      <c r="M10" s="334" t="s">
        <v>320</v>
      </c>
      <c r="N10" s="334" t="s">
        <v>735</v>
      </c>
      <c r="O10" s="334" t="s">
        <v>657</v>
      </c>
      <c r="P10" s="334" t="s">
        <v>320</v>
      </c>
      <c r="Q10" s="334" t="s">
        <v>735</v>
      </c>
      <c r="R10" s="334" t="s">
        <v>657</v>
      </c>
      <c r="S10" s="334" t="s">
        <v>320</v>
      </c>
      <c r="T10" s="334" t="s">
        <v>735</v>
      </c>
      <c r="U10" s="334" t="s">
        <v>657</v>
      </c>
      <c r="V10" s="544" t="s">
        <v>320</v>
      </c>
      <c r="W10" s="375" t="s">
        <v>735</v>
      </c>
      <c r="X10" s="335" t="s">
        <v>657</v>
      </c>
      <c r="Y10" s="410" t="s">
        <v>4</v>
      </c>
      <c r="AA10" s="2">
        <f>IF(P20&gt;0,1,0)</f>
        <v>1</v>
      </c>
      <c r="AB10" s="2">
        <f>IF(S20&gt;0,1,0)</f>
        <v>1</v>
      </c>
      <c r="AC10" s="2">
        <f>IF(V20&gt;0,1,0)</f>
        <v>0</v>
      </c>
      <c r="AE10" s="1400" t="s">
        <v>733</v>
      </c>
      <c r="AF10" s="1401"/>
      <c r="AG10" s="1401"/>
      <c r="AH10" s="1401"/>
      <c r="AI10" s="1402"/>
      <c r="AK10" s="1390" t="s">
        <v>734</v>
      </c>
      <c r="AL10" s="1391"/>
      <c r="AM10" s="1391"/>
      <c r="AN10" s="1391"/>
      <c r="AO10" s="1392"/>
      <c r="AQ10" s="1380" t="s">
        <v>732</v>
      </c>
      <c r="AR10" s="1381"/>
      <c r="AS10" s="1381"/>
      <c r="AT10" s="1381"/>
      <c r="AU10" s="1382"/>
      <c r="AW10" s="1393" t="s">
        <v>556</v>
      </c>
      <c r="AX10" s="1394"/>
      <c r="AY10" s="1394"/>
      <c r="AZ10" s="1394"/>
      <c r="BA10" s="1395"/>
    </row>
    <row r="11" spans="1:53" s="32" customFormat="1" ht="17.100000000000001" customHeight="1" thickBot="1" x14ac:dyDescent="0.3">
      <c r="A11" s="24">
        <v>0</v>
      </c>
      <c r="B11" s="25" t="s">
        <v>3</v>
      </c>
      <c r="C11" s="26"/>
      <c r="D11" s="27"/>
      <c r="E11" s="27"/>
      <c r="F11" s="27"/>
      <c r="G11" s="28"/>
      <c r="H11" s="215"/>
      <c r="I11" s="228"/>
      <c r="J11" s="29"/>
      <c r="K11" s="29"/>
      <c r="L11" s="29"/>
      <c r="M11" s="29"/>
      <c r="N11" s="29"/>
      <c r="O11" s="29"/>
      <c r="P11" s="29"/>
      <c r="Q11" s="29"/>
      <c r="R11" s="29"/>
      <c r="S11" s="29"/>
      <c r="T11" s="29"/>
      <c r="U11" s="29"/>
      <c r="V11" s="354"/>
      <c r="W11" s="376"/>
      <c r="X11" s="29"/>
      <c r="Y11" s="30"/>
      <c r="Z11" s="31" t="s">
        <v>5</v>
      </c>
      <c r="AA11" s="31" t="s">
        <v>181</v>
      </c>
      <c r="AB11" s="31" t="s">
        <v>182</v>
      </c>
      <c r="AC11" s="31" t="s">
        <v>6</v>
      </c>
      <c r="AE11" s="33" t="s">
        <v>181</v>
      </c>
      <c r="AF11" s="33" t="s">
        <v>182</v>
      </c>
      <c r="AG11" s="33" t="s">
        <v>6</v>
      </c>
      <c r="AH11" s="33" t="s">
        <v>4</v>
      </c>
      <c r="AI11" s="34" t="s">
        <v>5</v>
      </c>
      <c r="AJ11" s="406"/>
      <c r="AK11" s="36" t="s">
        <v>181</v>
      </c>
      <c r="AL11" s="36" t="s">
        <v>182</v>
      </c>
      <c r="AM11" s="36" t="s">
        <v>6</v>
      </c>
      <c r="AN11" s="36" t="s">
        <v>4</v>
      </c>
      <c r="AO11" s="37" t="s">
        <v>5</v>
      </c>
      <c r="AP11" s="406"/>
      <c r="AQ11" s="398" t="s">
        <v>181</v>
      </c>
      <c r="AR11" s="398" t="s">
        <v>182</v>
      </c>
      <c r="AS11" s="398" t="s">
        <v>6</v>
      </c>
      <c r="AT11" s="398" t="s">
        <v>4</v>
      </c>
      <c r="AU11" s="399" t="s">
        <v>5</v>
      </c>
      <c r="AV11" s="406"/>
      <c r="AW11" s="400" t="s">
        <v>181</v>
      </c>
      <c r="AX11" s="400" t="s">
        <v>182</v>
      </c>
      <c r="AY11" s="400" t="s">
        <v>6</v>
      </c>
      <c r="AZ11" s="400" t="s">
        <v>4</v>
      </c>
      <c r="BA11" s="401" t="s">
        <v>5</v>
      </c>
    </row>
    <row r="12" spans="1:53" ht="17.100000000000001" customHeight="1" x14ac:dyDescent="0.25">
      <c r="A12" s="40"/>
      <c r="B12" s="414">
        <v>0</v>
      </c>
      <c r="C12" s="42" t="s">
        <v>367</v>
      </c>
      <c r="D12" s="43"/>
      <c r="E12" s="43"/>
      <c r="F12" s="43"/>
      <c r="G12" s="44"/>
      <c r="H12" s="219"/>
      <c r="I12" s="229"/>
      <c r="J12" s="577"/>
      <c r="K12" s="577"/>
      <c r="L12" s="578"/>
      <c r="M12" s="578"/>
      <c r="N12" s="578"/>
      <c r="O12" s="578"/>
      <c r="P12" s="578"/>
      <c r="Q12" s="578"/>
      <c r="R12" s="578"/>
      <c r="S12" s="578"/>
      <c r="T12" s="578"/>
      <c r="U12" s="578"/>
      <c r="V12" s="579"/>
      <c r="W12" s="580"/>
      <c r="X12" s="578"/>
      <c r="Y12" s="220"/>
      <c r="Z12" s="51"/>
      <c r="AA12" s="51"/>
      <c r="AB12" s="51"/>
      <c r="AC12" s="51"/>
      <c r="AE12" s="52"/>
      <c r="AF12" s="52"/>
      <c r="AG12" s="52"/>
      <c r="AH12" s="53"/>
      <c r="AI12" s="54"/>
      <c r="AK12" s="52"/>
      <c r="AL12" s="52"/>
      <c r="AM12" s="52"/>
      <c r="AN12" s="53"/>
      <c r="AO12" s="54"/>
      <c r="AQ12" s="52"/>
      <c r="AR12" s="52"/>
      <c r="AS12" s="52"/>
      <c r="AT12" s="53"/>
      <c r="AU12" s="54"/>
      <c r="AW12" s="52"/>
      <c r="AX12" s="52"/>
      <c r="AY12" s="52"/>
      <c r="AZ12" s="53"/>
      <c r="BA12" s="54"/>
    </row>
    <row r="13" spans="1:53" ht="17.100000000000001" customHeight="1" x14ac:dyDescent="0.25">
      <c r="A13" s="47"/>
      <c r="B13" s="55"/>
      <c r="C13" s="56" t="s">
        <v>626</v>
      </c>
      <c r="D13" s="57" t="s">
        <v>368</v>
      </c>
      <c r="E13" s="58"/>
      <c r="F13" s="58"/>
      <c r="G13" s="59"/>
      <c r="H13" s="218">
        <v>1</v>
      </c>
      <c r="I13" s="229"/>
      <c r="J13" s="581"/>
      <c r="K13" s="581"/>
      <c r="L13" s="582"/>
      <c r="M13" s="17">
        <f>SUM(J13:L13)</f>
        <v>0</v>
      </c>
      <c r="N13" s="111"/>
      <c r="O13" s="111"/>
      <c r="P13" s="111"/>
      <c r="Q13" s="111"/>
      <c r="R13" s="111"/>
      <c r="S13" s="111"/>
      <c r="T13" s="111"/>
      <c r="U13" s="111"/>
      <c r="V13" s="358"/>
      <c r="W13" s="391">
        <f>J13+K13+N13+Q13+T13</f>
        <v>0</v>
      </c>
      <c r="X13" s="17">
        <f>L13+O13+R13+U13</f>
        <v>0</v>
      </c>
      <c r="Y13" s="18">
        <f>SUM(W13:X13)</f>
        <v>0</v>
      </c>
      <c r="Z13" s="19">
        <f>IF(Y$15=0,0,Y13/Y$15)</f>
        <v>0</v>
      </c>
      <c r="AA13" s="19"/>
      <c r="AB13" s="19"/>
      <c r="AC13" s="20"/>
      <c r="AE13" s="17"/>
      <c r="AF13" s="17"/>
      <c r="AG13" s="17"/>
      <c r="AH13" s="18">
        <f>J13</f>
        <v>0</v>
      </c>
      <c r="AI13" s="19">
        <f>IF(AH$15=0,0,AH13/AH$15)</f>
        <v>0</v>
      </c>
      <c r="AK13" s="17"/>
      <c r="AL13" s="17"/>
      <c r="AM13" s="17"/>
      <c r="AN13" s="18">
        <f>K13</f>
        <v>0</v>
      </c>
      <c r="AO13" s="19">
        <f>IF(AN$15=0,0,AN13/AN$15)</f>
        <v>0</v>
      </c>
      <c r="AQ13" s="17"/>
      <c r="AR13" s="17"/>
      <c r="AS13" s="17"/>
      <c r="AT13" s="18">
        <f>W13</f>
        <v>0</v>
      </c>
      <c r="AU13" s="19">
        <f>IF(AT$15=0,0,AT13/AT$15)</f>
        <v>0</v>
      </c>
      <c r="AW13" s="17"/>
      <c r="AX13" s="17"/>
      <c r="AY13" s="17"/>
      <c r="AZ13" s="18">
        <f>X13</f>
        <v>0</v>
      </c>
      <c r="BA13" s="19">
        <f>IF(AZ$15=0,0,AZ13/AZ$15)</f>
        <v>0</v>
      </c>
    </row>
    <row r="14" spans="1:53" ht="17.100000000000001" customHeight="1" x14ac:dyDescent="0.25">
      <c r="A14" s="47"/>
      <c r="B14" s="55"/>
      <c r="C14" s="56" t="s">
        <v>627</v>
      </c>
      <c r="D14" s="57" t="s">
        <v>369</v>
      </c>
      <c r="E14" s="58"/>
      <c r="F14" s="58"/>
      <c r="G14" s="59"/>
      <c r="H14" s="218">
        <v>1</v>
      </c>
      <c r="I14" s="229"/>
      <c r="J14" s="583"/>
      <c r="K14" s="583"/>
      <c r="L14" s="584"/>
      <c r="M14" s="17">
        <f>SUM(J14:L14)</f>
        <v>0</v>
      </c>
      <c r="N14" s="111"/>
      <c r="O14" s="111"/>
      <c r="P14" s="111"/>
      <c r="Q14" s="111"/>
      <c r="R14" s="111"/>
      <c r="S14" s="111"/>
      <c r="T14" s="111"/>
      <c r="U14" s="111"/>
      <c r="V14" s="358"/>
      <c r="W14" s="391">
        <f>J14+K14+N14+Q14+T14</f>
        <v>0</v>
      </c>
      <c r="X14" s="17">
        <f>L14+O14+R14+U14</f>
        <v>0</v>
      </c>
      <c r="Y14" s="18">
        <f>SUM(W14:X14)</f>
        <v>0</v>
      </c>
      <c r="Z14" s="19">
        <f>IF(Y$15=0,0,Y14/Y$15)</f>
        <v>0</v>
      </c>
      <c r="AA14" s="19"/>
      <c r="AB14" s="19"/>
      <c r="AC14" s="20"/>
      <c r="AE14" s="17"/>
      <c r="AF14" s="17"/>
      <c r="AG14" s="17"/>
      <c r="AH14" s="18">
        <f>J14</f>
        <v>0</v>
      </c>
      <c r="AI14" s="19">
        <f>IF(AH$15=0,0,AH14/AH$15)</f>
        <v>0</v>
      </c>
      <c r="AK14" s="17"/>
      <c r="AL14" s="17"/>
      <c r="AM14" s="17"/>
      <c r="AN14" s="18">
        <f>K14</f>
        <v>0</v>
      </c>
      <c r="AO14" s="19">
        <f>IF(AN$15=0,0,AN14/AN$15)</f>
        <v>0</v>
      </c>
      <c r="AQ14" s="17"/>
      <c r="AR14" s="17"/>
      <c r="AS14" s="17"/>
      <c r="AT14" s="18">
        <f>W14</f>
        <v>0</v>
      </c>
      <c r="AU14" s="19">
        <f>IF(AT$15=0,0,AT14/AT$15)</f>
        <v>0</v>
      </c>
      <c r="AW14" s="17"/>
      <c r="AX14" s="17"/>
      <c r="AY14" s="17"/>
      <c r="AZ14" s="18">
        <f>X14</f>
        <v>0</v>
      </c>
      <c r="BA14" s="19">
        <f>IF(AZ$15=0,0,AZ14/AZ$15)</f>
        <v>0</v>
      </c>
    </row>
    <row r="15" spans="1:53" ht="17.100000000000001" customHeight="1" x14ac:dyDescent="0.25">
      <c r="A15" s="47"/>
      <c r="B15" s="47"/>
      <c r="C15" s="252"/>
      <c r="D15" s="62"/>
      <c r="E15" s="62"/>
      <c r="F15" s="62"/>
      <c r="G15" s="63"/>
      <c r="H15" s="216"/>
      <c r="I15" s="229"/>
      <c r="J15" s="64">
        <f>SUM(J13:J14)</f>
        <v>0</v>
      </c>
      <c r="K15" s="64">
        <f t="shared" ref="K15:M15" si="0">SUM(K13:K14)</f>
        <v>0</v>
      </c>
      <c r="L15" s="64">
        <f t="shared" si="0"/>
        <v>0</v>
      </c>
      <c r="M15" s="64">
        <f t="shared" si="0"/>
        <v>0</v>
      </c>
      <c r="N15" s="64"/>
      <c r="O15" s="64"/>
      <c r="P15" s="64"/>
      <c r="Q15" s="81"/>
      <c r="R15" s="81"/>
      <c r="S15" s="81"/>
      <c r="T15" s="81"/>
      <c r="U15" s="81"/>
      <c r="V15" s="356"/>
      <c r="W15" s="381">
        <f>SUM(W13:W14)</f>
        <v>0</v>
      </c>
      <c r="X15" s="82">
        <f t="shared" ref="X15:Y15" si="1">SUM(X13:X14)</f>
        <v>0</v>
      </c>
      <c r="Y15" s="82">
        <f t="shared" si="1"/>
        <v>0</v>
      </c>
      <c r="Z15" s="205">
        <f>IF(Y$15=0,0,Y15/Y$15)</f>
        <v>0</v>
      </c>
      <c r="AA15" s="205"/>
      <c r="AB15" s="205"/>
      <c r="AC15" s="83"/>
      <c r="AE15" s="67"/>
      <c r="AF15" s="67"/>
      <c r="AG15" s="67"/>
      <c r="AH15" s="65">
        <f>SUM(AH13:AH14)</f>
        <v>0</v>
      </c>
      <c r="AI15" s="66">
        <f>IF(AH$15=0,0,AH15/AH$15)</f>
        <v>0</v>
      </c>
      <c r="AK15" s="67"/>
      <c r="AL15" s="67"/>
      <c r="AM15" s="67"/>
      <c r="AN15" s="65">
        <f>SUM(AN13:AN14)</f>
        <v>0</v>
      </c>
      <c r="AO15" s="66">
        <f>IF(AN$15=0,0,AN15/AN$15)</f>
        <v>0</v>
      </c>
      <c r="AQ15" s="67"/>
      <c r="AR15" s="67"/>
      <c r="AS15" s="67"/>
      <c r="AT15" s="65">
        <f>SUM(AT13:AT14)</f>
        <v>0</v>
      </c>
      <c r="AU15" s="66">
        <f>IF(AT$15=0,0,AT15/AT$15)</f>
        <v>0</v>
      </c>
      <c r="AW15" s="67"/>
      <c r="AX15" s="67"/>
      <c r="AY15" s="67"/>
      <c r="AZ15" s="65">
        <f>SUM(AZ13:AZ14)</f>
        <v>0</v>
      </c>
      <c r="BA15" s="66">
        <f>IF(AZ$15=0,0,AZ15/AZ$15)</f>
        <v>0</v>
      </c>
    </row>
    <row r="16" spans="1:53" s="117" customFormat="1" ht="17.100000000000001" customHeight="1" x14ac:dyDescent="0.25">
      <c r="A16" s="186"/>
      <c r="B16" s="253"/>
      <c r="C16" s="254"/>
      <c r="D16" s="255"/>
      <c r="E16" s="93"/>
      <c r="F16" s="93"/>
      <c r="G16" s="209"/>
      <c r="H16" s="540"/>
      <c r="I16" s="12"/>
      <c r="J16" s="198"/>
      <c r="K16" s="585"/>
      <c r="L16" s="17"/>
      <c r="M16" s="17"/>
      <c r="N16" s="17"/>
      <c r="O16" s="17"/>
      <c r="P16" s="17"/>
      <c r="Q16" s="17"/>
      <c r="R16" s="17"/>
      <c r="S16" s="17"/>
      <c r="T16" s="17"/>
      <c r="U16" s="17"/>
      <c r="V16" s="359"/>
      <c r="W16" s="395">
        <f>IF($Y$15=0,0,W15/$Y$15)</f>
        <v>0</v>
      </c>
      <c r="X16" s="91">
        <f>IF($Y$15=0,0,X15/$Y$15)</f>
        <v>0</v>
      </c>
      <c r="Y16" s="201">
        <f>IF($Y$15=0,0,Y15/$Y$15)</f>
        <v>0</v>
      </c>
      <c r="Z16" s="201"/>
      <c r="AA16" s="201"/>
      <c r="AB16" s="201"/>
      <c r="AC16" s="84"/>
      <c r="AE16" s="256"/>
      <c r="AF16" s="256"/>
      <c r="AG16" s="256"/>
      <c r="AH16" s="257"/>
      <c r="AI16" s="91"/>
      <c r="AK16" s="256"/>
      <c r="AL16" s="256"/>
      <c r="AM16" s="256"/>
      <c r="AN16" s="257"/>
      <c r="AO16" s="91"/>
      <c r="AQ16" s="256"/>
      <c r="AR16" s="256"/>
      <c r="AS16" s="256"/>
      <c r="AT16" s="257"/>
      <c r="AU16" s="91"/>
      <c r="AW16" s="256"/>
      <c r="AX16" s="256"/>
      <c r="AY16" s="256"/>
      <c r="AZ16" s="257"/>
      <c r="BA16" s="91"/>
    </row>
    <row r="17" spans="1:60" ht="17.100000000000001" customHeight="1" x14ac:dyDescent="0.25">
      <c r="A17" s="40"/>
      <c r="B17" s="41">
        <v>0.1</v>
      </c>
      <c r="C17" s="42" t="s">
        <v>628</v>
      </c>
      <c r="D17" s="43"/>
      <c r="E17" s="43"/>
      <c r="F17" s="43"/>
      <c r="G17" s="44"/>
      <c r="H17" s="219"/>
      <c r="I17" s="229"/>
      <c r="J17" s="586"/>
      <c r="K17" s="586"/>
      <c r="L17" s="71"/>
      <c r="M17" s="71"/>
      <c r="N17" s="71"/>
      <c r="O17" s="71"/>
      <c r="P17" s="71"/>
      <c r="Q17" s="71"/>
      <c r="R17" s="71"/>
      <c r="S17" s="71"/>
      <c r="T17" s="71"/>
      <c r="U17" s="71"/>
      <c r="V17" s="355"/>
      <c r="W17" s="377"/>
      <c r="X17" s="71"/>
      <c r="Y17" s="72"/>
      <c r="Z17" s="73"/>
      <c r="AA17" s="73"/>
      <c r="AB17" s="73"/>
      <c r="AC17" s="73"/>
      <c r="AE17" s="52"/>
      <c r="AF17" s="52"/>
      <c r="AG17" s="52"/>
      <c r="AH17" s="53"/>
      <c r="AI17" s="54"/>
      <c r="AK17" s="52"/>
      <c r="AL17" s="52"/>
      <c r="AM17" s="52"/>
      <c r="AN17" s="53"/>
      <c r="AO17" s="54"/>
      <c r="AQ17" s="52"/>
      <c r="AR17" s="52"/>
      <c r="AS17" s="52"/>
      <c r="AT17" s="53"/>
      <c r="AU17" s="54"/>
      <c r="AW17" s="52"/>
      <c r="AX17" s="52"/>
      <c r="AY17" s="52"/>
      <c r="AZ17" s="53"/>
      <c r="BA17" s="54"/>
    </row>
    <row r="18" spans="1:60" ht="17.100000000000001" customHeight="1" x14ac:dyDescent="0.25">
      <c r="A18" s="47"/>
      <c r="B18" s="55"/>
      <c r="C18" s="56" t="s">
        <v>371</v>
      </c>
      <c r="D18" s="120" t="s">
        <v>629</v>
      </c>
      <c r="E18" s="58"/>
      <c r="F18" s="58"/>
      <c r="G18" s="59"/>
      <c r="H18" s="216"/>
      <c r="I18" s="229"/>
      <c r="J18" s="174"/>
      <c r="K18" s="174"/>
      <c r="L18" s="111"/>
      <c r="M18" s="111"/>
      <c r="N18" s="60"/>
      <c r="O18" s="60">
        <v>2</v>
      </c>
      <c r="P18" s="17">
        <f>SUM(N18:O18)</f>
        <v>2</v>
      </c>
      <c r="Q18" s="60"/>
      <c r="R18" s="60">
        <v>4</v>
      </c>
      <c r="S18" s="17">
        <f>SUM(Q18:R18)</f>
        <v>4</v>
      </c>
      <c r="T18" s="60"/>
      <c r="U18" s="60"/>
      <c r="V18" s="359">
        <f>SUM(T18:U18)</f>
        <v>0</v>
      </c>
      <c r="W18" s="391">
        <f t="shared" ref="W18:W19" si="2">J18+K18+N18+Q18+T18</f>
        <v>0</v>
      </c>
      <c r="X18" s="17">
        <f t="shared" ref="X18:X19" si="3">L18+O18+R18+U18</f>
        <v>6</v>
      </c>
      <c r="Y18" s="18">
        <f>SUM(W18:X18)</f>
        <v>6</v>
      </c>
      <c r="Z18" s="19">
        <f>IF(Y$20=0,0,Y18/Y$20)</f>
        <v>0.42857142857142855</v>
      </c>
      <c r="AA18" s="19"/>
      <c r="AB18" s="19"/>
      <c r="AC18" s="20"/>
      <c r="AE18" s="17"/>
      <c r="AF18" s="17"/>
      <c r="AG18" s="17"/>
      <c r="AH18" s="18">
        <f>J18</f>
        <v>0</v>
      </c>
      <c r="AI18" s="19">
        <f>IF(AH$15=0,0,AH18/AH$15)</f>
        <v>0</v>
      </c>
      <c r="AK18" s="17"/>
      <c r="AL18" s="17"/>
      <c r="AM18" s="17"/>
      <c r="AN18" s="18">
        <f>K18</f>
        <v>0</v>
      </c>
      <c r="AO18" s="19">
        <f>IF(AN$20=0,0,AN18/AN$20)</f>
        <v>0</v>
      </c>
      <c r="AQ18" s="17"/>
      <c r="AR18" s="17"/>
      <c r="AS18" s="17"/>
      <c r="AT18" s="18">
        <f>W18</f>
        <v>0</v>
      </c>
      <c r="AU18" s="19">
        <f>IF(AT$20=0,0,AT18/AT$20)</f>
        <v>0</v>
      </c>
      <c r="AW18" s="17"/>
      <c r="AX18" s="17"/>
      <c r="AY18" s="17"/>
      <c r="AZ18" s="18">
        <f>X18</f>
        <v>6</v>
      </c>
      <c r="BA18" s="19">
        <f>IF(AZ$20=0,0,AZ18/AZ$20)</f>
        <v>0.6</v>
      </c>
    </row>
    <row r="19" spans="1:60" ht="17.100000000000001" customHeight="1" x14ac:dyDescent="0.25">
      <c r="A19" s="47"/>
      <c r="B19" s="55"/>
      <c r="C19" s="56" t="s">
        <v>372</v>
      </c>
      <c r="D19" s="120" t="s">
        <v>630</v>
      </c>
      <c r="E19" s="58"/>
      <c r="F19" s="58"/>
      <c r="G19" s="59"/>
      <c r="H19" s="216"/>
      <c r="I19" s="229"/>
      <c r="J19" s="174"/>
      <c r="K19" s="174"/>
      <c r="L19" s="111"/>
      <c r="M19" s="111"/>
      <c r="N19" s="61">
        <v>1</v>
      </c>
      <c r="O19" s="61">
        <v>3</v>
      </c>
      <c r="P19" s="17">
        <f>SUM(N19:O19)</f>
        <v>4</v>
      </c>
      <c r="Q19" s="61">
        <v>3</v>
      </c>
      <c r="R19" s="61">
        <v>1</v>
      </c>
      <c r="S19" s="17">
        <f>SUM(Q19:R19)</f>
        <v>4</v>
      </c>
      <c r="T19" s="61"/>
      <c r="U19" s="61"/>
      <c r="V19" s="359">
        <f>SUM(T19:U19)</f>
        <v>0</v>
      </c>
      <c r="W19" s="391">
        <f t="shared" si="2"/>
        <v>4</v>
      </c>
      <c r="X19" s="17">
        <f t="shared" si="3"/>
        <v>4</v>
      </c>
      <c r="Y19" s="18">
        <f>SUM(W19:X19)</f>
        <v>8</v>
      </c>
      <c r="Z19" s="19">
        <f t="shared" ref="Z19:Z20" si="4">IF(Y$20=0,0,Y19/Y$20)</f>
        <v>0.5714285714285714</v>
      </c>
      <c r="AA19" s="19"/>
      <c r="AB19" s="19"/>
      <c r="AC19" s="20"/>
      <c r="AE19" s="17"/>
      <c r="AF19" s="17"/>
      <c r="AG19" s="17"/>
      <c r="AH19" s="18">
        <f>J19</f>
        <v>0</v>
      </c>
      <c r="AI19" s="19">
        <f>IF(AH$15=0,0,AH19/AH$15)</f>
        <v>0</v>
      </c>
      <c r="AK19" s="17"/>
      <c r="AL19" s="17"/>
      <c r="AM19" s="17"/>
      <c r="AN19" s="18">
        <f>K19</f>
        <v>0</v>
      </c>
      <c r="AO19" s="19">
        <f t="shared" ref="AO19:AO20" si="5">IF(AN$20=0,0,AN19/AN$20)</f>
        <v>0</v>
      </c>
      <c r="AQ19" s="17"/>
      <c r="AR19" s="17"/>
      <c r="AS19" s="17"/>
      <c r="AT19" s="18">
        <f>W19</f>
        <v>4</v>
      </c>
      <c r="AU19" s="19">
        <f t="shared" ref="AU19:AU20" si="6">IF(AT$20=0,0,AT19/AT$20)</f>
        <v>1</v>
      </c>
      <c r="AW19" s="17"/>
      <c r="AX19" s="17"/>
      <c r="AY19" s="17"/>
      <c r="AZ19" s="18">
        <f>X19</f>
        <v>4</v>
      </c>
      <c r="BA19" s="19">
        <f t="shared" ref="BA19:BA20" si="7">IF(AZ$20=0,0,AZ19/AZ$20)</f>
        <v>0.4</v>
      </c>
    </row>
    <row r="20" spans="1:60" ht="17.100000000000001" customHeight="1" x14ac:dyDescent="0.25">
      <c r="A20" s="47"/>
      <c r="B20" s="47"/>
      <c r="C20" s="252"/>
      <c r="D20" s="62"/>
      <c r="E20" s="62"/>
      <c r="F20" s="62"/>
      <c r="G20" s="63"/>
      <c r="H20" s="216"/>
      <c r="I20" s="229"/>
      <c r="J20" s="64"/>
      <c r="K20" s="64"/>
      <c r="L20" s="64"/>
      <c r="M20" s="64"/>
      <c r="N20" s="64">
        <f>SUM(N18:N19)</f>
        <v>1</v>
      </c>
      <c r="O20" s="64">
        <f t="shared" ref="O20:V20" si="8">SUM(O18:O19)</f>
        <v>5</v>
      </c>
      <c r="P20" s="64">
        <f t="shared" si="8"/>
        <v>6</v>
      </c>
      <c r="Q20" s="64">
        <f t="shared" si="8"/>
        <v>3</v>
      </c>
      <c r="R20" s="64">
        <f t="shared" si="8"/>
        <v>5</v>
      </c>
      <c r="S20" s="64">
        <f t="shared" si="8"/>
        <v>8</v>
      </c>
      <c r="T20" s="64">
        <f t="shared" si="8"/>
        <v>0</v>
      </c>
      <c r="U20" s="64">
        <f t="shared" si="8"/>
        <v>0</v>
      </c>
      <c r="V20" s="64">
        <f t="shared" si="8"/>
        <v>0</v>
      </c>
      <c r="W20" s="381">
        <f>SUM(W18:W19)</f>
        <v>4</v>
      </c>
      <c r="X20" s="82">
        <f t="shared" ref="X20:Y20" si="9">SUM(X18:X19)</f>
        <v>10</v>
      </c>
      <c r="Y20" s="82">
        <f t="shared" si="9"/>
        <v>14</v>
      </c>
      <c r="Z20" s="205">
        <f t="shared" si="4"/>
        <v>1</v>
      </c>
      <c r="AA20" s="205"/>
      <c r="AB20" s="205"/>
      <c r="AC20" s="83"/>
      <c r="AE20" s="67"/>
      <c r="AF20" s="67"/>
      <c r="AG20" s="67"/>
      <c r="AH20" s="65">
        <f>SUM(AH18:AH19)</f>
        <v>0</v>
      </c>
      <c r="AI20" s="66">
        <f>IF(AH$15=0,0,AH20/AH$15)</f>
        <v>0</v>
      </c>
      <c r="AK20" s="67"/>
      <c r="AL20" s="67"/>
      <c r="AM20" s="67"/>
      <c r="AN20" s="65">
        <f>SUM(AN18:AN19)</f>
        <v>0</v>
      </c>
      <c r="AO20" s="66">
        <f t="shared" si="5"/>
        <v>0</v>
      </c>
      <c r="AQ20" s="67"/>
      <c r="AR20" s="67"/>
      <c r="AS20" s="67"/>
      <c r="AT20" s="65">
        <f>SUM(AT18:AT19)</f>
        <v>4</v>
      </c>
      <c r="AU20" s="66">
        <f t="shared" si="6"/>
        <v>1</v>
      </c>
      <c r="AW20" s="67"/>
      <c r="AX20" s="67"/>
      <c r="AY20" s="67"/>
      <c r="AZ20" s="65">
        <f>SUM(AZ18:AZ19)</f>
        <v>10</v>
      </c>
      <c r="BA20" s="66">
        <f t="shared" si="7"/>
        <v>1</v>
      </c>
    </row>
    <row r="21" spans="1:60" s="117" customFormat="1" ht="17.100000000000001" customHeight="1" x14ac:dyDescent="0.25">
      <c r="A21" s="186"/>
      <c r="B21" s="253"/>
      <c r="C21" s="254"/>
      <c r="D21" s="255"/>
      <c r="E21" s="93"/>
      <c r="F21" s="93"/>
      <c r="G21" s="209"/>
      <c r="H21" s="540"/>
      <c r="I21" s="12"/>
      <c r="J21" s="198"/>
      <c r="K21" s="585"/>
      <c r="L21" s="17"/>
      <c r="M21" s="17"/>
      <c r="N21" s="17"/>
      <c r="O21" s="17"/>
      <c r="P21" s="17"/>
      <c r="Q21" s="17"/>
      <c r="R21" s="17"/>
      <c r="S21" s="17"/>
      <c r="T21" s="17"/>
      <c r="U21" s="17"/>
      <c r="V21" s="359"/>
      <c r="W21" s="395">
        <f>IF($Y$20=0,0,W20/$Y$20)</f>
        <v>0.2857142857142857</v>
      </c>
      <c r="X21" s="91">
        <f>IF($Y$20=0,0,X20/$Y$20)</f>
        <v>0.7142857142857143</v>
      </c>
      <c r="Y21" s="201">
        <f>IF($Y$20=0,0,Y20/$Y$20)</f>
        <v>1</v>
      </c>
      <c r="Z21" s="201"/>
      <c r="AA21" s="201"/>
      <c r="AB21" s="201"/>
      <c r="AC21" s="84"/>
      <c r="AE21" s="256"/>
      <c r="AF21" s="256"/>
      <c r="AG21" s="256"/>
      <c r="AH21" s="257"/>
      <c r="AI21" s="91"/>
      <c r="AK21" s="256"/>
      <c r="AL21" s="256"/>
      <c r="AM21" s="256"/>
      <c r="AN21" s="257"/>
      <c r="AO21" s="91"/>
      <c r="AQ21" s="256"/>
      <c r="AR21" s="256"/>
      <c r="AS21" s="256"/>
      <c r="AT21" s="257"/>
      <c r="AU21" s="91"/>
      <c r="AW21" s="256"/>
      <c r="AX21" s="256"/>
      <c r="AY21" s="256"/>
      <c r="AZ21" s="257"/>
      <c r="BA21" s="91"/>
      <c r="BC21" s="3"/>
      <c r="BD21" s="3"/>
      <c r="BE21" s="3"/>
      <c r="BF21" s="3"/>
      <c r="BG21" s="3"/>
      <c r="BH21" s="3"/>
    </row>
    <row r="22" spans="1:60" ht="17.100000000000001" customHeight="1" x14ac:dyDescent="0.25">
      <c r="A22" s="68"/>
      <c r="B22" s="41">
        <v>0.2</v>
      </c>
      <c r="C22" s="69" t="s">
        <v>370</v>
      </c>
      <c r="D22" s="50"/>
      <c r="E22" s="70"/>
      <c r="F22" s="70"/>
      <c r="G22" s="70"/>
      <c r="H22" s="119"/>
      <c r="J22" s="71"/>
      <c r="K22" s="71"/>
      <c r="L22" s="71"/>
      <c r="M22" s="71"/>
      <c r="N22" s="71"/>
      <c r="O22" s="71"/>
      <c r="P22" s="71"/>
      <c r="Q22" s="71"/>
      <c r="R22" s="71"/>
      <c r="S22" s="71"/>
      <c r="T22" s="71"/>
      <c r="U22" s="71"/>
      <c r="V22" s="355"/>
      <c r="W22" s="377"/>
      <c r="X22" s="71"/>
      <c r="Y22" s="72"/>
      <c r="Z22" s="73"/>
      <c r="AA22" s="73"/>
      <c r="AB22" s="73"/>
      <c r="AC22" s="73"/>
      <c r="AE22" s="71"/>
      <c r="AF22" s="71"/>
      <c r="AG22" s="71"/>
      <c r="AH22" s="72"/>
      <c r="AI22" s="73"/>
      <c r="AK22" s="71"/>
      <c r="AL22" s="71"/>
      <c r="AM22" s="71"/>
      <c r="AN22" s="72"/>
      <c r="AO22" s="73"/>
      <c r="AQ22" s="71"/>
      <c r="AR22" s="71"/>
      <c r="AS22" s="71"/>
      <c r="AT22" s="72"/>
      <c r="AU22" s="73"/>
      <c r="AW22" s="71"/>
      <c r="AX22" s="71"/>
      <c r="AY22" s="71"/>
      <c r="AZ22" s="72"/>
      <c r="BA22" s="73"/>
    </row>
    <row r="23" spans="1:60" ht="17.100000000000001" customHeight="1" x14ac:dyDescent="0.25">
      <c r="A23" s="40"/>
      <c r="B23" s="40"/>
      <c r="C23" s="74" t="s">
        <v>7</v>
      </c>
      <c r="D23" s="542" t="s">
        <v>9</v>
      </c>
      <c r="E23" s="75"/>
      <c r="F23" s="75"/>
      <c r="G23" s="76"/>
      <c r="H23" s="589">
        <v>5</v>
      </c>
      <c r="I23" s="229"/>
      <c r="J23" s="581"/>
      <c r="K23" s="581"/>
      <c r="L23" s="582"/>
      <c r="M23" s="17">
        <f t="shared" ref="M23:M25" si="10">SUM(J23:L23)</f>
        <v>0</v>
      </c>
      <c r="N23" s="111"/>
      <c r="O23" s="111"/>
      <c r="P23" s="111"/>
      <c r="Q23" s="111"/>
      <c r="R23" s="111"/>
      <c r="S23" s="111"/>
      <c r="T23" s="111"/>
      <c r="U23" s="111"/>
      <c r="V23" s="358"/>
      <c r="W23" s="391">
        <f t="shared" ref="W23:W25" si="11">J23+K23+N23+Q23+T23</f>
        <v>0</v>
      </c>
      <c r="X23" s="17">
        <f t="shared" ref="X23:X25" si="12">L23+O23+R23+U23</f>
        <v>0</v>
      </c>
      <c r="Y23" s="18">
        <f>SUM(W23:X23)</f>
        <v>0</v>
      </c>
      <c r="Z23" s="19">
        <f>IF(Y$26=0,0,Y23/Y$26)</f>
        <v>0</v>
      </c>
      <c r="AA23" s="19"/>
      <c r="AB23" s="19"/>
      <c r="AC23" s="20"/>
      <c r="AE23" s="17"/>
      <c r="AF23" s="17"/>
      <c r="AG23" s="17"/>
      <c r="AH23" s="18">
        <f>J23</f>
        <v>0</v>
      </c>
      <c r="AI23" s="19">
        <f>IF(AH$26=0,0,AH23/AH$26)</f>
        <v>0</v>
      </c>
      <c r="AK23" s="17"/>
      <c r="AL23" s="17"/>
      <c r="AM23" s="17"/>
      <c r="AN23" s="18">
        <f>K23</f>
        <v>0</v>
      </c>
      <c r="AO23" s="19">
        <f>IF(AN$26=0,0,AN23/AN$26)</f>
        <v>0</v>
      </c>
      <c r="AQ23" s="17"/>
      <c r="AR23" s="17"/>
      <c r="AS23" s="17"/>
      <c r="AT23" s="18">
        <f>W23</f>
        <v>0</v>
      </c>
      <c r="AU23" s="19">
        <f>IF(AT$26=0,0,AT23/AT$26)</f>
        <v>0</v>
      </c>
      <c r="AW23" s="17"/>
      <c r="AX23" s="17"/>
      <c r="AY23" s="17"/>
      <c r="AZ23" s="18">
        <f>X23</f>
        <v>0</v>
      </c>
      <c r="BA23" s="19">
        <f>IF(AZ$26=0,0,AZ23/AZ$26)</f>
        <v>0</v>
      </c>
    </row>
    <row r="24" spans="1:60" ht="17.100000000000001" customHeight="1" x14ac:dyDescent="0.25">
      <c r="A24" s="40"/>
      <c r="B24" s="40"/>
      <c r="C24" s="74" t="s">
        <v>8</v>
      </c>
      <c r="D24" s="542" t="s">
        <v>10</v>
      </c>
      <c r="E24" s="75"/>
      <c r="F24" s="75"/>
      <c r="G24" s="76"/>
      <c r="H24" s="211"/>
      <c r="I24" s="229"/>
      <c r="J24" s="583"/>
      <c r="K24" s="583"/>
      <c r="L24" s="584"/>
      <c r="M24" s="17">
        <f t="shared" si="10"/>
        <v>0</v>
      </c>
      <c r="N24" s="111"/>
      <c r="O24" s="111"/>
      <c r="P24" s="111"/>
      <c r="Q24" s="111"/>
      <c r="R24" s="111"/>
      <c r="S24" s="111"/>
      <c r="T24" s="111"/>
      <c r="U24" s="111"/>
      <c r="V24" s="358"/>
      <c r="W24" s="391">
        <f t="shared" si="11"/>
        <v>0</v>
      </c>
      <c r="X24" s="17">
        <f t="shared" si="12"/>
        <v>0</v>
      </c>
      <c r="Y24" s="18">
        <f>SUM(W24:X24)</f>
        <v>0</v>
      </c>
      <c r="Z24" s="19">
        <f t="shared" ref="Z24:Z25" si="13">IF(Y$26=0,0,Y24/Y$26)</f>
        <v>0</v>
      </c>
      <c r="AA24" s="19"/>
      <c r="AB24" s="19"/>
      <c r="AC24" s="20"/>
      <c r="AE24" s="17"/>
      <c r="AF24" s="17"/>
      <c r="AG24" s="17"/>
      <c r="AH24" s="18">
        <f t="shared" ref="AH24:AH25" si="14">J24</f>
        <v>0</v>
      </c>
      <c r="AI24" s="19">
        <f t="shared" ref="AI24:AI26" si="15">IF(AH$26=0,0,AH24/AH$26)</f>
        <v>0</v>
      </c>
      <c r="AK24" s="17"/>
      <c r="AL24" s="17"/>
      <c r="AM24" s="17"/>
      <c r="AN24" s="18">
        <f t="shared" ref="AN24:AN25" si="16">K24</f>
        <v>0</v>
      </c>
      <c r="AO24" s="19">
        <f t="shared" ref="AO24:AO26" si="17">IF(AN$26=0,0,AN24/AN$26)</f>
        <v>0</v>
      </c>
      <c r="AQ24" s="17"/>
      <c r="AR24" s="17"/>
      <c r="AS24" s="17"/>
      <c r="AT24" s="18">
        <f t="shared" ref="AT24:AT25" si="18">W24</f>
        <v>0</v>
      </c>
      <c r="AU24" s="19">
        <f t="shared" ref="AU24:AU26" si="19">IF(AT$26=0,0,AT24/AT$26)</f>
        <v>0</v>
      </c>
      <c r="AW24" s="17"/>
      <c r="AX24" s="17"/>
      <c r="AY24" s="17"/>
      <c r="AZ24" s="18">
        <f t="shared" ref="AZ24:AZ25" si="20">X24</f>
        <v>0</v>
      </c>
      <c r="BA24" s="19">
        <f t="shared" ref="BA24:BA26" si="21">IF(AZ$26=0,0,AZ24/AZ$26)</f>
        <v>0</v>
      </c>
    </row>
    <row r="25" spans="1:60" ht="17.100000000000001" customHeight="1" x14ac:dyDescent="0.25">
      <c r="A25" s="40"/>
      <c r="B25" s="40"/>
      <c r="C25" s="74" t="s">
        <v>531</v>
      </c>
      <c r="D25" s="542" t="s">
        <v>530</v>
      </c>
      <c r="E25" s="75"/>
      <c r="F25" s="75"/>
      <c r="G25" s="76"/>
      <c r="H25" s="211"/>
      <c r="I25" s="229"/>
      <c r="J25" s="581"/>
      <c r="K25" s="581"/>
      <c r="L25" s="582"/>
      <c r="M25" s="17">
        <f t="shared" si="10"/>
        <v>0</v>
      </c>
      <c r="N25" s="111"/>
      <c r="O25" s="111"/>
      <c r="P25" s="111"/>
      <c r="Q25" s="111"/>
      <c r="R25" s="111"/>
      <c r="S25" s="111"/>
      <c r="T25" s="111"/>
      <c r="U25" s="111"/>
      <c r="V25" s="358"/>
      <c r="W25" s="391">
        <f t="shared" si="11"/>
        <v>0</v>
      </c>
      <c r="X25" s="17">
        <f t="shared" si="12"/>
        <v>0</v>
      </c>
      <c r="Y25" s="18">
        <f>SUM(W25:X25)</f>
        <v>0</v>
      </c>
      <c r="Z25" s="19">
        <f t="shared" si="13"/>
        <v>0</v>
      </c>
      <c r="AA25" s="19"/>
      <c r="AB25" s="19"/>
      <c r="AC25" s="20"/>
      <c r="AE25" s="17"/>
      <c r="AF25" s="17"/>
      <c r="AG25" s="17"/>
      <c r="AH25" s="18">
        <f t="shared" si="14"/>
        <v>0</v>
      </c>
      <c r="AI25" s="19">
        <f t="shared" si="15"/>
        <v>0</v>
      </c>
      <c r="AK25" s="17"/>
      <c r="AL25" s="17"/>
      <c r="AM25" s="17"/>
      <c r="AN25" s="18">
        <f t="shared" si="16"/>
        <v>0</v>
      </c>
      <c r="AO25" s="19">
        <f t="shared" si="17"/>
        <v>0</v>
      </c>
      <c r="AQ25" s="17"/>
      <c r="AR25" s="17"/>
      <c r="AS25" s="17"/>
      <c r="AT25" s="18">
        <f t="shared" si="18"/>
        <v>0</v>
      </c>
      <c r="AU25" s="19">
        <f t="shared" si="19"/>
        <v>0</v>
      </c>
      <c r="AW25" s="17"/>
      <c r="AX25" s="17"/>
      <c r="AY25" s="17"/>
      <c r="AZ25" s="18">
        <f t="shared" si="20"/>
        <v>0</v>
      </c>
      <c r="BA25" s="19">
        <f t="shared" si="21"/>
        <v>0</v>
      </c>
    </row>
    <row r="26" spans="1:60" ht="17.100000000000001" customHeight="1" x14ac:dyDescent="0.25">
      <c r="A26" s="40"/>
      <c r="B26" s="40"/>
      <c r="C26" s="77"/>
      <c r="D26" s="78"/>
      <c r="E26" s="78"/>
      <c r="F26" s="78"/>
      <c r="G26" s="79"/>
      <c r="H26" s="211"/>
      <c r="I26" s="230"/>
      <c r="J26" s="80">
        <f>SUM(J23:J25)</f>
        <v>0</v>
      </c>
      <c r="K26" s="80">
        <f t="shared" ref="K26:M26" si="22">SUM(K23:K25)</f>
        <v>0</v>
      </c>
      <c r="L26" s="80">
        <f t="shared" si="22"/>
        <v>0</v>
      </c>
      <c r="M26" s="80">
        <f t="shared" si="22"/>
        <v>0</v>
      </c>
      <c r="N26" s="80"/>
      <c r="O26" s="80"/>
      <c r="P26" s="80"/>
      <c r="Q26" s="81"/>
      <c r="R26" s="81"/>
      <c r="S26" s="81"/>
      <c r="T26" s="81"/>
      <c r="U26" s="81"/>
      <c r="V26" s="356"/>
      <c r="W26" s="381">
        <f>SUM(W23:W25)</f>
        <v>0</v>
      </c>
      <c r="X26" s="82">
        <f t="shared" ref="X26:Y26" si="23">SUM(X23:X25)</f>
        <v>0</v>
      </c>
      <c r="Y26" s="82">
        <f t="shared" si="23"/>
        <v>0</v>
      </c>
      <c r="Z26" s="205">
        <f>IF(Y$26=0,0,Y26/Y$26)</f>
        <v>0</v>
      </c>
      <c r="AA26" s="205"/>
      <c r="AB26" s="205"/>
      <c r="AC26" s="83"/>
      <c r="AE26" s="67"/>
      <c r="AF26" s="67"/>
      <c r="AG26" s="67"/>
      <c r="AH26" s="65">
        <f>SUM(AH23:AH25)</f>
        <v>0</v>
      </c>
      <c r="AI26" s="66">
        <f t="shared" si="15"/>
        <v>0</v>
      </c>
      <c r="AK26" s="67"/>
      <c r="AL26" s="67"/>
      <c r="AM26" s="67"/>
      <c r="AN26" s="65">
        <f>SUM(AN23:AN25)</f>
        <v>0</v>
      </c>
      <c r="AO26" s="66">
        <f t="shared" si="17"/>
        <v>0</v>
      </c>
      <c r="AQ26" s="67"/>
      <c r="AR26" s="67"/>
      <c r="AS26" s="67"/>
      <c r="AT26" s="65">
        <f>SUM(AT23:AT25)</f>
        <v>0</v>
      </c>
      <c r="AU26" s="66">
        <f t="shared" si="19"/>
        <v>0</v>
      </c>
      <c r="AW26" s="67"/>
      <c r="AX26" s="67"/>
      <c r="AY26" s="67"/>
      <c r="AZ26" s="65">
        <f>SUM(AZ23:AZ25)</f>
        <v>0</v>
      </c>
      <c r="BA26" s="66">
        <f t="shared" si="21"/>
        <v>0</v>
      </c>
    </row>
    <row r="27" spans="1:60" s="97" customFormat="1" ht="17.100000000000001" customHeight="1" x14ac:dyDescent="0.25">
      <c r="A27" s="68"/>
      <c r="B27" s="68"/>
      <c r="C27" s="92"/>
      <c r="D27" s="93"/>
      <c r="E27" s="93"/>
      <c r="F27" s="93"/>
      <c r="G27" s="93"/>
      <c r="H27" s="165"/>
      <c r="I27" s="12"/>
      <c r="J27" s="94" t="str">
        <f>IF(J26=J$15,"OK","NOK")</f>
        <v>OK</v>
      </c>
      <c r="K27" s="94" t="str">
        <f t="shared" ref="K27:L27" si="24">IF(K26=K$15,"OK","NOK")</f>
        <v>OK</v>
      </c>
      <c r="L27" s="94" t="str">
        <f t="shared" si="24"/>
        <v>OK</v>
      </c>
      <c r="M27" s="95"/>
      <c r="N27" s="95"/>
      <c r="O27" s="95"/>
      <c r="P27" s="95"/>
      <c r="Q27" s="95"/>
      <c r="R27" s="95"/>
      <c r="S27" s="95"/>
      <c r="T27" s="95"/>
      <c r="U27" s="95"/>
      <c r="V27" s="95"/>
      <c r="W27" s="378"/>
      <c r="X27" s="95"/>
      <c r="Y27" s="96"/>
      <c r="AE27" s="98"/>
      <c r="AF27" s="98"/>
      <c r="AG27" s="98"/>
      <c r="AH27" s="99"/>
      <c r="AI27" s="100"/>
      <c r="AJ27" s="407"/>
      <c r="AK27" s="98"/>
      <c r="AL27" s="98"/>
      <c r="AM27" s="98"/>
      <c r="AN27" s="99"/>
      <c r="AO27" s="100"/>
      <c r="AP27" s="407"/>
      <c r="AQ27" s="98"/>
      <c r="AR27" s="98"/>
      <c r="AS27" s="98"/>
      <c r="AT27" s="99"/>
      <c r="AU27" s="100"/>
      <c r="AV27" s="407"/>
      <c r="AW27" s="98"/>
      <c r="AX27" s="98"/>
      <c r="AY27" s="98"/>
      <c r="AZ27" s="99"/>
      <c r="BA27" s="100"/>
      <c r="BC27" s="3"/>
      <c r="BD27" s="3"/>
      <c r="BE27" s="3"/>
      <c r="BF27" s="3"/>
      <c r="BG27" s="3"/>
      <c r="BH27" s="3"/>
    </row>
    <row r="28" spans="1:60" s="32" customFormat="1" ht="16.5" thickBot="1" x14ac:dyDescent="0.3">
      <c r="A28" s="24" t="s">
        <v>13</v>
      </c>
      <c r="B28" s="25" t="s">
        <v>14</v>
      </c>
      <c r="C28" s="26"/>
      <c r="D28" s="27"/>
      <c r="E28" s="27"/>
      <c r="F28" s="27"/>
      <c r="G28" s="28"/>
      <c r="H28" s="215"/>
      <c r="I28" s="228"/>
      <c r="J28" s="101"/>
      <c r="K28" s="101"/>
      <c r="L28" s="101"/>
      <c r="M28" s="101"/>
      <c r="N28" s="101"/>
      <c r="O28" s="101"/>
      <c r="P28" s="101"/>
      <c r="Q28" s="101"/>
      <c r="R28" s="101"/>
      <c r="S28" s="101"/>
      <c r="T28" s="101"/>
      <c r="U28" s="101"/>
      <c r="V28" s="357"/>
      <c r="W28" s="379"/>
      <c r="X28" s="101"/>
      <c r="Y28" s="30" t="s">
        <v>4</v>
      </c>
      <c r="Z28" s="31" t="s">
        <v>5</v>
      </c>
      <c r="AA28" s="31"/>
      <c r="AB28" s="31"/>
      <c r="AC28" s="31"/>
      <c r="AE28" s="33" t="s">
        <v>181</v>
      </c>
      <c r="AF28" s="33" t="s">
        <v>182</v>
      </c>
      <c r="AG28" s="33" t="s">
        <v>6</v>
      </c>
      <c r="AH28" s="33" t="s">
        <v>4</v>
      </c>
      <c r="AI28" s="34" t="s">
        <v>5</v>
      </c>
      <c r="AJ28" s="408"/>
      <c r="AK28" s="36" t="s">
        <v>181</v>
      </c>
      <c r="AL28" s="36" t="s">
        <v>182</v>
      </c>
      <c r="AM28" s="36" t="s">
        <v>6</v>
      </c>
      <c r="AN28" s="36" t="s">
        <v>4</v>
      </c>
      <c r="AO28" s="37" t="s">
        <v>5</v>
      </c>
      <c r="AP28" s="408"/>
      <c r="AQ28" s="398"/>
      <c r="AR28" s="398"/>
      <c r="AS28" s="398"/>
      <c r="AT28" s="398"/>
      <c r="AU28" s="399"/>
      <c r="AV28" s="408"/>
      <c r="AW28" s="400" t="s">
        <v>181</v>
      </c>
      <c r="AX28" s="400" t="s">
        <v>182</v>
      </c>
      <c r="AY28" s="400" t="s">
        <v>6</v>
      </c>
      <c r="AZ28" s="400" t="s">
        <v>4</v>
      </c>
      <c r="BA28" s="401" t="s">
        <v>5</v>
      </c>
      <c r="BC28" s="3"/>
      <c r="BD28" s="3"/>
      <c r="BE28" s="3"/>
      <c r="BF28" s="3"/>
      <c r="BG28" s="3"/>
      <c r="BH28" s="3"/>
    </row>
    <row r="29" spans="1:60" ht="17.100000000000001" customHeight="1" x14ac:dyDescent="0.25">
      <c r="A29" s="68"/>
      <c r="B29" s="41" t="s">
        <v>15</v>
      </c>
      <c r="C29" s="69" t="s">
        <v>16</v>
      </c>
      <c r="D29" s="50"/>
      <c r="E29" s="70"/>
      <c r="F29" s="70"/>
      <c r="G29" s="70"/>
      <c r="H29" s="589">
        <v>8</v>
      </c>
      <c r="J29" s="71"/>
      <c r="K29" s="71"/>
      <c r="L29" s="71"/>
      <c r="M29" s="71"/>
      <c r="N29" s="71"/>
      <c r="O29" s="71"/>
      <c r="P29" s="71"/>
      <c r="Q29" s="71"/>
      <c r="R29" s="71"/>
      <c r="S29" s="71"/>
      <c r="T29" s="71"/>
      <c r="U29" s="71"/>
      <c r="V29" s="355"/>
      <c r="W29" s="377"/>
      <c r="X29" s="71"/>
      <c r="Y29" s="72"/>
      <c r="Z29" s="73"/>
      <c r="AA29" s="73"/>
      <c r="AB29" s="73"/>
      <c r="AC29" s="73"/>
      <c r="AE29" s="71"/>
      <c r="AF29" s="71"/>
      <c r="AG29" s="71"/>
      <c r="AH29" s="72"/>
      <c r="AI29" s="73"/>
      <c r="AK29" s="71"/>
      <c r="AL29" s="71"/>
      <c r="AM29" s="71"/>
      <c r="AN29" s="72"/>
      <c r="AO29" s="73"/>
      <c r="AQ29" s="71"/>
      <c r="AR29" s="71"/>
      <c r="AS29" s="71"/>
      <c r="AT29" s="72"/>
      <c r="AU29" s="73"/>
      <c r="AW29" s="71"/>
      <c r="AX29" s="71"/>
      <c r="AY29" s="71"/>
      <c r="AZ29" s="72"/>
      <c r="BA29" s="73"/>
    </row>
    <row r="30" spans="1:60" ht="17.100000000000001" customHeight="1" x14ac:dyDescent="0.25">
      <c r="A30" s="102"/>
      <c r="B30" s="102"/>
      <c r="C30" s="103" t="s">
        <v>17</v>
      </c>
      <c r="D30" s="104" t="s">
        <v>609</v>
      </c>
      <c r="E30" s="105"/>
      <c r="F30" s="105"/>
      <c r="G30" s="106"/>
      <c r="H30" s="210"/>
      <c r="I30" s="231"/>
      <c r="J30" s="198">
        <f>J15</f>
        <v>0</v>
      </c>
      <c r="K30" s="198"/>
      <c r="L30" s="17"/>
      <c r="M30" s="17">
        <f t="shared" ref="M30:M32" si="25">SUM(J30:L30)</f>
        <v>0</v>
      </c>
      <c r="N30" s="111"/>
      <c r="O30" s="111"/>
      <c r="P30" s="111"/>
      <c r="Q30" s="111"/>
      <c r="R30" s="111"/>
      <c r="S30" s="111"/>
      <c r="T30" s="111"/>
      <c r="U30" s="111"/>
      <c r="V30" s="358"/>
      <c r="W30" s="391">
        <f t="shared" ref="W30:W32" si="26">J30+K30+N30+Q30+T30</f>
        <v>0</v>
      </c>
      <c r="X30" s="17">
        <f t="shared" ref="X30:X32" si="27">L30+O30+R30+U30</f>
        <v>0</v>
      </c>
      <c r="Y30" s="18">
        <f>SUM(W30:X30)</f>
        <v>0</v>
      </c>
      <c r="Z30" s="19">
        <f>IF(Y$33=0,0,Y30/Y$33)</f>
        <v>0</v>
      </c>
      <c r="AA30" s="19"/>
      <c r="AB30" s="19"/>
      <c r="AC30" s="20"/>
      <c r="AE30" s="17"/>
      <c r="AF30" s="17"/>
      <c r="AG30" s="17"/>
      <c r="AH30" s="18">
        <f t="shared" ref="AH30:AH32" si="28">J30</f>
        <v>0</v>
      </c>
      <c r="AI30" s="19">
        <f>IF(AH$33=0,0,AH30/AH$33)</f>
        <v>0</v>
      </c>
      <c r="AK30" s="17"/>
      <c r="AL30" s="17"/>
      <c r="AM30" s="17"/>
      <c r="AN30" s="18">
        <f t="shared" ref="AN30:AN32" si="29">K30</f>
        <v>0</v>
      </c>
      <c r="AO30" s="19">
        <f>IF(AN$33=0,0,AN30/AN$33)</f>
        <v>0</v>
      </c>
      <c r="AQ30" s="17"/>
      <c r="AR30" s="17"/>
      <c r="AS30" s="17"/>
      <c r="AT30" s="18">
        <f t="shared" ref="AT30:AT32" si="30">W30</f>
        <v>0</v>
      </c>
      <c r="AU30" s="19">
        <f>IF(AT$33=0,0,AT30/AT$33)</f>
        <v>0</v>
      </c>
      <c r="AW30" s="17"/>
      <c r="AX30" s="17"/>
      <c r="AY30" s="17"/>
      <c r="AZ30" s="18">
        <f t="shared" ref="AZ30:AZ32" si="31">X30</f>
        <v>0</v>
      </c>
      <c r="BA30" s="19">
        <f>IF(AZ$33=0,0,AZ30/AZ$33)</f>
        <v>0</v>
      </c>
    </row>
    <row r="31" spans="1:60" ht="17.100000000000001" customHeight="1" x14ac:dyDescent="0.25">
      <c r="A31" s="102"/>
      <c r="B31" s="102"/>
      <c r="C31" s="103" t="s">
        <v>18</v>
      </c>
      <c r="D31" s="104" t="s">
        <v>610</v>
      </c>
      <c r="E31" s="105"/>
      <c r="F31" s="105"/>
      <c r="G31" s="106"/>
      <c r="H31" s="210"/>
      <c r="I31" s="231"/>
      <c r="J31" s="198"/>
      <c r="K31" s="198">
        <f>K15</f>
        <v>0</v>
      </c>
      <c r="L31" s="17"/>
      <c r="M31" s="17">
        <f t="shared" si="25"/>
        <v>0</v>
      </c>
      <c r="N31" s="111"/>
      <c r="O31" s="111"/>
      <c r="P31" s="111"/>
      <c r="Q31" s="111"/>
      <c r="R31" s="111"/>
      <c r="S31" s="111"/>
      <c r="T31" s="111"/>
      <c r="U31" s="111"/>
      <c r="V31" s="358"/>
      <c r="W31" s="391">
        <f t="shared" si="26"/>
        <v>0</v>
      </c>
      <c r="X31" s="17">
        <f t="shared" si="27"/>
        <v>0</v>
      </c>
      <c r="Y31" s="18">
        <f>SUM(W31:X31)</f>
        <v>0</v>
      </c>
      <c r="Z31" s="19">
        <f t="shared" ref="Z31:Z33" si="32">IF(Y$33=0,0,Y31/Y$33)</f>
        <v>0</v>
      </c>
      <c r="AA31" s="19"/>
      <c r="AB31" s="19"/>
      <c r="AC31" s="20"/>
      <c r="AE31" s="17"/>
      <c r="AF31" s="17"/>
      <c r="AG31" s="17"/>
      <c r="AH31" s="18">
        <f t="shared" si="28"/>
        <v>0</v>
      </c>
      <c r="AI31" s="19">
        <f>IF(AH$33=0,0,AH31/AH$33)</f>
        <v>0</v>
      </c>
      <c r="AK31" s="17"/>
      <c r="AL31" s="17"/>
      <c r="AM31" s="17"/>
      <c r="AN31" s="18">
        <f t="shared" si="29"/>
        <v>0</v>
      </c>
      <c r="AO31" s="19">
        <f>IF(AN$33=0,0,AN31/AN$33)</f>
        <v>0</v>
      </c>
      <c r="AQ31" s="17"/>
      <c r="AR31" s="17"/>
      <c r="AS31" s="17"/>
      <c r="AT31" s="18">
        <f t="shared" si="30"/>
        <v>0</v>
      </c>
      <c r="AU31" s="19">
        <f>IF(AT$33=0,0,AT31/AT$33)</f>
        <v>0</v>
      </c>
      <c r="AW31" s="17"/>
      <c r="AX31" s="17"/>
      <c r="AY31" s="17"/>
      <c r="AZ31" s="18">
        <f t="shared" si="31"/>
        <v>0</v>
      </c>
      <c r="BA31" s="19">
        <f>IF(AZ$33=0,0,AZ31/AZ$33)</f>
        <v>0</v>
      </c>
    </row>
    <row r="32" spans="1:60" ht="17.100000000000001" customHeight="1" x14ac:dyDescent="0.25">
      <c r="A32" s="102"/>
      <c r="B32" s="102"/>
      <c r="C32" s="103" t="s">
        <v>19</v>
      </c>
      <c r="D32" s="104" t="s">
        <v>611</v>
      </c>
      <c r="E32" s="105"/>
      <c r="F32" s="105"/>
      <c r="G32" s="106"/>
      <c r="H32" s="210"/>
      <c r="I32" s="231"/>
      <c r="J32" s="198"/>
      <c r="K32" s="198"/>
      <c r="L32" s="17">
        <f>L15</f>
        <v>0</v>
      </c>
      <c r="M32" s="17">
        <f t="shared" si="25"/>
        <v>0</v>
      </c>
      <c r="N32" s="111"/>
      <c r="O32" s="111"/>
      <c r="P32" s="111"/>
      <c r="Q32" s="111"/>
      <c r="R32" s="111"/>
      <c r="S32" s="111"/>
      <c r="T32" s="111"/>
      <c r="U32" s="111"/>
      <c r="V32" s="358"/>
      <c r="W32" s="391">
        <f t="shared" si="26"/>
        <v>0</v>
      </c>
      <c r="X32" s="17">
        <f t="shared" si="27"/>
        <v>0</v>
      </c>
      <c r="Y32" s="18">
        <f>SUM(W32:X32)</f>
        <v>0</v>
      </c>
      <c r="Z32" s="19">
        <f t="shared" si="32"/>
        <v>0</v>
      </c>
      <c r="AA32" s="19"/>
      <c r="AB32" s="19"/>
      <c r="AC32" s="20"/>
      <c r="AE32" s="17"/>
      <c r="AF32" s="17"/>
      <c r="AG32" s="17"/>
      <c r="AH32" s="18">
        <f t="shared" si="28"/>
        <v>0</v>
      </c>
      <c r="AI32" s="19">
        <f>IF(AH$33=0,0,AH32/AH$33)</f>
        <v>0</v>
      </c>
      <c r="AK32" s="17"/>
      <c r="AL32" s="17"/>
      <c r="AM32" s="17"/>
      <c r="AN32" s="18">
        <f t="shared" si="29"/>
        <v>0</v>
      </c>
      <c r="AO32" s="19">
        <f>IF(AN$33=0,0,AN32/AN$33)</f>
        <v>0</v>
      </c>
      <c r="AQ32" s="17"/>
      <c r="AR32" s="17"/>
      <c r="AS32" s="17"/>
      <c r="AT32" s="18">
        <f t="shared" si="30"/>
        <v>0</v>
      </c>
      <c r="AU32" s="19">
        <f>IF(AT$33=0,0,AT32/AT$33)</f>
        <v>0</v>
      </c>
      <c r="AW32" s="17"/>
      <c r="AX32" s="17"/>
      <c r="AY32" s="17"/>
      <c r="AZ32" s="18">
        <f t="shared" si="31"/>
        <v>0</v>
      </c>
      <c r="BA32" s="19">
        <f>IF(AZ$33=0,0,AZ32/AZ$33)</f>
        <v>0</v>
      </c>
    </row>
    <row r="33" spans="1:53" ht="17.100000000000001" customHeight="1" x14ac:dyDescent="0.25">
      <c r="A33" s="40"/>
      <c r="B33" s="40"/>
      <c r="C33" s="77"/>
      <c r="D33" s="78"/>
      <c r="E33" s="78"/>
      <c r="F33" s="78"/>
      <c r="G33" s="79"/>
      <c r="H33" s="217"/>
      <c r="I33" s="230"/>
      <c r="J33" s="80">
        <f>SUM(J30:J32)</f>
        <v>0</v>
      </c>
      <c r="K33" s="80">
        <f t="shared" ref="K33:M33" si="33">SUM(K30:K32)</f>
        <v>0</v>
      </c>
      <c r="L33" s="80">
        <f t="shared" si="33"/>
        <v>0</v>
      </c>
      <c r="M33" s="80">
        <f t="shared" si="33"/>
        <v>0</v>
      </c>
      <c r="N33" s="81"/>
      <c r="O33" s="81"/>
      <c r="P33" s="81"/>
      <c r="Q33" s="81"/>
      <c r="R33" s="81"/>
      <c r="S33" s="81"/>
      <c r="T33" s="81"/>
      <c r="U33" s="81"/>
      <c r="V33" s="356"/>
      <c r="W33" s="381">
        <f>SUM(W30:W32)</f>
        <v>0</v>
      </c>
      <c r="X33" s="82">
        <f t="shared" ref="X33:Y33" si="34">SUM(X30:X32)</f>
        <v>0</v>
      </c>
      <c r="Y33" s="82">
        <f t="shared" si="34"/>
        <v>0</v>
      </c>
      <c r="Z33" s="205">
        <f t="shared" si="32"/>
        <v>0</v>
      </c>
      <c r="AA33" s="205"/>
      <c r="AB33" s="205"/>
      <c r="AC33" s="83"/>
      <c r="AE33" s="107"/>
      <c r="AF33" s="107"/>
      <c r="AG33" s="107"/>
      <c r="AH33" s="82">
        <f>SUM(AH30:AH32)</f>
        <v>0</v>
      </c>
      <c r="AI33" s="66">
        <f>IF(AH$33=0,0,AH33/AH$33)</f>
        <v>0</v>
      </c>
      <c r="AK33" s="107"/>
      <c r="AL33" s="107"/>
      <c r="AM33" s="107"/>
      <c r="AN33" s="82">
        <f>SUM(AN30:AN32)</f>
        <v>0</v>
      </c>
      <c r="AO33" s="66">
        <f>IF(AN$33=0,0,AN33/AN$33)</f>
        <v>0</v>
      </c>
      <c r="AQ33" s="107"/>
      <c r="AR33" s="107"/>
      <c r="AS33" s="107"/>
      <c r="AT33" s="82">
        <f>SUM(AT30:AT32)</f>
        <v>0</v>
      </c>
      <c r="AU33" s="66">
        <f>IF(AT$33=0,0,AT33/AT$33)</f>
        <v>0</v>
      </c>
      <c r="AW33" s="107"/>
      <c r="AX33" s="107"/>
      <c r="AY33" s="107"/>
      <c r="AZ33" s="82">
        <f>SUM(AZ30:AZ32)</f>
        <v>0</v>
      </c>
      <c r="BA33" s="66">
        <f>IF(AZ$33=0,0,AZ33/AZ$33)</f>
        <v>0</v>
      </c>
    </row>
    <row r="34" spans="1:53" s="97" customFormat="1" ht="17.100000000000001" customHeight="1" x14ac:dyDescent="0.25">
      <c r="A34" s="68"/>
      <c r="B34" s="68"/>
      <c r="C34" s="92"/>
      <c r="D34" s="93"/>
      <c r="E34" s="93"/>
      <c r="F34" s="93"/>
      <c r="G34" s="93"/>
      <c r="H34" s="92"/>
      <c r="I34" s="12"/>
      <c r="J34" s="94"/>
      <c r="K34" s="94"/>
      <c r="L34" s="94"/>
      <c r="M34" s="95"/>
      <c r="N34" s="95"/>
      <c r="O34" s="95"/>
      <c r="P34" s="95"/>
      <c r="Q34" s="95"/>
      <c r="R34" s="95"/>
      <c r="S34" s="95"/>
      <c r="T34" s="95"/>
      <c r="U34" s="95"/>
      <c r="V34" s="95"/>
      <c r="W34" s="378"/>
      <c r="X34" s="95"/>
      <c r="Y34" s="96"/>
      <c r="AE34" s="109"/>
      <c r="AF34" s="109"/>
      <c r="AG34" s="109"/>
      <c r="AH34" s="96"/>
      <c r="AK34" s="109"/>
      <c r="AL34" s="109"/>
      <c r="AM34" s="109"/>
      <c r="AN34" s="96"/>
      <c r="AQ34" s="109"/>
      <c r="AR34" s="109"/>
      <c r="AS34" s="109"/>
      <c r="AT34" s="96"/>
      <c r="AW34" s="109"/>
      <c r="AX34" s="109"/>
      <c r="AY34" s="109"/>
      <c r="AZ34" s="96"/>
    </row>
    <row r="35" spans="1:53" s="32" customFormat="1" ht="16.5" thickBot="1" x14ac:dyDescent="0.3">
      <c r="A35" s="24" t="s">
        <v>20</v>
      </c>
      <c r="B35" s="25" t="s">
        <v>21</v>
      </c>
      <c r="C35" s="26"/>
      <c r="D35" s="27"/>
      <c r="E35" s="27"/>
      <c r="F35" s="27"/>
      <c r="G35" s="28"/>
      <c r="H35" s="215"/>
      <c r="I35" s="228"/>
      <c r="J35" s="101"/>
      <c r="K35" s="101"/>
      <c r="L35" s="101"/>
      <c r="M35" s="101"/>
      <c r="N35" s="101"/>
      <c r="O35" s="101"/>
      <c r="P35" s="101"/>
      <c r="Q35" s="101"/>
      <c r="R35" s="101"/>
      <c r="S35" s="101"/>
      <c r="T35" s="101"/>
      <c r="U35" s="101"/>
      <c r="V35" s="357"/>
      <c r="W35" s="379"/>
      <c r="X35" s="101"/>
      <c r="Y35" s="30" t="s">
        <v>4</v>
      </c>
      <c r="Z35" s="31" t="s">
        <v>5</v>
      </c>
      <c r="AA35" s="31" t="s">
        <v>181</v>
      </c>
      <c r="AB35" s="31" t="s">
        <v>182</v>
      </c>
      <c r="AC35" s="31" t="s">
        <v>6</v>
      </c>
      <c r="AE35" s="33" t="s">
        <v>181</v>
      </c>
      <c r="AF35" s="33" t="s">
        <v>182</v>
      </c>
      <c r="AG35" s="33" t="s">
        <v>6</v>
      </c>
      <c r="AH35" s="33" t="s">
        <v>4</v>
      </c>
      <c r="AI35" s="34" t="s">
        <v>5</v>
      </c>
      <c r="AJ35" s="408"/>
      <c r="AK35" s="36" t="s">
        <v>181</v>
      </c>
      <c r="AL35" s="36" t="s">
        <v>182</v>
      </c>
      <c r="AM35" s="36" t="s">
        <v>6</v>
      </c>
      <c r="AN35" s="36" t="s">
        <v>4</v>
      </c>
      <c r="AO35" s="37" t="s">
        <v>5</v>
      </c>
      <c r="AP35" s="408"/>
      <c r="AQ35" s="36"/>
      <c r="AR35" s="36"/>
      <c r="AS35" s="36"/>
      <c r="AT35" s="36"/>
      <c r="AU35" s="37"/>
      <c r="AV35" s="408"/>
      <c r="AW35" s="38" t="s">
        <v>181</v>
      </c>
      <c r="AX35" s="38" t="s">
        <v>182</v>
      </c>
      <c r="AY35" s="38" t="s">
        <v>6</v>
      </c>
      <c r="AZ35" s="38" t="s">
        <v>4</v>
      </c>
      <c r="BA35" s="39" t="s">
        <v>5</v>
      </c>
    </row>
    <row r="36" spans="1:53" ht="17.100000000000001" customHeight="1" x14ac:dyDescent="0.25">
      <c r="A36" s="119"/>
      <c r="B36" s="41" t="s">
        <v>22</v>
      </c>
      <c r="C36" s="332" t="s">
        <v>23</v>
      </c>
      <c r="D36" s="50"/>
      <c r="E36" s="70"/>
      <c r="F36" s="70"/>
      <c r="G36" s="70"/>
      <c r="H36" s="589">
        <v>9</v>
      </c>
      <c r="J36" s="71"/>
      <c r="K36" s="71"/>
      <c r="L36" s="71"/>
      <c r="M36" s="71"/>
      <c r="N36" s="71"/>
      <c r="O36" s="71"/>
      <c r="P36" s="71"/>
      <c r="Q36" s="71"/>
      <c r="R36" s="71"/>
      <c r="S36" s="71"/>
      <c r="T36" s="71"/>
      <c r="U36" s="71"/>
      <c r="V36" s="355"/>
      <c r="W36" s="377"/>
      <c r="X36" s="71"/>
      <c r="Y36" s="72"/>
      <c r="Z36" s="73"/>
      <c r="AA36" s="73"/>
      <c r="AB36" s="73"/>
      <c r="AC36" s="73"/>
      <c r="AE36" s="71"/>
      <c r="AF36" s="71"/>
      <c r="AG36" s="71"/>
      <c r="AH36" s="72"/>
      <c r="AI36" s="73"/>
      <c r="AK36" s="71"/>
      <c r="AL36" s="71"/>
      <c r="AM36" s="71"/>
      <c r="AN36" s="72"/>
      <c r="AO36" s="73"/>
      <c r="AQ36" s="71"/>
      <c r="AR36" s="71"/>
      <c r="AS36" s="71"/>
      <c r="AT36" s="72"/>
      <c r="AU36" s="73"/>
      <c r="AW36" s="71"/>
      <c r="AX36" s="71"/>
      <c r="AY36" s="71"/>
      <c r="AZ36" s="72"/>
      <c r="BA36" s="73"/>
    </row>
    <row r="37" spans="1:53" ht="17.100000000000001" customHeight="1" x14ac:dyDescent="0.25">
      <c r="A37" s="119"/>
      <c r="B37" s="540"/>
      <c r="C37" s="103" t="s">
        <v>631</v>
      </c>
      <c r="D37" s="313" t="s">
        <v>658</v>
      </c>
      <c r="E37" s="108"/>
      <c r="F37" s="108"/>
      <c r="G37" s="108"/>
      <c r="H37" s="119"/>
      <c r="J37" s="111"/>
      <c r="K37" s="111"/>
      <c r="L37" s="111"/>
      <c r="M37" s="111"/>
      <c r="N37" s="111"/>
      <c r="O37" s="111"/>
      <c r="P37" s="111"/>
      <c r="Q37" s="111"/>
      <c r="R37" s="111"/>
      <c r="S37" s="111"/>
      <c r="T37" s="111"/>
      <c r="U37" s="111"/>
      <c r="V37" s="358"/>
      <c r="W37" s="380"/>
      <c r="X37" s="111"/>
      <c r="Y37" s="112"/>
      <c r="Z37" s="113"/>
      <c r="AA37" s="113"/>
      <c r="AB37" s="113"/>
      <c r="AC37" s="113"/>
      <c r="AE37" s="111"/>
      <c r="AF37" s="111"/>
      <c r="AG37" s="111"/>
      <c r="AH37" s="112"/>
      <c r="AI37" s="113"/>
      <c r="AK37" s="111"/>
      <c r="AL37" s="111"/>
      <c r="AM37" s="111"/>
      <c r="AN37" s="112"/>
      <c r="AO37" s="113"/>
      <c r="AQ37" s="111"/>
      <c r="AR37" s="111"/>
      <c r="AS37" s="111"/>
      <c r="AT37" s="112"/>
      <c r="AU37" s="113"/>
      <c r="AW37" s="111"/>
      <c r="AX37" s="111"/>
      <c r="AY37" s="111"/>
      <c r="AZ37" s="112"/>
      <c r="BA37" s="113"/>
    </row>
    <row r="38" spans="1:53" ht="17.100000000000001" customHeight="1" x14ac:dyDescent="0.25">
      <c r="A38" s="47"/>
      <c r="B38" s="55"/>
      <c r="C38" s="56"/>
      <c r="D38" s="120" t="s">
        <v>632</v>
      </c>
      <c r="E38" s="58" t="s">
        <v>659</v>
      </c>
      <c r="F38" s="58"/>
      <c r="G38" s="59"/>
      <c r="H38" s="216"/>
      <c r="I38" s="229"/>
      <c r="J38" s="174"/>
      <c r="K38" s="174"/>
      <c r="L38" s="111"/>
      <c r="M38" s="111"/>
      <c r="N38" s="60">
        <v>1</v>
      </c>
      <c r="O38" s="60">
        <v>4</v>
      </c>
      <c r="P38" s="17">
        <f>SUM(N38:O38)</f>
        <v>5</v>
      </c>
      <c r="Q38" s="60">
        <v>1</v>
      </c>
      <c r="R38" s="60">
        <v>2</v>
      </c>
      <c r="S38" s="17">
        <f>SUM(Q38:R38)</f>
        <v>3</v>
      </c>
      <c r="T38" s="60"/>
      <c r="U38" s="60"/>
      <c r="V38" s="17">
        <f>SUM(T38:U38)</f>
        <v>0</v>
      </c>
      <c r="W38" s="391">
        <f t="shared" ref="W38:W40" si="35">J38+K38+N38+Q38+T38</f>
        <v>2</v>
      </c>
      <c r="X38" s="17">
        <f t="shared" ref="X38:X40" si="36">L38+O38+R38+U38</f>
        <v>6</v>
      </c>
      <c r="Y38" s="18">
        <f>SUM(W38:X38)</f>
        <v>8</v>
      </c>
      <c r="Z38" s="19">
        <f>IF(Y$41=0,0,Y38/Y$41)</f>
        <v>0.5714285714285714</v>
      </c>
      <c r="AA38" s="19"/>
      <c r="AB38" s="19"/>
      <c r="AC38" s="20"/>
      <c r="AE38" s="111"/>
      <c r="AF38" s="111"/>
      <c r="AG38" s="111"/>
      <c r="AH38" s="545"/>
      <c r="AI38" s="131"/>
      <c r="AK38" s="111"/>
      <c r="AL38" s="111"/>
      <c r="AM38" s="111"/>
      <c r="AN38" s="545"/>
      <c r="AO38" s="131"/>
      <c r="AQ38" s="17"/>
      <c r="AR38" s="17"/>
      <c r="AS38" s="17"/>
      <c r="AT38" s="18">
        <f>W38</f>
        <v>2</v>
      </c>
      <c r="AU38" s="19">
        <f>IF(AT$41=0,0,AT38/AT$41)</f>
        <v>0.5</v>
      </c>
      <c r="AW38" s="17"/>
      <c r="AX38" s="17"/>
      <c r="AY38" s="17"/>
      <c r="AZ38" s="18">
        <f>X38</f>
        <v>6</v>
      </c>
      <c r="BA38" s="19">
        <f>IF(AZ$41=0,0,AZ38/AZ$41)</f>
        <v>0.6</v>
      </c>
    </row>
    <row r="39" spans="1:53" ht="17.100000000000001" customHeight="1" x14ac:dyDescent="0.25">
      <c r="A39" s="47"/>
      <c r="B39" s="55"/>
      <c r="C39" s="56"/>
      <c r="D39" s="120" t="s">
        <v>633</v>
      </c>
      <c r="E39" s="58" t="s">
        <v>634</v>
      </c>
      <c r="F39" s="58"/>
      <c r="G39" s="59"/>
      <c r="H39" s="216"/>
      <c r="I39" s="229"/>
      <c r="J39" s="174"/>
      <c r="K39" s="174"/>
      <c r="L39" s="111"/>
      <c r="M39" s="111"/>
      <c r="N39" s="61"/>
      <c r="O39" s="61">
        <v>1</v>
      </c>
      <c r="P39" s="17">
        <f t="shared" ref="P39:P40" si="37">SUM(N39:O39)</f>
        <v>1</v>
      </c>
      <c r="Q39" s="61">
        <v>2</v>
      </c>
      <c r="R39" s="61">
        <v>3</v>
      </c>
      <c r="S39" s="17">
        <f t="shared" ref="S39:S40" si="38">SUM(Q39:R39)</f>
        <v>5</v>
      </c>
      <c r="T39" s="61"/>
      <c r="U39" s="61"/>
      <c r="V39" s="17">
        <f t="shared" ref="V39:V40" si="39">SUM(T39:U39)</f>
        <v>0</v>
      </c>
      <c r="W39" s="391">
        <f t="shared" si="35"/>
        <v>2</v>
      </c>
      <c r="X39" s="17">
        <f t="shared" si="36"/>
        <v>4</v>
      </c>
      <c r="Y39" s="18">
        <f>SUM(W39:X39)</f>
        <v>6</v>
      </c>
      <c r="Z39" s="19">
        <f>IF(Y$41=0,0,Y39/Y$41)</f>
        <v>0.42857142857142855</v>
      </c>
      <c r="AA39" s="19"/>
      <c r="AB39" s="19"/>
      <c r="AC39" s="20"/>
      <c r="AE39" s="111"/>
      <c r="AF39" s="111"/>
      <c r="AG39" s="111"/>
      <c r="AH39" s="545"/>
      <c r="AI39" s="131"/>
      <c r="AK39" s="111"/>
      <c r="AL39" s="111"/>
      <c r="AM39" s="111"/>
      <c r="AN39" s="545"/>
      <c r="AO39" s="131"/>
      <c r="AQ39" s="17"/>
      <c r="AR39" s="17"/>
      <c r="AS39" s="17"/>
      <c r="AT39" s="18">
        <f>W39</f>
        <v>2</v>
      </c>
      <c r="AU39" s="19">
        <f>IF(AT$41=0,0,AT39/AT$41)</f>
        <v>0.5</v>
      </c>
      <c r="AW39" s="17"/>
      <c r="AX39" s="17"/>
      <c r="AY39" s="17"/>
      <c r="AZ39" s="18">
        <f>X39</f>
        <v>4</v>
      </c>
      <c r="BA39" s="19">
        <f>IF(AZ$41=0,0,AZ39/AZ$41)</f>
        <v>0.4</v>
      </c>
    </row>
    <row r="40" spans="1:53" ht="17.100000000000001" customHeight="1" x14ac:dyDescent="0.25">
      <c r="A40" s="47"/>
      <c r="B40" s="55"/>
      <c r="C40" s="56"/>
      <c r="D40" s="120" t="s">
        <v>744</v>
      </c>
      <c r="E40" s="58" t="s">
        <v>745</v>
      </c>
      <c r="F40" s="58"/>
      <c r="G40" s="59"/>
      <c r="H40" s="216"/>
      <c r="I40" s="229"/>
      <c r="J40" s="174"/>
      <c r="K40" s="174"/>
      <c r="L40" s="111"/>
      <c r="M40" s="111"/>
      <c r="N40" s="60"/>
      <c r="O40" s="60"/>
      <c r="P40" s="17">
        <f t="shared" si="37"/>
        <v>0</v>
      </c>
      <c r="Q40" s="60"/>
      <c r="R40" s="60"/>
      <c r="S40" s="17">
        <f t="shared" si="38"/>
        <v>0</v>
      </c>
      <c r="T40" s="60"/>
      <c r="U40" s="60"/>
      <c r="V40" s="17">
        <f t="shared" si="39"/>
        <v>0</v>
      </c>
      <c r="W40" s="391">
        <f t="shared" si="35"/>
        <v>0</v>
      </c>
      <c r="X40" s="17">
        <f t="shared" si="36"/>
        <v>0</v>
      </c>
      <c r="Y40" s="18">
        <f>SUM(W40:X40)</f>
        <v>0</v>
      </c>
      <c r="Z40" s="19">
        <f>IF(Y$41=0,0,Y40/Y$41)</f>
        <v>0</v>
      </c>
      <c r="AA40" s="19"/>
      <c r="AB40" s="19"/>
      <c r="AC40" s="20"/>
      <c r="AE40" s="111"/>
      <c r="AF40" s="111"/>
      <c r="AG40" s="111"/>
      <c r="AH40" s="545"/>
      <c r="AI40" s="131"/>
      <c r="AK40" s="111"/>
      <c r="AL40" s="111"/>
      <c r="AM40" s="111"/>
      <c r="AN40" s="545"/>
      <c r="AO40" s="131"/>
      <c r="AQ40" s="17"/>
      <c r="AR40" s="17"/>
      <c r="AS40" s="17"/>
      <c r="AT40" s="18">
        <f>W40</f>
        <v>0</v>
      </c>
      <c r="AU40" s="19">
        <f>IF(AT$41=0,0,AT40/AT$41)</f>
        <v>0</v>
      </c>
      <c r="AW40" s="17"/>
      <c r="AX40" s="17"/>
      <c r="AY40" s="17"/>
      <c r="AZ40" s="18">
        <f>X40</f>
        <v>0</v>
      </c>
      <c r="BA40" s="19">
        <f>IF(AZ$41=0,0,AZ40/AZ$41)</f>
        <v>0</v>
      </c>
    </row>
    <row r="41" spans="1:53" ht="17.100000000000001" customHeight="1" x14ac:dyDescent="0.25">
      <c r="A41" s="40"/>
      <c r="B41" s="40"/>
      <c r="C41" s="77"/>
      <c r="D41" s="78"/>
      <c r="E41" s="78"/>
      <c r="F41" s="78"/>
      <c r="G41" s="78"/>
      <c r="H41" s="242"/>
      <c r="I41" s="230"/>
      <c r="J41" s="80"/>
      <c r="K41" s="80"/>
      <c r="L41" s="80"/>
      <c r="M41" s="80"/>
      <c r="N41" s="64">
        <f>SUM(N38:N40)</f>
        <v>1</v>
      </c>
      <c r="O41" s="64">
        <f t="shared" ref="O41:V41" si="40">SUM(O38:O40)</f>
        <v>5</v>
      </c>
      <c r="P41" s="64">
        <f t="shared" si="40"/>
        <v>6</v>
      </c>
      <c r="Q41" s="64">
        <f t="shared" si="40"/>
        <v>3</v>
      </c>
      <c r="R41" s="64">
        <f t="shared" si="40"/>
        <v>5</v>
      </c>
      <c r="S41" s="64">
        <f t="shared" si="40"/>
        <v>8</v>
      </c>
      <c r="T41" s="64">
        <f t="shared" si="40"/>
        <v>0</v>
      </c>
      <c r="U41" s="64">
        <f t="shared" si="40"/>
        <v>0</v>
      </c>
      <c r="V41" s="64">
        <f t="shared" si="40"/>
        <v>0</v>
      </c>
      <c r="W41" s="381">
        <f>SUM(W38:W40)</f>
        <v>4</v>
      </c>
      <c r="X41" s="82">
        <f t="shared" ref="X41:Y41" si="41">SUM(X38:X40)</f>
        <v>10</v>
      </c>
      <c r="Y41" s="82">
        <f t="shared" si="41"/>
        <v>14</v>
      </c>
      <c r="Z41" s="205">
        <f>IF(Y$41=0,0,Y41/Y$41)</f>
        <v>1</v>
      </c>
      <c r="AA41" s="205"/>
      <c r="AB41" s="205"/>
      <c r="AC41" s="83"/>
      <c r="AE41" s="81"/>
      <c r="AF41" s="81"/>
      <c r="AG41" s="81"/>
      <c r="AH41" s="82"/>
      <c r="AI41" s="66"/>
      <c r="AK41" s="81"/>
      <c r="AL41" s="81"/>
      <c r="AM41" s="81"/>
      <c r="AN41" s="82"/>
      <c r="AO41" s="66"/>
      <c r="AQ41" s="81"/>
      <c r="AR41" s="81"/>
      <c r="AS41" s="81"/>
      <c r="AT41" s="82">
        <f>SUM(AT38:AT40)</f>
        <v>4</v>
      </c>
      <c r="AU41" s="66">
        <f>IF(AT$41=0,0,AT41/AT$41)</f>
        <v>1</v>
      </c>
      <c r="AW41" s="81"/>
      <c r="AX41" s="81"/>
      <c r="AY41" s="81"/>
      <c r="AZ41" s="82">
        <f>SUM(AZ38:AZ40)</f>
        <v>10</v>
      </c>
      <c r="BA41" s="66">
        <f>IF(AZ$41=0,0,AZ41/AZ$41)</f>
        <v>1</v>
      </c>
    </row>
    <row r="42" spans="1:53" s="117" customFormat="1" ht="17.100000000000001" customHeight="1" x14ac:dyDescent="0.25">
      <c r="A42" s="119"/>
      <c r="B42" s="119"/>
      <c r="C42" s="540"/>
      <c r="D42" s="212"/>
      <c r="E42" s="212"/>
      <c r="F42" s="212"/>
      <c r="G42" s="212"/>
      <c r="H42" s="242"/>
      <c r="I42" s="230"/>
      <c r="J42" s="17"/>
      <c r="K42" s="17"/>
      <c r="L42" s="17"/>
      <c r="M42" s="17"/>
      <c r="N42" s="17" t="str">
        <f>IF(N41=N$20,"OK","NOK")</f>
        <v>OK</v>
      </c>
      <c r="O42" s="17" t="str">
        <f>IF(O41=O$20,"OK","NOK")</f>
        <v>OK</v>
      </c>
      <c r="P42" s="17"/>
      <c r="Q42" s="17" t="str">
        <f>IF(Q41=Q$20,"OK","NOK")</f>
        <v>OK</v>
      </c>
      <c r="R42" s="17" t="str">
        <f>IF(R41=R$20,"OK","NOK")</f>
        <v>OK</v>
      </c>
      <c r="S42" s="17"/>
      <c r="T42" s="17" t="str">
        <f>IF(T41=T$20,"OK","NOK")</f>
        <v>OK</v>
      </c>
      <c r="U42" s="17" t="str">
        <f>IF(U41=U$20,"OK","NOK")</f>
        <v>OK</v>
      </c>
      <c r="V42" s="359"/>
      <c r="W42" s="395">
        <f>IF($Y$41=0,0,W41/$Y$41)</f>
        <v>0.2857142857142857</v>
      </c>
      <c r="X42" s="91">
        <f>IF($Y$41=0,0,X41/$Y$41)</f>
        <v>0.7142857142857143</v>
      </c>
      <c r="Y42" s="201">
        <f>IF($Y$41=0,0,Y41/$Y$41)</f>
        <v>1</v>
      </c>
      <c r="Z42" s="201"/>
      <c r="AA42" s="201"/>
      <c r="AB42" s="201"/>
      <c r="AC42" s="84"/>
      <c r="AE42" s="17"/>
      <c r="AF42" s="17"/>
      <c r="AG42" s="17"/>
      <c r="AH42" s="539"/>
      <c r="AI42" s="91"/>
      <c r="AK42" s="17"/>
      <c r="AL42" s="17"/>
      <c r="AM42" s="17"/>
      <c r="AN42" s="539"/>
      <c r="AO42" s="91"/>
      <c r="AQ42" s="17"/>
      <c r="AR42" s="17"/>
      <c r="AS42" s="17"/>
      <c r="AT42" s="539"/>
      <c r="AU42" s="91"/>
      <c r="AW42" s="17"/>
      <c r="AX42" s="17"/>
      <c r="AY42" s="17"/>
      <c r="AZ42" s="539"/>
      <c r="BA42" s="91"/>
    </row>
    <row r="43" spans="1:53" ht="17.100000000000001" customHeight="1" x14ac:dyDescent="0.25">
      <c r="A43" s="68"/>
      <c r="B43" s="540"/>
      <c r="C43" s="103" t="s">
        <v>24</v>
      </c>
      <c r="D43" s="110" t="s">
        <v>373</v>
      </c>
      <c r="E43" s="108"/>
      <c r="F43" s="108"/>
      <c r="G43" s="108"/>
      <c r="H43" s="589">
        <v>9</v>
      </c>
      <c r="J43" s="111"/>
      <c r="K43" s="111"/>
      <c r="L43" s="111"/>
      <c r="M43" s="111"/>
      <c r="N43" s="111"/>
      <c r="O43" s="111"/>
      <c r="P43" s="111"/>
      <c r="Q43" s="111"/>
      <c r="R43" s="111"/>
      <c r="S43" s="111"/>
      <c r="T43" s="111"/>
      <c r="U43" s="111"/>
      <c r="V43" s="358"/>
      <c r="W43" s="380"/>
      <c r="X43" s="111"/>
      <c r="Y43" s="112"/>
      <c r="Z43" s="113"/>
      <c r="AA43" s="113"/>
      <c r="AB43" s="113"/>
      <c r="AC43" s="113"/>
      <c r="AE43" s="111"/>
      <c r="AF43" s="111"/>
      <c r="AG43" s="111"/>
      <c r="AH43" s="112"/>
      <c r="AI43" s="113"/>
      <c r="AK43" s="111"/>
      <c r="AL43" s="111"/>
      <c r="AM43" s="111"/>
      <c r="AN43" s="112"/>
      <c r="AO43" s="113"/>
      <c r="AQ43" s="111"/>
      <c r="AR43" s="111"/>
      <c r="AS43" s="111"/>
      <c r="AT43" s="112"/>
      <c r="AU43" s="113"/>
      <c r="AW43" s="111"/>
      <c r="AX43" s="111"/>
      <c r="AY43" s="111"/>
      <c r="AZ43" s="112"/>
      <c r="BA43" s="113"/>
    </row>
    <row r="44" spans="1:53" ht="17.100000000000001" customHeight="1" x14ac:dyDescent="0.25">
      <c r="A44" s="68"/>
      <c r="B44" s="540"/>
      <c r="C44" s="23"/>
      <c r="D44" s="202" t="s">
        <v>25</v>
      </c>
      <c r="E44" s="85" t="s">
        <v>384</v>
      </c>
      <c r="F44" s="75"/>
      <c r="G44" s="75"/>
      <c r="H44" s="119"/>
      <c r="J44" s="581"/>
      <c r="K44" s="581"/>
      <c r="L44" s="582"/>
      <c r="M44" s="17">
        <f t="shared" ref="M44:M57" si="42">SUM(J44:L44)</f>
        <v>0</v>
      </c>
      <c r="N44" s="111"/>
      <c r="O44" s="111"/>
      <c r="P44" s="111"/>
      <c r="Q44" s="111"/>
      <c r="R44" s="111"/>
      <c r="S44" s="111"/>
      <c r="T44" s="111"/>
      <c r="U44" s="111"/>
      <c r="V44" s="358"/>
      <c r="W44" s="391">
        <f t="shared" ref="W44:W57" si="43">J44+K44+N44+Q44+T44</f>
        <v>0</v>
      </c>
      <c r="X44" s="17">
        <f t="shared" ref="X44:X57" si="44">L44+O44+R44+U44</f>
        <v>0</v>
      </c>
      <c r="Y44" s="18">
        <f t="shared" ref="Y44:Y57" si="45">SUM(W44:X44)</f>
        <v>0</v>
      </c>
      <c r="Z44" s="19">
        <f>IF(Y$58=0,0,Y44/Y$58)</f>
        <v>0</v>
      </c>
      <c r="AA44" s="19"/>
      <c r="AB44" s="19"/>
      <c r="AC44" s="84"/>
      <c r="AE44" s="17"/>
      <c r="AF44" s="17"/>
      <c r="AG44" s="17"/>
      <c r="AH44" s="18">
        <f t="shared" ref="AH44:AH57" si="46">J44</f>
        <v>0</v>
      </c>
      <c r="AI44" s="19">
        <f>IF(AH$58=0,0,AH44/AH$58)</f>
        <v>0</v>
      </c>
      <c r="AK44" s="17"/>
      <c r="AL44" s="17"/>
      <c r="AM44" s="17"/>
      <c r="AN44" s="18">
        <f t="shared" ref="AN44:AN57" si="47">K44</f>
        <v>0</v>
      </c>
      <c r="AO44" s="19">
        <f>IF(AN$58=0,0,AN44/AN$58)</f>
        <v>0</v>
      </c>
      <c r="AQ44" s="17"/>
      <c r="AR44" s="17"/>
      <c r="AS44" s="17"/>
      <c r="AT44" s="18">
        <f t="shared" ref="AT44:AT57" si="48">W44</f>
        <v>0</v>
      </c>
      <c r="AU44" s="19">
        <f>IF(AT$58=0,0,AT44/AT$58)</f>
        <v>0</v>
      </c>
      <c r="AW44" s="17"/>
      <c r="AX44" s="17"/>
      <c r="AY44" s="17"/>
      <c r="AZ44" s="18">
        <f t="shared" ref="AZ44:AZ57" si="49">X44</f>
        <v>0</v>
      </c>
      <c r="BA44" s="19">
        <f>IF(AZ$58=0,0,AZ44/AZ$58)</f>
        <v>0</v>
      </c>
    </row>
    <row r="45" spans="1:53" ht="17.100000000000001" customHeight="1" x14ac:dyDescent="0.25">
      <c r="A45" s="68"/>
      <c r="B45" s="540"/>
      <c r="C45" s="23"/>
      <c r="D45" s="202" t="s">
        <v>27</v>
      </c>
      <c r="E45" s="85" t="s">
        <v>385</v>
      </c>
      <c r="F45" s="75"/>
      <c r="G45" s="75"/>
      <c r="H45" s="119"/>
      <c r="J45" s="583"/>
      <c r="K45" s="583"/>
      <c r="L45" s="584"/>
      <c r="M45" s="17">
        <f t="shared" si="42"/>
        <v>0</v>
      </c>
      <c r="N45" s="111"/>
      <c r="O45" s="111"/>
      <c r="P45" s="111"/>
      <c r="Q45" s="111"/>
      <c r="R45" s="111"/>
      <c r="S45" s="111"/>
      <c r="T45" s="111"/>
      <c r="U45" s="111"/>
      <c r="V45" s="358"/>
      <c r="W45" s="391">
        <f t="shared" si="43"/>
        <v>0</v>
      </c>
      <c r="X45" s="17">
        <f t="shared" si="44"/>
        <v>0</v>
      </c>
      <c r="Y45" s="18">
        <f t="shared" si="45"/>
        <v>0</v>
      </c>
      <c r="Z45" s="19">
        <f t="shared" ref="Z45:Z58" si="50">IF(Y$58=0,0,Y45/Y$58)</f>
        <v>0</v>
      </c>
      <c r="AA45" s="19"/>
      <c r="AB45" s="19"/>
      <c r="AC45" s="84"/>
      <c r="AE45" s="17"/>
      <c r="AF45" s="17"/>
      <c r="AG45" s="17"/>
      <c r="AH45" s="18">
        <f t="shared" si="46"/>
        <v>0</v>
      </c>
      <c r="AI45" s="19">
        <f t="shared" ref="AI45:AI58" si="51">IF(AH$58=0,0,AH45/AH$58)</f>
        <v>0</v>
      </c>
      <c r="AK45" s="17"/>
      <c r="AL45" s="17"/>
      <c r="AM45" s="17"/>
      <c r="AN45" s="18">
        <f t="shared" si="47"/>
        <v>0</v>
      </c>
      <c r="AO45" s="19">
        <f t="shared" ref="AO45:AO58" si="52">IF(AN$58=0,0,AN45/AN$58)</f>
        <v>0</v>
      </c>
      <c r="AQ45" s="17"/>
      <c r="AR45" s="17"/>
      <c r="AS45" s="17"/>
      <c r="AT45" s="18">
        <f t="shared" si="48"/>
        <v>0</v>
      </c>
      <c r="AU45" s="19">
        <f t="shared" ref="AU45:AU58" si="53">IF(AT$58=0,0,AT45/AT$58)</f>
        <v>0</v>
      </c>
      <c r="AW45" s="17"/>
      <c r="AX45" s="17"/>
      <c r="AY45" s="17"/>
      <c r="AZ45" s="18">
        <f t="shared" si="49"/>
        <v>0</v>
      </c>
      <c r="BA45" s="19">
        <f t="shared" ref="BA45:BA58" si="54">IF(AZ$58=0,0,AZ45/AZ$58)</f>
        <v>0</v>
      </c>
    </row>
    <row r="46" spans="1:53" ht="17.100000000000001" customHeight="1" x14ac:dyDescent="0.25">
      <c r="A46" s="68"/>
      <c r="B46" s="540"/>
      <c r="C46" s="23"/>
      <c r="D46" s="202" t="s">
        <v>29</v>
      </c>
      <c r="E46" s="85" t="s">
        <v>386</v>
      </c>
      <c r="F46" s="75"/>
      <c r="G46" s="75"/>
      <c r="H46" s="119"/>
      <c r="J46" s="581"/>
      <c r="K46" s="581"/>
      <c r="L46" s="582"/>
      <c r="M46" s="17">
        <f t="shared" si="42"/>
        <v>0</v>
      </c>
      <c r="N46" s="111"/>
      <c r="O46" s="111"/>
      <c r="P46" s="111"/>
      <c r="Q46" s="111"/>
      <c r="R46" s="111"/>
      <c r="S46" s="111"/>
      <c r="T46" s="111"/>
      <c r="U46" s="111"/>
      <c r="V46" s="358"/>
      <c r="W46" s="391">
        <f t="shared" si="43"/>
        <v>0</v>
      </c>
      <c r="X46" s="17">
        <f t="shared" si="44"/>
        <v>0</v>
      </c>
      <c r="Y46" s="18">
        <f t="shared" si="45"/>
        <v>0</v>
      </c>
      <c r="Z46" s="19">
        <f t="shared" si="50"/>
        <v>0</v>
      </c>
      <c r="AA46" s="19"/>
      <c r="AB46" s="19"/>
      <c r="AC46" s="84"/>
      <c r="AE46" s="17"/>
      <c r="AF46" s="17"/>
      <c r="AG46" s="17"/>
      <c r="AH46" s="18">
        <f t="shared" si="46"/>
        <v>0</v>
      </c>
      <c r="AI46" s="19">
        <f t="shared" si="51"/>
        <v>0</v>
      </c>
      <c r="AK46" s="17"/>
      <c r="AL46" s="17"/>
      <c r="AM46" s="17"/>
      <c r="AN46" s="18">
        <f t="shared" si="47"/>
        <v>0</v>
      </c>
      <c r="AO46" s="19">
        <f t="shared" si="52"/>
        <v>0</v>
      </c>
      <c r="AQ46" s="17"/>
      <c r="AR46" s="17"/>
      <c r="AS46" s="17"/>
      <c r="AT46" s="18">
        <f t="shared" si="48"/>
        <v>0</v>
      </c>
      <c r="AU46" s="19">
        <f t="shared" si="53"/>
        <v>0</v>
      </c>
      <c r="AW46" s="17"/>
      <c r="AX46" s="17"/>
      <c r="AY46" s="17"/>
      <c r="AZ46" s="18">
        <f t="shared" si="49"/>
        <v>0</v>
      </c>
      <c r="BA46" s="19">
        <f t="shared" si="54"/>
        <v>0</v>
      </c>
    </row>
    <row r="47" spans="1:53" ht="17.100000000000001" customHeight="1" x14ac:dyDescent="0.25">
      <c r="A47" s="68"/>
      <c r="B47" s="540"/>
      <c r="C47" s="23"/>
      <c r="D47" s="202" t="s">
        <v>31</v>
      </c>
      <c r="E47" s="85" t="s">
        <v>533</v>
      </c>
      <c r="F47" s="75"/>
      <c r="G47" s="75"/>
      <c r="H47" s="119"/>
      <c r="J47" s="583"/>
      <c r="K47" s="583"/>
      <c r="L47" s="584"/>
      <c r="M47" s="17">
        <f t="shared" si="42"/>
        <v>0</v>
      </c>
      <c r="N47" s="111"/>
      <c r="O47" s="111"/>
      <c r="P47" s="111"/>
      <c r="Q47" s="111"/>
      <c r="R47" s="111"/>
      <c r="S47" s="111"/>
      <c r="T47" s="111"/>
      <c r="U47" s="111"/>
      <c r="V47" s="358"/>
      <c r="W47" s="391">
        <f t="shared" si="43"/>
        <v>0</v>
      </c>
      <c r="X47" s="17">
        <f t="shared" si="44"/>
        <v>0</v>
      </c>
      <c r="Y47" s="18">
        <f t="shared" si="45"/>
        <v>0</v>
      </c>
      <c r="Z47" s="19">
        <f t="shared" si="50"/>
        <v>0</v>
      </c>
      <c r="AA47" s="19"/>
      <c r="AB47" s="19"/>
      <c r="AC47" s="84"/>
      <c r="AE47" s="17"/>
      <c r="AF47" s="17"/>
      <c r="AG47" s="17"/>
      <c r="AH47" s="18">
        <f t="shared" si="46"/>
        <v>0</v>
      </c>
      <c r="AI47" s="19">
        <f t="shared" si="51"/>
        <v>0</v>
      </c>
      <c r="AK47" s="17"/>
      <c r="AL47" s="17"/>
      <c r="AM47" s="17"/>
      <c r="AN47" s="18">
        <f t="shared" si="47"/>
        <v>0</v>
      </c>
      <c r="AO47" s="19">
        <f t="shared" si="52"/>
        <v>0</v>
      </c>
      <c r="AQ47" s="17"/>
      <c r="AR47" s="17"/>
      <c r="AS47" s="17"/>
      <c r="AT47" s="18">
        <f t="shared" si="48"/>
        <v>0</v>
      </c>
      <c r="AU47" s="19">
        <f t="shared" si="53"/>
        <v>0</v>
      </c>
      <c r="AW47" s="17"/>
      <c r="AX47" s="17"/>
      <c r="AY47" s="17"/>
      <c r="AZ47" s="18">
        <f t="shared" si="49"/>
        <v>0</v>
      </c>
      <c r="BA47" s="19">
        <f t="shared" si="54"/>
        <v>0</v>
      </c>
    </row>
    <row r="48" spans="1:53" ht="17.100000000000001" customHeight="1" x14ac:dyDescent="0.25">
      <c r="A48" s="68"/>
      <c r="B48" s="540"/>
      <c r="C48" s="93"/>
      <c r="D48" s="202" t="s">
        <v>374</v>
      </c>
      <c r="E48" s="85" t="s">
        <v>534</v>
      </c>
      <c r="F48" s="75"/>
      <c r="G48" s="75"/>
      <c r="H48" s="119"/>
      <c r="J48" s="581"/>
      <c r="K48" s="581"/>
      <c r="L48" s="582"/>
      <c r="M48" s="17">
        <f t="shared" si="42"/>
        <v>0</v>
      </c>
      <c r="N48" s="111"/>
      <c r="O48" s="111"/>
      <c r="P48" s="111"/>
      <c r="Q48" s="111"/>
      <c r="R48" s="111"/>
      <c r="S48" s="111"/>
      <c r="T48" s="111"/>
      <c r="U48" s="111"/>
      <c r="V48" s="358"/>
      <c r="W48" s="391">
        <f t="shared" si="43"/>
        <v>0</v>
      </c>
      <c r="X48" s="17">
        <f t="shared" si="44"/>
        <v>0</v>
      </c>
      <c r="Y48" s="18">
        <f t="shared" si="45"/>
        <v>0</v>
      </c>
      <c r="Z48" s="19">
        <f t="shared" si="50"/>
        <v>0</v>
      </c>
      <c r="AA48" s="19"/>
      <c r="AB48" s="19"/>
      <c r="AC48" s="84"/>
      <c r="AE48" s="17"/>
      <c r="AF48" s="17"/>
      <c r="AG48" s="17"/>
      <c r="AH48" s="18">
        <f t="shared" si="46"/>
        <v>0</v>
      </c>
      <c r="AI48" s="19">
        <f t="shared" si="51"/>
        <v>0</v>
      </c>
      <c r="AK48" s="17"/>
      <c r="AL48" s="17"/>
      <c r="AM48" s="17"/>
      <c r="AN48" s="18">
        <f t="shared" si="47"/>
        <v>0</v>
      </c>
      <c r="AO48" s="19">
        <f t="shared" si="52"/>
        <v>0</v>
      </c>
      <c r="AQ48" s="17"/>
      <c r="AR48" s="17"/>
      <c r="AS48" s="17"/>
      <c r="AT48" s="18">
        <f t="shared" si="48"/>
        <v>0</v>
      </c>
      <c r="AU48" s="19">
        <f t="shared" si="53"/>
        <v>0</v>
      </c>
      <c r="AW48" s="17"/>
      <c r="AX48" s="17"/>
      <c r="AY48" s="17"/>
      <c r="AZ48" s="18">
        <f t="shared" si="49"/>
        <v>0</v>
      </c>
      <c r="BA48" s="19">
        <f t="shared" si="54"/>
        <v>0</v>
      </c>
    </row>
    <row r="49" spans="1:53" ht="17.100000000000001" customHeight="1" x14ac:dyDescent="0.25">
      <c r="A49" s="68"/>
      <c r="B49" s="540"/>
      <c r="C49" s="93"/>
      <c r="D49" s="202" t="s">
        <v>375</v>
      </c>
      <c r="E49" s="85" t="s">
        <v>535</v>
      </c>
      <c r="F49" s="75"/>
      <c r="G49" s="75"/>
      <c r="H49" s="119"/>
      <c r="J49" s="583"/>
      <c r="K49" s="583"/>
      <c r="L49" s="584"/>
      <c r="M49" s="17">
        <f t="shared" si="42"/>
        <v>0</v>
      </c>
      <c r="N49" s="111"/>
      <c r="O49" s="111"/>
      <c r="P49" s="111"/>
      <c r="Q49" s="111"/>
      <c r="R49" s="111"/>
      <c r="S49" s="111"/>
      <c r="T49" s="111"/>
      <c r="U49" s="111"/>
      <c r="V49" s="358"/>
      <c r="W49" s="391">
        <f t="shared" si="43"/>
        <v>0</v>
      </c>
      <c r="X49" s="17">
        <f t="shared" si="44"/>
        <v>0</v>
      </c>
      <c r="Y49" s="18">
        <f t="shared" si="45"/>
        <v>0</v>
      </c>
      <c r="Z49" s="19">
        <f t="shared" si="50"/>
        <v>0</v>
      </c>
      <c r="AA49" s="19"/>
      <c r="AB49" s="19"/>
      <c r="AC49" s="84"/>
      <c r="AE49" s="17"/>
      <c r="AF49" s="17"/>
      <c r="AG49" s="17"/>
      <c r="AH49" s="18">
        <f t="shared" si="46"/>
        <v>0</v>
      </c>
      <c r="AI49" s="19">
        <f t="shared" si="51"/>
        <v>0</v>
      </c>
      <c r="AK49" s="17"/>
      <c r="AL49" s="17"/>
      <c r="AM49" s="17"/>
      <c r="AN49" s="18">
        <f t="shared" si="47"/>
        <v>0</v>
      </c>
      <c r="AO49" s="19">
        <f t="shared" si="52"/>
        <v>0</v>
      </c>
      <c r="AQ49" s="17"/>
      <c r="AR49" s="17"/>
      <c r="AS49" s="17"/>
      <c r="AT49" s="18">
        <f t="shared" si="48"/>
        <v>0</v>
      </c>
      <c r="AU49" s="19">
        <f t="shared" si="53"/>
        <v>0</v>
      </c>
      <c r="AW49" s="17"/>
      <c r="AX49" s="17"/>
      <c r="AY49" s="17"/>
      <c r="AZ49" s="18">
        <f t="shared" si="49"/>
        <v>0</v>
      </c>
      <c r="BA49" s="19">
        <f t="shared" si="54"/>
        <v>0</v>
      </c>
    </row>
    <row r="50" spans="1:53" ht="17.100000000000001" customHeight="1" x14ac:dyDescent="0.25">
      <c r="A50" s="68"/>
      <c r="B50" s="540"/>
      <c r="C50" s="93"/>
      <c r="D50" s="202" t="s">
        <v>376</v>
      </c>
      <c r="E50" s="85" t="s">
        <v>387</v>
      </c>
      <c r="F50" s="75"/>
      <c r="G50" s="75"/>
      <c r="H50" s="119"/>
      <c r="J50" s="581"/>
      <c r="K50" s="581"/>
      <c r="L50" s="582"/>
      <c r="M50" s="17">
        <f t="shared" si="42"/>
        <v>0</v>
      </c>
      <c r="N50" s="111"/>
      <c r="O50" s="111"/>
      <c r="P50" s="111"/>
      <c r="Q50" s="111"/>
      <c r="R50" s="111"/>
      <c r="S50" s="111"/>
      <c r="T50" s="111"/>
      <c r="U50" s="111"/>
      <c r="V50" s="358"/>
      <c r="W50" s="391">
        <f t="shared" si="43"/>
        <v>0</v>
      </c>
      <c r="X50" s="17">
        <f t="shared" si="44"/>
        <v>0</v>
      </c>
      <c r="Y50" s="18">
        <f t="shared" si="45"/>
        <v>0</v>
      </c>
      <c r="Z50" s="19">
        <f t="shared" si="50"/>
        <v>0</v>
      </c>
      <c r="AA50" s="19"/>
      <c r="AB50" s="19"/>
      <c r="AC50" s="84"/>
      <c r="AE50" s="17"/>
      <c r="AF50" s="17"/>
      <c r="AG50" s="17"/>
      <c r="AH50" s="18">
        <f t="shared" si="46"/>
        <v>0</v>
      </c>
      <c r="AI50" s="19">
        <f t="shared" si="51"/>
        <v>0</v>
      </c>
      <c r="AK50" s="17"/>
      <c r="AL50" s="17"/>
      <c r="AM50" s="17"/>
      <c r="AN50" s="18">
        <f t="shared" si="47"/>
        <v>0</v>
      </c>
      <c r="AO50" s="19">
        <f t="shared" si="52"/>
        <v>0</v>
      </c>
      <c r="AQ50" s="17"/>
      <c r="AR50" s="17"/>
      <c r="AS50" s="17"/>
      <c r="AT50" s="18">
        <f t="shared" si="48"/>
        <v>0</v>
      </c>
      <c r="AU50" s="19">
        <f t="shared" si="53"/>
        <v>0</v>
      </c>
      <c r="AW50" s="17"/>
      <c r="AX50" s="17"/>
      <c r="AY50" s="17"/>
      <c r="AZ50" s="18">
        <f t="shared" si="49"/>
        <v>0</v>
      </c>
      <c r="BA50" s="19">
        <f t="shared" si="54"/>
        <v>0</v>
      </c>
    </row>
    <row r="51" spans="1:53" ht="17.100000000000001" customHeight="1" x14ac:dyDescent="0.25">
      <c r="A51" s="68"/>
      <c r="B51" s="540"/>
      <c r="C51" s="93"/>
      <c r="D51" s="202" t="s">
        <v>377</v>
      </c>
      <c r="E51" s="85" t="s">
        <v>388</v>
      </c>
      <c r="F51" s="75"/>
      <c r="G51" s="75"/>
      <c r="H51" s="119"/>
      <c r="J51" s="583"/>
      <c r="K51" s="583"/>
      <c r="L51" s="584"/>
      <c r="M51" s="17">
        <f t="shared" si="42"/>
        <v>0</v>
      </c>
      <c r="N51" s="111"/>
      <c r="O51" s="111"/>
      <c r="P51" s="111"/>
      <c r="Q51" s="111"/>
      <c r="R51" s="111"/>
      <c r="S51" s="111"/>
      <c r="T51" s="111"/>
      <c r="U51" s="111"/>
      <c r="V51" s="358"/>
      <c r="W51" s="391">
        <f t="shared" si="43"/>
        <v>0</v>
      </c>
      <c r="X51" s="17">
        <f t="shared" si="44"/>
        <v>0</v>
      </c>
      <c r="Y51" s="18">
        <f t="shared" si="45"/>
        <v>0</v>
      </c>
      <c r="Z51" s="19">
        <f t="shared" si="50"/>
        <v>0</v>
      </c>
      <c r="AA51" s="19"/>
      <c r="AB51" s="19"/>
      <c r="AC51" s="84"/>
      <c r="AE51" s="17"/>
      <c r="AF51" s="17"/>
      <c r="AG51" s="17"/>
      <c r="AH51" s="18">
        <f t="shared" si="46"/>
        <v>0</v>
      </c>
      <c r="AI51" s="19">
        <f t="shared" si="51"/>
        <v>0</v>
      </c>
      <c r="AK51" s="17"/>
      <c r="AL51" s="17"/>
      <c r="AM51" s="17"/>
      <c r="AN51" s="18">
        <f t="shared" si="47"/>
        <v>0</v>
      </c>
      <c r="AO51" s="19">
        <f t="shared" si="52"/>
        <v>0</v>
      </c>
      <c r="AQ51" s="17"/>
      <c r="AR51" s="17"/>
      <c r="AS51" s="17"/>
      <c r="AT51" s="18">
        <f t="shared" si="48"/>
        <v>0</v>
      </c>
      <c r="AU51" s="19">
        <f t="shared" si="53"/>
        <v>0</v>
      </c>
      <c r="AW51" s="17"/>
      <c r="AX51" s="17"/>
      <c r="AY51" s="17"/>
      <c r="AZ51" s="18">
        <f t="shared" si="49"/>
        <v>0</v>
      </c>
      <c r="BA51" s="19">
        <f t="shared" si="54"/>
        <v>0</v>
      </c>
    </row>
    <row r="52" spans="1:53" ht="17.100000000000001" customHeight="1" x14ac:dyDescent="0.25">
      <c r="A52" s="68"/>
      <c r="B52" s="540"/>
      <c r="C52" s="93"/>
      <c r="D52" s="202" t="s">
        <v>378</v>
      </c>
      <c r="E52" s="85" t="s">
        <v>532</v>
      </c>
      <c r="F52" s="75"/>
      <c r="G52" s="75"/>
      <c r="H52" s="119"/>
      <c r="J52" s="581"/>
      <c r="K52" s="581"/>
      <c r="L52" s="582"/>
      <c r="M52" s="17">
        <f t="shared" si="42"/>
        <v>0</v>
      </c>
      <c r="N52" s="111"/>
      <c r="O52" s="111"/>
      <c r="P52" s="111"/>
      <c r="Q52" s="111"/>
      <c r="R52" s="111"/>
      <c r="S52" s="111"/>
      <c r="T52" s="111"/>
      <c r="U52" s="111"/>
      <c r="V52" s="358"/>
      <c r="W52" s="391">
        <f t="shared" si="43"/>
        <v>0</v>
      </c>
      <c r="X52" s="17">
        <f t="shared" si="44"/>
        <v>0</v>
      </c>
      <c r="Y52" s="18">
        <f t="shared" si="45"/>
        <v>0</v>
      </c>
      <c r="Z52" s="19">
        <f t="shared" si="50"/>
        <v>0</v>
      </c>
      <c r="AA52" s="19"/>
      <c r="AB52" s="19"/>
      <c r="AC52" s="84"/>
      <c r="AE52" s="17"/>
      <c r="AF52" s="17"/>
      <c r="AG52" s="17"/>
      <c r="AH52" s="18">
        <f t="shared" si="46"/>
        <v>0</v>
      </c>
      <c r="AI52" s="19">
        <f t="shared" si="51"/>
        <v>0</v>
      </c>
      <c r="AK52" s="17"/>
      <c r="AL52" s="17"/>
      <c r="AM52" s="17"/>
      <c r="AN52" s="18">
        <f t="shared" si="47"/>
        <v>0</v>
      </c>
      <c r="AO52" s="19">
        <f t="shared" si="52"/>
        <v>0</v>
      </c>
      <c r="AQ52" s="17"/>
      <c r="AR52" s="17"/>
      <c r="AS52" s="17"/>
      <c r="AT52" s="18">
        <f t="shared" si="48"/>
        <v>0</v>
      </c>
      <c r="AU52" s="19">
        <f t="shared" si="53"/>
        <v>0</v>
      </c>
      <c r="AW52" s="17"/>
      <c r="AX52" s="17"/>
      <c r="AY52" s="17"/>
      <c r="AZ52" s="18">
        <f t="shared" si="49"/>
        <v>0</v>
      </c>
      <c r="BA52" s="19">
        <f t="shared" si="54"/>
        <v>0</v>
      </c>
    </row>
    <row r="53" spans="1:53" ht="17.100000000000001" customHeight="1" x14ac:dyDescent="0.25">
      <c r="A53" s="68"/>
      <c r="B53" s="540"/>
      <c r="C53" s="93"/>
      <c r="D53" s="202" t="s">
        <v>379</v>
      </c>
      <c r="E53" s="85" t="s">
        <v>389</v>
      </c>
      <c r="F53" s="75"/>
      <c r="G53" s="105"/>
      <c r="H53" s="119"/>
      <c r="J53" s="583"/>
      <c r="K53" s="583"/>
      <c r="L53" s="584"/>
      <c r="M53" s="17">
        <f t="shared" si="42"/>
        <v>0</v>
      </c>
      <c r="N53" s="111"/>
      <c r="O53" s="111"/>
      <c r="P53" s="111"/>
      <c r="Q53" s="111"/>
      <c r="R53" s="111"/>
      <c r="S53" s="111"/>
      <c r="T53" s="111"/>
      <c r="U53" s="111"/>
      <c r="V53" s="358"/>
      <c r="W53" s="391">
        <f t="shared" si="43"/>
        <v>0</v>
      </c>
      <c r="X53" s="17">
        <f t="shared" si="44"/>
        <v>0</v>
      </c>
      <c r="Y53" s="18">
        <f t="shared" si="45"/>
        <v>0</v>
      </c>
      <c r="Z53" s="19">
        <f t="shared" si="50"/>
        <v>0</v>
      </c>
      <c r="AA53" s="19"/>
      <c r="AB53" s="19"/>
      <c r="AC53" s="84"/>
      <c r="AE53" s="17"/>
      <c r="AF53" s="17"/>
      <c r="AG53" s="17"/>
      <c r="AH53" s="18">
        <f t="shared" si="46"/>
        <v>0</v>
      </c>
      <c r="AI53" s="19">
        <f t="shared" si="51"/>
        <v>0</v>
      </c>
      <c r="AK53" s="17"/>
      <c r="AL53" s="17"/>
      <c r="AM53" s="17"/>
      <c r="AN53" s="18">
        <f t="shared" si="47"/>
        <v>0</v>
      </c>
      <c r="AO53" s="19">
        <f t="shared" si="52"/>
        <v>0</v>
      </c>
      <c r="AQ53" s="17"/>
      <c r="AR53" s="17"/>
      <c r="AS53" s="17"/>
      <c r="AT53" s="18">
        <f t="shared" si="48"/>
        <v>0</v>
      </c>
      <c r="AU53" s="19">
        <f t="shared" si="53"/>
        <v>0</v>
      </c>
      <c r="AW53" s="17"/>
      <c r="AX53" s="17"/>
      <c r="AY53" s="17"/>
      <c r="AZ53" s="18">
        <f t="shared" si="49"/>
        <v>0</v>
      </c>
      <c r="BA53" s="19">
        <f t="shared" si="54"/>
        <v>0</v>
      </c>
    </row>
    <row r="54" spans="1:53" ht="17.100000000000001" customHeight="1" x14ac:dyDescent="0.25">
      <c r="A54" s="68"/>
      <c r="B54" s="540"/>
      <c r="C54" s="93"/>
      <c r="D54" s="202" t="s">
        <v>380</v>
      </c>
      <c r="E54" s="85" t="s">
        <v>390</v>
      </c>
      <c r="F54" s="75"/>
      <c r="G54" s="105"/>
      <c r="H54" s="119"/>
      <c r="J54" s="581"/>
      <c r="K54" s="581"/>
      <c r="L54" s="582"/>
      <c r="M54" s="17">
        <f t="shared" si="42"/>
        <v>0</v>
      </c>
      <c r="N54" s="111"/>
      <c r="O54" s="111"/>
      <c r="P54" s="111"/>
      <c r="Q54" s="111"/>
      <c r="R54" s="111"/>
      <c r="S54" s="111"/>
      <c r="T54" s="111"/>
      <c r="U54" s="111"/>
      <c r="V54" s="358"/>
      <c r="W54" s="391">
        <f t="shared" si="43"/>
        <v>0</v>
      </c>
      <c r="X54" s="17">
        <f t="shared" si="44"/>
        <v>0</v>
      </c>
      <c r="Y54" s="18">
        <f t="shared" si="45"/>
        <v>0</v>
      </c>
      <c r="Z54" s="19">
        <f t="shared" si="50"/>
        <v>0</v>
      </c>
      <c r="AA54" s="19"/>
      <c r="AB54" s="19"/>
      <c r="AC54" s="84"/>
      <c r="AE54" s="17"/>
      <c r="AF54" s="17"/>
      <c r="AG54" s="17"/>
      <c r="AH54" s="18">
        <f t="shared" si="46"/>
        <v>0</v>
      </c>
      <c r="AI54" s="19">
        <f t="shared" si="51"/>
        <v>0</v>
      </c>
      <c r="AK54" s="17"/>
      <c r="AL54" s="17"/>
      <c r="AM54" s="17"/>
      <c r="AN54" s="18">
        <f t="shared" si="47"/>
        <v>0</v>
      </c>
      <c r="AO54" s="19">
        <f t="shared" si="52"/>
        <v>0</v>
      </c>
      <c r="AQ54" s="17"/>
      <c r="AR54" s="17"/>
      <c r="AS54" s="17"/>
      <c r="AT54" s="18">
        <f t="shared" si="48"/>
        <v>0</v>
      </c>
      <c r="AU54" s="19">
        <f t="shared" si="53"/>
        <v>0</v>
      </c>
      <c r="AW54" s="17"/>
      <c r="AX54" s="17"/>
      <c r="AY54" s="17"/>
      <c r="AZ54" s="18">
        <f t="shared" si="49"/>
        <v>0</v>
      </c>
      <c r="BA54" s="19">
        <f t="shared" si="54"/>
        <v>0</v>
      </c>
    </row>
    <row r="55" spans="1:53" ht="17.100000000000001" customHeight="1" x14ac:dyDescent="0.25">
      <c r="A55" s="68"/>
      <c r="B55" s="540"/>
      <c r="C55" s="93"/>
      <c r="D55" s="202" t="s">
        <v>381</v>
      </c>
      <c r="E55" s="85" t="s">
        <v>536</v>
      </c>
      <c r="F55" s="75"/>
      <c r="G55" s="105"/>
      <c r="H55" s="119"/>
      <c r="J55" s="583"/>
      <c r="K55" s="583"/>
      <c r="L55" s="584"/>
      <c r="M55" s="17">
        <f t="shared" si="42"/>
        <v>0</v>
      </c>
      <c r="N55" s="111"/>
      <c r="O55" s="111"/>
      <c r="P55" s="111"/>
      <c r="Q55" s="111"/>
      <c r="R55" s="111"/>
      <c r="S55" s="111"/>
      <c r="T55" s="111"/>
      <c r="U55" s="111"/>
      <c r="V55" s="358"/>
      <c r="W55" s="391">
        <f t="shared" si="43"/>
        <v>0</v>
      </c>
      <c r="X55" s="17">
        <f t="shared" si="44"/>
        <v>0</v>
      </c>
      <c r="Y55" s="18">
        <f t="shared" si="45"/>
        <v>0</v>
      </c>
      <c r="Z55" s="19">
        <f t="shared" si="50"/>
        <v>0</v>
      </c>
      <c r="AA55" s="19"/>
      <c r="AB55" s="19"/>
      <c r="AC55" s="84"/>
      <c r="AE55" s="17"/>
      <c r="AF55" s="17"/>
      <c r="AG55" s="17"/>
      <c r="AH55" s="18">
        <f t="shared" si="46"/>
        <v>0</v>
      </c>
      <c r="AI55" s="19">
        <f t="shared" si="51"/>
        <v>0</v>
      </c>
      <c r="AK55" s="17"/>
      <c r="AL55" s="17"/>
      <c r="AM55" s="17"/>
      <c r="AN55" s="18">
        <f t="shared" si="47"/>
        <v>0</v>
      </c>
      <c r="AO55" s="19">
        <f t="shared" si="52"/>
        <v>0</v>
      </c>
      <c r="AQ55" s="17"/>
      <c r="AR55" s="17"/>
      <c r="AS55" s="17"/>
      <c r="AT55" s="18">
        <f t="shared" si="48"/>
        <v>0</v>
      </c>
      <c r="AU55" s="19">
        <f t="shared" si="53"/>
        <v>0</v>
      </c>
      <c r="AW55" s="17"/>
      <c r="AX55" s="17"/>
      <c r="AY55" s="17"/>
      <c r="AZ55" s="18">
        <f t="shared" si="49"/>
        <v>0</v>
      </c>
      <c r="BA55" s="19">
        <f t="shared" si="54"/>
        <v>0</v>
      </c>
    </row>
    <row r="56" spans="1:53" ht="17.100000000000001" customHeight="1" x14ac:dyDescent="0.25">
      <c r="A56" s="68"/>
      <c r="B56" s="540"/>
      <c r="C56" s="93"/>
      <c r="D56" s="202" t="s">
        <v>382</v>
      </c>
      <c r="E56" s="85" t="s">
        <v>391</v>
      </c>
      <c r="F56" s="75"/>
      <c r="G56" s="105"/>
      <c r="H56" s="119"/>
      <c r="J56" s="581"/>
      <c r="K56" s="581"/>
      <c r="L56" s="582"/>
      <c r="M56" s="17">
        <f t="shared" si="42"/>
        <v>0</v>
      </c>
      <c r="N56" s="111"/>
      <c r="O56" s="111"/>
      <c r="P56" s="111"/>
      <c r="Q56" s="111"/>
      <c r="R56" s="111"/>
      <c r="S56" s="111"/>
      <c r="T56" s="111"/>
      <c r="U56" s="111"/>
      <c r="V56" s="358"/>
      <c r="W56" s="391">
        <f t="shared" si="43"/>
        <v>0</v>
      </c>
      <c r="X56" s="17">
        <f t="shared" si="44"/>
        <v>0</v>
      </c>
      <c r="Y56" s="18">
        <f t="shared" si="45"/>
        <v>0</v>
      </c>
      <c r="Z56" s="19">
        <f t="shared" si="50"/>
        <v>0</v>
      </c>
      <c r="AA56" s="19"/>
      <c r="AB56" s="19"/>
      <c r="AC56" s="84"/>
      <c r="AE56" s="17"/>
      <c r="AF56" s="17"/>
      <c r="AG56" s="17"/>
      <c r="AH56" s="18">
        <f t="shared" si="46"/>
        <v>0</v>
      </c>
      <c r="AI56" s="19">
        <f t="shared" si="51"/>
        <v>0</v>
      </c>
      <c r="AK56" s="17"/>
      <c r="AL56" s="17"/>
      <c r="AM56" s="17"/>
      <c r="AN56" s="18">
        <f t="shared" si="47"/>
        <v>0</v>
      </c>
      <c r="AO56" s="19">
        <f t="shared" si="52"/>
        <v>0</v>
      </c>
      <c r="AQ56" s="17"/>
      <c r="AR56" s="17"/>
      <c r="AS56" s="17"/>
      <c r="AT56" s="18">
        <f t="shared" si="48"/>
        <v>0</v>
      </c>
      <c r="AU56" s="19">
        <f t="shared" si="53"/>
        <v>0</v>
      </c>
      <c r="AW56" s="17"/>
      <c r="AX56" s="17"/>
      <c r="AY56" s="17"/>
      <c r="AZ56" s="18">
        <f t="shared" si="49"/>
        <v>0</v>
      </c>
      <c r="BA56" s="19">
        <f t="shared" si="54"/>
        <v>0</v>
      </c>
    </row>
    <row r="57" spans="1:53" ht="17.100000000000001" customHeight="1" x14ac:dyDescent="0.25">
      <c r="A57" s="68"/>
      <c r="B57" s="540"/>
      <c r="C57" s="93"/>
      <c r="D57" s="202" t="s">
        <v>383</v>
      </c>
      <c r="E57" s="85" t="s">
        <v>392</v>
      </c>
      <c r="F57" s="75"/>
      <c r="G57" s="105"/>
      <c r="H57" s="119"/>
      <c r="J57" s="583"/>
      <c r="K57" s="583"/>
      <c r="L57" s="584"/>
      <c r="M57" s="17">
        <f t="shared" si="42"/>
        <v>0</v>
      </c>
      <c r="N57" s="111"/>
      <c r="O57" s="111"/>
      <c r="P57" s="111"/>
      <c r="Q57" s="111"/>
      <c r="R57" s="111"/>
      <c r="S57" s="111"/>
      <c r="T57" s="111"/>
      <c r="U57" s="111"/>
      <c r="V57" s="358"/>
      <c r="W57" s="391">
        <f t="shared" si="43"/>
        <v>0</v>
      </c>
      <c r="X57" s="17">
        <f t="shared" si="44"/>
        <v>0</v>
      </c>
      <c r="Y57" s="18">
        <f t="shared" si="45"/>
        <v>0</v>
      </c>
      <c r="Z57" s="19">
        <f t="shared" si="50"/>
        <v>0</v>
      </c>
      <c r="AA57" s="19"/>
      <c r="AB57" s="19"/>
      <c r="AC57" s="84"/>
      <c r="AE57" s="17"/>
      <c r="AF57" s="17"/>
      <c r="AG57" s="17"/>
      <c r="AH57" s="18">
        <f t="shared" si="46"/>
        <v>0</v>
      </c>
      <c r="AI57" s="19">
        <f t="shared" si="51"/>
        <v>0</v>
      </c>
      <c r="AK57" s="17"/>
      <c r="AL57" s="17"/>
      <c r="AM57" s="17"/>
      <c r="AN57" s="18">
        <f t="shared" si="47"/>
        <v>0</v>
      </c>
      <c r="AO57" s="19">
        <f t="shared" si="52"/>
        <v>0</v>
      </c>
      <c r="AQ57" s="17"/>
      <c r="AR57" s="17"/>
      <c r="AS57" s="17"/>
      <c r="AT57" s="18">
        <f t="shared" si="48"/>
        <v>0</v>
      </c>
      <c r="AU57" s="19">
        <f t="shared" si="53"/>
        <v>0</v>
      </c>
      <c r="AW57" s="17"/>
      <c r="AX57" s="17"/>
      <c r="AY57" s="17"/>
      <c r="AZ57" s="18">
        <f t="shared" si="49"/>
        <v>0</v>
      </c>
      <c r="BA57" s="19">
        <f t="shared" si="54"/>
        <v>0</v>
      </c>
    </row>
    <row r="58" spans="1:53" ht="17.100000000000001" customHeight="1" x14ac:dyDescent="0.25">
      <c r="A58" s="40"/>
      <c r="B58" s="40"/>
      <c r="C58" s="77"/>
      <c r="D58" s="78"/>
      <c r="E58" s="78"/>
      <c r="F58" s="78"/>
      <c r="G58" s="78"/>
      <c r="H58" s="242"/>
      <c r="I58" s="230"/>
      <c r="J58" s="80">
        <f>SUM(J44:J57)</f>
        <v>0</v>
      </c>
      <c r="K58" s="80">
        <f t="shared" ref="K58:M58" si="55">SUM(K44:K57)</f>
        <v>0</v>
      </c>
      <c r="L58" s="80">
        <f t="shared" si="55"/>
        <v>0</v>
      </c>
      <c r="M58" s="80">
        <f t="shared" si="55"/>
        <v>0</v>
      </c>
      <c r="N58" s="80"/>
      <c r="O58" s="80"/>
      <c r="P58" s="80"/>
      <c r="Q58" s="81"/>
      <c r="R58" s="81"/>
      <c r="S58" s="81"/>
      <c r="T58" s="81"/>
      <c r="U58" s="81"/>
      <c r="V58" s="356"/>
      <c r="W58" s="381">
        <f>SUM(W44:W57)</f>
        <v>0</v>
      </c>
      <c r="X58" s="82">
        <f t="shared" ref="X58:Y58" si="56">SUM(X44:X57)</f>
        <v>0</v>
      </c>
      <c r="Y58" s="82">
        <f t="shared" si="56"/>
        <v>0</v>
      </c>
      <c r="Z58" s="205">
        <f t="shared" si="50"/>
        <v>0</v>
      </c>
      <c r="AA58" s="205"/>
      <c r="AB58" s="205"/>
      <c r="AC58" s="83"/>
      <c r="AE58" s="81"/>
      <c r="AF58" s="81"/>
      <c r="AG58" s="81"/>
      <c r="AH58" s="82">
        <f>SUM(AH44:AH57)</f>
        <v>0</v>
      </c>
      <c r="AI58" s="66">
        <f t="shared" si="51"/>
        <v>0</v>
      </c>
      <c r="AK58" s="81"/>
      <c r="AL58" s="81"/>
      <c r="AM58" s="81"/>
      <c r="AN58" s="82">
        <f>SUM(AN44:AN57)</f>
        <v>0</v>
      </c>
      <c r="AO58" s="66">
        <f t="shared" si="52"/>
        <v>0</v>
      </c>
      <c r="AQ58" s="81"/>
      <c r="AR58" s="81"/>
      <c r="AS58" s="81"/>
      <c r="AT58" s="82">
        <f>SUM(AT44:AT57)</f>
        <v>0</v>
      </c>
      <c r="AU58" s="66">
        <f t="shared" si="53"/>
        <v>0</v>
      </c>
      <c r="AW58" s="81"/>
      <c r="AX58" s="81"/>
      <c r="AY58" s="81"/>
      <c r="AZ58" s="82">
        <f>SUM(AZ44:AZ57)</f>
        <v>0</v>
      </c>
      <c r="BA58" s="66">
        <f t="shared" si="54"/>
        <v>0</v>
      </c>
    </row>
    <row r="59" spans="1:53" s="117" customFormat="1" ht="17.100000000000001" customHeight="1" x14ac:dyDescent="0.25">
      <c r="A59" s="119"/>
      <c r="B59" s="119"/>
      <c r="C59" s="540"/>
      <c r="D59" s="212"/>
      <c r="E59" s="212"/>
      <c r="F59" s="212"/>
      <c r="G59" s="212"/>
      <c r="H59" s="242"/>
      <c r="I59" s="230"/>
      <c r="J59" s="17" t="str">
        <f>IF(J58=J$15,"OK","NOK")</f>
        <v>OK</v>
      </c>
      <c r="K59" s="17" t="str">
        <f t="shared" ref="K59:L59" si="57">IF(K58=K$15,"OK","NOK")</f>
        <v>OK</v>
      </c>
      <c r="L59" s="17" t="str">
        <f t="shared" si="57"/>
        <v>OK</v>
      </c>
      <c r="M59" s="17"/>
      <c r="N59" s="17"/>
      <c r="O59" s="17"/>
      <c r="P59" s="17"/>
      <c r="Q59" s="17"/>
      <c r="R59" s="17"/>
      <c r="S59" s="17"/>
      <c r="T59" s="17"/>
      <c r="U59" s="17"/>
      <c r="V59" s="359"/>
      <c r="W59" s="382"/>
      <c r="X59" s="539"/>
      <c r="Y59" s="539"/>
      <c r="Z59" s="201"/>
      <c r="AA59" s="201"/>
      <c r="AB59" s="201"/>
      <c r="AC59" s="84"/>
      <c r="AE59" s="17"/>
      <c r="AF59" s="17"/>
      <c r="AG59" s="17"/>
      <c r="AH59" s="539"/>
      <c r="AI59" s="91"/>
      <c r="AK59" s="17"/>
      <c r="AL59" s="17"/>
      <c r="AM59" s="17"/>
      <c r="AN59" s="539"/>
      <c r="AO59" s="91"/>
      <c r="AQ59" s="17"/>
      <c r="AR59" s="17"/>
      <c r="AS59" s="17"/>
      <c r="AT59" s="539"/>
      <c r="AU59" s="91"/>
      <c r="AW59" s="17"/>
      <c r="AX59" s="17"/>
      <c r="AY59" s="17"/>
      <c r="AZ59" s="539"/>
      <c r="BA59" s="91"/>
    </row>
    <row r="60" spans="1:53" ht="17.100000000000001" customHeight="1" x14ac:dyDescent="0.25">
      <c r="A60" s="102"/>
      <c r="B60" s="102"/>
      <c r="C60" s="103" t="s">
        <v>33</v>
      </c>
      <c r="D60" s="110" t="s">
        <v>736</v>
      </c>
      <c r="E60" s="108"/>
      <c r="F60" s="108"/>
      <c r="G60" s="108"/>
      <c r="H60" s="258"/>
      <c r="I60" s="232"/>
      <c r="J60" s="111"/>
      <c r="K60" s="111"/>
      <c r="L60" s="111"/>
      <c r="M60" s="111"/>
      <c r="N60" s="111"/>
      <c r="O60" s="111"/>
      <c r="P60" s="111"/>
      <c r="Q60" s="111"/>
      <c r="R60" s="111"/>
      <c r="S60" s="111"/>
      <c r="T60" s="111"/>
      <c r="U60" s="111"/>
      <c r="V60" s="358"/>
      <c r="W60" s="380"/>
      <c r="X60" s="111"/>
      <c r="Y60" s="112"/>
      <c r="Z60" s="113"/>
      <c r="AA60" s="113"/>
      <c r="AB60" s="113"/>
      <c r="AC60" s="113"/>
      <c r="AE60" s="114"/>
      <c r="AF60" s="114"/>
      <c r="AG60" s="114"/>
      <c r="AH60" s="112"/>
      <c r="AI60" s="113"/>
      <c r="AK60" s="114"/>
      <c r="AL60" s="114"/>
      <c r="AM60" s="114"/>
      <c r="AN60" s="112"/>
      <c r="AO60" s="113"/>
      <c r="AQ60" s="114"/>
      <c r="AR60" s="114"/>
      <c r="AS60" s="114"/>
      <c r="AT60" s="112"/>
      <c r="AU60" s="113"/>
      <c r="AW60" s="114"/>
      <c r="AX60" s="114"/>
      <c r="AY60" s="114"/>
      <c r="AZ60" s="112"/>
      <c r="BA60" s="113"/>
    </row>
    <row r="61" spans="1:53" s="117" customFormat="1" ht="17.100000000000001" customHeight="1" x14ac:dyDescent="0.25">
      <c r="A61" s="540"/>
      <c r="B61" s="23"/>
      <c r="C61" s="23"/>
      <c r="D61" s="74" t="s">
        <v>34</v>
      </c>
      <c r="E61" s="75" t="s">
        <v>26</v>
      </c>
      <c r="F61" s="75"/>
      <c r="G61" s="75"/>
      <c r="H61" s="540"/>
      <c r="I61" s="229"/>
      <c r="J61" s="152"/>
      <c r="K61" s="152"/>
      <c r="L61" s="111"/>
      <c r="M61" s="111"/>
      <c r="N61" s="60">
        <v>1</v>
      </c>
      <c r="O61" s="60">
        <v>5</v>
      </c>
      <c r="P61" s="17">
        <f>SUM(N61:O61)</f>
        <v>6</v>
      </c>
      <c r="Q61" s="60">
        <v>2</v>
      </c>
      <c r="R61" s="60">
        <v>3</v>
      </c>
      <c r="S61" s="17">
        <f>SUM(Q61:R61)</f>
        <v>5</v>
      </c>
      <c r="T61" s="60"/>
      <c r="U61" s="60"/>
      <c r="V61" s="359">
        <f>SUM(T61:U61)</f>
        <v>0</v>
      </c>
      <c r="W61" s="391">
        <f t="shared" ref="W61:W64" si="58">J61+K61+N61+Q61+T61</f>
        <v>3</v>
      </c>
      <c r="X61" s="17">
        <f t="shared" ref="X61:X64" si="59">L61+O61+R61+U61</f>
        <v>8</v>
      </c>
      <c r="Y61" s="18">
        <f>SUM(W61:X61)</f>
        <v>11</v>
      </c>
      <c r="Z61" s="19">
        <f>IF(Y$65=0,0,Y61/Y$65)</f>
        <v>0.7857142857142857</v>
      </c>
      <c r="AA61" s="19"/>
      <c r="AB61" s="19"/>
      <c r="AC61" s="84"/>
      <c r="AE61" s="111"/>
      <c r="AF61" s="111"/>
      <c r="AG61" s="111"/>
      <c r="AH61" s="112"/>
      <c r="AI61" s="113"/>
      <c r="AK61" s="111"/>
      <c r="AL61" s="111"/>
      <c r="AM61" s="111"/>
      <c r="AN61" s="112"/>
      <c r="AO61" s="113"/>
      <c r="AQ61" s="17"/>
      <c r="AR61" s="17"/>
      <c r="AS61" s="17"/>
      <c r="AT61" s="18">
        <f>W61</f>
        <v>3</v>
      </c>
      <c r="AU61" s="19">
        <f>IF(AT$65=0,0,AT61/AT$65)</f>
        <v>0.75</v>
      </c>
      <c r="AW61" s="17"/>
      <c r="AX61" s="17"/>
      <c r="AY61" s="17"/>
      <c r="AZ61" s="18">
        <f>X61</f>
        <v>8</v>
      </c>
      <c r="BA61" s="19">
        <f>IF(AZ$65=0,0,AZ61/AZ$65)</f>
        <v>0.8</v>
      </c>
    </row>
    <row r="62" spans="1:53" s="117" customFormat="1" ht="17.100000000000001" customHeight="1" x14ac:dyDescent="0.25">
      <c r="A62" s="540"/>
      <c r="B62" s="23"/>
      <c r="C62" s="23"/>
      <c r="D62" s="74" t="s">
        <v>36</v>
      </c>
      <c r="E62" s="75" t="s">
        <v>28</v>
      </c>
      <c r="F62" s="75"/>
      <c r="G62" s="75"/>
      <c r="H62" s="540"/>
      <c r="I62" s="229"/>
      <c r="J62" s="152"/>
      <c r="K62" s="152"/>
      <c r="L62" s="111"/>
      <c r="M62" s="111"/>
      <c r="N62" s="61"/>
      <c r="O62" s="61"/>
      <c r="P62" s="17">
        <f>SUM(N62:O62)</f>
        <v>0</v>
      </c>
      <c r="Q62" s="61">
        <v>1</v>
      </c>
      <c r="R62" s="61">
        <v>2</v>
      </c>
      <c r="S62" s="17">
        <f>SUM(Q62:R62)</f>
        <v>3</v>
      </c>
      <c r="T62" s="61"/>
      <c r="U62" s="61"/>
      <c r="V62" s="359">
        <f>SUM(T62:U62)</f>
        <v>0</v>
      </c>
      <c r="W62" s="391">
        <f t="shared" si="58"/>
        <v>1</v>
      </c>
      <c r="X62" s="17">
        <f t="shared" si="59"/>
        <v>2</v>
      </c>
      <c r="Y62" s="18">
        <f>SUM(W62:X62)</f>
        <v>3</v>
      </c>
      <c r="Z62" s="19">
        <f t="shared" ref="Z62:Z65" si="60">IF(Y$65=0,0,Y62/Y$65)</f>
        <v>0.21428571428571427</v>
      </c>
      <c r="AA62" s="19"/>
      <c r="AB62" s="19"/>
      <c r="AC62" s="84"/>
      <c r="AE62" s="111"/>
      <c r="AF62" s="111"/>
      <c r="AG62" s="111"/>
      <c r="AH62" s="112"/>
      <c r="AI62" s="113"/>
      <c r="AK62" s="111"/>
      <c r="AL62" s="111"/>
      <c r="AM62" s="111"/>
      <c r="AN62" s="112"/>
      <c r="AO62" s="113"/>
      <c r="AQ62" s="17"/>
      <c r="AR62" s="17"/>
      <c r="AS62" s="17"/>
      <c r="AT62" s="18">
        <f t="shared" ref="AT62:AT64" si="61">W62</f>
        <v>1</v>
      </c>
      <c r="AU62" s="19">
        <f t="shared" ref="AU62:AU65" si="62">IF(AT$65=0,0,AT62/AT$65)</f>
        <v>0.25</v>
      </c>
      <c r="AW62" s="17"/>
      <c r="AX62" s="17"/>
      <c r="AY62" s="17"/>
      <c r="AZ62" s="18">
        <f t="shared" ref="AZ62:AZ64" si="63">X62</f>
        <v>2</v>
      </c>
      <c r="BA62" s="19">
        <f t="shared" ref="BA62:BA65" si="64">IF(AZ$65=0,0,AZ62/AZ$65)</f>
        <v>0.2</v>
      </c>
    </row>
    <row r="63" spans="1:53" s="117" customFormat="1" ht="17.100000000000001" customHeight="1" x14ac:dyDescent="0.25">
      <c r="A63" s="540"/>
      <c r="B63" s="23"/>
      <c r="C63" s="23"/>
      <c r="D63" s="74" t="s">
        <v>38</v>
      </c>
      <c r="E63" s="75" t="s">
        <v>30</v>
      </c>
      <c r="F63" s="75"/>
      <c r="G63" s="75"/>
      <c r="H63" s="540"/>
      <c r="I63" s="229"/>
      <c r="J63" s="152"/>
      <c r="K63" s="152"/>
      <c r="L63" s="111"/>
      <c r="M63" s="111"/>
      <c r="N63" s="60"/>
      <c r="O63" s="60"/>
      <c r="P63" s="17">
        <f>SUM(N63:O63)</f>
        <v>0</v>
      </c>
      <c r="Q63" s="60"/>
      <c r="R63" s="60"/>
      <c r="S63" s="17">
        <f>SUM(Q63:R63)</f>
        <v>0</v>
      </c>
      <c r="T63" s="60"/>
      <c r="U63" s="60"/>
      <c r="V63" s="359">
        <f>SUM(T63:U63)</f>
        <v>0</v>
      </c>
      <c r="W63" s="391">
        <f t="shared" si="58"/>
        <v>0</v>
      </c>
      <c r="X63" s="17">
        <f t="shared" si="59"/>
        <v>0</v>
      </c>
      <c r="Y63" s="18">
        <f>SUM(W63:X63)</f>
        <v>0</v>
      </c>
      <c r="Z63" s="19">
        <f t="shared" si="60"/>
        <v>0</v>
      </c>
      <c r="AA63" s="19"/>
      <c r="AB63" s="19"/>
      <c r="AC63" s="84"/>
      <c r="AE63" s="111"/>
      <c r="AF63" s="111"/>
      <c r="AG63" s="111"/>
      <c r="AH63" s="112"/>
      <c r="AI63" s="113"/>
      <c r="AK63" s="111"/>
      <c r="AL63" s="111"/>
      <c r="AM63" s="111"/>
      <c r="AN63" s="112"/>
      <c r="AO63" s="113"/>
      <c r="AQ63" s="17"/>
      <c r="AR63" s="17"/>
      <c r="AS63" s="17"/>
      <c r="AT63" s="18">
        <f t="shared" si="61"/>
        <v>0</v>
      </c>
      <c r="AU63" s="19">
        <f t="shared" si="62"/>
        <v>0</v>
      </c>
      <c r="AW63" s="17"/>
      <c r="AX63" s="17"/>
      <c r="AY63" s="17"/>
      <c r="AZ63" s="18">
        <f t="shared" si="63"/>
        <v>0</v>
      </c>
      <c r="BA63" s="19">
        <f t="shared" si="64"/>
        <v>0</v>
      </c>
    </row>
    <row r="64" spans="1:53" s="117" customFormat="1" ht="17.100000000000001" customHeight="1" x14ac:dyDescent="0.25">
      <c r="A64" s="540"/>
      <c r="B64" s="23"/>
      <c r="C64" s="23"/>
      <c r="D64" s="74" t="s">
        <v>40</v>
      </c>
      <c r="E64" s="75" t="s">
        <v>32</v>
      </c>
      <c r="F64" s="75"/>
      <c r="G64" s="75"/>
      <c r="H64" s="540"/>
      <c r="I64" s="229"/>
      <c r="J64" s="152"/>
      <c r="K64" s="152"/>
      <c r="L64" s="111"/>
      <c r="M64" s="111"/>
      <c r="N64" s="61"/>
      <c r="O64" s="61"/>
      <c r="P64" s="17">
        <f>SUM(N64:O64)</f>
        <v>0</v>
      </c>
      <c r="Q64" s="61"/>
      <c r="R64" s="61"/>
      <c r="S64" s="17">
        <f>SUM(Q64:R64)</f>
        <v>0</v>
      </c>
      <c r="T64" s="61"/>
      <c r="U64" s="61"/>
      <c r="V64" s="359">
        <f>SUM(T64:U64)</f>
        <v>0</v>
      </c>
      <c r="W64" s="391">
        <f t="shared" si="58"/>
        <v>0</v>
      </c>
      <c r="X64" s="17">
        <f t="shared" si="59"/>
        <v>0</v>
      </c>
      <c r="Y64" s="18">
        <f>SUM(W64:X64)</f>
        <v>0</v>
      </c>
      <c r="Z64" s="19">
        <f t="shared" si="60"/>
        <v>0</v>
      </c>
      <c r="AA64" s="19"/>
      <c r="AB64" s="19"/>
      <c r="AC64" s="84"/>
      <c r="AE64" s="111"/>
      <c r="AF64" s="111"/>
      <c r="AG64" s="111"/>
      <c r="AH64" s="112"/>
      <c r="AI64" s="113"/>
      <c r="AK64" s="111"/>
      <c r="AL64" s="111"/>
      <c r="AM64" s="111"/>
      <c r="AN64" s="112"/>
      <c r="AO64" s="113"/>
      <c r="AQ64" s="17"/>
      <c r="AR64" s="17"/>
      <c r="AS64" s="17"/>
      <c r="AT64" s="18">
        <f t="shared" si="61"/>
        <v>0</v>
      </c>
      <c r="AU64" s="19">
        <f t="shared" si="62"/>
        <v>0</v>
      </c>
      <c r="AW64" s="17"/>
      <c r="AX64" s="17"/>
      <c r="AY64" s="17"/>
      <c r="AZ64" s="18">
        <f t="shared" si="63"/>
        <v>0</v>
      </c>
      <c r="BA64" s="19">
        <f t="shared" si="64"/>
        <v>0</v>
      </c>
    </row>
    <row r="65" spans="1:53" ht="17.100000000000001" customHeight="1" x14ac:dyDescent="0.25">
      <c r="A65" s="40"/>
      <c r="B65" s="40"/>
      <c r="C65" s="77"/>
      <c r="D65" s="78"/>
      <c r="E65" s="78"/>
      <c r="F65" s="78"/>
      <c r="G65" s="78"/>
      <c r="H65" s="242"/>
      <c r="I65" s="230"/>
      <c r="J65" s="80"/>
      <c r="K65" s="80"/>
      <c r="L65" s="81"/>
      <c r="M65" s="81"/>
      <c r="N65" s="81">
        <f t="shared" ref="N65:Y65" si="65">SUM(N61:N64)</f>
        <v>1</v>
      </c>
      <c r="O65" s="81">
        <f t="shared" si="65"/>
        <v>5</v>
      </c>
      <c r="P65" s="81">
        <f t="shared" si="65"/>
        <v>6</v>
      </c>
      <c r="Q65" s="81">
        <f t="shared" si="65"/>
        <v>3</v>
      </c>
      <c r="R65" s="81">
        <f t="shared" si="65"/>
        <v>5</v>
      </c>
      <c r="S65" s="81">
        <f t="shared" si="65"/>
        <v>8</v>
      </c>
      <c r="T65" s="81">
        <f t="shared" si="65"/>
        <v>0</v>
      </c>
      <c r="U65" s="81">
        <f t="shared" si="65"/>
        <v>0</v>
      </c>
      <c r="V65" s="81">
        <f t="shared" si="65"/>
        <v>0</v>
      </c>
      <c r="W65" s="381">
        <f t="shared" si="65"/>
        <v>4</v>
      </c>
      <c r="X65" s="82">
        <f t="shared" si="65"/>
        <v>10</v>
      </c>
      <c r="Y65" s="82">
        <f t="shared" si="65"/>
        <v>14</v>
      </c>
      <c r="Z65" s="205">
        <f t="shared" si="60"/>
        <v>1</v>
      </c>
      <c r="AA65" s="205"/>
      <c r="AB65" s="205"/>
      <c r="AC65" s="83"/>
      <c r="AE65" s="81"/>
      <c r="AF65" s="81"/>
      <c r="AG65" s="81"/>
      <c r="AH65" s="82"/>
      <c r="AI65" s="66"/>
      <c r="AK65" s="81"/>
      <c r="AL65" s="81"/>
      <c r="AM65" s="81"/>
      <c r="AN65" s="82"/>
      <c r="AO65" s="66"/>
      <c r="AQ65" s="81"/>
      <c r="AR65" s="81"/>
      <c r="AS65" s="81"/>
      <c r="AT65" s="82">
        <f>SUM(AT61:AT64)</f>
        <v>4</v>
      </c>
      <c r="AU65" s="66">
        <f t="shared" si="62"/>
        <v>1</v>
      </c>
      <c r="AW65" s="81"/>
      <c r="AX65" s="81"/>
      <c r="AY65" s="81"/>
      <c r="AZ65" s="82">
        <f>SUM(AZ61:AZ64)</f>
        <v>10</v>
      </c>
      <c r="BA65" s="66">
        <f t="shared" si="64"/>
        <v>1</v>
      </c>
    </row>
    <row r="66" spans="1:53" s="117" customFormat="1" ht="17.100000000000001" customHeight="1" x14ac:dyDescent="0.25">
      <c r="A66" s="119"/>
      <c r="B66" s="119"/>
      <c r="C66" s="540"/>
      <c r="D66" s="212"/>
      <c r="E66" s="212"/>
      <c r="F66" s="212"/>
      <c r="G66" s="212"/>
      <c r="H66" s="242"/>
      <c r="I66" s="230"/>
      <c r="J66" s="17"/>
      <c r="K66" s="17"/>
      <c r="L66" s="17"/>
      <c r="M66" s="17"/>
      <c r="N66" s="17" t="str">
        <f>IF(N65=N$20,"OK","NOK")</f>
        <v>OK</v>
      </c>
      <c r="O66" s="17" t="str">
        <f>IF(O65=O$20,"OK","NOK")</f>
        <v>OK</v>
      </c>
      <c r="P66" s="17"/>
      <c r="Q66" s="17" t="str">
        <f>IF(Q65=Q$20,"OK","NOK")</f>
        <v>OK</v>
      </c>
      <c r="R66" s="17" t="str">
        <f>IF(R65=R$20,"OK","NOK")</f>
        <v>OK</v>
      </c>
      <c r="S66" s="17"/>
      <c r="T66" s="17" t="str">
        <f>IF(T65=T$20,"OK","NOK")</f>
        <v>OK</v>
      </c>
      <c r="U66" s="17" t="str">
        <f>IF(U65=U$20,"OK","NOK")</f>
        <v>OK</v>
      </c>
      <c r="V66" s="359"/>
      <c r="W66" s="382"/>
      <c r="X66" s="539"/>
      <c r="Y66" s="539"/>
      <c r="Z66" s="201"/>
      <c r="AA66" s="201"/>
      <c r="AB66" s="201"/>
      <c r="AC66" s="84"/>
      <c r="AE66" s="17"/>
      <c r="AF66" s="17"/>
      <c r="AG66" s="17"/>
      <c r="AH66" s="539"/>
      <c r="AI66" s="91"/>
      <c r="AK66" s="17"/>
      <c r="AL66" s="17"/>
      <c r="AM66" s="17"/>
      <c r="AN66" s="539"/>
      <c r="AO66" s="91"/>
      <c r="AQ66" s="17"/>
      <c r="AR66" s="17"/>
      <c r="AS66" s="17"/>
      <c r="AT66" s="539"/>
      <c r="AU66" s="91"/>
      <c r="AW66" s="17"/>
      <c r="AX66" s="17"/>
      <c r="AY66" s="17"/>
      <c r="AZ66" s="539"/>
      <c r="BA66" s="91"/>
    </row>
    <row r="67" spans="1:53" ht="17.100000000000001" customHeight="1" x14ac:dyDescent="0.25">
      <c r="A67" s="102"/>
      <c r="B67" s="23"/>
      <c r="C67" s="103" t="s">
        <v>393</v>
      </c>
      <c r="D67" s="110" t="s">
        <v>737</v>
      </c>
      <c r="E67" s="313"/>
      <c r="F67" s="313"/>
      <c r="G67" s="313"/>
      <c r="H67" s="313"/>
      <c r="I67" s="313"/>
      <c r="J67" s="314"/>
      <c r="K67" s="111"/>
      <c r="L67" s="111"/>
      <c r="M67" s="111"/>
      <c r="N67" s="111"/>
      <c r="O67" s="111"/>
      <c r="P67" s="111"/>
      <c r="Q67" s="111"/>
      <c r="R67" s="111"/>
      <c r="S67" s="111"/>
      <c r="T67" s="111"/>
      <c r="U67" s="111"/>
      <c r="V67" s="358"/>
      <c r="W67" s="380"/>
      <c r="X67" s="111"/>
      <c r="Y67" s="112"/>
      <c r="Z67" s="113"/>
      <c r="AA67" s="113"/>
      <c r="AB67" s="113"/>
      <c r="AC67" s="113"/>
      <c r="AE67" s="114"/>
      <c r="AF67" s="114"/>
      <c r="AG67" s="114"/>
      <c r="AH67" s="112"/>
      <c r="AI67" s="113"/>
      <c r="AK67" s="114"/>
      <c r="AL67" s="114"/>
      <c r="AM67" s="114"/>
      <c r="AN67" s="112"/>
      <c r="AO67" s="113"/>
      <c r="AQ67" s="114"/>
      <c r="AR67" s="114"/>
      <c r="AS67" s="114"/>
      <c r="AT67" s="112"/>
      <c r="AU67" s="113"/>
      <c r="AW67" s="114"/>
      <c r="AX67" s="114"/>
      <c r="AY67" s="114"/>
      <c r="AZ67" s="112"/>
      <c r="BA67" s="113"/>
    </row>
    <row r="68" spans="1:53" ht="17.100000000000001" customHeight="1" x14ac:dyDescent="0.25">
      <c r="A68" s="102"/>
      <c r="B68" s="118"/>
      <c r="C68" s="118"/>
      <c r="D68" s="103" t="s">
        <v>394</v>
      </c>
      <c r="E68" s="108" t="s">
        <v>35</v>
      </c>
      <c r="F68" s="108"/>
      <c r="G68" s="108"/>
      <c r="H68" s="258"/>
      <c r="I68" s="232"/>
      <c r="J68" s="152"/>
      <c r="K68" s="152"/>
      <c r="L68" s="111"/>
      <c r="M68" s="111"/>
      <c r="N68" s="60">
        <v>1</v>
      </c>
      <c r="O68" s="60">
        <v>5</v>
      </c>
      <c r="P68" s="17">
        <f>SUM(N68:O68)</f>
        <v>6</v>
      </c>
      <c r="Q68" s="60">
        <v>3</v>
      </c>
      <c r="R68" s="60">
        <v>5</v>
      </c>
      <c r="S68" s="17">
        <f>SUM(Q68:R68)</f>
        <v>8</v>
      </c>
      <c r="T68" s="60"/>
      <c r="U68" s="60"/>
      <c r="V68" s="359">
        <f>SUM(T68:U68)</f>
        <v>0</v>
      </c>
      <c r="W68" s="391">
        <f t="shared" ref="W68:W72" si="66">J68+K68+N68+Q68+T68</f>
        <v>4</v>
      </c>
      <c r="X68" s="17">
        <f t="shared" ref="X68:X72" si="67">L68+O68+R68+U68</f>
        <v>10</v>
      </c>
      <c r="Y68" s="18">
        <f>SUM(W68:X68)</f>
        <v>14</v>
      </c>
      <c r="Z68" s="19">
        <f>IF(Y$73=0,0,Y68/Y$73)</f>
        <v>1</v>
      </c>
      <c r="AA68" s="19"/>
      <c r="AB68" s="19"/>
      <c r="AC68" s="20"/>
      <c r="AE68" s="111"/>
      <c r="AF68" s="111"/>
      <c r="AG68" s="111"/>
      <c r="AH68" s="112"/>
      <c r="AI68" s="113"/>
      <c r="AK68" s="111"/>
      <c r="AL68" s="111"/>
      <c r="AM68" s="111"/>
      <c r="AN68" s="112"/>
      <c r="AO68" s="113"/>
      <c r="AQ68" s="17"/>
      <c r="AR68" s="17"/>
      <c r="AS68" s="17"/>
      <c r="AT68" s="18">
        <f t="shared" ref="AT68:AT72" si="68">W68</f>
        <v>4</v>
      </c>
      <c r="AU68" s="19">
        <f>IF(AT$73=0,0,AT68/AT$73)</f>
        <v>1</v>
      </c>
      <c r="AW68" s="17"/>
      <c r="AX68" s="17"/>
      <c r="AY68" s="17"/>
      <c r="AZ68" s="18">
        <f t="shared" ref="AZ68:AZ72" si="69">X68</f>
        <v>10</v>
      </c>
      <c r="BA68" s="19">
        <f>IF(AZ$73=0,0,AZ68/AZ$73)</f>
        <v>1</v>
      </c>
    </row>
    <row r="69" spans="1:53" ht="17.100000000000001" customHeight="1" x14ac:dyDescent="0.25">
      <c r="A69" s="102"/>
      <c r="B69" s="118"/>
      <c r="C69" s="118"/>
      <c r="D69" s="103" t="s">
        <v>395</v>
      </c>
      <c r="E69" s="108" t="s">
        <v>37</v>
      </c>
      <c r="F69" s="108"/>
      <c r="G69" s="108"/>
      <c r="H69" s="258"/>
      <c r="I69" s="232"/>
      <c r="J69" s="152"/>
      <c r="K69" s="152"/>
      <c r="L69" s="111"/>
      <c r="M69" s="111"/>
      <c r="N69" s="61"/>
      <c r="O69" s="61"/>
      <c r="P69" s="17">
        <f>SUM(N69:O69)</f>
        <v>0</v>
      </c>
      <c r="Q69" s="61"/>
      <c r="R69" s="61"/>
      <c r="S69" s="17">
        <f>SUM(Q69:R69)</f>
        <v>0</v>
      </c>
      <c r="T69" s="61"/>
      <c r="U69" s="61"/>
      <c r="V69" s="359">
        <f>SUM(T69:U69)</f>
        <v>0</v>
      </c>
      <c r="W69" s="391">
        <f t="shared" si="66"/>
        <v>0</v>
      </c>
      <c r="X69" s="17">
        <f t="shared" si="67"/>
        <v>0</v>
      </c>
      <c r="Y69" s="18">
        <f>SUM(W69:X69)</f>
        <v>0</v>
      </c>
      <c r="Z69" s="19">
        <f t="shared" ref="Z69:Z73" si="70">IF(Y$73=0,0,Y69/Y$73)</f>
        <v>0</v>
      </c>
      <c r="AA69" s="19"/>
      <c r="AB69" s="19"/>
      <c r="AC69" s="20"/>
      <c r="AE69" s="111"/>
      <c r="AF69" s="111"/>
      <c r="AG69" s="111"/>
      <c r="AH69" s="112"/>
      <c r="AI69" s="113"/>
      <c r="AK69" s="111"/>
      <c r="AL69" s="111"/>
      <c r="AM69" s="111"/>
      <c r="AN69" s="112"/>
      <c r="AO69" s="113"/>
      <c r="AQ69" s="17"/>
      <c r="AR69" s="17"/>
      <c r="AS69" s="17"/>
      <c r="AT69" s="18">
        <f t="shared" si="68"/>
        <v>0</v>
      </c>
      <c r="AU69" s="19">
        <f t="shared" ref="AU69:AU73" si="71">IF(AT$73=0,0,AT69/AT$73)</f>
        <v>0</v>
      </c>
      <c r="AW69" s="17"/>
      <c r="AX69" s="17"/>
      <c r="AY69" s="17"/>
      <c r="AZ69" s="18">
        <f t="shared" si="69"/>
        <v>0</v>
      </c>
      <c r="BA69" s="19">
        <f t="shared" ref="BA69:BA72" si="72">IF(AZ$65=0,0,AZ69/AZ$65)</f>
        <v>0</v>
      </c>
    </row>
    <row r="70" spans="1:53" ht="17.100000000000001" customHeight="1" x14ac:dyDescent="0.25">
      <c r="A70" s="102"/>
      <c r="B70" s="118"/>
      <c r="C70" s="118"/>
      <c r="D70" s="103" t="s">
        <v>396</v>
      </c>
      <c r="E70" s="108" t="s">
        <v>39</v>
      </c>
      <c r="F70" s="108"/>
      <c r="G70" s="108"/>
      <c r="H70" s="258"/>
      <c r="I70" s="232"/>
      <c r="J70" s="152"/>
      <c r="K70" s="152"/>
      <c r="L70" s="111"/>
      <c r="M70" s="111"/>
      <c r="N70" s="60"/>
      <c r="O70" s="60"/>
      <c r="P70" s="17">
        <f>SUM(N70:O70)</f>
        <v>0</v>
      </c>
      <c r="Q70" s="60"/>
      <c r="R70" s="60"/>
      <c r="S70" s="17">
        <f>SUM(Q70:R70)</f>
        <v>0</v>
      </c>
      <c r="T70" s="60"/>
      <c r="U70" s="60"/>
      <c r="V70" s="359">
        <f>SUM(T70:U70)</f>
        <v>0</v>
      </c>
      <c r="W70" s="391">
        <f t="shared" si="66"/>
        <v>0</v>
      </c>
      <c r="X70" s="17">
        <f t="shared" si="67"/>
        <v>0</v>
      </c>
      <c r="Y70" s="18">
        <f>SUM(W70:X70)</f>
        <v>0</v>
      </c>
      <c r="Z70" s="19">
        <f t="shared" si="70"/>
        <v>0</v>
      </c>
      <c r="AA70" s="19"/>
      <c r="AB70" s="19"/>
      <c r="AC70" s="20"/>
      <c r="AE70" s="111"/>
      <c r="AF70" s="111"/>
      <c r="AG70" s="111"/>
      <c r="AH70" s="112"/>
      <c r="AI70" s="113"/>
      <c r="AK70" s="111"/>
      <c r="AL70" s="111"/>
      <c r="AM70" s="111"/>
      <c r="AN70" s="112"/>
      <c r="AO70" s="113"/>
      <c r="AQ70" s="17"/>
      <c r="AR70" s="17"/>
      <c r="AS70" s="17"/>
      <c r="AT70" s="18">
        <f t="shared" si="68"/>
        <v>0</v>
      </c>
      <c r="AU70" s="19">
        <f t="shared" si="71"/>
        <v>0</v>
      </c>
      <c r="AW70" s="17"/>
      <c r="AX70" s="17"/>
      <c r="AY70" s="17"/>
      <c r="AZ70" s="18">
        <f t="shared" si="69"/>
        <v>0</v>
      </c>
      <c r="BA70" s="19">
        <f t="shared" si="72"/>
        <v>0</v>
      </c>
    </row>
    <row r="71" spans="1:53" ht="17.100000000000001" customHeight="1" x14ac:dyDescent="0.25">
      <c r="A71" s="102"/>
      <c r="B71" s="118"/>
      <c r="C71" s="118"/>
      <c r="D71" s="103" t="s">
        <v>397</v>
      </c>
      <c r="E71" s="108" t="s">
        <v>41</v>
      </c>
      <c r="F71" s="108"/>
      <c r="G71" s="108"/>
      <c r="H71" s="258"/>
      <c r="I71" s="232"/>
      <c r="J71" s="152"/>
      <c r="K71" s="152"/>
      <c r="L71" s="111"/>
      <c r="M71" s="111"/>
      <c r="N71" s="61"/>
      <c r="O71" s="61"/>
      <c r="P71" s="17">
        <f>SUM(N71:O71)</f>
        <v>0</v>
      </c>
      <c r="Q71" s="61"/>
      <c r="R71" s="61"/>
      <c r="S71" s="17">
        <f>SUM(Q71:R71)</f>
        <v>0</v>
      </c>
      <c r="T71" s="61"/>
      <c r="U71" s="61"/>
      <c r="V71" s="359">
        <f>SUM(T71:U71)</f>
        <v>0</v>
      </c>
      <c r="W71" s="391">
        <f t="shared" si="66"/>
        <v>0</v>
      </c>
      <c r="X71" s="17">
        <f t="shared" si="67"/>
        <v>0</v>
      </c>
      <c r="Y71" s="18">
        <f>SUM(W71:X71)</f>
        <v>0</v>
      </c>
      <c r="Z71" s="19">
        <f t="shared" si="70"/>
        <v>0</v>
      </c>
      <c r="AA71" s="19"/>
      <c r="AB71" s="19"/>
      <c r="AC71" s="20"/>
      <c r="AE71" s="111"/>
      <c r="AF71" s="111"/>
      <c r="AG71" s="111"/>
      <c r="AH71" s="112"/>
      <c r="AI71" s="113"/>
      <c r="AK71" s="111"/>
      <c r="AL71" s="111"/>
      <c r="AM71" s="111"/>
      <c r="AN71" s="112"/>
      <c r="AO71" s="113"/>
      <c r="AQ71" s="17"/>
      <c r="AR71" s="17"/>
      <c r="AS71" s="17"/>
      <c r="AT71" s="18">
        <f t="shared" si="68"/>
        <v>0</v>
      </c>
      <c r="AU71" s="19">
        <f t="shared" si="71"/>
        <v>0</v>
      </c>
      <c r="AW71" s="17"/>
      <c r="AX71" s="17"/>
      <c r="AY71" s="17"/>
      <c r="AZ71" s="18">
        <f t="shared" si="69"/>
        <v>0</v>
      </c>
      <c r="BA71" s="19">
        <f t="shared" si="72"/>
        <v>0</v>
      </c>
    </row>
    <row r="72" spans="1:53" ht="17.100000000000001" customHeight="1" x14ac:dyDescent="0.25">
      <c r="A72" s="102"/>
      <c r="B72" s="118"/>
      <c r="C72" s="118"/>
      <c r="D72" s="103" t="s">
        <v>398</v>
      </c>
      <c r="E72" s="108" t="s">
        <v>42</v>
      </c>
      <c r="F72" s="108"/>
      <c r="G72" s="108"/>
      <c r="H72" s="258"/>
      <c r="I72" s="232"/>
      <c r="J72" s="152"/>
      <c r="K72" s="152"/>
      <c r="L72" s="111"/>
      <c r="M72" s="111"/>
      <c r="N72" s="60"/>
      <c r="O72" s="60"/>
      <c r="P72" s="17">
        <f>SUM(N72:O72)</f>
        <v>0</v>
      </c>
      <c r="Q72" s="60"/>
      <c r="R72" s="60"/>
      <c r="S72" s="17">
        <f>SUM(Q72:R72)</f>
        <v>0</v>
      </c>
      <c r="T72" s="60"/>
      <c r="U72" s="60"/>
      <c r="V72" s="359">
        <f>SUM(T72:U72)</f>
        <v>0</v>
      </c>
      <c r="W72" s="391">
        <f t="shared" si="66"/>
        <v>0</v>
      </c>
      <c r="X72" s="17">
        <f t="shared" si="67"/>
        <v>0</v>
      </c>
      <c r="Y72" s="18">
        <f>SUM(W72:X72)</f>
        <v>0</v>
      </c>
      <c r="Z72" s="19">
        <f t="shared" si="70"/>
        <v>0</v>
      </c>
      <c r="AA72" s="19"/>
      <c r="AB72" s="19"/>
      <c r="AC72" s="20"/>
      <c r="AE72" s="111"/>
      <c r="AF72" s="111"/>
      <c r="AG72" s="111"/>
      <c r="AH72" s="112"/>
      <c r="AI72" s="113"/>
      <c r="AK72" s="111"/>
      <c r="AL72" s="111"/>
      <c r="AM72" s="111"/>
      <c r="AN72" s="112"/>
      <c r="AO72" s="113"/>
      <c r="AQ72" s="17"/>
      <c r="AR72" s="17"/>
      <c r="AS72" s="17"/>
      <c r="AT72" s="18">
        <f t="shared" si="68"/>
        <v>0</v>
      </c>
      <c r="AU72" s="19">
        <f t="shared" si="71"/>
        <v>0</v>
      </c>
      <c r="AW72" s="17"/>
      <c r="AX72" s="17"/>
      <c r="AY72" s="17"/>
      <c r="AZ72" s="18">
        <f t="shared" si="69"/>
        <v>0</v>
      </c>
      <c r="BA72" s="19">
        <f t="shared" si="72"/>
        <v>0</v>
      </c>
    </row>
    <row r="73" spans="1:53" ht="17.100000000000001" customHeight="1" x14ac:dyDescent="0.25">
      <c r="A73" s="40"/>
      <c r="B73" s="40"/>
      <c r="C73" s="77"/>
      <c r="D73" s="78"/>
      <c r="E73" s="78"/>
      <c r="F73" s="78"/>
      <c r="G73" s="78"/>
      <c r="H73" s="242"/>
      <c r="I73" s="230"/>
      <c r="J73" s="80"/>
      <c r="K73" s="80"/>
      <c r="L73" s="81"/>
      <c r="M73" s="81"/>
      <c r="N73" s="81">
        <f t="shared" ref="N73:X73" si="73">SUM(N68:N72)</f>
        <v>1</v>
      </c>
      <c r="O73" s="81">
        <f t="shared" si="73"/>
        <v>5</v>
      </c>
      <c r="P73" s="81">
        <f t="shared" si="73"/>
        <v>6</v>
      </c>
      <c r="Q73" s="81">
        <f t="shared" si="73"/>
        <v>3</v>
      </c>
      <c r="R73" s="81">
        <f t="shared" si="73"/>
        <v>5</v>
      </c>
      <c r="S73" s="81">
        <f t="shared" si="73"/>
        <v>8</v>
      </c>
      <c r="T73" s="81">
        <f t="shared" si="73"/>
        <v>0</v>
      </c>
      <c r="U73" s="81">
        <f t="shared" si="73"/>
        <v>0</v>
      </c>
      <c r="V73" s="81">
        <f t="shared" si="73"/>
        <v>0</v>
      </c>
      <c r="W73" s="381">
        <f t="shared" si="73"/>
        <v>4</v>
      </c>
      <c r="X73" s="82">
        <f t="shared" si="73"/>
        <v>10</v>
      </c>
      <c r="Y73" s="82">
        <f>SUM(Y68:Y72)</f>
        <v>14</v>
      </c>
      <c r="Z73" s="205">
        <f t="shared" si="70"/>
        <v>1</v>
      </c>
      <c r="AA73" s="205"/>
      <c r="AB73" s="205"/>
      <c r="AC73" s="83"/>
      <c r="AE73" s="81"/>
      <c r="AF73" s="81"/>
      <c r="AG73" s="81"/>
      <c r="AH73" s="82"/>
      <c r="AI73" s="66"/>
      <c r="AK73" s="81"/>
      <c r="AL73" s="81"/>
      <c r="AM73" s="81"/>
      <c r="AN73" s="82"/>
      <c r="AO73" s="66"/>
      <c r="AQ73" s="81"/>
      <c r="AR73" s="81"/>
      <c r="AS73" s="81"/>
      <c r="AT73" s="82">
        <f>SUM(AT68:AT72)</f>
        <v>4</v>
      </c>
      <c r="AU73" s="66">
        <f t="shared" si="71"/>
        <v>1</v>
      </c>
      <c r="AW73" s="81"/>
      <c r="AX73" s="81"/>
      <c r="AY73" s="81"/>
      <c r="AZ73" s="82">
        <f>SUM(AZ68:AZ72)</f>
        <v>10</v>
      </c>
      <c r="BA73" s="66">
        <f t="shared" ref="BA73" si="74">IF(AZ$73=0,0,AZ73/AZ$73)</f>
        <v>1</v>
      </c>
    </row>
    <row r="74" spans="1:53" s="117" customFormat="1" ht="17.100000000000001" customHeight="1" x14ac:dyDescent="0.25">
      <c r="A74" s="119"/>
      <c r="B74" s="119"/>
      <c r="C74" s="540"/>
      <c r="D74" s="212"/>
      <c r="E74" s="212"/>
      <c r="F74" s="212"/>
      <c r="G74" s="212"/>
      <c r="H74" s="242"/>
      <c r="I74" s="230"/>
      <c r="J74" s="17"/>
      <c r="K74" s="17"/>
      <c r="L74" s="17"/>
      <c r="M74" s="17"/>
      <c r="N74" s="17" t="str">
        <f>IF(N73=N$20,"OK","NOK")</f>
        <v>OK</v>
      </c>
      <c r="O74" s="17" t="str">
        <f>IF(O73=O$20,"OK","NOK")</f>
        <v>OK</v>
      </c>
      <c r="P74" s="17"/>
      <c r="Q74" s="17" t="str">
        <f>IF(Q73=Q$20,"OK","NOK")</f>
        <v>OK</v>
      </c>
      <c r="R74" s="17" t="str">
        <f>IF(R73=R$20,"OK","NOK")</f>
        <v>OK</v>
      </c>
      <c r="S74" s="17"/>
      <c r="T74" s="17" t="str">
        <f>IF(T73=T$20,"OK","NOK")</f>
        <v>OK</v>
      </c>
      <c r="U74" s="17" t="str">
        <f>IF(U73=U$20,"OK","NOK")</f>
        <v>OK</v>
      </c>
      <c r="V74" s="359"/>
      <c r="W74" s="382"/>
      <c r="X74" s="539"/>
      <c r="Y74" s="539"/>
      <c r="Z74" s="201"/>
      <c r="AA74" s="201"/>
      <c r="AB74" s="201"/>
      <c r="AC74" s="84"/>
      <c r="AE74" s="17"/>
      <c r="AF74" s="17"/>
      <c r="AG74" s="17"/>
      <c r="AH74" s="539"/>
      <c r="AI74" s="91"/>
      <c r="AK74" s="17"/>
      <c r="AL74" s="17"/>
      <c r="AM74" s="17"/>
      <c r="AN74" s="539"/>
      <c r="AO74" s="91"/>
      <c r="AQ74" s="17"/>
      <c r="AR74" s="17"/>
      <c r="AS74" s="17"/>
      <c r="AT74" s="539"/>
      <c r="AU74" s="91"/>
      <c r="AW74" s="17"/>
      <c r="AX74" s="17"/>
      <c r="AY74" s="17"/>
      <c r="AZ74" s="539"/>
      <c r="BA74" s="91"/>
    </row>
    <row r="75" spans="1:53" ht="17.100000000000001" customHeight="1" x14ac:dyDescent="0.25">
      <c r="A75" s="68"/>
      <c r="B75" s="41" t="s">
        <v>43</v>
      </c>
      <c r="C75" s="69" t="s">
        <v>44</v>
      </c>
      <c r="D75" s="50"/>
      <c r="E75" s="70"/>
      <c r="F75" s="70"/>
      <c r="G75" s="70"/>
      <c r="H75" s="119"/>
      <c r="J75" s="71"/>
      <c r="K75" s="71"/>
      <c r="L75" s="71"/>
      <c r="M75" s="71"/>
      <c r="N75" s="71"/>
      <c r="O75" s="71"/>
      <c r="P75" s="71"/>
      <c r="Q75" s="71"/>
      <c r="R75" s="71"/>
      <c r="S75" s="71"/>
      <c r="T75" s="71"/>
      <c r="U75" s="71"/>
      <c r="V75" s="355"/>
      <c r="W75" s="377"/>
      <c r="X75" s="71"/>
      <c r="Y75" s="72"/>
      <c r="Z75" s="73"/>
      <c r="AA75" s="73"/>
      <c r="AB75" s="73"/>
      <c r="AC75" s="73"/>
      <c r="AE75" s="71"/>
      <c r="AF75" s="71"/>
      <c r="AG75" s="71"/>
      <c r="AH75" s="72"/>
      <c r="AI75" s="73"/>
      <c r="AK75" s="71"/>
      <c r="AL75" s="71"/>
      <c r="AM75" s="71"/>
      <c r="AN75" s="72"/>
      <c r="AO75" s="73"/>
      <c r="AQ75" s="71"/>
      <c r="AR75" s="71"/>
      <c r="AS75" s="71"/>
      <c r="AT75" s="72"/>
      <c r="AU75" s="73"/>
      <c r="AW75" s="71"/>
      <c r="AX75" s="71"/>
      <c r="AY75" s="71"/>
      <c r="AZ75" s="72"/>
      <c r="BA75" s="73"/>
    </row>
    <row r="76" spans="1:53" ht="17.100000000000001" customHeight="1" x14ac:dyDescent="0.25">
      <c r="A76" s="102"/>
      <c r="B76" s="102"/>
      <c r="C76" s="103" t="s">
        <v>45</v>
      </c>
      <c r="D76" s="108" t="s">
        <v>46</v>
      </c>
      <c r="E76" s="108"/>
      <c r="F76" s="108"/>
      <c r="G76" s="108"/>
      <c r="H76" s="258"/>
      <c r="I76" s="232"/>
      <c r="J76" s="111"/>
      <c r="K76" s="111"/>
      <c r="L76" s="111"/>
      <c r="M76" s="111"/>
      <c r="N76" s="111"/>
      <c r="O76" s="111"/>
      <c r="P76" s="111"/>
      <c r="Q76" s="111"/>
      <c r="R76" s="111"/>
      <c r="S76" s="111"/>
      <c r="T76" s="111"/>
      <c r="U76" s="111"/>
      <c r="V76" s="358"/>
      <c r="W76" s="380"/>
      <c r="X76" s="111"/>
      <c r="Y76" s="112"/>
      <c r="Z76" s="113"/>
      <c r="AA76" s="113"/>
      <c r="AB76" s="113"/>
      <c r="AC76" s="113"/>
      <c r="AE76" s="114"/>
      <c r="AF76" s="114"/>
      <c r="AG76" s="114"/>
      <c r="AH76" s="112"/>
      <c r="AI76" s="113"/>
      <c r="AK76" s="114"/>
      <c r="AL76" s="114"/>
      <c r="AM76" s="114"/>
      <c r="AN76" s="112"/>
      <c r="AO76" s="113"/>
      <c r="AQ76" s="114"/>
      <c r="AR76" s="114"/>
      <c r="AS76" s="114"/>
      <c r="AT76" s="112"/>
      <c r="AU76" s="113"/>
      <c r="AW76" s="114"/>
      <c r="AX76" s="114"/>
      <c r="AY76" s="114"/>
      <c r="AZ76" s="112"/>
      <c r="BA76" s="113"/>
    </row>
    <row r="77" spans="1:53" ht="17.100000000000001" customHeight="1" x14ac:dyDescent="0.25">
      <c r="A77" s="102"/>
      <c r="B77" s="102"/>
      <c r="C77" s="102"/>
      <c r="D77" s="103" t="s">
        <v>47</v>
      </c>
      <c r="E77" s="108" t="s">
        <v>35</v>
      </c>
      <c r="F77" s="108"/>
      <c r="G77" s="108"/>
      <c r="H77" s="258"/>
      <c r="I77" s="232"/>
      <c r="J77" s="152"/>
      <c r="K77" s="152"/>
      <c r="L77" s="111"/>
      <c r="M77" s="111"/>
      <c r="N77" s="152"/>
      <c r="O77" s="111"/>
      <c r="P77" s="60">
        <v>1</v>
      </c>
      <c r="Q77" s="152"/>
      <c r="R77" s="111"/>
      <c r="S77" s="60">
        <v>1</v>
      </c>
      <c r="T77" s="152"/>
      <c r="U77" s="111"/>
      <c r="V77" s="361"/>
      <c r="W77" s="391"/>
      <c r="X77" s="17"/>
      <c r="Y77" s="18">
        <f>M77+P77+S77+V77</f>
        <v>2</v>
      </c>
      <c r="Z77" s="19">
        <f>IF(Y$81=0,0,Y77/Y$81)</f>
        <v>1</v>
      </c>
      <c r="AA77" s="19"/>
      <c r="AB77" s="19"/>
      <c r="AC77" s="20"/>
      <c r="AE77" s="111"/>
      <c r="AF77" s="111"/>
      <c r="AG77" s="111"/>
      <c r="AH77" s="545"/>
      <c r="AI77" s="131"/>
      <c r="AK77" s="111"/>
      <c r="AL77" s="111"/>
      <c r="AM77" s="111"/>
      <c r="AN77" s="545"/>
      <c r="AO77" s="131"/>
      <c r="AQ77" s="111"/>
      <c r="AR77" s="111"/>
      <c r="AS77" s="111"/>
      <c r="AT77" s="545"/>
      <c r="AU77" s="131"/>
      <c r="AW77" s="111"/>
      <c r="AX77" s="111"/>
      <c r="AY77" s="111"/>
      <c r="AZ77" s="545"/>
      <c r="BA77" s="131"/>
    </row>
    <row r="78" spans="1:53" ht="17.100000000000001" customHeight="1" x14ac:dyDescent="0.25">
      <c r="A78" s="102"/>
      <c r="B78" s="102"/>
      <c r="C78" s="102"/>
      <c r="D78" s="103" t="s">
        <v>48</v>
      </c>
      <c r="E78" s="108" t="s">
        <v>49</v>
      </c>
      <c r="F78" s="108"/>
      <c r="G78" s="108"/>
      <c r="H78" s="258"/>
      <c r="I78" s="232"/>
      <c r="J78" s="152"/>
      <c r="K78" s="152"/>
      <c r="L78" s="111"/>
      <c r="M78" s="111"/>
      <c r="N78" s="152"/>
      <c r="O78" s="111"/>
      <c r="P78" s="61"/>
      <c r="Q78" s="152"/>
      <c r="R78" s="111"/>
      <c r="S78" s="61"/>
      <c r="T78" s="152"/>
      <c r="U78" s="111"/>
      <c r="V78" s="362"/>
      <c r="W78" s="391"/>
      <c r="X78" s="17"/>
      <c r="Y78" s="18">
        <f t="shared" ref="Y78:Y80" si="75">M78+P78+S78+V78</f>
        <v>0</v>
      </c>
      <c r="Z78" s="19">
        <f t="shared" ref="Z78:Z81" si="76">IF(Y$81=0,0,Y78/Y$81)</f>
        <v>0</v>
      </c>
      <c r="AA78" s="19"/>
      <c r="AB78" s="19"/>
      <c r="AC78" s="20"/>
      <c r="AE78" s="111"/>
      <c r="AF78" s="111"/>
      <c r="AG78" s="111"/>
      <c r="AH78" s="545"/>
      <c r="AI78" s="131"/>
      <c r="AK78" s="111"/>
      <c r="AL78" s="111"/>
      <c r="AM78" s="111"/>
      <c r="AN78" s="545"/>
      <c r="AO78" s="131"/>
      <c r="AQ78" s="111"/>
      <c r="AR78" s="111"/>
      <c r="AS78" s="111"/>
      <c r="AT78" s="545"/>
      <c r="AU78" s="131"/>
      <c r="AW78" s="111"/>
      <c r="AX78" s="111"/>
      <c r="AY78" s="111"/>
      <c r="AZ78" s="545"/>
      <c r="BA78" s="131"/>
    </row>
    <row r="79" spans="1:53" ht="17.100000000000001" customHeight="1" x14ac:dyDescent="0.25">
      <c r="A79" s="102"/>
      <c r="B79" s="102"/>
      <c r="C79" s="102"/>
      <c r="D79" s="103" t="s">
        <v>50</v>
      </c>
      <c r="E79" s="108" t="s">
        <v>51</v>
      </c>
      <c r="F79" s="108"/>
      <c r="G79" s="108"/>
      <c r="H79" s="258"/>
      <c r="I79" s="232"/>
      <c r="J79" s="152"/>
      <c r="K79" s="152"/>
      <c r="L79" s="111"/>
      <c r="M79" s="111"/>
      <c r="N79" s="152"/>
      <c r="O79" s="111"/>
      <c r="P79" s="60"/>
      <c r="Q79" s="152"/>
      <c r="R79" s="111"/>
      <c r="S79" s="60"/>
      <c r="T79" s="152"/>
      <c r="U79" s="111"/>
      <c r="V79" s="361"/>
      <c r="W79" s="391"/>
      <c r="X79" s="17"/>
      <c r="Y79" s="18">
        <f t="shared" si="75"/>
        <v>0</v>
      </c>
      <c r="Z79" s="19">
        <f t="shared" si="76"/>
        <v>0</v>
      </c>
      <c r="AA79" s="19"/>
      <c r="AB79" s="19"/>
      <c r="AC79" s="20"/>
      <c r="AE79" s="111"/>
      <c r="AF79" s="111"/>
      <c r="AG79" s="111"/>
      <c r="AH79" s="545"/>
      <c r="AI79" s="131"/>
      <c r="AK79" s="111"/>
      <c r="AL79" s="111"/>
      <c r="AM79" s="111"/>
      <c r="AN79" s="545"/>
      <c r="AO79" s="131"/>
      <c r="AQ79" s="111"/>
      <c r="AR79" s="111"/>
      <c r="AS79" s="111"/>
      <c r="AT79" s="545"/>
      <c r="AU79" s="131"/>
      <c r="AW79" s="111"/>
      <c r="AX79" s="111"/>
      <c r="AY79" s="111"/>
      <c r="AZ79" s="545"/>
      <c r="BA79" s="131"/>
    </row>
    <row r="80" spans="1:53" ht="17.100000000000001" customHeight="1" x14ac:dyDescent="0.25">
      <c r="A80" s="102"/>
      <c r="B80" s="102"/>
      <c r="C80" s="102"/>
      <c r="D80" s="103" t="s">
        <v>52</v>
      </c>
      <c r="E80" s="108" t="s">
        <v>53</v>
      </c>
      <c r="F80" s="108"/>
      <c r="G80" s="108"/>
      <c r="H80" s="258"/>
      <c r="I80" s="232"/>
      <c r="J80" s="152"/>
      <c r="K80" s="152"/>
      <c r="L80" s="111"/>
      <c r="M80" s="111"/>
      <c r="N80" s="152"/>
      <c r="O80" s="111"/>
      <c r="P80" s="61"/>
      <c r="Q80" s="152"/>
      <c r="R80" s="111"/>
      <c r="S80" s="61"/>
      <c r="T80" s="152"/>
      <c r="U80" s="111"/>
      <c r="V80" s="362"/>
      <c r="W80" s="391"/>
      <c r="X80" s="17"/>
      <c r="Y80" s="18">
        <f t="shared" si="75"/>
        <v>0</v>
      </c>
      <c r="Z80" s="19">
        <f t="shared" si="76"/>
        <v>0</v>
      </c>
      <c r="AA80" s="19"/>
      <c r="AB80" s="19"/>
      <c r="AC80" s="20"/>
      <c r="AE80" s="111"/>
      <c r="AF80" s="111"/>
      <c r="AG80" s="111"/>
      <c r="AH80" s="545"/>
      <c r="AI80" s="131"/>
      <c r="AK80" s="111"/>
      <c r="AL80" s="111"/>
      <c r="AM80" s="111"/>
      <c r="AN80" s="545"/>
      <c r="AO80" s="131"/>
      <c r="AQ80" s="111"/>
      <c r="AR80" s="111"/>
      <c r="AS80" s="111"/>
      <c r="AT80" s="545"/>
      <c r="AU80" s="131"/>
      <c r="AW80" s="111"/>
      <c r="AX80" s="111"/>
      <c r="AY80" s="111"/>
      <c r="AZ80" s="545"/>
      <c r="BA80" s="131"/>
    </row>
    <row r="81" spans="1:53" ht="17.100000000000001" customHeight="1" x14ac:dyDescent="0.25">
      <c r="A81" s="40"/>
      <c r="B81" s="40"/>
      <c r="C81" s="77"/>
      <c r="D81" s="78"/>
      <c r="E81" s="78"/>
      <c r="F81" s="78"/>
      <c r="G81" s="78"/>
      <c r="H81" s="242"/>
      <c r="I81" s="230"/>
      <c r="J81" s="80"/>
      <c r="K81" s="80"/>
      <c r="L81" s="81"/>
      <c r="M81" s="81"/>
      <c r="N81" s="81"/>
      <c r="O81" s="81"/>
      <c r="P81" s="82">
        <f>SUM(P77:P80)</f>
        <v>1</v>
      </c>
      <c r="Q81" s="81"/>
      <c r="R81" s="81"/>
      <c r="S81" s="82">
        <f>SUM(S77:S80)</f>
        <v>1</v>
      </c>
      <c r="T81" s="81"/>
      <c r="U81" s="81"/>
      <c r="V81" s="360">
        <f>SUM(V77:V80)</f>
        <v>0</v>
      </c>
      <c r="W81" s="381"/>
      <c r="X81" s="82"/>
      <c r="Y81" s="82">
        <f t="shared" ref="Y81" si="77">SUM(Y77:Y80)</f>
        <v>2</v>
      </c>
      <c r="Z81" s="205">
        <f t="shared" si="76"/>
        <v>1</v>
      </c>
      <c r="AA81" s="205"/>
      <c r="AB81" s="205"/>
      <c r="AC81" s="83"/>
      <c r="AE81" s="81"/>
      <c r="AF81" s="81"/>
      <c r="AG81" s="81"/>
      <c r="AH81" s="82"/>
      <c r="AI81" s="66"/>
      <c r="AK81" s="81"/>
      <c r="AL81" s="81"/>
      <c r="AM81" s="81"/>
      <c r="AN81" s="82"/>
      <c r="AO81" s="66"/>
      <c r="AQ81" s="81"/>
      <c r="AR81" s="81"/>
      <c r="AS81" s="81"/>
      <c r="AT81" s="82"/>
      <c r="AU81" s="66"/>
      <c r="AW81" s="81"/>
      <c r="AX81" s="81"/>
      <c r="AY81" s="81"/>
      <c r="AZ81" s="82"/>
      <c r="BA81" s="66"/>
    </row>
    <row r="82" spans="1:53" s="117" customFormat="1" ht="17.100000000000001" customHeight="1" x14ac:dyDescent="0.25">
      <c r="A82" s="119"/>
      <c r="B82" s="119"/>
      <c r="C82" s="540"/>
      <c r="D82" s="212"/>
      <c r="E82" s="212"/>
      <c r="F82" s="212"/>
      <c r="G82" s="212"/>
      <c r="H82" s="242"/>
      <c r="I82" s="230"/>
      <c r="J82" s="17"/>
      <c r="K82" s="17"/>
      <c r="L82" s="17"/>
      <c r="M82" s="17"/>
      <c r="N82" s="17"/>
      <c r="O82" s="17"/>
      <c r="P82" s="359" t="str">
        <f>IF(P$20=0,"",IF(P81=1,"OK","NOK"))</f>
        <v>OK</v>
      </c>
      <c r="Q82" s="17"/>
      <c r="R82" s="17"/>
      <c r="S82" s="359" t="str">
        <f>IF(S$20=0,"",IF(S81=1,"OK","NOK"))</f>
        <v>OK</v>
      </c>
      <c r="T82" s="17"/>
      <c r="U82" s="17"/>
      <c r="V82" s="359" t="str">
        <f>IF(V$20=0,"",IF(V81=1,"OK","NOK"))</f>
        <v/>
      </c>
      <c r="W82" s="382"/>
      <c r="X82" s="539"/>
      <c r="Y82" s="539"/>
      <c r="Z82" s="201"/>
      <c r="AA82" s="201"/>
      <c r="AB82" s="201"/>
      <c r="AC82" s="84"/>
      <c r="AE82" s="17"/>
      <c r="AF82" s="17"/>
      <c r="AG82" s="17"/>
      <c r="AH82" s="539"/>
      <c r="AI82" s="91"/>
      <c r="AK82" s="17"/>
      <c r="AL82" s="17"/>
      <c r="AM82" s="17"/>
      <c r="AN82" s="539"/>
      <c r="AO82" s="91"/>
      <c r="AQ82" s="17"/>
      <c r="AR82" s="17"/>
      <c r="AS82" s="17"/>
      <c r="AT82" s="539"/>
      <c r="AU82" s="91"/>
      <c r="AW82" s="17"/>
      <c r="AX82" s="17"/>
      <c r="AY82" s="17"/>
      <c r="AZ82" s="539"/>
      <c r="BA82" s="91"/>
    </row>
    <row r="83" spans="1:53" ht="17.100000000000001" customHeight="1" x14ac:dyDescent="0.25">
      <c r="A83" s="102"/>
      <c r="B83" s="102"/>
      <c r="C83" s="103" t="s">
        <v>54</v>
      </c>
      <c r="D83" s="108" t="s">
        <v>55</v>
      </c>
      <c r="E83" s="108"/>
      <c r="F83" s="108"/>
      <c r="G83" s="108"/>
      <c r="H83" s="258"/>
      <c r="I83" s="232"/>
      <c r="J83" s="111"/>
      <c r="K83" s="111"/>
      <c r="L83" s="111"/>
      <c r="M83" s="111"/>
      <c r="N83" s="111"/>
      <c r="O83" s="111"/>
      <c r="P83" s="111"/>
      <c r="Q83" s="111"/>
      <c r="R83" s="111"/>
      <c r="S83" s="111"/>
      <c r="T83" s="111"/>
      <c r="U83" s="111"/>
      <c r="V83" s="358"/>
      <c r="W83" s="380"/>
      <c r="X83" s="111"/>
      <c r="Y83" s="112"/>
      <c r="Z83" s="113"/>
      <c r="AA83" s="113"/>
      <c r="AB83" s="113"/>
      <c r="AC83" s="113"/>
      <c r="AE83" s="114"/>
      <c r="AF83" s="114"/>
      <c r="AG83" s="114"/>
      <c r="AH83" s="112"/>
      <c r="AI83" s="113"/>
      <c r="AK83" s="114"/>
      <c r="AL83" s="114"/>
      <c r="AM83" s="114"/>
      <c r="AN83" s="112"/>
      <c r="AO83" s="113"/>
      <c r="AQ83" s="114"/>
      <c r="AR83" s="114"/>
      <c r="AS83" s="114"/>
      <c r="AT83" s="112"/>
      <c r="AU83" s="113"/>
      <c r="AW83" s="114"/>
      <c r="AX83" s="114"/>
      <c r="AY83" s="114"/>
      <c r="AZ83" s="112"/>
      <c r="BA83" s="113"/>
    </row>
    <row r="84" spans="1:53" ht="17.100000000000001" customHeight="1" x14ac:dyDescent="0.25">
      <c r="A84" s="102"/>
      <c r="B84" s="118"/>
      <c r="C84" s="118"/>
      <c r="D84" s="103" t="s">
        <v>56</v>
      </c>
      <c r="E84" s="108" t="s">
        <v>35</v>
      </c>
      <c r="F84" s="108"/>
      <c r="G84" s="108"/>
      <c r="H84" s="258"/>
      <c r="I84" s="232"/>
      <c r="J84" s="152"/>
      <c r="K84" s="152"/>
      <c r="L84" s="111"/>
      <c r="M84" s="111"/>
      <c r="N84" s="152"/>
      <c r="O84" s="111"/>
      <c r="P84" s="60">
        <v>1</v>
      </c>
      <c r="Q84" s="152"/>
      <c r="R84" s="111"/>
      <c r="S84" s="60">
        <v>1</v>
      </c>
      <c r="T84" s="152"/>
      <c r="U84" s="111"/>
      <c r="V84" s="361"/>
      <c r="W84" s="391"/>
      <c r="X84" s="17"/>
      <c r="Y84" s="18">
        <f>M84+P84+S84+V84</f>
        <v>2</v>
      </c>
      <c r="Z84" s="19">
        <f>IF(Y$88=0,0,Y84/Y$88)</f>
        <v>1</v>
      </c>
      <c r="AA84" s="19"/>
      <c r="AB84" s="19"/>
      <c r="AC84" s="20"/>
      <c r="AE84" s="111"/>
      <c r="AF84" s="111"/>
      <c r="AG84" s="111"/>
      <c r="AH84" s="545"/>
      <c r="AI84" s="131"/>
      <c r="AK84" s="111"/>
      <c r="AL84" s="111"/>
      <c r="AM84" s="111"/>
      <c r="AN84" s="545"/>
      <c r="AO84" s="131"/>
      <c r="AQ84" s="111"/>
      <c r="AR84" s="111"/>
      <c r="AS84" s="111"/>
      <c r="AT84" s="545"/>
      <c r="AU84" s="131"/>
      <c r="AW84" s="111"/>
      <c r="AX84" s="111"/>
      <c r="AY84" s="111"/>
      <c r="AZ84" s="545"/>
      <c r="BA84" s="131"/>
    </row>
    <row r="85" spans="1:53" ht="17.100000000000001" customHeight="1" x14ac:dyDescent="0.25">
      <c r="A85" s="102"/>
      <c r="B85" s="118"/>
      <c r="C85" s="118"/>
      <c r="D85" s="103" t="s">
        <v>57</v>
      </c>
      <c r="E85" s="108" t="s">
        <v>58</v>
      </c>
      <c r="F85" s="108"/>
      <c r="G85" s="108"/>
      <c r="H85" s="258"/>
      <c r="I85" s="232"/>
      <c r="J85" s="152"/>
      <c r="K85" s="152"/>
      <c r="L85" s="111"/>
      <c r="M85" s="111"/>
      <c r="N85" s="152"/>
      <c r="O85" s="111"/>
      <c r="P85" s="61"/>
      <c r="Q85" s="152"/>
      <c r="R85" s="111"/>
      <c r="S85" s="61"/>
      <c r="T85" s="152"/>
      <c r="U85" s="111"/>
      <c r="V85" s="362"/>
      <c r="W85" s="391"/>
      <c r="X85" s="17"/>
      <c r="Y85" s="18">
        <f t="shared" ref="Y85:Y87" si="78">M85+P85+S85+V85</f>
        <v>0</v>
      </c>
      <c r="Z85" s="19">
        <f t="shared" ref="Z85:Z88" si="79">IF(Y$88=0,0,Y85/Y$88)</f>
        <v>0</v>
      </c>
      <c r="AA85" s="19"/>
      <c r="AB85" s="19"/>
      <c r="AC85" s="20"/>
      <c r="AE85" s="111"/>
      <c r="AF85" s="111"/>
      <c r="AG85" s="111"/>
      <c r="AH85" s="545"/>
      <c r="AI85" s="131"/>
      <c r="AK85" s="111"/>
      <c r="AL85" s="111"/>
      <c r="AM85" s="111"/>
      <c r="AN85" s="545"/>
      <c r="AO85" s="131"/>
      <c r="AQ85" s="111"/>
      <c r="AR85" s="111"/>
      <c r="AS85" s="111"/>
      <c r="AT85" s="545"/>
      <c r="AU85" s="131"/>
      <c r="AW85" s="111"/>
      <c r="AX85" s="111"/>
      <c r="AY85" s="111"/>
      <c r="AZ85" s="545"/>
      <c r="BA85" s="131"/>
    </row>
    <row r="86" spans="1:53" ht="17.100000000000001" customHeight="1" x14ac:dyDescent="0.25">
      <c r="A86" s="102"/>
      <c r="B86" s="118"/>
      <c r="C86" s="118"/>
      <c r="D86" s="103" t="s">
        <v>59</v>
      </c>
      <c r="E86" s="108" t="s">
        <v>60</v>
      </c>
      <c r="F86" s="108"/>
      <c r="G86" s="108"/>
      <c r="H86" s="258"/>
      <c r="I86" s="232"/>
      <c r="J86" s="152"/>
      <c r="K86" s="152"/>
      <c r="L86" s="111"/>
      <c r="M86" s="111"/>
      <c r="N86" s="152"/>
      <c r="O86" s="111"/>
      <c r="P86" s="60"/>
      <c r="Q86" s="152"/>
      <c r="R86" s="111"/>
      <c r="S86" s="60"/>
      <c r="T86" s="152"/>
      <c r="U86" s="111"/>
      <c r="V86" s="361"/>
      <c r="W86" s="391"/>
      <c r="X86" s="17"/>
      <c r="Y86" s="18">
        <f t="shared" si="78"/>
        <v>0</v>
      </c>
      <c r="Z86" s="19">
        <f t="shared" si="79"/>
        <v>0</v>
      </c>
      <c r="AA86" s="19"/>
      <c r="AB86" s="19"/>
      <c r="AC86" s="20"/>
      <c r="AE86" s="111"/>
      <c r="AF86" s="111"/>
      <c r="AG86" s="111"/>
      <c r="AH86" s="545"/>
      <c r="AI86" s="131"/>
      <c r="AK86" s="111"/>
      <c r="AL86" s="111"/>
      <c r="AM86" s="111"/>
      <c r="AN86" s="545"/>
      <c r="AO86" s="131"/>
      <c r="AQ86" s="111"/>
      <c r="AR86" s="111"/>
      <c r="AS86" s="111"/>
      <c r="AT86" s="545"/>
      <c r="AU86" s="131"/>
      <c r="AW86" s="111"/>
      <c r="AX86" s="111"/>
      <c r="AY86" s="111"/>
      <c r="AZ86" s="545"/>
      <c r="BA86" s="131"/>
    </row>
    <row r="87" spans="1:53" ht="17.100000000000001" customHeight="1" x14ac:dyDescent="0.25">
      <c r="A87" s="102"/>
      <c r="B87" s="118"/>
      <c r="C87" s="118"/>
      <c r="D87" s="103" t="s">
        <v>61</v>
      </c>
      <c r="E87" s="108" t="s">
        <v>62</v>
      </c>
      <c r="F87" s="108"/>
      <c r="G87" s="108"/>
      <c r="H87" s="258"/>
      <c r="I87" s="232"/>
      <c r="J87" s="152"/>
      <c r="K87" s="152"/>
      <c r="L87" s="111"/>
      <c r="M87" s="111"/>
      <c r="N87" s="152"/>
      <c r="O87" s="111"/>
      <c r="P87" s="61"/>
      <c r="Q87" s="152"/>
      <c r="R87" s="111"/>
      <c r="S87" s="61"/>
      <c r="T87" s="152"/>
      <c r="U87" s="111"/>
      <c r="V87" s="362"/>
      <c r="W87" s="391"/>
      <c r="X87" s="17"/>
      <c r="Y87" s="18">
        <f t="shared" si="78"/>
        <v>0</v>
      </c>
      <c r="Z87" s="19">
        <f t="shared" si="79"/>
        <v>0</v>
      </c>
      <c r="AA87" s="19"/>
      <c r="AB87" s="19"/>
      <c r="AC87" s="20"/>
      <c r="AE87" s="111"/>
      <c r="AF87" s="111"/>
      <c r="AG87" s="111"/>
      <c r="AH87" s="545"/>
      <c r="AI87" s="131"/>
      <c r="AK87" s="111"/>
      <c r="AL87" s="111"/>
      <c r="AM87" s="111"/>
      <c r="AN87" s="545"/>
      <c r="AO87" s="131"/>
      <c r="AQ87" s="111"/>
      <c r="AR87" s="111"/>
      <c r="AS87" s="111"/>
      <c r="AT87" s="545"/>
      <c r="AU87" s="131"/>
      <c r="AW87" s="111"/>
      <c r="AX87" s="111"/>
      <c r="AY87" s="111"/>
      <c r="AZ87" s="545"/>
      <c r="BA87" s="131"/>
    </row>
    <row r="88" spans="1:53" ht="17.100000000000001" customHeight="1" x14ac:dyDescent="0.25">
      <c r="A88" s="40"/>
      <c r="B88" s="40"/>
      <c r="C88" s="77"/>
      <c r="D88" s="78"/>
      <c r="E88" s="78"/>
      <c r="F88" s="78"/>
      <c r="G88" s="78"/>
      <c r="H88" s="242"/>
      <c r="I88" s="230"/>
      <c r="J88" s="80"/>
      <c r="K88" s="80"/>
      <c r="L88" s="81"/>
      <c r="M88" s="81"/>
      <c r="N88" s="81"/>
      <c r="O88" s="81"/>
      <c r="P88" s="82">
        <f>SUM(P84:P87)</f>
        <v>1</v>
      </c>
      <c r="Q88" s="81"/>
      <c r="R88" s="81"/>
      <c r="S88" s="82">
        <f>SUM(S84:S87)</f>
        <v>1</v>
      </c>
      <c r="T88" s="81"/>
      <c r="U88" s="81"/>
      <c r="V88" s="360">
        <f>SUM(V84:V87)</f>
        <v>0</v>
      </c>
      <c r="W88" s="381"/>
      <c r="X88" s="82"/>
      <c r="Y88" s="82">
        <f t="shared" ref="Y88" si="80">SUM(Y84:Y87)</f>
        <v>2</v>
      </c>
      <c r="Z88" s="205">
        <f t="shared" si="79"/>
        <v>1</v>
      </c>
      <c r="AA88" s="205"/>
      <c r="AB88" s="205"/>
      <c r="AC88" s="83"/>
      <c r="AE88" s="81"/>
      <c r="AF88" s="81"/>
      <c r="AG88" s="81"/>
      <c r="AH88" s="82"/>
      <c r="AI88" s="66"/>
      <c r="AK88" s="81"/>
      <c r="AL88" s="81"/>
      <c r="AM88" s="81"/>
      <c r="AN88" s="82"/>
      <c r="AO88" s="66"/>
      <c r="AQ88" s="81"/>
      <c r="AR88" s="81"/>
      <c r="AS88" s="81"/>
      <c r="AT88" s="82"/>
      <c r="AU88" s="66"/>
      <c r="AW88" s="81"/>
      <c r="AX88" s="81"/>
      <c r="AY88" s="81"/>
      <c r="AZ88" s="82"/>
      <c r="BA88" s="66"/>
    </row>
    <row r="89" spans="1:53" s="117" customFormat="1" ht="17.100000000000001" customHeight="1" x14ac:dyDescent="0.25">
      <c r="A89" s="119"/>
      <c r="B89" s="119"/>
      <c r="C89" s="540"/>
      <c r="D89" s="212"/>
      <c r="E89" s="212"/>
      <c r="F89" s="212"/>
      <c r="G89" s="212"/>
      <c r="H89" s="242"/>
      <c r="I89" s="230"/>
      <c r="J89" s="17"/>
      <c r="K89" s="17"/>
      <c r="L89" s="17"/>
      <c r="M89" s="17"/>
      <c r="N89" s="17"/>
      <c r="O89" s="17"/>
      <c r="P89" s="359" t="str">
        <f>IF(P$20=0,"",IF(P88=1,"OK","NOK"))</f>
        <v>OK</v>
      </c>
      <c r="Q89" s="17"/>
      <c r="R89" s="17"/>
      <c r="S89" s="359" t="str">
        <f>IF(S$20=0,"",IF(S88=1,"OK","NOK"))</f>
        <v>OK</v>
      </c>
      <c r="T89" s="17"/>
      <c r="U89" s="17"/>
      <c r="V89" s="359" t="str">
        <f>IF(V$20=0,"",IF(V88=1,"OK","NOK"))</f>
        <v/>
      </c>
      <c r="W89" s="382"/>
      <c r="X89" s="539"/>
      <c r="Y89" s="539"/>
      <c r="Z89" s="201"/>
      <c r="AA89" s="201"/>
      <c r="AB89" s="201"/>
      <c r="AC89" s="84"/>
      <c r="AE89" s="17"/>
      <c r="AF89" s="17"/>
      <c r="AG89" s="17"/>
      <c r="AH89" s="539"/>
      <c r="AI89" s="91"/>
      <c r="AK89" s="17"/>
      <c r="AL89" s="17"/>
      <c r="AM89" s="17"/>
      <c r="AN89" s="539"/>
      <c r="AO89" s="91"/>
      <c r="AQ89" s="17"/>
      <c r="AR89" s="17"/>
      <c r="AS89" s="17"/>
      <c r="AT89" s="539"/>
      <c r="AU89" s="91"/>
      <c r="AW89" s="17"/>
      <c r="AX89" s="17"/>
      <c r="AY89" s="17"/>
      <c r="AZ89" s="539"/>
      <c r="BA89" s="91"/>
    </row>
    <row r="90" spans="1:53" ht="17.100000000000001" customHeight="1" x14ac:dyDescent="0.25">
      <c r="A90" s="68"/>
      <c r="B90" s="41" t="s">
        <v>63</v>
      </c>
      <c r="C90" s="69" t="s">
        <v>64</v>
      </c>
      <c r="D90" s="50"/>
      <c r="E90" s="70"/>
      <c r="F90" s="70"/>
      <c r="G90" s="70"/>
      <c r="H90" s="119"/>
      <c r="J90" s="71"/>
      <c r="K90" s="71"/>
      <c r="L90" s="71"/>
      <c r="M90" s="71"/>
      <c r="N90" s="71"/>
      <c r="O90" s="71"/>
      <c r="P90" s="71"/>
      <c r="Q90" s="71"/>
      <c r="R90" s="71"/>
      <c r="S90" s="71"/>
      <c r="T90" s="71"/>
      <c r="U90" s="71"/>
      <c r="V90" s="355"/>
      <c r="W90" s="377"/>
      <c r="X90" s="71"/>
      <c r="Y90" s="72"/>
      <c r="Z90" s="73"/>
      <c r="AA90" s="73"/>
      <c r="AB90" s="73"/>
      <c r="AC90" s="73"/>
      <c r="AE90" s="71"/>
      <c r="AF90" s="71"/>
      <c r="AG90" s="71"/>
      <c r="AH90" s="72"/>
      <c r="AI90" s="73"/>
      <c r="AK90" s="71"/>
      <c r="AL90" s="71"/>
      <c r="AM90" s="71"/>
      <c r="AN90" s="72"/>
      <c r="AO90" s="73"/>
      <c r="AQ90" s="71"/>
      <c r="AR90" s="71"/>
      <c r="AS90" s="71"/>
      <c r="AT90" s="72"/>
      <c r="AU90" s="73"/>
      <c r="AW90" s="71"/>
      <c r="AX90" s="71"/>
      <c r="AY90" s="71"/>
      <c r="AZ90" s="72"/>
      <c r="BA90" s="73"/>
    </row>
    <row r="91" spans="1:53" ht="17.100000000000001" customHeight="1" x14ac:dyDescent="0.25">
      <c r="A91" s="102"/>
      <c r="B91" s="102"/>
      <c r="C91" s="103" t="s">
        <v>65</v>
      </c>
      <c r="D91" s="108" t="s">
        <v>66</v>
      </c>
      <c r="E91" s="108"/>
      <c r="F91" s="108"/>
      <c r="G91" s="108"/>
      <c r="H91" s="258"/>
      <c r="I91" s="232"/>
      <c r="J91" s="111"/>
      <c r="K91" s="111"/>
      <c r="L91" s="111"/>
      <c r="M91" s="111"/>
      <c r="N91" s="111"/>
      <c r="O91" s="111"/>
      <c r="P91" s="111"/>
      <c r="Q91" s="111"/>
      <c r="R91" s="111"/>
      <c r="S91" s="111"/>
      <c r="T91" s="111"/>
      <c r="U91" s="111"/>
      <c r="V91" s="358"/>
      <c r="W91" s="380"/>
      <c r="X91" s="111"/>
      <c r="Y91" s="112"/>
      <c r="Z91" s="113"/>
      <c r="AA91" s="113"/>
      <c r="AB91" s="113"/>
      <c r="AC91" s="113"/>
      <c r="AE91" s="114"/>
      <c r="AF91" s="114"/>
      <c r="AG91" s="114"/>
      <c r="AH91" s="112"/>
      <c r="AI91" s="113"/>
      <c r="AK91" s="114"/>
      <c r="AL91" s="114"/>
      <c r="AM91" s="114"/>
      <c r="AN91" s="112"/>
      <c r="AO91" s="113"/>
      <c r="AQ91" s="114"/>
      <c r="AR91" s="114"/>
      <c r="AS91" s="114"/>
      <c r="AT91" s="112"/>
      <c r="AU91" s="113"/>
      <c r="AW91" s="114"/>
      <c r="AX91" s="114"/>
      <c r="AY91" s="114"/>
      <c r="AZ91" s="112"/>
      <c r="BA91" s="113"/>
    </row>
    <row r="92" spans="1:53" ht="17.100000000000001" customHeight="1" x14ac:dyDescent="0.25">
      <c r="A92" s="102"/>
      <c r="B92" s="118"/>
      <c r="C92" s="118"/>
      <c r="D92" s="103" t="s">
        <v>67</v>
      </c>
      <c r="E92" s="110" t="s">
        <v>68</v>
      </c>
      <c r="F92" s="313"/>
      <c r="G92" s="314"/>
      <c r="H92" s="259"/>
      <c r="I92" s="233"/>
      <c r="J92" s="152"/>
      <c r="K92" s="152"/>
      <c r="L92" s="152"/>
      <c r="M92" s="152"/>
      <c r="N92" s="152"/>
      <c r="O92" s="111"/>
      <c r="P92" s="60">
        <v>1</v>
      </c>
      <c r="Q92" s="152"/>
      <c r="R92" s="111"/>
      <c r="S92" s="60">
        <v>1</v>
      </c>
      <c r="T92" s="152"/>
      <c r="U92" s="111"/>
      <c r="V92" s="361"/>
      <c r="W92" s="391"/>
      <c r="X92" s="17"/>
      <c r="Y92" s="18">
        <f>M92+P92+S92+V92</f>
        <v>2</v>
      </c>
      <c r="Z92" s="19">
        <f>IF(Y$96=0,0,Y92/Y$96)</f>
        <v>1</v>
      </c>
      <c r="AA92" s="19"/>
      <c r="AB92" s="19"/>
      <c r="AC92" s="20"/>
      <c r="AE92" s="111"/>
      <c r="AF92" s="111"/>
      <c r="AG92" s="111"/>
      <c r="AH92" s="545"/>
      <c r="AI92" s="131"/>
      <c r="AK92" s="111"/>
      <c r="AL92" s="111"/>
      <c r="AM92" s="111"/>
      <c r="AN92" s="545"/>
      <c r="AO92" s="131"/>
      <c r="AQ92" s="111"/>
      <c r="AR92" s="111"/>
      <c r="AS92" s="111"/>
      <c r="AT92" s="545"/>
      <c r="AU92" s="131"/>
      <c r="AW92" s="111"/>
      <c r="AX92" s="111"/>
      <c r="AY92" s="111"/>
      <c r="AZ92" s="545"/>
      <c r="BA92" s="131"/>
    </row>
    <row r="93" spans="1:53" ht="17.100000000000001" customHeight="1" x14ac:dyDescent="0.25">
      <c r="A93" s="102"/>
      <c r="B93" s="118"/>
      <c r="C93" s="118"/>
      <c r="D93" s="103" t="s">
        <v>69</v>
      </c>
      <c r="E93" s="110" t="s">
        <v>70</v>
      </c>
      <c r="F93" s="226"/>
      <c r="G93" s="226"/>
      <c r="H93" s="260"/>
      <c r="I93" s="234"/>
      <c r="J93" s="152"/>
      <c r="K93" s="152"/>
      <c r="L93" s="111"/>
      <c r="M93" s="111"/>
      <c r="N93" s="152"/>
      <c r="O93" s="111"/>
      <c r="P93" s="61"/>
      <c r="Q93" s="152"/>
      <c r="R93" s="111"/>
      <c r="S93" s="61"/>
      <c r="T93" s="152"/>
      <c r="U93" s="111"/>
      <c r="V93" s="362"/>
      <c r="W93" s="391"/>
      <c r="X93" s="17"/>
      <c r="Y93" s="18">
        <f t="shared" ref="Y93:Y95" si="81">M93+P93+S93+V93</f>
        <v>0</v>
      </c>
      <c r="Z93" s="19">
        <f t="shared" ref="Z93:Z96" si="82">IF(Y$96=0,0,Y93/Y$96)</f>
        <v>0</v>
      </c>
      <c r="AA93" s="19"/>
      <c r="AB93" s="19"/>
      <c r="AC93" s="20"/>
      <c r="AE93" s="111"/>
      <c r="AF93" s="111"/>
      <c r="AG93" s="111"/>
      <c r="AH93" s="545"/>
      <c r="AI93" s="131"/>
      <c r="AK93" s="111"/>
      <c r="AL93" s="111"/>
      <c r="AM93" s="111"/>
      <c r="AN93" s="545"/>
      <c r="AO93" s="131"/>
      <c r="AQ93" s="111"/>
      <c r="AR93" s="111"/>
      <c r="AS93" s="111"/>
      <c r="AT93" s="545"/>
      <c r="AU93" s="131"/>
      <c r="AW93" s="111"/>
      <c r="AX93" s="111"/>
      <c r="AY93" s="111"/>
      <c r="AZ93" s="545"/>
      <c r="BA93" s="131"/>
    </row>
    <row r="94" spans="1:53" ht="17.100000000000001" customHeight="1" x14ac:dyDescent="0.25">
      <c r="A94" s="102"/>
      <c r="B94" s="118"/>
      <c r="C94" s="118"/>
      <c r="D94" s="103" t="s">
        <v>71</v>
      </c>
      <c r="E94" s="110" t="s">
        <v>72</v>
      </c>
      <c r="F94" s="226"/>
      <c r="G94" s="226"/>
      <c r="H94" s="260"/>
      <c r="I94" s="234"/>
      <c r="J94" s="152"/>
      <c r="K94" s="152"/>
      <c r="L94" s="111"/>
      <c r="M94" s="111"/>
      <c r="N94" s="152"/>
      <c r="O94" s="111"/>
      <c r="P94" s="60"/>
      <c r="Q94" s="152"/>
      <c r="R94" s="111"/>
      <c r="S94" s="60"/>
      <c r="T94" s="152"/>
      <c r="U94" s="111"/>
      <c r="V94" s="361"/>
      <c r="W94" s="391"/>
      <c r="X94" s="17"/>
      <c r="Y94" s="18">
        <f t="shared" si="81"/>
        <v>0</v>
      </c>
      <c r="Z94" s="19">
        <f t="shared" si="82"/>
        <v>0</v>
      </c>
      <c r="AA94" s="19"/>
      <c r="AB94" s="19"/>
      <c r="AC94" s="20"/>
      <c r="AE94" s="111"/>
      <c r="AF94" s="111"/>
      <c r="AG94" s="111"/>
      <c r="AH94" s="545"/>
      <c r="AI94" s="131"/>
      <c r="AK94" s="111"/>
      <c r="AL94" s="111"/>
      <c r="AM94" s="111"/>
      <c r="AN94" s="545"/>
      <c r="AO94" s="131"/>
      <c r="AQ94" s="111"/>
      <c r="AR94" s="111"/>
      <c r="AS94" s="111"/>
      <c r="AT94" s="545"/>
      <c r="AU94" s="131"/>
      <c r="AW94" s="111"/>
      <c r="AX94" s="111"/>
      <c r="AY94" s="111"/>
      <c r="AZ94" s="545"/>
      <c r="BA94" s="131"/>
    </row>
    <row r="95" spans="1:53" ht="17.100000000000001" customHeight="1" x14ac:dyDescent="0.25">
      <c r="A95" s="102"/>
      <c r="B95" s="118"/>
      <c r="C95" s="118"/>
      <c r="D95" s="103" t="s">
        <v>73</v>
      </c>
      <c r="E95" s="278" t="s">
        <v>561</v>
      </c>
      <c r="F95" s="313"/>
      <c r="G95" s="314"/>
      <c r="H95" s="259"/>
      <c r="I95" s="233"/>
      <c r="J95" s="152"/>
      <c r="K95" s="152"/>
      <c r="L95" s="111"/>
      <c r="M95" s="111"/>
      <c r="N95" s="152"/>
      <c r="O95" s="111"/>
      <c r="P95" s="61"/>
      <c r="Q95" s="152"/>
      <c r="R95" s="111"/>
      <c r="S95" s="61"/>
      <c r="T95" s="152"/>
      <c r="U95" s="111"/>
      <c r="V95" s="362"/>
      <c r="W95" s="391"/>
      <c r="X95" s="17"/>
      <c r="Y95" s="18">
        <f t="shared" si="81"/>
        <v>0</v>
      </c>
      <c r="Z95" s="19">
        <f t="shared" si="82"/>
        <v>0</v>
      </c>
      <c r="AA95" s="19"/>
      <c r="AB95" s="19"/>
      <c r="AC95" s="20"/>
      <c r="AE95" s="111"/>
      <c r="AF95" s="111"/>
      <c r="AG95" s="111"/>
      <c r="AH95" s="545"/>
      <c r="AI95" s="131"/>
      <c r="AK95" s="111"/>
      <c r="AL95" s="111"/>
      <c r="AM95" s="111"/>
      <c r="AN95" s="545"/>
      <c r="AO95" s="131"/>
      <c r="AQ95" s="111"/>
      <c r="AR95" s="111"/>
      <c r="AS95" s="111"/>
      <c r="AT95" s="545"/>
      <c r="AU95" s="131"/>
      <c r="AW95" s="111"/>
      <c r="AX95" s="111"/>
      <c r="AY95" s="111"/>
      <c r="AZ95" s="545"/>
      <c r="BA95" s="131"/>
    </row>
    <row r="96" spans="1:53" ht="17.100000000000001" customHeight="1" x14ac:dyDescent="0.25">
      <c r="A96" s="40"/>
      <c r="B96" s="40"/>
      <c r="C96" s="77"/>
      <c r="D96" s="78"/>
      <c r="E96" s="78"/>
      <c r="F96" s="78"/>
      <c r="G96" s="78"/>
      <c r="H96" s="242"/>
      <c r="I96" s="230"/>
      <c r="J96" s="80"/>
      <c r="K96" s="80"/>
      <c r="L96" s="81"/>
      <c r="M96" s="81"/>
      <c r="N96" s="81"/>
      <c r="O96" s="81"/>
      <c r="P96" s="82">
        <f>SUM(P92:P95)</f>
        <v>1</v>
      </c>
      <c r="Q96" s="81"/>
      <c r="R96" s="81"/>
      <c r="S96" s="82">
        <f>SUM(S92:S95)</f>
        <v>1</v>
      </c>
      <c r="T96" s="81"/>
      <c r="U96" s="81"/>
      <c r="V96" s="360">
        <f>SUM(V92:V95)</f>
        <v>0</v>
      </c>
      <c r="W96" s="381"/>
      <c r="X96" s="82"/>
      <c r="Y96" s="82">
        <f t="shared" ref="Y96" si="83">SUM(Y92:Y95)</f>
        <v>2</v>
      </c>
      <c r="Z96" s="205">
        <f t="shared" si="82"/>
        <v>1</v>
      </c>
      <c r="AA96" s="205"/>
      <c r="AB96" s="205"/>
      <c r="AC96" s="83"/>
      <c r="AE96" s="81"/>
      <c r="AF96" s="81"/>
      <c r="AG96" s="81"/>
      <c r="AH96" s="82"/>
      <c r="AI96" s="66"/>
      <c r="AK96" s="81"/>
      <c r="AL96" s="81"/>
      <c r="AM96" s="81"/>
      <c r="AN96" s="82"/>
      <c r="AO96" s="66"/>
      <c r="AQ96" s="81"/>
      <c r="AR96" s="81"/>
      <c r="AS96" s="81"/>
      <c r="AT96" s="82"/>
      <c r="AU96" s="66"/>
      <c r="AW96" s="81"/>
      <c r="AX96" s="81"/>
      <c r="AY96" s="81"/>
      <c r="AZ96" s="82"/>
      <c r="BA96" s="66"/>
    </row>
    <row r="97" spans="1:53" s="117" customFormat="1" ht="17.100000000000001" customHeight="1" x14ac:dyDescent="0.25">
      <c r="A97" s="119"/>
      <c r="B97" s="119"/>
      <c r="C97" s="540"/>
      <c r="D97" s="212"/>
      <c r="E97" s="212"/>
      <c r="F97" s="212"/>
      <c r="G97" s="212"/>
      <c r="H97" s="242"/>
      <c r="I97" s="230"/>
      <c r="J97" s="17"/>
      <c r="K97" s="17"/>
      <c r="L97" s="17"/>
      <c r="M97" s="17"/>
      <c r="N97" s="17"/>
      <c r="O97" s="17"/>
      <c r="P97" s="359" t="str">
        <f>IF(P$20=0,"",IF(P96=1,"OK","NOK"))</f>
        <v>OK</v>
      </c>
      <c r="Q97" s="17"/>
      <c r="R97" s="17"/>
      <c r="S97" s="359" t="str">
        <f>IF(S$20=0,"",IF(S96=1,"OK","NOK"))</f>
        <v>OK</v>
      </c>
      <c r="T97" s="17"/>
      <c r="U97" s="17"/>
      <c r="V97" s="359" t="str">
        <f>IF(V$20=0,"",IF(V96=1,"OK","NOK"))</f>
        <v/>
      </c>
      <c r="W97" s="382"/>
      <c r="X97" s="539"/>
      <c r="Y97" s="539"/>
      <c r="Z97" s="201"/>
      <c r="AA97" s="201"/>
      <c r="AB97" s="201"/>
      <c r="AC97" s="84"/>
      <c r="AE97" s="17"/>
      <c r="AF97" s="17"/>
      <c r="AG97" s="17"/>
      <c r="AH97" s="539"/>
      <c r="AI97" s="91"/>
      <c r="AK97" s="17"/>
      <c r="AL97" s="17"/>
      <c r="AM97" s="17"/>
      <c r="AN97" s="539"/>
      <c r="AO97" s="91"/>
      <c r="AQ97" s="17"/>
      <c r="AR97" s="17"/>
      <c r="AS97" s="17"/>
      <c r="AT97" s="539"/>
      <c r="AU97" s="91"/>
      <c r="AW97" s="17"/>
      <c r="AX97" s="17"/>
      <c r="AY97" s="17"/>
      <c r="AZ97" s="539"/>
      <c r="BA97" s="91"/>
    </row>
    <row r="98" spans="1:53" ht="17.100000000000001" customHeight="1" x14ac:dyDescent="0.25">
      <c r="A98" s="68"/>
      <c r="B98" s="41" t="s">
        <v>74</v>
      </c>
      <c r="C98" s="69" t="s">
        <v>12</v>
      </c>
      <c r="D98" s="50"/>
      <c r="E98" s="70"/>
      <c r="F98" s="70"/>
      <c r="G98" s="70"/>
      <c r="H98" s="119"/>
      <c r="J98" s="71"/>
      <c r="K98" s="71"/>
      <c r="L98" s="71"/>
      <c r="M98" s="71"/>
      <c r="N98" s="71"/>
      <c r="O98" s="71"/>
      <c r="P98" s="71"/>
      <c r="Q98" s="71"/>
      <c r="R98" s="71"/>
      <c r="S98" s="71"/>
      <c r="T98" s="71"/>
      <c r="U98" s="71"/>
      <c r="V98" s="355"/>
      <c r="W98" s="377"/>
      <c r="X98" s="71"/>
      <c r="Y98" s="72"/>
      <c r="Z98" s="73"/>
      <c r="AA98" s="73"/>
      <c r="AB98" s="73"/>
      <c r="AC98" s="73"/>
      <c r="AE98" s="71"/>
      <c r="AF98" s="71"/>
      <c r="AG98" s="71"/>
      <c r="AH98" s="72"/>
      <c r="AI98" s="73"/>
      <c r="AK98" s="71"/>
      <c r="AL98" s="71"/>
      <c r="AM98" s="71"/>
      <c r="AN98" s="72"/>
      <c r="AO98" s="73"/>
      <c r="AQ98" s="71"/>
      <c r="AR98" s="71"/>
      <c r="AS98" s="71"/>
      <c r="AT98" s="72"/>
      <c r="AU98" s="73"/>
      <c r="AW98" s="71"/>
      <c r="AX98" s="71"/>
      <c r="AY98" s="71"/>
      <c r="AZ98" s="72"/>
      <c r="BA98" s="73"/>
    </row>
    <row r="99" spans="1:53" s="97" customFormat="1" ht="17.100000000000001" customHeight="1" x14ac:dyDescent="0.25">
      <c r="A99" s="119"/>
      <c r="B99" s="119"/>
      <c r="C99" s="120" t="s">
        <v>895</v>
      </c>
      <c r="D99" s="85"/>
      <c r="E99" s="75"/>
      <c r="F99" s="75"/>
      <c r="G99" s="75"/>
      <c r="H99" s="540"/>
      <c r="I99" s="229"/>
      <c r="J99" s="111"/>
      <c r="K99" s="111"/>
      <c r="L99" s="111"/>
      <c r="M99" s="111"/>
      <c r="N99" s="111"/>
      <c r="O99" s="111"/>
      <c r="P99" s="111"/>
      <c r="Q99" s="111"/>
      <c r="R99" s="111"/>
      <c r="S99" s="111"/>
      <c r="T99" s="111"/>
      <c r="U99" s="111"/>
      <c r="V99" s="358"/>
      <c r="W99" s="380"/>
      <c r="X99" s="111"/>
      <c r="Y99" s="112"/>
      <c r="Z99" s="113"/>
      <c r="AA99" s="113"/>
      <c r="AB99" s="113"/>
      <c r="AC99" s="113"/>
      <c r="AE99" s="114"/>
      <c r="AF99" s="114"/>
      <c r="AG99" s="114"/>
      <c r="AH99" s="112"/>
      <c r="AI99" s="113"/>
      <c r="AK99" s="114"/>
      <c r="AL99" s="114"/>
      <c r="AM99" s="114"/>
      <c r="AN99" s="112"/>
      <c r="AO99" s="113"/>
      <c r="AQ99" s="114"/>
      <c r="AR99" s="114"/>
      <c r="AS99" s="114"/>
      <c r="AT99" s="112"/>
      <c r="AU99" s="113"/>
      <c r="AW99" s="114"/>
      <c r="AX99" s="114"/>
      <c r="AY99" s="114"/>
      <c r="AZ99" s="112"/>
      <c r="BA99" s="113"/>
    </row>
    <row r="100" spans="1:53" s="97" customFormat="1" ht="17.100000000000001" customHeight="1" x14ac:dyDescent="0.25">
      <c r="A100" s="119"/>
      <c r="B100" s="119"/>
      <c r="C100" s="540"/>
      <c r="D100" s="121" t="s">
        <v>75</v>
      </c>
      <c r="E100" s="122"/>
      <c r="F100" s="122"/>
      <c r="G100" s="122"/>
      <c r="H100" s="540"/>
      <c r="I100" s="229"/>
      <c r="J100" s="123"/>
      <c r="K100" s="123"/>
      <c r="L100" s="123"/>
      <c r="M100" s="123"/>
      <c r="N100" s="123"/>
      <c r="O100" s="123"/>
      <c r="P100" s="123"/>
      <c r="Q100" s="123"/>
      <c r="R100" s="123"/>
      <c r="S100" s="123"/>
      <c r="T100" s="123"/>
      <c r="U100" s="123"/>
      <c r="V100" s="363"/>
      <c r="W100" s="383"/>
      <c r="X100" s="123"/>
      <c r="Y100" s="124"/>
      <c r="Z100" s="125"/>
      <c r="AA100" s="125"/>
      <c r="AB100" s="125"/>
      <c r="AC100" s="125"/>
      <c r="AE100" s="126"/>
      <c r="AF100" s="126"/>
      <c r="AG100" s="126"/>
      <c r="AH100" s="124"/>
      <c r="AI100" s="125"/>
      <c r="AK100" s="126"/>
      <c r="AL100" s="126"/>
      <c r="AM100" s="126"/>
      <c r="AN100" s="124"/>
      <c r="AO100" s="125"/>
      <c r="AQ100" s="126"/>
      <c r="AR100" s="126"/>
      <c r="AS100" s="126"/>
      <c r="AT100" s="124"/>
      <c r="AU100" s="125"/>
      <c r="AW100" s="126"/>
      <c r="AX100" s="126"/>
      <c r="AY100" s="126"/>
      <c r="AZ100" s="124"/>
      <c r="BA100" s="125"/>
    </row>
    <row r="101" spans="1:53" s="97" customFormat="1" ht="17.100000000000001" customHeight="1" x14ac:dyDescent="0.25">
      <c r="A101" s="137"/>
      <c r="B101" s="137"/>
      <c r="C101" s="928"/>
      <c r="D101" s="941" t="s">
        <v>1438</v>
      </c>
      <c r="E101" s="122"/>
      <c r="F101" s="122"/>
      <c r="G101" s="122"/>
      <c r="H101" s="928"/>
      <c r="I101" s="229"/>
      <c r="J101" s="123"/>
      <c r="K101" s="123"/>
      <c r="L101" s="123"/>
      <c r="M101" s="123"/>
      <c r="N101" s="123">
        <f>N40</f>
        <v>0</v>
      </c>
      <c r="O101" s="123">
        <f>O40</f>
        <v>0</v>
      </c>
      <c r="P101" s="942">
        <f>SUM(N101:O101)</f>
        <v>0</v>
      </c>
      <c r="Q101" s="123">
        <f>Q40</f>
        <v>0</v>
      </c>
      <c r="R101" s="123">
        <f>R40</f>
        <v>0</v>
      </c>
      <c r="S101" s="942">
        <f>SUM(Q101:R101)</f>
        <v>0</v>
      </c>
      <c r="T101" s="123">
        <f>T40</f>
        <v>0</v>
      </c>
      <c r="U101" s="123">
        <f>U40</f>
        <v>0</v>
      </c>
      <c r="V101" s="942">
        <f>SUM(T101:U101)</f>
        <v>0</v>
      </c>
      <c r="W101" s="383"/>
      <c r="X101" s="123"/>
      <c r="Y101" s="129"/>
      <c r="Z101" s="125"/>
      <c r="AA101" s="125"/>
      <c r="AB101" s="125"/>
      <c r="AC101" s="125"/>
      <c r="AE101" s="126"/>
      <c r="AF101" s="126"/>
      <c r="AG101" s="126"/>
      <c r="AH101" s="124"/>
      <c r="AI101" s="125"/>
      <c r="AK101" s="126"/>
      <c r="AL101" s="126"/>
      <c r="AM101" s="126"/>
      <c r="AN101" s="124"/>
      <c r="AO101" s="125"/>
      <c r="AQ101" s="126"/>
      <c r="AR101" s="126"/>
      <c r="AS101" s="126"/>
      <c r="AT101" s="124"/>
      <c r="AU101" s="125"/>
      <c r="AW101" s="126"/>
      <c r="AX101" s="126"/>
      <c r="AY101" s="126"/>
      <c r="AZ101" s="124"/>
      <c r="BA101" s="125"/>
    </row>
    <row r="102" spans="1:53" s="97" customFormat="1" ht="17.100000000000001" customHeight="1" x14ac:dyDescent="0.25">
      <c r="A102" s="137"/>
      <c r="B102" s="119"/>
      <c r="C102" s="928"/>
      <c r="D102" s="127" t="s">
        <v>76</v>
      </c>
      <c r="E102" s="128"/>
      <c r="F102" s="122"/>
      <c r="G102" s="122"/>
      <c r="H102" s="928"/>
      <c r="I102" s="229"/>
      <c r="J102" s="123"/>
      <c r="K102" s="123"/>
      <c r="L102" s="123"/>
      <c r="M102" s="123"/>
      <c r="N102" s="943">
        <f>N63</f>
        <v>0</v>
      </c>
      <c r="O102" s="943">
        <f>O63</f>
        <v>0</v>
      </c>
      <c r="P102" s="942">
        <f>SUM(N102:O102)</f>
        <v>0</v>
      </c>
      <c r="Q102" s="943">
        <f>Q63</f>
        <v>0</v>
      </c>
      <c r="R102" s="943">
        <f>R63</f>
        <v>0</v>
      </c>
      <c r="S102" s="942">
        <f>SUM(Q102:R102)</f>
        <v>0</v>
      </c>
      <c r="T102" s="943">
        <f>T63</f>
        <v>0</v>
      </c>
      <c r="U102" s="943">
        <f>U63</f>
        <v>0</v>
      </c>
      <c r="V102" s="942">
        <f>SUM(T102:U102)</f>
        <v>0</v>
      </c>
      <c r="W102" s="383"/>
      <c r="X102" s="123"/>
      <c r="Y102" s="129"/>
      <c r="Z102" s="125"/>
      <c r="AA102" s="125"/>
      <c r="AB102" s="125"/>
      <c r="AC102" s="125"/>
      <c r="AE102" s="123"/>
      <c r="AF102" s="123"/>
      <c r="AG102" s="123"/>
      <c r="AH102" s="124"/>
      <c r="AI102" s="125"/>
      <c r="AK102" s="123"/>
      <c r="AL102" s="123"/>
      <c r="AM102" s="123"/>
      <c r="AN102" s="124"/>
      <c r="AO102" s="125"/>
      <c r="AQ102" s="123"/>
      <c r="AR102" s="123"/>
      <c r="AS102" s="123"/>
      <c r="AT102" s="124"/>
      <c r="AU102" s="125"/>
      <c r="AW102" s="123"/>
      <c r="AX102" s="123"/>
      <c r="AY102" s="123"/>
      <c r="AZ102" s="124"/>
      <c r="BA102" s="125"/>
    </row>
    <row r="103" spans="1:53" s="97" customFormat="1" ht="17.100000000000001" customHeight="1" x14ac:dyDescent="0.25">
      <c r="A103" s="137"/>
      <c r="B103" s="119"/>
      <c r="C103" s="928"/>
      <c r="D103" s="127" t="s">
        <v>77</v>
      </c>
      <c r="E103" s="128"/>
      <c r="F103" s="122"/>
      <c r="G103" s="122"/>
      <c r="H103" s="928"/>
      <c r="I103" s="229"/>
      <c r="J103" s="123"/>
      <c r="K103" s="123"/>
      <c r="L103" s="123"/>
      <c r="M103" s="123"/>
      <c r="N103" s="943">
        <f>N64</f>
        <v>0</v>
      </c>
      <c r="O103" s="943">
        <f>O64</f>
        <v>0</v>
      </c>
      <c r="P103" s="942">
        <f t="shared" ref="P103:P107" si="84">SUM(N103:O103)</f>
        <v>0</v>
      </c>
      <c r="Q103" s="943">
        <f>Q64</f>
        <v>0</v>
      </c>
      <c r="R103" s="943">
        <f>R64</f>
        <v>0</v>
      </c>
      <c r="S103" s="942">
        <f t="shared" ref="S103:S107" si="85">SUM(Q103:R103)</f>
        <v>0</v>
      </c>
      <c r="T103" s="943">
        <f>T64</f>
        <v>0</v>
      </c>
      <c r="U103" s="943">
        <f>U64</f>
        <v>0</v>
      </c>
      <c r="V103" s="942">
        <f t="shared" ref="V103:V107" si="86">SUM(T103:U103)</f>
        <v>0</v>
      </c>
      <c r="W103" s="383"/>
      <c r="X103" s="123"/>
      <c r="Y103" s="129"/>
      <c r="Z103" s="125"/>
      <c r="AA103" s="125"/>
      <c r="AB103" s="125"/>
      <c r="AC103" s="125"/>
      <c r="AE103" s="123"/>
      <c r="AF103" s="123"/>
      <c r="AG103" s="123"/>
      <c r="AH103" s="124"/>
      <c r="AI103" s="125"/>
      <c r="AK103" s="123"/>
      <c r="AL103" s="123"/>
      <c r="AM103" s="123"/>
      <c r="AN103" s="124"/>
      <c r="AO103" s="125"/>
      <c r="AQ103" s="123"/>
      <c r="AR103" s="123"/>
      <c r="AS103" s="123"/>
      <c r="AT103" s="124"/>
      <c r="AU103" s="125"/>
      <c r="AW103" s="123"/>
      <c r="AX103" s="123"/>
      <c r="AY103" s="123"/>
      <c r="AZ103" s="124"/>
      <c r="BA103" s="125"/>
    </row>
    <row r="104" spans="1:53" s="97" customFormat="1" ht="17.100000000000001" customHeight="1" x14ac:dyDescent="0.25">
      <c r="A104" s="137"/>
      <c r="B104" s="119"/>
      <c r="C104" s="928"/>
      <c r="D104" s="127" t="s">
        <v>78</v>
      </c>
      <c r="E104" s="128"/>
      <c r="F104" s="122"/>
      <c r="G104" s="122"/>
      <c r="H104" s="928"/>
      <c r="I104" s="229"/>
      <c r="J104" s="123"/>
      <c r="K104" s="123"/>
      <c r="L104" s="123"/>
      <c r="M104" s="123"/>
      <c r="N104" s="943">
        <f>N71</f>
        <v>0</v>
      </c>
      <c r="O104" s="943">
        <f>O71</f>
        <v>0</v>
      </c>
      <c r="P104" s="942">
        <f t="shared" si="84"/>
        <v>0</v>
      </c>
      <c r="Q104" s="943">
        <f>Q71</f>
        <v>0</v>
      </c>
      <c r="R104" s="943">
        <f>R71</f>
        <v>0</v>
      </c>
      <c r="S104" s="942">
        <f t="shared" si="85"/>
        <v>0</v>
      </c>
      <c r="T104" s="943">
        <f>T71</f>
        <v>0</v>
      </c>
      <c r="U104" s="943">
        <f>U71</f>
        <v>0</v>
      </c>
      <c r="V104" s="942">
        <f t="shared" si="86"/>
        <v>0</v>
      </c>
      <c r="W104" s="383"/>
      <c r="X104" s="123"/>
      <c r="Y104" s="129"/>
      <c r="Z104" s="125"/>
      <c r="AA104" s="125"/>
      <c r="AB104" s="125"/>
      <c r="AC104" s="125"/>
      <c r="AE104" s="123"/>
      <c r="AF104" s="123"/>
      <c r="AG104" s="123"/>
      <c r="AH104" s="124"/>
      <c r="AI104" s="125"/>
      <c r="AK104" s="123"/>
      <c r="AL104" s="123"/>
      <c r="AM104" s="123"/>
      <c r="AN104" s="124"/>
      <c r="AO104" s="125"/>
      <c r="AQ104" s="123"/>
      <c r="AR104" s="123"/>
      <c r="AS104" s="123"/>
      <c r="AT104" s="124"/>
      <c r="AU104" s="125"/>
      <c r="AW104" s="123"/>
      <c r="AX104" s="123"/>
      <c r="AY104" s="123"/>
      <c r="AZ104" s="124"/>
      <c r="BA104" s="125"/>
    </row>
    <row r="105" spans="1:53" s="97" customFormat="1" ht="17.100000000000001" customHeight="1" x14ac:dyDescent="0.25">
      <c r="A105" s="137"/>
      <c r="B105" s="119"/>
      <c r="C105" s="928"/>
      <c r="D105" s="127" t="s">
        <v>79</v>
      </c>
      <c r="E105" s="122"/>
      <c r="F105" s="122"/>
      <c r="G105" s="122"/>
      <c r="H105" s="928"/>
      <c r="I105" s="229"/>
      <c r="J105" s="123"/>
      <c r="K105" s="123"/>
      <c r="L105" s="123"/>
      <c r="M105" s="123"/>
      <c r="N105" s="943">
        <f>N72</f>
        <v>0</v>
      </c>
      <c r="O105" s="943">
        <f>O72</f>
        <v>0</v>
      </c>
      <c r="P105" s="942">
        <f t="shared" si="84"/>
        <v>0</v>
      </c>
      <c r="Q105" s="943">
        <f>Q72</f>
        <v>0</v>
      </c>
      <c r="R105" s="943">
        <f>R72</f>
        <v>0</v>
      </c>
      <c r="S105" s="942">
        <f t="shared" si="85"/>
        <v>0</v>
      </c>
      <c r="T105" s="943">
        <f>T72</f>
        <v>0</v>
      </c>
      <c r="U105" s="943">
        <f>U72</f>
        <v>0</v>
      </c>
      <c r="V105" s="942">
        <f t="shared" si="86"/>
        <v>0</v>
      </c>
      <c r="W105" s="383"/>
      <c r="X105" s="123"/>
      <c r="Y105" s="129"/>
      <c r="Z105" s="125"/>
      <c r="AA105" s="125"/>
      <c r="AB105" s="125"/>
      <c r="AC105" s="125"/>
      <c r="AE105" s="123"/>
      <c r="AF105" s="123"/>
      <c r="AG105" s="123"/>
      <c r="AH105" s="124"/>
      <c r="AI105" s="125"/>
      <c r="AK105" s="123"/>
      <c r="AL105" s="123"/>
      <c r="AM105" s="123"/>
      <c r="AN105" s="124"/>
      <c r="AO105" s="125"/>
      <c r="AQ105" s="123"/>
      <c r="AR105" s="123"/>
      <c r="AS105" s="123"/>
      <c r="AT105" s="124"/>
      <c r="AU105" s="125"/>
      <c r="AW105" s="123"/>
      <c r="AX105" s="123"/>
      <c r="AY105" s="123"/>
      <c r="AZ105" s="124"/>
      <c r="BA105" s="125"/>
    </row>
    <row r="106" spans="1:53" s="97" customFormat="1" ht="17.100000000000001" customHeight="1" x14ac:dyDescent="0.25">
      <c r="A106" s="137"/>
      <c r="B106" s="137"/>
      <c r="C106" s="928"/>
      <c r="D106" s="127" t="s">
        <v>81</v>
      </c>
      <c r="E106" s="122"/>
      <c r="F106" s="122"/>
      <c r="G106" s="122"/>
      <c r="H106" s="928"/>
      <c r="I106" s="229"/>
      <c r="J106" s="123"/>
      <c r="K106" s="123"/>
      <c r="L106" s="123"/>
      <c r="M106" s="123"/>
      <c r="N106" s="943">
        <f>SUM(N101:N105)</f>
        <v>0</v>
      </c>
      <c r="O106" s="943">
        <f>SUM(O101:O105)</f>
        <v>0</v>
      </c>
      <c r="P106" s="942">
        <f t="shared" si="84"/>
        <v>0</v>
      </c>
      <c r="Q106" s="943">
        <f>SUM(Q101:Q105)</f>
        <v>0</v>
      </c>
      <c r="R106" s="943">
        <f>SUM(R101:R105)</f>
        <v>0</v>
      </c>
      <c r="S106" s="942">
        <f t="shared" si="85"/>
        <v>0</v>
      </c>
      <c r="T106" s="943">
        <f>SUM(T101:T105)</f>
        <v>0</v>
      </c>
      <c r="U106" s="943">
        <f>SUM(U101:U105)</f>
        <v>0</v>
      </c>
      <c r="V106" s="942">
        <f t="shared" si="86"/>
        <v>0</v>
      </c>
      <c r="W106" s="383"/>
      <c r="X106" s="123"/>
      <c r="Y106" s="129"/>
      <c r="Z106" s="125"/>
      <c r="AA106" s="125"/>
      <c r="AB106" s="125"/>
      <c r="AC106" s="125"/>
      <c r="AE106" s="123"/>
      <c r="AF106" s="123"/>
      <c r="AG106" s="123"/>
      <c r="AH106" s="124"/>
      <c r="AI106" s="125"/>
      <c r="AK106" s="123"/>
      <c r="AL106" s="123"/>
      <c r="AM106" s="123"/>
      <c r="AN106" s="124"/>
      <c r="AO106" s="125"/>
      <c r="AQ106" s="123"/>
      <c r="AR106" s="123"/>
      <c r="AS106" s="123"/>
      <c r="AT106" s="124"/>
      <c r="AU106" s="125"/>
      <c r="AW106" s="123"/>
      <c r="AX106" s="123"/>
      <c r="AY106" s="123"/>
      <c r="AZ106" s="124"/>
      <c r="BA106" s="125"/>
    </row>
    <row r="107" spans="1:53" s="97" customFormat="1" ht="17.100000000000001" customHeight="1" x14ac:dyDescent="0.25">
      <c r="A107" s="137"/>
      <c r="B107" s="137"/>
      <c r="C107" s="928"/>
      <c r="D107" s="127" t="s">
        <v>1439</v>
      </c>
      <c r="E107" s="122"/>
      <c r="F107" s="122"/>
      <c r="G107" s="122"/>
      <c r="H107" s="928"/>
      <c r="I107" s="229"/>
      <c r="J107" s="123"/>
      <c r="K107" s="123"/>
      <c r="L107" s="123"/>
      <c r="M107" s="123"/>
      <c r="N107" s="943">
        <f>N20*3</f>
        <v>3</v>
      </c>
      <c r="O107" s="943">
        <f>O20*3</f>
        <v>15</v>
      </c>
      <c r="P107" s="942">
        <f t="shared" si="84"/>
        <v>18</v>
      </c>
      <c r="Q107" s="943">
        <f>Q20*3</f>
        <v>9</v>
      </c>
      <c r="R107" s="943">
        <f>R20*3</f>
        <v>15</v>
      </c>
      <c r="S107" s="942">
        <f t="shared" si="85"/>
        <v>24</v>
      </c>
      <c r="T107" s="943">
        <f>T20*3</f>
        <v>0</v>
      </c>
      <c r="U107" s="943">
        <f>U20*3</f>
        <v>0</v>
      </c>
      <c r="V107" s="942">
        <f t="shared" si="86"/>
        <v>0</v>
      </c>
      <c r="W107" s="383"/>
      <c r="X107" s="123"/>
      <c r="Y107" s="129"/>
      <c r="Z107" s="125"/>
      <c r="AA107" s="125"/>
      <c r="AB107" s="125"/>
      <c r="AC107" s="125"/>
      <c r="AE107" s="123"/>
      <c r="AF107" s="123"/>
      <c r="AG107" s="123"/>
      <c r="AH107" s="124"/>
      <c r="AI107" s="125"/>
      <c r="AK107" s="123"/>
      <c r="AL107" s="123"/>
      <c r="AM107" s="123"/>
      <c r="AN107" s="124"/>
      <c r="AO107" s="125"/>
      <c r="AQ107" s="123"/>
      <c r="AR107" s="123"/>
      <c r="AS107" s="123"/>
      <c r="AT107" s="124"/>
      <c r="AU107" s="125"/>
      <c r="AW107" s="123"/>
      <c r="AX107" s="123"/>
      <c r="AY107" s="123"/>
      <c r="AZ107" s="124"/>
      <c r="BA107" s="125"/>
    </row>
    <row r="108" spans="1:53" s="97" customFormat="1" ht="17.100000000000001" customHeight="1" x14ac:dyDescent="0.25">
      <c r="A108" s="137"/>
      <c r="B108" s="137"/>
      <c r="C108" s="928"/>
      <c r="D108" s="127" t="s">
        <v>1440</v>
      </c>
      <c r="E108" s="122"/>
      <c r="F108" s="122"/>
      <c r="G108" s="122"/>
      <c r="H108" s="928"/>
      <c r="I108" s="229"/>
      <c r="J108" s="123"/>
      <c r="K108" s="123"/>
      <c r="L108" s="123"/>
      <c r="M108" s="123"/>
      <c r="N108" s="130">
        <f>IF(N107=0,0,N106/N107)</f>
        <v>0</v>
      </c>
      <c r="O108" s="130">
        <f t="shared" ref="O108:V108" si="87">IF(O107=0,0,O106/O107)</f>
        <v>0</v>
      </c>
      <c r="P108" s="130">
        <f t="shared" si="87"/>
        <v>0</v>
      </c>
      <c r="Q108" s="130">
        <f t="shared" si="87"/>
        <v>0</v>
      </c>
      <c r="R108" s="130">
        <f t="shared" si="87"/>
        <v>0</v>
      </c>
      <c r="S108" s="130">
        <f t="shared" si="87"/>
        <v>0</v>
      </c>
      <c r="T108" s="130">
        <f t="shared" si="87"/>
        <v>0</v>
      </c>
      <c r="U108" s="130">
        <f t="shared" si="87"/>
        <v>0</v>
      </c>
      <c r="V108" s="130">
        <f t="shared" si="87"/>
        <v>0</v>
      </c>
      <c r="W108" s="383"/>
      <c r="X108" s="123"/>
      <c r="Y108" s="129"/>
      <c r="Z108" s="125"/>
      <c r="AA108" s="125"/>
      <c r="AB108" s="125"/>
      <c r="AC108" s="125"/>
      <c r="AE108" s="123"/>
      <c r="AF108" s="123"/>
      <c r="AG108" s="123"/>
      <c r="AH108" s="124"/>
      <c r="AI108" s="125"/>
      <c r="AK108" s="123"/>
      <c r="AL108" s="123"/>
      <c r="AM108" s="123"/>
      <c r="AN108" s="124"/>
      <c r="AO108" s="125"/>
      <c r="AQ108" s="123"/>
      <c r="AR108" s="123"/>
      <c r="AS108" s="123"/>
      <c r="AT108" s="124"/>
      <c r="AU108" s="125"/>
      <c r="AW108" s="123"/>
      <c r="AX108" s="123"/>
      <c r="AY108" s="123"/>
      <c r="AZ108" s="124"/>
      <c r="BA108" s="125"/>
    </row>
    <row r="109" spans="1:53" s="97" customFormat="1" ht="17.100000000000001" customHeight="1" x14ac:dyDescent="0.25">
      <c r="A109" s="137"/>
      <c r="B109" s="119"/>
      <c r="C109" s="103" t="s">
        <v>80</v>
      </c>
      <c r="D109" s="85" t="s">
        <v>896</v>
      </c>
      <c r="E109" s="75"/>
      <c r="F109" s="75"/>
      <c r="G109" s="75"/>
      <c r="H109" s="1310"/>
      <c r="I109" s="229"/>
      <c r="J109" s="1309"/>
      <c r="K109" s="1309"/>
      <c r="L109" s="1309"/>
      <c r="M109" s="1309"/>
      <c r="N109" s="1309"/>
      <c r="O109" s="1309"/>
      <c r="P109" s="1309">
        <f>IF(P108&gt;=0.5,1,0)</f>
        <v>0</v>
      </c>
      <c r="Q109" s="1309"/>
      <c r="R109" s="1309"/>
      <c r="S109" s="1309">
        <f>IF(S108&gt;=0.5,1,0)</f>
        <v>0</v>
      </c>
      <c r="T109" s="1309"/>
      <c r="U109" s="1309"/>
      <c r="V109" s="1309">
        <f>IF(V108&gt;=0.5,1,0)</f>
        <v>0</v>
      </c>
      <c r="W109" s="382"/>
      <c r="X109" s="1309"/>
      <c r="Y109" s="1309">
        <f t="shared" ref="Y109" si="88">M109+P109+S109+V109</f>
        <v>0</v>
      </c>
      <c r="Z109" s="91"/>
      <c r="AA109" s="91"/>
      <c r="AB109" s="91"/>
      <c r="AC109" s="84"/>
      <c r="AE109" s="1309"/>
      <c r="AF109" s="1309"/>
      <c r="AG109" s="1309"/>
      <c r="AH109" s="1309"/>
      <c r="AI109" s="91"/>
      <c r="AK109" s="1309"/>
      <c r="AL109" s="1309"/>
      <c r="AM109" s="1309"/>
      <c r="AN109" s="1309"/>
      <c r="AO109" s="91"/>
      <c r="AQ109" s="1309"/>
      <c r="AR109" s="1309"/>
      <c r="AS109" s="1309"/>
      <c r="AT109" s="1309"/>
      <c r="AU109" s="91"/>
      <c r="AW109" s="1309"/>
      <c r="AX109" s="1309"/>
      <c r="AY109" s="1309"/>
      <c r="AZ109" s="1309"/>
      <c r="BA109" s="91"/>
    </row>
    <row r="110" spans="1:53" s="97" customFormat="1" ht="16.5" customHeight="1" x14ac:dyDescent="0.25">
      <c r="A110" s="119"/>
      <c r="B110" s="119"/>
      <c r="C110" s="928"/>
      <c r="D110" s="121" t="s">
        <v>82</v>
      </c>
      <c r="E110" s="122"/>
      <c r="F110" s="122"/>
      <c r="G110" s="122"/>
      <c r="H110" s="928"/>
      <c r="I110" s="229"/>
      <c r="J110" s="123"/>
      <c r="K110" s="123"/>
      <c r="L110" s="123"/>
      <c r="M110" s="123"/>
      <c r="N110" s="123"/>
      <c r="O110" s="123"/>
      <c r="P110" s="123"/>
      <c r="Q110" s="123"/>
      <c r="R110" s="123"/>
      <c r="S110" s="123"/>
      <c r="T110" s="123"/>
      <c r="U110" s="123"/>
      <c r="V110" s="363"/>
      <c r="W110" s="383"/>
      <c r="X110" s="123"/>
      <c r="Y110" s="124"/>
      <c r="Z110" s="125"/>
      <c r="AA110" s="125"/>
      <c r="AB110" s="125"/>
      <c r="AC110" s="125"/>
      <c r="AE110" s="126"/>
      <c r="AF110" s="126"/>
      <c r="AG110" s="126"/>
      <c r="AH110" s="124"/>
      <c r="AI110" s="125"/>
      <c r="AK110" s="126"/>
      <c r="AL110" s="126"/>
      <c r="AM110" s="126"/>
      <c r="AN110" s="124"/>
      <c r="AO110" s="125"/>
      <c r="AQ110" s="126"/>
      <c r="AR110" s="126"/>
      <c r="AS110" s="126"/>
      <c r="AT110" s="124"/>
      <c r="AU110" s="125"/>
      <c r="AW110" s="126"/>
      <c r="AX110" s="126"/>
      <c r="AY110" s="126"/>
      <c r="AZ110" s="124"/>
      <c r="BA110" s="125"/>
    </row>
    <row r="111" spans="1:53" s="97" customFormat="1" ht="17.100000000000001" customHeight="1" x14ac:dyDescent="0.25">
      <c r="A111" s="119"/>
      <c r="B111" s="119"/>
      <c r="C111" s="928"/>
      <c r="D111" s="127" t="s">
        <v>910</v>
      </c>
      <c r="E111" s="122"/>
      <c r="F111" s="122"/>
      <c r="G111" s="122"/>
      <c r="H111" s="928"/>
      <c r="I111" s="229"/>
      <c r="J111" s="123"/>
      <c r="K111" s="123"/>
      <c r="L111" s="123"/>
      <c r="M111" s="123"/>
      <c r="N111" s="123"/>
      <c r="O111" s="123"/>
      <c r="P111" s="129">
        <f>P80</f>
        <v>0</v>
      </c>
      <c r="Q111" s="123"/>
      <c r="R111" s="123"/>
      <c r="S111" s="129">
        <f>S80</f>
        <v>0</v>
      </c>
      <c r="T111" s="123"/>
      <c r="U111" s="123"/>
      <c r="V111" s="129">
        <f>V80</f>
        <v>0</v>
      </c>
      <c r="W111" s="383"/>
      <c r="X111" s="123"/>
      <c r="Y111" s="124"/>
      <c r="Z111" s="125"/>
      <c r="AA111" s="125"/>
      <c r="AB111" s="125"/>
      <c r="AC111" s="125"/>
      <c r="AE111" s="126"/>
      <c r="AF111" s="126"/>
      <c r="AG111" s="126"/>
      <c r="AH111" s="124"/>
      <c r="AI111" s="125"/>
      <c r="AK111" s="126"/>
      <c r="AL111" s="126"/>
      <c r="AM111" s="126"/>
      <c r="AN111" s="124"/>
      <c r="AO111" s="125"/>
      <c r="AQ111" s="126"/>
      <c r="AR111" s="126"/>
      <c r="AS111" s="126"/>
      <c r="AT111" s="124"/>
      <c r="AU111" s="125"/>
      <c r="AW111" s="126"/>
      <c r="AX111" s="126"/>
      <c r="AY111" s="126"/>
      <c r="AZ111" s="124"/>
      <c r="BA111" s="125"/>
    </row>
    <row r="112" spans="1:53" s="97" customFormat="1" ht="17.100000000000001" customHeight="1" x14ac:dyDescent="0.25">
      <c r="A112" s="119"/>
      <c r="B112" s="119"/>
      <c r="C112" s="928"/>
      <c r="D112" s="127" t="s">
        <v>83</v>
      </c>
      <c r="E112" s="122"/>
      <c r="F112" s="122"/>
      <c r="G112" s="122"/>
      <c r="H112" s="928"/>
      <c r="I112" s="229"/>
      <c r="J112" s="123"/>
      <c r="K112" s="123"/>
      <c r="L112" s="123"/>
      <c r="M112" s="123"/>
      <c r="N112" s="123"/>
      <c r="O112" s="123"/>
      <c r="P112" s="129">
        <f t="shared" ref="P112:P114" si="89">P85</f>
        <v>0</v>
      </c>
      <c r="Q112" s="123"/>
      <c r="R112" s="123"/>
      <c r="S112" s="129">
        <f>S85</f>
        <v>0</v>
      </c>
      <c r="T112" s="123"/>
      <c r="U112" s="123"/>
      <c r="V112" s="129">
        <f>V85</f>
        <v>0</v>
      </c>
      <c r="W112" s="383"/>
      <c r="X112" s="123"/>
      <c r="Y112" s="129"/>
      <c r="Z112" s="125"/>
      <c r="AA112" s="125"/>
      <c r="AB112" s="125"/>
      <c r="AC112" s="125"/>
      <c r="AE112" s="123"/>
      <c r="AF112" s="123"/>
      <c r="AG112" s="123"/>
      <c r="AH112" s="124"/>
      <c r="AI112" s="125"/>
      <c r="AK112" s="123"/>
      <c r="AL112" s="123"/>
      <c r="AM112" s="123"/>
      <c r="AN112" s="124"/>
      <c r="AO112" s="125"/>
      <c r="AQ112" s="123"/>
      <c r="AR112" s="123"/>
      <c r="AS112" s="123"/>
      <c r="AT112" s="124"/>
      <c r="AU112" s="125"/>
      <c r="AW112" s="123"/>
      <c r="AX112" s="123"/>
      <c r="AY112" s="123"/>
      <c r="AZ112" s="124"/>
      <c r="BA112" s="125"/>
    </row>
    <row r="113" spans="1:53" s="97" customFormat="1" ht="17.100000000000001" customHeight="1" x14ac:dyDescent="0.25">
      <c r="A113" s="119"/>
      <c r="B113" s="119"/>
      <c r="C113" s="928"/>
      <c r="D113" s="127" t="s">
        <v>84</v>
      </c>
      <c r="E113" s="122"/>
      <c r="F113" s="122"/>
      <c r="G113" s="122"/>
      <c r="H113" s="928"/>
      <c r="I113" s="229"/>
      <c r="J113" s="123"/>
      <c r="K113" s="123"/>
      <c r="L113" s="123"/>
      <c r="M113" s="123"/>
      <c r="N113" s="123"/>
      <c r="O113" s="123"/>
      <c r="P113" s="129">
        <f t="shared" si="89"/>
        <v>0</v>
      </c>
      <c r="Q113" s="123"/>
      <c r="R113" s="123"/>
      <c r="S113" s="129">
        <f>S86</f>
        <v>0</v>
      </c>
      <c r="T113" s="123"/>
      <c r="U113" s="123"/>
      <c r="V113" s="129">
        <f>V86</f>
        <v>0</v>
      </c>
      <c r="W113" s="383"/>
      <c r="X113" s="123"/>
      <c r="Y113" s="129"/>
      <c r="Z113" s="125"/>
      <c r="AA113" s="125"/>
      <c r="AB113" s="125"/>
      <c r="AC113" s="125"/>
      <c r="AE113" s="123"/>
      <c r="AF113" s="123"/>
      <c r="AG113" s="123"/>
      <c r="AH113" s="124"/>
      <c r="AI113" s="125"/>
      <c r="AK113" s="123"/>
      <c r="AL113" s="123"/>
      <c r="AM113" s="123"/>
      <c r="AN113" s="124"/>
      <c r="AO113" s="125"/>
      <c r="AQ113" s="123"/>
      <c r="AR113" s="123"/>
      <c r="AS113" s="123"/>
      <c r="AT113" s="124"/>
      <c r="AU113" s="125"/>
      <c r="AW113" s="123"/>
      <c r="AX113" s="123"/>
      <c r="AY113" s="123"/>
      <c r="AZ113" s="124"/>
      <c r="BA113" s="125"/>
    </row>
    <row r="114" spans="1:53" s="97" customFormat="1" ht="17.100000000000001" customHeight="1" x14ac:dyDescent="0.25">
      <c r="A114" s="119"/>
      <c r="B114" s="119"/>
      <c r="C114" s="928"/>
      <c r="D114" s="127" t="s">
        <v>85</v>
      </c>
      <c r="E114" s="122"/>
      <c r="F114" s="122"/>
      <c r="G114" s="122"/>
      <c r="H114" s="928"/>
      <c r="I114" s="229"/>
      <c r="J114" s="123"/>
      <c r="K114" s="123"/>
      <c r="L114" s="123"/>
      <c r="M114" s="123"/>
      <c r="N114" s="123"/>
      <c r="O114" s="123"/>
      <c r="P114" s="129">
        <f t="shared" si="89"/>
        <v>0</v>
      </c>
      <c r="Q114" s="123"/>
      <c r="R114" s="123"/>
      <c r="S114" s="129">
        <f>S87</f>
        <v>0</v>
      </c>
      <c r="T114" s="123"/>
      <c r="U114" s="123"/>
      <c r="V114" s="129">
        <f>V87</f>
        <v>0</v>
      </c>
      <c r="W114" s="383"/>
      <c r="X114" s="123"/>
      <c r="Y114" s="129"/>
      <c r="Z114" s="125"/>
      <c r="AA114" s="125"/>
      <c r="AB114" s="125"/>
      <c r="AC114" s="125"/>
      <c r="AE114" s="123"/>
      <c r="AF114" s="123"/>
      <c r="AG114" s="123"/>
      <c r="AH114" s="124"/>
      <c r="AI114" s="125"/>
      <c r="AK114" s="123"/>
      <c r="AL114" s="123"/>
      <c r="AM114" s="123"/>
      <c r="AN114" s="124"/>
      <c r="AO114" s="125"/>
      <c r="AQ114" s="123"/>
      <c r="AR114" s="123"/>
      <c r="AS114" s="123"/>
      <c r="AT114" s="124"/>
      <c r="AU114" s="125"/>
      <c r="AW114" s="123"/>
      <c r="AX114" s="123"/>
      <c r="AY114" s="123"/>
      <c r="AZ114" s="124"/>
      <c r="BA114" s="125"/>
    </row>
    <row r="115" spans="1:53" s="97" customFormat="1" ht="17.100000000000001" customHeight="1" x14ac:dyDescent="0.25">
      <c r="A115" s="119"/>
      <c r="B115" s="119"/>
      <c r="C115" s="103" t="s">
        <v>86</v>
      </c>
      <c r="D115" s="85" t="s">
        <v>907</v>
      </c>
      <c r="E115" s="75"/>
      <c r="F115" s="75"/>
      <c r="G115" s="75"/>
      <c r="H115" s="540"/>
      <c r="I115" s="229"/>
      <c r="J115" s="545"/>
      <c r="K115" s="545"/>
      <c r="L115" s="545"/>
      <c r="M115" s="545"/>
      <c r="N115" s="545"/>
      <c r="O115" s="545"/>
      <c r="P115" s="545"/>
      <c r="Q115" s="545"/>
      <c r="R115" s="545"/>
      <c r="S115" s="545"/>
      <c r="T115" s="545"/>
      <c r="U115" s="545"/>
      <c r="V115" s="545"/>
      <c r="W115" s="385"/>
      <c r="X115" s="545"/>
      <c r="Y115" s="545"/>
      <c r="Z115" s="131"/>
      <c r="AA115" s="131"/>
      <c r="AB115" s="131"/>
      <c r="AC115" s="113"/>
      <c r="AE115" s="539"/>
      <c r="AF115" s="539"/>
      <c r="AG115" s="539"/>
      <c r="AH115" s="539"/>
      <c r="AI115" s="91"/>
      <c r="AK115" s="539"/>
      <c r="AL115" s="539"/>
      <c r="AM115" s="539"/>
      <c r="AN115" s="539"/>
      <c r="AO115" s="91"/>
      <c r="AQ115" s="539"/>
      <c r="AR115" s="539"/>
      <c r="AS115" s="539"/>
      <c r="AT115" s="539"/>
      <c r="AU115" s="91"/>
      <c r="AW115" s="539"/>
      <c r="AX115" s="539"/>
      <c r="AY115" s="539"/>
      <c r="AZ115" s="539"/>
      <c r="BA115" s="91"/>
    </row>
    <row r="116" spans="1:53" s="97" customFormat="1" ht="17.100000000000001" customHeight="1" x14ac:dyDescent="0.25">
      <c r="A116" s="119"/>
      <c r="B116" s="119"/>
      <c r="C116" s="119"/>
      <c r="D116" s="74" t="s">
        <v>905</v>
      </c>
      <c r="E116" s="75" t="s">
        <v>908</v>
      </c>
      <c r="F116" s="75"/>
      <c r="G116" s="75"/>
      <c r="H116" s="540"/>
      <c r="I116" s="229"/>
      <c r="J116" s="539"/>
      <c r="K116" s="539"/>
      <c r="L116" s="539"/>
      <c r="M116" s="539"/>
      <c r="N116" s="539"/>
      <c r="O116" s="539"/>
      <c r="P116" s="539">
        <f>IF(SUM(P111:P112)&gt;=1,1,0)</f>
        <v>0</v>
      </c>
      <c r="Q116" s="539"/>
      <c r="R116" s="539"/>
      <c r="S116" s="539">
        <f>IF(SUM(S111:S112)&gt;=1,1,0)</f>
        <v>0</v>
      </c>
      <c r="T116" s="539"/>
      <c r="U116" s="539"/>
      <c r="V116" s="539">
        <f>IF(SUM(V111:V112)&gt;=1,1,0)</f>
        <v>0</v>
      </c>
      <c r="W116" s="382"/>
      <c r="X116" s="539"/>
      <c r="Y116" s="539">
        <f t="shared" ref="Y116:Y121" si="90">M116+P116+S116+V116</f>
        <v>0</v>
      </c>
      <c r="Z116" s="91"/>
      <c r="AA116" s="91"/>
      <c r="AB116" s="91"/>
      <c r="AC116" s="84"/>
      <c r="AE116" s="539"/>
      <c r="AF116" s="539"/>
      <c r="AG116" s="539"/>
      <c r="AH116" s="539"/>
      <c r="AI116" s="91"/>
      <c r="AK116" s="539"/>
      <c r="AL116" s="539"/>
      <c r="AM116" s="539"/>
      <c r="AN116" s="539"/>
      <c r="AO116" s="91"/>
      <c r="AQ116" s="539"/>
      <c r="AR116" s="539"/>
      <c r="AS116" s="539"/>
      <c r="AT116" s="539"/>
      <c r="AU116" s="91"/>
      <c r="AW116" s="539"/>
      <c r="AX116" s="539"/>
      <c r="AY116" s="539"/>
      <c r="AZ116" s="539"/>
      <c r="BA116" s="91"/>
    </row>
    <row r="117" spans="1:53" s="97" customFormat="1" ht="17.100000000000001" customHeight="1" x14ac:dyDescent="0.25">
      <c r="A117" s="119"/>
      <c r="B117" s="119"/>
      <c r="C117" s="119"/>
      <c r="D117" s="74" t="s">
        <v>906</v>
      </c>
      <c r="E117" s="75" t="s">
        <v>909</v>
      </c>
      <c r="F117" s="75"/>
      <c r="G117" s="75"/>
      <c r="H117" s="540"/>
      <c r="I117" s="229"/>
      <c r="J117" s="539"/>
      <c r="K117" s="539"/>
      <c r="L117" s="539"/>
      <c r="M117" s="539"/>
      <c r="N117" s="539"/>
      <c r="O117" s="539"/>
      <c r="P117" s="539">
        <f>IF(SUM(P113:P114)&gt;=1,1,0)</f>
        <v>0</v>
      </c>
      <c r="Q117" s="539"/>
      <c r="R117" s="539"/>
      <c r="S117" s="539">
        <f>IF(SUM(S113:S114)&gt;=1,1,0)</f>
        <v>0</v>
      </c>
      <c r="T117" s="539"/>
      <c r="U117" s="539"/>
      <c r="V117" s="539">
        <f>IF(SUM(V113:V114)&gt;=1,1,0)</f>
        <v>0</v>
      </c>
      <c r="W117" s="382"/>
      <c r="X117" s="539"/>
      <c r="Y117" s="539">
        <f t="shared" si="90"/>
        <v>0</v>
      </c>
      <c r="Z117" s="91"/>
      <c r="AA117" s="91"/>
      <c r="AB117" s="91"/>
      <c r="AC117" s="84"/>
      <c r="AE117" s="539"/>
      <c r="AF117" s="539"/>
      <c r="AG117" s="539"/>
      <c r="AH117" s="539"/>
      <c r="AI117" s="91"/>
      <c r="AK117" s="539"/>
      <c r="AL117" s="539"/>
      <c r="AM117" s="539"/>
      <c r="AN117" s="539"/>
      <c r="AO117" s="91"/>
      <c r="AQ117" s="539"/>
      <c r="AR117" s="539"/>
      <c r="AS117" s="539"/>
      <c r="AT117" s="539"/>
      <c r="AU117" s="91"/>
      <c r="AW117" s="539"/>
      <c r="AX117" s="539"/>
      <c r="AY117" s="539"/>
      <c r="AZ117" s="539"/>
      <c r="BA117" s="91"/>
    </row>
    <row r="118" spans="1:53" s="97" customFormat="1" ht="17.100000000000001" customHeight="1" x14ac:dyDescent="0.25">
      <c r="A118" s="119"/>
      <c r="B118" s="119"/>
      <c r="C118" s="540"/>
      <c r="D118" s="121" t="s">
        <v>88</v>
      </c>
      <c r="E118" s="122"/>
      <c r="F118" s="122"/>
      <c r="G118" s="122"/>
      <c r="H118" s="540"/>
      <c r="I118" s="229"/>
      <c r="J118" s="123"/>
      <c r="K118" s="123"/>
      <c r="L118" s="123"/>
      <c r="M118" s="123"/>
      <c r="N118" s="123"/>
      <c r="O118" s="123"/>
      <c r="P118" s="123"/>
      <c r="Q118" s="123"/>
      <c r="R118" s="123"/>
      <c r="S118" s="123"/>
      <c r="T118" s="123"/>
      <c r="U118" s="123"/>
      <c r="V118" s="363"/>
      <c r="W118" s="383"/>
      <c r="X118" s="123"/>
      <c r="Y118" s="124"/>
      <c r="Z118" s="125"/>
      <c r="AA118" s="125"/>
      <c r="AB118" s="125"/>
      <c r="AC118" s="125"/>
      <c r="AE118" s="126"/>
      <c r="AF118" s="126"/>
      <c r="AG118" s="126"/>
      <c r="AH118" s="124"/>
      <c r="AI118" s="125"/>
      <c r="AK118" s="126"/>
      <c r="AL118" s="126"/>
      <c r="AM118" s="126"/>
      <c r="AN118" s="124"/>
      <c r="AO118" s="125"/>
      <c r="AQ118" s="126"/>
      <c r="AR118" s="126"/>
      <c r="AS118" s="126"/>
      <c r="AT118" s="124"/>
      <c r="AU118" s="125"/>
      <c r="AW118" s="126"/>
      <c r="AX118" s="126"/>
      <c r="AY118" s="126"/>
      <c r="AZ118" s="124"/>
      <c r="BA118" s="125"/>
    </row>
    <row r="119" spans="1:53" s="97" customFormat="1" ht="17.100000000000001" customHeight="1" x14ac:dyDescent="0.25">
      <c r="A119" s="119"/>
      <c r="B119" s="119"/>
      <c r="C119" s="540"/>
      <c r="D119" s="127" t="s">
        <v>90</v>
      </c>
      <c r="E119" s="122"/>
      <c r="F119" s="122"/>
      <c r="G119" s="279"/>
      <c r="H119" s="540"/>
      <c r="I119" s="229"/>
      <c r="J119" s="123"/>
      <c r="K119" s="123"/>
      <c r="L119" s="123"/>
      <c r="M119" s="123"/>
      <c r="N119" s="123"/>
      <c r="O119" s="123"/>
      <c r="P119" s="123">
        <f>P92</f>
        <v>1</v>
      </c>
      <c r="Q119" s="123"/>
      <c r="R119" s="123"/>
      <c r="S119" s="123">
        <f>S92</f>
        <v>1</v>
      </c>
      <c r="T119" s="123"/>
      <c r="U119" s="123"/>
      <c r="V119" s="123">
        <f>V92</f>
        <v>0</v>
      </c>
      <c r="W119" s="383"/>
      <c r="X119" s="123"/>
      <c r="Y119" s="123">
        <f t="shared" si="90"/>
        <v>2</v>
      </c>
      <c r="Z119" s="125"/>
      <c r="AA119" s="125"/>
      <c r="AB119" s="125"/>
      <c r="AC119" s="125"/>
      <c r="AE119" s="123"/>
      <c r="AF119" s="123"/>
      <c r="AG119" s="123"/>
      <c r="AH119" s="124"/>
      <c r="AI119" s="125"/>
      <c r="AK119" s="123"/>
      <c r="AL119" s="123"/>
      <c r="AM119" s="123"/>
      <c r="AN119" s="124"/>
      <c r="AO119" s="125"/>
      <c r="AQ119" s="123"/>
      <c r="AR119" s="123"/>
      <c r="AS119" s="123"/>
      <c r="AT119" s="124"/>
      <c r="AU119" s="125"/>
      <c r="AW119" s="123"/>
      <c r="AX119" s="123"/>
      <c r="AY119" s="123"/>
      <c r="AZ119" s="124"/>
      <c r="BA119" s="125"/>
    </row>
    <row r="120" spans="1:53" s="97" customFormat="1" ht="17.100000000000001" customHeight="1" x14ac:dyDescent="0.25">
      <c r="A120" s="119"/>
      <c r="B120" s="119"/>
      <c r="C120" s="540"/>
      <c r="D120" s="127" t="s">
        <v>89</v>
      </c>
      <c r="E120" s="122"/>
      <c r="F120" s="128"/>
      <c r="G120" s="279"/>
      <c r="H120" s="540"/>
      <c r="I120" s="229"/>
      <c r="J120" s="123"/>
      <c r="K120" s="123"/>
      <c r="L120" s="123"/>
      <c r="M120" s="123"/>
      <c r="N120" s="123"/>
      <c r="O120" s="123"/>
      <c r="P120" s="123">
        <f>SUM(P93:P95)</f>
        <v>0</v>
      </c>
      <c r="Q120" s="123"/>
      <c r="R120" s="123"/>
      <c r="S120" s="123">
        <f>SUM(S93:S95)</f>
        <v>0</v>
      </c>
      <c r="T120" s="123"/>
      <c r="U120" s="123"/>
      <c r="V120" s="123">
        <f>SUM(V93:V95)</f>
        <v>0</v>
      </c>
      <c r="W120" s="383"/>
      <c r="X120" s="123"/>
      <c r="Y120" s="123">
        <f t="shared" si="90"/>
        <v>0</v>
      </c>
      <c r="Z120" s="125"/>
      <c r="AA120" s="125"/>
      <c r="AB120" s="125"/>
      <c r="AC120" s="125"/>
      <c r="AE120" s="123"/>
      <c r="AF120" s="123"/>
      <c r="AG120" s="123"/>
      <c r="AH120" s="124"/>
      <c r="AI120" s="125"/>
      <c r="AK120" s="123"/>
      <c r="AL120" s="123"/>
      <c r="AM120" s="123"/>
      <c r="AN120" s="124"/>
      <c r="AO120" s="125"/>
      <c r="AQ120" s="123"/>
      <c r="AR120" s="123"/>
      <c r="AS120" s="123"/>
      <c r="AT120" s="124"/>
      <c r="AU120" s="125"/>
      <c r="AW120" s="123"/>
      <c r="AX120" s="123"/>
      <c r="AY120" s="123"/>
      <c r="AZ120" s="124"/>
      <c r="BA120" s="125"/>
    </row>
    <row r="121" spans="1:53" s="97" customFormat="1" ht="17.100000000000001" customHeight="1" x14ac:dyDescent="0.25">
      <c r="A121" s="119"/>
      <c r="B121" s="119"/>
      <c r="C121" s="540"/>
      <c r="D121" s="127" t="s">
        <v>91</v>
      </c>
      <c r="E121" s="122"/>
      <c r="F121" s="122"/>
      <c r="G121" s="279"/>
      <c r="H121" s="540"/>
      <c r="I121" s="229"/>
      <c r="J121" s="129"/>
      <c r="K121" s="129"/>
      <c r="L121" s="129"/>
      <c r="M121" s="129"/>
      <c r="N121" s="129"/>
      <c r="O121" s="129"/>
      <c r="P121" s="129">
        <f t="shared" ref="P121" si="91">IF(P119=1,0,IF(P120=1,1,0))</f>
        <v>0</v>
      </c>
      <c r="Q121" s="129"/>
      <c r="R121" s="129"/>
      <c r="S121" s="129">
        <f t="shared" ref="S121" si="92">IF(S119=1,0,IF(S120=1,1,0))</f>
        <v>0</v>
      </c>
      <c r="T121" s="129"/>
      <c r="U121" s="129"/>
      <c r="V121" s="129">
        <f t="shared" ref="V121" si="93">IF(V119=1,0,IF(V120=1,1,0))</f>
        <v>0</v>
      </c>
      <c r="W121" s="384"/>
      <c r="X121" s="129"/>
      <c r="Y121" s="129">
        <f t="shared" si="90"/>
        <v>0</v>
      </c>
      <c r="Z121" s="130"/>
      <c r="AA121" s="130"/>
      <c r="AB121" s="130"/>
      <c r="AC121" s="125"/>
      <c r="AE121" s="129"/>
      <c r="AF121" s="129"/>
      <c r="AG121" s="129"/>
      <c r="AH121" s="129"/>
      <c r="AI121" s="130"/>
      <c r="AK121" s="129"/>
      <c r="AL121" s="129"/>
      <c r="AM121" s="129"/>
      <c r="AN121" s="129"/>
      <c r="AO121" s="130"/>
      <c r="AQ121" s="129"/>
      <c r="AR121" s="129"/>
      <c r="AS121" s="129"/>
      <c r="AT121" s="129"/>
      <c r="AU121" s="130"/>
      <c r="AW121" s="129"/>
      <c r="AX121" s="129"/>
      <c r="AY121" s="129"/>
      <c r="AZ121" s="129"/>
      <c r="BA121" s="130"/>
    </row>
    <row r="122" spans="1:53" s="97" customFormat="1" ht="17.100000000000001" customHeight="1" x14ac:dyDescent="0.25">
      <c r="A122" s="119"/>
      <c r="B122" s="119"/>
      <c r="C122" s="103" t="s">
        <v>92</v>
      </c>
      <c r="D122" s="85" t="s">
        <v>914</v>
      </c>
      <c r="E122" s="75"/>
      <c r="F122" s="75"/>
      <c r="G122" s="75"/>
      <c r="H122" s="540"/>
      <c r="I122" s="229"/>
      <c r="J122" s="539"/>
      <c r="K122" s="539"/>
      <c r="L122" s="539"/>
      <c r="M122" s="539"/>
      <c r="N122" s="539"/>
      <c r="O122" s="539"/>
      <c r="P122" s="539">
        <f>P121</f>
        <v>0</v>
      </c>
      <c r="Q122" s="539"/>
      <c r="R122" s="539"/>
      <c r="S122" s="539">
        <f>S121</f>
        <v>0</v>
      </c>
      <c r="T122" s="539"/>
      <c r="U122" s="539"/>
      <c r="V122" s="539">
        <f>V121</f>
        <v>0</v>
      </c>
      <c r="W122" s="382"/>
      <c r="X122" s="539"/>
      <c r="Y122" s="539">
        <f>SUM(J122:X122)</f>
        <v>0</v>
      </c>
      <c r="Z122" s="91"/>
      <c r="AA122" s="91"/>
      <c r="AB122" s="91"/>
      <c r="AC122" s="84"/>
      <c r="AE122" s="539"/>
      <c r="AF122" s="539"/>
      <c r="AG122" s="539"/>
      <c r="AH122" s="539"/>
      <c r="AI122" s="91"/>
      <c r="AK122" s="539"/>
      <c r="AL122" s="539"/>
      <c r="AM122" s="539"/>
      <c r="AN122" s="539"/>
      <c r="AO122" s="91"/>
      <c r="AQ122" s="539"/>
      <c r="AR122" s="539"/>
      <c r="AS122" s="539"/>
      <c r="AT122" s="539"/>
      <c r="AU122" s="91"/>
      <c r="AW122" s="539"/>
      <c r="AX122" s="539"/>
      <c r="AY122" s="539"/>
      <c r="AZ122" s="539"/>
      <c r="BA122" s="91"/>
    </row>
    <row r="123" spans="1:53" s="97" customFormat="1" ht="17.100000000000001" customHeight="1" x14ac:dyDescent="0.25">
      <c r="A123" s="119"/>
      <c r="B123" s="119"/>
      <c r="C123" s="103" t="s">
        <v>93</v>
      </c>
      <c r="D123" s="85" t="s">
        <v>94</v>
      </c>
      <c r="E123" s="75"/>
      <c r="F123" s="75"/>
      <c r="G123" s="75"/>
      <c r="H123" s="928"/>
      <c r="I123" s="229"/>
      <c r="J123" s="932"/>
      <c r="K123" s="932"/>
      <c r="L123" s="932"/>
      <c r="M123" s="932"/>
      <c r="N123" s="932"/>
      <c r="O123" s="932"/>
      <c r="P123" s="932"/>
      <c r="Q123" s="932"/>
      <c r="R123" s="932"/>
      <c r="S123" s="932"/>
      <c r="T123" s="932"/>
      <c r="U123" s="932"/>
      <c r="V123" s="364"/>
      <c r="W123" s="385"/>
      <c r="X123" s="932"/>
      <c r="Y123" s="932"/>
      <c r="Z123" s="131"/>
      <c r="AA123" s="131"/>
      <c r="AB123" s="131"/>
      <c r="AC123" s="113"/>
      <c r="AE123" s="114"/>
      <c r="AF123" s="114"/>
      <c r="AG123" s="114"/>
      <c r="AH123" s="112"/>
      <c r="AI123" s="113"/>
      <c r="AK123" s="114"/>
      <c r="AL123" s="114"/>
      <c r="AM123" s="114"/>
      <c r="AN123" s="112"/>
      <c r="AO123" s="113"/>
      <c r="AQ123" s="114"/>
      <c r="AR123" s="114"/>
      <c r="AS123" s="114"/>
      <c r="AT123" s="112"/>
      <c r="AU123" s="113"/>
      <c r="AW123" s="114"/>
      <c r="AX123" s="114"/>
      <c r="AY123" s="114"/>
      <c r="AZ123" s="112"/>
      <c r="BA123" s="113"/>
    </row>
    <row r="124" spans="1:53" s="97" customFormat="1" ht="17.100000000000001" customHeight="1" x14ac:dyDescent="0.25">
      <c r="A124" s="137"/>
      <c r="B124" s="119"/>
      <c r="C124" s="132"/>
      <c r="D124" s="133" t="s">
        <v>95</v>
      </c>
      <c r="E124" s="134"/>
      <c r="F124" s="134"/>
      <c r="G124" s="134"/>
      <c r="H124" s="928"/>
      <c r="I124" s="229"/>
      <c r="J124" s="82"/>
      <c r="K124" s="82" t="str">
        <f>IF(SUM(K30:K32)=1,1-SUM(K125:K127),"")</f>
        <v/>
      </c>
      <c r="L124" s="82" t="str">
        <f>IF(SUM(L30:L32)=1,1-SUM(L125:L127),"")</f>
        <v/>
      </c>
      <c r="M124" s="82"/>
      <c r="N124" s="82"/>
      <c r="O124" s="82"/>
      <c r="P124" s="82">
        <f>IF(P20=0,0,IF(P109+P116+P117+P122=0,1,0))</f>
        <v>1</v>
      </c>
      <c r="Q124" s="82"/>
      <c r="R124" s="82"/>
      <c r="S124" s="82">
        <f>IF(S20=0,0,IF(S109+S116+S117+S122=0,1,0))</f>
        <v>1</v>
      </c>
      <c r="T124" s="82"/>
      <c r="U124" s="82"/>
      <c r="V124" s="82">
        <f>IF(V20=0,0,IF(V109+V116+V117+V122=0,1,0))</f>
        <v>0</v>
      </c>
      <c r="W124" s="381"/>
      <c r="X124" s="82" t="str">
        <f>IF(SUM(X30:X32)=1,1-SUM(X125:X127),"")</f>
        <v/>
      </c>
      <c r="Y124" s="82">
        <f>P124+S124+V124</f>
        <v>2</v>
      </c>
      <c r="Z124" s="66">
        <f>IF(Y$128=0,0,Y124/Y$128)</f>
        <v>1</v>
      </c>
      <c r="AA124" s="66"/>
      <c r="AB124" s="66"/>
      <c r="AC124" s="83"/>
      <c r="AE124" s="82"/>
      <c r="AF124" s="82"/>
      <c r="AG124" s="82"/>
      <c r="AH124" s="82"/>
      <c r="AI124" s="66"/>
      <c r="AK124" s="82"/>
      <c r="AL124" s="82"/>
      <c r="AM124" s="82"/>
      <c r="AN124" s="82"/>
      <c r="AO124" s="66"/>
      <c r="AQ124" s="82"/>
      <c r="AR124" s="82"/>
      <c r="AS124" s="82"/>
      <c r="AT124" s="82"/>
      <c r="AU124" s="66"/>
      <c r="AW124" s="82"/>
      <c r="AX124" s="82"/>
      <c r="AY124" s="82"/>
      <c r="AZ124" s="82"/>
      <c r="BA124" s="66"/>
    </row>
    <row r="125" spans="1:53" s="97" customFormat="1" ht="17.100000000000001" customHeight="1" x14ac:dyDescent="0.25">
      <c r="A125" s="119"/>
      <c r="B125" s="119"/>
      <c r="C125" s="135"/>
      <c r="D125" s="133" t="s">
        <v>96</v>
      </c>
      <c r="E125" s="134"/>
      <c r="F125" s="134"/>
      <c r="G125" s="134"/>
      <c r="H125" s="928"/>
      <c r="I125" s="229"/>
      <c r="J125" s="82"/>
      <c r="K125" s="82"/>
      <c r="L125" s="82"/>
      <c r="M125" s="82"/>
      <c r="N125" s="82"/>
      <c r="O125" s="82"/>
      <c r="P125" s="82">
        <f>IF(P109+P116+P117+P122=1,1,0)</f>
        <v>0</v>
      </c>
      <c r="Q125" s="82"/>
      <c r="R125" s="82"/>
      <c r="S125" s="82">
        <f>IF(S109+S116+S117+S122=1,1,0)</f>
        <v>0</v>
      </c>
      <c r="T125" s="82"/>
      <c r="U125" s="82"/>
      <c r="V125" s="82">
        <f>IF(V109+V116+V117+V122=1,1,0)</f>
        <v>0</v>
      </c>
      <c r="W125" s="381"/>
      <c r="X125" s="82"/>
      <c r="Y125" s="82">
        <f t="shared" ref="Y125:Y127" si="94">P125+S125+V125</f>
        <v>0</v>
      </c>
      <c r="Z125" s="66">
        <f>IF(Y$128=0,0,Y125/Y$128)</f>
        <v>0</v>
      </c>
      <c r="AA125" s="66"/>
      <c r="AB125" s="66"/>
      <c r="AC125" s="83"/>
      <c r="AE125" s="82"/>
      <c r="AF125" s="82"/>
      <c r="AG125" s="82"/>
      <c r="AH125" s="82"/>
      <c r="AI125" s="66"/>
      <c r="AK125" s="82"/>
      <c r="AL125" s="82"/>
      <c r="AM125" s="82"/>
      <c r="AN125" s="82"/>
      <c r="AO125" s="66"/>
      <c r="AQ125" s="82"/>
      <c r="AR125" s="82"/>
      <c r="AS125" s="82"/>
      <c r="AT125" s="82"/>
      <c r="AU125" s="66"/>
      <c r="AW125" s="82"/>
      <c r="AX125" s="82"/>
      <c r="AY125" s="82"/>
      <c r="AZ125" s="82"/>
      <c r="BA125" s="66"/>
    </row>
    <row r="126" spans="1:53" s="97" customFormat="1" ht="17.100000000000001" customHeight="1" x14ac:dyDescent="0.25">
      <c r="A126" s="119"/>
      <c r="B126" s="119"/>
      <c r="C126" s="136"/>
      <c r="D126" s="133" t="s">
        <v>97</v>
      </c>
      <c r="E126" s="134"/>
      <c r="F126" s="134"/>
      <c r="G126" s="134"/>
      <c r="H126" s="928"/>
      <c r="I126" s="229"/>
      <c r="J126" s="82"/>
      <c r="K126" s="82"/>
      <c r="L126" s="82"/>
      <c r="M126" s="82"/>
      <c r="N126" s="82"/>
      <c r="O126" s="82"/>
      <c r="P126" s="82">
        <f>IF(P109+P116+P117+P122=2,1,0)</f>
        <v>0</v>
      </c>
      <c r="Q126" s="82"/>
      <c r="R126" s="82"/>
      <c r="S126" s="82">
        <f>IF(S109+S116+S117+S122=2,1,0)</f>
        <v>0</v>
      </c>
      <c r="T126" s="82"/>
      <c r="U126" s="82"/>
      <c r="V126" s="82">
        <f>IF(V109+V116+V117+V122=2,1,0)</f>
        <v>0</v>
      </c>
      <c r="W126" s="381"/>
      <c r="X126" s="82"/>
      <c r="Y126" s="82">
        <f t="shared" si="94"/>
        <v>0</v>
      </c>
      <c r="Z126" s="66">
        <f>IF(Y$128=0,0,Y126/Y$128)</f>
        <v>0</v>
      </c>
      <c r="AA126" s="66"/>
      <c r="AB126" s="66"/>
      <c r="AC126" s="83"/>
      <c r="AE126" s="82"/>
      <c r="AF126" s="82"/>
      <c r="AG126" s="82"/>
      <c r="AH126" s="82"/>
      <c r="AI126" s="66"/>
      <c r="AK126" s="82"/>
      <c r="AL126" s="82"/>
      <c r="AM126" s="82"/>
      <c r="AN126" s="82"/>
      <c r="AO126" s="66"/>
      <c r="AQ126" s="82"/>
      <c r="AR126" s="82"/>
      <c r="AS126" s="82"/>
      <c r="AT126" s="82"/>
      <c r="AU126" s="66"/>
      <c r="AW126" s="82"/>
      <c r="AX126" s="82"/>
      <c r="AY126" s="82"/>
      <c r="AZ126" s="82"/>
      <c r="BA126" s="66"/>
    </row>
    <row r="127" spans="1:53" s="97" customFormat="1" ht="17.100000000000001" customHeight="1" x14ac:dyDescent="0.25">
      <c r="A127" s="119"/>
      <c r="B127" s="119"/>
      <c r="C127" s="137"/>
      <c r="D127" s="133" t="s">
        <v>98</v>
      </c>
      <c r="E127" s="134"/>
      <c r="F127" s="134"/>
      <c r="G127" s="134"/>
      <c r="H127" s="928"/>
      <c r="I127" s="229"/>
      <c r="J127" s="82"/>
      <c r="K127" s="82"/>
      <c r="L127" s="82"/>
      <c r="M127" s="82"/>
      <c r="N127" s="82"/>
      <c r="O127" s="82"/>
      <c r="P127" s="82">
        <f>IF(P109+P116+P117+P122=3,1,0)</f>
        <v>0</v>
      </c>
      <c r="Q127" s="82"/>
      <c r="R127" s="82"/>
      <c r="S127" s="82">
        <f>IF(S109+S116+S117+S122=3,1,0)</f>
        <v>0</v>
      </c>
      <c r="T127" s="82"/>
      <c r="U127" s="82"/>
      <c r="V127" s="82">
        <f>IF(V109+V116+V117+V122=3,1,0)</f>
        <v>0</v>
      </c>
      <c r="W127" s="381"/>
      <c r="X127" s="82"/>
      <c r="Y127" s="82">
        <f t="shared" si="94"/>
        <v>0</v>
      </c>
      <c r="Z127" s="66">
        <f>IF(Y$128=0,0,Y127/Y$128)</f>
        <v>0</v>
      </c>
      <c r="AA127" s="66"/>
      <c r="AB127" s="66"/>
      <c r="AC127" s="83"/>
      <c r="AE127" s="82"/>
      <c r="AF127" s="82"/>
      <c r="AG127" s="82"/>
      <c r="AH127" s="82"/>
      <c r="AI127" s="66"/>
      <c r="AK127" s="82"/>
      <c r="AL127" s="82"/>
      <c r="AM127" s="82"/>
      <c r="AN127" s="82"/>
      <c r="AO127" s="66"/>
      <c r="AQ127" s="82"/>
      <c r="AR127" s="82"/>
      <c r="AS127" s="82"/>
      <c r="AT127" s="82"/>
      <c r="AU127" s="66"/>
      <c r="AW127" s="82"/>
      <c r="AX127" s="82"/>
      <c r="AY127" s="82"/>
      <c r="AZ127" s="82"/>
      <c r="BA127" s="66"/>
    </row>
    <row r="128" spans="1:53" s="97" customFormat="1" ht="17.100000000000001" customHeight="1" x14ac:dyDescent="0.25">
      <c r="A128" s="119"/>
      <c r="B128" s="119"/>
      <c r="C128" s="928"/>
      <c r="D128" s="133"/>
      <c r="E128" s="134"/>
      <c r="F128" s="134"/>
      <c r="G128" s="134"/>
      <c r="H128" s="928"/>
      <c r="I128" s="229"/>
      <c r="J128" s="82"/>
      <c r="K128" s="82"/>
      <c r="L128" s="82"/>
      <c r="M128" s="82"/>
      <c r="N128" s="82"/>
      <c r="O128" s="82"/>
      <c r="P128" s="82"/>
      <c r="Q128" s="82"/>
      <c r="R128" s="82"/>
      <c r="S128" s="82"/>
      <c r="T128" s="82"/>
      <c r="U128" s="82"/>
      <c r="V128" s="360"/>
      <c r="W128" s="381"/>
      <c r="X128" s="82"/>
      <c r="Y128" s="82">
        <f>SUM(Y124:Y127)</f>
        <v>2</v>
      </c>
      <c r="Z128" s="66">
        <f>IF(Y$128=0,0,Y128/Y$128)</f>
        <v>1</v>
      </c>
      <c r="AA128" s="66"/>
      <c r="AB128" s="66"/>
      <c r="AC128" s="83"/>
      <c r="AE128" s="82"/>
      <c r="AF128" s="82"/>
      <c r="AG128" s="82"/>
      <c r="AH128" s="82"/>
      <c r="AI128" s="66"/>
      <c r="AK128" s="82"/>
      <c r="AL128" s="82"/>
      <c r="AM128" s="82"/>
      <c r="AN128" s="82"/>
      <c r="AO128" s="66"/>
      <c r="AQ128" s="82"/>
      <c r="AR128" s="82"/>
      <c r="AS128" s="82"/>
      <c r="AT128" s="82"/>
      <c r="AU128" s="66"/>
      <c r="AW128" s="82"/>
      <c r="AX128" s="82"/>
      <c r="AY128" s="82"/>
      <c r="AZ128" s="82"/>
      <c r="BA128" s="66"/>
    </row>
    <row r="129" spans="1:53" s="97" customFormat="1" ht="17.100000000000001" customHeight="1" x14ac:dyDescent="0.25">
      <c r="A129" s="119"/>
      <c r="B129" s="119"/>
      <c r="C129" s="928"/>
      <c r="D129" s="127" t="s">
        <v>81</v>
      </c>
      <c r="E129" s="122"/>
      <c r="F129" s="122"/>
      <c r="G129" s="122"/>
      <c r="H129" s="928"/>
      <c r="I129" s="229"/>
      <c r="J129" s="123"/>
      <c r="K129" s="123"/>
      <c r="L129" s="123"/>
      <c r="M129" s="123"/>
      <c r="N129" s="123"/>
      <c r="O129" s="123"/>
      <c r="P129" s="123">
        <f t="shared" ref="P129" si="95">P109</f>
        <v>0</v>
      </c>
      <c r="Q129" s="123"/>
      <c r="R129" s="123"/>
      <c r="S129" s="123">
        <f t="shared" ref="S129" si="96">S109</f>
        <v>0</v>
      </c>
      <c r="T129" s="123"/>
      <c r="U129" s="123"/>
      <c r="V129" s="123">
        <f t="shared" ref="V129" si="97">V109</f>
        <v>0</v>
      </c>
      <c r="W129" s="383"/>
      <c r="X129" s="123"/>
      <c r="Y129" s="123">
        <f t="shared" ref="Y129" si="98">Y109</f>
        <v>0</v>
      </c>
      <c r="Z129" s="525"/>
      <c r="AA129" s="125"/>
      <c r="AB129" s="125"/>
      <c r="AC129" s="125"/>
      <c r="AE129" s="123"/>
      <c r="AF129" s="123"/>
      <c r="AG129" s="123"/>
      <c r="AH129" s="124"/>
      <c r="AI129" s="125"/>
      <c r="AK129" s="123"/>
      <c r="AL129" s="123"/>
      <c r="AM129" s="123"/>
      <c r="AN129" s="124"/>
      <c r="AO129" s="125"/>
      <c r="AQ129" s="123"/>
      <c r="AR129" s="123"/>
      <c r="AS129" s="123"/>
      <c r="AT129" s="124"/>
      <c r="AU129" s="125"/>
      <c r="AW129" s="123"/>
      <c r="AX129" s="123"/>
      <c r="AY129" s="123"/>
      <c r="AZ129" s="124"/>
      <c r="BA129" s="125"/>
    </row>
    <row r="130" spans="1:53" s="97" customFormat="1" ht="17.100000000000001" customHeight="1" x14ac:dyDescent="0.25">
      <c r="A130" s="119"/>
      <c r="B130" s="119"/>
      <c r="C130" s="1310"/>
      <c r="D130" s="127" t="s">
        <v>87</v>
      </c>
      <c r="E130" s="122"/>
      <c r="F130" s="122"/>
      <c r="G130" s="122"/>
      <c r="H130" s="1310"/>
      <c r="I130" s="229"/>
      <c r="J130" s="123"/>
      <c r="K130" s="123"/>
      <c r="L130" s="123"/>
      <c r="M130" s="123"/>
      <c r="N130" s="123"/>
      <c r="O130" s="123"/>
      <c r="P130" s="123">
        <f>P116+P117</f>
        <v>0</v>
      </c>
      <c r="Q130" s="123"/>
      <c r="R130" s="123"/>
      <c r="S130" s="123">
        <f>S116+S117</f>
        <v>0</v>
      </c>
      <c r="T130" s="123"/>
      <c r="U130" s="123"/>
      <c r="V130" s="123">
        <f>V116+V117</f>
        <v>0</v>
      </c>
      <c r="W130" s="383"/>
      <c r="X130" s="123"/>
      <c r="Y130" s="123">
        <f>Y116+Y117</f>
        <v>0</v>
      </c>
      <c r="Z130" s="525"/>
      <c r="AA130" s="125"/>
      <c r="AB130" s="125"/>
      <c r="AC130" s="125"/>
      <c r="AE130" s="123"/>
      <c r="AF130" s="123"/>
      <c r="AG130" s="123"/>
      <c r="AH130" s="124"/>
      <c r="AI130" s="125"/>
      <c r="AK130" s="123"/>
      <c r="AL130" s="123"/>
      <c r="AM130" s="123"/>
      <c r="AN130" s="124"/>
      <c r="AO130" s="125"/>
      <c r="AQ130" s="123"/>
      <c r="AR130" s="123"/>
      <c r="AS130" s="123"/>
      <c r="AT130" s="124"/>
      <c r="AU130" s="125"/>
      <c r="AW130" s="123"/>
      <c r="AX130" s="123"/>
      <c r="AY130" s="123"/>
      <c r="AZ130" s="124"/>
      <c r="BA130" s="125"/>
    </row>
    <row r="131" spans="1:53" s="97" customFormat="1" ht="17.100000000000001" customHeight="1" x14ac:dyDescent="0.25">
      <c r="A131" s="119"/>
      <c r="B131" s="119"/>
      <c r="C131" s="928"/>
      <c r="D131" s="127" t="s">
        <v>923</v>
      </c>
      <c r="E131" s="122"/>
      <c r="F131" s="122"/>
      <c r="G131" s="122"/>
      <c r="H131" s="928"/>
      <c r="I131" s="229"/>
      <c r="J131" s="123"/>
      <c r="K131" s="123"/>
      <c r="L131" s="123"/>
      <c r="M131" s="123"/>
      <c r="N131" s="123"/>
      <c r="O131" s="123"/>
      <c r="P131" s="123"/>
      <c r="Q131" s="123"/>
      <c r="R131" s="123"/>
      <c r="S131" s="123"/>
      <c r="T131" s="123"/>
      <c r="U131" s="123"/>
      <c r="V131" s="123"/>
      <c r="W131" s="383"/>
      <c r="X131" s="123"/>
      <c r="Y131" s="123"/>
      <c r="Z131" s="525"/>
      <c r="AA131" s="130"/>
      <c r="AB131" s="130"/>
      <c r="AC131" s="125"/>
      <c r="AE131" s="123"/>
      <c r="AF131" s="123"/>
      <c r="AG131" s="123"/>
      <c r="AH131" s="129"/>
      <c r="AI131" s="130"/>
      <c r="AK131" s="123"/>
      <c r="AL131" s="123"/>
      <c r="AM131" s="123"/>
      <c r="AN131" s="129"/>
      <c r="AO131" s="130"/>
      <c r="AQ131" s="123"/>
      <c r="AR131" s="123"/>
      <c r="AS131" s="123"/>
      <c r="AT131" s="129"/>
      <c r="AU131" s="130"/>
      <c r="AW131" s="123"/>
      <c r="AX131" s="123"/>
      <c r="AY131" s="123"/>
      <c r="AZ131" s="129"/>
      <c r="BA131" s="130"/>
    </row>
    <row r="132" spans="1:53" s="97" customFormat="1" ht="17.100000000000001" customHeight="1" x14ac:dyDescent="0.25">
      <c r="A132" s="119"/>
      <c r="B132" s="119"/>
      <c r="C132" s="928"/>
      <c r="D132" s="127" t="s">
        <v>922</v>
      </c>
      <c r="E132" s="122"/>
      <c r="F132" s="122"/>
      <c r="G132" s="122"/>
      <c r="H132" s="928"/>
      <c r="I132" s="229"/>
      <c r="J132" s="123"/>
      <c r="K132" s="123"/>
      <c r="L132" s="123"/>
      <c r="M132" s="123"/>
      <c r="N132" s="123"/>
      <c r="O132" s="123"/>
      <c r="P132" s="123">
        <f t="shared" ref="P132" si="99">SUM(P129:P131)</f>
        <v>0</v>
      </c>
      <c r="Q132" s="123"/>
      <c r="R132" s="123"/>
      <c r="S132" s="123">
        <f t="shared" ref="S132" si="100">SUM(S129:S131)</f>
        <v>0</v>
      </c>
      <c r="T132" s="123"/>
      <c r="U132" s="123"/>
      <c r="V132" s="123">
        <f t="shared" ref="V132" si="101">SUM(V129:V131)</f>
        <v>0</v>
      </c>
      <c r="W132" s="383"/>
      <c r="X132" s="123"/>
      <c r="Y132" s="123">
        <f t="shared" ref="Y132:Y133" si="102">SUM(Y129:Y131)</f>
        <v>0</v>
      </c>
      <c r="Z132" s="525"/>
      <c r="AA132" s="125"/>
      <c r="AB132" s="125"/>
      <c r="AC132" s="125"/>
      <c r="AE132" s="123"/>
      <c r="AF132" s="123"/>
      <c r="AG132" s="123"/>
      <c r="AH132" s="124"/>
      <c r="AI132" s="125"/>
      <c r="AK132" s="123"/>
      <c r="AL132" s="123"/>
      <c r="AM132" s="123"/>
      <c r="AN132" s="124"/>
      <c r="AO132" s="125"/>
      <c r="AQ132" s="123"/>
      <c r="AR132" s="123"/>
      <c r="AS132" s="123"/>
      <c r="AT132" s="124"/>
      <c r="AU132" s="125"/>
      <c r="AW132" s="123"/>
      <c r="AX132" s="123"/>
      <c r="AY132" s="123"/>
      <c r="AZ132" s="124"/>
      <c r="BA132" s="125"/>
    </row>
    <row r="133" spans="1:53" s="97" customFormat="1" ht="17.100000000000001" customHeight="1" x14ac:dyDescent="0.25">
      <c r="A133" s="119"/>
      <c r="B133" s="119"/>
      <c r="C133" s="103" t="s">
        <v>99</v>
      </c>
      <c r="D133" s="85" t="s">
        <v>921</v>
      </c>
      <c r="E133" s="75"/>
      <c r="F133" s="75"/>
      <c r="G133" s="75"/>
      <c r="H133" s="928"/>
      <c r="I133" s="229"/>
      <c r="J133" s="927"/>
      <c r="K133" s="927"/>
      <c r="L133" s="927"/>
      <c r="M133" s="927"/>
      <c r="N133" s="927"/>
      <c r="O133" s="927"/>
      <c r="P133" s="927">
        <f t="shared" ref="P133" si="103">IF(P132&gt;=1,1,0)</f>
        <v>0</v>
      </c>
      <c r="Q133" s="927"/>
      <c r="R133" s="927"/>
      <c r="S133" s="927">
        <f t="shared" ref="S133" si="104">IF(S132&gt;=1,1,0)</f>
        <v>0</v>
      </c>
      <c r="T133" s="927"/>
      <c r="U133" s="927"/>
      <c r="V133" s="927">
        <f t="shared" ref="V133" si="105">IF(V132&gt;=1,1,0)</f>
        <v>0</v>
      </c>
      <c r="W133" s="382"/>
      <c r="X133" s="927"/>
      <c r="Y133" s="927">
        <f t="shared" si="102"/>
        <v>0</v>
      </c>
      <c r="Z133" s="91"/>
      <c r="AA133" s="91"/>
      <c r="AB133" s="91"/>
      <c r="AC133" s="84"/>
      <c r="AE133" s="927"/>
      <c r="AF133" s="927"/>
      <c r="AG133" s="927"/>
      <c r="AH133" s="927"/>
      <c r="AI133" s="91"/>
      <c r="AK133" s="927"/>
      <c r="AL133" s="927"/>
      <c r="AM133" s="927"/>
      <c r="AN133" s="927"/>
      <c r="AO133" s="91"/>
      <c r="AQ133" s="927"/>
      <c r="AR133" s="927"/>
      <c r="AS133" s="927"/>
      <c r="AT133" s="927"/>
      <c r="AU133" s="91"/>
      <c r="AW133" s="927"/>
      <c r="AX133" s="927"/>
      <c r="AY133" s="927"/>
      <c r="AZ133" s="927"/>
      <c r="BA133" s="91"/>
    </row>
    <row r="134" spans="1:53" s="97" customFormat="1" ht="17.100000000000001" customHeight="1" x14ac:dyDescent="0.25">
      <c r="A134" s="138"/>
      <c r="B134" s="138"/>
      <c r="C134" s="139"/>
      <c r="D134" s="12"/>
      <c r="E134" s="12"/>
      <c r="F134" s="12"/>
      <c r="G134" s="12"/>
      <c r="H134" s="139"/>
      <c r="I134" s="12"/>
      <c r="J134" s="95"/>
      <c r="K134" s="95"/>
      <c r="L134" s="95"/>
      <c r="M134" s="95"/>
      <c r="N134" s="95"/>
      <c r="O134" s="95"/>
      <c r="P134" s="95"/>
      <c r="Q134" s="95"/>
      <c r="R134" s="95"/>
      <c r="S134" s="95"/>
      <c r="T134" s="95"/>
      <c r="U134" s="95"/>
      <c r="V134" s="95"/>
      <c r="W134" s="378"/>
      <c r="X134" s="95"/>
      <c r="Y134" s="96"/>
      <c r="AE134" s="109"/>
      <c r="AF134" s="109"/>
      <c r="AG134" s="109"/>
      <c r="AH134" s="96"/>
      <c r="AK134" s="109"/>
      <c r="AL134" s="109"/>
      <c r="AM134" s="109"/>
      <c r="AN134" s="96"/>
      <c r="AQ134" s="109"/>
      <c r="AR134" s="109"/>
      <c r="AS134" s="109"/>
      <c r="AT134" s="96"/>
      <c r="AW134" s="109"/>
      <c r="AX134" s="109"/>
      <c r="AY134" s="109"/>
      <c r="AZ134" s="96"/>
    </row>
    <row r="135" spans="1:53" s="32" customFormat="1" ht="16.5" thickBot="1" x14ac:dyDescent="0.3">
      <c r="A135" s="24" t="s">
        <v>100</v>
      </c>
      <c r="B135" s="25" t="s">
        <v>101</v>
      </c>
      <c r="C135" s="26"/>
      <c r="D135" s="27"/>
      <c r="E135" s="27"/>
      <c r="F135" s="27"/>
      <c r="G135" s="28"/>
      <c r="H135" s="215"/>
      <c r="I135" s="228"/>
      <c r="J135" s="140"/>
      <c r="K135" s="140"/>
      <c r="L135" s="140"/>
      <c r="M135" s="140"/>
      <c r="N135" s="140"/>
      <c r="O135" s="140"/>
      <c r="P135" s="140"/>
      <c r="Q135" s="140"/>
      <c r="R135" s="140"/>
      <c r="S135" s="140"/>
      <c r="T135" s="140"/>
      <c r="U135" s="140"/>
      <c r="V135" s="365"/>
      <c r="W135" s="379"/>
      <c r="X135" s="140"/>
      <c r="Y135" s="30" t="s">
        <v>4</v>
      </c>
      <c r="Z135" s="31" t="s">
        <v>5</v>
      </c>
      <c r="AA135" s="31" t="s">
        <v>181</v>
      </c>
      <c r="AB135" s="31" t="s">
        <v>182</v>
      </c>
      <c r="AC135" s="31" t="s">
        <v>6</v>
      </c>
      <c r="AE135" s="33" t="s">
        <v>181</v>
      </c>
      <c r="AF135" s="33" t="s">
        <v>182</v>
      </c>
      <c r="AG135" s="33" t="s">
        <v>6</v>
      </c>
      <c r="AH135" s="33" t="s">
        <v>4</v>
      </c>
      <c r="AI135" s="34" t="s">
        <v>5</v>
      </c>
      <c r="AJ135" s="408"/>
      <c r="AK135" s="36" t="s">
        <v>181</v>
      </c>
      <c r="AL135" s="36" t="s">
        <v>182</v>
      </c>
      <c r="AM135" s="36" t="s">
        <v>6</v>
      </c>
      <c r="AN135" s="36" t="s">
        <v>4</v>
      </c>
      <c r="AO135" s="37" t="s">
        <v>5</v>
      </c>
      <c r="AP135" s="408"/>
      <c r="AQ135" s="36"/>
      <c r="AR135" s="36"/>
      <c r="AS135" s="36"/>
      <c r="AT135" s="36"/>
      <c r="AU135" s="37"/>
      <c r="AV135" s="408"/>
      <c r="AW135" s="38" t="s">
        <v>181</v>
      </c>
      <c r="AX135" s="38" t="s">
        <v>182</v>
      </c>
      <c r="AY135" s="38" t="s">
        <v>6</v>
      </c>
      <c r="AZ135" s="38" t="s">
        <v>4</v>
      </c>
      <c r="BA135" s="39" t="s">
        <v>5</v>
      </c>
    </row>
    <row r="136" spans="1:53" ht="17.100000000000001" customHeight="1" x14ac:dyDescent="0.25">
      <c r="A136" s="68"/>
      <c r="B136" s="41" t="s">
        <v>102</v>
      </c>
      <c r="C136" s="69" t="s">
        <v>103</v>
      </c>
      <c r="D136" s="50"/>
      <c r="E136" s="70"/>
      <c r="F136" s="70"/>
      <c r="G136" s="70"/>
      <c r="H136" s="263">
        <v>2</v>
      </c>
      <c r="J136" s="71"/>
      <c r="K136" s="71"/>
      <c r="L136" s="71"/>
      <c r="M136" s="71"/>
      <c r="N136" s="71"/>
      <c r="O136" s="71"/>
      <c r="P136" s="71"/>
      <c r="Q136" s="71"/>
      <c r="R136" s="71"/>
      <c r="S136" s="71"/>
      <c r="T136" s="71"/>
      <c r="U136" s="71"/>
      <c r="V136" s="355"/>
      <c r="W136" s="377"/>
      <c r="X136" s="71"/>
      <c r="Y136" s="72"/>
      <c r="Z136" s="73"/>
      <c r="AA136" s="73"/>
      <c r="AB136" s="73"/>
      <c r="AC136" s="73"/>
      <c r="AE136" s="71"/>
      <c r="AF136" s="71"/>
      <c r="AG136" s="71"/>
      <c r="AH136" s="72"/>
      <c r="AI136" s="73"/>
      <c r="AK136" s="71"/>
      <c r="AL136" s="71"/>
      <c r="AM136" s="71"/>
      <c r="AN136" s="72"/>
      <c r="AO136" s="73"/>
      <c r="AQ136" s="71"/>
      <c r="AR136" s="71"/>
      <c r="AS136" s="71"/>
      <c r="AT136" s="72"/>
      <c r="AU136" s="73"/>
      <c r="AW136" s="71"/>
      <c r="AX136" s="71"/>
      <c r="AY136" s="71"/>
      <c r="AZ136" s="72"/>
      <c r="BA136" s="73"/>
    </row>
    <row r="137" spans="1:53" ht="17.100000000000001" customHeight="1" x14ac:dyDescent="0.25">
      <c r="A137" s="40"/>
      <c r="B137" s="40"/>
      <c r="C137" s="74" t="s">
        <v>104</v>
      </c>
      <c r="D137" s="75" t="s">
        <v>404</v>
      </c>
      <c r="E137" s="75"/>
      <c r="F137" s="75"/>
      <c r="G137" s="542"/>
      <c r="H137" s="540"/>
      <c r="I137" s="235"/>
      <c r="J137" s="581"/>
      <c r="K137" s="581"/>
      <c r="L137" s="582"/>
      <c r="M137" s="17">
        <f t="shared" ref="M137:M146" si="106">SUM(J137:L137)</f>
        <v>0</v>
      </c>
      <c r="N137" s="111"/>
      <c r="O137" s="111"/>
      <c r="P137" s="111"/>
      <c r="Q137" s="111"/>
      <c r="R137" s="111"/>
      <c r="S137" s="111"/>
      <c r="T137" s="111"/>
      <c r="U137" s="111"/>
      <c r="V137" s="358"/>
      <c r="W137" s="391">
        <f t="shared" ref="W137:W146" si="107">J137+K137+N137+Q137+T137</f>
        <v>0</v>
      </c>
      <c r="X137" s="17">
        <f t="shared" ref="X137:X146" si="108">L137+O137+R137+U137</f>
        <v>0</v>
      </c>
      <c r="Y137" s="18">
        <f t="shared" ref="Y137:Y146" si="109">SUM(W137:X137)</f>
        <v>0</v>
      </c>
      <c r="Z137" s="19">
        <f>IF(Y$147=0,0,Y137/Y$147)</f>
        <v>0</v>
      </c>
      <c r="AA137" s="19"/>
      <c r="AB137" s="19"/>
      <c r="AC137" s="20"/>
      <c r="AE137" s="17"/>
      <c r="AF137" s="17"/>
      <c r="AG137" s="17"/>
      <c r="AH137" s="18">
        <f t="shared" ref="AH137:AH146" si="110">J137</f>
        <v>0</v>
      </c>
      <c r="AI137" s="19">
        <f>IF(AH$147=0,0,AH137/AH$147)</f>
        <v>0</v>
      </c>
      <c r="AK137" s="17"/>
      <c r="AL137" s="17"/>
      <c r="AM137" s="17"/>
      <c r="AN137" s="18">
        <f t="shared" ref="AN137:AN146" si="111">K137</f>
        <v>0</v>
      </c>
      <c r="AO137" s="19">
        <f>IF(AN$147=0,0,AN137/AN$147)</f>
        <v>0</v>
      </c>
      <c r="AQ137" s="17"/>
      <c r="AR137" s="17"/>
      <c r="AS137" s="17"/>
      <c r="AT137" s="18">
        <f t="shared" ref="AT137:AT146" si="112">W137</f>
        <v>0</v>
      </c>
      <c r="AU137" s="19">
        <f>IF(AT$147=0,0,AT137/AT$147)</f>
        <v>0</v>
      </c>
      <c r="AW137" s="17"/>
      <c r="AX137" s="17"/>
      <c r="AY137" s="17"/>
      <c r="AZ137" s="18">
        <f t="shared" ref="AZ137:AZ146" si="113">X137</f>
        <v>0</v>
      </c>
      <c r="BA137" s="19">
        <f>IF(AZ$147=0,0,AZ137/AZ$147)</f>
        <v>0</v>
      </c>
    </row>
    <row r="138" spans="1:53" ht="17.100000000000001" customHeight="1" x14ac:dyDescent="0.25">
      <c r="A138" s="40"/>
      <c r="B138" s="40"/>
      <c r="C138" s="74" t="s">
        <v>105</v>
      </c>
      <c r="D138" s="75" t="s">
        <v>405</v>
      </c>
      <c r="E138" s="75"/>
      <c r="F138" s="75"/>
      <c r="G138" s="542"/>
      <c r="H138" s="540"/>
      <c r="I138" s="235"/>
      <c r="J138" s="583"/>
      <c r="K138" s="583"/>
      <c r="L138" s="584"/>
      <c r="M138" s="17">
        <f t="shared" si="106"/>
        <v>0</v>
      </c>
      <c r="N138" s="111"/>
      <c r="O138" s="111"/>
      <c r="P138" s="111"/>
      <c r="Q138" s="111"/>
      <c r="R138" s="111"/>
      <c r="S138" s="111"/>
      <c r="T138" s="111"/>
      <c r="U138" s="111"/>
      <c r="V138" s="358"/>
      <c r="W138" s="391">
        <f t="shared" si="107"/>
        <v>0</v>
      </c>
      <c r="X138" s="17">
        <f t="shared" si="108"/>
        <v>0</v>
      </c>
      <c r="Y138" s="18">
        <f t="shared" si="109"/>
        <v>0</v>
      </c>
      <c r="Z138" s="19">
        <f t="shared" ref="Z138:Z146" si="114">IF(Y$147=0,0,Y138/Y$147)</f>
        <v>0</v>
      </c>
      <c r="AA138" s="19"/>
      <c r="AB138" s="19"/>
      <c r="AC138" s="20"/>
      <c r="AE138" s="17"/>
      <c r="AF138" s="17"/>
      <c r="AG138" s="17"/>
      <c r="AH138" s="18">
        <f t="shared" si="110"/>
        <v>0</v>
      </c>
      <c r="AI138" s="19">
        <f t="shared" ref="AI138:AI147" si="115">IF(AH$147=0,0,AH138/AH$147)</f>
        <v>0</v>
      </c>
      <c r="AK138" s="17"/>
      <c r="AL138" s="17"/>
      <c r="AM138" s="17"/>
      <c r="AN138" s="18">
        <f t="shared" si="111"/>
        <v>0</v>
      </c>
      <c r="AO138" s="19">
        <f t="shared" ref="AO138:AO147" si="116">IF(AN$147=0,0,AN138/AN$147)</f>
        <v>0</v>
      </c>
      <c r="AQ138" s="17"/>
      <c r="AR138" s="17"/>
      <c r="AS138" s="17"/>
      <c r="AT138" s="18">
        <f t="shared" si="112"/>
        <v>0</v>
      </c>
      <c r="AU138" s="19">
        <f t="shared" ref="AU138:AU147" si="117">IF(AT$147=0,0,AT138/AT$147)</f>
        <v>0</v>
      </c>
      <c r="AW138" s="17"/>
      <c r="AX138" s="17"/>
      <c r="AY138" s="17"/>
      <c r="AZ138" s="18">
        <f t="shared" si="113"/>
        <v>0</v>
      </c>
      <c r="BA138" s="19">
        <f t="shared" ref="BA138:BA147" si="118">IF(AZ$147=0,0,AZ138/AZ$147)</f>
        <v>0</v>
      </c>
    </row>
    <row r="139" spans="1:53" ht="17.100000000000001" customHeight="1" x14ac:dyDescent="0.25">
      <c r="A139" s="40"/>
      <c r="B139" s="40"/>
      <c r="C139" s="74" t="s">
        <v>106</v>
      </c>
      <c r="D139" s="75" t="s">
        <v>406</v>
      </c>
      <c r="E139" s="75"/>
      <c r="F139" s="75"/>
      <c r="G139" s="542"/>
      <c r="H139" s="540"/>
      <c r="I139" s="235"/>
      <c r="J139" s="581"/>
      <c r="K139" s="581"/>
      <c r="L139" s="582"/>
      <c r="M139" s="17">
        <f t="shared" si="106"/>
        <v>0</v>
      </c>
      <c r="N139" s="111"/>
      <c r="O139" s="111"/>
      <c r="P139" s="111"/>
      <c r="Q139" s="111"/>
      <c r="R139" s="111"/>
      <c r="S139" s="111"/>
      <c r="T139" s="111"/>
      <c r="U139" s="111"/>
      <c r="V139" s="358"/>
      <c r="W139" s="391">
        <f t="shared" si="107"/>
        <v>0</v>
      </c>
      <c r="X139" s="17">
        <f t="shared" si="108"/>
        <v>0</v>
      </c>
      <c r="Y139" s="18">
        <f t="shared" si="109"/>
        <v>0</v>
      </c>
      <c r="Z139" s="19">
        <f t="shared" si="114"/>
        <v>0</v>
      </c>
      <c r="AA139" s="19"/>
      <c r="AB139" s="19"/>
      <c r="AC139" s="20"/>
      <c r="AE139" s="17"/>
      <c r="AF139" s="17"/>
      <c r="AG139" s="17"/>
      <c r="AH139" s="18">
        <f t="shared" si="110"/>
        <v>0</v>
      </c>
      <c r="AI139" s="19">
        <f t="shared" si="115"/>
        <v>0</v>
      </c>
      <c r="AK139" s="17"/>
      <c r="AL139" s="17"/>
      <c r="AM139" s="17"/>
      <c r="AN139" s="18">
        <f t="shared" si="111"/>
        <v>0</v>
      </c>
      <c r="AO139" s="19">
        <f t="shared" si="116"/>
        <v>0</v>
      </c>
      <c r="AQ139" s="17"/>
      <c r="AR139" s="17"/>
      <c r="AS139" s="17"/>
      <c r="AT139" s="18">
        <f t="shared" si="112"/>
        <v>0</v>
      </c>
      <c r="AU139" s="19">
        <f t="shared" si="117"/>
        <v>0</v>
      </c>
      <c r="AW139" s="17"/>
      <c r="AX139" s="17"/>
      <c r="AY139" s="17"/>
      <c r="AZ139" s="18">
        <f t="shared" si="113"/>
        <v>0</v>
      </c>
      <c r="BA139" s="19">
        <f t="shared" si="118"/>
        <v>0</v>
      </c>
    </row>
    <row r="140" spans="1:53" ht="17.100000000000001" customHeight="1" x14ac:dyDescent="0.25">
      <c r="A140" s="40"/>
      <c r="B140" s="40"/>
      <c r="C140" s="74" t="s">
        <v>107</v>
      </c>
      <c r="D140" s="75" t="s">
        <v>407</v>
      </c>
      <c r="E140" s="75"/>
      <c r="F140" s="75"/>
      <c r="G140" s="75"/>
      <c r="H140" s="540"/>
      <c r="I140" s="229"/>
      <c r="J140" s="583"/>
      <c r="K140" s="583"/>
      <c r="L140" s="584"/>
      <c r="M140" s="17">
        <f t="shared" si="106"/>
        <v>0</v>
      </c>
      <c r="N140" s="111"/>
      <c r="O140" s="111"/>
      <c r="P140" s="111"/>
      <c r="Q140" s="111"/>
      <c r="R140" s="111"/>
      <c r="S140" s="111"/>
      <c r="T140" s="111"/>
      <c r="U140" s="111"/>
      <c r="V140" s="358"/>
      <c r="W140" s="391">
        <f t="shared" si="107"/>
        <v>0</v>
      </c>
      <c r="X140" s="17">
        <f t="shared" si="108"/>
        <v>0</v>
      </c>
      <c r="Y140" s="18">
        <f t="shared" si="109"/>
        <v>0</v>
      </c>
      <c r="Z140" s="19">
        <f t="shared" si="114"/>
        <v>0</v>
      </c>
      <c r="AA140" s="19"/>
      <c r="AB140" s="19"/>
      <c r="AC140" s="20"/>
      <c r="AE140" s="17"/>
      <c r="AF140" s="17"/>
      <c r="AG140" s="17"/>
      <c r="AH140" s="18">
        <f t="shared" si="110"/>
        <v>0</v>
      </c>
      <c r="AI140" s="19">
        <f t="shared" si="115"/>
        <v>0</v>
      </c>
      <c r="AK140" s="17"/>
      <c r="AL140" s="17"/>
      <c r="AM140" s="17"/>
      <c r="AN140" s="18">
        <f t="shared" si="111"/>
        <v>0</v>
      </c>
      <c r="AO140" s="19">
        <f t="shared" si="116"/>
        <v>0</v>
      </c>
      <c r="AQ140" s="17"/>
      <c r="AR140" s="17"/>
      <c r="AS140" s="17"/>
      <c r="AT140" s="18">
        <f t="shared" si="112"/>
        <v>0</v>
      </c>
      <c r="AU140" s="19">
        <f t="shared" si="117"/>
        <v>0</v>
      </c>
      <c r="AW140" s="17"/>
      <c r="AX140" s="17"/>
      <c r="AY140" s="17"/>
      <c r="AZ140" s="18">
        <f t="shared" si="113"/>
        <v>0</v>
      </c>
      <c r="BA140" s="19">
        <f t="shared" si="118"/>
        <v>0</v>
      </c>
    </row>
    <row r="141" spans="1:53" ht="17.100000000000001" customHeight="1" x14ac:dyDescent="0.25">
      <c r="A141" s="40"/>
      <c r="B141" s="40"/>
      <c r="C141" s="56" t="s">
        <v>108</v>
      </c>
      <c r="D141" s="75" t="s">
        <v>408</v>
      </c>
      <c r="E141" s="542"/>
      <c r="F141" s="542"/>
      <c r="G141" s="542"/>
      <c r="H141" s="540"/>
      <c r="I141" s="235"/>
      <c r="J141" s="581"/>
      <c r="K141" s="581"/>
      <c r="L141" s="582"/>
      <c r="M141" s="17">
        <f t="shared" si="106"/>
        <v>0</v>
      </c>
      <c r="N141" s="111"/>
      <c r="O141" s="111"/>
      <c r="P141" s="111"/>
      <c r="Q141" s="111"/>
      <c r="R141" s="111"/>
      <c r="S141" s="111"/>
      <c r="T141" s="111"/>
      <c r="U141" s="111"/>
      <c r="V141" s="358"/>
      <c r="W141" s="391">
        <f t="shared" si="107"/>
        <v>0</v>
      </c>
      <c r="X141" s="17">
        <f t="shared" si="108"/>
        <v>0</v>
      </c>
      <c r="Y141" s="18">
        <f t="shared" si="109"/>
        <v>0</v>
      </c>
      <c r="Z141" s="19">
        <f t="shared" si="114"/>
        <v>0</v>
      </c>
      <c r="AA141" s="19"/>
      <c r="AB141" s="19"/>
      <c r="AC141" s="20"/>
      <c r="AE141" s="17"/>
      <c r="AF141" s="17"/>
      <c r="AG141" s="17"/>
      <c r="AH141" s="18">
        <f t="shared" si="110"/>
        <v>0</v>
      </c>
      <c r="AI141" s="19">
        <f t="shared" si="115"/>
        <v>0</v>
      </c>
      <c r="AK141" s="17"/>
      <c r="AL141" s="17"/>
      <c r="AM141" s="17"/>
      <c r="AN141" s="18">
        <f t="shared" si="111"/>
        <v>0</v>
      </c>
      <c r="AO141" s="19">
        <f t="shared" si="116"/>
        <v>0</v>
      </c>
      <c r="AQ141" s="17"/>
      <c r="AR141" s="17"/>
      <c r="AS141" s="17"/>
      <c r="AT141" s="18">
        <f t="shared" si="112"/>
        <v>0</v>
      </c>
      <c r="AU141" s="19">
        <f t="shared" si="117"/>
        <v>0</v>
      </c>
      <c r="AW141" s="17"/>
      <c r="AX141" s="17"/>
      <c r="AY141" s="17"/>
      <c r="AZ141" s="18">
        <f t="shared" si="113"/>
        <v>0</v>
      </c>
      <c r="BA141" s="19">
        <f t="shared" si="118"/>
        <v>0</v>
      </c>
    </row>
    <row r="142" spans="1:53" ht="17.100000000000001" customHeight="1" x14ac:dyDescent="0.25">
      <c r="A142" s="40"/>
      <c r="B142" s="40"/>
      <c r="C142" s="74" t="s">
        <v>399</v>
      </c>
      <c r="D142" s="75" t="s">
        <v>409</v>
      </c>
      <c r="E142" s="150"/>
      <c r="F142" s="151"/>
      <c r="G142" s="151"/>
      <c r="H142" s="119"/>
      <c r="I142" s="236"/>
      <c r="J142" s="583"/>
      <c r="K142" s="583"/>
      <c r="L142" s="584"/>
      <c r="M142" s="17">
        <f t="shared" si="106"/>
        <v>0</v>
      </c>
      <c r="N142" s="111"/>
      <c r="O142" s="111"/>
      <c r="P142" s="111"/>
      <c r="Q142" s="111"/>
      <c r="R142" s="111"/>
      <c r="S142" s="111"/>
      <c r="T142" s="111"/>
      <c r="U142" s="111"/>
      <c r="V142" s="358"/>
      <c r="W142" s="391">
        <f t="shared" si="107"/>
        <v>0</v>
      </c>
      <c r="X142" s="17">
        <f t="shared" si="108"/>
        <v>0</v>
      </c>
      <c r="Y142" s="18">
        <f t="shared" si="109"/>
        <v>0</v>
      </c>
      <c r="Z142" s="19">
        <f t="shared" si="114"/>
        <v>0</v>
      </c>
      <c r="AA142" s="19"/>
      <c r="AB142" s="19"/>
      <c r="AC142" s="20"/>
      <c r="AE142" s="17"/>
      <c r="AF142" s="17"/>
      <c r="AG142" s="17"/>
      <c r="AH142" s="18">
        <f t="shared" si="110"/>
        <v>0</v>
      </c>
      <c r="AI142" s="19">
        <f t="shared" si="115"/>
        <v>0</v>
      </c>
      <c r="AK142" s="17"/>
      <c r="AL142" s="17"/>
      <c r="AM142" s="17"/>
      <c r="AN142" s="18">
        <f t="shared" si="111"/>
        <v>0</v>
      </c>
      <c r="AO142" s="19">
        <f t="shared" si="116"/>
        <v>0</v>
      </c>
      <c r="AQ142" s="17"/>
      <c r="AR142" s="17"/>
      <c r="AS142" s="17"/>
      <c r="AT142" s="18">
        <f t="shared" si="112"/>
        <v>0</v>
      </c>
      <c r="AU142" s="19">
        <f t="shared" si="117"/>
        <v>0</v>
      </c>
      <c r="AW142" s="17"/>
      <c r="AX142" s="17"/>
      <c r="AY142" s="17"/>
      <c r="AZ142" s="18">
        <f t="shared" si="113"/>
        <v>0</v>
      </c>
      <c r="BA142" s="19">
        <f t="shared" si="118"/>
        <v>0</v>
      </c>
    </row>
    <row r="143" spans="1:53" ht="17.100000000000001" customHeight="1" x14ac:dyDescent="0.25">
      <c r="A143" s="40"/>
      <c r="B143" s="40"/>
      <c r="C143" s="56" t="s">
        <v>400</v>
      </c>
      <c r="D143" s="75" t="s">
        <v>410</v>
      </c>
      <c r="E143" s="150"/>
      <c r="F143" s="151"/>
      <c r="G143" s="151"/>
      <c r="H143" s="119"/>
      <c r="I143" s="236"/>
      <c r="J143" s="581"/>
      <c r="K143" s="581"/>
      <c r="L143" s="582"/>
      <c r="M143" s="17">
        <f t="shared" si="106"/>
        <v>0</v>
      </c>
      <c r="N143" s="111"/>
      <c r="O143" s="111"/>
      <c r="P143" s="111"/>
      <c r="Q143" s="111"/>
      <c r="R143" s="111"/>
      <c r="S143" s="111"/>
      <c r="T143" s="111"/>
      <c r="U143" s="111"/>
      <c r="V143" s="358"/>
      <c r="W143" s="391">
        <f t="shared" si="107"/>
        <v>0</v>
      </c>
      <c r="X143" s="17">
        <f t="shared" si="108"/>
        <v>0</v>
      </c>
      <c r="Y143" s="18">
        <f t="shared" si="109"/>
        <v>0</v>
      </c>
      <c r="Z143" s="19">
        <f t="shared" si="114"/>
        <v>0</v>
      </c>
      <c r="AA143" s="19"/>
      <c r="AB143" s="19"/>
      <c r="AC143" s="20"/>
      <c r="AE143" s="17"/>
      <c r="AF143" s="17"/>
      <c r="AG143" s="17"/>
      <c r="AH143" s="18">
        <f t="shared" si="110"/>
        <v>0</v>
      </c>
      <c r="AI143" s="19">
        <f t="shared" si="115"/>
        <v>0</v>
      </c>
      <c r="AK143" s="17"/>
      <c r="AL143" s="17"/>
      <c r="AM143" s="17"/>
      <c r="AN143" s="18">
        <f t="shared" si="111"/>
        <v>0</v>
      </c>
      <c r="AO143" s="19">
        <f t="shared" si="116"/>
        <v>0</v>
      </c>
      <c r="AQ143" s="17"/>
      <c r="AR143" s="17"/>
      <c r="AS143" s="17"/>
      <c r="AT143" s="18">
        <f t="shared" si="112"/>
        <v>0</v>
      </c>
      <c r="AU143" s="19">
        <f t="shared" si="117"/>
        <v>0</v>
      </c>
      <c r="AW143" s="17"/>
      <c r="AX143" s="17"/>
      <c r="AY143" s="17"/>
      <c r="AZ143" s="18">
        <f t="shared" si="113"/>
        <v>0</v>
      </c>
      <c r="BA143" s="19">
        <f t="shared" si="118"/>
        <v>0</v>
      </c>
    </row>
    <row r="144" spans="1:53" ht="17.100000000000001" customHeight="1" x14ac:dyDescent="0.25">
      <c r="A144" s="40"/>
      <c r="B144" s="40"/>
      <c r="C144" s="74" t="s">
        <v>401</v>
      </c>
      <c r="D144" s="75" t="s">
        <v>411</v>
      </c>
      <c r="E144" s="150"/>
      <c r="F144" s="151"/>
      <c r="G144" s="151"/>
      <c r="H144" s="119"/>
      <c r="I144" s="236"/>
      <c r="J144" s="583"/>
      <c r="K144" s="583"/>
      <c r="L144" s="584"/>
      <c r="M144" s="17">
        <f t="shared" si="106"/>
        <v>0</v>
      </c>
      <c r="N144" s="111"/>
      <c r="O144" s="111"/>
      <c r="P144" s="111"/>
      <c r="Q144" s="111"/>
      <c r="R144" s="111"/>
      <c r="S144" s="111"/>
      <c r="T144" s="111"/>
      <c r="U144" s="111"/>
      <c r="V144" s="358"/>
      <c r="W144" s="391">
        <f t="shared" si="107"/>
        <v>0</v>
      </c>
      <c r="X144" s="17">
        <f t="shared" si="108"/>
        <v>0</v>
      </c>
      <c r="Y144" s="18">
        <f t="shared" si="109"/>
        <v>0</v>
      </c>
      <c r="Z144" s="19">
        <f t="shared" si="114"/>
        <v>0</v>
      </c>
      <c r="AA144" s="19"/>
      <c r="AB144" s="19"/>
      <c r="AC144" s="20"/>
      <c r="AE144" s="17"/>
      <c r="AF144" s="17"/>
      <c r="AG144" s="17"/>
      <c r="AH144" s="18">
        <f t="shared" si="110"/>
        <v>0</v>
      </c>
      <c r="AI144" s="19">
        <f t="shared" si="115"/>
        <v>0</v>
      </c>
      <c r="AK144" s="17"/>
      <c r="AL144" s="17"/>
      <c r="AM144" s="17"/>
      <c r="AN144" s="18">
        <f t="shared" si="111"/>
        <v>0</v>
      </c>
      <c r="AO144" s="19">
        <f t="shared" si="116"/>
        <v>0</v>
      </c>
      <c r="AQ144" s="17"/>
      <c r="AR144" s="17"/>
      <c r="AS144" s="17"/>
      <c r="AT144" s="18">
        <f t="shared" si="112"/>
        <v>0</v>
      </c>
      <c r="AU144" s="19">
        <f t="shared" si="117"/>
        <v>0</v>
      </c>
      <c r="AW144" s="17"/>
      <c r="AX144" s="17"/>
      <c r="AY144" s="17"/>
      <c r="AZ144" s="18">
        <f t="shared" si="113"/>
        <v>0</v>
      </c>
      <c r="BA144" s="19">
        <f t="shared" si="118"/>
        <v>0</v>
      </c>
    </row>
    <row r="145" spans="1:53" ht="17.100000000000001" customHeight="1" x14ac:dyDescent="0.25">
      <c r="A145" s="40"/>
      <c r="B145" s="40"/>
      <c r="C145" s="56" t="s">
        <v>402</v>
      </c>
      <c r="D145" s="75" t="s">
        <v>412</v>
      </c>
      <c r="E145" s="150"/>
      <c r="F145" s="151"/>
      <c r="G145" s="151"/>
      <c r="H145" s="119"/>
      <c r="I145" s="236"/>
      <c r="J145" s="581"/>
      <c r="K145" s="581"/>
      <c r="L145" s="582"/>
      <c r="M145" s="17">
        <f t="shared" si="106"/>
        <v>0</v>
      </c>
      <c r="N145" s="111"/>
      <c r="O145" s="111"/>
      <c r="P145" s="111"/>
      <c r="Q145" s="111"/>
      <c r="R145" s="111"/>
      <c r="S145" s="111"/>
      <c r="T145" s="111"/>
      <c r="U145" s="111"/>
      <c r="V145" s="358"/>
      <c r="W145" s="391">
        <f t="shared" si="107"/>
        <v>0</v>
      </c>
      <c r="X145" s="17">
        <f t="shared" si="108"/>
        <v>0</v>
      </c>
      <c r="Y145" s="18">
        <f t="shared" si="109"/>
        <v>0</v>
      </c>
      <c r="Z145" s="19">
        <f t="shared" si="114"/>
        <v>0</v>
      </c>
      <c r="AA145" s="19"/>
      <c r="AB145" s="19"/>
      <c r="AC145" s="20"/>
      <c r="AE145" s="17"/>
      <c r="AF145" s="17"/>
      <c r="AG145" s="17"/>
      <c r="AH145" s="18">
        <f t="shared" si="110"/>
        <v>0</v>
      </c>
      <c r="AI145" s="19">
        <f t="shared" si="115"/>
        <v>0</v>
      </c>
      <c r="AK145" s="17"/>
      <c r="AL145" s="17"/>
      <c r="AM145" s="17"/>
      <c r="AN145" s="18">
        <f t="shared" si="111"/>
        <v>0</v>
      </c>
      <c r="AO145" s="19">
        <f t="shared" si="116"/>
        <v>0</v>
      </c>
      <c r="AQ145" s="17"/>
      <c r="AR145" s="17"/>
      <c r="AS145" s="17"/>
      <c r="AT145" s="18">
        <f t="shared" si="112"/>
        <v>0</v>
      </c>
      <c r="AU145" s="19">
        <f t="shared" si="117"/>
        <v>0</v>
      </c>
      <c r="AW145" s="17"/>
      <c r="AX145" s="17"/>
      <c r="AY145" s="17"/>
      <c r="AZ145" s="18">
        <f t="shared" si="113"/>
        <v>0</v>
      </c>
      <c r="BA145" s="19">
        <f t="shared" si="118"/>
        <v>0</v>
      </c>
    </row>
    <row r="146" spans="1:53" ht="17.100000000000001" customHeight="1" x14ac:dyDescent="0.25">
      <c r="A146" s="40"/>
      <c r="B146" s="40"/>
      <c r="C146" s="74" t="s">
        <v>403</v>
      </c>
      <c r="D146" s="75" t="s">
        <v>392</v>
      </c>
      <c r="E146" s="150"/>
      <c r="F146" s="151"/>
      <c r="G146" s="151"/>
      <c r="H146" s="119"/>
      <c r="I146" s="236"/>
      <c r="J146" s="583"/>
      <c r="K146" s="583"/>
      <c r="L146" s="584"/>
      <c r="M146" s="17">
        <f t="shared" si="106"/>
        <v>0</v>
      </c>
      <c r="N146" s="111"/>
      <c r="O146" s="111"/>
      <c r="P146" s="111"/>
      <c r="Q146" s="111"/>
      <c r="R146" s="111"/>
      <c r="S146" s="111"/>
      <c r="T146" s="111"/>
      <c r="U146" s="111"/>
      <c r="V146" s="358"/>
      <c r="W146" s="391">
        <f t="shared" si="107"/>
        <v>0</v>
      </c>
      <c r="X146" s="17">
        <f t="shared" si="108"/>
        <v>0</v>
      </c>
      <c r="Y146" s="18">
        <f t="shared" si="109"/>
        <v>0</v>
      </c>
      <c r="Z146" s="19">
        <f t="shared" si="114"/>
        <v>0</v>
      </c>
      <c r="AA146" s="19"/>
      <c r="AB146" s="19"/>
      <c r="AC146" s="20"/>
      <c r="AE146" s="17"/>
      <c r="AF146" s="17"/>
      <c r="AG146" s="17"/>
      <c r="AH146" s="18">
        <f t="shared" si="110"/>
        <v>0</v>
      </c>
      <c r="AI146" s="19">
        <f t="shared" si="115"/>
        <v>0</v>
      </c>
      <c r="AK146" s="17"/>
      <c r="AL146" s="17"/>
      <c r="AM146" s="17"/>
      <c r="AN146" s="18">
        <f t="shared" si="111"/>
        <v>0</v>
      </c>
      <c r="AO146" s="19">
        <f t="shared" si="116"/>
        <v>0</v>
      </c>
      <c r="AQ146" s="17"/>
      <c r="AR146" s="17"/>
      <c r="AS146" s="17"/>
      <c r="AT146" s="18">
        <f t="shared" si="112"/>
        <v>0</v>
      </c>
      <c r="AU146" s="19">
        <f t="shared" si="117"/>
        <v>0</v>
      </c>
      <c r="AW146" s="17"/>
      <c r="AX146" s="17"/>
      <c r="AY146" s="17"/>
      <c r="AZ146" s="18">
        <f t="shared" si="113"/>
        <v>0</v>
      </c>
      <c r="BA146" s="19">
        <f t="shared" si="118"/>
        <v>0</v>
      </c>
    </row>
    <row r="147" spans="1:53" ht="17.100000000000001" customHeight="1" x14ac:dyDescent="0.25">
      <c r="A147" s="40"/>
      <c r="B147" s="40"/>
      <c r="C147" s="77"/>
      <c r="D147" s="144"/>
      <c r="E147" s="144"/>
      <c r="F147" s="145"/>
      <c r="G147" s="145"/>
      <c r="H147" s="119"/>
      <c r="I147" s="236"/>
      <c r="J147" s="80">
        <f>SUM(J137:J146)</f>
        <v>0</v>
      </c>
      <c r="K147" s="80">
        <f t="shared" ref="K147:M147" si="119">SUM(K137:K146)</f>
        <v>0</v>
      </c>
      <c r="L147" s="80">
        <f t="shared" si="119"/>
        <v>0</v>
      </c>
      <c r="M147" s="80">
        <f t="shared" si="119"/>
        <v>0</v>
      </c>
      <c r="N147" s="80"/>
      <c r="O147" s="80"/>
      <c r="P147" s="80"/>
      <c r="Q147" s="81"/>
      <c r="R147" s="81"/>
      <c r="S147" s="81"/>
      <c r="T147" s="81"/>
      <c r="U147" s="81"/>
      <c r="V147" s="356"/>
      <c r="W147" s="381">
        <f>SUM(W138:W146)</f>
        <v>0</v>
      </c>
      <c r="X147" s="82">
        <f t="shared" ref="X147:Y147" si="120">SUM(X138:X146)</f>
        <v>0</v>
      </c>
      <c r="Y147" s="82">
        <f t="shared" si="120"/>
        <v>0</v>
      </c>
      <c r="Z147" s="205">
        <f>IF(Y$147=0,0,Y147/Y$147)</f>
        <v>0</v>
      </c>
      <c r="AA147" s="205"/>
      <c r="AB147" s="205"/>
      <c r="AC147" s="83"/>
      <c r="AE147" s="80"/>
      <c r="AF147" s="80"/>
      <c r="AG147" s="81"/>
      <c r="AH147" s="82">
        <f>SUM(AH137:AH146)</f>
        <v>0</v>
      </c>
      <c r="AI147" s="66">
        <f t="shared" si="115"/>
        <v>0</v>
      </c>
      <c r="AK147" s="80"/>
      <c r="AL147" s="80"/>
      <c r="AM147" s="81"/>
      <c r="AN147" s="82">
        <f>SUM(AN137:AN146)</f>
        <v>0</v>
      </c>
      <c r="AO147" s="66">
        <f t="shared" si="116"/>
        <v>0</v>
      </c>
      <c r="AQ147" s="80"/>
      <c r="AR147" s="80"/>
      <c r="AS147" s="81"/>
      <c r="AT147" s="82"/>
      <c r="AU147" s="66">
        <f t="shared" si="117"/>
        <v>0</v>
      </c>
      <c r="AW147" s="80"/>
      <c r="AX147" s="80"/>
      <c r="AY147" s="81"/>
      <c r="AZ147" s="82">
        <f>SUM(AZ137:AZ146)</f>
        <v>0</v>
      </c>
      <c r="BA147" s="66">
        <f t="shared" si="118"/>
        <v>0</v>
      </c>
    </row>
    <row r="148" spans="1:53" s="117" customFormat="1" ht="17.100000000000001" customHeight="1" x14ac:dyDescent="0.25">
      <c r="A148" s="68"/>
      <c r="B148" s="119"/>
      <c r="C148" s="540"/>
      <c r="D148" s="261"/>
      <c r="E148" s="261"/>
      <c r="F148" s="68"/>
      <c r="G148" s="68"/>
      <c r="H148" s="119"/>
      <c r="I148" s="138"/>
      <c r="J148" s="17" t="str">
        <f>IF(J147=J$15,"OK","NOK")</f>
        <v>OK</v>
      </c>
      <c r="K148" s="17" t="str">
        <f t="shared" ref="K148:L148" si="121">IF(K147=K$15,"OK","NOK")</f>
        <v>OK</v>
      </c>
      <c r="L148" s="17" t="str">
        <f t="shared" si="121"/>
        <v>OK</v>
      </c>
      <c r="M148" s="17"/>
      <c r="N148" s="17"/>
      <c r="O148" s="17"/>
      <c r="P148" s="17"/>
      <c r="Q148" s="17"/>
      <c r="R148" s="17"/>
      <c r="S148" s="17"/>
      <c r="T148" s="17"/>
      <c r="U148" s="17"/>
      <c r="V148" s="359"/>
      <c r="W148" s="382"/>
      <c r="X148" s="539"/>
      <c r="Y148" s="539"/>
      <c r="Z148" s="201"/>
      <c r="AA148" s="201"/>
      <c r="AB148" s="201"/>
      <c r="AC148" s="84"/>
      <c r="AE148" s="46"/>
      <c r="AF148" s="46"/>
      <c r="AG148" s="17"/>
      <c r="AH148" s="539"/>
      <c r="AI148" s="91"/>
      <c r="AK148" s="46"/>
      <c r="AL148" s="46"/>
      <c r="AM148" s="17"/>
      <c r="AN148" s="539"/>
      <c r="AO148" s="91"/>
      <c r="AQ148" s="46"/>
      <c r="AR148" s="46"/>
      <c r="AS148" s="17"/>
      <c r="AT148" s="539"/>
      <c r="AU148" s="91"/>
      <c r="AW148" s="46"/>
      <c r="AX148" s="46"/>
      <c r="AY148" s="17"/>
      <c r="AZ148" s="539"/>
      <c r="BA148" s="91"/>
    </row>
    <row r="149" spans="1:53" ht="17.100000000000001" customHeight="1" x14ac:dyDescent="0.25">
      <c r="A149" s="68"/>
      <c r="B149" s="41" t="s">
        <v>110</v>
      </c>
      <c r="C149" s="69" t="s">
        <v>111</v>
      </c>
      <c r="D149" s="50"/>
      <c r="E149" s="70"/>
      <c r="F149" s="70"/>
      <c r="G149" s="70"/>
      <c r="H149" s="119"/>
      <c r="J149" s="71"/>
      <c r="K149" s="71"/>
      <c r="L149" s="71"/>
      <c r="M149" s="71"/>
      <c r="N149" s="71"/>
      <c r="O149" s="71"/>
      <c r="P149" s="71"/>
      <c r="Q149" s="71"/>
      <c r="R149" s="71"/>
      <c r="S149" s="71"/>
      <c r="T149" s="71"/>
      <c r="U149" s="71"/>
      <c r="V149" s="355"/>
      <c r="W149" s="377"/>
      <c r="X149" s="71"/>
      <c r="Y149" s="72"/>
      <c r="Z149" s="73"/>
      <c r="AA149" s="73"/>
      <c r="AB149" s="73"/>
      <c r="AC149" s="73"/>
      <c r="AE149" s="71"/>
      <c r="AF149" s="71"/>
      <c r="AG149" s="71"/>
      <c r="AH149" s="72"/>
      <c r="AI149" s="73"/>
      <c r="AK149" s="71"/>
      <c r="AL149" s="71"/>
      <c r="AM149" s="71"/>
      <c r="AN149" s="72"/>
      <c r="AO149" s="73"/>
      <c r="AQ149" s="71"/>
      <c r="AR149" s="71"/>
      <c r="AS149" s="71"/>
      <c r="AT149" s="72"/>
      <c r="AU149" s="73"/>
      <c r="AW149" s="71"/>
      <c r="AX149" s="71"/>
      <c r="AY149" s="71"/>
      <c r="AZ149" s="72"/>
      <c r="BA149" s="73"/>
    </row>
    <row r="150" spans="1:53" ht="17.100000000000001" customHeight="1" x14ac:dyDescent="0.25">
      <c r="A150" s="40"/>
      <c r="B150" s="40"/>
      <c r="C150" s="141" t="s">
        <v>112</v>
      </c>
      <c r="D150" s="85" t="s">
        <v>113</v>
      </c>
      <c r="E150" s="75"/>
      <c r="F150" s="75"/>
      <c r="G150" s="75"/>
      <c r="H150" s="540"/>
      <c r="I150" s="229"/>
      <c r="J150" s="111"/>
      <c r="K150" s="111"/>
      <c r="L150" s="111"/>
      <c r="M150" s="111"/>
      <c r="N150" s="60"/>
      <c r="O150" s="60"/>
      <c r="P150" s="17">
        <f>SUM(N150:O150)</f>
        <v>0</v>
      </c>
      <c r="Q150" s="60">
        <v>2</v>
      </c>
      <c r="R150" s="60">
        <v>1</v>
      </c>
      <c r="S150" s="17">
        <f>SUM(Q150:R150)</f>
        <v>3</v>
      </c>
      <c r="T150" s="60"/>
      <c r="U150" s="60"/>
      <c r="V150" s="359">
        <f>SUM(T150:U150)</f>
        <v>0</v>
      </c>
      <c r="W150" s="391">
        <f t="shared" ref="W150:W151" si="122">J150+K150+N150+Q150+T150</f>
        <v>2</v>
      </c>
      <c r="X150" s="17">
        <f t="shared" ref="X150:X151" si="123">L150+O150+R150+U150</f>
        <v>1</v>
      </c>
      <c r="Y150" s="18">
        <f>SUM(W150:X150)</f>
        <v>3</v>
      </c>
      <c r="Z150" s="19">
        <f>IF(Y$152=0,0,Y150/Y$152)</f>
        <v>0.21428571428571427</v>
      </c>
      <c r="AA150" s="19"/>
      <c r="AB150" s="19"/>
      <c r="AC150" s="20"/>
      <c r="AE150" s="111"/>
      <c r="AF150" s="111"/>
      <c r="AG150" s="111"/>
      <c r="AH150" s="112"/>
      <c r="AI150" s="113"/>
      <c r="AK150" s="111"/>
      <c r="AL150" s="111"/>
      <c r="AM150" s="111"/>
      <c r="AN150" s="112"/>
      <c r="AO150" s="113"/>
      <c r="AQ150" s="17"/>
      <c r="AR150" s="17"/>
      <c r="AS150" s="17"/>
      <c r="AT150" s="18">
        <f t="shared" ref="AT150:AT151" si="124">W150</f>
        <v>2</v>
      </c>
      <c r="AU150" s="19">
        <f>IF(AT$152=0,0,AT150/AT$152)</f>
        <v>0.5</v>
      </c>
      <c r="AW150" s="17"/>
      <c r="AX150" s="17"/>
      <c r="AY150" s="17"/>
      <c r="AZ150" s="18">
        <f t="shared" ref="AZ150:AZ151" si="125">X150</f>
        <v>1</v>
      </c>
      <c r="BA150" s="19">
        <f>IF(AZ$152=0,0,AZ150/AZ$152)</f>
        <v>0.1</v>
      </c>
    </row>
    <row r="151" spans="1:53" ht="17.100000000000001" customHeight="1" x14ac:dyDescent="0.25">
      <c r="A151" s="40"/>
      <c r="B151" s="40"/>
      <c r="C151" s="141" t="s">
        <v>114</v>
      </c>
      <c r="D151" s="146" t="s">
        <v>115</v>
      </c>
      <c r="E151" s="75"/>
      <c r="F151" s="75"/>
      <c r="G151" s="75"/>
      <c r="H151" s="540"/>
      <c r="I151" s="229"/>
      <c r="J151" s="111"/>
      <c r="K151" s="111"/>
      <c r="L151" s="111"/>
      <c r="M151" s="111"/>
      <c r="N151" s="61">
        <v>1</v>
      </c>
      <c r="O151" s="61">
        <v>5</v>
      </c>
      <c r="P151" s="17">
        <f>SUM(N151:O151)</f>
        <v>6</v>
      </c>
      <c r="Q151" s="61">
        <v>1</v>
      </c>
      <c r="R151" s="61">
        <v>4</v>
      </c>
      <c r="S151" s="17">
        <f>SUM(Q151:R151)</f>
        <v>5</v>
      </c>
      <c r="T151" s="61"/>
      <c r="U151" s="61"/>
      <c r="V151" s="359">
        <f>SUM(T151:U151)</f>
        <v>0</v>
      </c>
      <c r="W151" s="391">
        <f t="shared" si="122"/>
        <v>2</v>
      </c>
      <c r="X151" s="17">
        <f t="shared" si="123"/>
        <v>9</v>
      </c>
      <c r="Y151" s="18">
        <f>SUM(W151:X151)</f>
        <v>11</v>
      </c>
      <c r="Z151" s="19">
        <f>IF(Y$152=0,0,Y151/Y$152)</f>
        <v>0.7857142857142857</v>
      </c>
      <c r="AA151" s="19"/>
      <c r="AB151" s="19"/>
      <c r="AC151" s="20"/>
      <c r="AE151" s="111"/>
      <c r="AF151" s="111"/>
      <c r="AG151" s="111"/>
      <c r="AH151" s="112"/>
      <c r="AI151" s="113"/>
      <c r="AK151" s="111"/>
      <c r="AL151" s="111"/>
      <c r="AM151" s="111"/>
      <c r="AN151" s="112"/>
      <c r="AO151" s="113"/>
      <c r="AQ151" s="17"/>
      <c r="AR151" s="17"/>
      <c r="AS151" s="17"/>
      <c r="AT151" s="18">
        <f t="shared" si="124"/>
        <v>2</v>
      </c>
      <c r="AU151" s="19">
        <f t="shared" ref="AU151:AU152" si="126">IF(AT$152=0,0,AT151/AT$152)</f>
        <v>0.5</v>
      </c>
      <c r="AW151" s="17"/>
      <c r="AX151" s="17"/>
      <c r="AY151" s="17"/>
      <c r="AZ151" s="18">
        <f t="shared" si="125"/>
        <v>9</v>
      </c>
      <c r="BA151" s="19">
        <f t="shared" ref="BA151:BA152" si="127">IF(AZ$152=0,0,AZ151/AZ$152)</f>
        <v>0.9</v>
      </c>
    </row>
    <row r="152" spans="1:53" ht="17.100000000000001" customHeight="1" x14ac:dyDescent="0.25">
      <c r="A152" s="40"/>
      <c r="B152" s="40"/>
      <c r="C152" s="77"/>
      <c r="D152" s="144"/>
      <c r="E152" s="144"/>
      <c r="F152" s="145"/>
      <c r="G152" s="145"/>
      <c r="H152" s="119"/>
      <c r="I152" s="236"/>
      <c r="J152" s="80"/>
      <c r="K152" s="80"/>
      <c r="L152" s="81"/>
      <c r="M152" s="81"/>
      <c r="N152" s="81">
        <f t="shared" ref="N152:Y152" si="128">SUM(N150:N151)</f>
        <v>1</v>
      </c>
      <c r="O152" s="81">
        <f t="shared" si="128"/>
        <v>5</v>
      </c>
      <c r="P152" s="81">
        <f t="shared" si="128"/>
        <v>6</v>
      </c>
      <c r="Q152" s="81">
        <f t="shared" si="128"/>
        <v>3</v>
      </c>
      <c r="R152" s="81">
        <f t="shared" si="128"/>
        <v>5</v>
      </c>
      <c r="S152" s="81">
        <f t="shared" si="128"/>
        <v>8</v>
      </c>
      <c r="T152" s="81">
        <f t="shared" si="128"/>
        <v>0</v>
      </c>
      <c r="U152" s="81">
        <f t="shared" si="128"/>
        <v>0</v>
      </c>
      <c r="V152" s="81">
        <f t="shared" si="128"/>
        <v>0</v>
      </c>
      <c r="W152" s="381">
        <f t="shared" si="128"/>
        <v>4</v>
      </c>
      <c r="X152" s="82">
        <f t="shared" si="128"/>
        <v>10</v>
      </c>
      <c r="Y152" s="82">
        <f t="shared" si="128"/>
        <v>14</v>
      </c>
      <c r="Z152" s="205">
        <f t="shared" ref="Z152" si="129">IF(Y$152=0,0,Y152/Y$152)</f>
        <v>1</v>
      </c>
      <c r="AA152" s="205"/>
      <c r="AB152" s="205"/>
      <c r="AC152" s="83"/>
      <c r="AE152" s="80"/>
      <c r="AF152" s="80"/>
      <c r="AG152" s="81"/>
      <c r="AH152" s="82"/>
      <c r="AI152" s="66"/>
      <c r="AK152" s="80"/>
      <c r="AL152" s="80"/>
      <c r="AM152" s="81"/>
      <c r="AN152" s="82"/>
      <c r="AO152" s="66"/>
      <c r="AQ152" s="80"/>
      <c r="AR152" s="80"/>
      <c r="AS152" s="81"/>
      <c r="AT152" s="82">
        <f>SUM(AT150:AT151)</f>
        <v>4</v>
      </c>
      <c r="AU152" s="66">
        <f t="shared" si="126"/>
        <v>1</v>
      </c>
      <c r="AW152" s="80"/>
      <c r="AX152" s="80"/>
      <c r="AY152" s="81"/>
      <c r="AZ152" s="82">
        <f>SUM(AZ150:AZ151)</f>
        <v>10</v>
      </c>
      <c r="BA152" s="66">
        <f t="shared" si="127"/>
        <v>1</v>
      </c>
    </row>
    <row r="153" spans="1:53" s="117" customFormat="1" ht="17.100000000000001" customHeight="1" x14ac:dyDescent="0.25">
      <c r="A153" s="68"/>
      <c r="B153" s="119"/>
      <c r="C153" s="540"/>
      <c r="D153" s="261"/>
      <c r="E153" s="261"/>
      <c r="F153" s="68"/>
      <c r="G153" s="68"/>
      <c r="H153" s="119"/>
      <c r="I153" s="138"/>
      <c r="J153" s="17"/>
      <c r="K153" s="17"/>
      <c r="L153" s="17"/>
      <c r="M153" s="17"/>
      <c r="N153" s="17" t="str">
        <f>IF(N152=N$20,"OK","NOK")</f>
        <v>OK</v>
      </c>
      <c r="O153" s="17" t="str">
        <f>IF(O152=O$20,"OK","NOK")</f>
        <v>OK</v>
      </c>
      <c r="P153" s="17"/>
      <c r="Q153" s="17" t="str">
        <f>IF(Q152=Q$20,"OK","NOK")</f>
        <v>OK</v>
      </c>
      <c r="R153" s="17" t="str">
        <f>IF(R152=R$20,"OK","NOK")</f>
        <v>OK</v>
      </c>
      <c r="S153" s="17"/>
      <c r="T153" s="17" t="str">
        <f>IF(T152=T$20,"OK","NOK")</f>
        <v>OK</v>
      </c>
      <c r="U153" s="17" t="str">
        <f>IF(U152=U$20,"OK","NOK")</f>
        <v>OK</v>
      </c>
      <c r="V153" s="359"/>
      <c r="W153" s="382"/>
      <c r="X153" s="539"/>
      <c r="Y153" s="539"/>
      <c r="Z153" s="201"/>
      <c r="AA153" s="201"/>
      <c r="AB153" s="201"/>
      <c r="AC153" s="84"/>
      <c r="AE153" s="46"/>
      <c r="AF153" s="46"/>
      <c r="AG153" s="17"/>
      <c r="AH153" s="539"/>
      <c r="AI153" s="91"/>
      <c r="AK153" s="46"/>
      <c r="AL153" s="46"/>
      <c r="AM153" s="17"/>
      <c r="AN153" s="539"/>
      <c r="AO153" s="91"/>
      <c r="AQ153" s="46"/>
      <c r="AR153" s="46"/>
      <c r="AS153" s="17"/>
      <c r="AT153" s="539"/>
      <c r="AU153" s="91"/>
      <c r="AW153" s="46"/>
      <c r="AX153" s="46"/>
      <c r="AY153" s="17"/>
      <c r="AZ153" s="539"/>
      <c r="BA153" s="91"/>
    </row>
    <row r="154" spans="1:53" ht="17.100000000000001" customHeight="1" x14ac:dyDescent="0.25">
      <c r="A154" s="68"/>
      <c r="B154" s="41" t="s">
        <v>116</v>
      </c>
      <c r="C154" s="69" t="s">
        <v>427</v>
      </c>
      <c r="D154" s="50"/>
      <c r="E154" s="70"/>
      <c r="F154" s="70"/>
      <c r="G154" s="70"/>
      <c r="H154" s="243">
        <v>34</v>
      </c>
      <c r="J154" s="71"/>
      <c r="K154" s="71"/>
      <c r="L154" s="71"/>
      <c r="M154" s="71"/>
      <c r="N154" s="71"/>
      <c r="O154" s="71"/>
      <c r="P154" s="71"/>
      <c r="Q154" s="71"/>
      <c r="R154" s="71"/>
      <c r="S154" s="71"/>
      <c r="T154" s="71"/>
      <c r="U154" s="71"/>
      <c r="V154" s="355"/>
      <c r="W154" s="377"/>
      <c r="X154" s="71"/>
      <c r="Y154" s="72"/>
      <c r="Z154" s="73"/>
      <c r="AA154" s="73"/>
      <c r="AB154" s="73"/>
      <c r="AC154" s="73"/>
      <c r="AE154" s="71"/>
      <c r="AF154" s="71"/>
      <c r="AG154" s="71"/>
      <c r="AH154" s="72"/>
      <c r="AI154" s="73"/>
      <c r="AK154" s="71"/>
      <c r="AL154" s="71"/>
      <c r="AM154" s="71"/>
      <c r="AN154" s="72"/>
      <c r="AO154" s="73"/>
      <c r="AQ154" s="71"/>
      <c r="AR154" s="71"/>
      <c r="AS154" s="71"/>
      <c r="AT154" s="72"/>
      <c r="AU154" s="73"/>
      <c r="AW154" s="71"/>
      <c r="AX154" s="71"/>
      <c r="AY154" s="71"/>
      <c r="AZ154" s="72"/>
      <c r="BA154" s="73"/>
    </row>
    <row r="155" spans="1:53" ht="17.100000000000001" customHeight="1" x14ac:dyDescent="0.25">
      <c r="A155" s="40"/>
      <c r="B155" s="40"/>
      <c r="C155" s="141" t="s">
        <v>117</v>
      </c>
      <c r="D155" s="85" t="s">
        <v>428</v>
      </c>
      <c r="E155" s="75"/>
      <c r="F155" s="75"/>
      <c r="G155" s="75"/>
      <c r="H155" s="540"/>
      <c r="I155" s="229"/>
      <c r="J155" s="581"/>
      <c r="K155" s="581"/>
      <c r="L155" s="582"/>
      <c r="M155" s="17">
        <f t="shared" ref="M155:M160" si="130">SUM(J155:L155)</f>
        <v>0</v>
      </c>
      <c r="N155" s="111"/>
      <c r="O155" s="111"/>
      <c r="P155" s="111"/>
      <c r="Q155" s="111"/>
      <c r="R155" s="111"/>
      <c r="S155" s="111"/>
      <c r="T155" s="111"/>
      <c r="U155" s="111"/>
      <c r="V155" s="358"/>
      <c r="W155" s="391">
        <f t="shared" ref="W155:W160" si="131">J155+K155+N155+Q155+T155</f>
        <v>0</v>
      </c>
      <c r="X155" s="17">
        <f t="shared" ref="X155:X160" si="132">L155+O155+R155+U155</f>
        <v>0</v>
      </c>
      <c r="Y155" s="18">
        <f t="shared" ref="Y155:Y160" si="133">SUM(W155:X155)</f>
        <v>0</v>
      </c>
      <c r="Z155" s="19">
        <f>IF($Y$161=0,0,Y155/$Y$161)</f>
        <v>0</v>
      </c>
      <c r="AA155" s="19"/>
      <c r="AB155" s="19"/>
      <c r="AC155" s="20"/>
      <c r="AE155" s="17"/>
      <c r="AF155" s="17"/>
      <c r="AG155" s="17"/>
      <c r="AH155" s="18">
        <f t="shared" ref="AH155:AH160" si="134">J155</f>
        <v>0</v>
      </c>
      <c r="AI155" s="19">
        <f>IF(AH$161=0,0,AH155/AH$161)</f>
        <v>0</v>
      </c>
      <c r="AK155" s="17"/>
      <c r="AL155" s="17"/>
      <c r="AM155" s="17"/>
      <c r="AN155" s="18">
        <f t="shared" ref="AN155:AN160" si="135">K155</f>
        <v>0</v>
      </c>
      <c r="AO155" s="19">
        <f>IF(AN$161=0,0,AN155/AN$161)</f>
        <v>0</v>
      </c>
      <c r="AQ155" s="17"/>
      <c r="AR155" s="17"/>
      <c r="AS155" s="17"/>
      <c r="AT155" s="18">
        <f t="shared" ref="AT155:AT160" si="136">W155</f>
        <v>0</v>
      </c>
      <c r="AU155" s="19">
        <f>IF(AT$161=0,0,AT155/AT$161)</f>
        <v>0</v>
      </c>
      <c r="AW155" s="17"/>
      <c r="AX155" s="17"/>
      <c r="AY155" s="17"/>
      <c r="AZ155" s="18">
        <f t="shared" ref="AZ155:AZ160" si="137">X155</f>
        <v>0</v>
      </c>
      <c r="BA155" s="19">
        <f>IF(AZ$161=0,0,AZ155/AZ$161)</f>
        <v>0</v>
      </c>
    </row>
    <row r="156" spans="1:53" ht="17.100000000000001" customHeight="1" x14ac:dyDescent="0.25">
      <c r="A156" s="40"/>
      <c r="B156" s="40"/>
      <c r="C156" s="141" t="s">
        <v>118</v>
      </c>
      <c r="D156" s="85" t="s">
        <v>429</v>
      </c>
      <c r="E156" s="75"/>
      <c r="F156" s="75"/>
      <c r="G156" s="75"/>
      <c r="H156" s="540"/>
      <c r="I156" s="229"/>
      <c r="J156" s="583"/>
      <c r="K156" s="583"/>
      <c r="L156" s="584"/>
      <c r="M156" s="17">
        <f t="shared" si="130"/>
        <v>0</v>
      </c>
      <c r="N156" s="111"/>
      <c r="O156" s="111"/>
      <c r="P156" s="111"/>
      <c r="Q156" s="111"/>
      <c r="R156" s="111"/>
      <c r="S156" s="111"/>
      <c r="T156" s="111"/>
      <c r="U156" s="111"/>
      <c r="V156" s="358"/>
      <c r="W156" s="391">
        <f t="shared" si="131"/>
        <v>0</v>
      </c>
      <c r="X156" s="17">
        <f t="shared" si="132"/>
        <v>0</v>
      </c>
      <c r="Y156" s="18">
        <f t="shared" si="133"/>
        <v>0</v>
      </c>
      <c r="Z156" s="19">
        <f t="shared" ref="Z156:Z161" si="138">IF($Y$161=0,0,Y156/$Y$161)</f>
        <v>0</v>
      </c>
      <c r="AA156" s="19"/>
      <c r="AB156" s="19"/>
      <c r="AC156" s="20"/>
      <c r="AE156" s="17"/>
      <c r="AF156" s="17"/>
      <c r="AG156" s="17"/>
      <c r="AH156" s="18">
        <f t="shared" si="134"/>
        <v>0</v>
      </c>
      <c r="AI156" s="19">
        <f t="shared" ref="AI156:AI161" si="139">IF(AH$161=0,0,AH156/AH$161)</f>
        <v>0</v>
      </c>
      <c r="AK156" s="17"/>
      <c r="AL156" s="17"/>
      <c r="AM156" s="17"/>
      <c r="AN156" s="18">
        <f t="shared" si="135"/>
        <v>0</v>
      </c>
      <c r="AO156" s="19">
        <f t="shared" ref="AO156:AO161" si="140">IF(AN$161=0,0,AN156/AN$161)</f>
        <v>0</v>
      </c>
      <c r="AQ156" s="17"/>
      <c r="AR156" s="17"/>
      <c r="AS156" s="17"/>
      <c r="AT156" s="18">
        <f t="shared" si="136"/>
        <v>0</v>
      </c>
      <c r="AU156" s="19">
        <f t="shared" ref="AU156:AU161" si="141">IF(AT$161=0,0,AT156/AT$161)</f>
        <v>0</v>
      </c>
      <c r="AW156" s="17"/>
      <c r="AX156" s="17"/>
      <c r="AY156" s="17"/>
      <c r="AZ156" s="18">
        <f t="shared" si="137"/>
        <v>0</v>
      </c>
      <c r="BA156" s="19">
        <f t="shared" ref="BA156:BA161" si="142">IF(AZ$161=0,0,AZ156/AZ$161)</f>
        <v>0</v>
      </c>
    </row>
    <row r="157" spans="1:53" ht="17.100000000000001" customHeight="1" x14ac:dyDescent="0.25">
      <c r="A157" s="40"/>
      <c r="B157" s="40"/>
      <c r="C157" s="141" t="s">
        <v>119</v>
      </c>
      <c r="D157" s="85" t="s">
        <v>430</v>
      </c>
      <c r="E157" s="75"/>
      <c r="F157" s="75"/>
      <c r="G157" s="75"/>
      <c r="H157" s="540"/>
      <c r="I157" s="229"/>
      <c r="J157" s="581"/>
      <c r="K157" s="581"/>
      <c r="L157" s="582"/>
      <c r="M157" s="17">
        <f t="shared" si="130"/>
        <v>0</v>
      </c>
      <c r="N157" s="111"/>
      <c r="O157" s="111"/>
      <c r="P157" s="111"/>
      <c r="Q157" s="111"/>
      <c r="R157" s="111"/>
      <c r="S157" s="111"/>
      <c r="T157" s="111"/>
      <c r="U157" s="111"/>
      <c r="V157" s="358"/>
      <c r="W157" s="391">
        <f t="shared" si="131"/>
        <v>0</v>
      </c>
      <c r="X157" s="17">
        <f t="shared" si="132"/>
        <v>0</v>
      </c>
      <c r="Y157" s="18">
        <f t="shared" si="133"/>
        <v>0</v>
      </c>
      <c r="Z157" s="19">
        <f t="shared" si="138"/>
        <v>0</v>
      </c>
      <c r="AA157" s="19"/>
      <c r="AB157" s="19"/>
      <c r="AC157" s="20"/>
      <c r="AE157" s="17"/>
      <c r="AF157" s="17"/>
      <c r="AG157" s="17"/>
      <c r="AH157" s="18">
        <f t="shared" si="134"/>
        <v>0</v>
      </c>
      <c r="AI157" s="19">
        <f t="shared" si="139"/>
        <v>0</v>
      </c>
      <c r="AK157" s="17"/>
      <c r="AL157" s="17"/>
      <c r="AM157" s="17"/>
      <c r="AN157" s="18">
        <f t="shared" si="135"/>
        <v>0</v>
      </c>
      <c r="AO157" s="19">
        <f t="shared" si="140"/>
        <v>0</v>
      </c>
      <c r="AQ157" s="17"/>
      <c r="AR157" s="17"/>
      <c r="AS157" s="17"/>
      <c r="AT157" s="18">
        <f t="shared" si="136"/>
        <v>0</v>
      </c>
      <c r="AU157" s="19">
        <f t="shared" si="141"/>
        <v>0</v>
      </c>
      <c r="AW157" s="17"/>
      <c r="AX157" s="17"/>
      <c r="AY157" s="17"/>
      <c r="AZ157" s="18">
        <f t="shared" si="137"/>
        <v>0</v>
      </c>
      <c r="BA157" s="19">
        <f t="shared" si="142"/>
        <v>0</v>
      </c>
    </row>
    <row r="158" spans="1:53" ht="17.100000000000001" customHeight="1" x14ac:dyDescent="0.25">
      <c r="A158" s="40"/>
      <c r="B158" s="40"/>
      <c r="C158" s="141" t="s">
        <v>120</v>
      </c>
      <c r="D158" s="85" t="s">
        <v>431</v>
      </c>
      <c r="E158" s="75"/>
      <c r="F158" s="75"/>
      <c r="G158" s="75"/>
      <c r="H158" s="540"/>
      <c r="I158" s="229"/>
      <c r="J158" s="583"/>
      <c r="K158" s="583"/>
      <c r="L158" s="584"/>
      <c r="M158" s="17">
        <f t="shared" si="130"/>
        <v>0</v>
      </c>
      <c r="N158" s="111"/>
      <c r="O158" s="111"/>
      <c r="P158" s="111"/>
      <c r="Q158" s="111"/>
      <c r="R158" s="111"/>
      <c r="S158" s="111"/>
      <c r="T158" s="111"/>
      <c r="U158" s="111"/>
      <c r="V158" s="358"/>
      <c r="W158" s="391">
        <f t="shared" si="131"/>
        <v>0</v>
      </c>
      <c r="X158" s="17">
        <f t="shared" si="132"/>
        <v>0</v>
      </c>
      <c r="Y158" s="18">
        <f t="shared" si="133"/>
        <v>0</v>
      </c>
      <c r="Z158" s="19">
        <f t="shared" si="138"/>
        <v>0</v>
      </c>
      <c r="AA158" s="19"/>
      <c r="AB158" s="19"/>
      <c r="AC158" s="20"/>
      <c r="AE158" s="17"/>
      <c r="AF158" s="17"/>
      <c r="AG158" s="17"/>
      <c r="AH158" s="18">
        <f t="shared" si="134"/>
        <v>0</v>
      </c>
      <c r="AI158" s="19">
        <f t="shared" si="139"/>
        <v>0</v>
      </c>
      <c r="AK158" s="17"/>
      <c r="AL158" s="17"/>
      <c r="AM158" s="17"/>
      <c r="AN158" s="18">
        <f t="shared" si="135"/>
        <v>0</v>
      </c>
      <c r="AO158" s="19">
        <f t="shared" si="140"/>
        <v>0</v>
      </c>
      <c r="AQ158" s="17"/>
      <c r="AR158" s="17"/>
      <c r="AS158" s="17"/>
      <c r="AT158" s="18">
        <f t="shared" si="136"/>
        <v>0</v>
      </c>
      <c r="AU158" s="19">
        <f t="shared" si="141"/>
        <v>0</v>
      </c>
      <c r="AW158" s="17"/>
      <c r="AX158" s="17"/>
      <c r="AY158" s="17"/>
      <c r="AZ158" s="18">
        <f t="shared" si="137"/>
        <v>0</v>
      </c>
      <c r="BA158" s="19">
        <f t="shared" si="142"/>
        <v>0</v>
      </c>
    </row>
    <row r="159" spans="1:53" ht="17.100000000000001" customHeight="1" x14ac:dyDescent="0.25">
      <c r="A159" s="40"/>
      <c r="B159" s="40"/>
      <c r="C159" s="141" t="s">
        <v>121</v>
      </c>
      <c r="D159" s="85" t="s">
        <v>432</v>
      </c>
      <c r="E159" s="75"/>
      <c r="F159" s="75"/>
      <c r="G159" s="75"/>
      <c r="H159" s="540"/>
      <c r="I159" s="229"/>
      <c r="J159" s="581"/>
      <c r="K159" s="581"/>
      <c r="L159" s="582"/>
      <c r="M159" s="17">
        <f t="shared" si="130"/>
        <v>0</v>
      </c>
      <c r="N159" s="111"/>
      <c r="O159" s="111"/>
      <c r="P159" s="111"/>
      <c r="Q159" s="111"/>
      <c r="R159" s="111"/>
      <c r="S159" s="111"/>
      <c r="T159" s="111"/>
      <c r="U159" s="111"/>
      <c r="V159" s="358"/>
      <c r="W159" s="391">
        <f t="shared" si="131"/>
        <v>0</v>
      </c>
      <c r="X159" s="17">
        <f t="shared" si="132"/>
        <v>0</v>
      </c>
      <c r="Y159" s="18">
        <f t="shared" si="133"/>
        <v>0</v>
      </c>
      <c r="Z159" s="19">
        <f t="shared" si="138"/>
        <v>0</v>
      </c>
      <c r="AA159" s="19"/>
      <c r="AB159" s="19"/>
      <c r="AC159" s="20"/>
      <c r="AE159" s="17"/>
      <c r="AF159" s="17"/>
      <c r="AG159" s="17"/>
      <c r="AH159" s="18">
        <f t="shared" si="134"/>
        <v>0</v>
      </c>
      <c r="AI159" s="19">
        <f t="shared" si="139"/>
        <v>0</v>
      </c>
      <c r="AK159" s="17"/>
      <c r="AL159" s="17"/>
      <c r="AM159" s="17"/>
      <c r="AN159" s="18">
        <f t="shared" si="135"/>
        <v>0</v>
      </c>
      <c r="AO159" s="19">
        <f t="shared" si="140"/>
        <v>0</v>
      </c>
      <c r="AQ159" s="17"/>
      <c r="AR159" s="17"/>
      <c r="AS159" s="17"/>
      <c r="AT159" s="18">
        <f t="shared" si="136"/>
        <v>0</v>
      </c>
      <c r="AU159" s="19">
        <f t="shared" si="141"/>
        <v>0</v>
      </c>
      <c r="AW159" s="17"/>
      <c r="AX159" s="17"/>
      <c r="AY159" s="17"/>
      <c r="AZ159" s="18">
        <f t="shared" si="137"/>
        <v>0</v>
      </c>
      <c r="BA159" s="19">
        <f t="shared" si="142"/>
        <v>0</v>
      </c>
    </row>
    <row r="160" spans="1:53" ht="17.100000000000001" customHeight="1" x14ac:dyDescent="0.25">
      <c r="A160" s="40"/>
      <c r="B160" s="40"/>
      <c r="C160" s="141" t="s">
        <v>122</v>
      </c>
      <c r="D160" s="85" t="s">
        <v>129</v>
      </c>
      <c r="E160" s="75"/>
      <c r="F160" s="75"/>
      <c r="G160" s="75"/>
      <c r="H160" s="540"/>
      <c r="I160" s="229"/>
      <c r="J160" s="583"/>
      <c r="K160" s="583"/>
      <c r="L160" s="584"/>
      <c r="M160" s="17">
        <f t="shared" si="130"/>
        <v>0</v>
      </c>
      <c r="N160" s="111"/>
      <c r="O160" s="111"/>
      <c r="P160" s="111"/>
      <c r="Q160" s="111"/>
      <c r="R160" s="111"/>
      <c r="S160" s="111"/>
      <c r="T160" s="111"/>
      <c r="U160" s="111"/>
      <c r="V160" s="358"/>
      <c r="W160" s="391">
        <f t="shared" si="131"/>
        <v>0</v>
      </c>
      <c r="X160" s="17">
        <f t="shared" si="132"/>
        <v>0</v>
      </c>
      <c r="Y160" s="18">
        <f t="shared" si="133"/>
        <v>0</v>
      </c>
      <c r="Z160" s="19">
        <f t="shared" si="138"/>
        <v>0</v>
      </c>
      <c r="AA160" s="19"/>
      <c r="AB160" s="19"/>
      <c r="AC160" s="20"/>
      <c r="AE160" s="17"/>
      <c r="AF160" s="17"/>
      <c r="AG160" s="17"/>
      <c r="AH160" s="18">
        <f t="shared" si="134"/>
        <v>0</v>
      </c>
      <c r="AI160" s="19">
        <f t="shared" si="139"/>
        <v>0</v>
      </c>
      <c r="AK160" s="17"/>
      <c r="AL160" s="17"/>
      <c r="AM160" s="17"/>
      <c r="AN160" s="18">
        <f t="shared" si="135"/>
        <v>0</v>
      </c>
      <c r="AO160" s="19">
        <f t="shared" si="140"/>
        <v>0</v>
      </c>
      <c r="AQ160" s="17"/>
      <c r="AR160" s="17"/>
      <c r="AS160" s="17"/>
      <c r="AT160" s="18">
        <f t="shared" si="136"/>
        <v>0</v>
      </c>
      <c r="AU160" s="19">
        <f t="shared" si="141"/>
        <v>0</v>
      </c>
      <c r="AW160" s="17"/>
      <c r="AX160" s="17"/>
      <c r="AY160" s="17"/>
      <c r="AZ160" s="18">
        <f t="shared" si="137"/>
        <v>0</v>
      </c>
      <c r="BA160" s="19">
        <f t="shared" si="142"/>
        <v>0</v>
      </c>
    </row>
    <row r="161" spans="1:53" ht="17.100000000000001" customHeight="1" x14ac:dyDescent="0.25">
      <c r="A161" s="40"/>
      <c r="B161" s="40"/>
      <c r="C161" s="77"/>
      <c r="D161" s="144"/>
      <c r="E161" s="144"/>
      <c r="F161" s="145"/>
      <c r="G161" s="145"/>
      <c r="H161" s="119"/>
      <c r="I161" s="236"/>
      <c r="J161" s="64">
        <f>SUM(J155:J160)</f>
        <v>0</v>
      </c>
      <c r="K161" s="64">
        <f t="shared" ref="K161:M161" si="143">SUM(K155:K160)</f>
        <v>0</v>
      </c>
      <c r="L161" s="64">
        <f t="shared" si="143"/>
        <v>0</v>
      </c>
      <c r="M161" s="64">
        <f t="shared" si="143"/>
        <v>0</v>
      </c>
      <c r="N161" s="64"/>
      <c r="O161" s="64"/>
      <c r="P161" s="64"/>
      <c r="Q161" s="81"/>
      <c r="R161" s="81"/>
      <c r="S161" s="81"/>
      <c r="T161" s="81"/>
      <c r="U161" s="81"/>
      <c r="V161" s="356"/>
      <c r="W161" s="381">
        <f>SUM(W155:W160)</f>
        <v>0</v>
      </c>
      <c r="X161" s="82">
        <f t="shared" ref="X161:Y161" si="144">SUM(X155:X160)</f>
        <v>0</v>
      </c>
      <c r="Y161" s="82">
        <f t="shared" si="144"/>
        <v>0</v>
      </c>
      <c r="Z161" s="205">
        <f t="shared" si="138"/>
        <v>0</v>
      </c>
      <c r="AA161" s="205"/>
      <c r="AB161" s="205"/>
      <c r="AC161" s="83"/>
      <c r="AE161" s="80"/>
      <c r="AF161" s="80"/>
      <c r="AG161" s="81"/>
      <c r="AH161" s="82">
        <f>SUM(AH155:AH160)</f>
        <v>0</v>
      </c>
      <c r="AI161" s="66">
        <f t="shared" si="139"/>
        <v>0</v>
      </c>
      <c r="AK161" s="80"/>
      <c r="AL161" s="80"/>
      <c r="AM161" s="81"/>
      <c r="AN161" s="82">
        <f>SUM(AN155:AN160)</f>
        <v>0</v>
      </c>
      <c r="AO161" s="66">
        <f t="shared" si="140"/>
        <v>0</v>
      </c>
      <c r="AQ161" s="80"/>
      <c r="AR161" s="80"/>
      <c r="AS161" s="81"/>
      <c r="AT161" s="82">
        <f>SUM(AT155:AT160)</f>
        <v>0</v>
      </c>
      <c r="AU161" s="66">
        <f t="shared" si="141"/>
        <v>0</v>
      </c>
      <c r="AW161" s="80"/>
      <c r="AX161" s="80"/>
      <c r="AY161" s="81"/>
      <c r="AZ161" s="82">
        <f>SUM(AZ155:AZ160)</f>
        <v>0</v>
      </c>
      <c r="BA161" s="66">
        <f t="shared" si="142"/>
        <v>0</v>
      </c>
    </row>
    <row r="162" spans="1:53" s="117" customFormat="1" ht="17.100000000000001" customHeight="1" x14ac:dyDescent="0.25">
      <c r="A162" s="68"/>
      <c r="B162" s="119"/>
      <c r="C162" s="540"/>
      <c r="D162" s="261"/>
      <c r="E162" s="261"/>
      <c r="F162" s="68"/>
      <c r="G162" s="68"/>
      <c r="H162" s="119"/>
      <c r="I162" s="138"/>
      <c r="J162" s="17" t="str">
        <f>IF(J161=J$15,"OK","NOK")</f>
        <v>OK</v>
      </c>
      <c r="K162" s="17" t="str">
        <f t="shared" ref="K162:L162" si="145">IF(K161=K$15,"OK","NOK")</f>
        <v>OK</v>
      </c>
      <c r="L162" s="17" t="str">
        <f t="shared" si="145"/>
        <v>OK</v>
      </c>
      <c r="M162" s="17"/>
      <c r="N162" s="17"/>
      <c r="O162" s="17"/>
      <c r="P162" s="17"/>
      <c r="Q162" s="17"/>
      <c r="R162" s="17"/>
      <c r="S162" s="17"/>
      <c r="T162" s="17"/>
      <c r="U162" s="17"/>
      <c r="V162" s="359"/>
      <c r="W162" s="382"/>
      <c r="X162" s="539"/>
      <c r="Y162" s="539"/>
      <c r="Z162" s="201"/>
      <c r="AA162" s="201"/>
      <c r="AB162" s="201"/>
      <c r="AC162" s="84"/>
      <c r="AE162" s="46"/>
      <c r="AF162" s="46"/>
      <c r="AG162" s="17"/>
      <c r="AH162" s="539"/>
      <c r="AI162" s="91"/>
      <c r="AK162" s="46"/>
      <c r="AL162" s="46"/>
      <c r="AM162" s="17"/>
      <c r="AN162" s="539"/>
      <c r="AO162" s="91"/>
      <c r="AQ162" s="46"/>
      <c r="AR162" s="46"/>
      <c r="AS162" s="17"/>
      <c r="AT162" s="539"/>
      <c r="AU162" s="91"/>
      <c r="AW162" s="46"/>
      <c r="AX162" s="46"/>
      <c r="AY162" s="17"/>
      <c r="AZ162" s="539"/>
      <c r="BA162" s="91"/>
    </row>
    <row r="163" spans="1:53" ht="17.100000000000001" customHeight="1" x14ac:dyDescent="0.25">
      <c r="A163" s="68"/>
      <c r="B163" s="41" t="s">
        <v>123</v>
      </c>
      <c r="C163" s="49" t="s">
        <v>426</v>
      </c>
      <c r="D163" s="50"/>
      <c r="E163" s="70"/>
      <c r="F163" s="70"/>
      <c r="G163" s="70"/>
      <c r="H163" s="243">
        <v>8</v>
      </c>
      <c r="J163" s="71"/>
      <c r="K163" s="71"/>
      <c r="L163" s="71"/>
      <c r="M163" s="71"/>
      <c r="N163" s="71"/>
      <c r="O163" s="71"/>
      <c r="P163" s="71"/>
      <c r="Q163" s="71"/>
      <c r="R163" s="71"/>
      <c r="S163" s="71"/>
      <c r="T163" s="71"/>
      <c r="U163" s="71"/>
      <c r="V163" s="355"/>
      <c r="W163" s="377"/>
      <c r="X163" s="71"/>
      <c r="Y163" s="72"/>
      <c r="Z163" s="73"/>
      <c r="AA163" s="73"/>
      <c r="AB163" s="73"/>
      <c r="AC163" s="73"/>
      <c r="AE163" s="71"/>
      <c r="AF163" s="71"/>
      <c r="AG163" s="71"/>
      <c r="AH163" s="72"/>
      <c r="AI163" s="73"/>
      <c r="AK163" s="71"/>
      <c r="AL163" s="71"/>
      <c r="AM163" s="71"/>
      <c r="AN163" s="72"/>
      <c r="AO163" s="73"/>
      <c r="AQ163" s="71"/>
      <c r="AR163" s="71"/>
      <c r="AS163" s="71"/>
      <c r="AT163" s="72"/>
      <c r="AU163" s="73"/>
      <c r="AW163" s="71"/>
      <c r="AX163" s="71"/>
      <c r="AY163" s="71"/>
      <c r="AZ163" s="72"/>
      <c r="BA163" s="73"/>
    </row>
    <row r="164" spans="1:53" ht="17.100000000000001" customHeight="1" x14ac:dyDescent="0.25">
      <c r="A164" s="40"/>
      <c r="B164" s="40"/>
      <c r="C164" s="74" t="s">
        <v>125</v>
      </c>
      <c r="D164" s="75" t="s">
        <v>148</v>
      </c>
      <c r="E164" s="75"/>
      <c r="F164" s="75"/>
      <c r="G164" s="75"/>
      <c r="H164" s="540"/>
      <c r="I164" s="229"/>
      <c r="J164" s="581"/>
      <c r="K164" s="581"/>
      <c r="L164" s="582"/>
      <c r="M164" s="17">
        <f t="shared" ref="M164:M165" si="146">SUM(J164:L164)</f>
        <v>0</v>
      </c>
      <c r="N164" s="111"/>
      <c r="O164" s="111"/>
      <c r="P164" s="111"/>
      <c r="Q164" s="111"/>
      <c r="R164" s="111"/>
      <c r="S164" s="111"/>
      <c r="T164" s="111"/>
      <c r="U164" s="111"/>
      <c r="V164" s="358"/>
      <c r="W164" s="391">
        <f t="shared" ref="W164:W165" si="147">J164+K164+N164+Q164+T164</f>
        <v>0</v>
      </c>
      <c r="X164" s="17">
        <f t="shared" ref="X164:X165" si="148">L164+O164+R164+U164</f>
        <v>0</v>
      </c>
      <c r="Y164" s="18">
        <f>SUM(W164:X164)</f>
        <v>0</v>
      </c>
      <c r="Z164" s="19">
        <f>IF($Y$166=0,0,Y164/$Y$166)</f>
        <v>0</v>
      </c>
      <c r="AA164" s="19"/>
      <c r="AB164" s="19"/>
      <c r="AC164" s="20"/>
      <c r="AE164" s="17"/>
      <c r="AF164" s="17"/>
      <c r="AG164" s="17"/>
      <c r="AH164" s="18">
        <f t="shared" ref="AH164:AH165" si="149">J164</f>
        <v>0</v>
      </c>
      <c r="AI164" s="19">
        <f>IF(AH$166=0,0,AH164/AH$166)</f>
        <v>0</v>
      </c>
      <c r="AK164" s="17"/>
      <c r="AL164" s="17"/>
      <c r="AM164" s="17"/>
      <c r="AN164" s="18">
        <f t="shared" ref="AN164:AN165" si="150">K164</f>
        <v>0</v>
      </c>
      <c r="AO164" s="19">
        <f>IF(AN$166=0,0,AN164/AN$166)</f>
        <v>0</v>
      </c>
      <c r="AQ164" s="17"/>
      <c r="AR164" s="17"/>
      <c r="AS164" s="17"/>
      <c r="AT164" s="18">
        <f t="shared" ref="AT164:AT165" si="151">W164</f>
        <v>0</v>
      </c>
      <c r="AU164" s="19">
        <f>IF(AT$166=0,0,AT164/AT$166)</f>
        <v>0</v>
      </c>
      <c r="AW164" s="17"/>
      <c r="AX164" s="17"/>
      <c r="AY164" s="17"/>
      <c r="AZ164" s="18">
        <f t="shared" ref="AZ164:AZ165" si="152">X164</f>
        <v>0</v>
      </c>
      <c r="BA164" s="19">
        <f>IF(AZ$166=0,0,AZ164/AZ$166)</f>
        <v>0</v>
      </c>
    </row>
    <row r="165" spans="1:53" ht="17.100000000000001" customHeight="1" x14ac:dyDescent="0.25">
      <c r="A165" s="40"/>
      <c r="B165" s="40"/>
      <c r="C165" s="74" t="s">
        <v>126</v>
      </c>
      <c r="D165" s="75" t="s">
        <v>149</v>
      </c>
      <c r="E165" s="75"/>
      <c r="F165" s="75"/>
      <c r="G165" s="75"/>
      <c r="H165" s="540"/>
      <c r="I165" s="229"/>
      <c r="J165" s="583"/>
      <c r="K165" s="583"/>
      <c r="L165" s="584"/>
      <c r="M165" s="17">
        <f t="shared" si="146"/>
        <v>0</v>
      </c>
      <c r="N165" s="111"/>
      <c r="O165" s="111"/>
      <c r="P165" s="111"/>
      <c r="Q165" s="111"/>
      <c r="R165" s="111"/>
      <c r="S165" s="111"/>
      <c r="T165" s="111"/>
      <c r="U165" s="111"/>
      <c r="V165" s="358"/>
      <c r="W165" s="391">
        <f t="shared" si="147"/>
        <v>0</v>
      </c>
      <c r="X165" s="17">
        <f t="shared" si="148"/>
        <v>0</v>
      </c>
      <c r="Y165" s="18">
        <f>SUM(W165:X165)</f>
        <v>0</v>
      </c>
      <c r="Z165" s="19">
        <f t="shared" ref="Z165:Z166" si="153">IF($Y$166=0,0,Y165/$Y$166)</f>
        <v>0</v>
      </c>
      <c r="AA165" s="19"/>
      <c r="AB165" s="19"/>
      <c r="AC165" s="20"/>
      <c r="AE165" s="17"/>
      <c r="AF165" s="17"/>
      <c r="AG165" s="17"/>
      <c r="AH165" s="18">
        <f t="shared" si="149"/>
        <v>0</v>
      </c>
      <c r="AI165" s="19">
        <f t="shared" ref="AI165:AI166" si="154">IF(AH$166=0,0,AH165/AH$166)</f>
        <v>0</v>
      </c>
      <c r="AK165" s="17"/>
      <c r="AL165" s="17"/>
      <c r="AM165" s="17"/>
      <c r="AN165" s="18">
        <f t="shared" si="150"/>
        <v>0</v>
      </c>
      <c r="AO165" s="19">
        <f t="shared" ref="AO165:AO166" si="155">IF(AN$166=0,0,AN165/AN$166)</f>
        <v>0</v>
      </c>
      <c r="AQ165" s="17"/>
      <c r="AR165" s="17"/>
      <c r="AS165" s="17"/>
      <c r="AT165" s="18">
        <f t="shared" si="151"/>
        <v>0</v>
      </c>
      <c r="AU165" s="19">
        <f t="shared" ref="AU165:AU166" si="156">IF(AT$166=0,0,AT165/AT$166)</f>
        <v>0</v>
      </c>
      <c r="AW165" s="17"/>
      <c r="AX165" s="17"/>
      <c r="AY165" s="17"/>
      <c r="AZ165" s="18">
        <f t="shared" si="152"/>
        <v>0</v>
      </c>
      <c r="BA165" s="19">
        <f t="shared" ref="BA165:BA166" si="157">IF(AZ$166=0,0,AZ165/AZ$166)</f>
        <v>0</v>
      </c>
    </row>
    <row r="166" spans="1:53" ht="17.100000000000001" customHeight="1" x14ac:dyDescent="0.25">
      <c r="A166" s="40"/>
      <c r="B166" s="40"/>
      <c r="C166" s="77"/>
      <c r="D166" s="144"/>
      <c r="E166" s="144"/>
      <c r="F166" s="145"/>
      <c r="G166" s="145"/>
      <c r="H166" s="119"/>
      <c r="I166" s="236"/>
      <c r="J166" s="64">
        <f>SUM(J164:J165)</f>
        <v>0</v>
      </c>
      <c r="K166" s="64">
        <f t="shared" ref="K166:M166" si="158">SUM(K164:K165)</f>
        <v>0</v>
      </c>
      <c r="L166" s="64">
        <f t="shared" si="158"/>
        <v>0</v>
      </c>
      <c r="M166" s="64">
        <f t="shared" si="158"/>
        <v>0</v>
      </c>
      <c r="N166" s="64"/>
      <c r="O166" s="64"/>
      <c r="P166" s="64"/>
      <c r="Q166" s="81"/>
      <c r="R166" s="81"/>
      <c r="S166" s="81"/>
      <c r="T166" s="81"/>
      <c r="U166" s="81"/>
      <c r="V166" s="356"/>
      <c r="W166" s="381">
        <f>SUM(W164:W165)</f>
        <v>0</v>
      </c>
      <c r="X166" s="82">
        <f t="shared" ref="X166:Y166" si="159">SUM(X164:X165)</f>
        <v>0</v>
      </c>
      <c r="Y166" s="82">
        <f t="shared" si="159"/>
        <v>0</v>
      </c>
      <c r="Z166" s="205">
        <f t="shared" si="153"/>
        <v>0</v>
      </c>
      <c r="AA166" s="205"/>
      <c r="AB166" s="205"/>
      <c r="AC166" s="83"/>
      <c r="AE166" s="80"/>
      <c r="AF166" s="80"/>
      <c r="AG166" s="81"/>
      <c r="AH166" s="82">
        <f>SUM(AH164:AH165)</f>
        <v>0</v>
      </c>
      <c r="AI166" s="66">
        <f t="shared" si="154"/>
        <v>0</v>
      </c>
      <c r="AK166" s="80"/>
      <c r="AL166" s="80"/>
      <c r="AM166" s="81"/>
      <c r="AN166" s="82">
        <f>SUM(AN164:AN165)</f>
        <v>0</v>
      </c>
      <c r="AO166" s="66">
        <f t="shared" si="155"/>
        <v>0</v>
      </c>
      <c r="AQ166" s="80"/>
      <c r="AR166" s="80"/>
      <c r="AS166" s="81"/>
      <c r="AT166" s="82">
        <f>SUM(AT164:AT165)</f>
        <v>0</v>
      </c>
      <c r="AU166" s="66">
        <f t="shared" si="156"/>
        <v>0</v>
      </c>
      <c r="AW166" s="80"/>
      <c r="AX166" s="80"/>
      <c r="AY166" s="81"/>
      <c r="AZ166" s="82">
        <f>SUM(AZ164:AZ165)</f>
        <v>0</v>
      </c>
      <c r="BA166" s="66">
        <f t="shared" si="157"/>
        <v>0</v>
      </c>
    </row>
    <row r="167" spans="1:53" s="117" customFormat="1" ht="17.100000000000001" customHeight="1" x14ac:dyDescent="0.25">
      <c r="A167" s="68"/>
      <c r="B167" s="119"/>
      <c r="C167" s="540"/>
      <c r="D167" s="261"/>
      <c r="E167" s="261"/>
      <c r="F167" s="68"/>
      <c r="G167" s="68"/>
      <c r="H167" s="119"/>
      <c r="I167" s="138"/>
      <c r="J167" s="17" t="str">
        <f>IF(J166=J$15,"OK","NOK")</f>
        <v>OK</v>
      </c>
      <c r="K167" s="17" t="str">
        <f t="shared" ref="K167:L167" si="160">IF(K166=K$15,"OK","NOK")</f>
        <v>OK</v>
      </c>
      <c r="L167" s="17" t="str">
        <f t="shared" si="160"/>
        <v>OK</v>
      </c>
      <c r="M167" s="17"/>
      <c r="N167" s="17"/>
      <c r="O167" s="17"/>
      <c r="P167" s="17"/>
      <c r="Q167" s="17"/>
      <c r="R167" s="17"/>
      <c r="S167" s="17"/>
      <c r="T167" s="17"/>
      <c r="U167" s="17"/>
      <c r="V167" s="359"/>
      <c r="W167" s="382"/>
      <c r="X167" s="539"/>
      <c r="Y167" s="539"/>
      <c r="Z167" s="201"/>
      <c r="AA167" s="201"/>
      <c r="AB167" s="201"/>
      <c r="AC167" s="84"/>
      <c r="AE167" s="46"/>
      <c r="AF167" s="46"/>
      <c r="AG167" s="17"/>
      <c r="AH167" s="539"/>
      <c r="AI167" s="91"/>
      <c r="AK167" s="46"/>
      <c r="AL167" s="46"/>
      <c r="AM167" s="17"/>
      <c r="AN167" s="539"/>
      <c r="AO167" s="91"/>
      <c r="AQ167" s="46"/>
      <c r="AR167" s="46"/>
      <c r="AS167" s="17"/>
      <c r="AT167" s="539"/>
      <c r="AU167" s="91"/>
      <c r="AW167" s="46"/>
      <c r="AX167" s="46"/>
      <c r="AY167" s="17"/>
      <c r="AZ167" s="539"/>
      <c r="BA167" s="91"/>
    </row>
    <row r="168" spans="1:53" ht="17.100000000000001" customHeight="1" x14ac:dyDescent="0.25">
      <c r="A168" s="68"/>
      <c r="B168" s="41" t="s">
        <v>130</v>
      </c>
      <c r="C168" s="69" t="s">
        <v>413</v>
      </c>
      <c r="D168" s="50"/>
      <c r="E168" s="70"/>
      <c r="F168" s="70"/>
      <c r="G168" s="70"/>
      <c r="H168" s="119"/>
      <c r="J168" s="71"/>
      <c r="K168" s="71"/>
      <c r="L168" s="71"/>
      <c r="M168" s="71"/>
      <c r="N168" s="71"/>
      <c r="O168" s="71"/>
      <c r="P168" s="71"/>
      <c r="Q168" s="71"/>
      <c r="R168" s="71"/>
      <c r="S168" s="71"/>
      <c r="T168" s="71"/>
      <c r="U168" s="71"/>
      <c r="V168" s="355"/>
      <c r="W168" s="377"/>
      <c r="X168" s="71"/>
      <c r="Y168" s="72"/>
      <c r="Z168" s="73"/>
      <c r="AA168" s="73"/>
      <c r="AB168" s="73"/>
      <c r="AC168" s="73"/>
      <c r="AE168" s="71"/>
      <c r="AF168" s="71"/>
      <c r="AG168" s="71"/>
      <c r="AH168" s="72"/>
      <c r="AI168" s="73"/>
      <c r="AK168" s="71"/>
      <c r="AL168" s="71"/>
      <c r="AM168" s="71"/>
      <c r="AN168" s="72"/>
      <c r="AO168" s="73"/>
      <c r="AQ168" s="71"/>
      <c r="AR168" s="71"/>
      <c r="AS168" s="71"/>
      <c r="AT168" s="72"/>
      <c r="AU168" s="73"/>
      <c r="AW168" s="71"/>
      <c r="AX168" s="71"/>
      <c r="AY168" s="71"/>
      <c r="AZ168" s="72"/>
      <c r="BA168" s="73"/>
    </row>
    <row r="169" spans="1:53" ht="17.100000000000001" customHeight="1" x14ac:dyDescent="0.25">
      <c r="A169" s="40"/>
      <c r="B169" s="40"/>
      <c r="C169" s="74" t="s">
        <v>131</v>
      </c>
      <c r="D169" s="542" t="s">
        <v>457</v>
      </c>
      <c r="E169" s="542"/>
      <c r="F169" s="542"/>
      <c r="G169" s="542"/>
      <c r="H169" s="540"/>
      <c r="I169" s="235"/>
      <c r="J169" s="111"/>
      <c r="K169" s="111"/>
      <c r="L169" s="111"/>
      <c r="M169" s="111"/>
      <c r="N169" s="60"/>
      <c r="O169" s="60"/>
      <c r="P169" s="17">
        <f>SUM(N169:O169)</f>
        <v>0</v>
      </c>
      <c r="Q169" s="60"/>
      <c r="R169" s="60"/>
      <c r="S169" s="17">
        <f>SUM(Q169:R169)</f>
        <v>0</v>
      </c>
      <c r="T169" s="60"/>
      <c r="U169" s="60"/>
      <c r="V169" s="359">
        <f>SUM(T169:U169)</f>
        <v>0</v>
      </c>
      <c r="W169" s="391">
        <f t="shared" ref="W169:W173" si="161">J169+K169+N169+Q169+T169</f>
        <v>0</v>
      </c>
      <c r="X169" s="17">
        <f t="shared" ref="X169:X173" si="162">L169+O169+R169+U169</f>
        <v>0</v>
      </c>
      <c r="Y169" s="18">
        <f>SUM(W169:X169)</f>
        <v>0</v>
      </c>
      <c r="Z169" s="19">
        <f t="shared" ref="Z169:Z174" si="163">IF(Y$174=0,0,Y169/Y$174)</f>
        <v>0</v>
      </c>
      <c r="AA169" s="19"/>
      <c r="AB169" s="19"/>
      <c r="AC169" s="20"/>
      <c r="AE169" s="111"/>
      <c r="AF169" s="111"/>
      <c r="AG169" s="111"/>
      <c r="AH169" s="112"/>
      <c r="AI169" s="113"/>
      <c r="AK169" s="111"/>
      <c r="AL169" s="111"/>
      <c r="AM169" s="111"/>
      <c r="AN169" s="112"/>
      <c r="AO169" s="113"/>
      <c r="AQ169" s="17"/>
      <c r="AR169" s="17"/>
      <c r="AS169" s="17"/>
      <c r="AT169" s="18">
        <f t="shared" ref="AT169:AT173" si="164">W169</f>
        <v>0</v>
      </c>
      <c r="AU169" s="19">
        <f t="shared" ref="AU169:AU174" si="165">IF(AT$174=0,0,AT169/AT$174)</f>
        <v>0</v>
      </c>
      <c r="AW169" s="17"/>
      <c r="AX169" s="17"/>
      <c r="AY169" s="17"/>
      <c r="AZ169" s="18">
        <f t="shared" ref="AZ169:AZ173" si="166">X169</f>
        <v>0</v>
      </c>
      <c r="BA169" s="19">
        <f t="shared" ref="BA169:BA174" si="167">IF(AZ$174=0,0,AZ169/AZ$174)</f>
        <v>0</v>
      </c>
    </row>
    <row r="170" spans="1:53" ht="17.100000000000001" customHeight="1" x14ac:dyDescent="0.25">
      <c r="A170" s="40"/>
      <c r="B170" s="40"/>
      <c r="C170" s="74" t="s">
        <v>132</v>
      </c>
      <c r="D170" s="542" t="s">
        <v>459</v>
      </c>
      <c r="E170" s="542"/>
      <c r="F170" s="542"/>
      <c r="G170" s="542"/>
      <c r="H170" s="540"/>
      <c r="I170" s="235"/>
      <c r="J170" s="111"/>
      <c r="K170" s="111"/>
      <c r="L170" s="111"/>
      <c r="M170" s="111"/>
      <c r="N170" s="61"/>
      <c r="O170" s="61"/>
      <c r="P170" s="17">
        <f>SUM(N170:O170)</f>
        <v>0</v>
      </c>
      <c r="Q170" s="61">
        <v>1</v>
      </c>
      <c r="R170" s="61">
        <v>1</v>
      </c>
      <c r="S170" s="17">
        <f>SUM(Q170:R170)</f>
        <v>2</v>
      </c>
      <c r="T170" s="61"/>
      <c r="U170" s="61"/>
      <c r="V170" s="359">
        <f>SUM(T170:U170)</f>
        <v>0</v>
      </c>
      <c r="W170" s="391">
        <f t="shared" si="161"/>
        <v>1</v>
      </c>
      <c r="X170" s="17">
        <f t="shared" si="162"/>
        <v>1</v>
      </c>
      <c r="Y170" s="18">
        <f>SUM(W170:X170)</f>
        <v>2</v>
      </c>
      <c r="Z170" s="19">
        <f t="shared" si="163"/>
        <v>0.14285714285714285</v>
      </c>
      <c r="AA170" s="19"/>
      <c r="AB170" s="19"/>
      <c r="AC170" s="20"/>
      <c r="AE170" s="111"/>
      <c r="AF170" s="111"/>
      <c r="AG170" s="111"/>
      <c r="AH170" s="112"/>
      <c r="AI170" s="113"/>
      <c r="AK170" s="111"/>
      <c r="AL170" s="111"/>
      <c r="AM170" s="111"/>
      <c r="AN170" s="112"/>
      <c r="AO170" s="113"/>
      <c r="AQ170" s="17"/>
      <c r="AR170" s="17"/>
      <c r="AS170" s="17"/>
      <c r="AT170" s="18">
        <f t="shared" si="164"/>
        <v>1</v>
      </c>
      <c r="AU170" s="19">
        <f t="shared" si="165"/>
        <v>0.25</v>
      </c>
      <c r="AW170" s="17"/>
      <c r="AX170" s="17"/>
      <c r="AY170" s="17"/>
      <c r="AZ170" s="18">
        <f t="shared" si="166"/>
        <v>1</v>
      </c>
      <c r="BA170" s="19">
        <f t="shared" si="167"/>
        <v>0.1</v>
      </c>
    </row>
    <row r="171" spans="1:53" ht="17.100000000000001" customHeight="1" x14ac:dyDescent="0.25">
      <c r="A171" s="40"/>
      <c r="B171" s="40"/>
      <c r="C171" s="74" t="s">
        <v>133</v>
      </c>
      <c r="D171" s="542" t="s">
        <v>460</v>
      </c>
      <c r="E171" s="542"/>
      <c r="F171" s="542"/>
      <c r="G171" s="542"/>
      <c r="H171" s="540"/>
      <c r="I171" s="235"/>
      <c r="J171" s="111"/>
      <c r="K171" s="111"/>
      <c r="L171" s="111"/>
      <c r="M171" s="111"/>
      <c r="N171" s="60">
        <v>1</v>
      </c>
      <c r="O171" s="60">
        <v>3</v>
      </c>
      <c r="P171" s="17">
        <f>SUM(N171:O171)</f>
        <v>4</v>
      </c>
      <c r="Q171" s="60">
        <v>1</v>
      </c>
      <c r="R171" s="60">
        <v>1</v>
      </c>
      <c r="S171" s="17">
        <f>SUM(Q171:R171)</f>
        <v>2</v>
      </c>
      <c r="T171" s="60"/>
      <c r="U171" s="60"/>
      <c r="V171" s="359">
        <f>SUM(T171:U171)</f>
        <v>0</v>
      </c>
      <c r="W171" s="391">
        <f t="shared" si="161"/>
        <v>2</v>
      </c>
      <c r="X171" s="17">
        <f t="shared" si="162"/>
        <v>4</v>
      </c>
      <c r="Y171" s="18">
        <f>SUM(W171:X171)</f>
        <v>6</v>
      </c>
      <c r="Z171" s="19">
        <f t="shared" si="163"/>
        <v>0.42857142857142855</v>
      </c>
      <c r="AA171" s="19"/>
      <c r="AB171" s="19"/>
      <c r="AC171" s="20"/>
      <c r="AE171" s="111"/>
      <c r="AF171" s="111"/>
      <c r="AG171" s="111"/>
      <c r="AH171" s="112"/>
      <c r="AI171" s="113"/>
      <c r="AK171" s="111"/>
      <c r="AL171" s="111"/>
      <c r="AM171" s="111"/>
      <c r="AN171" s="112"/>
      <c r="AO171" s="113"/>
      <c r="AQ171" s="17"/>
      <c r="AR171" s="17"/>
      <c r="AS171" s="17"/>
      <c r="AT171" s="18">
        <f t="shared" si="164"/>
        <v>2</v>
      </c>
      <c r="AU171" s="19">
        <f t="shared" si="165"/>
        <v>0.5</v>
      </c>
      <c r="AW171" s="17"/>
      <c r="AX171" s="17"/>
      <c r="AY171" s="17"/>
      <c r="AZ171" s="18">
        <f t="shared" si="166"/>
        <v>4</v>
      </c>
      <c r="BA171" s="19">
        <f t="shared" si="167"/>
        <v>0.4</v>
      </c>
    </row>
    <row r="172" spans="1:53" ht="17.100000000000001" customHeight="1" x14ac:dyDescent="0.25">
      <c r="A172" s="40"/>
      <c r="B172" s="40"/>
      <c r="C172" s="74" t="s">
        <v>134</v>
      </c>
      <c r="D172" s="542" t="s">
        <v>461</v>
      </c>
      <c r="E172" s="542"/>
      <c r="F172" s="542"/>
      <c r="G172" s="542"/>
      <c r="H172" s="540"/>
      <c r="I172" s="235"/>
      <c r="J172" s="111"/>
      <c r="K172" s="111"/>
      <c r="L172" s="111"/>
      <c r="M172" s="111"/>
      <c r="N172" s="61"/>
      <c r="O172" s="61">
        <v>2</v>
      </c>
      <c r="P172" s="17">
        <f>SUM(N172:O172)</f>
        <v>2</v>
      </c>
      <c r="Q172" s="61">
        <v>1</v>
      </c>
      <c r="R172" s="61">
        <v>3</v>
      </c>
      <c r="S172" s="17">
        <f>SUM(Q172:R172)</f>
        <v>4</v>
      </c>
      <c r="T172" s="61"/>
      <c r="U172" s="61"/>
      <c r="V172" s="359">
        <f>SUM(T172:U172)</f>
        <v>0</v>
      </c>
      <c r="W172" s="391">
        <f t="shared" si="161"/>
        <v>1</v>
      </c>
      <c r="X172" s="17">
        <f t="shared" si="162"/>
        <v>5</v>
      </c>
      <c r="Y172" s="18">
        <f>SUM(W172:X172)</f>
        <v>6</v>
      </c>
      <c r="Z172" s="19">
        <f t="shared" si="163"/>
        <v>0.42857142857142855</v>
      </c>
      <c r="AA172" s="19"/>
      <c r="AB172" s="19"/>
      <c r="AC172" s="20"/>
      <c r="AE172" s="111"/>
      <c r="AF172" s="111"/>
      <c r="AG172" s="111"/>
      <c r="AH172" s="112"/>
      <c r="AI172" s="113"/>
      <c r="AK172" s="111"/>
      <c r="AL172" s="111"/>
      <c r="AM172" s="111"/>
      <c r="AN172" s="112"/>
      <c r="AO172" s="113"/>
      <c r="AQ172" s="17"/>
      <c r="AR172" s="17"/>
      <c r="AS172" s="17"/>
      <c r="AT172" s="18">
        <f t="shared" si="164"/>
        <v>1</v>
      </c>
      <c r="AU172" s="19">
        <f t="shared" si="165"/>
        <v>0.25</v>
      </c>
      <c r="AW172" s="17"/>
      <c r="AX172" s="17"/>
      <c r="AY172" s="17"/>
      <c r="AZ172" s="18">
        <f t="shared" si="166"/>
        <v>5</v>
      </c>
      <c r="BA172" s="19">
        <f t="shared" si="167"/>
        <v>0.5</v>
      </c>
    </row>
    <row r="173" spans="1:53" ht="17.100000000000001" customHeight="1" x14ac:dyDescent="0.25">
      <c r="A173" s="40"/>
      <c r="B173" s="40"/>
      <c r="C173" s="74" t="s">
        <v>135</v>
      </c>
      <c r="D173" s="542" t="s">
        <v>458</v>
      </c>
      <c r="E173" s="542"/>
      <c r="F173" s="542"/>
      <c r="G173" s="542"/>
      <c r="H173" s="540"/>
      <c r="I173" s="235"/>
      <c r="J173" s="111"/>
      <c r="K173" s="111"/>
      <c r="L173" s="111"/>
      <c r="M173" s="111"/>
      <c r="N173" s="60"/>
      <c r="O173" s="60"/>
      <c r="P173" s="17">
        <f>SUM(N173:O173)</f>
        <v>0</v>
      </c>
      <c r="Q173" s="60"/>
      <c r="R173" s="60"/>
      <c r="S173" s="17">
        <f>SUM(Q173:R173)</f>
        <v>0</v>
      </c>
      <c r="T173" s="60"/>
      <c r="U173" s="60"/>
      <c r="V173" s="359">
        <f>SUM(T173:U173)</f>
        <v>0</v>
      </c>
      <c r="W173" s="391">
        <f t="shared" si="161"/>
        <v>0</v>
      </c>
      <c r="X173" s="17">
        <f t="shared" si="162"/>
        <v>0</v>
      </c>
      <c r="Y173" s="18">
        <f>SUM(W173:X173)</f>
        <v>0</v>
      </c>
      <c r="Z173" s="19">
        <f t="shared" si="163"/>
        <v>0</v>
      </c>
      <c r="AA173" s="19"/>
      <c r="AB173" s="19"/>
      <c r="AC173" s="20"/>
      <c r="AE173" s="111"/>
      <c r="AF173" s="111"/>
      <c r="AG173" s="111"/>
      <c r="AH173" s="112"/>
      <c r="AI173" s="113"/>
      <c r="AK173" s="111"/>
      <c r="AL173" s="111"/>
      <c r="AM173" s="111"/>
      <c r="AN173" s="112"/>
      <c r="AO173" s="113"/>
      <c r="AQ173" s="17"/>
      <c r="AR173" s="17"/>
      <c r="AS173" s="17"/>
      <c r="AT173" s="18">
        <f t="shared" si="164"/>
        <v>0</v>
      </c>
      <c r="AU173" s="19">
        <f t="shared" si="165"/>
        <v>0</v>
      </c>
      <c r="AW173" s="17"/>
      <c r="AX173" s="17"/>
      <c r="AY173" s="17"/>
      <c r="AZ173" s="18">
        <f t="shared" si="166"/>
        <v>0</v>
      </c>
      <c r="BA173" s="19">
        <f t="shared" si="167"/>
        <v>0</v>
      </c>
    </row>
    <row r="174" spans="1:53" ht="17.100000000000001" customHeight="1" x14ac:dyDescent="0.25">
      <c r="A174" s="40"/>
      <c r="B174" s="40"/>
      <c r="C174" s="77"/>
      <c r="D174" s="144"/>
      <c r="E174" s="144"/>
      <c r="F174" s="145"/>
      <c r="G174" s="145"/>
      <c r="H174" s="119"/>
      <c r="I174" s="236"/>
      <c r="J174" s="80"/>
      <c r="K174" s="80"/>
      <c r="L174" s="81"/>
      <c r="M174" s="81"/>
      <c r="N174" s="81">
        <f t="shared" ref="N174:Y174" si="168">SUM(N169:N173)</f>
        <v>1</v>
      </c>
      <c r="O174" s="81">
        <f t="shared" si="168"/>
        <v>5</v>
      </c>
      <c r="P174" s="81">
        <f t="shared" si="168"/>
        <v>6</v>
      </c>
      <c r="Q174" s="81">
        <f t="shared" si="168"/>
        <v>3</v>
      </c>
      <c r="R174" s="81">
        <f t="shared" si="168"/>
        <v>5</v>
      </c>
      <c r="S174" s="81">
        <f t="shared" si="168"/>
        <v>8</v>
      </c>
      <c r="T174" s="81">
        <f t="shared" si="168"/>
        <v>0</v>
      </c>
      <c r="U174" s="81">
        <f t="shared" si="168"/>
        <v>0</v>
      </c>
      <c r="V174" s="81">
        <f t="shared" si="168"/>
        <v>0</v>
      </c>
      <c r="W174" s="381">
        <f t="shared" si="168"/>
        <v>4</v>
      </c>
      <c r="X174" s="82">
        <f t="shared" si="168"/>
        <v>10</v>
      </c>
      <c r="Y174" s="82">
        <f t="shared" si="168"/>
        <v>14</v>
      </c>
      <c r="Z174" s="205">
        <f t="shared" si="163"/>
        <v>1</v>
      </c>
      <c r="AA174" s="205"/>
      <c r="AB174" s="205"/>
      <c r="AC174" s="83"/>
      <c r="AE174" s="80"/>
      <c r="AF174" s="80"/>
      <c r="AG174" s="81"/>
      <c r="AH174" s="82"/>
      <c r="AI174" s="66"/>
      <c r="AK174" s="80"/>
      <c r="AL174" s="80"/>
      <c r="AM174" s="81"/>
      <c r="AN174" s="82"/>
      <c r="AO174" s="66"/>
      <c r="AQ174" s="80"/>
      <c r="AR174" s="80"/>
      <c r="AS174" s="81"/>
      <c r="AT174" s="82">
        <f>SUM(AT169:AT173)</f>
        <v>4</v>
      </c>
      <c r="AU174" s="66">
        <f t="shared" si="165"/>
        <v>1</v>
      </c>
      <c r="AW174" s="80"/>
      <c r="AX174" s="80"/>
      <c r="AY174" s="81"/>
      <c r="AZ174" s="82">
        <f>SUM(AZ169:AZ173)</f>
        <v>10</v>
      </c>
      <c r="BA174" s="66">
        <f t="shared" si="167"/>
        <v>1</v>
      </c>
    </row>
    <row r="175" spans="1:53" s="117" customFormat="1" ht="17.100000000000001" customHeight="1" x14ac:dyDescent="0.25">
      <c r="A175" s="68"/>
      <c r="B175" s="119"/>
      <c r="C175" s="540"/>
      <c r="D175" s="261"/>
      <c r="E175" s="261"/>
      <c r="F175" s="68"/>
      <c r="G175" s="68"/>
      <c r="H175" s="119"/>
      <c r="I175" s="138"/>
      <c r="J175" s="17"/>
      <c r="K175" s="17"/>
      <c r="L175" s="17"/>
      <c r="M175" s="17"/>
      <c r="N175" s="17" t="str">
        <f>IF(N174=N$20,"OK","NOK")</f>
        <v>OK</v>
      </c>
      <c r="O175" s="17" t="str">
        <f>IF(O174=O$20,"OK","NOK")</f>
        <v>OK</v>
      </c>
      <c r="P175" s="17"/>
      <c r="Q175" s="17" t="str">
        <f>IF(Q174=Q$20,"OK","NOK")</f>
        <v>OK</v>
      </c>
      <c r="R175" s="17" t="str">
        <f>IF(R174=R$20,"OK","NOK")</f>
        <v>OK</v>
      </c>
      <c r="S175" s="17"/>
      <c r="T175" s="17" t="str">
        <f>IF(T174=T$20,"OK","NOK")</f>
        <v>OK</v>
      </c>
      <c r="U175" s="17" t="str">
        <f>IF(U174=U$20,"OK","NOK")</f>
        <v>OK</v>
      </c>
      <c r="V175" s="359"/>
      <c r="W175" s="382"/>
      <c r="X175" s="539"/>
      <c r="Y175" s="539"/>
      <c r="Z175" s="201"/>
      <c r="AA175" s="201"/>
      <c r="AB175" s="201"/>
      <c r="AC175" s="84"/>
      <c r="AE175" s="46"/>
      <c r="AF175" s="46"/>
      <c r="AG175" s="17"/>
      <c r="AH175" s="539"/>
      <c r="AI175" s="91"/>
      <c r="AK175" s="46"/>
      <c r="AL175" s="46"/>
      <c r="AM175" s="17"/>
      <c r="AN175" s="539"/>
      <c r="AO175" s="91"/>
      <c r="AQ175" s="46"/>
      <c r="AR175" s="46"/>
      <c r="AS175" s="17"/>
      <c r="AT175" s="539"/>
      <c r="AU175" s="91"/>
      <c r="AW175" s="46"/>
      <c r="AX175" s="46"/>
      <c r="AY175" s="17"/>
      <c r="AZ175" s="539"/>
      <c r="BA175" s="91"/>
    </row>
    <row r="176" spans="1:53" ht="17.100000000000001" customHeight="1" x14ac:dyDescent="0.25">
      <c r="A176" s="68"/>
      <c r="B176" s="41" t="s">
        <v>137</v>
      </c>
      <c r="C176" s="69" t="s">
        <v>124</v>
      </c>
      <c r="D176" s="50"/>
      <c r="E176" s="70"/>
      <c r="F176" s="70"/>
      <c r="G176" s="70"/>
      <c r="H176" s="119"/>
      <c r="J176" s="71"/>
      <c r="K176" s="71"/>
      <c r="L176" s="71"/>
      <c r="M176" s="71"/>
      <c r="N176" s="71"/>
      <c r="O176" s="71"/>
      <c r="P176" s="71"/>
      <c r="Q176" s="71"/>
      <c r="R176" s="71"/>
      <c r="S176" s="71"/>
      <c r="T176" s="71"/>
      <c r="U176" s="71"/>
      <c r="V176" s="355"/>
      <c r="W176" s="377"/>
      <c r="X176" s="71"/>
      <c r="Y176" s="72"/>
      <c r="Z176" s="73"/>
      <c r="AA176" s="73"/>
      <c r="AB176" s="73"/>
      <c r="AC176" s="73"/>
      <c r="AE176" s="71"/>
      <c r="AF176" s="71"/>
      <c r="AG176" s="71"/>
      <c r="AH176" s="72"/>
      <c r="AI176" s="73"/>
      <c r="AK176" s="71"/>
      <c r="AL176" s="71"/>
      <c r="AM176" s="71"/>
      <c r="AN176" s="72"/>
      <c r="AO176" s="73"/>
      <c r="AQ176" s="71"/>
      <c r="AR176" s="71"/>
      <c r="AS176" s="71"/>
      <c r="AT176" s="72"/>
      <c r="AU176" s="73"/>
      <c r="AW176" s="71"/>
      <c r="AX176" s="71"/>
      <c r="AY176" s="71"/>
      <c r="AZ176" s="72"/>
      <c r="BA176" s="73"/>
    </row>
    <row r="177" spans="1:53" ht="17.100000000000001" customHeight="1" x14ac:dyDescent="0.25">
      <c r="A177" s="40"/>
      <c r="B177" s="40"/>
      <c r="C177" s="74" t="s">
        <v>139</v>
      </c>
      <c r="D177" s="541" t="s">
        <v>666</v>
      </c>
      <c r="E177" s="542"/>
      <c r="F177" s="542"/>
      <c r="G177" s="542"/>
      <c r="H177" s="540"/>
      <c r="I177" s="235"/>
      <c r="J177" s="111"/>
      <c r="K177" s="111"/>
      <c r="L177" s="111"/>
      <c r="M177" s="111"/>
      <c r="N177" s="111">
        <f>SUM(N178:N183)</f>
        <v>1</v>
      </c>
      <c r="O177" s="111">
        <f>SUM(O178:O183)</f>
        <v>5</v>
      </c>
      <c r="P177" s="111">
        <f t="shared" ref="P177:P183" si="169">SUM(N177:O177)</f>
        <v>6</v>
      </c>
      <c r="Q177" s="111">
        <f>SUM(Q178:Q183)</f>
        <v>3</v>
      </c>
      <c r="R177" s="111">
        <f>SUM(R178:R183)</f>
        <v>5</v>
      </c>
      <c r="S177" s="111">
        <f t="shared" ref="S177:S183" si="170">SUM(Q177:R177)</f>
        <v>8</v>
      </c>
      <c r="T177" s="111">
        <f>SUM(T178:T183)</f>
        <v>0</v>
      </c>
      <c r="U177" s="111">
        <f>SUM(U178:U183)</f>
        <v>0</v>
      </c>
      <c r="V177" s="358">
        <f t="shared" ref="V177:V183" si="171">SUM(T177:U177)</f>
        <v>0</v>
      </c>
      <c r="W177" s="385">
        <f t="shared" ref="W177:W183" si="172">J177+K177+N177+Q177+T177</f>
        <v>4</v>
      </c>
      <c r="X177" s="545">
        <f t="shared" ref="X177:X183" si="173">L177+O177+R177+U177</f>
        <v>10</v>
      </c>
      <c r="Y177" s="545">
        <f t="shared" ref="Y177:Y183" si="174">SUM(W177:X177)</f>
        <v>14</v>
      </c>
      <c r="Z177" s="172">
        <f t="shared" ref="Z177:Z183" si="175">IF(Y$187=0,0,Y177/Y$187)</f>
        <v>1</v>
      </c>
      <c r="AA177" s="172"/>
      <c r="AB177" s="172"/>
      <c r="AC177" s="113"/>
      <c r="AE177" s="111"/>
      <c r="AF177" s="111"/>
      <c r="AG177" s="111"/>
      <c r="AH177" s="545"/>
      <c r="AI177" s="131"/>
      <c r="AK177" s="111"/>
      <c r="AL177" s="111"/>
      <c r="AM177" s="111"/>
      <c r="AN177" s="545"/>
      <c r="AO177" s="131"/>
      <c r="AQ177" s="111"/>
      <c r="AR177" s="111"/>
      <c r="AS177" s="111"/>
      <c r="AT177" s="545">
        <f>SUM(AT178:AT183)</f>
        <v>4</v>
      </c>
      <c r="AU177" s="131">
        <f>IF(AT$187=0,0,AT177/AT$187)</f>
        <v>1</v>
      </c>
      <c r="AW177" s="111"/>
      <c r="AX177" s="111"/>
      <c r="AY177" s="111"/>
      <c r="AZ177" s="545">
        <f t="shared" ref="AZ177:AZ186" si="176">X177</f>
        <v>10</v>
      </c>
      <c r="BA177" s="131">
        <f>IF(AZ$187=0,0,AZ177/AZ$187)</f>
        <v>1</v>
      </c>
    </row>
    <row r="178" spans="1:53" ht="17.100000000000001" customHeight="1" x14ac:dyDescent="0.25">
      <c r="A178" s="40"/>
      <c r="B178" s="40"/>
      <c r="C178" s="540"/>
      <c r="D178" s="74" t="s">
        <v>140</v>
      </c>
      <c r="E178" s="542" t="s">
        <v>414</v>
      </c>
      <c r="F178" s="542"/>
      <c r="G178" s="542"/>
      <c r="H178" s="540"/>
      <c r="I178" s="235"/>
      <c r="J178" s="111"/>
      <c r="K178" s="111"/>
      <c r="L178" s="111"/>
      <c r="M178" s="111"/>
      <c r="N178" s="60"/>
      <c r="O178" s="60"/>
      <c r="P178" s="17">
        <f t="shared" si="169"/>
        <v>0</v>
      </c>
      <c r="Q178" s="60"/>
      <c r="R178" s="60"/>
      <c r="S178" s="17">
        <f t="shared" si="170"/>
        <v>0</v>
      </c>
      <c r="T178" s="60"/>
      <c r="U178" s="60"/>
      <c r="V178" s="359">
        <f t="shared" si="171"/>
        <v>0</v>
      </c>
      <c r="W178" s="391">
        <f t="shared" si="172"/>
        <v>0</v>
      </c>
      <c r="X178" s="17">
        <f t="shared" si="173"/>
        <v>0</v>
      </c>
      <c r="Y178" s="18">
        <f t="shared" si="174"/>
        <v>0</v>
      </c>
      <c r="Z178" s="19">
        <f t="shared" si="175"/>
        <v>0</v>
      </c>
      <c r="AA178" s="19"/>
      <c r="AB178" s="19"/>
      <c r="AC178" s="20"/>
      <c r="AE178" s="111"/>
      <c r="AF178" s="111"/>
      <c r="AG178" s="111"/>
      <c r="AH178" s="112"/>
      <c r="AI178" s="113"/>
      <c r="AK178" s="111"/>
      <c r="AL178" s="111"/>
      <c r="AM178" s="111"/>
      <c r="AN178" s="112"/>
      <c r="AO178" s="113"/>
      <c r="AQ178" s="17"/>
      <c r="AR178" s="17"/>
      <c r="AS178" s="17"/>
      <c r="AT178" s="18">
        <f t="shared" ref="AT178:AT183" si="177">W178</f>
        <v>0</v>
      </c>
      <c r="AU178" s="91">
        <f t="shared" ref="AU178:AU187" si="178">IF(AT$187=0,0,AT178/AT$187)</f>
        <v>0</v>
      </c>
      <c r="AW178" s="17"/>
      <c r="AX178" s="17"/>
      <c r="AY178" s="17"/>
      <c r="AZ178" s="18">
        <f t="shared" si="176"/>
        <v>0</v>
      </c>
      <c r="BA178" s="91">
        <f t="shared" ref="BA178:BA187" si="179">IF(AZ$187=0,0,AZ178/AZ$187)</f>
        <v>0</v>
      </c>
    </row>
    <row r="179" spans="1:53" ht="17.100000000000001" customHeight="1" x14ac:dyDescent="0.25">
      <c r="A179" s="40"/>
      <c r="B179" s="40"/>
      <c r="C179" s="540"/>
      <c r="D179" s="74" t="s">
        <v>660</v>
      </c>
      <c r="E179" s="542" t="s">
        <v>415</v>
      </c>
      <c r="F179" s="542"/>
      <c r="G179" s="542"/>
      <c r="H179" s="540"/>
      <c r="I179" s="235"/>
      <c r="J179" s="111"/>
      <c r="K179" s="111"/>
      <c r="L179" s="111"/>
      <c r="M179" s="111"/>
      <c r="N179" s="61"/>
      <c r="O179" s="61"/>
      <c r="P179" s="17">
        <f t="shared" si="169"/>
        <v>0</v>
      </c>
      <c r="Q179" s="61">
        <v>1</v>
      </c>
      <c r="R179" s="61"/>
      <c r="S179" s="17">
        <f t="shared" si="170"/>
        <v>1</v>
      </c>
      <c r="T179" s="61"/>
      <c r="U179" s="61"/>
      <c r="V179" s="359">
        <f t="shared" si="171"/>
        <v>0</v>
      </c>
      <c r="W179" s="391">
        <f t="shared" si="172"/>
        <v>1</v>
      </c>
      <c r="X179" s="17">
        <f t="shared" si="173"/>
        <v>0</v>
      </c>
      <c r="Y179" s="18">
        <f t="shared" si="174"/>
        <v>1</v>
      </c>
      <c r="Z179" s="19">
        <f t="shared" si="175"/>
        <v>7.1428571428571425E-2</v>
      </c>
      <c r="AA179" s="19"/>
      <c r="AB179" s="19"/>
      <c r="AC179" s="20"/>
      <c r="AE179" s="111"/>
      <c r="AF179" s="111"/>
      <c r="AG179" s="111"/>
      <c r="AH179" s="112"/>
      <c r="AI179" s="113"/>
      <c r="AK179" s="111"/>
      <c r="AL179" s="111"/>
      <c r="AM179" s="111"/>
      <c r="AN179" s="112"/>
      <c r="AO179" s="113"/>
      <c r="AQ179" s="17"/>
      <c r="AR179" s="17"/>
      <c r="AS179" s="17"/>
      <c r="AT179" s="18">
        <f t="shared" si="177"/>
        <v>1</v>
      </c>
      <c r="AU179" s="91">
        <f t="shared" si="178"/>
        <v>0.25</v>
      </c>
      <c r="AW179" s="17"/>
      <c r="AX179" s="17"/>
      <c r="AY179" s="17"/>
      <c r="AZ179" s="18">
        <f t="shared" si="176"/>
        <v>0</v>
      </c>
      <c r="BA179" s="91">
        <f t="shared" si="179"/>
        <v>0</v>
      </c>
    </row>
    <row r="180" spans="1:53" ht="17.100000000000001" customHeight="1" x14ac:dyDescent="0.25">
      <c r="A180" s="40"/>
      <c r="B180" s="40"/>
      <c r="C180" s="540"/>
      <c r="D180" s="74" t="s">
        <v>661</v>
      </c>
      <c r="E180" s="542" t="s">
        <v>416</v>
      </c>
      <c r="F180" s="542"/>
      <c r="G180" s="542"/>
      <c r="H180" s="540"/>
      <c r="I180" s="235"/>
      <c r="J180" s="111"/>
      <c r="K180" s="111"/>
      <c r="L180" s="111"/>
      <c r="M180" s="111"/>
      <c r="N180" s="60"/>
      <c r="O180" s="60"/>
      <c r="P180" s="17">
        <f t="shared" si="169"/>
        <v>0</v>
      </c>
      <c r="Q180" s="60">
        <v>2</v>
      </c>
      <c r="R180" s="60"/>
      <c r="S180" s="17">
        <f t="shared" si="170"/>
        <v>2</v>
      </c>
      <c r="T180" s="60"/>
      <c r="U180" s="60"/>
      <c r="V180" s="359">
        <f t="shared" si="171"/>
        <v>0</v>
      </c>
      <c r="W180" s="391">
        <f t="shared" si="172"/>
        <v>2</v>
      </c>
      <c r="X180" s="17">
        <f t="shared" si="173"/>
        <v>0</v>
      </c>
      <c r="Y180" s="18">
        <f t="shared" si="174"/>
        <v>2</v>
      </c>
      <c r="Z180" s="19">
        <f t="shared" si="175"/>
        <v>0.14285714285714285</v>
      </c>
      <c r="AA180" s="19"/>
      <c r="AB180" s="19"/>
      <c r="AC180" s="20"/>
      <c r="AE180" s="111"/>
      <c r="AF180" s="111"/>
      <c r="AG180" s="111"/>
      <c r="AH180" s="112"/>
      <c r="AI180" s="113"/>
      <c r="AK180" s="111"/>
      <c r="AL180" s="111"/>
      <c r="AM180" s="111"/>
      <c r="AN180" s="112"/>
      <c r="AO180" s="113"/>
      <c r="AQ180" s="17"/>
      <c r="AR180" s="17"/>
      <c r="AS180" s="17"/>
      <c r="AT180" s="18">
        <f t="shared" si="177"/>
        <v>2</v>
      </c>
      <c r="AU180" s="91">
        <f t="shared" si="178"/>
        <v>0.5</v>
      </c>
      <c r="AW180" s="17"/>
      <c r="AX180" s="17"/>
      <c r="AY180" s="17"/>
      <c r="AZ180" s="18">
        <f t="shared" si="176"/>
        <v>0</v>
      </c>
      <c r="BA180" s="91">
        <f t="shared" si="179"/>
        <v>0</v>
      </c>
    </row>
    <row r="181" spans="1:53" ht="17.100000000000001" customHeight="1" x14ac:dyDescent="0.25">
      <c r="A181" s="40"/>
      <c r="B181" s="40"/>
      <c r="C181" s="540"/>
      <c r="D181" s="74" t="s">
        <v>662</v>
      </c>
      <c r="E181" s="542" t="s">
        <v>127</v>
      </c>
      <c r="F181" s="542"/>
      <c r="G181" s="542"/>
      <c r="H181" s="540"/>
      <c r="I181" s="235"/>
      <c r="J181" s="111"/>
      <c r="K181" s="111"/>
      <c r="L181" s="111"/>
      <c r="M181" s="111"/>
      <c r="N181" s="61">
        <v>1</v>
      </c>
      <c r="O181" s="61">
        <v>5</v>
      </c>
      <c r="P181" s="17">
        <f t="shared" si="169"/>
        <v>6</v>
      </c>
      <c r="Q181" s="61"/>
      <c r="R181" s="61">
        <v>4</v>
      </c>
      <c r="S181" s="17">
        <f t="shared" si="170"/>
        <v>4</v>
      </c>
      <c r="T181" s="61"/>
      <c r="U181" s="61"/>
      <c r="V181" s="359">
        <f t="shared" si="171"/>
        <v>0</v>
      </c>
      <c r="W181" s="391">
        <f t="shared" si="172"/>
        <v>1</v>
      </c>
      <c r="X181" s="17">
        <f t="shared" si="173"/>
        <v>9</v>
      </c>
      <c r="Y181" s="18">
        <f t="shared" si="174"/>
        <v>10</v>
      </c>
      <c r="Z181" s="19">
        <f t="shared" si="175"/>
        <v>0.7142857142857143</v>
      </c>
      <c r="AA181" s="19"/>
      <c r="AB181" s="19"/>
      <c r="AC181" s="20"/>
      <c r="AE181" s="111"/>
      <c r="AF181" s="111"/>
      <c r="AG181" s="111"/>
      <c r="AH181" s="112"/>
      <c r="AI181" s="113"/>
      <c r="AK181" s="111"/>
      <c r="AL181" s="111"/>
      <c r="AM181" s="111"/>
      <c r="AN181" s="112"/>
      <c r="AO181" s="113"/>
      <c r="AQ181" s="17"/>
      <c r="AR181" s="17"/>
      <c r="AS181" s="17"/>
      <c r="AT181" s="18">
        <f t="shared" si="177"/>
        <v>1</v>
      </c>
      <c r="AU181" s="91">
        <f t="shared" si="178"/>
        <v>0.25</v>
      </c>
      <c r="AW181" s="17"/>
      <c r="AX181" s="17"/>
      <c r="AY181" s="17"/>
      <c r="AZ181" s="18">
        <f t="shared" si="176"/>
        <v>9</v>
      </c>
      <c r="BA181" s="91">
        <f t="shared" si="179"/>
        <v>0.9</v>
      </c>
    </row>
    <row r="182" spans="1:53" ht="17.100000000000001" customHeight="1" x14ac:dyDescent="0.25">
      <c r="A182" s="40"/>
      <c r="B182" s="40"/>
      <c r="C182" s="540"/>
      <c r="D182" s="74" t="s">
        <v>663</v>
      </c>
      <c r="E182" s="542" t="s">
        <v>417</v>
      </c>
      <c r="F182" s="542"/>
      <c r="G182" s="542"/>
      <c r="H182" s="540"/>
      <c r="I182" s="235"/>
      <c r="J182" s="111"/>
      <c r="K182" s="111"/>
      <c r="L182" s="111"/>
      <c r="M182" s="111"/>
      <c r="N182" s="60"/>
      <c r="O182" s="60"/>
      <c r="P182" s="17">
        <f t="shared" si="169"/>
        <v>0</v>
      </c>
      <c r="Q182" s="60"/>
      <c r="R182" s="60">
        <v>1</v>
      </c>
      <c r="S182" s="17">
        <f t="shared" si="170"/>
        <v>1</v>
      </c>
      <c r="T182" s="60"/>
      <c r="U182" s="60"/>
      <c r="V182" s="359">
        <f t="shared" si="171"/>
        <v>0</v>
      </c>
      <c r="W182" s="391">
        <f t="shared" si="172"/>
        <v>0</v>
      </c>
      <c r="X182" s="17">
        <f t="shared" si="173"/>
        <v>1</v>
      </c>
      <c r="Y182" s="18">
        <f t="shared" si="174"/>
        <v>1</v>
      </c>
      <c r="Z182" s="19">
        <f t="shared" si="175"/>
        <v>7.1428571428571425E-2</v>
      </c>
      <c r="AA182" s="19"/>
      <c r="AB182" s="19"/>
      <c r="AC182" s="20"/>
      <c r="AE182" s="111"/>
      <c r="AF182" s="111"/>
      <c r="AG182" s="111"/>
      <c r="AH182" s="112"/>
      <c r="AI182" s="113"/>
      <c r="AK182" s="111"/>
      <c r="AL182" s="111"/>
      <c r="AM182" s="111"/>
      <c r="AN182" s="112"/>
      <c r="AO182" s="113"/>
      <c r="AQ182" s="17"/>
      <c r="AR182" s="17"/>
      <c r="AS182" s="17"/>
      <c r="AT182" s="18">
        <f t="shared" si="177"/>
        <v>0</v>
      </c>
      <c r="AU182" s="91">
        <f t="shared" si="178"/>
        <v>0</v>
      </c>
      <c r="AW182" s="17"/>
      <c r="AX182" s="17"/>
      <c r="AY182" s="17"/>
      <c r="AZ182" s="18">
        <f t="shared" si="176"/>
        <v>1</v>
      </c>
      <c r="BA182" s="91">
        <f t="shared" si="179"/>
        <v>0.1</v>
      </c>
    </row>
    <row r="183" spans="1:53" ht="17.100000000000001" customHeight="1" x14ac:dyDescent="0.25">
      <c r="A183" s="40"/>
      <c r="B183" s="40"/>
      <c r="C183" s="540"/>
      <c r="D183" s="74" t="s">
        <v>664</v>
      </c>
      <c r="E183" s="542" t="s">
        <v>418</v>
      </c>
      <c r="F183" s="542"/>
      <c r="G183" s="542"/>
      <c r="H183" s="540"/>
      <c r="I183" s="235"/>
      <c r="J183" s="111"/>
      <c r="K183" s="111"/>
      <c r="L183" s="111"/>
      <c r="M183" s="111"/>
      <c r="N183" s="61"/>
      <c r="O183" s="61"/>
      <c r="P183" s="17">
        <f t="shared" si="169"/>
        <v>0</v>
      </c>
      <c r="Q183" s="61"/>
      <c r="R183" s="61"/>
      <c r="S183" s="17">
        <f t="shared" si="170"/>
        <v>0</v>
      </c>
      <c r="T183" s="61"/>
      <c r="U183" s="61"/>
      <c r="V183" s="359">
        <f t="shared" si="171"/>
        <v>0</v>
      </c>
      <c r="W183" s="391">
        <f t="shared" si="172"/>
        <v>0</v>
      </c>
      <c r="X183" s="17">
        <f t="shared" si="173"/>
        <v>0</v>
      </c>
      <c r="Y183" s="18">
        <f t="shared" si="174"/>
        <v>0</v>
      </c>
      <c r="Z183" s="19">
        <f t="shared" si="175"/>
        <v>0</v>
      </c>
      <c r="AA183" s="19"/>
      <c r="AB183" s="19"/>
      <c r="AC183" s="20"/>
      <c r="AE183" s="111"/>
      <c r="AF183" s="111"/>
      <c r="AG183" s="111"/>
      <c r="AH183" s="112"/>
      <c r="AI183" s="113"/>
      <c r="AK183" s="111"/>
      <c r="AL183" s="111"/>
      <c r="AM183" s="111"/>
      <c r="AN183" s="112"/>
      <c r="AO183" s="113"/>
      <c r="AQ183" s="17"/>
      <c r="AR183" s="17"/>
      <c r="AS183" s="17"/>
      <c r="AT183" s="18">
        <f t="shared" si="177"/>
        <v>0</v>
      </c>
      <c r="AU183" s="91">
        <f t="shared" si="178"/>
        <v>0</v>
      </c>
      <c r="AW183" s="17"/>
      <c r="AX183" s="17"/>
      <c r="AY183" s="17"/>
      <c r="AZ183" s="18">
        <f t="shared" si="176"/>
        <v>0</v>
      </c>
      <c r="BA183" s="91">
        <f t="shared" si="179"/>
        <v>0</v>
      </c>
    </row>
    <row r="184" spans="1:53" ht="17.100000000000001" customHeight="1" x14ac:dyDescent="0.25">
      <c r="A184" s="40"/>
      <c r="B184" s="40"/>
      <c r="C184" s="74" t="s">
        <v>141</v>
      </c>
      <c r="D184" s="57" t="s">
        <v>128</v>
      </c>
      <c r="E184" s="542"/>
      <c r="F184" s="542"/>
      <c r="G184" s="542"/>
      <c r="H184" s="540"/>
      <c r="I184" s="235"/>
      <c r="J184" s="111"/>
      <c r="K184" s="111"/>
      <c r="L184" s="111"/>
      <c r="M184" s="111"/>
      <c r="N184" s="111"/>
      <c r="O184" s="111"/>
      <c r="P184" s="111"/>
      <c r="Q184" s="111"/>
      <c r="R184" s="111"/>
      <c r="S184" s="111"/>
      <c r="T184" s="111"/>
      <c r="U184" s="111"/>
      <c r="V184" s="358"/>
      <c r="W184" s="380"/>
      <c r="X184" s="111"/>
      <c r="Y184" s="545"/>
      <c r="Z184" s="172"/>
      <c r="AA184" s="172"/>
      <c r="AB184" s="172"/>
      <c r="AC184" s="113"/>
      <c r="AE184" s="111"/>
      <c r="AF184" s="111"/>
      <c r="AG184" s="111"/>
      <c r="AH184" s="545"/>
      <c r="AI184" s="131"/>
      <c r="AK184" s="111"/>
      <c r="AL184" s="111"/>
      <c r="AM184" s="111"/>
      <c r="AN184" s="545"/>
      <c r="AO184" s="131"/>
      <c r="AQ184" s="111"/>
      <c r="AR184" s="111"/>
      <c r="AS184" s="111"/>
      <c r="AT184" s="545"/>
      <c r="AU184" s="131"/>
      <c r="AW184" s="111"/>
      <c r="AX184" s="111"/>
      <c r="AY184" s="111"/>
      <c r="AZ184" s="545">
        <f t="shared" si="176"/>
        <v>0</v>
      </c>
      <c r="BA184" s="131"/>
    </row>
    <row r="185" spans="1:53" ht="17.100000000000001" customHeight="1" x14ac:dyDescent="0.25">
      <c r="A185" s="40"/>
      <c r="B185" s="40"/>
      <c r="C185" s="540"/>
      <c r="D185" s="74" t="s">
        <v>142</v>
      </c>
      <c r="E185" s="542" t="s">
        <v>665</v>
      </c>
      <c r="F185" s="542"/>
      <c r="G185" s="542"/>
      <c r="H185" s="540"/>
      <c r="I185" s="235"/>
      <c r="J185" s="111"/>
      <c r="K185" s="111"/>
      <c r="L185" s="111"/>
      <c r="M185" s="111"/>
      <c r="N185" s="60"/>
      <c r="O185" s="60"/>
      <c r="P185" s="17">
        <f>SUM(N185:O185)</f>
        <v>0</v>
      </c>
      <c r="Q185" s="60"/>
      <c r="R185" s="60"/>
      <c r="S185" s="17">
        <f>SUM(Q185:R185)</f>
        <v>0</v>
      </c>
      <c r="T185" s="60"/>
      <c r="U185" s="60"/>
      <c r="V185" s="359">
        <f>SUM(T185:U185)</f>
        <v>0</v>
      </c>
      <c r="W185" s="391">
        <f t="shared" ref="W185:W186" si="180">J185+K185+N185+Q185+T185</f>
        <v>0</v>
      </c>
      <c r="X185" s="17">
        <f t="shared" ref="X185:X186" si="181">L185+O185+R185+U185</f>
        <v>0</v>
      </c>
      <c r="Y185" s="18">
        <f>SUM(W185:X185)</f>
        <v>0</v>
      </c>
      <c r="Z185" s="19">
        <f t="shared" ref="Z185:Z186" si="182">IF(Y$187=0,0,Y185/Y$187)</f>
        <v>0</v>
      </c>
      <c r="AA185" s="19"/>
      <c r="AB185" s="19"/>
      <c r="AC185" s="20"/>
      <c r="AE185" s="111"/>
      <c r="AF185" s="111"/>
      <c r="AG185" s="111"/>
      <c r="AH185" s="112"/>
      <c r="AI185" s="113"/>
      <c r="AK185" s="111"/>
      <c r="AL185" s="111"/>
      <c r="AM185" s="111"/>
      <c r="AN185" s="112"/>
      <c r="AO185" s="113"/>
      <c r="AQ185" s="17"/>
      <c r="AR185" s="17"/>
      <c r="AS185" s="17"/>
      <c r="AT185" s="18">
        <f t="shared" ref="AT185:AT186" si="183">W185</f>
        <v>0</v>
      </c>
      <c r="AU185" s="91">
        <f t="shared" si="178"/>
        <v>0</v>
      </c>
      <c r="AW185" s="17"/>
      <c r="AX185" s="17"/>
      <c r="AY185" s="17"/>
      <c r="AZ185" s="18">
        <f t="shared" si="176"/>
        <v>0</v>
      </c>
      <c r="BA185" s="91">
        <f t="shared" si="179"/>
        <v>0</v>
      </c>
    </row>
    <row r="186" spans="1:53" ht="17.100000000000001" customHeight="1" x14ac:dyDescent="0.25">
      <c r="A186" s="40"/>
      <c r="B186" s="40"/>
      <c r="C186" s="74" t="s">
        <v>144</v>
      </c>
      <c r="D186" s="120" t="s">
        <v>129</v>
      </c>
      <c r="E186" s="542"/>
      <c r="F186" s="542"/>
      <c r="G186" s="542"/>
      <c r="H186" s="540"/>
      <c r="I186" s="235"/>
      <c r="J186" s="111"/>
      <c r="K186" s="111"/>
      <c r="L186" s="111"/>
      <c r="M186" s="111"/>
      <c r="N186" s="61"/>
      <c r="O186" s="61"/>
      <c r="P186" s="17">
        <f>SUM(N186:O186)</f>
        <v>0</v>
      </c>
      <c r="Q186" s="61"/>
      <c r="R186" s="61"/>
      <c r="S186" s="17">
        <f>SUM(Q186:R186)</f>
        <v>0</v>
      </c>
      <c r="T186" s="61"/>
      <c r="U186" s="61"/>
      <c r="V186" s="359">
        <f>SUM(T186:U186)</f>
        <v>0</v>
      </c>
      <c r="W186" s="391">
        <f t="shared" si="180"/>
        <v>0</v>
      </c>
      <c r="X186" s="17">
        <f t="shared" si="181"/>
        <v>0</v>
      </c>
      <c r="Y186" s="18">
        <f>SUM(W186:X186)</f>
        <v>0</v>
      </c>
      <c r="Z186" s="221">
        <f t="shared" si="182"/>
        <v>0</v>
      </c>
      <c r="AA186" s="221"/>
      <c r="AB186" s="221"/>
      <c r="AC186" s="20"/>
      <c r="AE186" s="111"/>
      <c r="AF186" s="111"/>
      <c r="AG186" s="111"/>
      <c r="AH186" s="112"/>
      <c r="AI186" s="113"/>
      <c r="AK186" s="111"/>
      <c r="AL186" s="111"/>
      <c r="AM186" s="111"/>
      <c r="AN186" s="112"/>
      <c r="AO186" s="113"/>
      <c r="AQ186" s="17"/>
      <c r="AR186" s="17"/>
      <c r="AS186" s="17"/>
      <c r="AT186" s="18">
        <f t="shared" si="183"/>
        <v>0</v>
      </c>
      <c r="AU186" s="91">
        <f t="shared" si="178"/>
        <v>0</v>
      </c>
      <c r="AW186" s="17"/>
      <c r="AX186" s="17"/>
      <c r="AY186" s="17"/>
      <c r="AZ186" s="18">
        <f t="shared" si="176"/>
        <v>0</v>
      </c>
      <c r="BA186" s="91">
        <f t="shared" si="179"/>
        <v>0</v>
      </c>
    </row>
    <row r="187" spans="1:53" ht="17.100000000000001" customHeight="1" x14ac:dyDescent="0.25">
      <c r="A187" s="40"/>
      <c r="B187" s="40"/>
      <c r="C187" s="77"/>
      <c r="D187" s="144"/>
      <c r="E187" s="144"/>
      <c r="F187" s="145"/>
      <c r="G187" s="145"/>
      <c r="H187" s="119"/>
      <c r="I187" s="236"/>
      <c r="J187" s="80"/>
      <c r="K187" s="80"/>
      <c r="L187" s="81"/>
      <c r="M187" s="81"/>
      <c r="N187" s="81">
        <f>SUM(N178:N186)</f>
        <v>1</v>
      </c>
      <c r="O187" s="81">
        <f t="shared" ref="O187:Y187" si="184">SUM(O178:O186)</f>
        <v>5</v>
      </c>
      <c r="P187" s="81">
        <f t="shared" si="184"/>
        <v>6</v>
      </c>
      <c r="Q187" s="81">
        <f t="shared" si="184"/>
        <v>3</v>
      </c>
      <c r="R187" s="81">
        <f t="shared" si="184"/>
        <v>5</v>
      </c>
      <c r="S187" s="81">
        <f t="shared" si="184"/>
        <v>8</v>
      </c>
      <c r="T187" s="81">
        <f t="shared" si="184"/>
        <v>0</v>
      </c>
      <c r="U187" s="81">
        <f t="shared" si="184"/>
        <v>0</v>
      </c>
      <c r="V187" s="81">
        <f t="shared" si="184"/>
        <v>0</v>
      </c>
      <c r="W187" s="82">
        <f t="shared" si="184"/>
        <v>4</v>
      </c>
      <c r="X187" s="82">
        <f t="shared" si="184"/>
        <v>10</v>
      </c>
      <c r="Y187" s="82">
        <f t="shared" si="184"/>
        <v>14</v>
      </c>
      <c r="Z187" s="205">
        <f>IF(Y$187=0,0,Y187/Y$187)</f>
        <v>1</v>
      </c>
      <c r="AA187" s="205"/>
      <c r="AB187" s="205"/>
      <c r="AC187" s="83"/>
      <c r="AE187" s="80"/>
      <c r="AF187" s="80"/>
      <c r="AG187" s="81"/>
      <c r="AH187" s="82"/>
      <c r="AI187" s="66"/>
      <c r="AK187" s="80"/>
      <c r="AL187" s="80"/>
      <c r="AM187" s="81"/>
      <c r="AN187" s="82"/>
      <c r="AO187" s="66"/>
      <c r="AQ187" s="80"/>
      <c r="AR187" s="80"/>
      <c r="AS187" s="81"/>
      <c r="AT187" s="82">
        <f t="shared" ref="AT187" si="185">SUM(AT178:AT186)</f>
        <v>4</v>
      </c>
      <c r="AU187" s="66">
        <f t="shared" si="178"/>
        <v>1</v>
      </c>
      <c r="AW187" s="80"/>
      <c r="AX187" s="80"/>
      <c r="AY187" s="81"/>
      <c r="AZ187" s="82">
        <f t="shared" ref="AZ187" si="186">SUM(AZ178:AZ186)</f>
        <v>10</v>
      </c>
      <c r="BA187" s="66">
        <f t="shared" si="179"/>
        <v>1</v>
      </c>
    </row>
    <row r="188" spans="1:53" s="117" customFormat="1" ht="17.100000000000001" customHeight="1" x14ac:dyDescent="0.25">
      <c r="A188" s="68"/>
      <c r="B188" s="119"/>
      <c r="C188" s="540"/>
      <c r="D188" s="261"/>
      <c r="E188" s="261"/>
      <c r="F188" s="68"/>
      <c r="G188" s="68"/>
      <c r="H188" s="119"/>
      <c r="I188" s="138"/>
      <c r="J188" s="17"/>
      <c r="K188" s="17"/>
      <c r="L188" s="17"/>
      <c r="M188" s="17"/>
      <c r="N188" s="17" t="str">
        <f>IF(N187=N$20,"OK","NOK")</f>
        <v>OK</v>
      </c>
      <c r="O188" s="17" t="str">
        <f>IF(O187=O$20,"OK","NOK")</f>
        <v>OK</v>
      </c>
      <c r="P188" s="17"/>
      <c r="Q188" s="17" t="str">
        <f>IF(Q187=Q$20,"OK","NOK")</f>
        <v>OK</v>
      </c>
      <c r="R188" s="17" t="str">
        <f>IF(R187=R$20,"OK","NOK")</f>
        <v>OK</v>
      </c>
      <c r="S188" s="17"/>
      <c r="T188" s="17" t="str">
        <f>IF(T187=T$20,"OK","NOK")</f>
        <v>OK</v>
      </c>
      <c r="U188" s="17" t="str">
        <f>IF(U187=U$20,"OK","NOK")</f>
        <v>OK</v>
      </c>
      <c r="V188" s="359"/>
      <c r="W188" s="382"/>
      <c r="X188" s="539"/>
      <c r="Y188" s="539"/>
      <c r="Z188" s="201"/>
      <c r="AA188" s="201"/>
      <c r="AB188" s="201"/>
      <c r="AC188" s="84"/>
      <c r="AE188" s="46"/>
      <c r="AF188" s="46"/>
      <c r="AG188" s="17"/>
      <c r="AH188" s="539"/>
      <c r="AI188" s="91"/>
      <c r="AK188" s="46"/>
      <c r="AL188" s="46"/>
      <c r="AM188" s="17"/>
      <c r="AN188" s="539"/>
      <c r="AO188" s="91"/>
      <c r="AQ188" s="46"/>
      <c r="AR188" s="46"/>
      <c r="AS188" s="17"/>
      <c r="AT188" s="539"/>
      <c r="AU188" s="91"/>
      <c r="AW188" s="46"/>
      <c r="AX188" s="46"/>
      <c r="AY188" s="17"/>
      <c r="AZ188" s="539"/>
      <c r="BA188" s="91"/>
    </row>
    <row r="189" spans="1:53" ht="17.100000000000001" customHeight="1" x14ac:dyDescent="0.25">
      <c r="A189" s="40"/>
      <c r="B189" s="40"/>
      <c r="C189" s="74" t="s">
        <v>141</v>
      </c>
      <c r="D189" s="57" t="s">
        <v>128</v>
      </c>
      <c r="E189" s="542"/>
      <c r="F189" s="542"/>
      <c r="G189" s="542"/>
      <c r="H189" s="540"/>
      <c r="I189" s="235"/>
      <c r="J189" s="111"/>
      <c r="K189" s="111"/>
      <c r="L189" s="111"/>
      <c r="M189" s="111"/>
      <c r="N189" s="111"/>
      <c r="O189" s="111"/>
      <c r="P189" s="111"/>
      <c r="Q189" s="111"/>
      <c r="R189" s="111"/>
      <c r="S189" s="111"/>
      <c r="T189" s="111"/>
      <c r="U189" s="111"/>
      <c r="V189" s="358"/>
      <c r="W189" s="386"/>
      <c r="X189" s="113"/>
      <c r="Y189" s="178"/>
      <c r="Z189" s="172"/>
      <c r="AA189" s="545" t="s">
        <v>181</v>
      </c>
      <c r="AB189" s="545" t="s">
        <v>182</v>
      </c>
      <c r="AC189" s="545" t="s">
        <v>6</v>
      </c>
      <c r="AE189" s="111"/>
      <c r="AF189" s="111"/>
      <c r="AG189" s="111"/>
      <c r="AH189" s="545"/>
      <c r="AI189" s="131"/>
      <c r="AK189" s="111"/>
      <c r="AL189" s="111"/>
      <c r="AM189" s="111"/>
      <c r="AN189" s="545"/>
      <c r="AO189" s="131"/>
      <c r="AQ189" s="545" t="s">
        <v>181</v>
      </c>
      <c r="AR189" s="545" t="s">
        <v>182</v>
      </c>
      <c r="AS189" s="545" t="s">
        <v>6</v>
      </c>
      <c r="AT189" s="545"/>
      <c r="AU189" s="131"/>
      <c r="AW189" s="545" t="s">
        <v>181</v>
      </c>
      <c r="AX189" s="545" t="s">
        <v>182</v>
      </c>
      <c r="AY189" s="545" t="s">
        <v>6</v>
      </c>
      <c r="AZ189" s="545"/>
      <c r="BA189" s="131"/>
    </row>
    <row r="190" spans="1:53" s="117" customFormat="1" ht="17.100000000000001" customHeight="1" x14ac:dyDescent="0.25">
      <c r="A190" s="68"/>
      <c r="B190" s="119"/>
      <c r="C190" s="92"/>
      <c r="D190" s="74" t="s">
        <v>143</v>
      </c>
      <c r="E190" s="146" t="s">
        <v>667</v>
      </c>
      <c r="F190" s="149"/>
      <c r="G190" s="151"/>
      <c r="H190" s="119"/>
      <c r="I190" s="138"/>
      <c r="J190" s="17"/>
      <c r="K190" s="17"/>
      <c r="L190" s="17"/>
      <c r="M190" s="17"/>
      <c r="N190" s="336"/>
      <c r="O190" s="336"/>
      <c r="P190" s="341"/>
      <c r="Q190" s="336"/>
      <c r="R190" s="336"/>
      <c r="S190" s="341"/>
      <c r="T190" s="336"/>
      <c r="U190" s="336"/>
      <c r="V190" s="592"/>
      <c r="W190" s="386"/>
      <c r="X190" s="113"/>
      <c r="Y190" s="178"/>
      <c r="Z190" s="131"/>
      <c r="AA190" s="403">
        <f>MIN(N190:U190)</f>
        <v>0</v>
      </c>
      <c r="AB190" s="403">
        <f>MAX(N190:U190)</f>
        <v>0</v>
      </c>
      <c r="AC190" s="337">
        <f>IF(SUM(N190:U190)=0,0,AVERAGE(N190:U190))</f>
        <v>0</v>
      </c>
      <c r="AE190" s="152"/>
      <c r="AF190" s="152"/>
      <c r="AG190" s="111"/>
      <c r="AH190" s="545"/>
      <c r="AI190" s="131"/>
      <c r="AK190" s="152"/>
      <c r="AL190" s="152"/>
      <c r="AM190" s="111"/>
      <c r="AN190" s="545"/>
      <c r="AO190" s="131"/>
      <c r="AQ190" s="402">
        <f>MIN(N190,Q190,T190)</f>
        <v>0</v>
      </c>
      <c r="AR190" s="402">
        <f>MAX(N190,Q190,T190)</f>
        <v>0</v>
      </c>
      <c r="AS190" s="403">
        <f>IF(N190+Q190+Q190=0,0,AVERAGE(N190,Q190,T190))</f>
        <v>0</v>
      </c>
      <c r="AT190" s="539"/>
      <c r="AU190" s="91"/>
      <c r="AW190" s="402">
        <f>MIN(O190,R190,U190)</f>
        <v>0</v>
      </c>
      <c r="AX190" s="402">
        <f>MAX(O190,R190,U190)</f>
        <v>0</v>
      </c>
      <c r="AY190" s="403">
        <f>IF(O190+R190+U190=0,0,AVERAGE(O190,R190,U190))</f>
        <v>0</v>
      </c>
      <c r="AZ190" s="539"/>
      <c r="BA190" s="91"/>
    </row>
    <row r="191" spans="1:53" ht="17.100000000000001" customHeight="1" x14ac:dyDescent="0.25">
      <c r="A191" s="40"/>
      <c r="B191" s="40"/>
      <c r="C191" s="77"/>
      <c r="D191" s="144"/>
      <c r="E191" s="144"/>
      <c r="F191" s="145"/>
      <c r="G191" s="145"/>
      <c r="H191" s="119"/>
      <c r="I191" s="236"/>
      <c r="J191" s="80"/>
      <c r="K191" s="80"/>
      <c r="L191" s="81"/>
      <c r="M191" s="81"/>
      <c r="N191" s="81"/>
      <c r="O191" s="81"/>
      <c r="P191" s="82"/>
      <c r="Q191" s="81"/>
      <c r="R191" s="81"/>
      <c r="S191" s="82"/>
      <c r="T191" s="81"/>
      <c r="U191" s="81"/>
      <c r="V191" s="360"/>
      <c r="W191" s="381"/>
      <c r="X191" s="82"/>
      <c r="Y191" s="82"/>
      <c r="Z191" s="205"/>
      <c r="AA191" s="205"/>
      <c r="AB191" s="205"/>
      <c r="AC191" s="83"/>
      <c r="AE191" s="80"/>
      <c r="AF191" s="80"/>
      <c r="AG191" s="81"/>
      <c r="AH191" s="82"/>
      <c r="AI191" s="66"/>
      <c r="AK191" s="80"/>
      <c r="AL191" s="80"/>
      <c r="AM191" s="81"/>
      <c r="AN191" s="82"/>
      <c r="AO191" s="66"/>
      <c r="AQ191" s="80"/>
      <c r="AR191" s="80"/>
      <c r="AS191" s="81"/>
      <c r="AT191" s="82"/>
      <c r="AU191" s="66"/>
      <c r="AW191" s="80"/>
      <c r="AX191" s="80"/>
      <c r="AY191" s="81"/>
      <c r="AZ191" s="82"/>
      <c r="BA191" s="66"/>
    </row>
    <row r="192" spans="1:53" ht="17.100000000000001" customHeight="1" x14ac:dyDescent="0.25">
      <c r="A192" s="68"/>
      <c r="B192" s="41" t="s">
        <v>145</v>
      </c>
      <c r="C192" s="69" t="s">
        <v>419</v>
      </c>
      <c r="D192" s="50"/>
      <c r="E192" s="70"/>
      <c r="F192" s="70"/>
      <c r="G192" s="70"/>
      <c r="H192" s="119"/>
      <c r="J192" s="71"/>
      <c r="K192" s="71"/>
      <c r="L192" s="71"/>
      <c r="M192" s="71"/>
      <c r="N192" s="71"/>
      <c r="O192" s="71"/>
      <c r="P192" s="71"/>
      <c r="Q192" s="71"/>
      <c r="R192" s="71"/>
      <c r="S192" s="71"/>
      <c r="T192" s="71"/>
      <c r="U192" s="71"/>
      <c r="V192" s="355"/>
      <c r="W192" s="377"/>
      <c r="X192" s="71"/>
      <c r="Y192" s="72"/>
      <c r="Z192" s="73"/>
      <c r="AA192" s="73"/>
      <c r="AB192" s="73"/>
      <c r="AC192" s="73"/>
      <c r="AE192" s="71"/>
      <c r="AF192" s="71"/>
      <c r="AG192" s="71"/>
      <c r="AH192" s="72"/>
      <c r="AI192" s="73"/>
      <c r="AK192" s="71"/>
      <c r="AL192" s="71"/>
      <c r="AM192" s="71"/>
      <c r="AN192" s="72"/>
      <c r="AO192" s="73"/>
      <c r="AQ192" s="71"/>
      <c r="AR192" s="71"/>
      <c r="AS192" s="71"/>
      <c r="AT192" s="72"/>
      <c r="AU192" s="73"/>
      <c r="AW192" s="71"/>
      <c r="AX192" s="71"/>
      <c r="AY192" s="71"/>
      <c r="AZ192" s="72"/>
      <c r="BA192" s="73"/>
    </row>
    <row r="193" spans="1:53" ht="17.100000000000001" customHeight="1" x14ac:dyDescent="0.25">
      <c r="A193" s="40"/>
      <c r="B193" s="40"/>
      <c r="C193" s="56" t="s">
        <v>146</v>
      </c>
      <c r="D193" s="147" t="s">
        <v>358</v>
      </c>
      <c r="E193" s="147"/>
      <c r="F193" s="147"/>
      <c r="G193" s="147"/>
      <c r="H193" s="243">
        <v>30</v>
      </c>
      <c r="I193" s="237"/>
      <c r="J193" s="174"/>
      <c r="K193" s="174"/>
      <c r="L193" s="111"/>
      <c r="M193" s="111"/>
      <c r="N193" s="111"/>
      <c r="O193" s="111"/>
      <c r="P193" s="111"/>
      <c r="Q193" s="111"/>
      <c r="R193" s="111"/>
      <c r="S193" s="111"/>
      <c r="T193" s="111"/>
      <c r="U193" s="111"/>
      <c r="V193" s="358"/>
      <c r="W193" s="380"/>
      <c r="X193" s="111"/>
      <c r="Y193" s="545"/>
      <c r="Z193" s="131"/>
      <c r="AA193" s="131"/>
      <c r="AB193" s="131"/>
      <c r="AC193" s="113"/>
      <c r="AE193" s="111"/>
      <c r="AF193" s="111"/>
      <c r="AG193" s="111"/>
      <c r="AH193" s="545"/>
      <c r="AI193" s="131"/>
      <c r="AK193" s="111"/>
      <c r="AL193" s="111"/>
      <c r="AM193" s="111"/>
      <c r="AN193" s="545"/>
      <c r="AO193" s="131"/>
      <c r="AQ193" s="111"/>
      <c r="AR193" s="111"/>
      <c r="AS193" s="111"/>
      <c r="AT193" s="545"/>
      <c r="AU193" s="131"/>
      <c r="AW193" s="111"/>
      <c r="AX193" s="111"/>
      <c r="AY193" s="111"/>
      <c r="AZ193" s="545"/>
      <c r="BA193" s="131"/>
    </row>
    <row r="194" spans="1:53" ht="17.100000000000001" customHeight="1" x14ac:dyDescent="0.25">
      <c r="A194" s="40"/>
      <c r="B194" s="40"/>
      <c r="C194" s="182"/>
      <c r="D194" s="74" t="s">
        <v>537</v>
      </c>
      <c r="E194" s="147" t="s">
        <v>9</v>
      </c>
      <c r="F194" s="147"/>
      <c r="G194" s="147"/>
      <c r="H194" s="262"/>
      <c r="I194" s="237"/>
      <c r="J194" s="581"/>
      <c r="K194" s="581"/>
      <c r="L194" s="582"/>
      <c r="M194" s="17">
        <f t="shared" ref="M194:M195" si="187">SUM(J194:L194)</f>
        <v>0</v>
      </c>
      <c r="N194" s="111"/>
      <c r="O194" s="111"/>
      <c r="P194" s="111"/>
      <c r="Q194" s="111"/>
      <c r="R194" s="111"/>
      <c r="S194" s="111"/>
      <c r="T194" s="111"/>
      <c r="U194" s="111"/>
      <c r="V194" s="358"/>
      <c r="W194" s="391">
        <f t="shared" ref="W194:W195" si="188">J194+K194+N194+Q194+T194</f>
        <v>0</v>
      </c>
      <c r="X194" s="17">
        <f t="shared" ref="X194:X195" si="189">L194+O194+R194+U194</f>
        <v>0</v>
      </c>
      <c r="Y194" s="539">
        <f>SUM(W194:X194)</f>
        <v>0</v>
      </c>
      <c r="Z194" s="91">
        <f>IF(Y$197=0,0,Y194/Y$197)</f>
        <v>0</v>
      </c>
      <c r="AA194" s="91"/>
      <c r="AB194" s="91"/>
      <c r="AC194" s="20"/>
      <c r="AE194" s="17"/>
      <c r="AF194" s="17"/>
      <c r="AG194" s="17"/>
      <c r="AH194" s="18">
        <f t="shared" ref="AH194:AH195" si="190">J194</f>
        <v>0</v>
      </c>
      <c r="AI194" s="91">
        <f>IF(AH$197=0,0,AH194/AH$197)</f>
        <v>0</v>
      </c>
      <c r="AK194" s="17"/>
      <c r="AL194" s="17"/>
      <c r="AM194" s="17"/>
      <c r="AN194" s="18">
        <f t="shared" ref="AN194:AN195" si="191">K194</f>
        <v>0</v>
      </c>
      <c r="AO194" s="91">
        <f>IF(AN$197=0,0,AN194/AN$197)</f>
        <v>0</v>
      </c>
      <c r="AQ194" s="17"/>
      <c r="AR194" s="17"/>
      <c r="AS194" s="17"/>
      <c r="AT194" s="18">
        <f t="shared" ref="AT194:AT195" si="192">W194</f>
        <v>0</v>
      </c>
      <c r="AU194" s="91">
        <f>IF(AT$197=0,0,AT194/AT$197)</f>
        <v>0</v>
      </c>
      <c r="AW194" s="17"/>
      <c r="AX194" s="17"/>
      <c r="AY194" s="17"/>
      <c r="AZ194" s="18">
        <f t="shared" ref="AZ194:AZ195" si="193">X194</f>
        <v>0</v>
      </c>
      <c r="BA194" s="91">
        <f>IF(AZ$197=0,0,AZ194/AZ$197)</f>
        <v>0</v>
      </c>
    </row>
    <row r="195" spans="1:53" ht="17.100000000000001" customHeight="1" x14ac:dyDescent="0.25">
      <c r="A195" s="40"/>
      <c r="B195" s="40"/>
      <c r="C195" s="182"/>
      <c r="D195" s="74" t="s">
        <v>538</v>
      </c>
      <c r="E195" s="147" t="s">
        <v>11</v>
      </c>
      <c r="F195" s="147"/>
      <c r="G195" s="147"/>
      <c r="H195" s="262"/>
      <c r="I195" s="237"/>
      <c r="J195" s="583"/>
      <c r="K195" s="583"/>
      <c r="L195" s="584"/>
      <c r="M195" s="17">
        <f t="shared" si="187"/>
        <v>0</v>
      </c>
      <c r="N195" s="111"/>
      <c r="O195" s="111"/>
      <c r="P195" s="111"/>
      <c r="Q195" s="111"/>
      <c r="R195" s="111"/>
      <c r="S195" s="111"/>
      <c r="T195" s="111"/>
      <c r="U195" s="111"/>
      <c r="V195" s="358"/>
      <c r="W195" s="391">
        <f t="shared" si="188"/>
        <v>0</v>
      </c>
      <c r="X195" s="17">
        <f t="shared" si="189"/>
        <v>0</v>
      </c>
      <c r="Y195" s="539">
        <f>SUM(W195:X195)</f>
        <v>0</v>
      </c>
      <c r="Z195" s="91">
        <f>IF(Y$197=0,0,Y195/Y$197)</f>
        <v>0</v>
      </c>
      <c r="AA195" s="91"/>
      <c r="AB195" s="91"/>
      <c r="AC195" s="20"/>
      <c r="AE195" s="17"/>
      <c r="AF195" s="17"/>
      <c r="AG195" s="17"/>
      <c r="AH195" s="18">
        <f t="shared" si="190"/>
        <v>0</v>
      </c>
      <c r="AI195" s="91">
        <f>IF(AH$197=0,0,AH195/AH$197)</f>
        <v>0</v>
      </c>
      <c r="AK195" s="17"/>
      <c r="AL195" s="17"/>
      <c r="AM195" s="17"/>
      <c r="AN195" s="18">
        <f t="shared" si="191"/>
        <v>0</v>
      </c>
      <c r="AO195" s="91">
        <f>IF(AN$197=0,0,AN195/AN$197)</f>
        <v>0</v>
      </c>
      <c r="AQ195" s="17"/>
      <c r="AR195" s="17"/>
      <c r="AS195" s="17"/>
      <c r="AT195" s="18">
        <f t="shared" si="192"/>
        <v>0</v>
      </c>
      <c r="AU195" s="91">
        <f>IF(AT$197=0,0,AT195/AT$197)</f>
        <v>0</v>
      </c>
      <c r="AW195" s="17"/>
      <c r="AX195" s="17"/>
      <c r="AY195" s="17"/>
      <c r="AZ195" s="18">
        <f t="shared" si="193"/>
        <v>0</v>
      </c>
      <c r="BA195" s="91">
        <f>IF(AZ$197=0,0,AZ195/AZ$197)</f>
        <v>0</v>
      </c>
    </row>
    <row r="196" spans="1:53" ht="17.100000000000001" customHeight="1" x14ac:dyDescent="0.25">
      <c r="A196" s="40"/>
      <c r="B196" s="40"/>
      <c r="C196" s="182"/>
      <c r="D196" s="74" t="s">
        <v>1433</v>
      </c>
      <c r="E196" s="147" t="s">
        <v>1435</v>
      </c>
      <c r="F196" s="147"/>
      <c r="G196" s="147"/>
      <c r="H196" s="262"/>
      <c r="I196" s="237"/>
      <c r="J196" s="581"/>
      <c r="K196" s="581"/>
      <c r="L196" s="582"/>
      <c r="M196" s="17">
        <f t="shared" ref="M196" si="194">SUM(J196:L196)</f>
        <v>0</v>
      </c>
      <c r="N196" s="111"/>
      <c r="O196" s="111"/>
      <c r="P196" s="111"/>
      <c r="Q196" s="111"/>
      <c r="R196" s="111"/>
      <c r="S196" s="111"/>
      <c r="T196" s="111"/>
      <c r="U196" s="111"/>
      <c r="V196" s="358"/>
      <c r="W196" s="391">
        <f t="shared" ref="W196" si="195">J196+K196+N196+Q196+T196</f>
        <v>0</v>
      </c>
      <c r="X196" s="17">
        <f t="shared" ref="X196" si="196">L196+O196+R196+U196</f>
        <v>0</v>
      </c>
      <c r="Y196" s="921">
        <f>SUM(W196:X196)</f>
        <v>0</v>
      </c>
      <c r="Z196" s="91">
        <f>IF(Y$197=0,0,Y196/Y$197)</f>
        <v>0</v>
      </c>
      <c r="AA196" s="91"/>
      <c r="AB196" s="91"/>
      <c r="AC196" s="20"/>
      <c r="AE196" s="17"/>
      <c r="AF196" s="17"/>
      <c r="AG196" s="17"/>
      <c r="AH196" s="18">
        <f t="shared" ref="AH196" si="197">J196</f>
        <v>0</v>
      </c>
      <c r="AI196" s="91">
        <f>IF(AH$197=0,0,AH196/AH$197)</f>
        <v>0</v>
      </c>
      <c r="AK196" s="17"/>
      <c r="AL196" s="17"/>
      <c r="AM196" s="17"/>
      <c r="AN196" s="18">
        <f t="shared" ref="AN196" si="198">K196</f>
        <v>0</v>
      </c>
      <c r="AO196" s="91">
        <f>IF(AN$197=0,0,AN196/AN$197)</f>
        <v>0</v>
      </c>
      <c r="AQ196" s="17"/>
      <c r="AR196" s="17"/>
      <c r="AS196" s="17"/>
      <c r="AT196" s="18">
        <f t="shared" ref="AT196" si="199">W196</f>
        <v>0</v>
      </c>
      <c r="AU196" s="91">
        <f>IF(AT$197=0,0,AT196/AT$197)</f>
        <v>0</v>
      </c>
      <c r="AW196" s="17"/>
      <c r="AX196" s="17"/>
      <c r="AY196" s="17"/>
      <c r="AZ196" s="18">
        <f t="shared" ref="AZ196" si="200">X196</f>
        <v>0</v>
      </c>
      <c r="BA196" s="91">
        <f>IF(AZ$197=0,0,AZ196/AZ$197)</f>
        <v>0</v>
      </c>
    </row>
    <row r="197" spans="1:53" ht="17.100000000000001" customHeight="1" x14ac:dyDescent="0.25">
      <c r="A197" s="40"/>
      <c r="B197" s="40"/>
      <c r="C197" s="77"/>
      <c r="D197" s="144"/>
      <c r="E197" s="144"/>
      <c r="F197" s="145"/>
      <c r="G197" s="145"/>
      <c r="H197" s="119"/>
      <c r="I197" s="236"/>
      <c r="J197" s="80">
        <f>SUM(J194:J196)</f>
        <v>0</v>
      </c>
      <c r="K197" s="80">
        <f t="shared" ref="K197:M197" si="201">SUM(K194:K196)</f>
        <v>0</v>
      </c>
      <c r="L197" s="80">
        <f t="shared" si="201"/>
        <v>0</v>
      </c>
      <c r="M197" s="80">
        <f t="shared" si="201"/>
        <v>0</v>
      </c>
      <c r="N197" s="80"/>
      <c r="O197" s="80"/>
      <c r="P197" s="80"/>
      <c r="Q197" s="81"/>
      <c r="R197" s="81"/>
      <c r="S197" s="81"/>
      <c r="T197" s="81"/>
      <c r="U197" s="81"/>
      <c r="V197" s="356"/>
      <c r="W197" s="381">
        <f>SUM(W194:W196)</f>
        <v>0</v>
      </c>
      <c r="X197" s="82">
        <f t="shared" ref="X197:Y197" si="202">SUM(X194:X196)</f>
        <v>0</v>
      </c>
      <c r="Y197" s="82">
        <f t="shared" si="202"/>
        <v>0</v>
      </c>
      <c r="Z197" s="205">
        <f>IF(Y$197=0,0,Y197/Y$197)</f>
        <v>0</v>
      </c>
      <c r="AA197" s="205"/>
      <c r="AB197" s="205"/>
      <c r="AC197" s="83"/>
      <c r="AE197" s="80"/>
      <c r="AF197" s="80"/>
      <c r="AG197" s="81"/>
      <c r="AH197" s="82">
        <f>SUM(AH194:AH196)</f>
        <v>0</v>
      </c>
      <c r="AI197" s="66">
        <f>IF(AH$197=0,0,AH197/AH$197)</f>
        <v>0</v>
      </c>
      <c r="AK197" s="80"/>
      <c r="AL197" s="80"/>
      <c r="AM197" s="81"/>
      <c r="AN197" s="82">
        <f>SUM(AN194:AN196)</f>
        <v>0</v>
      </c>
      <c r="AO197" s="66">
        <f>IF(AN$197=0,0,AN197/AN$197)</f>
        <v>0</v>
      </c>
      <c r="AQ197" s="80"/>
      <c r="AR197" s="80"/>
      <c r="AS197" s="81"/>
      <c r="AT197" s="82">
        <f>SUM(AT194:AT196)</f>
        <v>0</v>
      </c>
      <c r="AU197" s="66">
        <f>IF(AT$197=0,0,AT197/AT$197)</f>
        <v>0</v>
      </c>
      <c r="AW197" s="80"/>
      <c r="AX197" s="80"/>
      <c r="AY197" s="81"/>
      <c r="AZ197" s="82">
        <f>SUM(AZ194:AZ196)</f>
        <v>0</v>
      </c>
      <c r="BA197" s="66">
        <f>IF(AZ$197=0,0,AZ197/AZ$197)</f>
        <v>0</v>
      </c>
    </row>
    <row r="198" spans="1:53" s="117" customFormat="1" ht="17.100000000000001" customHeight="1" x14ac:dyDescent="0.25">
      <c r="A198" s="68"/>
      <c r="B198" s="119"/>
      <c r="C198" s="540"/>
      <c r="D198" s="261"/>
      <c r="E198" s="261"/>
      <c r="F198" s="68"/>
      <c r="G198" s="68"/>
      <c r="H198" s="119"/>
      <c r="I198" s="138"/>
      <c r="J198" s="17" t="str">
        <f>IF(J197=J$15,"OK","NOK")</f>
        <v>OK</v>
      </c>
      <c r="K198" s="17" t="str">
        <f t="shared" ref="K198:L198" si="203">IF(K197=K$15,"OK","NOK")</f>
        <v>OK</v>
      </c>
      <c r="L198" s="17" t="str">
        <f t="shared" si="203"/>
        <v>OK</v>
      </c>
      <c r="M198" s="17"/>
      <c r="N198" s="17"/>
      <c r="O198" s="17"/>
      <c r="P198" s="17"/>
      <c r="Q198" s="17"/>
      <c r="R198" s="17"/>
      <c r="S198" s="17"/>
      <c r="T198" s="17"/>
      <c r="U198" s="17"/>
      <c r="V198" s="359"/>
      <c r="W198" s="382"/>
      <c r="X198" s="539"/>
      <c r="Y198" s="539"/>
      <c r="Z198" s="201"/>
      <c r="AA198" s="201"/>
      <c r="AB198" s="201"/>
      <c r="AC198" s="84"/>
      <c r="AE198" s="46"/>
      <c r="AF198" s="46"/>
      <c r="AG198" s="17"/>
      <c r="AH198" s="539"/>
      <c r="AI198" s="91"/>
      <c r="AK198" s="46"/>
      <c r="AL198" s="46"/>
      <c r="AM198" s="17"/>
      <c r="AN198" s="539"/>
      <c r="AO198" s="91"/>
      <c r="AQ198" s="46"/>
      <c r="AR198" s="46"/>
      <c r="AS198" s="17"/>
      <c r="AT198" s="539"/>
      <c r="AU198" s="91"/>
      <c r="AW198" s="46"/>
      <c r="AX198" s="46"/>
      <c r="AY198" s="17"/>
      <c r="AZ198" s="539"/>
      <c r="BA198" s="91"/>
    </row>
    <row r="199" spans="1:53" ht="17.100000000000001" customHeight="1" x14ac:dyDescent="0.25">
      <c r="A199" s="40"/>
      <c r="B199" s="40"/>
      <c r="C199" s="56" t="s">
        <v>147</v>
      </c>
      <c r="D199" s="147" t="s">
        <v>420</v>
      </c>
      <c r="E199" s="147"/>
      <c r="F199" s="147"/>
      <c r="G199" s="147"/>
      <c r="H199" s="243">
        <v>31</v>
      </c>
      <c r="I199" s="237"/>
      <c r="J199" s="174"/>
      <c r="K199" s="174"/>
      <c r="L199" s="111"/>
      <c r="M199" s="111"/>
      <c r="N199" s="111"/>
      <c r="O199" s="111"/>
      <c r="P199" s="111"/>
      <c r="Q199" s="111"/>
      <c r="R199" s="111"/>
      <c r="S199" s="111"/>
      <c r="T199" s="111"/>
      <c r="U199" s="111"/>
      <c r="V199" s="358"/>
      <c r="W199" s="380"/>
      <c r="X199" s="111"/>
      <c r="Y199" s="545"/>
      <c r="Z199" s="131"/>
      <c r="AA199" s="131"/>
      <c r="AB199" s="131"/>
      <c r="AC199" s="113"/>
      <c r="AE199" s="111"/>
      <c r="AF199" s="111"/>
      <c r="AG199" s="111"/>
      <c r="AH199" s="545"/>
      <c r="AI199" s="131"/>
      <c r="AK199" s="111"/>
      <c r="AL199" s="111"/>
      <c r="AM199" s="111"/>
      <c r="AN199" s="545"/>
      <c r="AO199" s="131"/>
      <c r="AQ199" s="111"/>
      <c r="AR199" s="111"/>
      <c r="AS199" s="111"/>
      <c r="AT199" s="545"/>
      <c r="AU199" s="131"/>
      <c r="AW199" s="111"/>
      <c r="AX199" s="111"/>
      <c r="AY199" s="111"/>
      <c r="AZ199" s="545"/>
      <c r="BA199" s="131"/>
    </row>
    <row r="200" spans="1:53" ht="17.100000000000001" customHeight="1" x14ac:dyDescent="0.25">
      <c r="A200" s="40"/>
      <c r="B200" s="40"/>
      <c r="C200" s="182"/>
      <c r="D200" s="74" t="s">
        <v>539</v>
      </c>
      <c r="E200" s="147" t="s">
        <v>9</v>
      </c>
      <c r="F200" s="147"/>
      <c r="G200" s="147"/>
      <c r="H200" s="262"/>
      <c r="I200" s="237"/>
      <c r="J200" s="581"/>
      <c r="K200" s="581"/>
      <c r="L200" s="582"/>
      <c r="M200" s="17">
        <f t="shared" ref="M200:M201" si="204">SUM(J200:L200)</f>
        <v>0</v>
      </c>
      <c r="N200" s="111"/>
      <c r="O200" s="111"/>
      <c r="P200" s="111"/>
      <c r="Q200" s="111"/>
      <c r="R200" s="111"/>
      <c r="S200" s="111"/>
      <c r="T200" s="111"/>
      <c r="U200" s="111"/>
      <c r="V200" s="358"/>
      <c r="W200" s="391">
        <f t="shared" ref="W200:W201" si="205">J200+K200+N200+Q200+T200</f>
        <v>0</v>
      </c>
      <c r="X200" s="17">
        <f t="shared" ref="X200:X201" si="206">L200+O200+R200+U200</f>
        <v>0</v>
      </c>
      <c r="Y200" s="539">
        <f>SUM(W200:X200)</f>
        <v>0</v>
      </c>
      <c r="Z200" s="91">
        <f>IF(Y$203=0,0,Y200/Y$203)</f>
        <v>0</v>
      </c>
      <c r="AA200" s="91"/>
      <c r="AB200" s="91"/>
      <c r="AC200" s="20"/>
      <c r="AE200" s="17"/>
      <c r="AF200" s="17"/>
      <c r="AG200" s="17"/>
      <c r="AH200" s="18">
        <f t="shared" ref="AH200:AH201" si="207">J200</f>
        <v>0</v>
      </c>
      <c r="AI200" s="91">
        <f>IF(AH$203=0,0,AH200/AH$203)</f>
        <v>0</v>
      </c>
      <c r="AK200" s="17"/>
      <c r="AL200" s="17"/>
      <c r="AM200" s="17"/>
      <c r="AN200" s="18">
        <f t="shared" ref="AN200:AN201" si="208">K200</f>
        <v>0</v>
      </c>
      <c r="AO200" s="91">
        <f>IF(AN$203=0,0,AN200/AN$203)</f>
        <v>0</v>
      </c>
      <c r="AQ200" s="17"/>
      <c r="AR200" s="17"/>
      <c r="AS200" s="17"/>
      <c r="AT200" s="18">
        <f t="shared" ref="AT200:AT201" si="209">W200</f>
        <v>0</v>
      </c>
      <c r="AU200" s="91">
        <f>IF(AT$203=0,0,AT200/AT$203)</f>
        <v>0</v>
      </c>
      <c r="AW200" s="17"/>
      <c r="AX200" s="17"/>
      <c r="AY200" s="17"/>
      <c r="AZ200" s="18">
        <f t="shared" ref="AZ200:AZ201" si="210">X200</f>
        <v>0</v>
      </c>
      <c r="BA200" s="91">
        <f>IF(AZ$203=0,0,AZ200/AZ$203)</f>
        <v>0</v>
      </c>
    </row>
    <row r="201" spans="1:53" ht="17.100000000000001" customHeight="1" x14ac:dyDescent="0.25">
      <c r="A201" s="40"/>
      <c r="B201" s="40"/>
      <c r="C201" s="182"/>
      <c r="D201" s="74" t="s">
        <v>540</v>
      </c>
      <c r="E201" s="147" t="s">
        <v>11</v>
      </c>
      <c r="F201" s="147"/>
      <c r="G201" s="147"/>
      <c r="H201" s="262"/>
      <c r="I201" s="237"/>
      <c r="J201" s="583"/>
      <c r="K201" s="583"/>
      <c r="L201" s="584"/>
      <c r="M201" s="17">
        <f t="shared" si="204"/>
        <v>0</v>
      </c>
      <c r="N201" s="111"/>
      <c r="O201" s="111"/>
      <c r="P201" s="111"/>
      <c r="Q201" s="111"/>
      <c r="R201" s="111"/>
      <c r="S201" s="111"/>
      <c r="T201" s="111"/>
      <c r="U201" s="111"/>
      <c r="V201" s="358"/>
      <c r="W201" s="391">
        <f t="shared" si="205"/>
        <v>0</v>
      </c>
      <c r="X201" s="17">
        <f t="shared" si="206"/>
        <v>0</v>
      </c>
      <c r="Y201" s="539">
        <f>SUM(W201:X201)</f>
        <v>0</v>
      </c>
      <c r="Z201" s="91">
        <f>IF(Y$203=0,0,Y201/Y$203)</f>
        <v>0</v>
      </c>
      <c r="AA201" s="91"/>
      <c r="AB201" s="91"/>
      <c r="AC201" s="20"/>
      <c r="AE201" s="17"/>
      <c r="AF201" s="17"/>
      <c r="AG201" s="17"/>
      <c r="AH201" s="18">
        <f t="shared" si="207"/>
        <v>0</v>
      </c>
      <c r="AI201" s="91">
        <f>IF(AH$203=0,0,AH201/AH$203)</f>
        <v>0</v>
      </c>
      <c r="AK201" s="17"/>
      <c r="AL201" s="17"/>
      <c r="AM201" s="17"/>
      <c r="AN201" s="18">
        <f t="shared" si="208"/>
        <v>0</v>
      </c>
      <c r="AO201" s="91">
        <f>IF(AN$203=0,0,AN201/AN$203)</f>
        <v>0</v>
      </c>
      <c r="AQ201" s="17"/>
      <c r="AR201" s="17"/>
      <c r="AS201" s="17"/>
      <c r="AT201" s="18">
        <f t="shared" si="209"/>
        <v>0</v>
      </c>
      <c r="AU201" s="91">
        <f>IF(AT$203=0,0,AT201/AT$203)</f>
        <v>0</v>
      </c>
      <c r="AW201" s="17"/>
      <c r="AX201" s="17"/>
      <c r="AY201" s="17"/>
      <c r="AZ201" s="18">
        <f t="shared" si="210"/>
        <v>0</v>
      </c>
      <c r="BA201" s="91">
        <f>IF(AZ$203=0,0,AZ201/AZ$203)</f>
        <v>0</v>
      </c>
    </row>
    <row r="202" spans="1:53" ht="17.100000000000001" customHeight="1" x14ac:dyDescent="0.25">
      <c r="A202" s="40"/>
      <c r="B202" s="40"/>
      <c r="C202" s="182"/>
      <c r="D202" s="74" t="s">
        <v>1434</v>
      </c>
      <c r="E202" s="147" t="s">
        <v>1435</v>
      </c>
      <c r="F202" s="147"/>
      <c r="G202" s="147"/>
      <c r="H202" s="262"/>
      <c r="I202" s="237"/>
      <c r="J202" s="581"/>
      <c r="K202" s="581"/>
      <c r="L202" s="582"/>
      <c r="M202" s="17">
        <f t="shared" ref="M202" si="211">SUM(J202:L202)</f>
        <v>0</v>
      </c>
      <c r="N202" s="111"/>
      <c r="O202" s="111"/>
      <c r="P202" s="111"/>
      <c r="Q202" s="111"/>
      <c r="R202" s="111"/>
      <c r="S202" s="111"/>
      <c r="T202" s="111"/>
      <c r="U202" s="111"/>
      <c r="V202" s="358"/>
      <c r="W202" s="391">
        <f t="shared" ref="W202" si="212">J202+K202+N202+Q202+T202</f>
        <v>0</v>
      </c>
      <c r="X202" s="17">
        <f t="shared" ref="X202" si="213">L202+O202+R202+U202</f>
        <v>0</v>
      </c>
      <c r="Y202" s="921">
        <f>SUM(W202:X202)</f>
        <v>0</v>
      </c>
      <c r="Z202" s="91">
        <f>IF(Y$203=0,0,Y202/Y$203)</f>
        <v>0</v>
      </c>
      <c r="AA202" s="91"/>
      <c r="AB202" s="91"/>
      <c r="AC202" s="20"/>
      <c r="AE202" s="17"/>
      <c r="AF202" s="17"/>
      <c r="AG202" s="17"/>
      <c r="AH202" s="18">
        <f t="shared" ref="AH202" si="214">J202</f>
        <v>0</v>
      </c>
      <c r="AI202" s="91">
        <f>IF(AH$203=0,0,AH202/AH$203)</f>
        <v>0</v>
      </c>
      <c r="AK202" s="17"/>
      <c r="AL202" s="17"/>
      <c r="AM202" s="17"/>
      <c r="AN202" s="18">
        <f t="shared" ref="AN202" si="215">K202</f>
        <v>0</v>
      </c>
      <c r="AO202" s="91">
        <f>IF(AN$203=0,0,AN202/AN$203)</f>
        <v>0</v>
      </c>
      <c r="AQ202" s="17"/>
      <c r="AR202" s="17"/>
      <c r="AS202" s="17"/>
      <c r="AT202" s="18">
        <f t="shared" ref="AT202" si="216">W202</f>
        <v>0</v>
      </c>
      <c r="AU202" s="91">
        <f>IF(AT$203=0,0,AT202/AT$203)</f>
        <v>0</v>
      </c>
      <c r="AW202" s="17"/>
      <c r="AX202" s="17"/>
      <c r="AY202" s="17"/>
      <c r="AZ202" s="18">
        <f t="shared" ref="AZ202" si="217">X202</f>
        <v>0</v>
      </c>
      <c r="BA202" s="91">
        <f>IF(AZ$203=0,0,AZ202/AZ$203)</f>
        <v>0</v>
      </c>
    </row>
    <row r="203" spans="1:53" ht="17.100000000000001" customHeight="1" x14ac:dyDescent="0.25">
      <c r="A203" s="40"/>
      <c r="B203" s="40"/>
      <c r="C203" s="77"/>
      <c r="D203" s="144"/>
      <c r="E203" s="144"/>
      <c r="F203" s="145"/>
      <c r="G203" s="145"/>
      <c r="H203" s="119"/>
      <c r="I203" s="236"/>
      <c r="J203" s="80">
        <f>SUM(J200:J202)</f>
        <v>0</v>
      </c>
      <c r="K203" s="80">
        <f t="shared" ref="K203" si="218">SUM(K200:K202)</f>
        <v>0</v>
      </c>
      <c r="L203" s="80">
        <f t="shared" ref="L203" si="219">SUM(L200:L202)</f>
        <v>0</v>
      </c>
      <c r="M203" s="80">
        <f t="shared" ref="M203" si="220">SUM(M200:M202)</f>
        <v>0</v>
      </c>
      <c r="N203" s="80"/>
      <c r="O203" s="80"/>
      <c r="P203" s="80"/>
      <c r="Q203" s="81"/>
      <c r="R203" s="81"/>
      <c r="S203" s="81"/>
      <c r="T203" s="81"/>
      <c r="U203" s="81"/>
      <c r="V203" s="356"/>
      <c r="W203" s="381">
        <f>SUM(W200:W202)</f>
        <v>0</v>
      </c>
      <c r="X203" s="82">
        <f t="shared" ref="X203" si="221">SUM(X200:X202)</f>
        <v>0</v>
      </c>
      <c r="Y203" s="82">
        <f t="shared" ref="Y203" si="222">SUM(Y200:Y202)</f>
        <v>0</v>
      </c>
      <c r="Z203" s="205">
        <f>IF(Y$203=0,0,Y203/Y$203)</f>
        <v>0</v>
      </c>
      <c r="AA203" s="205"/>
      <c r="AB203" s="205"/>
      <c r="AC203" s="83"/>
      <c r="AE203" s="80"/>
      <c r="AF203" s="80"/>
      <c r="AG203" s="81"/>
      <c r="AH203" s="82">
        <f>SUM(AH200:AH202)</f>
        <v>0</v>
      </c>
      <c r="AI203" s="66">
        <f>IF(AH$203=0,0,AH203/AH$203)</f>
        <v>0</v>
      </c>
      <c r="AK203" s="80"/>
      <c r="AL203" s="80"/>
      <c r="AM203" s="81"/>
      <c r="AN203" s="82">
        <f>SUM(AN200:AN202)</f>
        <v>0</v>
      </c>
      <c r="AO203" s="66">
        <f>IF(AN$203=0,0,AN203/AN$203)</f>
        <v>0</v>
      </c>
      <c r="AQ203" s="80"/>
      <c r="AR203" s="80"/>
      <c r="AS203" s="81"/>
      <c r="AT203" s="82">
        <f>SUM(AT200:AT202)</f>
        <v>0</v>
      </c>
      <c r="AU203" s="66">
        <f>IF(AT$203=0,0,AT203/AT$203)</f>
        <v>0</v>
      </c>
      <c r="AW203" s="80"/>
      <c r="AX203" s="80"/>
      <c r="AY203" s="81"/>
      <c r="AZ203" s="82">
        <f>SUM(AZ200:AZ202)</f>
        <v>0</v>
      </c>
      <c r="BA203" s="66">
        <f>IF(AZ$203=0,0,AZ203/AZ$203)</f>
        <v>0</v>
      </c>
    </row>
    <row r="204" spans="1:53" s="117" customFormat="1" ht="17.100000000000001" customHeight="1" x14ac:dyDescent="0.25">
      <c r="A204" s="68"/>
      <c r="B204" s="119"/>
      <c r="C204" s="540"/>
      <c r="D204" s="261"/>
      <c r="E204" s="261"/>
      <c r="F204" s="68"/>
      <c r="G204" s="68"/>
      <c r="H204" s="119"/>
      <c r="I204" s="138"/>
      <c r="J204" s="17" t="str">
        <f>IF(J203=J$15,"OK","NOK")</f>
        <v>OK</v>
      </c>
      <c r="K204" s="17" t="str">
        <f t="shared" ref="K204:L204" si="223">IF(K203=K$15,"OK","NOK")</f>
        <v>OK</v>
      </c>
      <c r="L204" s="17" t="str">
        <f t="shared" si="223"/>
        <v>OK</v>
      </c>
      <c r="M204" s="17"/>
      <c r="N204" s="17"/>
      <c r="O204" s="17"/>
      <c r="P204" s="17"/>
      <c r="Q204" s="17"/>
      <c r="R204" s="17"/>
      <c r="S204" s="17"/>
      <c r="T204" s="17"/>
      <c r="U204" s="17"/>
      <c r="V204" s="359"/>
      <c r="W204" s="382"/>
      <c r="X204" s="539"/>
      <c r="Y204" s="539"/>
      <c r="Z204" s="201"/>
      <c r="AA204" s="201"/>
      <c r="AB204" s="201"/>
      <c r="AC204" s="84"/>
      <c r="AE204" s="46"/>
      <c r="AF204" s="46"/>
      <c r="AG204" s="17"/>
      <c r="AH204" s="539"/>
      <c r="AI204" s="91"/>
      <c r="AK204" s="46"/>
      <c r="AL204" s="46"/>
      <c r="AM204" s="17"/>
      <c r="AN204" s="539"/>
      <c r="AO204" s="91"/>
      <c r="AQ204" s="46"/>
      <c r="AR204" s="46"/>
      <c r="AS204" s="17"/>
      <c r="AT204" s="539"/>
      <c r="AU204" s="91"/>
      <c r="AW204" s="46"/>
      <c r="AX204" s="46"/>
      <c r="AY204" s="17"/>
      <c r="AZ204" s="539"/>
      <c r="BA204" s="91"/>
    </row>
    <row r="205" spans="1:53" ht="17.100000000000001" customHeight="1" x14ac:dyDescent="0.25">
      <c r="A205" s="40"/>
      <c r="B205" s="40"/>
      <c r="C205" s="56" t="s">
        <v>519</v>
      </c>
      <c r="D205" s="147" t="s">
        <v>421</v>
      </c>
      <c r="E205" s="147"/>
      <c r="F205" s="147"/>
      <c r="G205" s="147"/>
      <c r="H205" s="182"/>
      <c r="I205" s="237"/>
      <c r="J205" s="111"/>
      <c r="K205" s="111"/>
      <c r="L205" s="111"/>
      <c r="M205" s="111"/>
      <c r="N205" s="111"/>
      <c r="O205" s="111"/>
      <c r="P205" s="111"/>
      <c r="Q205" s="111"/>
      <c r="R205" s="111"/>
      <c r="S205" s="111"/>
      <c r="T205" s="111"/>
      <c r="U205" s="111"/>
      <c r="V205" s="358"/>
      <c r="W205" s="380"/>
      <c r="X205" s="111"/>
      <c r="Y205" s="545"/>
      <c r="Z205" s="131"/>
      <c r="AA205" s="131"/>
      <c r="AB205" s="131"/>
      <c r="AC205" s="113"/>
      <c r="AE205" s="111"/>
      <c r="AF205" s="111"/>
      <c r="AG205" s="111"/>
      <c r="AH205" s="545"/>
      <c r="AI205" s="131"/>
      <c r="AK205" s="111"/>
      <c r="AL205" s="111"/>
      <c r="AM205" s="111"/>
      <c r="AN205" s="545"/>
      <c r="AO205" s="131"/>
      <c r="AQ205" s="111"/>
      <c r="AR205" s="111"/>
      <c r="AS205" s="111"/>
      <c r="AT205" s="545"/>
      <c r="AU205" s="131"/>
      <c r="AW205" s="111"/>
      <c r="AX205" s="111"/>
      <c r="AY205" s="111"/>
      <c r="AZ205" s="545"/>
      <c r="BA205" s="131"/>
    </row>
    <row r="206" spans="1:53" ht="17.100000000000001" customHeight="1" x14ac:dyDescent="0.25">
      <c r="A206" s="40"/>
      <c r="B206" s="40"/>
      <c r="C206" s="40"/>
      <c r="D206" s="56" t="s">
        <v>520</v>
      </c>
      <c r="E206" s="146" t="s">
        <v>423</v>
      </c>
      <c r="F206" s="149"/>
      <c r="G206" s="149"/>
      <c r="H206" s="244"/>
      <c r="I206" s="238"/>
      <c r="J206" s="111"/>
      <c r="K206" s="111"/>
      <c r="L206" s="111"/>
      <c r="M206" s="111"/>
      <c r="N206" s="61"/>
      <c r="O206" s="61">
        <v>2</v>
      </c>
      <c r="P206" s="17">
        <f>SUM(N206:O206)</f>
        <v>2</v>
      </c>
      <c r="Q206" s="61">
        <v>1</v>
      </c>
      <c r="R206" s="61">
        <v>2</v>
      </c>
      <c r="S206" s="17">
        <f>SUM(Q206:R206)</f>
        <v>3</v>
      </c>
      <c r="T206" s="61"/>
      <c r="U206" s="61"/>
      <c r="V206" s="17">
        <f>SUM(T206:U206)</f>
        <v>0</v>
      </c>
      <c r="W206" s="391">
        <f t="shared" ref="W206:W209" si="224">J206+K206+N206+Q206+T206</f>
        <v>1</v>
      </c>
      <c r="X206" s="17">
        <f t="shared" ref="X206:X209" si="225">L206+O206+R206+U206</f>
        <v>4</v>
      </c>
      <c r="Y206" s="18">
        <f>SUM(W206:X206)</f>
        <v>5</v>
      </c>
      <c r="Z206" s="19">
        <f>IF(Y$210=0,0,Y206/Y$210)</f>
        <v>0.35714285714285715</v>
      </c>
      <c r="AA206" s="19"/>
      <c r="AB206" s="19"/>
      <c r="AC206" s="20"/>
      <c r="AE206" s="111"/>
      <c r="AF206" s="111"/>
      <c r="AG206" s="111"/>
      <c r="AH206" s="112"/>
      <c r="AI206" s="113"/>
      <c r="AK206" s="111"/>
      <c r="AL206" s="111"/>
      <c r="AM206" s="111"/>
      <c r="AN206" s="112"/>
      <c r="AO206" s="113"/>
      <c r="AQ206" s="17"/>
      <c r="AR206" s="17"/>
      <c r="AS206" s="17"/>
      <c r="AT206" s="18">
        <f t="shared" ref="AT206:AT209" si="226">W206</f>
        <v>1</v>
      </c>
      <c r="AU206" s="19">
        <f>IF(AT$210=0,0,AT206/AT$210)</f>
        <v>0.25</v>
      </c>
      <c r="AW206" s="17"/>
      <c r="AX206" s="17"/>
      <c r="AY206" s="17"/>
      <c r="AZ206" s="18">
        <f t="shared" ref="AZ206:AZ209" si="227">X206</f>
        <v>4</v>
      </c>
      <c r="BA206" s="19">
        <f>IF(AZ$210=0,0,AZ206/AZ$210)</f>
        <v>0.4</v>
      </c>
    </row>
    <row r="207" spans="1:53" ht="17.100000000000001" customHeight="1" x14ac:dyDescent="0.25">
      <c r="A207" s="40"/>
      <c r="B207" s="40"/>
      <c r="C207" s="40"/>
      <c r="D207" s="56" t="s">
        <v>521</v>
      </c>
      <c r="E207" s="147" t="s">
        <v>422</v>
      </c>
      <c r="F207" s="223"/>
      <c r="G207" s="223"/>
      <c r="H207" s="244"/>
      <c r="I207" s="238"/>
      <c r="J207" s="111"/>
      <c r="K207" s="111"/>
      <c r="L207" s="111"/>
      <c r="M207" s="111"/>
      <c r="N207" s="60"/>
      <c r="O207" s="60"/>
      <c r="P207" s="17">
        <f t="shared" ref="P207:P209" si="228">SUM(N207:O207)</f>
        <v>0</v>
      </c>
      <c r="Q207" s="60">
        <v>2</v>
      </c>
      <c r="R207" s="60"/>
      <c r="S207" s="17">
        <f t="shared" ref="S207:S209" si="229">SUM(Q207:R207)</f>
        <v>2</v>
      </c>
      <c r="T207" s="60"/>
      <c r="U207" s="60"/>
      <c r="V207" s="17">
        <f t="shared" ref="V207:V209" si="230">SUM(T207:U207)</f>
        <v>0</v>
      </c>
      <c r="W207" s="391">
        <f t="shared" si="224"/>
        <v>2</v>
      </c>
      <c r="X207" s="17">
        <f t="shared" si="225"/>
        <v>0</v>
      </c>
      <c r="Y207" s="18">
        <f>SUM(W207:X207)</f>
        <v>2</v>
      </c>
      <c r="Z207" s="19">
        <f>IF(Y$210=0,0,Y207/Y$210)</f>
        <v>0.14285714285714285</v>
      </c>
      <c r="AA207" s="19"/>
      <c r="AB207" s="19"/>
      <c r="AC207" s="20"/>
      <c r="AE207" s="111"/>
      <c r="AF207" s="111"/>
      <c r="AG207" s="111"/>
      <c r="AH207" s="112"/>
      <c r="AI207" s="113"/>
      <c r="AK207" s="111"/>
      <c r="AL207" s="111"/>
      <c r="AM207" s="111"/>
      <c r="AN207" s="112"/>
      <c r="AO207" s="113"/>
      <c r="AQ207" s="17"/>
      <c r="AR207" s="17"/>
      <c r="AS207" s="17"/>
      <c r="AT207" s="18">
        <f t="shared" si="226"/>
        <v>2</v>
      </c>
      <c r="AU207" s="19">
        <f>IF(AT$210=0,0,AT207/AT$210)</f>
        <v>0.5</v>
      </c>
      <c r="AW207" s="17"/>
      <c r="AX207" s="17"/>
      <c r="AY207" s="17"/>
      <c r="AZ207" s="18">
        <f t="shared" si="227"/>
        <v>0</v>
      </c>
      <c r="BA207" s="19">
        <f>IF(AZ$210=0,0,AZ207/AZ$210)</f>
        <v>0</v>
      </c>
    </row>
    <row r="208" spans="1:53" ht="17.100000000000001" customHeight="1" x14ac:dyDescent="0.25">
      <c r="A208" s="40"/>
      <c r="B208" s="40"/>
      <c r="C208" s="40"/>
      <c r="D208" s="56" t="s">
        <v>522</v>
      </c>
      <c r="E208" s="147" t="s">
        <v>136</v>
      </c>
      <c r="F208" s="147"/>
      <c r="G208" s="147"/>
      <c r="H208" s="182"/>
      <c r="I208" s="237"/>
      <c r="J208" s="111"/>
      <c r="K208" s="111"/>
      <c r="L208" s="111"/>
      <c r="M208" s="111"/>
      <c r="N208" s="61">
        <v>1</v>
      </c>
      <c r="O208" s="61">
        <v>3</v>
      </c>
      <c r="P208" s="17">
        <f t="shared" si="228"/>
        <v>4</v>
      </c>
      <c r="Q208" s="61"/>
      <c r="R208" s="61">
        <v>3</v>
      </c>
      <c r="S208" s="17">
        <f t="shared" si="229"/>
        <v>3</v>
      </c>
      <c r="T208" s="61"/>
      <c r="U208" s="61"/>
      <c r="V208" s="17">
        <f t="shared" si="230"/>
        <v>0</v>
      </c>
      <c r="W208" s="391">
        <f t="shared" si="224"/>
        <v>1</v>
      </c>
      <c r="X208" s="17">
        <f t="shared" si="225"/>
        <v>6</v>
      </c>
      <c r="Y208" s="18">
        <f>SUM(W208:X208)</f>
        <v>7</v>
      </c>
      <c r="Z208" s="19">
        <f>IF(Y$210=0,0,Y208/Y$210)</f>
        <v>0.5</v>
      </c>
      <c r="AA208" s="19"/>
      <c r="AB208" s="19"/>
      <c r="AC208" s="20"/>
      <c r="AE208" s="111"/>
      <c r="AF208" s="111"/>
      <c r="AG208" s="111"/>
      <c r="AH208" s="112"/>
      <c r="AI208" s="113"/>
      <c r="AK208" s="111"/>
      <c r="AL208" s="111"/>
      <c r="AM208" s="111"/>
      <c r="AN208" s="112"/>
      <c r="AO208" s="113"/>
      <c r="AQ208" s="17"/>
      <c r="AR208" s="17"/>
      <c r="AS208" s="17"/>
      <c r="AT208" s="18">
        <f t="shared" si="226"/>
        <v>1</v>
      </c>
      <c r="AU208" s="19">
        <f>IF(AT$210=0,0,AT208/AT$210)</f>
        <v>0.25</v>
      </c>
      <c r="AW208" s="17"/>
      <c r="AX208" s="17"/>
      <c r="AY208" s="17"/>
      <c r="AZ208" s="18">
        <f t="shared" si="227"/>
        <v>6</v>
      </c>
      <c r="BA208" s="19">
        <f>IF(AZ$210=0,0,AZ208/AZ$210)</f>
        <v>0.6</v>
      </c>
    </row>
    <row r="209" spans="1:53" ht="17.100000000000001" customHeight="1" x14ac:dyDescent="0.25">
      <c r="A209" s="40"/>
      <c r="B209" s="40"/>
      <c r="C209" s="40"/>
      <c r="D209" s="56" t="s">
        <v>746</v>
      </c>
      <c r="E209" s="147" t="s">
        <v>747</v>
      </c>
      <c r="F209" s="223"/>
      <c r="G209" s="223"/>
      <c r="H209" s="244"/>
      <c r="I209" s="238"/>
      <c r="J209" s="111"/>
      <c r="K209" s="111"/>
      <c r="L209" s="111"/>
      <c r="M209" s="111"/>
      <c r="N209" s="60"/>
      <c r="O209" s="60"/>
      <c r="P209" s="17">
        <f t="shared" si="228"/>
        <v>0</v>
      </c>
      <c r="Q209" s="60"/>
      <c r="R209" s="60"/>
      <c r="S209" s="17">
        <f t="shared" si="229"/>
        <v>0</v>
      </c>
      <c r="T209" s="60"/>
      <c r="U209" s="60"/>
      <c r="V209" s="17">
        <f t="shared" si="230"/>
        <v>0</v>
      </c>
      <c r="W209" s="391">
        <f t="shared" si="224"/>
        <v>0</v>
      </c>
      <c r="X209" s="17">
        <f t="shared" si="225"/>
        <v>0</v>
      </c>
      <c r="Y209" s="18">
        <f>SUM(W209:X209)</f>
        <v>0</v>
      </c>
      <c r="Z209" s="19">
        <f>IF(Y$210=0,0,Y209/Y$210)</f>
        <v>0</v>
      </c>
      <c r="AA209" s="19"/>
      <c r="AB209" s="19"/>
      <c r="AC209" s="20"/>
      <c r="AE209" s="111"/>
      <c r="AF209" s="111"/>
      <c r="AG209" s="111"/>
      <c r="AH209" s="112"/>
      <c r="AI209" s="113"/>
      <c r="AK209" s="111"/>
      <c r="AL209" s="111"/>
      <c r="AM209" s="111"/>
      <c r="AN209" s="112"/>
      <c r="AO209" s="113"/>
      <c r="AQ209" s="17"/>
      <c r="AR209" s="17"/>
      <c r="AS209" s="17"/>
      <c r="AT209" s="18">
        <f t="shared" si="226"/>
        <v>0</v>
      </c>
      <c r="AU209" s="19">
        <f>IF(AT$210=0,0,AT209/AT$210)</f>
        <v>0</v>
      </c>
      <c r="AW209" s="17"/>
      <c r="AX209" s="17"/>
      <c r="AY209" s="17"/>
      <c r="AZ209" s="18">
        <f t="shared" si="227"/>
        <v>0</v>
      </c>
      <c r="BA209" s="19">
        <f>IF(AZ$210=0,0,AZ209/AZ$210)</f>
        <v>0</v>
      </c>
    </row>
    <row r="210" spans="1:53" ht="17.100000000000001" customHeight="1" x14ac:dyDescent="0.25">
      <c r="A210" s="40"/>
      <c r="B210" s="40"/>
      <c r="C210" s="77"/>
      <c r="D210" s="144"/>
      <c r="E210" s="144"/>
      <c r="F210" s="145"/>
      <c r="G210" s="145"/>
      <c r="H210" s="119"/>
      <c r="I210" s="236"/>
      <c r="J210" s="80"/>
      <c r="K210" s="80"/>
      <c r="L210" s="81"/>
      <c r="M210" s="81"/>
      <c r="N210" s="81">
        <f>SUM(N206:N209)</f>
        <v>1</v>
      </c>
      <c r="O210" s="81">
        <f t="shared" ref="O210:V210" si="231">SUM(O206:O209)</f>
        <v>5</v>
      </c>
      <c r="P210" s="81">
        <f t="shared" si="231"/>
        <v>6</v>
      </c>
      <c r="Q210" s="81">
        <f t="shared" si="231"/>
        <v>3</v>
      </c>
      <c r="R210" s="81">
        <f t="shared" si="231"/>
        <v>5</v>
      </c>
      <c r="S210" s="81">
        <f t="shared" si="231"/>
        <v>8</v>
      </c>
      <c r="T210" s="81">
        <f t="shared" si="231"/>
        <v>0</v>
      </c>
      <c r="U210" s="81">
        <f t="shared" si="231"/>
        <v>0</v>
      </c>
      <c r="V210" s="81">
        <f t="shared" si="231"/>
        <v>0</v>
      </c>
      <c r="W210" s="381">
        <f>SUM(W206:W209)</f>
        <v>4</v>
      </c>
      <c r="X210" s="82">
        <f>SUM(X206:X209)</f>
        <v>10</v>
      </c>
      <c r="Y210" s="82">
        <f>SUM(Y206:Y209)</f>
        <v>14</v>
      </c>
      <c r="Z210" s="205">
        <f>IF(Y$210=0,0,Y210/Y$210)</f>
        <v>1</v>
      </c>
      <c r="AA210" s="205"/>
      <c r="AB210" s="205"/>
      <c r="AC210" s="83"/>
      <c r="AE210" s="80"/>
      <c r="AF210" s="80"/>
      <c r="AG210" s="81"/>
      <c r="AH210" s="82"/>
      <c r="AI210" s="66"/>
      <c r="AK210" s="80"/>
      <c r="AL210" s="80"/>
      <c r="AM210" s="81"/>
      <c r="AN210" s="82"/>
      <c r="AO210" s="66"/>
      <c r="AQ210" s="80"/>
      <c r="AR210" s="80"/>
      <c r="AS210" s="81"/>
      <c r="AT210" s="82">
        <f>SUM(AT206:AT209)</f>
        <v>4</v>
      </c>
      <c r="AU210" s="66">
        <f>IF(AT$210=0,0,AT210/AT$210)</f>
        <v>1</v>
      </c>
      <c r="AW210" s="80"/>
      <c r="AX210" s="80"/>
      <c r="AY210" s="81"/>
      <c r="AZ210" s="82">
        <f>SUM(AZ206:AZ209)</f>
        <v>10</v>
      </c>
      <c r="BA210" s="66">
        <f>IF(AZ$210=0,0,AZ210/AZ$210)</f>
        <v>1</v>
      </c>
    </row>
    <row r="211" spans="1:53" s="117" customFormat="1" ht="17.100000000000001" customHeight="1" x14ac:dyDescent="0.25">
      <c r="A211" s="68"/>
      <c r="B211" s="119"/>
      <c r="C211" s="540"/>
      <c r="D211" s="261"/>
      <c r="E211" s="261"/>
      <c r="F211" s="68"/>
      <c r="G211" s="68"/>
      <c r="H211" s="119"/>
      <c r="I211" s="138"/>
      <c r="J211" s="17"/>
      <c r="K211" s="17"/>
      <c r="L211" s="17"/>
      <c r="M211" s="17"/>
      <c r="N211" s="17" t="str">
        <f>IF(N210=N$20,"OK","NOK")</f>
        <v>OK</v>
      </c>
      <c r="O211" s="17" t="str">
        <f>IF(O210=O$20,"OK","NOK")</f>
        <v>OK</v>
      </c>
      <c r="P211" s="17"/>
      <c r="Q211" s="17" t="str">
        <f>IF(Q210=Q$20,"OK","NOK")</f>
        <v>OK</v>
      </c>
      <c r="R211" s="17" t="str">
        <f>IF(R210=R$20,"OK","NOK")</f>
        <v>OK</v>
      </c>
      <c r="S211" s="17"/>
      <c r="T211" s="17" t="str">
        <f>IF(T210=T$20,"OK","NOK")</f>
        <v>OK</v>
      </c>
      <c r="U211" s="17" t="str">
        <f>IF(U210=U$20,"OK","NOK")</f>
        <v>OK</v>
      </c>
      <c r="V211" s="359"/>
      <c r="W211" s="382"/>
      <c r="X211" s="539"/>
      <c r="Y211" s="539"/>
      <c r="Z211" s="201"/>
      <c r="AA211" s="201"/>
      <c r="AB211" s="201"/>
      <c r="AC211" s="84"/>
      <c r="AE211" s="46"/>
      <c r="AF211" s="46"/>
      <c r="AG211" s="17"/>
      <c r="AH211" s="539"/>
      <c r="AI211" s="91"/>
      <c r="AK211" s="46"/>
      <c r="AL211" s="46"/>
      <c r="AM211" s="17"/>
      <c r="AN211" s="539"/>
      <c r="AO211" s="91"/>
      <c r="AQ211" s="46"/>
      <c r="AR211" s="46"/>
      <c r="AS211" s="17"/>
      <c r="AT211" s="539"/>
      <c r="AU211" s="91"/>
      <c r="AW211" s="46"/>
      <c r="AX211" s="46"/>
      <c r="AY211" s="17"/>
      <c r="AZ211" s="539"/>
      <c r="BA211" s="91"/>
    </row>
    <row r="212" spans="1:53" ht="17.100000000000001" customHeight="1" x14ac:dyDescent="0.25">
      <c r="A212" s="68"/>
      <c r="B212" s="41" t="s">
        <v>635</v>
      </c>
      <c r="C212" s="69" t="s">
        <v>138</v>
      </c>
      <c r="D212" s="50"/>
      <c r="E212" s="70"/>
      <c r="F212" s="70"/>
      <c r="G212" s="70"/>
      <c r="H212" s="119"/>
      <c r="J212" s="71"/>
      <c r="K212" s="71"/>
      <c r="L212" s="71"/>
      <c r="M212" s="71"/>
      <c r="N212" s="71"/>
      <c r="O212" s="71"/>
      <c r="P212" s="71"/>
      <c r="Q212" s="71"/>
      <c r="R212" s="71"/>
      <c r="S212" s="71"/>
      <c r="T212" s="71"/>
      <c r="U212" s="71"/>
      <c r="V212" s="355"/>
      <c r="W212" s="377"/>
      <c r="X212" s="71"/>
      <c r="Y212" s="72"/>
      <c r="Z212" s="73"/>
      <c r="AA212" s="73"/>
      <c r="AB212" s="73"/>
      <c r="AC212" s="73"/>
      <c r="AE212" s="71"/>
      <c r="AF212" s="71"/>
      <c r="AG212" s="71"/>
      <c r="AH212" s="72"/>
      <c r="AI212" s="73"/>
      <c r="AK212" s="71"/>
      <c r="AL212" s="71"/>
      <c r="AM212" s="71"/>
      <c r="AN212" s="72"/>
      <c r="AO212" s="73"/>
      <c r="AQ212" s="71"/>
      <c r="AR212" s="71"/>
      <c r="AS212" s="71"/>
      <c r="AT212" s="72"/>
      <c r="AU212" s="73"/>
      <c r="AW212" s="71"/>
      <c r="AX212" s="71"/>
      <c r="AY212" s="71"/>
      <c r="AZ212" s="72"/>
      <c r="BA212" s="73"/>
    </row>
    <row r="213" spans="1:53" ht="17.100000000000001" customHeight="1" x14ac:dyDescent="0.25">
      <c r="A213" s="40"/>
      <c r="B213" s="40"/>
      <c r="C213" s="74" t="s">
        <v>636</v>
      </c>
      <c r="D213" s="542" t="s">
        <v>424</v>
      </c>
      <c r="E213" s="542"/>
      <c r="F213" s="542"/>
      <c r="G213" s="542"/>
      <c r="H213" s="243">
        <v>26</v>
      </c>
      <c r="I213" s="235"/>
      <c r="J213" s="111"/>
      <c r="K213" s="111"/>
      <c r="L213" s="111"/>
      <c r="M213" s="111"/>
      <c r="N213" s="111"/>
      <c r="O213" s="111"/>
      <c r="P213" s="111"/>
      <c r="Q213" s="111"/>
      <c r="R213" s="111"/>
      <c r="S213" s="111"/>
      <c r="T213" s="111"/>
      <c r="U213" s="111"/>
      <c r="V213" s="358"/>
      <c r="W213" s="380"/>
      <c r="X213" s="111"/>
      <c r="Y213" s="112"/>
      <c r="Z213" s="113"/>
      <c r="AA213" s="113"/>
      <c r="AB213" s="113"/>
      <c r="AC213" s="113"/>
      <c r="AE213" s="111"/>
      <c r="AF213" s="111"/>
      <c r="AG213" s="148"/>
      <c r="AH213" s="112"/>
      <c r="AI213" s="113"/>
      <c r="AK213" s="111"/>
      <c r="AL213" s="111"/>
      <c r="AM213" s="148"/>
      <c r="AN213" s="112"/>
      <c r="AO213" s="113"/>
      <c r="AQ213" s="111"/>
      <c r="AR213" s="111"/>
      <c r="AS213" s="148"/>
      <c r="AT213" s="112"/>
      <c r="AU213" s="113"/>
      <c r="AW213" s="111"/>
      <c r="AX213" s="111"/>
      <c r="AY213" s="148"/>
      <c r="AZ213" s="112"/>
      <c r="BA213" s="113"/>
    </row>
    <row r="214" spans="1:53" ht="17.100000000000001" customHeight="1" x14ac:dyDescent="0.25">
      <c r="A214" s="40"/>
      <c r="B214" s="40"/>
      <c r="C214" s="40"/>
      <c r="D214" s="74" t="s">
        <v>637</v>
      </c>
      <c r="E214" s="542" t="s">
        <v>9</v>
      </c>
      <c r="F214" s="542"/>
      <c r="G214" s="542"/>
      <c r="H214" s="540"/>
      <c r="I214" s="235"/>
      <c r="J214" s="583"/>
      <c r="K214" s="583"/>
      <c r="L214" s="584"/>
      <c r="M214" s="17">
        <f t="shared" ref="M214:M215" si="232">SUM(J214:L214)</f>
        <v>0</v>
      </c>
      <c r="N214" s="111"/>
      <c r="O214" s="111"/>
      <c r="P214" s="111"/>
      <c r="Q214" s="111"/>
      <c r="R214" s="111"/>
      <c r="S214" s="111"/>
      <c r="T214" s="111"/>
      <c r="U214" s="111"/>
      <c r="V214" s="358"/>
      <c r="W214" s="391">
        <f t="shared" ref="W214:W215" si="233">J214+K214+N214+Q214+T214</f>
        <v>0</v>
      </c>
      <c r="X214" s="17">
        <f t="shared" ref="X214:X215" si="234">L214+O214+R214+U214</f>
        <v>0</v>
      </c>
      <c r="Y214" s="18">
        <f>SUM(W214:X214)</f>
        <v>0</v>
      </c>
      <c r="Z214" s="19">
        <f>IF(Y$217=0,0,Y214/Y$217)</f>
        <v>0</v>
      </c>
      <c r="AA214" s="19"/>
      <c r="AB214" s="19"/>
      <c r="AC214" s="20"/>
      <c r="AE214" s="17"/>
      <c r="AF214" s="17"/>
      <c r="AG214" s="17"/>
      <c r="AH214" s="18">
        <f t="shared" ref="AH214:AH215" si="235">J214</f>
        <v>0</v>
      </c>
      <c r="AI214" s="19">
        <f>IF(AH$217=0,0,AH214/AH$217)</f>
        <v>0</v>
      </c>
      <c r="AK214" s="17"/>
      <c r="AL214" s="17"/>
      <c r="AM214" s="17"/>
      <c r="AN214" s="18">
        <f t="shared" ref="AN214:AN215" si="236">K214</f>
        <v>0</v>
      </c>
      <c r="AO214" s="19">
        <f>IF(AN$217=0,0,AN214/AN$217)</f>
        <v>0</v>
      </c>
      <c r="AQ214" s="17"/>
      <c r="AR214" s="17"/>
      <c r="AS214" s="17"/>
      <c r="AT214" s="18">
        <f t="shared" ref="AT214:AT215" si="237">W214</f>
        <v>0</v>
      </c>
      <c r="AU214" s="19">
        <f>IF(AT$217=0,0,AT214/AT$217)</f>
        <v>0</v>
      </c>
      <c r="AW214" s="17"/>
      <c r="AX214" s="17"/>
      <c r="AY214" s="17"/>
      <c r="AZ214" s="18">
        <f t="shared" ref="AZ214:AZ215" si="238">X214</f>
        <v>0</v>
      </c>
      <c r="BA214" s="19">
        <f>IF(AZ$217=0,0,AZ214/AZ$217)</f>
        <v>0</v>
      </c>
    </row>
    <row r="215" spans="1:53" ht="17.100000000000001" customHeight="1" x14ac:dyDescent="0.25">
      <c r="A215" s="40"/>
      <c r="B215" s="40"/>
      <c r="C215" s="40"/>
      <c r="D215" s="74" t="s">
        <v>638</v>
      </c>
      <c r="E215" s="542" t="s">
        <v>11</v>
      </c>
      <c r="F215" s="542"/>
      <c r="G215" s="542"/>
      <c r="H215" s="540"/>
      <c r="I215" s="235"/>
      <c r="J215" s="581"/>
      <c r="K215" s="581"/>
      <c r="L215" s="582"/>
      <c r="M215" s="17">
        <f t="shared" si="232"/>
        <v>0</v>
      </c>
      <c r="N215" s="111"/>
      <c r="O215" s="111"/>
      <c r="P215" s="111"/>
      <c r="Q215" s="111"/>
      <c r="R215" s="111"/>
      <c r="S215" s="111"/>
      <c r="T215" s="111"/>
      <c r="U215" s="111"/>
      <c r="V215" s="358"/>
      <c r="W215" s="391">
        <f t="shared" si="233"/>
        <v>0</v>
      </c>
      <c r="X215" s="17">
        <f t="shared" si="234"/>
        <v>0</v>
      </c>
      <c r="Y215" s="18">
        <f>SUM(W215:X215)</f>
        <v>0</v>
      </c>
      <c r="Z215" s="19">
        <f>IF(Y$217=0,0,Y215/Y$217)</f>
        <v>0</v>
      </c>
      <c r="AA215" s="19"/>
      <c r="AB215" s="19"/>
      <c r="AC215" s="20"/>
      <c r="AE215" s="17"/>
      <c r="AF215" s="17"/>
      <c r="AG215" s="17"/>
      <c r="AH215" s="18">
        <f t="shared" si="235"/>
        <v>0</v>
      </c>
      <c r="AI215" s="19">
        <f>IF(AH$217=0,0,AH215/AH$217)</f>
        <v>0</v>
      </c>
      <c r="AK215" s="17"/>
      <c r="AL215" s="17"/>
      <c r="AM215" s="17"/>
      <c r="AN215" s="18">
        <f t="shared" si="236"/>
        <v>0</v>
      </c>
      <c r="AO215" s="19">
        <f>IF(AN$217=0,0,AN215/AN$217)</f>
        <v>0</v>
      </c>
      <c r="AQ215" s="17"/>
      <c r="AR215" s="17"/>
      <c r="AS215" s="17"/>
      <c r="AT215" s="18">
        <f t="shared" si="237"/>
        <v>0</v>
      </c>
      <c r="AU215" s="19">
        <f>IF(AT$217=0,0,AT215/AT$217)</f>
        <v>0</v>
      </c>
      <c r="AW215" s="17"/>
      <c r="AX215" s="17"/>
      <c r="AY215" s="17"/>
      <c r="AZ215" s="18">
        <f t="shared" si="238"/>
        <v>0</v>
      </c>
      <c r="BA215" s="19">
        <f>IF(AZ$217=0,0,AZ215/AZ$217)</f>
        <v>0</v>
      </c>
    </row>
    <row r="216" spans="1:53" ht="17.100000000000001" customHeight="1" x14ac:dyDescent="0.25">
      <c r="A216" s="40"/>
      <c r="B216" s="40"/>
      <c r="C216" s="40"/>
      <c r="D216" s="74" t="s">
        <v>1436</v>
      </c>
      <c r="E216" s="147" t="s">
        <v>1435</v>
      </c>
      <c r="F216" s="923"/>
      <c r="G216" s="923"/>
      <c r="H216" s="922"/>
      <c r="I216" s="235"/>
      <c r="J216" s="583"/>
      <c r="K216" s="583"/>
      <c r="L216" s="584"/>
      <c r="M216" s="17">
        <f t="shared" ref="M216" si="239">SUM(J216:L216)</f>
        <v>0</v>
      </c>
      <c r="N216" s="111"/>
      <c r="O216" s="111"/>
      <c r="P216" s="111"/>
      <c r="Q216" s="111"/>
      <c r="R216" s="111"/>
      <c r="S216" s="111"/>
      <c r="T216" s="111"/>
      <c r="U216" s="111"/>
      <c r="V216" s="358"/>
      <c r="W216" s="391">
        <f t="shared" ref="W216" si="240">J216+K216+N216+Q216+T216</f>
        <v>0</v>
      </c>
      <c r="X216" s="17">
        <f t="shared" ref="X216" si="241">L216+O216+R216+U216</f>
        <v>0</v>
      </c>
      <c r="Y216" s="18">
        <f>SUM(W216:X216)</f>
        <v>0</v>
      </c>
      <c r="Z216" s="19">
        <f>IF(Y$217=0,0,Y216/Y$217)</f>
        <v>0</v>
      </c>
      <c r="AA216" s="19"/>
      <c r="AB216" s="19"/>
      <c r="AC216" s="20"/>
      <c r="AE216" s="17"/>
      <c r="AF216" s="17"/>
      <c r="AG216" s="17"/>
      <c r="AH216" s="18">
        <f t="shared" ref="AH216" si="242">J216</f>
        <v>0</v>
      </c>
      <c r="AI216" s="19">
        <f>IF(AH$217=0,0,AH216/AH$217)</f>
        <v>0</v>
      </c>
      <c r="AK216" s="17"/>
      <c r="AL216" s="17"/>
      <c r="AM216" s="17"/>
      <c r="AN216" s="18">
        <f t="shared" ref="AN216" si="243">K216</f>
        <v>0</v>
      </c>
      <c r="AO216" s="19">
        <f>IF(AN$217=0,0,AN216/AN$217)</f>
        <v>0</v>
      </c>
      <c r="AQ216" s="17"/>
      <c r="AR216" s="17"/>
      <c r="AS216" s="17"/>
      <c r="AT216" s="18">
        <f t="shared" ref="AT216" si="244">W216</f>
        <v>0</v>
      </c>
      <c r="AU216" s="19">
        <f>IF(AT$217=0,0,AT216/AT$217)</f>
        <v>0</v>
      </c>
      <c r="AW216" s="17"/>
      <c r="AX216" s="17"/>
      <c r="AY216" s="17"/>
      <c r="AZ216" s="18">
        <f t="shared" ref="AZ216" si="245">X216</f>
        <v>0</v>
      </c>
      <c r="BA216" s="19">
        <f>IF(AZ$217=0,0,AZ216/AZ$217)</f>
        <v>0</v>
      </c>
    </row>
    <row r="217" spans="1:53" ht="17.100000000000001" customHeight="1" x14ac:dyDescent="0.25">
      <c r="A217" s="40"/>
      <c r="B217" s="40"/>
      <c r="C217" s="77"/>
      <c r="D217" s="144"/>
      <c r="E217" s="144"/>
      <c r="F217" s="145"/>
      <c r="G217" s="145"/>
      <c r="H217" s="119"/>
      <c r="I217" s="236"/>
      <c r="J217" s="80">
        <f>SUM(J214:J216)</f>
        <v>0</v>
      </c>
      <c r="K217" s="80">
        <f t="shared" ref="K217:L217" si="246">SUM(K214:K216)</f>
        <v>0</v>
      </c>
      <c r="L217" s="80">
        <f t="shared" si="246"/>
        <v>0</v>
      </c>
      <c r="M217" s="80">
        <f t="shared" ref="M217" si="247">SUM(M214:M215)</f>
        <v>0</v>
      </c>
      <c r="N217" s="81"/>
      <c r="O217" s="81"/>
      <c r="P217" s="81"/>
      <c r="Q217" s="81"/>
      <c r="R217" s="81"/>
      <c r="S217" s="81"/>
      <c r="T217" s="81"/>
      <c r="U217" s="81"/>
      <c r="V217" s="356"/>
      <c r="W217" s="381">
        <f>SUM(W214:W216)</f>
        <v>0</v>
      </c>
      <c r="X217" s="224">
        <f t="shared" ref="X217" si="248">SUM(X214:X216)</f>
        <v>0</v>
      </c>
      <c r="Y217" s="224">
        <f t="shared" ref="Y217" si="249">SUM(Y214:Y216)</f>
        <v>0</v>
      </c>
      <c r="Z217" s="205">
        <f>IF(Y$217=0,0,Y217/Y$217)</f>
        <v>0</v>
      </c>
      <c r="AA217" s="205"/>
      <c r="AB217" s="205"/>
      <c r="AC217" s="83"/>
      <c r="AE217" s="80"/>
      <c r="AF217" s="80"/>
      <c r="AG217" s="81"/>
      <c r="AH217" s="224">
        <f t="shared" ref="AH217" si="250">SUM(AH214:AH216)</f>
        <v>0</v>
      </c>
      <c r="AI217" s="66">
        <f>IF(AH$217=0,0,AH217/AH$217)</f>
        <v>0</v>
      </c>
      <c r="AK217" s="80"/>
      <c r="AL217" s="80"/>
      <c r="AM217" s="81"/>
      <c r="AN217" s="224">
        <f t="shared" ref="AN217" si="251">SUM(AN214:AN216)</f>
        <v>0</v>
      </c>
      <c r="AO217" s="66">
        <f>IF(AN$217=0,0,AN217/AN$217)</f>
        <v>0</v>
      </c>
      <c r="AQ217" s="80"/>
      <c r="AR217" s="80"/>
      <c r="AS217" s="81"/>
      <c r="AT217" s="224">
        <f t="shared" ref="AT217" si="252">SUM(AT214:AT216)</f>
        <v>0</v>
      </c>
      <c r="AU217" s="66">
        <f>IF(AT$217=0,0,AT217/AT$217)</f>
        <v>0</v>
      </c>
      <c r="AW217" s="80"/>
      <c r="AX217" s="80"/>
      <c r="AY217" s="81"/>
      <c r="AZ217" s="224">
        <f t="shared" ref="AZ217" si="253">SUM(AZ214:AZ216)</f>
        <v>0</v>
      </c>
      <c r="BA217" s="66">
        <f>IF(AZ$217=0,0,AZ217/AZ$217)</f>
        <v>0</v>
      </c>
    </row>
    <row r="218" spans="1:53" s="117" customFormat="1" ht="17.100000000000001" customHeight="1" x14ac:dyDescent="0.25">
      <c r="A218" s="68"/>
      <c r="B218" s="119"/>
      <c r="C218" s="540"/>
      <c r="D218" s="261"/>
      <c r="E218" s="261"/>
      <c r="F218" s="68"/>
      <c r="G218" s="68"/>
      <c r="H218" s="119"/>
      <c r="I218" s="138"/>
      <c r="J218" s="17" t="str">
        <f>IF(J217=J$15,"OK","NOK")</f>
        <v>OK</v>
      </c>
      <c r="K218" s="17" t="str">
        <f t="shared" ref="K218:L218" si="254">IF(K217=K$15,"OK","NOK")</f>
        <v>OK</v>
      </c>
      <c r="L218" s="17" t="str">
        <f t="shared" si="254"/>
        <v>OK</v>
      </c>
      <c r="M218" s="17"/>
      <c r="N218" s="17"/>
      <c r="O218" s="17"/>
      <c r="P218" s="17"/>
      <c r="Q218" s="17"/>
      <c r="R218" s="17"/>
      <c r="S218" s="17"/>
      <c r="T218" s="17"/>
      <c r="U218" s="17"/>
      <c r="V218" s="359"/>
      <c r="W218" s="382"/>
      <c r="X218" s="539"/>
      <c r="Y218" s="539"/>
      <c r="Z218" s="201"/>
      <c r="AA218" s="201"/>
      <c r="AB218" s="201"/>
      <c r="AC218" s="84"/>
      <c r="AE218" s="46"/>
      <c r="AF218" s="46"/>
      <c r="AG218" s="17"/>
      <c r="AH218" s="539"/>
      <c r="AI218" s="91"/>
      <c r="AK218" s="46"/>
      <c r="AL218" s="46"/>
      <c r="AM218" s="17"/>
      <c r="AN218" s="539"/>
      <c r="AO218" s="91"/>
      <c r="AQ218" s="46"/>
      <c r="AR218" s="46"/>
      <c r="AS218" s="17"/>
      <c r="AT218" s="539"/>
      <c r="AU218" s="91"/>
      <c r="AW218" s="46"/>
      <c r="AX218" s="46"/>
      <c r="AY218" s="17"/>
      <c r="AZ218" s="539"/>
      <c r="BA218" s="91"/>
    </row>
    <row r="219" spans="1:53" ht="17.100000000000001" customHeight="1" x14ac:dyDescent="0.25">
      <c r="A219" s="40"/>
      <c r="B219" s="40"/>
      <c r="C219" s="74" t="s">
        <v>639</v>
      </c>
      <c r="D219" s="542" t="s">
        <v>359</v>
      </c>
      <c r="E219" s="542"/>
      <c r="F219" s="542"/>
      <c r="G219" s="542"/>
      <c r="H219" s="243">
        <v>9</v>
      </c>
      <c r="I219" s="235"/>
      <c r="J219" s="111"/>
      <c r="K219" s="111"/>
      <c r="L219" s="111"/>
      <c r="M219" s="111"/>
      <c r="N219" s="111"/>
      <c r="O219" s="111"/>
      <c r="P219" s="111"/>
      <c r="Q219" s="111"/>
      <c r="R219" s="111"/>
      <c r="S219" s="111"/>
      <c r="T219" s="111"/>
      <c r="U219" s="111"/>
      <c r="V219" s="358"/>
      <c r="W219" s="380"/>
      <c r="X219" s="111"/>
      <c r="Y219" s="112"/>
      <c r="Z219" s="113"/>
      <c r="AA219" s="113"/>
      <c r="AB219" s="113"/>
      <c r="AC219" s="113"/>
      <c r="AE219" s="111"/>
      <c r="AF219" s="111"/>
      <c r="AG219" s="148"/>
      <c r="AH219" s="112"/>
      <c r="AI219" s="113"/>
      <c r="AK219" s="111"/>
      <c r="AL219" s="111"/>
      <c r="AM219" s="148"/>
      <c r="AN219" s="112"/>
      <c r="AO219" s="113"/>
      <c r="AQ219" s="111"/>
      <c r="AR219" s="111"/>
      <c r="AS219" s="148"/>
      <c r="AT219" s="112"/>
      <c r="AU219" s="113"/>
      <c r="AW219" s="111"/>
      <c r="AX219" s="111"/>
      <c r="AY219" s="148"/>
      <c r="AZ219" s="112"/>
      <c r="BA219" s="113"/>
    </row>
    <row r="220" spans="1:53" ht="17.100000000000001" customHeight="1" x14ac:dyDescent="0.25">
      <c r="A220" s="40"/>
      <c r="B220" s="40"/>
      <c r="C220" s="40"/>
      <c r="D220" s="74" t="s">
        <v>640</v>
      </c>
      <c r="E220" s="542" t="s">
        <v>11</v>
      </c>
      <c r="F220" s="542"/>
      <c r="G220" s="542"/>
      <c r="H220" s="540"/>
      <c r="I220" s="235"/>
      <c r="J220" s="581"/>
      <c r="K220" s="581"/>
      <c r="L220" s="582"/>
      <c r="M220" s="17">
        <f t="shared" ref="M220:M221" si="255">SUM(J220:L220)</f>
        <v>0</v>
      </c>
      <c r="N220" s="111"/>
      <c r="O220" s="111"/>
      <c r="P220" s="111"/>
      <c r="Q220" s="111"/>
      <c r="R220" s="111"/>
      <c r="S220" s="111"/>
      <c r="T220" s="111"/>
      <c r="U220" s="111"/>
      <c r="V220" s="358"/>
      <c r="W220" s="391">
        <f t="shared" ref="W220:W221" si="256">J220+K220+N220+Q220+T220</f>
        <v>0</v>
      </c>
      <c r="X220" s="17">
        <f t="shared" ref="X220:X221" si="257">L220+O220+R220+U220</f>
        <v>0</v>
      </c>
      <c r="Y220" s="18">
        <f>SUM(W220:X220)</f>
        <v>0</v>
      </c>
      <c r="Z220" s="19">
        <f>IF(Y$223=0,0,Y220/Y$223)</f>
        <v>0</v>
      </c>
      <c r="AA220" s="19"/>
      <c r="AB220" s="19"/>
      <c r="AC220" s="20"/>
      <c r="AE220" s="17"/>
      <c r="AF220" s="17"/>
      <c r="AG220" s="17"/>
      <c r="AH220" s="18">
        <f t="shared" ref="AH220:AH221" si="258">J220</f>
        <v>0</v>
      </c>
      <c r="AI220" s="19">
        <f>IF(AH$223=0,0,AH220/AH$223)</f>
        <v>0</v>
      </c>
      <c r="AK220" s="17"/>
      <c r="AL220" s="17"/>
      <c r="AM220" s="17"/>
      <c r="AN220" s="18">
        <f t="shared" ref="AN220:AN221" si="259">K220</f>
        <v>0</v>
      </c>
      <c r="AO220" s="19">
        <f>IF(AN$223=0,0,AN220/AN$223)</f>
        <v>0</v>
      </c>
      <c r="AQ220" s="17"/>
      <c r="AR220" s="17"/>
      <c r="AS220" s="17"/>
      <c r="AT220" s="18">
        <f t="shared" ref="AT220:AT221" si="260">W220</f>
        <v>0</v>
      </c>
      <c r="AU220" s="19">
        <f>IF(AT$223=0,0,AT220/AT$223)</f>
        <v>0</v>
      </c>
      <c r="AW220" s="17"/>
      <c r="AX220" s="17"/>
      <c r="AY220" s="17"/>
      <c r="AZ220" s="18">
        <f t="shared" ref="AZ220:AZ221" si="261">X220</f>
        <v>0</v>
      </c>
      <c r="BA220" s="19">
        <f>IF(AZ$223=0,0,AZ220/AZ$223)</f>
        <v>0</v>
      </c>
    </row>
    <row r="221" spans="1:53" ht="17.100000000000001" customHeight="1" x14ac:dyDescent="0.25">
      <c r="A221" s="40"/>
      <c r="B221" s="40"/>
      <c r="C221" s="40"/>
      <c r="D221" s="74" t="s">
        <v>641</v>
      </c>
      <c r="E221" s="542" t="s">
        <v>9</v>
      </c>
      <c r="F221" s="542"/>
      <c r="G221" s="542"/>
      <c r="H221" s="540"/>
      <c r="I221" s="235"/>
      <c r="J221" s="583"/>
      <c r="K221" s="583"/>
      <c r="L221" s="584"/>
      <c r="M221" s="17">
        <f t="shared" si="255"/>
        <v>0</v>
      </c>
      <c r="N221" s="111"/>
      <c r="O221" s="111"/>
      <c r="P221" s="111"/>
      <c r="Q221" s="111"/>
      <c r="R221" s="111"/>
      <c r="S221" s="111"/>
      <c r="T221" s="111"/>
      <c r="U221" s="111"/>
      <c r="V221" s="358"/>
      <c r="W221" s="391">
        <f t="shared" si="256"/>
        <v>0</v>
      </c>
      <c r="X221" s="17">
        <f t="shared" si="257"/>
        <v>0</v>
      </c>
      <c r="Y221" s="18">
        <f>SUM(W221:X221)</f>
        <v>0</v>
      </c>
      <c r="Z221" s="19">
        <f>IF(Y$223=0,0,Y221/Y$223)</f>
        <v>0</v>
      </c>
      <c r="AA221" s="19"/>
      <c r="AB221" s="19"/>
      <c r="AC221" s="20"/>
      <c r="AE221" s="17"/>
      <c r="AF221" s="17"/>
      <c r="AG221" s="17"/>
      <c r="AH221" s="18">
        <f t="shared" si="258"/>
        <v>0</v>
      </c>
      <c r="AI221" s="19">
        <f>IF(AH$223=0,0,AH221/AH$223)</f>
        <v>0</v>
      </c>
      <c r="AK221" s="17"/>
      <c r="AL221" s="17"/>
      <c r="AM221" s="17"/>
      <c r="AN221" s="18">
        <f t="shared" si="259"/>
        <v>0</v>
      </c>
      <c r="AO221" s="19">
        <f>IF(AN$223=0,0,AN221/AN$223)</f>
        <v>0</v>
      </c>
      <c r="AQ221" s="17"/>
      <c r="AR221" s="17"/>
      <c r="AS221" s="17"/>
      <c r="AT221" s="18">
        <f t="shared" si="260"/>
        <v>0</v>
      </c>
      <c r="AU221" s="19">
        <f>IF(AT$223=0,0,AT221/AT$223)</f>
        <v>0</v>
      </c>
      <c r="AW221" s="17"/>
      <c r="AX221" s="17"/>
      <c r="AY221" s="17"/>
      <c r="AZ221" s="18">
        <f t="shared" si="261"/>
        <v>0</v>
      </c>
      <c r="BA221" s="19">
        <f>IF(AZ$223=0,0,AZ221/AZ$223)</f>
        <v>0</v>
      </c>
    </row>
    <row r="222" spans="1:53" ht="17.100000000000001" customHeight="1" x14ac:dyDescent="0.25">
      <c r="A222" s="40"/>
      <c r="B222" s="40"/>
      <c r="C222" s="40"/>
      <c r="D222" s="74" t="s">
        <v>1437</v>
      </c>
      <c r="E222" s="147" t="s">
        <v>1435</v>
      </c>
      <c r="F222" s="923"/>
      <c r="G222" s="923"/>
      <c r="H222" s="922"/>
      <c r="I222" s="235"/>
      <c r="J222" s="581"/>
      <c r="K222" s="581"/>
      <c r="L222" s="582"/>
      <c r="M222" s="17">
        <f t="shared" ref="M222" si="262">SUM(J222:L222)</f>
        <v>0</v>
      </c>
      <c r="N222" s="111"/>
      <c r="O222" s="111"/>
      <c r="P222" s="111"/>
      <c r="Q222" s="111"/>
      <c r="R222" s="111"/>
      <c r="S222" s="111"/>
      <c r="T222" s="111"/>
      <c r="U222" s="111"/>
      <c r="V222" s="358"/>
      <c r="W222" s="391">
        <f t="shared" ref="W222" si="263">J222+K222+N222+Q222+T222</f>
        <v>0</v>
      </c>
      <c r="X222" s="17">
        <f t="shared" ref="X222" si="264">L222+O222+R222+U222</f>
        <v>0</v>
      </c>
      <c r="Y222" s="18">
        <f>SUM(W222:X222)</f>
        <v>0</v>
      </c>
      <c r="Z222" s="19">
        <f>IF(Y$223=0,0,Y222/Y$223)</f>
        <v>0</v>
      </c>
      <c r="AA222" s="19"/>
      <c r="AB222" s="19"/>
      <c r="AC222" s="20"/>
      <c r="AE222" s="17"/>
      <c r="AF222" s="17"/>
      <c r="AG222" s="17"/>
      <c r="AH222" s="18">
        <f t="shared" ref="AH222" si="265">J222</f>
        <v>0</v>
      </c>
      <c r="AI222" s="19">
        <f>IF(AH$223=0,0,AH222/AH$223)</f>
        <v>0</v>
      </c>
      <c r="AK222" s="17"/>
      <c r="AL222" s="17"/>
      <c r="AM222" s="17"/>
      <c r="AN222" s="18">
        <f t="shared" ref="AN222" si="266">K222</f>
        <v>0</v>
      </c>
      <c r="AO222" s="19">
        <f>IF(AN$223=0,0,AN222/AN$223)</f>
        <v>0</v>
      </c>
      <c r="AQ222" s="17"/>
      <c r="AR222" s="17"/>
      <c r="AS222" s="17"/>
      <c r="AT222" s="18">
        <f t="shared" ref="AT222" si="267">W222</f>
        <v>0</v>
      </c>
      <c r="AU222" s="19">
        <f>IF(AT$223=0,0,AT222/AT$223)</f>
        <v>0</v>
      </c>
      <c r="AW222" s="17"/>
      <c r="AX222" s="17"/>
      <c r="AY222" s="17"/>
      <c r="AZ222" s="18">
        <f t="shared" ref="AZ222" si="268">X222</f>
        <v>0</v>
      </c>
      <c r="BA222" s="19">
        <f>IF(AZ$223=0,0,AZ222/AZ$223)</f>
        <v>0</v>
      </c>
    </row>
    <row r="223" spans="1:53" ht="17.100000000000001" customHeight="1" x14ac:dyDescent="0.25">
      <c r="A223" s="40"/>
      <c r="B223" s="40"/>
      <c r="C223" s="77"/>
      <c r="D223" s="144"/>
      <c r="E223" s="144"/>
      <c r="F223" s="145"/>
      <c r="G223" s="145"/>
      <c r="H223" s="119"/>
      <c r="I223" s="236"/>
      <c r="J223" s="80">
        <f>SUM(J220:J222)</f>
        <v>0</v>
      </c>
      <c r="K223" s="80">
        <f t="shared" ref="K223" si="269">SUM(K220:K222)</f>
        <v>0</v>
      </c>
      <c r="L223" s="80">
        <f t="shared" ref="L223" si="270">SUM(L220:L222)</f>
        <v>0</v>
      </c>
      <c r="M223" s="80">
        <f t="shared" ref="M223" si="271">SUM(M220:M221)</f>
        <v>0</v>
      </c>
      <c r="N223" s="81"/>
      <c r="O223" s="81"/>
      <c r="P223" s="81"/>
      <c r="Q223" s="81"/>
      <c r="R223" s="81"/>
      <c r="S223" s="81"/>
      <c r="T223" s="81"/>
      <c r="U223" s="81"/>
      <c r="V223" s="356"/>
      <c r="W223" s="381">
        <f>SUM(W220:W222)</f>
        <v>0</v>
      </c>
      <c r="X223" s="224">
        <f t="shared" ref="X223" si="272">SUM(X220:X222)</f>
        <v>0</v>
      </c>
      <c r="Y223" s="224">
        <f t="shared" ref="Y223" si="273">SUM(Y220:Y222)</f>
        <v>0</v>
      </c>
      <c r="Z223" s="205">
        <f>IF(Y$223=0,0,Y223/Y$223)</f>
        <v>0</v>
      </c>
      <c r="AA223" s="205"/>
      <c r="AB223" s="205"/>
      <c r="AC223" s="83"/>
      <c r="AE223" s="80"/>
      <c r="AF223" s="80"/>
      <c r="AG223" s="81"/>
      <c r="AH223" s="224">
        <f t="shared" ref="AH223" si="274">SUM(AH220:AH222)</f>
        <v>0</v>
      </c>
      <c r="AI223" s="66">
        <f>IF(AH$223=0,0,AH223/AH$223)</f>
        <v>0</v>
      </c>
      <c r="AK223" s="80"/>
      <c r="AL223" s="80"/>
      <c r="AM223" s="81"/>
      <c r="AN223" s="224">
        <f t="shared" ref="AN223" si="275">SUM(AN220:AN222)</f>
        <v>0</v>
      </c>
      <c r="AO223" s="66">
        <f>IF(AN$223=0,0,AN223/AN$223)</f>
        <v>0</v>
      </c>
      <c r="AQ223" s="80"/>
      <c r="AR223" s="80"/>
      <c r="AS223" s="81"/>
      <c r="AT223" s="224">
        <f t="shared" ref="AT223" si="276">SUM(AT220:AT222)</f>
        <v>0</v>
      </c>
      <c r="AU223" s="66">
        <f>IF(AT$223=0,0,AT223/AT$223)</f>
        <v>0</v>
      </c>
      <c r="AW223" s="80"/>
      <c r="AX223" s="80"/>
      <c r="AY223" s="81"/>
      <c r="AZ223" s="224">
        <f t="shared" ref="AZ223" si="277">SUM(AZ220:AZ222)</f>
        <v>0</v>
      </c>
      <c r="BA223" s="66">
        <f>IF(AZ$223=0,0,AZ223/AZ$223)</f>
        <v>0</v>
      </c>
    </row>
    <row r="224" spans="1:53" s="117" customFormat="1" ht="17.100000000000001" customHeight="1" x14ac:dyDescent="0.25">
      <c r="A224" s="68"/>
      <c r="B224" s="119"/>
      <c r="C224" s="540"/>
      <c r="D224" s="261"/>
      <c r="E224" s="261"/>
      <c r="F224" s="68"/>
      <c r="G224" s="68"/>
      <c r="H224" s="119"/>
      <c r="I224" s="236"/>
      <c r="J224" s="17" t="str">
        <f>IF(J223=J$15,"OK","NOK")</f>
        <v>OK</v>
      </c>
      <c r="K224" s="17" t="str">
        <f t="shared" ref="K224:L224" si="278">IF(K223=K$15,"OK","NOK")</f>
        <v>OK</v>
      </c>
      <c r="L224" s="17" t="str">
        <f t="shared" si="278"/>
        <v>OK</v>
      </c>
      <c r="M224" s="17"/>
      <c r="N224" s="17"/>
      <c r="O224" s="17"/>
      <c r="P224" s="17"/>
      <c r="Q224" s="17"/>
      <c r="R224" s="17"/>
      <c r="S224" s="17"/>
      <c r="T224" s="17"/>
      <c r="U224" s="17"/>
      <c r="V224" s="359"/>
      <c r="W224" s="382"/>
      <c r="X224" s="539"/>
      <c r="Y224" s="539"/>
      <c r="Z224" s="201"/>
      <c r="AA224" s="201"/>
      <c r="AB224" s="201"/>
      <c r="AC224" s="84"/>
      <c r="AE224" s="46"/>
      <c r="AF224" s="46"/>
      <c r="AG224" s="17"/>
      <c r="AH224" s="539"/>
      <c r="AI224" s="91"/>
      <c r="AK224" s="46"/>
      <c r="AL224" s="46"/>
      <c r="AM224" s="17"/>
      <c r="AN224" s="539"/>
      <c r="AO224" s="91"/>
      <c r="AQ224" s="46"/>
      <c r="AR224" s="46"/>
      <c r="AS224" s="17"/>
      <c r="AT224" s="539"/>
      <c r="AU224" s="91"/>
      <c r="AW224" s="46"/>
      <c r="AX224" s="46"/>
      <c r="AY224" s="17"/>
      <c r="AZ224" s="539"/>
      <c r="BA224" s="91"/>
    </row>
    <row r="225" spans="1:53" ht="17.100000000000001" customHeight="1" x14ac:dyDescent="0.25">
      <c r="A225" s="333"/>
      <c r="B225" s="137"/>
      <c r="C225" s="74" t="s">
        <v>642</v>
      </c>
      <c r="D225" s="147" t="s">
        <v>425</v>
      </c>
      <c r="E225" s="105"/>
      <c r="F225" s="105"/>
      <c r="G225" s="105"/>
      <c r="H225" s="243">
        <v>15</v>
      </c>
      <c r="I225" s="236"/>
      <c r="J225" s="111"/>
      <c r="K225" s="111"/>
      <c r="L225" s="111"/>
      <c r="M225" s="111"/>
      <c r="N225" s="111"/>
      <c r="O225" s="111"/>
      <c r="P225" s="111"/>
      <c r="Q225" s="111"/>
      <c r="R225" s="111"/>
      <c r="S225" s="111"/>
      <c r="T225" s="111"/>
      <c r="U225" s="111"/>
      <c r="V225" s="358"/>
      <c r="W225" s="380"/>
      <c r="X225" s="111"/>
      <c r="Y225" s="112"/>
      <c r="Z225" s="113"/>
      <c r="AA225" s="113"/>
      <c r="AB225" s="113"/>
      <c r="AC225" s="113"/>
      <c r="AE225" s="71"/>
      <c r="AF225" s="71"/>
      <c r="AG225" s="71"/>
      <c r="AH225" s="72"/>
      <c r="AI225" s="73"/>
      <c r="AK225" s="71"/>
      <c r="AL225" s="71"/>
      <c r="AM225" s="71"/>
      <c r="AN225" s="72"/>
      <c r="AO225" s="73"/>
      <c r="AQ225" s="71"/>
      <c r="AR225" s="71"/>
      <c r="AS225" s="71"/>
      <c r="AT225" s="72"/>
      <c r="AU225" s="73"/>
      <c r="AW225" s="71"/>
      <c r="AX225" s="71"/>
      <c r="AY225" s="71"/>
      <c r="AZ225" s="72"/>
      <c r="BA225" s="73"/>
    </row>
    <row r="226" spans="1:53" ht="17.100000000000001" customHeight="1" x14ac:dyDescent="0.25">
      <c r="A226" s="137"/>
      <c r="B226" s="137"/>
      <c r="C226" s="40"/>
      <c r="D226" s="74" t="s">
        <v>643</v>
      </c>
      <c r="E226" s="542" t="s">
        <v>11</v>
      </c>
      <c r="F226" s="75"/>
      <c r="G226" s="75"/>
      <c r="H226" s="540"/>
      <c r="I226" s="236"/>
      <c r="J226" s="111"/>
      <c r="K226" s="111"/>
      <c r="L226" s="111"/>
      <c r="M226" s="111"/>
      <c r="N226" s="60"/>
      <c r="O226" s="60"/>
      <c r="P226" s="60"/>
      <c r="Q226" s="111"/>
      <c r="R226" s="111"/>
      <c r="S226" s="111"/>
      <c r="T226" s="111"/>
      <c r="U226" s="111"/>
      <c r="V226" s="358"/>
      <c r="W226" s="391">
        <f t="shared" ref="W226:W227" si="279">J226+K226+N226+Q226+T226</f>
        <v>0</v>
      </c>
      <c r="X226" s="17">
        <f t="shared" ref="X226:X227" si="280">L226+O226+R226+U226</f>
        <v>0</v>
      </c>
      <c r="Y226" s="18">
        <f>SUM(W226:X226)</f>
        <v>0</v>
      </c>
      <c r="Z226" s="19">
        <f>IF(Y$228=0,0,Y226/Y$228)</f>
        <v>0</v>
      </c>
      <c r="AA226" s="19"/>
      <c r="AB226" s="19"/>
      <c r="AC226" s="20"/>
      <c r="AE226" s="17"/>
      <c r="AF226" s="17"/>
      <c r="AG226" s="17"/>
      <c r="AH226" s="18">
        <f>W226</f>
        <v>0</v>
      </c>
      <c r="AI226" s="19">
        <f>IF(AH$228=0,0,AH226/AH$228)</f>
        <v>0</v>
      </c>
      <c r="AK226" s="17"/>
      <c r="AL226" s="17"/>
      <c r="AM226" s="17"/>
      <c r="AN226" s="18" t="e">
        <f>#REF!</f>
        <v>#REF!</v>
      </c>
      <c r="AO226" s="19" t="e">
        <f>IF(AN$228=0,0,AN226/AN$228)</f>
        <v>#REF!</v>
      </c>
      <c r="AQ226" s="17"/>
      <c r="AR226" s="17"/>
      <c r="AS226" s="17"/>
      <c r="AT226" s="18"/>
      <c r="AU226" s="19"/>
      <c r="AW226" s="17"/>
      <c r="AX226" s="17"/>
      <c r="AY226" s="17"/>
      <c r="AZ226" s="18">
        <f>X226</f>
        <v>0</v>
      </c>
      <c r="BA226" s="19">
        <f>IF(AZ$228=0,0,AZ226/AZ$228)</f>
        <v>0</v>
      </c>
    </row>
    <row r="227" spans="1:53" ht="17.100000000000001" customHeight="1" x14ac:dyDescent="0.25">
      <c r="A227" s="137"/>
      <c r="B227" s="137"/>
      <c r="C227" s="40"/>
      <c r="D227" s="74" t="s">
        <v>644</v>
      </c>
      <c r="E227" s="542" t="s">
        <v>9</v>
      </c>
      <c r="F227" s="75"/>
      <c r="G227" s="75"/>
      <c r="H227" s="540"/>
      <c r="I227" s="229"/>
      <c r="J227" s="111"/>
      <c r="K227" s="111"/>
      <c r="L227" s="111"/>
      <c r="M227" s="111"/>
      <c r="N227" s="61"/>
      <c r="O227" s="61"/>
      <c r="P227" s="61"/>
      <c r="Q227" s="111"/>
      <c r="R227" s="111"/>
      <c r="S227" s="111"/>
      <c r="T227" s="111"/>
      <c r="U227" s="111"/>
      <c r="V227" s="358"/>
      <c r="W227" s="391">
        <f t="shared" si="279"/>
        <v>0</v>
      </c>
      <c r="X227" s="17">
        <f t="shared" si="280"/>
        <v>0</v>
      </c>
      <c r="Y227" s="18">
        <f>SUM(W227:X227)</f>
        <v>0</v>
      </c>
      <c r="Z227" s="19">
        <f>IF(Y$228=0,0,Y227/Y$228)</f>
        <v>0</v>
      </c>
      <c r="AA227" s="19"/>
      <c r="AB227" s="19"/>
      <c r="AC227" s="20"/>
      <c r="AE227" s="17"/>
      <c r="AF227" s="17"/>
      <c r="AG227" s="17"/>
      <c r="AH227" s="18">
        <f>W227</f>
        <v>0</v>
      </c>
      <c r="AI227" s="19">
        <f>IF(AH$228=0,0,AH227/AH$228)</f>
        <v>0</v>
      </c>
      <c r="AK227" s="17"/>
      <c r="AL227" s="17"/>
      <c r="AM227" s="17"/>
      <c r="AN227" s="18" t="e">
        <f>#REF!</f>
        <v>#REF!</v>
      </c>
      <c r="AO227" s="19" t="e">
        <f>IF(AN$228=0,0,AN227/AN$228)</f>
        <v>#REF!</v>
      </c>
      <c r="AQ227" s="17"/>
      <c r="AR227" s="17"/>
      <c r="AS227" s="17"/>
      <c r="AT227" s="18"/>
      <c r="AU227" s="19"/>
      <c r="AW227" s="17"/>
      <c r="AX227" s="17"/>
      <c r="AY227" s="17"/>
      <c r="AZ227" s="18">
        <f>X227</f>
        <v>0</v>
      </c>
      <c r="BA227" s="19">
        <f>IF(AZ$228=0,0,AZ227/AZ$228)</f>
        <v>0</v>
      </c>
    </row>
    <row r="228" spans="1:53" ht="17.100000000000001" customHeight="1" x14ac:dyDescent="0.25">
      <c r="A228" s="137"/>
      <c r="B228" s="137"/>
      <c r="C228" s="77"/>
      <c r="D228" s="144"/>
      <c r="E228" s="144"/>
      <c r="F228" s="145"/>
      <c r="G228" s="145"/>
      <c r="H228" s="119"/>
      <c r="I228" s="236"/>
      <c r="J228" s="64"/>
      <c r="K228" s="80"/>
      <c r="L228" s="81"/>
      <c r="M228" s="81"/>
      <c r="N228" s="81"/>
      <c r="O228" s="81"/>
      <c r="P228" s="81"/>
      <c r="Q228" s="81"/>
      <c r="R228" s="81"/>
      <c r="S228" s="81"/>
      <c r="T228" s="81"/>
      <c r="U228" s="81"/>
      <c r="V228" s="356"/>
      <c r="W228" s="381">
        <f>SUM(W226:W227)</f>
        <v>0</v>
      </c>
      <c r="X228" s="82">
        <f t="shared" ref="X228:Y228" si="281">SUM(X226:X227)</f>
        <v>0</v>
      </c>
      <c r="Y228" s="82">
        <f t="shared" si="281"/>
        <v>0</v>
      </c>
      <c r="Z228" s="205">
        <f>IF(Y$228=0,0,Y228/Y$228)</f>
        <v>0</v>
      </c>
      <c r="AA228" s="205"/>
      <c r="AB228" s="205"/>
      <c r="AC228" s="83"/>
      <c r="AE228" s="80"/>
      <c r="AF228" s="80"/>
      <c r="AG228" s="81"/>
      <c r="AH228" s="82">
        <f>SUM(AH226:AH227)</f>
        <v>0</v>
      </c>
      <c r="AI228" s="66">
        <f>IF(AH$228=0,0,AH228/AH$228)</f>
        <v>0</v>
      </c>
      <c r="AK228" s="80"/>
      <c r="AL228" s="80"/>
      <c r="AM228" s="81"/>
      <c r="AN228" s="82" t="e">
        <f>SUM(AN226:AN227)</f>
        <v>#REF!</v>
      </c>
      <c r="AO228" s="66" t="e">
        <f>IF(AN$228=0,0,AN228/AN$228)</f>
        <v>#REF!</v>
      </c>
      <c r="AQ228" s="80"/>
      <c r="AR228" s="80"/>
      <c r="AS228" s="81"/>
      <c r="AT228" s="82"/>
      <c r="AU228" s="66"/>
      <c r="AW228" s="80"/>
      <c r="AX228" s="80"/>
      <c r="AY228" s="81"/>
      <c r="AZ228" s="82">
        <f>SUM(AZ226:AZ227)</f>
        <v>0</v>
      </c>
      <c r="BA228" s="66">
        <f>IF(AZ$228=0,0,AZ228/AZ$228)</f>
        <v>0</v>
      </c>
    </row>
    <row r="229" spans="1:53" s="117" customFormat="1" ht="17.100000000000001" customHeight="1" x14ac:dyDescent="0.25">
      <c r="A229" s="68"/>
      <c r="B229" s="119"/>
      <c r="C229" s="540"/>
      <c r="D229" s="261"/>
      <c r="E229" s="261"/>
      <c r="F229" s="68"/>
      <c r="G229" s="68"/>
      <c r="H229" s="119"/>
      <c r="I229" s="138"/>
      <c r="J229" s="17" t="str">
        <f>IF(J228=J$15,"OK","NOK")</f>
        <v>OK</v>
      </c>
      <c r="K229" s="17" t="str">
        <f t="shared" ref="K229:L229" si="282">IF(K228=K$15,"OK","NOK")</f>
        <v>OK</v>
      </c>
      <c r="L229" s="17" t="str">
        <f t="shared" si="282"/>
        <v>OK</v>
      </c>
      <c r="M229" s="17"/>
      <c r="N229" s="17"/>
      <c r="O229" s="17"/>
      <c r="P229" s="17"/>
      <c r="Q229" s="17"/>
      <c r="R229" s="17"/>
      <c r="S229" s="17"/>
      <c r="T229" s="17"/>
      <c r="U229" s="17"/>
      <c r="V229" s="359"/>
      <c r="W229" s="382"/>
      <c r="X229" s="539"/>
      <c r="Y229" s="539"/>
      <c r="Z229" s="201"/>
      <c r="AA229" s="201"/>
      <c r="AB229" s="201"/>
      <c r="AC229" s="84"/>
      <c r="AE229" s="46"/>
      <c r="AF229" s="46"/>
      <c r="AG229" s="17"/>
      <c r="AH229" s="539"/>
      <c r="AI229" s="91"/>
      <c r="AK229" s="46"/>
      <c r="AL229" s="46"/>
      <c r="AM229" s="17"/>
      <c r="AN229" s="539"/>
      <c r="AO229" s="91"/>
      <c r="AQ229" s="46"/>
      <c r="AR229" s="46"/>
      <c r="AS229" s="17"/>
      <c r="AT229" s="539"/>
      <c r="AU229" s="91"/>
      <c r="AW229" s="46"/>
      <c r="AX229" s="46"/>
      <c r="AY229" s="17"/>
      <c r="AZ229" s="539"/>
      <c r="BA229" s="91"/>
    </row>
    <row r="230" spans="1:53" ht="17.100000000000001" customHeight="1" x14ac:dyDescent="0.25">
      <c r="A230" s="68"/>
      <c r="B230" s="40"/>
      <c r="C230" s="74" t="s">
        <v>645</v>
      </c>
      <c r="D230" s="147" t="s">
        <v>524</v>
      </c>
      <c r="E230" s="105"/>
      <c r="F230" s="105"/>
      <c r="G230" s="105"/>
      <c r="H230" s="243">
        <v>136</v>
      </c>
      <c r="J230" s="111"/>
      <c r="K230" s="111"/>
      <c r="L230" s="111"/>
      <c r="M230" s="111"/>
      <c r="N230" s="111"/>
      <c r="O230" s="111"/>
      <c r="P230" s="111"/>
      <c r="Q230" s="111"/>
      <c r="R230" s="111"/>
      <c r="S230" s="111"/>
      <c r="T230" s="111"/>
      <c r="U230" s="111"/>
      <c r="V230" s="358"/>
      <c r="W230" s="380"/>
      <c r="X230" s="111"/>
      <c r="Y230" s="112"/>
      <c r="Z230" s="113"/>
      <c r="AA230" s="113"/>
      <c r="AB230" s="113"/>
      <c r="AC230" s="113"/>
      <c r="AE230" s="71"/>
      <c r="AF230" s="71"/>
      <c r="AG230" s="71"/>
      <c r="AH230" s="72"/>
      <c r="AI230" s="73"/>
      <c r="AK230" s="71"/>
      <c r="AL230" s="71"/>
      <c r="AM230" s="71"/>
      <c r="AN230" s="72"/>
      <c r="AO230" s="73"/>
      <c r="AQ230" s="71"/>
      <c r="AR230" s="71"/>
      <c r="AS230" s="71"/>
      <c r="AT230" s="72"/>
      <c r="AU230" s="73"/>
      <c r="AW230" s="71"/>
      <c r="AX230" s="71"/>
      <c r="AY230" s="71"/>
      <c r="AZ230" s="72"/>
      <c r="BA230" s="73"/>
    </row>
    <row r="231" spans="1:53" ht="17.100000000000001" customHeight="1" x14ac:dyDescent="0.25">
      <c r="A231" s="40"/>
      <c r="B231" s="40"/>
      <c r="C231" s="137"/>
      <c r="D231" s="74" t="s">
        <v>646</v>
      </c>
      <c r="E231" s="542" t="s">
        <v>523</v>
      </c>
      <c r="F231" s="75"/>
      <c r="G231" s="75"/>
      <c r="H231" s="540"/>
      <c r="I231" s="229"/>
      <c r="J231" s="581"/>
      <c r="K231" s="581"/>
      <c r="L231" s="582"/>
      <c r="M231" s="17">
        <f t="shared" ref="M231:M235" si="283">SUM(J231:L231)</f>
        <v>0</v>
      </c>
      <c r="N231" s="111"/>
      <c r="O231" s="111"/>
      <c r="P231" s="111"/>
      <c r="Q231" s="111"/>
      <c r="R231" s="111"/>
      <c r="S231" s="111"/>
      <c r="T231" s="111"/>
      <c r="U231" s="111"/>
      <c r="V231" s="358"/>
      <c r="W231" s="391">
        <f t="shared" ref="W231:W235" si="284">J231+K231+N231+Q231+T231</f>
        <v>0</v>
      </c>
      <c r="X231" s="17">
        <f t="shared" ref="X231:X235" si="285">L231+O231+R231+U231</f>
        <v>0</v>
      </c>
      <c r="Y231" s="18">
        <f>SUM(W231:X231)</f>
        <v>0</v>
      </c>
      <c r="Z231" s="19">
        <f>IF(Y$236=0,0,Y231/Y$236)</f>
        <v>0</v>
      </c>
      <c r="AA231" s="19"/>
      <c r="AB231" s="19"/>
      <c r="AC231" s="84"/>
      <c r="AE231" s="17"/>
      <c r="AF231" s="17"/>
      <c r="AG231" s="17"/>
      <c r="AH231" s="18">
        <f t="shared" ref="AH231:AH235" si="286">J231</f>
        <v>0</v>
      </c>
      <c r="AI231" s="19">
        <f>IF(AH$236=0,0,AH231/AH$236)</f>
        <v>0</v>
      </c>
      <c r="AK231" s="17"/>
      <c r="AL231" s="17"/>
      <c r="AM231" s="17"/>
      <c r="AN231" s="18">
        <f t="shared" ref="AN231:AN235" si="287">K231</f>
        <v>0</v>
      </c>
      <c r="AO231" s="19">
        <f>IF(AN$236=0,0,AN231/AN$236)</f>
        <v>0</v>
      </c>
      <c r="AQ231" s="17"/>
      <c r="AR231" s="17"/>
      <c r="AS231" s="17"/>
      <c r="AT231" s="18">
        <f t="shared" ref="AT231:AT235" si="288">W231</f>
        <v>0</v>
      </c>
      <c r="AU231" s="19">
        <f>IF(AT$236=0,0,AT231/AT$236)</f>
        <v>0</v>
      </c>
      <c r="AW231" s="17"/>
      <c r="AX231" s="17"/>
      <c r="AY231" s="17"/>
      <c r="AZ231" s="18">
        <f t="shared" ref="AZ231:AZ235" si="289">X231</f>
        <v>0</v>
      </c>
      <c r="BA231" s="19">
        <f>IF(AZ$236=0,0,AZ231/AZ$236)</f>
        <v>0</v>
      </c>
    </row>
    <row r="232" spans="1:53" ht="17.100000000000001" customHeight="1" x14ac:dyDescent="0.25">
      <c r="A232" s="40"/>
      <c r="B232" s="248"/>
      <c r="C232" s="251"/>
      <c r="D232" s="74" t="s">
        <v>647</v>
      </c>
      <c r="E232" s="542" t="s">
        <v>525</v>
      </c>
      <c r="F232" s="75"/>
      <c r="G232" s="75"/>
      <c r="H232" s="540"/>
      <c r="I232" s="229"/>
      <c r="J232" s="583"/>
      <c r="K232" s="583"/>
      <c r="L232" s="584"/>
      <c r="M232" s="17">
        <f t="shared" si="283"/>
        <v>0</v>
      </c>
      <c r="N232" s="111"/>
      <c r="O232" s="111"/>
      <c r="P232" s="111"/>
      <c r="Q232" s="111"/>
      <c r="R232" s="111"/>
      <c r="S232" s="111"/>
      <c r="T232" s="111"/>
      <c r="U232" s="111"/>
      <c r="V232" s="358"/>
      <c r="W232" s="391">
        <f t="shared" si="284"/>
        <v>0</v>
      </c>
      <c r="X232" s="17">
        <f t="shared" si="285"/>
        <v>0</v>
      </c>
      <c r="Y232" s="18">
        <f>SUM(W232:X232)</f>
        <v>0</v>
      </c>
      <c r="Z232" s="19">
        <f t="shared" ref="Z232:Z236" si="290">IF(Y$236=0,0,Y232/Y$236)</f>
        <v>0</v>
      </c>
      <c r="AA232" s="19"/>
      <c r="AB232" s="19"/>
      <c r="AC232" s="84"/>
      <c r="AE232" s="17"/>
      <c r="AF232" s="17"/>
      <c r="AG232" s="17"/>
      <c r="AH232" s="18">
        <f t="shared" si="286"/>
        <v>0</v>
      </c>
      <c r="AI232" s="19">
        <f t="shared" ref="AI232:AI236" si="291">IF(AH$236=0,0,AH232/AH$236)</f>
        <v>0</v>
      </c>
      <c r="AK232" s="17"/>
      <c r="AL232" s="17"/>
      <c r="AM232" s="17"/>
      <c r="AN232" s="18">
        <f t="shared" si="287"/>
        <v>0</v>
      </c>
      <c r="AO232" s="19">
        <f t="shared" ref="AO232:AO236" si="292">IF(AN$236=0,0,AN232/AN$236)</f>
        <v>0</v>
      </c>
      <c r="AQ232" s="17"/>
      <c r="AR232" s="17"/>
      <c r="AS232" s="17"/>
      <c r="AT232" s="18">
        <f t="shared" si="288"/>
        <v>0</v>
      </c>
      <c r="AU232" s="19">
        <f t="shared" ref="AU232:AU236" si="293">IF(AT$236=0,0,AT232/AT$236)</f>
        <v>0</v>
      </c>
      <c r="AW232" s="17"/>
      <c r="AX232" s="17"/>
      <c r="AY232" s="17"/>
      <c r="AZ232" s="18">
        <f t="shared" si="289"/>
        <v>0</v>
      </c>
      <c r="BA232" s="19">
        <f t="shared" ref="BA232:BA236" si="294">IF(AZ$236=0,0,AZ232/AZ$236)</f>
        <v>0</v>
      </c>
    </row>
    <row r="233" spans="1:53" ht="17.100000000000001" customHeight="1" x14ac:dyDescent="0.25">
      <c r="A233" s="175"/>
      <c r="B233" s="248"/>
      <c r="C233" s="222"/>
      <c r="D233" s="74" t="s">
        <v>648</v>
      </c>
      <c r="E233" s="542" t="s">
        <v>526</v>
      </c>
      <c r="F233" s="151"/>
      <c r="G233" s="151"/>
      <c r="H233" s="119"/>
      <c r="I233" s="138"/>
      <c r="J233" s="581"/>
      <c r="K233" s="581"/>
      <c r="L233" s="582"/>
      <c r="M233" s="17">
        <f t="shared" si="283"/>
        <v>0</v>
      </c>
      <c r="N233" s="111"/>
      <c r="O233" s="111"/>
      <c r="P233" s="111"/>
      <c r="Q233" s="111"/>
      <c r="R233" s="111"/>
      <c r="S233" s="111"/>
      <c r="T233" s="111"/>
      <c r="U233" s="111"/>
      <c r="V233" s="358"/>
      <c r="W233" s="391">
        <f t="shared" si="284"/>
        <v>0</v>
      </c>
      <c r="X233" s="17">
        <f t="shared" si="285"/>
        <v>0</v>
      </c>
      <c r="Y233" s="18">
        <f>SUM(W233:X233)</f>
        <v>0</v>
      </c>
      <c r="Z233" s="19">
        <f t="shared" si="290"/>
        <v>0</v>
      </c>
      <c r="AA233" s="19"/>
      <c r="AB233" s="19"/>
      <c r="AC233" s="84"/>
      <c r="AE233" s="17"/>
      <c r="AF233" s="17"/>
      <c r="AG233" s="17"/>
      <c r="AH233" s="18">
        <f t="shared" si="286"/>
        <v>0</v>
      </c>
      <c r="AI233" s="19">
        <f t="shared" si="291"/>
        <v>0</v>
      </c>
      <c r="AK233" s="17"/>
      <c r="AL233" s="17"/>
      <c r="AM233" s="17"/>
      <c r="AN233" s="18">
        <f t="shared" si="287"/>
        <v>0</v>
      </c>
      <c r="AO233" s="19">
        <f t="shared" si="292"/>
        <v>0</v>
      </c>
      <c r="AQ233" s="17"/>
      <c r="AR233" s="17"/>
      <c r="AS233" s="17"/>
      <c r="AT233" s="18">
        <f t="shared" si="288"/>
        <v>0</v>
      </c>
      <c r="AU233" s="19">
        <f t="shared" si="293"/>
        <v>0</v>
      </c>
      <c r="AW233" s="17"/>
      <c r="AX233" s="17"/>
      <c r="AY233" s="17"/>
      <c r="AZ233" s="18">
        <f t="shared" si="289"/>
        <v>0</v>
      </c>
      <c r="BA233" s="19">
        <f t="shared" si="294"/>
        <v>0</v>
      </c>
    </row>
    <row r="234" spans="1:53" ht="17.100000000000001" customHeight="1" x14ac:dyDescent="0.25">
      <c r="A234" s="68"/>
      <c r="B234" s="249"/>
      <c r="C234" s="157"/>
      <c r="D234" s="74" t="s">
        <v>649</v>
      </c>
      <c r="E234" s="542" t="s">
        <v>527</v>
      </c>
      <c r="F234" s="105"/>
      <c r="G234" s="105"/>
      <c r="H234" s="119"/>
      <c r="J234" s="583"/>
      <c r="K234" s="583"/>
      <c r="L234" s="584"/>
      <c r="M234" s="17">
        <f t="shared" si="283"/>
        <v>0</v>
      </c>
      <c r="N234" s="111"/>
      <c r="O234" s="111"/>
      <c r="P234" s="111"/>
      <c r="Q234" s="111"/>
      <c r="R234" s="111"/>
      <c r="S234" s="111"/>
      <c r="T234" s="111"/>
      <c r="U234" s="111"/>
      <c r="V234" s="358"/>
      <c r="W234" s="391">
        <f t="shared" si="284"/>
        <v>0</v>
      </c>
      <c r="X234" s="17">
        <f t="shared" si="285"/>
        <v>0</v>
      </c>
      <c r="Y234" s="18">
        <f>SUM(W234:X234)</f>
        <v>0</v>
      </c>
      <c r="Z234" s="19">
        <f t="shared" si="290"/>
        <v>0</v>
      </c>
      <c r="AA234" s="19"/>
      <c r="AB234" s="19"/>
      <c r="AC234" s="84"/>
      <c r="AE234" s="17"/>
      <c r="AF234" s="17"/>
      <c r="AG234" s="17"/>
      <c r="AH234" s="18">
        <f t="shared" si="286"/>
        <v>0</v>
      </c>
      <c r="AI234" s="19">
        <f t="shared" si="291"/>
        <v>0</v>
      </c>
      <c r="AK234" s="17"/>
      <c r="AL234" s="17"/>
      <c r="AM234" s="17"/>
      <c r="AN234" s="18">
        <f t="shared" si="287"/>
        <v>0</v>
      </c>
      <c r="AO234" s="19">
        <f t="shared" si="292"/>
        <v>0</v>
      </c>
      <c r="AQ234" s="17"/>
      <c r="AR234" s="17"/>
      <c r="AS234" s="17"/>
      <c r="AT234" s="18">
        <f t="shared" si="288"/>
        <v>0</v>
      </c>
      <c r="AU234" s="19">
        <f t="shared" si="293"/>
        <v>0</v>
      </c>
      <c r="AW234" s="17"/>
      <c r="AX234" s="17"/>
      <c r="AY234" s="17"/>
      <c r="AZ234" s="18">
        <f t="shared" si="289"/>
        <v>0</v>
      </c>
      <c r="BA234" s="19">
        <f t="shared" si="294"/>
        <v>0</v>
      </c>
    </row>
    <row r="235" spans="1:53" ht="17.100000000000001" customHeight="1" x14ac:dyDescent="0.25">
      <c r="A235" s="40"/>
      <c r="B235" s="248"/>
      <c r="C235" s="250"/>
      <c r="D235" s="74" t="s">
        <v>650</v>
      </c>
      <c r="E235" s="542" t="s">
        <v>528</v>
      </c>
      <c r="F235" s="75"/>
      <c r="G235" s="75"/>
      <c r="H235" s="540"/>
      <c r="I235" s="229"/>
      <c r="J235" s="581"/>
      <c r="K235" s="581"/>
      <c r="L235" s="582"/>
      <c r="M235" s="17">
        <f t="shared" si="283"/>
        <v>0</v>
      </c>
      <c r="N235" s="111"/>
      <c r="O235" s="111"/>
      <c r="P235" s="111"/>
      <c r="Q235" s="111"/>
      <c r="R235" s="111"/>
      <c r="S235" s="111"/>
      <c r="T235" s="111"/>
      <c r="U235" s="111"/>
      <c r="V235" s="358"/>
      <c r="W235" s="391">
        <f t="shared" si="284"/>
        <v>0</v>
      </c>
      <c r="X235" s="17">
        <f t="shared" si="285"/>
        <v>0</v>
      </c>
      <c r="Y235" s="18">
        <f>SUM(W235:X235)</f>
        <v>0</v>
      </c>
      <c r="Z235" s="19">
        <f t="shared" si="290"/>
        <v>0</v>
      </c>
      <c r="AA235" s="19"/>
      <c r="AB235" s="19"/>
      <c r="AC235" s="84"/>
      <c r="AE235" s="17"/>
      <c r="AF235" s="17"/>
      <c r="AG235" s="17"/>
      <c r="AH235" s="18">
        <f t="shared" si="286"/>
        <v>0</v>
      </c>
      <c r="AI235" s="19">
        <f t="shared" si="291"/>
        <v>0</v>
      </c>
      <c r="AK235" s="17"/>
      <c r="AL235" s="17"/>
      <c r="AM235" s="17"/>
      <c r="AN235" s="18">
        <f t="shared" si="287"/>
        <v>0</v>
      </c>
      <c r="AO235" s="19">
        <f t="shared" si="292"/>
        <v>0</v>
      </c>
      <c r="AQ235" s="17"/>
      <c r="AR235" s="17"/>
      <c r="AS235" s="17"/>
      <c r="AT235" s="18">
        <f t="shared" si="288"/>
        <v>0</v>
      </c>
      <c r="AU235" s="19">
        <f t="shared" si="293"/>
        <v>0</v>
      </c>
      <c r="AW235" s="17"/>
      <c r="AX235" s="17"/>
      <c r="AY235" s="17"/>
      <c r="AZ235" s="18">
        <f t="shared" si="289"/>
        <v>0</v>
      </c>
      <c r="BA235" s="19">
        <f t="shared" si="294"/>
        <v>0</v>
      </c>
    </row>
    <row r="236" spans="1:53" ht="17.100000000000001" customHeight="1" x14ac:dyDescent="0.25">
      <c r="A236" s="40"/>
      <c r="B236" s="40"/>
      <c r="C236" s="77"/>
      <c r="D236" s="144"/>
      <c r="E236" s="144"/>
      <c r="F236" s="145"/>
      <c r="G236" s="145"/>
      <c r="H236" s="119"/>
      <c r="I236" s="236"/>
      <c r="J236" s="64">
        <f>SUM(J231:J235)</f>
        <v>0</v>
      </c>
      <c r="K236" s="64">
        <f t="shared" ref="K236:M236" si="295">SUM(K231:K235)</f>
        <v>0</v>
      </c>
      <c r="L236" s="64">
        <f t="shared" si="295"/>
        <v>0</v>
      </c>
      <c r="M236" s="64">
        <f t="shared" si="295"/>
        <v>0</v>
      </c>
      <c r="N236" s="81"/>
      <c r="O236" s="81"/>
      <c r="P236" s="81"/>
      <c r="Q236" s="81"/>
      <c r="R236" s="81"/>
      <c r="S236" s="81"/>
      <c r="T236" s="81"/>
      <c r="U236" s="81"/>
      <c r="V236" s="356"/>
      <c r="W236" s="381">
        <f>SUM(W231:W235)</f>
        <v>0</v>
      </c>
      <c r="X236" s="82">
        <f t="shared" ref="X236:Y236" si="296">SUM(X231:X235)</f>
        <v>0</v>
      </c>
      <c r="Y236" s="82">
        <f t="shared" si="296"/>
        <v>0</v>
      </c>
      <c r="Z236" s="205">
        <f t="shared" si="290"/>
        <v>0</v>
      </c>
      <c r="AA236" s="205"/>
      <c r="AB236" s="205"/>
      <c r="AC236" s="83"/>
      <c r="AE236" s="80"/>
      <c r="AF236" s="80"/>
      <c r="AG236" s="81"/>
      <c r="AH236" s="82">
        <f>SUM(AH231:AH235)</f>
        <v>0</v>
      </c>
      <c r="AI236" s="66">
        <f t="shared" si="291"/>
        <v>0</v>
      </c>
      <c r="AK236" s="80"/>
      <c r="AL236" s="80"/>
      <c r="AM236" s="81"/>
      <c r="AN236" s="82">
        <f>SUM(AN231:AN235)</f>
        <v>0</v>
      </c>
      <c r="AO236" s="66">
        <f t="shared" si="292"/>
        <v>0</v>
      </c>
      <c r="AQ236" s="80"/>
      <c r="AR236" s="80"/>
      <c r="AS236" s="81"/>
      <c r="AT236" s="82">
        <f>SUM(AT231:AT235)</f>
        <v>0</v>
      </c>
      <c r="AU236" s="66">
        <f t="shared" si="293"/>
        <v>0</v>
      </c>
      <c r="AW236" s="80"/>
      <c r="AX236" s="80"/>
      <c r="AY236" s="81"/>
      <c r="AZ236" s="82">
        <f>SUM(AZ231:AZ235)</f>
        <v>0</v>
      </c>
      <c r="BA236" s="66">
        <f t="shared" si="294"/>
        <v>0</v>
      </c>
    </row>
    <row r="237" spans="1:53" s="117" customFormat="1" ht="17.100000000000001" customHeight="1" x14ac:dyDescent="0.25">
      <c r="A237" s="68"/>
      <c r="B237" s="119"/>
      <c r="C237" s="540"/>
      <c r="D237" s="261"/>
      <c r="E237" s="261"/>
      <c r="F237" s="68"/>
      <c r="G237" s="68"/>
      <c r="H237" s="119"/>
      <c r="I237" s="138"/>
      <c r="J237" s="17" t="str">
        <f>IF(J236=J$15,"OK","NOK")</f>
        <v>OK</v>
      </c>
      <c r="K237" s="17" t="str">
        <f t="shared" ref="K237:L237" si="297">IF(K236=K$15,"OK","NOK")</f>
        <v>OK</v>
      </c>
      <c r="L237" s="17" t="str">
        <f t="shared" si="297"/>
        <v>OK</v>
      </c>
      <c r="M237" s="17"/>
      <c r="N237" s="17"/>
      <c r="O237" s="17"/>
      <c r="P237" s="17"/>
      <c r="Q237" s="17"/>
      <c r="R237" s="17"/>
      <c r="S237" s="17"/>
      <c r="T237" s="17"/>
      <c r="U237" s="17"/>
      <c r="V237" s="359"/>
      <c r="W237" s="382"/>
      <c r="X237" s="539"/>
      <c r="Y237" s="539"/>
      <c r="Z237" s="201"/>
      <c r="AA237" s="201"/>
      <c r="AB237" s="201"/>
      <c r="AC237" s="84"/>
      <c r="AE237" s="46"/>
      <c r="AF237" s="46"/>
      <c r="AG237" s="17"/>
      <c r="AH237" s="539"/>
      <c r="AI237" s="91"/>
      <c r="AK237" s="46"/>
      <c r="AL237" s="46"/>
      <c r="AM237" s="17"/>
      <c r="AN237" s="539"/>
      <c r="AO237" s="91"/>
      <c r="AQ237" s="46"/>
      <c r="AR237" s="46"/>
      <c r="AS237" s="17"/>
      <c r="AT237" s="539"/>
      <c r="AU237" s="91"/>
      <c r="AW237" s="46"/>
      <c r="AX237" s="46"/>
      <c r="AY237" s="17"/>
      <c r="AZ237" s="539"/>
      <c r="BA237" s="91"/>
    </row>
    <row r="238" spans="1:53" ht="17.100000000000001" customHeight="1" x14ac:dyDescent="0.25">
      <c r="A238" s="68"/>
      <c r="B238" s="40"/>
      <c r="C238" s="74" t="s">
        <v>651</v>
      </c>
      <c r="D238" s="147" t="s">
        <v>529</v>
      </c>
      <c r="E238" s="105"/>
      <c r="F238" s="105"/>
      <c r="G238" s="105"/>
      <c r="H238" s="243">
        <v>145</v>
      </c>
      <c r="J238" s="111"/>
      <c r="K238" s="111"/>
      <c r="L238" s="111"/>
      <c r="M238" s="111"/>
      <c r="N238" s="111"/>
      <c r="O238" s="111"/>
      <c r="P238" s="111"/>
      <c r="Q238" s="111"/>
      <c r="R238" s="111"/>
      <c r="S238" s="111"/>
      <c r="T238" s="111"/>
      <c r="U238" s="111"/>
      <c r="V238" s="358"/>
      <c r="W238" s="380"/>
      <c r="X238" s="111"/>
      <c r="Y238" s="112"/>
      <c r="Z238" s="113"/>
      <c r="AA238" s="113"/>
      <c r="AB238" s="113"/>
      <c r="AC238" s="113"/>
      <c r="AE238" s="71"/>
      <c r="AF238" s="71"/>
      <c r="AG238" s="71"/>
      <c r="AH238" s="72"/>
      <c r="AI238" s="73"/>
      <c r="AK238" s="71"/>
      <c r="AL238" s="71"/>
      <c r="AM238" s="71"/>
      <c r="AN238" s="72"/>
      <c r="AO238" s="73"/>
      <c r="AQ238" s="71"/>
      <c r="AR238" s="71"/>
      <c r="AS238" s="71"/>
      <c r="AT238" s="72"/>
      <c r="AU238" s="73"/>
      <c r="AW238" s="71"/>
      <c r="AX238" s="71"/>
      <c r="AY238" s="71"/>
      <c r="AZ238" s="72"/>
      <c r="BA238" s="73"/>
    </row>
    <row r="239" spans="1:53" ht="17.100000000000001" customHeight="1" x14ac:dyDescent="0.25">
      <c r="A239" s="40"/>
      <c r="B239" s="40"/>
      <c r="C239" s="137"/>
      <c r="D239" s="74" t="s">
        <v>652</v>
      </c>
      <c r="E239" s="542" t="s">
        <v>523</v>
      </c>
      <c r="F239" s="75"/>
      <c r="G239" s="75"/>
      <c r="H239" s="540"/>
      <c r="I239" s="229"/>
      <c r="J239" s="581"/>
      <c r="K239" s="581"/>
      <c r="L239" s="582"/>
      <c r="M239" s="17">
        <f t="shared" ref="M239:M243" si="298">SUM(J239:L239)</f>
        <v>0</v>
      </c>
      <c r="N239" s="111"/>
      <c r="O239" s="111"/>
      <c r="P239" s="111"/>
      <c r="Q239" s="111"/>
      <c r="R239" s="111"/>
      <c r="S239" s="111"/>
      <c r="T239" s="111"/>
      <c r="U239" s="111"/>
      <c r="V239" s="358"/>
      <c r="W239" s="391">
        <f t="shared" ref="W239:W243" si="299">J239+K239+N239+Q239+T239</f>
        <v>0</v>
      </c>
      <c r="X239" s="17">
        <f t="shared" ref="X239:X243" si="300">L239+O239+R239+U239</f>
        <v>0</v>
      </c>
      <c r="Y239" s="18">
        <f>SUM(W239:X239)</f>
        <v>0</v>
      </c>
      <c r="Z239" s="19">
        <f>IF(Y$244=0,0,Y239/Y$244)</f>
        <v>0</v>
      </c>
      <c r="AA239" s="19"/>
      <c r="AB239" s="19"/>
      <c r="AC239" s="84"/>
      <c r="AE239" s="17"/>
      <c r="AF239" s="17"/>
      <c r="AG239" s="17"/>
      <c r="AH239" s="18">
        <f t="shared" ref="AH239:AH243" si="301">J239</f>
        <v>0</v>
      </c>
      <c r="AI239" s="19">
        <f>IF(AH$244=0,0,AH239/AH$244)</f>
        <v>0</v>
      </c>
      <c r="AK239" s="17"/>
      <c r="AL239" s="17"/>
      <c r="AM239" s="17"/>
      <c r="AN239" s="18">
        <f t="shared" ref="AN239:AN243" si="302">K239</f>
        <v>0</v>
      </c>
      <c r="AO239" s="19">
        <f>IF(AN$244=0,0,AN239/AN$244)</f>
        <v>0</v>
      </c>
      <c r="AQ239" s="17"/>
      <c r="AR239" s="17"/>
      <c r="AS239" s="17"/>
      <c r="AT239" s="18">
        <f t="shared" ref="AT239:AT243" si="303">W239</f>
        <v>0</v>
      </c>
      <c r="AU239" s="19">
        <f>IF(AT$244=0,0,AT239/AT$244)</f>
        <v>0</v>
      </c>
      <c r="AW239" s="17"/>
      <c r="AX239" s="17"/>
      <c r="AY239" s="17"/>
      <c r="AZ239" s="18">
        <f t="shared" ref="AZ239:AZ243" si="304">X239</f>
        <v>0</v>
      </c>
      <c r="BA239" s="19">
        <f>IF(AZ$244=0,0,AZ239/AZ$244)</f>
        <v>0</v>
      </c>
    </row>
    <row r="240" spans="1:53" ht="17.100000000000001" customHeight="1" x14ac:dyDescent="0.25">
      <c r="A240" s="40"/>
      <c r="B240" s="248"/>
      <c r="C240" s="251"/>
      <c r="D240" s="74" t="s">
        <v>653</v>
      </c>
      <c r="E240" s="542" t="s">
        <v>525</v>
      </c>
      <c r="F240" s="75"/>
      <c r="G240" s="75"/>
      <c r="H240" s="540"/>
      <c r="I240" s="229"/>
      <c r="J240" s="583"/>
      <c r="K240" s="583"/>
      <c r="L240" s="584"/>
      <c r="M240" s="17">
        <f t="shared" si="298"/>
        <v>0</v>
      </c>
      <c r="N240" s="111"/>
      <c r="O240" s="111"/>
      <c r="P240" s="111"/>
      <c r="Q240" s="111"/>
      <c r="R240" s="111"/>
      <c r="S240" s="111"/>
      <c r="T240" s="111"/>
      <c r="U240" s="111"/>
      <c r="V240" s="358"/>
      <c r="W240" s="391">
        <f t="shared" si="299"/>
        <v>0</v>
      </c>
      <c r="X240" s="17">
        <f t="shared" si="300"/>
        <v>0</v>
      </c>
      <c r="Y240" s="18">
        <f>SUM(W240:X240)</f>
        <v>0</v>
      </c>
      <c r="Z240" s="19">
        <f t="shared" ref="Z240:Z244" si="305">IF(Y$244=0,0,Y240/Y$244)</f>
        <v>0</v>
      </c>
      <c r="AA240" s="19"/>
      <c r="AB240" s="19"/>
      <c r="AC240" s="84"/>
      <c r="AE240" s="17"/>
      <c r="AF240" s="17"/>
      <c r="AG240" s="17"/>
      <c r="AH240" s="18">
        <f t="shared" si="301"/>
        <v>0</v>
      </c>
      <c r="AI240" s="19">
        <f t="shared" ref="AI240:AI244" si="306">IF(AH$244=0,0,AH240/AH$244)</f>
        <v>0</v>
      </c>
      <c r="AK240" s="17"/>
      <c r="AL240" s="17"/>
      <c r="AM240" s="17"/>
      <c r="AN240" s="18">
        <f t="shared" si="302"/>
        <v>0</v>
      </c>
      <c r="AO240" s="19">
        <f t="shared" ref="AO240:AO244" si="307">IF(AN$244=0,0,AN240/AN$244)</f>
        <v>0</v>
      </c>
      <c r="AQ240" s="17"/>
      <c r="AR240" s="17"/>
      <c r="AS240" s="17"/>
      <c r="AT240" s="18">
        <f t="shared" si="303"/>
        <v>0</v>
      </c>
      <c r="AU240" s="19">
        <f t="shared" ref="AU240:AU244" si="308">IF(AT$244=0,0,AT240/AT$244)</f>
        <v>0</v>
      </c>
      <c r="AW240" s="17"/>
      <c r="AX240" s="17"/>
      <c r="AY240" s="17"/>
      <c r="AZ240" s="18">
        <f t="shared" si="304"/>
        <v>0</v>
      </c>
      <c r="BA240" s="19">
        <f t="shared" ref="BA240:BA244" si="309">IF(AZ$244=0,0,AZ240/AZ$244)</f>
        <v>0</v>
      </c>
    </row>
    <row r="241" spans="1:53" ht="17.100000000000001" customHeight="1" x14ac:dyDescent="0.25">
      <c r="A241" s="175"/>
      <c r="B241" s="248"/>
      <c r="C241" s="222"/>
      <c r="D241" s="74" t="s">
        <v>654</v>
      </c>
      <c r="E241" s="542" t="s">
        <v>526</v>
      </c>
      <c r="F241" s="151"/>
      <c r="G241" s="151"/>
      <c r="H241" s="119"/>
      <c r="I241" s="138"/>
      <c r="J241" s="581"/>
      <c r="K241" s="581"/>
      <c r="L241" s="582"/>
      <c r="M241" s="17">
        <f t="shared" si="298"/>
        <v>0</v>
      </c>
      <c r="N241" s="111"/>
      <c r="O241" s="111"/>
      <c r="P241" s="111"/>
      <c r="Q241" s="111"/>
      <c r="R241" s="111"/>
      <c r="S241" s="111"/>
      <c r="T241" s="111"/>
      <c r="U241" s="111"/>
      <c r="V241" s="358"/>
      <c r="W241" s="391">
        <f t="shared" si="299"/>
        <v>0</v>
      </c>
      <c r="X241" s="17">
        <f t="shared" si="300"/>
        <v>0</v>
      </c>
      <c r="Y241" s="18">
        <f>SUM(W241:X241)</f>
        <v>0</v>
      </c>
      <c r="Z241" s="19">
        <f t="shared" si="305"/>
        <v>0</v>
      </c>
      <c r="AA241" s="19"/>
      <c r="AB241" s="19"/>
      <c r="AC241" s="84"/>
      <c r="AE241" s="17"/>
      <c r="AF241" s="17"/>
      <c r="AG241" s="17"/>
      <c r="AH241" s="18">
        <f t="shared" si="301"/>
        <v>0</v>
      </c>
      <c r="AI241" s="19">
        <f t="shared" si="306"/>
        <v>0</v>
      </c>
      <c r="AK241" s="17"/>
      <c r="AL241" s="17"/>
      <c r="AM241" s="17"/>
      <c r="AN241" s="18">
        <f t="shared" si="302"/>
        <v>0</v>
      </c>
      <c r="AO241" s="19">
        <f t="shared" si="307"/>
        <v>0</v>
      </c>
      <c r="AQ241" s="17"/>
      <c r="AR241" s="17"/>
      <c r="AS241" s="17"/>
      <c r="AT241" s="18">
        <f t="shared" si="303"/>
        <v>0</v>
      </c>
      <c r="AU241" s="19">
        <f t="shared" si="308"/>
        <v>0</v>
      </c>
      <c r="AW241" s="17"/>
      <c r="AX241" s="17"/>
      <c r="AY241" s="17"/>
      <c r="AZ241" s="18">
        <f t="shared" si="304"/>
        <v>0</v>
      </c>
      <c r="BA241" s="19">
        <f t="shared" si="309"/>
        <v>0</v>
      </c>
    </row>
    <row r="242" spans="1:53" ht="17.100000000000001" customHeight="1" x14ac:dyDescent="0.25">
      <c r="A242" s="68"/>
      <c r="B242" s="249"/>
      <c r="C242" s="157"/>
      <c r="D242" s="74" t="s">
        <v>655</v>
      </c>
      <c r="E242" s="542" t="s">
        <v>527</v>
      </c>
      <c r="F242" s="105"/>
      <c r="G242" s="105"/>
      <c r="H242" s="119"/>
      <c r="J242" s="583"/>
      <c r="K242" s="583"/>
      <c r="L242" s="584"/>
      <c r="M242" s="17">
        <f t="shared" si="298"/>
        <v>0</v>
      </c>
      <c r="N242" s="111"/>
      <c r="O242" s="111"/>
      <c r="P242" s="111"/>
      <c r="Q242" s="111"/>
      <c r="R242" s="111"/>
      <c r="S242" s="111"/>
      <c r="T242" s="111"/>
      <c r="U242" s="111"/>
      <c r="V242" s="358"/>
      <c r="W242" s="391">
        <f t="shared" si="299"/>
        <v>0</v>
      </c>
      <c r="X242" s="17">
        <f t="shared" si="300"/>
        <v>0</v>
      </c>
      <c r="Y242" s="18">
        <f>SUM(W242:X242)</f>
        <v>0</v>
      </c>
      <c r="Z242" s="19">
        <f t="shared" si="305"/>
        <v>0</v>
      </c>
      <c r="AA242" s="19"/>
      <c r="AB242" s="19"/>
      <c r="AC242" s="84"/>
      <c r="AE242" s="17"/>
      <c r="AF242" s="17"/>
      <c r="AG242" s="17"/>
      <c r="AH242" s="18">
        <f t="shared" si="301"/>
        <v>0</v>
      </c>
      <c r="AI242" s="19">
        <f t="shared" si="306"/>
        <v>0</v>
      </c>
      <c r="AK242" s="17"/>
      <c r="AL242" s="17"/>
      <c r="AM242" s="17"/>
      <c r="AN242" s="18">
        <f t="shared" si="302"/>
        <v>0</v>
      </c>
      <c r="AO242" s="19">
        <f t="shared" si="307"/>
        <v>0</v>
      </c>
      <c r="AQ242" s="17"/>
      <c r="AR242" s="17"/>
      <c r="AS242" s="17"/>
      <c r="AT242" s="18">
        <f t="shared" si="303"/>
        <v>0</v>
      </c>
      <c r="AU242" s="19">
        <f t="shared" si="308"/>
        <v>0</v>
      </c>
      <c r="AW242" s="17"/>
      <c r="AX242" s="17"/>
      <c r="AY242" s="17"/>
      <c r="AZ242" s="18">
        <f t="shared" si="304"/>
        <v>0</v>
      </c>
      <c r="BA242" s="19">
        <f t="shared" si="309"/>
        <v>0</v>
      </c>
    </row>
    <row r="243" spans="1:53" ht="17.100000000000001" customHeight="1" x14ac:dyDescent="0.25">
      <c r="A243" s="40"/>
      <c r="B243" s="248"/>
      <c r="C243" s="250"/>
      <c r="D243" s="74" t="s">
        <v>656</v>
      </c>
      <c r="E243" s="542" t="s">
        <v>528</v>
      </c>
      <c r="F243" s="75"/>
      <c r="G243" s="75"/>
      <c r="H243" s="540"/>
      <c r="I243" s="229"/>
      <c r="J243" s="581"/>
      <c r="K243" s="581"/>
      <c r="L243" s="582"/>
      <c r="M243" s="17">
        <f t="shared" si="298"/>
        <v>0</v>
      </c>
      <c r="N243" s="111"/>
      <c r="O243" s="111"/>
      <c r="P243" s="111"/>
      <c r="Q243" s="111"/>
      <c r="R243" s="111"/>
      <c r="S243" s="111"/>
      <c r="T243" s="111"/>
      <c r="U243" s="111"/>
      <c r="V243" s="358"/>
      <c r="W243" s="391">
        <f t="shared" si="299"/>
        <v>0</v>
      </c>
      <c r="X243" s="17">
        <f t="shared" si="300"/>
        <v>0</v>
      </c>
      <c r="Y243" s="18">
        <f>SUM(W243:X243)</f>
        <v>0</v>
      </c>
      <c r="Z243" s="19">
        <f t="shared" si="305"/>
        <v>0</v>
      </c>
      <c r="AA243" s="19"/>
      <c r="AB243" s="19"/>
      <c r="AC243" s="84"/>
      <c r="AE243" s="17"/>
      <c r="AF243" s="17"/>
      <c r="AG243" s="17"/>
      <c r="AH243" s="18">
        <f t="shared" si="301"/>
        <v>0</v>
      </c>
      <c r="AI243" s="19">
        <f t="shared" si="306"/>
        <v>0</v>
      </c>
      <c r="AK243" s="17"/>
      <c r="AL243" s="17"/>
      <c r="AM243" s="17"/>
      <c r="AN243" s="18">
        <f t="shared" si="302"/>
        <v>0</v>
      </c>
      <c r="AO243" s="19">
        <f t="shared" si="307"/>
        <v>0</v>
      </c>
      <c r="AQ243" s="17"/>
      <c r="AR243" s="17"/>
      <c r="AS243" s="17"/>
      <c r="AT243" s="18">
        <f t="shared" si="303"/>
        <v>0</v>
      </c>
      <c r="AU243" s="19">
        <f t="shared" si="308"/>
        <v>0</v>
      </c>
      <c r="AW243" s="17"/>
      <c r="AX243" s="17"/>
      <c r="AY243" s="17"/>
      <c r="AZ243" s="18">
        <f t="shared" si="304"/>
        <v>0</v>
      </c>
      <c r="BA243" s="19">
        <f t="shared" si="309"/>
        <v>0</v>
      </c>
    </row>
    <row r="244" spans="1:53" ht="17.100000000000001" customHeight="1" x14ac:dyDescent="0.25">
      <c r="A244" s="40"/>
      <c r="B244" s="40"/>
      <c r="C244" s="77"/>
      <c r="D244" s="144"/>
      <c r="E244" s="144"/>
      <c r="F244" s="145"/>
      <c r="G244" s="145"/>
      <c r="H244" s="119"/>
      <c r="I244" s="236"/>
      <c r="J244" s="64">
        <f>SUM(J239:J243)</f>
        <v>0</v>
      </c>
      <c r="K244" s="64">
        <f t="shared" ref="K244:M244" si="310">SUM(K239:K243)</f>
        <v>0</v>
      </c>
      <c r="L244" s="64">
        <f t="shared" si="310"/>
        <v>0</v>
      </c>
      <c r="M244" s="64">
        <f t="shared" si="310"/>
        <v>0</v>
      </c>
      <c r="N244" s="81"/>
      <c r="O244" s="81"/>
      <c r="P244" s="81"/>
      <c r="Q244" s="81"/>
      <c r="R244" s="81"/>
      <c r="S244" s="81"/>
      <c r="T244" s="81"/>
      <c r="U244" s="81"/>
      <c r="V244" s="356"/>
      <c r="W244" s="381">
        <f>SUM(W239:W243)</f>
        <v>0</v>
      </c>
      <c r="X244" s="82">
        <f t="shared" ref="X244:Y244" si="311">SUM(X239:X243)</f>
        <v>0</v>
      </c>
      <c r="Y244" s="82">
        <f t="shared" si="311"/>
        <v>0</v>
      </c>
      <c r="Z244" s="205">
        <f t="shared" si="305"/>
        <v>0</v>
      </c>
      <c r="AA244" s="205"/>
      <c r="AB244" s="205"/>
      <c r="AC244" s="83"/>
      <c r="AE244" s="80"/>
      <c r="AF244" s="80"/>
      <c r="AG244" s="81"/>
      <c r="AH244" s="82">
        <f>SUM(AH239:AH243)</f>
        <v>0</v>
      </c>
      <c r="AI244" s="66">
        <f t="shared" si="306"/>
        <v>0</v>
      </c>
      <c r="AK244" s="80"/>
      <c r="AL244" s="80"/>
      <c r="AM244" s="81"/>
      <c r="AN244" s="82">
        <f>SUM(AN239:AN243)</f>
        <v>0</v>
      </c>
      <c r="AO244" s="66">
        <f t="shared" si="307"/>
        <v>0</v>
      </c>
      <c r="AQ244" s="80"/>
      <c r="AR244" s="80"/>
      <c r="AS244" s="81"/>
      <c r="AT244" s="82">
        <f>SUM(AT239:AT243)</f>
        <v>0</v>
      </c>
      <c r="AU244" s="66">
        <f t="shared" si="308"/>
        <v>0</v>
      </c>
      <c r="AW244" s="80"/>
      <c r="AX244" s="80"/>
      <c r="AY244" s="81"/>
      <c r="AZ244" s="82">
        <f>SUM(AZ239:AZ243)</f>
        <v>0</v>
      </c>
      <c r="BA244" s="66">
        <f t="shared" si="309"/>
        <v>0</v>
      </c>
    </row>
    <row r="245" spans="1:53" s="117" customFormat="1" ht="17.100000000000001" customHeight="1" x14ac:dyDescent="0.25">
      <c r="A245" s="68"/>
      <c r="B245" s="119"/>
      <c r="C245" s="540"/>
      <c r="D245" s="261"/>
      <c r="E245" s="261"/>
      <c r="F245" s="68"/>
      <c r="G245" s="68"/>
      <c r="H245" s="119"/>
      <c r="I245" s="138"/>
      <c r="J245" s="17" t="str">
        <f>IF(J244=J$15,"OK","NOK")</f>
        <v>OK</v>
      </c>
      <c r="K245" s="17" t="str">
        <f t="shared" ref="K245:L245" si="312">IF(K244=K$15,"OK","NOK")</f>
        <v>OK</v>
      </c>
      <c r="L245" s="17" t="str">
        <f t="shared" si="312"/>
        <v>OK</v>
      </c>
      <c r="M245" s="17"/>
      <c r="N245" s="17"/>
      <c r="O245" s="17"/>
      <c r="P245" s="17"/>
      <c r="Q245" s="17"/>
      <c r="R245" s="17"/>
      <c r="S245" s="17"/>
      <c r="T245" s="17"/>
      <c r="U245" s="17"/>
      <c r="V245" s="359"/>
      <c r="W245" s="382"/>
      <c r="X245" s="539"/>
      <c r="Y245" s="539"/>
      <c r="Z245" s="201"/>
      <c r="AA245" s="201"/>
      <c r="AB245" s="201"/>
      <c r="AC245" s="84"/>
      <c r="AE245" s="46"/>
      <c r="AF245" s="46"/>
      <c r="AG245" s="17"/>
      <c r="AH245" s="539"/>
      <c r="AI245" s="91"/>
      <c r="AK245" s="46"/>
      <c r="AL245" s="46"/>
      <c r="AM245" s="17"/>
      <c r="AN245" s="539"/>
      <c r="AO245" s="91"/>
      <c r="AQ245" s="46"/>
      <c r="AR245" s="46"/>
      <c r="AS245" s="17"/>
      <c r="AT245" s="539"/>
      <c r="AU245" s="91"/>
      <c r="AW245" s="46"/>
      <c r="AX245" s="46"/>
      <c r="AY245" s="17"/>
      <c r="AZ245" s="539"/>
      <c r="BA245" s="91"/>
    </row>
    <row r="246" spans="1:53" ht="17.100000000000001" customHeight="1" x14ac:dyDescent="0.25">
      <c r="A246" s="68"/>
      <c r="B246" s="41" t="s">
        <v>956</v>
      </c>
      <c r="C246" s="69" t="s">
        <v>12</v>
      </c>
      <c r="D246" s="50"/>
      <c r="E246" s="70"/>
      <c r="F246" s="70"/>
      <c r="G246" s="70"/>
      <c r="H246" s="119"/>
      <c r="J246" s="71"/>
      <c r="K246" s="71"/>
      <c r="L246" s="71"/>
      <c r="M246" s="71"/>
      <c r="N246" s="71"/>
      <c r="O246" s="71"/>
      <c r="P246" s="71"/>
      <c r="Q246" s="71"/>
      <c r="R246" s="71"/>
      <c r="S246" s="71"/>
      <c r="T246" s="71"/>
      <c r="U246" s="71"/>
      <c r="V246" s="355"/>
      <c r="W246" s="377"/>
      <c r="X246" s="71"/>
      <c r="Y246" s="72"/>
      <c r="Z246" s="73"/>
      <c r="AA246" s="73"/>
      <c r="AB246" s="73"/>
      <c r="AC246" s="73"/>
      <c r="AE246" s="71"/>
      <c r="AF246" s="71"/>
      <c r="AG246" s="71"/>
      <c r="AH246" s="72"/>
      <c r="AI246" s="73"/>
      <c r="AK246" s="71"/>
      <c r="AL246" s="71"/>
      <c r="AM246" s="71"/>
      <c r="AN246" s="72"/>
      <c r="AO246" s="73"/>
      <c r="AQ246" s="71"/>
      <c r="AR246" s="71"/>
      <c r="AS246" s="71"/>
      <c r="AT246" s="72"/>
      <c r="AU246" s="73"/>
      <c r="AW246" s="71"/>
      <c r="AX246" s="71"/>
      <c r="AY246" s="71"/>
      <c r="AZ246" s="72"/>
      <c r="BA246" s="73"/>
    </row>
    <row r="247" spans="1:53" ht="17.100000000000001" customHeight="1" x14ac:dyDescent="0.25">
      <c r="A247" s="40"/>
      <c r="B247" s="40"/>
      <c r="C247" s="41" t="s">
        <v>957</v>
      </c>
      <c r="D247" s="476" t="s">
        <v>955</v>
      </c>
      <c r="E247" s="322"/>
      <c r="F247" s="301"/>
      <c r="G247" s="301"/>
      <c r="H247" s="119"/>
      <c r="I247" s="236"/>
      <c r="J247" s="87"/>
      <c r="K247" s="87"/>
      <c r="L247" s="71"/>
      <c r="M247" s="71"/>
      <c r="N247" s="71"/>
      <c r="O247" s="71"/>
      <c r="P247" s="71"/>
      <c r="Q247" s="71"/>
      <c r="R247" s="71"/>
      <c r="S247" s="71"/>
      <c r="T247" s="71"/>
      <c r="U247" s="71"/>
      <c r="V247" s="355"/>
      <c r="W247" s="377"/>
      <c r="X247" s="71"/>
      <c r="Y247" s="89"/>
      <c r="Z247" s="90"/>
      <c r="AA247" s="90"/>
      <c r="AB247" s="90"/>
      <c r="AC247" s="73"/>
      <c r="AE247" s="87"/>
      <c r="AF247" s="87"/>
      <c r="AG247" s="71"/>
      <c r="AH247" s="89"/>
      <c r="AI247" s="90"/>
      <c r="AK247" s="87"/>
      <c r="AL247" s="87"/>
      <c r="AM247" s="71"/>
      <c r="AN247" s="89"/>
      <c r="AO247" s="90"/>
      <c r="AQ247" s="87"/>
      <c r="AR247" s="87"/>
      <c r="AS247" s="71"/>
      <c r="AT247" s="89"/>
      <c r="AU247" s="90"/>
      <c r="AW247" s="87"/>
      <c r="AX247" s="87"/>
      <c r="AY247" s="71"/>
      <c r="AZ247" s="89"/>
      <c r="BA247" s="90"/>
    </row>
    <row r="248" spans="1:53" ht="17.100000000000001" customHeight="1" x14ac:dyDescent="0.25">
      <c r="A248" s="40"/>
      <c r="B248" s="40"/>
      <c r="C248" s="119"/>
      <c r="D248" s="153" t="s">
        <v>933</v>
      </c>
      <c r="E248" s="142"/>
      <c r="F248" s="143"/>
      <c r="G248" s="143"/>
      <c r="H248" s="119"/>
      <c r="I248" s="236"/>
      <c r="J248" s="527">
        <v>0.39285714285714202</v>
      </c>
      <c r="K248" s="527"/>
      <c r="L248" s="528"/>
      <c r="M248" s="154"/>
      <c r="N248" s="154"/>
      <c r="O248" s="154"/>
      <c r="P248" s="154"/>
      <c r="Q248" s="154"/>
      <c r="R248" s="154"/>
      <c r="S248" s="154"/>
      <c r="T248" s="154"/>
      <c r="U248" s="154"/>
      <c r="V248" s="159"/>
      <c r="W248" s="387"/>
      <c r="X248" s="154"/>
      <c r="Y248" s="129"/>
      <c r="Z248" s="130"/>
      <c r="AA248" s="130"/>
      <c r="AB248" s="130"/>
      <c r="AC248" s="125"/>
      <c r="AE248" s="154"/>
      <c r="AF248" s="154"/>
      <c r="AG248" s="154"/>
      <c r="AH248" s="129"/>
      <c r="AI248" s="130"/>
      <c r="AK248" s="154"/>
      <c r="AL248" s="154"/>
      <c r="AM248" s="154"/>
      <c r="AN248" s="129"/>
      <c r="AO248" s="130"/>
      <c r="AQ248" s="154"/>
      <c r="AR248" s="154"/>
      <c r="AS248" s="154"/>
      <c r="AT248" s="129"/>
      <c r="AU248" s="130"/>
      <c r="AW248" s="154"/>
      <c r="AX248" s="154"/>
      <c r="AY248" s="154"/>
      <c r="AZ248" s="129"/>
      <c r="BA248" s="130"/>
    </row>
    <row r="249" spans="1:53" ht="17.100000000000001" customHeight="1" x14ac:dyDescent="0.25">
      <c r="A249" s="40"/>
      <c r="B249" s="40"/>
      <c r="C249" s="119"/>
      <c r="D249" s="153" t="s">
        <v>934</v>
      </c>
      <c r="E249" s="142"/>
      <c r="F249" s="143"/>
      <c r="G249" s="143"/>
      <c r="H249" s="119"/>
      <c r="I249" s="236"/>
      <c r="J249" s="527">
        <f>J248/2</f>
        <v>0.19642857142857101</v>
      </c>
      <c r="K249" s="527"/>
      <c r="L249" s="154"/>
      <c r="M249" s="154"/>
      <c r="N249" s="154"/>
      <c r="O249" s="154"/>
      <c r="P249" s="154"/>
      <c r="Q249" s="154"/>
      <c r="R249" s="154"/>
      <c r="S249" s="154"/>
      <c r="T249" s="154"/>
      <c r="U249" s="154"/>
      <c r="V249" s="159"/>
      <c r="W249" s="387"/>
      <c r="X249" s="154"/>
      <c r="Y249" s="129"/>
      <c r="Z249" s="130"/>
      <c r="AA249" s="130"/>
      <c r="AB249" s="130"/>
      <c r="AC249" s="125"/>
      <c r="AE249" s="154"/>
      <c r="AF249" s="154"/>
      <c r="AG249" s="154"/>
      <c r="AH249" s="129"/>
      <c r="AI249" s="130"/>
      <c r="AK249" s="154"/>
      <c r="AL249" s="154"/>
      <c r="AM249" s="154"/>
      <c r="AN249" s="129"/>
      <c r="AO249" s="130"/>
      <c r="AQ249" s="154"/>
      <c r="AR249" s="154"/>
      <c r="AS249" s="154"/>
      <c r="AT249" s="129"/>
      <c r="AU249" s="130"/>
      <c r="AW249" s="154"/>
      <c r="AX249" s="154"/>
      <c r="AY249" s="154"/>
      <c r="AZ249" s="129"/>
      <c r="BA249" s="130"/>
    </row>
    <row r="250" spans="1:53" ht="17.100000000000001" customHeight="1" x14ac:dyDescent="0.25">
      <c r="A250" s="40"/>
      <c r="B250" s="40"/>
      <c r="C250" s="119"/>
      <c r="D250" s="153" t="s">
        <v>940</v>
      </c>
      <c r="E250" s="142"/>
      <c r="F250" s="143"/>
      <c r="G250" s="143"/>
      <c r="H250" s="119"/>
      <c r="I250" s="236"/>
      <c r="J250" s="527">
        <f>J248*0.75</f>
        <v>0.29464285714285654</v>
      </c>
      <c r="K250" s="527"/>
      <c r="L250" s="154"/>
      <c r="M250" s="154"/>
      <c r="N250" s="154"/>
      <c r="O250" s="154"/>
      <c r="P250" s="154"/>
      <c r="Q250" s="154"/>
      <c r="R250" s="154"/>
      <c r="S250" s="154"/>
      <c r="T250" s="154"/>
      <c r="U250" s="154"/>
      <c r="V250" s="159"/>
      <c r="W250" s="387"/>
      <c r="X250" s="154"/>
      <c r="Y250" s="129"/>
      <c r="Z250" s="130"/>
      <c r="AA250" s="130"/>
      <c r="AB250" s="130"/>
      <c r="AC250" s="125"/>
      <c r="AE250" s="154"/>
      <c r="AF250" s="154"/>
      <c r="AG250" s="154"/>
      <c r="AH250" s="129"/>
      <c r="AI250" s="130"/>
      <c r="AK250" s="154"/>
      <c r="AL250" s="154"/>
      <c r="AM250" s="154"/>
      <c r="AN250" s="129"/>
      <c r="AO250" s="130"/>
      <c r="AQ250" s="154"/>
      <c r="AR250" s="154"/>
      <c r="AS250" s="154"/>
      <c r="AT250" s="129"/>
      <c r="AU250" s="130"/>
      <c r="AW250" s="154"/>
      <c r="AX250" s="154"/>
      <c r="AY250" s="154"/>
      <c r="AZ250" s="129"/>
      <c r="BA250" s="130"/>
    </row>
    <row r="251" spans="1:53" ht="17.100000000000001" customHeight="1" x14ac:dyDescent="0.25">
      <c r="A251" s="40"/>
      <c r="B251" s="40"/>
      <c r="C251" s="119"/>
      <c r="D251" s="153" t="s">
        <v>941</v>
      </c>
      <c r="E251" s="142"/>
      <c r="F251" s="143"/>
      <c r="G251" s="143"/>
      <c r="H251" s="119"/>
      <c r="I251" s="236"/>
      <c r="J251" s="527">
        <f>J248</f>
        <v>0.39285714285714202</v>
      </c>
      <c r="K251" s="527"/>
      <c r="L251" s="154"/>
      <c r="M251" s="154"/>
      <c r="N251" s="154"/>
      <c r="O251" s="154"/>
      <c r="P251" s="154"/>
      <c r="Q251" s="154"/>
      <c r="R251" s="154"/>
      <c r="S251" s="154"/>
      <c r="T251" s="154"/>
      <c r="U251" s="154"/>
      <c r="V251" s="159"/>
      <c r="W251" s="387"/>
      <c r="X251" s="154"/>
      <c r="Y251" s="129"/>
      <c r="Z251" s="130"/>
      <c r="AA251" s="130"/>
      <c r="AB251" s="130"/>
      <c r="AC251" s="125"/>
      <c r="AE251" s="154"/>
      <c r="AF251" s="154"/>
      <c r="AG251" s="154"/>
      <c r="AH251" s="129"/>
      <c r="AI251" s="130"/>
      <c r="AK251" s="154"/>
      <c r="AL251" s="154"/>
      <c r="AM251" s="154"/>
      <c r="AN251" s="129"/>
      <c r="AO251" s="130"/>
      <c r="AQ251" s="154"/>
      <c r="AR251" s="154"/>
      <c r="AS251" s="154"/>
      <c r="AT251" s="129"/>
      <c r="AU251" s="130"/>
      <c r="AW251" s="154"/>
      <c r="AX251" s="154"/>
      <c r="AY251" s="154"/>
      <c r="AZ251" s="129"/>
      <c r="BA251" s="130"/>
    </row>
    <row r="252" spans="1:53" ht="17.100000000000001" customHeight="1" x14ac:dyDescent="0.25">
      <c r="A252" s="40"/>
      <c r="B252" s="40"/>
      <c r="C252" s="119"/>
      <c r="D252" s="153" t="s">
        <v>942</v>
      </c>
      <c r="E252" s="142"/>
      <c r="F252" s="143"/>
      <c r="G252" s="143"/>
      <c r="H252" s="119"/>
      <c r="I252" s="236"/>
      <c r="J252" s="527">
        <f>J249</f>
        <v>0.19642857142857101</v>
      </c>
      <c r="K252" s="527"/>
      <c r="L252" s="154"/>
      <c r="M252" s="154"/>
      <c r="N252" s="154"/>
      <c r="O252" s="154"/>
      <c r="P252" s="154"/>
      <c r="Q252" s="154"/>
      <c r="R252" s="154"/>
      <c r="S252" s="154"/>
      <c r="T252" s="154"/>
      <c r="U252" s="154"/>
      <c r="V252" s="159"/>
      <c r="W252" s="387"/>
      <c r="X252" s="154"/>
      <c r="Y252" s="129"/>
      <c r="Z252" s="130"/>
      <c r="AA252" s="130"/>
      <c r="AB252" s="130"/>
      <c r="AC252" s="125"/>
      <c r="AE252" s="154"/>
      <c r="AF252" s="154"/>
      <c r="AG252" s="154"/>
      <c r="AH252" s="129"/>
      <c r="AI252" s="130"/>
      <c r="AK252" s="154"/>
      <c r="AL252" s="154"/>
      <c r="AM252" s="154"/>
      <c r="AN252" s="129"/>
      <c r="AO252" s="130"/>
      <c r="AQ252" s="154"/>
      <c r="AR252" s="154"/>
      <c r="AS252" s="154"/>
      <c r="AT252" s="129"/>
      <c r="AU252" s="130"/>
      <c r="AW252" s="154"/>
      <c r="AX252" s="154"/>
      <c r="AY252" s="154"/>
      <c r="AZ252" s="129"/>
      <c r="BA252" s="130"/>
    </row>
    <row r="253" spans="1:53" ht="17.100000000000001" customHeight="1" x14ac:dyDescent="0.25">
      <c r="A253" s="40"/>
      <c r="B253" s="40"/>
      <c r="C253" s="119"/>
      <c r="D253" s="153" t="s">
        <v>943</v>
      </c>
      <c r="E253" s="142"/>
      <c r="F253" s="143"/>
      <c r="G253" s="143"/>
      <c r="H253" s="119"/>
      <c r="I253" s="236"/>
      <c r="J253" s="527">
        <f>J248</f>
        <v>0.39285714285714202</v>
      </c>
      <c r="K253" s="527"/>
      <c r="L253" s="154"/>
      <c r="M253" s="154"/>
      <c r="N253" s="154"/>
      <c r="O253" s="154"/>
      <c r="P253" s="154"/>
      <c r="Q253" s="154"/>
      <c r="R253" s="154"/>
      <c r="S253" s="154"/>
      <c r="T253" s="154"/>
      <c r="U253" s="154"/>
      <c r="V253" s="159"/>
      <c r="W253" s="387"/>
      <c r="X253" s="154"/>
      <c r="Y253" s="129"/>
      <c r="Z253" s="130"/>
      <c r="AA253" s="130"/>
      <c r="AB253" s="130"/>
      <c r="AC253" s="125"/>
      <c r="AE253" s="154"/>
      <c r="AF253" s="154"/>
      <c r="AG253" s="154"/>
      <c r="AH253" s="129"/>
      <c r="AI253" s="130"/>
      <c r="AK253" s="154"/>
      <c r="AL253" s="154"/>
      <c r="AM253" s="154"/>
      <c r="AN253" s="129"/>
      <c r="AO253" s="130"/>
      <c r="AQ253" s="154"/>
      <c r="AR253" s="154"/>
      <c r="AS253" s="154"/>
      <c r="AT253" s="129"/>
      <c r="AU253" s="130"/>
      <c r="AW253" s="154"/>
      <c r="AX253" s="154"/>
      <c r="AY253" s="154"/>
      <c r="AZ253" s="129"/>
      <c r="BA253" s="130"/>
    </row>
    <row r="254" spans="1:53" ht="17.100000000000001" customHeight="1" x14ac:dyDescent="0.25">
      <c r="A254" s="40"/>
      <c r="B254" s="40"/>
      <c r="C254" s="119"/>
      <c r="D254" s="153" t="s">
        <v>944</v>
      </c>
      <c r="E254" s="142"/>
      <c r="F254" s="143"/>
      <c r="G254" s="143"/>
      <c r="H254" s="119"/>
      <c r="I254" s="236"/>
      <c r="J254" s="527">
        <f>J249</f>
        <v>0.19642857142857101</v>
      </c>
      <c r="K254" s="527"/>
      <c r="L254" s="154"/>
      <c r="M254" s="154"/>
      <c r="N254" s="154"/>
      <c r="O254" s="154"/>
      <c r="P254" s="154"/>
      <c r="Q254" s="154"/>
      <c r="R254" s="154"/>
      <c r="S254" s="154"/>
      <c r="T254" s="154"/>
      <c r="U254" s="154"/>
      <c r="V254" s="159"/>
      <c r="W254" s="387"/>
      <c r="X254" s="154"/>
      <c r="Y254" s="129"/>
      <c r="Z254" s="130"/>
      <c r="AA254" s="130"/>
      <c r="AB254" s="130"/>
      <c r="AC254" s="125"/>
      <c r="AE254" s="154"/>
      <c r="AF254" s="154"/>
      <c r="AG254" s="154"/>
      <c r="AH254" s="129"/>
      <c r="AI254" s="130"/>
      <c r="AK254" s="154"/>
      <c r="AL254" s="154"/>
      <c r="AM254" s="154"/>
      <c r="AN254" s="129"/>
      <c r="AO254" s="130"/>
      <c r="AQ254" s="154"/>
      <c r="AR254" s="154"/>
      <c r="AS254" s="154"/>
      <c r="AT254" s="129"/>
      <c r="AU254" s="130"/>
      <c r="AW254" s="154"/>
      <c r="AX254" s="154"/>
      <c r="AY254" s="154"/>
      <c r="AZ254" s="129"/>
      <c r="BA254" s="130"/>
    </row>
    <row r="255" spans="1:53" ht="17.100000000000001" customHeight="1" x14ac:dyDescent="0.25">
      <c r="A255" s="40"/>
      <c r="B255" s="40"/>
      <c r="C255" s="68"/>
      <c r="D255" s="153" t="s">
        <v>945</v>
      </c>
      <c r="E255" s="142"/>
      <c r="F255" s="143"/>
      <c r="G255" s="143"/>
      <c r="H255" s="119"/>
      <c r="I255" s="236"/>
      <c r="J255" s="527">
        <f>J248</f>
        <v>0.39285714285714202</v>
      </c>
      <c r="K255" s="527"/>
      <c r="L255" s="154"/>
      <c r="M255" s="154"/>
      <c r="N255" s="154"/>
      <c r="O255" s="154"/>
      <c r="P255" s="154"/>
      <c r="Q255" s="154"/>
      <c r="R255" s="154"/>
      <c r="S255" s="154"/>
      <c r="T255" s="154"/>
      <c r="U255" s="154"/>
      <c r="V255" s="159"/>
      <c r="W255" s="387"/>
      <c r="X255" s="154"/>
      <c r="Y255" s="129"/>
      <c r="Z255" s="130"/>
      <c r="AA255" s="130"/>
      <c r="AB255" s="130"/>
      <c r="AC255" s="125"/>
      <c r="AE255" s="154"/>
      <c r="AF255" s="154"/>
      <c r="AG255" s="154"/>
      <c r="AH255" s="129"/>
      <c r="AI255" s="130"/>
      <c r="AK255" s="154"/>
      <c r="AL255" s="154"/>
      <c r="AM255" s="154"/>
      <c r="AN255" s="129"/>
      <c r="AO255" s="130"/>
      <c r="AQ255" s="154"/>
      <c r="AR255" s="154"/>
      <c r="AS255" s="154"/>
      <c r="AT255" s="129"/>
      <c r="AU255" s="130"/>
      <c r="AW255" s="154"/>
      <c r="AX255" s="154"/>
      <c r="AY255" s="154"/>
      <c r="AZ255" s="129"/>
      <c r="BA255" s="130"/>
    </row>
    <row r="256" spans="1:53" ht="17.100000000000001" customHeight="1" x14ac:dyDescent="0.25">
      <c r="A256" s="40"/>
      <c r="B256" s="40"/>
      <c r="C256" s="40"/>
      <c r="D256" s="69" t="s">
        <v>413</v>
      </c>
      <c r="E256" s="322"/>
      <c r="F256" s="301"/>
      <c r="G256" s="301"/>
      <c r="H256" s="421"/>
      <c r="I256" s="236"/>
      <c r="J256" s="529"/>
      <c r="K256" s="529"/>
      <c r="L256" s="87"/>
      <c r="M256" s="87"/>
      <c r="N256" s="87"/>
      <c r="O256" s="87"/>
      <c r="P256" s="87"/>
      <c r="Q256" s="87"/>
      <c r="R256" s="87"/>
      <c r="S256" s="87"/>
      <c r="T256" s="87"/>
      <c r="U256" s="87"/>
      <c r="V256" s="530"/>
      <c r="W256" s="531"/>
      <c r="X256" s="87"/>
      <c r="Y256" s="89"/>
      <c r="Z256" s="90"/>
      <c r="AA256" s="90"/>
      <c r="AB256" s="90"/>
      <c r="AC256" s="73"/>
      <c r="AE256" s="154"/>
      <c r="AF256" s="154"/>
      <c r="AG256" s="154"/>
      <c r="AH256" s="129"/>
      <c r="AI256" s="130"/>
      <c r="AK256" s="154"/>
      <c r="AL256" s="154"/>
      <c r="AM256" s="154"/>
      <c r="AN256" s="129"/>
      <c r="AO256" s="130"/>
      <c r="AQ256" s="154"/>
      <c r="AR256" s="154"/>
      <c r="AS256" s="154"/>
      <c r="AT256" s="129"/>
      <c r="AU256" s="130"/>
      <c r="AW256" s="154"/>
      <c r="AX256" s="154"/>
      <c r="AY256" s="154"/>
      <c r="AZ256" s="129"/>
      <c r="BA256" s="130"/>
    </row>
    <row r="257" spans="1:53" ht="17.100000000000001" customHeight="1" x14ac:dyDescent="0.25">
      <c r="A257" s="40"/>
      <c r="B257" s="40"/>
      <c r="C257" s="119"/>
      <c r="D257" s="293" t="s">
        <v>935</v>
      </c>
      <c r="E257" s="142"/>
      <c r="F257" s="143"/>
      <c r="G257" s="143"/>
      <c r="H257" s="119"/>
      <c r="I257" s="236"/>
      <c r="J257" s="532"/>
      <c r="K257" s="532"/>
      <c r="L257" s="533">
        <f>(1*J250+3*J251)</f>
        <v>1.4732142857142827</v>
      </c>
      <c r="M257" s="533">
        <f>L257*N257</f>
        <v>0</v>
      </c>
      <c r="N257" s="532">
        <f t="shared" ref="N257:O259" si="313">N170</f>
        <v>0</v>
      </c>
      <c r="O257" s="532">
        <f t="shared" si="313"/>
        <v>0</v>
      </c>
      <c r="P257" s="532"/>
      <c r="Q257" s="532">
        <f t="shared" ref="Q257:R259" si="314">Q170</f>
        <v>1</v>
      </c>
      <c r="R257" s="532">
        <f t="shared" si="314"/>
        <v>1</v>
      </c>
      <c r="S257" s="532"/>
      <c r="T257" s="532">
        <f t="shared" ref="T257:U259" si="315">T170</f>
        <v>0</v>
      </c>
      <c r="U257" s="532">
        <f t="shared" si="315"/>
        <v>0</v>
      </c>
      <c r="V257" s="159"/>
      <c r="W257" s="387"/>
      <c r="X257" s="154"/>
      <c r="Y257" s="129"/>
      <c r="Z257" s="130"/>
      <c r="AA257" s="130"/>
      <c r="AB257" s="130"/>
      <c r="AC257" s="125"/>
      <c r="AE257" s="154"/>
      <c r="AF257" s="154"/>
      <c r="AG257" s="154"/>
      <c r="AH257" s="129"/>
      <c r="AI257" s="130"/>
      <c r="AK257" s="154"/>
      <c r="AL257" s="154"/>
      <c r="AM257" s="154"/>
      <c r="AN257" s="129"/>
      <c r="AO257" s="130"/>
      <c r="AQ257" s="154"/>
      <c r="AR257" s="154"/>
      <c r="AS257" s="154"/>
      <c r="AT257" s="129"/>
      <c r="AU257" s="130"/>
      <c r="AW257" s="154"/>
      <c r="AX257" s="154"/>
      <c r="AY257" s="154"/>
      <c r="AZ257" s="129"/>
      <c r="BA257" s="130"/>
    </row>
    <row r="258" spans="1:53" ht="17.100000000000001" customHeight="1" x14ac:dyDescent="0.25">
      <c r="A258" s="40"/>
      <c r="B258" s="40"/>
      <c r="C258" s="119"/>
      <c r="D258" s="293" t="s">
        <v>927</v>
      </c>
      <c r="E258" s="142"/>
      <c r="F258" s="143"/>
      <c r="G258" s="143"/>
      <c r="H258" s="119"/>
      <c r="I258" s="236"/>
      <c r="J258" s="532"/>
      <c r="K258" s="532"/>
      <c r="L258" s="533">
        <f>(1*J252+3*J253)</f>
        <v>1.3749999999999971</v>
      </c>
      <c r="M258" s="533">
        <f t="shared" ref="M258:M259" si="316">L258*N258</f>
        <v>1.3749999999999971</v>
      </c>
      <c r="N258" s="532">
        <f t="shared" si="313"/>
        <v>1</v>
      </c>
      <c r="O258" s="532">
        <f t="shared" si="313"/>
        <v>3</v>
      </c>
      <c r="P258" s="532"/>
      <c r="Q258" s="532">
        <f t="shared" si="314"/>
        <v>1</v>
      </c>
      <c r="R258" s="532">
        <f t="shared" si="314"/>
        <v>1</v>
      </c>
      <c r="S258" s="532"/>
      <c r="T258" s="532">
        <f t="shared" si="315"/>
        <v>0</v>
      </c>
      <c r="U258" s="532">
        <f t="shared" si="315"/>
        <v>0</v>
      </c>
      <c r="V258" s="159"/>
      <c r="W258" s="387"/>
      <c r="X258" s="154"/>
      <c r="Y258" s="129"/>
      <c r="Z258" s="130"/>
      <c r="AA258" s="130"/>
      <c r="AB258" s="130"/>
      <c r="AC258" s="125"/>
      <c r="AE258" s="154"/>
      <c r="AF258" s="154"/>
      <c r="AG258" s="154"/>
      <c r="AH258" s="129"/>
      <c r="AI258" s="130"/>
      <c r="AK258" s="154"/>
      <c r="AL258" s="154"/>
      <c r="AM258" s="154"/>
      <c r="AN258" s="129"/>
      <c r="AO258" s="130"/>
      <c r="AQ258" s="154"/>
      <c r="AR258" s="154"/>
      <c r="AS258" s="154"/>
      <c r="AT258" s="129"/>
      <c r="AU258" s="130"/>
      <c r="AW258" s="154"/>
      <c r="AX258" s="154"/>
      <c r="AY258" s="154"/>
      <c r="AZ258" s="129"/>
      <c r="BA258" s="130"/>
    </row>
    <row r="259" spans="1:53" ht="17.100000000000001" customHeight="1" x14ac:dyDescent="0.25">
      <c r="A259" s="40"/>
      <c r="B259" s="40"/>
      <c r="C259" s="119"/>
      <c r="D259" s="293" t="s">
        <v>936</v>
      </c>
      <c r="E259" s="142"/>
      <c r="F259" s="143"/>
      <c r="G259" s="143"/>
      <c r="H259" s="119"/>
      <c r="I259" s="236"/>
      <c r="J259" s="532"/>
      <c r="K259" s="532"/>
      <c r="L259" s="533">
        <f>(5*J255)</f>
        <v>1.96428571428571</v>
      </c>
      <c r="M259" s="533">
        <f t="shared" si="316"/>
        <v>0</v>
      </c>
      <c r="N259" s="532">
        <f t="shared" si="313"/>
        <v>0</v>
      </c>
      <c r="O259" s="532">
        <f t="shared" si="313"/>
        <v>2</v>
      </c>
      <c r="P259" s="532"/>
      <c r="Q259" s="532">
        <f t="shared" si="314"/>
        <v>1</v>
      </c>
      <c r="R259" s="532">
        <f t="shared" si="314"/>
        <v>3</v>
      </c>
      <c r="S259" s="532"/>
      <c r="T259" s="532">
        <f t="shared" si="315"/>
        <v>0</v>
      </c>
      <c r="U259" s="532">
        <f t="shared" si="315"/>
        <v>0</v>
      </c>
      <c r="V259" s="159"/>
      <c r="W259" s="387"/>
      <c r="X259" s="154"/>
      <c r="Y259" s="129"/>
      <c r="Z259" s="130"/>
      <c r="AA259" s="130"/>
      <c r="AB259" s="130"/>
      <c r="AC259" s="125"/>
      <c r="AE259" s="154"/>
      <c r="AF259" s="154"/>
      <c r="AG259" s="154"/>
      <c r="AH259" s="129"/>
      <c r="AI259" s="130"/>
      <c r="AK259" s="154"/>
      <c r="AL259" s="154"/>
      <c r="AM259" s="154"/>
      <c r="AN259" s="129"/>
      <c r="AO259" s="130"/>
      <c r="AQ259" s="154"/>
      <c r="AR259" s="154"/>
      <c r="AS259" s="154"/>
      <c r="AT259" s="129"/>
      <c r="AU259" s="130"/>
      <c r="AW259" s="154"/>
      <c r="AX259" s="154"/>
      <c r="AY259" s="154"/>
      <c r="AZ259" s="129"/>
      <c r="BA259" s="130"/>
    </row>
    <row r="260" spans="1:53" ht="17.100000000000001" customHeight="1" x14ac:dyDescent="0.25">
      <c r="A260" s="40"/>
      <c r="B260" s="40"/>
      <c r="C260" s="119"/>
      <c r="D260" s="293" t="s">
        <v>922</v>
      </c>
      <c r="E260" s="142"/>
      <c r="F260" s="143"/>
      <c r="G260" s="143"/>
      <c r="H260" s="119"/>
      <c r="I260" s="236"/>
      <c r="J260" s="532"/>
      <c r="K260" s="532"/>
      <c r="L260" s="532"/>
      <c r="M260" s="533">
        <f>SUM(M257:M259)</f>
        <v>1.3749999999999971</v>
      </c>
      <c r="N260" s="532">
        <f>SUM(N257:N259)</f>
        <v>1</v>
      </c>
      <c r="O260" s="532"/>
      <c r="P260" s="532"/>
      <c r="Q260" s="532"/>
      <c r="R260" s="532"/>
      <c r="S260" s="532"/>
      <c r="T260" s="532"/>
      <c r="U260" s="532"/>
      <c r="V260" s="159"/>
      <c r="W260" s="387"/>
      <c r="X260" s="154"/>
      <c r="Y260" s="129"/>
      <c r="Z260" s="130"/>
      <c r="AA260" s="130"/>
      <c r="AB260" s="130"/>
      <c r="AC260" s="125"/>
      <c r="AE260" s="154"/>
      <c r="AF260" s="154"/>
      <c r="AG260" s="154"/>
      <c r="AH260" s="129"/>
      <c r="AI260" s="130"/>
      <c r="AK260" s="154"/>
      <c r="AL260" s="154"/>
      <c r="AM260" s="154"/>
      <c r="AN260" s="129"/>
      <c r="AO260" s="130"/>
      <c r="AQ260" s="154"/>
      <c r="AR260" s="154"/>
      <c r="AS260" s="154"/>
      <c r="AT260" s="129"/>
      <c r="AU260" s="130"/>
      <c r="AW260" s="154"/>
      <c r="AX260" s="154"/>
      <c r="AY260" s="154"/>
      <c r="AZ260" s="129"/>
      <c r="BA260" s="130"/>
    </row>
    <row r="261" spans="1:53" ht="17.100000000000001" customHeight="1" x14ac:dyDescent="0.25">
      <c r="A261" s="40"/>
      <c r="B261" s="40"/>
      <c r="C261" s="119"/>
      <c r="D261" s="69" t="s">
        <v>124</v>
      </c>
      <c r="E261" s="322"/>
      <c r="F261" s="301"/>
      <c r="G261" s="301"/>
      <c r="H261" s="421"/>
      <c r="I261" s="236"/>
      <c r="J261" s="529"/>
      <c r="K261" s="529"/>
      <c r="L261" s="87"/>
      <c r="M261" s="87"/>
      <c r="N261" s="87"/>
      <c r="O261" s="87"/>
      <c r="P261" s="87"/>
      <c r="Q261" s="87"/>
      <c r="R261" s="87"/>
      <c r="S261" s="87"/>
      <c r="T261" s="87"/>
      <c r="U261" s="87"/>
      <c r="V261" s="530"/>
      <c r="W261" s="531"/>
      <c r="X261" s="87"/>
      <c r="Y261" s="89"/>
      <c r="Z261" s="90"/>
      <c r="AA261" s="90"/>
      <c r="AB261" s="90"/>
      <c r="AC261" s="73"/>
      <c r="AE261" s="154"/>
      <c r="AF261" s="154"/>
      <c r="AG261" s="154"/>
      <c r="AH261" s="129"/>
      <c r="AI261" s="130"/>
      <c r="AK261" s="154"/>
      <c r="AL261" s="154"/>
      <c r="AM261" s="154"/>
      <c r="AN261" s="129"/>
      <c r="AO261" s="130"/>
      <c r="AQ261" s="154"/>
      <c r="AR261" s="154"/>
      <c r="AS261" s="154"/>
      <c r="AT261" s="129"/>
      <c r="AU261" s="130"/>
      <c r="AW261" s="154"/>
      <c r="AX261" s="154"/>
      <c r="AY261" s="154"/>
      <c r="AZ261" s="129"/>
      <c r="BA261" s="130"/>
    </row>
    <row r="262" spans="1:53" ht="17.100000000000001" customHeight="1" x14ac:dyDescent="0.25">
      <c r="A262" s="40"/>
      <c r="B262" s="40"/>
      <c r="C262" s="119"/>
      <c r="D262" s="931" t="s">
        <v>666</v>
      </c>
      <c r="E262" s="150"/>
      <c r="F262" s="151"/>
      <c r="G262" s="151"/>
      <c r="H262" s="119"/>
      <c r="I262" s="236"/>
      <c r="J262" s="152"/>
      <c r="K262" s="152"/>
      <c r="L262" s="111"/>
      <c r="M262" s="111"/>
      <c r="N262" s="111"/>
      <c r="O262" s="111"/>
      <c r="P262" s="111"/>
      <c r="Q262" s="111"/>
      <c r="R262" s="111"/>
      <c r="S262" s="111"/>
      <c r="T262" s="111"/>
      <c r="U262" s="111"/>
      <c r="V262" s="358"/>
      <c r="W262" s="380"/>
      <c r="X262" s="111"/>
      <c r="Y262" s="932"/>
      <c r="Z262" s="131"/>
      <c r="AA262" s="131"/>
      <c r="AB262" s="131"/>
      <c r="AC262" s="113"/>
      <c r="AE262" s="152"/>
      <c r="AF262" s="152"/>
      <c r="AG262" s="111"/>
      <c r="AH262" s="932"/>
      <c r="AI262" s="131"/>
      <c r="AK262" s="152"/>
      <c r="AL262" s="152"/>
      <c r="AM262" s="111"/>
      <c r="AN262" s="932"/>
      <c r="AO262" s="131"/>
      <c r="AQ262" s="152"/>
      <c r="AR262" s="152"/>
      <c r="AS262" s="111"/>
      <c r="AT262" s="932"/>
      <c r="AU262" s="131"/>
      <c r="AW262" s="152"/>
      <c r="AX262" s="152"/>
      <c r="AY262" s="111"/>
      <c r="AZ262" s="932"/>
      <c r="BA262" s="131"/>
    </row>
    <row r="263" spans="1:53" ht="17.100000000000001" customHeight="1" x14ac:dyDescent="0.25">
      <c r="A263" s="40"/>
      <c r="B263" s="40"/>
      <c r="C263" s="119"/>
      <c r="D263" s="293" t="s">
        <v>414</v>
      </c>
      <c r="E263" s="142"/>
      <c r="F263" s="143"/>
      <c r="G263" s="143"/>
      <c r="H263" s="245"/>
      <c r="I263" s="239"/>
      <c r="J263" s="154"/>
      <c r="K263" s="154"/>
      <c r="L263" s="154"/>
      <c r="M263" s="154"/>
      <c r="N263" s="154">
        <f t="shared" ref="N263:O268" si="317">N178</f>
        <v>0</v>
      </c>
      <c r="O263" s="154">
        <f t="shared" si="317"/>
        <v>0</v>
      </c>
      <c r="P263" s="154"/>
      <c r="Q263" s="154">
        <f>Q178</f>
        <v>0</v>
      </c>
      <c r="R263" s="154">
        <f>R178</f>
        <v>0</v>
      </c>
      <c r="S263" s="154"/>
      <c r="T263" s="154">
        <f>T178</f>
        <v>0</v>
      </c>
      <c r="U263" s="154">
        <f>U178</f>
        <v>0</v>
      </c>
      <c r="V263" s="159"/>
      <c r="W263" s="387"/>
      <c r="X263" s="154"/>
      <c r="Y263" s="129"/>
      <c r="Z263" s="130"/>
      <c r="AA263" s="130"/>
      <c r="AB263" s="130"/>
      <c r="AC263" s="125"/>
      <c r="AE263" s="154"/>
      <c r="AF263" s="154"/>
      <c r="AG263" s="154"/>
      <c r="AH263" s="129"/>
      <c r="AI263" s="130"/>
      <c r="AK263" s="154"/>
      <c r="AL263" s="154"/>
      <c r="AM263" s="154"/>
      <c r="AN263" s="129"/>
      <c r="AO263" s="130"/>
      <c r="AQ263" s="154"/>
      <c r="AR263" s="154"/>
      <c r="AS263" s="154"/>
      <c r="AT263" s="129"/>
      <c r="AU263" s="130"/>
      <c r="AW263" s="154"/>
      <c r="AX263" s="154"/>
      <c r="AY263" s="154"/>
      <c r="AZ263" s="129"/>
      <c r="BA263" s="130"/>
    </row>
    <row r="264" spans="1:53" ht="17.100000000000001" customHeight="1" x14ac:dyDescent="0.25">
      <c r="A264" s="40"/>
      <c r="B264" s="40"/>
      <c r="C264" s="119"/>
      <c r="D264" s="293" t="s">
        <v>415</v>
      </c>
      <c r="E264" s="142"/>
      <c r="F264" s="143"/>
      <c r="G264" s="143"/>
      <c r="H264" s="245"/>
      <c r="I264" s="239"/>
      <c r="J264" s="154"/>
      <c r="K264" s="154"/>
      <c r="L264" s="154"/>
      <c r="M264" s="154"/>
      <c r="N264" s="154">
        <f t="shared" si="317"/>
        <v>0</v>
      </c>
      <c r="O264" s="154">
        <f t="shared" si="317"/>
        <v>0</v>
      </c>
      <c r="P264" s="154"/>
      <c r="Q264" s="154">
        <f t="shared" ref="Q264:R268" si="318">Q179</f>
        <v>1</v>
      </c>
      <c r="R264" s="154">
        <f t="shared" si="318"/>
        <v>0</v>
      </c>
      <c r="S264" s="154"/>
      <c r="T264" s="154">
        <f t="shared" ref="T264:U268" si="319">T179</f>
        <v>0</v>
      </c>
      <c r="U264" s="154">
        <f t="shared" si="319"/>
        <v>0</v>
      </c>
      <c r="V264" s="159"/>
      <c r="W264" s="387"/>
      <c r="X264" s="154"/>
      <c r="Y264" s="129"/>
      <c r="Z264" s="130"/>
      <c r="AA264" s="130"/>
      <c r="AB264" s="130"/>
      <c r="AC264" s="125"/>
      <c r="AE264" s="154"/>
      <c r="AF264" s="154"/>
      <c r="AG264" s="154"/>
      <c r="AH264" s="129"/>
      <c r="AI264" s="130"/>
      <c r="AK264" s="154"/>
      <c r="AL264" s="154"/>
      <c r="AM264" s="154"/>
      <c r="AN264" s="129"/>
      <c r="AO264" s="130"/>
      <c r="AQ264" s="154"/>
      <c r="AR264" s="154"/>
      <c r="AS264" s="154"/>
      <c r="AT264" s="129"/>
      <c r="AU264" s="130"/>
      <c r="AW264" s="154"/>
      <c r="AX264" s="154"/>
      <c r="AY264" s="154"/>
      <c r="AZ264" s="129"/>
      <c r="BA264" s="130"/>
    </row>
    <row r="265" spans="1:53" ht="17.100000000000001" customHeight="1" x14ac:dyDescent="0.25">
      <c r="A265" s="40"/>
      <c r="B265" s="40"/>
      <c r="C265" s="119"/>
      <c r="D265" s="293" t="s">
        <v>416</v>
      </c>
      <c r="E265" s="142"/>
      <c r="F265" s="143"/>
      <c r="G265" s="143"/>
      <c r="H265" s="245"/>
      <c r="I265" s="239"/>
      <c r="J265" s="154"/>
      <c r="K265" s="154"/>
      <c r="L265" s="154"/>
      <c r="M265" s="154"/>
      <c r="N265" s="154">
        <f t="shared" si="317"/>
        <v>0</v>
      </c>
      <c r="O265" s="154">
        <f t="shared" si="317"/>
        <v>0</v>
      </c>
      <c r="P265" s="154"/>
      <c r="Q265" s="154">
        <f t="shared" si="318"/>
        <v>2</v>
      </c>
      <c r="R265" s="154">
        <f t="shared" si="318"/>
        <v>0</v>
      </c>
      <c r="S265" s="154"/>
      <c r="T265" s="154">
        <f t="shared" si="319"/>
        <v>0</v>
      </c>
      <c r="U265" s="154">
        <f t="shared" si="319"/>
        <v>0</v>
      </c>
      <c r="V265" s="159"/>
      <c r="W265" s="387"/>
      <c r="X265" s="154"/>
      <c r="Y265" s="129"/>
      <c r="Z265" s="130"/>
      <c r="AA265" s="130"/>
      <c r="AB265" s="130"/>
      <c r="AC265" s="125"/>
      <c r="AE265" s="154"/>
      <c r="AF265" s="154"/>
      <c r="AG265" s="154"/>
      <c r="AH265" s="129"/>
      <c r="AI265" s="130"/>
      <c r="AK265" s="154"/>
      <c r="AL265" s="154"/>
      <c r="AM265" s="154"/>
      <c r="AN265" s="129"/>
      <c r="AO265" s="130"/>
      <c r="AQ265" s="154"/>
      <c r="AR265" s="154"/>
      <c r="AS265" s="154"/>
      <c r="AT265" s="129"/>
      <c r="AU265" s="130"/>
      <c r="AW265" s="154"/>
      <c r="AX265" s="154"/>
      <c r="AY265" s="154"/>
      <c r="AZ265" s="129"/>
      <c r="BA265" s="130"/>
    </row>
    <row r="266" spans="1:53" ht="17.100000000000001" customHeight="1" x14ac:dyDescent="0.25">
      <c r="A266" s="40"/>
      <c r="B266" s="40"/>
      <c r="C266" s="119"/>
      <c r="D266" s="293" t="s">
        <v>127</v>
      </c>
      <c r="E266" s="142"/>
      <c r="F266" s="143"/>
      <c r="G266" s="143"/>
      <c r="H266" s="245"/>
      <c r="I266" s="239"/>
      <c r="J266" s="154"/>
      <c r="K266" s="154"/>
      <c r="L266" s="154"/>
      <c r="M266" s="154"/>
      <c r="N266" s="154">
        <f t="shared" si="317"/>
        <v>1</v>
      </c>
      <c r="O266" s="154">
        <f t="shared" si="317"/>
        <v>5</v>
      </c>
      <c r="P266" s="154"/>
      <c r="Q266" s="154">
        <f t="shared" si="318"/>
        <v>0</v>
      </c>
      <c r="R266" s="154">
        <f t="shared" si="318"/>
        <v>4</v>
      </c>
      <c r="S266" s="154"/>
      <c r="T266" s="154">
        <f t="shared" si="319"/>
        <v>0</v>
      </c>
      <c r="U266" s="154">
        <f t="shared" si="319"/>
        <v>0</v>
      </c>
      <c r="V266" s="159"/>
      <c r="W266" s="387"/>
      <c r="X266" s="154"/>
      <c r="Y266" s="129"/>
      <c r="Z266" s="130"/>
      <c r="AA266" s="130"/>
      <c r="AB266" s="130"/>
      <c r="AC266" s="125"/>
      <c r="AE266" s="154"/>
      <c r="AF266" s="154"/>
      <c r="AG266" s="154"/>
      <c r="AH266" s="129"/>
      <c r="AI266" s="130"/>
      <c r="AK266" s="154"/>
      <c r="AL266" s="154"/>
      <c r="AM266" s="154"/>
      <c r="AN266" s="129"/>
      <c r="AO266" s="130"/>
      <c r="AQ266" s="154"/>
      <c r="AR266" s="154"/>
      <c r="AS266" s="154"/>
      <c r="AT266" s="129"/>
      <c r="AU266" s="130"/>
      <c r="AW266" s="154"/>
      <c r="AX266" s="154"/>
      <c r="AY266" s="154"/>
      <c r="AZ266" s="129"/>
      <c r="BA266" s="130"/>
    </row>
    <row r="267" spans="1:53" ht="17.100000000000001" customHeight="1" x14ac:dyDescent="0.25">
      <c r="A267" s="40"/>
      <c r="B267" s="40"/>
      <c r="C267" s="119"/>
      <c r="D267" s="293" t="s">
        <v>417</v>
      </c>
      <c r="E267" s="142"/>
      <c r="F267" s="143"/>
      <c r="G267" s="143"/>
      <c r="H267" s="245"/>
      <c r="I267" s="239"/>
      <c r="J267" s="154"/>
      <c r="K267" s="154"/>
      <c r="L267" s="154"/>
      <c r="M267" s="154"/>
      <c r="N267" s="154">
        <f t="shared" si="317"/>
        <v>0</v>
      </c>
      <c r="O267" s="154">
        <f t="shared" si="317"/>
        <v>0</v>
      </c>
      <c r="P267" s="154"/>
      <c r="Q267" s="154">
        <f t="shared" si="318"/>
        <v>0</v>
      </c>
      <c r="R267" s="154">
        <f t="shared" si="318"/>
        <v>1</v>
      </c>
      <c r="S267" s="154"/>
      <c r="T267" s="154">
        <f t="shared" si="319"/>
        <v>0</v>
      </c>
      <c r="U267" s="154">
        <f t="shared" si="319"/>
        <v>0</v>
      </c>
      <c r="V267" s="159"/>
      <c r="W267" s="387"/>
      <c r="X267" s="154"/>
      <c r="Y267" s="129"/>
      <c r="Z267" s="130"/>
      <c r="AA267" s="130"/>
      <c r="AB267" s="130"/>
      <c r="AC267" s="125"/>
      <c r="AE267" s="154"/>
      <c r="AF267" s="154"/>
      <c r="AG267" s="154"/>
      <c r="AH267" s="129"/>
      <c r="AI267" s="130"/>
      <c r="AK267" s="154"/>
      <c r="AL267" s="154"/>
      <c r="AM267" s="154"/>
      <c r="AN267" s="129"/>
      <c r="AO267" s="130"/>
      <c r="AQ267" s="154"/>
      <c r="AR267" s="154"/>
      <c r="AS267" s="154"/>
      <c r="AT267" s="129"/>
      <c r="AU267" s="130"/>
      <c r="AW267" s="154"/>
      <c r="AX267" s="154"/>
      <c r="AY267" s="154"/>
      <c r="AZ267" s="129"/>
      <c r="BA267" s="130"/>
    </row>
    <row r="268" spans="1:53" ht="17.100000000000001" customHeight="1" x14ac:dyDescent="0.25">
      <c r="A268" s="40"/>
      <c r="B268" s="40"/>
      <c r="C268" s="119"/>
      <c r="D268" s="293" t="s">
        <v>418</v>
      </c>
      <c r="E268" s="142"/>
      <c r="F268" s="143"/>
      <c r="G268" s="143"/>
      <c r="H268" s="245"/>
      <c r="I268" s="239"/>
      <c r="J268" s="154"/>
      <c r="K268" s="154"/>
      <c r="L268" s="154"/>
      <c r="M268" s="154"/>
      <c r="N268" s="154">
        <f t="shared" si="317"/>
        <v>0</v>
      </c>
      <c r="O268" s="154">
        <f t="shared" si="317"/>
        <v>0</v>
      </c>
      <c r="P268" s="154"/>
      <c r="Q268" s="154">
        <f t="shared" si="318"/>
        <v>0</v>
      </c>
      <c r="R268" s="154">
        <f t="shared" si="318"/>
        <v>0</v>
      </c>
      <c r="S268" s="154"/>
      <c r="T268" s="154">
        <f t="shared" si="319"/>
        <v>0</v>
      </c>
      <c r="U268" s="154">
        <f t="shared" si="319"/>
        <v>0</v>
      </c>
      <c r="V268" s="159"/>
      <c r="W268" s="387"/>
      <c r="X268" s="154"/>
      <c r="Y268" s="129"/>
      <c r="Z268" s="130"/>
      <c r="AA268" s="130"/>
      <c r="AB268" s="130"/>
      <c r="AC268" s="125"/>
      <c r="AE268" s="154"/>
      <c r="AF268" s="154"/>
      <c r="AG268" s="154"/>
      <c r="AH268" s="129"/>
      <c r="AI268" s="130"/>
      <c r="AK268" s="154"/>
      <c r="AL268" s="154"/>
      <c r="AM268" s="154"/>
      <c r="AN268" s="129"/>
      <c r="AO268" s="130"/>
      <c r="AQ268" s="154"/>
      <c r="AR268" s="154"/>
      <c r="AS268" s="154"/>
      <c r="AT268" s="129"/>
      <c r="AU268" s="130"/>
      <c r="AW268" s="154"/>
      <c r="AX268" s="154"/>
      <c r="AY268" s="154"/>
      <c r="AZ268" s="129"/>
      <c r="BA268" s="130"/>
    </row>
    <row r="269" spans="1:53" s="158" customFormat="1" ht="17.100000000000001" customHeight="1" x14ac:dyDescent="0.25">
      <c r="A269" s="102"/>
      <c r="B269" s="102"/>
      <c r="C269" s="928"/>
      <c r="D269" s="944" t="s">
        <v>922</v>
      </c>
      <c r="E269" s="945"/>
      <c r="F269" s="946"/>
      <c r="G269" s="946"/>
      <c r="H269" s="242"/>
      <c r="I269" s="230"/>
      <c r="J269" s="160"/>
      <c r="K269" s="160"/>
      <c r="L269" s="160"/>
      <c r="M269" s="160"/>
      <c r="N269" s="160">
        <f>SUM(N263:N268)</f>
        <v>1</v>
      </c>
      <c r="O269" s="160">
        <f>SUM(O263:O268)</f>
        <v>5</v>
      </c>
      <c r="P269" s="160"/>
      <c r="Q269" s="160">
        <f>SUM(Q263:Q268)</f>
        <v>3</v>
      </c>
      <c r="R269" s="160">
        <f>SUM(R263:R268)</f>
        <v>5</v>
      </c>
      <c r="S269" s="160"/>
      <c r="T269" s="160">
        <f>SUM(T263:T268)</f>
        <v>0</v>
      </c>
      <c r="U269" s="160">
        <f>SUM(U263:U268)</f>
        <v>0</v>
      </c>
      <c r="V269" s="947"/>
      <c r="W269" s="948"/>
      <c r="X269" s="160"/>
      <c r="Y269" s="129"/>
      <c r="Z269" s="949"/>
      <c r="AA269" s="949"/>
      <c r="AB269" s="949"/>
      <c r="AC269" s="904"/>
      <c r="AE269" s="160"/>
      <c r="AF269" s="160"/>
      <c r="AG269" s="160"/>
      <c r="AH269" s="129"/>
      <c r="AI269" s="949"/>
      <c r="AJ269" s="409"/>
      <c r="AK269" s="160"/>
      <c r="AL269" s="160"/>
      <c r="AM269" s="160"/>
      <c r="AN269" s="129"/>
      <c r="AO269" s="949"/>
      <c r="AP269" s="409"/>
      <c r="AQ269" s="160"/>
      <c r="AR269" s="160"/>
      <c r="AS269" s="160"/>
      <c r="AT269" s="129"/>
      <c r="AU269" s="949"/>
      <c r="AV269" s="409"/>
      <c r="AW269" s="160"/>
      <c r="AX269" s="160"/>
      <c r="AY269" s="160"/>
      <c r="AZ269" s="129"/>
      <c r="BA269" s="949"/>
    </row>
    <row r="270" spans="1:53" ht="17.100000000000001" customHeight="1" x14ac:dyDescent="0.25">
      <c r="A270" s="40"/>
      <c r="B270" s="40"/>
      <c r="C270" s="119"/>
      <c r="D270" s="293" t="s">
        <v>938</v>
      </c>
      <c r="E270" s="142"/>
      <c r="F270" s="143"/>
      <c r="G270" s="143"/>
      <c r="H270" s="245"/>
      <c r="I270" s="239"/>
      <c r="J270" s="154"/>
      <c r="K270" s="154"/>
      <c r="L270" s="154"/>
      <c r="M270" s="154"/>
      <c r="N270" s="154"/>
      <c r="O270" s="154"/>
      <c r="P270" s="154"/>
      <c r="Q270" s="154"/>
      <c r="R270" s="154"/>
      <c r="S270" s="154"/>
      <c r="T270" s="154"/>
      <c r="U270" s="154"/>
      <c r="V270" s="159"/>
      <c r="W270" s="387"/>
      <c r="X270" s="154"/>
      <c r="Y270" s="129"/>
      <c r="Z270" s="130"/>
      <c r="AA270" s="130"/>
      <c r="AB270" s="130"/>
      <c r="AC270" s="125"/>
      <c r="AE270" s="154"/>
      <c r="AF270" s="154"/>
      <c r="AG270" s="154"/>
      <c r="AH270" s="129"/>
      <c r="AI270" s="130"/>
      <c r="AK270" s="154"/>
      <c r="AL270" s="154"/>
      <c r="AM270" s="154"/>
      <c r="AN270" s="129"/>
      <c r="AO270" s="130"/>
      <c r="AQ270" s="154"/>
      <c r="AR270" s="154"/>
      <c r="AS270" s="154"/>
      <c r="AT270" s="129"/>
      <c r="AU270" s="130"/>
      <c r="AW270" s="154"/>
      <c r="AX270" s="154"/>
      <c r="AY270" s="154"/>
      <c r="AZ270" s="129"/>
      <c r="BA270" s="130"/>
    </row>
    <row r="271" spans="1:53" ht="17.100000000000001" customHeight="1" x14ac:dyDescent="0.25">
      <c r="A271" s="40"/>
      <c r="B271" s="40"/>
      <c r="C271" s="119"/>
      <c r="D271" s="293" t="s">
        <v>414</v>
      </c>
      <c r="E271" s="142"/>
      <c r="F271" s="143"/>
      <c r="G271" s="143"/>
      <c r="H271" s="245"/>
      <c r="I271" s="239"/>
      <c r="J271" s="154"/>
      <c r="K271" s="154"/>
      <c r="L271" s="154"/>
      <c r="M271" s="154"/>
      <c r="N271" s="950">
        <f>IF(N263&gt;0,N263*2,0)</f>
        <v>0</v>
      </c>
      <c r="O271" s="950">
        <f>IF(O263&gt;0,O263*2,0)</f>
        <v>0</v>
      </c>
      <c r="P271" s="154"/>
      <c r="Q271" s="950">
        <f>IF(Q263&gt;0,Q263*2,0)</f>
        <v>0</v>
      </c>
      <c r="R271" s="950">
        <f>IF(R263&gt;0,R263*2,0)</f>
        <v>0</v>
      </c>
      <c r="S271" s="154"/>
      <c r="T271" s="950">
        <f>IF(T263&gt;0,T263*2,0)</f>
        <v>0</v>
      </c>
      <c r="U271" s="950">
        <f>IF(U263&gt;0,U263*2,0)</f>
        <v>0</v>
      </c>
      <c r="V271" s="159"/>
      <c r="W271" s="387"/>
      <c r="X271" s="154"/>
      <c r="Y271" s="129"/>
      <c r="Z271" s="130"/>
      <c r="AA271" s="130"/>
      <c r="AB271" s="130"/>
      <c r="AC271" s="125"/>
      <c r="AE271" s="154"/>
      <c r="AF271" s="154"/>
      <c r="AG271" s="154"/>
      <c r="AH271" s="129"/>
      <c r="AI271" s="130"/>
      <c r="AK271" s="154"/>
      <c r="AL271" s="154"/>
      <c r="AM271" s="154"/>
      <c r="AN271" s="129"/>
      <c r="AO271" s="130"/>
      <c r="AQ271" s="154"/>
      <c r="AR271" s="154"/>
      <c r="AS271" s="154"/>
      <c r="AT271" s="129"/>
      <c r="AU271" s="130"/>
      <c r="AW271" s="154"/>
      <c r="AX271" s="154"/>
      <c r="AY271" s="154"/>
      <c r="AZ271" s="129"/>
      <c r="BA271" s="130"/>
    </row>
    <row r="272" spans="1:53" ht="17.100000000000001" customHeight="1" x14ac:dyDescent="0.25">
      <c r="A272" s="40"/>
      <c r="B272" s="40"/>
      <c r="C272" s="119"/>
      <c r="D272" s="293" t="s">
        <v>415</v>
      </c>
      <c r="E272" s="142"/>
      <c r="F272" s="143"/>
      <c r="G272" s="143"/>
      <c r="H272" s="245"/>
      <c r="I272" s="239"/>
      <c r="J272" s="154"/>
      <c r="K272" s="154"/>
      <c r="L272" s="154"/>
      <c r="M272" s="154"/>
      <c r="N272" s="950">
        <f>IF(N264&gt;0,N264*3,0)</f>
        <v>0</v>
      </c>
      <c r="O272" s="950">
        <f>IF(O264&gt;0,O264*3,0)</f>
        <v>0</v>
      </c>
      <c r="P272" s="154"/>
      <c r="Q272" s="950">
        <f>IF(Q264&gt;0,Q264*3,0)</f>
        <v>3</v>
      </c>
      <c r="R272" s="950">
        <f>IF(R264&gt;0,R264*3,0)</f>
        <v>0</v>
      </c>
      <c r="S272" s="154"/>
      <c r="T272" s="950">
        <f>IF(T264&gt;0,T264*3,0)</f>
        <v>0</v>
      </c>
      <c r="U272" s="950">
        <f>IF(U264&gt;0,U264*3,0)</f>
        <v>0</v>
      </c>
      <c r="V272" s="159"/>
      <c r="W272" s="387"/>
      <c r="X272" s="154"/>
      <c r="Y272" s="129"/>
      <c r="Z272" s="130"/>
      <c r="AA272" s="130"/>
      <c r="AB272" s="130"/>
      <c r="AC272" s="125"/>
      <c r="AE272" s="154"/>
      <c r="AF272" s="154"/>
      <c r="AG272" s="154"/>
      <c r="AH272" s="129"/>
      <c r="AI272" s="130"/>
      <c r="AK272" s="154"/>
      <c r="AL272" s="154"/>
      <c r="AM272" s="154"/>
      <c r="AN272" s="129"/>
      <c r="AO272" s="130"/>
      <c r="AQ272" s="154"/>
      <c r="AR272" s="154"/>
      <c r="AS272" s="154"/>
      <c r="AT272" s="129"/>
      <c r="AU272" s="130"/>
      <c r="AW272" s="154"/>
      <c r="AX272" s="154"/>
      <c r="AY272" s="154"/>
      <c r="AZ272" s="129"/>
      <c r="BA272" s="130"/>
    </row>
    <row r="273" spans="1:53" ht="17.100000000000001" customHeight="1" x14ac:dyDescent="0.25">
      <c r="A273" s="40"/>
      <c r="B273" s="40"/>
      <c r="C273" s="119"/>
      <c r="D273" s="293" t="s">
        <v>416</v>
      </c>
      <c r="E273" s="142"/>
      <c r="F273" s="143"/>
      <c r="G273" s="143"/>
      <c r="H273" s="245"/>
      <c r="I273" s="239"/>
      <c r="J273" s="154"/>
      <c r="K273" s="154"/>
      <c r="L273" s="154"/>
      <c r="M273" s="154"/>
      <c r="N273" s="950">
        <f>IF(N265&gt;0,N265*4,0)</f>
        <v>0</v>
      </c>
      <c r="O273" s="950">
        <f>IF(O265&gt;0,O265*4,0)</f>
        <v>0</v>
      </c>
      <c r="P273" s="154"/>
      <c r="Q273" s="950">
        <f>IF(Q265&gt;0,Q265*4,0)</f>
        <v>8</v>
      </c>
      <c r="R273" s="950">
        <f>IF(R265&gt;0,R265*4,0)</f>
        <v>0</v>
      </c>
      <c r="S273" s="154"/>
      <c r="T273" s="950">
        <f>IF(T265&gt;0,T265*4,0)</f>
        <v>0</v>
      </c>
      <c r="U273" s="950">
        <f>IF(U265&gt;0,U265*4,0)</f>
        <v>0</v>
      </c>
      <c r="V273" s="159"/>
      <c r="W273" s="387"/>
      <c r="X273" s="154"/>
      <c r="Y273" s="129"/>
      <c r="Z273" s="130"/>
      <c r="AA273" s="130"/>
      <c r="AB273" s="130"/>
      <c r="AC273" s="125"/>
      <c r="AE273" s="154"/>
      <c r="AF273" s="154"/>
      <c r="AG273" s="154"/>
      <c r="AH273" s="129"/>
      <c r="AI273" s="130"/>
      <c r="AK273" s="154"/>
      <c r="AL273" s="154"/>
      <c r="AM273" s="154"/>
      <c r="AN273" s="129"/>
      <c r="AO273" s="130"/>
      <c r="AQ273" s="154"/>
      <c r="AR273" s="154"/>
      <c r="AS273" s="154"/>
      <c r="AT273" s="129"/>
      <c r="AU273" s="130"/>
      <c r="AW273" s="154"/>
      <c r="AX273" s="154"/>
      <c r="AY273" s="154"/>
      <c r="AZ273" s="129"/>
      <c r="BA273" s="130"/>
    </row>
    <row r="274" spans="1:53" ht="17.100000000000001" customHeight="1" x14ac:dyDescent="0.25">
      <c r="A274" s="40"/>
      <c r="B274" s="40"/>
      <c r="C274" s="119"/>
      <c r="D274" s="293" t="s">
        <v>127</v>
      </c>
      <c r="E274" s="142"/>
      <c r="F274" s="143"/>
      <c r="G274" s="143"/>
      <c r="H274" s="245"/>
      <c r="I274" s="239"/>
      <c r="J274" s="154"/>
      <c r="K274" s="154"/>
      <c r="L274" s="154"/>
      <c r="M274" s="154"/>
      <c r="N274" s="950">
        <f>IF(N266&gt;0,N266*5,0)</f>
        <v>5</v>
      </c>
      <c r="O274" s="950">
        <f>IF(O266&gt;0,O266*5,0)</f>
        <v>25</v>
      </c>
      <c r="P274" s="154"/>
      <c r="Q274" s="950">
        <f>IF(Q266&gt;0,Q266*5,0)</f>
        <v>0</v>
      </c>
      <c r="R274" s="950">
        <f>IF(R266&gt;0,R266*5,0)</f>
        <v>20</v>
      </c>
      <c r="S274" s="154"/>
      <c r="T274" s="950">
        <f>IF(T266&gt;0,T266*5,0)</f>
        <v>0</v>
      </c>
      <c r="U274" s="950">
        <f>IF(U266&gt;0,U266*5,0)</f>
        <v>0</v>
      </c>
      <c r="V274" s="159"/>
      <c r="W274" s="387"/>
      <c r="X274" s="154"/>
      <c r="Y274" s="129"/>
      <c r="Z274" s="130"/>
      <c r="AA274" s="130"/>
      <c r="AB274" s="130"/>
      <c r="AC274" s="125"/>
      <c r="AE274" s="154"/>
      <c r="AF274" s="154"/>
      <c r="AG274" s="154"/>
      <c r="AH274" s="129"/>
      <c r="AI274" s="130"/>
      <c r="AK274" s="154"/>
      <c r="AL274" s="154"/>
      <c r="AM274" s="154"/>
      <c r="AN274" s="129"/>
      <c r="AO274" s="130"/>
      <c r="AQ274" s="154"/>
      <c r="AR274" s="154"/>
      <c r="AS274" s="154"/>
      <c r="AT274" s="129"/>
      <c r="AU274" s="130"/>
      <c r="AW274" s="154"/>
      <c r="AX274" s="154"/>
      <c r="AY274" s="154"/>
      <c r="AZ274" s="129"/>
      <c r="BA274" s="130"/>
    </row>
    <row r="275" spans="1:53" ht="17.100000000000001" customHeight="1" x14ac:dyDescent="0.25">
      <c r="A275" s="40"/>
      <c r="B275" s="40"/>
      <c r="C275" s="119"/>
      <c r="D275" s="293" t="s">
        <v>417</v>
      </c>
      <c r="E275" s="142"/>
      <c r="F275" s="143"/>
      <c r="G275" s="143"/>
      <c r="H275" s="245"/>
      <c r="I275" s="239"/>
      <c r="J275" s="154"/>
      <c r="K275" s="154"/>
      <c r="L275" s="154"/>
      <c r="M275" s="154"/>
      <c r="N275" s="950">
        <f>IF(N267&gt;0,N267*6,0)</f>
        <v>0</v>
      </c>
      <c r="O275" s="950">
        <f>IF(O267&gt;0,O267*6,0)</f>
        <v>0</v>
      </c>
      <c r="P275" s="154"/>
      <c r="Q275" s="950">
        <f>IF(Q267&gt;0,Q267*6,0)</f>
        <v>0</v>
      </c>
      <c r="R275" s="950">
        <f>IF(R267&gt;0,R267*6,0)</f>
        <v>6</v>
      </c>
      <c r="S275" s="154"/>
      <c r="T275" s="950">
        <f>IF(T267&gt;0,T267*6,0)</f>
        <v>0</v>
      </c>
      <c r="U275" s="950">
        <f>IF(U267&gt;0,U267*6,0)</f>
        <v>0</v>
      </c>
      <c r="V275" s="159"/>
      <c r="W275" s="387"/>
      <c r="X275" s="154"/>
      <c r="Y275" s="129"/>
      <c r="Z275" s="130"/>
      <c r="AA275" s="130"/>
      <c r="AB275" s="130"/>
      <c r="AC275" s="125"/>
      <c r="AE275" s="154"/>
      <c r="AF275" s="154"/>
      <c r="AG275" s="154"/>
      <c r="AH275" s="129"/>
      <c r="AI275" s="130"/>
      <c r="AK275" s="154"/>
      <c r="AL275" s="154"/>
      <c r="AM275" s="154"/>
      <c r="AN275" s="129"/>
      <c r="AO275" s="130"/>
      <c r="AQ275" s="154"/>
      <c r="AR275" s="154"/>
      <c r="AS275" s="154"/>
      <c r="AT275" s="129"/>
      <c r="AU275" s="130"/>
      <c r="AW275" s="154"/>
      <c r="AX275" s="154"/>
      <c r="AY275" s="154"/>
      <c r="AZ275" s="129"/>
      <c r="BA275" s="130"/>
    </row>
    <row r="276" spans="1:53" ht="17.100000000000001" customHeight="1" x14ac:dyDescent="0.25">
      <c r="A276" s="951"/>
      <c r="B276" s="951"/>
      <c r="C276" s="119"/>
      <c r="D276" s="293" t="s">
        <v>418</v>
      </c>
      <c r="E276" s="142"/>
      <c r="F276" s="143"/>
      <c r="G276" s="143"/>
      <c r="H276" s="245"/>
      <c r="I276" s="239"/>
      <c r="J276" s="154"/>
      <c r="K276" s="154"/>
      <c r="L276" s="154"/>
      <c r="M276" s="154"/>
      <c r="N276" s="950">
        <f>IF(N268&gt;0,N268*7.5,0)</f>
        <v>0</v>
      </c>
      <c r="O276" s="950" t="str">
        <f>IF(O268&gt;0,O268*7.5,"")</f>
        <v/>
      </c>
      <c r="P276" s="154"/>
      <c r="Q276" s="950">
        <f>IF(Q268&gt;0,Q268*7.5,0)</f>
        <v>0</v>
      </c>
      <c r="R276" s="950" t="str">
        <f>IF(R268&gt;0,R268*7.5,"")</f>
        <v/>
      </c>
      <c r="S276" s="154"/>
      <c r="T276" s="950">
        <f>IF(T268&gt;0,T268*7.5,0)</f>
        <v>0</v>
      </c>
      <c r="U276" s="950" t="str">
        <f>IF(U268&gt;0,U268*7.5,"")</f>
        <v/>
      </c>
      <c r="V276" s="159"/>
      <c r="W276" s="387"/>
      <c r="X276" s="154"/>
      <c r="Y276" s="129"/>
      <c r="Z276" s="130"/>
      <c r="AA276" s="130"/>
      <c r="AB276" s="130"/>
      <c r="AC276" s="125"/>
      <c r="AE276" s="154"/>
      <c r="AF276" s="154"/>
      <c r="AG276" s="154"/>
      <c r="AH276" s="129"/>
      <c r="AI276" s="130"/>
      <c r="AK276" s="154"/>
      <c r="AL276" s="154"/>
      <c r="AM276" s="154"/>
      <c r="AN276" s="129"/>
      <c r="AO276" s="130"/>
      <c r="AQ276" s="154"/>
      <c r="AR276" s="154"/>
      <c r="AS276" s="154"/>
      <c r="AT276" s="129"/>
      <c r="AU276" s="130"/>
      <c r="AW276" s="154"/>
      <c r="AX276" s="154"/>
      <c r="AY276" s="154"/>
      <c r="AZ276" s="129"/>
      <c r="BA276" s="130"/>
    </row>
    <row r="277" spans="1:53" ht="17.100000000000001" customHeight="1" x14ac:dyDescent="0.25">
      <c r="A277" s="40"/>
      <c r="B277" s="40"/>
      <c r="C277" s="119"/>
      <c r="D277" s="293" t="s">
        <v>1441</v>
      </c>
      <c r="E277" s="142"/>
      <c r="F277" s="143"/>
      <c r="G277" s="143"/>
      <c r="H277" s="245"/>
      <c r="I277" s="239"/>
      <c r="J277" s="534"/>
      <c r="K277" s="154"/>
      <c r="L277" s="154"/>
      <c r="M277" s="154"/>
      <c r="N277" s="952">
        <f>SUM(N271:N276)</f>
        <v>5</v>
      </c>
      <c r="O277" s="952">
        <f>SUM(O271:O276)</f>
        <v>25</v>
      </c>
      <c r="P277" s="154"/>
      <c r="Q277" s="952">
        <f>SUM(Q271:Q276)</f>
        <v>11</v>
      </c>
      <c r="R277" s="952">
        <f>SUM(R271:R276)</f>
        <v>26</v>
      </c>
      <c r="S277" s="154"/>
      <c r="T277" s="952">
        <f>SUM(T271:T276)</f>
        <v>0</v>
      </c>
      <c r="U277" s="952">
        <f>SUM(U271:U276)</f>
        <v>0</v>
      </c>
      <c r="V277" s="159"/>
      <c r="W277" s="387"/>
      <c r="X277" s="154"/>
      <c r="Y277" s="129"/>
      <c r="Z277" s="130"/>
      <c r="AA277" s="130"/>
      <c r="AB277" s="130"/>
      <c r="AC277" s="125"/>
      <c r="AE277" s="154"/>
      <c r="AF277" s="154"/>
      <c r="AG277" s="154"/>
      <c r="AH277" s="129"/>
      <c r="AI277" s="130"/>
      <c r="AK277" s="154"/>
      <c r="AL277" s="154"/>
      <c r="AM277" s="154"/>
      <c r="AN277" s="129"/>
      <c r="AO277" s="130"/>
      <c r="AQ277" s="154"/>
      <c r="AR277" s="154"/>
      <c r="AS277" s="154"/>
      <c r="AT277" s="129"/>
      <c r="AU277" s="130"/>
      <c r="AW277" s="154"/>
      <c r="AX277" s="154"/>
      <c r="AY277" s="154"/>
      <c r="AZ277" s="129"/>
      <c r="BA277" s="130"/>
    </row>
    <row r="278" spans="1:53" s="409" customFormat="1" ht="17.100000000000001" customHeight="1" x14ac:dyDescent="0.25">
      <c r="A278" s="928"/>
      <c r="B278" s="928"/>
      <c r="C278" s="928"/>
      <c r="D278" s="559" t="s">
        <v>939</v>
      </c>
      <c r="E278" s="556"/>
      <c r="F278" s="92"/>
      <c r="G278" s="92"/>
      <c r="H278" s="242"/>
      <c r="I278" s="230"/>
      <c r="J278" s="536"/>
      <c r="K278" s="536"/>
      <c r="L278" s="155"/>
      <c r="M278" s="155"/>
      <c r="N278" s="536">
        <f>IF(N269=0,"",N277/N269)</f>
        <v>5</v>
      </c>
      <c r="O278" s="536">
        <f>IF(O269=0,"",O277/O269)</f>
        <v>5</v>
      </c>
      <c r="P278" s="155"/>
      <c r="Q278" s="536">
        <f>IF(Q269=0,"",Q277/Q269)</f>
        <v>3.6666666666666665</v>
      </c>
      <c r="R278" s="536">
        <f>IF(R269=0,"",R277/R269)</f>
        <v>5.2</v>
      </c>
      <c r="S278" s="155"/>
      <c r="T278" s="536" t="str">
        <f>IF(T269=0,"",T277/T269)</f>
        <v/>
      </c>
      <c r="U278" s="536" t="str">
        <f>IF(U269=0,"",U277/U269)</f>
        <v/>
      </c>
      <c r="V278" s="366"/>
      <c r="W278" s="550">
        <f>AS278</f>
        <v>4.333333333333333</v>
      </c>
      <c r="X278" s="537">
        <f>AY278</f>
        <v>5.0999999999999996</v>
      </c>
      <c r="Y278" s="537">
        <f>AC278</f>
        <v>4.7166666666666668</v>
      </c>
      <c r="Z278" s="201"/>
      <c r="AA278" s="340">
        <f>MIN(N278:U278)</f>
        <v>3.6666666666666665</v>
      </c>
      <c r="AB278" s="340">
        <f>MAX(N278:U278)</f>
        <v>5.2</v>
      </c>
      <c r="AC278" s="560">
        <f>IF(SUM(N278:U278)=0,0,AVERAGE(N278:U278))</f>
        <v>4.7166666666666668</v>
      </c>
      <c r="AE278" s="155"/>
      <c r="AF278" s="155"/>
      <c r="AG278" s="155"/>
      <c r="AH278" s="927"/>
      <c r="AI278" s="201"/>
      <c r="AK278" s="155"/>
      <c r="AL278" s="155"/>
      <c r="AM278" s="155"/>
      <c r="AN278" s="927"/>
      <c r="AO278" s="201"/>
      <c r="AQ278" s="537">
        <f>MIN(N278,Q278,T278)</f>
        <v>3.6666666666666665</v>
      </c>
      <c r="AR278" s="537">
        <f>MAX(N278,Q278,T278)</f>
        <v>5</v>
      </c>
      <c r="AS278" s="537">
        <f>IF(N277+Q277+T277=0,0,AVERAGE(N278,Q278,T278))</f>
        <v>4.333333333333333</v>
      </c>
      <c r="AT278" s="560"/>
      <c r="AU278" s="340"/>
      <c r="AV278" s="561"/>
      <c r="AW278" s="537">
        <f>MIN(O278,R278,U278)</f>
        <v>5</v>
      </c>
      <c r="AX278" s="537">
        <f>MAX(O278,R278,U278)</f>
        <v>5.2</v>
      </c>
      <c r="AY278" s="537">
        <f>IF(O277+R277+U277=0,0,AVERAGE(O278,R278,U278))</f>
        <v>5.0999999999999996</v>
      </c>
      <c r="AZ278" s="927"/>
      <c r="BA278" s="201"/>
    </row>
    <row r="279" spans="1:53" s="964" customFormat="1" ht="17.100000000000001" customHeight="1" x14ac:dyDescent="0.25">
      <c r="A279" s="177"/>
      <c r="B279" s="177"/>
      <c r="C279" s="953"/>
      <c r="D279" s="954" t="s">
        <v>946</v>
      </c>
      <c r="E279" s="955"/>
      <c r="F279" s="956"/>
      <c r="G279" s="956"/>
      <c r="H279" s="957"/>
      <c r="I279" s="958"/>
      <c r="J279" s="950"/>
      <c r="K279" s="950"/>
      <c r="L279" s="950"/>
      <c r="M279" s="950"/>
      <c r="N279" s="952">
        <f>IF(N277=0,0,N278)</f>
        <v>5</v>
      </c>
      <c r="O279" s="952">
        <f>IF(O277=0,0,O278)</f>
        <v>5</v>
      </c>
      <c r="P279" s="952"/>
      <c r="Q279" s="952">
        <f>IF(Q277=0,0,Q278)</f>
        <v>3.6666666666666665</v>
      </c>
      <c r="R279" s="952">
        <f>IF(R277=0,0,R278)</f>
        <v>5.2</v>
      </c>
      <c r="S279" s="952"/>
      <c r="T279" s="952">
        <f>IF(T277=0,0,T278)</f>
        <v>0</v>
      </c>
      <c r="U279" s="952">
        <f>IF(U277=0,0,U278)</f>
        <v>0</v>
      </c>
      <c r="V279" s="959"/>
      <c r="W279" s="960"/>
      <c r="X279" s="950"/>
      <c r="Y279" s="961"/>
      <c r="Z279" s="962"/>
      <c r="AA279" s="962"/>
      <c r="AB279" s="962"/>
      <c r="AC279" s="963"/>
      <c r="AE279" s="950"/>
      <c r="AF279" s="950"/>
      <c r="AG279" s="950"/>
      <c r="AH279" s="961"/>
      <c r="AI279" s="962"/>
      <c r="AJ279" s="965"/>
      <c r="AK279" s="950"/>
      <c r="AL279" s="950"/>
      <c r="AM279" s="950"/>
      <c r="AN279" s="961"/>
      <c r="AO279" s="962"/>
      <c r="AP279" s="965"/>
      <c r="AQ279" s="950"/>
      <c r="AR279" s="950"/>
      <c r="AS279" s="950"/>
      <c r="AT279" s="961"/>
      <c r="AU279" s="962"/>
      <c r="AV279" s="965"/>
      <c r="AW279" s="950"/>
      <c r="AX279" s="950"/>
      <c r="AY279" s="950"/>
      <c r="AZ279" s="961"/>
      <c r="BA279" s="962"/>
    </row>
    <row r="280" spans="1:53" ht="17.100000000000001" customHeight="1" x14ac:dyDescent="0.25">
      <c r="A280" s="40"/>
      <c r="B280" s="40"/>
      <c r="C280" s="40"/>
      <c r="D280" s="930" t="s">
        <v>937</v>
      </c>
      <c r="E280" s="150"/>
      <c r="F280" s="151"/>
      <c r="G280" s="151"/>
      <c r="H280" s="119"/>
      <c r="I280" s="236"/>
      <c r="J280" s="152"/>
      <c r="K280" s="152"/>
      <c r="L280" s="111"/>
      <c r="M280" s="111"/>
      <c r="N280" s="111"/>
      <c r="O280" s="111"/>
      <c r="P280" s="111"/>
      <c r="Q280" s="111"/>
      <c r="R280" s="111"/>
      <c r="S280" s="111"/>
      <c r="T280" s="111"/>
      <c r="U280" s="111"/>
      <c r="V280" s="358"/>
      <c r="W280" s="380"/>
      <c r="X280" s="111"/>
      <c r="Y280" s="932"/>
      <c r="Z280" s="131"/>
      <c r="AA280" s="131"/>
      <c r="AB280" s="131"/>
      <c r="AC280" s="113"/>
      <c r="AE280" s="152"/>
      <c r="AF280" s="152"/>
      <c r="AG280" s="111"/>
      <c r="AH280" s="932"/>
      <c r="AI280" s="131"/>
      <c r="AK280" s="152"/>
      <c r="AL280" s="152"/>
      <c r="AM280" s="111"/>
      <c r="AN280" s="932"/>
      <c r="AO280" s="131"/>
      <c r="AQ280" s="152"/>
      <c r="AR280" s="152"/>
      <c r="AS280" s="111"/>
      <c r="AT280" s="932"/>
      <c r="AU280" s="131"/>
      <c r="AW280" s="152"/>
      <c r="AX280" s="152"/>
      <c r="AY280" s="111"/>
      <c r="AZ280" s="932"/>
      <c r="BA280" s="131"/>
    </row>
    <row r="281" spans="1:53" ht="17.100000000000001" customHeight="1" x14ac:dyDescent="0.25">
      <c r="A281" s="40"/>
      <c r="B281" s="40"/>
      <c r="C281" s="119"/>
      <c r="D281" s="535" t="s">
        <v>947</v>
      </c>
      <c r="E281" s="418"/>
      <c r="F281" s="418"/>
      <c r="G281" s="418"/>
      <c r="H281" s="245"/>
      <c r="I281" s="239"/>
      <c r="J281" s="154"/>
      <c r="K281" s="154"/>
      <c r="L281" s="154"/>
      <c r="M281" s="154"/>
      <c r="N281" s="533">
        <f>1*$J$250+((N279-1)*$J$251)</f>
        <v>1.8660714285714246</v>
      </c>
      <c r="O281" s="533">
        <f>1*$J$250+((O279-1)*$J$251)</f>
        <v>1.8660714285714246</v>
      </c>
      <c r="P281" s="534"/>
      <c r="Q281" s="533">
        <f>1*$J$250+((Q279-1)*$J$251)</f>
        <v>1.3422619047619018</v>
      </c>
      <c r="R281" s="533">
        <f>1*$J$250+((R279-1)*$J$251)</f>
        <v>1.9446428571428531</v>
      </c>
      <c r="S281" s="154"/>
      <c r="T281" s="533">
        <f>1*$J$250+((T279-1)*$J$251)</f>
        <v>-9.8214285714285476E-2</v>
      </c>
      <c r="U281" s="533">
        <f>1*$J$250+((U279-1)*$J$251)</f>
        <v>-9.8214285714285476E-2</v>
      </c>
      <c r="V281" s="159"/>
      <c r="W281" s="387"/>
      <c r="X281" s="154"/>
      <c r="Y281" s="129"/>
      <c r="Z281" s="130"/>
      <c r="AA281" s="130"/>
      <c r="AB281" s="130"/>
      <c r="AC281" s="125"/>
      <c r="AE281" s="154"/>
      <c r="AF281" s="154"/>
      <c r="AG281" s="154"/>
      <c r="AH281" s="129"/>
      <c r="AI281" s="130"/>
      <c r="AK281" s="154"/>
      <c r="AL281" s="154"/>
      <c r="AM281" s="154"/>
      <c r="AN281" s="129"/>
      <c r="AO281" s="130"/>
      <c r="AQ281" s="154"/>
      <c r="AR281" s="154"/>
      <c r="AS281" s="154"/>
      <c r="AT281" s="129"/>
      <c r="AU281" s="130"/>
      <c r="AW281" s="154"/>
      <c r="AX281" s="154"/>
      <c r="AY281" s="154"/>
      <c r="AZ281" s="129"/>
      <c r="BA281" s="130"/>
    </row>
    <row r="282" spans="1:53" ht="17.100000000000001" customHeight="1" x14ac:dyDescent="0.25">
      <c r="A282" s="40"/>
      <c r="B282" s="40"/>
      <c r="C282" s="119"/>
      <c r="D282" s="535" t="s">
        <v>948</v>
      </c>
      <c r="E282" s="418"/>
      <c r="F282" s="418"/>
      <c r="G282" s="418"/>
      <c r="H282" s="245"/>
      <c r="I282" s="239"/>
      <c r="J282" s="154"/>
      <c r="K282" s="154"/>
      <c r="L282" s="154"/>
      <c r="M282" s="154"/>
      <c r="N282" s="533">
        <f>1*$J$252+((N279-1)*$J$253)</f>
        <v>1.767857142857139</v>
      </c>
      <c r="O282" s="533">
        <f>1*$J$252+((O279-1)*$J$253)</f>
        <v>1.767857142857139</v>
      </c>
      <c r="P282" s="534"/>
      <c r="Q282" s="533">
        <f>1*$J$252+((Q279-1)*$J$253)</f>
        <v>1.2440476190476162</v>
      </c>
      <c r="R282" s="533">
        <f>1*$J$252+((R279-1)*$J$253)</f>
        <v>1.8464285714285675</v>
      </c>
      <c r="S282" s="154"/>
      <c r="T282" s="533">
        <f>1*$J$252+((T279-1)*$J$253)</f>
        <v>-0.19642857142857101</v>
      </c>
      <c r="U282" s="533">
        <f>1*$J$252+((U279-1)*$J$253)</f>
        <v>-0.19642857142857101</v>
      </c>
      <c r="V282" s="159"/>
      <c r="W282" s="387"/>
      <c r="X282" s="154"/>
      <c r="Y282" s="129"/>
      <c r="Z282" s="130"/>
      <c r="AA282" s="130"/>
      <c r="AB282" s="130"/>
      <c r="AC282" s="125"/>
      <c r="AE282" s="154"/>
      <c r="AF282" s="154"/>
      <c r="AG282" s="154"/>
      <c r="AH282" s="129"/>
      <c r="AI282" s="130"/>
      <c r="AK282" s="154"/>
      <c r="AL282" s="154"/>
      <c r="AM282" s="154"/>
      <c r="AN282" s="129"/>
      <c r="AO282" s="130"/>
      <c r="AQ282" s="154"/>
      <c r="AR282" s="154"/>
      <c r="AS282" s="154"/>
      <c r="AT282" s="129"/>
      <c r="AU282" s="130"/>
      <c r="AW282" s="154"/>
      <c r="AX282" s="154"/>
      <c r="AY282" s="154"/>
      <c r="AZ282" s="129"/>
      <c r="BA282" s="130"/>
    </row>
    <row r="283" spans="1:53" ht="17.100000000000001" customHeight="1" x14ac:dyDescent="0.25">
      <c r="A283" s="40"/>
      <c r="B283" s="40"/>
      <c r="C283" s="119"/>
      <c r="D283" s="535" t="s">
        <v>949</v>
      </c>
      <c r="E283" s="418"/>
      <c r="F283" s="418"/>
      <c r="G283" s="418"/>
      <c r="H283" s="245"/>
      <c r="I283" s="239"/>
      <c r="J283" s="154"/>
      <c r="K283" s="154"/>
      <c r="L283" s="154"/>
      <c r="M283" s="154"/>
      <c r="N283" s="533">
        <f>(N279-1)*$J$255</f>
        <v>1.5714285714285681</v>
      </c>
      <c r="O283" s="533">
        <f>(O279-1)*$J$255</f>
        <v>1.5714285714285681</v>
      </c>
      <c r="P283" s="534"/>
      <c r="Q283" s="533">
        <f>(Q279-1)*$J$255</f>
        <v>1.0476190476190452</v>
      </c>
      <c r="R283" s="533">
        <f>(R279-1)*$J$255</f>
        <v>1.6499999999999966</v>
      </c>
      <c r="S283" s="154"/>
      <c r="T283" s="533">
        <f>(T279-1)*$J$255</f>
        <v>-0.39285714285714202</v>
      </c>
      <c r="U283" s="533">
        <f>(U279-1)*$J$255</f>
        <v>-0.39285714285714202</v>
      </c>
      <c r="V283" s="159"/>
      <c r="W283" s="387"/>
      <c r="X283" s="154"/>
      <c r="Y283" s="129"/>
      <c r="Z283" s="130"/>
      <c r="AA283" s="130"/>
      <c r="AB283" s="130"/>
      <c r="AC283" s="125"/>
      <c r="AE283" s="154"/>
      <c r="AF283" s="154"/>
      <c r="AG283" s="154"/>
      <c r="AH283" s="129"/>
      <c r="AI283" s="130"/>
      <c r="AK283" s="154"/>
      <c r="AL283" s="154"/>
      <c r="AM283" s="154"/>
      <c r="AN283" s="129"/>
      <c r="AO283" s="130"/>
      <c r="AQ283" s="154"/>
      <c r="AR283" s="154"/>
      <c r="AS283" s="154"/>
      <c r="AT283" s="129"/>
      <c r="AU283" s="130"/>
      <c r="AW283" s="154"/>
      <c r="AX283" s="154"/>
      <c r="AY283" s="154"/>
      <c r="AZ283" s="129"/>
      <c r="BA283" s="130"/>
    </row>
    <row r="284" spans="1:53" ht="17.100000000000001" customHeight="1" x14ac:dyDescent="0.25">
      <c r="A284" s="40"/>
      <c r="B284" s="40"/>
      <c r="C284" s="119"/>
      <c r="D284" s="535" t="s">
        <v>950</v>
      </c>
      <c r="E284" s="418"/>
      <c r="F284" s="418"/>
      <c r="G284" s="418"/>
      <c r="H284" s="245"/>
      <c r="I284" s="239"/>
      <c r="J284" s="154"/>
      <c r="K284" s="154"/>
      <c r="L284" s="154"/>
      <c r="M284" s="154"/>
      <c r="N284" s="533">
        <f t="shared" ref="N284:O286" si="320">N257*N281</f>
        <v>0</v>
      </c>
      <c r="O284" s="533">
        <f t="shared" si="320"/>
        <v>0</v>
      </c>
      <c r="P284" s="534"/>
      <c r="Q284" s="533">
        <f t="shared" ref="Q284:R286" si="321">Q257*Q281</f>
        <v>1.3422619047619018</v>
      </c>
      <c r="R284" s="533">
        <f t="shared" si="321"/>
        <v>1.9446428571428531</v>
      </c>
      <c r="S284" s="154"/>
      <c r="T284" s="533">
        <f t="shared" ref="T284:U286" si="322">T257*T281</f>
        <v>0</v>
      </c>
      <c r="U284" s="533">
        <f t="shared" si="322"/>
        <v>0</v>
      </c>
      <c r="V284" s="159"/>
      <c r="W284" s="387"/>
      <c r="X284" s="154"/>
      <c r="Y284" s="129"/>
      <c r="Z284" s="130"/>
      <c r="AA284" s="130"/>
      <c r="AB284" s="130"/>
      <c r="AC284" s="125"/>
      <c r="AE284" s="154"/>
      <c r="AF284" s="154"/>
      <c r="AG284" s="154"/>
      <c r="AH284" s="129"/>
      <c r="AI284" s="130"/>
      <c r="AK284" s="154"/>
      <c r="AL284" s="154"/>
      <c r="AM284" s="154"/>
      <c r="AN284" s="129"/>
      <c r="AO284" s="130"/>
      <c r="AQ284" s="154"/>
      <c r="AR284" s="154"/>
      <c r="AS284" s="154"/>
      <c r="AT284" s="129"/>
      <c r="AU284" s="130"/>
      <c r="AW284" s="154"/>
      <c r="AX284" s="154"/>
      <c r="AY284" s="154"/>
      <c r="AZ284" s="129"/>
      <c r="BA284" s="130"/>
    </row>
    <row r="285" spans="1:53" ht="17.100000000000001" customHeight="1" x14ac:dyDescent="0.25">
      <c r="A285" s="40"/>
      <c r="B285" s="40"/>
      <c r="C285" s="119"/>
      <c r="D285" s="535" t="s">
        <v>951</v>
      </c>
      <c r="E285" s="418"/>
      <c r="F285" s="418"/>
      <c r="G285" s="418"/>
      <c r="H285" s="245"/>
      <c r="I285" s="239"/>
      <c r="J285" s="154"/>
      <c r="K285" s="154"/>
      <c r="L285" s="154"/>
      <c r="M285" s="154"/>
      <c r="N285" s="533">
        <f t="shared" si="320"/>
        <v>1.767857142857139</v>
      </c>
      <c r="O285" s="533">
        <f t="shared" si="320"/>
        <v>5.3035714285714173</v>
      </c>
      <c r="P285" s="534"/>
      <c r="Q285" s="533">
        <f t="shared" si="321"/>
        <v>1.2440476190476162</v>
      </c>
      <c r="R285" s="533">
        <f t="shared" si="321"/>
        <v>1.8464285714285675</v>
      </c>
      <c r="S285" s="154"/>
      <c r="T285" s="533">
        <f t="shared" si="322"/>
        <v>0</v>
      </c>
      <c r="U285" s="533">
        <f t="shared" si="322"/>
        <v>0</v>
      </c>
      <c r="V285" s="159"/>
      <c r="W285" s="387"/>
      <c r="X285" s="154"/>
      <c r="Y285" s="129"/>
      <c r="Z285" s="130"/>
      <c r="AA285" s="130"/>
      <c r="AB285" s="130"/>
      <c r="AC285" s="125"/>
      <c r="AE285" s="154"/>
      <c r="AF285" s="154"/>
      <c r="AG285" s="154"/>
      <c r="AH285" s="129"/>
      <c r="AI285" s="130"/>
      <c r="AK285" s="154"/>
      <c r="AL285" s="154"/>
      <c r="AM285" s="154"/>
      <c r="AN285" s="129"/>
      <c r="AO285" s="130"/>
      <c r="AQ285" s="154"/>
      <c r="AR285" s="154"/>
      <c r="AS285" s="154"/>
      <c r="AT285" s="129"/>
      <c r="AU285" s="130"/>
      <c r="AW285" s="154"/>
      <c r="AX285" s="154"/>
      <c r="AY285" s="154"/>
      <c r="AZ285" s="129"/>
      <c r="BA285" s="130"/>
    </row>
    <row r="286" spans="1:53" ht="17.100000000000001" customHeight="1" x14ac:dyDescent="0.25">
      <c r="A286" s="40"/>
      <c r="B286" s="40"/>
      <c r="C286" s="119"/>
      <c r="D286" s="535" t="s">
        <v>952</v>
      </c>
      <c r="E286" s="418"/>
      <c r="F286" s="418"/>
      <c r="G286" s="418"/>
      <c r="H286" s="245"/>
      <c r="I286" s="239"/>
      <c r="J286" s="154"/>
      <c r="K286" s="154"/>
      <c r="L286" s="154"/>
      <c r="M286" s="154"/>
      <c r="N286" s="533">
        <f t="shared" si="320"/>
        <v>0</v>
      </c>
      <c r="O286" s="533">
        <f t="shared" si="320"/>
        <v>3.1428571428571361</v>
      </c>
      <c r="P286" s="534"/>
      <c r="Q286" s="533">
        <f t="shared" si="321"/>
        <v>1.0476190476190452</v>
      </c>
      <c r="R286" s="533">
        <f t="shared" si="321"/>
        <v>4.9499999999999895</v>
      </c>
      <c r="S286" s="154"/>
      <c r="T286" s="533">
        <f t="shared" si="322"/>
        <v>0</v>
      </c>
      <c r="U286" s="533">
        <f t="shared" si="322"/>
        <v>0</v>
      </c>
      <c r="V286" s="159"/>
      <c r="W286" s="387"/>
      <c r="X286" s="154"/>
      <c r="Y286" s="129"/>
      <c r="Z286" s="130"/>
      <c r="AA286" s="130"/>
      <c r="AB286" s="130"/>
      <c r="AC286" s="125"/>
      <c r="AE286" s="154"/>
      <c r="AF286" s="154"/>
      <c r="AG286" s="154"/>
      <c r="AH286" s="129"/>
      <c r="AI286" s="130"/>
      <c r="AK286" s="154"/>
      <c r="AL286" s="154"/>
      <c r="AM286" s="154"/>
      <c r="AN286" s="129"/>
      <c r="AO286" s="130"/>
      <c r="AQ286" s="154"/>
      <c r="AR286" s="154"/>
      <c r="AS286" s="154"/>
      <c r="AT286" s="129"/>
      <c r="AU286" s="130"/>
      <c r="AW286" s="154"/>
      <c r="AX286" s="154"/>
      <c r="AY286" s="154"/>
      <c r="AZ286" s="129"/>
      <c r="BA286" s="130"/>
    </row>
    <row r="287" spans="1:53" s="409" customFormat="1" ht="17.100000000000001" customHeight="1" x14ac:dyDescent="0.25">
      <c r="A287" s="928"/>
      <c r="B287" s="928"/>
      <c r="C287" s="928"/>
      <c r="D287" s="461" t="s">
        <v>953</v>
      </c>
      <c r="E287" s="212"/>
      <c r="F287" s="212"/>
      <c r="G287" s="212"/>
      <c r="H287" s="242"/>
      <c r="I287" s="230"/>
      <c r="J287" s="155"/>
      <c r="K287" s="155"/>
      <c r="L287" s="155"/>
      <c r="M287" s="155"/>
      <c r="N287" s="537">
        <f>SUM(N284:N286)</f>
        <v>1.767857142857139</v>
      </c>
      <c r="O287" s="537">
        <f>SUM(O284:O286)</f>
        <v>8.4464285714285534</v>
      </c>
      <c r="P287" s="536"/>
      <c r="Q287" s="537">
        <f>SUM(Q284:Q286)</f>
        <v>3.6339285714285632</v>
      </c>
      <c r="R287" s="537">
        <f>SUM(R284:R286)</f>
        <v>8.7410714285714093</v>
      </c>
      <c r="S287" s="155"/>
      <c r="T287" s="537">
        <f>SUM(T284:T286)</f>
        <v>0</v>
      </c>
      <c r="U287" s="537">
        <f>SUM(U284:U286)</f>
        <v>0</v>
      </c>
      <c r="V287" s="366"/>
      <c r="W287" s="550">
        <f>N287+Q287+T287</f>
        <v>5.401785714285702</v>
      </c>
      <c r="X287" s="537">
        <f>O287+R287+U287</f>
        <v>17.187499999999964</v>
      </c>
      <c r="Y287" s="537">
        <f>SUM(W287:X287)</f>
        <v>22.589285714285666</v>
      </c>
      <c r="Z287" s="546"/>
      <c r="AA287" s="537"/>
      <c r="AB287" s="537"/>
      <c r="AC287" s="547"/>
      <c r="AE287" s="154"/>
      <c r="AF287" s="154"/>
      <c r="AG287" s="154"/>
      <c r="AH287" s="129"/>
      <c r="AI287" s="130"/>
      <c r="AJ287" s="117"/>
      <c r="AK287" s="154"/>
      <c r="AL287" s="154"/>
      <c r="AM287" s="154"/>
      <c r="AN287" s="129"/>
      <c r="AO287" s="130"/>
      <c r="AQ287" s="155"/>
      <c r="AR287" s="155"/>
      <c r="AS287" s="155"/>
      <c r="AT287" s="927"/>
      <c r="AU287" s="201"/>
      <c r="AW287" s="155"/>
      <c r="AX287" s="155"/>
      <c r="AY287" s="155"/>
      <c r="AZ287" s="927"/>
      <c r="BA287" s="201"/>
    </row>
    <row r="288" spans="1:53" s="409" customFormat="1" ht="17.100000000000001" customHeight="1" x14ac:dyDescent="0.25">
      <c r="A288" s="928"/>
      <c r="B288" s="928"/>
      <c r="C288" s="928"/>
      <c r="D288" s="461" t="s">
        <v>954</v>
      </c>
      <c r="E288" s="212"/>
      <c r="F288" s="212"/>
      <c r="G288" s="212"/>
      <c r="H288" s="242"/>
      <c r="I288" s="230"/>
      <c r="J288" s="155"/>
      <c r="K288" s="155"/>
      <c r="L288" s="155"/>
      <c r="M288" s="155"/>
      <c r="N288" s="537">
        <f>IF(N269=0,"",N287/N269)</f>
        <v>1.767857142857139</v>
      </c>
      <c r="O288" s="537">
        <f>IF(O269=0,"",O287/O269)</f>
        <v>1.6892857142857107</v>
      </c>
      <c r="P288" s="536"/>
      <c r="Q288" s="537">
        <f>IF(Q269=0,"",Q287/Q269)</f>
        <v>1.2113095238095211</v>
      </c>
      <c r="R288" s="537">
        <f>IF(R269=0,"",R287/R269)</f>
        <v>1.7482142857142819</v>
      </c>
      <c r="S288" s="155"/>
      <c r="T288" s="537" t="str">
        <f>IF(T269=0,"",T287/T269)</f>
        <v/>
      </c>
      <c r="U288" s="537" t="str">
        <f>IF(U269=0,"",U287/U269)</f>
        <v/>
      </c>
      <c r="V288" s="366"/>
      <c r="W288" s="549"/>
      <c r="X288" s="536"/>
      <c r="Y288" s="164"/>
      <c r="Z288" s="546"/>
      <c r="AA288" s="537">
        <f>MIN(N288:U288)</f>
        <v>1.2113095238095211</v>
      </c>
      <c r="AB288" s="537">
        <f>MAX(N288:U288)</f>
        <v>1.767857142857139</v>
      </c>
      <c r="AC288" s="548">
        <f>IF(SUM(N288:U288)=0,0,AVERAGE(N288:U288))</f>
        <v>1.604166666666663</v>
      </c>
      <c r="AE288" s="154"/>
      <c r="AF288" s="154"/>
      <c r="AG288" s="154"/>
      <c r="AH288" s="129"/>
      <c r="AI288" s="130"/>
      <c r="AJ288" s="117"/>
      <c r="AK288" s="154"/>
      <c r="AL288" s="154"/>
      <c r="AM288" s="154"/>
      <c r="AN288" s="129"/>
      <c r="AO288" s="130"/>
      <c r="AQ288" s="966">
        <f>MIN(N288,Q288,T288)</f>
        <v>1.2113095238095211</v>
      </c>
      <c r="AR288" s="966">
        <f>MAX(N288,Q288,T288)</f>
        <v>1.767857142857139</v>
      </c>
      <c r="AS288" s="966">
        <f>IF(N287+Q287+T287=0,0,AVERAGE(N288,Q288,T288))</f>
        <v>1.4895833333333299</v>
      </c>
      <c r="AT288" s="927"/>
      <c r="AU288" s="201"/>
      <c r="AW288" s="537">
        <f>MIN(O288,R288,U288)</f>
        <v>1.6892857142857107</v>
      </c>
      <c r="AX288" s="537">
        <f>MAX(O288,R288,U288)</f>
        <v>1.7482142857142819</v>
      </c>
      <c r="AY288" s="537">
        <f>IF(O287+R287+U287=0,0,AVERAGE(O288,R288,U288))</f>
        <v>1.7187499999999964</v>
      </c>
      <c r="AZ288" s="927"/>
      <c r="BA288" s="201"/>
    </row>
    <row r="289" spans="1:53" ht="17.100000000000001" customHeight="1" x14ac:dyDescent="0.25">
      <c r="A289" s="40"/>
      <c r="B289" s="40"/>
      <c r="C289" s="41" t="s">
        <v>957</v>
      </c>
      <c r="D289" s="551" t="s">
        <v>958</v>
      </c>
      <c r="E289" s="43"/>
      <c r="F289" s="301"/>
      <c r="G289" s="301"/>
      <c r="H289" s="119"/>
      <c r="I289" s="236"/>
      <c r="J289" s="552"/>
      <c r="K289" s="552"/>
      <c r="L289" s="552"/>
      <c r="M289" s="552"/>
      <c r="N289" s="552"/>
      <c r="O289" s="552"/>
      <c r="P289" s="552"/>
      <c r="Q289" s="552"/>
      <c r="R289" s="552"/>
      <c r="S289" s="552"/>
      <c r="T289" s="552"/>
      <c r="U289" s="552"/>
      <c r="V289" s="553"/>
      <c r="W289" s="554"/>
      <c r="X289" s="552"/>
      <c r="Y289" s="89"/>
      <c r="Z289" s="90"/>
      <c r="AA289" s="90"/>
      <c r="AB289" s="90"/>
      <c r="AC289" s="73"/>
      <c r="AD289" s="117"/>
      <c r="AE289" s="552"/>
      <c r="AF289" s="552"/>
      <c r="AG289" s="552"/>
      <c r="AH289" s="89"/>
      <c r="AI289" s="90"/>
      <c r="AK289" s="552"/>
      <c r="AL289" s="552"/>
      <c r="AM289" s="552"/>
      <c r="AN289" s="89"/>
      <c r="AO289" s="90"/>
      <c r="AQ289" s="552"/>
      <c r="AR289" s="552"/>
      <c r="AS289" s="552"/>
      <c r="AT289" s="89"/>
      <c r="AU289" s="90"/>
      <c r="AW289" s="552"/>
      <c r="AX289" s="552"/>
      <c r="AY289" s="552"/>
      <c r="AZ289" s="89"/>
      <c r="BA289" s="90"/>
    </row>
    <row r="290" spans="1:53" ht="17.100000000000001" customHeight="1" x14ac:dyDescent="0.25">
      <c r="A290" s="40"/>
      <c r="B290" s="40"/>
      <c r="C290" s="119"/>
      <c r="D290" s="535" t="s">
        <v>428</v>
      </c>
      <c r="E290" s="142"/>
      <c r="F290" s="143"/>
      <c r="G290" s="143"/>
      <c r="H290" s="119"/>
      <c r="I290" s="236"/>
      <c r="J290" s="154">
        <f t="shared" ref="J290:L295" si="323">J155</f>
        <v>0</v>
      </c>
      <c r="K290" s="154">
        <f t="shared" si="323"/>
        <v>0</v>
      </c>
      <c r="L290" s="154">
        <f t="shared" si="323"/>
        <v>0</v>
      </c>
      <c r="M290" s="154"/>
      <c r="N290" s="154"/>
      <c r="O290" s="154"/>
      <c r="P290" s="154"/>
      <c r="Q290" s="154"/>
      <c r="R290" s="154"/>
      <c r="S290" s="154"/>
      <c r="T290" s="154"/>
      <c r="U290" s="154"/>
      <c r="V290" s="159"/>
      <c r="W290" s="387"/>
      <c r="X290" s="154"/>
      <c r="Y290" s="129"/>
      <c r="Z290" s="130"/>
      <c r="AA290" s="130"/>
      <c r="AB290" s="130"/>
      <c r="AC290" s="125"/>
      <c r="AE290" s="154"/>
      <c r="AF290" s="154"/>
      <c r="AG290" s="154"/>
      <c r="AH290" s="129"/>
      <c r="AI290" s="130"/>
      <c r="AK290" s="154"/>
      <c r="AL290" s="154"/>
      <c r="AM290" s="154"/>
      <c r="AN290" s="129"/>
      <c r="AO290" s="130"/>
      <c r="AQ290" s="557">
        <f>J290*0.75</f>
        <v>0</v>
      </c>
      <c r="AR290" s="154"/>
      <c r="AS290" s="154"/>
      <c r="AT290" s="129"/>
      <c r="AU290" s="130"/>
      <c r="AW290" s="154"/>
      <c r="AX290" s="154"/>
      <c r="AY290" s="154"/>
      <c r="AZ290" s="129"/>
      <c r="BA290" s="130"/>
    </row>
    <row r="291" spans="1:53" ht="17.100000000000001" customHeight="1" x14ac:dyDescent="0.25">
      <c r="A291" s="40"/>
      <c r="B291" s="40"/>
      <c r="C291" s="119"/>
      <c r="D291" s="535" t="s">
        <v>429</v>
      </c>
      <c r="E291" s="142"/>
      <c r="F291" s="143"/>
      <c r="G291" s="143"/>
      <c r="H291" s="119"/>
      <c r="I291" s="236"/>
      <c r="J291" s="154">
        <f t="shared" si="323"/>
        <v>0</v>
      </c>
      <c r="K291" s="154">
        <f>K156</f>
        <v>0</v>
      </c>
      <c r="L291" s="154">
        <f t="shared" si="323"/>
        <v>0</v>
      </c>
      <c r="M291" s="154"/>
      <c r="N291" s="154"/>
      <c r="O291" s="154"/>
      <c r="P291" s="154"/>
      <c r="Q291" s="154"/>
      <c r="R291" s="154"/>
      <c r="S291" s="154"/>
      <c r="T291" s="154"/>
      <c r="U291" s="154"/>
      <c r="V291" s="159"/>
      <c r="W291" s="387"/>
      <c r="X291" s="154"/>
      <c r="Y291" s="129"/>
      <c r="Z291" s="130"/>
      <c r="AA291" s="130"/>
      <c r="AB291" s="130"/>
      <c r="AC291" s="125"/>
      <c r="AD291" s="117"/>
      <c r="AE291" s="154"/>
      <c r="AF291" s="154"/>
      <c r="AG291" s="154"/>
      <c r="AH291" s="129"/>
      <c r="AI291" s="130"/>
      <c r="AK291" s="154"/>
      <c r="AL291" s="154"/>
      <c r="AM291" s="154"/>
      <c r="AN291" s="129"/>
      <c r="AO291" s="130"/>
      <c r="AQ291" s="154"/>
      <c r="AR291" s="154"/>
      <c r="AS291" s="154"/>
      <c r="AT291" s="129"/>
      <c r="AU291" s="130"/>
      <c r="AW291" s="154"/>
      <c r="AX291" s="154"/>
      <c r="AY291" s="154"/>
      <c r="AZ291" s="129"/>
      <c r="BA291" s="130"/>
    </row>
    <row r="292" spans="1:53" ht="17.100000000000001" customHeight="1" x14ac:dyDescent="0.25">
      <c r="A292" s="40"/>
      <c r="B292" s="40"/>
      <c r="C292" s="119"/>
      <c r="D292" s="535" t="s">
        <v>430</v>
      </c>
      <c r="E292" s="142"/>
      <c r="F292" s="143"/>
      <c r="G292" s="143"/>
      <c r="H292" s="119"/>
      <c r="I292" s="236"/>
      <c r="J292" s="154">
        <f t="shared" si="323"/>
        <v>0</v>
      </c>
      <c r="K292" s="154">
        <f>K157</f>
        <v>0</v>
      </c>
      <c r="L292" s="154">
        <f t="shared" si="323"/>
        <v>0</v>
      </c>
      <c r="M292" s="154"/>
      <c r="N292" s="154"/>
      <c r="O292" s="154"/>
      <c r="P292" s="154"/>
      <c r="Q292" s="154"/>
      <c r="R292" s="154"/>
      <c r="S292" s="154"/>
      <c r="T292" s="154"/>
      <c r="U292" s="154"/>
      <c r="V292" s="159"/>
      <c r="W292" s="387"/>
      <c r="X292" s="154"/>
      <c r="Y292" s="129"/>
      <c r="Z292" s="130"/>
      <c r="AA292" s="130"/>
      <c r="AB292" s="130"/>
      <c r="AC292" s="125"/>
      <c r="AE292" s="154"/>
      <c r="AF292" s="154"/>
      <c r="AG292" s="154"/>
      <c r="AH292" s="129"/>
      <c r="AI292" s="130"/>
      <c r="AK292" s="154"/>
      <c r="AL292" s="154"/>
      <c r="AM292" s="154"/>
      <c r="AN292" s="129"/>
      <c r="AO292" s="130"/>
      <c r="AQ292" s="154"/>
      <c r="AR292" s="154"/>
      <c r="AS292" s="154"/>
      <c r="AT292" s="129"/>
      <c r="AU292" s="130"/>
      <c r="AW292" s="154"/>
      <c r="AX292" s="154"/>
      <c r="AY292" s="154"/>
      <c r="AZ292" s="129"/>
      <c r="BA292" s="130"/>
    </row>
    <row r="293" spans="1:53" ht="17.100000000000001" customHeight="1" x14ac:dyDescent="0.25">
      <c r="A293" s="40"/>
      <c r="B293" s="40"/>
      <c r="C293" s="119"/>
      <c r="D293" s="535" t="s">
        <v>431</v>
      </c>
      <c r="E293" s="142"/>
      <c r="F293" s="143"/>
      <c r="G293" s="143"/>
      <c r="H293" s="119"/>
      <c r="I293" s="236"/>
      <c r="J293" s="154">
        <f t="shared" si="323"/>
        <v>0</v>
      </c>
      <c r="K293" s="154">
        <f>K158</f>
        <v>0</v>
      </c>
      <c r="L293" s="154">
        <f t="shared" si="323"/>
        <v>0</v>
      </c>
      <c r="M293" s="154"/>
      <c r="N293" s="154"/>
      <c r="O293" s="154"/>
      <c r="P293" s="154"/>
      <c r="Q293" s="154"/>
      <c r="R293" s="154"/>
      <c r="S293" s="154"/>
      <c r="T293" s="154"/>
      <c r="U293" s="154"/>
      <c r="V293" s="159"/>
      <c r="W293" s="387"/>
      <c r="X293" s="154"/>
      <c r="Y293" s="129"/>
      <c r="Z293" s="130"/>
      <c r="AA293" s="130"/>
      <c r="AB293" s="130"/>
      <c r="AC293" s="125"/>
      <c r="AE293" s="154"/>
      <c r="AF293" s="154"/>
      <c r="AG293" s="154"/>
      <c r="AH293" s="129"/>
      <c r="AI293" s="130"/>
      <c r="AK293" s="154"/>
      <c r="AL293" s="154"/>
      <c r="AM293" s="154"/>
      <c r="AN293" s="129"/>
      <c r="AO293" s="130"/>
      <c r="AQ293" s="154"/>
      <c r="AR293" s="154"/>
      <c r="AS293" s="154"/>
      <c r="AT293" s="129"/>
      <c r="AU293" s="130"/>
      <c r="AW293" s="154"/>
      <c r="AX293" s="154"/>
      <c r="AY293" s="154"/>
      <c r="AZ293" s="129"/>
      <c r="BA293" s="130"/>
    </row>
    <row r="294" spans="1:53" s="158" customFormat="1" ht="17.100000000000001" customHeight="1" x14ac:dyDescent="0.25">
      <c r="A294" s="102"/>
      <c r="B294" s="102"/>
      <c r="C294" s="119"/>
      <c r="D294" s="535" t="s">
        <v>432</v>
      </c>
      <c r="E294" s="142"/>
      <c r="F294" s="143"/>
      <c r="G294" s="143"/>
      <c r="H294" s="182"/>
      <c r="I294" s="240"/>
      <c r="J294" s="154">
        <f t="shared" si="323"/>
        <v>0</v>
      </c>
      <c r="K294" s="154">
        <f>K159</f>
        <v>0</v>
      </c>
      <c r="L294" s="154">
        <f t="shared" si="323"/>
        <v>0</v>
      </c>
      <c r="M294" s="154"/>
      <c r="N294" s="154"/>
      <c r="O294" s="154"/>
      <c r="P294" s="154"/>
      <c r="Q294" s="154"/>
      <c r="R294" s="154"/>
      <c r="S294" s="154"/>
      <c r="T294" s="154"/>
      <c r="U294" s="154"/>
      <c r="V294" s="159"/>
      <c r="W294" s="387"/>
      <c r="X294" s="154"/>
      <c r="Y294" s="129"/>
      <c r="Z294" s="130"/>
      <c r="AA294" s="130"/>
      <c r="AB294" s="130"/>
      <c r="AC294" s="125"/>
      <c r="AE294" s="154"/>
      <c r="AF294" s="154"/>
      <c r="AG294" s="154"/>
      <c r="AH294" s="129"/>
      <c r="AI294" s="130"/>
      <c r="AJ294" s="409"/>
      <c r="AK294" s="154"/>
      <c r="AL294" s="154"/>
      <c r="AM294" s="154"/>
      <c r="AN294" s="129"/>
      <c r="AO294" s="130"/>
      <c r="AP294" s="409"/>
      <c r="AQ294" s="557">
        <f>J294*0.75</f>
        <v>0</v>
      </c>
      <c r="AR294" s="154"/>
      <c r="AS294" s="154"/>
      <c r="AT294" s="129"/>
      <c r="AU294" s="130"/>
      <c r="AV294" s="409"/>
      <c r="AW294" s="154"/>
      <c r="AX294" s="154"/>
      <c r="AY294" s="154"/>
      <c r="AZ294" s="129"/>
      <c r="BA294" s="130"/>
    </row>
    <row r="295" spans="1:53" s="158" customFormat="1" ht="17.100000000000001" customHeight="1" x14ac:dyDescent="0.25">
      <c r="A295" s="102"/>
      <c r="B295" s="102"/>
      <c r="C295" s="119"/>
      <c r="D295" s="535" t="s">
        <v>129</v>
      </c>
      <c r="E295" s="142"/>
      <c r="F295" s="143"/>
      <c r="G295" s="143"/>
      <c r="H295" s="182"/>
      <c r="I295" s="240"/>
      <c r="J295" s="154">
        <f t="shared" si="323"/>
        <v>0</v>
      </c>
      <c r="K295" s="154">
        <f>K160</f>
        <v>0</v>
      </c>
      <c r="L295" s="154">
        <f t="shared" si="323"/>
        <v>0</v>
      </c>
      <c r="M295" s="154"/>
      <c r="N295" s="154"/>
      <c r="O295" s="154"/>
      <c r="P295" s="154"/>
      <c r="Q295" s="154"/>
      <c r="R295" s="154"/>
      <c r="S295" s="154"/>
      <c r="T295" s="154"/>
      <c r="U295" s="154"/>
      <c r="V295" s="159"/>
      <c r="W295" s="387"/>
      <c r="X295" s="154"/>
      <c r="Y295" s="129"/>
      <c r="Z295" s="130"/>
      <c r="AA295" s="130"/>
      <c r="AB295" s="130"/>
      <c r="AC295" s="125"/>
      <c r="AE295" s="154"/>
      <c r="AF295" s="154"/>
      <c r="AG295" s="154"/>
      <c r="AH295" s="129"/>
      <c r="AI295" s="130"/>
      <c r="AJ295" s="409"/>
      <c r="AK295" s="154"/>
      <c r="AL295" s="154"/>
      <c r="AM295" s="154"/>
      <c r="AN295" s="129"/>
      <c r="AO295" s="130"/>
      <c r="AP295" s="409"/>
      <c r="AQ295" s="154"/>
      <c r="AR295" s="154"/>
      <c r="AS295" s="154"/>
      <c r="AT295" s="129"/>
      <c r="AU295" s="130"/>
      <c r="AV295" s="409"/>
      <c r="AW295" s="154"/>
      <c r="AX295" s="154"/>
      <c r="AY295" s="154"/>
      <c r="AZ295" s="129"/>
      <c r="BA295" s="130"/>
    </row>
    <row r="296" spans="1:53" s="158" customFormat="1" ht="17.100000000000001" customHeight="1" x14ac:dyDescent="0.25">
      <c r="A296" s="102"/>
      <c r="B296" s="102"/>
      <c r="C296" s="119"/>
      <c r="D296" s="535" t="s">
        <v>965</v>
      </c>
      <c r="E296" s="142"/>
      <c r="F296" s="143"/>
      <c r="G296" s="143"/>
      <c r="H296" s="182"/>
      <c r="I296" s="240"/>
      <c r="J296" s="154">
        <f>SUM(J290:J294)</f>
        <v>0</v>
      </c>
      <c r="K296" s="154">
        <f t="shared" ref="K296:L296" si="324">SUM(K290:K294)</f>
        <v>0</v>
      </c>
      <c r="L296" s="154">
        <f t="shared" si="324"/>
        <v>0</v>
      </c>
      <c r="M296" s="154"/>
      <c r="N296" s="154"/>
      <c r="O296" s="154"/>
      <c r="P296" s="154"/>
      <c r="Q296" s="154"/>
      <c r="R296" s="154"/>
      <c r="S296" s="154"/>
      <c r="T296" s="154"/>
      <c r="U296" s="154"/>
      <c r="V296" s="159"/>
      <c r="W296" s="387"/>
      <c r="X296" s="154"/>
      <c r="Y296" s="129"/>
      <c r="Z296" s="130"/>
      <c r="AA296" s="130"/>
      <c r="AB296" s="130"/>
      <c r="AC296" s="125"/>
      <c r="AE296" s="154"/>
      <c r="AF296" s="154"/>
      <c r="AG296" s="154"/>
      <c r="AH296" s="129"/>
      <c r="AI296" s="130"/>
      <c r="AJ296" s="409"/>
      <c r="AK296" s="154"/>
      <c r="AL296" s="154"/>
      <c r="AM296" s="154"/>
      <c r="AN296" s="129"/>
      <c r="AO296" s="130"/>
      <c r="AP296" s="409"/>
      <c r="AQ296" s="154"/>
      <c r="AR296" s="154"/>
      <c r="AS296" s="154"/>
      <c r="AT296" s="129"/>
      <c r="AU296" s="130"/>
      <c r="AV296" s="409"/>
      <c r="AW296" s="154"/>
      <c r="AX296" s="154"/>
      <c r="AY296" s="154"/>
      <c r="AZ296" s="129"/>
      <c r="BA296" s="130"/>
    </row>
    <row r="297" spans="1:53" s="158" customFormat="1" ht="17.100000000000001" customHeight="1" x14ac:dyDescent="0.25">
      <c r="A297" s="102"/>
      <c r="B297" s="102"/>
      <c r="C297" s="119"/>
      <c r="D297" s="535" t="s">
        <v>981</v>
      </c>
      <c r="E297" s="142"/>
      <c r="F297" s="143"/>
      <c r="G297" s="143"/>
      <c r="H297" s="182"/>
      <c r="I297" s="240"/>
      <c r="J297" s="154"/>
      <c r="K297" s="154"/>
      <c r="L297" s="154"/>
      <c r="M297" s="154"/>
      <c r="N297" s="154"/>
      <c r="O297" s="154"/>
      <c r="P297" s="154"/>
      <c r="Q297" s="154"/>
      <c r="R297" s="154"/>
      <c r="S297" s="154"/>
      <c r="T297" s="154"/>
      <c r="U297" s="154"/>
      <c r="V297" s="159"/>
      <c r="W297" s="387"/>
      <c r="X297" s="154"/>
      <c r="Y297" s="129"/>
      <c r="Z297" s="130"/>
      <c r="AA297" s="130"/>
      <c r="AB297" s="130"/>
      <c r="AC297" s="125"/>
      <c r="AE297" s="154"/>
      <c r="AF297" s="154"/>
      <c r="AG297" s="154"/>
      <c r="AH297" s="129"/>
      <c r="AI297" s="130"/>
      <c r="AJ297" s="409"/>
      <c r="AK297" s="154"/>
      <c r="AL297" s="154"/>
      <c r="AM297" s="154"/>
      <c r="AN297" s="129"/>
      <c r="AO297" s="130"/>
      <c r="AP297" s="409"/>
      <c r="AQ297" s="154"/>
      <c r="AR297" s="154"/>
      <c r="AS297" s="154"/>
      <c r="AT297" s="129"/>
      <c r="AU297" s="130"/>
      <c r="AV297" s="409"/>
      <c r="AW297" s="154"/>
      <c r="AX297" s="154"/>
      <c r="AY297" s="154"/>
      <c r="AZ297" s="129"/>
      <c r="BA297" s="130"/>
    </row>
    <row r="298" spans="1:53" s="158" customFormat="1" ht="17.100000000000001" customHeight="1" x14ac:dyDescent="0.25">
      <c r="A298" s="967"/>
      <c r="B298" s="967"/>
      <c r="C298" s="119"/>
      <c r="D298" s="535" t="s">
        <v>1442</v>
      </c>
      <c r="E298" s="142"/>
      <c r="F298" s="143"/>
      <c r="G298" s="143"/>
      <c r="H298" s="182"/>
      <c r="I298" s="240"/>
      <c r="J298" s="527" t="str">
        <f>IF(J290&gt;0,0.75,"")</f>
        <v/>
      </c>
      <c r="K298" s="527" t="str">
        <f t="shared" ref="K298:L298" si="325">IF(K290&gt;0,0.75,"")</f>
        <v/>
      </c>
      <c r="L298" s="527" t="str">
        <f t="shared" si="325"/>
        <v/>
      </c>
      <c r="M298" s="154"/>
      <c r="N298" s="154"/>
      <c r="O298" s="154"/>
      <c r="P298" s="154"/>
      <c r="Q298" s="154"/>
      <c r="R298" s="154"/>
      <c r="S298" s="154"/>
      <c r="T298" s="154"/>
      <c r="U298" s="154"/>
      <c r="V298" s="159"/>
      <c r="W298" s="387"/>
      <c r="X298" s="154"/>
      <c r="Y298" s="129"/>
      <c r="Z298" s="130"/>
      <c r="AA298" s="130"/>
      <c r="AB298" s="130"/>
      <c r="AC298" s="125"/>
      <c r="AE298" s="154"/>
      <c r="AF298" s="154"/>
      <c r="AG298" s="154"/>
      <c r="AH298" s="129"/>
      <c r="AI298" s="130"/>
      <c r="AJ298" s="409"/>
      <c r="AK298" s="154"/>
      <c r="AL298" s="154"/>
      <c r="AM298" s="154"/>
      <c r="AN298" s="129"/>
      <c r="AO298" s="130"/>
      <c r="AP298" s="409"/>
      <c r="AQ298" s="154"/>
      <c r="AR298" s="154"/>
      <c r="AS298" s="154"/>
      <c r="AT298" s="129"/>
      <c r="AU298" s="130"/>
      <c r="AV298" s="409"/>
      <c r="AW298" s="154"/>
      <c r="AX298" s="154"/>
      <c r="AY298" s="154"/>
      <c r="AZ298" s="129"/>
      <c r="BA298" s="130"/>
    </row>
    <row r="299" spans="1:53" s="158" customFormat="1" ht="17.100000000000001" customHeight="1" x14ac:dyDescent="0.25">
      <c r="A299" s="967"/>
      <c r="B299" s="102"/>
      <c r="C299" s="119"/>
      <c r="D299" s="535" t="s">
        <v>429</v>
      </c>
      <c r="E299" s="142"/>
      <c r="F299" s="143"/>
      <c r="G299" s="143"/>
      <c r="H299" s="182"/>
      <c r="I299" s="240"/>
      <c r="J299" s="527" t="str">
        <f>IF(J291&gt;0,1.5,"")</f>
        <v/>
      </c>
      <c r="K299" s="527" t="str">
        <f t="shared" ref="K299:L299" si="326">IF(K291&gt;0,1.5,"")</f>
        <v/>
      </c>
      <c r="L299" s="527" t="str">
        <f t="shared" si="326"/>
        <v/>
      </c>
      <c r="M299" s="154"/>
      <c r="N299" s="154"/>
      <c r="O299" s="154"/>
      <c r="P299" s="154"/>
      <c r="Q299" s="154"/>
      <c r="R299" s="154"/>
      <c r="S299" s="154"/>
      <c r="T299" s="154"/>
      <c r="U299" s="154"/>
      <c r="V299" s="159"/>
      <c r="W299" s="387"/>
      <c r="X299" s="154"/>
      <c r="Y299" s="129"/>
      <c r="Z299" s="130"/>
      <c r="AA299" s="130"/>
      <c r="AB299" s="130"/>
      <c r="AC299" s="125"/>
      <c r="AE299" s="154"/>
      <c r="AF299" s="154"/>
      <c r="AG299" s="154"/>
      <c r="AH299" s="129"/>
      <c r="AI299" s="130"/>
      <c r="AJ299" s="409"/>
      <c r="AK299" s="154"/>
      <c r="AL299" s="154"/>
      <c r="AM299" s="154"/>
      <c r="AN299" s="129"/>
      <c r="AO299" s="130"/>
      <c r="AP299" s="409"/>
      <c r="AQ299" s="154"/>
      <c r="AR299" s="154"/>
      <c r="AS299" s="154"/>
      <c r="AT299" s="129"/>
      <c r="AU299" s="130"/>
      <c r="AV299" s="409"/>
      <c r="AW299" s="154"/>
      <c r="AX299" s="154"/>
      <c r="AY299" s="154"/>
      <c r="AZ299" s="129"/>
      <c r="BA299" s="130"/>
    </row>
    <row r="300" spans="1:53" s="158" customFormat="1" ht="17.100000000000001" customHeight="1" x14ac:dyDescent="0.25">
      <c r="A300" s="967"/>
      <c r="B300" s="102"/>
      <c r="C300" s="119"/>
      <c r="D300" s="535" t="s">
        <v>430</v>
      </c>
      <c r="E300" s="142"/>
      <c r="F300" s="143"/>
      <c r="G300" s="143"/>
      <c r="H300" s="182"/>
      <c r="I300" s="240"/>
      <c r="J300" s="527" t="str">
        <f>IF(J292&gt;0,3.5,"")</f>
        <v/>
      </c>
      <c r="K300" s="527" t="str">
        <f t="shared" ref="K300:L300" si="327">IF(K292&gt;0,3.5,"")</f>
        <v/>
      </c>
      <c r="L300" s="527" t="str">
        <f t="shared" si="327"/>
        <v/>
      </c>
      <c r="M300" s="154"/>
      <c r="N300" s="154"/>
      <c r="O300" s="154"/>
      <c r="P300" s="154"/>
      <c r="Q300" s="154"/>
      <c r="R300" s="154"/>
      <c r="S300" s="154"/>
      <c r="T300" s="154"/>
      <c r="U300" s="154"/>
      <c r="V300" s="159"/>
      <c r="W300" s="387"/>
      <c r="X300" s="154"/>
      <c r="Y300" s="129"/>
      <c r="Z300" s="130"/>
      <c r="AA300" s="130"/>
      <c r="AB300" s="130"/>
      <c r="AC300" s="125"/>
      <c r="AE300" s="154"/>
      <c r="AF300" s="154"/>
      <c r="AG300" s="154"/>
      <c r="AH300" s="129"/>
      <c r="AI300" s="130"/>
      <c r="AJ300" s="409"/>
      <c r="AK300" s="154"/>
      <c r="AL300" s="154"/>
      <c r="AM300" s="154"/>
      <c r="AN300" s="129"/>
      <c r="AO300" s="130"/>
      <c r="AP300" s="409"/>
      <c r="AQ300" s="154"/>
      <c r="AR300" s="154"/>
      <c r="AS300" s="154"/>
      <c r="AT300" s="129"/>
      <c r="AU300" s="130"/>
      <c r="AV300" s="409"/>
      <c r="AW300" s="154"/>
      <c r="AX300" s="154"/>
      <c r="AY300" s="154"/>
      <c r="AZ300" s="129"/>
      <c r="BA300" s="130"/>
    </row>
    <row r="301" spans="1:53" s="158" customFormat="1" ht="17.100000000000001" customHeight="1" x14ac:dyDescent="0.25">
      <c r="A301" s="967"/>
      <c r="B301" s="102"/>
      <c r="C301" s="119"/>
      <c r="D301" s="535" t="s">
        <v>431</v>
      </c>
      <c r="E301" s="142"/>
      <c r="F301" s="143"/>
      <c r="G301" s="143"/>
      <c r="H301" s="182"/>
      <c r="I301" s="240"/>
      <c r="J301" s="527" t="str">
        <f>IF(J293&gt;0,7.5,"")</f>
        <v/>
      </c>
      <c r="K301" s="527" t="str">
        <f t="shared" ref="K301:L301" si="328">IF(K293&gt;0,7.5,"")</f>
        <v/>
      </c>
      <c r="L301" s="527" t="str">
        <f t="shared" si="328"/>
        <v/>
      </c>
      <c r="M301" s="154"/>
      <c r="N301" s="154"/>
      <c r="O301" s="154"/>
      <c r="P301" s="154"/>
      <c r="Q301" s="154"/>
      <c r="R301" s="154"/>
      <c r="S301" s="154"/>
      <c r="T301" s="154"/>
      <c r="U301" s="154"/>
      <c r="V301" s="159"/>
      <c r="W301" s="387"/>
      <c r="X301" s="154"/>
      <c r="Y301" s="129"/>
      <c r="Z301" s="130"/>
      <c r="AA301" s="130"/>
      <c r="AB301" s="130"/>
      <c r="AC301" s="125"/>
      <c r="AE301" s="154"/>
      <c r="AF301" s="154"/>
      <c r="AG301" s="154"/>
      <c r="AH301" s="129"/>
      <c r="AI301" s="130"/>
      <c r="AJ301" s="409"/>
      <c r="AK301" s="154"/>
      <c r="AL301" s="154"/>
      <c r="AM301" s="154"/>
      <c r="AN301" s="129"/>
      <c r="AO301" s="130"/>
      <c r="AP301" s="409"/>
      <c r="AQ301" s="154"/>
      <c r="AR301" s="154"/>
      <c r="AS301" s="154"/>
      <c r="AT301" s="129"/>
      <c r="AU301" s="130"/>
      <c r="AV301" s="409"/>
      <c r="AW301" s="154"/>
      <c r="AX301" s="154"/>
      <c r="AY301" s="154"/>
      <c r="AZ301" s="129"/>
      <c r="BA301" s="130"/>
    </row>
    <row r="302" spans="1:53" s="158" customFormat="1" ht="17.100000000000001" customHeight="1" x14ac:dyDescent="0.25">
      <c r="A302" s="967"/>
      <c r="B302" s="102"/>
      <c r="C302" s="119"/>
      <c r="D302" s="535" t="s">
        <v>432</v>
      </c>
      <c r="E302" s="142"/>
      <c r="F302" s="143"/>
      <c r="G302" s="143"/>
      <c r="H302" s="182"/>
      <c r="I302" s="240"/>
      <c r="J302" s="527" t="str">
        <f>IF(J294&gt;0,12.5,"")</f>
        <v/>
      </c>
      <c r="K302" s="527" t="str">
        <f t="shared" ref="K302:L302" si="329">IF(K294&gt;0,12.5,"")</f>
        <v/>
      </c>
      <c r="L302" s="527" t="str">
        <f t="shared" si="329"/>
        <v/>
      </c>
      <c r="M302" s="154"/>
      <c r="N302" s="154"/>
      <c r="O302" s="154"/>
      <c r="P302" s="154"/>
      <c r="Q302" s="154"/>
      <c r="R302" s="154"/>
      <c r="S302" s="154"/>
      <c r="T302" s="154"/>
      <c r="U302" s="154"/>
      <c r="V302" s="159"/>
      <c r="W302" s="387"/>
      <c r="X302" s="154"/>
      <c r="Y302" s="129"/>
      <c r="Z302" s="130"/>
      <c r="AA302" s="130"/>
      <c r="AB302" s="130"/>
      <c r="AC302" s="125"/>
      <c r="AE302" s="154"/>
      <c r="AF302" s="154"/>
      <c r="AG302" s="154"/>
      <c r="AH302" s="129"/>
      <c r="AI302" s="130"/>
      <c r="AJ302" s="409"/>
      <c r="AK302" s="154"/>
      <c r="AL302" s="154"/>
      <c r="AM302" s="154"/>
      <c r="AN302" s="129"/>
      <c r="AO302" s="130"/>
      <c r="AP302" s="409"/>
      <c r="AQ302" s="154"/>
      <c r="AR302" s="154"/>
      <c r="AS302" s="154"/>
      <c r="AT302" s="129"/>
      <c r="AU302" s="130"/>
      <c r="AV302" s="409"/>
      <c r="AW302" s="154"/>
      <c r="AX302" s="154"/>
      <c r="AY302" s="154"/>
      <c r="AZ302" s="129"/>
      <c r="BA302" s="130"/>
    </row>
    <row r="303" spans="1:53" s="158" customFormat="1" ht="17.100000000000001" customHeight="1" x14ac:dyDescent="0.25">
      <c r="A303" s="967"/>
      <c r="B303" s="102"/>
      <c r="C303" s="119"/>
      <c r="D303" s="535" t="s">
        <v>959</v>
      </c>
      <c r="E303" s="142"/>
      <c r="F303" s="143"/>
      <c r="G303" s="143"/>
      <c r="H303" s="182"/>
      <c r="I303" s="240"/>
      <c r="J303" s="154"/>
      <c r="K303" s="154"/>
      <c r="L303" s="154"/>
      <c r="M303" s="154"/>
      <c r="N303" s="154"/>
      <c r="O303" s="154"/>
      <c r="P303" s="154"/>
      <c r="Q303" s="154"/>
      <c r="R303" s="154"/>
      <c r="S303" s="154"/>
      <c r="T303" s="154"/>
      <c r="U303" s="154"/>
      <c r="V303" s="159"/>
      <c r="W303" s="387"/>
      <c r="X303" s="154"/>
      <c r="Y303" s="129"/>
      <c r="Z303" s="130"/>
      <c r="AA303" s="130"/>
      <c r="AB303" s="130"/>
      <c r="AC303" s="125"/>
      <c r="AE303" s="154"/>
      <c r="AF303" s="154"/>
      <c r="AG303" s="154"/>
      <c r="AH303" s="129"/>
      <c r="AI303" s="130"/>
      <c r="AJ303" s="409"/>
      <c r="AK303" s="154"/>
      <c r="AL303" s="154"/>
      <c r="AM303" s="154"/>
      <c r="AN303" s="129"/>
      <c r="AO303" s="130"/>
      <c r="AP303" s="409"/>
      <c r="AQ303" s="154"/>
      <c r="AR303" s="154"/>
      <c r="AS303" s="154"/>
      <c r="AT303" s="129"/>
      <c r="AU303" s="130"/>
      <c r="AV303" s="409"/>
      <c r="AW303" s="154"/>
      <c r="AX303" s="154"/>
      <c r="AY303" s="154"/>
      <c r="AZ303" s="129"/>
      <c r="BA303" s="130"/>
    </row>
    <row r="304" spans="1:53" s="158" customFormat="1" ht="17.100000000000001" customHeight="1" x14ac:dyDescent="0.25">
      <c r="A304" s="967"/>
      <c r="B304" s="102"/>
      <c r="C304" s="119"/>
      <c r="D304" s="535" t="s">
        <v>961</v>
      </c>
      <c r="E304" s="142"/>
      <c r="F304" s="555"/>
      <c r="G304" s="555"/>
      <c r="H304" s="182"/>
      <c r="I304" s="240"/>
      <c r="J304" s="533">
        <f>J290*0.75</f>
        <v>0</v>
      </c>
      <c r="K304" s="533">
        <f>K290*0.75</f>
        <v>0</v>
      </c>
      <c r="L304" s="533">
        <f>L290*0.75</f>
        <v>0</v>
      </c>
      <c r="M304" s="154"/>
      <c r="N304" s="154"/>
      <c r="O304" s="154"/>
      <c r="P304" s="154"/>
      <c r="Q304" s="154"/>
      <c r="R304" s="154"/>
      <c r="S304" s="154"/>
      <c r="T304" s="154"/>
      <c r="U304" s="154"/>
      <c r="V304" s="159"/>
      <c r="W304" s="387"/>
      <c r="X304" s="154"/>
      <c r="Y304" s="129"/>
      <c r="Z304" s="130"/>
      <c r="AA304" s="130"/>
      <c r="AB304" s="130"/>
      <c r="AC304" s="125"/>
      <c r="AE304" s="154"/>
      <c r="AF304" s="154"/>
      <c r="AG304" s="154"/>
      <c r="AH304" s="129"/>
      <c r="AI304" s="130"/>
      <c r="AJ304" s="409"/>
      <c r="AK304" s="154"/>
      <c r="AL304" s="154"/>
      <c r="AM304" s="154"/>
      <c r="AN304" s="129"/>
      <c r="AO304" s="130"/>
      <c r="AP304" s="409"/>
      <c r="AQ304" s="154"/>
      <c r="AR304" s="154"/>
      <c r="AS304" s="154"/>
      <c r="AT304" s="129"/>
      <c r="AU304" s="130"/>
      <c r="AV304" s="409"/>
      <c r="AW304" s="154"/>
      <c r="AX304" s="154"/>
      <c r="AY304" s="154"/>
      <c r="AZ304" s="129"/>
      <c r="BA304" s="130"/>
    </row>
    <row r="305" spans="1:53" s="158" customFormat="1" ht="17.100000000000001" customHeight="1" x14ac:dyDescent="0.25">
      <c r="A305" s="967"/>
      <c r="B305" s="102"/>
      <c r="C305" s="119"/>
      <c r="D305" s="535" t="s">
        <v>960</v>
      </c>
      <c r="E305" s="142"/>
      <c r="F305" s="143"/>
      <c r="G305" s="143"/>
      <c r="H305" s="182"/>
      <c r="I305" s="240"/>
      <c r="J305" s="533">
        <f>J291*1.5</f>
        <v>0</v>
      </c>
      <c r="K305" s="533">
        <f>K291*1.5</f>
        <v>0</v>
      </c>
      <c r="L305" s="533">
        <f>L291*1.5</f>
        <v>0</v>
      </c>
      <c r="M305" s="154"/>
      <c r="N305" s="154"/>
      <c r="O305" s="154"/>
      <c r="P305" s="154"/>
      <c r="Q305" s="154"/>
      <c r="R305" s="154"/>
      <c r="S305" s="154"/>
      <c r="T305" s="154"/>
      <c r="U305" s="154"/>
      <c r="V305" s="154"/>
      <c r="W305" s="387"/>
      <c r="X305" s="154"/>
      <c r="Y305" s="129"/>
      <c r="Z305" s="130"/>
      <c r="AA305" s="130"/>
      <c r="AB305" s="130"/>
      <c r="AC305" s="125"/>
      <c r="AE305" s="154"/>
      <c r="AF305" s="154"/>
      <c r="AG305" s="154"/>
      <c r="AH305" s="129"/>
      <c r="AI305" s="130"/>
      <c r="AJ305" s="409"/>
      <c r="AK305" s="154"/>
      <c r="AL305" s="154"/>
      <c r="AM305" s="154"/>
      <c r="AN305" s="129"/>
      <c r="AO305" s="130"/>
      <c r="AP305" s="409"/>
      <c r="AQ305" s="154"/>
      <c r="AR305" s="154"/>
      <c r="AS305" s="154"/>
      <c r="AT305" s="129"/>
      <c r="AU305" s="130"/>
      <c r="AV305" s="409"/>
      <c r="AW305" s="154"/>
      <c r="AX305" s="154"/>
      <c r="AY305" s="154"/>
      <c r="AZ305" s="129"/>
      <c r="BA305" s="130"/>
    </row>
    <row r="306" spans="1:53" s="158" customFormat="1" ht="17.100000000000001" customHeight="1" x14ac:dyDescent="0.25">
      <c r="A306" s="967"/>
      <c r="B306" s="102"/>
      <c r="C306" s="119"/>
      <c r="D306" s="535" t="s">
        <v>962</v>
      </c>
      <c r="E306" s="142"/>
      <c r="F306" s="143"/>
      <c r="G306" s="143"/>
      <c r="H306" s="182"/>
      <c r="I306" s="240"/>
      <c r="J306" s="533">
        <f>J292*3.5</f>
        <v>0</v>
      </c>
      <c r="K306" s="533">
        <f>K292*3.5</f>
        <v>0</v>
      </c>
      <c r="L306" s="533">
        <f>L292*3.5</f>
        <v>0</v>
      </c>
      <c r="M306" s="154"/>
      <c r="N306" s="154"/>
      <c r="O306" s="154"/>
      <c r="P306" s="154"/>
      <c r="Q306" s="154"/>
      <c r="R306" s="154"/>
      <c r="S306" s="154"/>
      <c r="T306" s="154"/>
      <c r="U306" s="154"/>
      <c r="V306" s="154"/>
      <c r="W306" s="387"/>
      <c r="X306" s="154"/>
      <c r="Y306" s="129"/>
      <c r="Z306" s="130"/>
      <c r="AA306" s="130"/>
      <c r="AB306" s="130"/>
      <c r="AC306" s="125"/>
      <c r="AE306" s="154"/>
      <c r="AF306" s="154"/>
      <c r="AG306" s="154"/>
      <c r="AH306" s="129"/>
      <c r="AI306" s="130"/>
      <c r="AJ306" s="409"/>
      <c r="AK306" s="154"/>
      <c r="AL306" s="154"/>
      <c r="AM306" s="154"/>
      <c r="AN306" s="129"/>
      <c r="AO306" s="130"/>
      <c r="AP306" s="409"/>
      <c r="AQ306" s="154"/>
      <c r="AR306" s="154"/>
      <c r="AS306" s="154"/>
      <c r="AT306" s="129"/>
      <c r="AU306" s="130"/>
      <c r="AV306" s="409"/>
      <c r="AW306" s="154"/>
      <c r="AX306" s="154"/>
      <c r="AY306" s="154"/>
      <c r="AZ306" s="129"/>
      <c r="BA306" s="130"/>
    </row>
    <row r="307" spans="1:53" s="158" customFormat="1" ht="17.100000000000001" customHeight="1" x14ac:dyDescent="0.25">
      <c r="A307" s="967"/>
      <c r="B307" s="102"/>
      <c r="C307" s="119"/>
      <c r="D307" s="535" t="s">
        <v>963</v>
      </c>
      <c r="E307" s="142"/>
      <c r="F307" s="143"/>
      <c r="G307" s="143"/>
      <c r="H307" s="182"/>
      <c r="I307" s="240"/>
      <c r="J307" s="533">
        <f>J293*7.5</f>
        <v>0</v>
      </c>
      <c r="K307" s="533">
        <f>K293*7.5</f>
        <v>0</v>
      </c>
      <c r="L307" s="533">
        <f>L293*7.5</f>
        <v>0</v>
      </c>
      <c r="M307" s="154"/>
      <c r="N307" s="154"/>
      <c r="O307" s="154"/>
      <c r="P307" s="154"/>
      <c r="Q307" s="154"/>
      <c r="R307" s="154"/>
      <c r="S307" s="154"/>
      <c r="T307" s="154"/>
      <c r="U307" s="154"/>
      <c r="V307" s="154"/>
      <c r="W307" s="387"/>
      <c r="X307" s="154"/>
      <c r="Y307" s="129"/>
      <c r="Z307" s="130"/>
      <c r="AA307" s="130"/>
      <c r="AB307" s="130"/>
      <c r="AC307" s="125"/>
      <c r="AE307" s="154"/>
      <c r="AF307" s="154"/>
      <c r="AG307" s="154"/>
      <c r="AH307" s="129"/>
      <c r="AI307" s="130"/>
      <c r="AJ307" s="409"/>
      <c r="AK307" s="154"/>
      <c r="AL307" s="154"/>
      <c r="AM307" s="154"/>
      <c r="AN307" s="129"/>
      <c r="AO307" s="130"/>
      <c r="AP307" s="409"/>
      <c r="AQ307" s="154"/>
      <c r="AR307" s="154"/>
      <c r="AS307" s="154"/>
      <c r="AT307" s="129"/>
      <c r="AU307" s="130"/>
      <c r="AV307" s="409"/>
      <c r="AW307" s="154"/>
      <c r="AX307" s="154"/>
      <c r="AY307" s="154"/>
      <c r="AZ307" s="129"/>
      <c r="BA307" s="130"/>
    </row>
    <row r="308" spans="1:53" s="158" customFormat="1" ht="17.100000000000001" customHeight="1" x14ac:dyDescent="0.25">
      <c r="A308" s="967"/>
      <c r="B308" s="102"/>
      <c r="C308" s="119"/>
      <c r="D308" s="535" t="s">
        <v>964</v>
      </c>
      <c r="E308" s="142"/>
      <c r="F308" s="143"/>
      <c r="G308" s="143"/>
      <c r="H308" s="182"/>
      <c r="I308" s="240"/>
      <c r="J308" s="533">
        <f>J294*12.5</f>
        <v>0</v>
      </c>
      <c r="K308" s="533">
        <f>K294*12.5</f>
        <v>0</v>
      </c>
      <c r="L308" s="533">
        <f>L294*12.5</f>
        <v>0</v>
      </c>
      <c r="M308" s="154"/>
      <c r="N308" s="154"/>
      <c r="O308" s="154"/>
      <c r="P308" s="154"/>
      <c r="Q308" s="154"/>
      <c r="R308" s="154"/>
      <c r="S308" s="154"/>
      <c r="T308" s="154"/>
      <c r="U308" s="154"/>
      <c r="V308" s="154"/>
      <c r="W308" s="387"/>
      <c r="X308" s="154"/>
      <c r="Y308" s="129"/>
      <c r="Z308" s="130"/>
      <c r="AA308" s="130"/>
      <c r="AB308" s="130"/>
      <c r="AC308" s="125"/>
      <c r="AE308" s="154"/>
      <c r="AF308" s="154"/>
      <c r="AG308" s="154"/>
      <c r="AH308" s="129"/>
      <c r="AI308" s="130"/>
      <c r="AJ308" s="409"/>
      <c r="AK308" s="154"/>
      <c r="AL308" s="154"/>
      <c r="AM308" s="154"/>
      <c r="AN308" s="129"/>
      <c r="AO308" s="130"/>
      <c r="AP308" s="409"/>
      <c r="AQ308" s="154"/>
      <c r="AR308" s="154"/>
      <c r="AS308" s="154"/>
      <c r="AT308" s="129"/>
      <c r="AU308" s="130"/>
      <c r="AV308" s="409"/>
      <c r="AW308" s="154"/>
      <c r="AX308" s="154"/>
      <c r="AY308" s="154"/>
      <c r="AZ308" s="129"/>
      <c r="BA308" s="130"/>
    </row>
    <row r="309" spans="1:53" s="158" customFormat="1" ht="17.100000000000001" customHeight="1" x14ac:dyDescent="0.25">
      <c r="A309" s="967"/>
      <c r="B309" s="102"/>
      <c r="C309" s="119"/>
      <c r="D309" s="535" t="s">
        <v>922</v>
      </c>
      <c r="E309" s="142"/>
      <c r="F309" s="143"/>
      <c r="G309" s="143"/>
      <c r="H309" s="182"/>
      <c r="I309" s="240"/>
      <c r="J309" s="533">
        <f>SUM(J304:J308)</f>
        <v>0</v>
      </c>
      <c r="K309" s="533">
        <f t="shared" ref="K309:L309" si="330">SUM(K304:K308)</f>
        <v>0</v>
      </c>
      <c r="L309" s="533">
        <f t="shared" si="330"/>
        <v>0</v>
      </c>
      <c r="M309" s="154"/>
      <c r="N309" s="154"/>
      <c r="O309" s="154"/>
      <c r="P309" s="154"/>
      <c r="Q309" s="154"/>
      <c r="R309" s="154"/>
      <c r="S309" s="154"/>
      <c r="T309" s="154"/>
      <c r="U309" s="154"/>
      <c r="V309" s="154"/>
      <c r="W309" s="387"/>
      <c r="X309" s="154"/>
      <c r="Y309" s="129"/>
      <c r="Z309" s="130"/>
      <c r="AA309" s="130"/>
      <c r="AB309" s="130"/>
      <c r="AC309" s="125"/>
      <c r="AE309" s="154"/>
      <c r="AF309" s="154"/>
      <c r="AG309" s="154"/>
      <c r="AH309" s="129"/>
      <c r="AI309" s="130"/>
      <c r="AJ309" s="409"/>
      <c r="AK309" s="154"/>
      <c r="AL309" s="154"/>
      <c r="AM309" s="154"/>
      <c r="AN309" s="129"/>
      <c r="AO309" s="130"/>
      <c r="AP309" s="409"/>
      <c r="AQ309" s="154"/>
      <c r="AR309" s="154"/>
      <c r="AS309" s="154"/>
      <c r="AT309" s="129"/>
      <c r="AU309" s="130"/>
      <c r="AV309" s="409"/>
      <c r="AW309" s="154"/>
      <c r="AX309" s="154"/>
      <c r="AY309" s="154"/>
      <c r="AZ309" s="129"/>
      <c r="BA309" s="130"/>
    </row>
    <row r="310" spans="1:53" s="409" customFormat="1" ht="17.100000000000001" customHeight="1" x14ac:dyDescent="0.25">
      <c r="A310" s="967"/>
      <c r="B310" s="928"/>
      <c r="C310" s="928"/>
      <c r="D310" s="461" t="s">
        <v>980</v>
      </c>
      <c r="E310" s="556"/>
      <c r="F310" s="92"/>
      <c r="G310" s="92"/>
      <c r="H310" s="182"/>
      <c r="I310" s="240"/>
      <c r="J310" s="537" t="str">
        <f>IF(SUM(J298:J302)=0,"",MIN(J298:J302))</f>
        <v/>
      </c>
      <c r="K310" s="537" t="str">
        <f t="shared" ref="K310:L310" si="331">IF(SUM(K298:K302)=0,"",MIN(K298:K302))</f>
        <v/>
      </c>
      <c r="L310" s="537" t="str">
        <f t="shared" si="331"/>
        <v/>
      </c>
      <c r="M310" s="155"/>
      <c r="N310" s="155"/>
      <c r="O310" s="155"/>
      <c r="P310" s="155"/>
      <c r="Q310" s="155"/>
      <c r="R310" s="155"/>
      <c r="S310" s="155"/>
      <c r="T310" s="155"/>
      <c r="U310" s="155"/>
      <c r="V310" s="155"/>
      <c r="W310" s="388"/>
      <c r="X310" s="155"/>
      <c r="Y310" s="927"/>
      <c r="Z310" s="201"/>
      <c r="AA310" s="537">
        <f t="shared" ref="AA310:AA311" si="332">MIN(J310:L310)</f>
        <v>0</v>
      </c>
      <c r="AB310" s="537">
        <f t="shared" ref="AB310:AB311" si="333">MAX(J310:L310)</f>
        <v>0</v>
      </c>
      <c r="AC310" s="537">
        <f t="shared" ref="AC310:AC311" si="334">IF(SUM(J310:L310)=0,0,AVERAGE(J310:L310))</f>
        <v>0</v>
      </c>
      <c r="AE310" s="155"/>
      <c r="AF310" s="155"/>
      <c r="AG310" s="155"/>
      <c r="AH310" s="927"/>
      <c r="AI310" s="201"/>
      <c r="AK310" s="155"/>
      <c r="AL310" s="155"/>
      <c r="AM310" s="155"/>
      <c r="AN310" s="927"/>
      <c r="AO310" s="201"/>
      <c r="AQ310" s="968">
        <f t="shared" ref="AQ310:AQ311" si="335">MIN(J310,K310)</f>
        <v>0</v>
      </c>
      <c r="AR310" s="537">
        <f t="shared" ref="AR310:AR311" si="336">MAX(J310:K310)</f>
        <v>0</v>
      </c>
      <c r="AS310" s="537"/>
      <c r="AT310" s="927"/>
      <c r="AU310" s="201"/>
      <c r="AW310" s="968" t="str">
        <f t="shared" ref="AW310:AW311" si="337">L310</f>
        <v/>
      </c>
      <c r="AX310" s="537" t="str">
        <f t="shared" ref="AX310:AX311" si="338">L310</f>
        <v/>
      </c>
      <c r="AY310" s="537"/>
      <c r="AZ310" s="927"/>
      <c r="BA310" s="201"/>
    </row>
    <row r="311" spans="1:53" s="409" customFormat="1" ht="17.100000000000001" customHeight="1" x14ac:dyDescent="0.25">
      <c r="A311" s="967"/>
      <c r="B311" s="928"/>
      <c r="C311" s="928"/>
      <c r="D311" s="461" t="s">
        <v>979</v>
      </c>
      <c r="E311" s="556"/>
      <c r="F311" s="92"/>
      <c r="G311" s="92"/>
      <c r="H311" s="182"/>
      <c r="I311" s="240"/>
      <c r="J311" s="537" t="str">
        <f>IF(SUM(J298:J302)=0,"",MAX(J298:J302))</f>
        <v/>
      </c>
      <c r="K311" s="537" t="str">
        <f t="shared" ref="K311:L311" si="339">IF(SUM(K298:K302)=0,"",MAX(K298:K302))</f>
        <v/>
      </c>
      <c r="L311" s="537" t="str">
        <f t="shared" si="339"/>
        <v/>
      </c>
      <c r="M311" s="155"/>
      <c r="N311" s="155"/>
      <c r="O311" s="155"/>
      <c r="P311" s="155"/>
      <c r="Q311" s="155"/>
      <c r="R311" s="155"/>
      <c r="S311" s="155"/>
      <c r="T311" s="155"/>
      <c r="U311" s="155"/>
      <c r="V311" s="155"/>
      <c r="W311" s="388"/>
      <c r="X311" s="155"/>
      <c r="Y311" s="927"/>
      <c r="Z311" s="201"/>
      <c r="AA311" s="537">
        <f t="shared" si="332"/>
        <v>0</v>
      </c>
      <c r="AB311" s="537">
        <f t="shared" si="333"/>
        <v>0</v>
      </c>
      <c r="AC311" s="537">
        <f t="shared" si="334"/>
        <v>0</v>
      </c>
      <c r="AE311" s="155"/>
      <c r="AF311" s="155"/>
      <c r="AG311" s="155"/>
      <c r="AH311" s="927"/>
      <c r="AI311" s="201"/>
      <c r="AK311" s="155"/>
      <c r="AL311" s="155"/>
      <c r="AM311" s="155"/>
      <c r="AN311" s="927"/>
      <c r="AO311" s="201"/>
      <c r="AQ311" s="537">
        <f t="shared" si="335"/>
        <v>0</v>
      </c>
      <c r="AR311" s="968">
        <f t="shared" si="336"/>
        <v>0</v>
      </c>
      <c r="AS311" s="537"/>
      <c r="AT311" s="927"/>
      <c r="AU311" s="201"/>
      <c r="AW311" s="537" t="str">
        <f t="shared" si="337"/>
        <v/>
      </c>
      <c r="AX311" s="968" t="str">
        <f t="shared" si="338"/>
        <v/>
      </c>
      <c r="AY311" s="537"/>
      <c r="AZ311" s="927"/>
      <c r="BA311" s="201"/>
    </row>
    <row r="312" spans="1:53" s="409" customFormat="1" ht="17.100000000000001" customHeight="1" x14ac:dyDescent="0.25">
      <c r="A312" s="967"/>
      <c r="B312" s="928"/>
      <c r="C312" s="928"/>
      <c r="D312" s="461" t="s">
        <v>974</v>
      </c>
      <c r="E312" s="556"/>
      <c r="F312" s="92"/>
      <c r="G312" s="92"/>
      <c r="H312" s="182"/>
      <c r="I312" s="240"/>
      <c r="J312" s="537" t="str">
        <f>IF(J296=0,"",J309/J296)</f>
        <v/>
      </c>
      <c r="K312" s="537" t="str">
        <f t="shared" ref="K312:L312" si="340">IF(K296=0,"",K309/K296)</f>
        <v/>
      </c>
      <c r="L312" s="537" t="str">
        <f t="shared" si="340"/>
        <v/>
      </c>
      <c r="M312" s="155"/>
      <c r="N312" s="155"/>
      <c r="O312" s="155"/>
      <c r="P312" s="155"/>
      <c r="Q312" s="155"/>
      <c r="R312" s="155"/>
      <c r="S312" s="155"/>
      <c r="T312" s="155"/>
      <c r="U312" s="155"/>
      <c r="V312" s="155"/>
      <c r="W312" s="388"/>
      <c r="X312" s="155"/>
      <c r="Y312" s="927"/>
      <c r="Z312" s="201"/>
      <c r="AA312" s="537">
        <f>MIN(J312:L312)</f>
        <v>0</v>
      </c>
      <c r="AB312" s="537">
        <f>MAX(J312:L312)</f>
        <v>0</v>
      </c>
      <c r="AC312" s="537">
        <f>IF(SUM(J312:L312)=0,0,AVERAGE(J312:L312))</f>
        <v>0</v>
      </c>
      <c r="AE312" s="537" t="str">
        <f>J312</f>
        <v/>
      </c>
      <c r="AF312" s="537" t="str">
        <f>J312</f>
        <v/>
      </c>
      <c r="AG312" s="537" t="str">
        <f>J312</f>
        <v/>
      </c>
      <c r="AH312" s="927"/>
      <c r="AI312" s="201"/>
      <c r="AK312" s="537" t="str">
        <f>K312</f>
        <v/>
      </c>
      <c r="AL312" s="537" t="str">
        <f>K312</f>
        <v/>
      </c>
      <c r="AM312" s="537" t="str">
        <f>K312</f>
        <v/>
      </c>
      <c r="AN312" s="927"/>
      <c r="AO312" s="201"/>
      <c r="AQ312" s="537">
        <f>MIN(J312,K312)</f>
        <v>0</v>
      </c>
      <c r="AR312" s="537">
        <f>MAX(J312:K312)</f>
        <v>0</v>
      </c>
      <c r="AS312" s="968">
        <f>IF(SUM(J312:K312)=0,0,AVERAGE(J312:K312))</f>
        <v>0</v>
      </c>
      <c r="AT312" s="927"/>
      <c r="AU312" s="201"/>
      <c r="AW312" s="537" t="str">
        <f>L312</f>
        <v/>
      </c>
      <c r="AX312" s="537" t="str">
        <f>L312</f>
        <v/>
      </c>
      <c r="AY312" s="968" t="str">
        <f>L312</f>
        <v/>
      </c>
      <c r="AZ312" s="927"/>
      <c r="BA312" s="201"/>
    </row>
    <row r="313" spans="1:53" s="97" customFormat="1" ht="17.100000000000001" customHeight="1" x14ac:dyDescent="0.25">
      <c r="A313" s="68"/>
      <c r="B313" s="68"/>
      <c r="C313" s="165"/>
      <c r="D313" s="166"/>
      <c r="E313" s="166"/>
      <c r="F313" s="166"/>
      <c r="G313" s="166"/>
      <c r="H313" s="165"/>
      <c r="I313" s="12"/>
      <c r="J313" s="558"/>
      <c r="K313" s="94"/>
      <c r="L313" s="95"/>
      <c r="M313" s="95"/>
      <c r="N313" s="95"/>
      <c r="O313" s="95"/>
      <c r="P313" s="95"/>
      <c r="Q313" s="95"/>
      <c r="R313" s="95"/>
      <c r="S313" s="95"/>
      <c r="T313" s="95"/>
      <c r="U313" s="95"/>
      <c r="V313" s="95"/>
      <c r="W313" s="378"/>
      <c r="X313" s="95"/>
      <c r="Y313" s="96"/>
      <c r="AE313" s="109"/>
      <c r="AF313" s="109"/>
      <c r="AG313" s="109"/>
      <c r="AH313" s="96"/>
      <c r="AK313" s="109"/>
      <c r="AL313" s="109"/>
      <c r="AM313" s="109"/>
      <c r="AN313" s="96"/>
      <c r="AQ313" s="109"/>
      <c r="AR313" s="109"/>
      <c r="AS313" s="109"/>
      <c r="AT313" s="96"/>
      <c r="AW313" s="109"/>
      <c r="AX313" s="109"/>
      <c r="AY313" s="109"/>
      <c r="AZ313" s="96"/>
    </row>
    <row r="314" spans="1:53" s="32" customFormat="1" ht="16.5" thickBot="1" x14ac:dyDescent="0.3">
      <c r="A314" s="24" t="s">
        <v>150</v>
      </c>
      <c r="B314" s="25" t="s">
        <v>151</v>
      </c>
      <c r="C314" s="26"/>
      <c r="D314" s="27"/>
      <c r="E314" s="27"/>
      <c r="F314" s="27"/>
      <c r="G314" s="28"/>
      <c r="H314" s="215"/>
      <c r="I314" s="228"/>
      <c r="J314" s="101"/>
      <c r="K314" s="101"/>
      <c r="L314" s="101"/>
      <c r="M314" s="101"/>
      <c r="N314" s="101"/>
      <c r="O314" s="101"/>
      <c r="P314" s="101"/>
      <c r="Q314" s="101"/>
      <c r="R314" s="101"/>
      <c r="S314" s="101"/>
      <c r="T314" s="101"/>
      <c r="U314" s="101"/>
      <c r="V314" s="357"/>
      <c r="W314" s="379"/>
      <c r="X314" s="101"/>
      <c r="Y314" s="30" t="s">
        <v>4</v>
      </c>
      <c r="Z314" s="31" t="s">
        <v>5</v>
      </c>
      <c r="AA314" s="31" t="s">
        <v>181</v>
      </c>
      <c r="AB314" s="31" t="s">
        <v>182</v>
      </c>
      <c r="AC314" s="24" t="s">
        <v>6</v>
      </c>
      <c r="AE314" s="33" t="s">
        <v>181</v>
      </c>
      <c r="AF314" s="33" t="s">
        <v>182</v>
      </c>
      <c r="AG314" s="33" t="s">
        <v>6</v>
      </c>
      <c r="AH314" s="33" t="s">
        <v>4</v>
      </c>
      <c r="AI314" s="34" t="s">
        <v>5</v>
      </c>
      <c r="AJ314" s="408"/>
      <c r="AK314" s="36" t="s">
        <v>181</v>
      </c>
      <c r="AL314" s="36" t="s">
        <v>182</v>
      </c>
      <c r="AM314" s="36" t="s">
        <v>6</v>
      </c>
      <c r="AN314" s="36" t="s">
        <v>4</v>
      </c>
      <c r="AO314" s="37" t="s">
        <v>5</v>
      </c>
      <c r="AP314" s="408"/>
      <c r="AQ314" s="36"/>
      <c r="AR314" s="36"/>
      <c r="AS314" s="36"/>
      <c r="AT314" s="36"/>
      <c r="AU314" s="37"/>
      <c r="AV314" s="408"/>
      <c r="AW314" s="38" t="s">
        <v>181</v>
      </c>
      <c r="AX314" s="38" t="s">
        <v>182</v>
      </c>
      <c r="AY314" s="38" t="s">
        <v>6</v>
      </c>
      <c r="AZ314" s="38" t="s">
        <v>4</v>
      </c>
      <c r="BA314" s="39" t="s">
        <v>5</v>
      </c>
    </row>
    <row r="315" spans="1:53" ht="17.100000000000001" customHeight="1" x14ac:dyDescent="0.25">
      <c r="A315" s="68"/>
      <c r="B315" s="41" t="s">
        <v>152</v>
      </c>
      <c r="C315" s="69" t="s">
        <v>433</v>
      </c>
      <c r="D315" s="50"/>
      <c r="E315" s="70"/>
      <c r="F315" s="70"/>
      <c r="G315" s="70"/>
      <c r="H315" s="263">
        <v>38</v>
      </c>
      <c r="J315" s="71"/>
      <c r="K315" s="71"/>
      <c r="L315" s="71"/>
      <c r="M315" s="71"/>
      <c r="N315" s="71"/>
      <c r="O315" s="71"/>
      <c r="P315" s="71"/>
      <c r="Q315" s="71"/>
      <c r="R315" s="71"/>
      <c r="S315" s="71"/>
      <c r="T315" s="71"/>
      <c r="U315" s="71"/>
      <c r="V315" s="355"/>
      <c r="W315" s="377"/>
      <c r="X315" s="71"/>
      <c r="Y315" s="72"/>
      <c r="Z315" s="73"/>
      <c r="AA315" s="73"/>
      <c r="AB315" s="73"/>
      <c r="AC315" s="73"/>
      <c r="AE315" s="71"/>
      <c r="AF315" s="71"/>
      <c r="AG315" s="71"/>
      <c r="AH315" s="72"/>
      <c r="AI315" s="73"/>
      <c r="AK315" s="71"/>
      <c r="AL315" s="71"/>
      <c r="AM315" s="71"/>
      <c r="AN315" s="72"/>
      <c r="AO315" s="73"/>
      <c r="AQ315" s="71"/>
      <c r="AR315" s="71"/>
      <c r="AS315" s="71"/>
      <c r="AT315" s="72"/>
      <c r="AU315" s="73"/>
      <c r="AW315" s="71"/>
      <c r="AX315" s="71"/>
      <c r="AY315" s="71"/>
      <c r="AZ315" s="72"/>
      <c r="BA315" s="73"/>
    </row>
    <row r="316" spans="1:53" s="4" customFormat="1" ht="17.100000000000001" customHeight="1" x14ac:dyDescent="0.25">
      <c r="A316" s="40"/>
      <c r="B316" s="40"/>
      <c r="C316" s="74" t="s">
        <v>153</v>
      </c>
      <c r="D316" s="85" t="s">
        <v>173</v>
      </c>
      <c r="E316" s="105"/>
      <c r="F316" s="105"/>
      <c r="G316" s="105"/>
      <c r="H316" s="119"/>
      <c r="I316" s="231"/>
      <c r="J316" s="581"/>
      <c r="K316" s="581"/>
      <c r="L316" s="582"/>
      <c r="M316" s="593"/>
      <c r="N316" s="111"/>
      <c r="O316" s="111"/>
      <c r="P316" s="111"/>
      <c r="Q316" s="111"/>
      <c r="R316" s="111"/>
      <c r="S316" s="111"/>
      <c r="T316" s="111"/>
      <c r="U316" s="111"/>
      <c r="V316" s="358"/>
      <c r="W316" s="391">
        <f t="shared" ref="W316:W322" si="341">J316+K316+N316+Q316+T316</f>
        <v>0</v>
      </c>
      <c r="X316" s="17">
        <f t="shared" ref="X316:X322" si="342">L316+O316+R316+U316</f>
        <v>0</v>
      </c>
      <c r="Y316" s="18">
        <f>SUM(W316:X316)</f>
        <v>0</v>
      </c>
      <c r="Z316" s="19">
        <f>IF(Y$323=0,0,Y316/Y$323)</f>
        <v>0</v>
      </c>
      <c r="AA316" s="19"/>
      <c r="AB316" s="19"/>
      <c r="AC316" s="20"/>
      <c r="AE316" s="17"/>
      <c r="AF316" s="17"/>
      <c r="AG316" s="17"/>
      <c r="AH316" s="18">
        <f>J316</f>
        <v>0</v>
      </c>
      <c r="AI316" s="19">
        <f>IF(AH$323=0,0,AH316/AH$323)</f>
        <v>0</v>
      </c>
      <c r="AJ316" s="97"/>
      <c r="AK316" s="17"/>
      <c r="AL316" s="17"/>
      <c r="AM316" s="17"/>
      <c r="AN316" s="18">
        <f>K316</f>
        <v>0</v>
      </c>
      <c r="AO316" s="19">
        <f>IF(AN$323=0,0,AN316/AN$323)</f>
        <v>0</v>
      </c>
      <c r="AP316" s="97"/>
      <c r="AQ316" s="17"/>
      <c r="AR316" s="17"/>
      <c r="AS316" s="17"/>
      <c r="AT316" s="18">
        <f>W316</f>
        <v>0</v>
      </c>
      <c r="AU316" s="19">
        <f>IF(AT$323=0,0,AT316/AT$323)</f>
        <v>0</v>
      </c>
      <c r="AV316" s="97"/>
      <c r="AW316" s="17"/>
      <c r="AX316" s="17"/>
      <c r="AY316" s="17"/>
      <c r="AZ316" s="18">
        <f>X316</f>
        <v>0</v>
      </c>
      <c r="BA316" s="19">
        <f>IF(AZ$323=0,0,AZ316/AZ$323)</f>
        <v>0</v>
      </c>
    </row>
    <row r="317" spans="1:53" s="4" customFormat="1" ht="17.100000000000001" customHeight="1" x14ac:dyDescent="0.25">
      <c r="A317" s="40"/>
      <c r="B317" s="40"/>
      <c r="C317" s="74" t="s">
        <v>154</v>
      </c>
      <c r="D317" s="85" t="s">
        <v>544</v>
      </c>
      <c r="E317" s="105"/>
      <c r="F317" s="105"/>
      <c r="G317" s="105"/>
      <c r="H317" s="119"/>
      <c r="I317" s="231"/>
      <c r="J317" s="583"/>
      <c r="K317" s="583"/>
      <c r="L317" s="584"/>
      <c r="M317" s="593"/>
      <c r="N317" s="111"/>
      <c r="O317" s="111"/>
      <c r="P317" s="111"/>
      <c r="Q317" s="111"/>
      <c r="R317" s="111"/>
      <c r="S317" s="111"/>
      <c r="T317" s="111"/>
      <c r="U317" s="111"/>
      <c r="V317" s="358"/>
      <c r="W317" s="391">
        <f t="shared" si="341"/>
        <v>0</v>
      </c>
      <c r="X317" s="17">
        <f t="shared" si="342"/>
        <v>0</v>
      </c>
      <c r="Y317" s="18">
        <f>SUM(W317:X317)</f>
        <v>0</v>
      </c>
      <c r="Z317" s="19">
        <f>IF(Y$323=0,0,Y317/Y$323)</f>
        <v>0</v>
      </c>
      <c r="AA317" s="19"/>
      <c r="AB317" s="19"/>
      <c r="AC317" s="20"/>
      <c r="AE317" s="17"/>
      <c r="AF317" s="17"/>
      <c r="AG317" s="17"/>
      <c r="AH317" s="18">
        <f t="shared" ref="AH317:AH322" si="343">J317</f>
        <v>0</v>
      </c>
      <c r="AI317" s="19">
        <f>IF(AH$323=0,0,AH317/AH$323)</f>
        <v>0</v>
      </c>
      <c r="AJ317" s="97"/>
      <c r="AK317" s="17"/>
      <c r="AL317" s="17"/>
      <c r="AM317" s="17"/>
      <c r="AN317" s="18">
        <f t="shared" ref="AN317:AN322" si="344">K317</f>
        <v>0</v>
      </c>
      <c r="AO317" s="19">
        <f>IF(AN$323=0,0,AN317/AN$323)</f>
        <v>0</v>
      </c>
      <c r="AP317" s="97"/>
      <c r="AQ317" s="17"/>
      <c r="AR317" s="17"/>
      <c r="AS317" s="17"/>
      <c r="AT317" s="18">
        <f t="shared" ref="AT317:AT322" si="345">W317</f>
        <v>0</v>
      </c>
      <c r="AU317" s="19">
        <f>IF(AT$323=0,0,AT317/AT$323)</f>
        <v>0</v>
      </c>
      <c r="AV317" s="97"/>
      <c r="AW317" s="17"/>
      <c r="AX317" s="17"/>
      <c r="AY317" s="17"/>
      <c r="AZ317" s="18">
        <f>X317</f>
        <v>0</v>
      </c>
      <c r="BA317" s="19">
        <f>IF(AZ$323=0,0,AZ317/AZ$323)</f>
        <v>0</v>
      </c>
    </row>
    <row r="318" spans="1:53" s="4" customFormat="1" ht="17.100000000000001" customHeight="1" x14ac:dyDescent="0.25">
      <c r="A318" s="40"/>
      <c r="B318" s="40"/>
      <c r="C318" s="74" t="s">
        <v>155</v>
      </c>
      <c r="D318" s="146" t="s">
        <v>484</v>
      </c>
      <c r="E318" s="105"/>
      <c r="F318" s="105"/>
      <c r="G318" s="105"/>
      <c r="H318" s="119"/>
      <c r="I318" s="231"/>
      <c r="J318" s="581"/>
      <c r="K318" s="581"/>
      <c r="L318" s="582"/>
      <c r="M318" s="593"/>
      <c r="N318" s="111"/>
      <c r="O318" s="111"/>
      <c r="P318" s="111"/>
      <c r="Q318" s="111"/>
      <c r="R318" s="111"/>
      <c r="S318" s="111"/>
      <c r="T318" s="111"/>
      <c r="U318" s="111"/>
      <c r="V318" s="358"/>
      <c r="W318" s="391"/>
      <c r="X318" s="17">
        <f>L318</f>
        <v>0</v>
      </c>
      <c r="Y318" s="921">
        <f>M318</f>
        <v>0</v>
      </c>
      <c r="Z318" s="19"/>
      <c r="AA318" s="17">
        <f>MIN(J318:L318)</f>
        <v>0</v>
      </c>
      <c r="AB318" s="17"/>
      <c r="AC318" s="17"/>
      <c r="AE318" s="17">
        <f>J318</f>
        <v>0</v>
      </c>
      <c r="AF318" s="17"/>
      <c r="AG318" s="17"/>
      <c r="AH318" s="18"/>
      <c r="AI318" s="19"/>
      <c r="AJ318" s="97"/>
      <c r="AK318" s="17">
        <f>K318</f>
        <v>0</v>
      </c>
      <c r="AL318" s="17"/>
      <c r="AM318" s="17"/>
      <c r="AN318" s="18"/>
      <c r="AO318" s="19"/>
      <c r="AP318" s="97"/>
      <c r="AQ318" s="17">
        <f>W318</f>
        <v>0</v>
      </c>
      <c r="AR318" s="17"/>
      <c r="AS318" s="17"/>
      <c r="AT318" s="18"/>
      <c r="AU318" s="19"/>
      <c r="AV318" s="97"/>
      <c r="AW318" s="17">
        <f>L318</f>
        <v>0</v>
      </c>
      <c r="AX318" s="17"/>
      <c r="AY318" s="17"/>
      <c r="AZ318" s="18"/>
      <c r="BA318" s="19"/>
    </row>
    <row r="319" spans="1:53" s="4" customFormat="1" ht="17.100000000000001" customHeight="1" x14ac:dyDescent="0.25">
      <c r="A319" s="40"/>
      <c r="B319" s="40"/>
      <c r="C319" s="74" t="s">
        <v>156</v>
      </c>
      <c r="D319" s="146" t="s">
        <v>485</v>
      </c>
      <c r="E319" s="105"/>
      <c r="F319" s="105"/>
      <c r="G319" s="105"/>
      <c r="H319" s="119"/>
      <c r="I319" s="231"/>
      <c r="J319" s="583"/>
      <c r="K319" s="583"/>
      <c r="L319" s="584"/>
      <c r="M319" s="593"/>
      <c r="N319" s="111"/>
      <c r="O319" s="111"/>
      <c r="P319" s="111"/>
      <c r="Q319" s="111"/>
      <c r="R319" s="111"/>
      <c r="S319" s="111"/>
      <c r="T319" s="111"/>
      <c r="U319" s="111"/>
      <c r="V319" s="358"/>
      <c r="W319" s="391"/>
      <c r="X319" s="17">
        <f t="shared" ref="X319:Y320" si="346">L319</f>
        <v>0</v>
      </c>
      <c r="Y319" s="921">
        <f t="shared" si="346"/>
        <v>0</v>
      </c>
      <c r="Z319" s="19"/>
      <c r="AA319" s="17"/>
      <c r="AB319" s="17">
        <f>MAX(J319:L319)</f>
        <v>0</v>
      </c>
      <c r="AC319" s="17"/>
      <c r="AE319" s="17"/>
      <c r="AF319" s="17">
        <f>J319</f>
        <v>0</v>
      </c>
      <c r="AG319" s="17"/>
      <c r="AH319" s="18"/>
      <c r="AI319" s="19"/>
      <c r="AJ319" s="97"/>
      <c r="AK319" s="17"/>
      <c r="AL319" s="17">
        <f>K319</f>
        <v>0</v>
      </c>
      <c r="AM319" s="17"/>
      <c r="AN319" s="18"/>
      <c r="AO319" s="19"/>
      <c r="AP319" s="97"/>
      <c r="AQ319" s="17"/>
      <c r="AR319" s="17">
        <f>W319</f>
        <v>0</v>
      </c>
      <c r="AS319" s="17"/>
      <c r="AT319" s="18"/>
      <c r="AU319" s="19"/>
      <c r="AV319" s="97"/>
      <c r="AW319" s="17"/>
      <c r="AX319" s="17">
        <f>L319</f>
        <v>0</v>
      </c>
      <c r="AY319" s="17"/>
      <c r="AZ319" s="18"/>
      <c r="BA319" s="19"/>
    </row>
    <row r="320" spans="1:53" s="4" customFormat="1" ht="17.100000000000001" customHeight="1" x14ac:dyDescent="0.25">
      <c r="A320" s="40"/>
      <c r="B320" s="40"/>
      <c r="C320" s="74" t="s">
        <v>157</v>
      </c>
      <c r="D320" s="146" t="s">
        <v>543</v>
      </c>
      <c r="E320" s="105"/>
      <c r="F320" s="105"/>
      <c r="G320" s="105"/>
      <c r="H320" s="119"/>
      <c r="I320" s="231"/>
      <c r="J320" s="581"/>
      <c r="K320" s="581"/>
      <c r="L320" s="582"/>
      <c r="M320" s="593"/>
      <c r="N320" s="111"/>
      <c r="O320" s="111"/>
      <c r="P320" s="111"/>
      <c r="Q320" s="111"/>
      <c r="R320" s="111"/>
      <c r="S320" s="111"/>
      <c r="T320" s="111"/>
      <c r="U320" s="111"/>
      <c r="V320" s="358"/>
      <c r="W320" s="391"/>
      <c r="X320" s="17">
        <f t="shared" si="346"/>
        <v>0</v>
      </c>
      <c r="Y320" s="921">
        <f t="shared" si="346"/>
        <v>0</v>
      </c>
      <c r="Z320" s="19"/>
      <c r="AA320" s="17"/>
      <c r="AB320" s="17"/>
      <c r="AC320" s="17">
        <f>IF(SUM(J320:L320)=0,0,AVERAGE(J320:L320))</f>
        <v>0</v>
      </c>
      <c r="AE320" s="17"/>
      <c r="AF320" s="17"/>
      <c r="AG320" s="17">
        <f>J320</f>
        <v>0</v>
      </c>
      <c r="AH320" s="18"/>
      <c r="AI320" s="19"/>
      <c r="AJ320" s="97"/>
      <c r="AK320" s="17"/>
      <c r="AL320" s="17"/>
      <c r="AM320" s="17">
        <f>K320</f>
        <v>0</v>
      </c>
      <c r="AN320" s="18"/>
      <c r="AO320" s="19"/>
      <c r="AP320" s="97"/>
      <c r="AQ320" s="17"/>
      <c r="AR320" s="17"/>
      <c r="AS320" s="17">
        <f>W320</f>
        <v>0</v>
      </c>
      <c r="AT320" s="18"/>
      <c r="AU320" s="19"/>
      <c r="AV320" s="97"/>
      <c r="AW320" s="17"/>
      <c r="AX320" s="17"/>
      <c r="AY320" s="17">
        <f>L320</f>
        <v>0</v>
      </c>
      <c r="AZ320" s="18"/>
      <c r="BA320" s="19"/>
    </row>
    <row r="321" spans="1:53" s="4" customFormat="1" ht="17.100000000000001" customHeight="1" x14ac:dyDescent="0.25">
      <c r="A321" s="40"/>
      <c r="B321" s="40"/>
      <c r="C321" s="74" t="s">
        <v>158</v>
      </c>
      <c r="D321" s="75" t="s">
        <v>129</v>
      </c>
      <c r="E321" s="105"/>
      <c r="F321" s="105"/>
      <c r="G321" s="105"/>
      <c r="H321" s="119"/>
      <c r="I321" s="231"/>
      <c r="J321" s="583"/>
      <c r="K321" s="583"/>
      <c r="L321" s="584"/>
      <c r="M321" s="593"/>
      <c r="N321" s="111"/>
      <c r="O321" s="111"/>
      <c r="P321" s="111"/>
      <c r="Q321" s="111"/>
      <c r="R321" s="111"/>
      <c r="S321" s="111"/>
      <c r="T321" s="111"/>
      <c r="U321" s="111"/>
      <c r="V321" s="358"/>
      <c r="W321" s="391">
        <f t="shared" si="341"/>
        <v>0</v>
      </c>
      <c r="X321" s="17">
        <f t="shared" si="342"/>
        <v>0</v>
      </c>
      <c r="Y321" s="18">
        <f>SUM(W321:X321)</f>
        <v>0</v>
      </c>
      <c r="Z321" s="19">
        <f>IF(Y$323=0,0,Y321/Y$323)</f>
        <v>0</v>
      </c>
      <c r="AA321" s="19"/>
      <c r="AB321" s="19"/>
      <c r="AC321" s="20"/>
      <c r="AE321" s="17"/>
      <c r="AF321" s="17"/>
      <c r="AG321" s="17"/>
      <c r="AH321" s="18">
        <f t="shared" si="343"/>
        <v>0</v>
      </c>
      <c r="AI321" s="19">
        <f>IF(AH$323=0,0,AH321/AH$323)</f>
        <v>0</v>
      </c>
      <c r="AJ321" s="97"/>
      <c r="AK321" s="17"/>
      <c r="AL321" s="17"/>
      <c r="AM321" s="17"/>
      <c r="AN321" s="18">
        <f t="shared" si="344"/>
        <v>0</v>
      </c>
      <c r="AO321" s="19">
        <f>IF(AN$323=0,0,AN321/AN$323)</f>
        <v>0</v>
      </c>
      <c r="AP321" s="97"/>
      <c r="AQ321" s="17"/>
      <c r="AR321" s="17"/>
      <c r="AS321" s="17"/>
      <c r="AT321" s="18">
        <f t="shared" si="345"/>
        <v>0</v>
      </c>
      <c r="AU321" s="19">
        <f>IF(AT$323=0,0,AT321/AT$323)</f>
        <v>0</v>
      </c>
      <c r="AV321" s="97"/>
      <c r="AW321" s="17"/>
      <c r="AX321" s="17"/>
      <c r="AY321" s="17"/>
      <c r="AZ321" s="18">
        <f>X321</f>
        <v>0</v>
      </c>
      <c r="BA321" s="19">
        <f>IF(AZ$323=0,0,AZ321/AZ$323)</f>
        <v>0</v>
      </c>
    </row>
    <row r="322" spans="1:53" s="4" customFormat="1" ht="17.100000000000001" customHeight="1" x14ac:dyDescent="0.25">
      <c r="A322" s="40"/>
      <c r="B322" s="40"/>
      <c r="C322" s="74" t="s">
        <v>159</v>
      </c>
      <c r="D322" s="75" t="s">
        <v>530</v>
      </c>
      <c r="E322" s="75"/>
      <c r="F322" s="75"/>
      <c r="G322" s="75"/>
      <c r="H322" s="540"/>
      <c r="I322" s="229"/>
      <c r="J322" s="581"/>
      <c r="K322" s="581"/>
      <c r="L322" s="582"/>
      <c r="M322" s="593"/>
      <c r="N322" s="111"/>
      <c r="O322" s="111"/>
      <c r="P322" s="111"/>
      <c r="Q322" s="111"/>
      <c r="R322" s="111"/>
      <c r="S322" s="111"/>
      <c r="T322" s="111"/>
      <c r="U322" s="111"/>
      <c r="V322" s="358"/>
      <c r="W322" s="391">
        <f t="shared" si="341"/>
        <v>0</v>
      </c>
      <c r="X322" s="17">
        <f t="shared" si="342"/>
        <v>0</v>
      </c>
      <c r="Y322" s="18">
        <f>SUM(W322:X322)</f>
        <v>0</v>
      </c>
      <c r="Z322" s="19">
        <f>IF(Y$323=0,0,Y322/Y$323)</f>
        <v>0</v>
      </c>
      <c r="AA322" s="19"/>
      <c r="AB322" s="19"/>
      <c r="AC322" s="20"/>
      <c r="AE322" s="17"/>
      <c r="AF322" s="17"/>
      <c r="AG322" s="17"/>
      <c r="AH322" s="18">
        <f t="shared" si="343"/>
        <v>0</v>
      </c>
      <c r="AI322" s="19">
        <f>IF(AH$323=0,0,AH322/AH$323)</f>
        <v>0</v>
      </c>
      <c r="AJ322" s="97"/>
      <c r="AK322" s="17"/>
      <c r="AL322" s="17"/>
      <c r="AM322" s="17"/>
      <c r="AN322" s="18">
        <f t="shared" si="344"/>
        <v>0</v>
      </c>
      <c r="AO322" s="19">
        <f>IF(AN$323=0,0,AN322/AN$323)</f>
        <v>0</v>
      </c>
      <c r="AP322" s="97"/>
      <c r="AQ322" s="17"/>
      <c r="AR322" s="17"/>
      <c r="AS322" s="17"/>
      <c r="AT322" s="18">
        <f t="shared" si="345"/>
        <v>0</v>
      </c>
      <c r="AU322" s="19">
        <f>IF(AT$323=0,0,AT322/AT$323)</f>
        <v>0</v>
      </c>
      <c r="AV322" s="97"/>
      <c r="AW322" s="17"/>
      <c r="AX322" s="17"/>
      <c r="AY322" s="17"/>
      <c r="AZ322" s="18">
        <f>X322</f>
        <v>0</v>
      </c>
      <c r="BA322" s="19">
        <f>IF(AZ$323=0,0,AZ322/AZ$323)</f>
        <v>0</v>
      </c>
    </row>
    <row r="323" spans="1:53" s="4" customFormat="1" ht="17.100000000000001" customHeight="1" x14ac:dyDescent="0.25">
      <c r="A323" s="175"/>
      <c r="B323" s="40"/>
      <c r="C323" s="77"/>
      <c r="D323" s="134"/>
      <c r="E323" s="134"/>
      <c r="F323" s="134"/>
      <c r="G323" s="134"/>
      <c r="H323" s="540"/>
      <c r="I323" s="12"/>
      <c r="J323" s="80">
        <f>J316+J317+J321+J322</f>
        <v>0</v>
      </c>
      <c r="K323" s="80">
        <f t="shared" ref="K323:M323" si="347">K316+K317+K321+K322</f>
        <v>0</v>
      </c>
      <c r="L323" s="80">
        <f t="shared" si="347"/>
        <v>0</v>
      </c>
      <c r="M323" s="80">
        <f t="shared" si="347"/>
        <v>0</v>
      </c>
      <c r="N323" s="81"/>
      <c r="O323" s="81"/>
      <c r="P323" s="81"/>
      <c r="Q323" s="81"/>
      <c r="R323" s="81"/>
      <c r="S323" s="81"/>
      <c r="T323" s="81"/>
      <c r="U323" s="81"/>
      <c r="V323" s="356"/>
      <c r="W323" s="381">
        <f>W316+W317+W321+W322</f>
        <v>0</v>
      </c>
      <c r="X323" s="82">
        <f>X316+X317+X321+X322</f>
        <v>0</v>
      </c>
      <c r="Y323" s="82">
        <f t="shared" ref="Y323" si="348">SUM(Y316:Y322)</f>
        <v>0</v>
      </c>
      <c r="Z323" s="205">
        <f>IF(Y$323=0,0,Y323/Y$323)</f>
        <v>0</v>
      </c>
      <c r="AA323" s="205"/>
      <c r="AB323" s="205"/>
      <c r="AC323" s="83"/>
      <c r="AE323" s="80"/>
      <c r="AF323" s="80"/>
      <c r="AG323" s="81"/>
      <c r="AH323" s="82">
        <f>SUM(AH316:AH322)</f>
        <v>0</v>
      </c>
      <c r="AI323" s="66">
        <f>IF(AH$323=0,0,AH323/AH$323)</f>
        <v>0</v>
      </c>
      <c r="AJ323" s="97"/>
      <c r="AK323" s="80"/>
      <c r="AL323" s="80"/>
      <c r="AM323" s="81"/>
      <c r="AN323" s="82">
        <f>SUM(AN316:AN322)</f>
        <v>0</v>
      </c>
      <c r="AO323" s="66">
        <f>IF(AN$323=0,0,AN323/AN$323)</f>
        <v>0</v>
      </c>
      <c r="AP323" s="97"/>
      <c r="AQ323" s="80"/>
      <c r="AR323" s="80"/>
      <c r="AS323" s="81"/>
      <c r="AT323" s="82">
        <f>SUM(AT316:AT322)</f>
        <v>0</v>
      </c>
      <c r="AU323" s="66">
        <f>IF(AT$323=0,0,AT323/AT$323)</f>
        <v>0</v>
      </c>
      <c r="AV323" s="97"/>
      <c r="AW323" s="80"/>
      <c r="AX323" s="80"/>
      <c r="AY323" s="81"/>
      <c r="AZ323" s="82">
        <f>SUM(AZ316:AZ322)</f>
        <v>0</v>
      </c>
      <c r="BA323" s="66">
        <f>IF(AZ$323=0,0,AZ323/AZ$323)</f>
        <v>0</v>
      </c>
    </row>
    <row r="324" spans="1:53" s="117" customFormat="1" ht="17.100000000000001" customHeight="1" x14ac:dyDescent="0.25">
      <c r="A324" s="68"/>
      <c r="B324" s="119"/>
      <c r="C324" s="540"/>
      <c r="D324" s="261"/>
      <c r="E324" s="261"/>
      <c r="F324" s="68"/>
      <c r="G324" s="68"/>
      <c r="H324" s="119"/>
      <c r="I324" s="138"/>
      <c r="J324" s="17" t="str">
        <f>IF(J323=J$15,"OK","NOK")</f>
        <v>OK</v>
      </c>
      <c r="K324" s="17" t="str">
        <f t="shared" ref="K324:L324" si="349">IF(K323=K$15,"OK","NOK")</f>
        <v>OK</v>
      </c>
      <c r="L324" s="17" t="str">
        <f t="shared" si="349"/>
        <v>OK</v>
      </c>
      <c r="M324" s="17"/>
      <c r="N324" s="17"/>
      <c r="O324" s="17"/>
      <c r="P324" s="17"/>
      <c r="Q324" s="17"/>
      <c r="R324" s="17"/>
      <c r="S324" s="17"/>
      <c r="T324" s="17"/>
      <c r="U324" s="17"/>
      <c r="V324" s="359"/>
      <c r="W324" s="382"/>
      <c r="X324" s="539"/>
      <c r="Y324" s="539"/>
      <c r="Z324" s="201"/>
      <c r="AA324" s="201"/>
      <c r="AB324" s="201"/>
      <c r="AC324" s="84"/>
      <c r="AE324" s="46"/>
      <c r="AF324" s="46"/>
      <c r="AG324" s="17"/>
      <c r="AH324" s="539"/>
      <c r="AI324" s="91"/>
      <c r="AK324" s="46"/>
      <c r="AL324" s="46"/>
      <c r="AM324" s="17"/>
      <c r="AN324" s="539"/>
      <c r="AO324" s="91"/>
      <c r="AQ324" s="46"/>
      <c r="AR324" s="46"/>
      <c r="AS324" s="17"/>
      <c r="AT324" s="539"/>
      <c r="AU324" s="91"/>
      <c r="AW324" s="46"/>
      <c r="AX324" s="46"/>
      <c r="AY324" s="17"/>
      <c r="AZ324" s="539"/>
      <c r="BA324" s="91"/>
    </row>
    <row r="325" spans="1:53" ht="17.100000000000001" customHeight="1" x14ac:dyDescent="0.25">
      <c r="A325" s="68"/>
      <c r="B325" s="41" t="s">
        <v>160</v>
      </c>
      <c r="C325" s="69" t="s">
        <v>434</v>
      </c>
      <c r="D325" s="50"/>
      <c r="E325" s="70"/>
      <c r="F325" s="70"/>
      <c r="G325" s="70"/>
      <c r="H325" s="243">
        <v>40</v>
      </c>
      <c r="J325" s="71"/>
      <c r="K325" s="71"/>
      <c r="L325" s="71"/>
      <c r="M325" s="71"/>
      <c r="N325" s="71"/>
      <c r="O325" s="71"/>
      <c r="P325" s="71"/>
      <c r="Q325" s="71"/>
      <c r="R325" s="71"/>
      <c r="S325" s="71"/>
      <c r="T325" s="71"/>
      <c r="U325" s="71"/>
      <c r="V325" s="355"/>
      <c r="W325" s="377"/>
      <c r="X325" s="71"/>
      <c r="Y325" s="89"/>
      <c r="Z325" s="90"/>
      <c r="AA325" s="90"/>
      <c r="AB325" s="90"/>
      <c r="AC325" s="73"/>
      <c r="AE325" s="71"/>
      <c r="AF325" s="71"/>
      <c r="AG325" s="71"/>
      <c r="AH325" s="72"/>
      <c r="AI325" s="73"/>
      <c r="AK325" s="71"/>
      <c r="AL325" s="71"/>
      <c r="AM325" s="71"/>
      <c r="AN325" s="72"/>
      <c r="AO325" s="73"/>
      <c r="AQ325" s="71"/>
      <c r="AR325" s="71"/>
      <c r="AS325" s="71"/>
      <c r="AT325" s="72"/>
      <c r="AU325" s="73"/>
      <c r="AW325" s="71"/>
      <c r="AX325" s="71"/>
      <c r="AY325" s="71"/>
      <c r="AZ325" s="72"/>
      <c r="BA325" s="73"/>
    </row>
    <row r="326" spans="1:53" s="4" customFormat="1" ht="17.100000000000001" customHeight="1" x14ac:dyDescent="0.25">
      <c r="A326" s="40"/>
      <c r="B326" s="40"/>
      <c r="C326" s="74" t="s">
        <v>161</v>
      </c>
      <c r="D326" s="85" t="s">
        <v>173</v>
      </c>
      <c r="E326" s="105"/>
      <c r="F326" s="105"/>
      <c r="G326" s="105"/>
      <c r="H326" s="119"/>
      <c r="I326" s="231"/>
      <c r="J326" s="581"/>
      <c r="K326" s="581"/>
      <c r="L326" s="582"/>
      <c r="M326" s="593"/>
      <c r="N326" s="111"/>
      <c r="O326" s="111"/>
      <c r="P326" s="111"/>
      <c r="Q326" s="111"/>
      <c r="R326" s="111"/>
      <c r="S326" s="111"/>
      <c r="T326" s="111"/>
      <c r="U326" s="111"/>
      <c r="V326" s="358"/>
      <c r="W326" s="391">
        <f t="shared" ref="W326:W327" si="350">J326+K326+N326+Q326+T326</f>
        <v>0</v>
      </c>
      <c r="X326" s="17">
        <f t="shared" ref="X326:X327" si="351">L326+O326+R326+U326</f>
        <v>0</v>
      </c>
      <c r="Y326" s="18">
        <f>SUM(W326:X326)</f>
        <v>0</v>
      </c>
      <c r="Z326" s="19">
        <f>IF(Y$333=0,0,Y326/Y$333)</f>
        <v>0</v>
      </c>
      <c r="AA326" s="19"/>
      <c r="AB326" s="19"/>
      <c r="AC326" s="20"/>
      <c r="AE326" s="17"/>
      <c r="AF326" s="17"/>
      <c r="AG326" s="17"/>
      <c r="AH326" s="18">
        <f>J326</f>
        <v>0</v>
      </c>
      <c r="AI326" s="19">
        <f>IF(AH$333=0,0,AH326/AH$333)</f>
        <v>0</v>
      </c>
      <c r="AJ326" s="97"/>
      <c r="AK326" s="17"/>
      <c r="AL326" s="17"/>
      <c r="AM326" s="17"/>
      <c r="AN326" s="18">
        <f>K326</f>
        <v>0</v>
      </c>
      <c r="AO326" s="19">
        <f>IF(AN$333=0,0,AN326/AN$333)</f>
        <v>0</v>
      </c>
      <c r="AP326" s="97"/>
      <c r="AQ326" s="17"/>
      <c r="AR326" s="17"/>
      <c r="AS326" s="17"/>
      <c r="AT326" s="18">
        <f>W326</f>
        <v>0</v>
      </c>
      <c r="AU326" s="19">
        <f>IF(AT$333=0,0,AT326/AT$333)</f>
        <v>0</v>
      </c>
      <c r="AV326" s="97"/>
      <c r="AW326" s="17"/>
      <c r="AX326" s="17"/>
      <c r="AY326" s="17"/>
      <c r="AZ326" s="18">
        <f>X326</f>
        <v>0</v>
      </c>
      <c r="BA326" s="19">
        <f>IF(AZ$333=0,0,AZ326/AZ$333)</f>
        <v>0</v>
      </c>
    </row>
    <row r="327" spans="1:53" s="4" customFormat="1" ht="17.100000000000001" customHeight="1" x14ac:dyDescent="0.25">
      <c r="A327" s="40"/>
      <c r="B327" s="40"/>
      <c r="C327" s="74" t="s">
        <v>163</v>
      </c>
      <c r="D327" s="85" t="s">
        <v>544</v>
      </c>
      <c r="E327" s="105"/>
      <c r="F327" s="105"/>
      <c r="G327" s="105"/>
      <c r="H327" s="119"/>
      <c r="I327" s="231"/>
      <c r="J327" s="583"/>
      <c r="K327" s="583"/>
      <c r="L327" s="584"/>
      <c r="M327" s="593"/>
      <c r="N327" s="111"/>
      <c r="O327" s="111"/>
      <c r="P327" s="111"/>
      <c r="Q327" s="111"/>
      <c r="R327" s="111"/>
      <c r="S327" s="111"/>
      <c r="T327" s="111"/>
      <c r="U327" s="111"/>
      <c r="V327" s="358"/>
      <c r="W327" s="391">
        <f t="shared" si="350"/>
        <v>0</v>
      </c>
      <c r="X327" s="17">
        <f t="shared" si="351"/>
        <v>0</v>
      </c>
      <c r="Y327" s="18">
        <f>SUM(W327:X327)</f>
        <v>0</v>
      </c>
      <c r="Z327" s="19">
        <f>IF(Y$333=0,0,Y327/Y$333)</f>
        <v>0</v>
      </c>
      <c r="AA327" s="19"/>
      <c r="AB327" s="19"/>
      <c r="AC327" s="20"/>
      <c r="AE327" s="17"/>
      <c r="AF327" s="17"/>
      <c r="AG327" s="17"/>
      <c r="AH327" s="18">
        <f t="shared" ref="AH327" si="352">J327</f>
        <v>0</v>
      </c>
      <c r="AI327" s="19">
        <f>IF(AH$333=0,0,AH327/AH$333)</f>
        <v>0</v>
      </c>
      <c r="AJ327" s="97"/>
      <c r="AK327" s="17"/>
      <c r="AL327" s="17"/>
      <c r="AM327" s="17"/>
      <c r="AN327" s="18">
        <f t="shared" ref="AN327" si="353">K327</f>
        <v>0</v>
      </c>
      <c r="AO327" s="19">
        <f>IF(AN$333=0,0,AN327/AN$333)</f>
        <v>0</v>
      </c>
      <c r="AP327" s="97"/>
      <c r="AQ327" s="17"/>
      <c r="AR327" s="17"/>
      <c r="AS327" s="17"/>
      <c r="AT327" s="18">
        <f t="shared" ref="AT327" si="354">W327</f>
        <v>0</v>
      </c>
      <c r="AU327" s="19">
        <f>IF(AT$333=0,0,AT327/AT$333)</f>
        <v>0</v>
      </c>
      <c r="AV327" s="97"/>
      <c r="AW327" s="17"/>
      <c r="AX327" s="17"/>
      <c r="AY327" s="17"/>
      <c r="AZ327" s="18">
        <f>X327</f>
        <v>0</v>
      </c>
      <c r="BA327" s="19">
        <f>IF(AZ$333=0,0,AZ327/AZ$333)</f>
        <v>0</v>
      </c>
    </row>
    <row r="328" spans="1:53" s="4" customFormat="1" ht="17.100000000000001" customHeight="1" x14ac:dyDescent="0.25">
      <c r="A328" s="40"/>
      <c r="B328" s="40"/>
      <c r="C328" s="74" t="s">
        <v>164</v>
      </c>
      <c r="D328" s="146" t="s">
        <v>484</v>
      </c>
      <c r="E328" s="105"/>
      <c r="F328" s="105"/>
      <c r="G328" s="105"/>
      <c r="H328" s="119"/>
      <c r="I328" s="231"/>
      <c r="J328" s="581"/>
      <c r="K328" s="581"/>
      <c r="L328" s="582"/>
      <c r="M328" s="593"/>
      <c r="N328" s="111"/>
      <c r="O328" s="111"/>
      <c r="P328" s="111"/>
      <c r="Q328" s="111"/>
      <c r="R328" s="111"/>
      <c r="S328" s="111"/>
      <c r="T328" s="111"/>
      <c r="U328" s="111"/>
      <c r="V328" s="358"/>
      <c r="W328" s="391">
        <f>MIN(J328:K328)</f>
        <v>0</v>
      </c>
      <c r="X328" s="17">
        <f>L328</f>
        <v>0</v>
      </c>
      <c r="Y328" s="18"/>
      <c r="Z328" s="19"/>
      <c r="AA328" s="17">
        <f>MIN(J328:L328)</f>
        <v>0</v>
      </c>
      <c r="AB328" s="17"/>
      <c r="AC328" s="17"/>
      <c r="AE328" s="17">
        <f>J328</f>
        <v>0</v>
      </c>
      <c r="AF328" s="17"/>
      <c r="AG328" s="17"/>
      <c r="AH328" s="18"/>
      <c r="AI328" s="19"/>
      <c r="AJ328" s="97"/>
      <c r="AK328" s="17">
        <f>K328</f>
        <v>0</v>
      </c>
      <c r="AL328" s="17"/>
      <c r="AM328" s="17"/>
      <c r="AN328" s="18"/>
      <c r="AO328" s="19"/>
      <c r="AP328" s="97"/>
      <c r="AQ328" s="17">
        <f>W328</f>
        <v>0</v>
      </c>
      <c r="AR328" s="17"/>
      <c r="AS328" s="17"/>
      <c r="AT328" s="18"/>
      <c r="AU328" s="19"/>
      <c r="AV328" s="97"/>
      <c r="AW328" s="17">
        <f>L328</f>
        <v>0</v>
      </c>
      <c r="AX328" s="17"/>
      <c r="AY328" s="17"/>
      <c r="AZ328" s="18"/>
      <c r="BA328" s="19"/>
    </row>
    <row r="329" spans="1:53" s="4" customFormat="1" ht="17.100000000000001" customHeight="1" x14ac:dyDescent="0.25">
      <c r="A329" s="40"/>
      <c r="B329" s="40"/>
      <c r="C329" s="74" t="s">
        <v>166</v>
      </c>
      <c r="D329" s="146" t="s">
        <v>485</v>
      </c>
      <c r="E329" s="105"/>
      <c r="F329" s="105"/>
      <c r="G329" s="105"/>
      <c r="H329" s="119"/>
      <c r="I329" s="231"/>
      <c r="J329" s="583"/>
      <c r="K329" s="583"/>
      <c r="L329" s="584"/>
      <c r="M329" s="593"/>
      <c r="N329" s="111"/>
      <c r="O329" s="111"/>
      <c r="P329" s="111"/>
      <c r="Q329" s="111"/>
      <c r="R329" s="111"/>
      <c r="S329" s="111"/>
      <c r="T329" s="111"/>
      <c r="U329" s="111"/>
      <c r="V329" s="358"/>
      <c r="W329" s="391">
        <f>MAX(J329:K329)</f>
        <v>0</v>
      </c>
      <c r="X329" s="17">
        <f t="shared" ref="X329:X330" si="355">L329</f>
        <v>0</v>
      </c>
      <c r="Y329" s="18"/>
      <c r="Z329" s="19"/>
      <c r="AA329" s="17"/>
      <c r="AB329" s="17">
        <f>MAX(J329:L329)</f>
        <v>0</v>
      </c>
      <c r="AC329" s="17"/>
      <c r="AE329" s="17"/>
      <c r="AF329" s="17">
        <f>J329</f>
        <v>0</v>
      </c>
      <c r="AG329" s="17"/>
      <c r="AH329" s="18"/>
      <c r="AI329" s="19"/>
      <c r="AJ329" s="97"/>
      <c r="AK329" s="17"/>
      <c r="AL329" s="17">
        <f>K329</f>
        <v>0</v>
      </c>
      <c r="AM329" s="17"/>
      <c r="AN329" s="18"/>
      <c r="AO329" s="19"/>
      <c r="AP329" s="97"/>
      <c r="AQ329" s="17"/>
      <c r="AR329" s="17">
        <f>W329</f>
        <v>0</v>
      </c>
      <c r="AS329" s="17"/>
      <c r="AT329" s="18"/>
      <c r="AU329" s="19"/>
      <c r="AV329" s="97"/>
      <c r="AW329" s="17"/>
      <c r="AX329" s="17">
        <f>L329</f>
        <v>0</v>
      </c>
      <c r="AY329" s="17"/>
      <c r="AZ329" s="18"/>
      <c r="BA329" s="19"/>
    </row>
    <row r="330" spans="1:53" s="4" customFormat="1" ht="17.100000000000001" customHeight="1" x14ac:dyDescent="0.25">
      <c r="A330" s="40"/>
      <c r="B330" s="40"/>
      <c r="C330" s="74" t="s">
        <v>168</v>
      </c>
      <c r="D330" s="146" t="s">
        <v>543</v>
      </c>
      <c r="E330" s="105"/>
      <c r="F330" s="105"/>
      <c r="G330" s="105"/>
      <c r="H330" s="119"/>
      <c r="I330" s="231"/>
      <c r="J330" s="581"/>
      <c r="K330" s="581"/>
      <c r="L330" s="582"/>
      <c r="M330" s="593"/>
      <c r="N330" s="111"/>
      <c r="O330" s="111"/>
      <c r="P330" s="111"/>
      <c r="Q330" s="111"/>
      <c r="R330" s="111"/>
      <c r="S330" s="111"/>
      <c r="T330" s="111"/>
      <c r="U330" s="111"/>
      <c r="V330" s="358"/>
      <c r="W330" s="391">
        <f>IF(SUM(J330:K330)=0,0,AVERAGE(J330:K330))</f>
        <v>0</v>
      </c>
      <c r="X330" s="17">
        <f t="shared" si="355"/>
        <v>0</v>
      </c>
      <c r="Y330" s="18"/>
      <c r="Z330" s="19"/>
      <c r="AA330" s="17"/>
      <c r="AB330" s="17"/>
      <c r="AC330" s="17">
        <f>IF(SUM(J330:L330)=0,0,AVERAGE(J330:L330))</f>
        <v>0</v>
      </c>
      <c r="AE330" s="17"/>
      <c r="AF330" s="17"/>
      <c r="AG330" s="17">
        <f>J330</f>
        <v>0</v>
      </c>
      <c r="AH330" s="18"/>
      <c r="AI330" s="19"/>
      <c r="AJ330" s="97"/>
      <c r="AK330" s="17"/>
      <c r="AL330" s="17"/>
      <c r="AM330" s="17">
        <f>K330</f>
        <v>0</v>
      </c>
      <c r="AN330" s="18"/>
      <c r="AO330" s="19"/>
      <c r="AP330" s="97"/>
      <c r="AQ330" s="17"/>
      <c r="AR330" s="17"/>
      <c r="AS330" s="17">
        <f>W330</f>
        <v>0</v>
      </c>
      <c r="AT330" s="18"/>
      <c r="AU330" s="19"/>
      <c r="AV330" s="97"/>
      <c r="AW330" s="17"/>
      <c r="AX330" s="17"/>
      <c r="AY330" s="17">
        <f>L330</f>
        <v>0</v>
      </c>
      <c r="AZ330" s="18"/>
      <c r="BA330" s="19"/>
    </row>
    <row r="331" spans="1:53" s="4" customFormat="1" ht="17.100000000000001" customHeight="1" x14ac:dyDescent="0.25">
      <c r="A331" s="40"/>
      <c r="B331" s="40"/>
      <c r="C331" s="74" t="s">
        <v>169</v>
      </c>
      <c r="D331" s="75" t="s">
        <v>129</v>
      </c>
      <c r="E331" s="105"/>
      <c r="F331" s="105"/>
      <c r="G331" s="105"/>
      <c r="H331" s="119"/>
      <c r="I331" s="231"/>
      <c r="J331" s="583"/>
      <c r="K331" s="583"/>
      <c r="L331" s="584"/>
      <c r="M331" s="593"/>
      <c r="N331" s="111"/>
      <c r="O331" s="111"/>
      <c r="P331" s="111"/>
      <c r="Q331" s="111"/>
      <c r="R331" s="111"/>
      <c r="S331" s="111"/>
      <c r="T331" s="111"/>
      <c r="U331" s="111"/>
      <c r="V331" s="358"/>
      <c r="W331" s="391">
        <f t="shared" ref="W331:W332" si="356">J331+K331+N331+Q331+T331</f>
        <v>0</v>
      </c>
      <c r="X331" s="17">
        <f t="shared" ref="X331:X332" si="357">L331+O331+R331+U331</f>
        <v>0</v>
      </c>
      <c r="Y331" s="18">
        <f>SUM(W331:X331)</f>
        <v>0</v>
      </c>
      <c r="Z331" s="19">
        <f>IF(Y$333=0,0,Y331/Y$333)</f>
        <v>0</v>
      </c>
      <c r="AA331" s="19"/>
      <c r="AB331" s="19"/>
      <c r="AC331" s="20"/>
      <c r="AE331" s="17"/>
      <c r="AF331" s="17"/>
      <c r="AG331" s="17"/>
      <c r="AH331" s="18">
        <f t="shared" ref="AH331:AH332" si="358">J331</f>
        <v>0</v>
      </c>
      <c r="AI331" s="19">
        <f>IF(AH$333=0,0,AH331/AH$333)</f>
        <v>0</v>
      </c>
      <c r="AJ331" s="97"/>
      <c r="AK331" s="17"/>
      <c r="AL331" s="17"/>
      <c r="AM331" s="17"/>
      <c r="AN331" s="18">
        <f t="shared" ref="AN331:AN332" si="359">K331</f>
        <v>0</v>
      </c>
      <c r="AO331" s="19">
        <f>IF(AN$333=0,0,AN331/AN$333)</f>
        <v>0</v>
      </c>
      <c r="AP331" s="97"/>
      <c r="AQ331" s="17"/>
      <c r="AR331" s="17"/>
      <c r="AS331" s="17"/>
      <c r="AT331" s="18">
        <f t="shared" ref="AT331:AT332" si="360">W331</f>
        <v>0</v>
      </c>
      <c r="AU331" s="19">
        <f>IF(AT$333=0,0,AT331/AT$333)</f>
        <v>0</v>
      </c>
      <c r="AV331" s="97"/>
      <c r="AW331" s="17"/>
      <c r="AX331" s="17"/>
      <c r="AY331" s="17"/>
      <c r="AZ331" s="18">
        <f>X331</f>
        <v>0</v>
      </c>
      <c r="BA331" s="19">
        <f>IF(AZ$333=0,0,AZ331/AZ$333)</f>
        <v>0</v>
      </c>
    </row>
    <row r="332" spans="1:53" s="4" customFormat="1" ht="17.100000000000001" customHeight="1" x14ac:dyDescent="0.25">
      <c r="A332" s="40"/>
      <c r="B332" s="40"/>
      <c r="C332" s="74" t="s">
        <v>170</v>
      </c>
      <c r="D332" s="75" t="s">
        <v>530</v>
      </c>
      <c r="E332" s="75"/>
      <c r="F332" s="75"/>
      <c r="G332" s="75"/>
      <c r="H332" s="540"/>
      <c r="I332" s="229"/>
      <c r="J332" s="581"/>
      <c r="K332" s="581"/>
      <c r="L332" s="582"/>
      <c r="M332" s="593"/>
      <c r="N332" s="111"/>
      <c r="O332" s="111"/>
      <c r="P332" s="111"/>
      <c r="Q332" s="111"/>
      <c r="R332" s="111"/>
      <c r="S332" s="111"/>
      <c r="T332" s="111"/>
      <c r="U332" s="111"/>
      <c r="V332" s="358"/>
      <c r="W332" s="391">
        <f t="shared" si="356"/>
        <v>0</v>
      </c>
      <c r="X332" s="17">
        <f t="shared" si="357"/>
        <v>0</v>
      </c>
      <c r="Y332" s="18">
        <f>SUM(W332:X332)</f>
        <v>0</v>
      </c>
      <c r="Z332" s="19">
        <f>IF(Y$333=0,0,Y332/Y$333)</f>
        <v>0</v>
      </c>
      <c r="AA332" s="19"/>
      <c r="AB332" s="19"/>
      <c r="AC332" s="20"/>
      <c r="AE332" s="17"/>
      <c r="AF332" s="17"/>
      <c r="AG332" s="17"/>
      <c r="AH332" s="18">
        <f t="shared" si="358"/>
        <v>0</v>
      </c>
      <c r="AI332" s="19">
        <f>IF(AH$333=0,0,AH332/AH$333)</f>
        <v>0</v>
      </c>
      <c r="AJ332" s="97"/>
      <c r="AK332" s="17"/>
      <c r="AL332" s="17"/>
      <c r="AM332" s="17"/>
      <c r="AN332" s="18">
        <f t="shared" si="359"/>
        <v>0</v>
      </c>
      <c r="AO332" s="19">
        <f>IF(AN$333=0,0,AN332/AN$333)</f>
        <v>0</v>
      </c>
      <c r="AP332" s="97"/>
      <c r="AQ332" s="17"/>
      <c r="AR332" s="17"/>
      <c r="AS332" s="17"/>
      <c r="AT332" s="18">
        <f t="shared" si="360"/>
        <v>0</v>
      </c>
      <c r="AU332" s="19">
        <f>IF(AT$333=0,0,AT332/AT$333)</f>
        <v>0</v>
      </c>
      <c r="AV332" s="97"/>
      <c r="AW332" s="17"/>
      <c r="AX332" s="17"/>
      <c r="AY332" s="17"/>
      <c r="AZ332" s="18">
        <f>X332</f>
        <v>0</v>
      </c>
      <c r="BA332" s="19">
        <f>IF(AZ$333=0,0,AZ332/AZ$333)</f>
        <v>0</v>
      </c>
    </row>
    <row r="333" spans="1:53" s="4" customFormat="1" ht="17.100000000000001" customHeight="1" x14ac:dyDescent="0.25">
      <c r="A333" s="175"/>
      <c r="B333" s="40"/>
      <c r="C333" s="77"/>
      <c r="D333" s="134"/>
      <c r="E333" s="134"/>
      <c r="F333" s="134"/>
      <c r="G333" s="134"/>
      <c r="H333" s="540"/>
      <c r="I333" s="12"/>
      <c r="J333" s="80">
        <f>J326+J327+J331+J332</f>
        <v>0</v>
      </c>
      <c r="K333" s="80">
        <f t="shared" ref="K333:M333" si="361">K326+K327+K331+K332</f>
        <v>0</v>
      </c>
      <c r="L333" s="80">
        <f t="shared" si="361"/>
        <v>0</v>
      </c>
      <c r="M333" s="80">
        <f t="shared" si="361"/>
        <v>0</v>
      </c>
      <c r="N333" s="81"/>
      <c r="O333" s="81"/>
      <c r="P333" s="81"/>
      <c r="Q333" s="81"/>
      <c r="R333" s="81"/>
      <c r="S333" s="81"/>
      <c r="T333" s="81"/>
      <c r="U333" s="81"/>
      <c r="V333" s="356"/>
      <c r="W333" s="381">
        <f>W326+W327+W331+W332</f>
        <v>0</v>
      </c>
      <c r="X333" s="82">
        <f>X326+X327+X331+X332</f>
        <v>0</v>
      </c>
      <c r="Y333" s="82">
        <f t="shared" ref="Y333" si="362">SUM(Y326:Y332)</f>
        <v>0</v>
      </c>
      <c r="Z333" s="205">
        <f>IF(Y$333=0,0,Y333/Y$333)</f>
        <v>0</v>
      </c>
      <c r="AA333" s="205"/>
      <c r="AB333" s="205"/>
      <c r="AC333" s="83"/>
      <c r="AE333" s="80"/>
      <c r="AF333" s="80"/>
      <c r="AG333" s="81"/>
      <c r="AH333" s="82">
        <f>SUM(AH326:AH332)</f>
        <v>0</v>
      </c>
      <c r="AI333" s="66">
        <f>IF(AH$333=0,0,AH333/AH$333)</f>
        <v>0</v>
      </c>
      <c r="AJ333" s="97"/>
      <c r="AK333" s="80"/>
      <c r="AL333" s="80"/>
      <c r="AM333" s="81"/>
      <c r="AN333" s="82">
        <f>SUM(AN326:AN332)</f>
        <v>0</v>
      </c>
      <c r="AO333" s="66">
        <f>IF(AN$333=0,0,AN333/AN$333)</f>
        <v>0</v>
      </c>
      <c r="AP333" s="97"/>
      <c r="AQ333" s="80"/>
      <c r="AR333" s="80"/>
      <c r="AS333" s="81"/>
      <c r="AT333" s="82">
        <f>SUM(AT326:AT332)</f>
        <v>0</v>
      </c>
      <c r="AU333" s="66">
        <f>IF(AT$333=0,0,AT333/AT$333)</f>
        <v>0</v>
      </c>
      <c r="AV333" s="97"/>
      <c r="AW333" s="80"/>
      <c r="AX333" s="80"/>
      <c r="AY333" s="81"/>
      <c r="AZ333" s="82">
        <f>SUM(AZ326:AZ332)</f>
        <v>0</v>
      </c>
      <c r="BA333" s="66">
        <f>IF(AZ$333=0,0,AZ333/AZ$333)</f>
        <v>0</v>
      </c>
    </row>
    <row r="334" spans="1:53" s="117" customFormat="1" ht="17.100000000000001" customHeight="1" x14ac:dyDescent="0.25">
      <c r="A334" s="68"/>
      <c r="B334" s="119"/>
      <c r="C334" s="540"/>
      <c r="D334" s="261"/>
      <c r="E334" s="261"/>
      <c r="F334" s="68"/>
      <c r="G334" s="68"/>
      <c r="H334" s="119"/>
      <c r="I334" s="138"/>
      <c r="J334" s="17" t="str">
        <f>IF(J333=J$15,"OK","NOK")</f>
        <v>OK</v>
      </c>
      <c r="K334" s="17" t="str">
        <f t="shared" ref="K334:L334" si="363">IF(K333=K$15,"OK","NOK")</f>
        <v>OK</v>
      </c>
      <c r="L334" s="17" t="str">
        <f t="shared" si="363"/>
        <v>OK</v>
      </c>
      <c r="M334" s="17"/>
      <c r="N334" s="17"/>
      <c r="O334" s="17"/>
      <c r="P334" s="17"/>
      <c r="Q334" s="17"/>
      <c r="R334" s="17"/>
      <c r="S334" s="17"/>
      <c r="T334" s="17"/>
      <c r="U334" s="17"/>
      <c r="V334" s="359"/>
      <c r="W334" s="382"/>
      <c r="X334" s="539"/>
      <c r="Y334" s="539"/>
      <c r="Z334" s="201"/>
      <c r="AA334" s="201"/>
      <c r="AB334" s="201"/>
      <c r="AC334" s="84"/>
      <c r="AE334" s="46"/>
      <c r="AF334" s="46"/>
      <c r="AG334" s="17"/>
      <c r="AH334" s="539"/>
      <c r="AI334" s="91"/>
      <c r="AK334" s="46"/>
      <c r="AL334" s="46"/>
      <c r="AM334" s="17"/>
      <c r="AN334" s="539"/>
      <c r="AO334" s="91"/>
      <c r="AQ334" s="46"/>
      <c r="AR334" s="46"/>
      <c r="AS334" s="17"/>
      <c r="AT334" s="539"/>
      <c r="AU334" s="91"/>
      <c r="AW334" s="46"/>
      <c r="AX334" s="46"/>
      <c r="AY334" s="17"/>
      <c r="AZ334" s="539"/>
      <c r="BA334" s="91"/>
    </row>
    <row r="335" spans="1:53" ht="17.100000000000001" customHeight="1" x14ac:dyDescent="0.25">
      <c r="A335" s="68"/>
      <c r="B335" s="41" t="s">
        <v>171</v>
      </c>
      <c r="C335" s="69" t="s">
        <v>435</v>
      </c>
      <c r="D335" s="50"/>
      <c r="E335" s="70"/>
      <c r="F335" s="70"/>
      <c r="G335" s="70"/>
      <c r="H335" s="243">
        <v>42</v>
      </c>
      <c r="J335" s="71"/>
      <c r="K335" s="71"/>
      <c r="L335" s="71"/>
      <c r="M335" s="71"/>
      <c r="N335" s="71"/>
      <c r="O335" s="71"/>
      <c r="P335" s="71"/>
      <c r="Q335" s="71"/>
      <c r="R335" s="71"/>
      <c r="S335" s="71"/>
      <c r="T335" s="71"/>
      <c r="U335" s="71"/>
      <c r="V335" s="355"/>
      <c r="W335" s="377"/>
      <c r="X335" s="71"/>
      <c r="Y335" s="89"/>
      <c r="Z335" s="90"/>
      <c r="AA335" s="90"/>
      <c r="AB335" s="90"/>
      <c r="AC335" s="73"/>
      <c r="AE335" s="71"/>
      <c r="AF335" s="71"/>
      <c r="AG335" s="71"/>
      <c r="AH335" s="72"/>
      <c r="AI335" s="73"/>
      <c r="AK335" s="71"/>
      <c r="AL335" s="71"/>
      <c r="AM335" s="71"/>
      <c r="AN335" s="72"/>
      <c r="AO335" s="73"/>
      <c r="AQ335" s="71"/>
      <c r="AR335" s="71"/>
      <c r="AS335" s="71"/>
      <c r="AT335" s="72"/>
      <c r="AU335" s="73"/>
      <c r="AW335" s="71"/>
      <c r="AX335" s="71"/>
      <c r="AY335" s="71"/>
      <c r="AZ335" s="72"/>
      <c r="BA335" s="73"/>
    </row>
    <row r="336" spans="1:53" s="4" customFormat="1" ht="17.100000000000001" customHeight="1" x14ac:dyDescent="0.25">
      <c r="A336" s="40"/>
      <c r="B336" s="40"/>
      <c r="C336" s="74" t="s">
        <v>172</v>
      </c>
      <c r="D336" s="85" t="s">
        <v>173</v>
      </c>
      <c r="E336" s="105"/>
      <c r="F336" s="105"/>
      <c r="G336" s="105"/>
      <c r="H336" s="119"/>
      <c r="I336" s="231"/>
      <c r="J336" s="581"/>
      <c r="K336" s="581"/>
      <c r="L336" s="582"/>
      <c r="M336" s="593"/>
      <c r="N336" s="111"/>
      <c r="O336" s="111"/>
      <c r="P336" s="111"/>
      <c r="Q336" s="111"/>
      <c r="R336" s="111"/>
      <c r="S336" s="111"/>
      <c r="T336" s="111"/>
      <c r="U336" s="111"/>
      <c r="V336" s="358"/>
      <c r="W336" s="391">
        <f t="shared" ref="W336:W337" si="364">J336+K336+N336+Q336+T336</f>
        <v>0</v>
      </c>
      <c r="X336" s="17">
        <f t="shared" ref="X336:X337" si="365">L336+O336+R336+U336</f>
        <v>0</v>
      </c>
      <c r="Y336" s="18">
        <f>SUM(W336:X336)</f>
        <v>0</v>
      </c>
      <c r="Z336" s="19">
        <f>IF(Y$343=0,0,Y336/Y$343)</f>
        <v>0</v>
      </c>
      <c r="AA336" s="19"/>
      <c r="AB336" s="19"/>
      <c r="AC336" s="20"/>
      <c r="AE336" s="17"/>
      <c r="AF336" s="17"/>
      <c r="AG336" s="17"/>
      <c r="AH336" s="18">
        <f>J336</f>
        <v>0</v>
      </c>
      <c r="AI336" s="19">
        <f>IF(AH$343=0,0,AH336/AH$343)</f>
        <v>0</v>
      </c>
      <c r="AJ336" s="97"/>
      <c r="AK336" s="17"/>
      <c r="AL336" s="17"/>
      <c r="AM336" s="17"/>
      <c r="AN336" s="18">
        <f>K336</f>
        <v>0</v>
      </c>
      <c r="AO336" s="19">
        <f>IF(AN$343=0,0,AN336/AN$343)</f>
        <v>0</v>
      </c>
      <c r="AP336" s="97"/>
      <c r="AQ336" s="17"/>
      <c r="AR336" s="17"/>
      <c r="AS336" s="17"/>
      <c r="AT336" s="18">
        <f>W336</f>
        <v>0</v>
      </c>
      <c r="AU336" s="19">
        <f>IF(AT$343=0,0,AT336/AT$343)</f>
        <v>0</v>
      </c>
      <c r="AV336" s="97"/>
      <c r="AW336" s="17"/>
      <c r="AX336" s="17"/>
      <c r="AY336" s="17"/>
      <c r="AZ336" s="18">
        <f>X336</f>
        <v>0</v>
      </c>
      <c r="BA336" s="19">
        <f>IF(AZ$343=0,0,AZ336/AZ$343)</f>
        <v>0</v>
      </c>
    </row>
    <row r="337" spans="1:53" s="4" customFormat="1" ht="17.100000000000001" customHeight="1" x14ac:dyDescent="0.25">
      <c r="A337" s="40"/>
      <c r="B337" s="40"/>
      <c r="C337" s="74" t="s">
        <v>174</v>
      </c>
      <c r="D337" s="85" t="s">
        <v>544</v>
      </c>
      <c r="E337" s="105"/>
      <c r="F337" s="105"/>
      <c r="G337" s="105"/>
      <c r="H337" s="119"/>
      <c r="I337" s="231"/>
      <c r="J337" s="583"/>
      <c r="K337" s="583"/>
      <c r="L337" s="584"/>
      <c r="M337" s="593"/>
      <c r="N337" s="111"/>
      <c r="O337" s="111"/>
      <c r="P337" s="111"/>
      <c r="Q337" s="111"/>
      <c r="R337" s="111"/>
      <c r="S337" s="111"/>
      <c r="T337" s="111"/>
      <c r="U337" s="111"/>
      <c r="V337" s="358"/>
      <c r="W337" s="391">
        <f t="shared" si="364"/>
        <v>0</v>
      </c>
      <c r="X337" s="17">
        <f t="shared" si="365"/>
        <v>0</v>
      </c>
      <c r="Y337" s="18">
        <f>SUM(W337:X337)</f>
        <v>0</v>
      </c>
      <c r="Z337" s="19">
        <f>IF(Y$343=0,0,Y337/Y$343)</f>
        <v>0</v>
      </c>
      <c r="AA337" s="19"/>
      <c r="AB337" s="19"/>
      <c r="AC337" s="20"/>
      <c r="AE337" s="17"/>
      <c r="AF337" s="17"/>
      <c r="AG337" s="17"/>
      <c r="AH337" s="18">
        <f t="shared" ref="AH337" si="366">J337</f>
        <v>0</v>
      </c>
      <c r="AI337" s="19">
        <f>IF(AH$343=0,0,AH337/AH$343)</f>
        <v>0</v>
      </c>
      <c r="AJ337" s="97"/>
      <c r="AK337" s="17"/>
      <c r="AL337" s="17"/>
      <c r="AM337" s="17"/>
      <c r="AN337" s="18">
        <f t="shared" ref="AN337" si="367">K337</f>
        <v>0</v>
      </c>
      <c r="AO337" s="19">
        <f>IF(AN$343=0,0,AN337/AN$343)</f>
        <v>0</v>
      </c>
      <c r="AP337" s="97"/>
      <c r="AQ337" s="17"/>
      <c r="AR337" s="17"/>
      <c r="AS337" s="17"/>
      <c r="AT337" s="18">
        <f t="shared" ref="AT337" si="368">W337</f>
        <v>0</v>
      </c>
      <c r="AU337" s="19">
        <f>IF(AT$343=0,0,AT337/AT$343)</f>
        <v>0</v>
      </c>
      <c r="AV337" s="97"/>
      <c r="AW337" s="17"/>
      <c r="AX337" s="17"/>
      <c r="AY337" s="17"/>
      <c r="AZ337" s="18">
        <f>X337</f>
        <v>0</v>
      </c>
      <c r="BA337" s="19">
        <f>IF(AZ$343=0,0,AZ337/AZ$343)</f>
        <v>0</v>
      </c>
    </row>
    <row r="338" spans="1:53" s="4" customFormat="1" ht="17.100000000000001" customHeight="1" x14ac:dyDescent="0.25">
      <c r="A338" s="40"/>
      <c r="B338" s="40"/>
      <c r="C338" s="74" t="s">
        <v>175</v>
      </c>
      <c r="D338" s="146" t="s">
        <v>484</v>
      </c>
      <c r="E338" s="105"/>
      <c r="F338" s="105"/>
      <c r="G338" s="105"/>
      <c r="H338" s="119"/>
      <c r="I338" s="231"/>
      <c r="J338" s="581"/>
      <c r="K338" s="581"/>
      <c r="L338" s="582"/>
      <c r="M338" s="593"/>
      <c r="N338" s="111"/>
      <c r="O338" s="111"/>
      <c r="P338" s="111"/>
      <c r="Q338" s="111"/>
      <c r="R338" s="111"/>
      <c r="S338" s="111"/>
      <c r="T338" s="111"/>
      <c r="U338" s="111"/>
      <c r="V338" s="358"/>
      <c r="W338" s="391">
        <f>MIN(J338:K338)</f>
        <v>0</v>
      </c>
      <c r="X338" s="17">
        <f>L338</f>
        <v>0</v>
      </c>
      <c r="Y338" s="18"/>
      <c r="Z338" s="19"/>
      <c r="AA338" s="17">
        <f>MIN(J338:L338)</f>
        <v>0</v>
      </c>
      <c r="AB338" s="17"/>
      <c r="AC338" s="17"/>
      <c r="AE338" s="17">
        <f>J338</f>
        <v>0</v>
      </c>
      <c r="AF338" s="17"/>
      <c r="AG338" s="17"/>
      <c r="AH338" s="18"/>
      <c r="AI338" s="19"/>
      <c r="AJ338" s="97"/>
      <c r="AK338" s="17">
        <f>K338</f>
        <v>0</v>
      </c>
      <c r="AL338" s="17"/>
      <c r="AM338" s="17"/>
      <c r="AN338" s="18"/>
      <c r="AO338" s="19"/>
      <c r="AP338" s="97"/>
      <c r="AQ338" s="17">
        <f>W338</f>
        <v>0</v>
      </c>
      <c r="AR338" s="17"/>
      <c r="AS338" s="17"/>
      <c r="AT338" s="18"/>
      <c r="AU338" s="19"/>
      <c r="AV338" s="97"/>
      <c r="AW338" s="17">
        <f>L338</f>
        <v>0</v>
      </c>
      <c r="AX338" s="17"/>
      <c r="AY338" s="17"/>
      <c r="AZ338" s="18"/>
      <c r="BA338" s="19"/>
    </row>
    <row r="339" spans="1:53" s="4" customFormat="1" ht="17.100000000000001" customHeight="1" x14ac:dyDescent="0.25">
      <c r="A339" s="40"/>
      <c r="B339" s="40"/>
      <c r="C339" s="74" t="s">
        <v>176</v>
      </c>
      <c r="D339" s="146" t="s">
        <v>485</v>
      </c>
      <c r="E339" s="105"/>
      <c r="F339" s="105"/>
      <c r="G339" s="105"/>
      <c r="H339" s="119"/>
      <c r="I339" s="231"/>
      <c r="J339" s="583"/>
      <c r="K339" s="583"/>
      <c r="L339" s="584"/>
      <c r="M339" s="593"/>
      <c r="N339" s="111"/>
      <c r="O339" s="111"/>
      <c r="P339" s="111"/>
      <c r="Q339" s="111"/>
      <c r="R339" s="111"/>
      <c r="S339" s="111"/>
      <c r="T339" s="111"/>
      <c r="U339" s="111"/>
      <c r="V339" s="358"/>
      <c r="W339" s="391">
        <f>MAX(J339:K339)</f>
        <v>0</v>
      </c>
      <c r="X339" s="17">
        <f t="shared" ref="X339:X340" si="369">L339</f>
        <v>0</v>
      </c>
      <c r="Y339" s="18"/>
      <c r="Z339" s="19"/>
      <c r="AA339" s="17"/>
      <c r="AB339" s="17">
        <f>MAX(J339:L339)</f>
        <v>0</v>
      </c>
      <c r="AC339" s="17"/>
      <c r="AE339" s="17"/>
      <c r="AF339" s="17">
        <f>J339</f>
        <v>0</v>
      </c>
      <c r="AG339" s="17"/>
      <c r="AH339" s="18"/>
      <c r="AI339" s="19"/>
      <c r="AJ339" s="97"/>
      <c r="AK339" s="17"/>
      <c r="AL339" s="17">
        <f>K339</f>
        <v>0</v>
      </c>
      <c r="AM339" s="17"/>
      <c r="AN339" s="18"/>
      <c r="AO339" s="19"/>
      <c r="AP339" s="97"/>
      <c r="AQ339" s="17"/>
      <c r="AR339" s="17">
        <f>W339</f>
        <v>0</v>
      </c>
      <c r="AS339" s="17"/>
      <c r="AT339" s="18"/>
      <c r="AU339" s="19"/>
      <c r="AV339" s="97"/>
      <c r="AW339" s="17"/>
      <c r="AX339" s="17">
        <f>L339</f>
        <v>0</v>
      </c>
      <c r="AY339" s="17"/>
      <c r="AZ339" s="18"/>
      <c r="BA339" s="19"/>
    </row>
    <row r="340" spans="1:53" s="4" customFormat="1" ht="17.100000000000001" customHeight="1" x14ac:dyDescent="0.25">
      <c r="A340" s="40"/>
      <c r="B340" s="40"/>
      <c r="C340" s="74" t="s">
        <v>177</v>
      </c>
      <c r="D340" s="146" t="s">
        <v>543</v>
      </c>
      <c r="E340" s="105"/>
      <c r="F340" s="105"/>
      <c r="G340" s="105"/>
      <c r="H340" s="119"/>
      <c r="I340" s="231"/>
      <c r="J340" s="581"/>
      <c r="K340" s="581"/>
      <c r="L340" s="582"/>
      <c r="M340" s="593"/>
      <c r="N340" s="111"/>
      <c r="O340" s="111"/>
      <c r="P340" s="111"/>
      <c r="Q340" s="111"/>
      <c r="R340" s="111"/>
      <c r="S340" s="111"/>
      <c r="T340" s="111"/>
      <c r="U340" s="111"/>
      <c r="V340" s="358"/>
      <c r="W340" s="391">
        <f>IF(SUM(J340:K340)=0,0,AVERAGE(J340:K340))</f>
        <v>0</v>
      </c>
      <c r="X340" s="17">
        <f t="shared" si="369"/>
        <v>0</v>
      </c>
      <c r="Y340" s="18"/>
      <c r="Z340" s="19"/>
      <c r="AA340" s="17"/>
      <c r="AB340" s="17"/>
      <c r="AC340" s="17">
        <f>IF(SUM(J340:L340)=0,0,AVERAGE(J340:L340))</f>
        <v>0</v>
      </c>
      <c r="AE340" s="17"/>
      <c r="AF340" s="17"/>
      <c r="AG340" s="17">
        <f>J340</f>
        <v>0</v>
      </c>
      <c r="AH340" s="18"/>
      <c r="AI340" s="19"/>
      <c r="AJ340" s="97"/>
      <c r="AK340" s="17"/>
      <c r="AL340" s="17"/>
      <c r="AM340" s="17">
        <f>K340</f>
        <v>0</v>
      </c>
      <c r="AN340" s="18"/>
      <c r="AO340" s="19"/>
      <c r="AP340" s="97"/>
      <c r="AQ340" s="17"/>
      <c r="AR340" s="17"/>
      <c r="AS340" s="17">
        <f>W340</f>
        <v>0</v>
      </c>
      <c r="AT340" s="18"/>
      <c r="AU340" s="19"/>
      <c r="AV340" s="97"/>
      <c r="AW340" s="17"/>
      <c r="AX340" s="17"/>
      <c r="AY340" s="17">
        <f>L340</f>
        <v>0</v>
      </c>
      <c r="AZ340" s="18"/>
      <c r="BA340" s="19"/>
    </row>
    <row r="341" spans="1:53" s="4" customFormat="1" ht="17.100000000000001" customHeight="1" x14ac:dyDescent="0.25">
      <c r="A341" s="40"/>
      <c r="B341" s="40"/>
      <c r="C341" s="74" t="s">
        <v>178</v>
      </c>
      <c r="D341" s="75" t="s">
        <v>129</v>
      </c>
      <c r="E341" s="105"/>
      <c r="F341" s="105"/>
      <c r="G341" s="105"/>
      <c r="H341" s="119"/>
      <c r="I341" s="231"/>
      <c r="J341" s="583"/>
      <c r="K341" s="583"/>
      <c r="L341" s="584"/>
      <c r="M341" s="593"/>
      <c r="N341" s="111"/>
      <c r="O341" s="111"/>
      <c r="P341" s="111"/>
      <c r="Q341" s="111"/>
      <c r="R341" s="111"/>
      <c r="S341" s="111"/>
      <c r="T341" s="111"/>
      <c r="U341" s="111"/>
      <c r="V341" s="358"/>
      <c r="W341" s="391">
        <f t="shared" ref="W341:W342" si="370">J341+K341+N341+Q341+T341</f>
        <v>0</v>
      </c>
      <c r="X341" s="17">
        <f t="shared" ref="X341:X342" si="371">L341+O341+R341+U341</f>
        <v>0</v>
      </c>
      <c r="Y341" s="18">
        <f>SUM(W341:X341)</f>
        <v>0</v>
      </c>
      <c r="Z341" s="19">
        <f>IF(Y$343=0,0,Y341/Y$343)</f>
        <v>0</v>
      </c>
      <c r="AA341" s="19"/>
      <c r="AB341" s="19"/>
      <c r="AC341" s="20"/>
      <c r="AE341" s="17"/>
      <c r="AF341" s="17"/>
      <c r="AG341" s="17"/>
      <c r="AH341" s="18">
        <f t="shared" ref="AH341:AH342" si="372">J341</f>
        <v>0</v>
      </c>
      <c r="AI341" s="19">
        <f>IF(AH$343=0,0,AH341/AH$343)</f>
        <v>0</v>
      </c>
      <c r="AJ341" s="97"/>
      <c r="AK341" s="17"/>
      <c r="AL341" s="17"/>
      <c r="AM341" s="17"/>
      <c r="AN341" s="18">
        <f t="shared" ref="AN341:AN342" si="373">K341</f>
        <v>0</v>
      </c>
      <c r="AO341" s="19">
        <f>IF(AN$343=0,0,AN341/AN$343)</f>
        <v>0</v>
      </c>
      <c r="AP341" s="97"/>
      <c r="AQ341" s="17"/>
      <c r="AR341" s="17"/>
      <c r="AS341" s="17"/>
      <c r="AT341" s="18">
        <f t="shared" ref="AT341:AT342" si="374">W341</f>
        <v>0</v>
      </c>
      <c r="AU341" s="19">
        <f>IF(AT$343=0,0,AT341/AT$343)</f>
        <v>0</v>
      </c>
      <c r="AV341" s="97"/>
      <c r="AW341" s="17"/>
      <c r="AX341" s="17"/>
      <c r="AY341" s="17"/>
      <c r="AZ341" s="18">
        <f>X341</f>
        <v>0</v>
      </c>
      <c r="BA341" s="19">
        <f>IF(AZ$343=0,0,AZ341/AZ$343)</f>
        <v>0</v>
      </c>
    </row>
    <row r="342" spans="1:53" s="4" customFormat="1" ht="17.100000000000001" customHeight="1" x14ac:dyDescent="0.25">
      <c r="A342" s="40"/>
      <c r="B342" s="40"/>
      <c r="C342" s="74" t="s">
        <v>179</v>
      </c>
      <c r="D342" s="75" t="s">
        <v>530</v>
      </c>
      <c r="E342" s="75"/>
      <c r="F342" s="75"/>
      <c r="G342" s="75"/>
      <c r="H342" s="540"/>
      <c r="I342" s="229"/>
      <c r="J342" s="581"/>
      <c r="K342" s="581"/>
      <c r="L342" s="582"/>
      <c r="M342" s="593"/>
      <c r="N342" s="111"/>
      <c r="O342" s="111"/>
      <c r="P342" s="111"/>
      <c r="Q342" s="111"/>
      <c r="R342" s="111"/>
      <c r="S342" s="111"/>
      <c r="T342" s="111"/>
      <c r="U342" s="111"/>
      <c r="V342" s="358"/>
      <c r="W342" s="391">
        <f t="shared" si="370"/>
        <v>0</v>
      </c>
      <c r="X342" s="17">
        <f t="shared" si="371"/>
        <v>0</v>
      </c>
      <c r="Y342" s="18">
        <f>SUM(W342:X342)</f>
        <v>0</v>
      </c>
      <c r="Z342" s="19">
        <f>IF(Y$343=0,0,Y342/Y$343)</f>
        <v>0</v>
      </c>
      <c r="AA342" s="19"/>
      <c r="AB342" s="19"/>
      <c r="AC342" s="20"/>
      <c r="AE342" s="17"/>
      <c r="AF342" s="17"/>
      <c r="AG342" s="17"/>
      <c r="AH342" s="18">
        <f t="shared" si="372"/>
        <v>0</v>
      </c>
      <c r="AI342" s="19">
        <f>IF(AH$343=0,0,AH342/AH$343)</f>
        <v>0</v>
      </c>
      <c r="AJ342" s="97"/>
      <c r="AK342" s="17"/>
      <c r="AL342" s="17"/>
      <c r="AM342" s="17"/>
      <c r="AN342" s="18">
        <f t="shared" si="373"/>
        <v>0</v>
      </c>
      <c r="AO342" s="19">
        <f>IF(AN$343=0,0,AN342/AN$343)</f>
        <v>0</v>
      </c>
      <c r="AP342" s="97"/>
      <c r="AQ342" s="17"/>
      <c r="AR342" s="17"/>
      <c r="AS342" s="17"/>
      <c r="AT342" s="18">
        <f t="shared" si="374"/>
        <v>0</v>
      </c>
      <c r="AU342" s="19">
        <f>IF(AT$343=0,0,AT342/AT$343)</f>
        <v>0</v>
      </c>
      <c r="AV342" s="97"/>
      <c r="AW342" s="17"/>
      <c r="AX342" s="17"/>
      <c r="AY342" s="17"/>
      <c r="AZ342" s="18">
        <f>X342</f>
        <v>0</v>
      </c>
      <c r="BA342" s="19">
        <f>IF(AZ$343=0,0,AZ342/AZ$343)</f>
        <v>0</v>
      </c>
    </row>
    <row r="343" spans="1:53" s="4" customFormat="1" ht="17.100000000000001" customHeight="1" x14ac:dyDescent="0.25">
      <c r="A343" s="175"/>
      <c r="B343" s="40"/>
      <c r="C343" s="77"/>
      <c r="D343" s="134"/>
      <c r="E343" s="134"/>
      <c r="F343" s="134"/>
      <c r="G343" s="134"/>
      <c r="H343" s="540"/>
      <c r="I343" s="12"/>
      <c r="J343" s="80">
        <f>J336+J337+J341+J342</f>
        <v>0</v>
      </c>
      <c r="K343" s="80">
        <f t="shared" ref="K343:M343" si="375">K336+K337+K341+K342</f>
        <v>0</v>
      </c>
      <c r="L343" s="80">
        <f t="shared" si="375"/>
        <v>0</v>
      </c>
      <c r="M343" s="80">
        <f t="shared" si="375"/>
        <v>0</v>
      </c>
      <c r="N343" s="81"/>
      <c r="O343" s="81"/>
      <c r="P343" s="81"/>
      <c r="Q343" s="81"/>
      <c r="R343" s="81"/>
      <c r="S343" s="81"/>
      <c r="T343" s="81"/>
      <c r="U343" s="81"/>
      <c r="V343" s="356"/>
      <c r="W343" s="381">
        <f>W336+W337+W341+W342</f>
        <v>0</v>
      </c>
      <c r="X343" s="82">
        <f>X336+X337+X341+X342</f>
        <v>0</v>
      </c>
      <c r="Y343" s="82">
        <f t="shared" ref="Y343" si="376">SUM(Y336:Y342)</f>
        <v>0</v>
      </c>
      <c r="Z343" s="205">
        <f>IF(Y$343=0,0,Y343/Y$343)</f>
        <v>0</v>
      </c>
      <c r="AA343" s="205"/>
      <c r="AB343" s="205"/>
      <c r="AC343" s="83"/>
      <c r="AE343" s="80"/>
      <c r="AF343" s="80"/>
      <c r="AG343" s="81"/>
      <c r="AH343" s="82">
        <f>SUM(AH336:AH342)</f>
        <v>0</v>
      </c>
      <c r="AI343" s="66">
        <f>IF(AH$343=0,0,AH343/AH$343)</f>
        <v>0</v>
      </c>
      <c r="AJ343" s="97"/>
      <c r="AK343" s="80"/>
      <c r="AL343" s="80"/>
      <c r="AM343" s="81"/>
      <c r="AN343" s="82">
        <f>SUM(AN336:AN342)</f>
        <v>0</v>
      </c>
      <c r="AO343" s="66">
        <f>IF(AN$343=0,0,AN343/AN$343)</f>
        <v>0</v>
      </c>
      <c r="AP343" s="97"/>
      <c r="AQ343" s="80"/>
      <c r="AR343" s="80"/>
      <c r="AS343" s="81"/>
      <c r="AT343" s="82">
        <f>SUM(AT336:AT342)</f>
        <v>0</v>
      </c>
      <c r="AU343" s="66">
        <f>IF(AT$343=0,0,AT343/AT$343)</f>
        <v>0</v>
      </c>
      <c r="AV343" s="97"/>
      <c r="AW343" s="80"/>
      <c r="AX343" s="80"/>
      <c r="AY343" s="81"/>
      <c r="AZ343" s="82">
        <f>SUM(AZ336:AZ342)</f>
        <v>0</v>
      </c>
      <c r="BA343" s="66">
        <f>IF(AZ$343=0,0,AZ343/AZ$343)</f>
        <v>0</v>
      </c>
    </row>
    <row r="344" spans="1:53" s="117" customFormat="1" ht="17.100000000000001" customHeight="1" x14ac:dyDescent="0.25">
      <c r="A344" s="68"/>
      <c r="B344" s="119"/>
      <c r="C344" s="540"/>
      <c r="D344" s="261"/>
      <c r="E344" s="261"/>
      <c r="F344" s="68"/>
      <c r="G344" s="68"/>
      <c r="H344" s="119"/>
      <c r="I344" s="138"/>
      <c r="J344" s="17" t="str">
        <f>IF(J343=J$15,"OK","NOK")</f>
        <v>OK</v>
      </c>
      <c r="K344" s="17" t="str">
        <f t="shared" ref="K344:L344" si="377">IF(K343=K$15,"OK","NOK")</f>
        <v>OK</v>
      </c>
      <c r="L344" s="17" t="str">
        <f t="shared" si="377"/>
        <v>OK</v>
      </c>
      <c r="M344" s="17"/>
      <c r="N344" s="17"/>
      <c r="O344" s="17"/>
      <c r="P344" s="17"/>
      <c r="Q344" s="17"/>
      <c r="R344" s="17"/>
      <c r="S344" s="17"/>
      <c r="T344" s="17"/>
      <c r="U344" s="17"/>
      <c r="V344" s="359"/>
      <c r="W344" s="382"/>
      <c r="X344" s="539"/>
      <c r="Y344" s="539"/>
      <c r="Z344" s="201"/>
      <c r="AA344" s="201"/>
      <c r="AB344" s="201"/>
      <c r="AC344" s="84"/>
      <c r="AE344" s="46"/>
      <c r="AF344" s="46"/>
      <c r="AG344" s="17"/>
      <c r="AH344" s="539"/>
      <c r="AI344" s="91"/>
      <c r="AK344" s="46"/>
      <c r="AL344" s="46"/>
      <c r="AM344" s="17"/>
      <c r="AN344" s="539"/>
      <c r="AO344" s="91"/>
      <c r="AQ344" s="46"/>
      <c r="AR344" s="46"/>
      <c r="AS344" s="17"/>
      <c r="AT344" s="539"/>
      <c r="AU344" s="91"/>
      <c r="AW344" s="46"/>
      <c r="AX344" s="46"/>
      <c r="AY344" s="17"/>
      <c r="AZ344" s="539"/>
      <c r="BA344" s="91"/>
    </row>
    <row r="345" spans="1:53" ht="17.100000000000001" customHeight="1" x14ac:dyDescent="0.25">
      <c r="A345" s="68"/>
      <c r="B345" s="41" t="s">
        <v>180</v>
      </c>
      <c r="C345" s="69" t="s">
        <v>436</v>
      </c>
      <c r="D345" s="50"/>
      <c r="E345" s="70"/>
      <c r="F345" s="70"/>
      <c r="G345" s="70"/>
      <c r="H345" s="243">
        <v>43</v>
      </c>
      <c r="J345" s="71"/>
      <c r="K345" s="71"/>
      <c r="L345" s="71"/>
      <c r="M345" s="71"/>
      <c r="N345" s="71"/>
      <c r="O345" s="71"/>
      <c r="P345" s="71"/>
      <c r="Q345" s="71"/>
      <c r="R345" s="71"/>
      <c r="S345" s="71"/>
      <c r="T345" s="71"/>
      <c r="U345" s="71"/>
      <c r="V345" s="355"/>
      <c r="W345" s="377"/>
      <c r="X345" s="71"/>
      <c r="Y345" s="72"/>
      <c r="Z345" s="73"/>
      <c r="AA345" s="73"/>
      <c r="AB345" s="73"/>
      <c r="AC345" s="73"/>
      <c r="AE345" s="71"/>
      <c r="AF345" s="71"/>
      <c r="AG345" s="71"/>
      <c r="AH345" s="72"/>
      <c r="AI345" s="73"/>
      <c r="AK345" s="71"/>
      <c r="AL345" s="71"/>
      <c r="AM345" s="71"/>
      <c r="AN345" s="72"/>
      <c r="AO345" s="73"/>
      <c r="AQ345" s="71"/>
      <c r="AR345" s="71"/>
      <c r="AS345" s="71"/>
      <c r="AT345" s="72"/>
      <c r="AU345" s="73"/>
      <c r="AW345" s="71"/>
      <c r="AX345" s="71"/>
      <c r="AY345" s="71"/>
      <c r="AZ345" s="72"/>
      <c r="BA345" s="73"/>
    </row>
    <row r="346" spans="1:53" s="4" customFormat="1" ht="17.100000000000001" customHeight="1" x14ac:dyDescent="0.25">
      <c r="A346" s="40"/>
      <c r="B346" s="40"/>
      <c r="C346" s="74" t="s">
        <v>440</v>
      </c>
      <c r="D346" s="85" t="s">
        <v>162</v>
      </c>
      <c r="E346" s="75"/>
      <c r="F346" s="75"/>
      <c r="G346" s="75"/>
      <c r="H346" s="540"/>
      <c r="I346" s="229"/>
      <c r="J346" s="581"/>
      <c r="K346" s="581"/>
      <c r="L346" s="582"/>
      <c r="M346" s="593">
        <f t="shared" ref="M346:M353" si="378">SUM(J346:L346)</f>
        <v>0</v>
      </c>
      <c r="N346" s="111"/>
      <c r="O346" s="111"/>
      <c r="P346" s="111"/>
      <c r="Q346" s="111"/>
      <c r="R346" s="111"/>
      <c r="S346" s="111"/>
      <c r="T346" s="111"/>
      <c r="U346" s="111"/>
      <c r="V346" s="358"/>
      <c r="W346" s="391">
        <f t="shared" ref="W346:W353" si="379">J346+K346+N346+Q346+T346</f>
        <v>0</v>
      </c>
      <c r="X346" s="17">
        <f t="shared" ref="X346:X353" si="380">L346+O346+R346+U346</f>
        <v>0</v>
      </c>
      <c r="Y346" s="18">
        <f t="shared" ref="Y346:Y353" si="381">SUM(W346:X346)</f>
        <v>0</v>
      </c>
      <c r="Z346" s="19">
        <f t="shared" ref="Z346:Z353" si="382">IF(Y$354=0,0,Y346/Y$354)</f>
        <v>0</v>
      </c>
      <c r="AA346" s="19"/>
      <c r="AB346" s="19"/>
      <c r="AC346" s="20"/>
      <c r="AE346" s="17"/>
      <c r="AF346" s="17"/>
      <c r="AG346" s="17"/>
      <c r="AH346" s="18">
        <f t="shared" ref="AH346:AH353" si="383">J346</f>
        <v>0</v>
      </c>
      <c r="AI346" s="19">
        <f t="shared" ref="AI346:AI353" si="384">IF(AH$354=0,0,AH346/AH$354)</f>
        <v>0</v>
      </c>
      <c r="AJ346" s="97"/>
      <c r="AK346" s="17"/>
      <c r="AL346" s="17"/>
      <c r="AM346" s="17"/>
      <c r="AN346" s="18">
        <f t="shared" ref="AN346:AN353" si="385">K346</f>
        <v>0</v>
      </c>
      <c r="AO346" s="19">
        <f t="shared" ref="AO346:AO353" si="386">IF(AN$354=0,0,AN346/AN$354)</f>
        <v>0</v>
      </c>
      <c r="AP346" s="97"/>
      <c r="AQ346" s="17"/>
      <c r="AR346" s="17"/>
      <c r="AS346" s="17"/>
      <c r="AT346" s="18">
        <f t="shared" ref="AT346:AT353" si="387">W346</f>
        <v>0</v>
      </c>
      <c r="AU346" s="19">
        <f t="shared" ref="AU346:AU353" si="388">IF(AT$354=0,0,AT346/AT$354)</f>
        <v>0</v>
      </c>
      <c r="AV346" s="97"/>
      <c r="AW346" s="17"/>
      <c r="AX346" s="17"/>
      <c r="AY346" s="17"/>
      <c r="AZ346" s="18">
        <f t="shared" ref="AZ346:AZ353" si="389">X346</f>
        <v>0</v>
      </c>
      <c r="BA346" s="19">
        <f t="shared" ref="BA346:BA353" si="390">IF(AZ$354=0,0,AZ346/AZ$354)</f>
        <v>0</v>
      </c>
    </row>
    <row r="347" spans="1:53" s="4" customFormat="1" ht="17.100000000000001" customHeight="1" x14ac:dyDescent="0.25">
      <c r="A347" s="40"/>
      <c r="B347" s="40"/>
      <c r="C347" s="74" t="s">
        <v>441</v>
      </c>
      <c r="D347" s="85" t="s">
        <v>165</v>
      </c>
      <c r="E347" s="75"/>
      <c r="F347" s="75"/>
      <c r="G347" s="75"/>
      <c r="H347" s="540"/>
      <c r="I347" s="229"/>
      <c r="J347" s="583"/>
      <c r="K347" s="583"/>
      <c r="L347" s="584"/>
      <c r="M347" s="593">
        <f t="shared" si="378"/>
        <v>0</v>
      </c>
      <c r="N347" s="111"/>
      <c r="O347" s="111"/>
      <c r="P347" s="111"/>
      <c r="Q347" s="111"/>
      <c r="R347" s="111"/>
      <c r="S347" s="111"/>
      <c r="T347" s="111"/>
      <c r="U347" s="111"/>
      <c r="V347" s="358"/>
      <c r="W347" s="391">
        <f t="shared" si="379"/>
        <v>0</v>
      </c>
      <c r="X347" s="17">
        <f t="shared" si="380"/>
        <v>0</v>
      </c>
      <c r="Y347" s="18">
        <f t="shared" si="381"/>
        <v>0</v>
      </c>
      <c r="Z347" s="19">
        <f t="shared" si="382"/>
        <v>0</v>
      </c>
      <c r="AA347" s="19"/>
      <c r="AB347" s="19"/>
      <c r="AC347" s="20"/>
      <c r="AE347" s="17"/>
      <c r="AF347" s="17"/>
      <c r="AG347" s="17"/>
      <c r="AH347" s="18">
        <f t="shared" si="383"/>
        <v>0</v>
      </c>
      <c r="AI347" s="19">
        <f t="shared" si="384"/>
        <v>0</v>
      </c>
      <c r="AJ347" s="97"/>
      <c r="AK347" s="17"/>
      <c r="AL347" s="17"/>
      <c r="AM347" s="17"/>
      <c r="AN347" s="18">
        <f t="shared" si="385"/>
        <v>0</v>
      </c>
      <c r="AO347" s="19">
        <f t="shared" si="386"/>
        <v>0</v>
      </c>
      <c r="AP347" s="97"/>
      <c r="AQ347" s="17"/>
      <c r="AR347" s="17"/>
      <c r="AS347" s="17"/>
      <c r="AT347" s="18">
        <f t="shared" si="387"/>
        <v>0</v>
      </c>
      <c r="AU347" s="19">
        <f t="shared" si="388"/>
        <v>0</v>
      </c>
      <c r="AV347" s="97"/>
      <c r="AW347" s="17"/>
      <c r="AX347" s="17"/>
      <c r="AY347" s="17"/>
      <c r="AZ347" s="18">
        <f t="shared" si="389"/>
        <v>0</v>
      </c>
      <c r="BA347" s="19">
        <f t="shared" si="390"/>
        <v>0</v>
      </c>
    </row>
    <row r="348" spans="1:53" s="4" customFormat="1" ht="17.100000000000001" customHeight="1" x14ac:dyDescent="0.25">
      <c r="A348" s="40"/>
      <c r="B348" s="40"/>
      <c r="C348" s="74" t="s">
        <v>442</v>
      </c>
      <c r="D348" s="85" t="s">
        <v>167</v>
      </c>
      <c r="E348" s="75"/>
      <c r="F348" s="75"/>
      <c r="G348" s="75"/>
      <c r="H348" s="540"/>
      <c r="I348" s="229"/>
      <c r="J348" s="581"/>
      <c r="K348" s="581"/>
      <c r="L348" s="582"/>
      <c r="M348" s="593">
        <f t="shared" si="378"/>
        <v>0</v>
      </c>
      <c r="N348" s="111"/>
      <c r="O348" s="111"/>
      <c r="P348" s="111"/>
      <c r="Q348" s="111"/>
      <c r="R348" s="111"/>
      <c r="S348" s="111"/>
      <c r="T348" s="111"/>
      <c r="U348" s="111"/>
      <c r="V348" s="358"/>
      <c r="W348" s="391">
        <f t="shared" si="379"/>
        <v>0</v>
      </c>
      <c r="X348" s="17">
        <f t="shared" si="380"/>
        <v>0</v>
      </c>
      <c r="Y348" s="18">
        <f t="shared" si="381"/>
        <v>0</v>
      </c>
      <c r="Z348" s="19">
        <f t="shared" si="382"/>
        <v>0</v>
      </c>
      <c r="AA348" s="19"/>
      <c r="AB348" s="19"/>
      <c r="AC348" s="20"/>
      <c r="AE348" s="17"/>
      <c r="AF348" s="17"/>
      <c r="AG348" s="17"/>
      <c r="AH348" s="18">
        <f t="shared" si="383"/>
        <v>0</v>
      </c>
      <c r="AI348" s="19">
        <f t="shared" si="384"/>
        <v>0</v>
      </c>
      <c r="AJ348" s="97"/>
      <c r="AK348" s="17"/>
      <c r="AL348" s="17"/>
      <c r="AM348" s="17"/>
      <c r="AN348" s="18">
        <f t="shared" si="385"/>
        <v>0</v>
      </c>
      <c r="AO348" s="19">
        <f t="shared" si="386"/>
        <v>0</v>
      </c>
      <c r="AP348" s="97"/>
      <c r="AQ348" s="17"/>
      <c r="AR348" s="17"/>
      <c r="AS348" s="17"/>
      <c r="AT348" s="18">
        <f t="shared" si="387"/>
        <v>0</v>
      </c>
      <c r="AU348" s="19">
        <f t="shared" si="388"/>
        <v>0</v>
      </c>
      <c r="AV348" s="97"/>
      <c r="AW348" s="17"/>
      <c r="AX348" s="17"/>
      <c r="AY348" s="17"/>
      <c r="AZ348" s="18">
        <f t="shared" si="389"/>
        <v>0</v>
      </c>
      <c r="BA348" s="19">
        <f t="shared" si="390"/>
        <v>0</v>
      </c>
    </row>
    <row r="349" spans="1:53" s="4" customFormat="1" ht="17.100000000000001" customHeight="1" x14ac:dyDescent="0.25">
      <c r="A349" s="40"/>
      <c r="B349" s="40"/>
      <c r="C349" s="74" t="s">
        <v>443</v>
      </c>
      <c r="D349" s="85" t="s">
        <v>437</v>
      </c>
      <c r="E349" s="75"/>
      <c r="F349" s="75"/>
      <c r="G349" s="75"/>
      <c r="H349" s="540"/>
      <c r="I349" s="229"/>
      <c r="J349" s="583"/>
      <c r="K349" s="583"/>
      <c r="L349" s="584"/>
      <c r="M349" s="593">
        <f t="shared" si="378"/>
        <v>0</v>
      </c>
      <c r="N349" s="111"/>
      <c r="O349" s="111"/>
      <c r="P349" s="111"/>
      <c r="Q349" s="111"/>
      <c r="R349" s="111"/>
      <c r="S349" s="111"/>
      <c r="T349" s="111"/>
      <c r="U349" s="111"/>
      <c r="V349" s="358"/>
      <c r="W349" s="391">
        <f t="shared" si="379"/>
        <v>0</v>
      </c>
      <c r="X349" s="17">
        <f t="shared" si="380"/>
        <v>0</v>
      </c>
      <c r="Y349" s="18">
        <f t="shared" si="381"/>
        <v>0</v>
      </c>
      <c r="Z349" s="19">
        <f t="shared" si="382"/>
        <v>0</v>
      </c>
      <c r="AA349" s="19"/>
      <c r="AB349" s="19"/>
      <c r="AC349" s="20"/>
      <c r="AE349" s="17"/>
      <c r="AF349" s="17"/>
      <c r="AG349" s="17"/>
      <c r="AH349" s="18">
        <f t="shared" si="383"/>
        <v>0</v>
      </c>
      <c r="AI349" s="19">
        <f t="shared" si="384"/>
        <v>0</v>
      </c>
      <c r="AJ349" s="97"/>
      <c r="AK349" s="17"/>
      <c r="AL349" s="17"/>
      <c r="AM349" s="17"/>
      <c r="AN349" s="18">
        <f t="shared" si="385"/>
        <v>0</v>
      </c>
      <c r="AO349" s="19">
        <f t="shared" si="386"/>
        <v>0</v>
      </c>
      <c r="AP349" s="97"/>
      <c r="AQ349" s="17"/>
      <c r="AR349" s="17"/>
      <c r="AS349" s="17"/>
      <c r="AT349" s="18">
        <f t="shared" si="387"/>
        <v>0</v>
      </c>
      <c r="AU349" s="19">
        <f t="shared" si="388"/>
        <v>0</v>
      </c>
      <c r="AV349" s="97"/>
      <c r="AW349" s="17"/>
      <c r="AX349" s="17"/>
      <c r="AY349" s="17"/>
      <c r="AZ349" s="18">
        <f t="shared" si="389"/>
        <v>0</v>
      </c>
      <c r="BA349" s="19">
        <f t="shared" si="390"/>
        <v>0</v>
      </c>
    </row>
    <row r="350" spans="1:53" s="4" customFormat="1" ht="17.100000000000001" customHeight="1" x14ac:dyDescent="0.25">
      <c r="A350" s="40"/>
      <c r="B350" s="40"/>
      <c r="C350" s="74" t="s">
        <v>444</v>
      </c>
      <c r="D350" s="85" t="s">
        <v>438</v>
      </c>
      <c r="E350" s="542"/>
      <c r="F350" s="542"/>
      <c r="G350" s="542"/>
      <c r="H350" s="540"/>
      <c r="I350" s="235"/>
      <c r="J350" s="581"/>
      <c r="K350" s="581"/>
      <c r="L350" s="582"/>
      <c r="M350" s="593">
        <f t="shared" si="378"/>
        <v>0</v>
      </c>
      <c r="N350" s="111"/>
      <c r="O350" s="111"/>
      <c r="P350" s="111"/>
      <c r="Q350" s="111"/>
      <c r="R350" s="111"/>
      <c r="S350" s="111"/>
      <c r="T350" s="111"/>
      <c r="U350" s="111"/>
      <c r="V350" s="358"/>
      <c r="W350" s="391">
        <f t="shared" si="379"/>
        <v>0</v>
      </c>
      <c r="X350" s="17">
        <f t="shared" si="380"/>
        <v>0</v>
      </c>
      <c r="Y350" s="18">
        <f t="shared" si="381"/>
        <v>0</v>
      </c>
      <c r="Z350" s="19">
        <f t="shared" si="382"/>
        <v>0</v>
      </c>
      <c r="AA350" s="19"/>
      <c r="AB350" s="19"/>
      <c r="AC350" s="20"/>
      <c r="AE350" s="17"/>
      <c r="AF350" s="17"/>
      <c r="AG350" s="17"/>
      <c r="AH350" s="18">
        <f t="shared" si="383"/>
        <v>0</v>
      </c>
      <c r="AI350" s="19">
        <f t="shared" si="384"/>
        <v>0</v>
      </c>
      <c r="AJ350" s="97"/>
      <c r="AK350" s="17"/>
      <c r="AL350" s="17"/>
      <c r="AM350" s="17"/>
      <c r="AN350" s="18">
        <f t="shared" si="385"/>
        <v>0</v>
      </c>
      <c r="AO350" s="19">
        <f t="shared" si="386"/>
        <v>0</v>
      </c>
      <c r="AP350" s="97"/>
      <c r="AQ350" s="17"/>
      <c r="AR350" s="17"/>
      <c r="AS350" s="17"/>
      <c r="AT350" s="18">
        <f t="shared" si="387"/>
        <v>0</v>
      </c>
      <c r="AU350" s="19">
        <f t="shared" si="388"/>
        <v>0</v>
      </c>
      <c r="AV350" s="97"/>
      <c r="AW350" s="17"/>
      <c r="AX350" s="17"/>
      <c r="AY350" s="17"/>
      <c r="AZ350" s="18">
        <f t="shared" si="389"/>
        <v>0</v>
      </c>
      <c r="BA350" s="19">
        <f t="shared" si="390"/>
        <v>0</v>
      </c>
    </row>
    <row r="351" spans="1:53" s="4" customFormat="1" ht="17.100000000000001" customHeight="1" x14ac:dyDescent="0.25">
      <c r="A351" s="40"/>
      <c r="B351" s="40"/>
      <c r="C351" s="74" t="s">
        <v>445</v>
      </c>
      <c r="D351" s="85" t="s">
        <v>439</v>
      </c>
      <c r="E351" s="542"/>
      <c r="F351" s="542"/>
      <c r="G351" s="542"/>
      <c r="H351" s="540"/>
      <c r="I351" s="235"/>
      <c r="J351" s="583"/>
      <c r="K351" s="583"/>
      <c r="L351" s="584"/>
      <c r="M351" s="593">
        <f t="shared" si="378"/>
        <v>0</v>
      </c>
      <c r="N351" s="111"/>
      <c r="O351" s="111"/>
      <c r="P351" s="111"/>
      <c r="Q351" s="111"/>
      <c r="R351" s="111"/>
      <c r="S351" s="111"/>
      <c r="T351" s="111"/>
      <c r="U351" s="111"/>
      <c r="V351" s="358"/>
      <c r="W351" s="391">
        <f t="shared" si="379"/>
        <v>0</v>
      </c>
      <c r="X351" s="17">
        <f t="shared" si="380"/>
        <v>0</v>
      </c>
      <c r="Y351" s="18">
        <f t="shared" si="381"/>
        <v>0</v>
      </c>
      <c r="Z351" s="19">
        <f t="shared" si="382"/>
        <v>0</v>
      </c>
      <c r="AA351" s="19"/>
      <c r="AB351" s="19"/>
      <c r="AC351" s="20"/>
      <c r="AE351" s="17"/>
      <c r="AF351" s="17"/>
      <c r="AG351" s="17"/>
      <c r="AH351" s="18">
        <f t="shared" si="383"/>
        <v>0</v>
      </c>
      <c r="AI351" s="19">
        <f t="shared" si="384"/>
        <v>0</v>
      </c>
      <c r="AJ351" s="97"/>
      <c r="AK351" s="17"/>
      <c r="AL351" s="17"/>
      <c r="AM351" s="17"/>
      <c r="AN351" s="18">
        <f t="shared" si="385"/>
        <v>0</v>
      </c>
      <c r="AO351" s="19">
        <f t="shared" si="386"/>
        <v>0</v>
      </c>
      <c r="AP351" s="97"/>
      <c r="AQ351" s="17"/>
      <c r="AR351" s="17"/>
      <c r="AS351" s="17"/>
      <c r="AT351" s="18">
        <f t="shared" si="387"/>
        <v>0</v>
      </c>
      <c r="AU351" s="19">
        <f t="shared" si="388"/>
        <v>0</v>
      </c>
      <c r="AV351" s="97"/>
      <c r="AW351" s="17"/>
      <c r="AX351" s="17"/>
      <c r="AY351" s="17"/>
      <c r="AZ351" s="18">
        <f t="shared" si="389"/>
        <v>0</v>
      </c>
      <c r="BA351" s="19">
        <f t="shared" si="390"/>
        <v>0</v>
      </c>
    </row>
    <row r="352" spans="1:53" s="4" customFormat="1" ht="17.100000000000001" customHeight="1" x14ac:dyDescent="0.25">
      <c r="A352" s="40"/>
      <c r="B352" s="40"/>
      <c r="C352" s="74" t="s">
        <v>446</v>
      </c>
      <c r="D352" s="85" t="s">
        <v>129</v>
      </c>
      <c r="E352" s="542"/>
      <c r="F352" s="542"/>
      <c r="G352" s="542"/>
      <c r="H352" s="540"/>
      <c r="I352" s="235"/>
      <c r="J352" s="581"/>
      <c r="K352" s="581"/>
      <c r="L352" s="582"/>
      <c r="M352" s="593">
        <f t="shared" si="378"/>
        <v>0</v>
      </c>
      <c r="N352" s="111"/>
      <c r="O352" s="111"/>
      <c r="P352" s="111"/>
      <c r="Q352" s="111"/>
      <c r="R352" s="111"/>
      <c r="S352" s="111"/>
      <c r="T352" s="111"/>
      <c r="U352" s="111"/>
      <c r="V352" s="358"/>
      <c r="W352" s="391">
        <f t="shared" si="379"/>
        <v>0</v>
      </c>
      <c r="X352" s="17">
        <f t="shared" si="380"/>
        <v>0</v>
      </c>
      <c r="Y352" s="18">
        <f t="shared" si="381"/>
        <v>0</v>
      </c>
      <c r="Z352" s="19">
        <f t="shared" si="382"/>
        <v>0</v>
      </c>
      <c r="AA352" s="19"/>
      <c r="AB352" s="19"/>
      <c r="AC352" s="20"/>
      <c r="AE352" s="17"/>
      <c r="AF352" s="17"/>
      <c r="AG352" s="17"/>
      <c r="AH352" s="18">
        <f t="shared" si="383"/>
        <v>0</v>
      </c>
      <c r="AI352" s="19">
        <f t="shared" si="384"/>
        <v>0</v>
      </c>
      <c r="AJ352" s="97"/>
      <c r="AK352" s="17"/>
      <c r="AL352" s="17"/>
      <c r="AM352" s="17"/>
      <c r="AN352" s="18">
        <f t="shared" si="385"/>
        <v>0</v>
      </c>
      <c r="AO352" s="19">
        <f t="shared" si="386"/>
        <v>0</v>
      </c>
      <c r="AP352" s="97"/>
      <c r="AQ352" s="17"/>
      <c r="AR352" s="17"/>
      <c r="AS352" s="17"/>
      <c r="AT352" s="18">
        <f t="shared" si="387"/>
        <v>0</v>
      </c>
      <c r="AU352" s="19">
        <f t="shared" si="388"/>
        <v>0</v>
      </c>
      <c r="AV352" s="97"/>
      <c r="AW352" s="17"/>
      <c r="AX352" s="17"/>
      <c r="AY352" s="17"/>
      <c r="AZ352" s="18">
        <f t="shared" si="389"/>
        <v>0</v>
      </c>
      <c r="BA352" s="19">
        <f t="shared" si="390"/>
        <v>0</v>
      </c>
    </row>
    <row r="353" spans="1:53" s="4" customFormat="1" ht="17.100000000000001" customHeight="1" x14ac:dyDescent="0.25">
      <c r="A353" s="40"/>
      <c r="B353" s="40"/>
      <c r="C353" s="74" t="s">
        <v>545</v>
      </c>
      <c r="D353" s="85" t="s">
        <v>530</v>
      </c>
      <c r="E353" s="542"/>
      <c r="F353" s="542"/>
      <c r="G353" s="542"/>
      <c r="H353" s="540"/>
      <c r="I353" s="235"/>
      <c r="J353" s="583"/>
      <c r="K353" s="583"/>
      <c r="L353" s="584"/>
      <c r="M353" s="593">
        <f t="shared" si="378"/>
        <v>0</v>
      </c>
      <c r="N353" s="111"/>
      <c r="O353" s="111"/>
      <c r="P353" s="111"/>
      <c r="Q353" s="111"/>
      <c r="R353" s="111"/>
      <c r="S353" s="111"/>
      <c r="T353" s="111"/>
      <c r="U353" s="111"/>
      <c r="V353" s="358"/>
      <c r="W353" s="391">
        <f t="shared" si="379"/>
        <v>0</v>
      </c>
      <c r="X353" s="17">
        <f t="shared" si="380"/>
        <v>0</v>
      </c>
      <c r="Y353" s="18">
        <f t="shared" si="381"/>
        <v>0</v>
      </c>
      <c r="Z353" s="19">
        <f t="shared" si="382"/>
        <v>0</v>
      </c>
      <c r="AA353" s="19"/>
      <c r="AB353" s="19"/>
      <c r="AC353" s="20"/>
      <c r="AE353" s="17"/>
      <c r="AF353" s="17"/>
      <c r="AG353" s="17"/>
      <c r="AH353" s="18">
        <f t="shared" si="383"/>
        <v>0</v>
      </c>
      <c r="AI353" s="19">
        <f t="shared" si="384"/>
        <v>0</v>
      </c>
      <c r="AJ353" s="97"/>
      <c r="AK353" s="17"/>
      <c r="AL353" s="17"/>
      <c r="AM353" s="17"/>
      <c r="AN353" s="18">
        <f t="shared" si="385"/>
        <v>0</v>
      </c>
      <c r="AO353" s="19">
        <f t="shared" si="386"/>
        <v>0</v>
      </c>
      <c r="AP353" s="97"/>
      <c r="AQ353" s="17"/>
      <c r="AR353" s="17"/>
      <c r="AS353" s="17"/>
      <c r="AT353" s="18">
        <f t="shared" si="387"/>
        <v>0</v>
      </c>
      <c r="AU353" s="19">
        <f t="shared" si="388"/>
        <v>0</v>
      </c>
      <c r="AV353" s="97"/>
      <c r="AW353" s="17"/>
      <c r="AX353" s="17"/>
      <c r="AY353" s="17"/>
      <c r="AZ353" s="18">
        <f t="shared" si="389"/>
        <v>0</v>
      </c>
      <c r="BA353" s="19">
        <f t="shared" si="390"/>
        <v>0</v>
      </c>
    </row>
    <row r="354" spans="1:53" s="4" customFormat="1" ht="17.100000000000001" customHeight="1" x14ac:dyDescent="0.25">
      <c r="A354" s="40"/>
      <c r="B354" s="40"/>
      <c r="C354" s="77"/>
      <c r="D354" s="134"/>
      <c r="E354" s="134"/>
      <c r="F354" s="134"/>
      <c r="G354" s="134"/>
      <c r="H354" s="540"/>
      <c r="I354" s="229"/>
      <c r="J354" s="80">
        <f>SUM(J346:J353)</f>
        <v>0</v>
      </c>
      <c r="K354" s="80">
        <f t="shared" ref="K354:M354" si="391">SUM(K346:K353)</f>
        <v>0</v>
      </c>
      <c r="L354" s="80">
        <f t="shared" si="391"/>
        <v>0</v>
      </c>
      <c r="M354" s="80">
        <f t="shared" si="391"/>
        <v>0</v>
      </c>
      <c r="N354" s="81"/>
      <c r="O354" s="81"/>
      <c r="P354" s="81"/>
      <c r="Q354" s="81"/>
      <c r="R354" s="81"/>
      <c r="S354" s="81"/>
      <c r="T354" s="81"/>
      <c r="U354" s="81"/>
      <c r="V354" s="356"/>
      <c r="W354" s="381">
        <f>SUM(W346:W353)</f>
        <v>0</v>
      </c>
      <c r="X354" s="82">
        <f t="shared" ref="X354:Y354" si="392">SUM(X346:X353)</f>
        <v>0</v>
      </c>
      <c r="Y354" s="82">
        <f t="shared" si="392"/>
        <v>0</v>
      </c>
      <c r="Z354" s="205">
        <f>IF(Y$354=0,0,Y354/Y$354)</f>
        <v>0</v>
      </c>
      <c r="AA354" s="205"/>
      <c r="AB354" s="205"/>
      <c r="AC354" s="83"/>
      <c r="AE354" s="80"/>
      <c r="AF354" s="80"/>
      <c r="AG354" s="81"/>
      <c r="AH354" s="82">
        <f>SUM(AH346:AH353)</f>
        <v>0</v>
      </c>
      <c r="AI354" s="66">
        <f>IF(AH$354=0,0,AH354/AH$354)</f>
        <v>0</v>
      </c>
      <c r="AJ354" s="97"/>
      <c r="AK354" s="80"/>
      <c r="AL354" s="80"/>
      <c r="AM354" s="81"/>
      <c r="AN354" s="82">
        <f>SUM(AN346:AN353)</f>
        <v>0</v>
      </c>
      <c r="AO354" s="66">
        <f>IF(AN$354=0,0,AN354/AN$354)</f>
        <v>0</v>
      </c>
      <c r="AP354" s="97"/>
      <c r="AQ354" s="80"/>
      <c r="AR354" s="80"/>
      <c r="AS354" s="81"/>
      <c r="AT354" s="82">
        <f>SUM(AT346:AT353)</f>
        <v>0</v>
      </c>
      <c r="AU354" s="66">
        <f>IF(AT$354=0,0,AT354/AT$354)</f>
        <v>0</v>
      </c>
      <c r="AV354" s="97"/>
      <c r="AW354" s="80"/>
      <c r="AX354" s="80"/>
      <c r="AY354" s="81"/>
      <c r="AZ354" s="82">
        <f>SUM(AZ346:AZ353)</f>
        <v>0</v>
      </c>
      <c r="BA354" s="66">
        <f>IF(AZ$354=0,0,AZ354/AZ$354)</f>
        <v>0</v>
      </c>
    </row>
    <row r="355" spans="1:53" s="117" customFormat="1" ht="17.100000000000001" customHeight="1" x14ac:dyDescent="0.25">
      <c r="A355" s="68"/>
      <c r="B355" s="119"/>
      <c r="C355" s="540"/>
      <c r="D355" s="261"/>
      <c r="E355" s="261"/>
      <c r="F355" s="68"/>
      <c r="G355" s="68"/>
      <c r="H355" s="119"/>
      <c r="I355" s="138"/>
      <c r="J355" s="17" t="str">
        <f>IF(J354=J$15,"OK","NOK")</f>
        <v>OK</v>
      </c>
      <c r="K355" s="17" t="str">
        <f t="shared" ref="K355:L355" si="393">IF(K354=K$15,"OK","NOK")</f>
        <v>OK</v>
      </c>
      <c r="L355" s="17" t="str">
        <f t="shared" si="393"/>
        <v>OK</v>
      </c>
      <c r="M355" s="17"/>
      <c r="N355" s="17"/>
      <c r="O355" s="17"/>
      <c r="P355" s="17"/>
      <c r="Q355" s="17"/>
      <c r="R355" s="17"/>
      <c r="S355" s="17"/>
      <c r="T355" s="17"/>
      <c r="U355" s="17"/>
      <c r="V355" s="359"/>
      <c r="W355" s="382"/>
      <c r="X355" s="539"/>
      <c r="Y355" s="539"/>
      <c r="Z355" s="201"/>
      <c r="AA355" s="201"/>
      <c r="AB355" s="201"/>
      <c r="AC355" s="84"/>
      <c r="AE355" s="46"/>
      <c r="AF355" s="46"/>
      <c r="AG355" s="17"/>
      <c r="AH355" s="539"/>
      <c r="AI355" s="91"/>
      <c r="AK355" s="46"/>
      <c r="AL355" s="46"/>
      <c r="AM355" s="17"/>
      <c r="AN355" s="539"/>
      <c r="AO355" s="91"/>
      <c r="AQ355" s="46"/>
      <c r="AR355" s="46"/>
      <c r="AS355" s="17"/>
      <c r="AT355" s="539"/>
      <c r="AU355" s="91"/>
      <c r="AW355" s="46"/>
      <c r="AX355" s="46"/>
      <c r="AY355" s="17"/>
      <c r="AZ355" s="539"/>
      <c r="BA355" s="91"/>
    </row>
    <row r="356" spans="1:53" ht="17.100000000000001" customHeight="1" x14ac:dyDescent="0.25">
      <c r="A356" s="68"/>
      <c r="B356" s="41" t="s">
        <v>447</v>
      </c>
      <c r="C356" s="69" t="s">
        <v>448</v>
      </c>
      <c r="D356" s="50"/>
      <c r="E356" s="70"/>
      <c r="F356" s="70"/>
      <c r="G356" s="70"/>
      <c r="H356" s="243">
        <v>47</v>
      </c>
      <c r="J356" s="71"/>
      <c r="K356" s="71"/>
      <c r="L356" s="71"/>
      <c r="M356" s="71"/>
      <c r="N356" s="71"/>
      <c r="O356" s="71"/>
      <c r="P356" s="71"/>
      <c r="Q356" s="71"/>
      <c r="R356" s="71"/>
      <c r="S356" s="71"/>
      <c r="T356" s="71"/>
      <c r="U356" s="71"/>
      <c r="V356" s="355"/>
      <c r="W356" s="377"/>
      <c r="X356" s="71"/>
      <c r="Y356" s="72"/>
      <c r="Z356" s="73"/>
      <c r="AA356" s="73"/>
      <c r="AB356" s="73"/>
      <c r="AC356" s="73"/>
      <c r="AE356" s="71"/>
      <c r="AF356" s="71"/>
      <c r="AG356" s="71"/>
      <c r="AH356" s="72"/>
      <c r="AI356" s="73"/>
      <c r="AK356" s="71"/>
      <c r="AL356" s="71"/>
      <c r="AM356" s="71"/>
      <c r="AN356" s="72"/>
      <c r="AO356" s="73"/>
      <c r="AQ356" s="71"/>
      <c r="AR356" s="71"/>
      <c r="AS356" s="71"/>
      <c r="AT356" s="72"/>
      <c r="AU356" s="73"/>
      <c r="AW356" s="71"/>
      <c r="AX356" s="71"/>
      <c r="AY356" s="71"/>
      <c r="AZ356" s="72"/>
      <c r="BA356" s="73"/>
    </row>
    <row r="357" spans="1:53" s="4" customFormat="1" ht="17.100000000000001" customHeight="1" x14ac:dyDescent="0.25">
      <c r="A357" s="40"/>
      <c r="B357" s="40"/>
      <c r="C357" s="74" t="s">
        <v>449</v>
      </c>
      <c r="D357" s="85" t="s">
        <v>9</v>
      </c>
      <c r="E357" s="75"/>
      <c r="F357" s="75"/>
      <c r="G357" s="75"/>
      <c r="H357" s="540"/>
      <c r="I357" s="229"/>
      <c r="J357" s="581"/>
      <c r="K357" s="581"/>
      <c r="L357" s="582"/>
      <c r="M357" s="593">
        <f t="shared" ref="M357:M359" si="394">SUM(J357:L357)</f>
        <v>0</v>
      </c>
      <c r="N357" s="111"/>
      <c r="O357" s="111"/>
      <c r="P357" s="111"/>
      <c r="Q357" s="111"/>
      <c r="R357" s="111"/>
      <c r="S357" s="111"/>
      <c r="T357" s="111"/>
      <c r="U357" s="111"/>
      <c r="V357" s="358"/>
      <c r="W357" s="391">
        <f t="shared" ref="W357:W359" si="395">J357+K357+N357+Q357+T357</f>
        <v>0</v>
      </c>
      <c r="X357" s="17">
        <f t="shared" ref="X357:X359" si="396">L357+O357+R357+U357</f>
        <v>0</v>
      </c>
      <c r="Y357" s="18">
        <f>SUM(W357:X357)</f>
        <v>0</v>
      </c>
      <c r="Z357" s="19">
        <f>IF(Y$360=0,0,Y357/Y$360)</f>
        <v>0</v>
      </c>
      <c r="AA357" s="19"/>
      <c r="AB357" s="19"/>
      <c r="AC357" s="20"/>
      <c r="AE357" s="17"/>
      <c r="AF357" s="17"/>
      <c r="AG357" s="17"/>
      <c r="AH357" s="18">
        <f t="shared" ref="AH357:AH359" si="397">J357</f>
        <v>0</v>
      </c>
      <c r="AI357" s="19">
        <f>IF(AH$360=0,0,AH357/AH$360)</f>
        <v>0</v>
      </c>
      <c r="AJ357" s="97"/>
      <c r="AK357" s="17"/>
      <c r="AL357" s="17"/>
      <c r="AM357" s="17"/>
      <c r="AN357" s="18">
        <f t="shared" ref="AN357:AN359" si="398">K357</f>
        <v>0</v>
      </c>
      <c r="AO357" s="19">
        <f>IF(AN$360=0,0,AN357/AN$360)</f>
        <v>0</v>
      </c>
      <c r="AP357" s="97"/>
      <c r="AQ357" s="17"/>
      <c r="AR357" s="17"/>
      <c r="AS357" s="17"/>
      <c r="AT357" s="18">
        <f t="shared" ref="AT357:AT359" si="399">W357</f>
        <v>0</v>
      </c>
      <c r="AU357" s="19">
        <f>IF(AT$360=0,0,AT357/AT$360)</f>
        <v>0</v>
      </c>
      <c r="AV357" s="97"/>
      <c r="AW357" s="17"/>
      <c r="AX357" s="17"/>
      <c r="AY357" s="17"/>
      <c r="AZ357" s="18">
        <f t="shared" ref="AZ357:AZ359" si="400">X357</f>
        <v>0</v>
      </c>
      <c r="BA357" s="19">
        <f>IF(AZ$360=0,0,AZ357/AZ$360)</f>
        <v>0</v>
      </c>
    </row>
    <row r="358" spans="1:53" s="4" customFormat="1" ht="17.100000000000001" customHeight="1" x14ac:dyDescent="0.25">
      <c r="A358" s="40"/>
      <c r="B358" s="40"/>
      <c r="C358" s="74" t="s">
        <v>450</v>
      </c>
      <c r="D358" s="85" t="s">
        <v>10</v>
      </c>
      <c r="E358" s="75"/>
      <c r="F358" s="75"/>
      <c r="G358" s="75"/>
      <c r="H358" s="540"/>
      <c r="I358" s="229"/>
      <c r="J358" s="583"/>
      <c r="K358" s="583"/>
      <c r="L358" s="584"/>
      <c r="M358" s="593">
        <f t="shared" si="394"/>
        <v>0</v>
      </c>
      <c r="N358" s="111"/>
      <c r="O358" s="111"/>
      <c r="P358" s="111"/>
      <c r="Q358" s="111"/>
      <c r="R358" s="111"/>
      <c r="S358" s="111"/>
      <c r="T358" s="111"/>
      <c r="U358" s="111"/>
      <c r="V358" s="358"/>
      <c r="W358" s="391">
        <f t="shared" si="395"/>
        <v>0</v>
      </c>
      <c r="X358" s="17">
        <f t="shared" si="396"/>
        <v>0</v>
      </c>
      <c r="Y358" s="18">
        <f>SUM(W358:X358)</f>
        <v>0</v>
      </c>
      <c r="Z358" s="19">
        <f t="shared" ref="Z358:Z360" si="401">IF(Y$360=0,0,Y358/Y$360)</f>
        <v>0</v>
      </c>
      <c r="AA358" s="19"/>
      <c r="AB358" s="19"/>
      <c r="AC358" s="20"/>
      <c r="AE358" s="17"/>
      <c r="AF358" s="17"/>
      <c r="AG358" s="17"/>
      <c r="AH358" s="18">
        <f t="shared" si="397"/>
        <v>0</v>
      </c>
      <c r="AI358" s="19">
        <f t="shared" ref="AI358:AI360" si="402">IF(AH$360=0,0,AH358/AH$360)</f>
        <v>0</v>
      </c>
      <c r="AJ358" s="97"/>
      <c r="AK358" s="17"/>
      <c r="AL358" s="17"/>
      <c r="AM358" s="17"/>
      <c r="AN358" s="18">
        <f t="shared" si="398"/>
        <v>0</v>
      </c>
      <c r="AO358" s="19">
        <f t="shared" ref="AO358:AO360" si="403">IF(AN$360=0,0,AN358/AN$360)</f>
        <v>0</v>
      </c>
      <c r="AP358" s="97"/>
      <c r="AQ358" s="17"/>
      <c r="AR358" s="17"/>
      <c r="AS358" s="17"/>
      <c r="AT358" s="18">
        <f t="shared" si="399"/>
        <v>0</v>
      </c>
      <c r="AU358" s="19">
        <f t="shared" ref="AU358:AU360" si="404">IF(AT$360=0,0,AT358/AT$360)</f>
        <v>0</v>
      </c>
      <c r="AV358" s="97"/>
      <c r="AW358" s="17"/>
      <c r="AX358" s="17"/>
      <c r="AY358" s="17"/>
      <c r="AZ358" s="18">
        <f t="shared" si="400"/>
        <v>0</v>
      </c>
      <c r="BA358" s="19">
        <f t="shared" ref="BA358:BA360" si="405">IF(AZ$360=0,0,AZ358/AZ$360)</f>
        <v>0</v>
      </c>
    </row>
    <row r="359" spans="1:53" s="4" customFormat="1" ht="17.100000000000001" customHeight="1" x14ac:dyDescent="0.25">
      <c r="A359" s="40"/>
      <c r="B359" s="40"/>
      <c r="C359" s="74" t="s">
        <v>451</v>
      </c>
      <c r="D359" s="85" t="s">
        <v>129</v>
      </c>
      <c r="E359" s="75"/>
      <c r="F359" s="75"/>
      <c r="G359" s="75"/>
      <c r="H359" s="540"/>
      <c r="I359" s="229"/>
      <c r="J359" s="581"/>
      <c r="K359" s="581"/>
      <c r="L359" s="582"/>
      <c r="M359" s="593">
        <f t="shared" si="394"/>
        <v>0</v>
      </c>
      <c r="N359" s="111"/>
      <c r="O359" s="111"/>
      <c r="P359" s="111"/>
      <c r="Q359" s="111"/>
      <c r="R359" s="111"/>
      <c r="S359" s="111"/>
      <c r="T359" s="111"/>
      <c r="U359" s="111"/>
      <c r="V359" s="358"/>
      <c r="W359" s="391">
        <f t="shared" si="395"/>
        <v>0</v>
      </c>
      <c r="X359" s="17">
        <f t="shared" si="396"/>
        <v>0</v>
      </c>
      <c r="Y359" s="18">
        <f>SUM(W359:X359)</f>
        <v>0</v>
      </c>
      <c r="Z359" s="19">
        <f t="shared" si="401"/>
        <v>0</v>
      </c>
      <c r="AA359" s="19"/>
      <c r="AB359" s="19"/>
      <c r="AC359" s="20"/>
      <c r="AE359" s="17"/>
      <c r="AF359" s="17"/>
      <c r="AG359" s="17"/>
      <c r="AH359" s="18">
        <f t="shared" si="397"/>
        <v>0</v>
      </c>
      <c r="AI359" s="19">
        <f t="shared" si="402"/>
        <v>0</v>
      </c>
      <c r="AJ359" s="97"/>
      <c r="AK359" s="17"/>
      <c r="AL359" s="17"/>
      <c r="AM359" s="17"/>
      <c r="AN359" s="18">
        <f t="shared" si="398"/>
        <v>0</v>
      </c>
      <c r="AO359" s="19">
        <f t="shared" si="403"/>
        <v>0</v>
      </c>
      <c r="AP359" s="97"/>
      <c r="AQ359" s="17"/>
      <c r="AR359" s="17"/>
      <c r="AS359" s="17"/>
      <c r="AT359" s="18">
        <f t="shared" si="399"/>
        <v>0</v>
      </c>
      <c r="AU359" s="19">
        <f t="shared" si="404"/>
        <v>0</v>
      </c>
      <c r="AV359" s="97"/>
      <c r="AW359" s="17"/>
      <c r="AX359" s="17"/>
      <c r="AY359" s="17"/>
      <c r="AZ359" s="18">
        <f t="shared" si="400"/>
        <v>0</v>
      </c>
      <c r="BA359" s="19">
        <f t="shared" si="405"/>
        <v>0</v>
      </c>
    </row>
    <row r="360" spans="1:53" s="4" customFormat="1" ht="17.100000000000001" customHeight="1" x14ac:dyDescent="0.25">
      <c r="A360" s="40"/>
      <c r="B360" s="40"/>
      <c r="C360" s="77"/>
      <c r="D360" s="134"/>
      <c r="E360" s="134"/>
      <c r="F360" s="134"/>
      <c r="G360" s="134"/>
      <c r="H360" s="540"/>
      <c r="I360" s="229"/>
      <c r="J360" s="80">
        <f>SUM(J357:J359)</f>
        <v>0</v>
      </c>
      <c r="K360" s="80">
        <f t="shared" ref="K360:M360" si="406">SUM(K357:K359)</f>
        <v>0</v>
      </c>
      <c r="L360" s="80">
        <f t="shared" si="406"/>
        <v>0</v>
      </c>
      <c r="M360" s="80">
        <f t="shared" si="406"/>
        <v>0</v>
      </c>
      <c r="N360" s="81"/>
      <c r="O360" s="81"/>
      <c r="P360" s="81"/>
      <c r="Q360" s="81"/>
      <c r="R360" s="81"/>
      <c r="S360" s="81"/>
      <c r="T360" s="81"/>
      <c r="U360" s="81"/>
      <c r="V360" s="356"/>
      <c r="W360" s="381">
        <f>SUM(W357:W359)</f>
        <v>0</v>
      </c>
      <c r="X360" s="82">
        <f t="shared" ref="X360:Y360" si="407">SUM(X357:X359)</f>
        <v>0</v>
      </c>
      <c r="Y360" s="82">
        <f t="shared" si="407"/>
        <v>0</v>
      </c>
      <c r="Z360" s="205">
        <f t="shared" si="401"/>
        <v>0</v>
      </c>
      <c r="AA360" s="205"/>
      <c r="AB360" s="205"/>
      <c r="AC360" s="83"/>
      <c r="AE360" s="80"/>
      <c r="AF360" s="80"/>
      <c r="AG360" s="81"/>
      <c r="AH360" s="82">
        <f>SUM(AH357:AH359)</f>
        <v>0</v>
      </c>
      <c r="AI360" s="66">
        <f t="shared" si="402"/>
        <v>0</v>
      </c>
      <c r="AJ360" s="97"/>
      <c r="AK360" s="80"/>
      <c r="AL360" s="80"/>
      <c r="AM360" s="81"/>
      <c r="AN360" s="82">
        <f>SUM(AN357:AN359)</f>
        <v>0</v>
      </c>
      <c r="AO360" s="66">
        <f t="shared" si="403"/>
        <v>0</v>
      </c>
      <c r="AP360" s="97"/>
      <c r="AQ360" s="80"/>
      <c r="AR360" s="80"/>
      <c r="AS360" s="81"/>
      <c r="AT360" s="82">
        <f>SUM(AT357:AT359)</f>
        <v>0</v>
      </c>
      <c r="AU360" s="66">
        <f t="shared" si="404"/>
        <v>0</v>
      </c>
      <c r="AV360" s="97"/>
      <c r="AW360" s="80"/>
      <c r="AX360" s="80"/>
      <c r="AY360" s="81"/>
      <c r="AZ360" s="82">
        <f>SUM(AZ357:AZ359)</f>
        <v>0</v>
      </c>
      <c r="BA360" s="66">
        <f t="shared" si="405"/>
        <v>0</v>
      </c>
    </row>
    <row r="361" spans="1:53" s="117" customFormat="1" ht="17.100000000000001" customHeight="1" x14ac:dyDescent="0.25">
      <c r="A361" s="68"/>
      <c r="B361" s="119"/>
      <c r="C361" s="540"/>
      <c r="D361" s="261"/>
      <c r="E361" s="261"/>
      <c r="F361" s="68"/>
      <c r="G361" s="68"/>
      <c r="H361" s="119"/>
      <c r="I361" s="138"/>
      <c r="J361" s="17" t="str">
        <f>IF(J360=J$15,"OK","NOK")</f>
        <v>OK</v>
      </c>
      <c r="K361" s="17" t="str">
        <f t="shared" ref="K361:L361" si="408">IF(K360=K$15,"OK","NOK")</f>
        <v>OK</v>
      </c>
      <c r="L361" s="17" t="str">
        <f t="shared" si="408"/>
        <v>OK</v>
      </c>
      <c r="M361" s="17"/>
      <c r="N361" s="17"/>
      <c r="O361" s="17"/>
      <c r="P361" s="17"/>
      <c r="Q361" s="17"/>
      <c r="R361" s="17"/>
      <c r="S361" s="17"/>
      <c r="T361" s="17"/>
      <c r="U361" s="17"/>
      <c r="V361" s="359"/>
      <c r="W361" s="382"/>
      <c r="X361" s="539"/>
      <c r="Y361" s="539"/>
      <c r="Z361" s="201"/>
      <c r="AA361" s="201"/>
      <c r="AB361" s="201"/>
      <c r="AC361" s="84"/>
      <c r="AE361" s="46"/>
      <c r="AF361" s="46"/>
      <c r="AG361" s="17"/>
      <c r="AH361" s="539"/>
      <c r="AI361" s="91"/>
      <c r="AK361" s="46"/>
      <c r="AL361" s="46"/>
      <c r="AM361" s="17"/>
      <c r="AN361" s="539"/>
      <c r="AO361" s="91"/>
      <c r="AQ361" s="46"/>
      <c r="AR361" s="46"/>
      <c r="AS361" s="17"/>
      <c r="AT361" s="539"/>
      <c r="AU361" s="91"/>
      <c r="AW361" s="46"/>
      <c r="AX361" s="46"/>
      <c r="AY361" s="17"/>
      <c r="AZ361" s="539"/>
      <c r="BA361" s="91"/>
    </row>
    <row r="362" spans="1:53" ht="17.100000000000001" customHeight="1" x14ac:dyDescent="0.25">
      <c r="A362" s="68"/>
      <c r="B362" s="41" t="s">
        <v>452</v>
      </c>
      <c r="C362" s="69" t="s">
        <v>453</v>
      </c>
      <c r="D362" s="50"/>
      <c r="E362" s="70"/>
      <c r="F362" s="70"/>
      <c r="G362" s="70"/>
      <c r="H362" s="243">
        <v>48</v>
      </c>
      <c r="J362" s="71"/>
      <c r="K362" s="71"/>
      <c r="L362" s="71"/>
      <c r="M362" s="71"/>
      <c r="N362" s="71"/>
      <c r="O362" s="71"/>
      <c r="P362" s="71"/>
      <c r="Q362" s="71"/>
      <c r="R362" s="71"/>
      <c r="S362" s="71"/>
      <c r="T362" s="71"/>
      <c r="U362" s="71"/>
      <c r="V362" s="355"/>
      <c r="W362" s="377"/>
      <c r="X362" s="71"/>
      <c r="Y362" s="72"/>
      <c r="Z362" s="73"/>
      <c r="AA362" s="73"/>
      <c r="AB362" s="73"/>
      <c r="AC362" s="73"/>
      <c r="AE362" s="71"/>
      <c r="AF362" s="71"/>
      <c r="AG362" s="71"/>
      <c r="AH362" s="72"/>
      <c r="AI362" s="73"/>
      <c r="AK362" s="71"/>
      <c r="AL362" s="71"/>
      <c r="AM362" s="71"/>
      <c r="AN362" s="72"/>
      <c r="AO362" s="73"/>
      <c r="AQ362" s="71"/>
      <c r="AR362" s="71"/>
      <c r="AS362" s="71"/>
      <c r="AT362" s="72"/>
      <c r="AU362" s="73"/>
      <c r="AW362" s="71"/>
      <c r="AX362" s="71"/>
      <c r="AY362" s="71"/>
      <c r="AZ362" s="72"/>
      <c r="BA362" s="73"/>
    </row>
    <row r="363" spans="1:53" s="4" customFormat="1" ht="17.100000000000001" customHeight="1" x14ac:dyDescent="0.25">
      <c r="A363" s="40"/>
      <c r="B363" s="40"/>
      <c r="C363" s="74" t="s">
        <v>454</v>
      </c>
      <c r="D363" s="85" t="s">
        <v>173</v>
      </c>
      <c r="E363" s="542"/>
      <c r="F363" s="542"/>
      <c r="G363" s="542"/>
      <c r="H363" s="540"/>
      <c r="I363" s="235"/>
      <c r="J363" s="581"/>
      <c r="K363" s="581"/>
      <c r="L363" s="582"/>
      <c r="M363" s="593"/>
      <c r="N363" s="111"/>
      <c r="O363" s="111"/>
      <c r="P363" s="111"/>
      <c r="Q363" s="111"/>
      <c r="R363" s="111"/>
      <c r="S363" s="111"/>
      <c r="T363" s="111"/>
      <c r="U363" s="111"/>
      <c r="V363" s="358"/>
      <c r="W363" s="391">
        <f t="shared" ref="W363:W364" si="409">J363+K363+N363+Q363+T363</f>
        <v>0</v>
      </c>
      <c r="X363" s="17">
        <f t="shared" ref="X363:X364" si="410">L363+O363+R363+U363</f>
        <v>0</v>
      </c>
      <c r="Y363" s="18">
        <f>SUM(W363:X363)</f>
        <v>0</v>
      </c>
      <c r="Z363" s="19">
        <f>IF(Y$370=0,0,Y363/Y$370)</f>
        <v>0</v>
      </c>
      <c r="AA363" s="19"/>
      <c r="AB363" s="19"/>
      <c r="AC363" s="20"/>
      <c r="AE363" s="17"/>
      <c r="AF363" s="17"/>
      <c r="AG363" s="17"/>
      <c r="AH363" s="18">
        <f>J363</f>
        <v>0</v>
      </c>
      <c r="AI363" s="19">
        <f>IF(AH$370=0,0,AH363/AH$370)</f>
        <v>0</v>
      </c>
      <c r="AJ363" s="97"/>
      <c r="AK363" s="17"/>
      <c r="AL363" s="17"/>
      <c r="AM363" s="17"/>
      <c r="AN363" s="18">
        <f>K363</f>
        <v>0</v>
      </c>
      <c r="AO363" s="19">
        <f>IF(AN$370=0,0,AN363/AN$370)</f>
        <v>0</v>
      </c>
      <c r="AP363" s="97"/>
      <c r="AQ363" s="17"/>
      <c r="AR363" s="17"/>
      <c r="AS363" s="17"/>
      <c r="AT363" s="18">
        <f>W363</f>
        <v>0</v>
      </c>
      <c r="AU363" s="19">
        <f>IF(AT$370=0,0,AT363/AT$370)</f>
        <v>0</v>
      </c>
      <c r="AV363" s="97"/>
      <c r="AW363" s="17"/>
      <c r="AX363" s="17"/>
      <c r="AY363" s="17"/>
      <c r="AZ363" s="18">
        <f>X363</f>
        <v>0</v>
      </c>
      <c r="BA363" s="19">
        <f>IF(AZ$370=0,0,AZ363/AZ$370)</f>
        <v>0</v>
      </c>
    </row>
    <row r="364" spans="1:53" s="4" customFormat="1" ht="17.100000000000001" customHeight="1" x14ac:dyDescent="0.25">
      <c r="A364" s="40"/>
      <c r="B364" s="40"/>
      <c r="C364" s="74" t="s">
        <v>455</v>
      </c>
      <c r="D364" s="85" t="s">
        <v>544</v>
      </c>
      <c r="E364" s="542"/>
      <c r="F364" s="542"/>
      <c r="G364" s="542"/>
      <c r="H364" s="540"/>
      <c r="I364" s="235"/>
      <c r="J364" s="583"/>
      <c r="K364" s="583"/>
      <c r="L364" s="584"/>
      <c r="M364" s="593"/>
      <c r="N364" s="111"/>
      <c r="O364" s="111"/>
      <c r="P364" s="111"/>
      <c r="Q364" s="111"/>
      <c r="R364" s="111"/>
      <c r="S364" s="111"/>
      <c r="T364" s="111"/>
      <c r="U364" s="111"/>
      <c r="V364" s="358"/>
      <c r="W364" s="391">
        <f t="shared" si="409"/>
        <v>0</v>
      </c>
      <c r="X364" s="17">
        <f t="shared" si="410"/>
        <v>0</v>
      </c>
      <c r="Y364" s="18">
        <f>SUM(W364:X364)</f>
        <v>0</v>
      </c>
      <c r="Z364" s="19">
        <f>IF(Y$370=0,0,Y364/Y$370)</f>
        <v>0</v>
      </c>
      <c r="AA364" s="19"/>
      <c r="AB364" s="19"/>
      <c r="AC364" s="20"/>
      <c r="AE364" s="17"/>
      <c r="AF364" s="17"/>
      <c r="AG364" s="17"/>
      <c r="AH364" s="18">
        <f t="shared" ref="AH364" si="411">J364</f>
        <v>0</v>
      </c>
      <c r="AI364" s="19">
        <f>IF(AH$370=0,0,AH364/AH$370)</f>
        <v>0</v>
      </c>
      <c r="AJ364" s="97"/>
      <c r="AK364" s="17"/>
      <c r="AL364" s="17"/>
      <c r="AM364" s="17"/>
      <c r="AN364" s="18">
        <f t="shared" ref="AN364" si="412">K364</f>
        <v>0</v>
      </c>
      <c r="AO364" s="19">
        <f>IF(AN$370=0,0,AN364/AN$370)</f>
        <v>0</v>
      </c>
      <c r="AP364" s="97"/>
      <c r="AQ364" s="17"/>
      <c r="AR364" s="17"/>
      <c r="AS364" s="17"/>
      <c r="AT364" s="18">
        <f t="shared" ref="AT364" si="413">W364</f>
        <v>0</v>
      </c>
      <c r="AU364" s="19">
        <f>IF(AT$370=0,0,AT364/AT$370)</f>
        <v>0</v>
      </c>
      <c r="AV364" s="97"/>
      <c r="AW364" s="17"/>
      <c r="AX364" s="17"/>
      <c r="AY364" s="17"/>
      <c r="AZ364" s="18">
        <f>X364</f>
        <v>0</v>
      </c>
      <c r="BA364" s="19">
        <f>IF(AZ$370=0,0,AZ364/AZ$370)</f>
        <v>0</v>
      </c>
    </row>
    <row r="365" spans="1:53" s="4" customFormat="1" ht="17.100000000000001" customHeight="1" x14ac:dyDescent="0.25">
      <c r="A365" s="40"/>
      <c r="B365" s="40"/>
      <c r="C365" s="74" t="s">
        <v>456</v>
      </c>
      <c r="D365" s="146" t="s">
        <v>484</v>
      </c>
      <c r="E365" s="542"/>
      <c r="F365" s="542"/>
      <c r="G365" s="542"/>
      <c r="H365" s="540"/>
      <c r="I365" s="235"/>
      <c r="J365" s="581"/>
      <c r="K365" s="581"/>
      <c r="L365" s="582"/>
      <c r="M365" s="593"/>
      <c r="N365" s="111"/>
      <c r="O365" s="111"/>
      <c r="P365" s="111"/>
      <c r="Q365" s="111"/>
      <c r="R365" s="111"/>
      <c r="S365" s="111"/>
      <c r="T365" s="111"/>
      <c r="U365" s="111"/>
      <c r="V365" s="358"/>
      <c r="W365" s="391">
        <f>MIN(J365:K365)</f>
        <v>0</v>
      </c>
      <c r="X365" s="17">
        <f>L365</f>
        <v>0</v>
      </c>
      <c r="Y365" s="18"/>
      <c r="Z365" s="19"/>
      <c r="AA365" s="17">
        <f>MIN(J365:L365)</f>
        <v>0</v>
      </c>
      <c r="AB365" s="17"/>
      <c r="AC365" s="17"/>
      <c r="AE365" s="17">
        <f>J365</f>
        <v>0</v>
      </c>
      <c r="AF365" s="17"/>
      <c r="AG365" s="17"/>
      <c r="AH365" s="18"/>
      <c r="AI365" s="19"/>
      <c r="AJ365" s="97"/>
      <c r="AK365" s="17">
        <f>K365</f>
        <v>0</v>
      </c>
      <c r="AL365" s="17"/>
      <c r="AM365" s="17"/>
      <c r="AN365" s="18"/>
      <c r="AO365" s="19"/>
      <c r="AP365" s="97"/>
      <c r="AQ365" s="17">
        <f>W365</f>
        <v>0</v>
      </c>
      <c r="AR365" s="17"/>
      <c r="AS365" s="17"/>
      <c r="AT365" s="18"/>
      <c r="AU365" s="19"/>
      <c r="AV365" s="97"/>
      <c r="AW365" s="17">
        <f>L365</f>
        <v>0</v>
      </c>
      <c r="AX365" s="17"/>
      <c r="AY365" s="17"/>
      <c r="AZ365" s="18"/>
      <c r="BA365" s="19"/>
    </row>
    <row r="366" spans="1:53" s="4" customFormat="1" ht="17.100000000000001" customHeight="1" x14ac:dyDescent="0.25">
      <c r="A366" s="40"/>
      <c r="B366" s="40"/>
      <c r="C366" s="74" t="s">
        <v>546</v>
      </c>
      <c r="D366" s="146" t="s">
        <v>485</v>
      </c>
      <c r="E366" s="542"/>
      <c r="F366" s="542"/>
      <c r="G366" s="542"/>
      <c r="H366" s="540"/>
      <c r="I366" s="235"/>
      <c r="J366" s="583"/>
      <c r="K366" s="583"/>
      <c r="L366" s="584"/>
      <c r="M366" s="593"/>
      <c r="N366" s="111"/>
      <c r="O366" s="111"/>
      <c r="P366" s="111"/>
      <c r="Q366" s="111"/>
      <c r="R366" s="111"/>
      <c r="S366" s="111"/>
      <c r="T366" s="111"/>
      <c r="U366" s="111"/>
      <c r="V366" s="358"/>
      <c r="W366" s="391">
        <f>MAX(J366:K366)</f>
        <v>0</v>
      </c>
      <c r="X366" s="17">
        <f t="shared" ref="X366:X367" si="414">L366</f>
        <v>0</v>
      </c>
      <c r="Y366" s="18"/>
      <c r="Z366" s="19"/>
      <c r="AA366" s="17"/>
      <c r="AB366" s="17">
        <f>MAX(J366:L366)</f>
        <v>0</v>
      </c>
      <c r="AC366" s="17"/>
      <c r="AE366" s="17"/>
      <c r="AF366" s="17">
        <f>J366</f>
        <v>0</v>
      </c>
      <c r="AG366" s="17"/>
      <c r="AH366" s="18"/>
      <c r="AI366" s="19"/>
      <c r="AJ366" s="97"/>
      <c r="AK366" s="17"/>
      <c r="AL366" s="17">
        <f>K366</f>
        <v>0</v>
      </c>
      <c r="AM366" s="17"/>
      <c r="AN366" s="18"/>
      <c r="AO366" s="19"/>
      <c r="AP366" s="97"/>
      <c r="AQ366" s="17"/>
      <c r="AR366" s="17">
        <f>W366</f>
        <v>0</v>
      </c>
      <c r="AS366" s="17"/>
      <c r="AT366" s="18"/>
      <c r="AU366" s="19"/>
      <c r="AV366" s="97"/>
      <c r="AW366" s="17"/>
      <c r="AX366" s="17">
        <f>L366</f>
        <v>0</v>
      </c>
      <c r="AY366" s="17"/>
      <c r="AZ366" s="18"/>
      <c r="BA366" s="19"/>
    </row>
    <row r="367" spans="1:53" s="4" customFormat="1" ht="17.100000000000001" customHeight="1" x14ac:dyDescent="0.25">
      <c r="A367" s="40"/>
      <c r="B367" s="40"/>
      <c r="C367" s="74" t="s">
        <v>547</v>
      </c>
      <c r="D367" s="146" t="s">
        <v>543</v>
      </c>
      <c r="E367" s="542"/>
      <c r="F367" s="542"/>
      <c r="G367" s="542"/>
      <c r="H367" s="540"/>
      <c r="I367" s="235"/>
      <c r="J367" s="581"/>
      <c r="K367" s="581"/>
      <c r="L367" s="582"/>
      <c r="M367" s="593"/>
      <c r="N367" s="111"/>
      <c r="O367" s="111"/>
      <c r="P367" s="111"/>
      <c r="Q367" s="111"/>
      <c r="R367" s="111"/>
      <c r="S367" s="111"/>
      <c r="T367" s="111"/>
      <c r="U367" s="111"/>
      <c r="V367" s="358"/>
      <c r="W367" s="391">
        <f>IF(SUM(J367:K367)=0,0,AVERAGE(J367:K367))</f>
        <v>0</v>
      </c>
      <c r="X367" s="17">
        <f t="shared" si="414"/>
        <v>0</v>
      </c>
      <c r="Y367" s="18"/>
      <c r="Z367" s="19"/>
      <c r="AA367" s="17"/>
      <c r="AB367" s="17"/>
      <c r="AC367" s="17">
        <f>IF(SUM(J367:L367)=0,0,AVERAGE(J367:L367))</f>
        <v>0</v>
      </c>
      <c r="AE367" s="17"/>
      <c r="AF367" s="17"/>
      <c r="AG367" s="17">
        <f>J367</f>
        <v>0</v>
      </c>
      <c r="AH367" s="18"/>
      <c r="AI367" s="19"/>
      <c r="AJ367" s="97"/>
      <c r="AK367" s="17"/>
      <c r="AL367" s="17"/>
      <c r="AM367" s="17">
        <f>K367</f>
        <v>0</v>
      </c>
      <c r="AN367" s="18"/>
      <c r="AO367" s="19"/>
      <c r="AP367" s="97"/>
      <c r="AQ367" s="17"/>
      <c r="AR367" s="17"/>
      <c r="AS367" s="17">
        <f>W367</f>
        <v>0</v>
      </c>
      <c r="AT367" s="18"/>
      <c r="AU367" s="19"/>
      <c r="AV367" s="97"/>
      <c r="AW367" s="17"/>
      <c r="AX367" s="17"/>
      <c r="AY367" s="17">
        <f>L367</f>
        <v>0</v>
      </c>
      <c r="AZ367" s="18"/>
      <c r="BA367" s="19"/>
    </row>
    <row r="368" spans="1:53" s="4" customFormat="1" ht="17.100000000000001" customHeight="1" x14ac:dyDescent="0.25">
      <c r="A368" s="40"/>
      <c r="B368" s="40"/>
      <c r="C368" s="74" t="s">
        <v>548</v>
      </c>
      <c r="D368" s="75" t="s">
        <v>129</v>
      </c>
      <c r="E368" s="542"/>
      <c r="F368" s="542"/>
      <c r="G368" s="542"/>
      <c r="H368" s="540"/>
      <c r="I368" s="235"/>
      <c r="J368" s="583"/>
      <c r="K368" s="583"/>
      <c r="L368" s="584"/>
      <c r="M368" s="593"/>
      <c r="N368" s="111"/>
      <c r="O368" s="111"/>
      <c r="P368" s="111"/>
      <c r="Q368" s="111"/>
      <c r="R368" s="111"/>
      <c r="S368" s="111"/>
      <c r="T368" s="111"/>
      <c r="U368" s="111"/>
      <c r="V368" s="358"/>
      <c r="W368" s="391">
        <f t="shared" ref="W368:W369" si="415">J368+K368+N368+Q368+T368</f>
        <v>0</v>
      </c>
      <c r="X368" s="17">
        <f t="shared" ref="X368:X369" si="416">L368+O368+R368+U368</f>
        <v>0</v>
      </c>
      <c r="Y368" s="18">
        <f>SUM(W368:X368)</f>
        <v>0</v>
      </c>
      <c r="Z368" s="19">
        <f>IF(Y$370=0,0,Y368/Y$370)</f>
        <v>0</v>
      </c>
      <c r="AA368" s="19"/>
      <c r="AB368" s="19"/>
      <c r="AC368" s="20"/>
      <c r="AE368" s="17"/>
      <c r="AF368" s="17"/>
      <c r="AG368" s="17"/>
      <c r="AH368" s="18">
        <f t="shared" ref="AH368:AH369" si="417">J368</f>
        <v>0</v>
      </c>
      <c r="AI368" s="19">
        <f>IF(AH$370=0,0,AH368/AH$370)</f>
        <v>0</v>
      </c>
      <c r="AJ368" s="97"/>
      <c r="AK368" s="17"/>
      <c r="AL368" s="17"/>
      <c r="AM368" s="17"/>
      <c r="AN368" s="18">
        <f t="shared" ref="AN368:AN369" si="418">K368</f>
        <v>0</v>
      </c>
      <c r="AO368" s="19">
        <f>IF(AN$370=0,0,AN368/AN$370)</f>
        <v>0</v>
      </c>
      <c r="AP368" s="97"/>
      <c r="AQ368" s="17"/>
      <c r="AR368" s="17"/>
      <c r="AS368" s="17"/>
      <c r="AT368" s="18">
        <f t="shared" ref="AT368:AT369" si="419">W368</f>
        <v>0</v>
      </c>
      <c r="AU368" s="19">
        <f>IF(AT$370=0,0,AT368/AT$370)</f>
        <v>0</v>
      </c>
      <c r="AV368" s="97"/>
      <c r="AW368" s="17"/>
      <c r="AX368" s="17"/>
      <c r="AY368" s="17"/>
      <c r="AZ368" s="18">
        <f>X368</f>
        <v>0</v>
      </c>
      <c r="BA368" s="19">
        <f>IF(AZ$370=0,0,AZ368/AZ$370)</f>
        <v>0</v>
      </c>
    </row>
    <row r="369" spans="1:53" s="4" customFormat="1" ht="17.100000000000001" customHeight="1" x14ac:dyDescent="0.25">
      <c r="A369" s="40"/>
      <c r="B369" s="40"/>
      <c r="C369" s="74" t="s">
        <v>549</v>
      </c>
      <c r="D369" s="75" t="s">
        <v>530</v>
      </c>
      <c r="E369" s="542"/>
      <c r="F369" s="542"/>
      <c r="G369" s="542"/>
      <c r="H369" s="540"/>
      <c r="I369" s="235"/>
      <c r="J369" s="581"/>
      <c r="K369" s="581"/>
      <c r="L369" s="582"/>
      <c r="M369" s="593"/>
      <c r="N369" s="111"/>
      <c r="O369" s="111"/>
      <c r="P369" s="111"/>
      <c r="Q369" s="111"/>
      <c r="R369" s="111"/>
      <c r="S369" s="111"/>
      <c r="T369" s="111"/>
      <c r="U369" s="111"/>
      <c r="V369" s="358"/>
      <c r="W369" s="391">
        <f t="shared" si="415"/>
        <v>0</v>
      </c>
      <c r="X369" s="17">
        <f t="shared" si="416"/>
        <v>0</v>
      </c>
      <c r="Y369" s="18">
        <f>SUM(W369:X369)</f>
        <v>0</v>
      </c>
      <c r="Z369" s="19">
        <f>IF(Y$370=0,0,Y369/Y$370)</f>
        <v>0</v>
      </c>
      <c r="AA369" s="19"/>
      <c r="AB369" s="19"/>
      <c r="AC369" s="20"/>
      <c r="AE369" s="17"/>
      <c r="AF369" s="17"/>
      <c r="AG369" s="17"/>
      <c r="AH369" s="18">
        <f t="shared" si="417"/>
        <v>0</v>
      </c>
      <c r="AI369" s="19">
        <f>IF(AH$370=0,0,AH369/AH$370)</f>
        <v>0</v>
      </c>
      <c r="AJ369" s="97"/>
      <c r="AK369" s="17"/>
      <c r="AL369" s="17"/>
      <c r="AM369" s="17"/>
      <c r="AN369" s="18">
        <f t="shared" si="418"/>
        <v>0</v>
      </c>
      <c r="AO369" s="19">
        <f>IF(AN$370=0,0,AN369/AN$370)</f>
        <v>0</v>
      </c>
      <c r="AP369" s="97"/>
      <c r="AQ369" s="17"/>
      <c r="AR369" s="17"/>
      <c r="AS369" s="17"/>
      <c r="AT369" s="18">
        <f t="shared" si="419"/>
        <v>0</v>
      </c>
      <c r="AU369" s="19">
        <f>IF(AT$370=0,0,AT369/AT$370)</f>
        <v>0</v>
      </c>
      <c r="AV369" s="97"/>
      <c r="AW369" s="17"/>
      <c r="AX369" s="17"/>
      <c r="AY369" s="17"/>
      <c r="AZ369" s="18">
        <f>X369</f>
        <v>0</v>
      </c>
      <c r="BA369" s="19">
        <f>IF(AZ$370=0,0,AZ369/AZ$370)</f>
        <v>0</v>
      </c>
    </row>
    <row r="370" spans="1:53" s="4" customFormat="1" ht="17.100000000000001" customHeight="1" x14ac:dyDescent="0.25">
      <c r="A370" s="40"/>
      <c r="B370" s="40"/>
      <c r="C370" s="77"/>
      <c r="D370" s="134"/>
      <c r="E370" s="134"/>
      <c r="F370" s="134"/>
      <c r="G370" s="134"/>
      <c r="H370" s="540"/>
      <c r="I370" s="229"/>
      <c r="J370" s="80">
        <f>J363+J364+J368+J369</f>
        <v>0</v>
      </c>
      <c r="K370" s="80">
        <f t="shared" ref="K370:M370" si="420">K363+K364+K368+K369</f>
        <v>0</v>
      </c>
      <c r="L370" s="80">
        <f t="shared" si="420"/>
        <v>0</v>
      </c>
      <c r="M370" s="80">
        <f t="shared" si="420"/>
        <v>0</v>
      </c>
      <c r="N370" s="81"/>
      <c r="O370" s="81"/>
      <c r="P370" s="81"/>
      <c r="Q370" s="81"/>
      <c r="R370" s="81"/>
      <c r="S370" s="81"/>
      <c r="T370" s="81"/>
      <c r="U370" s="81"/>
      <c r="V370" s="356"/>
      <c r="W370" s="381">
        <f>W363+W364+W368+W369</f>
        <v>0</v>
      </c>
      <c r="X370" s="82">
        <f>X363+X364+X368+X369</f>
        <v>0</v>
      </c>
      <c r="Y370" s="82">
        <f t="shared" ref="Y370" si="421">SUM(Y363:Y369)</f>
        <v>0</v>
      </c>
      <c r="Z370" s="205">
        <f>IF(Y$370=0,0,Y370/Y$370)</f>
        <v>0</v>
      </c>
      <c r="AA370" s="205"/>
      <c r="AB370" s="205"/>
      <c r="AC370" s="83"/>
      <c r="AE370" s="80"/>
      <c r="AF370" s="80"/>
      <c r="AG370" s="81"/>
      <c r="AH370" s="82">
        <f>SUM(AH363:AH369)</f>
        <v>0</v>
      </c>
      <c r="AI370" s="66">
        <f>IF(AH$370=0,0,AH370/AH$370)</f>
        <v>0</v>
      </c>
      <c r="AJ370" s="97"/>
      <c r="AK370" s="80"/>
      <c r="AL370" s="80"/>
      <c r="AM370" s="81"/>
      <c r="AN370" s="82">
        <f>SUM(AN363:AN369)</f>
        <v>0</v>
      </c>
      <c r="AO370" s="66">
        <f>IF(AN$370=0,0,AN370/AN$370)</f>
        <v>0</v>
      </c>
      <c r="AP370" s="97"/>
      <c r="AQ370" s="80"/>
      <c r="AR370" s="80"/>
      <c r="AS370" s="81"/>
      <c r="AT370" s="82">
        <f>SUM(AT363:AT369)</f>
        <v>0</v>
      </c>
      <c r="AU370" s="66">
        <f>IF(AT$370=0,0,AT370/AT$370)</f>
        <v>0</v>
      </c>
      <c r="AV370" s="97"/>
      <c r="AW370" s="80"/>
      <c r="AX370" s="80"/>
      <c r="AY370" s="81"/>
      <c r="AZ370" s="82">
        <f>SUM(AZ363:AZ369)</f>
        <v>0</v>
      </c>
      <c r="BA370" s="66">
        <f>IF(AZ$370=0,0,AZ370/AZ$370)</f>
        <v>0</v>
      </c>
    </row>
    <row r="371" spans="1:53" s="117" customFormat="1" ht="17.100000000000001" customHeight="1" x14ac:dyDescent="0.25">
      <c r="A371" s="68"/>
      <c r="B371" s="119"/>
      <c r="C371" s="540"/>
      <c r="D371" s="261"/>
      <c r="E371" s="261"/>
      <c r="F371" s="68"/>
      <c r="G371" s="68"/>
      <c r="H371" s="119"/>
      <c r="I371" s="138"/>
      <c r="J371" s="17" t="str">
        <f>IF(J370=J$357,"OK","NOK")</f>
        <v>OK</v>
      </c>
      <c r="K371" s="17" t="str">
        <f t="shared" ref="K371:L371" si="422">IF(K370=K$357,"OK","NOK")</f>
        <v>OK</v>
      </c>
      <c r="L371" s="17" t="str">
        <f t="shared" si="422"/>
        <v>OK</v>
      </c>
      <c r="M371" s="17"/>
      <c r="N371" s="17"/>
      <c r="O371" s="17"/>
      <c r="P371" s="17"/>
      <c r="Q371" s="17"/>
      <c r="R371" s="17"/>
      <c r="S371" s="17"/>
      <c r="T371" s="17"/>
      <c r="U371" s="17"/>
      <c r="V371" s="359"/>
      <c r="W371" s="382"/>
      <c r="X371" s="539"/>
      <c r="Y371" s="539"/>
      <c r="Z371" s="19"/>
      <c r="AA371" s="201"/>
      <c r="AB371" s="201"/>
      <c r="AC371" s="84"/>
      <c r="AE371" s="46"/>
      <c r="AF371" s="46"/>
      <c r="AG371" s="17"/>
      <c r="AH371" s="539"/>
      <c r="AI371" s="91"/>
      <c r="AK371" s="46"/>
      <c r="AL371" s="46"/>
      <c r="AM371" s="17"/>
      <c r="AN371" s="539"/>
      <c r="AO371" s="91"/>
      <c r="AQ371" s="46"/>
      <c r="AR371" s="46"/>
      <c r="AS371" s="17"/>
      <c r="AT371" s="539"/>
      <c r="AU371" s="91"/>
      <c r="AW371" s="46"/>
      <c r="AX371" s="46"/>
      <c r="AY371" s="17"/>
      <c r="AZ371" s="539"/>
      <c r="BA371" s="91"/>
    </row>
    <row r="372" spans="1:53" ht="17.100000000000001" customHeight="1" x14ac:dyDescent="0.25">
      <c r="A372" s="68"/>
      <c r="B372" s="41" t="s">
        <v>1058</v>
      </c>
      <c r="C372" s="69" t="s">
        <v>12</v>
      </c>
      <c r="D372" s="50"/>
      <c r="E372" s="70"/>
      <c r="F372" s="70"/>
      <c r="G372" s="70"/>
      <c r="H372" s="119"/>
      <c r="J372" s="71"/>
      <c r="K372" s="71"/>
      <c r="L372" s="71"/>
      <c r="M372" s="71"/>
      <c r="N372" s="71"/>
      <c r="O372" s="71"/>
      <c r="P372" s="71"/>
      <c r="Q372" s="71"/>
      <c r="R372" s="71"/>
      <c r="S372" s="71"/>
      <c r="T372" s="71"/>
      <c r="U372" s="71"/>
      <c r="V372" s="355"/>
      <c r="W372" s="377"/>
      <c r="X372" s="71"/>
      <c r="Y372" s="72"/>
      <c r="Z372" s="73"/>
      <c r="AA372" s="73"/>
      <c r="AB372" s="73"/>
      <c r="AC372" s="73"/>
      <c r="AE372" s="71"/>
      <c r="AF372" s="71"/>
      <c r="AG372" s="71"/>
      <c r="AH372" s="72"/>
      <c r="AI372" s="73"/>
      <c r="AK372" s="71"/>
      <c r="AL372" s="71"/>
      <c r="AM372" s="71"/>
      <c r="AN372" s="72"/>
      <c r="AO372" s="73"/>
      <c r="AQ372" s="71"/>
      <c r="AR372" s="71"/>
      <c r="AS372" s="71"/>
      <c r="AT372" s="72"/>
      <c r="AU372" s="73"/>
      <c r="AW372" s="71"/>
      <c r="AX372" s="71"/>
      <c r="AY372" s="71"/>
      <c r="AZ372" s="72"/>
      <c r="BA372" s="73"/>
    </row>
    <row r="373" spans="1:53" s="97" customFormat="1" ht="17.100000000000001" customHeight="1" x14ac:dyDescent="0.25">
      <c r="A373" s="138"/>
      <c r="B373" s="138"/>
      <c r="C373" s="139"/>
      <c r="D373" s="12"/>
      <c r="E373" s="12"/>
      <c r="F373" s="93"/>
      <c r="G373" s="93"/>
      <c r="H373" s="92"/>
      <c r="I373" s="12"/>
      <c r="J373" s="95"/>
      <c r="K373" s="95"/>
      <c r="L373" s="95"/>
      <c r="M373" s="95"/>
      <c r="N373" s="95"/>
      <c r="O373" s="95"/>
      <c r="P373" s="95"/>
      <c r="Q373" s="95"/>
      <c r="R373" s="95"/>
      <c r="S373" s="95"/>
      <c r="T373" s="95"/>
      <c r="U373" s="95"/>
      <c r="V373" s="95"/>
      <c r="W373" s="378"/>
      <c r="X373" s="95"/>
      <c r="Y373" s="96"/>
      <c r="AE373" s="109"/>
      <c r="AF373" s="109"/>
      <c r="AG373" s="109"/>
      <c r="AH373" s="96"/>
      <c r="AK373" s="109"/>
      <c r="AL373" s="109"/>
      <c r="AM373" s="109"/>
      <c r="AN373" s="96"/>
      <c r="AQ373" s="109"/>
      <c r="AR373" s="109"/>
      <c r="AS373" s="109"/>
      <c r="AT373" s="96"/>
      <c r="AW373" s="109"/>
      <c r="AX373" s="109"/>
      <c r="AY373" s="109"/>
      <c r="AZ373" s="96"/>
    </row>
    <row r="374" spans="1:53" s="32" customFormat="1" ht="16.5" thickBot="1" x14ac:dyDescent="0.3">
      <c r="A374" s="24" t="s">
        <v>183</v>
      </c>
      <c r="B374" s="25" t="s">
        <v>184</v>
      </c>
      <c r="C374" s="26"/>
      <c r="D374" s="27"/>
      <c r="E374" s="27"/>
      <c r="F374" s="27"/>
      <c r="G374" s="27"/>
      <c r="H374" s="266"/>
      <c r="I374" s="228"/>
      <c r="J374" s="140"/>
      <c r="K374" s="140"/>
      <c r="L374" s="140"/>
      <c r="M374" s="140"/>
      <c r="N374" s="140"/>
      <c r="O374" s="140"/>
      <c r="P374" s="140"/>
      <c r="Q374" s="140"/>
      <c r="R374" s="140"/>
      <c r="S374" s="140"/>
      <c r="T374" s="140"/>
      <c r="U374" s="140"/>
      <c r="V374" s="365"/>
      <c r="W374" s="379"/>
      <c r="X374" s="140"/>
      <c r="Y374" s="30" t="s">
        <v>4</v>
      </c>
      <c r="Z374" s="30" t="s">
        <v>5</v>
      </c>
      <c r="AA374" s="30"/>
      <c r="AB374" s="30"/>
      <c r="AC374" s="29"/>
      <c r="AE374" s="33" t="s">
        <v>181</v>
      </c>
      <c r="AF374" s="33" t="s">
        <v>182</v>
      </c>
      <c r="AG374" s="33" t="s">
        <v>6</v>
      </c>
      <c r="AH374" s="33" t="s">
        <v>4</v>
      </c>
      <c r="AI374" s="34" t="s">
        <v>5</v>
      </c>
      <c r="AJ374" s="408"/>
      <c r="AK374" s="36" t="s">
        <v>181</v>
      </c>
      <c r="AL374" s="36" t="s">
        <v>182</v>
      </c>
      <c r="AM374" s="36" t="s">
        <v>6</v>
      </c>
      <c r="AN374" s="36" t="s">
        <v>4</v>
      </c>
      <c r="AO374" s="37" t="s">
        <v>5</v>
      </c>
      <c r="AP374" s="408"/>
      <c r="AQ374" s="36"/>
      <c r="AR374" s="36"/>
      <c r="AS374" s="36"/>
      <c r="AT374" s="36"/>
      <c r="AU374" s="37"/>
      <c r="AV374" s="408"/>
      <c r="AW374" s="38" t="s">
        <v>181</v>
      </c>
      <c r="AX374" s="38" t="s">
        <v>182</v>
      </c>
      <c r="AY374" s="38" t="s">
        <v>6</v>
      </c>
      <c r="AZ374" s="38" t="s">
        <v>4</v>
      </c>
      <c r="BA374" s="39" t="s">
        <v>5</v>
      </c>
    </row>
    <row r="375" spans="1:53" ht="17.100000000000001" customHeight="1" x14ac:dyDescent="0.25">
      <c r="A375" s="68"/>
      <c r="B375" s="41" t="s">
        <v>185</v>
      </c>
      <c r="C375" s="69" t="s">
        <v>186</v>
      </c>
      <c r="D375" s="50"/>
      <c r="E375" s="70"/>
      <c r="F375" s="265"/>
      <c r="G375" s="265"/>
      <c r="H375" s="253"/>
      <c r="J375" s="71"/>
      <c r="K375" s="71"/>
      <c r="L375" s="71"/>
      <c r="M375" s="71"/>
      <c r="N375" s="71"/>
      <c r="O375" s="71"/>
      <c r="P375" s="71"/>
      <c r="Q375" s="71"/>
      <c r="R375" s="71"/>
      <c r="S375" s="71"/>
      <c r="T375" s="71"/>
      <c r="U375" s="71"/>
      <c r="V375" s="355"/>
      <c r="W375" s="377"/>
      <c r="X375" s="71"/>
      <c r="Y375" s="72"/>
      <c r="Z375" s="73"/>
      <c r="AA375" s="73"/>
      <c r="AB375" s="73"/>
      <c r="AC375" s="73"/>
      <c r="AE375" s="71"/>
      <c r="AF375" s="71"/>
      <c r="AG375" s="71"/>
      <c r="AH375" s="72"/>
      <c r="AI375" s="73"/>
      <c r="AK375" s="71"/>
      <c r="AL375" s="71"/>
      <c r="AM375" s="71"/>
      <c r="AN375" s="72"/>
      <c r="AO375" s="73"/>
      <c r="AQ375" s="71"/>
      <c r="AR375" s="71"/>
      <c r="AS375" s="71"/>
      <c r="AT375" s="72"/>
      <c r="AU375" s="73"/>
      <c r="AW375" s="71"/>
      <c r="AX375" s="71"/>
      <c r="AY375" s="71"/>
      <c r="AZ375" s="72"/>
      <c r="BA375" s="73"/>
    </row>
    <row r="376" spans="1:53" ht="17.100000000000001" customHeight="1" x14ac:dyDescent="0.25">
      <c r="A376" s="40"/>
      <c r="B376" s="40"/>
      <c r="C376" s="74" t="s">
        <v>187</v>
      </c>
      <c r="D376" s="75" t="s">
        <v>129</v>
      </c>
      <c r="E376" s="105"/>
      <c r="F376" s="105"/>
      <c r="G376" s="105"/>
      <c r="H376" s="119"/>
      <c r="I376" s="231"/>
      <c r="J376" s="111"/>
      <c r="K376" s="111"/>
      <c r="L376" s="111"/>
      <c r="M376" s="111"/>
      <c r="N376" s="60"/>
      <c r="O376" s="60"/>
      <c r="P376" s="17">
        <f>SUM(N376:O376)</f>
        <v>0</v>
      </c>
      <c r="Q376" s="60"/>
      <c r="R376" s="60"/>
      <c r="S376" s="17">
        <f>SUM(Q376:R376)</f>
        <v>0</v>
      </c>
      <c r="T376" s="60"/>
      <c r="U376" s="60"/>
      <c r="V376" s="359">
        <f>SUM(T376:U376)</f>
        <v>0</v>
      </c>
      <c r="W376" s="391">
        <f t="shared" ref="W376:W378" si="423">J376+K376+N376+Q376+T376</f>
        <v>0</v>
      </c>
      <c r="X376" s="17">
        <f t="shared" ref="X376:X378" si="424">L376+O376+R376+U376</f>
        <v>0</v>
      </c>
      <c r="Y376" s="18">
        <f>SUM(W376:X376)</f>
        <v>0</v>
      </c>
      <c r="Z376" s="19">
        <f>IF(Y$379=0,0,Y376/Y$379)</f>
        <v>0</v>
      </c>
      <c r="AA376" s="19"/>
      <c r="AB376" s="19"/>
      <c r="AC376" s="17"/>
      <c r="AE376" s="111"/>
      <c r="AF376" s="111"/>
      <c r="AG376" s="111"/>
      <c r="AH376" s="112"/>
      <c r="AI376" s="113"/>
      <c r="AK376" s="111"/>
      <c r="AL376" s="111"/>
      <c r="AM376" s="111"/>
      <c r="AN376" s="112"/>
      <c r="AO376" s="113"/>
      <c r="AQ376" s="17"/>
      <c r="AR376" s="17"/>
      <c r="AS376" s="17"/>
      <c r="AT376" s="18">
        <f t="shared" ref="AT376:AT378" si="425">W376</f>
        <v>0</v>
      </c>
      <c r="AU376" s="19">
        <f>IF(AT$379=0,0,AT376/AT$379)</f>
        <v>0</v>
      </c>
      <c r="AW376" s="17"/>
      <c r="AX376" s="17"/>
      <c r="AY376" s="17"/>
      <c r="AZ376" s="18">
        <f t="shared" ref="AZ376:AZ378" si="426">X376</f>
        <v>0</v>
      </c>
      <c r="BA376" s="19">
        <f>IF(AZ$379=0,0,AZ376/AZ$379)</f>
        <v>0</v>
      </c>
    </row>
    <row r="377" spans="1:53" ht="17.100000000000001" customHeight="1" x14ac:dyDescent="0.25">
      <c r="A377" s="40"/>
      <c r="B377" s="40"/>
      <c r="C377" s="74" t="s">
        <v>188</v>
      </c>
      <c r="D377" s="85" t="s">
        <v>189</v>
      </c>
      <c r="E377" s="75"/>
      <c r="F377" s="75"/>
      <c r="G377" s="75"/>
      <c r="H377" s="540"/>
      <c r="I377" s="229"/>
      <c r="J377" s="111"/>
      <c r="K377" s="111"/>
      <c r="L377" s="111"/>
      <c r="M377" s="111"/>
      <c r="N377" s="61">
        <v>1</v>
      </c>
      <c r="O377" s="61">
        <v>4</v>
      </c>
      <c r="P377" s="17">
        <f t="shared" ref="P377:P378" si="427">SUM(N377:O377)</f>
        <v>5</v>
      </c>
      <c r="Q377" s="61"/>
      <c r="R377" s="61"/>
      <c r="S377" s="17">
        <f t="shared" ref="S377:S378" si="428">SUM(Q377:R377)</f>
        <v>0</v>
      </c>
      <c r="T377" s="61"/>
      <c r="U377" s="61"/>
      <c r="V377" s="359">
        <f t="shared" ref="V377:V378" si="429">SUM(T377:U377)</f>
        <v>0</v>
      </c>
      <c r="W377" s="391">
        <f t="shared" si="423"/>
        <v>1</v>
      </c>
      <c r="X377" s="17">
        <f t="shared" si="424"/>
        <v>4</v>
      </c>
      <c r="Y377" s="18">
        <f>SUM(W377:X377)</f>
        <v>5</v>
      </c>
      <c r="Z377" s="19">
        <f t="shared" ref="Z377:Z379" si="430">IF(Y$379=0,0,Y377/Y$379)</f>
        <v>0.35714285714285715</v>
      </c>
      <c r="AA377" s="19"/>
      <c r="AB377" s="19"/>
      <c r="AC377" s="17"/>
      <c r="AE377" s="111"/>
      <c r="AF377" s="111"/>
      <c r="AG377" s="111"/>
      <c r="AH377" s="112"/>
      <c r="AI377" s="113"/>
      <c r="AK377" s="111"/>
      <c r="AL377" s="111"/>
      <c r="AM377" s="111"/>
      <c r="AN377" s="112"/>
      <c r="AO377" s="113"/>
      <c r="AQ377" s="17"/>
      <c r="AR377" s="17"/>
      <c r="AS377" s="17"/>
      <c r="AT377" s="18">
        <f t="shared" si="425"/>
        <v>1</v>
      </c>
      <c r="AU377" s="19">
        <f t="shared" ref="AU377:AU379" si="431">IF(AT$379=0,0,AT377/AT$379)</f>
        <v>0.25</v>
      </c>
      <c r="AW377" s="17"/>
      <c r="AX377" s="17"/>
      <c r="AY377" s="17"/>
      <c r="AZ377" s="18">
        <f t="shared" si="426"/>
        <v>4</v>
      </c>
      <c r="BA377" s="19">
        <f t="shared" ref="BA377:BA379" si="432">IF(AZ$379=0,0,AZ377/AZ$379)</f>
        <v>0.4</v>
      </c>
    </row>
    <row r="378" spans="1:53" ht="17.100000000000001" customHeight="1" x14ac:dyDescent="0.25">
      <c r="A378" s="40"/>
      <c r="B378" s="40"/>
      <c r="C378" s="74" t="s">
        <v>190</v>
      </c>
      <c r="D378" s="146" t="s">
        <v>494</v>
      </c>
      <c r="E378" s="75"/>
      <c r="F378" s="75"/>
      <c r="G378" s="75"/>
      <c r="H378" s="540"/>
      <c r="I378" s="229"/>
      <c r="J378" s="111"/>
      <c r="K378" s="111"/>
      <c r="L378" s="111"/>
      <c r="M378" s="111"/>
      <c r="N378" s="60"/>
      <c r="O378" s="60">
        <v>1</v>
      </c>
      <c r="P378" s="17">
        <f t="shared" si="427"/>
        <v>1</v>
      </c>
      <c r="Q378" s="60">
        <v>3</v>
      </c>
      <c r="R378" s="60">
        <v>5</v>
      </c>
      <c r="S378" s="17">
        <f t="shared" si="428"/>
        <v>8</v>
      </c>
      <c r="T378" s="60"/>
      <c r="U378" s="60"/>
      <c r="V378" s="359">
        <f t="shared" si="429"/>
        <v>0</v>
      </c>
      <c r="W378" s="391">
        <f t="shared" si="423"/>
        <v>3</v>
      </c>
      <c r="X378" s="17">
        <f t="shared" si="424"/>
        <v>6</v>
      </c>
      <c r="Y378" s="18">
        <f>SUM(W378:X378)</f>
        <v>9</v>
      </c>
      <c r="Z378" s="19">
        <f t="shared" si="430"/>
        <v>0.6428571428571429</v>
      </c>
      <c r="AA378" s="19"/>
      <c r="AB378" s="19"/>
      <c r="AC378" s="17"/>
      <c r="AE378" s="111"/>
      <c r="AF378" s="111"/>
      <c r="AG378" s="111"/>
      <c r="AH378" s="112"/>
      <c r="AI378" s="113"/>
      <c r="AK378" s="111"/>
      <c r="AL378" s="111"/>
      <c r="AM378" s="111"/>
      <c r="AN378" s="112"/>
      <c r="AO378" s="113"/>
      <c r="AQ378" s="17"/>
      <c r="AR378" s="17"/>
      <c r="AS378" s="17"/>
      <c r="AT378" s="18">
        <f t="shared" si="425"/>
        <v>3</v>
      </c>
      <c r="AU378" s="19">
        <f t="shared" si="431"/>
        <v>0.75</v>
      </c>
      <c r="AW378" s="17"/>
      <c r="AX378" s="17"/>
      <c r="AY378" s="17"/>
      <c r="AZ378" s="18">
        <f t="shared" si="426"/>
        <v>6</v>
      </c>
      <c r="BA378" s="19">
        <f t="shared" si="432"/>
        <v>0.6</v>
      </c>
    </row>
    <row r="379" spans="1:53" ht="17.100000000000001" customHeight="1" x14ac:dyDescent="0.25">
      <c r="A379" s="40"/>
      <c r="B379" s="40"/>
      <c r="C379" s="77"/>
      <c r="D379" s="134"/>
      <c r="E379" s="134"/>
      <c r="F379" s="134"/>
      <c r="G379" s="134"/>
      <c r="H379" s="540"/>
      <c r="I379" s="229"/>
      <c r="J379" s="64"/>
      <c r="K379" s="64"/>
      <c r="L379" s="81"/>
      <c r="M379" s="81"/>
      <c r="N379" s="81">
        <f>SUM(N376:N378)</f>
        <v>1</v>
      </c>
      <c r="O379" s="81">
        <f t="shared" ref="O379:V379" si="433">SUM(O376:O378)</f>
        <v>5</v>
      </c>
      <c r="P379" s="81">
        <f t="shared" si="433"/>
        <v>6</v>
      </c>
      <c r="Q379" s="81">
        <f t="shared" si="433"/>
        <v>3</v>
      </c>
      <c r="R379" s="81">
        <f t="shared" si="433"/>
        <v>5</v>
      </c>
      <c r="S379" s="81">
        <f t="shared" si="433"/>
        <v>8</v>
      </c>
      <c r="T379" s="81">
        <f t="shared" si="433"/>
        <v>0</v>
      </c>
      <c r="U379" s="81">
        <f t="shared" si="433"/>
        <v>0</v>
      </c>
      <c r="V379" s="81">
        <f t="shared" si="433"/>
        <v>0</v>
      </c>
      <c r="W379" s="381">
        <f>SUM(W376:W378)</f>
        <v>4</v>
      </c>
      <c r="X379" s="82">
        <f t="shared" ref="X379:Y379" si="434">SUM(X376:X378)</f>
        <v>10</v>
      </c>
      <c r="Y379" s="82">
        <f t="shared" si="434"/>
        <v>14</v>
      </c>
      <c r="Z379" s="205">
        <f t="shared" si="430"/>
        <v>1</v>
      </c>
      <c r="AA379" s="205"/>
      <c r="AB379" s="205"/>
      <c r="AC379" s="83"/>
      <c r="AE379" s="80"/>
      <c r="AF379" s="80"/>
      <c r="AG379" s="81"/>
      <c r="AH379" s="82"/>
      <c r="AI379" s="66"/>
      <c r="AK379" s="80"/>
      <c r="AL379" s="80"/>
      <c r="AM379" s="81"/>
      <c r="AN379" s="82"/>
      <c r="AO379" s="66"/>
      <c r="AQ379" s="80"/>
      <c r="AR379" s="80"/>
      <c r="AS379" s="81"/>
      <c r="AT379" s="82">
        <f>SUM(AT376:AT378)</f>
        <v>4</v>
      </c>
      <c r="AU379" s="66">
        <f t="shared" si="431"/>
        <v>1</v>
      </c>
      <c r="AW379" s="80"/>
      <c r="AX379" s="80"/>
      <c r="AY379" s="81"/>
      <c r="AZ379" s="82">
        <f>SUM(AZ376:AZ378)</f>
        <v>10</v>
      </c>
      <c r="BA379" s="66">
        <f t="shared" si="432"/>
        <v>1</v>
      </c>
    </row>
    <row r="380" spans="1:53" s="117" customFormat="1" ht="17.100000000000001" customHeight="1" x14ac:dyDescent="0.25">
      <c r="A380" s="68"/>
      <c r="B380" s="119"/>
      <c r="C380" s="540"/>
      <c r="D380" s="261"/>
      <c r="E380" s="261"/>
      <c r="F380" s="68"/>
      <c r="G380" s="68"/>
      <c r="H380" s="119"/>
      <c r="I380" s="138"/>
      <c r="J380" s="17"/>
      <c r="K380" s="17"/>
      <c r="L380" s="17"/>
      <c r="M380" s="17"/>
      <c r="N380" s="17" t="str">
        <f>IF(N379=N$20,"OK","NOK")</f>
        <v>OK</v>
      </c>
      <c r="O380" s="17" t="str">
        <f>IF(O379=O$20,"OK","NOK")</f>
        <v>OK</v>
      </c>
      <c r="P380" s="17"/>
      <c r="Q380" s="17" t="str">
        <f>IF(Q379=Q$20,"OK","NOK")</f>
        <v>OK</v>
      </c>
      <c r="R380" s="17" t="str">
        <f>IF(R379=R$20,"OK","NOK")</f>
        <v>OK</v>
      </c>
      <c r="S380" s="17"/>
      <c r="T380" s="17" t="str">
        <f>IF(T379=T$20,"OK","NOK")</f>
        <v>OK</v>
      </c>
      <c r="U380" s="17" t="str">
        <f>IF(U379=U$20,"OK","NOK")</f>
        <v>OK</v>
      </c>
      <c r="V380" s="359"/>
      <c r="W380" s="382"/>
      <c r="X380" s="539"/>
      <c r="Y380" s="539"/>
      <c r="Z380" s="201"/>
      <c r="AA380" s="201"/>
      <c r="AB380" s="201"/>
      <c r="AC380" s="84"/>
      <c r="AE380" s="46"/>
      <c r="AF380" s="46"/>
      <c r="AG380" s="17"/>
      <c r="AH380" s="539"/>
      <c r="AI380" s="91"/>
      <c r="AK380" s="46"/>
      <c r="AL380" s="46"/>
      <c r="AM380" s="17"/>
      <c r="AN380" s="539"/>
      <c r="AO380" s="91"/>
      <c r="AQ380" s="46"/>
      <c r="AR380" s="46"/>
      <c r="AS380" s="17"/>
      <c r="AT380" s="539"/>
      <c r="AU380" s="91"/>
      <c r="AW380" s="46"/>
      <c r="AX380" s="46"/>
      <c r="AY380" s="17"/>
      <c r="AZ380" s="539"/>
      <c r="BA380" s="91"/>
    </row>
    <row r="381" spans="1:53" ht="17.100000000000001" customHeight="1" x14ac:dyDescent="0.25">
      <c r="A381" s="40"/>
      <c r="B381" s="40"/>
      <c r="C381" s="40"/>
      <c r="D381" s="146" t="s">
        <v>472</v>
      </c>
      <c r="E381" s="75"/>
      <c r="F381" s="75"/>
      <c r="G381" s="75"/>
      <c r="H381" s="74"/>
      <c r="I381" s="229"/>
      <c r="J381" s="174"/>
      <c r="K381" s="174"/>
      <c r="L381" s="111"/>
      <c r="M381" s="111"/>
      <c r="N381" s="111"/>
      <c r="O381" s="111"/>
      <c r="P381" s="111"/>
      <c r="Q381" s="111"/>
      <c r="R381" s="111"/>
      <c r="S381" s="111"/>
      <c r="T381" s="111"/>
      <c r="U381" s="111"/>
      <c r="V381" s="358"/>
      <c r="W381" s="385"/>
      <c r="X381" s="545"/>
      <c r="Y381" s="545"/>
      <c r="Z381" s="172"/>
      <c r="AA381" s="172"/>
      <c r="AB381" s="172"/>
      <c r="AC381" s="113"/>
      <c r="AE381" s="152"/>
      <c r="AF381" s="152"/>
      <c r="AG381" s="111"/>
      <c r="AH381" s="545"/>
      <c r="AI381" s="131"/>
      <c r="AK381" s="152"/>
      <c r="AL381" s="152"/>
      <c r="AM381" s="111"/>
      <c r="AN381" s="545"/>
      <c r="AO381" s="131"/>
      <c r="AQ381" s="152"/>
      <c r="AR381" s="152"/>
      <c r="AS381" s="111"/>
      <c r="AT381" s="545"/>
      <c r="AU381" s="131"/>
      <c r="AW381" s="152"/>
      <c r="AX381" s="152"/>
      <c r="AY381" s="111"/>
      <c r="AZ381" s="545"/>
      <c r="BA381" s="131"/>
    </row>
    <row r="382" spans="1:53" ht="17.100000000000001" customHeight="1" x14ac:dyDescent="0.25">
      <c r="A382" s="40"/>
      <c r="B382" s="40"/>
      <c r="C382" s="40"/>
      <c r="D382" s="74" t="s">
        <v>191</v>
      </c>
      <c r="E382" s="1398" t="s">
        <v>471</v>
      </c>
      <c r="F382" s="1399"/>
      <c r="G382" s="1399"/>
      <c r="H382" s="242"/>
      <c r="I382" s="230"/>
      <c r="J382" s="111"/>
      <c r="K382" s="111"/>
      <c r="L382" s="111"/>
      <c r="M382" s="111"/>
      <c r="N382" s="60"/>
      <c r="O382" s="60"/>
      <c r="P382" s="17">
        <f>SUM(N382:O382)</f>
        <v>0</v>
      </c>
      <c r="Q382" s="60"/>
      <c r="R382" s="60"/>
      <c r="S382" s="17">
        <f>SUM(Q382:R382)</f>
        <v>0</v>
      </c>
      <c r="T382" s="60"/>
      <c r="U382" s="60"/>
      <c r="V382" s="359">
        <f>SUM(T382:U382)</f>
        <v>0</v>
      </c>
      <c r="W382" s="391">
        <f t="shared" ref="W382:W395" si="435">J382+K382+N382+Q382+T382</f>
        <v>0</v>
      </c>
      <c r="X382" s="17">
        <f t="shared" ref="X382:X395" si="436">L382+O382+R382+U382</f>
        <v>0</v>
      </c>
      <c r="Y382" s="18">
        <f t="shared" ref="Y382:Y395" si="437">SUM(W382:X382)</f>
        <v>0</v>
      </c>
      <c r="Z382" s="19">
        <f t="shared" ref="Z382:Z395" si="438">IF(Y$400=0,0,Y382/Y$400)</f>
        <v>0</v>
      </c>
      <c r="AA382" s="19"/>
      <c r="AB382" s="19"/>
      <c r="AC382" s="20"/>
      <c r="AE382" s="111"/>
      <c r="AF382" s="111"/>
      <c r="AG382" s="111"/>
      <c r="AH382" s="112"/>
      <c r="AI382" s="113"/>
      <c r="AK382" s="111"/>
      <c r="AL382" s="111"/>
      <c r="AM382" s="111"/>
      <c r="AN382" s="112"/>
      <c r="AO382" s="113"/>
      <c r="AQ382" s="17"/>
      <c r="AR382" s="17"/>
      <c r="AS382" s="17"/>
      <c r="AT382" s="18">
        <f t="shared" ref="AT382:AT395" si="439">W382</f>
        <v>0</v>
      </c>
      <c r="AU382" s="19">
        <f t="shared" ref="AU382:AU395" si="440">IF(AT$400=0,0,AT382/AT$400)</f>
        <v>0</v>
      </c>
      <c r="AW382" s="17"/>
      <c r="AX382" s="17"/>
      <c r="AY382" s="17"/>
      <c r="AZ382" s="18">
        <f t="shared" ref="AZ382:AZ395" si="441">X382</f>
        <v>0</v>
      </c>
      <c r="BA382" s="19">
        <f t="shared" ref="BA382:BA395" si="442">IF(AZ$400=0,0,AZ382/AZ$400)</f>
        <v>0</v>
      </c>
    </row>
    <row r="383" spans="1:53" ht="17.100000000000001" customHeight="1" x14ac:dyDescent="0.25">
      <c r="A383" s="40"/>
      <c r="B383" s="40"/>
      <c r="C383" s="40"/>
      <c r="D383" s="74" t="s">
        <v>192</v>
      </c>
      <c r="E383" s="75" t="s">
        <v>462</v>
      </c>
      <c r="F383" s="75"/>
      <c r="G383" s="75"/>
      <c r="H383" s="540"/>
      <c r="I383" s="229"/>
      <c r="J383" s="111"/>
      <c r="K383" s="111"/>
      <c r="L383" s="111"/>
      <c r="M383" s="111"/>
      <c r="N383" s="61"/>
      <c r="O383" s="61"/>
      <c r="P383" s="17">
        <f t="shared" ref="P383:P395" si="443">SUM(N383:O383)</f>
        <v>0</v>
      </c>
      <c r="Q383" s="61"/>
      <c r="R383" s="61"/>
      <c r="S383" s="17">
        <f t="shared" ref="S383:S395" si="444">SUM(Q383:R383)</f>
        <v>0</v>
      </c>
      <c r="T383" s="61"/>
      <c r="U383" s="61"/>
      <c r="V383" s="359">
        <f t="shared" ref="V383:V395" si="445">SUM(T383:U383)</f>
        <v>0</v>
      </c>
      <c r="W383" s="391">
        <f t="shared" si="435"/>
        <v>0</v>
      </c>
      <c r="X383" s="17">
        <f t="shared" si="436"/>
        <v>0</v>
      </c>
      <c r="Y383" s="18">
        <f t="shared" si="437"/>
        <v>0</v>
      </c>
      <c r="Z383" s="19">
        <f t="shared" si="438"/>
        <v>0</v>
      </c>
      <c r="AA383" s="19"/>
      <c r="AB383" s="19"/>
      <c r="AC383" s="20"/>
      <c r="AE383" s="111"/>
      <c r="AF383" s="111"/>
      <c r="AG383" s="111"/>
      <c r="AH383" s="112"/>
      <c r="AI383" s="113"/>
      <c r="AK383" s="111"/>
      <c r="AL383" s="111"/>
      <c r="AM383" s="111"/>
      <c r="AN383" s="112"/>
      <c r="AO383" s="113"/>
      <c r="AQ383" s="17"/>
      <c r="AR383" s="17"/>
      <c r="AS383" s="17"/>
      <c r="AT383" s="18">
        <f t="shared" si="439"/>
        <v>0</v>
      </c>
      <c r="AU383" s="19">
        <f t="shared" si="440"/>
        <v>0</v>
      </c>
      <c r="AW383" s="17"/>
      <c r="AX383" s="17"/>
      <c r="AY383" s="17"/>
      <c r="AZ383" s="18">
        <f t="shared" si="441"/>
        <v>0</v>
      </c>
      <c r="BA383" s="19">
        <f t="shared" si="442"/>
        <v>0</v>
      </c>
    </row>
    <row r="384" spans="1:53" ht="17.100000000000001" customHeight="1" x14ac:dyDescent="0.25">
      <c r="A384" s="40"/>
      <c r="B384" s="40"/>
      <c r="C384" s="40"/>
      <c r="D384" s="74" t="s">
        <v>193</v>
      </c>
      <c r="E384" s="1398" t="s">
        <v>463</v>
      </c>
      <c r="F384" s="1399"/>
      <c r="G384" s="1399"/>
      <c r="H384" s="242"/>
      <c r="I384" s="230"/>
      <c r="J384" s="111"/>
      <c r="K384" s="111"/>
      <c r="L384" s="111"/>
      <c r="M384" s="111"/>
      <c r="N384" s="60"/>
      <c r="O384" s="60"/>
      <c r="P384" s="17">
        <f t="shared" si="443"/>
        <v>0</v>
      </c>
      <c r="Q384" s="60"/>
      <c r="R384" s="60"/>
      <c r="S384" s="17">
        <f t="shared" si="444"/>
        <v>0</v>
      </c>
      <c r="T384" s="60"/>
      <c r="U384" s="60"/>
      <c r="V384" s="359">
        <f t="shared" si="445"/>
        <v>0</v>
      </c>
      <c r="W384" s="391">
        <f t="shared" si="435"/>
        <v>0</v>
      </c>
      <c r="X384" s="17">
        <f t="shared" si="436"/>
        <v>0</v>
      </c>
      <c r="Y384" s="18">
        <f t="shared" si="437"/>
        <v>0</v>
      </c>
      <c r="Z384" s="19">
        <f t="shared" si="438"/>
        <v>0</v>
      </c>
      <c r="AA384" s="19"/>
      <c r="AB384" s="19"/>
      <c r="AC384" s="20"/>
      <c r="AE384" s="111"/>
      <c r="AF384" s="111"/>
      <c r="AG384" s="111"/>
      <c r="AH384" s="112"/>
      <c r="AI384" s="113"/>
      <c r="AK384" s="111"/>
      <c r="AL384" s="111"/>
      <c r="AM384" s="111"/>
      <c r="AN384" s="112"/>
      <c r="AO384" s="113"/>
      <c r="AQ384" s="17"/>
      <c r="AR384" s="17"/>
      <c r="AS384" s="17"/>
      <c r="AT384" s="18">
        <f t="shared" si="439"/>
        <v>0</v>
      </c>
      <c r="AU384" s="19">
        <f t="shared" si="440"/>
        <v>0</v>
      </c>
      <c r="AW384" s="17"/>
      <c r="AX384" s="17"/>
      <c r="AY384" s="17"/>
      <c r="AZ384" s="18">
        <f t="shared" si="441"/>
        <v>0</v>
      </c>
      <c r="BA384" s="19">
        <f t="shared" si="442"/>
        <v>0</v>
      </c>
    </row>
    <row r="385" spans="1:53" ht="17.100000000000001" customHeight="1" x14ac:dyDescent="0.25">
      <c r="A385" s="40"/>
      <c r="B385" s="40"/>
      <c r="C385" s="40"/>
      <c r="D385" s="74" t="s">
        <v>194</v>
      </c>
      <c r="E385" s="75" t="s">
        <v>464</v>
      </c>
      <c r="F385" s="75"/>
      <c r="G385" s="75"/>
      <c r="H385" s="540"/>
      <c r="I385" s="229"/>
      <c r="J385" s="111"/>
      <c r="K385" s="111"/>
      <c r="L385" s="111"/>
      <c r="M385" s="111"/>
      <c r="N385" s="61"/>
      <c r="O385" s="61"/>
      <c r="P385" s="17">
        <f t="shared" si="443"/>
        <v>0</v>
      </c>
      <c r="Q385" s="61"/>
      <c r="R385" s="61"/>
      <c r="S385" s="17">
        <f t="shared" si="444"/>
        <v>0</v>
      </c>
      <c r="T385" s="61"/>
      <c r="U385" s="61"/>
      <c r="V385" s="359">
        <f t="shared" si="445"/>
        <v>0</v>
      </c>
      <c r="W385" s="391">
        <f t="shared" si="435"/>
        <v>0</v>
      </c>
      <c r="X385" s="17">
        <f t="shared" si="436"/>
        <v>0</v>
      </c>
      <c r="Y385" s="18">
        <f t="shared" si="437"/>
        <v>0</v>
      </c>
      <c r="Z385" s="19">
        <f t="shared" si="438"/>
        <v>0</v>
      </c>
      <c r="AA385" s="19"/>
      <c r="AB385" s="19"/>
      <c r="AC385" s="20"/>
      <c r="AE385" s="111"/>
      <c r="AF385" s="111"/>
      <c r="AG385" s="111"/>
      <c r="AH385" s="112"/>
      <c r="AI385" s="113"/>
      <c r="AK385" s="111"/>
      <c r="AL385" s="111"/>
      <c r="AM385" s="111"/>
      <c r="AN385" s="112"/>
      <c r="AO385" s="113"/>
      <c r="AQ385" s="17"/>
      <c r="AR385" s="17"/>
      <c r="AS385" s="17"/>
      <c r="AT385" s="18">
        <f t="shared" si="439"/>
        <v>0</v>
      </c>
      <c r="AU385" s="19">
        <f t="shared" si="440"/>
        <v>0</v>
      </c>
      <c r="AW385" s="17"/>
      <c r="AX385" s="17"/>
      <c r="AY385" s="17"/>
      <c r="AZ385" s="18">
        <f t="shared" si="441"/>
        <v>0</v>
      </c>
      <c r="BA385" s="19">
        <f t="shared" si="442"/>
        <v>0</v>
      </c>
    </row>
    <row r="386" spans="1:53" ht="17.100000000000001" customHeight="1" x14ac:dyDescent="0.25">
      <c r="A386" s="40"/>
      <c r="B386" s="40"/>
      <c r="C386" s="40"/>
      <c r="D386" s="74" t="s">
        <v>195</v>
      </c>
      <c r="E386" s="75" t="s">
        <v>465</v>
      </c>
      <c r="F386" s="75"/>
      <c r="G386" s="75"/>
      <c r="H386" s="540"/>
      <c r="I386" s="229"/>
      <c r="J386" s="111"/>
      <c r="K386" s="111"/>
      <c r="L386" s="111"/>
      <c r="M386" s="111"/>
      <c r="N386" s="60"/>
      <c r="O386" s="60"/>
      <c r="P386" s="17">
        <f t="shared" si="443"/>
        <v>0</v>
      </c>
      <c r="Q386" s="60"/>
      <c r="R386" s="60"/>
      <c r="S386" s="17">
        <f t="shared" si="444"/>
        <v>0</v>
      </c>
      <c r="T386" s="60"/>
      <c r="U386" s="60"/>
      <c r="V386" s="359">
        <f t="shared" si="445"/>
        <v>0</v>
      </c>
      <c r="W386" s="391">
        <f t="shared" si="435"/>
        <v>0</v>
      </c>
      <c r="X386" s="17">
        <f t="shared" si="436"/>
        <v>0</v>
      </c>
      <c r="Y386" s="18">
        <f t="shared" si="437"/>
        <v>0</v>
      </c>
      <c r="Z386" s="19">
        <f t="shared" si="438"/>
        <v>0</v>
      </c>
      <c r="AA386" s="19"/>
      <c r="AB386" s="19"/>
      <c r="AC386" s="20"/>
      <c r="AE386" s="111"/>
      <c r="AF386" s="111"/>
      <c r="AG386" s="111"/>
      <c r="AH386" s="112"/>
      <c r="AI386" s="113"/>
      <c r="AK386" s="111"/>
      <c r="AL386" s="111"/>
      <c r="AM386" s="111"/>
      <c r="AN386" s="112"/>
      <c r="AO386" s="113"/>
      <c r="AQ386" s="17"/>
      <c r="AR386" s="17"/>
      <c r="AS386" s="17"/>
      <c r="AT386" s="18">
        <f t="shared" si="439"/>
        <v>0</v>
      </c>
      <c r="AU386" s="19">
        <f t="shared" si="440"/>
        <v>0</v>
      </c>
      <c r="AW386" s="17"/>
      <c r="AX386" s="17"/>
      <c r="AY386" s="17"/>
      <c r="AZ386" s="18">
        <f t="shared" si="441"/>
        <v>0</v>
      </c>
      <c r="BA386" s="19">
        <f t="shared" si="442"/>
        <v>0</v>
      </c>
    </row>
    <row r="387" spans="1:53" ht="17.100000000000001" customHeight="1" x14ac:dyDescent="0.25">
      <c r="A387" s="40"/>
      <c r="B387" s="40"/>
      <c r="C387" s="40"/>
      <c r="D387" s="74" t="s">
        <v>196</v>
      </c>
      <c r="E387" s="75" t="s">
        <v>466</v>
      </c>
      <c r="F387" s="75"/>
      <c r="G387" s="75"/>
      <c r="H387" s="540"/>
      <c r="I387" s="229"/>
      <c r="J387" s="111"/>
      <c r="K387" s="111"/>
      <c r="L387" s="111"/>
      <c r="M387" s="111"/>
      <c r="N387" s="61"/>
      <c r="O387" s="61"/>
      <c r="P387" s="17">
        <f t="shared" si="443"/>
        <v>0</v>
      </c>
      <c r="Q387" s="61"/>
      <c r="R387" s="61"/>
      <c r="S387" s="17">
        <f t="shared" si="444"/>
        <v>0</v>
      </c>
      <c r="T387" s="61"/>
      <c r="U387" s="61"/>
      <c r="V387" s="359">
        <f t="shared" si="445"/>
        <v>0</v>
      </c>
      <c r="W387" s="391">
        <f t="shared" si="435"/>
        <v>0</v>
      </c>
      <c r="X387" s="17">
        <f t="shared" si="436"/>
        <v>0</v>
      </c>
      <c r="Y387" s="18">
        <f t="shared" si="437"/>
        <v>0</v>
      </c>
      <c r="Z387" s="19">
        <f t="shared" si="438"/>
        <v>0</v>
      </c>
      <c r="AA387" s="19"/>
      <c r="AB387" s="19"/>
      <c r="AC387" s="20"/>
      <c r="AE387" s="111"/>
      <c r="AF387" s="111"/>
      <c r="AG387" s="111"/>
      <c r="AH387" s="112"/>
      <c r="AI387" s="113"/>
      <c r="AK387" s="111"/>
      <c r="AL387" s="111"/>
      <c r="AM387" s="111"/>
      <c r="AN387" s="112"/>
      <c r="AO387" s="113"/>
      <c r="AQ387" s="17"/>
      <c r="AR387" s="17"/>
      <c r="AS387" s="17"/>
      <c r="AT387" s="18">
        <f t="shared" si="439"/>
        <v>0</v>
      </c>
      <c r="AU387" s="19">
        <f t="shared" si="440"/>
        <v>0</v>
      </c>
      <c r="AW387" s="17"/>
      <c r="AX387" s="17"/>
      <c r="AY387" s="17"/>
      <c r="AZ387" s="18">
        <f t="shared" si="441"/>
        <v>0</v>
      </c>
      <c r="BA387" s="19">
        <f t="shared" si="442"/>
        <v>0</v>
      </c>
    </row>
    <row r="388" spans="1:53" ht="17.100000000000001" customHeight="1" x14ac:dyDescent="0.25">
      <c r="A388" s="40"/>
      <c r="B388" s="40"/>
      <c r="C388" s="40"/>
      <c r="D388" s="74" t="s">
        <v>197</v>
      </c>
      <c r="E388" s="75" t="s">
        <v>467</v>
      </c>
      <c r="F388" s="75"/>
      <c r="G388" s="75"/>
      <c r="H388" s="540"/>
      <c r="I388" s="229"/>
      <c r="J388" s="111"/>
      <c r="K388" s="111"/>
      <c r="L388" s="111"/>
      <c r="M388" s="111"/>
      <c r="N388" s="60"/>
      <c r="O388" s="60"/>
      <c r="P388" s="17">
        <f t="shared" si="443"/>
        <v>0</v>
      </c>
      <c r="Q388" s="60"/>
      <c r="R388" s="60"/>
      <c r="S388" s="17">
        <f t="shared" si="444"/>
        <v>0</v>
      </c>
      <c r="T388" s="60"/>
      <c r="U388" s="60"/>
      <c r="V388" s="359">
        <f t="shared" si="445"/>
        <v>0</v>
      </c>
      <c r="W388" s="391">
        <f t="shared" si="435"/>
        <v>0</v>
      </c>
      <c r="X388" s="17">
        <f t="shared" si="436"/>
        <v>0</v>
      </c>
      <c r="Y388" s="18">
        <f t="shared" si="437"/>
        <v>0</v>
      </c>
      <c r="Z388" s="19">
        <f t="shared" si="438"/>
        <v>0</v>
      </c>
      <c r="AA388" s="19"/>
      <c r="AB388" s="19"/>
      <c r="AC388" s="20"/>
      <c r="AE388" s="111"/>
      <c r="AF388" s="111"/>
      <c r="AG388" s="111"/>
      <c r="AH388" s="112"/>
      <c r="AI388" s="113"/>
      <c r="AK388" s="111"/>
      <c r="AL388" s="111"/>
      <c r="AM388" s="111"/>
      <c r="AN388" s="112"/>
      <c r="AO388" s="113"/>
      <c r="AQ388" s="17"/>
      <c r="AR388" s="17"/>
      <c r="AS388" s="17"/>
      <c r="AT388" s="18">
        <f t="shared" si="439"/>
        <v>0</v>
      </c>
      <c r="AU388" s="19">
        <f t="shared" si="440"/>
        <v>0</v>
      </c>
      <c r="AW388" s="17"/>
      <c r="AX388" s="17"/>
      <c r="AY388" s="17"/>
      <c r="AZ388" s="18">
        <f t="shared" si="441"/>
        <v>0</v>
      </c>
      <c r="BA388" s="19">
        <f t="shared" si="442"/>
        <v>0</v>
      </c>
    </row>
    <row r="389" spans="1:53" ht="17.100000000000001" customHeight="1" x14ac:dyDescent="0.25">
      <c r="A389" s="40"/>
      <c r="B389" s="40"/>
      <c r="C389" s="40"/>
      <c r="D389" s="74" t="s">
        <v>199</v>
      </c>
      <c r="E389" s="75" t="s">
        <v>749</v>
      </c>
      <c r="F389" s="75"/>
      <c r="G389" s="75"/>
      <c r="H389" s="540"/>
      <c r="I389" s="229"/>
      <c r="J389" s="111"/>
      <c r="K389" s="111"/>
      <c r="L389" s="111"/>
      <c r="M389" s="111"/>
      <c r="N389" s="61"/>
      <c r="O389" s="61"/>
      <c r="P389" s="17">
        <f t="shared" si="443"/>
        <v>0</v>
      </c>
      <c r="Q389" s="61"/>
      <c r="R389" s="61"/>
      <c r="S389" s="17">
        <f t="shared" si="444"/>
        <v>0</v>
      </c>
      <c r="T389" s="61"/>
      <c r="U389" s="61"/>
      <c r="V389" s="359">
        <f t="shared" si="445"/>
        <v>0</v>
      </c>
      <c r="W389" s="391">
        <f t="shared" si="435"/>
        <v>0</v>
      </c>
      <c r="X389" s="17">
        <f t="shared" si="436"/>
        <v>0</v>
      </c>
      <c r="Y389" s="18">
        <f t="shared" si="437"/>
        <v>0</v>
      </c>
      <c r="Z389" s="19">
        <f t="shared" si="438"/>
        <v>0</v>
      </c>
      <c r="AA389" s="19"/>
      <c r="AB389" s="19"/>
      <c r="AC389" s="20"/>
      <c r="AE389" s="111"/>
      <c r="AF389" s="111"/>
      <c r="AG389" s="111"/>
      <c r="AH389" s="112"/>
      <c r="AI389" s="113"/>
      <c r="AK389" s="111"/>
      <c r="AL389" s="111"/>
      <c r="AM389" s="111"/>
      <c r="AN389" s="112"/>
      <c r="AO389" s="113"/>
      <c r="AQ389" s="17"/>
      <c r="AR389" s="17"/>
      <c r="AS389" s="17"/>
      <c r="AT389" s="18">
        <f t="shared" si="439"/>
        <v>0</v>
      </c>
      <c r="AU389" s="19">
        <f t="shared" si="440"/>
        <v>0</v>
      </c>
      <c r="AW389" s="17"/>
      <c r="AX389" s="17"/>
      <c r="AY389" s="17"/>
      <c r="AZ389" s="18">
        <f t="shared" si="441"/>
        <v>0</v>
      </c>
      <c r="BA389" s="19">
        <f t="shared" si="442"/>
        <v>0</v>
      </c>
    </row>
    <row r="390" spans="1:53" ht="17.100000000000001" customHeight="1" x14ac:dyDescent="0.25">
      <c r="A390" s="40"/>
      <c r="B390" s="40"/>
      <c r="C390" s="40"/>
      <c r="D390" s="74" t="s">
        <v>200</v>
      </c>
      <c r="E390" s="75" t="s">
        <v>468</v>
      </c>
      <c r="F390" s="75"/>
      <c r="G390" s="75"/>
      <c r="H390" s="540"/>
      <c r="I390" s="229"/>
      <c r="J390" s="111"/>
      <c r="K390" s="111"/>
      <c r="L390" s="111"/>
      <c r="M390" s="111"/>
      <c r="N390" s="60"/>
      <c r="O390" s="60"/>
      <c r="P390" s="17">
        <f t="shared" si="443"/>
        <v>0</v>
      </c>
      <c r="Q390" s="60"/>
      <c r="R390" s="60"/>
      <c r="S390" s="17">
        <f t="shared" si="444"/>
        <v>0</v>
      </c>
      <c r="T390" s="60"/>
      <c r="U390" s="60"/>
      <c r="V390" s="359">
        <f t="shared" si="445"/>
        <v>0</v>
      </c>
      <c r="W390" s="391">
        <f t="shared" si="435"/>
        <v>0</v>
      </c>
      <c r="X390" s="17">
        <f t="shared" si="436"/>
        <v>0</v>
      </c>
      <c r="Y390" s="18">
        <f t="shared" si="437"/>
        <v>0</v>
      </c>
      <c r="Z390" s="19">
        <f t="shared" si="438"/>
        <v>0</v>
      </c>
      <c r="AA390" s="19"/>
      <c r="AB390" s="19"/>
      <c r="AC390" s="20"/>
      <c r="AE390" s="111"/>
      <c r="AF390" s="111"/>
      <c r="AG390" s="111"/>
      <c r="AH390" s="112"/>
      <c r="AI390" s="113"/>
      <c r="AK390" s="111"/>
      <c r="AL390" s="111"/>
      <c r="AM390" s="111"/>
      <c r="AN390" s="112"/>
      <c r="AO390" s="113"/>
      <c r="AQ390" s="17"/>
      <c r="AR390" s="17"/>
      <c r="AS390" s="17"/>
      <c r="AT390" s="18">
        <f t="shared" si="439"/>
        <v>0</v>
      </c>
      <c r="AU390" s="19">
        <f t="shared" si="440"/>
        <v>0</v>
      </c>
      <c r="AW390" s="17"/>
      <c r="AX390" s="17"/>
      <c r="AY390" s="17"/>
      <c r="AZ390" s="18">
        <f t="shared" si="441"/>
        <v>0</v>
      </c>
      <c r="BA390" s="19">
        <f t="shared" si="442"/>
        <v>0</v>
      </c>
    </row>
    <row r="391" spans="1:53" ht="17.100000000000001" customHeight="1" x14ac:dyDescent="0.25">
      <c r="A391" s="40"/>
      <c r="B391" s="40"/>
      <c r="C391" s="40"/>
      <c r="D391" s="74" t="s">
        <v>201</v>
      </c>
      <c r="E391" s="75" t="s">
        <v>469</v>
      </c>
      <c r="F391" s="75"/>
      <c r="G391" s="75"/>
      <c r="H391" s="540"/>
      <c r="I391" s="229"/>
      <c r="J391" s="111"/>
      <c r="K391" s="111"/>
      <c r="L391" s="111"/>
      <c r="M391" s="111"/>
      <c r="N391" s="61"/>
      <c r="O391" s="61"/>
      <c r="P391" s="17">
        <f t="shared" si="443"/>
        <v>0</v>
      </c>
      <c r="Q391" s="61"/>
      <c r="R391" s="61"/>
      <c r="S391" s="17">
        <f t="shared" si="444"/>
        <v>0</v>
      </c>
      <c r="T391" s="61"/>
      <c r="U391" s="61"/>
      <c r="V391" s="359">
        <f t="shared" si="445"/>
        <v>0</v>
      </c>
      <c r="W391" s="391">
        <f t="shared" si="435"/>
        <v>0</v>
      </c>
      <c r="X391" s="17">
        <f t="shared" si="436"/>
        <v>0</v>
      </c>
      <c r="Y391" s="18">
        <f t="shared" si="437"/>
        <v>0</v>
      </c>
      <c r="Z391" s="19">
        <f t="shared" si="438"/>
        <v>0</v>
      </c>
      <c r="AA391" s="19"/>
      <c r="AB391" s="19"/>
      <c r="AC391" s="20"/>
      <c r="AE391" s="111"/>
      <c r="AF391" s="111"/>
      <c r="AG391" s="111"/>
      <c r="AH391" s="112"/>
      <c r="AI391" s="113"/>
      <c r="AK391" s="111"/>
      <c r="AL391" s="111"/>
      <c r="AM391" s="111"/>
      <c r="AN391" s="112"/>
      <c r="AO391" s="113"/>
      <c r="AQ391" s="17"/>
      <c r="AR391" s="17"/>
      <c r="AS391" s="17"/>
      <c r="AT391" s="18">
        <f t="shared" si="439"/>
        <v>0</v>
      </c>
      <c r="AU391" s="19">
        <f t="shared" si="440"/>
        <v>0</v>
      </c>
      <c r="AW391" s="17"/>
      <c r="AX391" s="17"/>
      <c r="AY391" s="17"/>
      <c r="AZ391" s="18">
        <f t="shared" si="441"/>
        <v>0</v>
      </c>
      <c r="BA391" s="19">
        <f t="shared" si="442"/>
        <v>0</v>
      </c>
    </row>
    <row r="392" spans="1:53" ht="17.100000000000001" customHeight="1" x14ac:dyDescent="0.25">
      <c r="A392" s="40"/>
      <c r="B392" s="40"/>
      <c r="C392" s="40"/>
      <c r="D392" s="74" t="s">
        <v>202</v>
      </c>
      <c r="E392" s="75" t="s">
        <v>750</v>
      </c>
      <c r="F392" s="75"/>
      <c r="G392" s="75"/>
      <c r="H392" s="540"/>
      <c r="I392" s="229"/>
      <c r="J392" s="111"/>
      <c r="K392" s="111"/>
      <c r="L392" s="111"/>
      <c r="M392" s="111"/>
      <c r="N392" s="60"/>
      <c r="O392" s="60"/>
      <c r="P392" s="17">
        <f t="shared" si="443"/>
        <v>0</v>
      </c>
      <c r="Q392" s="60"/>
      <c r="R392" s="60"/>
      <c r="S392" s="17">
        <f t="shared" si="444"/>
        <v>0</v>
      </c>
      <c r="T392" s="60"/>
      <c r="U392" s="60"/>
      <c r="V392" s="359">
        <f t="shared" si="445"/>
        <v>0</v>
      </c>
      <c r="W392" s="391">
        <f t="shared" si="435"/>
        <v>0</v>
      </c>
      <c r="X392" s="17">
        <f t="shared" si="436"/>
        <v>0</v>
      </c>
      <c r="Y392" s="18">
        <f t="shared" si="437"/>
        <v>0</v>
      </c>
      <c r="Z392" s="19">
        <f t="shared" si="438"/>
        <v>0</v>
      </c>
      <c r="AA392" s="19"/>
      <c r="AB392" s="19"/>
      <c r="AC392" s="20"/>
      <c r="AE392" s="111"/>
      <c r="AF392" s="111"/>
      <c r="AG392" s="111"/>
      <c r="AH392" s="112"/>
      <c r="AI392" s="113"/>
      <c r="AK392" s="111"/>
      <c r="AL392" s="111"/>
      <c r="AM392" s="111"/>
      <c r="AN392" s="112"/>
      <c r="AO392" s="113"/>
      <c r="AQ392" s="17"/>
      <c r="AR392" s="17"/>
      <c r="AS392" s="17"/>
      <c r="AT392" s="18">
        <f t="shared" si="439"/>
        <v>0</v>
      </c>
      <c r="AU392" s="19">
        <f t="shared" si="440"/>
        <v>0</v>
      </c>
      <c r="AW392" s="17"/>
      <c r="AX392" s="17"/>
      <c r="AY392" s="17"/>
      <c r="AZ392" s="18">
        <f t="shared" si="441"/>
        <v>0</v>
      </c>
      <c r="BA392" s="19">
        <f t="shared" si="442"/>
        <v>0</v>
      </c>
    </row>
    <row r="393" spans="1:53" ht="17.100000000000001" customHeight="1" x14ac:dyDescent="0.25">
      <c r="A393" s="40"/>
      <c r="B393" s="40"/>
      <c r="C393" s="40"/>
      <c r="D393" s="74" t="s">
        <v>203</v>
      </c>
      <c r="E393" s="75" t="s">
        <v>198</v>
      </c>
      <c r="F393" s="75"/>
      <c r="G393" s="75"/>
      <c r="H393" s="540"/>
      <c r="I393" s="229"/>
      <c r="J393" s="111"/>
      <c r="K393" s="111"/>
      <c r="L393" s="111"/>
      <c r="M393" s="111"/>
      <c r="N393" s="61"/>
      <c r="O393" s="61"/>
      <c r="P393" s="17">
        <f t="shared" si="443"/>
        <v>0</v>
      </c>
      <c r="Q393" s="61">
        <v>2</v>
      </c>
      <c r="R393" s="61">
        <v>3</v>
      </c>
      <c r="S393" s="17">
        <f t="shared" si="444"/>
        <v>5</v>
      </c>
      <c r="T393" s="61"/>
      <c r="U393" s="61"/>
      <c r="V393" s="359">
        <f t="shared" si="445"/>
        <v>0</v>
      </c>
      <c r="W393" s="391">
        <f t="shared" si="435"/>
        <v>2</v>
      </c>
      <c r="X393" s="17">
        <f t="shared" si="436"/>
        <v>3</v>
      </c>
      <c r="Y393" s="18">
        <f t="shared" si="437"/>
        <v>5</v>
      </c>
      <c r="Z393" s="19">
        <f t="shared" si="438"/>
        <v>0.55555555555555558</v>
      </c>
      <c r="AA393" s="19"/>
      <c r="AB393" s="19"/>
      <c r="AC393" s="20"/>
      <c r="AE393" s="111"/>
      <c r="AF393" s="111"/>
      <c r="AG393" s="111"/>
      <c r="AH393" s="112"/>
      <c r="AI393" s="113"/>
      <c r="AK393" s="111"/>
      <c r="AL393" s="111"/>
      <c r="AM393" s="111"/>
      <c r="AN393" s="112"/>
      <c r="AO393" s="113"/>
      <c r="AQ393" s="17"/>
      <c r="AR393" s="17"/>
      <c r="AS393" s="17"/>
      <c r="AT393" s="18">
        <f t="shared" si="439"/>
        <v>2</v>
      </c>
      <c r="AU393" s="19">
        <f t="shared" si="440"/>
        <v>0.66666666666666663</v>
      </c>
      <c r="AW393" s="17"/>
      <c r="AX393" s="17"/>
      <c r="AY393" s="17"/>
      <c r="AZ393" s="18">
        <f t="shared" si="441"/>
        <v>3</v>
      </c>
      <c r="BA393" s="19">
        <f t="shared" si="442"/>
        <v>0.5</v>
      </c>
    </row>
    <row r="394" spans="1:53" ht="17.100000000000001" customHeight="1" x14ac:dyDescent="0.25">
      <c r="A394" s="40"/>
      <c r="B394" s="40"/>
      <c r="C394" s="40"/>
      <c r="D394" s="74" t="s">
        <v>204</v>
      </c>
      <c r="E394" s="75" t="s">
        <v>470</v>
      </c>
      <c r="F394" s="75"/>
      <c r="G394" s="75"/>
      <c r="H394" s="540"/>
      <c r="I394" s="229"/>
      <c r="J394" s="111"/>
      <c r="K394" s="111"/>
      <c r="L394" s="111"/>
      <c r="M394" s="111"/>
      <c r="N394" s="60"/>
      <c r="O394" s="60"/>
      <c r="P394" s="17">
        <f t="shared" si="443"/>
        <v>0</v>
      </c>
      <c r="Q394" s="61">
        <v>1</v>
      </c>
      <c r="R394" s="61">
        <v>2</v>
      </c>
      <c r="S394" s="17">
        <f t="shared" si="444"/>
        <v>3</v>
      </c>
      <c r="T394" s="61"/>
      <c r="U394" s="61"/>
      <c r="V394" s="359">
        <f t="shared" si="445"/>
        <v>0</v>
      </c>
      <c r="W394" s="391">
        <f t="shared" si="435"/>
        <v>1</v>
      </c>
      <c r="X394" s="17">
        <f t="shared" si="436"/>
        <v>2</v>
      </c>
      <c r="Y394" s="18">
        <f t="shared" si="437"/>
        <v>3</v>
      </c>
      <c r="Z394" s="19">
        <f t="shared" si="438"/>
        <v>0.33333333333333331</v>
      </c>
      <c r="AA394" s="19"/>
      <c r="AB394" s="19"/>
      <c r="AC394" s="20"/>
      <c r="AE394" s="111"/>
      <c r="AF394" s="111"/>
      <c r="AG394" s="111"/>
      <c r="AH394" s="112"/>
      <c r="AI394" s="113"/>
      <c r="AK394" s="111"/>
      <c r="AL394" s="111"/>
      <c r="AM394" s="111"/>
      <c r="AN394" s="112"/>
      <c r="AO394" s="113"/>
      <c r="AQ394" s="17"/>
      <c r="AR394" s="17"/>
      <c r="AS394" s="17"/>
      <c r="AT394" s="18">
        <f t="shared" si="439"/>
        <v>1</v>
      </c>
      <c r="AU394" s="19">
        <f t="shared" si="440"/>
        <v>0.33333333333333331</v>
      </c>
      <c r="AW394" s="17"/>
      <c r="AX394" s="17"/>
      <c r="AY394" s="17"/>
      <c r="AZ394" s="18">
        <f t="shared" si="441"/>
        <v>2</v>
      </c>
      <c r="BA394" s="19">
        <f t="shared" si="442"/>
        <v>0.33333333333333331</v>
      </c>
    </row>
    <row r="395" spans="1:53" ht="17.100000000000001" customHeight="1" x14ac:dyDescent="0.25">
      <c r="A395" s="40"/>
      <c r="B395" s="40"/>
      <c r="C395" s="40"/>
      <c r="D395" s="74" t="s">
        <v>748</v>
      </c>
      <c r="E395" s="75" t="s">
        <v>205</v>
      </c>
      <c r="F395" s="75"/>
      <c r="G395" s="75"/>
      <c r="H395" s="540"/>
      <c r="I395" s="229"/>
      <c r="J395" s="111"/>
      <c r="K395" s="111"/>
      <c r="L395" s="111"/>
      <c r="M395" s="111"/>
      <c r="N395" s="111">
        <f>SUM(N396:N399)</f>
        <v>0</v>
      </c>
      <c r="O395" s="111">
        <f>SUM(O396:O399)</f>
        <v>1</v>
      </c>
      <c r="P395" s="111">
        <f t="shared" si="443"/>
        <v>1</v>
      </c>
      <c r="Q395" s="111">
        <f>SUM(Q396:Q399)</f>
        <v>0</v>
      </c>
      <c r="R395" s="111">
        <f>SUM(R396:R399)</f>
        <v>0</v>
      </c>
      <c r="S395" s="111">
        <f t="shared" si="444"/>
        <v>0</v>
      </c>
      <c r="T395" s="111">
        <f>SUM(T396:T399)</f>
        <v>0</v>
      </c>
      <c r="U395" s="111">
        <f>SUM(U396:U399)</f>
        <v>0</v>
      </c>
      <c r="V395" s="358">
        <f t="shared" si="445"/>
        <v>0</v>
      </c>
      <c r="W395" s="380">
        <f t="shared" si="435"/>
        <v>0</v>
      </c>
      <c r="X395" s="111">
        <f t="shared" si="436"/>
        <v>1</v>
      </c>
      <c r="Y395" s="545">
        <f t="shared" si="437"/>
        <v>1</v>
      </c>
      <c r="Z395" s="131">
        <f t="shared" si="438"/>
        <v>0.1111111111111111</v>
      </c>
      <c r="AA395" s="131"/>
      <c r="AB395" s="131"/>
      <c r="AC395" s="113"/>
      <c r="AE395" s="111"/>
      <c r="AF395" s="111"/>
      <c r="AG395" s="111"/>
      <c r="AH395" s="545"/>
      <c r="AI395" s="131"/>
      <c r="AK395" s="111"/>
      <c r="AL395" s="111"/>
      <c r="AM395" s="111"/>
      <c r="AN395" s="545"/>
      <c r="AO395" s="131"/>
      <c r="AQ395" s="111"/>
      <c r="AR395" s="111"/>
      <c r="AS395" s="111"/>
      <c r="AT395" s="545">
        <f t="shared" si="439"/>
        <v>0</v>
      </c>
      <c r="AU395" s="131">
        <f t="shared" si="440"/>
        <v>0</v>
      </c>
      <c r="AW395" s="111"/>
      <c r="AX395" s="111"/>
      <c r="AY395" s="111"/>
      <c r="AZ395" s="545">
        <f t="shared" si="441"/>
        <v>1</v>
      </c>
      <c r="BA395" s="131">
        <f t="shared" si="442"/>
        <v>0.16666666666666666</v>
      </c>
    </row>
    <row r="396" spans="1:53" ht="17.100000000000001" customHeight="1" x14ac:dyDescent="0.25">
      <c r="A396" s="40"/>
      <c r="B396" s="40"/>
      <c r="C396" s="40"/>
      <c r="D396" s="74"/>
      <c r="E396" s="168"/>
      <c r="F396" s="169"/>
      <c r="G396" s="169"/>
      <c r="H396" s="17"/>
      <c r="I396" s="594"/>
      <c r="J396" s="111"/>
      <c r="K396" s="111"/>
      <c r="L396" s="111"/>
      <c r="M396" s="111"/>
      <c r="N396" s="60"/>
      <c r="O396" s="60">
        <v>1</v>
      </c>
      <c r="P396" s="17"/>
      <c r="Q396" s="60"/>
      <c r="R396" s="60"/>
      <c r="S396" s="17"/>
      <c r="T396" s="60"/>
      <c r="U396" s="60"/>
      <c r="V396" s="359"/>
      <c r="W396" s="391"/>
      <c r="X396" s="17"/>
      <c r="Y396" s="539"/>
      <c r="Z396" s="17"/>
      <c r="AA396" s="17"/>
      <c r="AB396" s="17"/>
      <c r="AC396" s="17"/>
      <c r="AE396" s="111"/>
      <c r="AF396" s="111"/>
      <c r="AG396" s="111"/>
      <c r="AH396" s="112"/>
      <c r="AI396" s="113"/>
      <c r="AK396" s="111"/>
      <c r="AL396" s="111"/>
      <c r="AM396" s="111"/>
      <c r="AN396" s="112"/>
      <c r="AO396" s="113"/>
      <c r="AQ396" s="17"/>
      <c r="AR396" s="17"/>
      <c r="AS396" s="17"/>
      <c r="AT396" s="18"/>
      <c r="AU396" s="91"/>
      <c r="AW396" s="17"/>
      <c r="AX396" s="17"/>
      <c r="AY396" s="17"/>
      <c r="AZ396" s="18"/>
      <c r="BA396" s="91"/>
    </row>
    <row r="397" spans="1:53" ht="17.100000000000001" customHeight="1" x14ac:dyDescent="0.25">
      <c r="A397" s="40"/>
      <c r="B397" s="40"/>
      <c r="C397" s="40"/>
      <c r="D397" s="74"/>
      <c r="E397" s="170"/>
      <c r="F397" s="171"/>
      <c r="G397" s="171"/>
      <c r="H397" s="17"/>
      <c r="I397" s="594"/>
      <c r="J397" s="111"/>
      <c r="K397" s="111"/>
      <c r="L397" s="111"/>
      <c r="M397" s="111"/>
      <c r="N397" s="61"/>
      <c r="O397" s="61"/>
      <c r="P397" s="17"/>
      <c r="Q397" s="61"/>
      <c r="R397" s="61"/>
      <c r="S397" s="17"/>
      <c r="T397" s="61"/>
      <c r="U397" s="61"/>
      <c r="V397" s="359"/>
      <c r="W397" s="391"/>
      <c r="X397" s="17"/>
      <c r="Y397" s="539"/>
      <c r="Z397" s="17"/>
      <c r="AA397" s="17"/>
      <c r="AB397" s="17"/>
      <c r="AC397" s="17"/>
      <c r="AE397" s="111"/>
      <c r="AF397" s="111"/>
      <c r="AG397" s="111"/>
      <c r="AH397" s="112"/>
      <c r="AI397" s="113"/>
      <c r="AK397" s="111"/>
      <c r="AL397" s="111"/>
      <c r="AM397" s="111"/>
      <c r="AN397" s="112"/>
      <c r="AO397" s="113"/>
      <c r="AQ397" s="17"/>
      <c r="AR397" s="17"/>
      <c r="AS397" s="17"/>
      <c r="AT397" s="18"/>
      <c r="AU397" s="91"/>
      <c r="AW397" s="17"/>
      <c r="AX397" s="17"/>
      <c r="AY397" s="17"/>
      <c r="AZ397" s="18"/>
      <c r="BA397" s="91"/>
    </row>
    <row r="398" spans="1:53" ht="17.100000000000001" customHeight="1" x14ac:dyDescent="0.25">
      <c r="A398" s="40"/>
      <c r="B398" s="40"/>
      <c r="C398" s="40"/>
      <c r="D398" s="74"/>
      <c r="E398" s="168"/>
      <c r="F398" s="169"/>
      <c r="G398" s="169"/>
      <c r="H398" s="17"/>
      <c r="I398" s="594"/>
      <c r="J398" s="111"/>
      <c r="K398" s="111"/>
      <c r="L398" s="111"/>
      <c r="M398" s="111"/>
      <c r="N398" s="60"/>
      <c r="O398" s="60"/>
      <c r="P398" s="17"/>
      <c r="Q398" s="60"/>
      <c r="R398" s="60"/>
      <c r="S398" s="17"/>
      <c r="T398" s="60"/>
      <c r="U398" s="60"/>
      <c r="V398" s="359"/>
      <c r="W398" s="391"/>
      <c r="X398" s="17"/>
      <c r="Y398" s="539"/>
      <c r="Z398" s="17"/>
      <c r="AA398" s="17"/>
      <c r="AB398" s="17"/>
      <c r="AC398" s="17"/>
      <c r="AE398" s="111"/>
      <c r="AF398" s="111"/>
      <c r="AG398" s="111"/>
      <c r="AH398" s="112"/>
      <c r="AI398" s="113"/>
      <c r="AK398" s="111"/>
      <c r="AL398" s="111"/>
      <c r="AM398" s="111"/>
      <c r="AN398" s="112"/>
      <c r="AO398" s="113"/>
      <c r="AQ398" s="17"/>
      <c r="AR398" s="17"/>
      <c r="AS398" s="17"/>
      <c r="AT398" s="18"/>
      <c r="AU398" s="91"/>
      <c r="AW398" s="17"/>
      <c r="AX398" s="17"/>
      <c r="AY398" s="17"/>
      <c r="AZ398" s="18"/>
      <c r="BA398" s="91"/>
    </row>
    <row r="399" spans="1:53" ht="17.100000000000001" customHeight="1" x14ac:dyDescent="0.25">
      <c r="A399" s="40"/>
      <c r="B399" s="40"/>
      <c r="C399" s="40"/>
      <c r="D399" s="74"/>
      <c r="E399" s="170"/>
      <c r="F399" s="171"/>
      <c r="G399" s="171"/>
      <c r="H399" s="17"/>
      <c r="I399" s="594"/>
      <c r="J399" s="111"/>
      <c r="K399" s="111"/>
      <c r="L399" s="111"/>
      <c r="M399" s="111"/>
      <c r="N399" s="61"/>
      <c r="O399" s="61"/>
      <c r="P399" s="17"/>
      <c r="Q399" s="61"/>
      <c r="R399" s="61"/>
      <c r="S399" s="17"/>
      <c r="T399" s="61"/>
      <c r="U399" s="61"/>
      <c r="V399" s="359"/>
      <c r="W399" s="391"/>
      <c r="X399" s="17"/>
      <c r="Y399" s="539"/>
      <c r="Z399" s="17"/>
      <c r="AA399" s="17"/>
      <c r="AB399" s="17"/>
      <c r="AC399" s="17"/>
      <c r="AE399" s="111"/>
      <c r="AF399" s="111"/>
      <c r="AG399" s="111"/>
      <c r="AH399" s="112"/>
      <c r="AI399" s="113"/>
      <c r="AK399" s="111"/>
      <c r="AL399" s="111"/>
      <c r="AM399" s="111"/>
      <c r="AN399" s="112"/>
      <c r="AO399" s="113"/>
      <c r="AQ399" s="17"/>
      <c r="AR399" s="17"/>
      <c r="AS399" s="17"/>
      <c r="AT399" s="18"/>
      <c r="AU399" s="91"/>
      <c r="AW399" s="17"/>
      <c r="AX399" s="17"/>
      <c r="AY399" s="17"/>
      <c r="AZ399" s="18"/>
      <c r="BA399" s="91"/>
    </row>
    <row r="400" spans="1:53" ht="17.100000000000001" customHeight="1" x14ac:dyDescent="0.25">
      <c r="A400" s="40"/>
      <c r="B400" s="40"/>
      <c r="C400" s="77"/>
      <c r="D400" s="134"/>
      <c r="E400" s="134"/>
      <c r="F400" s="134"/>
      <c r="G400" s="134"/>
      <c r="H400" s="540"/>
      <c r="I400" s="229"/>
      <c r="J400" s="64"/>
      <c r="K400" s="64"/>
      <c r="L400" s="81"/>
      <c r="M400" s="81"/>
      <c r="N400" s="81">
        <f t="shared" ref="N400:V400" si="446">SUM(N382:N395)</f>
        <v>0</v>
      </c>
      <c r="O400" s="81">
        <f t="shared" si="446"/>
        <v>1</v>
      </c>
      <c r="P400" s="81">
        <f t="shared" si="446"/>
        <v>1</v>
      </c>
      <c r="Q400" s="81">
        <f t="shared" si="446"/>
        <v>3</v>
      </c>
      <c r="R400" s="81">
        <f t="shared" si="446"/>
        <v>5</v>
      </c>
      <c r="S400" s="81">
        <f t="shared" si="446"/>
        <v>8</v>
      </c>
      <c r="T400" s="81">
        <f t="shared" si="446"/>
        <v>0</v>
      </c>
      <c r="U400" s="81">
        <f t="shared" si="446"/>
        <v>0</v>
      </c>
      <c r="V400" s="81">
        <f t="shared" si="446"/>
        <v>0</v>
      </c>
      <c r="W400" s="381">
        <f>SUM(W382:W395)</f>
        <v>3</v>
      </c>
      <c r="X400" s="82">
        <f t="shared" ref="X400:Y400" si="447">SUM(X382:X395)</f>
        <v>6</v>
      </c>
      <c r="Y400" s="82">
        <f t="shared" si="447"/>
        <v>9</v>
      </c>
      <c r="Z400" s="205">
        <f t="shared" ref="Z400" si="448">IF(Y$400=0,0,Y400/Y$400)</f>
        <v>1</v>
      </c>
      <c r="AA400" s="205"/>
      <c r="AB400" s="205"/>
      <c r="AC400" s="83"/>
      <c r="AE400" s="80"/>
      <c r="AF400" s="80"/>
      <c r="AG400" s="81"/>
      <c r="AH400" s="82"/>
      <c r="AI400" s="66"/>
      <c r="AK400" s="80"/>
      <c r="AL400" s="80"/>
      <c r="AM400" s="81"/>
      <c r="AN400" s="82"/>
      <c r="AO400" s="66"/>
      <c r="AQ400" s="80"/>
      <c r="AR400" s="80"/>
      <c r="AS400" s="81"/>
      <c r="AT400" s="82">
        <f t="shared" ref="AT400" si="449">SUM(AT382:AT395)</f>
        <v>3</v>
      </c>
      <c r="AU400" s="66">
        <f>IF(AT$400=0,0,AT400/AT$400)</f>
        <v>1</v>
      </c>
      <c r="AW400" s="80"/>
      <c r="AX400" s="80"/>
      <c r="AY400" s="81"/>
      <c r="AZ400" s="82">
        <f t="shared" ref="AZ400" si="450">SUM(AZ382:AZ395)</f>
        <v>6</v>
      </c>
      <c r="BA400" s="66">
        <f>IF(AZ$400=0,0,AZ400/AZ$400)</f>
        <v>1</v>
      </c>
    </row>
    <row r="401" spans="1:53" ht="17.100000000000001" customHeight="1" x14ac:dyDescent="0.25">
      <c r="A401" s="175"/>
      <c r="B401" s="48" t="s">
        <v>206</v>
      </c>
      <c r="C401" s="49" t="s">
        <v>473</v>
      </c>
      <c r="D401" s="176"/>
      <c r="E401" s="43"/>
      <c r="F401" s="43"/>
      <c r="G401" s="43"/>
      <c r="H401" s="540"/>
      <c r="I401" s="12"/>
      <c r="J401" s="88"/>
      <c r="K401" s="88"/>
      <c r="L401" s="71"/>
      <c r="M401" s="71"/>
      <c r="N401" s="71"/>
      <c r="O401" s="71"/>
      <c r="P401" s="71"/>
      <c r="Q401" s="71"/>
      <c r="R401" s="71"/>
      <c r="S401" s="71"/>
      <c r="T401" s="71"/>
      <c r="U401" s="71"/>
      <c r="V401" s="355"/>
      <c r="W401" s="377"/>
      <c r="X401" s="71"/>
      <c r="Y401" s="89"/>
      <c r="Z401" s="90"/>
      <c r="AA401" s="90"/>
      <c r="AB401" s="90"/>
      <c r="AC401" s="73"/>
      <c r="AE401" s="87"/>
      <c r="AF401" s="87"/>
      <c r="AG401" s="71"/>
      <c r="AH401" s="89"/>
      <c r="AI401" s="90"/>
      <c r="AK401" s="87"/>
      <c r="AL401" s="87"/>
      <c r="AM401" s="71"/>
      <c r="AN401" s="89"/>
      <c r="AO401" s="90"/>
      <c r="AQ401" s="87"/>
      <c r="AR401" s="87"/>
      <c r="AS401" s="71"/>
      <c r="AT401" s="89"/>
      <c r="AU401" s="90"/>
      <c r="AW401" s="87"/>
      <c r="AX401" s="87"/>
      <c r="AY401" s="71"/>
      <c r="AZ401" s="89"/>
      <c r="BA401" s="90"/>
    </row>
    <row r="402" spans="1:53" ht="17.100000000000001" customHeight="1" x14ac:dyDescent="0.25">
      <c r="A402" s="175"/>
      <c r="B402" s="177"/>
      <c r="C402" s="56" t="s">
        <v>207</v>
      </c>
      <c r="D402" s="57" t="s">
        <v>173</v>
      </c>
      <c r="E402" s="75"/>
      <c r="F402" s="75"/>
      <c r="G402" s="75"/>
      <c r="H402" s="540"/>
      <c r="I402" s="12"/>
      <c r="J402" s="111"/>
      <c r="K402" s="111"/>
      <c r="L402" s="111"/>
      <c r="M402" s="111"/>
      <c r="N402" s="60">
        <v>1</v>
      </c>
      <c r="O402" s="60">
        <v>4</v>
      </c>
      <c r="P402" s="17">
        <f t="shared" ref="P402:P406" si="451">SUM(N402:O402)</f>
        <v>5</v>
      </c>
      <c r="Q402" s="60"/>
      <c r="R402" s="60"/>
      <c r="S402" s="17">
        <f t="shared" ref="S402:S406" si="452">SUM(Q402:R402)</f>
        <v>0</v>
      </c>
      <c r="T402" s="60"/>
      <c r="U402" s="60"/>
      <c r="V402" s="359">
        <f t="shared" ref="V402:V406" si="453">SUM(T402:U402)</f>
        <v>0</v>
      </c>
      <c r="W402" s="391">
        <f t="shared" ref="W402:W406" si="454">J402+K402+N402+Q402+T402</f>
        <v>1</v>
      </c>
      <c r="X402" s="17">
        <f t="shared" ref="X402:X406" si="455">L402+O402+R402+U402</f>
        <v>4</v>
      </c>
      <c r="Y402" s="18">
        <f>SUM(W402:X402)</f>
        <v>5</v>
      </c>
      <c r="Z402" s="19">
        <f>IF(Y$407=0,0,Y402/Y$407)</f>
        <v>0.35714285714285715</v>
      </c>
      <c r="AA402" s="19"/>
      <c r="AB402" s="19"/>
      <c r="AC402" s="84"/>
      <c r="AE402" s="111"/>
      <c r="AF402" s="111"/>
      <c r="AG402" s="111"/>
      <c r="AH402" s="112"/>
      <c r="AI402" s="113"/>
      <c r="AK402" s="111"/>
      <c r="AL402" s="111"/>
      <c r="AM402" s="111"/>
      <c r="AN402" s="112"/>
      <c r="AO402" s="113"/>
      <c r="AQ402" s="17"/>
      <c r="AR402" s="17"/>
      <c r="AS402" s="17"/>
      <c r="AT402" s="18">
        <f t="shared" ref="AT402:AT406" si="456">W402</f>
        <v>1</v>
      </c>
      <c r="AU402" s="19">
        <f t="shared" ref="AU402:AU407" si="457">IF(AT$407=0,0,AT402/AT$407)</f>
        <v>0.25</v>
      </c>
      <c r="AW402" s="17"/>
      <c r="AX402" s="17"/>
      <c r="AY402" s="17"/>
      <c r="AZ402" s="18">
        <f t="shared" ref="AZ402:AZ406" si="458">X402</f>
        <v>4</v>
      </c>
      <c r="BA402" s="19">
        <f t="shared" ref="BA402:BA407" si="459">IF(AZ$407=0,0,AZ402/AZ$407)</f>
        <v>0.4</v>
      </c>
    </row>
    <row r="403" spans="1:53" ht="17.100000000000001" customHeight="1" x14ac:dyDescent="0.25">
      <c r="A403" s="175"/>
      <c r="B403" s="177"/>
      <c r="C403" s="56" t="s">
        <v>208</v>
      </c>
      <c r="D403" s="57" t="s">
        <v>209</v>
      </c>
      <c r="E403" s="75"/>
      <c r="F403" s="75"/>
      <c r="G403" s="75"/>
      <c r="H403" s="540"/>
      <c r="I403" s="12"/>
      <c r="J403" s="111"/>
      <c r="K403" s="111"/>
      <c r="L403" s="111"/>
      <c r="M403" s="111"/>
      <c r="N403" s="61"/>
      <c r="O403" s="61">
        <v>1</v>
      </c>
      <c r="P403" s="17">
        <f t="shared" si="451"/>
        <v>1</v>
      </c>
      <c r="Q403" s="61">
        <v>2</v>
      </c>
      <c r="R403" s="61">
        <v>3</v>
      </c>
      <c r="S403" s="17">
        <f t="shared" si="452"/>
        <v>5</v>
      </c>
      <c r="T403" s="61"/>
      <c r="U403" s="61"/>
      <c r="V403" s="359">
        <f t="shared" si="453"/>
        <v>0</v>
      </c>
      <c r="W403" s="391">
        <f t="shared" si="454"/>
        <v>2</v>
      </c>
      <c r="X403" s="17">
        <f t="shared" si="455"/>
        <v>4</v>
      </c>
      <c r="Y403" s="18">
        <f>SUM(W403:X403)</f>
        <v>6</v>
      </c>
      <c r="Z403" s="19">
        <f t="shared" ref="Z403:Z406" si="460">IF(Y$407=0,0,Y403/Y$407)</f>
        <v>0.42857142857142855</v>
      </c>
      <c r="AA403" s="19"/>
      <c r="AB403" s="19"/>
      <c r="AC403" s="84"/>
      <c r="AE403" s="111"/>
      <c r="AF403" s="111"/>
      <c r="AG403" s="111"/>
      <c r="AH403" s="112"/>
      <c r="AI403" s="113"/>
      <c r="AK403" s="111"/>
      <c r="AL403" s="111"/>
      <c r="AM403" s="111"/>
      <c r="AN403" s="112"/>
      <c r="AO403" s="113"/>
      <c r="AQ403" s="17"/>
      <c r="AR403" s="17"/>
      <c r="AS403" s="17"/>
      <c r="AT403" s="18">
        <f t="shared" si="456"/>
        <v>2</v>
      </c>
      <c r="AU403" s="19">
        <f t="shared" si="457"/>
        <v>0.5</v>
      </c>
      <c r="AW403" s="17"/>
      <c r="AX403" s="17"/>
      <c r="AY403" s="17"/>
      <c r="AZ403" s="18">
        <f t="shared" si="458"/>
        <v>4</v>
      </c>
      <c r="BA403" s="19">
        <f t="shared" si="459"/>
        <v>0.4</v>
      </c>
    </row>
    <row r="404" spans="1:53" ht="17.100000000000001" customHeight="1" x14ac:dyDescent="0.25">
      <c r="A404" s="175"/>
      <c r="B404" s="177"/>
      <c r="C404" s="56" t="s">
        <v>210</v>
      </c>
      <c r="D404" s="57" t="s">
        <v>211</v>
      </c>
      <c r="E404" s="75"/>
      <c r="F404" s="75"/>
      <c r="G404" s="75"/>
      <c r="H404" s="540"/>
      <c r="I404" s="12"/>
      <c r="J404" s="111"/>
      <c r="K404" s="111"/>
      <c r="L404" s="111"/>
      <c r="M404" s="111"/>
      <c r="N404" s="60"/>
      <c r="O404" s="60"/>
      <c r="P404" s="17">
        <f t="shared" si="451"/>
        <v>0</v>
      </c>
      <c r="Q404" s="60">
        <v>1</v>
      </c>
      <c r="R404" s="60">
        <v>2</v>
      </c>
      <c r="S404" s="17">
        <f t="shared" si="452"/>
        <v>3</v>
      </c>
      <c r="T404" s="60"/>
      <c r="U404" s="60"/>
      <c r="V404" s="359">
        <f t="shared" si="453"/>
        <v>0</v>
      </c>
      <c r="W404" s="391">
        <f t="shared" si="454"/>
        <v>1</v>
      </c>
      <c r="X404" s="17">
        <f t="shared" si="455"/>
        <v>2</v>
      </c>
      <c r="Y404" s="18">
        <f>SUM(W404:X404)</f>
        <v>3</v>
      </c>
      <c r="Z404" s="19">
        <f t="shared" si="460"/>
        <v>0.21428571428571427</v>
      </c>
      <c r="AA404" s="19"/>
      <c r="AB404" s="19"/>
      <c r="AC404" s="84"/>
      <c r="AE404" s="111"/>
      <c r="AF404" s="111"/>
      <c r="AG404" s="111"/>
      <c r="AH404" s="112"/>
      <c r="AI404" s="113"/>
      <c r="AK404" s="111"/>
      <c r="AL404" s="111"/>
      <c r="AM404" s="111"/>
      <c r="AN404" s="112"/>
      <c r="AO404" s="113"/>
      <c r="AQ404" s="17"/>
      <c r="AR404" s="17"/>
      <c r="AS404" s="17"/>
      <c r="AT404" s="18">
        <f t="shared" si="456"/>
        <v>1</v>
      </c>
      <c r="AU404" s="19">
        <f t="shared" si="457"/>
        <v>0.25</v>
      </c>
      <c r="AW404" s="17"/>
      <c r="AX404" s="17"/>
      <c r="AY404" s="17"/>
      <c r="AZ404" s="18">
        <f t="shared" si="458"/>
        <v>2</v>
      </c>
      <c r="BA404" s="19">
        <f t="shared" si="459"/>
        <v>0.2</v>
      </c>
    </row>
    <row r="405" spans="1:53" ht="17.100000000000001" customHeight="1" x14ac:dyDescent="0.25">
      <c r="A405" s="175"/>
      <c r="B405" s="177"/>
      <c r="C405" s="56" t="s">
        <v>212</v>
      </c>
      <c r="D405" s="57" t="s">
        <v>213</v>
      </c>
      <c r="E405" s="75"/>
      <c r="F405" s="75"/>
      <c r="G405" s="75"/>
      <c r="H405" s="540"/>
      <c r="I405" s="12"/>
      <c r="J405" s="111"/>
      <c r="K405" s="111"/>
      <c r="L405" s="111"/>
      <c r="M405" s="111"/>
      <c r="N405" s="61"/>
      <c r="O405" s="61"/>
      <c r="P405" s="17">
        <f t="shared" si="451"/>
        <v>0</v>
      </c>
      <c r="Q405" s="61"/>
      <c r="R405" s="61"/>
      <c r="S405" s="17">
        <f t="shared" si="452"/>
        <v>0</v>
      </c>
      <c r="T405" s="61"/>
      <c r="U405" s="61"/>
      <c r="V405" s="359">
        <f t="shared" si="453"/>
        <v>0</v>
      </c>
      <c r="W405" s="391">
        <f t="shared" si="454"/>
        <v>0</v>
      </c>
      <c r="X405" s="17">
        <f t="shared" si="455"/>
        <v>0</v>
      </c>
      <c r="Y405" s="18">
        <f>SUM(W405:X405)</f>
        <v>0</v>
      </c>
      <c r="Z405" s="19">
        <f t="shared" si="460"/>
        <v>0</v>
      </c>
      <c r="AA405" s="19"/>
      <c r="AB405" s="19"/>
      <c r="AC405" s="84"/>
      <c r="AE405" s="111"/>
      <c r="AF405" s="111"/>
      <c r="AG405" s="111"/>
      <c r="AH405" s="112"/>
      <c r="AI405" s="113"/>
      <c r="AK405" s="111"/>
      <c r="AL405" s="111"/>
      <c r="AM405" s="111"/>
      <c r="AN405" s="112"/>
      <c r="AO405" s="113"/>
      <c r="AQ405" s="17"/>
      <c r="AR405" s="17"/>
      <c r="AS405" s="17"/>
      <c r="AT405" s="18">
        <f t="shared" si="456"/>
        <v>0</v>
      </c>
      <c r="AU405" s="19">
        <f t="shared" si="457"/>
        <v>0</v>
      </c>
      <c r="AW405" s="17"/>
      <c r="AX405" s="17"/>
      <c r="AY405" s="17"/>
      <c r="AZ405" s="18">
        <f t="shared" si="458"/>
        <v>0</v>
      </c>
      <c r="BA405" s="19">
        <f t="shared" si="459"/>
        <v>0</v>
      </c>
    </row>
    <row r="406" spans="1:53" ht="17.100000000000001" customHeight="1" x14ac:dyDescent="0.25">
      <c r="A406" s="175"/>
      <c r="B406" s="177"/>
      <c r="C406" s="56" t="s">
        <v>214</v>
      </c>
      <c r="D406" s="147" t="s">
        <v>129</v>
      </c>
      <c r="E406" s="75"/>
      <c r="F406" s="75"/>
      <c r="G406" s="75"/>
      <c r="H406" s="540"/>
      <c r="I406" s="12"/>
      <c r="J406" s="111"/>
      <c r="K406" s="111"/>
      <c r="L406" s="111"/>
      <c r="M406" s="111"/>
      <c r="N406" s="60"/>
      <c r="O406" s="60"/>
      <c r="P406" s="17">
        <f t="shared" si="451"/>
        <v>0</v>
      </c>
      <c r="Q406" s="60"/>
      <c r="R406" s="60"/>
      <c r="S406" s="17">
        <f t="shared" si="452"/>
        <v>0</v>
      </c>
      <c r="T406" s="60"/>
      <c r="U406" s="60"/>
      <c r="V406" s="359">
        <f t="shared" si="453"/>
        <v>0</v>
      </c>
      <c r="W406" s="391">
        <f t="shared" si="454"/>
        <v>0</v>
      </c>
      <c r="X406" s="17">
        <f t="shared" si="455"/>
        <v>0</v>
      </c>
      <c r="Y406" s="18">
        <f>SUM(W406:X406)</f>
        <v>0</v>
      </c>
      <c r="Z406" s="19">
        <f t="shared" si="460"/>
        <v>0</v>
      </c>
      <c r="AA406" s="19"/>
      <c r="AB406" s="19"/>
      <c r="AC406" s="84"/>
      <c r="AE406" s="111"/>
      <c r="AF406" s="111"/>
      <c r="AG406" s="111"/>
      <c r="AH406" s="112"/>
      <c r="AI406" s="113"/>
      <c r="AK406" s="111"/>
      <c r="AL406" s="111"/>
      <c r="AM406" s="111"/>
      <c r="AN406" s="112"/>
      <c r="AO406" s="113"/>
      <c r="AQ406" s="17"/>
      <c r="AR406" s="17"/>
      <c r="AS406" s="17"/>
      <c r="AT406" s="18">
        <f t="shared" si="456"/>
        <v>0</v>
      </c>
      <c r="AU406" s="19">
        <f t="shared" si="457"/>
        <v>0</v>
      </c>
      <c r="AW406" s="17"/>
      <c r="AX406" s="17"/>
      <c r="AY406" s="17"/>
      <c r="AZ406" s="18">
        <f t="shared" si="458"/>
        <v>0</v>
      </c>
      <c r="BA406" s="19">
        <f t="shared" si="459"/>
        <v>0</v>
      </c>
    </row>
    <row r="407" spans="1:53" ht="17.100000000000001" customHeight="1" x14ac:dyDescent="0.25">
      <c r="A407" s="175"/>
      <c r="B407" s="40"/>
      <c r="C407" s="77"/>
      <c r="D407" s="134"/>
      <c r="E407" s="134"/>
      <c r="F407" s="134"/>
      <c r="G407" s="134"/>
      <c r="H407" s="540"/>
      <c r="I407" s="12"/>
      <c r="J407" s="64"/>
      <c r="K407" s="64"/>
      <c r="L407" s="64"/>
      <c r="M407" s="64"/>
      <c r="N407" s="64">
        <f>SUM(N402:N406)</f>
        <v>1</v>
      </c>
      <c r="O407" s="64">
        <f t="shared" ref="O407:V407" si="461">SUM(O402:O406)</f>
        <v>5</v>
      </c>
      <c r="P407" s="64">
        <f t="shared" si="461"/>
        <v>6</v>
      </c>
      <c r="Q407" s="64">
        <f t="shared" si="461"/>
        <v>3</v>
      </c>
      <c r="R407" s="64">
        <f t="shared" si="461"/>
        <v>5</v>
      </c>
      <c r="S407" s="64">
        <f t="shared" si="461"/>
        <v>8</v>
      </c>
      <c r="T407" s="64">
        <f t="shared" si="461"/>
        <v>0</v>
      </c>
      <c r="U407" s="64">
        <f t="shared" si="461"/>
        <v>0</v>
      </c>
      <c r="V407" s="64">
        <f t="shared" si="461"/>
        <v>0</v>
      </c>
      <c r="W407" s="390">
        <f>SUM(W402:W406)</f>
        <v>4</v>
      </c>
      <c r="X407" s="224">
        <f t="shared" ref="X407:Y407" si="462">SUM(X402:X406)</f>
        <v>10</v>
      </c>
      <c r="Y407" s="224">
        <f t="shared" si="462"/>
        <v>14</v>
      </c>
      <c r="Z407" s="66">
        <f>IF(Y$407=0,0,Y407/Y$407)</f>
        <v>1</v>
      </c>
      <c r="AA407" s="66"/>
      <c r="AB407" s="66"/>
      <c r="AC407" s="83"/>
      <c r="AE407" s="80"/>
      <c r="AF407" s="80"/>
      <c r="AG407" s="81"/>
      <c r="AH407" s="82"/>
      <c r="AI407" s="66"/>
      <c r="AK407" s="80"/>
      <c r="AL407" s="80"/>
      <c r="AM407" s="81"/>
      <c r="AN407" s="82"/>
      <c r="AO407" s="66"/>
      <c r="AQ407" s="80"/>
      <c r="AR407" s="80"/>
      <c r="AS407" s="81"/>
      <c r="AT407" s="82">
        <f>SUM(AT402:AT406)</f>
        <v>4</v>
      </c>
      <c r="AU407" s="66">
        <f t="shared" si="457"/>
        <v>1</v>
      </c>
      <c r="AW407" s="80"/>
      <c r="AX407" s="80"/>
      <c r="AY407" s="81"/>
      <c r="AZ407" s="82">
        <f>SUM(AZ402:AZ406)</f>
        <v>10</v>
      </c>
      <c r="BA407" s="66">
        <f t="shared" si="459"/>
        <v>1</v>
      </c>
    </row>
    <row r="408" spans="1:53" s="117" customFormat="1" ht="17.100000000000001" customHeight="1" x14ac:dyDescent="0.25">
      <c r="A408" s="68"/>
      <c r="B408" s="119"/>
      <c r="C408" s="540"/>
      <c r="D408" s="261"/>
      <c r="E408" s="261"/>
      <c r="F408" s="68"/>
      <c r="G408" s="68"/>
      <c r="H408" s="119"/>
      <c r="I408" s="138"/>
      <c r="J408" s="17"/>
      <c r="K408" s="17"/>
      <c r="L408" s="17"/>
      <c r="M408" s="17"/>
      <c r="N408" s="17" t="str">
        <f>IF(N407=N$20,"OK","NOK")</f>
        <v>OK</v>
      </c>
      <c r="O408" s="17" t="str">
        <f>IF(O407=O$20,"OK","NOK")</f>
        <v>OK</v>
      </c>
      <c r="P408" s="17"/>
      <c r="Q408" s="17" t="str">
        <f>IF(Q407=Q$20,"OK","NOK")</f>
        <v>OK</v>
      </c>
      <c r="R408" s="17" t="str">
        <f>IF(R407=R$20,"OK","NOK")</f>
        <v>OK</v>
      </c>
      <c r="S408" s="17"/>
      <c r="T408" s="17" t="str">
        <f>IF(T407=T$20,"OK","NOK")</f>
        <v>OK</v>
      </c>
      <c r="U408" s="17" t="str">
        <f>IF(U407=U$20,"OK","NOK")</f>
        <v>OK</v>
      </c>
      <c r="V408" s="359"/>
      <c r="W408" s="382"/>
      <c r="X408" s="539"/>
      <c r="Y408" s="539"/>
      <c r="Z408" s="201"/>
      <c r="AA408" s="201"/>
      <c r="AB408" s="201"/>
      <c r="AC408" s="84"/>
      <c r="AE408" s="46"/>
      <c r="AF408" s="46"/>
      <c r="AG408" s="17"/>
      <c r="AH408" s="539"/>
      <c r="AI408" s="91"/>
      <c r="AK408" s="46"/>
      <c r="AL408" s="46"/>
      <c r="AM408" s="17"/>
      <c r="AN408" s="539"/>
      <c r="AO408" s="91"/>
      <c r="AQ408" s="46"/>
      <c r="AR408" s="46"/>
      <c r="AS408" s="17"/>
      <c r="AT408" s="539"/>
      <c r="AU408" s="91"/>
      <c r="AW408" s="46"/>
      <c r="AX408" s="46"/>
      <c r="AY408" s="17"/>
      <c r="AZ408" s="539"/>
      <c r="BA408" s="91"/>
    </row>
    <row r="409" spans="1:53" ht="17.100000000000001" customHeight="1" x14ac:dyDescent="0.25">
      <c r="A409" s="68"/>
      <c r="B409" s="48" t="s">
        <v>215</v>
      </c>
      <c r="C409" s="49" t="s">
        <v>216</v>
      </c>
      <c r="D409" s="50"/>
      <c r="E409" s="70"/>
      <c r="F409" s="70"/>
      <c r="G409" s="70"/>
      <c r="H409" s="119"/>
      <c r="J409" s="71"/>
      <c r="K409" s="71"/>
      <c r="L409" s="71"/>
      <c r="M409" s="71"/>
      <c r="N409" s="71">
        <f t="shared" ref="N409:X409" si="463">N403</f>
        <v>0</v>
      </c>
      <c r="O409" s="71">
        <f t="shared" si="463"/>
        <v>1</v>
      </c>
      <c r="P409" s="71"/>
      <c r="Q409" s="71">
        <f t="shared" si="463"/>
        <v>2</v>
      </c>
      <c r="R409" s="71">
        <f t="shared" si="463"/>
        <v>3</v>
      </c>
      <c r="S409" s="71"/>
      <c r="T409" s="71">
        <f t="shared" si="463"/>
        <v>0</v>
      </c>
      <c r="U409" s="71">
        <f t="shared" si="463"/>
        <v>0</v>
      </c>
      <c r="V409" s="355"/>
      <c r="W409" s="377">
        <f t="shared" si="463"/>
        <v>2</v>
      </c>
      <c r="X409" s="71">
        <f t="shared" si="463"/>
        <v>4</v>
      </c>
      <c r="Y409" s="72"/>
      <c r="Z409" s="73"/>
      <c r="AA409" s="73"/>
      <c r="AB409" s="73"/>
      <c r="AC409" s="73"/>
      <c r="AE409" s="71"/>
      <c r="AF409" s="71"/>
      <c r="AG409" s="71"/>
      <c r="AH409" s="72"/>
      <c r="AI409" s="73"/>
      <c r="AK409" s="71"/>
      <c r="AL409" s="71"/>
      <c r="AM409" s="71"/>
      <c r="AN409" s="72"/>
      <c r="AO409" s="73"/>
      <c r="AQ409" s="71"/>
      <c r="AR409" s="71"/>
      <c r="AS409" s="71"/>
      <c r="AT409" s="72"/>
      <c r="AU409" s="73"/>
      <c r="AW409" s="71"/>
      <c r="AX409" s="71"/>
      <c r="AY409" s="71"/>
      <c r="AZ409" s="72"/>
      <c r="BA409" s="73"/>
    </row>
    <row r="410" spans="1:53" ht="17.100000000000001" customHeight="1" x14ac:dyDescent="0.25">
      <c r="A410" s="40"/>
      <c r="B410" s="40"/>
      <c r="C410" s="56" t="s">
        <v>217</v>
      </c>
      <c r="D410" s="149" t="s">
        <v>218</v>
      </c>
      <c r="E410" s="149"/>
      <c r="F410" s="75"/>
      <c r="G410" s="75"/>
      <c r="H410" s="540"/>
      <c r="I410" s="229"/>
      <c r="J410" s="111"/>
      <c r="K410" s="111"/>
      <c r="L410" s="111"/>
      <c r="M410" s="111"/>
      <c r="N410" s="111"/>
      <c r="O410" s="111"/>
      <c r="P410" s="111"/>
      <c r="Q410" s="111"/>
      <c r="R410" s="111"/>
      <c r="S410" s="111"/>
      <c r="T410" s="111"/>
      <c r="U410" s="111"/>
      <c r="V410" s="358"/>
      <c r="W410" s="380"/>
      <c r="X410" s="111"/>
      <c r="Y410" s="545"/>
      <c r="Z410" s="131"/>
      <c r="AA410" s="131"/>
      <c r="AB410" s="131"/>
      <c r="AC410" s="111"/>
      <c r="AE410" s="111"/>
      <c r="AF410" s="111"/>
      <c r="AG410" s="111"/>
      <c r="AH410" s="545"/>
      <c r="AI410" s="131"/>
      <c r="AK410" s="111"/>
      <c r="AL410" s="111"/>
      <c r="AM410" s="111"/>
      <c r="AN410" s="545"/>
      <c r="AO410" s="131"/>
      <c r="AQ410" s="111"/>
      <c r="AR410" s="111"/>
      <c r="AS410" s="111"/>
      <c r="AT410" s="545"/>
      <c r="AU410" s="131"/>
      <c r="AW410" s="111"/>
      <c r="AX410" s="111"/>
      <c r="AY410" s="111"/>
      <c r="AZ410" s="545"/>
      <c r="BA410" s="131"/>
    </row>
    <row r="411" spans="1:53" ht="17.100000000000001" customHeight="1" x14ac:dyDescent="0.25">
      <c r="A411" s="40"/>
      <c r="B411" s="40"/>
      <c r="C411" s="55"/>
      <c r="D411" s="56" t="s">
        <v>219</v>
      </c>
      <c r="E411" s="149" t="s">
        <v>474</v>
      </c>
      <c r="F411" s="75"/>
      <c r="G411" s="75"/>
      <c r="H411" s="540"/>
      <c r="I411" s="229"/>
      <c r="J411" s="111"/>
      <c r="K411" s="111"/>
      <c r="L411" s="111"/>
      <c r="M411" s="111"/>
      <c r="N411" s="60"/>
      <c r="O411" s="60"/>
      <c r="P411" s="17">
        <f t="shared" ref="P411:P415" si="464">SUM(N411:O411)</f>
        <v>0</v>
      </c>
      <c r="Q411" s="60"/>
      <c r="R411" s="60"/>
      <c r="S411" s="17">
        <f t="shared" ref="S411:S415" si="465">SUM(Q411:R411)</f>
        <v>0</v>
      </c>
      <c r="T411" s="60"/>
      <c r="U411" s="60"/>
      <c r="V411" s="359">
        <f t="shared" ref="V411:V415" si="466">SUM(T411:U411)</f>
        <v>0</v>
      </c>
      <c r="W411" s="391">
        <f t="shared" ref="W411:W416" si="467">J411+K411+N411+Q411+T411</f>
        <v>0</v>
      </c>
      <c r="X411" s="17">
        <f t="shared" ref="X411:X416" si="468">L411+O411+R411+U411</f>
        <v>0</v>
      </c>
      <c r="Y411" s="18">
        <f>SUM(W411:X411)</f>
        <v>0</v>
      </c>
      <c r="Z411" s="19">
        <f>IF(Y$421=0,0,Y411/Y$421)</f>
        <v>0</v>
      </c>
      <c r="AA411" s="19"/>
      <c r="AB411" s="19"/>
      <c r="AC411" s="17"/>
      <c r="AE411" s="111"/>
      <c r="AF411" s="111"/>
      <c r="AG411" s="111"/>
      <c r="AH411" s="112"/>
      <c r="AI411" s="113"/>
      <c r="AK411" s="111"/>
      <c r="AL411" s="111"/>
      <c r="AM411" s="111"/>
      <c r="AN411" s="112"/>
      <c r="AO411" s="113"/>
      <c r="AQ411" s="17"/>
      <c r="AR411" s="17"/>
      <c r="AS411" s="17"/>
      <c r="AT411" s="18">
        <f t="shared" ref="AT411:AT416" si="469">W411</f>
        <v>0</v>
      </c>
      <c r="AU411" s="19">
        <f>IF(AT$421=0,0,AT411/AT$421)</f>
        <v>0</v>
      </c>
      <c r="AW411" s="17"/>
      <c r="AX411" s="17"/>
      <c r="AY411" s="17"/>
      <c r="AZ411" s="18">
        <f t="shared" ref="AZ411:AZ416" si="470">X411</f>
        <v>0</v>
      </c>
      <c r="BA411" s="19">
        <f>IF(AZ$421=0,0,AZ411/AZ$421)</f>
        <v>0</v>
      </c>
    </row>
    <row r="412" spans="1:53" ht="17.100000000000001" customHeight="1" x14ac:dyDescent="0.25">
      <c r="A412" s="40"/>
      <c r="B412" s="40"/>
      <c r="C412" s="40"/>
      <c r="D412" s="56" t="s">
        <v>220</v>
      </c>
      <c r="E412" s="149" t="s">
        <v>221</v>
      </c>
      <c r="F412" s="75"/>
      <c r="G412" s="75"/>
      <c r="H412" s="540"/>
      <c r="I412" s="229"/>
      <c r="J412" s="111"/>
      <c r="K412" s="111"/>
      <c r="L412" s="111"/>
      <c r="M412" s="111"/>
      <c r="N412" s="61"/>
      <c r="O412" s="61"/>
      <c r="P412" s="17">
        <f t="shared" si="464"/>
        <v>0</v>
      </c>
      <c r="Q412" s="61"/>
      <c r="R412" s="61"/>
      <c r="S412" s="17">
        <f t="shared" si="465"/>
        <v>0</v>
      </c>
      <c r="T412" s="61"/>
      <c r="U412" s="61"/>
      <c r="V412" s="359">
        <f t="shared" si="466"/>
        <v>0</v>
      </c>
      <c r="W412" s="391">
        <f t="shared" si="467"/>
        <v>0</v>
      </c>
      <c r="X412" s="17">
        <f t="shared" si="468"/>
        <v>0</v>
      </c>
      <c r="Y412" s="18">
        <f>SUM(W412:X412)</f>
        <v>0</v>
      </c>
      <c r="Z412" s="19">
        <f t="shared" ref="Z412:Z415" si="471">IF(Y$421=0,0,Y412/Y$421)</f>
        <v>0</v>
      </c>
      <c r="AA412" s="19"/>
      <c r="AB412" s="19"/>
      <c r="AC412" s="17"/>
      <c r="AE412" s="111"/>
      <c r="AF412" s="111"/>
      <c r="AG412" s="111"/>
      <c r="AH412" s="112"/>
      <c r="AI412" s="113"/>
      <c r="AK412" s="111"/>
      <c r="AL412" s="111"/>
      <c r="AM412" s="111"/>
      <c r="AN412" s="112"/>
      <c r="AO412" s="113"/>
      <c r="AQ412" s="17"/>
      <c r="AR412" s="17"/>
      <c r="AS412" s="17"/>
      <c r="AT412" s="18">
        <f t="shared" si="469"/>
        <v>0</v>
      </c>
      <c r="AU412" s="19">
        <f t="shared" ref="AU412:AU421" si="472">IF(AT$421=0,0,AT412/AT$421)</f>
        <v>0</v>
      </c>
      <c r="AW412" s="17"/>
      <c r="AX412" s="17"/>
      <c r="AY412" s="17"/>
      <c r="AZ412" s="18">
        <f t="shared" si="470"/>
        <v>0</v>
      </c>
      <c r="BA412" s="19">
        <f t="shared" ref="BA412:BA421" si="473">IF(AZ$421=0,0,AZ412/AZ$421)</f>
        <v>0</v>
      </c>
    </row>
    <row r="413" spans="1:53" ht="17.100000000000001" customHeight="1" x14ac:dyDescent="0.25">
      <c r="A413" s="40"/>
      <c r="B413" s="40"/>
      <c r="C413" s="40"/>
      <c r="D413" s="56" t="s">
        <v>222</v>
      </c>
      <c r="E413" s="149" t="s">
        <v>223</v>
      </c>
      <c r="F413" s="75"/>
      <c r="G413" s="75"/>
      <c r="H413" s="540"/>
      <c r="I413" s="229"/>
      <c r="J413" s="111"/>
      <c r="K413" s="111"/>
      <c r="L413" s="111"/>
      <c r="M413" s="111"/>
      <c r="N413" s="60"/>
      <c r="O413" s="60"/>
      <c r="P413" s="17">
        <f t="shared" si="464"/>
        <v>0</v>
      </c>
      <c r="Q413" s="60"/>
      <c r="R413" s="60"/>
      <c r="S413" s="17">
        <f t="shared" si="465"/>
        <v>0</v>
      </c>
      <c r="T413" s="60"/>
      <c r="U413" s="60"/>
      <c r="V413" s="359">
        <f t="shared" si="466"/>
        <v>0</v>
      </c>
      <c r="W413" s="391">
        <f t="shared" si="467"/>
        <v>0</v>
      </c>
      <c r="X413" s="17">
        <f t="shared" si="468"/>
        <v>0</v>
      </c>
      <c r="Y413" s="18">
        <f>SUM(W413:X413)</f>
        <v>0</v>
      </c>
      <c r="Z413" s="19">
        <f t="shared" si="471"/>
        <v>0</v>
      </c>
      <c r="AA413" s="19"/>
      <c r="AB413" s="19"/>
      <c r="AC413" s="17"/>
      <c r="AE413" s="111"/>
      <c r="AF413" s="111"/>
      <c r="AG413" s="111"/>
      <c r="AH413" s="112"/>
      <c r="AI413" s="113"/>
      <c r="AK413" s="111"/>
      <c r="AL413" s="111"/>
      <c r="AM413" s="111"/>
      <c r="AN413" s="112"/>
      <c r="AO413" s="113"/>
      <c r="AQ413" s="17"/>
      <c r="AR413" s="17"/>
      <c r="AS413" s="17"/>
      <c r="AT413" s="18">
        <f t="shared" si="469"/>
        <v>0</v>
      </c>
      <c r="AU413" s="19">
        <f t="shared" si="472"/>
        <v>0</v>
      </c>
      <c r="AW413" s="17"/>
      <c r="AX413" s="17"/>
      <c r="AY413" s="17"/>
      <c r="AZ413" s="18">
        <f t="shared" si="470"/>
        <v>0</v>
      </c>
      <c r="BA413" s="19">
        <f t="shared" si="473"/>
        <v>0</v>
      </c>
    </row>
    <row r="414" spans="1:53" ht="17.100000000000001" customHeight="1" x14ac:dyDescent="0.25">
      <c r="A414" s="40"/>
      <c r="B414" s="40"/>
      <c r="C414" s="40"/>
      <c r="D414" s="56" t="s">
        <v>224</v>
      </c>
      <c r="E414" s="149" t="s">
        <v>225</v>
      </c>
      <c r="F414" s="75"/>
      <c r="G414" s="75"/>
      <c r="H414" s="540"/>
      <c r="I414" s="229"/>
      <c r="J414" s="111"/>
      <c r="K414" s="111"/>
      <c r="L414" s="111"/>
      <c r="M414" s="111"/>
      <c r="N414" s="61"/>
      <c r="O414" s="61"/>
      <c r="P414" s="17">
        <f t="shared" si="464"/>
        <v>0</v>
      </c>
      <c r="Q414" s="61">
        <v>2</v>
      </c>
      <c r="R414" s="61">
        <v>3</v>
      </c>
      <c r="S414" s="17">
        <f t="shared" si="465"/>
        <v>5</v>
      </c>
      <c r="T414" s="61"/>
      <c r="U414" s="61"/>
      <c r="V414" s="359">
        <f t="shared" si="466"/>
        <v>0</v>
      </c>
      <c r="W414" s="391">
        <f t="shared" si="467"/>
        <v>2</v>
      </c>
      <c r="X414" s="17">
        <f t="shared" si="468"/>
        <v>3</v>
      </c>
      <c r="Y414" s="18">
        <f>SUM(W414:X414)</f>
        <v>5</v>
      </c>
      <c r="Z414" s="19">
        <f t="shared" si="471"/>
        <v>0.7142857142857143</v>
      </c>
      <c r="AA414" s="19"/>
      <c r="AB414" s="19"/>
      <c r="AC414" s="17"/>
      <c r="AE414" s="111"/>
      <c r="AF414" s="111"/>
      <c r="AG414" s="111"/>
      <c r="AH414" s="112"/>
      <c r="AI414" s="113"/>
      <c r="AK414" s="111"/>
      <c r="AL414" s="111"/>
      <c r="AM414" s="111"/>
      <c r="AN414" s="112"/>
      <c r="AO414" s="113"/>
      <c r="AQ414" s="17"/>
      <c r="AR414" s="17"/>
      <c r="AS414" s="17"/>
      <c r="AT414" s="18">
        <f t="shared" si="469"/>
        <v>2</v>
      </c>
      <c r="AU414" s="19">
        <f t="shared" si="472"/>
        <v>1</v>
      </c>
      <c r="AW414" s="17"/>
      <c r="AX414" s="17"/>
      <c r="AY414" s="17"/>
      <c r="AZ414" s="18">
        <f t="shared" si="470"/>
        <v>3</v>
      </c>
      <c r="BA414" s="19">
        <f t="shared" si="473"/>
        <v>0.75</v>
      </c>
    </row>
    <row r="415" spans="1:53" ht="17.100000000000001" customHeight="1" x14ac:dyDescent="0.25">
      <c r="A415" s="40"/>
      <c r="B415" s="40"/>
      <c r="C415" s="40"/>
      <c r="D415" s="56" t="s">
        <v>226</v>
      </c>
      <c r="E415" s="75" t="s">
        <v>227</v>
      </c>
      <c r="F415" s="75"/>
      <c r="G415" s="75"/>
      <c r="H415" s="540"/>
      <c r="I415" s="229"/>
      <c r="J415" s="111"/>
      <c r="K415" s="111"/>
      <c r="L415" s="111"/>
      <c r="M415" s="111"/>
      <c r="N415" s="60"/>
      <c r="O415" s="60"/>
      <c r="P415" s="17">
        <f t="shared" si="464"/>
        <v>0</v>
      </c>
      <c r="Q415" s="60"/>
      <c r="R415" s="60"/>
      <c r="S415" s="17">
        <f t="shared" si="465"/>
        <v>0</v>
      </c>
      <c r="T415" s="60"/>
      <c r="U415" s="60"/>
      <c r="V415" s="359">
        <f t="shared" si="466"/>
        <v>0</v>
      </c>
      <c r="W415" s="391">
        <f t="shared" si="467"/>
        <v>0</v>
      </c>
      <c r="X415" s="17">
        <f t="shared" si="468"/>
        <v>0</v>
      </c>
      <c r="Y415" s="18">
        <f>SUM(W415:X415)</f>
        <v>0</v>
      </c>
      <c r="Z415" s="19">
        <f t="shared" si="471"/>
        <v>0</v>
      </c>
      <c r="AA415" s="19"/>
      <c r="AB415" s="19"/>
      <c r="AC415" s="17"/>
      <c r="AE415" s="111"/>
      <c r="AF415" s="111"/>
      <c r="AG415" s="111"/>
      <c r="AH415" s="112"/>
      <c r="AI415" s="113"/>
      <c r="AK415" s="111"/>
      <c r="AL415" s="111"/>
      <c r="AM415" s="111"/>
      <c r="AN415" s="112"/>
      <c r="AO415" s="113"/>
      <c r="AQ415" s="17"/>
      <c r="AR415" s="17"/>
      <c r="AS415" s="17"/>
      <c r="AT415" s="18">
        <f t="shared" si="469"/>
        <v>0</v>
      </c>
      <c r="AU415" s="19">
        <f t="shared" si="472"/>
        <v>0</v>
      </c>
      <c r="AW415" s="17"/>
      <c r="AX415" s="17"/>
      <c r="AY415" s="17"/>
      <c r="AZ415" s="18">
        <f t="shared" si="470"/>
        <v>0</v>
      </c>
      <c r="BA415" s="19">
        <f t="shared" si="473"/>
        <v>0</v>
      </c>
    </row>
    <row r="416" spans="1:53" ht="17.100000000000001" customHeight="1" x14ac:dyDescent="0.25">
      <c r="A416" s="40"/>
      <c r="B416" s="40"/>
      <c r="C416" s="179"/>
      <c r="D416" s="56" t="s">
        <v>228</v>
      </c>
      <c r="E416" s="75" t="s">
        <v>229</v>
      </c>
      <c r="F416" s="75"/>
      <c r="G416" s="75"/>
      <c r="H416" s="540"/>
      <c r="I416" s="229"/>
      <c r="J416" s="111"/>
      <c r="K416" s="111"/>
      <c r="L416" s="111"/>
      <c r="M416" s="111"/>
      <c r="N416" s="111">
        <f t="shared" ref="N416:V416" si="474">SUM(N417:N420)</f>
        <v>0</v>
      </c>
      <c r="O416" s="111">
        <f t="shared" si="474"/>
        <v>1</v>
      </c>
      <c r="P416" s="111">
        <f t="shared" si="474"/>
        <v>0</v>
      </c>
      <c r="Q416" s="111">
        <f t="shared" si="474"/>
        <v>0</v>
      </c>
      <c r="R416" s="111">
        <f t="shared" si="474"/>
        <v>0</v>
      </c>
      <c r="S416" s="111">
        <f t="shared" si="474"/>
        <v>0</v>
      </c>
      <c r="T416" s="111">
        <f t="shared" si="474"/>
        <v>0</v>
      </c>
      <c r="U416" s="111">
        <f t="shared" si="474"/>
        <v>0</v>
      </c>
      <c r="V416" s="111">
        <f t="shared" si="474"/>
        <v>0</v>
      </c>
      <c r="W416" s="380">
        <f t="shared" si="467"/>
        <v>0</v>
      </c>
      <c r="X416" s="111">
        <f t="shared" si="468"/>
        <v>1</v>
      </c>
      <c r="Y416" s="545">
        <f>SUM(J416:X416)</f>
        <v>2</v>
      </c>
      <c r="Z416" s="131">
        <f>IF(Y$421=0,0,Y416/Y$421)</f>
        <v>0.2857142857142857</v>
      </c>
      <c r="AA416" s="131"/>
      <c r="AB416" s="131"/>
      <c r="AC416" s="111"/>
      <c r="AE416" s="111"/>
      <c r="AF416" s="111"/>
      <c r="AG416" s="111"/>
      <c r="AH416" s="112"/>
      <c r="AI416" s="113"/>
      <c r="AK416" s="111"/>
      <c r="AL416" s="111"/>
      <c r="AM416" s="111"/>
      <c r="AN416" s="112"/>
      <c r="AO416" s="113"/>
      <c r="AQ416" s="111"/>
      <c r="AR416" s="111"/>
      <c r="AS416" s="111"/>
      <c r="AT416" s="545">
        <f t="shared" si="469"/>
        <v>0</v>
      </c>
      <c r="AU416" s="404">
        <f t="shared" si="472"/>
        <v>0</v>
      </c>
      <c r="AW416" s="174"/>
      <c r="AX416" s="174"/>
      <c r="AY416" s="174"/>
      <c r="AZ416" s="405">
        <f t="shared" si="470"/>
        <v>1</v>
      </c>
      <c r="BA416" s="404">
        <f t="shared" si="473"/>
        <v>0.25</v>
      </c>
    </row>
    <row r="417" spans="1:53" ht="17.100000000000001" customHeight="1" x14ac:dyDescent="0.25">
      <c r="A417" s="40"/>
      <c r="B417" s="40"/>
      <c r="C417" s="179"/>
      <c r="D417" s="74"/>
      <c r="E417" s="168"/>
      <c r="F417" s="169"/>
      <c r="G417" s="169"/>
      <c r="H417" s="17"/>
      <c r="I417" s="594"/>
      <c r="J417" s="111"/>
      <c r="K417" s="111"/>
      <c r="L417" s="111"/>
      <c r="M417" s="111"/>
      <c r="N417" s="60"/>
      <c r="O417" s="60">
        <v>1</v>
      </c>
      <c r="P417" s="17"/>
      <c r="Q417" s="60"/>
      <c r="R417" s="60"/>
      <c r="S417" s="17"/>
      <c r="T417" s="60"/>
      <c r="U417" s="60"/>
      <c r="V417" s="359"/>
      <c r="W417" s="391"/>
      <c r="X417" s="17"/>
      <c r="Y417" s="18"/>
      <c r="Z417" s="19"/>
      <c r="AA417" s="19"/>
      <c r="AB417" s="19"/>
      <c r="AC417" s="17"/>
      <c r="AE417" s="111"/>
      <c r="AF417" s="111"/>
      <c r="AG417" s="111"/>
      <c r="AH417" s="545"/>
      <c r="AI417" s="131"/>
      <c r="AK417" s="111"/>
      <c r="AL417" s="111"/>
      <c r="AM417" s="111"/>
      <c r="AN417" s="545"/>
      <c r="AO417" s="131"/>
      <c r="AQ417" s="17"/>
      <c r="AR417" s="17"/>
      <c r="AS417" s="17"/>
      <c r="AT417" s="18"/>
      <c r="AU417" s="19"/>
      <c r="AW417" s="17"/>
      <c r="AX417" s="17"/>
      <c r="AY417" s="17"/>
      <c r="AZ417" s="18"/>
      <c r="BA417" s="19"/>
    </row>
    <row r="418" spans="1:53" ht="17.100000000000001" customHeight="1" x14ac:dyDescent="0.25">
      <c r="A418" s="40"/>
      <c r="B418" s="40"/>
      <c r="C418" s="179"/>
      <c r="D418" s="74"/>
      <c r="E418" s="170"/>
      <c r="F418" s="171"/>
      <c r="G418" s="171"/>
      <c r="H418" s="17"/>
      <c r="I418" s="594"/>
      <c r="J418" s="111"/>
      <c r="K418" s="111"/>
      <c r="L418" s="111"/>
      <c r="M418" s="111"/>
      <c r="N418" s="61"/>
      <c r="O418" s="61"/>
      <c r="P418" s="17"/>
      <c r="Q418" s="61"/>
      <c r="R418" s="61"/>
      <c r="S418" s="17"/>
      <c r="T418" s="61"/>
      <c r="U418" s="61"/>
      <c r="V418" s="359"/>
      <c r="W418" s="391"/>
      <c r="X418" s="17"/>
      <c r="Y418" s="18"/>
      <c r="Z418" s="19"/>
      <c r="AA418" s="19"/>
      <c r="AB418" s="19"/>
      <c r="AC418" s="17"/>
      <c r="AE418" s="111"/>
      <c r="AF418" s="111"/>
      <c r="AG418" s="111"/>
      <c r="AH418" s="545"/>
      <c r="AI418" s="131"/>
      <c r="AK418" s="111"/>
      <c r="AL418" s="111"/>
      <c r="AM418" s="111"/>
      <c r="AN418" s="545"/>
      <c r="AO418" s="131"/>
      <c r="AQ418" s="17"/>
      <c r="AR418" s="17"/>
      <c r="AS418" s="17"/>
      <c r="AT418" s="18"/>
      <c r="AU418" s="19"/>
      <c r="AW418" s="17"/>
      <c r="AX418" s="17"/>
      <c r="AY418" s="17"/>
      <c r="AZ418" s="18"/>
      <c r="BA418" s="19"/>
    </row>
    <row r="419" spans="1:53" ht="17.100000000000001" customHeight="1" x14ac:dyDescent="0.25">
      <c r="A419" s="40"/>
      <c r="B419" s="40"/>
      <c r="C419" s="179"/>
      <c r="D419" s="74"/>
      <c r="E419" s="168"/>
      <c r="F419" s="169"/>
      <c r="G419" s="169"/>
      <c r="H419" s="17"/>
      <c r="I419" s="594"/>
      <c r="J419" s="111"/>
      <c r="K419" s="111"/>
      <c r="L419" s="111"/>
      <c r="M419" s="111"/>
      <c r="N419" s="60"/>
      <c r="O419" s="60"/>
      <c r="P419" s="17"/>
      <c r="Q419" s="60"/>
      <c r="R419" s="60"/>
      <c r="S419" s="17"/>
      <c r="T419" s="60"/>
      <c r="U419" s="60"/>
      <c r="V419" s="359"/>
      <c r="W419" s="391"/>
      <c r="X419" s="17"/>
      <c r="Y419" s="18"/>
      <c r="Z419" s="19"/>
      <c r="AA419" s="19"/>
      <c r="AB419" s="19"/>
      <c r="AC419" s="17"/>
      <c r="AE419" s="111"/>
      <c r="AF419" s="111"/>
      <c r="AG419" s="111"/>
      <c r="AH419" s="545"/>
      <c r="AI419" s="131"/>
      <c r="AK419" s="111"/>
      <c r="AL419" s="111"/>
      <c r="AM419" s="111"/>
      <c r="AN419" s="545"/>
      <c r="AO419" s="131"/>
      <c r="AQ419" s="17"/>
      <c r="AR419" s="17"/>
      <c r="AS419" s="17"/>
      <c r="AT419" s="18"/>
      <c r="AU419" s="19"/>
      <c r="AW419" s="17"/>
      <c r="AX419" s="17"/>
      <c r="AY419" s="17"/>
      <c r="AZ419" s="18"/>
      <c r="BA419" s="19"/>
    </row>
    <row r="420" spans="1:53" ht="17.100000000000001" customHeight="1" x14ac:dyDescent="0.25">
      <c r="A420" s="40"/>
      <c r="B420" s="40"/>
      <c r="C420" s="179"/>
      <c r="D420" s="74"/>
      <c r="E420" s="170"/>
      <c r="F420" s="171"/>
      <c r="G420" s="171"/>
      <c r="H420" s="17"/>
      <c r="I420" s="594"/>
      <c r="J420" s="111"/>
      <c r="K420" s="111"/>
      <c r="L420" s="111"/>
      <c r="M420" s="111"/>
      <c r="N420" s="61"/>
      <c r="O420" s="61"/>
      <c r="P420" s="17"/>
      <c r="Q420" s="61"/>
      <c r="R420" s="61"/>
      <c r="S420" s="17"/>
      <c r="T420" s="61"/>
      <c r="U420" s="61"/>
      <c r="V420" s="359"/>
      <c r="W420" s="391"/>
      <c r="X420" s="17"/>
      <c r="Y420" s="18"/>
      <c r="Z420" s="19"/>
      <c r="AA420" s="19"/>
      <c r="AB420" s="19"/>
      <c r="AC420" s="17"/>
      <c r="AE420" s="111"/>
      <c r="AF420" s="111"/>
      <c r="AG420" s="111"/>
      <c r="AH420" s="545"/>
      <c r="AI420" s="131"/>
      <c r="AK420" s="111"/>
      <c r="AL420" s="111"/>
      <c r="AM420" s="111"/>
      <c r="AN420" s="545"/>
      <c r="AO420" s="131"/>
      <c r="AQ420" s="17"/>
      <c r="AR420" s="17"/>
      <c r="AS420" s="17"/>
      <c r="AT420" s="18"/>
      <c r="AU420" s="19"/>
      <c r="AW420" s="17"/>
      <c r="AX420" s="17"/>
      <c r="AY420" s="17"/>
      <c r="AZ420" s="18"/>
      <c r="BA420" s="19"/>
    </row>
    <row r="421" spans="1:53" ht="17.100000000000001" customHeight="1" x14ac:dyDescent="0.25">
      <c r="A421" s="40"/>
      <c r="B421" s="40"/>
      <c r="C421" s="77"/>
      <c r="D421" s="134"/>
      <c r="E421" s="134"/>
      <c r="F421" s="134"/>
      <c r="G421" s="134"/>
      <c r="H421" s="540"/>
      <c r="I421" s="229"/>
      <c r="J421" s="80"/>
      <c r="K421" s="80"/>
      <c r="L421" s="81"/>
      <c r="M421" s="81"/>
      <c r="N421" s="81">
        <f>SUM(N411:N416)</f>
        <v>0</v>
      </c>
      <c r="O421" s="81">
        <f t="shared" ref="O421:V421" si="475">SUM(O411:O416)</f>
        <v>1</v>
      </c>
      <c r="P421" s="81">
        <f t="shared" si="475"/>
        <v>0</v>
      </c>
      <c r="Q421" s="81">
        <f t="shared" si="475"/>
        <v>2</v>
      </c>
      <c r="R421" s="81">
        <f t="shared" si="475"/>
        <v>3</v>
      </c>
      <c r="S421" s="81">
        <f t="shared" si="475"/>
        <v>5</v>
      </c>
      <c r="T421" s="81">
        <f t="shared" si="475"/>
        <v>0</v>
      </c>
      <c r="U421" s="81">
        <f t="shared" si="475"/>
        <v>0</v>
      </c>
      <c r="V421" s="81">
        <f t="shared" si="475"/>
        <v>0</v>
      </c>
      <c r="W421" s="381">
        <f>SUM(W411:W416)</f>
        <v>2</v>
      </c>
      <c r="X421" s="82">
        <f t="shared" ref="X421:Y421" si="476">SUM(X411:X416)</f>
        <v>4</v>
      </c>
      <c r="Y421" s="82">
        <f t="shared" si="476"/>
        <v>7</v>
      </c>
      <c r="Z421" s="205">
        <f t="shared" ref="Z421" si="477">IF(Y$421=0,0,Y421/Y$421)</f>
        <v>1</v>
      </c>
      <c r="AA421" s="205"/>
      <c r="AB421" s="205"/>
      <c r="AC421" s="83"/>
      <c r="AE421" s="80"/>
      <c r="AF421" s="80"/>
      <c r="AG421" s="81"/>
      <c r="AH421" s="82"/>
      <c r="AI421" s="66"/>
      <c r="AK421" s="80"/>
      <c r="AL421" s="80"/>
      <c r="AM421" s="81"/>
      <c r="AN421" s="82"/>
      <c r="AO421" s="66"/>
      <c r="AQ421" s="80"/>
      <c r="AR421" s="80"/>
      <c r="AS421" s="81"/>
      <c r="AT421" s="82">
        <f>SUM(AT411:AT416)</f>
        <v>2</v>
      </c>
      <c r="AU421" s="66">
        <f t="shared" si="472"/>
        <v>1</v>
      </c>
      <c r="AW421" s="80"/>
      <c r="AX421" s="80"/>
      <c r="AY421" s="81"/>
      <c r="AZ421" s="82">
        <f>SUM(AZ411:AZ416)</f>
        <v>4</v>
      </c>
      <c r="BA421" s="66">
        <f t="shared" si="473"/>
        <v>1</v>
      </c>
    </row>
    <row r="422" spans="1:53" s="117" customFormat="1" ht="17.100000000000001" customHeight="1" x14ac:dyDescent="0.25">
      <c r="A422" s="68"/>
      <c r="B422" s="119"/>
      <c r="C422" s="540"/>
      <c r="D422" s="261"/>
      <c r="E422" s="261"/>
      <c r="F422" s="68"/>
      <c r="G422" s="68"/>
      <c r="H422" s="119"/>
      <c r="I422" s="138"/>
      <c r="J422" s="17"/>
      <c r="K422" s="17"/>
      <c r="L422" s="17"/>
      <c r="M422" s="17"/>
      <c r="N422" s="17" t="str">
        <f>IF(N421&gt;=N$409,"OK","NOK")</f>
        <v>OK</v>
      </c>
      <c r="O422" s="17" t="str">
        <f t="shared" ref="O422:U422" si="478">IF(O421&gt;=O$409,"OK","NOK")</f>
        <v>OK</v>
      </c>
      <c r="P422" s="17"/>
      <c r="Q422" s="17" t="str">
        <f t="shared" si="478"/>
        <v>OK</v>
      </c>
      <c r="R422" s="17" t="str">
        <f t="shared" si="478"/>
        <v>OK</v>
      </c>
      <c r="S422" s="17"/>
      <c r="T422" s="17" t="str">
        <f t="shared" si="478"/>
        <v>OK</v>
      </c>
      <c r="U422" s="17" t="str">
        <f t="shared" si="478"/>
        <v>OK</v>
      </c>
      <c r="V422" s="17"/>
      <c r="W422" s="382"/>
      <c r="X422" s="539"/>
      <c r="Y422" s="539"/>
      <c r="Z422" s="201"/>
      <c r="AA422" s="201"/>
      <c r="AB422" s="201"/>
      <c r="AC422" s="84"/>
      <c r="AE422" s="46"/>
      <c r="AF422" s="46"/>
      <c r="AG422" s="17"/>
      <c r="AH422" s="539"/>
      <c r="AI422" s="91"/>
      <c r="AK422" s="46"/>
      <c r="AL422" s="46"/>
      <c r="AM422" s="17"/>
      <c r="AN422" s="539"/>
      <c r="AO422" s="91"/>
      <c r="AQ422" s="46"/>
      <c r="AR422" s="46"/>
      <c r="AS422" s="17"/>
      <c r="AT422" s="539"/>
      <c r="AU422" s="91"/>
      <c r="AW422" s="46"/>
      <c r="AX422" s="46"/>
      <c r="AY422" s="17"/>
      <c r="AZ422" s="539"/>
      <c r="BA422" s="91"/>
    </row>
    <row r="423" spans="1:53" ht="17.100000000000001" customHeight="1" x14ac:dyDescent="0.25">
      <c r="A423" s="175"/>
      <c r="B423" s="40"/>
      <c r="C423" s="56" t="s">
        <v>230</v>
      </c>
      <c r="D423" s="57" t="s">
        <v>231</v>
      </c>
      <c r="E423" s="149"/>
      <c r="F423" s="149"/>
      <c r="G423" s="149"/>
      <c r="H423" s="182"/>
      <c r="I423" s="241"/>
      <c r="J423" s="152"/>
      <c r="K423" s="152"/>
      <c r="L423" s="111"/>
      <c r="M423" s="111"/>
      <c r="N423" s="111"/>
      <c r="O423" s="111"/>
      <c r="P423" s="111"/>
      <c r="Q423" s="111"/>
      <c r="R423" s="111"/>
      <c r="S423" s="111"/>
      <c r="T423" s="111"/>
      <c r="U423" s="111"/>
      <c r="V423" s="358"/>
      <c r="W423" s="380"/>
      <c r="X423" s="111"/>
      <c r="Y423" s="545"/>
      <c r="Z423" s="131"/>
      <c r="AA423" s="131"/>
      <c r="AB423" s="131"/>
      <c r="AC423" s="113"/>
      <c r="AE423" s="152"/>
      <c r="AF423" s="152"/>
      <c r="AG423" s="111"/>
      <c r="AH423" s="545"/>
      <c r="AI423" s="131"/>
      <c r="AK423" s="152"/>
      <c r="AL423" s="152"/>
      <c r="AM423" s="111"/>
      <c r="AN423" s="545"/>
      <c r="AO423" s="131"/>
      <c r="AQ423" s="152"/>
      <c r="AR423" s="152"/>
      <c r="AS423" s="111"/>
      <c r="AT423" s="545"/>
      <c r="AU423" s="131"/>
      <c r="AW423" s="152"/>
      <c r="AX423" s="152"/>
      <c r="AY423" s="111"/>
      <c r="AZ423" s="545"/>
      <c r="BA423" s="131"/>
    </row>
    <row r="424" spans="1:53" ht="17.100000000000001" customHeight="1" x14ac:dyDescent="0.25">
      <c r="A424" s="175"/>
      <c r="B424" s="40"/>
      <c r="C424" s="55"/>
      <c r="D424" s="56" t="s">
        <v>232</v>
      </c>
      <c r="E424" s="85" t="s">
        <v>173</v>
      </c>
      <c r="F424" s="167"/>
      <c r="G424" s="149"/>
      <c r="H424" s="182"/>
      <c r="I424" s="241"/>
      <c r="J424" s="111"/>
      <c r="K424" s="111"/>
      <c r="L424" s="111"/>
      <c r="M424" s="111"/>
      <c r="N424" s="60"/>
      <c r="O424" s="60"/>
      <c r="P424" s="17">
        <f>SUM(N424:O424)</f>
        <v>0</v>
      </c>
      <c r="Q424" s="60"/>
      <c r="R424" s="60"/>
      <c r="S424" s="17">
        <f>SUM(Q424:R424)</f>
        <v>0</v>
      </c>
      <c r="T424" s="60"/>
      <c r="U424" s="60"/>
      <c r="V424" s="359">
        <f>SUM(T424:U424)</f>
        <v>0</v>
      </c>
      <c r="W424" s="391">
        <f t="shared" ref="W424:W425" si="479">J424+K424+N424+Q424+T424</f>
        <v>0</v>
      </c>
      <c r="X424" s="17">
        <f t="shared" ref="X424:X425" si="480">L424+O424+R424+U424</f>
        <v>0</v>
      </c>
      <c r="Y424" s="18">
        <f>SUM(W424:X424)</f>
        <v>0</v>
      </c>
      <c r="Z424" s="19">
        <f>IF(Y$370=0,0,Y424/Y$370)</f>
        <v>0</v>
      </c>
      <c r="AA424" s="19"/>
      <c r="AB424" s="19"/>
      <c r="AC424" s="20"/>
      <c r="AE424" s="111"/>
      <c r="AF424" s="111"/>
      <c r="AG424" s="111"/>
      <c r="AH424" s="112"/>
      <c r="AI424" s="113"/>
      <c r="AK424" s="111"/>
      <c r="AL424" s="111"/>
      <c r="AM424" s="111"/>
      <c r="AN424" s="112"/>
      <c r="AO424" s="113"/>
      <c r="AQ424" s="17"/>
      <c r="AR424" s="17"/>
      <c r="AS424" s="17"/>
      <c r="AT424" s="18">
        <f t="shared" ref="AT424:AT425" si="481">W424</f>
        <v>0</v>
      </c>
      <c r="AU424" s="19">
        <f>IF(AT$430=0,0,AT424/AT$430)</f>
        <v>0</v>
      </c>
      <c r="AW424" s="17"/>
      <c r="AX424" s="17"/>
      <c r="AY424" s="17"/>
      <c r="AZ424" s="18">
        <f t="shared" ref="AZ424:AZ425" si="482">X424</f>
        <v>0</v>
      </c>
      <c r="BA424" s="19">
        <f>IF(AZ$430=0,0,AZ424/AZ$430)</f>
        <v>0</v>
      </c>
    </row>
    <row r="425" spans="1:53" ht="17.100000000000001" customHeight="1" x14ac:dyDescent="0.25">
      <c r="A425" s="175"/>
      <c r="B425" s="40"/>
      <c r="C425" s="55"/>
      <c r="D425" s="56" t="s">
        <v>233</v>
      </c>
      <c r="E425" s="85" t="s">
        <v>544</v>
      </c>
      <c r="F425" s="167"/>
      <c r="G425" s="149"/>
      <c r="H425" s="182"/>
      <c r="I425" s="241"/>
      <c r="J425" s="111"/>
      <c r="K425" s="111"/>
      <c r="L425" s="111"/>
      <c r="M425" s="111"/>
      <c r="N425" s="61"/>
      <c r="O425" s="61">
        <v>1</v>
      </c>
      <c r="P425" s="17">
        <f t="shared" ref="P425:P429" si="483">SUM(N425:O425)</f>
        <v>1</v>
      </c>
      <c r="Q425" s="61">
        <v>2</v>
      </c>
      <c r="R425" s="61">
        <v>3</v>
      </c>
      <c r="S425" s="17">
        <f t="shared" ref="S425:S429" si="484">SUM(Q425:R425)</f>
        <v>5</v>
      </c>
      <c r="T425" s="61"/>
      <c r="U425" s="61"/>
      <c r="V425" s="359">
        <f t="shared" ref="V425:V429" si="485">SUM(T425:U425)</f>
        <v>0</v>
      </c>
      <c r="W425" s="391">
        <f t="shared" si="479"/>
        <v>2</v>
      </c>
      <c r="X425" s="17">
        <f t="shared" si="480"/>
        <v>4</v>
      </c>
      <c r="Y425" s="18">
        <f>SUM(W425:X425)</f>
        <v>6</v>
      </c>
      <c r="Z425" s="19">
        <f>IF(Y$370=0,0,Y425/Y$370)</f>
        <v>0</v>
      </c>
      <c r="AA425" s="19"/>
      <c r="AB425" s="19"/>
      <c r="AC425" s="20"/>
      <c r="AE425" s="111"/>
      <c r="AF425" s="111"/>
      <c r="AG425" s="111"/>
      <c r="AH425" s="112"/>
      <c r="AI425" s="113"/>
      <c r="AK425" s="111"/>
      <c r="AL425" s="111"/>
      <c r="AM425" s="111"/>
      <c r="AN425" s="112"/>
      <c r="AO425" s="113"/>
      <c r="AQ425" s="17"/>
      <c r="AR425" s="17"/>
      <c r="AS425" s="17"/>
      <c r="AT425" s="18">
        <f t="shared" si="481"/>
        <v>2</v>
      </c>
      <c r="AU425" s="19">
        <f>IF(AT$430=0,0,AT425/AT$430)</f>
        <v>1</v>
      </c>
      <c r="AW425" s="17"/>
      <c r="AX425" s="17"/>
      <c r="AY425" s="17"/>
      <c r="AZ425" s="18">
        <f t="shared" si="482"/>
        <v>4</v>
      </c>
      <c r="BA425" s="19">
        <f>IF(AZ$430=0,0,AZ425/AZ$430)</f>
        <v>1</v>
      </c>
    </row>
    <row r="426" spans="1:53" ht="17.100000000000001" customHeight="1" x14ac:dyDescent="0.25">
      <c r="A426" s="175"/>
      <c r="B426" s="40"/>
      <c r="C426" s="55"/>
      <c r="D426" s="56" t="s">
        <v>234</v>
      </c>
      <c r="E426" s="146" t="s">
        <v>484</v>
      </c>
      <c r="F426" s="149"/>
      <c r="G426" s="149"/>
      <c r="H426" s="182"/>
      <c r="I426" s="241"/>
      <c r="J426" s="111"/>
      <c r="K426" s="111"/>
      <c r="L426" s="111"/>
      <c r="M426" s="111"/>
      <c r="N426" s="60"/>
      <c r="O426" s="60">
        <v>2000000</v>
      </c>
      <c r="P426" s="17"/>
      <c r="Q426" s="60">
        <v>100000</v>
      </c>
      <c r="R426" s="60">
        <v>200000</v>
      </c>
      <c r="S426" s="17"/>
      <c r="T426" s="60"/>
      <c r="U426" s="60"/>
      <c r="V426" s="359"/>
      <c r="W426" s="391">
        <f>MIN(N426,Q426,T426)</f>
        <v>100000</v>
      </c>
      <c r="X426" s="17">
        <f>MIN(O426,R426,U426)</f>
        <v>200000</v>
      </c>
      <c r="Y426" s="18"/>
      <c r="Z426" s="19"/>
      <c r="AA426" s="17">
        <f>MIN(N426:U426)</f>
        <v>100000</v>
      </c>
      <c r="AB426" s="17"/>
      <c r="AC426" s="17"/>
      <c r="AE426" s="111"/>
      <c r="AF426" s="111"/>
      <c r="AG426" s="111"/>
      <c r="AH426" s="545"/>
      <c r="AI426" s="131"/>
      <c r="AK426" s="111"/>
      <c r="AL426" s="111"/>
      <c r="AM426" s="111"/>
      <c r="AN426" s="545"/>
      <c r="AO426" s="131"/>
      <c r="AQ426" s="17">
        <f>W426</f>
        <v>100000</v>
      </c>
      <c r="AR426" s="17"/>
      <c r="AS426" s="17"/>
      <c r="AT426" s="18"/>
      <c r="AU426" s="19"/>
      <c r="AW426" s="17">
        <f>X426</f>
        <v>200000</v>
      </c>
      <c r="AX426" s="17"/>
      <c r="AY426" s="17"/>
      <c r="AZ426" s="18"/>
      <c r="BA426" s="19"/>
    </row>
    <row r="427" spans="1:53" ht="17.100000000000001" customHeight="1" x14ac:dyDescent="0.25">
      <c r="A427" s="175"/>
      <c r="B427" s="40"/>
      <c r="C427" s="55"/>
      <c r="D427" s="56" t="s">
        <v>235</v>
      </c>
      <c r="E427" s="146" t="s">
        <v>485</v>
      </c>
      <c r="F427" s="149"/>
      <c r="G427" s="149"/>
      <c r="H427" s="182"/>
      <c r="I427" s="241"/>
      <c r="J427" s="111"/>
      <c r="K427" s="111"/>
      <c r="L427" s="111"/>
      <c r="M427" s="111"/>
      <c r="N427" s="61"/>
      <c r="O427" s="61">
        <v>2000000</v>
      </c>
      <c r="P427" s="17"/>
      <c r="Q427" s="61">
        <v>500000</v>
      </c>
      <c r="R427" s="61">
        <v>400000</v>
      </c>
      <c r="S427" s="17"/>
      <c r="T427" s="61"/>
      <c r="U427" s="61"/>
      <c r="V427" s="359"/>
      <c r="W427" s="391">
        <f>MAX(N427,Q427,T427)</f>
        <v>500000</v>
      </c>
      <c r="X427" s="17">
        <f>MAX(O427,R427,U427)</f>
        <v>2000000</v>
      </c>
      <c r="Y427" s="18"/>
      <c r="Z427" s="19"/>
      <c r="AA427" s="17"/>
      <c r="AB427" s="17">
        <f>MAX(N427:U427)</f>
        <v>2000000</v>
      </c>
      <c r="AC427" s="17"/>
      <c r="AE427" s="111"/>
      <c r="AF427" s="111"/>
      <c r="AG427" s="111"/>
      <c r="AH427" s="545"/>
      <c r="AI427" s="131"/>
      <c r="AK427" s="111"/>
      <c r="AL427" s="111"/>
      <c r="AM427" s="111"/>
      <c r="AN427" s="545"/>
      <c r="AO427" s="131"/>
      <c r="AQ427" s="17"/>
      <c r="AR427" s="17">
        <f>W427</f>
        <v>500000</v>
      </c>
      <c r="AS427" s="17"/>
      <c r="AT427" s="18"/>
      <c r="AU427" s="19"/>
      <c r="AW427" s="17"/>
      <c r="AX427" s="17">
        <f>X427</f>
        <v>2000000</v>
      </c>
      <c r="AY427" s="17"/>
      <c r="AZ427" s="18"/>
      <c r="BA427" s="19"/>
    </row>
    <row r="428" spans="1:53" ht="17.100000000000001" customHeight="1" x14ac:dyDescent="0.25">
      <c r="A428" s="175"/>
      <c r="B428" s="40"/>
      <c r="C428" s="55"/>
      <c r="D428" s="56" t="s">
        <v>236</v>
      </c>
      <c r="E428" s="146" t="s">
        <v>543</v>
      </c>
      <c r="F428" s="149"/>
      <c r="G428" s="149"/>
      <c r="H428" s="182"/>
      <c r="I428" s="241"/>
      <c r="J428" s="111"/>
      <c r="K428" s="111"/>
      <c r="L428" s="111"/>
      <c r="M428" s="111"/>
      <c r="N428" s="60"/>
      <c r="O428" s="60">
        <v>2000000</v>
      </c>
      <c r="P428" s="17"/>
      <c r="Q428" s="60">
        <v>300000</v>
      </c>
      <c r="R428" s="60">
        <v>200000</v>
      </c>
      <c r="S428" s="17"/>
      <c r="T428" s="60"/>
      <c r="U428" s="60"/>
      <c r="V428" s="359"/>
      <c r="W428" s="391">
        <f>IF(N428+Q428+T428=0,0,AVERAGE(N428,Q428,T428))</f>
        <v>300000</v>
      </c>
      <c r="X428" s="17">
        <f>IF(O428+R428+U428=0,0,AVERAGE(O428,R428,U428))</f>
        <v>1100000</v>
      </c>
      <c r="Y428" s="18"/>
      <c r="Z428" s="19"/>
      <c r="AA428" s="17"/>
      <c r="AB428" s="17"/>
      <c r="AC428" s="17">
        <f>IF(SUM(N428:U428)=0,0,AVERAGE(N428:U428))</f>
        <v>833333.33333333337</v>
      </c>
      <c r="AE428" s="111"/>
      <c r="AF428" s="111"/>
      <c r="AG428" s="111"/>
      <c r="AH428" s="545"/>
      <c r="AI428" s="131"/>
      <c r="AK428" s="111"/>
      <c r="AL428" s="111"/>
      <c r="AM428" s="111"/>
      <c r="AN428" s="545"/>
      <c r="AO428" s="131"/>
      <c r="AQ428" s="17"/>
      <c r="AR428" s="17"/>
      <c r="AS428" s="17">
        <f>W428</f>
        <v>300000</v>
      </c>
      <c r="AT428" s="18"/>
      <c r="AU428" s="19"/>
      <c r="AW428" s="17"/>
      <c r="AX428" s="17"/>
      <c r="AY428" s="17">
        <f>X428</f>
        <v>1100000</v>
      </c>
      <c r="AZ428" s="18"/>
      <c r="BA428" s="19"/>
    </row>
    <row r="429" spans="1:53" ht="17.100000000000001" customHeight="1" x14ac:dyDescent="0.25">
      <c r="A429" s="175"/>
      <c r="B429" s="40"/>
      <c r="C429" s="55"/>
      <c r="D429" s="56" t="s">
        <v>237</v>
      </c>
      <c r="E429" s="85" t="s">
        <v>129</v>
      </c>
      <c r="F429" s="167"/>
      <c r="G429" s="149"/>
      <c r="H429" s="182"/>
      <c r="I429" s="241"/>
      <c r="J429" s="111"/>
      <c r="K429" s="111"/>
      <c r="L429" s="111"/>
      <c r="M429" s="111"/>
      <c r="N429" s="61"/>
      <c r="O429" s="61"/>
      <c r="P429" s="17">
        <f t="shared" si="483"/>
        <v>0</v>
      </c>
      <c r="Q429" s="61"/>
      <c r="R429" s="61"/>
      <c r="S429" s="17">
        <f t="shared" si="484"/>
        <v>0</v>
      </c>
      <c r="T429" s="61"/>
      <c r="U429" s="61"/>
      <c r="V429" s="359">
        <f t="shared" si="485"/>
        <v>0</v>
      </c>
      <c r="W429" s="391">
        <f t="shared" ref="W429" si="486">J429+K429+N429+Q429+T429</f>
        <v>0</v>
      </c>
      <c r="X429" s="17">
        <f t="shared" ref="X429" si="487">L429+O429+R429+U429</f>
        <v>0</v>
      </c>
      <c r="Y429" s="18">
        <f>SUM(W429:X429)</f>
        <v>0</v>
      </c>
      <c r="Z429" s="19">
        <f>IF(Y$370=0,0,Y429/Y$370)</f>
        <v>0</v>
      </c>
      <c r="AA429" s="19"/>
      <c r="AB429" s="19"/>
      <c r="AC429" s="20"/>
      <c r="AE429" s="111"/>
      <c r="AF429" s="111"/>
      <c r="AG429" s="111"/>
      <c r="AH429" s="112"/>
      <c r="AI429" s="113"/>
      <c r="AK429" s="111"/>
      <c r="AL429" s="111"/>
      <c r="AM429" s="111"/>
      <c r="AN429" s="112"/>
      <c r="AO429" s="113"/>
      <c r="AQ429" s="17"/>
      <c r="AR429" s="17"/>
      <c r="AS429" s="17"/>
      <c r="AT429" s="18">
        <f t="shared" ref="AT429" si="488">W429</f>
        <v>0</v>
      </c>
      <c r="AU429" s="19">
        <f>IF(AT$430=0,0,AT429/AT$430)</f>
        <v>0</v>
      </c>
      <c r="AW429" s="17"/>
      <c r="AX429" s="17"/>
      <c r="AY429" s="17"/>
      <c r="AZ429" s="18">
        <f t="shared" ref="AZ429" si="489">X429</f>
        <v>0</v>
      </c>
      <c r="BA429" s="19">
        <f>IF(AZ$430=0,0,AZ429/AZ$430)</f>
        <v>0</v>
      </c>
    </row>
    <row r="430" spans="1:53" ht="17.100000000000001" customHeight="1" x14ac:dyDescent="0.25">
      <c r="A430" s="40"/>
      <c r="B430" s="40"/>
      <c r="C430" s="77"/>
      <c r="D430" s="134"/>
      <c r="E430" s="134"/>
      <c r="F430" s="134"/>
      <c r="G430" s="134"/>
      <c r="H430" s="540"/>
      <c r="I430" s="229"/>
      <c r="J430" s="80"/>
      <c r="K430" s="80"/>
      <c r="L430" s="81"/>
      <c r="M430" s="81"/>
      <c r="N430" s="81">
        <f>N424+N425+N429</f>
        <v>0</v>
      </c>
      <c r="O430" s="81">
        <f t="shared" ref="O430:V430" si="490">O424+O425+O429</f>
        <v>1</v>
      </c>
      <c r="P430" s="81">
        <f t="shared" si="490"/>
        <v>1</v>
      </c>
      <c r="Q430" s="81">
        <f t="shared" si="490"/>
        <v>2</v>
      </c>
      <c r="R430" s="81">
        <f t="shared" si="490"/>
        <v>3</v>
      </c>
      <c r="S430" s="81">
        <f t="shared" si="490"/>
        <v>5</v>
      </c>
      <c r="T430" s="81">
        <f t="shared" si="490"/>
        <v>0</v>
      </c>
      <c r="U430" s="81">
        <f t="shared" si="490"/>
        <v>0</v>
      </c>
      <c r="V430" s="81">
        <f t="shared" si="490"/>
        <v>0</v>
      </c>
      <c r="W430" s="381">
        <f>W424+W425+W429</f>
        <v>2</v>
      </c>
      <c r="X430" s="82">
        <f t="shared" ref="X430:Y430" si="491">X424+X425+X429</f>
        <v>4</v>
      </c>
      <c r="Y430" s="338">
        <f t="shared" si="491"/>
        <v>6</v>
      </c>
      <c r="Z430" s="205">
        <f>IF(Y$430=0,0,Y430/Y$430)</f>
        <v>1</v>
      </c>
      <c r="AA430" s="205"/>
      <c r="AB430" s="205"/>
      <c r="AC430" s="83"/>
      <c r="AE430" s="80"/>
      <c r="AF430" s="80"/>
      <c r="AG430" s="81"/>
      <c r="AH430" s="82"/>
      <c r="AI430" s="66"/>
      <c r="AK430" s="80"/>
      <c r="AL430" s="80"/>
      <c r="AM430" s="81"/>
      <c r="AN430" s="82"/>
      <c r="AO430" s="66"/>
      <c r="AQ430" s="80"/>
      <c r="AR430" s="80"/>
      <c r="AS430" s="81"/>
      <c r="AT430" s="82">
        <f>SUM(AT424:AT429)</f>
        <v>2</v>
      </c>
      <c r="AU430" s="66">
        <f>IF(AT$430=0,0,AT430/AT$430)</f>
        <v>1</v>
      </c>
      <c r="AW430" s="80"/>
      <c r="AX430" s="80"/>
      <c r="AY430" s="81"/>
      <c r="AZ430" s="82">
        <f>SUM(AZ424:AZ429)</f>
        <v>4</v>
      </c>
      <c r="BA430" s="66">
        <f>IF(AZ$430=0,0,AZ430/AZ$430)</f>
        <v>1</v>
      </c>
    </row>
    <row r="431" spans="1:53" s="117" customFormat="1" ht="17.100000000000001" customHeight="1" x14ac:dyDescent="0.25">
      <c r="A431" s="68"/>
      <c r="B431" s="119"/>
      <c r="C431" s="540"/>
      <c r="D431" s="261"/>
      <c r="E431" s="261"/>
      <c r="F431" s="68"/>
      <c r="G431" s="68"/>
      <c r="H431" s="119"/>
      <c r="I431" s="138"/>
      <c r="J431" s="17"/>
      <c r="K431" s="17"/>
      <c r="L431" s="17"/>
      <c r="M431" s="17"/>
      <c r="N431" s="17" t="str">
        <f>IF(N430=N$403,"OK","NOK")</f>
        <v>OK</v>
      </c>
      <c r="O431" s="17" t="str">
        <f>IF(O430=O$403,"OK","NOK")</f>
        <v>OK</v>
      </c>
      <c r="P431" s="17"/>
      <c r="Q431" s="17" t="str">
        <f>IF(Q430=Q$403,"OK","NOK")</f>
        <v>OK</v>
      </c>
      <c r="R431" s="17" t="str">
        <f>IF(R430=R$403,"OK","NOK")</f>
        <v>OK</v>
      </c>
      <c r="S431" s="17"/>
      <c r="T431" s="17" t="str">
        <f>IF(T430=T$403,"OK","NOK")</f>
        <v>OK</v>
      </c>
      <c r="U431" s="17" t="str">
        <f>IF(U430=U$403,"OK","NOK")</f>
        <v>OK</v>
      </c>
      <c r="V431" s="359"/>
      <c r="W431" s="382"/>
      <c r="X431" s="539"/>
      <c r="Y431" s="539"/>
      <c r="Z431" s="201"/>
      <c r="AA431" s="201"/>
      <c r="AB431" s="201"/>
      <c r="AC431" s="84"/>
      <c r="AE431" s="46"/>
      <c r="AF431" s="46"/>
      <c r="AG431" s="17"/>
      <c r="AH431" s="539"/>
      <c r="AI431" s="91"/>
      <c r="AK431" s="46"/>
      <c r="AL431" s="46"/>
      <c r="AM431" s="17"/>
      <c r="AN431" s="539"/>
      <c r="AO431" s="91"/>
      <c r="AQ431" s="46"/>
      <c r="AR431" s="46"/>
      <c r="AS431" s="17"/>
      <c r="AT431" s="539"/>
      <c r="AU431" s="91"/>
      <c r="AW431" s="46"/>
      <c r="AX431" s="46"/>
      <c r="AY431" s="17"/>
      <c r="AZ431" s="539"/>
      <c r="BA431" s="91"/>
    </row>
    <row r="432" spans="1:53" ht="17.100000000000001" customHeight="1" x14ac:dyDescent="0.25">
      <c r="A432" s="175"/>
      <c r="B432" s="40"/>
      <c r="C432" s="56" t="s">
        <v>238</v>
      </c>
      <c r="D432" s="57" t="s">
        <v>477</v>
      </c>
      <c r="E432" s="149"/>
      <c r="F432" s="149"/>
      <c r="G432" s="149"/>
      <c r="H432" s="182"/>
      <c r="I432" s="241"/>
      <c r="J432" s="152"/>
      <c r="K432" s="152"/>
      <c r="L432" s="111"/>
      <c r="M432" s="111"/>
      <c r="N432" s="111"/>
      <c r="O432" s="111"/>
      <c r="P432" s="111"/>
      <c r="Q432" s="111"/>
      <c r="R432" s="111"/>
      <c r="S432" s="111"/>
      <c r="T432" s="111"/>
      <c r="U432" s="111"/>
      <c r="V432" s="358"/>
      <c r="W432" s="380"/>
      <c r="X432" s="111"/>
      <c r="Y432" s="545"/>
      <c r="Z432" s="131"/>
      <c r="AA432" s="131"/>
      <c r="AB432" s="131"/>
      <c r="AC432" s="113"/>
      <c r="AE432" s="152"/>
      <c r="AF432" s="152"/>
      <c r="AG432" s="111"/>
      <c r="AH432" s="545"/>
      <c r="AI432" s="131"/>
      <c r="AK432" s="152"/>
      <c r="AL432" s="152"/>
      <c r="AM432" s="111"/>
      <c r="AN432" s="545"/>
      <c r="AO432" s="131"/>
      <c r="AQ432" s="152"/>
      <c r="AR432" s="152"/>
      <c r="AS432" s="111"/>
      <c r="AT432" s="545"/>
      <c r="AU432" s="131"/>
      <c r="AW432" s="152"/>
      <c r="AX432" s="152"/>
      <c r="AY432" s="111"/>
      <c r="AZ432" s="545"/>
      <c r="BA432" s="131"/>
    </row>
    <row r="433" spans="1:53" ht="17.100000000000001" customHeight="1" x14ac:dyDescent="0.25">
      <c r="A433" s="175"/>
      <c r="B433" s="40"/>
      <c r="C433" s="55"/>
      <c r="D433" s="56" t="s">
        <v>239</v>
      </c>
      <c r="E433" s="85" t="s">
        <v>478</v>
      </c>
      <c r="F433" s="149"/>
      <c r="G433" s="149"/>
      <c r="H433" s="182"/>
      <c r="I433" s="241"/>
      <c r="J433" s="111"/>
      <c r="K433" s="111"/>
      <c r="L433" s="111"/>
      <c r="M433" s="111"/>
      <c r="N433" s="60"/>
      <c r="O433" s="60"/>
      <c r="P433" s="17">
        <f t="shared" ref="P433:P440" si="492">SUM(N433:O433)</f>
        <v>0</v>
      </c>
      <c r="Q433" s="60"/>
      <c r="R433" s="60"/>
      <c r="S433" s="17">
        <f t="shared" ref="S433:S440" si="493">SUM(Q433:R433)</f>
        <v>0</v>
      </c>
      <c r="T433" s="60"/>
      <c r="U433" s="60"/>
      <c r="V433" s="359">
        <f t="shared" ref="V433:V440" si="494">SUM(T433:U433)</f>
        <v>0</v>
      </c>
      <c r="W433" s="391">
        <f t="shared" ref="W433:W440" si="495">J433+K433+N433+Q433+T433</f>
        <v>0</v>
      </c>
      <c r="X433" s="17">
        <f t="shared" ref="X433:X440" si="496">L433+O433+R433+U433</f>
        <v>0</v>
      </c>
      <c r="Y433" s="18">
        <f t="shared" ref="Y433:Y440" si="497">SUM(W433:X433)</f>
        <v>0</v>
      </c>
      <c r="Z433" s="19">
        <f>IF(Y$441=0,0,Y433/Y$441)</f>
        <v>0</v>
      </c>
      <c r="AA433" s="19"/>
      <c r="AB433" s="19"/>
      <c r="AC433" s="84"/>
      <c r="AE433" s="111"/>
      <c r="AF433" s="111"/>
      <c r="AG433" s="111"/>
      <c r="AH433" s="112"/>
      <c r="AI433" s="113"/>
      <c r="AK433" s="111"/>
      <c r="AL433" s="111"/>
      <c r="AM433" s="111"/>
      <c r="AN433" s="112"/>
      <c r="AO433" s="113"/>
      <c r="AQ433" s="17"/>
      <c r="AR433" s="17"/>
      <c r="AS433" s="17"/>
      <c r="AT433" s="18">
        <f t="shared" ref="AT433:AT440" si="498">W433</f>
        <v>0</v>
      </c>
      <c r="AU433" s="19">
        <f>IF(AT$441=0,0,AT433/AT$441)</f>
        <v>0</v>
      </c>
      <c r="AW433" s="17"/>
      <c r="AX433" s="17"/>
      <c r="AY433" s="17"/>
      <c r="AZ433" s="18">
        <f t="shared" ref="AZ433:AZ440" si="499">X433</f>
        <v>0</v>
      </c>
      <c r="BA433" s="19">
        <f>IF(AZ$441=0,0,AZ433/AZ$441)</f>
        <v>0</v>
      </c>
    </row>
    <row r="434" spans="1:53" ht="17.100000000000001" customHeight="1" x14ac:dyDescent="0.25">
      <c r="A434" s="175"/>
      <c r="B434" s="40"/>
      <c r="C434" s="55"/>
      <c r="D434" s="56" t="s">
        <v>240</v>
      </c>
      <c r="E434" s="85" t="s">
        <v>165</v>
      </c>
      <c r="F434" s="149"/>
      <c r="G434" s="149"/>
      <c r="H434" s="182"/>
      <c r="I434" s="241"/>
      <c r="J434" s="111"/>
      <c r="K434" s="111"/>
      <c r="L434" s="111"/>
      <c r="M434" s="111"/>
      <c r="N434" s="61"/>
      <c r="O434" s="61">
        <v>1</v>
      </c>
      <c r="P434" s="17">
        <f t="shared" si="492"/>
        <v>1</v>
      </c>
      <c r="Q434" s="61">
        <v>2</v>
      </c>
      <c r="R434" s="61">
        <v>3</v>
      </c>
      <c r="S434" s="17">
        <f t="shared" si="493"/>
        <v>5</v>
      </c>
      <c r="T434" s="61"/>
      <c r="U434" s="61"/>
      <c r="V434" s="359">
        <f t="shared" si="494"/>
        <v>0</v>
      </c>
      <c r="W434" s="391">
        <f t="shared" si="495"/>
        <v>2</v>
      </c>
      <c r="X434" s="17">
        <f t="shared" si="496"/>
        <v>4</v>
      </c>
      <c r="Y434" s="18">
        <f t="shared" si="497"/>
        <v>6</v>
      </c>
      <c r="Z434" s="19">
        <f t="shared" ref="Z434:Z441" si="500">IF(Y$441=0,0,Y434/Y$441)</f>
        <v>1</v>
      </c>
      <c r="AA434" s="19"/>
      <c r="AB434" s="19"/>
      <c r="AC434" s="84"/>
      <c r="AE434" s="111"/>
      <c r="AF434" s="111"/>
      <c r="AG434" s="111"/>
      <c r="AH434" s="112"/>
      <c r="AI434" s="113"/>
      <c r="AK434" s="111"/>
      <c r="AL434" s="111"/>
      <c r="AM434" s="111"/>
      <c r="AN434" s="112"/>
      <c r="AO434" s="113"/>
      <c r="AQ434" s="17"/>
      <c r="AR434" s="17"/>
      <c r="AS434" s="17"/>
      <c r="AT434" s="18">
        <f t="shared" si="498"/>
        <v>2</v>
      </c>
      <c r="AU434" s="19">
        <f t="shared" ref="AU434:AU441" si="501">IF(AT$441=0,0,AT434/AT$441)</f>
        <v>1</v>
      </c>
      <c r="AW434" s="17"/>
      <c r="AX434" s="17"/>
      <c r="AY434" s="17"/>
      <c r="AZ434" s="18">
        <f t="shared" si="499"/>
        <v>4</v>
      </c>
      <c r="BA434" s="19">
        <f t="shared" ref="BA434:BA441" si="502">IF(AZ$441=0,0,AZ434/AZ$441)</f>
        <v>1</v>
      </c>
    </row>
    <row r="435" spans="1:53" ht="17.100000000000001" customHeight="1" x14ac:dyDescent="0.25">
      <c r="A435" s="175"/>
      <c r="B435" s="40"/>
      <c r="C435" s="55"/>
      <c r="D435" s="56" t="s">
        <v>241</v>
      </c>
      <c r="E435" s="85" t="s">
        <v>167</v>
      </c>
      <c r="F435" s="149"/>
      <c r="G435" s="149"/>
      <c r="H435" s="182"/>
      <c r="I435" s="241"/>
      <c r="J435" s="111"/>
      <c r="K435" s="111"/>
      <c r="L435" s="111"/>
      <c r="M435" s="111"/>
      <c r="N435" s="60"/>
      <c r="O435" s="60"/>
      <c r="P435" s="17">
        <f t="shared" si="492"/>
        <v>0</v>
      </c>
      <c r="Q435" s="60"/>
      <c r="R435" s="60"/>
      <c r="S435" s="17">
        <f t="shared" si="493"/>
        <v>0</v>
      </c>
      <c r="T435" s="60"/>
      <c r="U435" s="60"/>
      <c r="V435" s="359">
        <f t="shared" si="494"/>
        <v>0</v>
      </c>
      <c r="W435" s="391">
        <f t="shared" si="495"/>
        <v>0</v>
      </c>
      <c r="X435" s="17">
        <f t="shared" si="496"/>
        <v>0</v>
      </c>
      <c r="Y435" s="18">
        <f t="shared" si="497"/>
        <v>0</v>
      </c>
      <c r="Z435" s="19">
        <f t="shared" si="500"/>
        <v>0</v>
      </c>
      <c r="AA435" s="19"/>
      <c r="AB435" s="19"/>
      <c r="AC435" s="84"/>
      <c r="AE435" s="111"/>
      <c r="AF435" s="111"/>
      <c r="AG435" s="111"/>
      <c r="AH435" s="112"/>
      <c r="AI435" s="113"/>
      <c r="AK435" s="111"/>
      <c r="AL435" s="111"/>
      <c r="AM435" s="111"/>
      <c r="AN435" s="112"/>
      <c r="AO435" s="113"/>
      <c r="AQ435" s="17"/>
      <c r="AR435" s="17"/>
      <c r="AS435" s="17"/>
      <c r="AT435" s="18">
        <f t="shared" si="498"/>
        <v>0</v>
      </c>
      <c r="AU435" s="19">
        <f t="shared" si="501"/>
        <v>0</v>
      </c>
      <c r="AW435" s="17"/>
      <c r="AX435" s="17"/>
      <c r="AY435" s="17"/>
      <c r="AZ435" s="18">
        <f t="shared" si="499"/>
        <v>0</v>
      </c>
      <c r="BA435" s="19">
        <f t="shared" si="502"/>
        <v>0</v>
      </c>
    </row>
    <row r="436" spans="1:53" ht="17.100000000000001" customHeight="1" x14ac:dyDescent="0.25">
      <c r="A436" s="175"/>
      <c r="B436" s="40"/>
      <c r="C436" s="55"/>
      <c r="D436" s="56" t="s">
        <v>242</v>
      </c>
      <c r="E436" s="85" t="s">
        <v>991</v>
      </c>
      <c r="F436" s="149"/>
      <c r="G436" s="149"/>
      <c r="H436" s="182"/>
      <c r="I436" s="241"/>
      <c r="J436" s="111"/>
      <c r="K436" s="111"/>
      <c r="L436" s="111"/>
      <c r="M436" s="111"/>
      <c r="N436" s="61"/>
      <c r="O436" s="61"/>
      <c r="P436" s="17">
        <f t="shared" si="492"/>
        <v>0</v>
      </c>
      <c r="Q436" s="61"/>
      <c r="R436" s="61"/>
      <c r="S436" s="17">
        <f t="shared" si="493"/>
        <v>0</v>
      </c>
      <c r="T436" s="61"/>
      <c r="U436" s="61"/>
      <c r="V436" s="359">
        <f t="shared" si="494"/>
        <v>0</v>
      </c>
      <c r="W436" s="391">
        <f t="shared" si="495"/>
        <v>0</v>
      </c>
      <c r="X436" s="17">
        <f t="shared" si="496"/>
        <v>0</v>
      </c>
      <c r="Y436" s="18">
        <f t="shared" si="497"/>
        <v>0</v>
      </c>
      <c r="Z436" s="19">
        <f t="shared" si="500"/>
        <v>0</v>
      </c>
      <c r="AA436" s="19"/>
      <c r="AB436" s="19"/>
      <c r="AC436" s="84"/>
      <c r="AE436" s="111"/>
      <c r="AF436" s="111"/>
      <c r="AG436" s="111"/>
      <c r="AH436" s="112"/>
      <c r="AI436" s="113"/>
      <c r="AK436" s="111"/>
      <c r="AL436" s="111"/>
      <c r="AM436" s="111"/>
      <c r="AN436" s="112"/>
      <c r="AO436" s="113"/>
      <c r="AQ436" s="17"/>
      <c r="AR436" s="17"/>
      <c r="AS436" s="17"/>
      <c r="AT436" s="18">
        <f t="shared" si="498"/>
        <v>0</v>
      </c>
      <c r="AU436" s="19">
        <f t="shared" si="501"/>
        <v>0</v>
      </c>
      <c r="AW436" s="17"/>
      <c r="AX436" s="17"/>
      <c r="AY436" s="17"/>
      <c r="AZ436" s="18">
        <f t="shared" si="499"/>
        <v>0</v>
      </c>
      <c r="BA436" s="19">
        <f t="shared" si="502"/>
        <v>0</v>
      </c>
    </row>
    <row r="437" spans="1:53" ht="17.100000000000001" customHeight="1" x14ac:dyDescent="0.25">
      <c r="A437" s="175"/>
      <c r="B437" s="40"/>
      <c r="C437" s="55"/>
      <c r="D437" s="56" t="s">
        <v>243</v>
      </c>
      <c r="E437" s="85" t="s">
        <v>438</v>
      </c>
      <c r="F437" s="149"/>
      <c r="G437" s="149"/>
      <c r="H437" s="182"/>
      <c r="I437" s="241"/>
      <c r="J437" s="111"/>
      <c r="K437" s="111"/>
      <c r="L437" s="111"/>
      <c r="M437" s="111"/>
      <c r="N437" s="60"/>
      <c r="O437" s="60"/>
      <c r="P437" s="17">
        <f t="shared" si="492"/>
        <v>0</v>
      </c>
      <c r="Q437" s="60"/>
      <c r="R437" s="60"/>
      <c r="S437" s="17">
        <f t="shared" si="493"/>
        <v>0</v>
      </c>
      <c r="T437" s="60"/>
      <c r="U437" s="60"/>
      <c r="V437" s="359">
        <f t="shared" si="494"/>
        <v>0</v>
      </c>
      <c r="W437" s="391">
        <f t="shared" si="495"/>
        <v>0</v>
      </c>
      <c r="X437" s="17">
        <f t="shared" si="496"/>
        <v>0</v>
      </c>
      <c r="Y437" s="18">
        <f t="shared" si="497"/>
        <v>0</v>
      </c>
      <c r="Z437" s="19">
        <f t="shared" si="500"/>
        <v>0</v>
      </c>
      <c r="AA437" s="19"/>
      <c r="AB437" s="19"/>
      <c r="AC437" s="84"/>
      <c r="AE437" s="111"/>
      <c r="AF437" s="111"/>
      <c r="AG437" s="111"/>
      <c r="AH437" s="112"/>
      <c r="AI437" s="113"/>
      <c r="AK437" s="111"/>
      <c r="AL437" s="111"/>
      <c r="AM437" s="111"/>
      <c r="AN437" s="112"/>
      <c r="AO437" s="113"/>
      <c r="AQ437" s="17"/>
      <c r="AR437" s="17"/>
      <c r="AS437" s="17"/>
      <c r="AT437" s="18">
        <f t="shared" si="498"/>
        <v>0</v>
      </c>
      <c r="AU437" s="19">
        <f t="shared" si="501"/>
        <v>0</v>
      </c>
      <c r="AW437" s="17"/>
      <c r="AX437" s="17"/>
      <c r="AY437" s="17"/>
      <c r="AZ437" s="18">
        <f t="shared" si="499"/>
        <v>0</v>
      </c>
      <c r="BA437" s="19">
        <f t="shared" si="502"/>
        <v>0</v>
      </c>
    </row>
    <row r="438" spans="1:53" ht="17.100000000000001" customHeight="1" x14ac:dyDescent="0.25">
      <c r="A438" s="175"/>
      <c r="B438" s="40"/>
      <c r="C438" s="55"/>
      <c r="D438" s="56" t="s">
        <v>244</v>
      </c>
      <c r="E438" s="85" t="s">
        <v>439</v>
      </c>
      <c r="F438" s="595"/>
      <c r="G438" s="595"/>
      <c r="H438" s="17"/>
      <c r="I438" s="594"/>
      <c r="J438" s="111"/>
      <c r="K438" s="111"/>
      <c r="L438" s="111"/>
      <c r="M438" s="111"/>
      <c r="N438" s="61"/>
      <c r="O438" s="61"/>
      <c r="P438" s="17">
        <f t="shared" si="492"/>
        <v>0</v>
      </c>
      <c r="Q438" s="61"/>
      <c r="R438" s="61"/>
      <c r="S438" s="17">
        <f t="shared" si="493"/>
        <v>0</v>
      </c>
      <c r="T438" s="61"/>
      <c r="U438" s="61"/>
      <c r="V438" s="359">
        <f t="shared" si="494"/>
        <v>0</v>
      </c>
      <c r="W438" s="391">
        <f t="shared" si="495"/>
        <v>0</v>
      </c>
      <c r="X438" s="17">
        <f t="shared" si="496"/>
        <v>0</v>
      </c>
      <c r="Y438" s="18">
        <f t="shared" si="497"/>
        <v>0</v>
      </c>
      <c r="Z438" s="19">
        <f t="shared" si="500"/>
        <v>0</v>
      </c>
      <c r="AA438" s="19"/>
      <c r="AB438" s="19"/>
      <c r="AC438" s="84"/>
      <c r="AE438" s="111"/>
      <c r="AF438" s="111"/>
      <c r="AG438" s="111"/>
      <c r="AH438" s="112"/>
      <c r="AI438" s="113"/>
      <c r="AK438" s="111"/>
      <c r="AL438" s="111"/>
      <c r="AM438" s="111"/>
      <c r="AN438" s="112"/>
      <c r="AO438" s="113"/>
      <c r="AQ438" s="17"/>
      <c r="AR438" s="17"/>
      <c r="AS438" s="17"/>
      <c r="AT438" s="18">
        <f t="shared" si="498"/>
        <v>0</v>
      </c>
      <c r="AU438" s="19">
        <f t="shared" si="501"/>
        <v>0</v>
      </c>
      <c r="AW438" s="17"/>
      <c r="AX438" s="17"/>
      <c r="AY438" s="17"/>
      <c r="AZ438" s="18">
        <f t="shared" si="499"/>
        <v>0</v>
      </c>
      <c r="BA438" s="19">
        <f t="shared" si="502"/>
        <v>0</v>
      </c>
    </row>
    <row r="439" spans="1:53" ht="17.100000000000001" customHeight="1" x14ac:dyDescent="0.25">
      <c r="A439" s="175"/>
      <c r="B439" s="40"/>
      <c r="C439" s="55"/>
      <c r="D439" s="56" t="s">
        <v>475</v>
      </c>
      <c r="E439" s="85" t="s">
        <v>483</v>
      </c>
      <c r="F439" s="595"/>
      <c r="G439" s="595"/>
      <c r="H439" s="17"/>
      <c r="I439" s="594"/>
      <c r="J439" s="111"/>
      <c r="K439" s="111"/>
      <c r="L439" s="111"/>
      <c r="M439" s="111"/>
      <c r="N439" s="60"/>
      <c r="O439" s="60"/>
      <c r="P439" s="17">
        <f t="shared" si="492"/>
        <v>0</v>
      </c>
      <c r="Q439" s="60"/>
      <c r="R439" s="60"/>
      <c r="S439" s="17">
        <f t="shared" si="493"/>
        <v>0</v>
      </c>
      <c r="T439" s="60"/>
      <c r="U439" s="60"/>
      <c r="V439" s="359">
        <f t="shared" si="494"/>
        <v>0</v>
      </c>
      <c r="W439" s="391">
        <f t="shared" si="495"/>
        <v>0</v>
      </c>
      <c r="X439" s="17">
        <f t="shared" si="496"/>
        <v>0</v>
      </c>
      <c r="Y439" s="18">
        <f t="shared" si="497"/>
        <v>0</v>
      </c>
      <c r="Z439" s="19">
        <f t="shared" si="500"/>
        <v>0</v>
      </c>
      <c r="AA439" s="19"/>
      <c r="AB439" s="19"/>
      <c r="AC439" s="84"/>
      <c r="AE439" s="111"/>
      <c r="AF439" s="111"/>
      <c r="AG439" s="111"/>
      <c r="AH439" s="112"/>
      <c r="AI439" s="113"/>
      <c r="AK439" s="111"/>
      <c r="AL439" s="111"/>
      <c r="AM439" s="111"/>
      <c r="AN439" s="112"/>
      <c r="AO439" s="113"/>
      <c r="AQ439" s="17"/>
      <c r="AR439" s="17"/>
      <c r="AS439" s="17"/>
      <c r="AT439" s="18">
        <f t="shared" si="498"/>
        <v>0</v>
      </c>
      <c r="AU439" s="19">
        <f t="shared" si="501"/>
        <v>0</v>
      </c>
      <c r="AW439" s="17"/>
      <c r="AX439" s="17"/>
      <c r="AY439" s="17"/>
      <c r="AZ439" s="18">
        <f t="shared" si="499"/>
        <v>0</v>
      </c>
      <c r="BA439" s="19">
        <f t="shared" si="502"/>
        <v>0</v>
      </c>
    </row>
    <row r="440" spans="1:53" ht="17.100000000000001" customHeight="1" x14ac:dyDescent="0.25">
      <c r="A440" s="175"/>
      <c r="B440" s="40"/>
      <c r="C440" s="55"/>
      <c r="D440" s="56" t="s">
        <v>476</v>
      </c>
      <c r="E440" s="149" t="s">
        <v>129</v>
      </c>
      <c r="F440" s="149"/>
      <c r="G440" s="149"/>
      <c r="H440" s="182"/>
      <c r="I440" s="241"/>
      <c r="J440" s="111"/>
      <c r="K440" s="111"/>
      <c r="L440" s="111"/>
      <c r="M440" s="111"/>
      <c r="N440" s="61"/>
      <c r="O440" s="61"/>
      <c r="P440" s="17">
        <f t="shared" si="492"/>
        <v>0</v>
      </c>
      <c r="Q440" s="61"/>
      <c r="R440" s="61"/>
      <c r="S440" s="17">
        <f t="shared" si="493"/>
        <v>0</v>
      </c>
      <c r="T440" s="61"/>
      <c r="U440" s="61"/>
      <c r="V440" s="359">
        <f t="shared" si="494"/>
        <v>0</v>
      </c>
      <c r="W440" s="391">
        <f t="shared" si="495"/>
        <v>0</v>
      </c>
      <c r="X440" s="17">
        <f t="shared" si="496"/>
        <v>0</v>
      </c>
      <c r="Y440" s="18">
        <f t="shared" si="497"/>
        <v>0</v>
      </c>
      <c r="Z440" s="19">
        <f t="shared" si="500"/>
        <v>0</v>
      </c>
      <c r="AA440" s="19"/>
      <c r="AB440" s="19"/>
      <c r="AC440" s="84"/>
      <c r="AE440" s="111"/>
      <c r="AF440" s="111"/>
      <c r="AG440" s="111"/>
      <c r="AH440" s="112"/>
      <c r="AI440" s="113"/>
      <c r="AK440" s="111"/>
      <c r="AL440" s="111"/>
      <c r="AM440" s="111"/>
      <c r="AN440" s="112"/>
      <c r="AO440" s="113"/>
      <c r="AQ440" s="17"/>
      <c r="AR440" s="17"/>
      <c r="AS440" s="17"/>
      <c r="AT440" s="18">
        <f t="shared" si="498"/>
        <v>0</v>
      </c>
      <c r="AU440" s="19">
        <f t="shared" si="501"/>
        <v>0</v>
      </c>
      <c r="AW440" s="17"/>
      <c r="AX440" s="17"/>
      <c r="AY440" s="17"/>
      <c r="AZ440" s="18">
        <f t="shared" si="499"/>
        <v>0</v>
      </c>
      <c r="BA440" s="19">
        <f t="shared" si="502"/>
        <v>0</v>
      </c>
    </row>
    <row r="441" spans="1:53" ht="17.100000000000001" customHeight="1" x14ac:dyDescent="0.25">
      <c r="A441" s="175"/>
      <c r="B441" s="40"/>
      <c r="C441" s="77"/>
      <c r="D441" s="134"/>
      <c r="E441" s="134"/>
      <c r="F441" s="134"/>
      <c r="G441" s="134"/>
      <c r="H441" s="540"/>
      <c r="I441" s="12"/>
      <c r="J441" s="80"/>
      <c r="K441" s="80"/>
      <c r="L441" s="81"/>
      <c r="M441" s="81"/>
      <c r="N441" s="81">
        <f>SUM(N433:N440)</f>
        <v>0</v>
      </c>
      <c r="O441" s="81">
        <f t="shared" ref="O441:V441" si="503">SUM(O433:O440)</f>
        <v>1</v>
      </c>
      <c r="P441" s="81">
        <f t="shared" si="503"/>
        <v>1</v>
      </c>
      <c r="Q441" s="81">
        <f t="shared" si="503"/>
        <v>2</v>
      </c>
      <c r="R441" s="81">
        <f t="shared" si="503"/>
        <v>3</v>
      </c>
      <c r="S441" s="81">
        <f t="shared" si="503"/>
        <v>5</v>
      </c>
      <c r="T441" s="81">
        <f t="shared" si="503"/>
        <v>0</v>
      </c>
      <c r="U441" s="81">
        <f t="shared" si="503"/>
        <v>0</v>
      </c>
      <c r="V441" s="81">
        <f t="shared" si="503"/>
        <v>0</v>
      </c>
      <c r="W441" s="381">
        <f>SUM(W433:W440)</f>
        <v>2</v>
      </c>
      <c r="X441" s="82">
        <f t="shared" ref="X441:Y441" si="504">SUM(X433:X440)</f>
        <v>4</v>
      </c>
      <c r="Y441" s="82">
        <f t="shared" si="504"/>
        <v>6</v>
      </c>
      <c r="Z441" s="205">
        <f t="shared" si="500"/>
        <v>1</v>
      </c>
      <c r="AA441" s="205"/>
      <c r="AB441" s="205"/>
      <c r="AC441" s="83"/>
      <c r="AE441" s="80"/>
      <c r="AF441" s="80"/>
      <c r="AG441" s="81"/>
      <c r="AH441" s="82"/>
      <c r="AI441" s="66"/>
      <c r="AK441" s="80"/>
      <c r="AL441" s="80"/>
      <c r="AM441" s="81"/>
      <c r="AN441" s="82"/>
      <c r="AO441" s="66"/>
      <c r="AQ441" s="80"/>
      <c r="AR441" s="80"/>
      <c r="AS441" s="81"/>
      <c r="AT441" s="82">
        <f>SUM(AT433:AT440)</f>
        <v>2</v>
      </c>
      <c r="AU441" s="66">
        <f t="shared" si="501"/>
        <v>1</v>
      </c>
      <c r="AW441" s="80"/>
      <c r="AX441" s="80"/>
      <c r="AY441" s="81"/>
      <c r="AZ441" s="82">
        <f>SUM(AZ433:AZ440)</f>
        <v>4</v>
      </c>
      <c r="BA441" s="66">
        <f t="shared" si="502"/>
        <v>1</v>
      </c>
    </row>
    <row r="442" spans="1:53" s="117" customFormat="1" ht="17.100000000000001" customHeight="1" x14ac:dyDescent="0.25">
      <c r="A442" s="68"/>
      <c r="B442" s="119"/>
      <c r="C442" s="540"/>
      <c r="D442" s="261"/>
      <c r="E442" s="261"/>
      <c r="F442" s="68"/>
      <c r="G442" s="68"/>
      <c r="H442" s="119"/>
      <c r="I442" s="138"/>
      <c r="J442" s="17"/>
      <c r="K442" s="17"/>
      <c r="L442" s="17"/>
      <c r="M442" s="17"/>
      <c r="N442" s="17" t="str">
        <f>IF(N441=N$403,"OK","NOK")</f>
        <v>OK</v>
      </c>
      <c r="O442" s="17" t="str">
        <f>IF(O441=O$403,"OK","NOK")</f>
        <v>OK</v>
      </c>
      <c r="P442" s="17"/>
      <c r="Q442" s="17" t="str">
        <f>IF(Q441=Q$403,"OK","NOK")</f>
        <v>OK</v>
      </c>
      <c r="R442" s="17" t="str">
        <f>IF(R441=R$403,"OK","NOK")</f>
        <v>OK</v>
      </c>
      <c r="S442" s="17"/>
      <c r="T442" s="17" t="str">
        <f>IF(T441=T$403,"OK","NOK")</f>
        <v>OK</v>
      </c>
      <c r="U442" s="17" t="str">
        <f>IF(U441=U$403,"OK","NOK")</f>
        <v>OK</v>
      </c>
      <c r="V442" s="359"/>
      <c r="W442" s="382"/>
      <c r="X442" s="539"/>
      <c r="Y442" s="539"/>
      <c r="Z442" s="201"/>
      <c r="AA442" s="201"/>
      <c r="AB442" s="201"/>
      <c r="AC442" s="84"/>
      <c r="AE442" s="46"/>
      <c r="AF442" s="46"/>
      <c r="AG442" s="17"/>
      <c r="AH442" s="539"/>
      <c r="AI442" s="91"/>
      <c r="AK442" s="46"/>
      <c r="AL442" s="46"/>
      <c r="AM442" s="17"/>
      <c r="AN442" s="539"/>
      <c r="AO442" s="91"/>
      <c r="AQ442" s="46"/>
      <c r="AR442" s="46"/>
      <c r="AS442" s="17"/>
      <c r="AT442" s="539"/>
      <c r="AU442" s="91"/>
      <c r="AW442" s="46"/>
      <c r="AX442" s="46"/>
      <c r="AY442" s="17"/>
      <c r="AZ442" s="539"/>
      <c r="BA442" s="91"/>
    </row>
    <row r="443" spans="1:53" ht="17.100000000000001" customHeight="1" x14ac:dyDescent="0.25">
      <c r="A443" s="68"/>
      <c r="B443" s="48" t="s">
        <v>245</v>
      </c>
      <c r="C443" s="49" t="s">
        <v>246</v>
      </c>
      <c r="D443" s="176"/>
      <c r="E443" s="70"/>
      <c r="F443" s="70"/>
      <c r="G443" s="70"/>
      <c r="H443" s="119"/>
      <c r="J443" s="71"/>
      <c r="K443" s="71"/>
      <c r="L443" s="71"/>
      <c r="M443" s="71"/>
      <c r="N443" s="71">
        <f t="shared" ref="N443:X443" si="505">SUM(N404:N405)</f>
        <v>0</v>
      </c>
      <c r="O443" s="71">
        <f t="shared" si="505"/>
        <v>0</v>
      </c>
      <c r="P443" s="71"/>
      <c r="Q443" s="71">
        <f t="shared" si="505"/>
        <v>1</v>
      </c>
      <c r="R443" s="71">
        <f t="shared" si="505"/>
        <v>2</v>
      </c>
      <c r="S443" s="71"/>
      <c r="T443" s="71">
        <f t="shared" si="505"/>
        <v>0</v>
      </c>
      <c r="U443" s="71">
        <f t="shared" si="505"/>
        <v>0</v>
      </c>
      <c r="V443" s="355"/>
      <c r="W443" s="377">
        <f t="shared" si="505"/>
        <v>1</v>
      </c>
      <c r="X443" s="71">
        <f t="shared" si="505"/>
        <v>2</v>
      </c>
      <c r="Y443" s="72"/>
      <c r="Z443" s="73"/>
      <c r="AA443" s="73"/>
      <c r="AB443" s="73"/>
      <c r="AC443" s="73"/>
      <c r="AE443" s="71"/>
      <c r="AF443" s="71"/>
      <c r="AG443" s="71"/>
      <c r="AH443" s="72"/>
      <c r="AI443" s="73"/>
      <c r="AK443" s="71"/>
      <c r="AL443" s="71"/>
      <c r="AM443" s="71"/>
      <c r="AN443" s="72"/>
      <c r="AO443" s="73"/>
      <c r="AQ443" s="71"/>
      <c r="AR443" s="71"/>
      <c r="AS443" s="71"/>
      <c r="AT443" s="72"/>
      <c r="AU443" s="73"/>
      <c r="AW443" s="71"/>
      <c r="AX443" s="71"/>
      <c r="AY443" s="71"/>
      <c r="AZ443" s="72"/>
      <c r="BA443" s="73"/>
    </row>
    <row r="444" spans="1:53" ht="17.100000000000001" customHeight="1" x14ac:dyDescent="0.25">
      <c r="A444" s="40"/>
      <c r="B444" s="55"/>
      <c r="C444" s="56" t="s">
        <v>247</v>
      </c>
      <c r="D444" s="149" t="s">
        <v>248</v>
      </c>
      <c r="E444" s="75"/>
      <c r="F444" s="75"/>
      <c r="G444" s="75"/>
      <c r="H444" s="540"/>
      <c r="I444" s="229"/>
      <c r="J444" s="111"/>
      <c r="K444" s="111"/>
      <c r="L444" s="111"/>
      <c r="M444" s="111"/>
      <c r="N444" s="111"/>
      <c r="O444" s="111"/>
      <c r="P444" s="111"/>
      <c r="Q444" s="111"/>
      <c r="R444" s="111"/>
      <c r="S444" s="111"/>
      <c r="T444" s="111"/>
      <c r="U444" s="111"/>
      <c r="V444" s="358"/>
      <c r="W444" s="380"/>
      <c r="X444" s="111"/>
      <c r="Y444" s="545"/>
      <c r="Z444" s="131"/>
      <c r="AA444" s="131"/>
      <c r="AB444" s="131"/>
      <c r="AC444" s="111"/>
      <c r="AE444" s="111"/>
      <c r="AF444" s="111"/>
      <c r="AG444" s="111"/>
      <c r="AH444" s="545"/>
      <c r="AI444" s="131"/>
      <c r="AK444" s="111"/>
      <c r="AL444" s="111"/>
      <c r="AM444" s="111"/>
      <c r="AN444" s="545"/>
      <c r="AO444" s="131"/>
      <c r="AQ444" s="111"/>
      <c r="AR444" s="111"/>
      <c r="AS444" s="111"/>
      <c r="AT444" s="545"/>
      <c r="AU444" s="131"/>
      <c r="AW444" s="111"/>
      <c r="AX444" s="111"/>
      <c r="AY444" s="111"/>
      <c r="AZ444" s="545"/>
      <c r="BA444" s="131"/>
    </row>
    <row r="445" spans="1:53" ht="17.100000000000001" customHeight="1" x14ac:dyDescent="0.25">
      <c r="A445" s="40"/>
      <c r="B445" s="40"/>
      <c r="C445" s="40"/>
      <c r="D445" s="56" t="s">
        <v>249</v>
      </c>
      <c r="E445" s="541" t="s">
        <v>479</v>
      </c>
      <c r="F445" s="75"/>
      <c r="G445" s="75"/>
      <c r="H445" s="540"/>
      <c r="I445" s="229"/>
      <c r="J445" s="111"/>
      <c r="K445" s="111"/>
      <c r="L445" s="111"/>
      <c r="M445" s="111"/>
      <c r="N445" s="60"/>
      <c r="O445" s="60"/>
      <c r="P445" s="17">
        <f t="shared" ref="P445:P449" si="506">SUM(N445:O445)</f>
        <v>0</v>
      </c>
      <c r="Q445" s="60"/>
      <c r="R445" s="60"/>
      <c r="S445" s="17">
        <f t="shared" ref="S445:S449" si="507">SUM(Q445:R445)</f>
        <v>0</v>
      </c>
      <c r="T445" s="60"/>
      <c r="U445" s="60"/>
      <c r="V445" s="359">
        <f t="shared" ref="V445:V449" si="508">SUM(T445:U445)</f>
        <v>0</v>
      </c>
      <c r="W445" s="391">
        <f t="shared" ref="W445:W449" si="509">J445+K445+N445+Q445+T445</f>
        <v>0</v>
      </c>
      <c r="X445" s="17">
        <f t="shared" ref="X445:X449" si="510">L445+O445+R445+U445</f>
        <v>0</v>
      </c>
      <c r="Y445" s="18">
        <f>SUM(W445:X445)</f>
        <v>0</v>
      </c>
      <c r="Z445" s="19">
        <f>IF(Y$454=0,0,Y445/Y$454)</f>
        <v>0</v>
      </c>
      <c r="AA445" s="19"/>
      <c r="AB445" s="19"/>
      <c r="AC445" s="17"/>
      <c r="AE445" s="111"/>
      <c r="AF445" s="111"/>
      <c r="AG445" s="111"/>
      <c r="AH445" s="112"/>
      <c r="AI445" s="113"/>
      <c r="AK445" s="111"/>
      <c r="AL445" s="111"/>
      <c r="AM445" s="111"/>
      <c r="AN445" s="112"/>
      <c r="AO445" s="113"/>
      <c r="AQ445" s="17"/>
      <c r="AR445" s="17"/>
      <c r="AS445" s="17"/>
      <c r="AT445" s="18">
        <f t="shared" ref="AT445:AT449" si="511">W445</f>
        <v>0</v>
      </c>
      <c r="AU445" s="19">
        <f>IF(AT$454=0,0,AT445/AT$454)</f>
        <v>0</v>
      </c>
      <c r="AW445" s="17"/>
      <c r="AX445" s="17"/>
      <c r="AY445" s="17"/>
      <c r="AZ445" s="18">
        <f t="shared" ref="AZ445:AZ449" si="512">X445</f>
        <v>0</v>
      </c>
      <c r="BA445" s="19">
        <f>IF(AZ$454=0,0,AZ445/AZ$454)</f>
        <v>0</v>
      </c>
    </row>
    <row r="446" spans="1:53" ht="17.100000000000001" customHeight="1" x14ac:dyDescent="0.25">
      <c r="A446" s="40"/>
      <c r="B446" s="40"/>
      <c r="C446" s="40"/>
      <c r="D446" s="56" t="s">
        <v>250</v>
      </c>
      <c r="E446" s="1403" t="s">
        <v>405</v>
      </c>
      <c r="F446" s="1404"/>
      <c r="G446" s="1404"/>
      <c r="H446" s="242"/>
      <c r="I446" s="230"/>
      <c r="J446" s="111"/>
      <c r="K446" s="111"/>
      <c r="L446" s="111"/>
      <c r="M446" s="111"/>
      <c r="N446" s="61"/>
      <c r="O446" s="61"/>
      <c r="P446" s="17">
        <f t="shared" si="506"/>
        <v>0</v>
      </c>
      <c r="Q446" s="61"/>
      <c r="R446" s="61"/>
      <c r="S446" s="17">
        <f t="shared" si="507"/>
        <v>0</v>
      </c>
      <c r="T446" s="61"/>
      <c r="U446" s="61"/>
      <c r="V446" s="359">
        <f t="shared" si="508"/>
        <v>0</v>
      </c>
      <c r="W446" s="391">
        <f t="shared" si="509"/>
        <v>0</v>
      </c>
      <c r="X446" s="17">
        <f t="shared" si="510"/>
        <v>0</v>
      </c>
      <c r="Y446" s="18">
        <f>SUM(W446:X446)</f>
        <v>0</v>
      </c>
      <c r="Z446" s="19">
        <f>IF(Y$454=0,0,Y446/Y$454)</f>
        <v>0</v>
      </c>
      <c r="AA446" s="19"/>
      <c r="AB446" s="19"/>
      <c r="AC446" s="17"/>
      <c r="AE446" s="111"/>
      <c r="AF446" s="111"/>
      <c r="AG446" s="111"/>
      <c r="AH446" s="112"/>
      <c r="AI446" s="113"/>
      <c r="AK446" s="111"/>
      <c r="AL446" s="111"/>
      <c r="AM446" s="111"/>
      <c r="AN446" s="112"/>
      <c r="AO446" s="113"/>
      <c r="AQ446" s="17"/>
      <c r="AR446" s="17"/>
      <c r="AS446" s="17"/>
      <c r="AT446" s="18">
        <f t="shared" si="511"/>
        <v>0</v>
      </c>
      <c r="AU446" s="19">
        <f>IF(AT$454=0,0,AT446/AT$454)</f>
        <v>0</v>
      </c>
      <c r="AW446" s="17"/>
      <c r="AX446" s="17"/>
      <c r="AY446" s="17"/>
      <c r="AZ446" s="18">
        <f t="shared" si="512"/>
        <v>0</v>
      </c>
      <c r="BA446" s="19">
        <f>IF(AZ$454=0,0,AZ446/AZ$454)</f>
        <v>0</v>
      </c>
    </row>
    <row r="447" spans="1:53" ht="17.100000000000001" customHeight="1" x14ac:dyDescent="0.25">
      <c r="A447" s="40"/>
      <c r="B447" s="40"/>
      <c r="C447" s="40"/>
      <c r="D447" s="56" t="s">
        <v>251</v>
      </c>
      <c r="E447" s="1398" t="s">
        <v>480</v>
      </c>
      <c r="F447" s="1399"/>
      <c r="G447" s="1399"/>
      <c r="H447" s="540"/>
      <c r="I447" s="229"/>
      <c r="J447" s="111"/>
      <c r="K447" s="111"/>
      <c r="L447" s="111"/>
      <c r="M447" s="111"/>
      <c r="N447" s="60"/>
      <c r="O447" s="60"/>
      <c r="P447" s="17">
        <f t="shared" si="506"/>
        <v>0</v>
      </c>
      <c r="Q447" s="60">
        <v>1</v>
      </c>
      <c r="R447" s="60">
        <v>2</v>
      </c>
      <c r="S447" s="17">
        <f t="shared" si="507"/>
        <v>3</v>
      </c>
      <c r="T447" s="60"/>
      <c r="U447" s="60"/>
      <c r="V447" s="359">
        <f t="shared" si="508"/>
        <v>0</v>
      </c>
      <c r="W447" s="391">
        <f t="shared" si="509"/>
        <v>1</v>
      </c>
      <c r="X447" s="17">
        <f t="shared" si="510"/>
        <v>2</v>
      </c>
      <c r="Y447" s="18">
        <f>SUM(W447:X447)</f>
        <v>3</v>
      </c>
      <c r="Z447" s="19">
        <f>IF(Y$454=0,0,Y447/Y$454)</f>
        <v>1</v>
      </c>
      <c r="AA447" s="19"/>
      <c r="AB447" s="19"/>
      <c r="AC447" s="17"/>
      <c r="AE447" s="111"/>
      <c r="AF447" s="111"/>
      <c r="AG447" s="111"/>
      <c r="AH447" s="112"/>
      <c r="AI447" s="113"/>
      <c r="AK447" s="111"/>
      <c r="AL447" s="111"/>
      <c r="AM447" s="111"/>
      <c r="AN447" s="112"/>
      <c r="AO447" s="113"/>
      <c r="AQ447" s="17"/>
      <c r="AR447" s="17"/>
      <c r="AS447" s="17"/>
      <c r="AT447" s="18">
        <f t="shared" si="511"/>
        <v>1</v>
      </c>
      <c r="AU447" s="19">
        <f>IF(AT$454=0,0,AT447/AT$454)</f>
        <v>1</v>
      </c>
      <c r="AW447" s="17"/>
      <c r="AX447" s="17"/>
      <c r="AY447" s="17"/>
      <c r="AZ447" s="18">
        <f t="shared" si="512"/>
        <v>2</v>
      </c>
      <c r="BA447" s="19">
        <f>IF(AZ$454=0,0,AZ447/AZ$454)</f>
        <v>1</v>
      </c>
    </row>
    <row r="448" spans="1:53" ht="17.100000000000001" customHeight="1" x14ac:dyDescent="0.25">
      <c r="A448" s="40"/>
      <c r="B448" s="40"/>
      <c r="C448" s="40"/>
      <c r="D448" s="56" t="s">
        <v>252</v>
      </c>
      <c r="E448" s="541" t="s">
        <v>481</v>
      </c>
      <c r="F448" s="75"/>
      <c r="G448" s="75"/>
      <c r="H448" s="242"/>
      <c r="I448" s="230"/>
      <c r="J448" s="111"/>
      <c r="K448" s="111"/>
      <c r="L448" s="111"/>
      <c r="M448" s="111"/>
      <c r="N448" s="61"/>
      <c r="O448" s="61"/>
      <c r="P448" s="17">
        <f t="shared" si="506"/>
        <v>0</v>
      </c>
      <c r="Q448" s="61"/>
      <c r="R448" s="61"/>
      <c r="S448" s="17">
        <f t="shared" si="507"/>
        <v>0</v>
      </c>
      <c r="T448" s="61"/>
      <c r="U448" s="61"/>
      <c r="V448" s="359">
        <f t="shared" si="508"/>
        <v>0</v>
      </c>
      <c r="W448" s="391">
        <f t="shared" si="509"/>
        <v>0</v>
      </c>
      <c r="X448" s="17">
        <f t="shared" si="510"/>
        <v>0</v>
      </c>
      <c r="Y448" s="18">
        <f>SUM(W448:X448)</f>
        <v>0</v>
      </c>
      <c r="Z448" s="19">
        <f>IF(Y$454=0,0,Y448/Y$454)</f>
        <v>0</v>
      </c>
      <c r="AA448" s="19"/>
      <c r="AB448" s="19"/>
      <c r="AC448" s="17"/>
      <c r="AE448" s="111"/>
      <c r="AF448" s="111"/>
      <c r="AG448" s="111"/>
      <c r="AH448" s="112"/>
      <c r="AI448" s="113"/>
      <c r="AK448" s="111"/>
      <c r="AL448" s="111"/>
      <c r="AM448" s="111"/>
      <c r="AN448" s="112"/>
      <c r="AO448" s="113"/>
      <c r="AQ448" s="17"/>
      <c r="AR448" s="17"/>
      <c r="AS448" s="17"/>
      <c r="AT448" s="18">
        <f t="shared" si="511"/>
        <v>0</v>
      </c>
      <c r="AU448" s="19">
        <f>IF(AT$454=0,0,AT448/AT$454)</f>
        <v>0</v>
      </c>
      <c r="AW448" s="17"/>
      <c r="AX448" s="17"/>
      <c r="AY448" s="17"/>
      <c r="AZ448" s="18">
        <f t="shared" si="512"/>
        <v>0</v>
      </c>
      <c r="BA448" s="19">
        <f>IF(AZ$454=0,0,AZ448/AZ$454)</f>
        <v>0</v>
      </c>
    </row>
    <row r="449" spans="1:53" ht="17.100000000000001" customHeight="1" x14ac:dyDescent="0.25">
      <c r="A449" s="40"/>
      <c r="B449" s="40"/>
      <c r="C449" s="40"/>
      <c r="D449" s="56" t="s">
        <v>253</v>
      </c>
      <c r="E449" s="541" t="s">
        <v>109</v>
      </c>
      <c r="F449" s="543"/>
      <c r="G449" s="543"/>
      <c r="H449" s="540"/>
      <c r="I449" s="229"/>
      <c r="J449" s="111"/>
      <c r="K449" s="111"/>
      <c r="L449" s="111"/>
      <c r="M449" s="111"/>
      <c r="N449" s="111">
        <f>SUM(N450:N452)</f>
        <v>0</v>
      </c>
      <c r="O449" s="111">
        <f t="shared" ref="O449:U449" si="513">SUM(O450:O452)</f>
        <v>0</v>
      </c>
      <c r="P449" s="111">
        <f t="shared" si="506"/>
        <v>0</v>
      </c>
      <c r="Q449" s="111">
        <f t="shared" si="513"/>
        <v>0</v>
      </c>
      <c r="R449" s="111">
        <f t="shared" si="513"/>
        <v>0</v>
      </c>
      <c r="S449" s="111">
        <f t="shared" si="507"/>
        <v>0</v>
      </c>
      <c r="T449" s="111">
        <f t="shared" si="513"/>
        <v>0</v>
      </c>
      <c r="U449" s="111">
        <f t="shared" si="513"/>
        <v>0</v>
      </c>
      <c r="V449" s="358">
        <f t="shared" si="508"/>
        <v>0</v>
      </c>
      <c r="W449" s="380">
        <f t="shared" si="509"/>
        <v>0</v>
      </c>
      <c r="X449" s="111">
        <f t="shared" si="510"/>
        <v>0</v>
      </c>
      <c r="Y449" s="545">
        <f>SUM(W449:X449)</f>
        <v>0</v>
      </c>
      <c r="Z449" s="131">
        <f>IF(Y$454=0,0,Y449/Y$454)</f>
        <v>0</v>
      </c>
      <c r="AA449" s="131"/>
      <c r="AB449" s="131"/>
      <c r="AC449" s="111"/>
      <c r="AE449" s="111"/>
      <c r="AF449" s="111"/>
      <c r="AG449" s="111"/>
      <c r="AH449" s="112"/>
      <c r="AI449" s="113"/>
      <c r="AK449" s="111"/>
      <c r="AL449" s="111"/>
      <c r="AM449" s="111"/>
      <c r="AN449" s="112"/>
      <c r="AO449" s="113"/>
      <c r="AQ449" s="111"/>
      <c r="AR449" s="111"/>
      <c r="AS449" s="111"/>
      <c r="AT449" s="545">
        <f t="shared" si="511"/>
        <v>0</v>
      </c>
      <c r="AU449" s="131">
        <f>IF(AT$454=0,0,AT449/AT$454)</f>
        <v>0</v>
      </c>
      <c r="AW449" s="111"/>
      <c r="AX449" s="111"/>
      <c r="AY449" s="111"/>
      <c r="AZ449" s="545">
        <f t="shared" si="512"/>
        <v>0</v>
      </c>
      <c r="BA449" s="131">
        <f>IF(AZ$454=0,0,AZ449/AZ$454)</f>
        <v>0</v>
      </c>
    </row>
    <row r="450" spans="1:53" ht="17.100000000000001" customHeight="1" x14ac:dyDescent="0.25">
      <c r="A450" s="40"/>
      <c r="B450" s="40"/>
      <c r="C450" s="40"/>
      <c r="D450" s="74"/>
      <c r="E450" s="170"/>
      <c r="F450" s="171"/>
      <c r="G450" s="171"/>
      <c r="H450" s="17"/>
      <c r="I450" s="594"/>
      <c r="J450" s="111"/>
      <c r="K450" s="111"/>
      <c r="L450" s="111"/>
      <c r="M450" s="111"/>
      <c r="N450" s="61"/>
      <c r="O450" s="61"/>
      <c r="P450" s="17"/>
      <c r="Q450" s="61"/>
      <c r="R450" s="61"/>
      <c r="S450" s="17"/>
      <c r="T450" s="61"/>
      <c r="U450" s="61"/>
      <c r="V450" s="359"/>
      <c r="W450" s="391"/>
      <c r="X450" s="17"/>
      <c r="Y450" s="539"/>
      <c r="Z450" s="17"/>
      <c r="AA450" s="17"/>
      <c r="AB450" s="17"/>
      <c r="AC450" s="17"/>
      <c r="AE450" s="17"/>
      <c r="AF450" s="17"/>
      <c r="AG450" s="17"/>
      <c r="AH450" s="539"/>
      <c r="AI450" s="17"/>
      <c r="AK450" s="17"/>
      <c r="AL450" s="17"/>
      <c r="AM450" s="17"/>
      <c r="AN450" s="539"/>
      <c r="AO450" s="17"/>
      <c r="AQ450" s="17"/>
      <c r="AR450" s="17"/>
      <c r="AS450" s="17"/>
      <c r="AT450" s="539"/>
      <c r="AU450" s="17"/>
      <c r="AW450" s="17"/>
      <c r="AX450" s="17"/>
      <c r="AY450" s="17"/>
      <c r="AZ450" s="539"/>
      <c r="BA450" s="17"/>
    </row>
    <row r="451" spans="1:53" ht="17.100000000000001" customHeight="1" x14ac:dyDescent="0.25">
      <c r="A451" s="40"/>
      <c r="B451" s="40"/>
      <c r="C451" s="40"/>
      <c r="D451" s="74"/>
      <c r="E451" s="168"/>
      <c r="F451" s="169"/>
      <c r="G451" s="169"/>
      <c r="H451" s="17"/>
      <c r="I451" s="594"/>
      <c r="J451" s="111"/>
      <c r="K451" s="111"/>
      <c r="L451" s="111"/>
      <c r="M451" s="111"/>
      <c r="N451" s="60"/>
      <c r="O451" s="60"/>
      <c r="P451" s="17"/>
      <c r="Q451" s="60"/>
      <c r="R451" s="60"/>
      <c r="S451" s="17"/>
      <c r="T451" s="60"/>
      <c r="U451" s="60"/>
      <c r="V451" s="359"/>
      <c r="W451" s="391"/>
      <c r="X451" s="17"/>
      <c r="Y451" s="539"/>
      <c r="Z451" s="17"/>
      <c r="AA451" s="17"/>
      <c r="AB451" s="17"/>
      <c r="AC451" s="17"/>
      <c r="AE451" s="17"/>
      <c r="AF451" s="17"/>
      <c r="AG451" s="17"/>
      <c r="AH451" s="539"/>
      <c r="AI451" s="17"/>
      <c r="AK451" s="17"/>
      <c r="AL451" s="17"/>
      <c r="AM451" s="17"/>
      <c r="AN451" s="539"/>
      <c r="AO451" s="17"/>
      <c r="AQ451" s="17"/>
      <c r="AR451" s="17"/>
      <c r="AS451" s="17"/>
      <c r="AT451" s="539"/>
      <c r="AU451" s="17"/>
      <c r="AW451" s="17"/>
      <c r="AX451" s="17"/>
      <c r="AY451" s="17"/>
      <c r="AZ451" s="539"/>
      <c r="BA451" s="17"/>
    </row>
    <row r="452" spans="1:53" ht="17.100000000000001" customHeight="1" x14ac:dyDescent="0.25">
      <c r="A452" s="40"/>
      <c r="B452" s="40"/>
      <c r="C452" s="40"/>
      <c r="D452" s="74"/>
      <c r="E452" s="170"/>
      <c r="F452" s="171"/>
      <c r="G452" s="171"/>
      <c r="H452" s="17"/>
      <c r="I452" s="594"/>
      <c r="J452" s="111"/>
      <c r="K452" s="111"/>
      <c r="L452" s="111"/>
      <c r="M452" s="111"/>
      <c r="N452" s="61"/>
      <c r="O452" s="61"/>
      <c r="P452" s="17"/>
      <c r="Q452" s="61"/>
      <c r="R452" s="61"/>
      <c r="S452" s="17"/>
      <c r="T452" s="61"/>
      <c r="U452" s="61"/>
      <c r="V452" s="359"/>
      <c r="W452" s="391"/>
      <c r="X452" s="17"/>
      <c r="Y452" s="539"/>
      <c r="Z452" s="17"/>
      <c r="AA452" s="17"/>
      <c r="AB452" s="17"/>
      <c r="AC452" s="17"/>
      <c r="AE452" s="17"/>
      <c r="AF452" s="17"/>
      <c r="AG452" s="17"/>
      <c r="AH452" s="539"/>
      <c r="AI452" s="17"/>
      <c r="AK452" s="17"/>
      <c r="AL452" s="17"/>
      <c r="AM452" s="17"/>
      <c r="AN452" s="539"/>
      <c r="AO452" s="17"/>
      <c r="AQ452" s="17"/>
      <c r="AR452" s="17"/>
      <c r="AS452" s="17"/>
      <c r="AT452" s="539"/>
      <c r="AU452" s="17"/>
      <c r="AW452" s="17"/>
      <c r="AX452" s="17"/>
      <c r="AY452" s="17"/>
      <c r="AZ452" s="539"/>
      <c r="BA452" s="17"/>
    </row>
    <row r="453" spans="1:53" ht="17.100000000000001" customHeight="1" x14ac:dyDescent="0.25">
      <c r="A453" s="40"/>
      <c r="B453" s="40"/>
      <c r="C453" s="40"/>
      <c r="D453" s="56" t="s">
        <v>616</v>
      </c>
      <c r="E453" s="596" t="s">
        <v>598</v>
      </c>
      <c r="F453" s="597"/>
      <c r="G453" s="597"/>
      <c r="H453" s="17"/>
      <c r="I453" s="594"/>
      <c r="J453" s="111"/>
      <c r="K453" s="111"/>
      <c r="L453" s="111"/>
      <c r="M453" s="111"/>
      <c r="N453" s="60"/>
      <c r="O453" s="60"/>
      <c r="P453" s="17">
        <f t="shared" ref="P453" si="514">SUM(N453:O453)</f>
        <v>0</v>
      </c>
      <c r="Q453" s="60"/>
      <c r="R453" s="60"/>
      <c r="S453" s="17">
        <f t="shared" ref="S453" si="515">SUM(Q453:R453)</f>
        <v>0</v>
      </c>
      <c r="T453" s="60"/>
      <c r="U453" s="60"/>
      <c r="V453" s="359">
        <f t="shared" ref="V453" si="516">SUM(T453:U453)</f>
        <v>0</v>
      </c>
      <c r="W453" s="391">
        <f t="shared" ref="W453" si="517">J453+K453+N453+Q453+T453</f>
        <v>0</v>
      </c>
      <c r="X453" s="17">
        <f t="shared" ref="X453" si="518">L453+O453+R453+U453</f>
        <v>0</v>
      </c>
      <c r="Y453" s="18">
        <f>SUM(W453:X453)</f>
        <v>0</v>
      </c>
      <c r="Z453" s="19">
        <f>IF(Y$454=0,0,Y453/Y$454)</f>
        <v>0</v>
      </c>
      <c r="AA453" s="19"/>
      <c r="AB453" s="19"/>
      <c r="AC453" s="17"/>
      <c r="AE453" s="17"/>
      <c r="AF453" s="17"/>
      <c r="AG453" s="17"/>
      <c r="AH453" s="18"/>
      <c r="AI453" s="19"/>
      <c r="AK453" s="17"/>
      <c r="AL453" s="17"/>
      <c r="AM453" s="17"/>
      <c r="AN453" s="18"/>
      <c r="AO453" s="19"/>
      <c r="AQ453" s="17"/>
      <c r="AR453" s="17"/>
      <c r="AS453" s="17"/>
      <c r="AT453" s="18">
        <f t="shared" ref="AT453" si="519">W453</f>
        <v>0</v>
      </c>
      <c r="AU453" s="19">
        <f>IF(AT$454=0,0,AT453/AT$454)</f>
        <v>0</v>
      </c>
      <c r="AW453" s="17"/>
      <c r="AX453" s="17"/>
      <c r="AY453" s="17"/>
      <c r="AZ453" s="18">
        <f>X453</f>
        <v>0</v>
      </c>
      <c r="BA453" s="19">
        <f>IF(AZ$454=0,0,AZ453/AZ$454)</f>
        <v>0</v>
      </c>
    </row>
    <row r="454" spans="1:53" ht="17.100000000000001" customHeight="1" x14ac:dyDescent="0.25">
      <c r="A454" s="40"/>
      <c r="B454" s="40"/>
      <c r="C454" s="77"/>
      <c r="D454" s="134"/>
      <c r="E454" s="134"/>
      <c r="F454" s="134"/>
      <c r="G454" s="134"/>
      <c r="H454" s="540"/>
      <c r="I454" s="229"/>
      <c r="J454" s="80"/>
      <c r="K454" s="80"/>
      <c r="L454" s="81"/>
      <c r="M454" s="81"/>
      <c r="N454" s="81">
        <f t="shared" ref="N454:V454" si="520">SUM(N445:N449)+N453</f>
        <v>0</v>
      </c>
      <c r="O454" s="81">
        <f t="shared" si="520"/>
        <v>0</v>
      </c>
      <c r="P454" s="81">
        <f t="shared" si="520"/>
        <v>0</v>
      </c>
      <c r="Q454" s="81">
        <f t="shared" si="520"/>
        <v>1</v>
      </c>
      <c r="R454" s="81">
        <f t="shared" si="520"/>
        <v>2</v>
      </c>
      <c r="S454" s="81">
        <f t="shared" si="520"/>
        <v>3</v>
      </c>
      <c r="T454" s="81">
        <f t="shared" si="520"/>
        <v>0</v>
      </c>
      <c r="U454" s="81">
        <f t="shared" si="520"/>
        <v>0</v>
      </c>
      <c r="V454" s="81">
        <f t="shared" si="520"/>
        <v>0</v>
      </c>
      <c r="W454" s="381">
        <f t="shared" ref="W454:Y454" si="521">SUM(W445:W449)+W453</f>
        <v>1</v>
      </c>
      <c r="X454" s="82">
        <f t="shared" si="521"/>
        <v>2</v>
      </c>
      <c r="Y454" s="82">
        <f t="shared" si="521"/>
        <v>3</v>
      </c>
      <c r="Z454" s="205">
        <f t="shared" ref="Z454" si="522">IF(Y$454=0,0,Y454/Y$454)</f>
        <v>1</v>
      </c>
      <c r="AA454" s="205"/>
      <c r="AB454" s="205"/>
      <c r="AC454" s="83"/>
      <c r="AE454" s="80"/>
      <c r="AF454" s="80"/>
      <c r="AG454" s="81"/>
      <c r="AH454" s="82"/>
      <c r="AI454" s="66"/>
      <c r="AK454" s="80"/>
      <c r="AL454" s="80"/>
      <c r="AM454" s="81"/>
      <c r="AN454" s="82"/>
      <c r="AO454" s="66"/>
      <c r="AQ454" s="80"/>
      <c r="AR454" s="80"/>
      <c r="AS454" s="81"/>
      <c r="AT454" s="82">
        <f>SUM(AT445:AT453)</f>
        <v>1</v>
      </c>
      <c r="AU454" s="66">
        <f>IF(AT$454=0,0,AT454/AT$454)</f>
        <v>1</v>
      </c>
      <c r="AW454" s="80"/>
      <c r="AX454" s="80"/>
      <c r="AY454" s="81"/>
      <c r="AZ454" s="82">
        <f>SUM(AZ445:AZ453)</f>
        <v>2</v>
      </c>
      <c r="BA454" s="66">
        <f>IF(AZ$454=0,0,AZ454/AZ$454)</f>
        <v>1</v>
      </c>
    </row>
    <row r="455" spans="1:53" s="117" customFormat="1" ht="17.100000000000001" customHeight="1" x14ac:dyDescent="0.25">
      <c r="A455" s="68"/>
      <c r="B455" s="119"/>
      <c r="C455" s="540"/>
      <c r="D455" s="261"/>
      <c r="E455" s="261"/>
      <c r="F455" s="68"/>
      <c r="G455" s="68"/>
      <c r="H455" s="119"/>
      <c r="I455" s="138"/>
      <c r="J455" s="17"/>
      <c r="K455" s="17"/>
      <c r="L455" s="17"/>
      <c r="M455" s="17"/>
      <c r="N455" s="17" t="str">
        <f>IF(N454=N$443,"OK","NOK")</f>
        <v>OK</v>
      </c>
      <c r="O455" s="17" t="str">
        <f>IF(O454=O$443,"OK","NOK")</f>
        <v>OK</v>
      </c>
      <c r="P455" s="17"/>
      <c r="Q455" s="17" t="str">
        <f>IF(Q454=Q$443,"OK","NOK")</f>
        <v>OK</v>
      </c>
      <c r="R455" s="17" t="str">
        <f>IF(R454=R$443,"OK","NOK")</f>
        <v>OK</v>
      </c>
      <c r="S455" s="17"/>
      <c r="T455" s="17" t="str">
        <f>IF(T454=T$443,"OK","NOK")</f>
        <v>OK</v>
      </c>
      <c r="U455" s="17" t="str">
        <f>IF(U454=U$443,"OK","NOK")</f>
        <v>OK</v>
      </c>
      <c r="V455" s="359"/>
      <c r="W455" s="382"/>
      <c r="X455" s="539"/>
      <c r="Y455" s="539"/>
      <c r="Z455" s="201"/>
      <c r="AA455" s="201"/>
      <c r="AB455" s="201"/>
      <c r="AC455" s="84"/>
      <c r="AE455" s="46"/>
      <c r="AF455" s="46"/>
      <c r="AG455" s="17"/>
      <c r="AH455" s="539"/>
      <c r="AI455" s="91"/>
      <c r="AK455" s="46"/>
      <c r="AL455" s="46"/>
      <c r="AM455" s="17"/>
      <c r="AN455" s="539"/>
      <c r="AO455" s="91"/>
      <c r="AQ455" s="46"/>
      <c r="AR455" s="46"/>
      <c r="AS455" s="17"/>
      <c r="AT455" s="539"/>
      <c r="AU455" s="91"/>
      <c r="AW455" s="46"/>
      <c r="AX455" s="46"/>
      <c r="AY455" s="17"/>
      <c r="AZ455" s="539"/>
      <c r="BA455" s="91"/>
    </row>
    <row r="456" spans="1:53" ht="17.100000000000001" customHeight="1" x14ac:dyDescent="0.25">
      <c r="A456" s="40"/>
      <c r="B456" s="40"/>
      <c r="C456" s="56" t="s">
        <v>254</v>
      </c>
      <c r="D456" s="146" t="s">
        <v>255</v>
      </c>
      <c r="E456" s="149"/>
      <c r="F456" s="75"/>
      <c r="G456" s="75"/>
      <c r="H456" s="540"/>
      <c r="I456" s="229"/>
      <c r="J456" s="545"/>
      <c r="K456" s="545"/>
      <c r="L456" s="545"/>
      <c r="M456" s="545"/>
      <c r="N456" s="545"/>
      <c r="O456" s="545"/>
      <c r="P456" s="545"/>
      <c r="Q456" s="545"/>
      <c r="R456" s="545"/>
      <c r="S456" s="545"/>
      <c r="T456" s="545"/>
      <c r="U456" s="545"/>
      <c r="V456" s="364"/>
      <c r="W456" s="385"/>
      <c r="X456" s="545"/>
      <c r="Y456" s="545"/>
      <c r="Z456" s="545"/>
      <c r="AA456" s="545"/>
      <c r="AB456" s="545"/>
      <c r="AC456" s="545"/>
      <c r="AE456" s="545"/>
      <c r="AF456" s="545"/>
      <c r="AG456" s="545"/>
      <c r="AH456" s="545"/>
      <c r="AI456" s="545"/>
      <c r="AK456" s="545"/>
      <c r="AL456" s="545"/>
      <c r="AM456" s="545"/>
      <c r="AN456" s="545"/>
      <c r="AO456" s="545"/>
      <c r="AQ456" s="545"/>
      <c r="AR456" s="545"/>
      <c r="AS456" s="545"/>
      <c r="AT456" s="545"/>
      <c r="AU456" s="545"/>
      <c r="AW456" s="545"/>
      <c r="AX456" s="545"/>
      <c r="AY456" s="545"/>
      <c r="AZ456" s="545"/>
      <c r="BA456" s="545"/>
    </row>
    <row r="457" spans="1:53" ht="17.100000000000001" customHeight="1" x14ac:dyDescent="0.25">
      <c r="A457" s="40"/>
      <c r="B457" s="40"/>
      <c r="C457" s="55"/>
      <c r="D457" s="180" t="s">
        <v>256</v>
      </c>
      <c r="E457" s="146" t="s">
        <v>113</v>
      </c>
      <c r="F457" s="75"/>
      <c r="G457" s="75"/>
      <c r="H457" s="540"/>
      <c r="I457" s="229"/>
      <c r="J457" s="111"/>
      <c r="K457" s="111"/>
      <c r="L457" s="111"/>
      <c r="M457" s="111"/>
      <c r="N457" s="60"/>
      <c r="O457" s="60"/>
      <c r="P457" s="17">
        <f t="shared" ref="P457:P459" si="523">SUM(N457:O457)</f>
        <v>0</v>
      </c>
      <c r="Q457" s="60">
        <v>1</v>
      </c>
      <c r="R457" s="60"/>
      <c r="S457" s="17">
        <f t="shared" ref="S457:S459" si="524">SUM(Q457:R457)</f>
        <v>1</v>
      </c>
      <c r="T457" s="60"/>
      <c r="U457" s="60"/>
      <c r="V457" s="359">
        <f t="shared" ref="V457:V459" si="525">SUM(T457:U457)</f>
        <v>0</v>
      </c>
      <c r="W457" s="391">
        <f t="shared" ref="W457:W459" si="526">J457+K457+N457+Q457+T457</f>
        <v>1</v>
      </c>
      <c r="X457" s="17">
        <f t="shared" ref="X457:X459" si="527">L457+O457+R457+U457</f>
        <v>0</v>
      </c>
      <c r="Y457" s="18">
        <f>SUM(W457:X457)</f>
        <v>1</v>
      </c>
      <c r="Z457" s="19">
        <f>IF(Y$460=0,0,Y457/Y$460)</f>
        <v>0.33333333333333331</v>
      </c>
      <c r="AA457" s="19"/>
      <c r="AB457" s="19"/>
      <c r="AC457" s="17"/>
      <c r="AE457" s="111"/>
      <c r="AF457" s="111"/>
      <c r="AG457" s="111"/>
      <c r="AH457" s="112"/>
      <c r="AI457" s="113"/>
      <c r="AK457" s="111"/>
      <c r="AL457" s="111"/>
      <c r="AM457" s="111"/>
      <c r="AN457" s="112"/>
      <c r="AO457" s="113"/>
      <c r="AQ457" s="17"/>
      <c r="AR457" s="17"/>
      <c r="AS457" s="17"/>
      <c r="AT457" s="18">
        <f t="shared" ref="AT457:AT459" si="528">W457</f>
        <v>1</v>
      </c>
      <c r="AU457" s="19">
        <f>IF(AT$460=0,0,AT457/AT$460)</f>
        <v>1</v>
      </c>
      <c r="AW457" s="17"/>
      <c r="AX457" s="17"/>
      <c r="AY457" s="17"/>
      <c r="AZ457" s="18">
        <f t="shared" ref="AZ457:AZ459" si="529">X457</f>
        <v>0</v>
      </c>
      <c r="BA457" s="19">
        <f>IF(AZ$460=0,0,AZ457/AZ$460)</f>
        <v>0</v>
      </c>
    </row>
    <row r="458" spans="1:53" ht="17.100000000000001" customHeight="1" x14ac:dyDescent="0.25">
      <c r="A458" s="40"/>
      <c r="B458" s="40"/>
      <c r="C458" s="55"/>
      <c r="D458" s="180" t="s">
        <v>257</v>
      </c>
      <c r="E458" s="146" t="s">
        <v>258</v>
      </c>
      <c r="F458" s="75"/>
      <c r="G458" s="75"/>
      <c r="H458" s="540"/>
      <c r="I458" s="229"/>
      <c r="J458" s="111"/>
      <c r="K458" s="111"/>
      <c r="L458" s="111"/>
      <c r="M458" s="111"/>
      <c r="N458" s="61"/>
      <c r="O458" s="61"/>
      <c r="P458" s="17">
        <f t="shared" si="523"/>
        <v>0</v>
      </c>
      <c r="Q458" s="61"/>
      <c r="R458" s="61">
        <v>2</v>
      </c>
      <c r="S458" s="17">
        <f t="shared" si="524"/>
        <v>2</v>
      </c>
      <c r="T458" s="61"/>
      <c r="U458" s="61"/>
      <c r="V458" s="359">
        <f t="shared" si="525"/>
        <v>0</v>
      </c>
      <c r="W458" s="391">
        <f t="shared" si="526"/>
        <v>0</v>
      </c>
      <c r="X458" s="17">
        <f t="shared" si="527"/>
        <v>2</v>
      </c>
      <c r="Y458" s="18">
        <f>SUM(W458:X458)</f>
        <v>2</v>
      </c>
      <c r="Z458" s="19">
        <f t="shared" ref="Z458:Z460" si="530">IF(Y$460=0,0,Y458/Y$460)</f>
        <v>0.66666666666666663</v>
      </c>
      <c r="AA458" s="19"/>
      <c r="AB458" s="19"/>
      <c r="AC458" s="17"/>
      <c r="AE458" s="111"/>
      <c r="AF458" s="111"/>
      <c r="AG458" s="111"/>
      <c r="AH458" s="112"/>
      <c r="AI458" s="113"/>
      <c r="AK458" s="111"/>
      <c r="AL458" s="111"/>
      <c r="AM458" s="111"/>
      <c r="AN458" s="112"/>
      <c r="AO458" s="113"/>
      <c r="AQ458" s="17"/>
      <c r="AR458" s="17"/>
      <c r="AS458" s="17"/>
      <c r="AT458" s="18">
        <f t="shared" si="528"/>
        <v>0</v>
      </c>
      <c r="AU458" s="19">
        <f>IF(AT$460=0,0,AT458/AT$460)</f>
        <v>0</v>
      </c>
      <c r="AW458" s="17"/>
      <c r="AX458" s="17"/>
      <c r="AY458" s="17"/>
      <c r="AZ458" s="18">
        <f t="shared" si="529"/>
        <v>2</v>
      </c>
      <c r="BA458" s="19">
        <f>IF(AZ$460=0,0,AZ458/AZ$460)</f>
        <v>1</v>
      </c>
    </row>
    <row r="459" spans="1:53" ht="17.100000000000001" customHeight="1" x14ac:dyDescent="0.25">
      <c r="A459" s="40"/>
      <c r="B459" s="40"/>
      <c r="C459" s="55"/>
      <c r="D459" s="180" t="s">
        <v>259</v>
      </c>
      <c r="E459" s="596" t="s">
        <v>598</v>
      </c>
      <c r="F459" s="542"/>
      <c r="G459" s="542"/>
      <c r="H459" s="540"/>
      <c r="I459" s="235"/>
      <c r="J459" s="111"/>
      <c r="K459" s="111"/>
      <c r="L459" s="111"/>
      <c r="M459" s="111"/>
      <c r="N459" s="60"/>
      <c r="O459" s="60"/>
      <c r="P459" s="17">
        <f t="shared" si="523"/>
        <v>0</v>
      </c>
      <c r="Q459" s="60"/>
      <c r="R459" s="60"/>
      <c r="S459" s="17">
        <f t="shared" si="524"/>
        <v>0</v>
      </c>
      <c r="T459" s="60"/>
      <c r="U459" s="60"/>
      <c r="V459" s="359">
        <f t="shared" si="525"/>
        <v>0</v>
      </c>
      <c r="W459" s="391">
        <f t="shared" si="526"/>
        <v>0</v>
      </c>
      <c r="X459" s="17">
        <f t="shared" si="527"/>
        <v>0</v>
      </c>
      <c r="Y459" s="18">
        <f>SUM(W459:X459)</f>
        <v>0</v>
      </c>
      <c r="Z459" s="19">
        <f t="shared" si="530"/>
        <v>0</v>
      </c>
      <c r="AA459" s="19"/>
      <c r="AB459" s="19"/>
      <c r="AC459" s="17"/>
      <c r="AE459" s="111"/>
      <c r="AF459" s="111"/>
      <c r="AG459" s="111"/>
      <c r="AH459" s="112"/>
      <c r="AI459" s="113"/>
      <c r="AK459" s="111"/>
      <c r="AL459" s="111"/>
      <c r="AM459" s="111"/>
      <c r="AN459" s="112"/>
      <c r="AO459" s="113"/>
      <c r="AQ459" s="17"/>
      <c r="AR459" s="17"/>
      <c r="AS459" s="17"/>
      <c r="AT459" s="18">
        <f t="shared" si="528"/>
        <v>0</v>
      </c>
      <c r="AU459" s="19">
        <f>IF(AT$460=0,0,AT459/AT$460)</f>
        <v>0</v>
      </c>
      <c r="AW459" s="17"/>
      <c r="AX459" s="17"/>
      <c r="AY459" s="17"/>
      <c r="AZ459" s="18">
        <f t="shared" si="529"/>
        <v>0</v>
      </c>
      <c r="BA459" s="19">
        <f>IF(AZ$460=0,0,AZ459/AZ$460)</f>
        <v>0</v>
      </c>
    </row>
    <row r="460" spans="1:53" ht="17.100000000000001" customHeight="1" x14ac:dyDescent="0.25">
      <c r="A460" s="40"/>
      <c r="B460" s="40"/>
      <c r="C460" s="77"/>
      <c r="D460" s="134"/>
      <c r="E460" s="134"/>
      <c r="F460" s="134"/>
      <c r="G460" s="134"/>
      <c r="H460" s="540"/>
      <c r="I460" s="229"/>
      <c r="J460" s="80"/>
      <c r="K460" s="80"/>
      <c r="L460" s="81"/>
      <c r="M460" s="81"/>
      <c r="N460" s="81">
        <f>SUM(N457:N459)</f>
        <v>0</v>
      </c>
      <c r="O460" s="81">
        <f t="shared" ref="O460:V460" si="531">SUM(O457:O459)</f>
        <v>0</v>
      </c>
      <c r="P460" s="81">
        <f t="shared" si="531"/>
        <v>0</v>
      </c>
      <c r="Q460" s="81">
        <f t="shared" si="531"/>
        <v>1</v>
      </c>
      <c r="R460" s="81">
        <f t="shared" si="531"/>
        <v>2</v>
      </c>
      <c r="S460" s="81">
        <f t="shared" si="531"/>
        <v>3</v>
      </c>
      <c r="T460" s="81">
        <f t="shared" si="531"/>
        <v>0</v>
      </c>
      <c r="U460" s="81">
        <f t="shared" si="531"/>
        <v>0</v>
      </c>
      <c r="V460" s="81">
        <f t="shared" si="531"/>
        <v>0</v>
      </c>
      <c r="W460" s="381">
        <f>SUM(W457:W459)</f>
        <v>1</v>
      </c>
      <c r="X460" s="82">
        <f t="shared" ref="X460:Y460" si="532">SUM(X457:X459)</f>
        <v>2</v>
      </c>
      <c r="Y460" s="82">
        <f t="shared" si="532"/>
        <v>3</v>
      </c>
      <c r="Z460" s="205">
        <f t="shared" si="530"/>
        <v>1</v>
      </c>
      <c r="AA460" s="205"/>
      <c r="AB460" s="205"/>
      <c r="AC460" s="83"/>
      <c r="AE460" s="80"/>
      <c r="AF460" s="80"/>
      <c r="AG460" s="81"/>
      <c r="AH460" s="82"/>
      <c r="AI460" s="66"/>
      <c r="AK460" s="80"/>
      <c r="AL460" s="80"/>
      <c r="AM460" s="81"/>
      <c r="AN460" s="82"/>
      <c r="AO460" s="66"/>
      <c r="AQ460" s="80"/>
      <c r="AR460" s="80"/>
      <c r="AS460" s="81"/>
      <c r="AT460" s="82">
        <f>SUM(AT457:AT459)</f>
        <v>1</v>
      </c>
      <c r="AU460" s="66">
        <f>IF(AT$460=0,0,AT460/AT$460)</f>
        <v>1</v>
      </c>
      <c r="AW460" s="80"/>
      <c r="AX460" s="80"/>
      <c r="AY460" s="81"/>
      <c r="AZ460" s="82">
        <f>SUM(AZ457:AZ459)</f>
        <v>2</v>
      </c>
      <c r="BA460" s="66">
        <f>IF(AZ$460=0,0,AZ460/AZ$460)</f>
        <v>1</v>
      </c>
    </row>
    <row r="461" spans="1:53" s="117" customFormat="1" ht="17.100000000000001" customHeight="1" x14ac:dyDescent="0.25">
      <c r="A461" s="68"/>
      <c r="B461" s="119"/>
      <c r="C461" s="540"/>
      <c r="D461" s="261"/>
      <c r="E461" s="261"/>
      <c r="F461" s="68"/>
      <c r="G461" s="68"/>
      <c r="H461" s="119"/>
      <c r="I461" s="138"/>
      <c r="J461" s="17"/>
      <c r="K461" s="17"/>
      <c r="L461" s="17"/>
      <c r="M461" s="17"/>
      <c r="N461" s="17" t="str">
        <f>IF(N460=N$443,"OK","NOK")</f>
        <v>OK</v>
      </c>
      <c r="O461" s="17" t="str">
        <f>IF(O460=O$443,"OK","NOK")</f>
        <v>OK</v>
      </c>
      <c r="P461" s="17"/>
      <c r="Q461" s="17" t="str">
        <f>IF(Q460=Q$443,"OK","NOK")</f>
        <v>OK</v>
      </c>
      <c r="R461" s="17" t="str">
        <f>IF(R460=R$443,"OK","NOK")</f>
        <v>OK</v>
      </c>
      <c r="S461" s="17"/>
      <c r="T461" s="17" t="str">
        <f>IF(T460=T$443,"OK","NOK")</f>
        <v>OK</v>
      </c>
      <c r="U461" s="17" t="str">
        <f>IF(U460=U$443,"OK","NOK")</f>
        <v>OK</v>
      </c>
      <c r="V461" s="359"/>
      <c r="W461" s="382"/>
      <c r="X461" s="539"/>
      <c r="Y461" s="539"/>
      <c r="Z461" s="201"/>
      <c r="AA461" s="201"/>
      <c r="AB461" s="201"/>
      <c r="AC461" s="84"/>
      <c r="AE461" s="46"/>
      <c r="AF461" s="46"/>
      <c r="AG461" s="17"/>
      <c r="AH461" s="539"/>
      <c r="AI461" s="91"/>
      <c r="AK461" s="46"/>
      <c r="AL461" s="46"/>
      <c r="AM461" s="17"/>
      <c r="AN461" s="539"/>
      <c r="AO461" s="91"/>
      <c r="AQ461" s="46"/>
      <c r="AR461" s="46"/>
      <c r="AS461" s="17"/>
      <c r="AT461" s="539"/>
      <c r="AU461" s="91"/>
      <c r="AW461" s="46"/>
      <c r="AX461" s="46"/>
      <c r="AY461" s="17"/>
      <c r="AZ461" s="539"/>
      <c r="BA461" s="91"/>
    </row>
    <row r="462" spans="1:53" s="117" customFormat="1" ht="17.100000000000001" customHeight="1" x14ac:dyDescent="0.25">
      <c r="A462" s="68"/>
      <c r="B462" s="119"/>
      <c r="C462" s="56" t="s">
        <v>260</v>
      </c>
      <c r="D462" s="57" t="s">
        <v>275</v>
      </c>
      <c r="E462" s="149"/>
      <c r="F462" s="149"/>
      <c r="G462" s="149"/>
      <c r="H462" s="182"/>
      <c r="I462" s="241"/>
      <c r="J462" s="152"/>
      <c r="K462" s="152"/>
      <c r="L462" s="111"/>
      <c r="M462" s="111"/>
      <c r="N462" s="111"/>
      <c r="O462" s="111"/>
      <c r="P462" s="111"/>
      <c r="Q462" s="111"/>
      <c r="R462" s="111"/>
      <c r="S462" s="111"/>
      <c r="T462" s="111"/>
      <c r="U462" s="111"/>
      <c r="V462" s="358"/>
      <c r="W462" s="380"/>
      <c r="X462" s="111"/>
      <c r="Y462" s="545"/>
      <c r="Z462" s="131"/>
      <c r="AA462" s="131"/>
      <c r="AB462" s="131"/>
      <c r="AC462" s="113"/>
      <c r="AE462" s="152"/>
      <c r="AF462" s="152"/>
      <c r="AG462" s="111"/>
      <c r="AH462" s="545"/>
      <c r="AI462" s="131"/>
      <c r="AK462" s="152"/>
      <c r="AL462" s="152"/>
      <c r="AM462" s="111"/>
      <c r="AN462" s="545"/>
      <c r="AO462" s="131"/>
      <c r="AQ462" s="152"/>
      <c r="AR462" s="152"/>
      <c r="AS462" s="111"/>
      <c r="AT462" s="545"/>
      <c r="AU462" s="131"/>
      <c r="AW462" s="152"/>
      <c r="AX462" s="152"/>
      <c r="AY462" s="111"/>
      <c r="AZ462" s="545"/>
      <c r="BA462" s="131"/>
    </row>
    <row r="463" spans="1:53" ht="17.100000000000001" customHeight="1" x14ac:dyDescent="0.25">
      <c r="A463" s="175"/>
      <c r="B463" s="40"/>
      <c r="C463" s="55"/>
      <c r="D463" s="56" t="s">
        <v>261</v>
      </c>
      <c r="E463" s="85" t="s">
        <v>173</v>
      </c>
      <c r="F463" s="225"/>
      <c r="G463" s="149"/>
      <c r="H463" s="182"/>
      <c r="I463" s="241"/>
      <c r="J463" s="111"/>
      <c r="K463" s="111"/>
      <c r="L463" s="111"/>
      <c r="M463" s="111"/>
      <c r="N463" s="60"/>
      <c r="O463" s="60"/>
      <c r="P463" s="17">
        <f>SUM(N463:O463)</f>
        <v>0</v>
      </c>
      <c r="Q463" s="60"/>
      <c r="R463" s="60"/>
      <c r="S463" s="17">
        <f>SUM(Q463:R463)</f>
        <v>0</v>
      </c>
      <c r="T463" s="60"/>
      <c r="U463" s="60"/>
      <c r="V463" s="359">
        <f>SUM(T463:U463)</f>
        <v>0</v>
      </c>
      <c r="W463" s="391">
        <f t="shared" ref="W463:W464" si="533">J463+K463+N463+Q463+T463</f>
        <v>0</v>
      </c>
      <c r="X463" s="17">
        <f t="shared" ref="X463:X464" si="534">L463+O463+R463+U463</f>
        <v>0</v>
      </c>
      <c r="Y463" s="18">
        <f>SUM(W463:X463)</f>
        <v>0</v>
      </c>
      <c r="Z463" s="19">
        <f>IF(Y$370=0,0,Y463/Y$370)</f>
        <v>0</v>
      </c>
      <c r="AA463" s="19"/>
      <c r="AB463" s="19"/>
      <c r="AC463" s="20"/>
      <c r="AE463" s="111"/>
      <c r="AF463" s="111"/>
      <c r="AG463" s="111"/>
      <c r="AH463" s="112"/>
      <c r="AI463" s="113"/>
      <c r="AK463" s="111"/>
      <c r="AL463" s="111"/>
      <c r="AM463" s="111"/>
      <c r="AN463" s="112"/>
      <c r="AO463" s="113"/>
      <c r="AQ463" s="17"/>
      <c r="AR463" s="17"/>
      <c r="AS463" s="17"/>
      <c r="AT463" s="18">
        <f t="shared" ref="AT463:AT464" si="535">W463</f>
        <v>0</v>
      </c>
      <c r="AU463" s="19">
        <f>IF(AT$469=0,0,AT463/AT$469)</f>
        <v>0</v>
      </c>
      <c r="AW463" s="17"/>
      <c r="AX463" s="17"/>
      <c r="AY463" s="17"/>
      <c r="AZ463" s="18">
        <f t="shared" ref="AZ463:AZ464" si="536">X463</f>
        <v>0</v>
      </c>
      <c r="BA463" s="19">
        <f>IF(AZ$469=0,0,AZ463/AZ$469)</f>
        <v>0</v>
      </c>
    </row>
    <row r="464" spans="1:53" ht="17.100000000000001" customHeight="1" x14ac:dyDescent="0.25">
      <c r="A464" s="175"/>
      <c r="B464" s="40"/>
      <c r="C464" s="55"/>
      <c r="D464" s="56" t="s">
        <v>262</v>
      </c>
      <c r="E464" s="85" t="s">
        <v>544</v>
      </c>
      <c r="F464" s="225"/>
      <c r="G464" s="149"/>
      <c r="H464" s="182"/>
      <c r="I464" s="241"/>
      <c r="J464" s="111"/>
      <c r="K464" s="111"/>
      <c r="L464" s="111"/>
      <c r="M464" s="111"/>
      <c r="N464" s="61"/>
      <c r="O464" s="61"/>
      <c r="P464" s="17">
        <f t="shared" ref="P464" si="537">SUM(N464:O464)</f>
        <v>0</v>
      </c>
      <c r="Q464" s="61">
        <v>1</v>
      </c>
      <c r="R464" s="61">
        <v>2</v>
      </c>
      <c r="S464" s="17">
        <f t="shared" ref="S464" si="538">SUM(Q464:R464)</f>
        <v>3</v>
      </c>
      <c r="T464" s="61"/>
      <c r="U464" s="61"/>
      <c r="V464" s="359">
        <f t="shared" ref="V464" si="539">SUM(T464:U464)</f>
        <v>0</v>
      </c>
      <c r="W464" s="391">
        <f t="shared" si="533"/>
        <v>1</v>
      </c>
      <c r="X464" s="17">
        <f t="shared" si="534"/>
        <v>2</v>
      </c>
      <c r="Y464" s="18">
        <f>SUM(W464:X464)</f>
        <v>3</v>
      </c>
      <c r="Z464" s="19">
        <f>IF(Y$370=0,0,Y464/Y$370)</f>
        <v>0</v>
      </c>
      <c r="AA464" s="19"/>
      <c r="AB464" s="19"/>
      <c r="AC464" s="20"/>
      <c r="AE464" s="111"/>
      <c r="AF464" s="111"/>
      <c r="AG464" s="111"/>
      <c r="AH464" s="112"/>
      <c r="AI464" s="113"/>
      <c r="AK464" s="111"/>
      <c r="AL464" s="111"/>
      <c r="AM464" s="111"/>
      <c r="AN464" s="112"/>
      <c r="AO464" s="113"/>
      <c r="AQ464" s="17"/>
      <c r="AR464" s="17"/>
      <c r="AS464" s="17"/>
      <c r="AT464" s="18">
        <f t="shared" si="535"/>
        <v>1</v>
      </c>
      <c r="AU464" s="19">
        <f>IF(AT$469=0,0,AT464/AT$469)</f>
        <v>1</v>
      </c>
      <c r="AW464" s="17"/>
      <c r="AX464" s="17"/>
      <c r="AY464" s="17"/>
      <c r="AZ464" s="18">
        <f t="shared" si="536"/>
        <v>2</v>
      </c>
      <c r="BA464" s="19">
        <f>IF(AZ$469=0,0,AZ464/AZ$469)</f>
        <v>1</v>
      </c>
    </row>
    <row r="465" spans="1:53" ht="17.100000000000001" customHeight="1" x14ac:dyDescent="0.25">
      <c r="A465" s="175"/>
      <c r="B465" s="40"/>
      <c r="C465" s="55"/>
      <c r="D465" s="56" t="s">
        <v>263</v>
      </c>
      <c r="E465" s="146" t="s">
        <v>484</v>
      </c>
      <c r="F465" s="225"/>
      <c r="G465" s="149"/>
      <c r="H465" s="182"/>
      <c r="I465" s="241"/>
      <c r="J465" s="111"/>
      <c r="K465" s="111"/>
      <c r="L465" s="111"/>
      <c r="M465" s="111"/>
      <c r="N465" s="60"/>
      <c r="O465" s="60"/>
      <c r="P465" s="17"/>
      <c r="Q465" s="60">
        <v>600000</v>
      </c>
      <c r="R465" s="60">
        <v>2400000</v>
      </c>
      <c r="S465" s="17"/>
      <c r="T465" s="60"/>
      <c r="U465" s="60"/>
      <c r="V465" s="359"/>
      <c r="W465" s="391">
        <f>MIN(N465,Q465,T465)</f>
        <v>600000</v>
      </c>
      <c r="X465" s="17">
        <f>MIN(O465,R465,U465)</f>
        <v>2400000</v>
      </c>
      <c r="Y465" s="18"/>
      <c r="Z465" s="19"/>
      <c r="AA465" s="17">
        <f>MIN(N465:U465)</f>
        <v>600000</v>
      </c>
      <c r="AB465" s="17"/>
      <c r="AC465" s="17"/>
      <c r="AE465" s="111"/>
      <c r="AF465" s="111"/>
      <c r="AG465" s="111"/>
      <c r="AH465" s="545"/>
      <c r="AI465" s="131"/>
      <c r="AK465" s="111"/>
      <c r="AL465" s="111"/>
      <c r="AM465" s="111"/>
      <c r="AN465" s="545"/>
      <c r="AO465" s="131"/>
      <c r="AQ465" s="17">
        <f>W465</f>
        <v>600000</v>
      </c>
      <c r="AR465" s="17"/>
      <c r="AS465" s="17"/>
      <c r="AT465" s="18"/>
      <c r="AU465" s="19"/>
      <c r="AW465" s="17">
        <f>X465</f>
        <v>2400000</v>
      </c>
      <c r="AX465" s="17"/>
      <c r="AY465" s="17"/>
      <c r="AZ465" s="18"/>
      <c r="BA465" s="19"/>
    </row>
    <row r="466" spans="1:53" ht="17.100000000000001" customHeight="1" x14ac:dyDescent="0.25">
      <c r="A466" s="175"/>
      <c r="B466" s="40"/>
      <c r="C466" s="55"/>
      <c r="D466" s="56" t="s">
        <v>264</v>
      </c>
      <c r="E466" s="146" t="s">
        <v>485</v>
      </c>
      <c r="F466" s="225"/>
      <c r="G466" s="149"/>
      <c r="H466" s="182"/>
      <c r="I466" s="241"/>
      <c r="J466" s="111"/>
      <c r="K466" s="111"/>
      <c r="L466" s="111"/>
      <c r="M466" s="111"/>
      <c r="N466" s="61"/>
      <c r="O466" s="61"/>
      <c r="P466" s="17"/>
      <c r="Q466" s="61">
        <v>600000</v>
      </c>
      <c r="R466" s="61">
        <v>2400000</v>
      </c>
      <c r="S466" s="17"/>
      <c r="T466" s="61"/>
      <c r="U466" s="61"/>
      <c r="V466" s="359"/>
      <c r="W466" s="391">
        <f>MAX(N466,Q466,T466)</f>
        <v>600000</v>
      </c>
      <c r="X466" s="17">
        <f>MAX(O466,R466,U466)</f>
        <v>2400000</v>
      </c>
      <c r="Y466" s="18"/>
      <c r="Z466" s="19"/>
      <c r="AA466" s="17"/>
      <c r="AB466" s="17">
        <f>MAX(N466:U466)</f>
        <v>2400000</v>
      </c>
      <c r="AC466" s="17"/>
      <c r="AE466" s="111"/>
      <c r="AF466" s="111"/>
      <c r="AG466" s="111"/>
      <c r="AH466" s="545"/>
      <c r="AI466" s="131"/>
      <c r="AK466" s="111"/>
      <c r="AL466" s="111"/>
      <c r="AM466" s="111"/>
      <c r="AN466" s="545"/>
      <c r="AO466" s="131"/>
      <c r="AQ466" s="17"/>
      <c r="AR466" s="17">
        <f>W466</f>
        <v>600000</v>
      </c>
      <c r="AS466" s="17"/>
      <c r="AT466" s="18"/>
      <c r="AU466" s="19"/>
      <c r="AW466" s="17"/>
      <c r="AX466" s="17">
        <f>X466</f>
        <v>2400000</v>
      </c>
      <c r="AY466" s="17"/>
      <c r="AZ466" s="18"/>
      <c r="BA466" s="19"/>
    </row>
    <row r="467" spans="1:53" ht="17.100000000000001" customHeight="1" x14ac:dyDescent="0.25">
      <c r="A467" s="175"/>
      <c r="B467" s="40"/>
      <c r="C467" s="55"/>
      <c r="D467" s="56" t="s">
        <v>265</v>
      </c>
      <c r="E467" s="146" t="s">
        <v>543</v>
      </c>
      <c r="F467" s="225"/>
      <c r="G467" s="149"/>
      <c r="H467" s="182"/>
      <c r="I467" s="241"/>
      <c r="J467" s="111"/>
      <c r="K467" s="111"/>
      <c r="L467" s="111"/>
      <c r="M467" s="111"/>
      <c r="N467" s="60"/>
      <c r="O467" s="60"/>
      <c r="P467" s="17"/>
      <c r="Q467" s="60">
        <v>600000</v>
      </c>
      <c r="R467" s="60">
        <v>2400000</v>
      </c>
      <c r="S467" s="17"/>
      <c r="T467" s="60"/>
      <c r="U467" s="60"/>
      <c r="V467" s="359"/>
      <c r="W467" s="391">
        <f>IF(N467+Q467+T467=0,0,AVERAGE(N467,Q467,T467))</f>
        <v>600000</v>
      </c>
      <c r="X467" s="17">
        <f>IF(O467+R467+U467=0,0,AVERAGE(O467,R467,U467))</f>
        <v>2400000</v>
      </c>
      <c r="Y467" s="18"/>
      <c r="Z467" s="19"/>
      <c r="AA467" s="17"/>
      <c r="AB467" s="17"/>
      <c r="AC467" s="17">
        <f>IF(SUM(N467:U467)=0,0,AVERAGE(N467:U467))</f>
        <v>1500000</v>
      </c>
      <c r="AE467" s="111"/>
      <c r="AF467" s="111"/>
      <c r="AG467" s="111"/>
      <c r="AH467" s="545"/>
      <c r="AI467" s="131"/>
      <c r="AK467" s="111"/>
      <c r="AL467" s="111"/>
      <c r="AM467" s="111"/>
      <c r="AN467" s="545"/>
      <c r="AO467" s="131"/>
      <c r="AQ467" s="17"/>
      <c r="AR467" s="17"/>
      <c r="AS467" s="17">
        <f>W467</f>
        <v>600000</v>
      </c>
      <c r="AT467" s="18"/>
      <c r="AU467" s="19"/>
      <c r="AW467" s="17"/>
      <c r="AX467" s="17"/>
      <c r="AY467" s="17">
        <f>X467</f>
        <v>2400000</v>
      </c>
      <c r="AZ467" s="18"/>
      <c r="BA467" s="19"/>
    </row>
    <row r="468" spans="1:53" ht="17.100000000000001" customHeight="1" x14ac:dyDescent="0.25">
      <c r="A468" s="175"/>
      <c r="B468" s="40"/>
      <c r="C468" s="55"/>
      <c r="D468" s="56" t="s">
        <v>266</v>
      </c>
      <c r="E468" s="596" t="s">
        <v>598</v>
      </c>
      <c r="F468" s="225"/>
      <c r="G468" s="149"/>
      <c r="H468" s="182"/>
      <c r="I468" s="241"/>
      <c r="J468" s="111"/>
      <c r="K468" s="111"/>
      <c r="L468" s="111"/>
      <c r="M468" s="111"/>
      <c r="N468" s="61"/>
      <c r="O468" s="61"/>
      <c r="P468" s="17">
        <f t="shared" ref="P468" si="540">SUM(N468:O468)</f>
        <v>0</v>
      </c>
      <c r="Q468" s="61"/>
      <c r="R468" s="61"/>
      <c r="S468" s="17">
        <f t="shared" ref="S468" si="541">SUM(Q468:R468)</f>
        <v>0</v>
      </c>
      <c r="T468" s="61"/>
      <c r="U468" s="61"/>
      <c r="V468" s="359">
        <f t="shared" ref="V468" si="542">SUM(T468:U468)</f>
        <v>0</v>
      </c>
      <c r="W468" s="391">
        <f t="shared" ref="W468" si="543">J468+K468+N468+Q468+T468</f>
        <v>0</v>
      </c>
      <c r="X468" s="17">
        <f t="shared" ref="X468" si="544">L468+O468+R468+U468</f>
        <v>0</v>
      </c>
      <c r="Y468" s="18">
        <f>SUM(W468:X468)</f>
        <v>0</v>
      </c>
      <c r="Z468" s="19">
        <f>IF(Y$370=0,0,Y468/Y$370)</f>
        <v>0</v>
      </c>
      <c r="AA468" s="19"/>
      <c r="AB468" s="19"/>
      <c r="AC468" s="20"/>
      <c r="AE468" s="111"/>
      <c r="AF468" s="111"/>
      <c r="AG468" s="111"/>
      <c r="AH468" s="112"/>
      <c r="AI468" s="113"/>
      <c r="AK468" s="111"/>
      <c r="AL468" s="111"/>
      <c r="AM468" s="111"/>
      <c r="AN468" s="112"/>
      <c r="AO468" s="113"/>
      <c r="AQ468" s="17"/>
      <c r="AR468" s="17"/>
      <c r="AS468" s="17"/>
      <c r="AT468" s="18">
        <f t="shared" ref="AT468" si="545">W468</f>
        <v>0</v>
      </c>
      <c r="AU468" s="19">
        <f t="shared" ref="AU468:AU469" si="546">IF(AT$469=0,0,AT468/AT$469)</f>
        <v>0</v>
      </c>
      <c r="AW468" s="17"/>
      <c r="AX468" s="17"/>
      <c r="AY468" s="17"/>
      <c r="AZ468" s="18">
        <f t="shared" ref="AZ468" si="547">X468</f>
        <v>0</v>
      </c>
      <c r="BA468" s="19">
        <f t="shared" ref="BA468:BA469" si="548">IF(AZ$469=0,0,AZ468/AZ$469)</f>
        <v>0</v>
      </c>
    </row>
    <row r="469" spans="1:53" s="117" customFormat="1" ht="17.100000000000001" customHeight="1" x14ac:dyDescent="0.25">
      <c r="A469" s="68"/>
      <c r="B469" s="119"/>
      <c r="C469" s="77"/>
      <c r="D469" s="134"/>
      <c r="E469" s="134"/>
      <c r="F469" s="134"/>
      <c r="G469" s="134"/>
      <c r="H469" s="540"/>
      <c r="I469" s="229"/>
      <c r="J469" s="80"/>
      <c r="K469" s="80"/>
      <c r="L469" s="81"/>
      <c r="M469" s="81"/>
      <c r="N469" s="81">
        <f>N463+N464+N468</f>
        <v>0</v>
      </c>
      <c r="O469" s="81">
        <f t="shared" ref="O469:V469" si="549">O463+O464+O468</f>
        <v>0</v>
      </c>
      <c r="P469" s="81">
        <f t="shared" si="549"/>
        <v>0</v>
      </c>
      <c r="Q469" s="81">
        <f t="shared" si="549"/>
        <v>1</v>
      </c>
      <c r="R469" s="81">
        <f t="shared" si="549"/>
        <v>2</v>
      </c>
      <c r="S469" s="81">
        <f t="shared" si="549"/>
        <v>3</v>
      </c>
      <c r="T469" s="81">
        <f t="shared" si="549"/>
        <v>0</v>
      </c>
      <c r="U469" s="81">
        <f t="shared" si="549"/>
        <v>0</v>
      </c>
      <c r="V469" s="81">
        <f t="shared" si="549"/>
        <v>0</v>
      </c>
      <c r="W469" s="381">
        <f>W463+W464+W468</f>
        <v>1</v>
      </c>
      <c r="X469" s="82">
        <f t="shared" ref="X469:Y469" si="550">X463+X464+X468</f>
        <v>2</v>
      </c>
      <c r="Y469" s="338">
        <f t="shared" si="550"/>
        <v>3</v>
      </c>
      <c r="Z469" s="205">
        <f>IF(Y$430=0,0,Y469/Y$430)</f>
        <v>0.5</v>
      </c>
      <c r="AA469" s="205"/>
      <c r="AB469" s="205"/>
      <c r="AC469" s="83"/>
      <c r="AE469" s="80"/>
      <c r="AF469" s="80"/>
      <c r="AG469" s="81"/>
      <c r="AH469" s="82"/>
      <c r="AI469" s="66"/>
      <c r="AK469" s="80"/>
      <c r="AL469" s="80"/>
      <c r="AM469" s="81"/>
      <c r="AN469" s="82"/>
      <c r="AO469" s="66"/>
      <c r="AQ469" s="80"/>
      <c r="AR469" s="80"/>
      <c r="AS469" s="81"/>
      <c r="AT469" s="82">
        <f>SUM(AT463:AT468)</f>
        <v>1</v>
      </c>
      <c r="AU469" s="66">
        <f t="shared" si="546"/>
        <v>1</v>
      </c>
      <c r="AW469" s="80"/>
      <c r="AX469" s="80"/>
      <c r="AY469" s="81"/>
      <c r="AZ469" s="82">
        <f>SUM(AZ463:AZ468)</f>
        <v>2</v>
      </c>
      <c r="BA469" s="66">
        <f t="shared" si="548"/>
        <v>1</v>
      </c>
    </row>
    <row r="470" spans="1:53" s="117" customFormat="1" ht="17.100000000000001" customHeight="1" x14ac:dyDescent="0.25">
      <c r="A470" s="68"/>
      <c r="B470" s="119"/>
      <c r="C470" s="540"/>
      <c r="D470" s="261"/>
      <c r="E470" s="261"/>
      <c r="F470" s="68"/>
      <c r="G470" s="68"/>
      <c r="H470" s="119"/>
      <c r="I470" s="138"/>
      <c r="J470" s="17"/>
      <c r="K470" s="17"/>
      <c r="L470" s="17"/>
      <c r="M470" s="17"/>
      <c r="N470" s="17" t="str">
        <f>IF(N469=N$443,"OK","NOK")</f>
        <v>OK</v>
      </c>
      <c r="O470" s="17" t="str">
        <f>IF(O469=O$443,"OK","NOK")</f>
        <v>OK</v>
      </c>
      <c r="P470" s="17"/>
      <c r="Q470" s="17" t="str">
        <f>IF(Q469=Q$443,"OK","NOK")</f>
        <v>OK</v>
      </c>
      <c r="R470" s="17" t="str">
        <f>IF(R469=R$443,"OK","NOK")</f>
        <v>OK</v>
      </c>
      <c r="S470" s="17"/>
      <c r="T470" s="17" t="str">
        <f>IF(T469=T$443,"OK","NOK")</f>
        <v>OK</v>
      </c>
      <c r="U470" s="17" t="str">
        <f>IF(U469=U$443,"OK","NOK")</f>
        <v>OK</v>
      </c>
      <c r="V470" s="359"/>
      <c r="W470" s="382"/>
      <c r="X470" s="539"/>
      <c r="Y470" s="539"/>
      <c r="Z470" s="201"/>
      <c r="AA470" s="201"/>
      <c r="AB470" s="201"/>
      <c r="AC470" s="84"/>
      <c r="AE470" s="46"/>
      <c r="AF470" s="46"/>
      <c r="AG470" s="17"/>
      <c r="AH470" s="539"/>
      <c r="AI470" s="91"/>
      <c r="AK470" s="46"/>
      <c r="AL470" s="46"/>
      <c r="AM470" s="17"/>
      <c r="AN470" s="539"/>
      <c r="AO470" s="91"/>
      <c r="AQ470" s="46"/>
      <c r="AR470" s="46"/>
      <c r="AS470" s="17"/>
      <c r="AT470" s="539"/>
      <c r="AU470" s="91"/>
      <c r="AW470" s="46"/>
      <c r="AX470" s="46"/>
      <c r="AY470" s="17"/>
      <c r="AZ470" s="539"/>
      <c r="BA470" s="91"/>
    </row>
    <row r="471" spans="1:53" s="117" customFormat="1" ht="17.100000000000001" customHeight="1" x14ac:dyDescent="0.25">
      <c r="A471" s="68"/>
      <c r="B471" s="119"/>
      <c r="C471" s="56" t="s">
        <v>267</v>
      </c>
      <c r="D471" s="57" t="s">
        <v>276</v>
      </c>
      <c r="E471" s="149"/>
      <c r="F471" s="149"/>
      <c r="G471" s="149"/>
      <c r="H471" s="182"/>
      <c r="I471" s="241"/>
      <c r="J471" s="152"/>
      <c r="K471" s="152"/>
      <c r="L471" s="111"/>
      <c r="M471" s="111"/>
      <c r="N471" s="111"/>
      <c r="O471" s="111"/>
      <c r="P471" s="111"/>
      <c r="Q471" s="111"/>
      <c r="R471" s="111"/>
      <c r="S471" s="111"/>
      <c r="T471" s="111"/>
      <c r="U471" s="111"/>
      <c r="V471" s="358"/>
      <c r="W471" s="380"/>
      <c r="X471" s="111"/>
      <c r="Y471" s="545"/>
      <c r="Z471" s="131"/>
      <c r="AA471" s="131"/>
      <c r="AB471" s="131"/>
      <c r="AC471" s="113"/>
      <c r="AE471" s="152"/>
      <c r="AF471" s="152"/>
      <c r="AG471" s="111"/>
      <c r="AH471" s="545"/>
      <c r="AI471" s="131"/>
      <c r="AK471" s="152"/>
      <c r="AL471" s="152"/>
      <c r="AM471" s="111"/>
      <c r="AN471" s="545"/>
      <c r="AO471" s="131"/>
      <c r="AQ471" s="152"/>
      <c r="AR471" s="152"/>
      <c r="AS471" s="111"/>
      <c r="AT471" s="545"/>
      <c r="AU471" s="131"/>
      <c r="AW471" s="152"/>
      <c r="AX471" s="152"/>
      <c r="AY471" s="111"/>
      <c r="AZ471" s="545"/>
      <c r="BA471" s="131"/>
    </row>
    <row r="472" spans="1:53" s="117" customFormat="1" ht="17.100000000000001" customHeight="1" x14ac:dyDescent="0.25">
      <c r="A472" s="68"/>
      <c r="B472" s="119"/>
      <c r="C472" s="55"/>
      <c r="D472" s="56" t="s">
        <v>268</v>
      </c>
      <c r="E472" s="85" t="s">
        <v>478</v>
      </c>
      <c r="F472" s="149"/>
      <c r="G472" s="149"/>
      <c r="H472" s="182"/>
      <c r="I472" s="241"/>
      <c r="J472" s="111"/>
      <c r="K472" s="111"/>
      <c r="L472" s="111"/>
      <c r="M472" s="111"/>
      <c r="N472" s="60"/>
      <c r="O472" s="60"/>
      <c r="P472" s="17">
        <f t="shared" ref="P472:P479" si="551">SUM(N472:O472)</f>
        <v>0</v>
      </c>
      <c r="Q472" s="60"/>
      <c r="R472" s="60"/>
      <c r="S472" s="17">
        <f t="shared" ref="S472:S479" si="552">SUM(Q472:R472)</f>
        <v>0</v>
      </c>
      <c r="T472" s="60"/>
      <c r="U472" s="60"/>
      <c r="V472" s="359">
        <f t="shared" ref="V472:V479" si="553">SUM(T472:U472)</f>
        <v>0</v>
      </c>
      <c r="W472" s="391">
        <f t="shared" ref="W472:W479" si="554">J472+K472+N472+Q472+T472</f>
        <v>0</v>
      </c>
      <c r="X472" s="17">
        <f t="shared" ref="X472:X479" si="555">L472+O472+R472+U472</f>
        <v>0</v>
      </c>
      <c r="Y472" s="18">
        <f t="shared" ref="Y472:Y479" si="556">SUM(W472:X472)</f>
        <v>0</v>
      </c>
      <c r="Z472" s="19">
        <f>IF(Y$480=0,0,Y472/Y$480)</f>
        <v>0</v>
      </c>
      <c r="AA472" s="19"/>
      <c r="AB472" s="19"/>
      <c r="AC472" s="84"/>
      <c r="AE472" s="111"/>
      <c r="AF472" s="111"/>
      <c r="AG472" s="111"/>
      <c r="AH472" s="112"/>
      <c r="AI472" s="113"/>
      <c r="AK472" s="111"/>
      <c r="AL472" s="111"/>
      <c r="AM472" s="111"/>
      <c r="AN472" s="112"/>
      <c r="AO472" s="113"/>
      <c r="AQ472" s="17"/>
      <c r="AR472" s="17"/>
      <c r="AS472" s="17"/>
      <c r="AT472" s="18">
        <f t="shared" ref="AT472:AT479" si="557">W472</f>
        <v>0</v>
      </c>
      <c r="AU472" s="19">
        <f>IF(AT$480=0,0,AT472/AT$480)</f>
        <v>0</v>
      </c>
      <c r="AW472" s="17"/>
      <c r="AX472" s="17"/>
      <c r="AY472" s="17"/>
      <c r="AZ472" s="18">
        <f t="shared" ref="AZ472:AZ479" si="558">X472</f>
        <v>0</v>
      </c>
      <c r="BA472" s="19">
        <f>IF(AZ$480=0,0,AZ472/AZ$480)</f>
        <v>0</v>
      </c>
    </row>
    <row r="473" spans="1:53" s="117" customFormat="1" ht="17.100000000000001" customHeight="1" x14ac:dyDescent="0.25">
      <c r="A473" s="68"/>
      <c r="B473" s="119"/>
      <c r="C473" s="55"/>
      <c r="D473" s="56" t="s">
        <v>269</v>
      </c>
      <c r="E473" s="85" t="s">
        <v>165</v>
      </c>
      <c r="F473" s="149"/>
      <c r="G473" s="149"/>
      <c r="H473" s="182"/>
      <c r="I473" s="241"/>
      <c r="J473" s="111"/>
      <c r="K473" s="111"/>
      <c r="L473" s="111"/>
      <c r="M473" s="111"/>
      <c r="N473" s="61"/>
      <c r="O473" s="61"/>
      <c r="P473" s="17">
        <f t="shared" si="551"/>
        <v>0</v>
      </c>
      <c r="Q473" s="61">
        <v>1</v>
      </c>
      <c r="R473" s="61">
        <v>2</v>
      </c>
      <c r="S473" s="17">
        <f t="shared" si="552"/>
        <v>3</v>
      </c>
      <c r="T473" s="61"/>
      <c r="U473" s="61"/>
      <c r="V473" s="359">
        <f t="shared" si="553"/>
        <v>0</v>
      </c>
      <c r="W473" s="391">
        <f t="shared" si="554"/>
        <v>1</v>
      </c>
      <c r="X473" s="17">
        <f t="shared" si="555"/>
        <v>2</v>
      </c>
      <c r="Y473" s="18">
        <f t="shared" si="556"/>
        <v>3</v>
      </c>
      <c r="Z473" s="19">
        <f t="shared" ref="Z473:Z479" si="559">IF(Y$480=0,0,Y473/Y$480)</f>
        <v>1</v>
      </c>
      <c r="AA473" s="19"/>
      <c r="AB473" s="19"/>
      <c r="AC473" s="84"/>
      <c r="AE473" s="111"/>
      <c r="AF473" s="111"/>
      <c r="AG473" s="111"/>
      <c r="AH473" s="112"/>
      <c r="AI473" s="113"/>
      <c r="AK473" s="111"/>
      <c r="AL473" s="111"/>
      <c r="AM473" s="111"/>
      <c r="AN473" s="112"/>
      <c r="AO473" s="113"/>
      <c r="AQ473" s="17"/>
      <c r="AR473" s="17"/>
      <c r="AS473" s="17"/>
      <c r="AT473" s="18">
        <f t="shared" si="557"/>
        <v>1</v>
      </c>
      <c r="AU473" s="19">
        <f t="shared" ref="AU473:AU480" si="560">IF(AT$480=0,0,AT473/AT$480)</f>
        <v>1</v>
      </c>
      <c r="AW473" s="17"/>
      <c r="AX473" s="17"/>
      <c r="AY473" s="17"/>
      <c r="AZ473" s="18">
        <f t="shared" si="558"/>
        <v>2</v>
      </c>
      <c r="BA473" s="19">
        <f t="shared" ref="BA473:BA480" si="561">IF(AZ$480=0,0,AZ473/AZ$480)</f>
        <v>1</v>
      </c>
    </row>
    <row r="474" spans="1:53" s="117" customFormat="1" ht="17.100000000000001" customHeight="1" x14ac:dyDescent="0.25">
      <c r="A474" s="68"/>
      <c r="B474" s="119"/>
      <c r="C474" s="55"/>
      <c r="D474" s="56" t="s">
        <v>270</v>
      </c>
      <c r="E474" s="85" t="s">
        <v>167</v>
      </c>
      <c r="F474" s="149"/>
      <c r="G474" s="149"/>
      <c r="H474" s="182"/>
      <c r="I474" s="241"/>
      <c r="J474" s="111"/>
      <c r="K474" s="111"/>
      <c r="L474" s="111"/>
      <c r="M474" s="111"/>
      <c r="N474" s="60"/>
      <c r="O474" s="60"/>
      <c r="P474" s="17">
        <f t="shared" si="551"/>
        <v>0</v>
      </c>
      <c r="Q474" s="60"/>
      <c r="R474" s="60"/>
      <c r="S474" s="17">
        <f t="shared" si="552"/>
        <v>0</v>
      </c>
      <c r="T474" s="60"/>
      <c r="U474" s="60"/>
      <c r="V474" s="359">
        <f t="shared" si="553"/>
        <v>0</v>
      </c>
      <c r="W474" s="391">
        <f t="shared" si="554"/>
        <v>0</v>
      </c>
      <c r="X474" s="17">
        <f t="shared" si="555"/>
        <v>0</v>
      </c>
      <c r="Y474" s="18">
        <f t="shared" si="556"/>
        <v>0</v>
      </c>
      <c r="Z474" s="19">
        <f t="shared" si="559"/>
        <v>0</v>
      </c>
      <c r="AA474" s="19"/>
      <c r="AB474" s="19"/>
      <c r="AC474" s="84"/>
      <c r="AE474" s="111"/>
      <c r="AF474" s="111"/>
      <c r="AG474" s="111"/>
      <c r="AH474" s="112"/>
      <c r="AI474" s="113"/>
      <c r="AK474" s="111"/>
      <c r="AL474" s="111"/>
      <c r="AM474" s="111"/>
      <c r="AN474" s="112"/>
      <c r="AO474" s="113"/>
      <c r="AQ474" s="17"/>
      <c r="AR474" s="17"/>
      <c r="AS474" s="17"/>
      <c r="AT474" s="18">
        <f t="shared" si="557"/>
        <v>0</v>
      </c>
      <c r="AU474" s="19">
        <f t="shared" si="560"/>
        <v>0</v>
      </c>
      <c r="AW474" s="17"/>
      <c r="AX474" s="17"/>
      <c r="AY474" s="17"/>
      <c r="AZ474" s="18">
        <f t="shared" si="558"/>
        <v>0</v>
      </c>
      <c r="BA474" s="19">
        <f t="shared" si="561"/>
        <v>0</v>
      </c>
    </row>
    <row r="475" spans="1:53" s="117" customFormat="1" ht="17.100000000000001" customHeight="1" x14ac:dyDescent="0.25">
      <c r="A475" s="68"/>
      <c r="B475" s="119"/>
      <c r="C475" s="55"/>
      <c r="D475" s="56" t="s">
        <v>271</v>
      </c>
      <c r="E475" s="85" t="s">
        <v>437</v>
      </c>
      <c r="F475" s="149"/>
      <c r="G475" s="149"/>
      <c r="H475" s="182"/>
      <c r="I475" s="241"/>
      <c r="J475" s="111"/>
      <c r="K475" s="111"/>
      <c r="L475" s="111"/>
      <c r="M475" s="111"/>
      <c r="N475" s="61"/>
      <c r="O475" s="61"/>
      <c r="P475" s="17">
        <f t="shared" si="551"/>
        <v>0</v>
      </c>
      <c r="Q475" s="61"/>
      <c r="R475" s="61"/>
      <c r="S475" s="17">
        <f t="shared" si="552"/>
        <v>0</v>
      </c>
      <c r="T475" s="61"/>
      <c r="U475" s="61"/>
      <c r="V475" s="359">
        <f t="shared" si="553"/>
        <v>0</v>
      </c>
      <c r="W475" s="391">
        <f t="shared" si="554"/>
        <v>0</v>
      </c>
      <c r="X475" s="17">
        <f t="shared" si="555"/>
        <v>0</v>
      </c>
      <c r="Y475" s="18">
        <f t="shared" si="556"/>
        <v>0</v>
      </c>
      <c r="Z475" s="19">
        <f t="shared" si="559"/>
        <v>0</v>
      </c>
      <c r="AA475" s="19"/>
      <c r="AB475" s="19"/>
      <c r="AC475" s="84"/>
      <c r="AE475" s="111"/>
      <c r="AF475" s="111"/>
      <c r="AG475" s="111"/>
      <c r="AH475" s="112"/>
      <c r="AI475" s="113"/>
      <c r="AK475" s="111"/>
      <c r="AL475" s="111"/>
      <c r="AM475" s="111"/>
      <c r="AN475" s="112"/>
      <c r="AO475" s="113"/>
      <c r="AQ475" s="17"/>
      <c r="AR475" s="17"/>
      <c r="AS475" s="17"/>
      <c r="AT475" s="18">
        <f t="shared" si="557"/>
        <v>0</v>
      </c>
      <c r="AU475" s="19">
        <f t="shared" si="560"/>
        <v>0</v>
      </c>
      <c r="AW475" s="17"/>
      <c r="AX475" s="17"/>
      <c r="AY475" s="17"/>
      <c r="AZ475" s="18">
        <f t="shared" si="558"/>
        <v>0</v>
      </c>
      <c r="BA475" s="19">
        <f t="shared" si="561"/>
        <v>0</v>
      </c>
    </row>
    <row r="476" spans="1:53" s="117" customFormat="1" ht="17.100000000000001" customHeight="1" x14ac:dyDescent="0.25">
      <c r="A476" s="68"/>
      <c r="B476" s="119"/>
      <c r="C476" s="55"/>
      <c r="D476" s="56" t="s">
        <v>272</v>
      </c>
      <c r="E476" s="85" t="s">
        <v>438</v>
      </c>
      <c r="F476" s="149"/>
      <c r="G476" s="149"/>
      <c r="H476" s="182"/>
      <c r="I476" s="241"/>
      <c r="J476" s="111"/>
      <c r="K476" s="111"/>
      <c r="L476" s="111"/>
      <c r="M476" s="111"/>
      <c r="N476" s="60"/>
      <c r="O476" s="60"/>
      <c r="P476" s="17">
        <f t="shared" si="551"/>
        <v>0</v>
      </c>
      <c r="Q476" s="60"/>
      <c r="R476" s="60"/>
      <c r="S476" s="17">
        <f t="shared" si="552"/>
        <v>0</v>
      </c>
      <c r="T476" s="60"/>
      <c r="U476" s="60"/>
      <c r="V476" s="359">
        <f t="shared" si="553"/>
        <v>0</v>
      </c>
      <c r="W476" s="391">
        <f t="shared" si="554"/>
        <v>0</v>
      </c>
      <c r="X476" s="17">
        <f t="shared" si="555"/>
        <v>0</v>
      </c>
      <c r="Y476" s="18">
        <f t="shared" si="556"/>
        <v>0</v>
      </c>
      <c r="Z476" s="19">
        <f t="shared" si="559"/>
        <v>0</v>
      </c>
      <c r="AA476" s="19"/>
      <c r="AB476" s="19"/>
      <c r="AC476" s="84"/>
      <c r="AE476" s="111"/>
      <c r="AF476" s="111"/>
      <c r="AG476" s="111"/>
      <c r="AH476" s="112"/>
      <c r="AI476" s="113"/>
      <c r="AK476" s="111"/>
      <c r="AL476" s="111"/>
      <c r="AM476" s="111"/>
      <c r="AN476" s="112"/>
      <c r="AO476" s="113"/>
      <c r="AQ476" s="17"/>
      <c r="AR476" s="17"/>
      <c r="AS476" s="17"/>
      <c r="AT476" s="18">
        <f t="shared" si="557"/>
        <v>0</v>
      </c>
      <c r="AU476" s="19">
        <f t="shared" si="560"/>
        <v>0</v>
      </c>
      <c r="AW476" s="17"/>
      <c r="AX476" s="17"/>
      <c r="AY476" s="17"/>
      <c r="AZ476" s="18">
        <f t="shared" si="558"/>
        <v>0</v>
      </c>
      <c r="BA476" s="19">
        <f t="shared" si="561"/>
        <v>0</v>
      </c>
    </row>
    <row r="477" spans="1:53" s="117" customFormat="1" ht="17.100000000000001" customHeight="1" x14ac:dyDescent="0.25">
      <c r="A477" s="68"/>
      <c r="B477" s="119"/>
      <c r="C477" s="55"/>
      <c r="D477" s="56" t="s">
        <v>273</v>
      </c>
      <c r="E477" s="85" t="s">
        <v>439</v>
      </c>
      <c r="F477" s="595"/>
      <c r="G477" s="595"/>
      <c r="H477" s="17"/>
      <c r="I477" s="594"/>
      <c r="J477" s="111"/>
      <c r="K477" s="111"/>
      <c r="L477" s="111"/>
      <c r="M477" s="111"/>
      <c r="N477" s="61"/>
      <c r="O477" s="61"/>
      <c r="P477" s="17">
        <f t="shared" si="551"/>
        <v>0</v>
      </c>
      <c r="Q477" s="61"/>
      <c r="R477" s="61"/>
      <c r="S477" s="17">
        <f t="shared" si="552"/>
        <v>0</v>
      </c>
      <c r="T477" s="61"/>
      <c r="U477" s="61"/>
      <c r="V477" s="359">
        <f t="shared" si="553"/>
        <v>0</v>
      </c>
      <c r="W477" s="391">
        <f t="shared" si="554"/>
        <v>0</v>
      </c>
      <c r="X477" s="17">
        <f t="shared" si="555"/>
        <v>0</v>
      </c>
      <c r="Y477" s="18">
        <f t="shared" si="556"/>
        <v>0</v>
      </c>
      <c r="Z477" s="19">
        <f t="shared" si="559"/>
        <v>0</v>
      </c>
      <c r="AA477" s="19"/>
      <c r="AB477" s="19"/>
      <c r="AC477" s="84"/>
      <c r="AE477" s="111"/>
      <c r="AF477" s="111"/>
      <c r="AG477" s="111"/>
      <c r="AH477" s="112"/>
      <c r="AI477" s="113"/>
      <c r="AK477" s="111"/>
      <c r="AL477" s="111"/>
      <c r="AM477" s="111"/>
      <c r="AN477" s="112"/>
      <c r="AO477" s="113"/>
      <c r="AQ477" s="17"/>
      <c r="AR477" s="17"/>
      <c r="AS477" s="17"/>
      <c r="AT477" s="18">
        <f t="shared" si="557"/>
        <v>0</v>
      </c>
      <c r="AU477" s="19">
        <f t="shared" si="560"/>
        <v>0</v>
      </c>
      <c r="AW477" s="17"/>
      <c r="AX477" s="17"/>
      <c r="AY477" s="17"/>
      <c r="AZ477" s="18">
        <f t="shared" si="558"/>
        <v>0</v>
      </c>
      <c r="BA477" s="19">
        <f t="shared" si="561"/>
        <v>0</v>
      </c>
    </row>
    <row r="478" spans="1:53" s="117" customFormat="1" ht="17.100000000000001" customHeight="1" x14ac:dyDescent="0.25">
      <c r="A478" s="68"/>
      <c r="B478" s="119"/>
      <c r="C478" s="55"/>
      <c r="D478" s="56" t="s">
        <v>274</v>
      </c>
      <c r="E478" s="85" t="s">
        <v>483</v>
      </c>
      <c r="F478" s="595"/>
      <c r="G478" s="595"/>
      <c r="H478" s="17"/>
      <c r="I478" s="594"/>
      <c r="J478" s="111"/>
      <c r="K478" s="111"/>
      <c r="L478" s="111"/>
      <c r="M478" s="111"/>
      <c r="N478" s="60"/>
      <c r="O478" s="60"/>
      <c r="P478" s="17">
        <f t="shared" si="551"/>
        <v>0</v>
      </c>
      <c r="Q478" s="60"/>
      <c r="R478" s="60"/>
      <c r="S478" s="17">
        <f t="shared" si="552"/>
        <v>0</v>
      </c>
      <c r="T478" s="60"/>
      <c r="U478" s="60"/>
      <c r="V478" s="359">
        <f t="shared" si="553"/>
        <v>0</v>
      </c>
      <c r="W478" s="391">
        <f t="shared" si="554"/>
        <v>0</v>
      </c>
      <c r="X478" s="17">
        <f t="shared" si="555"/>
        <v>0</v>
      </c>
      <c r="Y478" s="18">
        <f t="shared" si="556"/>
        <v>0</v>
      </c>
      <c r="Z478" s="19">
        <f t="shared" si="559"/>
        <v>0</v>
      </c>
      <c r="AA478" s="19"/>
      <c r="AB478" s="19"/>
      <c r="AC478" s="84"/>
      <c r="AE478" s="111"/>
      <c r="AF478" s="111"/>
      <c r="AG478" s="111"/>
      <c r="AH478" s="112"/>
      <c r="AI478" s="113"/>
      <c r="AK478" s="111"/>
      <c r="AL478" s="111"/>
      <c r="AM478" s="111"/>
      <c r="AN478" s="112"/>
      <c r="AO478" s="113"/>
      <c r="AQ478" s="17"/>
      <c r="AR478" s="17"/>
      <c r="AS478" s="17"/>
      <c r="AT478" s="18">
        <f t="shared" si="557"/>
        <v>0</v>
      </c>
      <c r="AU478" s="19">
        <f t="shared" si="560"/>
        <v>0</v>
      </c>
      <c r="AW478" s="17"/>
      <c r="AX478" s="17"/>
      <c r="AY478" s="17"/>
      <c r="AZ478" s="18">
        <f t="shared" si="558"/>
        <v>0</v>
      </c>
      <c r="BA478" s="19">
        <f t="shared" si="561"/>
        <v>0</v>
      </c>
    </row>
    <row r="479" spans="1:53" s="117" customFormat="1" ht="17.100000000000001" customHeight="1" x14ac:dyDescent="0.25">
      <c r="A479" s="68"/>
      <c r="B479" s="119"/>
      <c r="C479" s="55"/>
      <c r="D479" s="56" t="s">
        <v>482</v>
      </c>
      <c r="E479" s="149" t="s">
        <v>129</v>
      </c>
      <c r="F479" s="149"/>
      <c r="G479" s="149"/>
      <c r="H479" s="182"/>
      <c r="I479" s="241"/>
      <c r="J479" s="111"/>
      <c r="K479" s="111"/>
      <c r="L479" s="111"/>
      <c r="M479" s="111"/>
      <c r="N479" s="61"/>
      <c r="O479" s="61"/>
      <c r="P479" s="17">
        <f t="shared" si="551"/>
        <v>0</v>
      </c>
      <c r="Q479" s="61"/>
      <c r="R479" s="61"/>
      <c r="S479" s="17">
        <f t="shared" si="552"/>
        <v>0</v>
      </c>
      <c r="T479" s="61"/>
      <c r="U479" s="61"/>
      <c r="V479" s="359">
        <f t="shared" si="553"/>
        <v>0</v>
      </c>
      <c r="W479" s="391">
        <f t="shared" si="554"/>
        <v>0</v>
      </c>
      <c r="X479" s="17">
        <f t="shared" si="555"/>
        <v>0</v>
      </c>
      <c r="Y479" s="18">
        <f t="shared" si="556"/>
        <v>0</v>
      </c>
      <c r="Z479" s="19">
        <f t="shared" si="559"/>
        <v>0</v>
      </c>
      <c r="AA479" s="19"/>
      <c r="AB479" s="19"/>
      <c r="AC479" s="84"/>
      <c r="AE479" s="111"/>
      <c r="AF479" s="111"/>
      <c r="AG479" s="111"/>
      <c r="AH479" s="112"/>
      <c r="AI479" s="113"/>
      <c r="AK479" s="111"/>
      <c r="AL479" s="111"/>
      <c r="AM479" s="111"/>
      <c r="AN479" s="112"/>
      <c r="AO479" s="113"/>
      <c r="AQ479" s="17"/>
      <c r="AR479" s="17"/>
      <c r="AS479" s="17"/>
      <c r="AT479" s="18">
        <f t="shared" si="557"/>
        <v>0</v>
      </c>
      <c r="AU479" s="19">
        <f t="shared" si="560"/>
        <v>0</v>
      </c>
      <c r="AW479" s="17"/>
      <c r="AX479" s="17"/>
      <c r="AY479" s="17"/>
      <c r="AZ479" s="18">
        <f t="shared" si="558"/>
        <v>0</v>
      </c>
      <c r="BA479" s="19">
        <f t="shared" si="561"/>
        <v>0</v>
      </c>
    </row>
    <row r="480" spans="1:53" s="117" customFormat="1" ht="17.100000000000001" customHeight="1" x14ac:dyDescent="0.25">
      <c r="A480" s="68"/>
      <c r="B480" s="119"/>
      <c r="C480" s="77"/>
      <c r="D480" s="134"/>
      <c r="E480" s="134"/>
      <c r="F480" s="134"/>
      <c r="G480" s="134"/>
      <c r="H480" s="540"/>
      <c r="I480" s="229"/>
      <c r="J480" s="80"/>
      <c r="K480" s="80"/>
      <c r="L480" s="81"/>
      <c r="M480" s="81"/>
      <c r="N480" s="81">
        <f>SUM(N472:N479)</f>
        <v>0</v>
      </c>
      <c r="O480" s="81">
        <f t="shared" ref="O480:V480" si="562">SUM(O472:O479)</f>
        <v>0</v>
      </c>
      <c r="P480" s="81">
        <f t="shared" si="562"/>
        <v>0</v>
      </c>
      <c r="Q480" s="81">
        <f t="shared" si="562"/>
        <v>1</v>
      </c>
      <c r="R480" s="81">
        <f t="shared" si="562"/>
        <v>2</v>
      </c>
      <c r="S480" s="81">
        <f t="shared" si="562"/>
        <v>3</v>
      </c>
      <c r="T480" s="81">
        <f t="shared" si="562"/>
        <v>0</v>
      </c>
      <c r="U480" s="81">
        <f t="shared" si="562"/>
        <v>0</v>
      </c>
      <c r="V480" s="81">
        <f t="shared" si="562"/>
        <v>0</v>
      </c>
      <c r="W480" s="381">
        <f>SUM(W472:W479)</f>
        <v>1</v>
      </c>
      <c r="X480" s="82">
        <f t="shared" ref="X480:Y480" si="563">SUM(X472:X479)</f>
        <v>2</v>
      </c>
      <c r="Y480" s="82">
        <f t="shared" si="563"/>
        <v>3</v>
      </c>
      <c r="Z480" s="205">
        <f>IF(Y$480=0,0,Y480/Y$480)</f>
        <v>1</v>
      </c>
      <c r="AA480" s="205"/>
      <c r="AB480" s="205"/>
      <c r="AC480" s="83"/>
      <c r="AE480" s="80"/>
      <c r="AF480" s="80"/>
      <c r="AG480" s="81"/>
      <c r="AH480" s="82"/>
      <c r="AI480" s="66"/>
      <c r="AK480" s="80"/>
      <c r="AL480" s="80"/>
      <c r="AM480" s="81"/>
      <c r="AN480" s="82"/>
      <c r="AO480" s="66"/>
      <c r="AQ480" s="80"/>
      <c r="AR480" s="80"/>
      <c r="AS480" s="81"/>
      <c r="AT480" s="82">
        <f>SUM(AT472:AT479)</f>
        <v>1</v>
      </c>
      <c r="AU480" s="66">
        <f t="shared" si="560"/>
        <v>1</v>
      </c>
      <c r="AW480" s="80"/>
      <c r="AX480" s="80"/>
      <c r="AY480" s="81"/>
      <c r="AZ480" s="82">
        <f>SUM(AZ472:AZ479)</f>
        <v>2</v>
      </c>
      <c r="BA480" s="66">
        <f t="shared" si="561"/>
        <v>1</v>
      </c>
    </row>
    <row r="481" spans="1:53" s="117" customFormat="1" ht="17.100000000000001" customHeight="1" x14ac:dyDescent="0.25">
      <c r="A481" s="68"/>
      <c r="B481" s="119"/>
      <c r="C481" s="540"/>
      <c r="D481" s="261"/>
      <c r="E481" s="261"/>
      <c r="F481" s="68"/>
      <c r="G481" s="68"/>
      <c r="H481" s="119"/>
      <c r="I481" s="138"/>
      <c r="J481" s="17"/>
      <c r="K481" s="17"/>
      <c r="L481" s="17"/>
      <c r="M481" s="17"/>
      <c r="N481" s="17" t="str">
        <f>IF(N480=N$443,"OK","NOK")</f>
        <v>OK</v>
      </c>
      <c r="O481" s="17" t="str">
        <f>IF(O480=O$443,"OK","NOK")</f>
        <v>OK</v>
      </c>
      <c r="P481" s="17"/>
      <c r="Q481" s="17" t="str">
        <f>IF(Q480=Q$443,"OK","NOK")</f>
        <v>OK</v>
      </c>
      <c r="R481" s="17" t="str">
        <f>IF(R480=R$443,"OK","NOK")</f>
        <v>OK</v>
      </c>
      <c r="S481" s="17"/>
      <c r="T481" s="17" t="str">
        <f>IF(T480=T$443,"OK","NOK")</f>
        <v>OK</v>
      </c>
      <c r="U481" s="17" t="str">
        <f>IF(U480=U$443,"OK","NOK")</f>
        <v>OK</v>
      </c>
      <c r="V481" s="359"/>
      <c r="W481" s="382"/>
      <c r="X481" s="539"/>
      <c r="Y481" s="539"/>
      <c r="Z481" s="201"/>
      <c r="AA481" s="201"/>
      <c r="AB481" s="201"/>
      <c r="AC481" s="84"/>
      <c r="AE481" s="46"/>
      <c r="AF481" s="46"/>
      <c r="AG481" s="17"/>
      <c r="AH481" s="539"/>
      <c r="AI481" s="91"/>
      <c r="AK481" s="46"/>
      <c r="AL481" s="46"/>
      <c r="AM481" s="17"/>
      <c r="AN481" s="539"/>
      <c r="AO481" s="91"/>
      <c r="AQ481" s="46"/>
      <c r="AR481" s="46"/>
      <c r="AS481" s="17"/>
      <c r="AT481" s="539"/>
      <c r="AU481" s="91"/>
      <c r="AW481" s="46"/>
      <c r="AX481" s="46"/>
      <c r="AY481" s="17"/>
      <c r="AZ481" s="539"/>
      <c r="BA481" s="91"/>
    </row>
    <row r="482" spans="1:53" s="117" customFormat="1" ht="17.100000000000001" customHeight="1" x14ac:dyDescent="0.25">
      <c r="A482" s="68"/>
      <c r="B482" s="119"/>
      <c r="C482" s="119"/>
      <c r="D482" s="56" t="s">
        <v>272</v>
      </c>
      <c r="E482" s="149" t="s">
        <v>751</v>
      </c>
      <c r="F482" s="149"/>
      <c r="G482" s="149"/>
      <c r="H482" s="182"/>
      <c r="I482" s="241"/>
      <c r="J482" s="152"/>
      <c r="K482" s="152"/>
      <c r="L482" s="111"/>
      <c r="M482" s="111"/>
      <c r="N482" s="111"/>
      <c r="O482" s="111"/>
      <c r="P482" s="111"/>
      <c r="Q482" s="111"/>
      <c r="R482" s="111"/>
      <c r="S482" s="111"/>
      <c r="T482" s="111"/>
      <c r="U482" s="111"/>
      <c r="V482" s="358"/>
      <c r="W482" s="380"/>
      <c r="X482" s="111"/>
      <c r="Y482" s="545"/>
      <c r="Z482" s="131"/>
      <c r="AA482" s="131"/>
      <c r="AB482" s="131"/>
      <c r="AC482" s="113"/>
      <c r="AE482" s="152"/>
      <c r="AF482" s="152"/>
      <c r="AG482" s="111"/>
      <c r="AH482" s="545"/>
      <c r="AI482" s="131"/>
      <c r="AK482" s="152"/>
      <c r="AL482" s="152"/>
      <c r="AM482" s="111"/>
      <c r="AN482" s="545"/>
      <c r="AO482" s="131"/>
      <c r="AQ482" s="152"/>
      <c r="AR482" s="152"/>
      <c r="AS482" s="111"/>
      <c r="AT482" s="545"/>
      <c r="AU482" s="131"/>
      <c r="AW482" s="152"/>
      <c r="AX482" s="152"/>
      <c r="AY482" s="111"/>
      <c r="AZ482" s="545"/>
      <c r="BA482" s="131"/>
    </row>
    <row r="483" spans="1:53" s="117" customFormat="1" ht="17.100000000000001" customHeight="1" x14ac:dyDescent="0.25">
      <c r="A483" s="68"/>
      <c r="B483" s="119"/>
      <c r="C483" s="55"/>
      <c r="D483" s="55"/>
      <c r="E483" s="74" t="s">
        <v>753</v>
      </c>
      <c r="F483" s="603" t="s">
        <v>752</v>
      </c>
      <c r="G483" s="603"/>
      <c r="H483" s="182"/>
      <c r="I483" s="241"/>
      <c r="J483" s="111"/>
      <c r="K483" s="152"/>
      <c r="L483" s="152"/>
      <c r="M483" s="152"/>
      <c r="N483" s="152"/>
      <c r="O483" s="111"/>
      <c r="P483" s="60"/>
      <c r="Q483" s="152"/>
      <c r="R483" s="111"/>
      <c r="S483" s="60"/>
      <c r="T483" s="152"/>
      <c r="U483" s="111"/>
      <c r="V483" s="361"/>
      <c r="W483" s="391"/>
      <c r="X483" s="17"/>
      <c r="Y483" s="18">
        <f t="shared" ref="Y483:Y485" si="564">M483+P483+S483+V483</f>
        <v>0</v>
      </c>
      <c r="Z483" s="19">
        <f>IF(Y$486=0,0,Y483/Y$486)</f>
        <v>0</v>
      </c>
      <c r="AA483" s="19"/>
      <c r="AB483" s="19"/>
      <c r="AC483" s="84"/>
      <c r="AE483" s="111"/>
      <c r="AF483" s="111"/>
      <c r="AG483" s="111"/>
      <c r="AH483" s="112"/>
      <c r="AI483" s="113"/>
      <c r="AK483" s="111"/>
      <c r="AL483" s="111"/>
      <c r="AM483" s="111"/>
      <c r="AN483" s="112"/>
      <c r="AO483" s="113"/>
      <c r="AQ483" s="111"/>
      <c r="AR483" s="111"/>
      <c r="AS483" s="111"/>
      <c r="AT483" s="545"/>
      <c r="AU483" s="131"/>
      <c r="AW483" s="111"/>
      <c r="AX483" s="111"/>
      <c r="AY483" s="111"/>
      <c r="AZ483" s="545"/>
      <c r="BA483" s="131"/>
    </row>
    <row r="484" spans="1:53" s="117" customFormat="1" ht="17.100000000000001" customHeight="1" x14ac:dyDescent="0.25">
      <c r="A484" s="68"/>
      <c r="B484" s="119"/>
      <c r="C484" s="55"/>
      <c r="D484" s="55"/>
      <c r="E484" s="74" t="s">
        <v>754</v>
      </c>
      <c r="F484" s="604"/>
      <c r="G484" s="604"/>
      <c r="H484" s="182"/>
      <c r="I484" s="241"/>
      <c r="J484" s="111"/>
      <c r="K484" s="152"/>
      <c r="L484" s="152"/>
      <c r="M484" s="152"/>
      <c r="N484" s="152"/>
      <c r="O484" s="111"/>
      <c r="P484" s="61"/>
      <c r="Q484" s="152"/>
      <c r="R484" s="111"/>
      <c r="S484" s="61"/>
      <c r="T484" s="152"/>
      <c r="U484" s="111"/>
      <c r="V484" s="362"/>
      <c r="W484" s="391"/>
      <c r="X484" s="17"/>
      <c r="Y484" s="18">
        <f t="shared" si="564"/>
        <v>0</v>
      </c>
      <c r="Z484" s="19">
        <f t="shared" ref="Z484:Z486" si="565">IF(Y$486=0,0,Y484/Y$486)</f>
        <v>0</v>
      </c>
      <c r="AA484" s="19"/>
      <c r="AB484" s="19"/>
      <c r="AC484" s="84"/>
      <c r="AE484" s="111"/>
      <c r="AF484" s="111"/>
      <c r="AG484" s="111"/>
      <c r="AH484" s="112"/>
      <c r="AI484" s="113"/>
      <c r="AK484" s="111"/>
      <c r="AL484" s="111"/>
      <c r="AM484" s="111"/>
      <c r="AN484" s="112"/>
      <c r="AO484" s="113"/>
      <c r="AQ484" s="111"/>
      <c r="AR484" s="111"/>
      <c r="AS484" s="111"/>
      <c r="AT484" s="545"/>
      <c r="AU484" s="131"/>
      <c r="AW484" s="111"/>
      <c r="AX484" s="111"/>
      <c r="AY484" s="111"/>
      <c r="AZ484" s="545"/>
      <c r="BA484" s="131"/>
    </row>
    <row r="485" spans="1:53" s="117" customFormat="1" ht="17.100000000000001" customHeight="1" x14ac:dyDescent="0.25">
      <c r="A485" s="68"/>
      <c r="B485" s="119"/>
      <c r="C485" s="55"/>
      <c r="D485" s="55"/>
      <c r="E485" s="74" t="s">
        <v>755</v>
      </c>
      <c r="F485" s="603"/>
      <c r="G485" s="603"/>
      <c r="H485" s="182"/>
      <c r="I485" s="241"/>
      <c r="J485" s="111"/>
      <c r="K485" s="152"/>
      <c r="L485" s="152"/>
      <c r="M485" s="152"/>
      <c r="N485" s="152"/>
      <c r="O485" s="111"/>
      <c r="P485" s="60"/>
      <c r="Q485" s="152"/>
      <c r="R485" s="111"/>
      <c r="S485" s="60"/>
      <c r="T485" s="152"/>
      <c r="U485" s="111"/>
      <c r="V485" s="361"/>
      <c r="W485" s="391"/>
      <c r="X485" s="17"/>
      <c r="Y485" s="18">
        <f t="shared" si="564"/>
        <v>0</v>
      </c>
      <c r="Z485" s="19">
        <f t="shared" si="565"/>
        <v>0</v>
      </c>
      <c r="AA485" s="19"/>
      <c r="AB485" s="19"/>
      <c r="AC485" s="84"/>
      <c r="AE485" s="111"/>
      <c r="AF485" s="111"/>
      <c r="AG485" s="111"/>
      <c r="AH485" s="112"/>
      <c r="AI485" s="113"/>
      <c r="AK485" s="111"/>
      <c r="AL485" s="111"/>
      <c r="AM485" s="111"/>
      <c r="AN485" s="112"/>
      <c r="AO485" s="113"/>
      <c r="AQ485" s="111"/>
      <c r="AR485" s="111"/>
      <c r="AS485" s="111"/>
      <c r="AT485" s="545"/>
      <c r="AU485" s="131"/>
      <c r="AW485" s="111"/>
      <c r="AX485" s="111"/>
      <c r="AY485" s="111"/>
      <c r="AZ485" s="545"/>
      <c r="BA485" s="131"/>
    </row>
    <row r="486" spans="1:53" s="117" customFormat="1" ht="17.100000000000001" customHeight="1" x14ac:dyDescent="0.25">
      <c r="A486" s="68"/>
      <c r="B486" s="119"/>
      <c r="C486" s="77"/>
      <c r="D486" s="134"/>
      <c r="E486" s="134"/>
      <c r="F486" s="134"/>
      <c r="G486" s="134"/>
      <c r="H486" s="540"/>
      <c r="I486" s="229"/>
      <c r="J486" s="80"/>
      <c r="K486" s="80"/>
      <c r="L486" s="81"/>
      <c r="M486" s="81"/>
      <c r="N486" s="81"/>
      <c r="O486" s="81"/>
      <c r="P486" s="81">
        <f>SUM(P483:P485)</f>
        <v>0</v>
      </c>
      <c r="Q486" s="81"/>
      <c r="R486" s="81"/>
      <c r="S486" s="81">
        <f>SUM(S483:S485)</f>
        <v>0</v>
      </c>
      <c r="T486" s="81"/>
      <c r="U486" s="81"/>
      <c r="V486" s="81">
        <f>SUM(V483:V485)</f>
        <v>0</v>
      </c>
      <c r="W486" s="381"/>
      <c r="X486" s="82"/>
      <c r="Y486" s="82">
        <f>SUM(Y483:Y485)</f>
        <v>0</v>
      </c>
      <c r="Z486" s="205">
        <f t="shared" si="565"/>
        <v>0</v>
      </c>
      <c r="AA486" s="205"/>
      <c r="AB486" s="205"/>
      <c r="AC486" s="83"/>
      <c r="AE486" s="80"/>
      <c r="AF486" s="80"/>
      <c r="AG486" s="81"/>
      <c r="AH486" s="82"/>
      <c r="AI486" s="66"/>
      <c r="AK486" s="80"/>
      <c r="AL486" s="80"/>
      <c r="AM486" s="81"/>
      <c r="AN486" s="82"/>
      <c r="AO486" s="66"/>
      <c r="AQ486" s="80"/>
      <c r="AR486" s="80"/>
      <c r="AS486" s="81"/>
      <c r="AT486" s="82"/>
      <c r="AU486" s="66"/>
      <c r="AW486" s="80"/>
      <c r="AX486" s="80"/>
      <c r="AY486" s="81"/>
      <c r="AZ486" s="82"/>
      <c r="BA486" s="66"/>
    </row>
    <row r="487" spans="1:53" s="117" customFormat="1" ht="17.100000000000001" customHeight="1" x14ac:dyDescent="0.25">
      <c r="A487" s="68"/>
      <c r="B487" s="119"/>
      <c r="C487" s="92"/>
      <c r="D487" s="93"/>
      <c r="E487" s="93"/>
      <c r="F487" s="93"/>
      <c r="G487" s="93"/>
      <c r="H487" s="540"/>
      <c r="I487" s="12"/>
      <c r="J487" s="46"/>
      <c r="K487" s="46"/>
      <c r="L487" s="17"/>
      <c r="M487" s="17"/>
      <c r="N487" s="17"/>
      <c r="O487" s="17"/>
      <c r="P487" s="17"/>
      <c r="Q487" s="17"/>
      <c r="R487" s="17"/>
      <c r="S487" s="17"/>
      <c r="T487" s="17"/>
      <c r="U487" s="17"/>
      <c r="V487" s="359"/>
      <c r="W487" s="382"/>
      <c r="X487" s="539"/>
      <c r="Y487" s="539"/>
      <c r="Z487" s="201"/>
      <c r="AA487" s="201"/>
      <c r="AB487" s="201"/>
      <c r="AC487" s="84"/>
      <c r="AE487" s="46"/>
      <c r="AF487" s="46"/>
      <c r="AG487" s="17"/>
      <c r="AH487" s="539"/>
      <c r="AI487" s="91"/>
      <c r="AK487" s="46"/>
      <c r="AL487" s="46"/>
      <c r="AM487" s="17"/>
      <c r="AN487" s="539"/>
      <c r="AO487" s="91"/>
      <c r="AQ487" s="46"/>
      <c r="AR487" s="46"/>
      <c r="AS487" s="17"/>
      <c r="AT487" s="539"/>
      <c r="AU487" s="91"/>
      <c r="AW487" s="46"/>
      <c r="AX487" s="46"/>
      <c r="AY487" s="17"/>
      <c r="AZ487" s="539"/>
      <c r="BA487" s="91"/>
    </row>
    <row r="488" spans="1:53" ht="17.100000000000001" customHeight="1" x14ac:dyDescent="0.25">
      <c r="A488" s="119"/>
      <c r="B488" s="41" t="s">
        <v>876</v>
      </c>
      <c r="C488" s="69" t="s">
        <v>12</v>
      </c>
      <c r="D488" s="50"/>
      <c r="E488" s="70"/>
      <c r="F488" s="70"/>
      <c r="G488" s="70"/>
      <c r="H488" s="119"/>
      <c r="J488" s="71"/>
      <c r="K488" s="71"/>
      <c r="L488" s="71"/>
      <c r="M488" s="71"/>
      <c r="N488" s="71"/>
      <c r="O488" s="71"/>
      <c r="P488" s="71"/>
      <c r="Q488" s="71"/>
      <c r="R488" s="71"/>
      <c r="S488" s="71"/>
      <c r="T488" s="71"/>
      <c r="U488" s="71"/>
      <c r="V488" s="355"/>
      <c r="W488" s="377"/>
      <c r="X488" s="71"/>
      <c r="Y488" s="72"/>
      <c r="Z488" s="73"/>
      <c r="AA488" s="73"/>
      <c r="AB488" s="73"/>
      <c r="AC488" s="73"/>
      <c r="AE488" s="71"/>
      <c r="AF488" s="71"/>
      <c r="AG488" s="71"/>
      <c r="AH488" s="72"/>
      <c r="AI488" s="73"/>
      <c r="AK488" s="71"/>
      <c r="AL488" s="71"/>
      <c r="AM488" s="71"/>
      <c r="AN488" s="72"/>
      <c r="AO488" s="73"/>
      <c r="AQ488" s="71"/>
      <c r="AR488" s="71"/>
      <c r="AS488" s="71"/>
      <c r="AT488" s="72"/>
      <c r="AU488" s="73"/>
      <c r="AW488" s="71"/>
      <c r="AX488" s="71"/>
      <c r="AY488" s="71"/>
      <c r="AZ488" s="72"/>
      <c r="BA488" s="73"/>
    </row>
    <row r="489" spans="1:53" s="173" customFormat="1" ht="17.100000000000001" customHeight="1" x14ac:dyDescent="0.25">
      <c r="A489" s="102"/>
      <c r="B489" s="102"/>
      <c r="C489" s="182"/>
      <c r="D489" s="127" t="s">
        <v>1006</v>
      </c>
      <c r="E489" s="128"/>
      <c r="F489" s="128"/>
      <c r="G489" s="128"/>
      <c r="H489" s="119"/>
      <c r="I489" s="231"/>
      <c r="J489" s="154"/>
      <c r="K489" s="154"/>
      <c r="L489" s="154"/>
      <c r="M489" s="154"/>
      <c r="N489" s="154">
        <f t="shared" ref="N489:O489" si="566">N174</f>
        <v>1</v>
      </c>
      <c r="O489" s="154">
        <f t="shared" si="566"/>
        <v>5</v>
      </c>
      <c r="P489" s="154">
        <f>SUM(N489:O489)</f>
        <v>6</v>
      </c>
      <c r="Q489" s="154">
        <f t="shared" ref="Q489:R489" si="567">Q174</f>
        <v>3</v>
      </c>
      <c r="R489" s="154">
        <f t="shared" si="567"/>
        <v>5</v>
      </c>
      <c r="S489" s="154">
        <f>SUM(Q489:R489)</f>
        <v>8</v>
      </c>
      <c r="T489" s="154">
        <f t="shared" ref="T489:U489" si="568">T174</f>
        <v>0</v>
      </c>
      <c r="U489" s="154">
        <f t="shared" si="568"/>
        <v>0</v>
      </c>
      <c r="V489" s="159">
        <f>SUM(T489:U489)</f>
        <v>0</v>
      </c>
      <c r="W489" s="387">
        <f t="shared" ref="W489:W490" si="569">J489+K489+N489+Q489+T489</f>
        <v>4</v>
      </c>
      <c r="X489" s="154">
        <f t="shared" ref="X489:X490" si="570">L489+O489+R489+U489</f>
        <v>10</v>
      </c>
      <c r="Y489" s="129">
        <f t="shared" ref="Y489:Y490" si="571">SUM(W489:X489)</f>
        <v>14</v>
      </c>
      <c r="Z489" s="130"/>
      <c r="AA489" s="130"/>
      <c r="AB489" s="130"/>
      <c r="AC489" s="125"/>
      <c r="AE489" s="154"/>
      <c r="AF489" s="154"/>
      <c r="AG489" s="154"/>
      <c r="AH489" s="129"/>
      <c r="AI489" s="130"/>
      <c r="AJ489" s="12"/>
      <c r="AK489" s="154"/>
      <c r="AL489" s="154"/>
      <c r="AM489" s="154"/>
      <c r="AN489" s="129"/>
      <c r="AO489" s="130"/>
      <c r="AP489" s="12"/>
      <c r="AQ489" s="154"/>
      <c r="AR489" s="154"/>
      <c r="AS489" s="154"/>
      <c r="AT489" s="129"/>
      <c r="AU489" s="130"/>
      <c r="AV489" s="12"/>
      <c r="AW489" s="154"/>
      <c r="AX489" s="154"/>
      <c r="AY489" s="154"/>
      <c r="AZ489" s="129"/>
      <c r="BA489" s="130"/>
    </row>
    <row r="490" spans="1:53" s="173" customFormat="1" ht="17.100000000000001" customHeight="1" x14ac:dyDescent="0.25">
      <c r="A490" s="102"/>
      <c r="B490" s="102"/>
      <c r="C490" s="182"/>
      <c r="D490" s="127" t="s">
        <v>278</v>
      </c>
      <c r="E490" s="128"/>
      <c r="F490" s="128"/>
      <c r="G490" s="128"/>
      <c r="H490" s="119"/>
      <c r="I490" s="231"/>
      <c r="J490" s="154"/>
      <c r="K490" s="154"/>
      <c r="L490" s="154"/>
      <c r="M490" s="154"/>
      <c r="N490" s="154">
        <f t="shared" ref="N490:O490" si="572">N377</f>
        <v>1</v>
      </c>
      <c r="O490" s="154">
        <f t="shared" si="572"/>
        <v>4</v>
      </c>
      <c r="P490" s="154">
        <f>SUM(N490:O490)</f>
        <v>5</v>
      </c>
      <c r="Q490" s="154">
        <f t="shared" ref="Q490:R490" si="573">Q377</f>
        <v>0</v>
      </c>
      <c r="R490" s="154">
        <f t="shared" si="573"/>
        <v>0</v>
      </c>
      <c r="S490" s="154">
        <f>SUM(Q490:R490)</f>
        <v>0</v>
      </c>
      <c r="T490" s="154">
        <f t="shared" ref="T490:U490" si="574">T377</f>
        <v>0</v>
      </c>
      <c r="U490" s="154">
        <f t="shared" si="574"/>
        <v>0</v>
      </c>
      <c r="V490" s="159">
        <f>SUM(T490:U490)</f>
        <v>0</v>
      </c>
      <c r="W490" s="387">
        <f t="shared" si="569"/>
        <v>1</v>
      </c>
      <c r="X490" s="154">
        <f t="shared" si="570"/>
        <v>4</v>
      </c>
      <c r="Y490" s="129">
        <f t="shared" si="571"/>
        <v>5</v>
      </c>
      <c r="Z490" s="130"/>
      <c r="AA490" s="130"/>
      <c r="AB490" s="130"/>
      <c r="AC490" s="125"/>
      <c r="AE490" s="154"/>
      <c r="AF490" s="154"/>
      <c r="AG490" s="154"/>
      <c r="AH490" s="129"/>
      <c r="AI490" s="130"/>
      <c r="AJ490" s="12"/>
      <c r="AK490" s="154"/>
      <c r="AL490" s="154"/>
      <c r="AM490" s="154"/>
      <c r="AN490" s="129"/>
      <c r="AO490" s="130"/>
      <c r="AP490" s="12"/>
      <c r="AQ490" s="154"/>
      <c r="AR490" s="154"/>
      <c r="AS490" s="154"/>
      <c r="AT490" s="129"/>
      <c r="AU490" s="130"/>
      <c r="AV490" s="12"/>
      <c r="AW490" s="154"/>
      <c r="AX490" s="154"/>
      <c r="AY490" s="154"/>
      <c r="AZ490" s="129"/>
      <c r="BA490" s="130"/>
    </row>
    <row r="491" spans="1:53" s="117" customFormat="1" ht="17.100000000000001" customHeight="1" x14ac:dyDescent="0.25">
      <c r="A491" s="119"/>
      <c r="B491" s="119"/>
      <c r="C491" s="56" t="s">
        <v>277</v>
      </c>
      <c r="D491" s="427" t="s">
        <v>1007</v>
      </c>
      <c r="E491" s="428"/>
      <c r="F491" s="428"/>
      <c r="G491" s="428"/>
      <c r="H491" s="119"/>
      <c r="I491" s="97"/>
      <c r="J491" s="17"/>
      <c r="K491" s="17"/>
      <c r="L491" s="17"/>
      <c r="M491" s="17"/>
      <c r="N491" s="91">
        <f>IF(N489=0,0,N490/N489)</f>
        <v>1</v>
      </c>
      <c r="O491" s="91">
        <f t="shared" ref="O491:P491" si="575">IF(O489=0,0,O490/O489)</f>
        <v>0.8</v>
      </c>
      <c r="P491" s="91">
        <f t="shared" si="575"/>
        <v>0.83333333333333337</v>
      </c>
      <c r="Q491" s="91">
        <f>IF(Q489=0,0,Q490/Q489)</f>
        <v>0</v>
      </c>
      <c r="R491" s="91">
        <f t="shared" ref="R491:S491" si="576">IF(R489=0,0,R490/R489)</f>
        <v>0</v>
      </c>
      <c r="S491" s="91">
        <f t="shared" si="576"/>
        <v>0</v>
      </c>
      <c r="T491" s="91">
        <f>IF(T489=0,0,T490/T489)</f>
        <v>0</v>
      </c>
      <c r="U491" s="91">
        <f t="shared" ref="U491:V491" si="577">IF(U489=0,0,U490/U489)</f>
        <v>0</v>
      </c>
      <c r="V491" s="373">
        <f t="shared" si="577"/>
        <v>0</v>
      </c>
      <c r="W491" s="395">
        <f>IF(W489=0,0,W490/W489)</f>
        <v>0.25</v>
      </c>
      <c r="X491" s="91">
        <f t="shared" ref="X491:Y491" si="578">IF(X489=0,0,X490/X489)</f>
        <v>0.4</v>
      </c>
      <c r="Y491" s="91">
        <f t="shared" si="578"/>
        <v>0.35714285714285715</v>
      </c>
      <c r="Z491" s="84"/>
      <c r="AA491" s="84"/>
      <c r="AB491" s="84"/>
      <c r="AC491" s="84"/>
      <c r="AE491" s="17"/>
      <c r="AF491" s="17"/>
      <c r="AG491" s="17"/>
      <c r="AH491" s="568"/>
      <c r="AI491" s="84"/>
      <c r="AK491" s="17"/>
      <c r="AL491" s="17"/>
      <c r="AM491" s="17"/>
      <c r="AN491" s="568"/>
      <c r="AO491" s="84"/>
      <c r="AQ491" s="17"/>
      <c r="AR491" s="17"/>
      <c r="AS491" s="17"/>
      <c r="AT491" s="568"/>
      <c r="AU491" s="84"/>
      <c r="AW491" s="17"/>
      <c r="AX491" s="17"/>
      <c r="AY491" s="17"/>
      <c r="AZ491" s="568"/>
      <c r="BA491" s="84"/>
    </row>
    <row r="492" spans="1:53" s="173" customFormat="1" ht="17.100000000000001" customHeight="1" x14ac:dyDescent="0.25">
      <c r="A492" s="102"/>
      <c r="B492" s="102"/>
      <c r="C492" s="56" t="s">
        <v>279</v>
      </c>
      <c r="D492" s="85" t="s">
        <v>280</v>
      </c>
      <c r="E492" s="75"/>
      <c r="F492" s="75"/>
      <c r="G492" s="75"/>
      <c r="H492" s="540"/>
      <c r="I492" s="229"/>
      <c r="J492" s="181"/>
      <c r="K492" s="181"/>
      <c r="L492" s="181"/>
      <c r="M492" s="181"/>
      <c r="N492" s="181"/>
      <c r="O492" s="181"/>
      <c r="P492" s="181"/>
      <c r="Q492" s="181"/>
      <c r="R492" s="181"/>
      <c r="S492" s="181"/>
      <c r="T492" s="181"/>
      <c r="U492" s="181"/>
      <c r="V492" s="367"/>
      <c r="W492" s="392"/>
      <c r="X492" s="181"/>
      <c r="Y492" s="545"/>
      <c r="Z492" s="172"/>
      <c r="AA492" s="172"/>
      <c r="AB492" s="172"/>
      <c r="AC492" s="178"/>
      <c r="AE492" s="181"/>
      <c r="AF492" s="181"/>
      <c r="AG492" s="181"/>
      <c r="AH492" s="545"/>
      <c r="AI492" s="172"/>
      <c r="AJ492" s="12"/>
      <c r="AK492" s="181"/>
      <c r="AL492" s="181"/>
      <c r="AM492" s="181"/>
      <c r="AN492" s="545"/>
      <c r="AO492" s="172"/>
      <c r="AP492" s="12"/>
      <c r="AQ492" s="181"/>
      <c r="AR492" s="181"/>
      <c r="AS492" s="181"/>
      <c r="AT492" s="545"/>
      <c r="AU492" s="172"/>
      <c r="AV492" s="12"/>
      <c r="AW492" s="181"/>
      <c r="AX492" s="181"/>
      <c r="AY492" s="181"/>
      <c r="AZ492" s="545"/>
      <c r="BA492" s="172"/>
    </row>
    <row r="493" spans="1:53" s="173" customFormat="1" ht="17.100000000000001" customHeight="1" x14ac:dyDescent="0.25">
      <c r="A493" s="102"/>
      <c r="B493" s="102"/>
      <c r="C493" s="182"/>
      <c r="D493" s="127" t="s">
        <v>281</v>
      </c>
      <c r="E493" s="128"/>
      <c r="F493" s="128"/>
      <c r="G493" s="128"/>
      <c r="H493" s="119"/>
      <c r="I493" s="231"/>
      <c r="J493" s="154"/>
      <c r="K493" s="154"/>
      <c r="L493" s="154"/>
      <c r="M493" s="154"/>
      <c r="N493" s="154">
        <f>N402</f>
        <v>1</v>
      </c>
      <c r="O493" s="154">
        <f>O402</f>
        <v>4</v>
      </c>
      <c r="P493" s="154">
        <f t="shared" ref="P493:P500" si="579">SUM(N493:O493)</f>
        <v>5</v>
      </c>
      <c r="Q493" s="154">
        <f t="shared" ref="Q493:U497" si="580">Q402</f>
        <v>0</v>
      </c>
      <c r="R493" s="154">
        <f t="shared" si="580"/>
        <v>0</v>
      </c>
      <c r="S493" s="154">
        <f t="shared" ref="S493:S497" si="581">SUM(Q493:R493)</f>
        <v>0</v>
      </c>
      <c r="T493" s="154">
        <f t="shared" si="580"/>
        <v>0</v>
      </c>
      <c r="U493" s="154">
        <f t="shared" si="580"/>
        <v>0</v>
      </c>
      <c r="V493" s="154">
        <f t="shared" ref="V493:V497" si="582">SUM(T493:U493)</f>
        <v>0</v>
      </c>
      <c r="W493" s="387">
        <f t="shared" ref="W493:W500" si="583">J493+K493+N493+Q493+T493</f>
        <v>1</v>
      </c>
      <c r="X493" s="154">
        <f t="shared" ref="X493:X500" si="584">L493+O493+R493+U493</f>
        <v>4</v>
      </c>
      <c r="Y493" s="129">
        <f t="shared" ref="Y493:Y497" si="585">SUM(W493:X493)</f>
        <v>5</v>
      </c>
      <c r="Z493" s="130">
        <f t="shared" ref="Z493:Z498" si="586">IF(Y$498=0,0,Y493/Y$498)</f>
        <v>0.35714285714285715</v>
      </c>
      <c r="AA493" s="130"/>
      <c r="AB493" s="130"/>
      <c r="AC493" s="125"/>
      <c r="AE493" s="154">
        <f t="shared" ref="AE493:AG497" si="587">AE402</f>
        <v>0</v>
      </c>
      <c r="AF493" s="154">
        <f t="shared" si="587"/>
        <v>0</v>
      </c>
      <c r="AG493" s="154">
        <f t="shared" si="587"/>
        <v>0</v>
      </c>
      <c r="AH493" s="129">
        <f>SUM(AE493:AG493)</f>
        <v>0</v>
      </c>
      <c r="AI493" s="130">
        <f t="shared" ref="AI493:AI498" si="588">IF(AH$498=0,0,AH493/AH$498)</f>
        <v>0</v>
      </c>
      <c r="AJ493" s="12"/>
      <c r="AK493" s="154">
        <f t="shared" ref="AK493:AM497" si="589">AK402</f>
        <v>0</v>
      </c>
      <c r="AL493" s="154">
        <f t="shared" si="589"/>
        <v>0</v>
      </c>
      <c r="AM493" s="154">
        <f t="shared" si="589"/>
        <v>0</v>
      </c>
      <c r="AN493" s="129">
        <f>SUM(AK493:AM493)</f>
        <v>0</v>
      </c>
      <c r="AO493" s="130">
        <f t="shared" ref="AO493:AO498" si="590">IF(AN$498=0,0,AN493/AN$498)</f>
        <v>0</v>
      </c>
      <c r="AP493" s="12"/>
      <c r="AQ493" s="154"/>
      <c r="AR493" s="154"/>
      <c r="AS493" s="154"/>
      <c r="AT493" s="129"/>
      <c r="AU493" s="130"/>
      <c r="AV493" s="12"/>
      <c r="AW493" s="154">
        <f t="shared" ref="AW493:AY497" si="591">AW402</f>
        <v>0</v>
      </c>
      <c r="AX493" s="154">
        <f t="shared" si="591"/>
        <v>0</v>
      </c>
      <c r="AY493" s="154">
        <f t="shared" si="591"/>
        <v>0</v>
      </c>
      <c r="AZ493" s="129">
        <f>SUM(AW493:AY493)</f>
        <v>0</v>
      </c>
      <c r="BA493" s="130">
        <f t="shared" ref="BA493:BA498" si="592">IF(AZ$498=0,0,AZ493/AZ$498)</f>
        <v>0</v>
      </c>
    </row>
    <row r="494" spans="1:53" ht="17.100000000000001" customHeight="1" x14ac:dyDescent="0.25">
      <c r="A494" s="40"/>
      <c r="B494" s="40"/>
      <c r="C494" s="182"/>
      <c r="D494" s="127" t="s">
        <v>282</v>
      </c>
      <c r="E494" s="128"/>
      <c r="F494" s="128"/>
      <c r="G494" s="128"/>
      <c r="H494" s="119"/>
      <c r="I494" s="231"/>
      <c r="J494" s="154"/>
      <c r="K494" s="154"/>
      <c r="L494" s="154"/>
      <c r="M494" s="154"/>
      <c r="N494" s="154">
        <f t="shared" ref="N494:O497" si="593">N403</f>
        <v>0</v>
      </c>
      <c r="O494" s="154">
        <f t="shared" si="593"/>
        <v>1</v>
      </c>
      <c r="P494" s="154">
        <f t="shared" si="579"/>
        <v>1</v>
      </c>
      <c r="Q494" s="154">
        <f t="shared" si="580"/>
        <v>2</v>
      </c>
      <c r="R494" s="154">
        <f t="shared" si="580"/>
        <v>3</v>
      </c>
      <c r="S494" s="154">
        <f t="shared" si="581"/>
        <v>5</v>
      </c>
      <c r="T494" s="154">
        <f t="shared" si="580"/>
        <v>0</v>
      </c>
      <c r="U494" s="154">
        <f t="shared" si="580"/>
        <v>0</v>
      </c>
      <c r="V494" s="154">
        <f t="shared" si="582"/>
        <v>0</v>
      </c>
      <c r="W494" s="387">
        <f t="shared" si="583"/>
        <v>2</v>
      </c>
      <c r="X494" s="154">
        <f t="shared" si="584"/>
        <v>4</v>
      </c>
      <c r="Y494" s="129">
        <f t="shared" si="585"/>
        <v>6</v>
      </c>
      <c r="Z494" s="130">
        <f t="shared" si="586"/>
        <v>0.42857142857142855</v>
      </c>
      <c r="AA494" s="130"/>
      <c r="AB494" s="130"/>
      <c r="AC494" s="125"/>
      <c r="AE494" s="154">
        <f t="shared" si="587"/>
        <v>0</v>
      </c>
      <c r="AF494" s="154">
        <f t="shared" si="587"/>
        <v>0</v>
      </c>
      <c r="AG494" s="154">
        <f t="shared" si="587"/>
        <v>0</v>
      </c>
      <c r="AH494" s="129">
        <f>SUM(AE494:AG494)</f>
        <v>0</v>
      </c>
      <c r="AI494" s="130">
        <f t="shared" si="588"/>
        <v>0</v>
      </c>
      <c r="AK494" s="154">
        <f t="shared" si="589"/>
        <v>0</v>
      </c>
      <c r="AL494" s="154">
        <f t="shared" si="589"/>
        <v>0</v>
      </c>
      <c r="AM494" s="154">
        <f t="shared" si="589"/>
        <v>0</v>
      </c>
      <c r="AN494" s="129">
        <f>SUM(AK494:AM494)</f>
        <v>0</v>
      </c>
      <c r="AO494" s="130">
        <f t="shared" si="590"/>
        <v>0</v>
      </c>
      <c r="AQ494" s="154"/>
      <c r="AR494" s="154"/>
      <c r="AS494" s="154"/>
      <c r="AT494" s="129"/>
      <c r="AU494" s="130"/>
      <c r="AW494" s="154">
        <f t="shared" si="591"/>
        <v>0</v>
      </c>
      <c r="AX494" s="154">
        <f t="shared" si="591"/>
        <v>0</v>
      </c>
      <c r="AY494" s="154">
        <f t="shared" si="591"/>
        <v>0</v>
      </c>
      <c r="AZ494" s="129">
        <f>SUM(AW494:AY494)</f>
        <v>0</v>
      </c>
      <c r="BA494" s="130">
        <f t="shared" si="592"/>
        <v>0</v>
      </c>
    </row>
    <row r="495" spans="1:53" ht="17.100000000000001" customHeight="1" x14ac:dyDescent="0.25">
      <c r="A495" s="40"/>
      <c r="B495" s="40"/>
      <c r="C495" s="182"/>
      <c r="D495" s="127" t="s">
        <v>283</v>
      </c>
      <c r="E495" s="128"/>
      <c r="F495" s="128"/>
      <c r="G495" s="128"/>
      <c r="H495" s="119"/>
      <c r="I495" s="231"/>
      <c r="J495" s="154"/>
      <c r="K495" s="154"/>
      <c r="L495" s="154"/>
      <c r="M495" s="154"/>
      <c r="N495" s="154">
        <f t="shared" si="593"/>
        <v>0</v>
      </c>
      <c r="O495" s="154">
        <f t="shared" si="593"/>
        <v>0</v>
      </c>
      <c r="P495" s="154">
        <f t="shared" si="579"/>
        <v>0</v>
      </c>
      <c r="Q495" s="154">
        <f t="shared" si="580"/>
        <v>1</v>
      </c>
      <c r="R495" s="154">
        <f t="shared" si="580"/>
        <v>2</v>
      </c>
      <c r="S495" s="154">
        <f t="shared" si="581"/>
        <v>3</v>
      </c>
      <c r="T495" s="154">
        <f t="shared" si="580"/>
        <v>0</v>
      </c>
      <c r="U495" s="154">
        <f t="shared" si="580"/>
        <v>0</v>
      </c>
      <c r="V495" s="154">
        <f t="shared" si="582"/>
        <v>0</v>
      </c>
      <c r="W495" s="387">
        <f t="shared" si="583"/>
        <v>1</v>
      </c>
      <c r="X495" s="154">
        <f t="shared" si="584"/>
        <v>2</v>
      </c>
      <c r="Y495" s="129">
        <f t="shared" si="585"/>
        <v>3</v>
      </c>
      <c r="Z495" s="130">
        <f t="shared" si="586"/>
        <v>0.21428571428571427</v>
      </c>
      <c r="AA495" s="130"/>
      <c r="AB495" s="130"/>
      <c r="AC495" s="125"/>
      <c r="AE495" s="154">
        <f t="shared" si="587"/>
        <v>0</v>
      </c>
      <c r="AF495" s="154">
        <f t="shared" si="587"/>
        <v>0</v>
      </c>
      <c r="AG495" s="154">
        <f t="shared" si="587"/>
        <v>0</v>
      </c>
      <c r="AH495" s="129">
        <f>SUM(AE495:AG495)</f>
        <v>0</v>
      </c>
      <c r="AI495" s="130">
        <f t="shared" si="588"/>
        <v>0</v>
      </c>
      <c r="AK495" s="154">
        <f t="shared" si="589"/>
        <v>0</v>
      </c>
      <c r="AL495" s="154">
        <f t="shared" si="589"/>
        <v>0</v>
      </c>
      <c r="AM495" s="154">
        <f t="shared" si="589"/>
        <v>0</v>
      </c>
      <c r="AN495" s="129">
        <f>SUM(AK495:AM495)</f>
        <v>0</v>
      </c>
      <c r="AO495" s="130">
        <f t="shared" si="590"/>
        <v>0</v>
      </c>
      <c r="AQ495" s="154"/>
      <c r="AR495" s="154"/>
      <c r="AS495" s="154"/>
      <c r="AT495" s="129"/>
      <c r="AU495" s="130"/>
      <c r="AW495" s="154">
        <f t="shared" si="591"/>
        <v>0</v>
      </c>
      <c r="AX495" s="154">
        <f t="shared" si="591"/>
        <v>0</v>
      </c>
      <c r="AY495" s="154">
        <f t="shared" si="591"/>
        <v>0</v>
      </c>
      <c r="AZ495" s="129">
        <f>SUM(AW495:AY495)</f>
        <v>0</v>
      </c>
      <c r="BA495" s="130">
        <f t="shared" si="592"/>
        <v>0</v>
      </c>
    </row>
    <row r="496" spans="1:53" ht="17.100000000000001" customHeight="1" x14ac:dyDescent="0.25">
      <c r="A496" s="40"/>
      <c r="B496" s="40"/>
      <c r="C496" s="182"/>
      <c r="D496" s="127" t="s">
        <v>284</v>
      </c>
      <c r="E496" s="128"/>
      <c r="F496" s="128"/>
      <c r="G496" s="128"/>
      <c r="H496" s="119"/>
      <c r="I496" s="231"/>
      <c r="J496" s="154"/>
      <c r="K496" s="154"/>
      <c r="L496" s="154"/>
      <c r="M496" s="154"/>
      <c r="N496" s="154">
        <f t="shared" si="593"/>
        <v>0</v>
      </c>
      <c r="O496" s="154">
        <f t="shared" si="593"/>
        <v>0</v>
      </c>
      <c r="P496" s="154">
        <f t="shared" si="579"/>
        <v>0</v>
      </c>
      <c r="Q496" s="154">
        <f t="shared" si="580"/>
        <v>0</v>
      </c>
      <c r="R496" s="154">
        <f t="shared" si="580"/>
        <v>0</v>
      </c>
      <c r="S496" s="154">
        <f t="shared" si="581"/>
        <v>0</v>
      </c>
      <c r="T496" s="154">
        <f t="shared" si="580"/>
        <v>0</v>
      </c>
      <c r="U496" s="154">
        <f t="shared" si="580"/>
        <v>0</v>
      </c>
      <c r="V496" s="154">
        <f t="shared" si="582"/>
        <v>0</v>
      </c>
      <c r="W496" s="387">
        <f t="shared" si="583"/>
        <v>0</v>
      </c>
      <c r="X496" s="154">
        <f t="shared" si="584"/>
        <v>0</v>
      </c>
      <c r="Y496" s="129">
        <f t="shared" si="585"/>
        <v>0</v>
      </c>
      <c r="Z496" s="130">
        <f t="shared" si="586"/>
        <v>0</v>
      </c>
      <c r="AA496" s="130"/>
      <c r="AB496" s="130"/>
      <c r="AC496" s="125"/>
      <c r="AE496" s="154">
        <f t="shared" si="587"/>
        <v>0</v>
      </c>
      <c r="AF496" s="154">
        <f t="shared" si="587"/>
        <v>0</v>
      </c>
      <c r="AG496" s="154">
        <f t="shared" si="587"/>
        <v>0</v>
      </c>
      <c r="AH496" s="129">
        <f>SUM(AE496:AG496)</f>
        <v>0</v>
      </c>
      <c r="AI496" s="130">
        <f t="shared" si="588"/>
        <v>0</v>
      </c>
      <c r="AK496" s="154">
        <f t="shared" si="589"/>
        <v>0</v>
      </c>
      <c r="AL496" s="154">
        <f t="shared" si="589"/>
        <v>0</v>
      </c>
      <c r="AM496" s="154">
        <f t="shared" si="589"/>
        <v>0</v>
      </c>
      <c r="AN496" s="129">
        <f>SUM(AK496:AM496)</f>
        <v>0</v>
      </c>
      <c r="AO496" s="130">
        <f t="shared" si="590"/>
        <v>0</v>
      </c>
      <c r="AQ496" s="154"/>
      <c r="AR496" s="154"/>
      <c r="AS496" s="154"/>
      <c r="AT496" s="129"/>
      <c r="AU496" s="130"/>
      <c r="AW496" s="154">
        <f t="shared" si="591"/>
        <v>0</v>
      </c>
      <c r="AX496" s="154">
        <f t="shared" si="591"/>
        <v>0</v>
      </c>
      <c r="AY496" s="154">
        <f t="shared" si="591"/>
        <v>0</v>
      </c>
      <c r="AZ496" s="129">
        <f>SUM(AW496:AY496)</f>
        <v>0</v>
      </c>
      <c r="BA496" s="130">
        <f t="shared" si="592"/>
        <v>0</v>
      </c>
    </row>
    <row r="497" spans="1:53" ht="17.100000000000001" customHeight="1" x14ac:dyDescent="0.25">
      <c r="A497" s="40"/>
      <c r="B497" s="40"/>
      <c r="C497" s="182"/>
      <c r="D497" s="183" t="s">
        <v>129</v>
      </c>
      <c r="E497" s="128"/>
      <c r="F497" s="128"/>
      <c r="G497" s="128"/>
      <c r="H497" s="119"/>
      <c r="I497" s="231"/>
      <c r="J497" s="154"/>
      <c r="K497" s="154"/>
      <c r="L497" s="154"/>
      <c r="M497" s="154"/>
      <c r="N497" s="154">
        <f t="shared" si="593"/>
        <v>0</v>
      </c>
      <c r="O497" s="154">
        <f t="shared" si="593"/>
        <v>0</v>
      </c>
      <c r="P497" s="154">
        <f t="shared" si="579"/>
        <v>0</v>
      </c>
      <c r="Q497" s="154">
        <f t="shared" si="580"/>
        <v>0</v>
      </c>
      <c r="R497" s="154">
        <f t="shared" si="580"/>
        <v>0</v>
      </c>
      <c r="S497" s="154">
        <f t="shared" si="581"/>
        <v>0</v>
      </c>
      <c r="T497" s="154">
        <f t="shared" si="580"/>
        <v>0</v>
      </c>
      <c r="U497" s="154">
        <f t="shared" si="580"/>
        <v>0</v>
      </c>
      <c r="V497" s="154">
        <f t="shared" si="582"/>
        <v>0</v>
      </c>
      <c r="W497" s="387">
        <f t="shared" si="583"/>
        <v>0</v>
      </c>
      <c r="X497" s="154">
        <f t="shared" si="584"/>
        <v>0</v>
      </c>
      <c r="Y497" s="129">
        <f t="shared" si="585"/>
        <v>0</v>
      </c>
      <c r="Z497" s="130">
        <f t="shared" si="586"/>
        <v>0</v>
      </c>
      <c r="AA497" s="130"/>
      <c r="AB497" s="130"/>
      <c r="AC497" s="125"/>
      <c r="AE497" s="154">
        <f t="shared" si="587"/>
        <v>0</v>
      </c>
      <c r="AF497" s="154">
        <f t="shared" si="587"/>
        <v>0</v>
      </c>
      <c r="AG497" s="154">
        <f t="shared" si="587"/>
        <v>0</v>
      </c>
      <c r="AH497" s="129">
        <f>SUM(AE497:AG497)</f>
        <v>0</v>
      </c>
      <c r="AI497" s="130">
        <f t="shared" si="588"/>
        <v>0</v>
      </c>
      <c r="AK497" s="154">
        <f t="shared" si="589"/>
        <v>0</v>
      </c>
      <c r="AL497" s="154">
        <f t="shared" si="589"/>
        <v>0</v>
      </c>
      <c r="AM497" s="154">
        <f t="shared" si="589"/>
        <v>0</v>
      </c>
      <c r="AN497" s="129">
        <f>SUM(AK497:AM497)</f>
        <v>0</v>
      </c>
      <c r="AO497" s="130">
        <f t="shared" si="590"/>
        <v>0</v>
      </c>
      <c r="AQ497" s="154"/>
      <c r="AR497" s="154"/>
      <c r="AS497" s="154"/>
      <c r="AT497" s="129"/>
      <c r="AU497" s="130"/>
      <c r="AW497" s="154">
        <f t="shared" si="591"/>
        <v>0</v>
      </c>
      <c r="AX497" s="154">
        <f t="shared" si="591"/>
        <v>0</v>
      </c>
      <c r="AY497" s="154">
        <f t="shared" si="591"/>
        <v>0</v>
      </c>
      <c r="AZ497" s="129">
        <f>SUM(AW497:AY497)</f>
        <v>0</v>
      </c>
      <c r="BA497" s="130">
        <f t="shared" si="592"/>
        <v>0</v>
      </c>
    </row>
    <row r="498" spans="1:53" ht="17.100000000000001" customHeight="1" x14ac:dyDescent="0.25">
      <c r="A498" s="40"/>
      <c r="B498" s="40"/>
      <c r="C498" s="182"/>
      <c r="D498" s="127"/>
      <c r="E498" s="128"/>
      <c r="F498" s="128"/>
      <c r="G498" s="128"/>
      <c r="H498" s="119"/>
      <c r="I498" s="231"/>
      <c r="J498" s="154"/>
      <c r="K498" s="154"/>
      <c r="L498" s="154"/>
      <c r="M498" s="154"/>
      <c r="N498" s="154"/>
      <c r="O498" s="154"/>
      <c r="P498" s="154"/>
      <c r="Q498" s="154"/>
      <c r="R498" s="154"/>
      <c r="S498" s="154"/>
      <c r="T498" s="154"/>
      <c r="U498" s="154"/>
      <c r="V498" s="159"/>
      <c r="W498" s="387"/>
      <c r="X498" s="154"/>
      <c r="Y498" s="129">
        <f>SUM(Y493:Y497)</f>
        <v>14</v>
      </c>
      <c r="Z498" s="130">
        <f t="shared" si="586"/>
        <v>1</v>
      </c>
      <c r="AA498" s="130"/>
      <c r="AB498" s="130"/>
      <c r="AC498" s="125"/>
      <c r="AE498" s="160"/>
      <c r="AF498" s="160"/>
      <c r="AG498" s="160"/>
      <c r="AH498" s="129">
        <f>SUM(AH493:AH497)</f>
        <v>0</v>
      </c>
      <c r="AI498" s="130">
        <f t="shared" si="588"/>
        <v>0</v>
      </c>
      <c r="AK498" s="160"/>
      <c r="AL498" s="160"/>
      <c r="AM498" s="160"/>
      <c r="AN498" s="129">
        <f>SUM(AN493:AN497)</f>
        <v>0</v>
      </c>
      <c r="AO498" s="130">
        <f t="shared" si="590"/>
        <v>0</v>
      </c>
      <c r="AQ498" s="160"/>
      <c r="AR498" s="160"/>
      <c r="AS498" s="160"/>
      <c r="AT498" s="129"/>
      <c r="AU498" s="130"/>
      <c r="AW498" s="160"/>
      <c r="AX498" s="160"/>
      <c r="AY498" s="160"/>
      <c r="AZ498" s="129">
        <f>SUM(AZ493:AZ497)</f>
        <v>0</v>
      </c>
      <c r="BA498" s="130">
        <f t="shared" si="592"/>
        <v>0</v>
      </c>
    </row>
    <row r="499" spans="1:53" ht="17.100000000000001" customHeight="1" x14ac:dyDescent="0.25">
      <c r="A499" s="40"/>
      <c r="B499" s="40"/>
      <c r="C499" s="182"/>
      <c r="D499" s="127" t="s">
        <v>285</v>
      </c>
      <c r="E499" s="128"/>
      <c r="F499" s="128"/>
      <c r="G499" s="128"/>
      <c r="H499" s="119"/>
      <c r="I499" s="231"/>
      <c r="J499" s="154"/>
      <c r="K499" s="154"/>
      <c r="L499" s="154"/>
      <c r="M499" s="154"/>
      <c r="N499" s="154">
        <f>N493+N497</f>
        <v>1</v>
      </c>
      <c r="O499" s="154">
        <f>O493+O497</f>
        <v>4</v>
      </c>
      <c r="P499" s="154">
        <f t="shared" si="579"/>
        <v>5</v>
      </c>
      <c r="Q499" s="154">
        <f>Q493+Q497</f>
        <v>0</v>
      </c>
      <c r="R499" s="154">
        <f>R493+R497</f>
        <v>0</v>
      </c>
      <c r="S499" s="154">
        <f t="shared" ref="S499:S500" si="594">SUM(Q499:R499)</f>
        <v>0</v>
      </c>
      <c r="T499" s="154">
        <f>T493+T497</f>
        <v>0</v>
      </c>
      <c r="U499" s="154">
        <f>U493+U497</f>
        <v>0</v>
      </c>
      <c r="V499" s="154">
        <f t="shared" ref="V499:V500" si="595">SUM(T499:U499)</f>
        <v>0</v>
      </c>
      <c r="W499" s="387">
        <f t="shared" si="583"/>
        <v>1</v>
      </c>
      <c r="X499" s="154">
        <f t="shared" si="584"/>
        <v>4</v>
      </c>
      <c r="Y499" s="129">
        <f t="shared" ref="Y499:Y500" si="596">SUM(W499:X499)</f>
        <v>5</v>
      </c>
      <c r="Z499" s="130"/>
      <c r="AA499" s="130"/>
      <c r="AB499" s="130"/>
      <c r="AC499" s="125"/>
      <c r="AE499" s="160">
        <f>IF((AE493+AE497)&gt;0,1,0)</f>
        <v>0</v>
      </c>
      <c r="AF499" s="160">
        <f t="shared" ref="AF499:AG499" si="597">IF((AF493+AF497)&gt;0,1,0)</f>
        <v>0</v>
      </c>
      <c r="AG499" s="160">
        <f t="shared" si="597"/>
        <v>0</v>
      </c>
      <c r="AH499" s="129">
        <f>SUM(AE499:AG499)</f>
        <v>0</v>
      </c>
      <c r="AI499" s="130"/>
      <c r="AK499" s="160">
        <f>IF((AK493+AK497)&gt;0,1,0)</f>
        <v>0</v>
      </c>
      <c r="AL499" s="160">
        <f t="shared" ref="AL499:AM499" si="598">IF((AL493+AL497)&gt;0,1,0)</f>
        <v>0</v>
      </c>
      <c r="AM499" s="160">
        <f t="shared" si="598"/>
        <v>0</v>
      </c>
      <c r="AN499" s="129">
        <f>SUM(AK499:AM499)</f>
        <v>0</v>
      </c>
      <c r="AO499" s="130"/>
      <c r="AQ499" s="160"/>
      <c r="AR499" s="160"/>
      <c r="AS499" s="160"/>
      <c r="AT499" s="129"/>
      <c r="AU499" s="130"/>
      <c r="AW499" s="160">
        <f>IF((AW493+AW497)&gt;0,1,0)</f>
        <v>0</v>
      </c>
      <c r="AX499" s="160">
        <f t="shared" ref="AX499:AY499" si="599">IF((AX493+AX497)&gt;0,1,0)</f>
        <v>0</v>
      </c>
      <c r="AY499" s="160">
        <f t="shared" si="599"/>
        <v>0</v>
      </c>
      <c r="AZ499" s="129">
        <f>SUM(AW499:AY499)</f>
        <v>0</v>
      </c>
      <c r="BA499" s="130"/>
    </row>
    <row r="500" spans="1:53" s="409" customFormat="1" ht="17.100000000000001" customHeight="1" x14ac:dyDescent="0.25">
      <c r="A500" s="540"/>
      <c r="B500" s="540"/>
      <c r="C500" s="56" t="s">
        <v>279</v>
      </c>
      <c r="D500" s="427" t="s">
        <v>286</v>
      </c>
      <c r="E500" s="93"/>
      <c r="F500" s="93"/>
      <c r="G500" s="93"/>
      <c r="H500" s="540"/>
      <c r="I500" s="12"/>
      <c r="J500" s="539"/>
      <c r="K500" s="539"/>
      <c r="L500" s="539"/>
      <c r="M500" s="539"/>
      <c r="N500" s="353">
        <f>SUM(N494:N496)</f>
        <v>0</v>
      </c>
      <c r="O500" s="353">
        <f>SUM(O494:O496)</f>
        <v>1</v>
      </c>
      <c r="P500" s="155">
        <f t="shared" si="579"/>
        <v>1</v>
      </c>
      <c r="Q500" s="353">
        <f>SUM(Q494:Q496)</f>
        <v>3</v>
      </c>
      <c r="R500" s="353">
        <f>SUM(R494:R496)</f>
        <v>5</v>
      </c>
      <c r="S500" s="155">
        <f t="shared" si="594"/>
        <v>8</v>
      </c>
      <c r="T500" s="353">
        <f>SUM(T494:T496)</f>
        <v>0</v>
      </c>
      <c r="U500" s="353">
        <f>SUM(U494:U496)</f>
        <v>0</v>
      </c>
      <c r="V500" s="155">
        <f t="shared" si="595"/>
        <v>0</v>
      </c>
      <c r="W500" s="388">
        <f t="shared" si="583"/>
        <v>3</v>
      </c>
      <c r="X500" s="155">
        <f t="shared" si="584"/>
        <v>6</v>
      </c>
      <c r="Y500" s="539">
        <f t="shared" si="596"/>
        <v>9</v>
      </c>
      <c r="Z500" s="23"/>
      <c r="AA500" s="23"/>
      <c r="AB500" s="23"/>
      <c r="AC500" s="23"/>
      <c r="AE500" s="539">
        <f>IF(SUM(AE494:AE496)&gt;0,1,0)</f>
        <v>0</v>
      </c>
      <c r="AF500" s="539">
        <f t="shared" ref="AF500:AG500" si="600">IF(SUM(AF494:AF496)&gt;0,1,0)</f>
        <v>0</v>
      </c>
      <c r="AG500" s="539">
        <f t="shared" si="600"/>
        <v>0</v>
      </c>
      <c r="AH500" s="568">
        <f>SUM(AE500:AG500)</f>
        <v>0</v>
      </c>
      <c r="AI500" s="23"/>
      <c r="AK500" s="539">
        <f>IF(SUM(AK494:AK496)&gt;0,1,0)</f>
        <v>0</v>
      </c>
      <c r="AL500" s="539">
        <f t="shared" ref="AL500:AM500" si="601">IF(SUM(AL494:AL496)&gt;0,1,0)</f>
        <v>0</v>
      </c>
      <c r="AM500" s="539">
        <f t="shared" si="601"/>
        <v>0</v>
      </c>
      <c r="AN500" s="568">
        <f>SUM(AK500:AM500)</f>
        <v>0</v>
      </c>
      <c r="AO500" s="23"/>
      <c r="AQ500" s="539"/>
      <c r="AR500" s="539"/>
      <c r="AS500" s="539"/>
      <c r="AT500" s="568"/>
      <c r="AU500" s="23"/>
      <c r="AW500" s="539">
        <f>IF(SUM(AW494:AW496)&gt;0,1,0)</f>
        <v>0</v>
      </c>
      <c r="AX500" s="539">
        <f t="shared" ref="AX500:AY500" si="602">IF(SUM(AX494:AX496)&gt;0,1,0)</f>
        <v>0</v>
      </c>
      <c r="AY500" s="539">
        <f t="shared" si="602"/>
        <v>0</v>
      </c>
      <c r="AZ500" s="568">
        <f>SUM(AW500:AY500)</f>
        <v>0</v>
      </c>
      <c r="BA500" s="23"/>
    </row>
    <row r="501" spans="1:53" s="97" customFormat="1" ht="17.100000000000001" customHeight="1" x14ac:dyDescent="0.25">
      <c r="A501" s="68"/>
      <c r="B501" s="68"/>
      <c r="C501" s="186"/>
      <c r="D501" s="165"/>
      <c r="E501" s="187"/>
      <c r="F501" s="187"/>
      <c r="G501" s="187"/>
      <c r="H501" s="540"/>
      <c r="I501" s="207"/>
      <c r="J501" s="95"/>
      <c r="K501" s="95"/>
      <c r="L501" s="95"/>
      <c r="M501" s="95"/>
      <c r="N501" s="95"/>
      <c r="O501" s="95"/>
      <c r="P501" s="95"/>
      <c r="Q501" s="95"/>
      <c r="R501" s="95"/>
      <c r="S501" s="95"/>
      <c r="T501" s="95"/>
      <c r="U501" s="95"/>
      <c r="V501" s="95"/>
      <c r="W501" s="378"/>
      <c r="X501" s="95"/>
      <c r="Y501" s="96"/>
      <c r="AE501" s="109"/>
      <c r="AF501" s="109"/>
      <c r="AG501" s="109"/>
      <c r="AH501" s="96"/>
      <c r="AK501" s="109"/>
      <c r="AL501" s="109"/>
      <c r="AM501" s="109"/>
      <c r="AN501" s="96"/>
      <c r="AQ501" s="109"/>
      <c r="AR501" s="109"/>
      <c r="AS501" s="109"/>
      <c r="AT501" s="96"/>
      <c r="AW501" s="109"/>
      <c r="AX501" s="109"/>
      <c r="AY501" s="109"/>
      <c r="AZ501" s="96"/>
    </row>
    <row r="502" spans="1:53" s="32" customFormat="1" ht="16.5" thickBot="1" x14ac:dyDescent="0.3">
      <c r="A502" s="24" t="s">
        <v>287</v>
      </c>
      <c r="B502" s="25" t="s">
        <v>288</v>
      </c>
      <c r="C502" s="26"/>
      <c r="D502" s="27"/>
      <c r="E502" s="27"/>
      <c r="F502" s="27"/>
      <c r="G502" s="27"/>
      <c r="H502" s="264"/>
      <c r="I502" s="228"/>
      <c r="J502" s="140"/>
      <c r="K502" s="140"/>
      <c r="L502" s="140"/>
      <c r="M502" s="140"/>
      <c r="N502" s="140"/>
      <c r="O502" s="140"/>
      <c r="P502" s="140"/>
      <c r="Q502" s="140"/>
      <c r="R502" s="140"/>
      <c r="S502" s="140"/>
      <c r="T502" s="140"/>
      <c r="U502" s="140"/>
      <c r="V502" s="365"/>
      <c r="W502" s="379"/>
      <c r="X502" s="140"/>
      <c r="Y502" s="30" t="s">
        <v>4</v>
      </c>
      <c r="Z502" s="30" t="s">
        <v>5</v>
      </c>
      <c r="AA502" s="30"/>
      <c r="AB502" s="30"/>
      <c r="AC502" s="188"/>
      <c r="AE502" s="33" t="s">
        <v>181</v>
      </c>
      <c r="AF502" s="33" t="s">
        <v>182</v>
      </c>
      <c r="AG502" s="33" t="s">
        <v>6</v>
      </c>
      <c r="AH502" s="33" t="s">
        <v>4</v>
      </c>
      <c r="AI502" s="34" t="s">
        <v>5</v>
      </c>
      <c r="AJ502" s="408"/>
      <c r="AK502" s="36" t="s">
        <v>181</v>
      </c>
      <c r="AL502" s="36" t="s">
        <v>182</v>
      </c>
      <c r="AM502" s="36" t="s">
        <v>6</v>
      </c>
      <c r="AN502" s="36" t="s">
        <v>4</v>
      </c>
      <c r="AO502" s="37" t="s">
        <v>5</v>
      </c>
      <c r="AP502" s="408"/>
      <c r="AQ502" s="36"/>
      <c r="AR502" s="36"/>
      <c r="AS502" s="36"/>
      <c r="AT502" s="36"/>
      <c r="AU502" s="37"/>
      <c r="AV502" s="408"/>
      <c r="AW502" s="38" t="s">
        <v>181</v>
      </c>
      <c r="AX502" s="38" t="s">
        <v>182</v>
      </c>
      <c r="AY502" s="38" t="s">
        <v>6</v>
      </c>
      <c r="AZ502" s="38" t="s">
        <v>4</v>
      </c>
      <c r="BA502" s="39" t="s">
        <v>5</v>
      </c>
    </row>
    <row r="503" spans="1:53" ht="17.100000000000001" customHeight="1" x14ac:dyDescent="0.25">
      <c r="A503" s="68"/>
      <c r="B503" s="41" t="s">
        <v>289</v>
      </c>
      <c r="C503" s="69" t="s">
        <v>620</v>
      </c>
      <c r="D503" s="50"/>
      <c r="E503" s="70"/>
      <c r="F503" s="70"/>
      <c r="G503" s="70"/>
      <c r="H503" s="119"/>
      <c r="J503" s="71"/>
      <c r="K503" s="71"/>
      <c r="L503" s="71"/>
      <c r="M503" s="71"/>
      <c r="N503" s="71"/>
      <c r="O503" s="71"/>
      <c r="P503" s="71"/>
      <c r="Q503" s="71"/>
      <c r="R503" s="71"/>
      <c r="S503" s="71"/>
      <c r="T503" s="71"/>
      <c r="U503" s="71"/>
      <c r="V503" s="355"/>
      <c r="W503" s="377"/>
      <c r="X503" s="71"/>
      <c r="Y503" s="72"/>
      <c r="Z503" s="73"/>
      <c r="AA503" s="73"/>
      <c r="AB503" s="73"/>
      <c r="AC503" s="73"/>
      <c r="AE503" s="71"/>
      <c r="AF503" s="71"/>
      <c r="AG503" s="71"/>
      <c r="AH503" s="72"/>
      <c r="AI503" s="73"/>
      <c r="AK503" s="71"/>
      <c r="AL503" s="71"/>
      <c r="AM503" s="71"/>
      <c r="AN503" s="72"/>
      <c r="AO503" s="73"/>
      <c r="AQ503" s="71"/>
      <c r="AR503" s="71"/>
      <c r="AS503" s="71"/>
      <c r="AT503" s="72"/>
      <c r="AU503" s="73"/>
      <c r="AW503" s="71"/>
      <c r="AX503" s="71"/>
      <c r="AY503" s="71"/>
      <c r="AZ503" s="72"/>
      <c r="BA503" s="73"/>
    </row>
    <row r="504" spans="1:53" ht="17.100000000000001" customHeight="1" x14ac:dyDescent="0.25">
      <c r="A504" s="40"/>
      <c r="B504" s="40"/>
      <c r="C504" s="74" t="s">
        <v>291</v>
      </c>
      <c r="D504" s="75" t="s">
        <v>292</v>
      </c>
      <c r="E504" s="105"/>
      <c r="F504" s="75"/>
      <c r="G504" s="75"/>
      <c r="H504" s="540"/>
      <c r="I504" s="229"/>
      <c r="J504" s="111"/>
      <c r="K504" s="111"/>
      <c r="L504" s="111"/>
      <c r="M504" s="111"/>
      <c r="N504" s="60"/>
      <c r="O504" s="60"/>
      <c r="P504" s="17">
        <f t="shared" ref="P504:P507" si="603">SUM(N504:O504)</f>
        <v>0</v>
      </c>
      <c r="Q504" s="60"/>
      <c r="R504" s="60"/>
      <c r="S504" s="17">
        <f t="shared" ref="S504:S507" si="604">SUM(Q504:R504)</f>
        <v>0</v>
      </c>
      <c r="T504" s="60"/>
      <c r="U504" s="60"/>
      <c r="V504" s="359">
        <f t="shared" ref="V504:V507" si="605">SUM(T504:U504)</f>
        <v>0</v>
      </c>
      <c r="W504" s="391">
        <f t="shared" ref="W504:W507" si="606">J504+K504+N504+Q504+T504</f>
        <v>0</v>
      </c>
      <c r="X504" s="17">
        <f t="shared" ref="X504:X507" si="607">L504+O504+R504+U504</f>
        <v>0</v>
      </c>
      <c r="Y504" s="18">
        <f>SUM(W504:X504)</f>
        <v>0</v>
      </c>
      <c r="Z504" s="19">
        <f>IF(Y$508=0,0,Y504/Y$508)</f>
        <v>0</v>
      </c>
      <c r="AA504" s="19"/>
      <c r="AB504" s="19"/>
      <c r="AC504" s="20"/>
      <c r="AE504" s="111"/>
      <c r="AF504" s="111"/>
      <c r="AG504" s="111"/>
      <c r="AH504" s="112"/>
      <c r="AI504" s="113"/>
      <c r="AK504" s="111"/>
      <c r="AL504" s="111"/>
      <c r="AM504" s="111"/>
      <c r="AN504" s="112"/>
      <c r="AO504" s="113"/>
      <c r="AQ504" s="17"/>
      <c r="AR504" s="17"/>
      <c r="AS504" s="17"/>
      <c r="AT504" s="18">
        <f t="shared" ref="AT504:AT507" si="608">W504</f>
        <v>0</v>
      </c>
      <c r="AU504" s="19">
        <f>IF(AT$508=0,0,AT504/AT$508)</f>
        <v>0</v>
      </c>
      <c r="AW504" s="17"/>
      <c r="AX504" s="17"/>
      <c r="AY504" s="17"/>
      <c r="AZ504" s="18">
        <f t="shared" ref="AZ504:AZ507" si="609">X504</f>
        <v>0</v>
      </c>
      <c r="BA504" s="19">
        <f>IF(AZ$508=0,0,AZ504/AZ$508)</f>
        <v>0</v>
      </c>
    </row>
    <row r="505" spans="1:53" ht="17.100000000000001" customHeight="1" x14ac:dyDescent="0.25">
      <c r="A505" s="40"/>
      <c r="B505" s="40"/>
      <c r="C505" s="74" t="s">
        <v>293</v>
      </c>
      <c r="D505" s="75" t="s">
        <v>11</v>
      </c>
      <c r="E505" s="105"/>
      <c r="F505" s="75"/>
      <c r="G505" s="75"/>
      <c r="H505" s="540"/>
      <c r="I505" s="229"/>
      <c r="J505" s="111"/>
      <c r="K505" s="111"/>
      <c r="L505" s="111"/>
      <c r="M505" s="111"/>
      <c r="N505" s="61">
        <v>1</v>
      </c>
      <c r="O505" s="61">
        <v>4</v>
      </c>
      <c r="P505" s="17">
        <f t="shared" si="603"/>
        <v>5</v>
      </c>
      <c r="Q505" s="61"/>
      <c r="R505" s="61"/>
      <c r="S505" s="17">
        <f t="shared" si="604"/>
        <v>0</v>
      </c>
      <c r="T505" s="61"/>
      <c r="U505" s="61"/>
      <c r="V505" s="359">
        <f t="shared" si="605"/>
        <v>0</v>
      </c>
      <c r="W505" s="391">
        <f t="shared" si="606"/>
        <v>1</v>
      </c>
      <c r="X505" s="17">
        <f t="shared" si="607"/>
        <v>4</v>
      </c>
      <c r="Y505" s="18">
        <f>SUM(W505:X505)</f>
        <v>5</v>
      </c>
      <c r="Z505" s="19">
        <f t="shared" ref="Z505:Z508" si="610">IF(Y$508=0,0,Y505/Y$508)</f>
        <v>0.35714285714285715</v>
      </c>
      <c r="AA505" s="19"/>
      <c r="AB505" s="19"/>
      <c r="AC505" s="20"/>
      <c r="AE505" s="111"/>
      <c r="AF505" s="111"/>
      <c r="AG505" s="111"/>
      <c r="AH505" s="112"/>
      <c r="AI505" s="113"/>
      <c r="AK505" s="111"/>
      <c r="AL505" s="111"/>
      <c r="AM505" s="111"/>
      <c r="AN505" s="112"/>
      <c r="AO505" s="113"/>
      <c r="AQ505" s="17"/>
      <c r="AR505" s="17"/>
      <c r="AS505" s="17"/>
      <c r="AT505" s="18">
        <f t="shared" si="608"/>
        <v>1</v>
      </c>
      <c r="AU505" s="19">
        <f>IF(AT$508=0,0,AT505/AT$508)</f>
        <v>0.25</v>
      </c>
      <c r="AW505" s="17"/>
      <c r="AX505" s="17"/>
      <c r="AY505" s="17"/>
      <c r="AZ505" s="18">
        <f t="shared" si="609"/>
        <v>4</v>
      </c>
      <c r="BA505" s="19">
        <f>IF(AZ$508=0,0,AZ505/AZ$508)</f>
        <v>0.4</v>
      </c>
    </row>
    <row r="506" spans="1:53" ht="17.100000000000001" customHeight="1" x14ac:dyDescent="0.25">
      <c r="A506" s="40"/>
      <c r="B506" s="40"/>
      <c r="C506" s="74" t="s">
        <v>294</v>
      </c>
      <c r="D506" s="75" t="s">
        <v>295</v>
      </c>
      <c r="E506" s="105"/>
      <c r="F506" s="75"/>
      <c r="G506" s="75"/>
      <c r="H506" s="540"/>
      <c r="I506" s="229"/>
      <c r="J506" s="111"/>
      <c r="K506" s="111"/>
      <c r="L506" s="111"/>
      <c r="M506" s="111"/>
      <c r="N506" s="60"/>
      <c r="O506" s="60"/>
      <c r="P506" s="17">
        <f t="shared" si="603"/>
        <v>0</v>
      </c>
      <c r="Q506" s="60">
        <v>1</v>
      </c>
      <c r="R506" s="60">
        <v>1</v>
      </c>
      <c r="S506" s="17">
        <f t="shared" si="604"/>
        <v>2</v>
      </c>
      <c r="T506" s="60"/>
      <c r="U506" s="60"/>
      <c r="V506" s="359">
        <f t="shared" si="605"/>
        <v>0</v>
      </c>
      <c r="W506" s="391">
        <f t="shared" si="606"/>
        <v>1</v>
      </c>
      <c r="X506" s="17">
        <f t="shared" si="607"/>
        <v>1</v>
      </c>
      <c r="Y506" s="18">
        <f>SUM(W506:X506)</f>
        <v>2</v>
      </c>
      <c r="Z506" s="19">
        <f t="shared" si="610"/>
        <v>0.14285714285714285</v>
      </c>
      <c r="AA506" s="19"/>
      <c r="AB506" s="19"/>
      <c r="AC506" s="20"/>
      <c r="AE506" s="111"/>
      <c r="AF506" s="111"/>
      <c r="AG506" s="111"/>
      <c r="AH506" s="112"/>
      <c r="AI506" s="113"/>
      <c r="AK506" s="111"/>
      <c r="AL506" s="111"/>
      <c r="AM506" s="111"/>
      <c r="AN506" s="112"/>
      <c r="AO506" s="113"/>
      <c r="AQ506" s="17"/>
      <c r="AR506" s="17"/>
      <c r="AS506" s="17"/>
      <c r="AT506" s="18">
        <f t="shared" si="608"/>
        <v>1</v>
      </c>
      <c r="AU506" s="19">
        <f>IF(AT$508=0,0,AT506/AT$508)</f>
        <v>0.25</v>
      </c>
      <c r="AW506" s="17"/>
      <c r="AX506" s="17"/>
      <c r="AY506" s="17"/>
      <c r="AZ506" s="18">
        <f t="shared" si="609"/>
        <v>1</v>
      </c>
      <c r="BA506" s="19">
        <f>IF(AZ$508=0,0,AZ506/AZ$508)</f>
        <v>0.1</v>
      </c>
    </row>
    <row r="507" spans="1:53" ht="17.100000000000001" customHeight="1" x14ac:dyDescent="0.25">
      <c r="A507" s="40"/>
      <c r="B507" s="40"/>
      <c r="C507" s="74" t="s">
        <v>296</v>
      </c>
      <c r="D507" s="75" t="s">
        <v>9</v>
      </c>
      <c r="E507" s="105"/>
      <c r="F507" s="75"/>
      <c r="G507" s="75"/>
      <c r="H507" s="540"/>
      <c r="I507" s="229"/>
      <c r="J507" s="111"/>
      <c r="K507" s="111"/>
      <c r="L507" s="111"/>
      <c r="M507" s="111"/>
      <c r="N507" s="61"/>
      <c r="O507" s="61">
        <v>1</v>
      </c>
      <c r="P507" s="17">
        <f t="shared" si="603"/>
        <v>1</v>
      </c>
      <c r="Q507" s="61">
        <v>2</v>
      </c>
      <c r="R507" s="61">
        <v>4</v>
      </c>
      <c r="S507" s="17">
        <f t="shared" si="604"/>
        <v>6</v>
      </c>
      <c r="T507" s="61"/>
      <c r="U507" s="61"/>
      <c r="V507" s="359">
        <f t="shared" si="605"/>
        <v>0</v>
      </c>
      <c r="W507" s="391">
        <f t="shared" si="606"/>
        <v>2</v>
      </c>
      <c r="X507" s="17">
        <f t="shared" si="607"/>
        <v>5</v>
      </c>
      <c r="Y507" s="18">
        <f>SUM(W507:X507)</f>
        <v>7</v>
      </c>
      <c r="Z507" s="19">
        <f t="shared" si="610"/>
        <v>0.5</v>
      </c>
      <c r="AA507" s="19"/>
      <c r="AB507" s="19"/>
      <c r="AC507" s="20"/>
      <c r="AE507" s="111"/>
      <c r="AF507" s="111"/>
      <c r="AG507" s="111"/>
      <c r="AH507" s="112"/>
      <c r="AI507" s="113"/>
      <c r="AK507" s="111"/>
      <c r="AL507" s="111"/>
      <c r="AM507" s="111"/>
      <c r="AN507" s="112"/>
      <c r="AO507" s="113"/>
      <c r="AQ507" s="17"/>
      <c r="AR507" s="17"/>
      <c r="AS507" s="17"/>
      <c r="AT507" s="18">
        <f t="shared" si="608"/>
        <v>2</v>
      </c>
      <c r="AU507" s="19">
        <f>IF(AT$508=0,0,AT507/AT$508)</f>
        <v>0.5</v>
      </c>
      <c r="AW507" s="17"/>
      <c r="AX507" s="17"/>
      <c r="AY507" s="17"/>
      <c r="AZ507" s="18">
        <f t="shared" si="609"/>
        <v>5</v>
      </c>
      <c r="BA507" s="19">
        <f>IF(AZ$508=0,0,AZ507/AZ$508)</f>
        <v>0.5</v>
      </c>
    </row>
    <row r="508" spans="1:53" ht="17.100000000000001" customHeight="1" x14ac:dyDescent="0.25">
      <c r="A508" s="40"/>
      <c r="B508" s="40"/>
      <c r="C508" s="292"/>
      <c r="D508" s="134"/>
      <c r="E508" s="134"/>
      <c r="F508" s="134"/>
      <c r="G508" s="134"/>
      <c r="H508" s="540"/>
      <c r="I508" s="229"/>
      <c r="J508" s="80"/>
      <c r="K508" s="80"/>
      <c r="L508" s="81"/>
      <c r="M508" s="81"/>
      <c r="N508" s="81">
        <f>SUM(N504:N507)</f>
        <v>1</v>
      </c>
      <c r="O508" s="81">
        <f t="shared" ref="O508:V508" si="611">SUM(O504:O507)</f>
        <v>5</v>
      </c>
      <c r="P508" s="81">
        <f t="shared" si="611"/>
        <v>6</v>
      </c>
      <c r="Q508" s="81">
        <f t="shared" si="611"/>
        <v>3</v>
      </c>
      <c r="R508" s="81">
        <f t="shared" si="611"/>
        <v>5</v>
      </c>
      <c r="S508" s="81">
        <f t="shared" si="611"/>
        <v>8</v>
      </c>
      <c r="T508" s="81">
        <f t="shared" si="611"/>
        <v>0</v>
      </c>
      <c r="U508" s="81">
        <f t="shared" si="611"/>
        <v>0</v>
      </c>
      <c r="V508" s="81">
        <f t="shared" si="611"/>
        <v>0</v>
      </c>
      <c r="W508" s="381">
        <f>SUM(W504:W507)</f>
        <v>4</v>
      </c>
      <c r="X508" s="82">
        <f t="shared" ref="X508:Y508" si="612">SUM(X504:X507)</f>
        <v>10</v>
      </c>
      <c r="Y508" s="82">
        <f t="shared" si="612"/>
        <v>14</v>
      </c>
      <c r="Z508" s="205">
        <f t="shared" si="610"/>
        <v>1</v>
      </c>
      <c r="AA508" s="205"/>
      <c r="AB508" s="205"/>
      <c r="AC508" s="83"/>
      <c r="AE508" s="80"/>
      <c r="AF508" s="80"/>
      <c r="AG508" s="81"/>
      <c r="AH508" s="82"/>
      <c r="AI508" s="66"/>
      <c r="AK508" s="80"/>
      <c r="AL508" s="80"/>
      <c r="AM508" s="81"/>
      <c r="AN508" s="82"/>
      <c r="AO508" s="66"/>
      <c r="AQ508" s="80"/>
      <c r="AR508" s="80"/>
      <c r="AS508" s="81"/>
      <c r="AT508" s="82">
        <f>SUM(AT504:AT507)</f>
        <v>4</v>
      </c>
      <c r="AU508" s="66">
        <f>IF(AT$508=0,0,AT508/AT$508)</f>
        <v>1</v>
      </c>
      <c r="AW508" s="80"/>
      <c r="AX508" s="80"/>
      <c r="AY508" s="81"/>
      <c r="AZ508" s="82">
        <f>SUM(AZ504:AZ507)</f>
        <v>10</v>
      </c>
      <c r="BA508" s="66">
        <f>IF(AZ$508=0,0,AZ508/AZ$508)</f>
        <v>1</v>
      </c>
    </row>
    <row r="509" spans="1:53" s="117" customFormat="1" ht="17.100000000000001" customHeight="1" x14ac:dyDescent="0.25">
      <c r="A509" s="68"/>
      <c r="B509" s="119"/>
      <c r="C509" s="540"/>
      <c r="D509" s="261"/>
      <c r="E509" s="261"/>
      <c r="F509" s="68"/>
      <c r="G509" s="68"/>
      <c r="H509" s="119"/>
      <c r="I509" s="138"/>
      <c r="J509" s="17"/>
      <c r="K509" s="17"/>
      <c r="L509" s="17"/>
      <c r="M509" s="17"/>
      <c r="N509" s="17" t="str">
        <f>IF(N508=N$20,"OK","NOK")</f>
        <v>OK</v>
      </c>
      <c r="O509" s="17" t="str">
        <f>IF(O508=O$20,"OK","NOK")</f>
        <v>OK</v>
      </c>
      <c r="P509" s="17"/>
      <c r="Q509" s="17" t="str">
        <f>IF(Q508=Q$20,"OK","NOK")</f>
        <v>OK</v>
      </c>
      <c r="R509" s="17" t="str">
        <f>IF(R508=R$20,"OK","NOK")</f>
        <v>OK</v>
      </c>
      <c r="S509" s="17"/>
      <c r="T509" s="17" t="str">
        <f>IF(T508=T$20,"OK","NOK")</f>
        <v>OK</v>
      </c>
      <c r="U509" s="17" t="str">
        <f>IF(U508=U$20,"OK","NOK")</f>
        <v>OK</v>
      </c>
      <c r="V509" s="359"/>
      <c r="W509" s="382"/>
      <c r="X509" s="539"/>
      <c r="Y509" s="539"/>
      <c r="Z509" s="201"/>
      <c r="AA509" s="201"/>
      <c r="AB509" s="201"/>
      <c r="AC509" s="84"/>
      <c r="AE509" s="46"/>
      <c r="AF509" s="46"/>
      <c r="AG509" s="17"/>
      <c r="AH509" s="539"/>
      <c r="AI509" s="91"/>
      <c r="AK509" s="46"/>
      <c r="AL509" s="46"/>
      <c r="AM509" s="17"/>
      <c r="AN509" s="539"/>
      <c r="AO509" s="91"/>
      <c r="AQ509" s="46"/>
      <c r="AR509" s="46"/>
      <c r="AS509" s="17"/>
      <c r="AT509" s="539"/>
      <c r="AU509" s="91"/>
      <c r="AW509" s="46"/>
      <c r="AX509" s="46"/>
      <c r="AY509" s="17"/>
      <c r="AZ509" s="539"/>
      <c r="BA509" s="91"/>
    </row>
    <row r="510" spans="1:53" ht="17.100000000000001" customHeight="1" x14ac:dyDescent="0.25">
      <c r="A510" s="68"/>
      <c r="B510" s="41" t="s">
        <v>297</v>
      </c>
      <c r="C510" s="69" t="s">
        <v>290</v>
      </c>
      <c r="D510" s="50"/>
      <c r="E510" s="70"/>
      <c r="F510" s="70"/>
      <c r="G510" s="70"/>
      <c r="H510" s="119"/>
      <c r="J510" s="71"/>
      <c r="K510" s="71"/>
      <c r="L510" s="71"/>
      <c r="M510" s="71"/>
      <c r="N510" s="71"/>
      <c r="O510" s="71"/>
      <c r="P510" s="71"/>
      <c r="Q510" s="71"/>
      <c r="R510" s="71"/>
      <c r="S510" s="71"/>
      <c r="T510" s="71"/>
      <c r="U510" s="71"/>
      <c r="V510" s="355"/>
      <c r="W510" s="377"/>
      <c r="X510" s="71"/>
      <c r="Y510" s="72"/>
      <c r="Z510" s="73"/>
      <c r="AA510" s="73"/>
      <c r="AB510" s="73"/>
      <c r="AC510" s="73"/>
      <c r="AE510" s="71"/>
      <c r="AF510" s="71"/>
      <c r="AG510" s="71"/>
      <c r="AH510" s="72"/>
      <c r="AI510" s="73"/>
      <c r="AK510" s="71"/>
      <c r="AL510" s="71"/>
      <c r="AM510" s="71"/>
      <c r="AN510" s="72"/>
      <c r="AO510" s="73"/>
      <c r="AQ510" s="71"/>
      <c r="AR510" s="71"/>
      <c r="AS510" s="71"/>
      <c r="AT510" s="72"/>
      <c r="AU510" s="73"/>
      <c r="AW510" s="71"/>
      <c r="AX510" s="71"/>
      <c r="AY510" s="71"/>
      <c r="AZ510" s="72"/>
      <c r="BA510" s="73"/>
    </row>
    <row r="511" spans="1:53" ht="17.100000000000001" customHeight="1" x14ac:dyDescent="0.25">
      <c r="A511" s="40"/>
      <c r="B511" s="40"/>
      <c r="C511" s="74" t="s">
        <v>298</v>
      </c>
      <c r="D511" s="75" t="s">
        <v>292</v>
      </c>
      <c r="E511" s="105"/>
      <c r="F511" s="75"/>
      <c r="G511" s="75"/>
      <c r="H511" s="540"/>
      <c r="I511" s="229"/>
      <c r="J511" s="111"/>
      <c r="K511" s="111"/>
      <c r="L511" s="111"/>
      <c r="M511" s="111"/>
      <c r="N511" s="60"/>
      <c r="O511" s="60"/>
      <c r="P511" s="17">
        <f t="shared" ref="P511:P514" si="613">SUM(N511:O511)</f>
        <v>0</v>
      </c>
      <c r="Q511" s="60"/>
      <c r="R511" s="60"/>
      <c r="S511" s="17">
        <f t="shared" ref="S511:S514" si="614">SUM(Q511:R511)</f>
        <v>0</v>
      </c>
      <c r="T511" s="60"/>
      <c r="U511" s="60"/>
      <c r="V511" s="359">
        <f t="shared" ref="V511:V514" si="615">SUM(T511:U511)</f>
        <v>0</v>
      </c>
      <c r="W511" s="391">
        <f t="shared" ref="W511:W514" si="616">J511+K511+N511+Q511+T511</f>
        <v>0</v>
      </c>
      <c r="X511" s="17">
        <f t="shared" ref="X511:X514" si="617">L511+O511+R511+U511</f>
        <v>0</v>
      </c>
      <c r="Y511" s="18">
        <f>SUM(W511:X511)</f>
        <v>0</v>
      </c>
      <c r="Z511" s="19">
        <f>IF(Y$515=0,0,Y511/Y$515)</f>
        <v>0</v>
      </c>
      <c r="AA511" s="19"/>
      <c r="AB511" s="19"/>
      <c r="AC511" s="20"/>
      <c r="AE511" s="111"/>
      <c r="AF511" s="111"/>
      <c r="AG511" s="111"/>
      <c r="AH511" s="112"/>
      <c r="AI511" s="113"/>
      <c r="AK511" s="111"/>
      <c r="AL511" s="111"/>
      <c r="AM511" s="111"/>
      <c r="AN511" s="112"/>
      <c r="AO511" s="113"/>
      <c r="AQ511" s="17"/>
      <c r="AR511" s="17"/>
      <c r="AS511" s="17"/>
      <c r="AT511" s="18">
        <f t="shared" ref="AT511:AT514" si="618">W511</f>
        <v>0</v>
      </c>
      <c r="AU511" s="19">
        <f t="shared" ref="AU511:AU514" si="619">IF(AT$508=0,0,AT511/AT$508)</f>
        <v>0</v>
      </c>
      <c r="AW511" s="17"/>
      <c r="AX511" s="17"/>
      <c r="AY511" s="17"/>
      <c r="AZ511" s="18">
        <f t="shared" ref="AZ511:AZ514" si="620">X511</f>
        <v>0</v>
      </c>
      <c r="BA511" s="19">
        <f>IF(AZ$515=0,0,AZ511/AZ$515)</f>
        <v>0</v>
      </c>
    </row>
    <row r="512" spans="1:53" ht="17.100000000000001" customHeight="1" x14ac:dyDescent="0.25">
      <c r="A512" s="40"/>
      <c r="B512" s="40"/>
      <c r="C512" s="74" t="s">
        <v>299</v>
      </c>
      <c r="D512" s="75" t="s">
        <v>11</v>
      </c>
      <c r="E512" s="105"/>
      <c r="F512" s="75"/>
      <c r="G512" s="75"/>
      <c r="H512" s="540"/>
      <c r="I512" s="229"/>
      <c r="J512" s="111"/>
      <c r="K512" s="111"/>
      <c r="L512" s="111"/>
      <c r="M512" s="111"/>
      <c r="N512" s="61">
        <v>1</v>
      </c>
      <c r="O512" s="61">
        <v>2</v>
      </c>
      <c r="P512" s="17">
        <f t="shared" si="613"/>
        <v>3</v>
      </c>
      <c r="Q512" s="61"/>
      <c r="R512" s="61"/>
      <c r="S512" s="17">
        <f t="shared" si="614"/>
        <v>0</v>
      </c>
      <c r="T512" s="61"/>
      <c r="U512" s="61"/>
      <c r="V512" s="359">
        <f t="shared" si="615"/>
        <v>0</v>
      </c>
      <c r="W512" s="391">
        <f t="shared" si="616"/>
        <v>1</v>
      </c>
      <c r="X512" s="17">
        <f t="shared" si="617"/>
        <v>2</v>
      </c>
      <c r="Y512" s="18">
        <f>SUM(W512:X512)</f>
        <v>3</v>
      </c>
      <c r="Z512" s="19">
        <f t="shared" ref="Z512:Z515" si="621">IF(Y$515=0,0,Y512/Y$515)</f>
        <v>0.21428571428571427</v>
      </c>
      <c r="AA512" s="19"/>
      <c r="AB512" s="19"/>
      <c r="AC512" s="20"/>
      <c r="AE512" s="111"/>
      <c r="AF512" s="111"/>
      <c r="AG512" s="111"/>
      <c r="AH512" s="112"/>
      <c r="AI512" s="113"/>
      <c r="AK512" s="111"/>
      <c r="AL512" s="111"/>
      <c r="AM512" s="111"/>
      <c r="AN512" s="112"/>
      <c r="AO512" s="113"/>
      <c r="AQ512" s="17"/>
      <c r="AR512" s="17"/>
      <c r="AS512" s="17"/>
      <c r="AT512" s="18">
        <f t="shared" si="618"/>
        <v>1</v>
      </c>
      <c r="AU512" s="19">
        <f t="shared" si="619"/>
        <v>0.25</v>
      </c>
      <c r="AW512" s="17"/>
      <c r="AX512" s="17"/>
      <c r="AY512" s="17"/>
      <c r="AZ512" s="18">
        <f t="shared" si="620"/>
        <v>2</v>
      </c>
      <c r="BA512" s="19">
        <f t="shared" ref="BA512:BA515" si="622">IF(AZ$515=0,0,AZ512/AZ$515)</f>
        <v>0.2</v>
      </c>
    </row>
    <row r="513" spans="1:53" ht="17.100000000000001" customHeight="1" x14ac:dyDescent="0.25">
      <c r="A513" s="40"/>
      <c r="B513" s="40"/>
      <c r="C513" s="74" t="s">
        <v>301</v>
      </c>
      <c r="D513" s="75" t="s">
        <v>295</v>
      </c>
      <c r="E513" s="105"/>
      <c r="F513" s="75"/>
      <c r="G513" s="75"/>
      <c r="H513" s="540"/>
      <c r="I513" s="229"/>
      <c r="J513" s="111"/>
      <c r="K513" s="111"/>
      <c r="L513" s="111"/>
      <c r="M513" s="111"/>
      <c r="N513" s="60"/>
      <c r="O513" s="60"/>
      <c r="P513" s="17">
        <f t="shared" si="613"/>
        <v>0</v>
      </c>
      <c r="Q513" s="60">
        <v>3</v>
      </c>
      <c r="R513" s="60">
        <v>5</v>
      </c>
      <c r="S513" s="17">
        <f t="shared" si="614"/>
        <v>8</v>
      </c>
      <c r="T513" s="60"/>
      <c r="U513" s="60"/>
      <c r="V513" s="359">
        <f t="shared" si="615"/>
        <v>0</v>
      </c>
      <c r="W513" s="391">
        <f t="shared" si="616"/>
        <v>3</v>
      </c>
      <c r="X513" s="17">
        <f t="shared" si="617"/>
        <v>5</v>
      </c>
      <c r="Y513" s="18">
        <f>SUM(W513:X513)</f>
        <v>8</v>
      </c>
      <c r="Z513" s="19">
        <f t="shared" si="621"/>
        <v>0.5714285714285714</v>
      </c>
      <c r="AA513" s="19"/>
      <c r="AB513" s="19"/>
      <c r="AC513" s="20"/>
      <c r="AE513" s="111"/>
      <c r="AF513" s="111"/>
      <c r="AG513" s="111"/>
      <c r="AH513" s="112"/>
      <c r="AI513" s="113"/>
      <c r="AK513" s="111"/>
      <c r="AL513" s="111"/>
      <c r="AM513" s="111"/>
      <c r="AN513" s="112"/>
      <c r="AO513" s="113"/>
      <c r="AQ513" s="17"/>
      <c r="AR513" s="17"/>
      <c r="AS513" s="17"/>
      <c r="AT513" s="18">
        <f t="shared" si="618"/>
        <v>3</v>
      </c>
      <c r="AU513" s="19">
        <f t="shared" si="619"/>
        <v>0.75</v>
      </c>
      <c r="AW513" s="17"/>
      <c r="AX513" s="17"/>
      <c r="AY513" s="17"/>
      <c r="AZ513" s="18">
        <f t="shared" si="620"/>
        <v>5</v>
      </c>
      <c r="BA513" s="19">
        <f t="shared" si="622"/>
        <v>0.5</v>
      </c>
    </row>
    <row r="514" spans="1:53" ht="17.100000000000001" customHeight="1" x14ac:dyDescent="0.25">
      <c r="A514" s="40"/>
      <c r="B514" s="40"/>
      <c r="C514" s="74" t="s">
        <v>303</v>
      </c>
      <c r="D514" s="75" t="s">
        <v>9</v>
      </c>
      <c r="E514" s="105"/>
      <c r="F514" s="75"/>
      <c r="G514" s="75"/>
      <c r="H514" s="540"/>
      <c r="I514" s="229"/>
      <c r="J514" s="111"/>
      <c r="K514" s="111"/>
      <c r="L514" s="111"/>
      <c r="M514" s="111"/>
      <c r="N514" s="61"/>
      <c r="O514" s="61">
        <v>3</v>
      </c>
      <c r="P514" s="17">
        <f t="shared" si="613"/>
        <v>3</v>
      </c>
      <c r="Q514" s="61"/>
      <c r="R514" s="61"/>
      <c r="S514" s="17">
        <f t="shared" si="614"/>
        <v>0</v>
      </c>
      <c r="T514" s="61"/>
      <c r="U514" s="61"/>
      <c r="V514" s="359">
        <f t="shared" si="615"/>
        <v>0</v>
      </c>
      <c r="W514" s="391">
        <f t="shared" si="616"/>
        <v>0</v>
      </c>
      <c r="X514" s="17">
        <f t="shared" si="617"/>
        <v>3</v>
      </c>
      <c r="Y514" s="18">
        <f>SUM(W514:X514)</f>
        <v>3</v>
      </c>
      <c r="Z514" s="19">
        <f t="shared" si="621"/>
        <v>0.21428571428571427</v>
      </c>
      <c r="AA514" s="19"/>
      <c r="AB514" s="19"/>
      <c r="AC514" s="20"/>
      <c r="AE514" s="111"/>
      <c r="AF514" s="111"/>
      <c r="AG514" s="111"/>
      <c r="AH514" s="112"/>
      <c r="AI514" s="113"/>
      <c r="AK514" s="111"/>
      <c r="AL514" s="111"/>
      <c r="AM514" s="111"/>
      <c r="AN514" s="112"/>
      <c r="AO514" s="113"/>
      <c r="AQ514" s="17"/>
      <c r="AR514" s="17"/>
      <c r="AS514" s="17"/>
      <c r="AT514" s="18">
        <f t="shared" si="618"/>
        <v>0</v>
      </c>
      <c r="AU514" s="19">
        <f t="shared" si="619"/>
        <v>0</v>
      </c>
      <c r="AW514" s="17"/>
      <c r="AX514" s="17"/>
      <c r="AY514" s="17"/>
      <c r="AZ514" s="18">
        <f t="shared" si="620"/>
        <v>3</v>
      </c>
      <c r="BA514" s="19">
        <f t="shared" si="622"/>
        <v>0.3</v>
      </c>
    </row>
    <row r="515" spans="1:53" ht="17.100000000000001" customHeight="1" x14ac:dyDescent="0.25">
      <c r="A515" s="175"/>
      <c r="B515" s="40"/>
      <c r="C515" s="163"/>
      <c r="D515" s="134"/>
      <c r="E515" s="134"/>
      <c r="F515" s="134"/>
      <c r="G515" s="134"/>
      <c r="H515" s="540"/>
      <c r="I515" s="12"/>
      <c r="J515" s="80"/>
      <c r="K515" s="80"/>
      <c r="L515" s="81"/>
      <c r="M515" s="81"/>
      <c r="N515" s="81">
        <f>SUM(N511:N514)</f>
        <v>1</v>
      </c>
      <c r="O515" s="81">
        <f t="shared" ref="O515:V515" si="623">SUM(O511:O514)</f>
        <v>5</v>
      </c>
      <c r="P515" s="81">
        <f t="shared" si="623"/>
        <v>6</v>
      </c>
      <c r="Q515" s="81">
        <f t="shared" si="623"/>
        <v>3</v>
      </c>
      <c r="R515" s="81">
        <f t="shared" si="623"/>
        <v>5</v>
      </c>
      <c r="S515" s="81">
        <f t="shared" si="623"/>
        <v>8</v>
      </c>
      <c r="T515" s="81">
        <f t="shared" si="623"/>
        <v>0</v>
      </c>
      <c r="U515" s="81">
        <f t="shared" si="623"/>
        <v>0</v>
      </c>
      <c r="V515" s="81">
        <f t="shared" si="623"/>
        <v>0</v>
      </c>
      <c r="W515" s="381">
        <f>SUM(W511:W514)</f>
        <v>4</v>
      </c>
      <c r="X515" s="82">
        <f t="shared" ref="X515:Y515" si="624">SUM(X511:X514)</f>
        <v>10</v>
      </c>
      <c r="Y515" s="82">
        <f t="shared" si="624"/>
        <v>14</v>
      </c>
      <c r="Z515" s="205">
        <f t="shared" si="621"/>
        <v>1</v>
      </c>
      <c r="AA515" s="205"/>
      <c r="AB515" s="205"/>
      <c r="AC515" s="83"/>
      <c r="AE515" s="80"/>
      <c r="AF515" s="80"/>
      <c r="AG515" s="81"/>
      <c r="AH515" s="82">
        <f>SUM(AH511:AH514)</f>
        <v>0</v>
      </c>
      <c r="AI515" s="66">
        <f t="shared" ref="AI515" si="625">IF(AH$515=0,0,AH515/AH$515)</f>
        <v>0</v>
      </c>
      <c r="AK515" s="80"/>
      <c r="AL515" s="80"/>
      <c r="AM515" s="81"/>
      <c r="AN515" s="82">
        <f>SUM(AN511:AN514)</f>
        <v>0</v>
      </c>
      <c r="AO515" s="66">
        <f t="shared" ref="AO515" si="626">IF(AN$515=0,0,AN515/AN$515)</f>
        <v>0</v>
      </c>
      <c r="AQ515" s="80"/>
      <c r="AR515" s="80"/>
      <c r="AS515" s="81"/>
      <c r="AT515" s="82"/>
      <c r="AU515" s="66"/>
      <c r="AW515" s="80"/>
      <c r="AX515" s="80"/>
      <c r="AY515" s="81"/>
      <c r="AZ515" s="82">
        <f>SUM(AZ511:AZ514)</f>
        <v>10</v>
      </c>
      <c r="BA515" s="66">
        <f t="shared" si="622"/>
        <v>1</v>
      </c>
    </row>
    <row r="516" spans="1:53" s="117" customFormat="1" ht="17.100000000000001" customHeight="1" x14ac:dyDescent="0.25">
      <c r="A516" s="68"/>
      <c r="B516" s="119"/>
      <c r="C516" s="540"/>
      <c r="D516" s="261"/>
      <c r="E516" s="261"/>
      <c r="F516" s="68"/>
      <c r="G516" s="68"/>
      <c r="H516" s="119"/>
      <c r="I516" s="138"/>
      <c r="J516" s="17"/>
      <c r="K516" s="17"/>
      <c r="L516" s="17"/>
      <c r="M516" s="17"/>
      <c r="N516" s="17" t="str">
        <f>IF(N515=N$20,"OK","NOK")</f>
        <v>OK</v>
      </c>
      <c r="O516" s="17" t="str">
        <f>IF(O515=O$20,"OK","NOK")</f>
        <v>OK</v>
      </c>
      <c r="P516" s="17"/>
      <c r="Q516" s="17" t="str">
        <f>IF(Q515=Q$20,"OK","NOK")</f>
        <v>OK</v>
      </c>
      <c r="R516" s="17" t="str">
        <f>IF(R515=R$20,"OK","NOK")</f>
        <v>OK</v>
      </c>
      <c r="S516" s="17"/>
      <c r="T516" s="17" t="str">
        <f>IF(T515=T$20,"OK","NOK")</f>
        <v>OK</v>
      </c>
      <c r="U516" s="17" t="str">
        <f>IF(U515=U$20,"OK","NOK")</f>
        <v>OK</v>
      </c>
      <c r="V516" s="359"/>
      <c r="W516" s="382"/>
      <c r="X516" s="539"/>
      <c r="Y516" s="539"/>
      <c r="Z516" s="201"/>
      <c r="AA516" s="201"/>
      <c r="AB516" s="201"/>
      <c r="AC516" s="84"/>
      <c r="AE516" s="46"/>
      <c r="AF516" s="46"/>
      <c r="AG516" s="17"/>
      <c r="AH516" s="539"/>
      <c r="AI516" s="91"/>
      <c r="AK516" s="46"/>
      <c r="AL516" s="46"/>
      <c r="AM516" s="17"/>
      <c r="AN516" s="539"/>
      <c r="AO516" s="91"/>
      <c r="AQ516" s="46"/>
      <c r="AR516" s="46"/>
      <c r="AS516" s="17"/>
      <c r="AT516" s="539"/>
      <c r="AU516" s="91"/>
      <c r="AW516" s="46"/>
      <c r="AX516" s="46"/>
      <c r="AY516" s="17"/>
      <c r="AZ516" s="539"/>
      <c r="BA516" s="91"/>
    </row>
    <row r="517" spans="1:53" ht="17.100000000000001" customHeight="1" x14ac:dyDescent="0.25">
      <c r="A517" s="68"/>
      <c r="B517" s="41" t="s">
        <v>306</v>
      </c>
      <c r="C517" s="69" t="s">
        <v>486</v>
      </c>
      <c r="D517" s="50"/>
      <c r="E517" s="70"/>
      <c r="F517" s="70"/>
      <c r="G517" s="70"/>
      <c r="H517" s="119"/>
      <c r="J517" s="71"/>
      <c r="K517" s="71"/>
      <c r="L517" s="71"/>
      <c r="M517" s="71"/>
      <c r="N517" s="71"/>
      <c r="O517" s="71"/>
      <c r="P517" s="71"/>
      <c r="Q517" s="71"/>
      <c r="R517" s="71"/>
      <c r="S517" s="71"/>
      <c r="T517" s="71"/>
      <c r="U517" s="71"/>
      <c r="V517" s="355"/>
      <c r="W517" s="377"/>
      <c r="X517" s="71"/>
      <c r="Y517" s="72"/>
      <c r="Z517" s="73"/>
      <c r="AA517" s="73"/>
      <c r="AB517" s="73"/>
      <c r="AC517" s="73"/>
      <c r="AE517" s="71"/>
      <c r="AF517" s="71"/>
      <c r="AG517" s="71"/>
      <c r="AH517" s="72"/>
      <c r="AI517" s="73"/>
      <c r="AK517" s="71"/>
      <c r="AL517" s="71"/>
      <c r="AM517" s="71"/>
      <c r="AN517" s="72"/>
      <c r="AO517" s="73"/>
      <c r="AQ517" s="71"/>
      <c r="AR517" s="71"/>
      <c r="AS517" s="71"/>
      <c r="AT517" s="72"/>
      <c r="AU517" s="73"/>
      <c r="AW517" s="71"/>
      <c r="AX517" s="71"/>
      <c r="AY517" s="71"/>
      <c r="AZ517" s="72"/>
      <c r="BA517" s="73"/>
    </row>
    <row r="518" spans="1:53" ht="17.100000000000001" customHeight="1" x14ac:dyDescent="0.25">
      <c r="A518" s="40"/>
      <c r="B518" s="40"/>
      <c r="C518" s="74" t="s">
        <v>308</v>
      </c>
      <c r="D518" s="85" t="s">
        <v>292</v>
      </c>
      <c r="E518" s="105"/>
      <c r="F518" s="105"/>
      <c r="G518" s="105"/>
      <c r="H518" s="119"/>
      <c r="I518" s="231"/>
      <c r="J518" s="111"/>
      <c r="K518" s="111"/>
      <c r="L518" s="111"/>
      <c r="M518" s="111"/>
      <c r="N518" s="60">
        <v>1</v>
      </c>
      <c r="O518" s="60">
        <v>2</v>
      </c>
      <c r="P518" s="17">
        <f t="shared" ref="P518:P528" si="627">SUM(N518:O518)</f>
        <v>3</v>
      </c>
      <c r="Q518" s="60"/>
      <c r="R518" s="60"/>
      <c r="S518" s="17">
        <f t="shared" ref="S518:S528" si="628">SUM(Q518:R518)</f>
        <v>0</v>
      </c>
      <c r="T518" s="60"/>
      <c r="U518" s="60"/>
      <c r="V518" s="359">
        <f t="shared" ref="V518:V528" si="629">SUM(T518:U518)</f>
        <v>0</v>
      </c>
      <c r="W518" s="391">
        <f t="shared" ref="W518:W528" si="630">J518+K518+N518+Q518+T518</f>
        <v>1</v>
      </c>
      <c r="X518" s="17">
        <f t="shared" ref="X518:X528" si="631">L518+O518+R518+U518</f>
        <v>2</v>
      </c>
      <c r="Y518" s="18">
        <f t="shared" ref="Y518:Y528" si="632">SUM(W518:X518)</f>
        <v>3</v>
      </c>
      <c r="Z518" s="19">
        <f t="shared" ref="Z518:Z528" si="633">IF(Y$533=0,0,Y518/Y$533)</f>
        <v>0.15789473684210525</v>
      </c>
      <c r="AA518" s="19"/>
      <c r="AB518" s="19"/>
      <c r="AC518" s="20"/>
      <c r="AE518" s="111"/>
      <c r="AF518" s="111"/>
      <c r="AG518" s="111"/>
      <c r="AH518" s="112"/>
      <c r="AI518" s="113"/>
      <c r="AK518" s="111"/>
      <c r="AL518" s="111"/>
      <c r="AM518" s="111"/>
      <c r="AN518" s="112"/>
      <c r="AO518" s="113"/>
      <c r="AQ518" s="17"/>
      <c r="AR518" s="17"/>
      <c r="AS518" s="17"/>
      <c r="AT518" s="18">
        <f t="shared" ref="AT518:AT528" si="634">W518</f>
        <v>1</v>
      </c>
      <c r="AU518" s="19">
        <f t="shared" ref="AU518:AU526" si="635">IF(AT$533=0,0,AT518/AT$533)</f>
        <v>0.16666666666666666</v>
      </c>
      <c r="AW518" s="17"/>
      <c r="AX518" s="17"/>
      <c r="AY518" s="17"/>
      <c r="AZ518" s="18">
        <f t="shared" ref="AZ518:AZ528" si="636">X518</f>
        <v>2</v>
      </c>
      <c r="BA518" s="19">
        <f t="shared" ref="BA518:BA526" si="637">IF(AZ$533=0,0,AZ518/AZ$533)</f>
        <v>0.15384615384615385</v>
      </c>
    </row>
    <row r="519" spans="1:53" ht="17.100000000000001" customHeight="1" x14ac:dyDescent="0.25">
      <c r="A519" s="40"/>
      <c r="B519" s="40"/>
      <c r="C519" s="74" t="s">
        <v>309</v>
      </c>
      <c r="D519" s="146" t="s">
        <v>757</v>
      </c>
      <c r="E519" s="105"/>
      <c r="F519" s="105"/>
      <c r="G519" s="105"/>
      <c r="H519" s="119"/>
      <c r="I519" s="231"/>
      <c r="J519" s="111"/>
      <c r="K519" s="111"/>
      <c r="L519" s="111"/>
      <c r="M519" s="111"/>
      <c r="N519" s="61"/>
      <c r="O519" s="61"/>
      <c r="P519" s="17">
        <f t="shared" si="627"/>
        <v>0</v>
      </c>
      <c r="Q519" s="61"/>
      <c r="R519" s="61"/>
      <c r="S519" s="17">
        <f t="shared" si="628"/>
        <v>0</v>
      </c>
      <c r="T519" s="61"/>
      <c r="U519" s="61"/>
      <c r="V519" s="359">
        <f t="shared" si="629"/>
        <v>0</v>
      </c>
      <c r="W519" s="391">
        <f t="shared" si="630"/>
        <v>0</v>
      </c>
      <c r="X519" s="17">
        <f t="shared" si="631"/>
        <v>0</v>
      </c>
      <c r="Y519" s="18">
        <f t="shared" si="632"/>
        <v>0</v>
      </c>
      <c r="Z519" s="19">
        <f t="shared" si="633"/>
        <v>0</v>
      </c>
      <c r="AA519" s="19"/>
      <c r="AB519" s="19"/>
      <c r="AC519" s="20"/>
      <c r="AE519" s="111"/>
      <c r="AF519" s="111"/>
      <c r="AG519" s="111"/>
      <c r="AH519" s="112"/>
      <c r="AI519" s="113"/>
      <c r="AK519" s="111"/>
      <c r="AL519" s="111"/>
      <c r="AM519" s="111"/>
      <c r="AN519" s="112"/>
      <c r="AO519" s="113"/>
      <c r="AQ519" s="17"/>
      <c r="AR519" s="17"/>
      <c r="AS519" s="17"/>
      <c r="AT519" s="18">
        <f t="shared" si="634"/>
        <v>0</v>
      </c>
      <c r="AU519" s="19">
        <f t="shared" si="635"/>
        <v>0</v>
      </c>
      <c r="AW519" s="17"/>
      <c r="AX519" s="17"/>
      <c r="AY519" s="17"/>
      <c r="AZ519" s="18">
        <f t="shared" si="636"/>
        <v>0</v>
      </c>
      <c r="BA519" s="19">
        <f t="shared" si="637"/>
        <v>0</v>
      </c>
    </row>
    <row r="520" spans="1:53" ht="17.100000000000001" customHeight="1" x14ac:dyDescent="0.25">
      <c r="A520" s="40"/>
      <c r="B520" s="40"/>
      <c r="C520" s="74" t="s">
        <v>489</v>
      </c>
      <c r="D520" s="85" t="s">
        <v>300</v>
      </c>
      <c r="E520" s="105"/>
      <c r="F520" s="105"/>
      <c r="G520" s="105"/>
      <c r="H520" s="119"/>
      <c r="I520" s="231"/>
      <c r="J520" s="111"/>
      <c r="K520" s="111"/>
      <c r="L520" s="111"/>
      <c r="M520" s="111"/>
      <c r="N520" s="60"/>
      <c r="O520" s="60">
        <v>1</v>
      </c>
      <c r="P520" s="17">
        <f t="shared" ref="P520:P521" si="638">SUM(N520:O520)</f>
        <v>1</v>
      </c>
      <c r="Q520" s="60"/>
      <c r="R520" s="60"/>
      <c r="S520" s="17">
        <f t="shared" ref="S520:S521" si="639">SUM(Q520:R520)</f>
        <v>0</v>
      </c>
      <c r="T520" s="60"/>
      <c r="U520" s="60"/>
      <c r="V520" s="359">
        <f t="shared" ref="V520:V521" si="640">SUM(T520:U520)</f>
        <v>0</v>
      </c>
      <c r="W520" s="391">
        <f t="shared" si="630"/>
        <v>0</v>
      </c>
      <c r="X520" s="17">
        <f t="shared" si="631"/>
        <v>1</v>
      </c>
      <c r="Y520" s="18">
        <f t="shared" si="632"/>
        <v>1</v>
      </c>
      <c r="Z520" s="19">
        <f t="shared" si="633"/>
        <v>5.2631578947368418E-2</v>
      </c>
      <c r="AA520" s="19"/>
      <c r="AB520" s="19"/>
      <c r="AC520" s="20"/>
      <c r="AE520" s="111"/>
      <c r="AF520" s="111"/>
      <c r="AG520" s="111"/>
      <c r="AH520" s="112"/>
      <c r="AI520" s="113"/>
      <c r="AK520" s="111"/>
      <c r="AL520" s="111"/>
      <c r="AM520" s="111"/>
      <c r="AN520" s="112"/>
      <c r="AO520" s="113"/>
      <c r="AQ520" s="17"/>
      <c r="AR520" s="17"/>
      <c r="AS520" s="17"/>
      <c r="AT520" s="18">
        <f t="shared" si="634"/>
        <v>0</v>
      </c>
      <c r="AU520" s="19">
        <f t="shared" si="635"/>
        <v>0</v>
      </c>
      <c r="AW520" s="17"/>
      <c r="AX520" s="17"/>
      <c r="AY520" s="17"/>
      <c r="AZ520" s="18">
        <f t="shared" si="636"/>
        <v>1</v>
      </c>
      <c r="BA520" s="19">
        <f t="shared" si="637"/>
        <v>7.6923076923076927E-2</v>
      </c>
    </row>
    <row r="521" spans="1:53" ht="17.100000000000001" customHeight="1" x14ac:dyDescent="0.25">
      <c r="A521" s="40"/>
      <c r="B521" s="40"/>
      <c r="C521" s="74" t="s">
        <v>621</v>
      </c>
      <c r="D521" s="85" t="s">
        <v>670</v>
      </c>
      <c r="E521" s="105"/>
      <c r="F521" s="105"/>
      <c r="G521" s="105"/>
      <c r="H521" s="119"/>
      <c r="I521" s="231"/>
      <c r="J521" s="111"/>
      <c r="K521" s="111"/>
      <c r="L521" s="111"/>
      <c r="M521" s="111"/>
      <c r="N521" s="61"/>
      <c r="O521" s="61"/>
      <c r="P521" s="17">
        <f t="shared" si="638"/>
        <v>0</v>
      </c>
      <c r="Q521" s="61">
        <v>2</v>
      </c>
      <c r="R521" s="61">
        <v>3</v>
      </c>
      <c r="S521" s="17">
        <f t="shared" si="639"/>
        <v>5</v>
      </c>
      <c r="T521" s="61"/>
      <c r="U521" s="61"/>
      <c r="V521" s="359">
        <f t="shared" si="640"/>
        <v>0</v>
      </c>
      <c r="W521" s="391">
        <f t="shared" si="630"/>
        <v>2</v>
      </c>
      <c r="X521" s="17">
        <f t="shared" si="631"/>
        <v>3</v>
      </c>
      <c r="Y521" s="18">
        <f t="shared" si="632"/>
        <v>5</v>
      </c>
      <c r="Z521" s="19">
        <f t="shared" si="633"/>
        <v>0.26315789473684209</v>
      </c>
      <c r="AA521" s="19"/>
      <c r="AB521" s="19"/>
      <c r="AC521" s="20"/>
      <c r="AE521" s="111"/>
      <c r="AF521" s="111"/>
      <c r="AG521" s="111"/>
      <c r="AH521" s="112"/>
      <c r="AI521" s="113"/>
      <c r="AK521" s="111"/>
      <c r="AL521" s="111"/>
      <c r="AM521" s="111"/>
      <c r="AN521" s="112"/>
      <c r="AO521" s="113"/>
      <c r="AQ521" s="17"/>
      <c r="AR521" s="17"/>
      <c r="AS521" s="17"/>
      <c r="AT521" s="18">
        <f t="shared" si="634"/>
        <v>2</v>
      </c>
      <c r="AU521" s="19">
        <f t="shared" si="635"/>
        <v>0.33333333333333331</v>
      </c>
      <c r="AW521" s="17"/>
      <c r="AX521" s="17"/>
      <c r="AY521" s="17"/>
      <c r="AZ521" s="18">
        <f t="shared" si="636"/>
        <v>3</v>
      </c>
      <c r="BA521" s="19">
        <f t="shared" si="637"/>
        <v>0.23076923076923078</v>
      </c>
    </row>
    <row r="522" spans="1:53" ht="17.100000000000001" customHeight="1" x14ac:dyDescent="0.25">
      <c r="A522" s="40"/>
      <c r="B522" s="40"/>
      <c r="C522" s="74" t="s">
        <v>622</v>
      </c>
      <c r="D522" s="85" t="s">
        <v>671</v>
      </c>
      <c r="E522" s="105"/>
      <c r="F522" s="105"/>
      <c r="G522" s="105"/>
      <c r="H522" s="119"/>
      <c r="I522" s="231"/>
      <c r="J522" s="111"/>
      <c r="K522" s="111"/>
      <c r="L522" s="111"/>
      <c r="M522" s="111"/>
      <c r="N522" s="60"/>
      <c r="O522" s="60"/>
      <c r="P522" s="17">
        <f t="shared" si="627"/>
        <v>0</v>
      </c>
      <c r="Q522" s="60"/>
      <c r="R522" s="60"/>
      <c r="S522" s="17">
        <f t="shared" si="628"/>
        <v>0</v>
      </c>
      <c r="T522" s="60"/>
      <c r="U522" s="60"/>
      <c r="V522" s="359">
        <f t="shared" si="629"/>
        <v>0</v>
      </c>
      <c r="W522" s="391">
        <f t="shared" si="630"/>
        <v>0</v>
      </c>
      <c r="X522" s="17">
        <f t="shared" si="631"/>
        <v>0</v>
      </c>
      <c r="Y522" s="18">
        <f t="shared" si="632"/>
        <v>0</v>
      </c>
      <c r="Z522" s="19">
        <f t="shared" si="633"/>
        <v>0</v>
      </c>
      <c r="AA522" s="19"/>
      <c r="AB522" s="19"/>
      <c r="AC522" s="20"/>
      <c r="AE522" s="111"/>
      <c r="AF522" s="111"/>
      <c r="AG522" s="111"/>
      <c r="AH522" s="112"/>
      <c r="AI522" s="113"/>
      <c r="AK522" s="111"/>
      <c r="AL522" s="111"/>
      <c r="AM522" s="111"/>
      <c r="AN522" s="112"/>
      <c r="AO522" s="113"/>
      <c r="AQ522" s="17"/>
      <c r="AR522" s="17"/>
      <c r="AS522" s="17"/>
      <c r="AT522" s="18">
        <f t="shared" si="634"/>
        <v>0</v>
      </c>
      <c r="AU522" s="19">
        <f t="shared" si="635"/>
        <v>0</v>
      </c>
      <c r="AW522" s="17"/>
      <c r="AX522" s="17"/>
      <c r="AY522" s="17"/>
      <c r="AZ522" s="18">
        <f t="shared" si="636"/>
        <v>0</v>
      </c>
      <c r="BA522" s="19">
        <f t="shared" si="637"/>
        <v>0</v>
      </c>
    </row>
    <row r="523" spans="1:53" ht="17.100000000000001" customHeight="1" x14ac:dyDescent="0.25">
      <c r="A523" s="40"/>
      <c r="B523" s="40"/>
      <c r="C523" s="74" t="s">
        <v>623</v>
      </c>
      <c r="D523" s="85" t="s">
        <v>302</v>
      </c>
      <c r="E523" s="105"/>
      <c r="F523" s="105"/>
      <c r="G523" s="105"/>
      <c r="H523" s="119"/>
      <c r="I523" s="231"/>
      <c r="J523" s="111"/>
      <c r="K523" s="111"/>
      <c r="L523" s="111"/>
      <c r="M523" s="111"/>
      <c r="N523" s="61"/>
      <c r="O523" s="61"/>
      <c r="P523" s="17">
        <f t="shared" si="627"/>
        <v>0</v>
      </c>
      <c r="Q523" s="61"/>
      <c r="R523" s="61"/>
      <c r="S523" s="17">
        <f t="shared" si="628"/>
        <v>0</v>
      </c>
      <c r="T523" s="61"/>
      <c r="U523" s="61"/>
      <c r="V523" s="359">
        <f t="shared" si="629"/>
        <v>0</v>
      </c>
      <c r="W523" s="391">
        <f t="shared" si="630"/>
        <v>0</v>
      </c>
      <c r="X523" s="17">
        <f t="shared" si="631"/>
        <v>0</v>
      </c>
      <c r="Y523" s="18">
        <f t="shared" si="632"/>
        <v>0</v>
      </c>
      <c r="Z523" s="19">
        <f t="shared" si="633"/>
        <v>0</v>
      </c>
      <c r="AA523" s="19"/>
      <c r="AB523" s="19"/>
      <c r="AC523" s="20"/>
      <c r="AE523" s="111"/>
      <c r="AF523" s="111"/>
      <c r="AG523" s="111"/>
      <c r="AH523" s="112"/>
      <c r="AI523" s="113"/>
      <c r="AK523" s="111"/>
      <c r="AL523" s="111"/>
      <c r="AM523" s="111"/>
      <c r="AN523" s="112"/>
      <c r="AO523" s="113"/>
      <c r="AQ523" s="17"/>
      <c r="AR523" s="17"/>
      <c r="AS523" s="17"/>
      <c r="AT523" s="18">
        <f t="shared" si="634"/>
        <v>0</v>
      </c>
      <c r="AU523" s="19">
        <f t="shared" si="635"/>
        <v>0</v>
      </c>
      <c r="AW523" s="17"/>
      <c r="AX523" s="17"/>
      <c r="AY523" s="17"/>
      <c r="AZ523" s="18">
        <f t="shared" si="636"/>
        <v>0</v>
      </c>
      <c r="BA523" s="19">
        <f t="shared" si="637"/>
        <v>0</v>
      </c>
    </row>
    <row r="524" spans="1:53" ht="17.100000000000001" customHeight="1" x14ac:dyDescent="0.25">
      <c r="A524" s="40"/>
      <c r="B524" s="40"/>
      <c r="C524" s="74" t="s">
        <v>624</v>
      </c>
      <c r="D524" s="85" t="s">
        <v>487</v>
      </c>
      <c r="E524" s="75"/>
      <c r="F524" s="75"/>
      <c r="G524" s="75"/>
      <c r="H524" s="540"/>
      <c r="I524" s="229"/>
      <c r="J524" s="111"/>
      <c r="K524" s="111"/>
      <c r="L524" s="111"/>
      <c r="M524" s="111"/>
      <c r="N524" s="60"/>
      <c r="O524" s="60">
        <v>2</v>
      </c>
      <c r="P524" s="17">
        <f t="shared" si="627"/>
        <v>2</v>
      </c>
      <c r="Q524" s="60"/>
      <c r="R524" s="60"/>
      <c r="S524" s="17">
        <f t="shared" si="628"/>
        <v>0</v>
      </c>
      <c r="T524" s="60"/>
      <c r="U524" s="60"/>
      <c r="V524" s="359">
        <f t="shared" si="629"/>
        <v>0</v>
      </c>
      <c r="W524" s="391">
        <f t="shared" si="630"/>
        <v>0</v>
      </c>
      <c r="X524" s="17">
        <f t="shared" si="631"/>
        <v>2</v>
      </c>
      <c r="Y524" s="18">
        <f t="shared" si="632"/>
        <v>2</v>
      </c>
      <c r="Z524" s="19">
        <f t="shared" si="633"/>
        <v>0.10526315789473684</v>
      </c>
      <c r="AA524" s="19"/>
      <c r="AB524" s="19"/>
      <c r="AC524" s="20"/>
      <c r="AE524" s="111"/>
      <c r="AF524" s="111"/>
      <c r="AG524" s="111"/>
      <c r="AH524" s="112"/>
      <c r="AI524" s="113"/>
      <c r="AK524" s="111"/>
      <c r="AL524" s="111"/>
      <c r="AM524" s="111"/>
      <c r="AN524" s="112"/>
      <c r="AO524" s="113"/>
      <c r="AQ524" s="17"/>
      <c r="AR524" s="17"/>
      <c r="AS524" s="17"/>
      <c r="AT524" s="18">
        <f t="shared" si="634"/>
        <v>0</v>
      </c>
      <c r="AU524" s="19">
        <f t="shared" si="635"/>
        <v>0</v>
      </c>
      <c r="AW524" s="17"/>
      <c r="AX524" s="17"/>
      <c r="AY524" s="17"/>
      <c r="AZ524" s="18">
        <f t="shared" si="636"/>
        <v>2</v>
      </c>
      <c r="BA524" s="19">
        <f t="shared" si="637"/>
        <v>0.15384615384615385</v>
      </c>
    </row>
    <row r="525" spans="1:53" ht="17.100000000000001" customHeight="1" x14ac:dyDescent="0.25">
      <c r="A525" s="40"/>
      <c r="B525" s="40"/>
      <c r="C525" s="74" t="s">
        <v>625</v>
      </c>
      <c r="D525" s="85" t="s">
        <v>488</v>
      </c>
      <c r="E525" s="542"/>
      <c r="F525" s="105"/>
      <c r="G525" s="105"/>
      <c r="H525" s="119"/>
      <c r="I525" s="231"/>
      <c r="J525" s="111"/>
      <c r="K525" s="111"/>
      <c r="L525" s="111"/>
      <c r="M525" s="111"/>
      <c r="N525" s="61"/>
      <c r="O525" s="61"/>
      <c r="P525" s="17">
        <f t="shared" si="627"/>
        <v>0</v>
      </c>
      <c r="Q525" s="61"/>
      <c r="R525" s="61"/>
      <c r="S525" s="17">
        <f t="shared" si="628"/>
        <v>0</v>
      </c>
      <c r="T525" s="61"/>
      <c r="U525" s="61"/>
      <c r="V525" s="359">
        <f t="shared" si="629"/>
        <v>0</v>
      </c>
      <c r="W525" s="391">
        <f t="shared" si="630"/>
        <v>0</v>
      </c>
      <c r="X525" s="17">
        <f t="shared" si="631"/>
        <v>0</v>
      </c>
      <c r="Y525" s="18">
        <f t="shared" si="632"/>
        <v>0</v>
      </c>
      <c r="Z525" s="19">
        <f t="shared" si="633"/>
        <v>0</v>
      </c>
      <c r="AA525" s="19"/>
      <c r="AB525" s="19"/>
      <c r="AC525" s="20"/>
      <c r="AE525" s="111"/>
      <c r="AF525" s="111"/>
      <c r="AG525" s="111"/>
      <c r="AH525" s="112"/>
      <c r="AI525" s="113"/>
      <c r="AK525" s="111"/>
      <c r="AL525" s="111"/>
      <c r="AM525" s="111"/>
      <c r="AN525" s="112"/>
      <c r="AO525" s="113"/>
      <c r="AQ525" s="17"/>
      <c r="AR525" s="17"/>
      <c r="AS525" s="17"/>
      <c r="AT525" s="18">
        <f t="shared" si="634"/>
        <v>0</v>
      </c>
      <c r="AU525" s="19">
        <f t="shared" si="635"/>
        <v>0</v>
      </c>
      <c r="AW525" s="17"/>
      <c r="AX525" s="17"/>
      <c r="AY525" s="17"/>
      <c r="AZ525" s="18">
        <f t="shared" si="636"/>
        <v>0</v>
      </c>
      <c r="BA525" s="19">
        <f t="shared" si="637"/>
        <v>0</v>
      </c>
    </row>
    <row r="526" spans="1:53" ht="17.100000000000001" customHeight="1" x14ac:dyDescent="0.25">
      <c r="A526" s="40"/>
      <c r="B526" s="40"/>
      <c r="C526" s="74" t="s">
        <v>668</v>
      </c>
      <c r="D526" s="85" t="s">
        <v>304</v>
      </c>
      <c r="E526" s="542"/>
      <c r="F526" s="105"/>
      <c r="G526" s="105"/>
      <c r="H526" s="119"/>
      <c r="I526" s="231"/>
      <c r="J526" s="111"/>
      <c r="K526" s="111"/>
      <c r="L526" s="111"/>
      <c r="M526" s="111"/>
      <c r="N526" s="60"/>
      <c r="O526" s="60"/>
      <c r="P526" s="17">
        <f t="shared" si="627"/>
        <v>0</v>
      </c>
      <c r="Q526" s="60"/>
      <c r="R526" s="60"/>
      <c r="S526" s="17">
        <f t="shared" si="628"/>
        <v>0</v>
      </c>
      <c r="T526" s="60"/>
      <c r="U526" s="60"/>
      <c r="V526" s="359">
        <f t="shared" si="629"/>
        <v>0</v>
      </c>
      <c r="W526" s="391">
        <f t="shared" si="630"/>
        <v>0</v>
      </c>
      <c r="X526" s="17">
        <f t="shared" si="631"/>
        <v>0</v>
      </c>
      <c r="Y526" s="18">
        <f t="shared" si="632"/>
        <v>0</v>
      </c>
      <c r="Z526" s="19">
        <f t="shared" si="633"/>
        <v>0</v>
      </c>
      <c r="AA526" s="19"/>
      <c r="AB526" s="19"/>
      <c r="AC526" s="20"/>
      <c r="AE526" s="111"/>
      <c r="AF526" s="111"/>
      <c r="AG526" s="111"/>
      <c r="AH526" s="112"/>
      <c r="AI526" s="113"/>
      <c r="AK526" s="111"/>
      <c r="AL526" s="111"/>
      <c r="AM526" s="111"/>
      <c r="AN526" s="112"/>
      <c r="AO526" s="113"/>
      <c r="AQ526" s="17"/>
      <c r="AR526" s="17"/>
      <c r="AS526" s="17"/>
      <c r="AT526" s="18">
        <f t="shared" si="634"/>
        <v>0</v>
      </c>
      <c r="AU526" s="19">
        <f t="shared" si="635"/>
        <v>0</v>
      </c>
      <c r="AW526" s="17"/>
      <c r="AX526" s="17"/>
      <c r="AY526" s="17"/>
      <c r="AZ526" s="18">
        <f t="shared" si="636"/>
        <v>0</v>
      </c>
      <c r="BA526" s="19">
        <f t="shared" si="637"/>
        <v>0</v>
      </c>
    </row>
    <row r="527" spans="1:53" ht="17.100000000000001" customHeight="1" x14ac:dyDescent="0.25">
      <c r="A527" s="40"/>
      <c r="B527" s="40"/>
      <c r="C527" s="74" t="s">
        <v>669</v>
      </c>
      <c r="D527" s="85" t="s">
        <v>758</v>
      </c>
      <c r="E527" s="542"/>
      <c r="F527" s="105"/>
      <c r="G527" s="105"/>
      <c r="H527" s="119"/>
      <c r="I527" s="231"/>
      <c r="J527" s="111"/>
      <c r="K527" s="111"/>
      <c r="L527" s="111"/>
      <c r="M527" s="111"/>
      <c r="N527" s="61"/>
      <c r="O527" s="61"/>
      <c r="P527" s="17">
        <f t="shared" ref="P527" si="641">SUM(N527:O527)</f>
        <v>0</v>
      </c>
      <c r="Q527" s="61"/>
      <c r="R527" s="61"/>
      <c r="S527" s="17">
        <f t="shared" ref="S527" si="642">SUM(Q527:R527)</f>
        <v>0</v>
      </c>
      <c r="T527" s="61"/>
      <c r="U527" s="61"/>
      <c r="V527" s="359">
        <f t="shared" ref="V527" si="643">SUM(T527:U527)</f>
        <v>0</v>
      </c>
      <c r="W527" s="391">
        <f t="shared" si="630"/>
        <v>0</v>
      </c>
      <c r="X527" s="17">
        <f t="shared" si="631"/>
        <v>0</v>
      </c>
      <c r="Y527" s="18">
        <f t="shared" si="632"/>
        <v>0</v>
      </c>
      <c r="Z527" s="19">
        <f t="shared" si="633"/>
        <v>0</v>
      </c>
      <c r="AA527" s="19"/>
      <c r="AB527" s="19"/>
      <c r="AC527" s="20"/>
      <c r="AE527" s="111"/>
      <c r="AF527" s="111"/>
      <c r="AG527" s="111"/>
      <c r="AH527" s="112"/>
      <c r="AI527" s="113"/>
      <c r="AK527" s="111"/>
      <c r="AL527" s="111"/>
      <c r="AM527" s="111"/>
      <c r="AN527" s="112"/>
      <c r="AO527" s="113"/>
      <c r="AQ527" s="17"/>
      <c r="AR527" s="17"/>
      <c r="AS527" s="17"/>
      <c r="AT527" s="18"/>
      <c r="AU527" s="19"/>
      <c r="AW527" s="17"/>
      <c r="AX527" s="17"/>
      <c r="AY527" s="17"/>
      <c r="AZ527" s="18"/>
      <c r="BA527" s="19"/>
    </row>
    <row r="528" spans="1:53" ht="17.100000000000001" customHeight="1" x14ac:dyDescent="0.25">
      <c r="A528" s="40"/>
      <c r="B528" s="40"/>
      <c r="C528" s="74" t="s">
        <v>756</v>
      </c>
      <c r="D528" s="85" t="s">
        <v>305</v>
      </c>
      <c r="E528" s="542"/>
      <c r="F528" s="105"/>
      <c r="G528" s="105"/>
      <c r="H528" s="119"/>
      <c r="I528" s="231"/>
      <c r="J528" s="111"/>
      <c r="K528" s="111"/>
      <c r="L528" s="111"/>
      <c r="M528" s="111"/>
      <c r="N528" s="111">
        <f t="shared" ref="N528:U528" si="644">SUM(N529:N532)</f>
        <v>0</v>
      </c>
      <c r="O528" s="111">
        <f t="shared" si="644"/>
        <v>0</v>
      </c>
      <c r="P528" s="111">
        <f t="shared" si="627"/>
        <v>0</v>
      </c>
      <c r="Q528" s="111">
        <f t="shared" si="644"/>
        <v>3</v>
      </c>
      <c r="R528" s="111">
        <f t="shared" si="644"/>
        <v>5</v>
      </c>
      <c r="S528" s="111">
        <f t="shared" si="628"/>
        <v>8</v>
      </c>
      <c r="T528" s="111">
        <f t="shared" si="644"/>
        <v>0</v>
      </c>
      <c r="U528" s="111">
        <f t="shared" si="644"/>
        <v>0</v>
      </c>
      <c r="V528" s="358">
        <f t="shared" si="629"/>
        <v>0</v>
      </c>
      <c r="W528" s="380">
        <f t="shared" si="630"/>
        <v>3</v>
      </c>
      <c r="X528" s="111">
        <f t="shared" si="631"/>
        <v>5</v>
      </c>
      <c r="Y528" s="545">
        <f t="shared" si="632"/>
        <v>8</v>
      </c>
      <c r="Z528" s="131">
        <f t="shared" si="633"/>
        <v>0.42105263157894735</v>
      </c>
      <c r="AA528" s="131"/>
      <c r="AB528" s="131"/>
      <c r="AC528" s="113"/>
      <c r="AE528" s="111"/>
      <c r="AF528" s="111"/>
      <c r="AG528" s="111"/>
      <c r="AH528" s="112"/>
      <c r="AI528" s="113"/>
      <c r="AK528" s="111"/>
      <c r="AL528" s="111"/>
      <c r="AM528" s="111"/>
      <c r="AN528" s="112"/>
      <c r="AO528" s="113"/>
      <c r="AQ528" s="111"/>
      <c r="AR528" s="111"/>
      <c r="AS528" s="111"/>
      <c r="AT528" s="545">
        <f t="shared" si="634"/>
        <v>3</v>
      </c>
      <c r="AU528" s="131">
        <f>IF(AT$533=0,0,AT528/AT$533)</f>
        <v>0.5</v>
      </c>
      <c r="AW528" s="111"/>
      <c r="AX528" s="111"/>
      <c r="AY528" s="111"/>
      <c r="AZ528" s="545">
        <f t="shared" si="636"/>
        <v>5</v>
      </c>
      <c r="BA528" s="131">
        <f>IF(AZ$533=0,0,AZ528/AZ$533)</f>
        <v>0.38461538461538464</v>
      </c>
    </row>
    <row r="529" spans="1:53" ht="17.100000000000001" customHeight="1" x14ac:dyDescent="0.25">
      <c r="A529" s="40"/>
      <c r="B529" s="40"/>
      <c r="C529" s="74"/>
      <c r="D529" s="168"/>
      <c r="E529" s="169"/>
      <c r="F529" s="169"/>
      <c r="G529" s="169"/>
      <c r="H529" s="17"/>
      <c r="I529" s="594"/>
      <c r="J529" s="111"/>
      <c r="K529" s="111"/>
      <c r="L529" s="111"/>
      <c r="M529" s="111"/>
      <c r="N529" s="60"/>
      <c r="O529" s="60"/>
      <c r="P529" s="17"/>
      <c r="Q529" s="60">
        <v>3</v>
      </c>
      <c r="R529" s="60">
        <v>5</v>
      </c>
      <c r="S529" s="17"/>
      <c r="T529" s="60"/>
      <c r="U529" s="60"/>
      <c r="V529" s="359"/>
      <c r="W529" s="391"/>
      <c r="X529" s="17"/>
      <c r="Y529" s="86"/>
      <c r="Z529" s="20"/>
      <c r="AA529" s="20"/>
      <c r="AB529" s="20"/>
      <c r="AC529" s="20"/>
      <c r="AE529" s="17"/>
      <c r="AF529" s="17"/>
      <c r="AG529" s="17"/>
      <c r="AH529" s="86"/>
      <c r="AI529" s="20"/>
      <c r="AK529" s="17"/>
      <c r="AL529" s="17"/>
      <c r="AM529" s="17"/>
      <c r="AN529" s="86"/>
      <c r="AO529" s="20"/>
      <c r="AQ529" s="17"/>
      <c r="AR529" s="17"/>
      <c r="AS529" s="17"/>
      <c r="AT529" s="86"/>
      <c r="AU529" s="20"/>
      <c r="AW529" s="17"/>
      <c r="AX529" s="17"/>
      <c r="AY529" s="17"/>
      <c r="AZ529" s="86"/>
      <c r="BA529" s="20"/>
    </row>
    <row r="530" spans="1:53" ht="17.100000000000001" customHeight="1" x14ac:dyDescent="0.25">
      <c r="A530" s="40"/>
      <c r="B530" s="40"/>
      <c r="C530" s="74"/>
      <c r="D530" s="170"/>
      <c r="E530" s="171"/>
      <c r="F530" s="171"/>
      <c r="G530" s="171"/>
      <c r="H530" s="17"/>
      <c r="I530" s="594"/>
      <c r="J530" s="111"/>
      <c r="K530" s="111"/>
      <c r="L530" s="111"/>
      <c r="M530" s="111"/>
      <c r="N530" s="61"/>
      <c r="O530" s="61"/>
      <c r="P530" s="17"/>
      <c r="Q530" s="61"/>
      <c r="R530" s="61"/>
      <c r="S530" s="17"/>
      <c r="T530" s="61"/>
      <c r="U530" s="61"/>
      <c r="V530" s="359"/>
      <c r="W530" s="391"/>
      <c r="X530" s="17"/>
      <c r="Y530" s="86"/>
      <c r="Z530" s="20"/>
      <c r="AA530" s="20"/>
      <c r="AB530" s="20"/>
      <c r="AC530" s="20"/>
      <c r="AE530" s="17"/>
      <c r="AF530" s="17"/>
      <c r="AG530" s="17"/>
      <c r="AH530" s="86"/>
      <c r="AI530" s="20"/>
      <c r="AK530" s="17"/>
      <c r="AL530" s="17"/>
      <c r="AM530" s="17"/>
      <c r="AN530" s="86"/>
      <c r="AO530" s="20"/>
      <c r="AQ530" s="17"/>
      <c r="AR530" s="17"/>
      <c r="AS530" s="17"/>
      <c r="AT530" s="86"/>
      <c r="AU530" s="20"/>
      <c r="AW530" s="17"/>
      <c r="AX530" s="17"/>
      <c r="AY530" s="17"/>
      <c r="AZ530" s="86"/>
      <c r="BA530" s="20"/>
    </row>
    <row r="531" spans="1:53" ht="17.100000000000001" customHeight="1" x14ac:dyDescent="0.25">
      <c r="A531" s="40"/>
      <c r="B531" s="40"/>
      <c r="C531" s="74"/>
      <c r="D531" s="168"/>
      <c r="E531" s="169"/>
      <c r="F531" s="169"/>
      <c r="G531" s="169"/>
      <c r="H531" s="17"/>
      <c r="I531" s="594"/>
      <c r="J531" s="111"/>
      <c r="K531" s="111"/>
      <c r="L531" s="111"/>
      <c r="M531" s="111"/>
      <c r="N531" s="60"/>
      <c r="O531" s="60"/>
      <c r="P531" s="17"/>
      <c r="Q531" s="60"/>
      <c r="R531" s="60"/>
      <c r="S531" s="17"/>
      <c r="T531" s="60"/>
      <c r="U531" s="60"/>
      <c r="V531" s="359"/>
      <c r="W531" s="391"/>
      <c r="X531" s="17"/>
      <c r="Y531" s="86"/>
      <c r="Z531" s="20"/>
      <c r="AA531" s="20"/>
      <c r="AB531" s="20"/>
      <c r="AC531" s="20"/>
      <c r="AE531" s="17"/>
      <c r="AF531" s="17"/>
      <c r="AG531" s="17"/>
      <c r="AH531" s="86"/>
      <c r="AI531" s="20"/>
      <c r="AK531" s="17"/>
      <c r="AL531" s="17"/>
      <c r="AM531" s="17"/>
      <c r="AN531" s="86"/>
      <c r="AO531" s="20"/>
      <c r="AQ531" s="17"/>
      <c r="AR531" s="17"/>
      <c r="AS531" s="17"/>
      <c r="AT531" s="86"/>
      <c r="AU531" s="20"/>
      <c r="AW531" s="17"/>
      <c r="AX531" s="17"/>
      <c r="AY531" s="17"/>
      <c r="AZ531" s="86"/>
      <c r="BA531" s="20"/>
    </row>
    <row r="532" spans="1:53" ht="17.100000000000001" customHeight="1" x14ac:dyDescent="0.25">
      <c r="A532" s="40"/>
      <c r="B532" s="40"/>
      <c r="C532" s="74"/>
      <c r="D532" s="170"/>
      <c r="E532" s="171"/>
      <c r="F532" s="171"/>
      <c r="G532" s="171"/>
      <c r="H532" s="17"/>
      <c r="I532" s="594"/>
      <c r="J532" s="111"/>
      <c r="K532" s="111"/>
      <c r="L532" s="111"/>
      <c r="M532" s="111"/>
      <c r="N532" s="61"/>
      <c r="O532" s="61"/>
      <c r="P532" s="17"/>
      <c r="Q532" s="61"/>
      <c r="R532" s="61"/>
      <c r="S532" s="17"/>
      <c r="T532" s="61"/>
      <c r="U532" s="61"/>
      <c r="V532" s="359"/>
      <c r="W532" s="391"/>
      <c r="X532" s="17"/>
      <c r="Y532" s="86"/>
      <c r="Z532" s="20"/>
      <c r="AA532" s="20"/>
      <c r="AB532" s="20"/>
      <c r="AC532" s="20"/>
      <c r="AE532" s="17"/>
      <c r="AF532" s="17"/>
      <c r="AG532" s="17"/>
      <c r="AH532" s="86"/>
      <c r="AI532" s="20"/>
      <c r="AK532" s="17"/>
      <c r="AL532" s="17"/>
      <c r="AM532" s="17"/>
      <c r="AN532" s="86"/>
      <c r="AO532" s="20"/>
      <c r="AQ532" s="17"/>
      <c r="AR532" s="17"/>
      <c r="AS532" s="17"/>
      <c r="AT532" s="86"/>
      <c r="AU532" s="20"/>
      <c r="AW532" s="17"/>
      <c r="AX532" s="17"/>
      <c r="AY532" s="17"/>
      <c r="AZ532" s="86"/>
      <c r="BA532" s="20"/>
    </row>
    <row r="533" spans="1:53" ht="17.100000000000001" customHeight="1" x14ac:dyDescent="0.25">
      <c r="A533" s="40"/>
      <c r="B533" s="40"/>
      <c r="C533" s="77"/>
      <c r="D533" s="134"/>
      <c r="E533" s="134"/>
      <c r="F533" s="134"/>
      <c r="G533" s="134"/>
      <c r="H533" s="540"/>
      <c r="I533" s="229"/>
      <c r="J533" s="80"/>
      <c r="K533" s="80"/>
      <c r="L533" s="81"/>
      <c r="M533" s="81"/>
      <c r="N533" s="81">
        <f>SUM(N518:N528)</f>
        <v>1</v>
      </c>
      <c r="O533" s="81">
        <f t="shared" ref="O533:V533" si="645">SUM(O518:O528)</f>
        <v>5</v>
      </c>
      <c r="P533" s="82">
        <f t="shared" si="645"/>
        <v>6</v>
      </c>
      <c r="Q533" s="81">
        <f>SUM(Q518:Q528)</f>
        <v>5</v>
      </c>
      <c r="R533" s="81">
        <f t="shared" si="645"/>
        <v>8</v>
      </c>
      <c r="S533" s="82">
        <f t="shared" si="645"/>
        <v>13</v>
      </c>
      <c r="T533" s="81">
        <f>SUM(T518:T528)</f>
        <v>0</v>
      </c>
      <c r="U533" s="81">
        <f t="shared" si="645"/>
        <v>0</v>
      </c>
      <c r="V533" s="360">
        <f t="shared" si="645"/>
        <v>0</v>
      </c>
      <c r="W533" s="381">
        <f>SUM(W518:W528)</f>
        <v>6</v>
      </c>
      <c r="X533" s="82">
        <f t="shared" ref="X533:Y533" si="646">SUM(X518:X528)</f>
        <v>13</v>
      </c>
      <c r="Y533" s="82">
        <f t="shared" si="646"/>
        <v>19</v>
      </c>
      <c r="Z533" s="205">
        <f t="shared" ref="Z533" si="647">IF(Y$533=0,0,Y533/Y$533)</f>
        <v>1</v>
      </c>
      <c r="AA533" s="205"/>
      <c r="AB533" s="205"/>
      <c r="AC533" s="83"/>
      <c r="AE533" s="80"/>
      <c r="AF533" s="80"/>
      <c r="AG533" s="81"/>
      <c r="AH533" s="82"/>
      <c r="AI533" s="66"/>
      <c r="AK533" s="80"/>
      <c r="AL533" s="80"/>
      <c r="AM533" s="81"/>
      <c r="AN533" s="82"/>
      <c r="AO533" s="66"/>
      <c r="AQ533" s="80"/>
      <c r="AR533" s="80"/>
      <c r="AS533" s="81"/>
      <c r="AT533" s="82">
        <f>SUM(AT518:AT528)</f>
        <v>6</v>
      </c>
      <c r="AU533" s="66">
        <f>IF(AT$533=0,0,AT533/AT$533)</f>
        <v>1</v>
      </c>
      <c r="AW533" s="80"/>
      <c r="AX533" s="80"/>
      <c r="AY533" s="81"/>
      <c r="AZ533" s="82">
        <f>SUM(AZ518:AZ528)</f>
        <v>13</v>
      </c>
      <c r="BA533" s="66">
        <f>IF(AZ$533=0,0,AZ533/AZ$533)</f>
        <v>1</v>
      </c>
    </row>
    <row r="534" spans="1:53" ht="17.100000000000001" customHeight="1" x14ac:dyDescent="0.25">
      <c r="A534" s="68"/>
      <c r="B534" s="41" t="s">
        <v>310</v>
      </c>
      <c r="C534" s="49" t="s">
        <v>307</v>
      </c>
      <c r="D534" s="50"/>
      <c r="E534" s="70"/>
      <c r="F534" s="70"/>
      <c r="G534" s="70"/>
      <c r="H534" s="119"/>
      <c r="J534" s="71"/>
      <c r="K534" s="71"/>
      <c r="L534" s="71"/>
      <c r="M534" s="71"/>
      <c r="N534" s="71"/>
      <c r="O534" s="71"/>
      <c r="P534" s="71"/>
      <c r="Q534" s="71"/>
      <c r="R534" s="71"/>
      <c r="S534" s="71"/>
      <c r="T534" s="71"/>
      <c r="U534" s="71"/>
      <c r="V534" s="355"/>
      <c r="W534" s="377"/>
      <c r="X534" s="71"/>
      <c r="Y534" s="72"/>
      <c r="Z534" s="73"/>
      <c r="AA534" s="73"/>
      <c r="AB534" s="73"/>
      <c r="AC534" s="73"/>
      <c r="AE534" s="71"/>
      <c r="AF534" s="71"/>
      <c r="AG534" s="71"/>
      <c r="AH534" s="72"/>
      <c r="AI534" s="73"/>
      <c r="AK534" s="71"/>
      <c r="AL534" s="71"/>
      <c r="AM534" s="71"/>
      <c r="AN534" s="72"/>
      <c r="AO534" s="73"/>
      <c r="AQ534" s="71"/>
      <c r="AR534" s="71"/>
      <c r="AS534" s="71"/>
      <c r="AT534" s="72"/>
      <c r="AU534" s="73"/>
      <c r="AW534" s="71"/>
      <c r="AX534" s="71"/>
      <c r="AY534" s="71"/>
      <c r="AZ534" s="72"/>
      <c r="BA534" s="73"/>
    </row>
    <row r="535" spans="1:53" ht="17.100000000000001" customHeight="1" x14ac:dyDescent="0.25">
      <c r="A535" s="119"/>
      <c r="B535" s="119"/>
      <c r="C535" s="56" t="s">
        <v>311</v>
      </c>
      <c r="D535" s="146" t="s">
        <v>9</v>
      </c>
      <c r="E535" s="105"/>
      <c r="F535" s="105"/>
      <c r="G535" s="105"/>
      <c r="H535" s="119"/>
      <c r="I535" s="231"/>
      <c r="J535" s="111"/>
      <c r="K535" s="111"/>
      <c r="L535" s="111"/>
      <c r="M535" s="111"/>
      <c r="N535" s="60">
        <v>1</v>
      </c>
      <c r="O535" s="60">
        <v>5</v>
      </c>
      <c r="P535" s="17">
        <f t="shared" ref="P535:P537" si="648">SUM(N535:O535)</f>
        <v>6</v>
      </c>
      <c r="Q535" s="60">
        <v>3</v>
      </c>
      <c r="R535" s="60">
        <v>5</v>
      </c>
      <c r="S535" s="17">
        <f t="shared" ref="S535:S537" si="649">SUM(Q535:R535)</f>
        <v>8</v>
      </c>
      <c r="T535" s="60"/>
      <c r="U535" s="60"/>
      <c r="V535" s="359">
        <f t="shared" ref="V535:V537" si="650">SUM(T535:U535)</f>
        <v>0</v>
      </c>
      <c r="W535" s="391">
        <f t="shared" ref="W535:W537" si="651">J535+K535+N535+Q535+T535</f>
        <v>4</v>
      </c>
      <c r="X535" s="17">
        <f t="shared" ref="X535:X537" si="652">L535+O535+R535+U535</f>
        <v>10</v>
      </c>
      <c r="Y535" s="18">
        <f>SUM(W535:X535)</f>
        <v>14</v>
      </c>
      <c r="Z535" s="19">
        <f>IF(Y$538=0,0,Y535/Y$538)</f>
        <v>1</v>
      </c>
      <c r="AA535" s="19"/>
      <c r="AB535" s="19"/>
      <c r="AC535" s="20"/>
      <c r="AE535" s="111"/>
      <c r="AF535" s="111"/>
      <c r="AG535" s="111"/>
      <c r="AH535" s="112"/>
      <c r="AI535" s="113"/>
      <c r="AK535" s="111"/>
      <c r="AL535" s="111"/>
      <c r="AM535" s="111"/>
      <c r="AN535" s="112"/>
      <c r="AO535" s="113"/>
      <c r="AQ535" s="17"/>
      <c r="AR535" s="17"/>
      <c r="AS535" s="17"/>
      <c r="AT535" s="18">
        <f t="shared" ref="AT535:AT537" si="653">W535</f>
        <v>4</v>
      </c>
      <c r="AU535" s="19">
        <f>IF(AT$538=0,0,AT535/AT$538)</f>
        <v>1</v>
      </c>
      <c r="AW535" s="17"/>
      <c r="AX535" s="17"/>
      <c r="AY535" s="17"/>
      <c r="AZ535" s="18">
        <f t="shared" ref="AZ535:AZ537" si="654">X535</f>
        <v>10</v>
      </c>
      <c r="BA535" s="19">
        <f>IF(AZ$538=0,0,AZ535/AZ$538)</f>
        <v>1</v>
      </c>
    </row>
    <row r="536" spans="1:53" ht="17.100000000000001" customHeight="1" x14ac:dyDescent="0.25">
      <c r="A536" s="119"/>
      <c r="B536" s="119"/>
      <c r="C536" s="56" t="s">
        <v>312</v>
      </c>
      <c r="D536" s="146" t="s">
        <v>11</v>
      </c>
      <c r="E536" s="105"/>
      <c r="F536" s="105"/>
      <c r="G536" s="105"/>
      <c r="H536" s="119"/>
      <c r="I536" s="231"/>
      <c r="J536" s="111"/>
      <c r="K536" s="111"/>
      <c r="L536" s="111"/>
      <c r="M536" s="111"/>
      <c r="N536" s="61"/>
      <c r="O536" s="61"/>
      <c r="P536" s="17">
        <f t="shared" si="648"/>
        <v>0</v>
      </c>
      <c r="Q536" s="61"/>
      <c r="R536" s="61"/>
      <c r="S536" s="17">
        <f t="shared" si="649"/>
        <v>0</v>
      </c>
      <c r="T536" s="61"/>
      <c r="U536" s="61"/>
      <c r="V536" s="359">
        <f t="shared" si="650"/>
        <v>0</v>
      </c>
      <c r="W536" s="391">
        <f t="shared" si="651"/>
        <v>0</v>
      </c>
      <c r="X536" s="17">
        <f t="shared" si="652"/>
        <v>0</v>
      </c>
      <c r="Y536" s="18">
        <f>SUM(W536:X536)</f>
        <v>0</v>
      </c>
      <c r="Z536" s="19">
        <f t="shared" ref="Z536:Z538" si="655">IF(Y$538=0,0,Y536/Y$538)</f>
        <v>0</v>
      </c>
      <c r="AA536" s="19"/>
      <c r="AB536" s="19"/>
      <c r="AC536" s="20"/>
      <c r="AE536" s="111"/>
      <c r="AF536" s="111"/>
      <c r="AG536" s="111"/>
      <c r="AH536" s="112"/>
      <c r="AI536" s="113"/>
      <c r="AK536" s="111"/>
      <c r="AL536" s="111"/>
      <c r="AM536" s="111"/>
      <c r="AN536" s="112"/>
      <c r="AO536" s="113"/>
      <c r="AQ536" s="17"/>
      <c r="AR536" s="17"/>
      <c r="AS536" s="17"/>
      <c r="AT536" s="18">
        <f t="shared" si="653"/>
        <v>0</v>
      </c>
      <c r="AU536" s="19">
        <f t="shared" ref="AU536:AU538" si="656">IF(AT$538=0,0,AT536/AT$538)</f>
        <v>0</v>
      </c>
      <c r="AW536" s="17"/>
      <c r="AX536" s="17"/>
      <c r="AY536" s="17"/>
      <c r="AZ536" s="18">
        <f t="shared" si="654"/>
        <v>0</v>
      </c>
      <c r="BA536" s="19">
        <f t="shared" ref="BA536:BA538" si="657">IF(AZ$538=0,0,AZ536/AZ$538)</f>
        <v>0</v>
      </c>
    </row>
    <row r="537" spans="1:53" ht="17.100000000000001" customHeight="1" x14ac:dyDescent="0.25">
      <c r="A537" s="119"/>
      <c r="B537" s="119"/>
      <c r="C537" s="56" t="s">
        <v>490</v>
      </c>
      <c r="D537" s="146" t="s">
        <v>617</v>
      </c>
      <c r="E537" s="105"/>
      <c r="F537" s="105"/>
      <c r="G537" s="105"/>
      <c r="H537" s="119"/>
      <c r="I537" s="231"/>
      <c r="J537" s="111"/>
      <c r="K537" s="111"/>
      <c r="L537" s="111"/>
      <c r="M537" s="111"/>
      <c r="N537" s="60"/>
      <c r="O537" s="60"/>
      <c r="P537" s="17">
        <f t="shared" si="648"/>
        <v>0</v>
      </c>
      <c r="Q537" s="60"/>
      <c r="R537" s="60"/>
      <c r="S537" s="17">
        <f t="shared" si="649"/>
        <v>0</v>
      </c>
      <c r="T537" s="60"/>
      <c r="U537" s="60"/>
      <c r="V537" s="359">
        <f t="shared" si="650"/>
        <v>0</v>
      </c>
      <c r="W537" s="391">
        <f t="shared" si="651"/>
        <v>0</v>
      </c>
      <c r="X537" s="17">
        <f t="shared" si="652"/>
        <v>0</v>
      </c>
      <c r="Y537" s="18">
        <f>SUM(W537:X537)</f>
        <v>0</v>
      </c>
      <c r="Z537" s="19">
        <f t="shared" si="655"/>
        <v>0</v>
      </c>
      <c r="AA537" s="19"/>
      <c r="AB537" s="19"/>
      <c r="AC537" s="20"/>
      <c r="AE537" s="111"/>
      <c r="AF537" s="111"/>
      <c r="AG537" s="111"/>
      <c r="AH537" s="112"/>
      <c r="AI537" s="113"/>
      <c r="AK537" s="111"/>
      <c r="AL537" s="111"/>
      <c r="AM537" s="111"/>
      <c r="AN537" s="112"/>
      <c r="AO537" s="113"/>
      <c r="AQ537" s="17"/>
      <c r="AR537" s="17"/>
      <c r="AS537" s="17"/>
      <c r="AT537" s="18">
        <f t="shared" si="653"/>
        <v>0</v>
      </c>
      <c r="AU537" s="19">
        <f t="shared" si="656"/>
        <v>0</v>
      </c>
      <c r="AW537" s="17"/>
      <c r="AX537" s="17"/>
      <c r="AY537" s="17"/>
      <c r="AZ537" s="18">
        <f t="shared" si="654"/>
        <v>0</v>
      </c>
      <c r="BA537" s="19">
        <f t="shared" si="657"/>
        <v>0</v>
      </c>
    </row>
    <row r="538" spans="1:53" ht="17.100000000000001" customHeight="1" x14ac:dyDescent="0.25">
      <c r="A538" s="40"/>
      <c r="B538" s="40"/>
      <c r="C538" s="77"/>
      <c r="D538" s="134"/>
      <c r="E538" s="134"/>
      <c r="F538" s="134"/>
      <c r="G538" s="134"/>
      <c r="H538" s="540"/>
      <c r="I538" s="229"/>
      <c r="J538" s="80"/>
      <c r="K538" s="80"/>
      <c r="L538" s="81"/>
      <c r="M538" s="81"/>
      <c r="N538" s="81">
        <f>SUM(N535:N537)</f>
        <v>1</v>
      </c>
      <c r="O538" s="81">
        <f t="shared" ref="O538:V538" si="658">SUM(O535:O537)</f>
        <v>5</v>
      </c>
      <c r="P538" s="81">
        <f t="shared" si="658"/>
        <v>6</v>
      </c>
      <c r="Q538" s="81">
        <f t="shared" si="658"/>
        <v>3</v>
      </c>
      <c r="R538" s="81">
        <f t="shared" si="658"/>
        <v>5</v>
      </c>
      <c r="S538" s="81">
        <f t="shared" si="658"/>
        <v>8</v>
      </c>
      <c r="T538" s="81">
        <f t="shared" si="658"/>
        <v>0</v>
      </c>
      <c r="U538" s="81">
        <f t="shared" si="658"/>
        <v>0</v>
      </c>
      <c r="V538" s="81">
        <f t="shared" si="658"/>
        <v>0</v>
      </c>
      <c r="W538" s="381">
        <f>SUM(W535:W537)</f>
        <v>4</v>
      </c>
      <c r="X538" s="82">
        <f t="shared" ref="X538:Y538" si="659">SUM(X535:X537)</f>
        <v>10</v>
      </c>
      <c r="Y538" s="82">
        <f t="shared" si="659"/>
        <v>14</v>
      </c>
      <c r="Z538" s="205">
        <f t="shared" si="655"/>
        <v>1</v>
      </c>
      <c r="AA538" s="205"/>
      <c r="AB538" s="205"/>
      <c r="AC538" s="83"/>
      <c r="AE538" s="80"/>
      <c r="AF538" s="80"/>
      <c r="AG538" s="81"/>
      <c r="AH538" s="82"/>
      <c r="AI538" s="66"/>
      <c r="AK538" s="80"/>
      <c r="AL538" s="80"/>
      <c r="AM538" s="81"/>
      <c r="AN538" s="82"/>
      <c r="AO538" s="66"/>
      <c r="AQ538" s="80"/>
      <c r="AR538" s="80"/>
      <c r="AS538" s="81"/>
      <c r="AT538" s="82">
        <f>SUM(AT535:AT537)</f>
        <v>4</v>
      </c>
      <c r="AU538" s="66">
        <f t="shared" si="656"/>
        <v>1</v>
      </c>
      <c r="AW538" s="80"/>
      <c r="AX538" s="80"/>
      <c r="AY538" s="81"/>
      <c r="AZ538" s="82">
        <f>SUM(AZ535:AZ537)</f>
        <v>10</v>
      </c>
      <c r="BA538" s="66">
        <f t="shared" si="657"/>
        <v>1</v>
      </c>
    </row>
    <row r="539" spans="1:53" s="117" customFormat="1" ht="17.100000000000001" customHeight="1" x14ac:dyDescent="0.25">
      <c r="A539" s="68"/>
      <c r="B539" s="119"/>
      <c r="C539" s="540"/>
      <c r="D539" s="261"/>
      <c r="E539" s="261"/>
      <c r="F539" s="68"/>
      <c r="G539" s="68"/>
      <c r="H539" s="119"/>
      <c r="I539" s="138"/>
      <c r="J539" s="17"/>
      <c r="K539" s="17"/>
      <c r="L539" s="17"/>
      <c r="M539" s="17"/>
      <c r="N539" s="17" t="str">
        <f>IF(N538=N$20,"OK","NOK")</f>
        <v>OK</v>
      </c>
      <c r="O539" s="17" t="str">
        <f>IF(O538=O$20,"OK","NOK")</f>
        <v>OK</v>
      </c>
      <c r="P539" s="17"/>
      <c r="Q539" s="17" t="str">
        <f>IF(Q538=Q$20,"OK","NOK")</f>
        <v>OK</v>
      </c>
      <c r="R539" s="17" t="str">
        <f>IF(R538=R$20,"OK","NOK")</f>
        <v>OK</v>
      </c>
      <c r="S539" s="17"/>
      <c r="T539" s="17" t="str">
        <f>IF(T538=T$20,"OK","NOK")</f>
        <v>OK</v>
      </c>
      <c r="U539" s="17" t="str">
        <f>IF(U538=U$20,"OK","NOK")</f>
        <v>OK</v>
      </c>
      <c r="V539" s="359"/>
      <c r="W539" s="382"/>
      <c r="X539" s="539"/>
      <c r="Y539" s="539"/>
      <c r="Z539" s="201"/>
      <c r="AA539" s="201"/>
      <c r="AB539" s="201"/>
      <c r="AC539" s="84"/>
      <c r="AE539" s="46"/>
      <c r="AF539" s="46"/>
      <c r="AG539" s="17"/>
      <c r="AH539" s="539"/>
      <c r="AI539" s="91"/>
      <c r="AK539" s="46"/>
      <c r="AL539" s="46"/>
      <c r="AM539" s="17"/>
      <c r="AN539" s="539"/>
      <c r="AO539" s="91"/>
      <c r="AQ539" s="46"/>
      <c r="AR539" s="46"/>
      <c r="AS539" s="17"/>
      <c r="AT539" s="539"/>
      <c r="AU539" s="91"/>
      <c r="AW539" s="46"/>
      <c r="AX539" s="46"/>
      <c r="AY539" s="17"/>
      <c r="AZ539" s="539"/>
      <c r="BA539" s="91"/>
    </row>
    <row r="540" spans="1:53" s="117" customFormat="1" ht="17.100000000000001" customHeight="1" x14ac:dyDescent="0.25">
      <c r="A540" s="68"/>
      <c r="B540" s="119"/>
      <c r="C540" s="56" t="s">
        <v>672</v>
      </c>
      <c r="D540" s="146" t="s">
        <v>673</v>
      </c>
      <c r="E540" s="149"/>
      <c r="F540" s="149"/>
      <c r="G540" s="151"/>
      <c r="H540" s="119"/>
      <c r="I540" s="138"/>
      <c r="J540" s="111"/>
      <c r="K540" s="111"/>
      <c r="L540" s="111"/>
      <c r="M540" s="111"/>
      <c r="N540" s="111"/>
      <c r="O540" s="111"/>
      <c r="P540" s="336">
        <v>1</v>
      </c>
      <c r="Q540" s="341"/>
      <c r="R540" s="341"/>
      <c r="S540" s="336">
        <v>0.5</v>
      </c>
      <c r="T540" s="341"/>
      <c r="U540" s="341"/>
      <c r="V540" s="368"/>
      <c r="W540" s="382"/>
      <c r="X540" s="539"/>
      <c r="Y540" s="539"/>
      <c r="Z540" s="201"/>
      <c r="AA540" s="340">
        <f>MIN(P540,S540,V540)</f>
        <v>0.5</v>
      </c>
      <c r="AB540" s="340">
        <f>MAX(P540,S540,V540)</f>
        <v>1</v>
      </c>
      <c r="AC540" s="340">
        <f>IF(P540+S540+V540=0,0,AVERAGE(P540,S540,V540))</f>
        <v>0.75</v>
      </c>
      <c r="AE540" s="152"/>
      <c r="AF540" s="152"/>
      <c r="AG540" s="111"/>
      <c r="AH540" s="545"/>
      <c r="AI540" s="131"/>
      <c r="AK540" s="152"/>
      <c r="AL540" s="152"/>
      <c r="AM540" s="111"/>
      <c r="AN540" s="545"/>
      <c r="AO540" s="131"/>
      <c r="AQ540" s="152"/>
      <c r="AR540" s="152"/>
      <c r="AS540" s="111"/>
      <c r="AT540" s="545"/>
      <c r="AU540" s="131"/>
      <c r="AW540" s="152"/>
      <c r="AX540" s="152"/>
      <c r="AY540" s="111"/>
      <c r="AZ540" s="545"/>
      <c r="BA540" s="131"/>
    </row>
    <row r="541" spans="1:53" s="117" customFormat="1" ht="17.100000000000001" customHeight="1" x14ac:dyDescent="0.25">
      <c r="A541" s="68"/>
      <c r="B541" s="119"/>
      <c r="C541" s="92"/>
      <c r="D541" s="261"/>
      <c r="E541" s="261"/>
      <c r="F541" s="68"/>
      <c r="G541" s="68"/>
      <c r="H541" s="119"/>
      <c r="I541" s="138"/>
      <c r="J541" s="17"/>
      <c r="K541" s="17"/>
      <c r="L541" s="17"/>
      <c r="M541" s="17"/>
      <c r="N541" s="17"/>
      <c r="O541" s="17"/>
      <c r="P541" s="17"/>
      <c r="Q541" s="17"/>
      <c r="R541" s="17"/>
      <c r="S541" s="17"/>
      <c r="T541" s="17"/>
      <c r="U541" s="17"/>
      <c r="V541" s="359"/>
      <c r="W541" s="382"/>
      <c r="X541" s="539"/>
      <c r="Y541" s="539"/>
      <c r="Z541" s="201"/>
      <c r="AA541" s="201"/>
      <c r="AB541" s="201"/>
      <c r="AC541" s="84"/>
      <c r="AE541" s="46"/>
      <c r="AF541" s="46"/>
      <c r="AG541" s="17"/>
      <c r="AH541" s="539"/>
      <c r="AI541" s="91"/>
      <c r="AK541" s="46"/>
      <c r="AL541" s="46"/>
      <c r="AM541" s="17"/>
      <c r="AN541" s="539"/>
      <c r="AO541" s="91"/>
      <c r="AQ541" s="46"/>
      <c r="AR541" s="46"/>
      <c r="AS541" s="17"/>
      <c r="AT541" s="539"/>
      <c r="AU541" s="91"/>
      <c r="AW541" s="46"/>
      <c r="AX541" s="46"/>
      <c r="AY541" s="17"/>
      <c r="AZ541" s="539"/>
      <c r="BA541" s="91"/>
    </row>
    <row r="542" spans="1:53" ht="17.100000000000001" customHeight="1" x14ac:dyDescent="0.25">
      <c r="A542" s="68"/>
      <c r="B542" s="41" t="s">
        <v>313</v>
      </c>
      <c r="C542" s="69" t="s">
        <v>492</v>
      </c>
      <c r="D542" s="50"/>
      <c r="E542" s="70"/>
      <c r="F542" s="70"/>
      <c r="G542" s="70"/>
      <c r="H542" s="119"/>
      <c r="J542" s="71"/>
      <c r="K542" s="71"/>
      <c r="L542" s="71"/>
      <c r="M542" s="71"/>
      <c r="N542" s="71"/>
      <c r="O542" s="71"/>
      <c r="P542" s="71"/>
      <c r="Q542" s="71"/>
      <c r="R542" s="71"/>
      <c r="S542" s="71"/>
      <c r="T542" s="71"/>
      <c r="U542" s="71"/>
      <c r="V542" s="355"/>
      <c r="W542" s="377"/>
      <c r="X542" s="71"/>
      <c r="Y542" s="72"/>
      <c r="Z542" s="73"/>
      <c r="AA542" s="73"/>
      <c r="AB542" s="73"/>
      <c r="AC542" s="73"/>
      <c r="AE542" s="71"/>
      <c r="AF542" s="71"/>
      <c r="AG542" s="71"/>
      <c r="AH542" s="72"/>
      <c r="AI542" s="73"/>
      <c r="AK542" s="71"/>
      <c r="AL542" s="71"/>
      <c r="AM542" s="71"/>
      <c r="AN542" s="72"/>
      <c r="AO542" s="73"/>
      <c r="AQ542" s="71"/>
      <c r="AR542" s="71"/>
      <c r="AS542" s="71"/>
      <c r="AT542" s="72"/>
      <c r="AU542" s="73"/>
      <c r="AW542" s="71"/>
      <c r="AX542" s="71"/>
      <c r="AY542" s="71"/>
      <c r="AZ542" s="72"/>
      <c r="BA542" s="73"/>
    </row>
    <row r="543" spans="1:53" ht="17.100000000000001" customHeight="1" x14ac:dyDescent="0.25">
      <c r="A543" s="119"/>
      <c r="B543" s="119"/>
      <c r="C543" s="56" t="s">
        <v>314</v>
      </c>
      <c r="D543" s="149" t="s">
        <v>129</v>
      </c>
      <c r="E543" s="105"/>
      <c r="F543" s="105"/>
      <c r="G543" s="105"/>
      <c r="H543" s="119"/>
      <c r="J543" s="111"/>
      <c r="K543" s="111"/>
      <c r="L543" s="111"/>
      <c r="M543" s="111"/>
      <c r="N543" s="598"/>
      <c r="O543" s="598"/>
      <c r="P543" s="327"/>
      <c r="Q543" s="598"/>
      <c r="R543" s="598"/>
      <c r="S543" s="327"/>
      <c r="T543" s="598"/>
      <c r="U543" s="598"/>
      <c r="V543" s="369"/>
      <c r="W543" s="391"/>
      <c r="X543" s="17"/>
      <c r="Y543" s="328">
        <f>P543+S543+V543</f>
        <v>0</v>
      </c>
      <c r="Z543" s="19">
        <f>IF(Y$546=0,0,Y543/Y$546)</f>
        <v>0</v>
      </c>
      <c r="AA543" s="19"/>
      <c r="AB543" s="19"/>
      <c r="AC543" s="20"/>
      <c r="AE543" s="111"/>
      <c r="AF543" s="111"/>
      <c r="AG543" s="111"/>
      <c r="AH543" s="545"/>
      <c r="AI543" s="131"/>
      <c r="AK543" s="111"/>
      <c r="AL543" s="111"/>
      <c r="AM543" s="111"/>
      <c r="AN543" s="545"/>
      <c r="AO543" s="131"/>
      <c r="AQ543" s="111"/>
      <c r="AR543" s="111"/>
      <c r="AS543" s="111"/>
      <c r="AT543" s="545"/>
      <c r="AU543" s="131"/>
      <c r="AW543" s="111"/>
      <c r="AX543" s="111"/>
      <c r="AY543" s="111"/>
      <c r="AZ543" s="545"/>
      <c r="BA543" s="131"/>
    </row>
    <row r="544" spans="1:53" ht="17.100000000000001" customHeight="1" x14ac:dyDescent="0.25">
      <c r="A544" s="119"/>
      <c r="B544" s="119"/>
      <c r="C544" s="56" t="s">
        <v>327</v>
      </c>
      <c r="D544" s="149" t="s">
        <v>491</v>
      </c>
      <c r="E544" s="105"/>
      <c r="F544" s="105"/>
      <c r="G544" s="105"/>
      <c r="H544" s="119"/>
      <c r="J544" s="599"/>
      <c r="K544" s="599"/>
      <c r="L544" s="599"/>
      <c r="M544" s="599"/>
      <c r="N544" s="598"/>
      <c r="O544" s="598"/>
      <c r="P544" s="329">
        <v>1</v>
      </c>
      <c r="Q544" s="598"/>
      <c r="R544" s="598"/>
      <c r="S544" s="329">
        <v>1</v>
      </c>
      <c r="T544" s="598"/>
      <c r="U544" s="598"/>
      <c r="V544" s="370"/>
      <c r="W544" s="391"/>
      <c r="X544" s="17"/>
      <c r="Y544" s="328">
        <f t="shared" ref="Y544:Y545" si="660">P544+S544+V544</f>
        <v>2</v>
      </c>
      <c r="Z544" s="19">
        <f>IF(Y$546=0,0,Y544/Y$546)</f>
        <v>1</v>
      </c>
      <c r="AA544" s="19"/>
      <c r="AB544" s="19"/>
      <c r="AC544" s="189"/>
      <c r="AE544" s="111"/>
      <c r="AF544" s="111"/>
      <c r="AG544" s="111"/>
      <c r="AH544" s="545"/>
      <c r="AI544" s="131"/>
      <c r="AK544" s="111"/>
      <c r="AL544" s="111"/>
      <c r="AM544" s="111"/>
      <c r="AN544" s="545"/>
      <c r="AO544" s="131"/>
      <c r="AQ544" s="111"/>
      <c r="AR544" s="111"/>
      <c r="AS544" s="111"/>
      <c r="AT544" s="545"/>
      <c r="AU544" s="131"/>
      <c r="AW544" s="111"/>
      <c r="AX544" s="111"/>
      <c r="AY544" s="111"/>
      <c r="AZ544" s="545"/>
      <c r="BA544" s="131"/>
    </row>
    <row r="545" spans="1:53" ht="17.100000000000001" customHeight="1" x14ac:dyDescent="0.25">
      <c r="A545" s="119"/>
      <c r="B545" s="119"/>
      <c r="C545" s="56" t="s">
        <v>328</v>
      </c>
      <c r="D545" s="149" t="s">
        <v>493</v>
      </c>
      <c r="E545" s="105"/>
      <c r="F545" s="105"/>
      <c r="G545" s="105"/>
      <c r="H545" s="119"/>
      <c r="J545" s="111"/>
      <c r="K545" s="111"/>
      <c r="L545" s="111"/>
      <c r="M545" s="111"/>
      <c r="N545" s="598"/>
      <c r="O545" s="598"/>
      <c r="P545" s="327"/>
      <c r="Q545" s="598"/>
      <c r="R545" s="598"/>
      <c r="S545" s="327"/>
      <c r="T545" s="598"/>
      <c r="U545" s="598"/>
      <c r="V545" s="369"/>
      <c r="W545" s="391"/>
      <c r="X545" s="17"/>
      <c r="Y545" s="328">
        <f t="shared" si="660"/>
        <v>0</v>
      </c>
      <c r="Z545" s="19">
        <f>IF(Y$546=0,0,Y545/Y$546)</f>
        <v>0</v>
      </c>
      <c r="AA545" s="19"/>
      <c r="AB545" s="19"/>
      <c r="AC545" s="20"/>
      <c r="AE545" s="111"/>
      <c r="AF545" s="111"/>
      <c r="AG545" s="111"/>
      <c r="AH545" s="545"/>
      <c r="AI545" s="131"/>
      <c r="AK545" s="111"/>
      <c r="AL545" s="111"/>
      <c r="AM545" s="111"/>
      <c r="AN545" s="545"/>
      <c r="AO545" s="131"/>
      <c r="AQ545" s="111"/>
      <c r="AR545" s="111"/>
      <c r="AS545" s="111"/>
      <c r="AT545" s="545"/>
      <c r="AU545" s="131"/>
      <c r="AW545" s="111"/>
      <c r="AX545" s="111"/>
      <c r="AY545" s="111"/>
      <c r="AZ545" s="545"/>
      <c r="BA545" s="131"/>
    </row>
    <row r="546" spans="1:53" ht="17.100000000000001" customHeight="1" x14ac:dyDescent="0.25">
      <c r="A546" s="119"/>
      <c r="B546" s="119"/>
      <c r="C546" s="325"/>
      <c r="D546" s="326"/>
      <c r="E546" s="184"/>
      <c r="F546" s="184"/>
      <c r="G546" s="184"/>
      <c r="H546" s="119"/>
      <c r="J546" s="600"/>
      <c r="K546" s="600"/>
      <c r="L546" s="600"/>
      <c r="M546" s="600"/>
      <c r="N546" s="600"/>
      <c r="O546" s="600"/>
      <c r="P546" s="601">
        <f>SUM(P543:P545)</f>
        <v>1</v>
      </c>
      <c r="Q546" s="600"/>
      <c r="R546" s="600"/>
      <c r="S546" s="601">
        <f>SUM(S543:S545)</f>
        <v>1</v>
      </c>
      <c r="T546" s="600"/>
      <c r="U546" s="600"/>
      <c r="V546" s="602">
        <f>SUM(V543:V545)</f>
        <v>0</v>
      </c>
      <c r="W546" s="381"/>
      <c r="X546" s="82"/>
      <c r="Y546" s="82">
        <f t="shared" ref="Y546" si="661">SUM(Y543:Y545)</f>
        <v>2</v>
      </c>
      <c r="Z546" s="205">
        <f>IF(Y$546=0,0,Y546/Y$546)</f>
        <v>1</v>
      </c>
      <c r="AA546" s="205"/>
      <c r="AB546" s="205"/>
      <c r="AC546" s="204"/>
      <c r="AE546" s="81"/>
      <c r="AF546" s="81"/>
      <c r="AG546" s="81"/>
      <c r="AH546" s="82"/>
      <c r="AI546" s="66"/>
      <c r="AK546" s="81"/>
      <c r="AL546" s="81"/>
      <c r="AM546" s="81"/>
      <c r="AN546" s="82"/>
      <c r="AO546" s="66"/>
      <c r="AQ546" s="81"/>
      <c r="AR546" s="81"/>
      <c r="AS546" s="81"/>
      <c r="AT546" s="82"/>
      <c r="AU546" s="66"/>
      <c r="AW546" s="81"/>
      <c r="AX546" s="81"/>
      <c r="AY546" s="81"/>
      <c r="AZ546" s="82"/>
      <c r="BA546" s="66"/>
    </row>
    <row r="547" spans="1:53" s="117" customFormat="1" ht="17.100000000000001" customHeight="1" x14ac:dyDescent="0.25">
      <c r="A547" s="68"/>
      <c r="B547" s="119"/>
      <c r="C547" s="540"/>
      <c r="D547" s="261"/>
      <c r="E547" s="261"/>
      <c r="F547" s="68"/>
      <c r="G547" s="68"/>
      <c r="H547" s="119"/>
      <c r="I547" s="138"/>
      <c r="J547" s="17"/>
      <c r="K547" s="17"/>
      <c r="L547" s="17"/>
      <c r="M547" s="17"/>
      <c r="N547" s="17"/>
      <c r="O547" s="17"/>
      <c r="P547" s="17" t="str">
        <f>IF(P546=1,"OK","NOK")</f>
        <v>OK</v>
      </c>
      <c r="Q547" s="17"/>
      <c r="R547" s="17"/>
      <c r="S547" s="17" t="str">
        <f>IF(S546=1,"OK","NOK")</f>
        <v>OK</v>
      </c>
      <c r="T547" s="17"/>
      <c r="U547" s="17"/>
      <c r="V547" s="359" t="str">
        <f>IF(V546=1,"OK","NOK")</f>
        <v>NOK</v>
      </c>
      <c r="W547" s="382"/>
      <c r="X547" s="539"/>
      <c r="Y547" s="539"/>
      <c r="Z547" s="201"/>
      <c r="AA547" s="201"/>
      <c r="AB547" s="201"/>
      <c r="AC547" s="84"/>
      <c r="AE547" s="46"/>
      <c r="AF547" s="46"/>
      <c r="AG547" s="17"/>
      <c r="AH547" s="539"/>
      <c r="AI547" s="91"/>
      <c r="AK547" s="46"/>
      <c r="AL547" s="46"/>
      <c r="AM547" s="17"/>
      <c r="AN547" s="539"/>
      <c r="AO547" s="91"/>
      <c r="AQ547" s="46"/>
      <c r="AR547" s="46"/>
      <c r="AS547" s="17"/>
      <c r="AT547" s="539"/>
      <c r="AU547" s="91"/>
      <c r="AW547" s="46"/>
      <c r="AX547" s="46"/>
      <c r="AY547" s="17"/>
      <c r="AZ547" s="539"/>
      <c r="BA547" s="91"/>
    </row>
    <row r="548" spans="1:53" s="117" customFormat="1" ht="17.100000000000001" customHeight="1" x14ac:dyDescent="0.25">
      <c r="A548" s="68"/>
      <c r="B548" s="119"/>
      <c r="C548" s="92"/>
      <c r="D548" s="93"/>
      <c r="E548" s="93"/>
      <c r="F548" s="93"/>
      <c r="G548" s="93"/>
      <c r="H548" s="540"/>
      <c r="I548" s="12"/>
      <c r="J548" s="46"/>
      <c r="K548" s="46"/>
      <c r="L548" s="17"/>
      <c r="M548" s="17"/>
      <c r="N548" s="17"/>
      <c r="O548" s="17"/>
      <c r="P548" s="17"/>
      <c r="Q548" s="17"/>
      <c r="R548" s="17"/>
      <c r="S548" s="17"/>
      <c r="T548" s="17"/>
      <c r="U548" s="17"/>
      <c r="V548" s="359"/>
      <c r="W548" s="391"/>
      <c r="X548" s="17"/>
      <c r="Y548" s="539"/>
      <c r="Z548" s="91"/>
      <c r="AA548" s="91"/>
      <c r="AB548" s="91"/>
      <c r="AC548" s="84"/>
      <c r="AE548" s="46"/>
      <c r="AF548" s="46"/>
      <c r="AG548" s="17"/>
      <c r="AH548" s="539"/>
      <c r="AI548" s="91"/>
      <c r="AK548" s="46"/>
      <c r="AL548" s="46"/>
      <c r="AM548" s="17"/>
      <c r="AN548" s="539"/>
      <c r="AO548" s="91"/>
      <c r="AQ548" s="46"/>
      <c r="AR548" s="46"/>
      <c r="AS548" s="17"/>
      <c r="AT548" s="539"/>
      <c r="AU548" s="91"/>
      <c r="AW548" s="46"/>
      <c r="AX548" s="46"/>
      <c r="AY548" s="17"/>
      <c r="AZ548" s="539"/>
      <c r="BA548" s="91"/>
    </row>
    <row r="549" spans="1:53" ht="17.100000000000001" customHeight="1" x14ac:dyDescent="0.25">
      <c r="A549" s="68"/>
      <c r="B549" s="41" t="s">
        <v>1443</v>
      </c>
      <c r="C549" s="69" t="s">
        <v>12</v>
      </c>
      <c r="D549" s="50"/>
      <c r="E549" s="70"/>
      <c r="F549" s="70"/>
      <c r="G549" s="70"/>
      <c r="H549" s="119"/>
      <c r="J549" s="71"/>
      <c r="K549" s="71"/>
      <c r="L549" s="71"/>
      <c r="M549" s="71"/>
      <c r="N549" s="71"/>
      <c r="O549" s="71"/>
      <c r="P549" s="71"/>
      <c r="Q549" s="71"/>
      <c r="R549" s="71"/>
      <c r="S549" s="71"/>
      <c r="T549" s="71"/>
      <c r="U549" s="71"/>
      <c r="V549" s="355"/>
      <c r="W549" s="377"/>
      <c r="X549" s="71"/>
      <c r="Y549" s="72"/>
      <c r="Z549" s="73"/>
      <c r="AA549" s="73"/>
      <c r="AB549" s="73"/>
      <c r="AC549" s="73"/>
      <c r="AE549" s="71"/>
      <c r="AF549" s="71"/>
      <c r="AG549" s="71"/>
      <c r="AH549" s="72"/>
      <c r="AI549" s="73"/>
      <c r="AK549" s="71"/>
      <c r="AL549" s="71"/>
      <c r="AM549" s="71"/>
      <c r="AN549" s="72"/>
      <c r="AO549" s="73"/>
      <c r="AQ549" s="71"/>
      <c r="AR549" s="71"/>
      <c r="AS549" s="71"/>
      <c r="AT549" s="72"/>
      <c r="AU549" s="73"/>
      <c r="AW549" s="71"/>
      <c r="AX549" s="71"/>
      <c r="AY549" s="71"/>
      <c r="AZ549" s="72"/>
      <c r="BA549" s="73"/>
    </row>
    <row r="550" spans="1:53" ht="17.100000000000001" customHeight="1" x14ac:dyDescent="0.25">
      <c r="A550" s="40"/>
      <c r="B550" s="40"/>
      <c r="C550" s="74" t="s">
        <v>1444</v>
      </c>
      <c r="D550" s="931" t="s">
        <v>315</v>
      </c>
      <c r="E550" s="75"/>
      <c r="F550" s="75"/>
      <c r="G550" s="75"/>
      <c r="H550" s="928"/>
      <c r="I550" s="12"/>
      <c r="J550" s="152"/>
      <c r="K550" s="152"/>
      <c r="L550" s="152"/>
      <c r="M550" s="152"/>
      <c r="N550" s="152">
        <f>IF(N20&gt;0,1,0)</f>
        <v>1</v>
      </c>
      <c r="O550" s="152">
        <f>IF(O20&gt;0,1,0)</f>
        <v>1</v>
      </c>
      <c r="P550" s="152"/>
      <c r="Q550" s="152">
        <f>IF(Q20&gt;0,1,0)</f>
        <v>1</v>
      </c>
      <c r="R550" s="152">
        <f>IF(R20&gt;0,1,0)</f>
        <v>1</v>
      </c>
      <c r="S550" s="152"/>
      <c r="T550" s="152">
        <f>IF(T20&gt;0,1,0)</f>
        <v>0</v>
      </c>
      <c r="U550" s="152">
        <f>IF(U20&gt;0,1,0)</f>
        <v>0</v>
      </c>
      <c r="V550" s="152"/>
      <c r="W550" s="389"/>
      <c r="X550" s="152"/>
      <c r="Y550" s="932"/>
      <c r="Z550" s="131"/>
      <c r="AA550" s="131"/>
      <c r="AB550" s="131"/>
      <c r="AC550" s="113"/>
      <c r="AE550" s="152"/>
      <c r="AF550" s="152"/>
      <c r="AG550" s="152"/>
      <c r="AH550" s="932"/>
      <c r="AI550" s="131"/>
      <c r="AK550" s="152"/>
      <c r="AL550" s="152"/>
      <c r="AM550" s="152"/>
      <c r="AN550" s="932"/>
      <c r="AO550" s="131"/>
      <c r="AQ550" s="152"/>
      <c r="AR550" s="152"/>
      <c r="AS550" s="152"/>
      <c r="AT550" s="932"/>
      <c r="AU550" s="131"/>
      <c r="AW550" s="152"/>
      <c r="AX550" s="152"/>
      <c r="AY550" s="152"/>
      <c r="AZ550" s="932"/>
      <c r="BA550" s="131"/>
    </row>
    <row r="551" spans="1:53" ht="17.100000000000001" customHeight="1" x14ac:dyDescent="0.25">
      <c r="A551" s="119"/>
      <c r="B551" s="40"/>
      <c r="C551" s="40"/>
      <c r="D551" s="128" t="s">
        <v>1017</v>
      </c>
      <c r="E551" s="122"/>
      <c r="F551" s="122"/>
      <c r="G551" s="122"/>
      <c r="H551" s="928"/>
      <c r="I551" s="12"/>
      <c r="J551" s="190"/>
      <c r="K551" s="190"/>
      <c r="L551" s="190"/>
      <c r="M551" s="190"/>
      <c r="N551" s="570">
        <f>IF(N508=0,0,N506/N508)*0.5</f>
        <v>0</v>
      </c>
      <c r="O551" s="570">
        <f>IF(O508=0,0,O506/O508)*0.5</f>
        <v>0</v>
      </c>
      <c r="P551" s="190"/>
      <c r="Q551" s="570">
        <f>IF(Q508=0,0,Q506/Q508)*0.5</f>
        <v>0.16666666666666666</v>
      </c>
      <c r="R551" s="570">
        <f>IF(R508=0,0,R506/R508)*0.5</f>
        <v>0.1</v>
      </c>
      <c r="S551" s="190"/>
      <c r="T551" s="570">
        <f>IF(T508=0,0,T506/T508)*0.5</f>
        <v>0</v>
      </c>
      <c r="U551" s="570">
        <f>IF(U508=0,0,U506/U508)*0.5</f>
        <v>0</v>
      </c>
      <c r="V551" s="371"/>
      <c r="W551" s="393"/>
      <c r="X551" s="190"/>
      <c r="Y551" s="129"/>
      <c r="Z551" s="130"/>
      <c r="AA551" s="130"/>
      <c r="AB551" s="130"/>
      <c r="AC551" s="125"/>
      <c r="AE551" s="190"/>
      <c r="AF551" s="190"/>
      <c r="AG551" s="190"/>
      <c r="AH551" s="129"/>
      <c r="AI551" s="130"/>
      <c r="AK551" s="190"/>
      <c r="AL551" s="190"/>
      <c r="AM551" s="190"/>
      <c r="AN551" s="129"/>
      <c r="AO551" s="130"/>
      <c r="AQ551" s="190"/>
      <c r="AR551" s="190"/>
      <c r="AS551" s="190"/>
      <c r="AT551" s="129"/>
      <c r="AU551" s="130"/>
      <c r="AW551" s="190"/>
      <c r="AX551" s="190"/>
      <c r="AY551" s="190"/>
      <c r="AZ551" s="129"/>
      <c r="BA551" s="130"/>
    </row>
    <row r="552" spans="1:53" ht="17.100000000000001" customHeight="1" x14ac:dyDescent="0.25">
      <c r="A552" s="119"/>
      <c r="B552" s="40"/>
      <c r="C552" s="40"/>
      <c r="D552" s="128" t="s">
        <v>1018</v>
      </c>
      <c r="E552" s="122"/>
      <c r="F552" s="122"/>
      <c r="G552" s="122"/>
      <c r="H552" s="928"/>
      <c r="I552" s="12"/>
      <c r="J552" s="190"/>
      <c r="K552" s="190"/>
      <c r="L552" s="190"/>
      <c r="M552" s="190"/>
      <c r="N552" s="570">
        <f>IF(N508=0,0,N507/N508)*1</f>
        <v>0</v>
      </c>
      <c r="O552" s="570">
        <f>IF(O508=0,0,O507/O508)*1</f>
        <v>0.2</v>
      </c>
      <c r="P552" s="190"/>
      <c r="Q552" s="570">
        <f>IF(Q508=0,0,Q507/Q508)*1</f>
        <v>0.66666666666666663</v>
      </c>
      <c r="R552" s="570">
        <f>IF(R508=0,0,R507/R508)*1</f>
        <v>0.8</v>
      </c>
      <c r="S552" s="190"/>
      <c r="T552" s="570">
        <f>IF(T508=0,0,T507/T508)*1</f>
        <v>0</v>
      </c>
      <c r="U552" s="570">
        <f>IF(U508=0,0,U507/U508)*1</f>
        <v>0</v>
      </c>
      <c r="V552" s="371"/>
      <c r="W552" s="393"/>
      <c r="X552" s="190"/>
      <c r="Y552" s="129"/>
      <c r="Z552" s="130"/>
      <c r="AA552" s="130"/>
      <c r="AB552" s="130"/>
      <c r="AC552" s="125"/>
      <c r="AE552" s="190"/>
      <c r="AF552" s="190"/>
      <c r="AG552" s="190"/>
      <c r="AH552" s="129"/>
      <c r="AI552" s="130"/>
      <c r="AK552" s="190"/>
      <c r="AL552" s="190"/>
      <c r="AM552" s="190"/>
      <c r="AN552" s="129"/>
      <c r="AO552" s="130"/>
      <c r="AQ552" s="190"/>
      <c r="AR552" s="190"/>
      <c r="AS552" s="190"/>
      <c r="AT552" s="129"/>
      <c r="AU552" s="130"/>
      <c r="AW552" s="190"/>
      <c r="AX552" s="190"/>
      <c r="AY552" s="190"/>
      <c r="AZ552" s="129"/>
      <c r="BA552" s="130"/>
    </row>
    <row r="553" spans="1:53" ht="17.100000000000001" customHeight="1" x14ac:dyDescent="0.25">
      <c r="A553" s="119"/>
      <c r="B553" s="40"/>
      <c r="C553" s="40"/>
      <c r="D553" s="128" t="s">
        <v>316</v>
      </c>
      <c r="E553" s="122"/>
      <c r="F553" s="122"/>
      <c r="G553" s="122"/>
      <c r="H553" s="928"/>
      <c r="I553" s="12"/>
      <c r="J553" s="190"/>
      <c r="K553" s="190"/>
      <c r="L553" s="190"/>
      <c r="M553" s="190"/>
      <c r="N553" s="570">
        <f>IF(N515=0,0,N513/N515)*0.5</f>
        <v>0</v>
      </c>
      <c r="O553" s="570">
        <f>IF(O515=0,0,O513/O515)*0.5</f>
        <v>0</v>
      </c>
      <c r="P553" s="190"/>
      <c r="Q553" s="570">
        <f>IF(Q515=0,0,Q513/Q515)*0.5</f>
        <v>0.5</v>
      </c>
      <c r="R553" s="570">
        <f>IF(R515=0,0,R513/R515)*0.5</f>
        <v>0.5</v>
      </c>
      <c r="S553" s="190"/>
      <c r="T553" s="570">
        <f>IF(T515=0,0,T513/T515)*0.5</f>
        <v>0</v>
      </c>
      <c r="U553" s="570">
        <f>IF(U515=0,0,U513/U515)*0.5</f>
        <v>0</v>
      </c>
      <c r="V553" s="371"/>
      <c r="W553" s="393"/>
      <c r="X553" s="190"/>
      <c r="Y553" s="129"/>
      <c r="Z553" s="130"/>
      <c r="AA553" s="130"/>
      <c r="AB553" s="130"/>
      <c r="AC553" s="125"/>
      <c r="AE553" s="190"/>
      <c r="AF553" s="190"/>
      <c r="AG553" s="190"/>
      <c r="AH553" s="129"/>
      <c r="AI553" s="130"/>
      <c r="AK553" s="190"/>
      <c r="AL553" s="190"/>
      <c r="AM553" s="190"/>
      <c r="AN553" s="129"/>
      <c r="AO553" s="130"/>
      <c r="AQ553" s="190"/>
      <c r="AR553" s="190"/>
      <c r="AS553" s="190"/>
      <c r="AT553" s="129"/>
      <c r="AU553" s="130"/>
      <c r="AW553" s="190"/>
      <c r="AX553" s="190"/>
      <c r="AY553" s="190"/>
      <c r="AZ553" s="129"/>
      <c r="BA553" s="130"/>
    </row>
    <row r="554" spans="1:53" ht="17.100000000000001" customHeight="1" x14ac:dyDescent="0.25">
      <c r="A554" s="119"/>
      <c r="B554" s="40"/>
      <c r="C554" s="40"/>
      <c r="D554" s="128" t="s">
        <v>317</v>
      </c>
      <c r="E554" s="122"/>
      <c r="F554" s="122"/>
      <c r="G554" s="122"/>
      <c r="H554" s="928"/>
      <c r="I554" s="12"/>
      <c r="J554" s="190"/>
      <c r="K554" s="190"/>
      <c r="L554" s="190"/>
      <c r="M554" s="190"/>
      <c r="N554" s="570">
        <f>IF(N515=0,0,N514/N515)*1</f>
        <v>0</v>
      </c>
      <c r="O554" s="570">
        <f>IF(O515=0,0,O514/O515)*1</f>
        <v>0.6</v>
      </c>
      <c r="P554" s="190"/>
      <c r="Q554" s="570">
        <f>IF(Q515=0,0,Q514/Q515)*1</f>
        <v>0</v>
      </c>
      <c r="R554" s="570">
        <f>IF(R515=0,0,R514/R515)*1</f>
        <v>0</v>
      </c>
      <c r="S554" s="190"/>
      <c r="T554" s="570">
        <f>IF(T515=0,0,T514/T515)*1</f>
        <v>0</v>
      </c>
      <c r="U554" s="570">
        <f>IF(U515=0,0,U514/U515)*1</f>
        <v>0</v>
      </c>
      <c r="V554" s="371"/>
      <c r="W554" s="393"/>
      <c r="X554" s="190"/>
      <c r="Y554" s="129"/>
      <c r="Z554" s="130"/>
      <c r="AA554" s="130"/>
      <c r="AB554" s="130"/>
      <c r="AC554" s="125"/>
      <c r="AE554" s="190"/>
      <c r="AF554" s="190"/>
      <c r="AG554" s="190"/>
      <c r="AH554" s="129"/>
      <c r="AI554" s="130"/>
      <c r="AK554" s="190"/>
      <c r="AL554" s="190"/>
      <c r="AM554" s="190"/>
      <c r="AN554" s="129"/>
      <c r="AO554" s="130"/>
      <c r="AQ554" s="190"/>
      <c r="AR554" s="190"/>
      <c r="AS554" s="190"/>
      <c r="AT554" s="129"/>
      <c r="AU554" s="130"/>
      <c r="AW554" s="190"/>
      <c r="AX554" s="190"/>
      <c r="AY554" s="190"/>
      <c r="AZ554" s="129"/>
      <c r="BA554" s="130"/>
    </row>
    <row r="555" spans="1:53" ht="17.100000000000001" customHeight="1" x14ac:dyDescent="0.25">
      <c r="A555" s="137"/>
      <c r="B555" s="40"/>
      <c r="C555" s="40"/>
      <c r="D555" s="128" t="s">
        <v>1019</v>
      </c>
      <c r="E555" s="122"/>
      <c r="F555" s="122"/>
      <c r="G555" s="122"/>
      <c r="H555" s="928"/>
      <c r="I555" s="12"/>
      <c r="J555" s="190"/>
      <c r="K555" s="190"/>
      <c r="L555" s="190"/>
      <c r="M555" s="190"/>
      <c r="N555" s="570"/>
      <c r="O555" s="570"/>
      <c r="P555" s="190"/>
      <c r="Q555" s="570"/>
      <c r="R555" s="570"/>
      <c r="S555" s="190"/>
      <c r="T555" s="570"/>
      <c r="U555" s="570"/>
      <c r="V555" s="371"/>
      <c r="W555" s="393"/>
      <c r="X555" s="190"/>
      <c r="Y555" s="129"/>
      <c r="Z555" s="130"/>
      <c r="AA555" s="130"/>
      <c r="AB555" s="130"/>
      <c r="AC555" s="125"/>
      <c r="AE555" s="190"/>
      <c r="AF555" s="190"/>
      <c r="AG555" s="190"/>
      <c r="AH555" s="129"/>
      <c r="AI555" s="130"/>
      <c r="AK555" s="190"/>
      <c r="AL555" s="190"/>
      <c r="AM555" s="190"/>
      <c r="AN555" s="129"/>
      <c r="AO555" s="130"/>
      <c r="AQ555" s="190"/>
      <c r="AR555" s="190"/>
      <c r="AS555" s="190"/>
      <c r="AT555" s="129"/>
      <c r="AU555" s="130"/>
      <c r="AW555" s="190"/>
      <c r="AX555" s="190"/>
      <c r="AY555" s="190"/>
      <c r="AZ555" s="129"/>
      <c r="BA555" s="130"/>
    </row>
    <row r="556" spans="1:53" ht="17.100000000000001" customHeight="1" x14ac:dyDescent="0.25">
      <c r="A556" s="119"/>
      <c r="B556" s="40"/>
      <c r="C556" s="40"/>
      <c r="D556" s="128" t="s">
        <v>318</v>
      </c>
      <c r="E556" s="122"/>
      <c r="F556" s="122"/>
      <c r="G556" s="122"/>
      <c r="H556" s="928"/>
      <c r="I556" s="12"/>
      <c r="J556" s="190"/>
      <c r="K556" s="190"/>
      <c r="L556" s="190"/>
      <c r="M556" s="190"/>
      <c r="N556" s="570">
        <f>IF(N533=0,0,(SUM(N524:N525)+N522+N527)/N533)</f>
        <v>0</v>
      </c>
      <c r="O556" s="570">
        <f>IF(O533=0,0,(SUM(O524:O525)+O522+O527)/O533)</f>
        <v>0.4</v>
      </c>
      <c r="P556" s="190"/>
      <c r="Q556" s="570">
        <f>IF(Q533=0,0,(SUM(Q524:Q525)+Q522+Q527)/Q533)</f>
        <v>0</v>
      </c>
      <c r="R556" s="570">
        <f>IF(R533=0,0,(SUM(R524:R525)+R522+R527)/R533)</f>
        <v>0</v>
      </c>
      <c r="S556" s="190"/>
      <c r="T556" s="570">
        <f>IF(T533=0,0,(SUM(T524:T525)+T522+T527)/T533)</f>
        <v>0</v>
      </c>
      <c r="U556" s="570">
        <f>IF(U533=0,0,(SUM(U524:U525)+U522+U527)/U533)</f>
        <v>0</v>
      </c>
      <c r="V556" s="371"/>
      <c r="W556" s="393"/>
      <c r="X556" s="190"/>
      <c r="Y556" s="129"/>
      <c r="Z556" s="130"/>
      <c r="AA556" s="130"/>
      <c r="AB556" s="130"/>
      <c r="AC556" s="125"/>
      <c r="AE556" s="190"/>
      <c r="AF556" s="190"/>
      <c r="AG556" s="190"/>
      <c r="AH556" s="129"/>
      <c r="AI556" s="130"/>
      <c r="AK556" s="190"/>
      <c r="AL556" s="190"/>
      <c r="AM556" s="190"/>
      <c r="AN556" s="129"/>
      <c r="AO556" s="130"/>
      <c r="AQ556" s="190"/>
      <c r="AR556" s="190"/>
      <c r="AS556" s="190"/>
      <c r="AT556" s="129"/>
      <c r="AU556" s="130"/>
      <c r="AW556" s="190"/>
      <c r="AX556" s="190"/>
      <c r="AY556" s="190"/>
      <c r="AZ556" s="129"/>
      <c r="BA556" s="130"/>
    </row>
    <row r="557" spans="1:53" ht="17.100000000000001" customHeight="1" x14ac:dyDescent="0.25">
      <c r="A557" s="137"/>
      <c r="B557" s="40"/>
      <c r="C557" s="40"/>
      <c r="D557" s="128" t="s">
        <v>319</v>
      </c>
      <c r="E557" s="122"/>
      <c r="F557" s="122"/>
      <c r="G557" s="122"/>
      <c r="H557" s="928"/>
      <c r="I557" s="12"/>
      <c r="J557" s="190"/>
      <c r="K557" s="190"/>
      <c r="L557" s="190"/>
      <c r="M557" s="190"/>
      <c r="N557" s="570">
        <f>IF(N538=0,0,(N535/N538)*0.5)</f>
        <v>0.5</v>
      </c>
      <c r="O557" s="570">
        <f>IF(O538=0,0,(O535/O538)*0.5)</f>
        <v>0.5</v>
      </c>
      <c r="P557" s="190"/>
      <c r="Q557" s="570">
        <f>IF(Q538=0,0,(Q535/Q538)*0.5)</f>
        <v>0.5</v>
      </c>
      <c r="R557" s="570">
        <f>IF(R538=0,0,(R535/R538)*0.5)</f>
        <v>0.5</v>
      </c>
      <c r="S557" s="190"/>
      <c r="T557" s="570">
        <f>IF(T538=0,0,(T535/T538)*0.5)</f>
        <v>0</v>
      </c>
      <c r="U557" s="570">
        <f>IF(U538=0,0,(U535/U538)*0.5)</f>
        <v>0</v>
      </c>
      <c r="V557" s="371"/>
      <c r="W557" s="393"/>
      <c r="X557" s="190"/>
      <c r="Y557" s="129"/>
      <c r="Z557" s="130"/>
      <c r="AA557" s="130"/>
      <c r="AB557" s="130"/>
      <c r="AC557" s="125"/>
      <c r="AE557" s="190"/>
      <c r="AF557" s="190"/>
      <c r="AG557" s="190"/>
      <c r="AH557" s="129"/>
      <c r="AI557" s="130"/>
      <c r="AK557" s="190"/>
      <c r="AL557" s="190"/>
      <c r="AM557" s="190"/>
      <c r="AN557" s="129"/>
      <c r="AO557" s="130"/>
      <c r="AQ557" s="190"/>
      <c r="AR557" s="190"/>
      <c r="AS557" s="190"/>
      <c r="AT557" s="129"/>
      <c r="AU557" s="130"/>
      <c r="AW557" s="190"/>
      <c r="AX557" s="190"/>
      <c r="AY557" s="190"/>
      <c r="AZ557" s="129"/>
      <c r="BA557" s="130"/>
    </row>
    <row r="558" spans="1:53" ht="17.100000000000001" customHeight="1" x14ac:dyDescent="0.25">
      <c r="A558" s="119"/>
      <c r="B558" s="40"/>
      <c r="C558" s="40"/>
      <c r="D558" s="128" t="s">
        <v>320</v>
      </c>
      <c r="E558" s="122"/>
      <c r="F558" s="122"/>
      <c r="G558" s="122"/>
      <c r="H558" s="928"/>
      <c r="I558" s="12"/>
      <c r="J558" s="190"/>
      <c r="K558" s="190"/>
      <c r="L558" s="190"/>
      <c r="M558" s="190"/>
      <c r="N558" s="570">
        <f>SUM(N551:N557)</f>
        <v>0.5</v>
      </c>
      <c r="O558" s="570">
        <f>SUM(O551:O557)</f>
        <v>1.7000000000000002</v>
      </c>
      <c r="P558" s="190"/>
      <c r="Q558" s="570">
        <f>SUM(Q551:Q557)</f>
        <v>1.8333333333333333</v>
      </c>
      <c r="R558" s="570">
        <f>SUM(R551:R557)</f>
        <v>1.9</v>
      </c>
      <c r="S558" s="190"/>
      <c r="T558" s="570">
        <f>SUM(T551:T557)</f>
        <v>0</v>
      </c>
      <c r="U558" s="570">
        <f>SUM(U551:U557)</f>
        <v>0</v>
      </c>
      <c r="V558" s="371"/>
      <c r="W558" s="393"/>
      <c r="X558" s="190"/>
      <c r="Y558" s="129"/>
      <c r="Z558" s="130"/>
      <c r="AA558" s="130"/>
      <c r="AB558" s="130"/>
      <c r="AC558" s="125"/>
      <c r="AE558" s="190"/>
      <c r="AF558" s="190"/>
      <c r="AG558" s="190"/>
      <c r="AH558" s="129"/>
      <c r="AI558" s="130"/>
      <c r="AK558" s="190"/>
      <c r="AL558" s="190"/>
      <c r="AM558" s="190"/>
      <c r="AN558" s="129"/>
      <c r="AO558" s="130"/>
      <c r="AQ558" s="190"/>
      <c r="AR558" s="190"/>
      <c r="AS558" s="190"/>
      <c r="AT558" s="129"/>
      <c r="AU558" s="130"/>
      <c r="AW558" s="190"/>
      <c r="AX558" s="190"/>
      <c r="AY558" s="190"/>
      <c r="AZ558" s="129"/>
      <c r="BA558" s="130"/>
    </row>
    <row r="559" spans="1:53" ht="17.100000000000001" customHeight="1" x14ac:dyDescent="0.25">
      <c r="A559" s="119"/>
      <c r="B559" s="40"/>
      <c r="C559" s="40"/>
      <c r="D559" s="128" t="s">
        <v>321</v>
      </c>
      <c r="E559" s="122"/>
      <c r="F559" s="122"/>
      <c r="G559" s="122"/>
      <c r="H559" s="928"/>
      <c r="I559" s="12"/>
      <c r="J559" s="190"/>
      <c r="K559" s="190"/>
      <c r="L559" s="190"/>
      <c r="M559" s="190"/>
      <c r="N559" s="190">
        <v>3.5</v>
      </c>
      <c r="O559" s="190">
        <v>3.5</v>
      </c>
      <c r="P559" s="190"/>
      <c r="Q559" s="190">
        <v>3.5</v>
      </c>
      <c r="R559" s="190">
        <v>3.5</v>
      </c>
      <c r="S559" s="190"/>
      <c r="T559" s="190">
        <v>3.5</v>
      </c>
      <c r="U559" s="190">
        <v>3.5</v>
      </c>
      <c r="V559" s="371"/>
      <c r="W559" s="393"/>
      <c r="X559" s="190"/>
      <c r="Y559" s="129"/>
      <c r="Z559" s="130"/>
      <c r="AA559" s="130"/>
      <c r="AB559" s="130"/>
      <c r="AC559" s="125"/>
      <c r="AE559" s="190"/>
      <c r="AF559" s="190"/>
      <c r="AG559" s="190"/>
      <c r="AH559" s="129"/>
      <c r="AI559" s="130"/>
      <c r="AK559" s="190"/>
      <c r="AL559" s="190"/>
      <c r="AM559" s="190"/>
      <c r="AN559" s="129"/>
      <c r="AO559" s="130"/>
      <c r="AQ559" s="190"/>
      <c r="AR559" s="190"/>
      <c r="AS559" s="190"/>
      <c r="AT559" s="129"/>
      <c r="AU559" s="130"/>
      <c r="AW559" s="190"/>
      <c r="AX559" s="190"/>
      <c r="AY559" s="190"/>
      <c r="AZ559" s="129"/>
      <c r="BA559" s="130"/>
    </row>
    <row r="560" spans="1:53" ht="17.100000000000001" customHeight="1" x14ac:dyDescent="0.25">
      <c r="A560" s="119"/>
      <c r="B560" s="40"/>
      <c r="C560" s="40"/>
      <c r="D560" s="75" t="s">
        <v>322</v>
      </c>
      <c r="E560" s="75"/>
      <c r="F560" s="75"/>
      <c r="G560" s="75"/>
      <c r="H560" s="1322"/>
      <c r="I560" s="12"/>
      <c r="J560" s="191" t="str">
        <f>IF(J$502=0,"",J561)</f>
        <v/>
      </c>
      <c r="K560" s="191" t="str">
        <f>IF(K$502=0,"",K561)</f>
        <v/>
      </c>
      <c r="L560" s="191" t="str">
        <f>IF(L$502=0,"",L561)</f>
        <v/>
      </c>
      <c r="M560" s="191"/>
      <c r="N560" s="191">
        <f>IF(N550=0,"",IF(N561=0,0,N561))</f>
        <v>0.14285714285714285</v>
      </c>
      <c r="O560" s="191">
        <f>IF(O550=0,"",IF(O561=0,0,O561))</f>
        <v>0.48571428571428577</v>
      </c>
      <c r="P560" s="191"/>
      <c r="Q560" s="191">
        <f>IF(Q550=0,"",IF(Q561=0,0,Q561))</f>
        <v>0.52380952380952384</v>
      </c>
      <c r="R560" s="191">
        <f>IF(R550=0,"",IF(R561=0,0,R561))</f>
        <v>0.54285714285714282</v>
      </c>
      <c r="S560" s="191"/>
      <c r="T560" s="191" t="str">
        <f>IF(T550=0,"",IF(T561=0,0,T561))</f>
        <v/>
      </c>
      <c r="U560" s="191" t="str">
        <f>IF(U550=0,"",IF(U561=0,0,U561))</f>
        <v/>
      </c>
      <c r="V560" s="191"/>
      <c r="W560" s="394"/>
      <c r="X560" s="191"/>
      <c r="Y560" s="164"/>
      <c r="Z560" s="192"/>
      <c r="AA560" s="192"/>
      <c r="AB560" s="192"/>
      <c r="AC560" s="193">
        <f>IF(Y560=0,0,AVERAGE(J560:X560))</f>
        <v>0</v>
      </c>
      <c r="AE560" s="191"/>
      <c r="AF560" s="191"/>
      <c r="AG560" s="191"/>
      <c r="AH560" s="164"/>
      <c r="AI560" s="192"/>
      <c r="AK560" s="191"/>
      <c r="AL560" s="191"/>
      <c r="AM560" s="191"/>
      <c r="AN560" s="164"/>
      <c r="AO560" s="192"/>
      <c r="AQ560" s="191"/>
      <c r="AR560" s="191"/>
      <c r="AS560" s="191"/>
      <c r="AT560" s="164"/>
      <c r="AU560" s="192"/>
      <c r="AW560" s="191"/>
      <c r="AX560" s="191"/>
      <c r="AY560" s="191"/>
      <c r="AZ560" s="164"/>
      <c r="BA560" s="192"/>
    </row>
    <row r="561" spans="1:53" ht="17.100000000000001" customHeight="1" x14ac:dyDescent="0.25">
      <c r="A561" s="119"/>
      <c r="B561" s="40"/>
      <c r="C561" s="40"/>
      <c r="D561" s="128" t="s">
        <v>323</v>
      </c>
      <c r="E561" s="122"/>
      <c r="F561" s="122"/>
      <c r="G561" s="122"/>
      <c r="H561" s="1322"/>
      <c r="I561" s="12"/>
      <c r="J561" s="194"/>
      <c r="K561" s="194"/>
      <c r="L561" s="194"/>
      <c r="M561" s="194"/>
      <c r="N561" s="194">
        <f>N558/N559</f>
        <v>0.14285714285714285</v>
      </c>
      <c r="O561" s="194">
        <f t="shared" ref="O561" si="662">O558/O559</f>
        <v>0.48571428571428577</v>
      </c>
      <c r="P561" s="194"/>
      <c r="Q561" s="194">
        <f>Q558/Q559</f>
        <v>0.52380952380952384</v>
      </c>
      <c r="R561" s="194">
        <f t="shared" ref="R561" si="663">R558/R559</f>
        <v>0.54285714285714282</v>
      </c>
      <c r="S561" s="194"/>
      <c r="T561" s="194">
        <f>T558/T559</f>
        <v>0</v>
      </c>
      <c r="U561" s="194">
        <f t="shared" ref="U561" si="664">U558/U559</f>
        <v>0</v>
      </c>
      <c r="V561" s="194"/>
      <c r="W561" s="969">
        <f>N561+Q561+T561</f>
        <v>0.66666666666666674</v>
      </c>
      <c r="X561" s="504">
        <f>O561+R561+U561</f>
        <v>1.0285714285714285</v>
      </c>
      <c r="Y561" s="162"/>
      <c r="Z561" s="195"/>
      <c r="AA561" s="195"/>
      <c r="AB561" s="195"/>
      <c r="AC561" s="161"/>
      <c r="AE561" s="194"/>
      <c r="AF561" s="194"/>
      <c r="AG561" s="194"/>
      <c r="AH561" s="162"/>
      <c r="AI561" s="195"/>
      <c r="AK561" s="194"/>
      <c r="AL561" s="194"/>
      <c r="AM561" s="194"/>
      <c r="AN561" s="162"/>
      <c r="AO561" s="195"/>
      <c r="AQ561" s="194"/>
      <c r="AR561" s="194"/>
      <c r="AS561" s="194"/>
      <c r="AT561" s="162"/>
      <c r="AU561" s="195"/>
      <c r="AW561" s="194"/>
      <c r="AX561" s="194"/>
      <c r="AY561" s="194"/>
      <c r="AZ561" s="162"/>
      <c r="BA561" s="195"/>
    </row>
    <row r="562" spans="1:53" ht="17.100000000000001" customHeight="1" x14ac:dyDescent="0.25">
      <c r="A562" s="137"/>
      <c r="B562" s="137"/>
      <c r="C562" s="40"/>
      <c r="D562" s="128"/>
      <c r="E562" s="122"/>
      <c r="F562" s="122"/>
      <c r="G562" s="122"/>
      <c r="H562" s="1322"/>
      <c r="I562" s="12"/>
      <c r="J562" s="194"/>
      <c r="K562" s="194"/>
      <c r="L562" s="194"/>
      <c r="M562" s="194"/>
      <c r="N562" s="194">
        <f>IF(N550=0,"",N561)</f>
        <v>0.14285714285714285</v>
      </c>
      <c r="O562" s="194">
        <f>IF(O550=0,"",O561)</f>
        <v>0.48571428571428577</v>
      </c>
      <c r="P562" s="194"/>
      <c r="Q562" s="194">
        <f>IF(Q550=0,"",Q561)</f>
        <v>0.52380952380952384</v>
      </c>
      <c r="R562" s="194">
        <f>IF(R550=0,"",R561)</f>
        <v>0.54285714285714282</v>
      </c>
      <c r="S562" s="194"/>
      <c r="T562" s="194" t="str">
        <f>IF(T550=0,"",T561)</f>
        <v/>
      </c>
      <c r="U562" s="194" t="str">
        <f>IF(U550=0,"",U561)</f>
        <v/>
      </c>
      <c r="V562" s="194"/>
      <c r="W562" s="969">
        <f>IF(W561=0,"",AVERAGE(N562,Q562,T562))</f>
        <v>0.33333333333333337</v>
      </c>
      <c r="X562" s="504">
        <f>IF(X561=0,"",AVERAGE(O562,R562,U562))</f>
        <v>0.51428571428571423</v>
      </c>
      <c r="Y562" s="504">
        <f>AVERAGE(N562:U562)</f>
        <v>0.42380952380952375</v>
      </c>
      <c r="Z562" s="195"/>
      <c r="AA562" s="195"/>
      <c r="AB562" s="195"/>
      <c r="AC562" s="161"/>
      <c r="AE562" s="194"/>
      <c r="AF562" s="194"/>
      <c r="AG562" s="194"/>
      <c r="AH562" s="162"/>
      <c r="AI562" s="195"/>
      <c r="AK562" s="194"/>
      <c r="AL562" s="194"/>
      <c r="AM562" s="194"/>
      <c r="AN562" s="162"/>
      <c r="AO562" s="195"/>
      <c r="AQ562" s="194"/>
      <c r="AR562" s="194"/>
      <c r="AS562" s="194"/>
      <c r="AT562" s="162"/>
      <c r="AU562" s="195"/>
      <c r="AW562" s="194"/>
      <c r="AX562" s="194"/>
      <c r="AY562" s="194"/>
      <c r="AZ562" s="162"/>
      <c r="BA562" s="195"/>
    </row>
    <row r="563" spans="1:53" s="117" customFormat="1" ht="17.100000000000001" customHeight="1" x14ac:dyDescent="0.25">
      <c r="A563" s="119"/>
      <c r="B563" s="119"/>
      <c r="C563" s="196"/>
      <c r="D563" s="75" t="s">
        <v>324</v>
      </c>
      <c r="E563" s="75"/>
      <c r="F563" s="75"/>
      <c r="G563" s="75"/>
      <c r="H563" s="1322"/>
      <c r="I563" s="12"/>
      <c r="J563" s="55" t="str">
        <f>IF(J$502=0,"",IF(J560&gt;=0.75,1,0))</f>
        <v/>
      </c>
      <c r="K563" s="55" t="str">
        <f>IF(K$502=0,"",IF(K560&gt;=0.75,1,0))</f>
        <v/>
      </c>
      <c r="L563" s="55" t="str">
        <f>IF(L$502=0,"",IF(L560&gt;=0.75,1,0))</f>
        <v/>
      </c>
      <c r="M563" s="55"/>
      <c r="N563" s="55">
        <f>IF(N$550=0,0,IF(N$560&gt;=0.75,1,0))</f>
        <v>0</v>
      </c>
      <c r="O563" s="55">
        <f>IF(O$550=0,0,IF(O$560&gt;=0.75,1,0))</f>
        <v>0</v>
      </c>
      <c r="P563" s="55">
        <f>IF(SUM(N563:O563)=0,0,IF(SUM(N563:O563)=2,1,IF(AND(N$561=0,O563&gt;0),O563,SUM(N563:O563)/2)))</f>
        <v>0</v>
      </c>
      <c r="Q563" s="55">
        <f>IF(Q$550=0,0,IF(Q$560&gt;=0.75,1,0))</f>
        <v>0</v>
      </c>
      <c r="R563" s="55">
        <f>IF(R$550=0,0,IF(R$560&gt;=0.75,1,0))</f>
        <v>0</v>
      </c>
      <c r="S563" s="55">
        <f>IF(SUM(Q563:R563)=0,0,IF(SUM(Q563:R563)=2,1,IF(AND(Q$561=0,R563&gt;0),R563,SUM(Q563:R563)/2)))</f>
        <v>0</v>
      </c>
      <c r="T563" s="55">
        <f>IF(T$550=0,0,IF(T$560&gt;=0.75,1,0))</f>
        <v>0</v>
      </c>
      <c r="U563" s="55">
        <f>IF(U$550=0,0,IF(U$560&gt;=0.75,1,0))</f>
        <v>0</v>
      </c>
      <c r="V563" s="55">
        <f>IF(SUM(T563:U563)=0,0,IF(SUM(T563:U563)=2,1,IF(AND(T$561=0,U563&gt;0),U563,SUM(T563:U563)/2)))</f>
        <v>0</v>
      </c>
      <c r="W563" s="391">
        <f>N563+Q563+T563</f>
        <v>0</v>
      </c>
      <c r="X563" s="17">
        <f>O563+R563+U563</f>
        <v>0</v>
      </c>
      <c r="Y563" s="17">
        <f>P563+S563+V563</f>
        <v>0</v>
      </c>
      <c r="Z563" s="19">
        <f>IF(Y$566=0,0,Y563/Y$566)</f>
        <v>0</v>
      </c>
      <c r="AA563" s="197"/>
      <c r="AB563" s="197"/>
      <c r="AC563" s="198"/>
      <c r="AE563" s="55"/>
      <c r="AF563" s="55"/>
      <c r="AG563" s="55"/>
      <c r="AH563" s="164"/>
      <c r="AI563" s="197"/>
      <c r="AK563" s="55"/>
      <c r="AL563" s="55"/>
      <c r="AM563" s="55"/>
      <c r="AN563" s="164"/>
      <c r="AO563" s="197"/>
      <c r="AQ563" s="55"/>
      <c r="AR563" s="55"/>
      <c r="AS563" s="55"/>
      <c r="AT563" s="164"/>
      <c r="AU563" s="197"/>
      <c r="AW563" s="55"/>
      <c r="AX563" s="55"/>
      <c r="AY563" s="55"/>
      <c r="AZ563" s="164"/>
      <c r="BA563" s="197"/>
    </row>
    <row r="564" spans="1:53" s="117" customFormat="1" ht="17.100000000000001" customHeight="1" x14ac:dyDescent="0.25">
      <c r="A564" s="119"/>
      <c r="B564" s="119"/>
      <c r="C564" s="136"/>
      <c r="D564" s="75" t="s">
        <v>325</v>
      </c>
      <c r="E564" s="75"/>
      <c r="F564" s="75"/>
      <c r="G564" s="75"/>
      <c r="H564" s="1322"/>
      <c r="I564" s="12"/>
      <c r="J564" s="55" t="str">
        <f>IF(J$502=0,"",IF(AND(J561&gt;=0.5,J561&lt;0.75),1,0))</f>
        <v/>
      </c>
      <c r="K564" s="55" t="str">
        <f>IF(K$502=0,"",IF(AND(K561&gt;=0.5,K561&lt;0.75),1,0))</f>
        <v/>
      </c>
      <c r="L564" s="55" t="str">
        <f>IF(L$502=0,"",IF(AND(L561&gt;=0.5,L561&lt;0.75),1,0))</f>
        <v/>
      </c>
      <c r="M564" s="55"/>
      <c r="N564" s="55">
        <f>IF(N$550=0,0,IF(AND(N560&gt;=0.5,N560&lt;0.75),1,0))</f>
        <v>0</v>
      </c>
      <c r="O564" s="55">
        <f t="shared" ref="O564" si="665">IF(O$550=0,0,IF(AND(O560&gt;=0.5,O560&lt;0.75),1,0))</f>
        <v>0</v>
      </c>
      <c r="P564" s="55">
        <f t="shared" ref="P564:P565" si="666">IF(SUM(N564:O564)=0,0,IF(SUM(N564:O564)=2,1,IF(AND(N$561=0,O564&gt;0),O564,SUM(N564:O564)/2)))</f>
        <v>0</v>
      </c>
      <c r="Q564" s="55">
        <f>IF(Q$550=0,0,IF(AND(Q560&gt;=0.5,Q560&lt;0.75),1,0))</f>
        <v>1</v>
      </c>
      <c r="R564" s="55">
        <f t="shared" ref="R564" si="667">IF(R$550=0,0,IF(AND(R560&gt;=0.5,R560&lt;0.75),1,0))</f>
        <v>1</v>
      </c>
      <c r="S564" s="55">
        <f t="shared" ref="S564:S565" si="668">IF(SUM(Q564:R564)=0,0,IF(SUM(Q564:R564)=2,1,IF(AND(Q$561=0,R564&gt;0),R564,SUM(Q564:R564)/2)))</f>
        <v>1</v>
      </c>
      <c r="T564" s="55">
        <f>IF(T$550=0,0,IF(AND(T560&gt;=0.5,T560&lt;0.75),1,0))</f>
        <v>0</v>
      </c>
      <c r="U564" s="55">
        <f t="shared" ref="U564" si="669">IF(U$550=0,0,IF(AND(U560&gt;=0.5,U560&lt;0.75),1,0))</f>
        <v>0</v>
      </c>
      <c r="V564" s="55">
        <f t="shared" ref="V564:V565" si="670">IF(SUM(T564:U564)=0,0,IF(SUM(T564:U564)=2,1,IF(AND(T$561=0,U564&gt;0),U564,SUM(T564:U564)/2)))</f>
        <v>0</v>
      </c>
      <c r="W564" s="391">
        <f t="shared" ref="W564:Y565" si="671">N564+Q564+T564</f>
        <v>1</v>
      </c>
      <c r="X564" s="17">
        <f t="shared" si="671"/>
        <v>1</v>
      </c>
      <c r="Y564" s="17">
        <f t="shared" si="671"/>
        <v>1</v>
      </c>
      <c r="Z564" s="19">
        <f t="shared" ref="Z564:Z566" si="672">IF(Y$566=0,0,Y564/Y$566)</f>
        <v>0.5</v>
      </c>
      <c r="AA564" s="197"/>
      <c r="AB564" s="197"/>
      <c r="AC564" s="198"/>
      <c r="AE564" s="55"/>
      <c r="AF564" s="55"/>
      <c r="AG564" s="55"/>
      <c r="AH564" s="164"/>
      <c r="AI564" s="197"/>
      <c r="AK564" s="55"/>
      <c r="AL564" s="55"/>
      <c r="AM564" s="55"/>
      <c r="AN564" s="164"/>
      <c r="AO564" s="197"/>
      <c r="AQ564" s="55"/>
      <c r="AR564" s="55"/>
      <c r="AS564" s="55"/>
      <c r="AT564" s="164"/>
      <c r="AU564" s="197"/>
      <c r="AW564" s="55"/>
      <c r="AX564" s="55"/>
      <c r="AY564" s="55"/>
      <c r="AZ564" s="164"/>
      <c r="BA564" s="197"/>
    </row>
    <row r="565" spans="1:53" s="97" customFormat="1" ht="17.100000000000001" customHeight="1" x14ac:dyDescent="0.25">
      <c r="A565" s="119"/>
      <c r="B565" s="119"/>
      <c r="C565" s="137"/>
      <c r="D565" s="75" t="s">
        <v>326</v>
      </c>
      <c r="E565" s="75"/>
      <c r="F565" s="75"/>
      <c r="G565" s="75"/>
      <c r="H565" s="1322"/>
      <c r="I565" s="12"/>
      <c r="J565" s="55" t="str">
        <f>IF(J$502=0,"",IF(J561&lt;0.5,1,0))</f>
        <v/>
      </c>
      <c r="K565" s="55" t="str">
        <f>IF(K$502=0,"",IF(K561&lt;0.5,1,0))</f>
        <v/>
      </c>
      <c r="L565" s="55" t="str">
        <f>IF(L$502=0,"",IF(L561&lt;0.5,1,0))</f>
        <v/>
      </c>
      <c r="M565" s="55"/>
      <c r="N565" s="55">
        <f>IF(N$550=0,0,IF(N560&lt;0.5,1,0))</f>
        <v>1</v>
      </c>
      <c r="O565" s="55">
        <f t="shared" ref="O565" si="673">IF(O$550=0,0,IF(O560&lt;0.5,1,0))</f>
        <v>1</v>
      </c>
      <c r="P565" s="55">
        <f t="shared" si="666"/>
        <v>1</v>
      </c>
      <c r="Q565" s="55">
        <f>IF(Q$550=0,0,IF(Q560&lt;0.5,1,0))</f>
        <v>0</v>
      </c>
      <c r="R565" s="55">
        <f t="shared" ref="R565" si="674">IF(R$550=0,0,IF(R560&lt;0.5,1,0))</f>
        <v>0</v>
      </c>
      <c r="S565" s="55">
        <f t="shared" si="668"/>
        <v>0</v>
      </c>
      <c r="T565" s="55">
        <f>IF(T$550=0,0,IF(T560&lt;0.5,1,0))</f>
        <v>0</v>
      </c>
      <c r="U565" s="55">
        <f t="shared" ref="U565" si="675">IF(U$550=0,0,IF(U560&lt;0.5,1,0))</f>
        <v>0</v>
      </c>
      <c r="V565" s="55">
        <f t="shared" si="670"/>
        <v>0</v>
      </c>
      <c r="W565" s="391">
        <f t="shared" si="671"/>
        <v>1</v>
      </c>
      <c r="X565" s="17">
        <f t="shared" si="671"/>
        <v>1</v>
      </c>
      <c r="Y565" s="17">
        <f t="shared" si="671"/>
        <v>1</v>
      </c>
      <c r="Z565" s="19">
        <f t="shared" si="672"/>
        <v>0.5</v>
      </c>
      <c r="AA565" s="197"/>
      <c r="AB565" s="197"/>
      <c r="AC565" s="198"/>
      <c r="AE565" s="55"/>
      <c r="AF565" s="55"/>
      <c r="AG565" s="55"/>
      <c r="AH565" s="164"/>
      <c r="AI565" s="197"/>
      <c r="AK565" s="55"/>
      <c r="AL565" s="55"/>
      <c r="AM565" s="55"/>
      <c r="AN565" s="164"/>
      <c r="AO565" s="197"/>
      <c r="AQ565" s="55"/>
      <c r="AR565" s="55"/>
      <c r="AS565" s="55"/>
      <c r="AT565" s="164"/>
      <c r="AU565" s="197"/>
      <c r="AW565" s="55"/>
      <c r="AX565" s="55"/>
      <c r="AY565" s="55"/>
      <c r="AZ565" s="164"/>
      <c r="BA565" s="197"/>
    </row>
    <row r="566" spans="1:53" s="117" customFormat="1" ht="17.100000000000001" customHeight="1" x14ac:dyDescent="0.25">
      <c r="A566" s="119"/>
      <c r="B566" s="119"/>
      <c r="C566" s="119"/>
      <c r="D566" s="428"/>
      <c r="E566" s="93"/>
      <c r="F566" s="93"/>
      <c r="G566" s="93"/>
      <c r="H566" s="1322"/>
      <c r="I566" s="12"/>
      <c r="J566" s="191"/>
      <c r="K566" s="191"/>
      <c r="L566" s="191"/>
      <c r="M566" s="191"/>
      <c r="N566" s="191"/>
      <c r="O566" s="191"/>
      <c r="P566" s="191"/>
      <c r="Q566" s="191"/>
      <c r="R566" s="191"/>
      <c r="S566" s="191"/>
      <c r="T566" s="191"/>
      <c r="U566" s="191"/>
      <c r="V566" s="191"/>
      <c r="W566" s="394"/>
      <c r="X566" s="191"/>
      <c r="Y566" s="164">
        <f>SUM(Y563:Y565)</f>
        <v>2</v>
      </c>
      <c r="Z566" s="19">
        <f t="shared" si="672"/>
        <v>1</v>
      </c>
      <c r="AA566" s="192"/>
      <c r="AB566" s="192"/>
      <c r="AC566" s="198"/>
      <c r="AE566" s="191"/>
      <c r="AF566" s="191"/>
      <c r="AG566" s="191"/>
      <c r="AH566" s="164"/>
      <c r="AI566" s="192"/>
      <c r="AK566" s="191"/>
      <c r="AL566" s="191"/>
      <c r="AM566" s="191"/>
      <c r="AN566" s="164"/>
      <c r="AO566" s="192"/>
      <c r="AQ566" s="191"/>
      <c r="AR566" s="191"/>
      <c r="AS566" s="191"/>
      <c r="AT566" s="164"/>
      <c r="AU566" s="192"/>
      <c r="AW566" s="191"/>
      <c r="AX566" s="191"/>
      <c r="AY566" s="191"/>
      <c r="AZ566" s="164"/>
      <c r="BA566" s="192"/>
    </row>
    <row r="567" spans="1:53" s="97" customFormat="1" ht="17.100000000000001" customHeight="1" x14ac:dyDescent="0.25">
      <c r="A567" s="68"/>
      <c r="B567" s="68"/>
      <c r="C567" s="92"/>
      <c r="D567" s="93"/>
      <c r="E567" s="93"/>
      <c r="F567" s="93"/>
      <c r="G567" s="93"/>
      <c r="H567" s="165"/>
      <c r="I567" s="12"/>
      <c r="J567" s="94"/>
      <c r="K567" s="94"/>
      <c r="L567" s="95"/>
      <c r="M567" s="95"/>
      <c r="N567" s="95"/>
      <c r="O567" s="95"/>
      <c r="P567" s="95"/>
      <c r="Q567" s="95"/>
      <c r="R567" s="95"/>
      <c r="S567" s="95"/>
      <c r="T567" s="95"/>
      <c r="U567" s="95"/>
      <c r="V567" s="95"/>
      <c r="W567" s="378"/>
      <c r="X567" s="95"/>
      <c r="Y567" s="96"/>
      <c r="AE567" s="109"/>
      <c r="AF567" s="109"/>
      <c r="AG567" s="109"/>
      <c r="AH567" s="96"/>
      <c r="AK567" s="109"/>
      <c r="AL567" s="109"/>
      <c r="AM567" s="109"/>
      <c r="AN567" s="96"/>
      <c r="AQ567" s="109"/>
      <c r="AR567" s="109"/>
      <c r="AS567" s="109"/>
      <c r="AT567" s="96"/>
      <c r="AW567" s="109"/>
      <c r="AX567" s="109"/>
      <c r="AY567" s="109"/>
      <c r="AZ567" s="96"/>
    </row>
    <row r="568" spans="1:53" s="32" customFormat="1" ht="16.5" thickBot="1" x14ac:dyDescent="0.3">
      <c r="A568" s="24" t="s">
        <v>329</v>
      </c>
      <c r="B568" s="25" t="s">
        <v>330</v>
      </c>
      <c r="C568" s="26"/>
      <c r="D568" s="27"/>
      <c r="E568" s="27"/>
      <c r="F568" s="27"/>
      <c r="G568" s="28"/>
      <c r="H568" s="215"/>
      <c r="I568" s="228"/>
      <c r="J568" s="101"/>
      <c r="K568" s="101"/>
      <c r="L568" s="101"/>
      <c r="M568" s="101"/>
      <c r="N568" s="101"/>
      <c r="O568" s="101"/>
      <c r="P568" s="101"/>
      <c r="Q568" s="101"/>
      <c r="R568" s="101"/>
      <c r="S568" s="101"/>
      <c r="T568" s="101"/>
      <c r="U568" s="101"/>
      <c r="V568" s="357"/>
      <c r="W568" s="379"/>
      <c r="X568" s="101"/>
      <c r="Y568" s="30" t="s">
        <v>4</v>
      </c>
      <c r="Z568" s="30" t="s">
        <v>5</v>
      </c>
      <c r="AA568" s="30"/>
      <c r="AB568" s="30"/>
      <c r="AC568" s="30" t="s">
        <v>6</v>
      </c>
      <c r="AE568" s="33" t="s">
        <v>181</v>
      </c>
      <c r="AF568" s="33" t="s">
        <v>182</v>
      </c>
      <c r="AG568" s="33" t="s">
        <v>6</v>
      </c>
      <c r="AH568" s="33" t="s">
        <v>4</v>
      </c>
      <c r="AI568" s="34" t="s">
        <v>5</v>
      </c>
      <c r="AJ568" s="408"/>
      <c r="AK568" s="36" t="s">
        <v>181</v>
      </c>
      <c r="AL568" s="36" t="s">
        <v>182</v>
      </c>
      <c r="AM568" s="36" t="s">
        <v>6</v>
      </c>
      <c r="AN568" s="36" t="s">
        <v>4</v>
      </c>
      <c r="AO568" s="37" t="s">
        <v>5</v>
      </c>
      <c r="AP568" s="408"/>
      <c r="AQ568" s="36"/>
      <c r="AR568" s="36"/>
      <c r="AS568" s="36"/>
      <c r="AT568" s="36"/>
      <c r="AU568" s="37"/>
      <c r="AV568" s="408"/>
      <c r="AW568" s="38" t="s">
        <v>181</v>
      </c>
      <c r="AX568" s="38" t="s">
        <v>182</v>
      </c>
      <c r="AY568" s="38" t="s">
        <v>6</v>
      </c>
      <c r="AZ568" s="38" t="s">
        <v>4</v>
      </c>
      <c r="BA568" s="39" t="s">
        <v>5</v>
      </c>
    </row>
    <row r="569" spans="1:53" ht="17.100000000000001" customHeight="1" x14ac:dyDescent="0.25">
      <c r="A569" s="68"/>
      <c r="B569" s="41" t="s">
        <v>675</v>
      </c>
      <c r="C569" s="49" t="s">
        <v>674</v>
      </c>
      <c r="D569" s="50"/>
      <c r="E569" s="70"/>
      <c r="F569" s="70"/>
      <c r="G569" s="70"/>
      <c r="H569" s="119"/>
      <c r="J569" s="71"/>
      <c r="K569" s="71"/>
      <c r="L569" s="71"/>
      <c r="M569" s="71"/>
      <c r="N569" s="71"/>
      <c r="O569" s="71"/>
      <c r="P569" s="71"/>
      <c r="Q569" s="71"/>
      <c r="R569" s="71"/>
      <c r="S569" s="71"/>
      <c r="T569" s="71"/>
      <c r="U569" s="71"/>
      <c r="V569" s="355"/>
      <c r="W569" s="377"/>
      <c r="X569" s="71"/>
      <c r="Y569" s="72"/>
      <c r="Z569" s="73"/>
      <c r="AA569" s="73"/>
      <c r="AB569" s="73"/>
      <c r="AC569" s="73"/>
      <c r="AE569" s="71"/>
      <c r="AF569" s="71"/>
      <c r="AG569" s="71"/>
      <c r="AH569" s="72"/>
      <c r="AI569" s="73"/>
      <c r="AK569" s="71"/>
      <c r="AL569" s="71"/>
      <c r="AM569" s="71"/>
      <c r="AN569" s="72"/>
      <c r="AO569" s="73"/>
      <c r="AQ569" s="71"/>
      <c r="AR569" s="71"/>
      <c r="AS569" s="71"/>
      <c r="AT569" s="72"/>
      <c r="AU569" s="73"/>
      <c r="AW569" s="71"/>
      <c r="AX569" s="71"/>
      <c r="AY569" s="71"/>
      <c r="AZ569" s="72"/>
      <c r="BA569" s="73"/>
    </row>
    <row r="570" spans="1:53" ht="17.100000000000001" customHeight="1" x14ac:dyDescent="0.25">
      <c r="A570" s="119"/>
      <c r="B570" s="119"/>
      <c r="C570" s="56" t="s">
        <v>676</v>
      </c>
      <c r="D570" s="146" t="s">
        <v>9</v>
      </c>
      <c r="E570" s="105"/>
      <c r="F570" s="105"/>
      <c r="G570" s="105"/>
      <c r="H570" s="119"/>
      <c r="I570" s="231"/>
      <c r="J570" s="111"/>
      <c r="K570" s="111"/>
      <c r="L570" s="111"/>
      <c r="M570" s="111"/>
      <c r="N570" s="60"/>
      <c r="O570" s="60">
        <v>1</v>
      </c>
      <c r="P570" s="17">
        <f t="shared" ref="P570:P571" si="676">SUM(N570:O570)</f>
        <v>1</v>
      </c>
      <c r="Q570" s="60"/>
      <c r="R570" s="60"/>
      <c r="S570" s="17">
        <f t="shared" ref="S570:S571" si="677">SUM(Q570:R570)</f>
        <v>0</v>
      </c>
      <c r="T570" s="60"/>
      <c r="U570" s="60"/>
      <c r="V570" s="359">
        <f t="shared" ref="V570:V571" si="678">SUM(T570:U570)</f>
        <v>0</v>
      </c>
      <c r="W570" s="391">
        <f t="shared" ref="W570:W571" si="679">J570+K570+N570+Q570+T570</f>
        <v>0</v>
      </c>
      <c r="X570" s="17">
        <f t="shared" ref="X570:X571" si="680">L570+O570+R570+U570</f>
        <v>1</v>
      </c>
      <c r="Y570" s="18">
        <f>SUM(W570:X570)</f>
        <v>1</v>
      </c>
      <c r="Z570" s="19">
        <f>IF(Y$538=0,0,Y570/Y$538)</f>
        <v>7.1428571428571425E-2</v>
      </c>
      <c r="AA570" s="19"/>
      <c r="AB570" s="19"/>
      <c r="AC570" s="20"/>
      <c r="AE570" s="111"/>
      <c r="AF570" s="111"/>
      <c r="AG570" s="111"/>
      <c r="AH570" s="112"/>
      <c r="AI570" s="113"/>
      <c r="AK570" s="111"/>
      <c r="AL570" s="111"/>
      <c r="AM570" s="111"/>
      <c r="AN570" s="112"/>
      <c r="AO570" s="113"/>
      <c r="AQ570" s="17"/>
      <c r="AR570" s="17"/>
      <c r="AS570" s="17"/>
      <c r="AT570" s="18">
        <f t="shared" ref="AT570:AT571" si="681">W570</f>
        <v>0</v>
      </c>
      <c r="AU570" s="19">
        <f>IF(AT$538=0,0,AT570/AT$538)</f>
        <v>0</v>
      </c>
      <c r="AW570" s="17"/>
      <c r="AX570" s="17"/>
      <c r="AY570" s="17"/>
      <c r="AZ570" s="18">
        <f t="shared" ref="AZ570:AZ571" si="682">X570</f>
        <v>1</v>
      </c>
      <c r="BA570" s="19">
        <f>IF(AZ$538=0,0,AZ570/AZ$538)</f>
        <v>0.1</v>
      </c>
    </row>
    <row r="571" spans="1:53" ht="17.100000000000001" customHeight="1" x14ac:dyDescent="0.25">
      <c r="A571" s="119"/>
      <c r="B571" s="119"/>
      <c r="C571" s="56" t="s">
        <v>677</v>
      </c>
      <c r="D571" s="146" t="s">
        <v>11</v>
      </c>
      <c r="E571" s="105"/>
      <c r="F571" s="105"/>
      <c r="G571" s="105"/>
      <c r="H571" s="119"/>
      <c r="I571" s="231"/>
      <c r="J571" s="111"/>
      <c r="K571" s="111"/>
      <c r="L571" s="111"/>
      <c r="M571" s="111"/>
      <c r="N571" s="61">
        <v>1</v>
      </c>
      <c r="O571" s="61">
        <v>4</v>
      </c>
      <c r="P571" s="17">
        <f t="shared" si="676"/>
        <v>5</v>
      </c>
      <c r="Q571" s="61">
        <v>3</v>
      </c>
      <c r="R571" s="61">
        <v>5</v>
      </c>
      <c r="S571" s="17">
        <f t="shared" si="677"/>
        <v>8</v>
      </c>
      <c r="T571" s="61"/>
      <c r="U571" s="61"/>
      <c r="V571" s="359">
        <f t="shared" si="678"/>
        <v>0</v>
      </c>
      <c r="W571" s="391">
        <f t="shared" si="679"/>
        <v>4</v>
      </c>
      <c r="X571" s="17">
        <f t="shared" si="680"/>
        <v>9</v>
      </c>
      <c r="Y571" s="18">
        <f>SUM(W571:X571)</f>
        <v>13</v>
      </c>
      <c r="Z571" s="19">
        <f t="shared" ref="Z571:Z572" si="683">IF(Y$538=0,0,Y571/Y$538)</f>
        <v>0.9285714285714286</v>
      </c>
      <c r="AA571" s="19"/>
      <c r="AB571" s="19"/>
      <c r="AC571" s="20"/>
      <c r="AE571" s="111"/>
      <c r="AF571" s="111"/>
      <c r="AG571" s="111"/>
      <c r="AH571" s="112"/>
      <c r="AI571" s="113"/>
      <c r="AK571" s="111"/>
      <c r="AL571" s="111"/>
      <c r="AM571" s="111"/>
      <c r="AN571" s="112"/>
      <c r="AO571" s="113"/>
      <c r="AQ571" s="17"/>
      <c r="AR571" s="17"/>
      <c r="AS571" s="17"/>
      <c r="AT571" s="18">
        <f t="shared" si="681"/>
        <v>4</v>
      </c>
      <c r="AU571" s="19">
        <f t="shared" ref="AU571:AU572" si="684">IF(AT$538=0,0,AT571/AT$538)</f>
        <v>1</v>
      </c>
      <c r="AW571" s="17"/>
      <c r="AX571" s="17"/>
      <c r="AY571" s="17"/>
      <c r="AZ571" s="18">
        <f t="shared" si="682"/>
        <v>9</v>
      </c>
      <c r="BA571" s="19">
        <f t="shared" ref="BA571:BA572" si="685">IF(AZ$538=0,0,AZ571/AZ$538)</f>
        <v>0.9</v>
      </c>
    </row>
    <row r="572" spans="1:53" ht="17.100000000000001" customHeight="1" x14ac:dyDescent="0.25">
      <c r="A572" s="40"/>
      <c r="B572" s="40"/>
      <c r="C572" s="77"/>
      <c r="D572" s="134"/>
      <c r="E572" s="134"/>
      <c r="F572" s="134"/>
      <c r="G572" s="134"/>
      <c r="H572" s="540"/>
      <c r="I572" s="229"/>
      <c r="J572" s="80"/>
      <c r="K572" s="80"/>
      <c r="L572" s="81"/>
      <c r="M572" s="81"/>
      <c r="N572" s="81">
        <f t="shared" ref="N572:Y572" si="686">SUM(N570:N571)</f>
        <v>1</v>
      </c>
      <c r="O572" s="81">
        <f t="shared" si="686"/>
        <v>5</v>
      </c>
      <c r="P572" s="81">
        <f t="shared" si="686"/>
        <v>6</v>
      </c>
      <c r="Q572" s="81">
        <f t="shared" si="686"/>
        <v>3</v>
      </c>
      <c r="R572" s="81">
        <f t="shared" si="686"/>
        <v>5</v>
      </c>
      <c r="S572" s="81">
        <f t="shared" si="686"/>
        <v>8</v>
      </c>
      <c r="T572" s="81">
        <f t="shared" si="686"/>
        <v>0</v>
      </c>
      <c r="U572" s="81">
        <f t="shared" si="686"/>
        <v>0</v>
      </c>
      <c r="V572" s="81">
        <f t="shared" si="686"/>
        <v>0</v>
      </c>
      <c r="W572" s="381">
        <f t="shared" si="686"/>
        <v>4</v>
      </c>
      <c r="X572" s="82">
        <f t="shared" si="686"/>
        <v>10</v>
      </c>
      <c r="Y572" s="82">
        <f t="shared" si="686"/>
        <v>14</v>
      </c>
      <c r="Z572" s="205">
        <f t="shared" si="683"/>
        <v>1</v>
      </c>
      <c r="AA572" s="205"/>
      <c r="AB572" s="205"/>
      <c r="AC572" s="83"/>
      <c r="AE572" s="80"/>
      <c r="AF572" s="80"/>
      <c r="AG572" s="81"/>
      <c r="AH572" s="82"/>
      <c r="AI572" s="66"/>
      <c r="AK572" s="80"/>
      <c r="AL572" s="80"/>
      <c r="AM572" s="81"/>
      <c r="AN572" s="82"/>
      <c r="AO572" s="66"/>
      <c r="AQ572" s="80"/>
      <c r="AR572" s="80"/>
      <c r="AS572" s="81"/>
      <c r="AT572" s="82">
        <f>SUM(AT570:AT571)</f>
        <v>4</v>
      </c>
      <c r="AU572" s="66">
        <f t="shared" si="684"/>
        <v>1</v>
      </c>
      <c r="AW572" s="80"/>
      <c r="AX572" s="80"/>
      <c r="AY572" s="81"/>
      <c r="AZ572" s="82">
        <f>SUM(AZ570:AZ571)</f>
        <v>10</v>
      </c>
      <c r="BA572" s="66">
        <f t="shared" si="685"/>
        <v>1</v>
      </c>
    </row>
    <row r="573" spans="1:53" s="117" customFormat="1" ht="17.100000000000001" customHeight="1" x14ac:dyDescent="0.25">
      <c r="A573" s="68"/>
      <c r="B573" s="119"/>
      <c r="C573" s="540"/>
      <c r="D573" s="261"/>
      <c r="E573" s="261"/>
      <c r="F573" s="68"/>
      <c r="G573" s="68"/>
      <c r="H573" s="119"/>
      <c r="I573" s="138"/>
      <c r="J573" s="17"/>
      <c r="K573" s="17"/>
      <c r="L573" s="17"/>
      <c r="M573" s="17"/>
      <c r="N573" s="17" t="str">
        <f>IF(N572=N$20,"OK","NOK")</f>
        <v>OK</v>
      </c>
      <c r="O573" s="17" t="str">
        <f>IF(O572=O$20,"OK","NOK")</f>
        <v>OK</v>
      </c>
      <c r="P573" s="17"/>
      <c r="Q573" s="17" t="str">
        <f>IF(Q572=Q$20,"OK","NOK")</f>
        <v>OK</v>
      </c>
      <c r="R573" s="17" t="str">
        <f>IF(R572=R$20,"OK","NOK")</f>
        <v>OK</v>
      </c>
      <c r="S573" s="17"/>
      <c r="T573" s="17" t="str">
        <f>IF(T572=T$20,"OK","NOK")</f>
        <v>OK</v>
      </c>
      <c r="U573" s="17" t="str">
        <f>IF(U572=U$20,"OK","NOK")</f>
        <v>OK</v>
      </c>
      <c r="V573" s="359"/>
      <c r="W573" s="382"/>
      <c r="X573" s="539"/>
      <c r="Y573" s="539"/>
      <c r="Z573" s="201"/>
      <c r="AA573" s="201"/>
      <c r="AB573" s="201"/>
      <c r="AC573" s="84"/>
      <c r="AE573" s="46"/>
      <c r="AF573" s="46"/>
      <c r="AG573" s="17"/>
      <c r="AH573" s="539"/>
      <c r="AI573" s="91"/>
      <c r="AK573" s="46"/>
      <c r="AL573" s="46"/>
      <c r="AM573" s="17"/>
      <c r="AN573" s="539"/>
      <c r="AO573" s="91"/>
      <c r="AQ573" s="46"/>
      <c r="AR573" s="46"/>
      <c r="AS573" s="17"/>
      <c r="AT573" s="539"/>
      <c r="AU573" s="91"/>
      <c r="AW573" s="46"/>
      <c r="AX573" s="46"/>
      <c r="AY573" s="17"/>
      <c r="AZ573" s="539"/>
      <c r="BA573" s="91"/>
    </row>
    <row r="574" spans="1:53" s="32" customFormat="1" ht="16.5" thickBot="1" x14ac:dyDescent="0.3">
      <c r="A574" s="342"/>
      <c r="B574" s="330"/>
      <c r="C574" s="331"/>
      <c r="D574" s="343"/>
      <c r="E574" s="343"/>
      <c r="F574" s="343"/>
      <c r="G574" s="343"/>
      <c r="H574" s="344"/>
      <c r="I574" s="14"/>
      <c r="J574" s="345"/>
      <c r="K574" s="345"/>
      <c r="L574" s="345"/>
      <c r="M574" s="345"/>
      <c r="N574" s="345"/>
      <c r="O574" s="345"/>
      <c r="P574" s="345"/>
      <c r="Q574" s="345"/>
      <c r="R574" s="345"/>
      <c r="S574" s="345"/>
      <c r="T574" s="345"/>
      <c r="U574" s="345"/>
      <c r="V574" s="374"/>
      <c r="W574" s="396"/>
      <c r="X574" s="345"/>
      <c r="Y574" s="346"/>
      <c r="Z574" s="346"/>
      <c r="AA574" s="346"/>
      <c r="AB574" s="346"/>
      <c r="AC574" s="346"/>
      <c r="AE574" s="347"/>
      <c r="AF574" s="347"/>
      <c r="AG574" s="347"/>
      <c r="AH574" s="347"/>
      <c r="AI574" s="348"/>
      <c r="AJ574" s="408"/>
      <c r="AK574" s="349"/>
      <c r="AL574" s="349"/>
      <c r="AM574" s="349"/>
      <c r="AN574" s="349"/>
      <c r="AO574" s="350"/>
      <c r="AP574" s="408"/>
      <c r="AQ574" s="349"/>
      <c r="AR574" s="349"/>
      <c r="AS574" s="349"/>
      <c r="AT574" s="349"/>
      <c r="AU574" s="350"/>
      <c r="AV574" s="408"/>
      <c r="AW574" s="351"/>
      <c r="AX574" s="351"/>
      <c r="AY574" s="351"/>
      <c r="AZ574" s="351"/>
      <c r="BA574" s="352"/>
    </row>
    <row r="575" spans="1:53" ht="17.100000000000001" customHeight="1" x14ac:dyDescent="0.25">
      <c r="A575" s="68"/>
      <c r="B575" s="41" t="s">
        <v>331</v>
      </c>
      <c r="C575" s="69" t="s">
        <v>332</v>
      </c>
      <c r="D575" s="50"/>
      <c r="E575" s="70"/>
      <c r="F575" s="70"/>
      <c r="G575" s="70"/>
      <c r="H575" s="263">
        <v>17</v>
      </c>
      <c r="J575" s="71"/>
      <c r="K575" s="71"/>
      <c r="L575" s="71"/>
      <c r="M575" s="71"/>
      <c r="N575" s="71"/>
      <c r="O575" s="71"/>
      <c r="P575" s="71"/>
      <c r="Q575" s="71"/>
      <c r="R575" s="71"/>
      <c r="S575" s="71"/>
      <c r="T575" s="71"/>
      <c r="U575" s="71"/>
      <c r="V575" s="355"/>
      <c r="W575" s="377"/>
      <c r="X575" s="71"/>
      <c r="Y575" s="72"/>
      <c r="Z575" s="73"/>
      <c r="AA575" s="73"/>
      <c r="AB575" s="73"/>
      <c r="AC575" s="73"/>
      <c r="AE575" s="71"/>
      <c r="AF575" s="71"/>
      <c r="AG575" s="71"/>
      <c r="AH575" s="72"/>
      <c r="AI575" s="73"/>
      <c r="AK575" s="71"/>
      <c r="AL575" s="71"/>
      <c r="AM575" s="71"/>
      <c r="AN575" s="72"/>
      <c r="AO575" s="73"/>
      <c r="AQ575" s="71"/>
      <c r="AR575" s="71"/>
      <c r="AS575" s="71"/>
      <c r="AT575" s="72"/>
      <c r="AU575" s="73"/>
      <c r="AW575" s="71"/>
      <c r="AX575" s="71"/>
      <c r="AY575" s="71"/>
      <c r="AZ575" s="72"/>
      <c r="BA575" s="73"/>
    </row>
    <row r="576" spans="1:53" ht="17.100000000000001" customHeight="1" x14ac:dyDescent="0.25">
      <c r="A576" s="40"/>
      <c r="B576" s="40"/>
      <c r="C576" s="74" t="s">
        <v>333</v>
      </c>
      <c r="D576" s="85" t="s">
        <v>9</v>
      </c>
      <c r="E576" s="105"/>
      <c r="F576" s="105"/>
      <c r="G576" s="105"/>
      <c r="H576" s="119"/>
      <c r="I576" s="231"/>
      <c r="J576" s="581"/>
      <c r="K576" s="581"/>
      <c r="L576" s="582"/>
      <c r="M576" s="593">
        <f>SUM(J576:L576)</f>
        <v>0</v>
      </c>
      <c r="N576" s="111"/>
      <c r="O576" s="111"/>
      <c r="P576" s="111"/>
      <c r="Q576" s="111"/>
      <c r="R576" s="111"/>
      <c r="S576" s="111"/>
      <c r="T576" s="111"/>
      <c r="U576" s="111"/>
      <c r="V576" s="358"/>
      <c r="W576" s="391">
        <f t="shared" ref="W576:W579" si="687">J576+K576+N576+Q576+T576</f>
        <v>0</v>
      </c>
      <c r="X576" s="17">
        <f t="shared" ref="X576:X579" si="688">L576+O576+R576+U576</f>
        <v>0</v>
      </c>
      <c r="Y576" s="18">
        <f>SUM(W576:X576)</f>
        <v>0</v>
      </c>
      <c r="Z576" s="19">
        <f>IF(Y$580=0,0,Y576/Y$580)</f>
        <v>0</v>
      </c>
      <c r="AA576" s="19"/>
      <c r="AB576" s="19"/>
      <c r="AC576" s="17"/>
      <c r="AE576" s="17"/>
      <c r="AF576" s="17"/>
      <c r="AG576" s="17"/>
      <c r="AH576" s="18">
        <f t="shared" ref="AH576:AH579" si="689">J576</f>
        <v>0</v>
      </c>
      <c r="AI576" s="19">
        <f>IF(AH$580=0,0,AH576/AH$580)</f>
        <v>0</v>
      </c>
      <c r="AJ576" s="97"/>
      <c r="AK576" s="17"/>
      <c r="AL576" s="17"/>
      <c r="AM576" s="17"/>
      <c r="AN576" s="18">
        <f t="shared" ref="AN576:AN579" si="690">K576</f>
        <v>0</v>
      </c>
      <c r="AO576" s="19">
        <f>IF(AN$580=0,0,AN576/AN$580)</f>
        <v>0</v>
      </c>
      <c r="AP576" s="97"/>
      <c r="AQ576" s="17"/>
      <c r="AR576" s="17"/>
      <c r="AS576" s="17"/>
      <c r="AT576" s="18">
        <f t="shared" ref="AT576:AT579" si="691">W576</f>
        <v>0</v>
      </c>
      <c r="AU576" s="19">
        <f>IF(AT$580=0,0,AT576/AT$580)</f>
        <v>0</v>
      </c>
      <c r="AV576" s="97"/>
      <c r="AW576" s="17"/>
      <c r="AX576" s="17"/>
      <c r="AY576" s="17"/>
      <c r="AZ576" s="18">
        <f t="shared" ref="AZ576:AZ579" si="692">X576</f>
        <v>0</v>
      </c>
      <c r="BA576" s="19">
        <f>IF(AZ$580=0,0,AZ576/AZ$580)</f>
        <v>0</v>
      </c>
    </row>
    <row r="577" spans="1:53" ht="17.100000000000001" customHeight="1" x14ac:dyDescent="0.25">
      <c r="A577" s="40"/>
      <c r="B577" s="40"/>
      <c r="C577" s="74" t="s">
        <v>334</v>
      </c>
      <c r="D577" s="85" t="s">
        <v>335</v>
      </c>
      <c r="E577" s="105"/>
      <c r="F577" s="105"/>
      <c r="G577" s="105"/>
      <c r="H577" s="119"/>
      <c r="I577" s="231"/>
      <c r="J577" s="583"/>
      <c r="K577" s="583"/>
      <c r="L577" s="584"/>
      <c r="M577" s="593">
        <f t="shared" ref="M577:M579" si="693">SUM(J577:L577)</f>
        <v>0</v>
      </c>
      <c r="N577" s="111"/>
      <c r="O577" s="111"/>
      <c r="P577" s="111"/>
      <c r="Q577" s="111"/>
      <c r="R577" s="111"/>
      <c r="S577" s="111"/>
      <c r="T577" s="111"/>
      <c r="U577" s="111"/>
      <c r="V577" s="358"/>
      <c r="W577" s="391">
        <f t="shared" si="687"/>
        <v>0</v>
      </c>
      <c r="X577" s="17">
        <f t="shared" si="688"/>
        <v>0</v>
      </c>
      <c r="Y577" s="18">
        <f>SUM(W577:X577)</f>
        <v>0</v>
      </c>
      <c r="Z577" s="19">
        <f t="shared" ref="Z577:Z579" si="694">IF(Y$580=0,0,Y577/Y$580)</f>
        <v>0</v>
      </c>
      <c r="AA577" s="19"/>
      <c r="AB577" s="19"/>
      <c r="AC577" s="17"/>
      <c r="AE577" s="17"/>
      <c r="AF577" s="17"/>
      <c r="AG577" s="17"/>
      <c r="AH577" s="18">
        <f t="shared" si="689"/>
        <v>0</v>
      </c>
      <c r="AI577" s="19">
        <f t="shared" ref="AI577:AI580" si="695">IF(AH$580=0,0,AH577/AH$580)</f>
        <v>0</v>
      </c>
      <c r="AJ577" s="97"/>
      <c r="AK577" s="17"/>
      <c r="AL577" s="17"/>
      <c r="AM577" s="17"/>
      <c r="AN577" s="18">
        <f t="shared" si="690"/>
        <v>0</v>
      </c>
      <c r="AO577" s="19">
        <f t="shared" ref="AO577:AO580" si="696">IF(AN$580=0,0,AN577/AN$580)</f>
        <v>0</v>
      </c>
      <c r="AP577" s="97"/>
      <c r="AQ577" s="17"/>
      <c r="AR577" s="17"/>
      <c r="AS577" s="17"/>
      <c r="AT577" s="18">
        <f t="shared" si="691"/>
        <v>0</v>
      </c>
      <c r="AU577" s="19">
        <f t="shared" ref="AU577:AU580" si="697">IF(AT$580=0,0,AT577/AT$580)</f>
        <v>0</v>
      </c>
      <c r="AV577" s="97"/>
      <c r="AW577" s="17"/>
      <c r="AX577" s="17"/>
      <c r="AY577" s="17"/>
      <c r="AZ577" s="18">
        <f t="shared" si="692"/>
        <v>0</v>
      </c>
      <c r="BA577" s="19">
        <f t="shared" ref="BA577:BA580" si="698">IF(AZ$580=0,0,AZ577/AZ$580)</f>
        <v>0</v>
      </c>
    </row>
    <row r="578" spans="1:53" ht="17.100000000000001" customHeight="1" x14ac:dyDescent="0.25">
      <c r="A578" s="40"/>
      <c r="B578" s="40"/>
      <c r="C578" s="74" t="s">
        <v>336</v>
      </c>
      <c r="D578" s="85" t="s">
        <v>129</v>
      </c>
      <c r="E578" s="105"/>
      <c r="F578" s="105"/>
      <c r="G578" s="105"/>
      <c r="H578" s="119"/>
      <c r="I578" s="231"/>
      <c r="J578" s="581"/>
      <c r="K578" s="581"/>
      <c r="L578" s="582"/>
      <c r="M578" s="593">
        <f t="shared" si="693"/>
        <v>0</v>
      </c>
      <c r="N578" s="111"/>
      <c r="O578" s="111"/>
      <c r="P578" s="111"/>
      <c r="Q578" s="111"/>
      <c r="R578" s="111"/>
      <c r="S578" s="111"/>
      <c r="T578" s="111"/>
      <c r="U578" s="111"/>
      <c r="V578" s="358"/>
      <c r="W578" s="391">
        <f t="shared" si="687"/>
        <v>0</v>
      </c>
      <c r="X578" s="17">
        <f t="shared" si="688"/>
        <v>0</v>
      </c>
      <c r="Y578" s="18">
        <f>SUM(W578:X578)</f>
        <v>0</v>
      </c>
      <c r="Z578" s="19">
        <f t="shared" si="694"/>
        <v>0</v>
      </c>
      <c r="AA578" s="19"/>
      <c r="AB578" s="19"/>
      <c r="AC578" s="17"/>
      <c r="AE578" s="17"/>
      <c r="AF578" s="17"/>
      <c r="AG578" s="17"/>
      <c r="AH578" s="18">
        <f t="shared" si="689"/>
        <v>0</v>
      </c>
      <c r="AI578" s="19">
        <f t="shared" si="695"/>
        <v>0</v>
      </c>
      <c r="AJ578" s="97"/>
      <c r="AK578" s="17"/>
      <c r="AL578" s="17"/>
      <c r="AM578" s="17"/>
      <c r="AN578" s="18">
        <f t="shared" si="690"/>
        <v>0</v>
      </c>
      <c r="AO578" s="19">
        <f t="shared" si="696"/>
        <v>0</v>
      </c>
      <c r="AP578" s="97"/>
      <c r="AQ578" s="17"/>
      <c r="AR578" s="17"/>
      <c r="AS578" s="17"/>
      <c r="AT578" s="18">
        <f t="shared" si="691"/>
        <v>0</v>
      </c>
      <c r="AU578" s="19">
        <f t="shared" si="697"/>
        <v>0</v>
      </c>
      <c r="AV578" s="97"/>
      <c r="AW578" s="17"/>
      <c r="AX578" s="17"/>
      <c r="AY578" s="17"/>
      <c r="AZ578" s="18">
        <f t="shared" si="692"/>
        <v>0</v>
      </c>
      <c r="BA578" s="19">
        <f t="shared" si="698"/>
        <v>0</v>
      </c>
    </row>
    <row r="579" spans="1:53" ht="17.100000000000001" customHeight="1" x14ac:dyDescent="0.25">
      <c r="A579" s="40"/>
      <c r="B579" s="40"/>
      <c r="C579" s="74" t="s">
        <v>554</v>
      </c>
      <c r="D579" s="85" t="s">
        <v>530</v>
      </c>
      <c r="E579" s="105"/>
      <c r="F579" s="105"/>
      <c r="G579" s="105"/>
      <c r="H579" s="119"/>
      <c r="I579" s="231"/>
      <c r="J579" s="583"/>
      <c r="K579" s="583"/>
      <c r="L579" s="584"/>
      <c r="M579" s="593">
        <f t="shared" si="693"/>
        <v>0</v>
      </c>
      <c r="N579" s="111"/>
      <c r="O579" s="111"/>
      <c r="P579" s="111"/>
      <c r="Q579" s="111"/>
      <c r="R579" s="111"/>
      <c r="S579" s="111"/>
      <c r="T579" s="111"/>
      <c r="U579" s="111"/>
      <c r="V579" s="358"/>
      <c r="W579" s="391">
        <f t="shared" si="687"/>
        <v>0</v>
      </c>
      <c r="X579" s="17">
        <f t="shared" si="688"/>
        <v>0</v>
      </c>
      <c r="Y579" s="18">
        <f>SUM(W579:X579)</f>
        <v>0</v>
      </c>
      <c r="Z579" s="19">
        <f t="shared" si="694"/>
        <v>0</v>
      </c>
      <c r="AA579" s="19"/>
      <c r="AB579" s="19"/>
      <c r="AC579" s="17"/>
      <c r="AE579" s="17"/>
      <c r="AF579" s="17"/>
      <c r="AG579" s="17"/>
      <c r="AH579" s="18">
        <f t="shared" si="689"/>
        <v>0</v>
      </c>
      <c r="AI579" s="19">
        <f t="shared" si="695"/>
        <v>0</v>
      </c>
      <c r="AJ579" s="97"/>
      <c r="AK579" s="17"/>
      <c r="AL579" s="17"/>
      <c r="AM579" s="17"/>
      <c r="AN579" s="18">
        <f t="shared" si="690"/>
        <v>0</v>
      </c>
      <c r="AO579" s="19">
        <f t="shared" si="696"/>
        <v>0</v>
      </c>
      <c r="AP579" s="97"/>
      <c r="AQ579" s="17"/>
      <c r="AR579" s="17"/>
      <c r="AS579" s="17"/>
      <c r="AT579" s="18">
        <f t="shared" si="691"/>
        <v>0</v>
      </c>
      <c r="AU579" s="19">
        <f t="shared" si="697"/>
        <v>0</v>
      </c>
      <c r="AV579" s="97"/>
      <c r="AW579" s="17"/>
      <c r="AX579" s="17"/>
      <c r="AY579" s="17"/>
      <c r="AZ579" s="18">
        <f t="shared" si="692"/>
        <v>0</v>
      </c>
      <c r="BA579" s="19">
        <f t="shared" si="698"/>
        <v>0</v>
      </c>
    </row>
    <row r="580" spans="1:53" ht="17.100000000000001" customHeight="1" x14ac:dyDescent="0.25">
      <c r="A580" s="40"/>
      <c r="B580" s="40"/>
      <c r="C580" s="77"/>
      <c r="D580" s="134"/>
      <c r="E580" s="134"/>
      <c r="F580" s="134"/>
      <c r="G580" s="134"/>
      <c r="H580" s="540"/>
      <c r="I580" s="229"/>
      <c r="J580" s="80">
        <f>SUM(J576:J579)</f>
        <v>0</v>
      </c>
      <c r="K580" s="80">
        <f t="shared" ref="K580:M580" si="699">SUM(K576:K579)</f>
        <v>0</v>
      </c>
      <c r="L580" s="80">
        <f t="shared" si="699"/>
        <v>0</v>
      </c>
      <c r="M580" s="80">
        <f t="shared" si="699"/>
        <v>0</v>
      </c>
      <c r="N580" s="81"/>
      <c r="O580" s="81"/>
      <c r="P580" s="81"/>
      <c r="Q580" s="81"/>
      <c r="R580" s="81"/>
      <c r="S580" s="81"/>
      <c r="T580" s="81"/>
      <c r="U580" s="81"/>
      <c r="V580" s="356"/>
      <c r="W580" s="381">
        <f t="shared" ref="W580:X580" si="700">SUM(W576:W579)</f>
        <v>0</v>
      </c>
      <c r="X580" s="82">
        <f t="shared" si="700"/>
        <v>0</v>
      </c>
      <c r="Y580" s="82">
        <f>SUM(Y576:Y579)</f>
        <v>0</v>
      </c>
      <c r="Z580" s="205">
        <f>IF(Y$580=0,0,Y580/Y$580)</f>
        <v>0</v>
      </c>
      <c r="AA580" s="205"/>
      <c r="AB580" s="205"/>
      <c r="AC580" s="83"/>
      <c r="AE580" s="80"/>
      <c r="AF580" s="80"/>
      <c r="AG580" s="81"/>
      <c r="AH580" s="82">
        <f>SUM(AH576:AH579)</f>
        <v>0</v>
      </c>
      <c r="AI580" s="66">
        <f t="shared" si="695"/>
        <v>0</v>
      </c>
      <c r="AK580" s="80"/>
      <c r="AL580" s="80"/>
      <c r="AM580" s="81"/>
      <c r="AN580" s="82">
        <f>SUM(AN576:AN579)</f>
        <v>0</v>
      </c>
      <c r="AO580" s="66">
        <f t="shared" si="696"/>
        <v>0</v>
      </c>
      <c r="AQ580" s="80"/>
      <c r="AR580" s="80"/>
      <c r="AS580" s="81"/>
      <c r="AT580" s="82">
        <f>SUM(AT576:AT579)</f>
        <v>0</v>
      </c>
      <c r="AU580" s="66">
        <f t="shared" si="697"/>
        <v>0</v>
      </c>
      <c r="AW580" s="80"/>
      <c r="AX580" s="80"/>
      <c r="AY580" s="81"/>
      <c r="AZ580" s="82">
        <f>SUM(AZ576:AZ579)</f>
        <v>0</v>
      </c>
      <c r="BA580" s="66">
        <f t="shared" si="698"/>
        <v>0</v>
      </c>
    </row>
    <row r="581" spans="1:53" s="117" customFormat="1" ht="17.100000000000001" customHeight="1" x14ac:dyDescent="0.25">
      <c r="A581" s="68"/>
      <c r="B581" s="119"/>
      <c r="C581" s="540"/>
      <c r="D581" s="261"/>
      <c r="E581" s="261"/>
      <c r="F581" s="68"/>
      <c r="G581" s="68"/>
      <c r="H581" s="119"/>
      <c r="I581" s="138"/>
      <c r="J581" s="17" t="str">
        <f>IF(J580=J$15,"OK","NOK")</f>
        <v>OK</v>
      </c>
      <c r="K581" s="17" t="str">
        <f t="shared" ref="K581:L581" si="701">IF(K580=K$15,"OK","NOK")</f>
        <v>OK</v>
      </c>
      <c r="L581" s="17" t="str">
        <f t="shared" si="701"/>
        <v>OK</v>
      </c>
      <c r="M581" s="17"/>
      <c r="N581" s="17"/>
      <c r="O581" s="17"/>
      <c r="P581" s="17"/>
      <c r="Q581" s="17"/>
      <c r="R581" s="17"/>
      <c r="S581" s="17"/>
      <c r="T581" s="17"/>
      <c r="U581" s="17"/>
      <c r="V581" s="359"/>
      <c r="W581" s="382"/>
      <c r="X581" s="539"/>
      <c r="Y581" s="539"/>
      <c r="Z581" s="201"/>
      <c r="AA581" s="201"/>
      <c r="AB581" s="201"/>
      <c r="AC581" s="84"/>
      <c r="AE581" s="46"/>
      <c r="AF581" s="46"/>
      <c r="AG581" s="17"/>
      <c r="AH581" s="539"/>
      <c r="AI581" s="91"/>
      <c r="AK581" s="46"/>
      <c r="AL581" s="46"/>
      <c r="AM581" s="17"/>
      <c r="AN581" s="539"/>
      <c r="AO581" s="91"/>
      <c r="AQ581" s="46"/>
      <c r="AR581" s="46"/>
      <c r="AS581" s="17"/>
      <c r="AT581" s="539"/>
      <c r="AU581" s="91"/>
      <c r="AW581" s="46"/>
      <c r="AX581" s="46"/>
      <c r="AY581" s="17"/>
      <c r="AZ581" s="539"/>
      <c r="BA581" s="91"/>
    </row>
    <row r="582" spans="1:53" ht="17.100000000000001" customHeight="1" x14ac:dyDescent="0.25">
      <c r="A582" s="40"/>
      <c r="B582" s="41" t="s">
        <v>337</v>
      </c>
      <c r="C582" s="69" t="s">
        <v>361</v>
      </c>
      <c r="D582" s="50"/>
      <c r="E582" s="70"/>
      <c r="F582" s="70"/>
      <c r="G582" s="70"/>
      <c r="H582" s="247">
        <v>21</v>
      </c>
      <c r="J582" s="71"/>
      <c r="K582" s="71"/>
      <c r="L582" s="71"/>
      <c r="M582" s="71"/>
      <c r="N582" s="71"/>
      <c r="O582" s="71"/>
      <c r="P582" s="71"/>
      <c r="Q582" s="71"/>
      <c r="R582" s="71"/>
      <c r="S582" s="71"/>
      <c r="T582" s="71"/>
      <c r="U582" s="71"/>
      <c r="V582" s="355"/>
      <c r="W582" s="377"/>
      <c r="X582" s="71"/>
      <c r="Y582" s="89"/>
      <c r="Z582" s="90"/>
      <c r="AA582" s="90"/>
      <c r="AB582" s="90"/>
      <c r="AC582" s="227"/>
      <c r="AE582" s="71"/>
      <c r="AF582" s="71"/>
      <c r="AG582" s="71"/>
      <c r="AH582" s="89"/>
      <c r="AI582" s="71"/>
      <c r="AK582" s="71"/>
      <c r="AL582" s="71"/>
      <c r="AM582" s="71"/>
      <c r="AN582" s="89"/>
      <c r="AO582" s="71"/>
      <c r="AQ582" s="71"/>
      <c r="AR582" s="71"/>
      <c r="AS582" s="71"/>
      <c r="AT582" s="89"/>
      <c r="AU582" s="71"/>
      <c r="AW582" s="71"/>
      <c r="AX582" s="71"/>
      <c r="AY582" s="71"/>
      <c r="AZ582" s="89"/>
      <c r="BA582" s="71"/>
    </row>
    <row r="583" spans="1:53" ht="17.100000000000001" customHeight="1" x14ac:dyDescent="0.25">
      <c r="A583" s="40"/>
      <c r="B583" s="40"/>
      <c r="C583" s="74" t="s">
        <v>499</v>
      </c>
      <c r="D583" s="85" t="s">
        <v>495</v>
      </c>
      <c r="E583" s="105"/>
      <c r="F583" s="105"/>
      <c r="G583" s="105"/>
      <c r="H583" s="119"/>
      <c r="I583" s="231"/>
      <c r="J583" s="581"/>
      <c r="K583" s="581"/>
      <c r="L583" s="582"/>
      <c r="M583" s="593">
        <f t="shared" ref="M583:M588" si="702">SUM(J583:L583)</f>
        <v>0</v>
      </c>
      <c r="N583" s="111"/>
      <c r="O583" s="111"/>
      <c r="P583" s="111"/>
      <c r="Q583" s="111"/>
      <c r="R583" s="111"/>
      <c r="S583" s="111"/>
      <c r="T583" s="111"/>
      <c r="U583" s="111"/>
      <c r="V583" s="358"/>
      <c r="W583" s="391">
        <f t="shared" ref="W583:W588" si="703">J583+K583+N583+Q583+T583</f>
        <v>0</v>
      </c>
      <c r="X583" s="17">
        <f t="shared" ref="X583:X588" si="704">L583+O583+R583+U583</f>
        <v>0</v>
      </c>
      <c r="Y583" s="18">
        <f t="shared" ref="Y583:Y588" si="705">SUM(W583:X583)</f>
        <v>0</v>
      </c>
      <c r="Z583" s="19">
        <f>IF(Y$589=0,0,Y583/Y$589)</f>
        <v>0</v>
      </c>
      <c r="AA583" s="19"/>
      <c r="AB583" s="19"/>
      <c r="AC583" s="17"/>
      <c r="AE583" s="17"/>
      <c r="AF583" s="17"/>
      <c r="AG583" s="17"/>
      <c r="AH583" s="18">
        <f t="shared" ref="AH583:AH588" si="706">J583</f>
        <v>0</v>
      </c>
      <c r="AI583" s="19">
        <f>IF(AH$589=0,0,AH583/AH$589)</f>
        <v>0</v>
      </c>
      <c r="AJ583" s="97"/>
      <c r="AK583" s="17"/>
      <c r="AL583" s="17"/>
      <c r="AM583" s="17"/>
      <c r="AN583" s="18">
        <f t="shared" ref="AN583:AN588" si="707">K583</f>
        <v>0</v>
      </c>
      <c r="AO583" s="19">
        <f>IF(AN$589=0,0,AN583/AN$589)</f>
        <v>0</v>
      </c>
      <c r="AP583" s="97"/>
      <c r="AQ583" s="17"/>
      <c r="AR583" s="17"/>
      <c r="AS583" s="17"/>
      <c r="AT583" s="18">
        <f t="shared" ref="AT583:AT588" si="708">W583</f>
        <v>0</v>
      </c>
      <c r="AU583" s="19">
        <f>IF(AT$589=0,0,AT583/AT$589)</f>
        <v>0</v>
      </c>
      <c r="AV583" s="97"/>
      <c r="AW583" s="17"/>
      <c r="AX583" s="17"/>
      <c r="AY583" s="17"/>
      <c r="AZ583" s="18">
        <f t="shared" ref="AZ583:AZ588" si="709">X583</f>
        <v>0</v>
      </c>
      <c r="BA583" s="19">
        <f>IF(AZ$589=0,0,AZ583/AZ$589)</f>
        <v>0</v>
      </c>
    </row>
    <row r="584" spans="1:53" ht="17.100000000000001" customHeight="1" x14ac:dyDescent="0.25">
      <c r="A584" s="40"/>
      <c r="B584" s="40"/>
      <c r="C584" s="74" t="s">
        <v>500</v>
      </c>
      <c r="D584" s="85" t="s">
        <v>496</v>
      </c>
      <c r="E584" s="105"/>
      <c r="F584" s="105"/>
      <c r="G584" s="105"/>
      <c r="H584" s="119"/>
      <c r="I584" s="231"/>
      <c r="J584" s="583"/>
      <c r="K584" s="583"/>
      <c r="L584" s="584"/>
      <c r="M584" s="593">
        <f t="shared" si="702"/>
        <v>0</v>
      </c>
      <c r="N584" s="111"/>
      <c r="O584" s="111"/>
      <c r="P584" s="111"/>
      <c r="Q584" s="111"/>
      <c r="R584" s="111"/>
      <c r="S584" s="111"/>
      <c r="T584" s="111"/>
      <c r="U584" s="111"/>
      <c r="V584" s="358"/>
      <c r="W584" s="391">
        <f t="shared" si="703"/>
        <v>0</v>
      </c>
      <c r="X584" s="17">
        <f t="shared" si="704"/>
        <v>0</v>
      </c>
      <c r="Y584" s="18">
        <f t="shared" si="705"/>
        <v>0</v>
      </c>
      <c r="Z584" s="19">
        <f t="shared" ref="Z584:Z588" si="710">IF(Y$589=0,0,Y584/Y$589)</f>
        <v>0</v>
      </c>
      <c r="AA584" s="19"/>
      <c r="AB584" s="19"/>
      <c r="AC584" s="17"/>
      <c r="AE584" s="17"/>
      <c r="AF584" s="17"/>
      <c r="AG584" s="17"/>
      <c r="AH584" s="18">
        <f t="shared" si="706"/>
        <v>0</v>
      </c>
      <c r="AI584" s="19">
        <f t="shared" ref="AI584:AI589" si="711">IF(AH$589=0,0,AH584/AH$589)</f>
        <v>0</v>
      </c>
      <c r="AJ584" s="97"/>
      <c r="AK584" s="17"/>
      <c r="AL584" s="17"/>
      <c r="AM584" s="17"/>
      <c r="AN584" s="18">
        <f t="shared" si="707"/>
        <v>0</v>
      </c>
      <c r="AO584" s="19">
        <f t="shared" ref="AO584:AO589" si="712">IF(AN$589=0,0,AN584/AN$589)</f>
        <v>0</v>
      </c>
      <c r="AP584" s="97"/>
      <c r="AQ584" s="17"/>
      <c r="AR584" s="17"/>
      <c r="AS584" s="17"/>
      <c r="AT584" s="18">
        <f t="shared" si="708"/>
        <v>0</v>
      </c>
      <c r="AU584" s="19">
        <f t="shared" ref="AU584:AU589" si="713">IF(AT$589=0,0,AT584/AT$589)</f>
        <v>0</v>
      </c>
      <c r="AV584" s="97"/>
      <c r="AW584" s="17"/>
      <c r="AX584" s="17"/>
      <c r="AY584" s="17"/>
      <c r="AZ584" s="18">
        <f t="shared" si="709"/>
        <v>0</v>
      </c>
      <c r="BA584" s="19">
        <f t="shared" ref="BA584:BA589" si="714">IF(AZ$589=0,0,AZ584/AZ$589)</f>
        <v>0</v>
      </c>
    </row>
    <row r="585" spans="1:53" ht="17.100000000000001" customHeight="1" x14ac:dyDescent="0.25">
      <c r="A585" s="40"/>
      <c r="B585" s="40"/>
      <c r="C585" s="74" t="s">
        <v>501</v>
      </c>
      <c r="D585" s="85" t="s">
        <v>497</v>
      </c>
      <c r="E585" s="105"/>
      <c r="F585" s="105"/>
      <c r="G585" s="105"/>
      <c r="H585" s="119"/>
      <c r="I585" s="231"/>
      <c r="J585" s="581"/>
      <c r="K585" s="581"/>
      <c r="L585" s="582"/>
      <c r="M585" s="593">
        <f t="shared" si="702"/>
        <v>0</v>
      </c>
      <c r="N585" s="111"/>
      <c r="O585" s="111"/>
      <c r="P585" s="111"/>
      <c r="Q585" s="111"/>
      <c r="R585" s="111"/>
      <c r="S585" s="111"/>
      <c r="T585" s="111"/>
      <c r="U585" s="111"/>
      <c r="V585" s="358"/>
      <c r="W585" s="391">
        <f t="shared" si="703"/>
        <v>0</v>
      </c>
      <c r="X585" s="17">
        <f t="shared" si="704"/>
        <v>0</v>
      </c>
      <c r="Y585" s="18">
        <f t="shared" si="705"/>
        <v>0</v>
      </c>
      <c r="Z585" s="19">
        <f t="shared" si="710"/>
        <v>0</v>
      </c>
      <c r="AA585" s="19"/>
      <c r="AB585" s="19"/>
      <c r="AC585" s="17"/>
      <c r="AE585" s="17"/>
      <c r="AF585" s="17"/>
      <c r="AG585" s="17"/>
      <c r="AH585" s="18">
        <f t="shared" si="706"/>
        <v>0</v>
      </c>
      <c r="AI585" s="19">
        <f t="shared" si="711"/>
        <v>0</v>
      </c>
      <c r="AJ585" s="97"/>
      <c r="AK585" s="17"/>
      <c r="AL585" s="17"/>
      <c r="AM585" s="17"/>
      <c r="AN585" s="18">
        <f t="shared" si="707"/>
        <v>0</v>
      </c>
      <c r="AO585" s="19">
        <f t="shared" si="712"/>
        <v>0</v>
      </c>
      <c r="AP585" s="97"/>
      <c r="AQ585" s="17"/>
      <c r="AR585" s="17"/>
      <c r="AS585" s="17"/>
      <c r="AT585" s="18">
        <f t="shared" si="708"/>
        <v>0</v>
      </c>
      <c r="AU585" s="19">
        <f t="shared" si="713"/>
        <v>0</v>
      </c>
      <c r="AV585" s="97"/>
      <c r="AW585" s="17"/>
      <c r="AX585" s="17"/>
      <c r="AY585" s="17"/>
      <c r="AZ585" s="18">
        <f t="shared" si="709"/>
        <v>0</v>
      </c>
      <c r="BA585" s="19">
        <f t="shared" si="714"/>
        <v>0</v>
      </c>
    </row>
    <row r="586" spans="1:53" ht="17.100000000000001" customHeight="1" x14ac:dyDescent="0.25">
      <c r="A586" s="40"/>
      <c r="B586" s="40"/>
      <c r="C586" s="74" t="s">
        <v>502</v>
      </c>
      <c r="D586" s="85" t="s">
        <v>498</v>
      </c>
      <c r="E586" s="105"/>
      <c r="F586" s="105"/>
      <c r="G586" s="105"/>
      <c r="H586" s="119"/>
      <c r="I586" s="231"/>
      <c r="J586" s="583"/>
      <c r="K586" s="583"/>
      <c r="L586" s="584"/>
      <c r="M586" s="593">
        <f t="shared" si="702"/>
        <v>0</v>
      </c>
      <c r="N586" s="111"/>
      <c r="O586" s="111"/>
      <c r="P586" s="111"/>
      <c r="Q586" s="111"/>
      <c r="R586" s="111"/>
      <c r="S586" s="111"/>
      <c r="T586" s="111"/>
      <c r="U586" s="111"/>
      <c r="V586" s="358"/>
      <c r="W586" s="391">
        <f t="shared" si="703"/>
        <v>0</v>
      </c>
      <c r="X586" s="17">
        <f t="shared" si="704"/>
        <v>0</v>
      </c>
      <c r="Y586" s="18">
        <f t="shared" si="705"/>
        <v>0</v>
      </c>
      <c r="Z586" s="19">
        <f t="shared" si="710"/>
        <v>0</v>
      </c>
      <c r="AA586" s="19"/>
      <c r="AB586" s="19"/>
      <c r="AC586" s="17"/>
      <c r="AE586" s="17"/>
      <c r="AF586" s="17"/>
      <c r="AG586" s="17"/>
      <c r="AH586" s="18">
        <f t="shared" si="706"/>
        <v>0</v>
      </c>
      <c r="AI586" s="19">
        <f t="shared" si="711"/>
        <v>0</v>
      </c>
      <c r="AJ586" s="97"/>
      <c r="AK586" s="17"/>
      <c r="AL586" s="17"/>
      <c r="AM586" s="17"/>
      <c r="AN586" s="18">
        <f t="shared" si="707"/>
        <v>0</v>
      </c>
      <c r="AO586" s="19">
        <f t="shared" si="712"/>
        <v>0</v>
      </c>
      <c r="AP586" s="97"/>
      <c r="AQ586" s="17"/>
      <c r="AR586" s="17"/>
      <c r="AS586" s="17"/>
      <c r="AT586" s="18">
        <f t="shared" si="708"/>
        <v>0</v>
      </c>
      <c r="AU586" s="19">
        <f t="shared" si="713"/>
        <v>0</v>
      </c>
      <c r="AV586" s="97"/>
      <c r="AW586" s="17"/>
      <c r="AX586" s="17"/>
      <c r="AY586" s="17"/>
      <c r="AZ586" s="18">
        <f t="shared" si="709"/>
        <v>0</v>
      </c>
      <c r="BA586" s="19">
        <f t="shared" si="714"/>
        <v>0</v>
      </c>
    </row>
    <row r="587" spans="1:53" ht="17.100000000000001" customHeight="1" x14ac:dyDescent="0.25">
      <c r="A587" s="40"/>
      <c r="B587" s="40"/>
      <c r="C587" s="74" t="s">
        <v>503</v>
      </c>
      <c r="D587" s="85" t="s">
        <v>129</v>
      </c>
      <c r="E587" s="105"/>
      <c r="F587" s="105"/>
      <c r="G587" s="105"/>
      <c r="H587" s="119"/>
      <c r="I587" s="231"/>
      <c r="J587" s="581"/>
      <c r="K587" s="581"/>
      <c r="L587" s="582"/>
      <c r="M587" s="593">
        <f t="shared" si="702"/>
        <v>0</v>
      </c>
      <c r="N587" s="111"/>
      <c r="O587" s="111"/>
      <c r="P587" s="111"/>
      <c r="Q587" s="111"/>
      <c r="R587" s="111"/>
      <c r="S587" s="111"/>
      <c r="T587" s="111"/>
      <c r="U587" s="111"/>
      <c r="V587" s="358"/>
      <c r="W587" s="391">
        <f t="shared" si="703"/>
        <v>0</v>
      </c>
      <c r="X587" s="17">
        <f t="shared" si="704"/>
        <v>0</v>
      </c>
      <c r="Y587" s="18">
        <f t="shared" si="705"/>
        <v>0</v>
      </c>
      <c r="Z587" s="19">
        <f t="shared" si="710"/>
        <v>0</v>
      </c>
      <c r="AA587" s="19"/>
      <c r="AB587" s="19"/>
      <c r="AC587" s="17"/>
      <c r="AE587" s="17"/>
      <c r="AF587" s="17"/>
      <c r="AG587" s="17"/>
      <c r="AH587" s="18">
        <f t="shared" si="706"/>
        <v>0</v>
      </c>
      <c r="AI587" s="19">
        <f t="shared" si="711"/>
        <v>0</v>
      </c>
      <c r="AJ587" s="97"/>
      <c r="AK587" s="17"/>
      <c r="AL587" s="17"/>
      <c r="AM587" s="17"/>
      <c r="AN587" s="18">
        <f t="shared" si="707"/>
        <v>0</v>
      </c>
      <c r="AO587" s="19">
        <f t="shared" si="712"/>
        <v>0</v>
      </c>
      <c r="AP587" s="97"/>
      <c r="AQ587" s="17"/>
      <c r="AR587" s="17"/>
      <c r="AS587" s="17"/>
      <c r="AT587" s="18">
        <f t="shared" si="708"/>
        <v>0</v>
      </c>
      <c r="AU587" s="19">
        <f t="shared" si="713"/>
        <v>0</v>
      </c>
      <c r="AV587" s="97"/>
      <c r="AW587" s="17"/>
      <c r="AX587" s="17"/>
      <c r="AY587" s="17"/>
      <c r="AZ587" s="18">
        <f t="shared" si="709"/>
        <v>0</v>
      </c>
      <c r="BA587" s="19">
        <f t="shared" si="714"/>
        <v>0</v>
      </c>
    </row>
    <row r="588" spans="1:53" ht="17.100000000000001" customHeight="1" x14ac:dyDescent="0.25">
      <c r="A588" s="40"/>
      <c r="B588" s="40"/>
      <c r="C588" s="74" t="s">
        <v>551</v>
      </c>
      <c r="D588" s="85" t="s">
        <v>550</v>
      </c>
      <c r="E588" s="105"/>
      <c r="F588" s="105"/>
      <c r="G588" s="105"/>
      <c r="H588" s="119"/>
      <c r="I588" s="231"/>
      <c r="J588" s="583"/>
      <c r="K588" s="583"/>
      <c r="L588" s="584"/>
      <c r="M588" s="593">
        <f t="shared" si="702"/>
        <v>0</v>
      </c>
      <c r="N588" s="111"/>
      <c r="O588" s="111"/>
      <c r="P588" s="111"/>
      <c r="Q588" s="111"/>
      <c r="R588" s="111"/>
      <c r="S588" s="111"/>
      <c r="T588" s="111"/>
      <c r="U588" s="111"/>
      <c r="V588" s="358"/>
      <c r="W588" s="391">
        <f t="shared" si="703"/>
        <v>0</v>
      </c>
      <c r="X588" s="17">
        <f t="shared" si="704"/>
        <v>0</v>
      </c>
      <c r="Y588" s="18">
        <f t="shared" si="705"/>
        <v>0</v>
      </c>
      <c r="Z588" s="19">
        <f t="shared" si="710"/>
        <v>0</v>
      </c>
      <c r="AA588" s="19"/>
      <c r="AB588" s="19"/>
      <c r="AC588" s="17"/>
      <c r="AE588" s="17"/>
      <c r="AF588" s="17"/>
      <c r="AG588" s="17"/>
      <c r="AH588" s="18">
        <f t="shared" si="706"/>
        <v>0</v>
      </c>
      <c r="AI588" s="19">
        <f t="shared" si="711"/>
        <v>0</v>
      </c>
      <c r="AJ588" s="97"/>
      <c r="AK588" s="17"/>
      <c r="AL588" s="17"/>
      <c r="AM588" s="17"/>
      <c r="AN588" s="18">
        <f t="shared" si="707"/>
        <v>0</v>
      </c>
      <c r="AO588" s="19">
        <f t="shared" si="712"/>
        <v>0</v>
      </c>
      <c r="AP588" s="97"/>
      <c r="AQ588" s="17"/>
      <c r="AR588" s="17"/>
      <c r="AS588" s="17"/>
      <c r="AT588" s="18">
        <f t="shared" si="708"/>
        <v>0</v>
      </c>
      <c r="AU588" s="19">
        <f t="shared" si="713"/>
        <v>0</v>
      </c>
      <c r="AV588" s="97"/>
      <c r="AW588" s="17"/>
      <c r="AX588" s="17"/>
      <c r="AY588" s="17"/>
      <c r="AZ588" s="18">
        <f t="shared" si="709"/>
        <v>0</v>
      </c>
      <c r="BA588" s="19">
        <f t="shared" si="714"/>
        <v>0</v>
      </c>
    </row>
    <row r="589" spans="1:53" ht="17.100000000000001" customHeight="1" x14ac:dyDescent="0.25">
      <c r="A589" s="40"/>
      <c r="B589" s="40"/>
      <c r="C589" s="77"/>
      <c r="D589" s="134"/>
      <c r="E589" s="134"/>
      <c r="F589" s="134"/>
      <c r="G589" s="134"/>
      <c r="H589" s="540"/>
      <c r="I589" s="229"/>
      <c r="J589" s="80">
        <f>SUM(J583:J588)</f>
        <v>0</v>
      </c>
      <c r="K589" s="80">
        <f t="shared" ref="K589:M589" si="715">SUM(K583:K588)</f>
        <v>0</v>
      </c>
      <c r="L589" s="80">
        <f t="shared" si="715"/>
        <v>0</v>
      </c>
      <c r="M589" s="80">
        <f t="shared" si="715"/>
        <v>0</v>
      </c>
      <c r="N589" s="81"/>
      <c r="O589" s="81"/>
      <c r="P589" s="81"/>
      <c r="Q589" s="81"/>
      <c r="R589" s="81"/>
      <c r="S589" s="81"/>
      <c r="T589" s="81"/>
      <c r="U589" s="81"/>
      <c r="V589" s="356"/>
      <c r="W589" s="381">
        <f t="shared" ref="W589:X589" si="716">SUM(W583:W588)</f>
        <v>0</v>
      </c>
      <c r="X589" s="82">
        <f t="shared" si="716"/>
        <v>0</v>
      </c>
      <c r="Y589" s="82">
        <f>SUM(Y583:Y588)</f>
        <v>0</v>
      </c>
      <c r="Z589" s="205">
        <f>IF(Y$589=0,0,Y589/Y$589)</f>
        <v>0</v>
      </c>
      <c r="AA589" s="205"/>
      <c r="AB589" s="205"/>
      <c r="AC589" s="83"/>
      <c r="AE589" s="80"/>
      <c r="AF589" s="80"/>
      <c r="AG589" s="81"/>
      <c r="AH589" s="82">
        <f>SUM(AH583:AH588)</f>
        <v>0</v>
      </c>
      <c r="AI589" s="66">
        <f t="shared" si="711"/>
        <v>0</v>
      </c>
      <c r="AK589" s="80"/>
      <c r="AL589" s="80"/>
      <c r="AM589" s="81"/>
      <c r="AN589" s="82">
        <f>SUM(AN583:AN588)</f>
        <v>0</v>
      </c>
      <c r="AO589" s="66">
        <f t="shared" si="712"/>
        <v>0</v>
      </c>
      <c r="AQ589" s="80"/>
      <c r="AR589" s="80"/>
      <c r="AS589" s="81"/>
      <c r="AT589" s="82">
        <f>SUM(AT583:AT588)</f>
        <v>0</v>
      </c>
      <c r="AU589" s="66">
        <f t="shared" si="713"/>
        <v>0</v>
      </c>
      <c r="AW589" s="80"/>
      <c r="AX589" s="80"/>
      <c r="AY589" s="81"/>
      <c r="AZ589" s="82">
        <f>SUM(AZ583:AZ588)</f>
        <v>0</v>
      </c>
      <c r="BA589" s="66">
        <f t="shared" si="714"/>
        <v>0</v>
      </c>
    </row>
    <row r="590" spans="1:53" s="117" customFormat="1" ht="17.100000000000001" customHeight="1" x14ac:dyDescent="0.25">
      <c r="A590" s="68"/>
      <c r="B590" s="119"/>
      <c r="C590" s="540"/>
      <c r="D590" s="261"/>
      <c r="E590" s="261"/>
      <c r="F590" s="68"/>
      <c r="G590" s="68"/>
      <c r="H590" s="119"/>
      <c r="I590" s="138"/>
      <c r="J590" s="17" t="str">
        <f t="shared" ref="J590:L590" si="717">IF(J589=J$576,"OK","NOK")</f>
        <v>OK</v>
      </c>
      <c r="K590" s="17" t="str">
        <f t="shared" si="717"/>
        <v>OK</v>
      </c>
      <c r="L590" s="17" t="str">
        <f t="shared" si="717"/>
        <v>OK</v>
      </c>
      <c r="M590" s="17"/>
      <c r="N590" s="17"/>
      <c r="O590" s="17"/>
      <c r="P590" s="17"/>
      <c r="Q590" s="17"/>
      <c r="R590" s="17"/>
      <c r="S590" s="17"/>
      <c r="T590" s="17"/>
      <c r="U590" s="17"/>
      <c r="V590" s="359"/>
      <c r="W590" s="382"/>
      <c r="X590" s="539"/>
      <c r="Y590" s="539"/>
      <c r="Z590" s="201"/>
      <c r="AA590" s="201"/>
      <c r="AB590" s="201"/>
      <c r="AC590" s="84"/>
      <c r="AE590" s="46"/>
      <c r="AF590" s="46"/>
      <c r="AG590" s="17"/>
      <c r="AH590" s="539"/>
      <c r="AI590" s="91"/>
      <c r="AK590" s="46"/>
      <c r="AL590" s="46"/>
      <c r="AM590" s="17"/>
      <c r="AN590" s="539"/>
      <c r="AO590" s="91"/>
      <c r="AQ590" s="46"/>
      <c r="AR590" s="46"/>
      <c r="AS590" s="17"/>
      <c r="AT590" s="539"/>
      <c r="AU590" s="91"/>
      <c r="AW590" s="46"/>
      <c r="AX590" s="46"/>
      <c r="AY590" s="17"/>
      <c r="AZ590" s="539"/>
      <c r="BA590" s="91"/>
    </row>
    <row r="591" spans="1:53" ht="17.100000000000001" customHeight="1" x14ac:dyDescent="0.25">
      <c r="A591" s="68"/>
      <c r="B591" s="41" t="s">
        <v>338</v>
      </c>
      <c r="C591" s="69" t="s">
        <v>360</v>
      </c>
      <c r="D591" s="50"/>
      <c r="E591" s="70"/>
      <c r="F591" s="70"/>
      <c r="G591" s="70"/>
      <c r="H591" s="243">
        <v>18</v>
      </c>
      <c r="J591" s="71"/>
      <c r="K591" s="71"/>
      <c r="L591" s="71"/>
      <c r="M591" s="71"/>
      <c r="N591" s="71"/>
      <c r="O591" s="71"/>
      <c r="P591" s="71"/>
      <c r="Q591" s="71"/>
      <c r="R591" s="71"/>
      <c r="S591" s="71"/>
      <c r="T591" s="71"/>
      <c r="U591" s="71"/>
      <c r="V591" s="355"/>
      <c r="W591" s="377"/>
      <c r="X591" s="71"/>
      <c r="Y591" s="72"/>
      <c r="Z591" s="73"/>
      <c r="AA591" s="73"/>
      <c r="AB591" s="73"/>
      <c r="AC591" s="73"/>
      <c r="AE591" s="71"/>
      <c r="AF591" s="71"/>
      <c r="AG591" s="71"/>
      <c r="AH591" s="72"/>
      <c r="AI591" s="73"/>
      <c r="AK591" s="71"/>
      <c r="AL591" s="71"/>
      <c r="AM591" s="71"/>
      <c r="AN591" s="72"/>
      <c r="AO591" s="73"/>
      <c r="AQ591" s="71"/>
      <c r="AR591" s="71"/>
      <c r="AS591" s="71"/>
      <c r="AT591" s="72"/>
      <c r="AU591" s="73"/>
      <c r="AW591" s="71"/>
      <c r="AX591" s="71"/>
      <c r="AY591" s="71"/>
      <c r="AZ591" s="72"/>
      <c r="BA591" s="73"/>
    </row>
    <row r="592" spans="1:53" ht="17.100000000000001" customHeight="1" x14ac:dyDescent="0.25">
      <c r="A592" s="40"/>
      <c r="B592" s="40"/>
      <c r="C592" s="74" t="s">
        <v>339</v>
      </c>
      <c r="D592" s="85" t="s">
        <v>504</v>
      </c>
      <c r="E592" s="105"/>
      <c r="F592" s="105"/>
      <c r="G592" s="105"/>
      <c r="H592" s="119"/>
      <c r="I592" s="231"/>
      <c r="J592" s="581"/>
      <c r="K592" s="581"/>
      <c r="L592" s="582"/>
      <c r="M592" s="593">
        <f t="shared" ref="M592:M596" si="718">SUM(J592:L592)</f>
        <v>0</v>
      </c>
      <c r="N592" s="111"/>
      <c r="O592" s="111"/>
      <c r="P592" s="111"/>
      <c r="Q592" s="111"/>
      <c r="R592" s="111"/>
      <c r="S592" s="111"/>
      <c r="T592" s="111"/>
      <c r="U592" s="111"/>
      <c r="V592" s="358"/>
      <c r="W592" s="391">
        <f t="shared" ref="W592:W596" si="719">J592+K592+N592+Q592+T592</f>
        <v>0</v>
      </c>
      <c r="X592" s="17">
        <f t="shared" ref="X592:X596" si="720">L592+O592+R592+U592</f>
        <v>0</v>
      </c>
      <c r="Y592" s="18">
        <f>SUM(W592:X592)</f>
        <v>0</v>
      </c>
      <c r="Z592" s="19">
        <f>IF(Y$597=0,0,Y592/Y$597)</f>
        <v>0</v>
      </c>
      <c r="AA592" s="19"/>
      <c r="AB592" s="19"/>
      <c r="AC592" s="17"/>
      <c r="AE592" s="17"/>
      <c r="AF592" s="17"/>
      <c r="AG592" s="17"/>
      <c r="AH592" s="18">
        <f t="shared" ref="AH592:AH596" si="721">J592</f>
        <v>0</v>
      </c>
      <c r="AI592" s="19">
        <f>IF(AH$597=0,0,AH592/AH$597)</f>
        <v>0</v>
      </c>
      <c r="AJ592" s="97"/>
      <c r="AK592" s="17"/>
      <c r="AL592" s="17"/>
      <c r="AM592" s="17"/>
      <c r="AN592" s="18">
        <f t="shared" ref="AN592:AN596" si="722">K592</f>
        <v>0</v>
      </c>
      <c r="AO592" s="19">
        <f>IF(AN$597=0,0,AN592/AN$597)</f>
        <v>0</v>
      </c>
      <c r="AP592" s="97"/>
      <c r="AQ592" s="17"/>
      <c r="AR592" s="17"/>
      <c r="AS592" s="17"/>
      <c r="AT592" s="18">
        <f t="shared" ref="AT592:AT596" si="723">W592</f>
        <v>0</v>
      </c>
      <c r="AU592" s="19">
        <f>IF(AT$597=0,0,AT592/AT$597)</f>
        <v>0</v>
      </c>
      <c r="AV592" s="97"/>
      <c r="AW592" s="17"/>
      <c r="AX592" s="17"/>
      <c r="AY592" s="17"/>
      <c r="AZ592" s="18">
        <f t="shared" ref="AZ592:AZ596" si="724">X592</f>
        <v>0</v>
      </c>
      <c r="BA592" s="19">
        <f>IF(AZ$597=0,0,AZ592/AZ$597)</f>
        <v>0</v>
      </c>
    </row>
    <row r="593" spans="1:53" ht="17.100000000000001" customHeight="1" x14ac:dyDescent="0.25">
      <c r="A593" s="40"/>
      <c r="B593" s="40"/>
      <c r="C593" s="74" t="s">
        <v>340</v>
      </c>
      <c r="D593" s="85" t="s">
        <v>505</v>
      </c>
      <c r="E593" s="105"/>
      <c r="F593" s="105"/>
      <c r="G593" s="105"/>
      <c r="H593" s="119"/>
      <c r="I593" s="231"/>
      <c r="J593" s="583"/>
      <c r="K593" s="583"/>
      <c r="L593" s="584"/>
      <c r="M593" s="593">
        <f t="shared" si="718"/>
        <v>0</v>
      </c>
      <c r="N593" s="111"/>
      <c r="O593" s="111"/>
      <c r="P593" s="111"/>
      <c r="Q593" s="111"/>
      <c r="R593" s="111"/>
      <c r="S593" s="111"/>
      <c r="T593" s="111"/>
      <c r="U593" s="111"/>
      <c r="V593" s="358"/>
      <c r="W593" s="391">
        <f t="shared" si="719"/>
        <v>0</v>
      </c>
      <c r="X593" s="17">
        <f t="shared" si="720"/>
        <v>0</v>
      </c>
      <c r="Y593" s="18">
        <f>SUM(W593:X593)</f>
        <v>0</v>
      </c>
      <c r="Z593" s="19">
        <f t="shared" ref="Z593:Z596" si="725">IF(Y$597=0,0,Y593/Y$597)</f>
        <v>0</v>
      </c>
      <c r="AA593" s="19"/>
      <c r="AB593" s="19"/>
      <c r="AC593" s="17"/>
      <c r="AE593" s="17"/>
      <c r="AF593" s="17"/>
      <c r="AG593" s="17"/>
      <c r="AH593" s="18">
        <f t="shared" si="721"/>
        <v>0</v>
      </c>
      <c r="AI593" s="19">
        <f t="shared" ref="AI593:AI597" si="726">IF(AH$597=0,0,AH593/AH$597)</f>
        <v>0</v>
      </c>
      <c r="AJ593" s="97"/>
      <c r="AK593" s="17"/>
      <c r="AL593" s="17"/>
      <c r="AM593" s="17"/>
      <c r="AN593" s="18">
        <f t="shared" si="722"/>
        <v>0</v>
      </c>
      <c r="AO593" s="19">
        <f t="shared" ref="AO593:AO597" si="727">IF(AN$597=0,0,AN593/AN$597)</f>
        <v>0</v>
      </c>
      <c r="AP593" s="97"/>
      <c r="AQ593" s="17"/>
      <c r="AR593" s="17"/>
      <c r="AS593" s="17"/>
      <c r="AT593" s="18">
        <f t="shared" si="723"/>
        <v>0</v>
      </c>
      <c r="AU593" s="19">
        <f t="shared" ref="AU593:AU597" si="728">IF(AT$597=0,0,AT593/AT$597)</f>
        <v>0</v>
      </c>
      <c r="AV593" s="97"/>
      <c r="AW593" s="17"/>
      <c r="AX593" s="17"/>
      <c r="AY593" s="17"/>
      <c r="AZ593" s="18">
        <f t="shared" si="724"/>
        <v>0</v>
      </c>
      <c r="BA593" s="19">
        <f t="shared" ref="BA593:BA597" si="729">IF(AZ$597=0,0,AZ593/AZ$597)</f>
        <v>0</v>
      </c>
    </row>
    <row r="594" spans="1:53" ht="17.100000000000001" customHeight="1" x14ac:dyDescent="0.25">
      <c r="A594" s="40"/>
      <c r="B594" s="40"/>
      <c r="C594" s="74" t="s">
        <v>341</v>
      </c>
      <c r="D594" s="85" t="s">
        <v>506</v>
      </c>
      <c r="E594" s="105"/>
      <c r="F594" s="105"/>
      <c r="G594" s="105"/>
      <c r="H594" s="119"/>
      <c r="I594" s="231"/>
      <c r="J594" s="581"/>
      <c r="K594" s="581"/>
      <c r="L594" s="582"/>
      <c r="M594" s="593">
        <f t="shared" si="718"/>
        <v>0</v>
      </c>
      <c r="N594" s="111"/>
      <c r="O594" s="111"/>
      <c r="P594" s="111"/>
      <c r="Q594" s="111"/>
      <c r="R594" s="111"/>
      <c r="S594" s="111"/>
      <c r="T594" s="111"/>
      <c r="U594" s="111"/>
      <c r="V594" s="358"/>
      <c r="W594" s="391">
        <f t="shared" si="719"/>
        <v>0</v>
      </c>
      <c r="X594" s="17">
        <f t="shared" si="720"/>
        <v>0</v>
      </c>
      <c r="Y594" s="18">
        <f>SUM(W594:X594)</f>
        <v>0</v>
      </c>
      <c r="Z594" s="19">
        <f t="shared" si="725"/>
        <v>0</v>
      </c>
      <c r="AA594" s="19"/>
      <c r="AB594" s="19"/>
      <c r="AC594" s="17"/>
      <c r="AE594" s="17"/>
      <c r="AF594" s="17"/>
      <c r="AG594" s="17"/>
      <c r="AH594" s="18">
        <f t="shared" si="721"/>
        <v>0</v>
      </c>
      <c r="AI594" s="19">
        <f t="shared" si="726"/>
        <v>0</v>
      </c>
      <c r="AJ594" s="97"/>
      <c r="AK594" s="17"/>
      <c r="AL594" s="17"/>
      <c r="AM594" s="17"/>
      <c r="AN594" s="18">
        <f t="shared" si="722"/>
        <v>0</v>
      </c>
      <c r="AO594" s="19">
        <f t="shared" si="727"/>
        <v>0</v>
      </c>
      <c r="AP594" s="97"/>
      <c r="AQ594" s="17"/>
      <c r="AR594" s="17"/>
      <c r="AS594" s="17"/>
      <c r="AT594" s="18">
        <f t="shared" si="723"/>
        <v>0</v>
      </c>
      <c r="AU594" s="19">
        <f t="shared" si="728"/>
        <v>0</v>
      </c>
      <c r="AV594" s="97"/>
      <c r="AW594" s="17"/>
      <c r="AX594" s="17"/>
      <c r="AY594" s="17"/>
      <c r="AZ594" s="18">
        <f t="shared" si="724"/>
        <v>0</v>
      </c>
      <c r="BA594" s="19">
        <f t="shared" si="729"/>
        <v>0</v>
      </c>
    </row>
    <row r="595" spans="1:53" ht="17.100000000000001" customHeight="1" x14ac:dyDescent="0.25">
      <c r="A595" s="40"/>
      <c r="B595" s="40"/>
      <c r="C595" s="74" t="s">
        <v>342</v>
      </c>
      <c r="D595" s="85" t="s">
        <v>129</v>
      </c>
      <c r="E595" s="105"/>
      <c r="F595" s="105"/>
      <c r="G595" s="105"/>
      <c r="H595" s="119"/>
      <c r="I595" s="231"/>
      <c r="J595" s="583"/>
      <c r="K595" s="583"/>
      <c r="L595" s="584"/>
      <c r="M595" s="593">
        <f t="shared" si="718"/>
        <v>0</v>
      </c>
      <c r="N595" s="111"/>
      <c r="O595" s="111"/>
      <c r="P595" s="111"/>
      <c r="Q595" s="111"/>
      <c r="R595" s="111"/>
      <c r="S595" s="111"/>
      <c r="T595" s="111"/>
      <c r="U595" s="111"/>
      <c r="V595" s="358"/>
      <c r="W595" s="391">
        <f t="shared" si="719"/>
        <v>0</v>
      </c>
      <c r="X595" s="17">
        <f t="shared" si="720"/>
        <v>0</v>
      </c>
      <c r="Y595" s="18">
        <f>SUM(W595:X595)</f>
        <v>0</v>
      </c>
      <c r="Z595" s="19">
        <f t="shared" si="725"/>
        <v>0</v>
      </c>
      <c r="AA595" s="19"/>
      <c r="AB595" s="19"/>
      <c r="AC595" s="17"/>
      <c r="AE595" s="17"/>
      <c r="AF595" s="17"/>
      <c r="AG595" s="17"/>
      <c r="AH595" s="18">
        <f t="shared" si="721"/>
        <v>0</v>
      </c>
      <c r="AI595" s="19">
        <f t="shared" si="726"/>
        <v>0</v>
      </c>
      <c r="AJ595" s="97"/>
      <c r="AK595" s="17"/>
      <c r="AL595" s="17"/>
      <c r="AM595" s="17"/>
      <c r="AN595" s="18">
        <f t="shared" si="722"/>
        <v>0</v>
      </c>
      <c r="AO595" s="19">
        <f t="shared" si="727"/>
        <v>0</v>
      </c>
      <c r="AP595" s="97"/>
      <c r="AQ595" s="17"/>
      <c r="AR595" s="17"/>
      <c r="AS595" s="17"/>
      <c r="AT595" s="18">
        <f t="shared" si="723"/>
        <v>0</v>
      </c>
      <c r="AU595" s="19">
        <f t="shared" si="728"/>
        <v>0</v>
      </c>
      <c r="AV595" s="97"/>
      <c r="AW595" s="17"/>
      <c r="AX595" s="17"/>
      <c r="AY595" s="17"/>
      <c r="AZ595" s="18">
        <f t="shared" si="724"/>
        <v>0</v>
      </c>
      <c r="BA595" s="19">
        <f t="shared" si="729"/>
        <v>0</v>
      </c>
    </row>
    <row r="596" spans="1:53" ht="17.100000000000001" customHeight="1" x14ac:dyDescent="0.25">
      <c r="A596" s="40"/>
      <c r="B596" s="40"/>
      <c r="C596" s="74" t="s">
        <v>553</v>
      </c>
      <c r="D596" s="85" t="s">
        <v>530</v>
      </c>
      <c r="E596" s="105"/>
      <c r="F596" s="105"/>
      <c r="G596" s="105"/>
      <c r="H596" s="119"/>
      <c r="I596" s="231"/>
      <c r="J596" s="581"/>
      <c r="K596" s="581"/>
      <c r="L596" s="582"/>
      <c r="M596" s="593">
        <f t="shared" si="718"/>
        <v>0</v>
      </c>
      <c r="N596" s="111"/>
      <c r="O596" s="111"/>
      <c r="P596" s="111"/>
      <c r="Q596" s="111"/>
      <c r="R596" s="111"/>
      <c r="S596" s="111"/>
      <c r="T596" s="111"/>
      <c r="U596" s="111"/>
      <c r="V596" s="358"/>
      <c r="W596" s="391">
        <f t="shared" si="719"/>
        <v>0</v>
      </c>
      <c r="X596" s="17">
        <f t="shared" si="720"/>
        <v>0</v>
      </c>
      <c r="Y596" s="18">
        <f>SUM(W596:X596)</f>
        <v>0</v>
      </c>
      <c r="Z596" s="19">
        <f t="shared" si="725"/>
        <v>0</v>
      </c>
      <c r="AA596" s="19"/>
      <c r="AB596" s="19"/>
      <c r="AC596" s="17"/>
      <c r="AE596" s="17"/>
      <c r="AF596" s="17"/>
      <c r="AG596" s="17"/>
      <c r="AH596" s="18">
        <f t="shared" si="721"/>
        <v>0</v>
      </c>
      <c r="AI596" s="19">
        <f t="shared" si="726"/>
        <v>0</v>
      </c>
      <c r="AJ596" s="97"/>
      <c r="AK596" s="17"/>
      <c r="AL596" s="17"/>
      <c r="AM596" s="17"/>
      <c r="AN596" s="18">
        <f t="shared" si="722"/>
        <v>0</v>
      </c>
      <c r="AO596" s="19">
        <f t="shared" si="727"/>
        <v>0</v>
      </c>
      <c r="AP596" s="97"/>
      <c r="AQ596" s="17"/>
      <c r="AR596" s="17"/>
      <c r="AS596" s="17"/>
      <c r="AT596" s="18">
        <f t="shared" si="723"/>
        <v>0</v>
      </c>
      <c r="AU596" s="19">
        <f t="shared" si="728"/>
        <v>0</v>
      </c>
      <c r="AV596" s="97"/>
      <c r="AW596" s="17"/>
      <c r="AX596" s="17"/>
      <c r="AY596" s="17"/>
      <c r="AZ596" s="18">
        <f t="shared" si="724"/>
        <v>0</v>
      </c>
      <c r="BA596" s="19">
        <f t="shared" si="729"/>
        <v>0</v>
      </c>
    </row>
    <row r="597" spans="1:53" ht="17.100000000000001" customHeight="1" x14ac:dyDescent="0.25">
      <c r="A597" s="40"/>
      <c r="B597" s="40"/>
      <c r="C597" s="77"/>
      <c r="D597" s="134"/>
      <c r="E597" s="134"/>
      <c r="F597" s="134"/>
      <c r="G597" s="134"/>
      <c r="H597" s="540"/>
      <c r="I597" s="229"/>
      <c r="J597" s="80">
        <f>SUM(J592:J596)</f>
        <v>0</v>
      </c>
      <c r="K597" s="80">
        <f t="shared" ref="K597:M597" si="730">SUM(K592:K596)</f>
        <v>0</v>
      </c>
      <c r="L597" s="80">
        <f t="shared" si="730"/>
        <v>0</v>
      </c>
      <c r="M597" s="80">
        <f t="shared" si="730"/>
        <v>0</v>
      </c>
      <c r="N597" s="81"/>
      <c r="O597" s="81"/>
      <c r="P597" s="81"/>
      <c r="Q597" s="81"/>
      <c r="R597" s="81"/>
      <c r="S597" s="81"/>
      <c r="T597" s="81"/>
      <c r="U597" s="81"/>
      <c r="V597" s="356"/>
      <c r="W597" s="381">
        <f>SUM(W592:W596)</f>
        <v>0</v>
      </c>
      <c r="X597" s="82">
        <f t="shared" ref="X597:Y597" si="731">SUM(X592:X596)</f>
        <v>0</v>
      </c>
      <c r="Y597" s="82">
        <f t="shared" si="731"/>
        <v>0</v>
      </c>
      <c r="Z597" s="205">
        <f>IF(Y$597=0,0,Y597/Y$597)</f>
        <v>0</v>
      </c>
      <c r="AA597" s="205"/>
      <c r="AB597" s="205"/>
      <c r="AC597" s="83"/>
      <c r="AE597" s="80"/>
      <c r="AF597" s="80"/>
      <c r="AG597" s="81"/>
      <c r="AH597" s="82">
        <f>SUM(AH592:AH596)</f>
        <v>0</v>
      </c>
      <c r="AI597" s="66">
        <f t="shared" si="726"/>
        <v>0</v>
      </c>
      <c r="AK597" s="80"/>
      <c r="AL597" s="80"/>
      <c r="AM597" s="81"/>
      <c r="AN597" s="82">
        <f>SUM(AN592:AN596)</f>
        <v>0</v>
      </c>
      <c r="AO597" s="66">
        <f t="shared" si="727"/>
        <v>0</v>
      </c>
      <c r="AQ597" s="80"/>
      <c r="AR597" s="80"/>
      <c r="AS597" s="81"/>
      <c r="AT597" s="82">
        <f>SUM(AT592:AT596)</f>
        <v>0</v>
      </c>
      <c r="AU597" s="66">
        <f t="shared" si="728"/>
        <v>0</v>
      </c>
      <c r="AW597" s="80"/>
      <c r="AX597" s="80"/>
      <c r="AY597" s="81"/>
      <c r="AZ597" s="82">
        <f>SUM(AZ592:AZ596)</f>
        <v>0</v>
      </c>
      <c r="BA597" s="66">
        <f t="shared" si="729"/>
        <v>0</v>
      </c>
    </row>
    <row r="598" spans="1:53" s="117" customFormat="1" ht="17.100000000000001" customHeight="1" x14ac:dyDescent="0.25">
      <c r="A598" s="68"/>
      <c r="B598" s="119"/>
      <c r="C598" s="540"/>
      <c r="D598" s="261"/>
      <c r="E598" s="261"/>
      <c r="F598" s="68"/>
      <c r="G598" s="68"/>
      <c r="H598" s="119"/>
      <c r="I598" s="138"/>
      <c r="J598" s="17" t="str">
        <f t="shared" ref="J598:L598" si="732">IF(J597=J$576,"OK","NOK")</f>
        <v>OK</v>
      </c>
      <c r="K598" s="17" t="str">
        <f t="shared" si="732"/>
        <v>OK</v>
      </c>
      <c r="L598" s="17" t="str">
        <f t="shared" si="732"/>
        <v>OK</v>
      </c>
      <c r="M598" s="17"/>
      <c r="N598" s="17"/>
      <c r="O598" s="17"/>
      <c r="P598" s="17"/>
      <c r="Q598" s="17"/>
      <c r="R598" s="17"/>
      <c r="S598" s="17"/>
      <c r="T598" s="17"/>
      <c r="U598" s="17"/>
      <c r="V598" s="359"/>
      <c r="W598" s="382"/>
      <c r="X598" s="539"/>
      <c r="Y598" s="539"/>
      <c r="Z598" s="201"/>
      <c r="AA598" s="201"/>
      <c r="AB598" s="201"/>
      <c r="AC598" s="84"/>
      <c r="AE598" s="46"/>
      <c r="AF598" s="46"/>
      <c r="AG598" s="17"/>
      <c r="AH598" s="539"/>
      <c r="AI598" s="91"/>
      <c r="AK598" s="46"/>
      <c r="AL598" s="46"/>
      <c r="AM598" s="17"/>
      <c r="AN598" s="539"/>
      <c r="AO598" s="91"/>
      <c r="AQ598" s="46"/>
      <c r="AR598" s="46"/>
      <c r="AS598" s="17"/>
      <c r="AT598" s="539"/>
      <c r="AU598" s="91"/>
      <c r="AW598" s="46"/>
      <c r="AX598" s="46"/>
      <c r="AY598" s="17"/>
      <c r="AZ598" s="539"/>
      <c r="BA598" s="91"/>
    </row>
    <row r="599" spans="1:53" ht="17.100000000000001" customHeight="1" x14ac:dyDescent="0.25">
      <c r="A599" s="68"/>
      <c r="B599" s="41" t="s">
        <v>343</v>
      </c>
      <c r="C599" s="69" t="s">
        <v>507</v>
      </c>
      <c r="D599" s="50"/>
      <c r="E599" s="70"/>
      <c r="F599" s="70"/>
      <c r="G599" s="70"/>
      <c r="H599" s="243">
        <v>19</v>
      </c>
      <c r="J599" s="71"/>
      <c r="K599" s="71"/>
      <c r="L599" s="71"/>
      <c r="M599" s="71"/>
      <c r="N599" s="71"/>
      <c r="O599" s="71"/>
      <c r="P599" s="71"/>
      <c r="Q599" s="71"/>
      <c r="R599" s="71"/>
      <c r="S599" s="71"/>
      <c r="T599" s="71"/>
      <c r="U599" s="71"/>
      <c r="V599" s="355"/>
      <c r="W599" s="377"/>
      <c r="X599" s="71"/>
      <c r="Y599" s="72"/>
      <c r="Z599" s="73"/>
      <c r="AA599" s="73"/>
      <c r="AB599" s="73"/>
      <c r="AC599" s="73"/>
      <c r="AE599" s="71"/>
      <c r="AF599" s="71"/>
      <c r="AG599" s="71"/>
      <c r="AH599" s="72"/>
      <c r="AI599" s="73"/>
      <c r="AK599" s="71"/>
      <c r="AL599" s="71"/>
      <c r="AM599" s="71"/>
      <c r="AN599" s="72"/>
      <c r="AO599" s="73"/>
      <c r="AQ599" s="71"/>
      <c r="AR599" s="71"/>
      <c r="AS599" s="71"/>
      <c r="AT599" s="72"/>
      <c r="AU599" s="73"/>
      <c r="AW599" s="71"/>
      <c r="AX599" s="71"/>
      <c r="AY599" s="71"/>
      <c r="AZ599" s="72"/>
      <c r="BA599" s="73"/>
    </row>
    <row r="600" spans="1:53" ht="17.100000000000001" customHeight="1" x14ac:dyDescent="0.25">
      <c r="A600" s="40"/>
      <c r="B600" s="40"/>
      <c r="C600" s="74" t="s">
        <v>344</v>
      </c>
      <c r="D600" s="85" t="s">
        <v>173</v>
      </c>
      <c r="E600" s="105"/>
      <c r="F600" s="105"/>
      <c r="G600" s="105"/>
      <c r="H600" s="119"/>
      <c r="I600" s="231"/>
      <c r="J600" s="581"/>
      <c r="K600" s="581"/>
      <c r="L600" s="582"/>
      <c r="M600" s="593">
        <f t="shared" ref="M600:M606" si="733">SUM(J600:L600)</f>
        <v>0</v>
      </c>
      <c r="N600" s="111"/>
      <c r="O600" s="111"/>
      <c r="P600" s="111"/>
      <c r="Q600" s="111"/>
      <c r="R600" s="111"/>
      <c r="S600" s="111"/>
      <c r="T600" s="111"/>
      <c r="U600" s="111"/>
      <c r="V600" s="358"/>
      <c r="W600" s="391">
        <f t="shared" ref="W600:W601" si="734">J600+K600+N600+Q600+T600</f>
        <v>0</v>
      </c>
      <c r="X600" s="17">
        <f t="shared" ref="X600:X601" si="735">L600+O600+R600+U600</f>
        <v>0</v>
      </c>
      <c r="Y600" s="18">
        <f>SUM(W600:X600)</f>
        <v>0</v>
      </c>
      <c r="Z600" s="19">
        <f>IF(Y$607=0,0,Y600/Y$607)</f>
        <v>0</v>
      </c>
      <c r="AA600" s="19"/>
      <c r="AB600" s="19"/>
      <c r="AC600" s="17"/>
      <c r="AE600" s="17"/>
      <c r="AF600" s="17"/>
      <c r="AG600" s="17"/>
      <c r="AH600" s="18">
        <f t="shared" ref="AH600:AH601" si="736">J600</f>
        <v>0</v>
      </c>
      <c r="AI600" s="19">
        <f>IF(AH$607=0,0,AH600/AH$607)</f>
        <v>0</v>
      </c>
      <c r="AJ600" s="97"/>
      <c r="AK600" s="17"/>
      <c r="AL600" s="17"/>
      <c r="AM600" s="17"/>
      <c r="AN600" s="18">
        <f t="shared" ref="AN600:AN601" si="737">K600</f>
        <v>0</v>
      </c>
      <c r="AO600" s="19">
        <f>IF(AN$607=0,0,AN600/AN$607)</f>
        <v>0</v>
      </c>
      <c r="AP600" s="97"/>
      <c r="AQ600" s="17"/>
      <c r="AR600" s="17"/>
      <c r="AS600" s="17"/>
      <c r="AT600" s="18">
        <f t="shared" ref="AT600:AT601" si="738">W600</f>
        <v>0</v>
      </c>
      <c r="AU600" s="19">
        <f>IF(AT$607=0,0,AT600/AT$607)</f>
        <v>0</v>
      </c>
      <c r="AV600" s="97"/>
      <c r="AW600" s="17"/>
      <c r="AX600" s="17"/>
      <c r="AY600" s="17"/>
      <c r="AZ600" s="18">
        <f t="shared" ref="AZ600:AZ601" si="739">X600</f>
        <v>0</v>
      </c>
      <c r="BA600" s="19">
        <f>IF(AZ$607=0,0,AZ600/AZ$607)</f>
        <v>0</v>
      </c>
    </row>
    <row r="601" spans="1:53" ht="17.100000000000001" customHeight="1" x14ac:dyDescent="0.25">
      <c r="A601" s="40"/>
      <c r="B601" s="40"/>
      <c r="C601" s="74" t="s">
        <v>345</v>
      </c>
      <c r="D601" s="85" t="s">
        <v>544</v>
      </c>
      <c r="E601" s="105"/>
      <c r="F601" s="105"/>
      <c r="G601" s="105"/>
      <c r="H601" s="119"/>
      <c r="I601" s="231"/>
      <c r="J601" s="583"/>
      <c r="K601" s="583"/>
      <c r="L601" s="584"/>
      <c r="M601" s="593">
        <f t="shared" si="733"/>
        <v>0</v>
      </c>
      <c r="N601" s="111"/>
      <c r="O601" s="111"/>
      <c r="P601" s="111"/>
      <c r="Q601" s="111"/>
      <c r="R601" s="111"/>
      <c r="S601" s="111"/>
      <c r="T601" s="111"/>
      <c r="U601" s="111"/>
      <c r="V601" s="358"/>
      <c r="W601" s="391">
        <f t="shared" si="734"/>
        <v>0</v>
      </c>
      <c r="X601" s="17">
        <f t="shared" si="735"/>
        <v>0</v>
      </c>
      <c r="Y601" s="18">
        <f>SUM(W601:X601)</f>
        <v>0</v>
      </c>
      <c r="Z601" s="19">
        <f t="shared" ref="Z601:Z606" si="740">IF(Y$607=0,0,Y601/Y$607)</f>
        <v>0</v>
      </c>
      <c r="AA601" s="19"/>
      <c r="AB601" s="19"/>
      <c r="AC601" s="17"/>
      <c r="AE601" s="17"/>
      <c r="AF601" s="17"/>
      <c r="AG601" s="17"/>
      <c r="AH601" s="18">
        <f t="shared" si="736"/>
        <v>0</v>
      </c>
      <c r="AI601" s="19">
        <f>IF(AH$607=0,0,AH601/AH$607)</f>
        <v>0</v>
      </c>
      <c r="AJ601" s="97"/>
      <c r="AK601" s="17"/>
      <c r="AL601" s="17"/>
      <c r="AM601" s="17"/>
      <c r="AN601" s="18">
        <f t="shared" si="737"/>
        <v>0</v>
      </c>
      <c r="AO601" s="19">
        <f>IF(AN$607=0,0,AN601/AN$607)</f>
        <v>0</v>
      </c>
      <c r="AP601" s="97"/>
      <c r="AQ601" s="17"/>
      <c r="AR601" s="17"/>
      <c r="AS601" s="17"/>
      <c r="AT601" s="18">
        <f t="shared" si="738"/>
        <v>0</v>
      </c>
      <c r="AU601" s="19">
        <f>IF(AT$607=0,0,AT601/AT$607)</f>
        <v>0</v>
      </c>
      <c r="AV601" s="97"/>
      <c r="AW601" s="17"/>
      <c r="AX601" s="17"/>
      <c r="AY601" s="17"/>
      <c r="AZ601" s="18">
        <f t="shared" si="739"/>
        <v>0</v>
      </c>
      <c r="BA601" s="19">
        <f>IF(AZ$607=0,0,AZ601/AZ$607)</f>
        <v>0</v>
      </c>
    </row>
    <row r="602" spans="1:53" ht="17.100000000000001" customHeight="1" x14ac:dyDescent="0.25">
      <c r="A602" s="40"/>
      <c r="B602" s="40"/>
      <c r="C602" s="74" t="s">
        <v>346</v>
      </c>
      <c r="D602" s="146" t="s">
        <v>484</v>
      </c>
      <c r="E602" s="75"/>
      <c r="F602" s="105"/>
      <c r="G602" s="105"/>
      <c r="H602" s="119"/>
      <c r="I602" s="231"/>
      <c r="J602" s="581"/>
      <c r="K602" s="581"/>
      <c r="L602" s="582"/>
      <c r="M602" s="593"/>
      <c r="N602" s="111"/>
      <c r="O602" s="111"/>
      <c r="P602" s="111"/>
      <c r="Q602" s="111"/>
      <c r="R602" s="111"/>
      <c r="S602" s="111"/>
      <c r="T602" s="111"/>
      <c r="U602" s="111"/>
      <c r="V602" s="358"/>
      <c r="W602" s="391">
        <f>MIN(J602:K602)</f>
        <v>0</v>
      </c>
      <c r="X602" s="17">
        <f>L602</f>
        <v>0</v>
      </c>
      <c r="Y602" s="18"/>
      <c r="Z602" s="19"/>
      <c r="AA602" s="17">
        <f>MIN(J602:L602)</f>
        <v>0</v>
      </c>
      <c r="AB602" s="17"/>
      <c r="AC602" s="17"/>
      <c r="AE602" s="17">
        <f>J602</f>
        <v>0</v>
      </c>
      <c r="AF602" s="17"/>
      <c r="AG602" s="17"/>
      <c r="AH602" s="18"/>
      <c r="AI602" s="19"/>
      <c r="AJ602" s="97"/>
      <c r="AK602" s="17">
        <f>K602</f>
        <v>0</v>
      </c>
      <c r="AL602" s="17"/>
      <c r="AM602" s="17"/>
      <c r="AN602" s="18"/>
      <c r="AO602" s="19"/>
      <c r="AP602" s="97"/>
      <c r="AQ602" s="17">
        <f>W602</f>
        <v>0</v>
      </c>
      <c r="AR602" s="17"/>
      <c r="AS602" s="17"/>
      <c r="AT602" s="18"/>
      <c r="AU602" s="19"/>
      <c r="AV602" s="97"/>
      <c r="AW602" s="17">
        <f>L602</f>
        <v>0</v>
      </c>
      <c r="AX602" s="17"/>
      <c r="AY602" s="17"/>
      <c r="AZ602" s="18"/>
      <c r="BA602" s="19"/>
    </row>
    <row r="603" spans="1:53" ht="17.100000000000001" customHeight="1" x14ac:dyDescent="0.25">
      <c r="A603" s="40"/>
      <c r="B603" s="40"/>
      <c r="C603" s="74" t="s">
        <v>347</v>
      </c>
      <c r="D603" s="146" t="s">
        <v>485</v>
      </c>
      <c r="E603" s="75"/>
      <c r="F603" s="105"/>
      <c r="G603" s="105"/>
      <c r="H603" s="119"/>
      <c r="I603" s="231"/>
      <c r="J603" s="583"/>
      <c r="K603" s="583"/>
      <c r="L603" s="584"/>
      <c r="M603" s="593"/>
      <c r="N603" s="111"/>
      <c r="O603" s="111"/>
      <c r="P603" s="111"/>
      <c r="Q603" s="111"/>
      <c r="R603" s="111"/>
      <c r="S603" s="111"/>
      <c r="T603" s="111"/>
      <c r="U603" s="111"/>
      <c r="V603" s="358"/>
      <c r="W603" s="391">
        <f>MAX(J603:K603)</f>
        <v>0</v>
      </c>
      <c r="X603" s="17">
        <f t="shared" ref="X603:X604" si="741">L603</f>
        <v>0</v>
      </c>
      <c r="Y603" s="18"/>
      <c r="Z603" s="19"/>
      <c r="AA603" s="17"/>
      <c r="AB603" s="17">
        <f>MAX(J603:L603)</f>
        <v>0</v>
      </c>
      <c r="AC603" s="17"/>
      <c r="AE603" s="17"/>
      <c r="AF603" s="17">
        <f>J603</f>
        <v>0</v>
      </c>
      <c r="AG603" s="17"/>
      <c r="AH603" s="18"/>
      <c r="AI603" s="19"/>
      <c r="AJ603" s="97"/>
      <c r="AK603" s="17"/>
      <c r="AL603" s="17">
        <f>K603</f>
        <v>0</v>
      </c>
      <c r="AM603" s="17"/>
      <c r="AN603" s="18"/>
      <c r="AO603" s="19"/>
      <c r="AP603" s="97"/>
      <c r="AQ603" s="17"/>
      <c r="AR603" s="17">
        <f>W603</f>
        <v>0</v>
      </c>
      <c r="AS603" s="17"/>
      <c r="AT603" s="18"/>
      <c r="AU603" s="19"/>
      <c r="AV603" s="97"/>
      <c r="AW603" s="17"/>
      <c r="AX603" s="17">
        <f>L603</f>
        <v>0</v>
      </c>
      <c r="AY603" s="17"/>
      <c r="AZ603" s="18"/>
      <c r="BA603" s="19"/>
    </row>
    <row r="604" spans="1:53" ht="17.100000000000001" customHeight="1" x14ac:dyDescent="0.25">
      <c r="A604" s="40"/>
      <c r="B604" s="40"/>
      <c r="C604" s="74" t="s">
        <v>348</v>
      </c>
      <c r="D604" s="146" t="s">
        <v>543</v>
      </c>
      <c r="E604" s="75"/>
      <c r="F604" s="105"/>
      <c r="G604" s="105"/>
      <c r="H604" s="119"/>
      <c r="I604" s="231"/>
      <c r="J604" s="581"/>
      <c r="K604" s="581"/>
      <c r="L604" s="582"/>
      <c r="M604" s="593"/>
      <c r="N604" s="111"/>
      <c r="O604" s="111"/>
      <c r="P604" s="111"/>
      <c r="Q604" s="111"/>
      <c r="R604" s="111"/>
      <c r="S604" s="111"/>
      <c r="T604" s="111"/>
      <c r="U604" s="111"/>
      <c r="V604" s="358"/>
      <c r="W604" s="391">
        <f>IF(SUM(J604:K604)=0,0,AVERAGE(J604:K604))</f>
        <v>0</v>
      </c>
      <c r="X604" s="17">
        <f t="shared" si="741"/>
        <v>0</v>
      </c>
      <c r="Y604" s="18"/>
      <c r="Z604" s="19"/>
      <c r="AA604" s="17"/>
      <c r="AB604" s="17"/>
      <c r="AC604" s="17">
        <f>IF(SUM(J604:L604)=0,0,AVERAGE(J604:L604))</f>
        <v>0</v>
      </c>
      <c r="AE604" s="17"/>
      <c r="AF604" s="17"/>
      <c r="AG604" s="17">
        <f>J604</f>
        <v>0</v>
      </c>
      <c r="AH604" s="18"/>
      <c r="AI604" s="19"/>
      <c r="AJ604" s="97"/>
      <c r="AK604" s="17"/>
      <c r="AL604" s="17"/>
      <c r="AM604" s="17">
        <f>K604</f>
        <v>0</v>
      </c>
      <c r="AN604" s="18"/>
      <c r="AO604" s="19"/>
      <c r="AP604" s="97"/>
      <c r="AQ604" s="17"/>
      <c r="AR604" s="17"/>
      <c r="AS604" s="17">
        <f>W604</f>
        <v>0</v>
      </c>
      <c r="AT604" s="18"/>
      <c r="AU604" s="19"/>
      <c r="AV604" s="97"/>
      <c r="AW604" s="17"/>
      <c r="AX604" s="17"/>
      <c r="AY604" s="17">
        <f>L604</f>
        <v>0</v>
      </c>
      <c r="AZ604" s="18"/>
      <c r="BA604" s="19"/>
    </row>
    <row r="605" spans="1:53" ht="17.100000000000001" customHeight="1" x14ac:dyDescent="0.25">
      <c r="A605" s="40"/>
      <c r="B605" s="40"/>
      <c r="C605" s="74" t="s">
        <v>349</v>
      </c>
      <c r="D605" s="75" t="s">
        <v>129</v>
      </c>
      <c r="E605" s="75"/>
      <c r="F605" s="105"/>
      <c r="G605" s="105"/>
      <c r="H605" s="119"/>
      <c r="I605" s="231"/>
      <c r="J605" s="583"/>
      <c r="K605" s="583"/>
      <c r="L605" s="584"/>
      <c r="M605" s="593">
        <f t="shared" si="733"/>
        <v>0</v>
      </c>
      <c r="N605" s="111"/>
      <c r="O605" s="111"/>
      <c r="P605" s="111"/>
      <c r="Q605" s="111"/>
      <c r="R605" s="111"/>
      <c r="S605" s="111"/>
      <c r="T605" s="111"/>
      <c r="U605" s="111"/>
      <c r="V605" s="358"/>
      <c r="W605" s="391">
        <f t="shared" ref="W605:W606" si="742">J605+K605+N605+Q605+T605</f>
        <v>0</v>
      </c>
      <c r="X605" s="17">
        <f t="shared" ref="X605:X606" si="743">L605+O605+R605+U605</f>
        <v>0</v>
      </c>
      <c r="Y605" s="18">
        <f>SUM(W605:X605)</f>
        <v>0</v>
      </c>
      <c r="Z605" s="19">
        <f t="shared" si="740"/>
        <v>0</v>
      </c>
      <c r="AA605" s="19"/>
      <c r="AB605" s="19"/>
      <c r="AC605" s="17"/>
      <c r="AE605" s="17"/>
      <c r="AF605" s="17"/>
      <c r="AG605" s="17"/>
      <c r="AH605" s="18">
        <f t="shared" ref="AH605:AH606" si="744">J605</f>
        <v>0</v>
      </c>
      <c r="AI605" s="19">
        <f>IF(AH$607=0,0,AH605/AH$607)</f>
        <v>0</v>
      </c>
      <c r="AJ605" s="97"/>
      <c r="AK605" s="17"/>
      <c r="AL605" s="17"/>
      <c r="AM605" s="17"/>
      <c r="AN605" s="18">
        <f t="shared" ref="AN605:AN606" si="745">K605</f>
        <v>0</v>
      </c>
      <c r="AO605" s="19">
        <f>IF(AN$607=0,0,AN605/AN$607)</f>
        <v>0</v>
      </c>
      <c r="AP605" s="97"/>
      <c r="AQ605" s="17"/>
      <c r="AR605" s="17"/>
      <c r="AS605" s="17"/>
      <c r="AT605" s="18">
        <f t="shared" ref="AT605:AT606" si="746">W605</f>
        <v>0</v>
      </c>
      <c r="AU605" s="19">
        <f>IF(AT$607=0,0,AT605/AT$607)</f>
        <v>0</v>
      </c>
      <c r="AV605" s="97"/>
      <c r="AW605" s="17"/>
      <c r="AX605" s="17"/>
      <c r="AY605" s="17"/>
      <c r="AZ605" s="18">
        <f t="shared" ref="AZ605:AZ606" si="747">X605</f>
        <v>0</v>
      </c>
      <c r="BA605" s="19">
        <f>IF(AZ$607=0,0,AZ605/AZ$607)</f>
        <v>0</v>
      </c>
    </row>
    <row r="606" spans="1:53" ht="17.100000000000001" customHeight="1" x14ac:dyDescent="0.25">
      <c r="A606" s="40"/>
      <c r="B606" s="40"/>
      <c r="C606" s="74" t="s">
        <v>552</v>
      </c>
      <c r="D606" s="75" t="s">
        <v>530</v>
      </c>
      <c r="E606" s="105"/>
      <c r="F606" s="105"/>
      <c r="G606" s="105"/>
      <c r="H606" s="119"/>
      <c r="I606" s="231"/>
      <c r="J606" s="581"/>
      <c r="K606" s="581"/>
      <c r="L606" s="582"/>
      <c r="M606" s="593">
        <f t="shared" si="733"/>
        <v>0</v>
      </c>
      <c r="N606" s="111"/>
      <c r="O606" s="111"/>
      <c r="P606" s="111"/>
      <c r="Q606" s="111"/>
      <c r="R606" s="111"/>
      <c r="S606" s="111"/>
      <c r="T606" s="111"/>
      <c r="U606" s="111"/>
      <c r="V606" s="358"/>
      <c r="W606" s="391">
        <f t="shared" si="742"/>
        <v>0</v>
      </c>
      <c r="X606" s="17">
        <f t="shared" si="743"/>
        <v>0</v>
      </c>
      <c r="Y606" s="18">
        <f>SUM(W606:X606)</f>
        <v>0</v>
      </c>
      <c r="Z606" s="19">
        <f t="shared" si="740"/>
        <v>0</v>
      </c>
      <c r="AA606" s="19"/>
      <c r="AB606" s="19"/>
      <c r="AC606" s="17"/>
      <c r="AE606" s="17"/>
      <c r="AF606" s="17"/>
      <c r="AG606" s="17"/>
      <c r="AH606" s="18">
        <f t="shared" si="744"/>
        <v>0</v>
      </c>
      <c r="AI606" s="19">
        <f>IF(AH$607=0,0,AH606/AH$607)</f>
        <v>0</v>
      </c>
      <c r="AJ606" s="97"/>
      <c r="AK606" s="17"/>
      <c r="AL606" s="17"/>
      <c r="AM606" s="17"/>
      <c r="AN606" s="18">
        <f t="shared" si="745"/>
        <v>0</v>
      </c>
      <c r="AO606" s="19">
        <f>IF(AN$607=0,0,AN606/AN$607)</f>
        <v>0</v>
      </c>
      <c r="AP606" s="97"/>
      <c r="AQ606" s="17"/>
      <c r="AR606" s="17"/>
      <c r="AS606" s="17"/>
      <c r="AT606" s="18">
        <f t="shared" si="746"/>
        <v>0</v>
      </c>
      <c r="AU606" s="19">
        <f>IF(AT$607=0,0,AT606/AT$607)</f>
        <v>0</v>
      </c>
      <c r="AV606" s="97"/>
      <c r="AW606" s="17"/>
      <c r="AX606" s="17"/>
      <c r="AY606" s="17"/>
      <c r="AZ606" s="18">
        <f t="shared" si="747"/>
        <v>0</v>
      </c>
      <c r="BA606" s="19">
        <f>IF(AZ$607=0,0,AZ606/AZ$607)</f>
        <v>0</v>
      </c>
    </row>
    <row r="607" spans="1:53" ht="17.100000000000001" customHeight="1" x14ac:dyDescent="0.25">
      <c r="A607" s="40"/>
      <c r="B607" s="40"/>
      <c r="C607" s="77"/>
      <c r="D607" s="134"/>
      <c r="E607" s="134"/>
      <c r="F607" s="134"/>
      <c r="G607" s="134"/>
      <c r="H607" s="540"/>
      <c r="I607" s="229"/>
      <c r="J607" s="80">
        <f>J600+J601+J605+J606</f>
        <v>0</v>
      </c>
      <c r="K607" s="80">
        <f t="shared" ref="K607:M607" si="748">K600+K601+K605+K606</f>
        <v>0</v>
      </c>
      <c r="L607" s="80">
        <f t="shared" si="748"/>
        <v>0</v>
      </c>
      <c r="M607" s="80">
        <f t="shared" si="748"/>
        <v>0</v>
      </c>
      <c r="N607" s="81"/>
      <c r="O607" s="81"/>
      <c r="P607" s="81"/>
      <c r="Q607" s="81"/>
      <c r="R607" s="81"/>
      <c r="S607" s="81"/>
      <c r="T607" s="81"/>
      <c r="U607" s="81"/>
      <c r="V607" s="356"/>
      <c r="W607" s="381">
        <f>W600+W601+W605+W606</f>
        <v>0</v>
      </c>
      <c r="X607" s="82">
        <f t="shared" ref="X607:Y607" si="749">X600+X601+X605+X606</f>
        <v>0</v>
      </c>
      <c r="Y607" s="82">
        <f t="shared" si="749"/>
        <v>0</v>
      </c>
      <c r="Z607" s="205">
        <f>IF(Y$607=0,0,Y607/Y$607)</f>
        <v>0</v>
      </c>
      <c r="AA607" s="205"/>
      <c r="AB607" s="205"/>
      <c r="AC607" s="83"/>
      <c r="AE607" s="80"/>
      <c r="AF607" s="80"/>
      <c r="AG607" s="81"/>
      <c r="AH607" s="82">
        <f>SUM(AH600:AH606)</f>
        <v>0</v>
      </c>
      <c r="AI607" s="66">
        <f>IF(AH$607=0,0,AH607/AH$607)</f>
        <v>0</v>
      </c>
      <c r="AK607" s="80"/>
      <c r="AL607" s="80"/>
      <c r="AM607" s="81"/>
      <c r="AN607" s="82">
        <f>SUM(AN600:AN606)</f>
        <v>0</v>
      </c>
      <c r="AO607" s="66">
        <f>IF(AN$607=0,0,AN607/AN$607)</f>
        <v>0</v>
      </c>
      <c r="AQ607" s="80"/>
      <c r="AR607" s="80"/>
      <c r="AS607" s="81"/>
      <c r="AT607" s="82">
        <f>SUM(AT600:AT606)</f>
        <v>0</v>
      </c>
      <c r="AU607" s="66">
        <f>IF(AT$607=0,0,AT607/AT$607)</f>
        <v>0</v>
      </c>
      <c r="AW607" s="80"/>
      <c r="AX607" s="80"/>
      <c r="AY607" s="81"/>
      <c r="AZ607" s="82">
        <f>SUM(AZ600:AZ606)</f>
        <v>0</v>
      </c>
      <c r="BA607" s="66">
        <f>IF(AZ$607=0,0,AZ607/AZ$607)</f>
        <v>0</v>
      </c>
    </row>
    <row r="608" spans="1:53" s="117" customFormat="1" ht="17.100000000000001" customHeight="1" x14ac:dyDescent="0.25">
      <c r="A608" s="68"/>
      <c r="B608" s="119"/>
      <c r="C608" s="540"/>
      <c r="D608" s="261"/>
      <c r="E608" s="261"/>
      <c r="F608" s="68"/>
      <c r="G608" s="68"/>
      <c r="H608" s="119"/>
      <c r="I608" s="138"/>
      <c r="J608" s="17" t="str">
        <f>IF(J607=J$576,"OK","NOK")</f>
        <v>OK</v>
      </c>
      <c r="K608" s="17" t="str">
        <f t="shared" ref="K608:L608" si="750">IF(K607=K$576,"OK","NOK")</f>
        <v>OK</v>
      </c>
      <c r="L608" s="17" t="str">
        <f t="shared" si="750"/>
        <v>OK</v>
      </c>
      <c r="M608" s="17"/>
      <c r="N608" s="17"/>
      <c r="O608" s="17"/>
      <c r="P608" s="17"/>
      <c r="Q608" s="17"/>
      <c r="R608" s="17"/>
      <c r="S608" s="17"/>
      <c r="T608" s="17"/>
      <c r="U608" s="17"/>
      <c r="V608" s="359"/>
      <c r="W608" s="382"/>
      <c r="X608" s="539"/>
      <c r="Y608" s="539"/>
      <c r="Z608" s="201"/>
      <c r="AA608" s="201"/>
      <c r="AB608" s="201"/>
      <c r="AC608" s="84"/>
      <c r="AE608" s="46"/>
      <c r="AF608" s="46"/>
      <c r="AG608" s="17"/>
      <c r="AH608" s="539"/>
      <c r="AI608" s="91"/>
      <c r="AK608" s="46"/>
      <c r="AL608" s="46"/>
      <c r="AM608" s="17"/>
      <c r="AN608" s="539"/>
      <c r="AO608" s="91"/>
      <c r="AQ608" s="46"/>
      <c r="AR608" s="46"/>
      <c r="AS608" s="17"/>
      <c r="AT608" s="539"/>
      <c r="AU608" s="91"/>
      <c r="AW608" s="46"/>
      <c r="AX608" s="46"/>
      <c r="AY608" s="17"/>
      <c r="AZ608" s="539"/>
      <c r="BA608" s="91"/>
    </row>
    <row r="609" spans="1:53" ht="17.100000000000001" customHeight="1" x14ac:dyDescent="0.25">
      <c r="A609" s="68"/>
      <c r="B609" s="41" t="s">
        <v>350</v>
      </c>
      <c r="C609" s="69" t="s">
        <v>362</v>
      </c>
      <c r="D609" s="50"/>
      <c r="E609" s="70"/>
      <c r="F609" s="70"/>
      <c r="G609" s="70"/>
      <c r="H609" s="243">
        <v>22</v>
      </c>
      <c r="J609" s="71"/>
      <c r="K609" s="71"/>
      <c r="L609" s="71"/>
      <c r="M609" s="71"/>
      <c r="N609" s="71"/>
      <c r="O609" s="71"/>
      <c r="P609" s="71"/>
      <c r="Q609" s="71"/>
      <c r="R609" s="71"/>
      <c r="S609" s="71"/>
      <c r="T609" s="71"/>
      <c r="U609" s="71"/>
      <c r="V609" s="355"/>
      <c r="W609" s="377"/>
      <c r="X609" s="71"/>
      <c r="Y609" s="72"/>
      <c r="Z609" s="73"/>
      <c r="AA609" s="73"/>
      <c r="AB609" s="73"/>
      <c r="AC609" s="73"/>
      <c r="AE609" s="71"/>
      <c r="AF609" s="71"/>
      <c r="AG609" s="71"/>
      <c r="AH609" s="72"/>
      <c r="AI609" s="73"/>
      <c r="AK609" s="71"/>
      <c r="AL609" s="71"/>
      <c r="AM609" s="71"/>
      <c r="AN609" s="72"/>
      <c r="AO609" s="73"/>
      <c r="AQ609" s="71"/>
      <c r="AR609" s="71"/>
      <c r="AS609" s="71"/>
      <c r="AT609" s="72"/>
      <c r="AU609" s="73"/>
      <c r="AW609" s="71"/>
      <c r="AX609" s="71"/>
      <c r="AY609" s="71"/>
      <c r="AZ609" s="72"/>
      <c r="BA609" s="73"/>
    </row>
    <row r="610" spans="1:53" ht="17.100000000000001" customHeight="1" x14ac:dyDescent="0.25">
      <c r="A610" s="40"/>
      <c r="B610" s="40"/>
      <c r="C610" s="74" t="s">
        <v>351</v>
      </c>
      <c r="D610" s="57" t="s">
        <v>1025</v>
      </c>
      <c r="E610" s="105"/>
      <c r="F610" s="105"/>
      <c r="G610" s="105"/>
      <c r="H610" s="119"/>
      <c r="I610" s="231"/>
      <c r="J610" s="111"/>
      <c r="K610" s="111"/>
      <c r="L610" s="111"/>
      <c r="M610" s="111"/>
      <c r="N610" s="111"/>
      <c r="O610" s="111"/>
      <c r="P610" s="111"/>
      <c r="Q610" s="111"/>
      <c r="R610" s="111"/>
      <c r="S610" s="111"/>
      <c r="T610" s="111"/>
      <c r="U610" s="111"/>
      <c r="V610" s="358"/>
      <c r="W610" s="380"/>
      <c r="X610" s="111"/>
      <c r="Y610" s="545"/>
      <c r="Z610" s="111"/>
      <c r="AA610" s="111"/>
      <c r="AB610" s="111"/>
      <c r="AC610" s="111"/>
      <c r="AE610" s="111"/>
      <c r="AF610" s="111"/>
      <c r="AG610" s="111"/>
      <c r="AH610" s="545"/>
      <c r="AI610" s="111"/>
      <c r="AK610" s="111"/>
      <c r="AL610" s="111"/>
      <c r="AM610" s="111"/>
      <c r="AN610" s="545"/>
      <c r="AO610" s="111"/>
      <c r="AQ610" s="111"/>
      <c r="AR610" s="111"/>
      <c r="AS610" s="111"/>
      <c r="AT610" s="545"/>
      <c r="AU610" s="111"/>
      <c r="AW610" s="111"/>
      <c r="AX610" s="111"/>
      <c r="AY610" s="111"/>
      <c r="AZ610" s="545"/>
      <c r="BA610" s="111"/>
    </row>
    <row r="611" spans="1:53" ht="17.100000000000001" customHeight="1" x14ac:dyDescent="0.25">
      <c r="A611" s="40"/>
      <c r="B611" s="40"/>
      <c r="C611" s="119"/>
      <c r="D611" s="180" t="s">
        <v>352</v>
      </c>
      <c r="E611" s="85" t="s">
        <v>512</v>
      </c>
      <c r="F611" s="105"/>
      <c r="G611" s="105"/>
      <c r="H611" s="119"/>
      <c r="I611" s="231"/>
      <c r="J611" s="581"/>
      <c r="K611" s="581"/>
      <c r="L611" s="582"/>
      <c r="M611" s="593">
        <f t="shared" ref="M611:M619" si="751">SUM(J611:L611)</f>
        <v>0</v>
      </c>
      <c r="N611" s="111"/>
      <c r="O611" s="111"/>
      <c r="P611" s="111"/>
      <c r="Q611" s="111"/>
      <c r="R611" s="111"/>
      <c r="S611" s="111"/>
      <c r="T611" s="111"/>
      <c r="U611" s="111"/>
      <c r="V611" s="358"/>
      <c r="W611" s="391">
        <f t="shared" ref="W611:W619" si="752">J611+K611+N611+Q611+T611</f>
        <v>0</v>
      </c>
      <c r="X611" s="17">
        <f t="shared" ref="X611:X619" si="753">L611+O611+R611+U611</f>
        <v>0</v>
      </c>
      <c r="Y611" s="18">
        <f t="shared" ref="Y611:Y619" si="754">SUM(W611:X611)</f>
        <v>0</v>
      </c>
      <c r="Z611" s="19">
        <f>IF(Y$620=0,0,Y611/Y$620)</f>
        <v>0</v>
      </c>
      <c r="AA611" s="19"/>
      <c r="AB611" s="19"/>
      <c r="AC611" s="17"/>
      <c r="AE611" s="17"/>
      <c r="AF611" s="17"/>
      <c r="AG611" s="17"/>
      <c r="AH611" s="18">
        <f t="shared" ref="AH611:AH619" si="755">J611</f>
        <v>0</v>
      </c>
      <c r="AI611" s="19">
        <f>IF(AH$620=0,0,AH611/AH$620)</f>
        <v>0</v>
      </c>
      <c r="AJ611" s="97"/>
      <c r="AK611" s="17"/>
      <c r="AL611" s="17"/>
      <c r="AM611" s="17"/>
      <c r="AN611" s="18">
        <f t="shared" ref="AN611:AN619" si="756">K611</f>
        <v>0</v>
      </c>
      <c r="AO611" s="19">
        <f>IF(AN$620=0,0,AN611/AN$620)</f>
        <v>0</v>
      </c>
      <c r="AP611" s="97"/>
      <c r="AQ611" s="17"/>
      <c r="AR611" s="17"/>
      <c r="AS611" s="17"/>
      <c r="AT611" s="18">
        <f t="shared" ref="AT611:AT619" si="757">W611</f>
        <v>0</v>
      </c>
      <c r="AU611" s="19">
        <f>IF(AT$620=0,0,AT611/AT$620)</f>
        <v>0</v>
      </c>
      <c r="AV611" s="97"/>
      <c r="AW611" s="17"/>
      <c r="AX611" s="17"/>
      <c r="AY611" s="17"/>
      <c r="AZ611" s="18">
        <f t="shared" ref="AZ611:AZ619" si="758">X611</f>
        <v>0</v>
      </c>
      <c r="BA611" s="19">
        <f>IF(AZ$620=0,0,AZ611/AZ$620)</f>
        <v>0</v>
      </c>
    </row>
    <row r="612" spans="1:53" ht="17.100000000000001" customHeight="1" x14ac:dyDescent="0.25">
      <c r="A612" s="40"/>
      <c r="B612" s="40"/>
      <c r="C612" s="119"/>
      <c r="D612" s="180" t="s">
        <v>353</v>
      </c>
      <c r="E612" s="85" t="s">
        <v>513</v>
      </c>
      <c r="F612" s="105"/>
      <c r="G612" s="105"/>
      <c r="H612" s="119"/>
      <c r="I612" s="231"/>
      <c r="J612" s="583"/>
      <c r="K612" s="583"/>
      <c r="L612" s="584"/>
      <c r="M612" s="593">
        <f t="shared" si="751"/>
        <v>0</v>
      </c>
      <c r="N612" s="111"/>
      <c r="O612" s="111"/>
      <c r="P612" s="111"/>
      <c r="Q612" s="111"/>
      <c r="R612" s="111"/>
      <c r="S612" s="111"/>
      <c r="T612" s="111"/>
      <c r="U612" s="111"/>
      <c r="V612" s="358"/>
      <c r="W612" s="391">
        <f t="shared" si="752"/>
        <v>0</v>
      </c>
      <c r="X612" s="17">
        <f t="shared" si="753"/>
        <v>0</v>
      </c>
      <c r="Y612" s="18">
        <f t="shared" si="754"/>
        <v>0</v>
      </c>
      <c r="Z612" s="19">
        <f t="shared" ref="Z612:Z620" si="759">IF(Y$620=0,0,Y612/Y$620)</f>
        <v>0</v>
      </c>
      <c r="AA612" s="19"/>
      <c r="AB612" s="19"/>
      <c r="AC612" s="17"/>
      <c r="AE612" s="17"/>
      <c r="AF612" s="17"/>
      <c r="AG612" s="17"/>
      <c r="AH612" s="18">
        <f t="shared" si="755"/>
        <v>0</v>
      </c>
      <c r="AI612" s="19">
        <f t="shared" ref="AI612:AI619" si="760">IF(AH$620=0,0,AH612/AH$620)</f>
        <v>0</v>
      </c>
      <c r="AJ612" s="97"/>
      <c r="AK612" s="17"/>
      <c r="AL612" s="17"/>
      <c r="AM612" s="17"/>
      <c r="AN612" s="18">
        <f t="shared" si="756"/>
        <v>0</v>
      </c>
      <c r="AO612" s="19">
        <f t="shared" ref="AO612:AO619" si="761">IF(AN$620=0,0,AN612/AN$620)</f>
        <v>0</v>
      </c>
      <c r="AP612" s="97"/>
      <c r="AQ612" s="17"/>
      <c r="AR612" s="17"/>
      <c r="AS612" s="17"/>
      <c r="AT612" s="18">
        <f t="shared" si="757"/>
        <v>0</v>
      </c>
      <c r="AU612" s="19">
        <f t="shared" ref="AU612:AU619" si="762">IF(AT$620=0,0,AT612/AT$620)</f>
        <v>0</v>
      </c>
      <c r="AV612" s="97"/>
      <c r="AW612" s="17"/>
      <c r="AX612" s="17"/>
      <c r="AY612" s="17"/>
      <c r="AZ612" s="18">
        <f t="shared" si="758"/>
        <v>0</v>
      </c>
      <c r="BA612" s="19">
        <f t="shared" ref="BA612:BA619" si="763">IF(AZ$620=0,0,AZ612/AZ$620)</f>
        <v>0</v>
      </c>
    </row>
    <row r="613" spans="1:53" ht="17.100000000000001" customHeight="1" x14ac:dyDescent="0.25">
      <c r="A613" s="40"/>
      <c r="B613" s="40"/>
      <c r="C613" s="119"/>
      <c r="D613" s="180" t="s">
        <v>354</v>
      </c>
      <c r="E613" s="85" t="s">
        <v>514</v>
      </c>
      <c r="F613" s="105"/>
      <c r="G613" s="105"/>
      <c r="H613" s="119"/>
      <c r="I613" s="231"/>
      <c r="J613" s="581"/>
      <c r="K613" s="581"/>
      <c r="L613" s="582"/>
      <c r="M613" s="593">
        <f t="shared" si="751"/>
        <v>0</v>
      </c>
      <c r="N613" s="111"/>
      <c r="O613" s="111"/>
      <c r="P613" s="111"/>
      <c r="Q613" s="111"/>
      <c r="R613" s="111"/>
      <c r="S613" s="111"/>
      <c r="T613" s="111"/>
      <c r="U613" s="111"/>
      <c r="V613" s="358"/>
      <c r="W613" s="391">
        <f t="shared" si="752"/>
        <v>0</v>
      </c>
      <c r="X613" s="17">
        <f t="shared" si="753"/>
        <v>0</v>
      </c>
      <c r="Y613" s="18">
        <f t="shared" si="754"/>
        <v>0</v>
      </c>
      <c r="Z613" s="19">
        <f t="shared" si="759"/>
        <v>0</v>
      </c>
      <c r="AA613" s="19"/>
      <c r="AB613" s="19"/>
      <c r="AC613" s="17"/>
      <c r="AE613" s="17"/>
      <c r="AF613" s="17"/>
      <c r="AG613" s="17"/>
      <c r="AH613" s="18">
        <f t="shared" si="755"/>
        <v>0</v>
      </c>
      <c r="AI613" s="19">
        <f t="shared" si="760"/>
        <v>0</v>
      </c>
      <c r="AJ613" s="97"/>
      <c r="AK613" s="17"/>
      <c r="AL613" s="17"/>
      <c r="AM613" s="17"/>
      <c r="AN613" s="18">
        <f t="shared" si="756"/>
        <v>0</v>
      </c>
      <c r="AO613" s="19">
        <f t="shared" si="761"/>
        <v>0</v>
      </c>
      <c r="AP613" s="97"/>
      <c r="AQ613" s="17"/>
      <c r="AR613" s="17"/>
      <c r="AS613" s="17"/>
      <c r="AT613" s="18">
        <f t="shared" si="757"/>
        <v>0</v>
      </c>
      <c r="AU613" s="19">
        <f t="shared" si="762"/>
        <v>0</v>
      </c>
      <c r="AV613" s="97"/>
      <c r="AW613" s="17"/>
      <c r="AX613" s="17"/>
      <c r="AY613" s="17"/>
      <c r="AZ613" s="18">
        <f t="shared" si="758"/>
        <v>0</v>
      </c>
      <c r="BA613" s="19">
        <f t="shared" si="763"/>
        <v>0</v>
      </c>
    </row>
    <row r="614" spans="1:53" ht="17.100000000000001" customHeight="1" x14ac:dyDescent="0.25">
      <c r="A614" s="40"/>
      <c r="B614" s="40"/>
      <c r="C614" s="119"/>
      <c r="D614" s="180" t="s">
        <v>355</v>
      </c>
      <c r="E614" s="85" t="s">
        <v>357</v>
      </c>
      <c r="F614" s="105"/>
      <c r="G614" s="105"/>
      <c r="H614" s="119"/>
      <c r="I614" s="231"/>
      <c r="J614" s="583"/>
      <c r="K614" s="583"/>
      <c r="L614" s="584"/>
      <c r="M614" s="593">
        <f t="shared" si="751"/>
        <v>0</v>
      </c>
      <c r="N614" s="111"/>
      <c r="O614" s="111"/>
      <c r="P614" s="111"/>
      <c r="Q614" s="111"/>
      <c r="R614" s="111"/>
      <c r="S614" s="111"/>
      <c r="T614" s="111"/>
      <c r="U614" s="111"/>
      <c r="V614" s="358"/>
      <c r="W614" s="391">
        <f t="shared" si="752"/>
        <v>0</v>
      </c>
      <c r="X614" s="17">
        <f t="shared" si="753"/>
        <v>0</v>
      </c>
      <c r="Y614" s="18">
        <f t="shared" si="754"/>
        <v>0</v>
      </c>
      <c r="Z614" s="19">
        <f t="shared" si="759"/>
        <v>0</v>
      </c>
      <c r="AA614" s="19"/>
      <c r="AB614" s="19"/>
      <c r="AC614" s="17"/>
      <c r="AE614" s="17"/>
      <c r="AF614" s="17"/>
      <c r="AG614" s="17"/>
      <c r="AH614" s="18">
        <f t="shared" si="755"/>
        <v>0</v>
      </c>
      <c r="AI614" s="19">
        <f t="shared" si="760"/>
        <v>0</v>
      </c>
      <c r="AJ614" s="97"/>
      <c r="AK614" s="17"/>
      <c r="AL614" s="17"/>
      <c r="AM614" s="17"/>
      <c r="AN614" s="18">
        <f t="shared" si="756"/>
        <v>0</v>
      </c>
      <c r="AO614" s="19">
        <f t="shared" si="761"/>
        <v>0</v>
      </c>
      <c r="AP614" s="97"/>
      <c r="AQ614" s="17"/>
      <c r="AR614" s="17"/>
      <c r="AS614" s="17"/>
      <c r="AT614" s="18">
        <f t="shared" si="757"/>
        <v>0</v>
      </c>
      <c r="AU614" s="19">
        <f t="shared" si="762"/>
        <v>0</v>
      </c>
      <c r="AV614" s="97"/>
      <c r="AW614" s="17"/>
      <c r="AX614" s="17"/>
      <c r="AY614" s="17"/>
      <c r="AZ614" s="18">
        <f t="shared" si="758"/>
        <v>0</v>
      </c>
      <c r="BA614" s="19">
        <f t="shared" si="763"/>
        <v>0</v>
      </c>
    </row>
    <row r="615" spans="1:53" ht="17.100000000000001" customHeight="1" x14ac:dyDescent="0.25">
      <c r="A615" s="40"/>
      <c r="B615" s="40"/>
      <c r="C615" s="119"/>
      <c r="D615" s="180" t="s">
        <v>356</v>
      </c>
      <c r="E615" s="85" t="s">
        <v>515</v>
      </c>
      <c r="F615" s="105"/>
      <c r="G615" s="105"/>
      <c r="H615" s="119"/>
      <c r="I615" s="231"/>
      <c r="J615" s="581"/>
      <c r="K615" s="581"/>
      <c r="L615" s="582"/>
      <c r="M615" s="593">
        <f t="shared" si="751"/>
        <v>0</v>
      </c>
      <c r="N615" s="111"/>
      <c r="O615" s="111"/>
      <c r="P615" s="111"/>
      <c r="Q615" s="111"/>
      <c r="R615" s="111"/>
      <c r="S615" s="111"/>
      <c r="T615" s="111"/>
      <c r="U615" s="111"/>
      <c r="V615" s="358"/>
      <c r="W615" s="391">
        <f t="shared" si="752"/>
        <v>0</v>
      </c>
      <c r="X615" s="17">
        <f t="shared" si="753"/>
        <v>0</v>
      </c>
      <c r="Y615" s="18">
        <f t="shared" si="754"/>
        <v>0</v>
      </c>
      <c r="Z615" s="19">
        <f t="shared" si="759"/>
        <v>0</v>
      </c>
      <c r="AA615" s="19"/>
      <c r="AB615" s="19"/>
      <c r="AC615" s="17"/>
      <c r="AE615" s="17"/>
      <c r="AF615" s="17"/>
      <c r="AG615" s="17"/>
      <c r="AH615" s="18">
        <f t="shared" si="755"/>
        <v>0</v>
      </c>
      <c r="AI615" s="19">
        <f t="shared" si="760"/>
        <v>0</v>
      </c>
      <c r="AJ615" s="97"/>
      <c r="AK615" s="17"/>
      <c r="AL615" s="17"/>
      <c r="AM615" s="17"/>
      <c r="AN615" s="18">
        <f t="shared" si="756"/>
        <v>0</v>
      </c>
      <c r="AO615" s="19">
        <f t="shared" si="761"/>
        <v>0</v>
      </c>
      <c r="AP615" s="97"/>
      <c r="AQ615" s="17"/>
      <c r="AR615" s="17"/>
      <c r="AS615" s="17"/>
      <c r="AT615" s="18">
        <f t="shared" si="757"/>
        <v>0</v>
      </c>
      <c r="AU615" s="19">
        <f t="shared" si="762"/>
        <v>0</v>
      </c>
      <c r="AV615" s="97"/>
      <c r="AW615" s="17"/>
      <c r="AX615" s="17"/>
      <c r="AY615" s="17"/>
      <c r="AZ615" s="18">
        <f t="shared" si="758"/>
        <v>0</v>
      </c>
      <c r="BA615" s="19">
        <f t="shared" si="763"/>
        <v>0</v>
      </c>
    </row>
    <row r="616" spans="1:53" ht="17.100000000000001" customHeight="1" x14ac:dyDescent="0.25">
      <c r="A616" s="40"/>
      <c r="B616" s="40"/>
      <c r="C616" s="119"/>
      <c r="D616" s="180" t="s">
        <v>508</v>
      </c>
      <c r="E616" s="85" t="s">
        <v>516</v>
      </c>
      <c r="F616" s="105"/>
      <c r="G616" s="105"/>
      <c r="H616" s="119"/>
      <c r="I616" s="231"/>
      <c r="J616" s="583"/>
      <c r="K616" s="583"/>
      <c r="L616" s="584"/>
      <c r="M616" s="593">
        <f t="shared" si="751"/>
        <v>0</v>
      </c>
      <c r="N616" s="111"/>
      <c r="O616" s="111"/>
      <c r="P616" s="111"/>
      <c r="Q616" s="111"/>
      <c r="R616" s="111"/>
      <c r="S616" s="111"/>
      <c r="T616" s="111"/>
      <c r="U616" s="111"/>
      <c r="V616" s="358"/>
      <c r="W616" s="391">
        <f t="shared" si="752"/>
        <v>0</v>
      </c>
      <c r="X616" s="17">
        <f t="shared" si="753"/>
        <v>0</v>
      </c>
      <c r="Y616" s="18">
        <f t="shared" si="754"/>
        <v>0</v>
      </c>
      <c r="Z616" s="19">
        <f t="shared" si="759"/>
        <v>0</v>
      </c>
      <c r="AA616" s="19"/>
      <c r="AB616" s="19"/>
      <c r="AC616" s="17"/>
      <c r="AE616" s="17"/>
      <c r="AF616" s="17"/>
      <c r="AG616" s="17"/>
      <c r="AH616" s="18">
        <f t="shared" si="755"/>
        <v>0</v>
      </c>
      <c r="AI616" s="19">
        <f t="shared" si="760"/>
        <v>0</v>
      </c>
      <c r="AJ616" s="97"/>
      <c r="AK616" s="17"/>
      <c r="AL616" s="17"/>
      <c r="AM616" s="17"/>
      <c r="AN616" s="18">
        <f t="shared" si="756"/>
        <v>0</v>
      </c>
      <c r="AO616" s="19">
        <f t="shared" si="761"/>
        <v>0</v>
      </c>
      <c r="AP616" s="97"/>
      <c r="AQ616" s="17"/>
      <c r="AR616" s="17"/>
      <c r="AS616" s="17"/>
      <c r="AT616" s="18">
        <f t="shared" si="757"/>
        <v>0</v>
      </c>
      <c r="AU616" s="19">
        <f t="shared" si="762"/>
        <v>0</v>
      </c>
      <c r="AV616" s="97"/>
      <c r="AW616" s="17"/>
      <c r="AX616" s="17"/>
      <c r="AY616" s="17"/>
      <c r="AZ616" s="18">
        <f t="shared" si="758"/>
        <v>0</v>
      </c>
      <c r="BA616" s="19">
        <f t="shared" si="763"/>
        <v>0</v>
      </c>
    </row>
    <row r="617" spans="1:53" ht="17.100000000000001" customHeight="1" x14ac:dyDescent="0.25">
      <c r="A617" s="40"/>
      <c r="B617" s="40"/>
      <c r="C617" s="119"/>
      <c r="D617" s="180" t="s">
        <v>509</v>
      </c>
      <c r="E617" s="85" t="s">
        <v>517</v>
      </c>
      <c r="F617" s="105"/>
      <c r="G617" s="105"/>
      <c r="H617" s="119"/>
      <c r="I617" s="231"/>
      <c r="J617" s="581"/>
      <c r="K617" s="581"/>
      <c r="L617" s="582"/>
      <c r="M617" s="593">
        <f t="shared" si="751"/>
        <v>0</v>
      </c>
      <c r="N617" s="111"/>
      <c r="O617" s="111"/>
      <c r="P617" s="111"/>
      <c r="Q617" s="111"/>
      <c r="R617" s="111"/>
      <c r="S617" s="111"/>
      <c r="T617" s="111"/>
      <c r="U617" s="111"/>
      <c r="V617" s="358"/>
      <c r="W617" s="391">
        <f t="shared" si="752"/>
        <v>0</v>
      </c>
      <c r="X617" s="17">
        <f t="shared" si="753"/>
        <v>0</v>
      </c>
      <c r="Y617" s="18">
        <f t="shared" si="754"/>
        <v>0</v>
      </c>
      <c r="Z617" s="19">
        <f t="shared" si="759"/>
        <v>0</v>
      </c>
      <c r="AA617" s="19"/>
      <c r="AB617" s="19"/>
      <c r="AC617" s="17"/>
      <c r="AE617" s="17"/>
      <c r="AF617" s="17"/>
      <c r="AG617" s="17"/>
      <c r="AH617" s="18">
        <f t="shared" si="755"/>
        <v>0</v>
      </c>
      <c r="AI617" s="19">
        <f t="shared" si="760"/>
        <v>0</v>
      </c>
      <c r="AJ617" s="97"/>
      <c r="AK617" s="17"/>
      <c r="AL617" s="17"/>
      <c r="AM617" s="17"/>
      <c r="AN617" s="18">
        <f t="shared" si="756"/>
        <v>0</v>
      </c>
      <c r="AO617" s="19">
        <f t="shared" si="761"/>
        <v>0</v>
      </c>
      <c r="AP617" s="97"/>
      <c r="AQ617" s="17"/>
      <c r="AR617" s="17"/>
      <c r="AS617" s="17"/>
      <c r="AT617" s="18">
        <f t="shared" si="757"/>
        <v>0</v>
      </c>
      <c r="AU617" s="19">
        <f t="shared" si="762"/>
        <v>0</v>
      </c>
      <c r="AV617" s="97"/>
      <c r="AW617" s="17"/>
      <c r="AX617" s="17"/>
      <c r="AY617" s="17"/>
      <c r="AZ617" s="18">
        <f t="shared" si="758"/>
        <v>0</v>
      </c>
      <c r="BA617" s="19">
        <f t="shared" si="763"/>
        <v>0</v>
      </c>
    </row>
    <row r="618" spans="1:53" ht="17.100000000000001" customHeight="1" x14ac:dyDescent="0.25">
      <c r="A618" s="40"/>
      <c r="B618" s="40"/>
      <c r="C618" s="119"/>
      <c r="D618" s="180" t="s">
        <v>510</v>
      </c>
      <c r="E618" s="85" t="s">
        <v>518</v>
      </c>
      <c r="F618" s="105"/>
      <c r="G618" s="105"/>
      <c r="H618" s="119"/>
      <c r="I618" s="231"/>
      <c r="J618" s="583"/>
      <c r="K618" s="583"/>
      <c r="L618" s="584"/>
      <c r="M618" s="593">
        <f t="shared" si="751"/>
        <v>0</v>
      </c>
      <c r="N618" s="111"/>
      <c r="O618" s="111"/>
      <c r="P618" s="111"/>
      <c r="Q618" s="111"/>
      <c r="R618" s="111"/>
      <c r="S618" s="111"/>
      <c r="T618" s="111"/>
      <c r="U618" s="111"/>
      <c r="V618" s="358"/>
      <c r="W618" s="391">
        <f t="shared" si="752"/>
        <v>0</v>
      </c>
      <c r="X618" s="17">
        <f t="shared" si="753"/>
        <v>0</v>
      </c>
      <c r="Y618" s="18">
        <f t="shared" si="754"/>
        <v>0</v>
      </c>
      <c r="Z618" s="19">
        <f t="shared" si="759"/>
        <v>0</v>
      </c>
      <c r="AA618" s="19"/>
      <c r="AB618" s="19"/>
      <c r="AC618" s="17"/>
      <c r="AE618" s="17"/>
      <c r="AF618" s="17"/>
      <c r="AG618" s="17"/>
      <c r="AH618" s="18">
        <f t="shared" si="755"/>
        <v>0</v>
      </c>
      <c r="AI618" s="19">
        <f t="shared" si="760"/>
        <v>0</v>
      </c>
      <c r="AJ618" s="97"/>
      <c r="AK618" s="17"/>
      <c r="AL618" s="17"/>
      <c r="AM618" s="17"/>
      <c r="AN618" s="18">
        <f t="shared" si="756"/>
        <v>0</v>
      </c>
      <c r="AO618" s="19">
        <f t="shared" si="761"/>
        <v>0</v>
      </c>
      <c r="AP618" s="97"/>
      <c r="AQ618" s="17"/>
      <c r="AR618" s="17"/>
      <c r="AS618" s="17"/>
      <c r="AT618" s="18">
        <f t="shared" si="757"/>
        <v>0</v>
      </c>
      <c r="AU618" s="19">
        <f t="shared" si="762"/>
        <v>0</v>
      </c>
      <c r="AV618" s="97"/>
      <c r="AW618" s="17"/>
      <c r="AX618" s="17"/>
      <c r="AY618" s="17"/>
      <c r="AZ618" s="18">
        <f t="shared" si="758"/>
        <v>0</v>
      </c>
      <c r="BA618" s="19">
        <f t="shared" si="763"/>
        <v>0</v>
      </c>
    </row>
    <row r="619" spans="1:53" ht="17.100000000000001" customHeight="1" x14ac:dyDescent="0.25">
      <c r="A619" s="40"/>
      <c r="B619" s="40"/>
      <c r="C619" s="119"/>
      <c r="D619" s="180" t="s">
        <v>511</v>
      </c>
      <c r="E619" s="85" t="s">
        <v>129</v>
      </c>
      <c r="F619" s="105"/>
      <c r="G619" s="105"/>
      <c r="H619" s="119"/>
      <c r="I619" s="231"/>
      <c r="J619" s="581"/>
      <c r="K619" s="581"/>
      <c r="L619" s="582"/>
      <c r="M619" s="593">
        <f t="shared" si="751"/>
        <v>0</v>
      </c>
      <c r="N619" s="111"/>
      <c r="O619" s="111"/>
      <c r="P619" s="111"/>
      <c r="Q619" s="111"/>
      <c r="R619" s="111"/>
      <c r="S619" s="111"/>
      <c r="T619" s="111"/>
      <c r="U619" s="111"/>
      <c r="V619" s="358"/>
      <c r="W619" s="391">
        <f t="shared" si="752"/>
        <v>0</v>
      </c>
      <c r="X619" s="17">
        <f t="shared" si="753"/>
        <v>0</v>
      </c>
      <c r="Y619" s="18">
        <f t="shared" si="754"/>
        <v>0</v>
      </c>
      <c r="Z619" s="19">
        <f t="shared" si="759"/>
        <v>0</v>
      </c>
      <c r="AA619" s="19"/>
      <c r="AB619" s="19"/>
      <c r="AC619" s="17"/>
      <c r="AE619" s="17"/>
      <c r="AF619" s="17"/>
      <c r="AG619" s="17"/>
      <c r="AH619" s="18">
        <f t="shared" si="755"/>
        <v>0</v>
      </c>
      <c r="AI619" s="19">
        <f t="shared" si="760"/>
        <v>0</v>
      </c>
      <c r="AJ619" s="97"/>
      <c r="AK619" s="17"/>
      <c r="AL619" s="17"/>
      <c r="AM619" s="17"/>
      <c r="AN619" s="18">
        <f t="shared" si="756"/>
        <v>0</v>
      </c>
      <c r="AO619" s="19">
        <f t="shared" si="761"/>
        <v>0</v>
      </c>
      <c r="AP619" s="97"/>
      <c r="AQ619" s="17"/>
      <c r="AR619" s="17"/>
      <c r="AS619" s="17"/>
      <c r="AT619" s="18">
        <f t="shared" si="757"/>
        <v>0</v>
      </c>
      <c r="AU619" s="19">
        <f t="shared" si="762"/>
        <v>0</v>
      </c>
      <c r="AV619" s="97"/>
      <c r="AW619" s="17"/>
      <c r="AX619" s="17"/>
      <c r="AY619" s="17"/>
      <c r="AZ619" s="18">
        <f t="shared" si="758"/>
        <v>0</v>
      </c>
      <c r="BA619" s="19">
        <f t="shared" si="763"/>
        <v>0</v>
      </c>
    </row>
    <row r="620" spans="1:53" ht="17.100000000000001" customHeight="1" x14ac:dyDescent="0.25">
      <c r="A620" s="40"/>
      <c r="B620" s="40"/>
      <c r="C620" s="77"/>
      <c r="D620" s="134"/>
      <c r="E620" s="134"/>
      <c r="F620" s="134"/>
      <c r="G620" s="134"/>
      <c r="H620" s="540"/>
      <c r="I620" s="229"/>
      <c r="J620" s="80">
        <f>SUM(J611:J619)</f>
        <v>0</v>
      </c>
      <c r="K620" s="80">
        <f t="shared" ref="K620:M620" si="764">SUM(K611:K619)</f>
        <v>0</v>
      </c>
      <c r="L620" s="80">
        <f t="shared" si="764"/>
        <v>0</v>
      </c>
      <c r="M620" s="80">
        <f t="shared" si="764"/>
        <v>0</v>
      </c>
      <c r="N620" s="81"/>
      <c r="O620" s="81"/>
      <c r="P620" s="81"/>
      <c r="Q620" s="81"/>
      <c r="R620" s="81"/>
      <c r="S620" s="81"/>
      <c r="T620" s="81"/>
      <c r="U620" s="81"/>
      <c r="V620" s="356"/>
      <c r="W620" s="381">
        <f>SUM(W611:W619)</f>
        <v>0</v>
      </c>
      <c r="X620" s="82">
        <f t="shared" ref="X620:Y620" si="765">SUM(X611:X619)</f>
        <v>0</v>
      </c>
      <c r="Y620" s="82">
        <f t="shared" si="765"/>
        <v>0</v>
      </c>
      <c r="Z620" s="205">
        <f t="shared" si="759"/>
        <v>0</v>
      </c>
      <c r="AA620" s="205"/>
      <c r="AB620" s="205"/>
      <c r="AC620" s="83"/>
      <c r="AE620" s="80"/>
      <c r="AF620" s="80"/>
      <c r="AG620" s="81"/>
      <c r="AH620" s="82">
        <f>SUM(AH611:AH619)</f>
        <v>0</v>
      </c>
      <c r="AI620" s="66">
        <f>IF(AH$620=0,0,AH620/AH$620)</f>
        <v>0</v>
      </c>
      <c r="AK620" s="80"/>
      <c r="AL620" s="80"/>
      <c r="AM620" s="81"/>
      <c r="AN620" s="82">
        <f>SUM(AN611:AN619)</f>
        <v>0</v>
      </c>
      <c r="AO620" s="66">
        <f>IF(AN$620=0,0,AN620/AN$620)</f>
        <v>0</v>
      </c>
      <c r="AQ620" s="80"/>
      <c r="AR620" s="80"/>
      <c r="AS620" s="81"/>
      <c r="AT620" s="82">
        <f>SUM(AT611:AT619)</f>
        <v>0</v>
      </c>
      <c r="AU620" s="66">
        <f>IF(AT$620=0,0,AT620/AT$620)</f>
        <v>0</v>
      </c>
      <c r="AW620" s="80"/>
      <c r="AX620" s="80"/>
      <c r="AY620" s="81"/>
      <c r="AZ620" s="82">
        <f>SUM(AZ611:AZ619)</f>
        <v>0</v>
      </c>
      <c r="BA620" s="66">
        <f>IF(AZ$620=0,0,AZ620/AZ$620)</f>
        <v>0</v>
      </c>
    </row>
    <row r="621" spans="1:53" s="117" customFormat="1" ht="17.100000000000001" customHeight="1" x14ac:dyDescent="0.25">
      <c r="A621" s="68"/>
      <c r="B621" s="119"/>
      <c r="C621" s="540"/>
      <c r="D621" s="261"/>
      <c r="E621" s="261"/>
      <c r="F621" s="68"/>
      <c r="G621" s="68"/>
      <c r="H621" s="119"/>
      <c r="I621" s="138"/>
      <c r="J621" s="17" t="str">
        <f>IF(J620=J$576,"OK","NOK")</f>
        <v>OK</v>
      </c>
      <c r="K621" s="17" t="str">
        <f t="shared" ref="K621:L621" si="766">IF(K620=K$576,"OK","NOK")</f>
        <v>OK</v>
      </c>
      <c r="L621" s="17" t="str">
        <f t="shared" si="766"/>
        <v>OK</v>
      </c>
      <c r="M621" s="17"/>
      <c r="N621" s="17"/>
      <c r="O621" s="17"/>
      <c r="P621" s="17"/>
      <c r="Q621" s="17"/>
      <c r="R621" s="17"/>
      <c r="S621" s="17"/>
      <c r="T621" s="17"/>
      <c r="U621" s="17"/>
      <c r="V621" s="359"/>
      <c r="W621" s="382"/>
      <c r="X621" s="539"/>
      <c r="Y621" s="539"/>
      <c r="Z621" s="201"/>
      <c r="AA621" s="201"/>
      <c r="AB621" s="201"/>
      <c r="AC621" s="84"/>
      <c r="AE621" s="46"/>
      <c r="AF621" s="46"/>
      <c r="AG621" s="17"/>
      <c r="AH621" s="539"/>
      <c r="AI621" s="91"/>
      <c r="AK621" s="46"/>
      <c r="AL621" s="46"/>
      <c r="AM621" s="17"/>
      <c r="AN621" s="539"/>
      <c r="AO621" s="91"/>
      <c r="AQ621" s="46"/>
      <c r="AR621" s="46"/>
      <c r="AS621" s="17"/>
      <c r="AT621" s="539"/>
      <c r="AU621" s="91"/>
      <c r="AW621" s="46"/>
      <c r="AX621" s="46"/>
      <c r="AY621" s="17"/>
      <c r="AZ621" s="539"/>
      <c r="BA621" s="91"/>
    </row>
    <row r="622" spans="1:53" ht="17.100000000000001" customHeight="1" x14ac:dyDescent="0.25">
      <c r="A622" s="68"/>
      <c r="B622" s="48" t="s">
        <v>678</v>
      </c>
      <c r="C622" s="50" t="s">
        <v>679</v>
      </c>
      <c r="D622" s="50"/>
      <c r="E622" s="70"/>
      <c r="F622" s="70"/>
      <c r="G622" s="70"/>
      <c r="H622" s="119"/>
      <c r="J622" s="71"/>
      <c r="K622" s="71"/>
      <c r="L622" s="71"/>
      <c r="M622" s="71"/>
      <c r="N622" s="71"/>
      <c r="O622" s="71"/>
      <c r="P622" s="71"/>
      <c r="Q622" s="71"/>
      <c r="R622" s="71"/>
      <c r="S622" s="71"/>
      <c r="T622" s="71"/>
      <c r="U622" s="71"/>
      <c r="V622" s="355"/>
      <c r="W622" s="377"/>
      <c r="X622" s="71"/>
      <c r="Y622" s="72"/>
      <c r="Z622" s="73"/>
      <c r="AA622" s="73"/>
      <c r="AB622" s="73"/>
      <c r="AC622" s="73"/>
      <c r="AE622" s="71"/>
      <c r="AF622" s="71"/>
      <c r="AG622" s="71"/>
      <c r="AH622" s="72"/>
      <c r="AI622" s="73"/>
      <c r="AK622" s="71"/>
      <c r="AL622" s="71"/>
      <c r="AM622" s="71"/>
      <c r="AN622" s="72"/>
      <c r="AO622" s="73"/>
      <c r="AQ622" s="71"/>
      <c r="AR622" s="71"/>
      <c r="AS622" s="71"/>
      <c r="AT622" s="72"/>
      <c r="AU622" s="73"/>
      <c r="AW622" s="71"/>
      <c r="AX622" s="71"/>
      <c r="AY622" s="71"/>
      <c r="AZ622" s="72"/>
      <c r="BA622" s="73"/>
    </row>
    <row r="623" spans="1:53" s="117" customFormat="1" ht="17.100000000000001" customHeight="1" x14ac:dyDescent="0.25">
      <c r="A623" s="68"/>
      <c r="B623" s="119"/>
      <c r="C623" s="74" t="s">
        <v>680</v>
      </c>
      <c r="D623" s="85" t="s">
        <v>504</v>
      </c>
      <c r="E623" s="75"/>
      <c r="F623" s="151"/>
      <c r="G623" s="318"/>
      <c r="H623" s="119"/>
      <c r="I623" s="138"/>
      <c r="J623" s="111"/>
      <c r="K623" s="111"/>
      <c r="L623" s="111"/>
      <c r="M623" s="111"/>
      <c r="N623" s="111"/>
      <c r="O623" s="111"/>
      <c r="P623" s="327">
        <v>1</v>
      </c>
      <c r="Q623" s="111"/>
      <c r="R623" s="111"/>
      <c r="S623" s="327"/>
      <c r="T623" s="111"/>
      <c r="U623" s="111"/>
      <c r="V623" s="369"/>
      <c r="W623" s="391"/>
      <c r="X623" s="17"/>
      <c r="Y623" s="328">
        <f t="shared" ref="Y623:Y624" si="767">P623+S623+V623</f>
        <v>1</v>
      </c>
      <c r="Z623" s="19">
        <f>IF(Y$628=0,0,Y623/Y$628)</f>
        <v>0.5</v>
      </c>
      <c r="AA623" s="201"/>
      <c r="AB623" s="201"/>
      <c r="AC623" s="84"/>
      <c r="AE623" s="111"/>
      <c r="AF623" s="111"/>
      <c r="AG623" s="111"/>
      <c r="AH623" s="545"/>
      <c r="AI623" s="131"/>
      <c r="AK623" s="111"/>
      <c r="AL623" s="111"/>
      <c r="AM623" s="111"/>
      <c r="AN623" s="545"/>
      <c r="AO623" s="131"/>
      <c r="AQ623" s="111"/>
      <c r="AR623" s="111"/>
      <c r="AS623" s="111"/>
      <c r="AT623" s="545"/>
      <c r="AU623" s="131"/>
      <c r="AW623" s="111"/>
      <c r="AX623" s="111"/>
      <c r="AY623" s="111"/>
      <c r="AZ623" s="545"/>
      <c r="BA623" s="131"/>
    </row>
    <row r="624" spans="1:53" s="117" customFormat="1" ht="17.100000000000001" customHeight="1" x14ac:dyDescent="0.25">
      <c r="A624" s="68"/>
      <c r="B624" s="119"/>
      <c r="C624" s="74" t="s">
        <v>681</v>
      </c>
      <c r="D624" s="85" t="s">
        <v>505</v>
      </c>
      <c r="E624" s="75"/>
      <c r="F624" s="151"/>
      <c r="G624" s="318"/>
      <c r="H624" s="119"/>
      <c r="I624" s="138"/>
      <c r="J624" s="111"/>
      <c r="K624" s="111"/>
      <c r="L624" s="111"/>
      <c r="M624" s="111"/>
      <c r="N624" s="111"/>
      <c r="O624" s="111"/>
      <c r="P624" s="329"/>
      <c r="Q624" s="111"/>
      <c r="R624" s="111"/>
      <c r="S624" s="329"/>
      <c r="T624" s="111"/>
      <c r="U624" s="111"/>
      <c r="V624" s="370"/>
      <c r="W624" s="391"/>
      <c r="X624" s="17"/>
      <c r="Y624" s="328">
        <f t="shared" si="767"/>
        <v>0</v>
      </c>
      <c r="Z624" s="19">
        <f t="shared" ref="Z624:Z628" si="768">IF(Y$628=0,0,Y624/Y$628)</f>
        <v>0</v>
      </c>
      <c r="AA624" s="201"/>
      <c r="AB624" s="201"/>
      <c r="AC624" s="84"/>
      <c r="AE624" s="111"/>
      <c r="AF624" s="111"/>
      <c r="AG624" s="111"/>
      <c r="AH624" s="545"/>
      <c r="AI624" s="131"/>
      <c r="AK624" s="111"/>
      <c r="AL624" s="111"/>
      <c r="AM624" s="111"/>
      <c r="AN624" s="545"/>
      <c r="AO624" s="131"/>
      <c r="AQ624" s="111"/>
      <c r="AR624" s="111"/>
      <c r="AS624" s="111"/>
      <c r="AT624" s="545"/>
      <c r="AU624" s="131"/>
      <c r="AW624" s="111"/>
      <c r="AX624" s="111"/>
      <c r="AY624" s="111"/>
      <c r="AZ624" s="545"/>
      <c r="BA624" s="131"/>
    </row>
    <row r="625" spans="1:53" s="117" customFormat="1" ht="17.100000000000001" customHeight="1" x14ac:dyDescent="0.25">
      <c r="A625" s="68"/>
      <c r="B625" s="119"/>
      <c r="C625" s="74" t="s">
        <v>682</v>
      </c>
      <c r="D625" s="85" t="s">
        <v>683</v>
      </c>
      <c r="E625" s="75"/>
      <c r="F625" s="151"/>
      <c r="G625" s="318"/>
      <c r="H625" s="119"/>
      <c r="I625" s="138"/>
      <c r="J625" s="111"/>
      <c r="K625" s="111"/>
      <c r="L625" s="111"/>
      <c r="M625" s="111"/>
      <c r="N625" s="111"/>
      <c r="O625" s="111"/>
      <c r="P625" s="327"/>
      <c r="Q625" s="111"/>
      <c r="R625" s="111"/>
      <c r="S625" s="327"/>
      <c r="T625" s="111"/>
      <c r="U625" s="111"/>
      <c r="V625" s="369"/>
      <c r="W625" s="391"/>
      <c r="X625" s="17"/>
      <c r="Y625" s="328">
        <f>P625+S625+V625</f>
        <v>0</v>
      </c>
      <c r="Z625" s="19">
        <f t="shared" si="768"/>
        <v>0</v>
      </c>
      <c r="AA625" s="201"/>
      <c r="AB625" s="201"/>
      <c r="AC625" s="84"/>
      <c r="AE625" s="111"/>
      <c r="AF625" s="111"/>
      <c r="AG625" s="111"/>
      <c r="AH625" s="545"/>
      <c r="AI625" s="131"/>
      <c r="AK625" s="111"/>
      <c r="AL625" s="111"/>
      <c r="AM625" s="111"/>
      <c r="AN625" s="545"/>
      <c r="AO625" s="131"/>
      <c r="AQ625" s="111"/>
      <c r="AR625" s="111"/>
      <c r="AS625" s="111"/>
      <c r="AT625" s="545"/>
      <c r="AU625" s="131"/>
      <c r="AW625" s="111"/>
      <c r="AX625" s="111"/>
      <c r="AY625" s="111"/>
      <c r="AZ625" s="545"/>
      <c r="BA625" s="131"/>
    </row>
    <row r="626" spans="1:53" s="117" customFormat="1" ht="17.100000000000001" customHeight="1" x14ac:dyDescent="0.25">
      <c r="A626" s="68"/>
      <c r="B626" s="119"/>
      <c r="C626" s="74" t="s">
        <v>684</v>
      </c>
      <c r="D626" s="85" t="s">
        <v>685</v>
      </c>
      <c r="E626" s="75"/>
      <c r="F626" s="151"/>
      <c r="G626" s="318"/>
      <c r="H626" s="119"/>
      <c r="I626" s="138"/>
      <c r="J626" s="111"/>
      <c r="K626" s="111"/>
      <c r="L626" s="111"/>
      <c r="M626" s="111"/>
      <c r="N626" s="111"/>
      <c r="O626" s="111"/>
      <c r="P626" s="329"/>
      <c r="Q626" s="111"/>
      <c r="R626" s="111"/>
      <c r="S626" s="329">
        <v>1</v>
      </c>
      <c r="T626" s="111"/>
      <c r="U626" s="111"/>
      <c r="V626" s="370"/>
      <c r="W626" s="391"/>
      <c r="X626" s="17"/>
      <c r="Y626" s="328">
        <f t="shared" ref="Y626:Y627" si="769">P626+S626+V626</f>
        <v>1</v>
      </c>
      <c r="Z626" s="19">
        <f t="shared" si="768"/>
        <v>0.5</v>
      </c>
      <c r="AA626" s="201"/>
      <c r="AB626" s="201"/>
      <c r="AC626" s="84"/>
      <c r="AE626" s="111"/>
      <c r="AF626" s="111"/>
      <c r="AG626" s="111"/>
      <c r="AH626" s="545"/>
      <c r="AI626" s="131"/>
      <c r="AK626" s="111"/>
      <c r="AL626" s="111"/>
      <c r="AM626" s="111"/>
      <c r="AN626" s="545"/>
      <c r="AO626" s="131"/>
      <c r="AQ626" s="111"/>
      <c r="AR626" s="111"/>
      <c r="AS626" s="111"/>
      <c r="AT626" s="545"/>
      <c r="AU626" s="131"/>
      <c r="AW626" s="111"/>
      <c r="AX626" s="111"/>
      <c r="AY626" s="111"/>
      <c r="AZ626" s="545"/>
      <c r="BA626" s="131"/>
    </row>
    <row r="627" spans="1:53" s="117" customFormat="1" ht="17.100000000000001" customHeight="1" x14ac:dyDescent="0.25">
      <c r="A627" s="68"/>
      <c r="B627" s="119"/>
      <c r="C627" s="74" t="s">
        <v>686</v>
      </c>
      <c r="D627" s="85" t="s">
        <v>129</v>
      </c>
      <c r="E627" s="75"/>
      <c r="F627" s="151"/>
      <c r="G627" s="318"/>
      <c r="H627" s="119"/>
      <c r="I627" s="138"/>
      <c r="J627" s="111"/>
      <c r="K627" s="111"/>
      <c r="L627" s="111"/>
      <c r="M627" s="111"/>
      <c r="N627" s="111"/>
      <c r="O627" s="111"/>
      <c r="P627" s="327"/>
      <c r="Q627" s="111"/>
      <c r="R627" s="111"/>
      <c r="S627" s="327"/>
      <c r="T627" s="111"/>
      <c r="U627" s="111"/>
      <c r="V627" s="369"/>
      <c r="W627" s="391"/>
      <c r="X627" s="17"/>
      <c r="Y627" s="328">
        <f t="shared" si="769"/>
        <v>0</v>
      </c>
      <c r="Z627" s="19">
        <f t="shared" si="768"/>
        <v>0</v>
      </c>
      <c r="AA627" s="201"/>
      <c r="AB627" s="201"/>
      <c r="AC627" s="84"/>
      <c r="AE627" s="111"/>
      <c r="AF627" s="111"/>
      <c r="AG627" s="111"/>
      <c r="AH627" s="545"/>
      <c r="AI627" s="131"/>
      <c r="AK627" s="111"/>
      <c r="AL627" s="111"/>
      <c r="AM627" s="111"/>
      <c r="AN627" s="545"/>
      <c r="AO627" s="131"/>
      <c r="AQ627" s="111"/>
      <c r="AR627" s="111"/>
      <c r="AS627" s="111"/>
      <c r="AT627" s="545"/>
      <c r="AU627" s="131"/>
      <c r="AW627" s="111"/>
      <c r="AX627" s="111"/>
      <c r="AY627" s="111"/>
      <c r="AZ627" s="545"/>
      <c r="BA627" s="131"/>
    </row>
    <row r="628" spans="1:53" ht="17.100000000000001" customHeight="1" x14ac:dyDescent="0.25">
      <c r="A628" s="40"/>
      <c r="B628" s="40"/>
      <c r="C628" s="77"/>
      <c r="D628" s="134"/>
      <c r="E628" s="134"/>
      <c r="F628" s="134"/>
      <c r="G628" s="134"/>
      <c r="H628" s="540"/>
      <c r="I628" s="229"/>
      <c r="J628" s="80"/>
      <c r="K628" s="80"/>
      <c r="L628" s="80"/>
      <c r="M628" s="80"/>
      <c r="N628" s="81"/>
      <c r="O628" s="81"/>
      <c r="P628" s="82">
        <f>SUM(P623:P627)</f>
        <v>1</v>
      </c>
      <c r="Q628" s="81"/>
      <c r="R628" s="81"/>
      <c r="S628" s="82">
        <f>SUM(S623:S627)</f>
        <v>1</v>
      </c>
      <c r="T628" s="81"/>
      <c r="U628" s="81"/>
      <c r="V628" s="360">
        <f>SUM(V623:V627)</f>
        <v>0</v>
      </c>
      <c r="W628" s="381"/>
      <c r="X628" s="82"/>
      <c r="Y628" s="82">
        <f>SUM(Y623:Y627)</f>
        <v>2</v>
      </c>
      <c r="Z628" s="205">
        <f t="shared" si="768"/>
        <v>1</v>
      </c>
      <c r="AA628" s="205"/>
      <c r="AB628" s="205"/>
      <c r="AC628" s="83"/>
      <c r="AE628" s="80"/>
      <c r="AF628" s="80"/>
      <c r="AG628" s="81"/>
      <c r="AH628" s="82"/>
      <c r="AI628" s="66"/>
      <c r="AK628" s="80"/>
      <c r="AL628" s="80"/>
      <c r="AM628" s="81"/>
      <c r="AN628" s="82"/>
      <c r="AO628" s="66"/>
      <c r="AQ628" s="80"/>
      <c r="AR628" s="80"/>
      <c r="AS628" s="81"/>
      <c r="AT628" s="82"/>
      <c r="AU628" s="66"/>
      <c r="AW628" s="80"/>
      <c r="AX628" s="80"/>
      <c r="AY628" s="81"/>
      <c r="AZ628" s="82"/>
      <c r="BA628" s="66"/>
    </row>
    <row r="629" spans="1:53" s="117" customFormat="1" ht="17.100000000000001" customHeight="1" x14ac:dyDescent="0.25">
      <c r="A629" s="68"/>
      <c r="B629" s="119"/>
      <c r="C629" s="540"/>
      <c r="D629" s="261"/>
      <c r="E629" s="261"/>
      <c r="F629" s="68"/>
      <c r="G629" s="68"/>
      <c r="H629" s="119"/>
      <c r="I629" s="138"/>
      <c r="J629" s="17"/>
      <c r="K629" s="17"/>
      <c r="L629" s="17"/>
      <c r="M629" s="17"/>
      <c r="N629" s="17"/>
      <c r="O629" s="17"/>
      <c r="P629" s="17" t="str">
        <f>IF(P628=1,"OK","NOK")</f>
        <v>OK</v>
      </c>
      <c r="Q629" s="17"/>
      <c r="R629" s="17"/>
      <c r="S629" s="17" t="str">
        <f>IF(S628=1,"OK","NOK")</f>
        <v>OK</v>
      </c>
      <c r="T629" s="17"/>
      <c r="U629" s="17"/>
      <c r="V629" s="359" t="str">
        <f>IF(V628=1,"OK","NOK")</f>
        <v>NOK</v>
      </c>
      <c r="W629" s="382"/>
      <c r="X629" s="539"/>
      <c r="Y629" s="539"/>
      <c r="Z629" s="201"/>
      <c r="AA629" s="201"/>
      <c r="AB629" s="201"/>
      <c r="AC629" s="84"/>
      <c r="AE629" s="46"/>
      <c r="AF629" s="46"/>
      <c r="AG629" s="17"/>
      <c r="AH629" s="539"/>
      <c r="AI629" s="91"/>
      <c r="AK629" s="46"/>
      <c r="AL629" s="46"/>
      <c r="AM629" s="17"/>
      <c r="AN629" s="539"/>
      <c r="AO629" s="91"/>
      <c r="AQ629" s="46"/>
      <c r="AR629" s="46"/>
      <c r="AS629" s="17"/>
      <c r="AT629" s="539"/>
      <c r="AU629" s="91"/>
      <c r="AW629" s="46"/>
      <c r="AX629" s="46"/>
      <c r="AY629" s="17"/>
      <c r="AZ629" s="539"/>
      <c r="BA629" s="91"/>
    </row>
    <row r="630" spans="1:53" ht="17.100000000000001" customHeight="1" x14ac:dyDescent="0.25">
      <c r="A630" s="119"/>
      <c r="B630" s="48" t="s">
        <v>687</v>
      </c>
      <c r="C630" s="50" t="s">
        <v>688</v>
      </c>
      <c r="D630" s="50"/>
      <c r="E630" s="70"/>
      <c r="F630" s="70"/>
      <c r="G630" s="70"/>
      <c r="H630" s="119"/>
      <c r="J630" s="71"/>
      <c r="K630" s="71"/>
      <c r="L630" s="71"/>
      <c r="M630" s="71"/>
      <c r="N630" s="71"/>
      <c r="O630" s="71"/>
      <c r="P630" s="71"/>
      <c r="Q630" s="71"/>
      <c r="R630" s="71"/>
      <c r="S630" s="71"/>
      <c r="T630" s="71"/>
      <c r="U630" s="71"/>
      <c r="V630" s="355"/>
      <c r="W630" s="377"/>
      <c r="X630" s="71"/>
      <c r="Y630" s="72"/>
      <c r="Z630" s="73"/>
      <c r="AA630" s="73"/>
      <c r="AB630" s="73"/>
      <c r="AC630" s="73"/>
      <c r="AE630" s="71"/>
      <c r="AF630" s="71"/>
      <c r="AG630" s="71"/>
      <c r="AH630" s="72"/>
      <c r="AI630" s="73"/>
      <c r="AK630" s="71"/>
      <c r="AL630" s="71"/>
      <c r="AM630" s="71"/>
      <c r="AN630" s="72"/>
      <c r="AO630" s="73"/>
      <c r="AQ630" s="71"/>
      <c r="AR630" s="71"/>
      <c r="AS630" s="71"/>
      <c r="AT630" s="72"/>
      <c r="AU630" s="73"/>
      <c r="AW630" s="71"/>
      <c r="AX630" s="71"/>
      <c r="AY630" s="71"/>
      <c r="AZ630" s="72"/>
      <c r="BA630" s="73"/>
    </row>
    <row r="631" spans="1:53" ht="17.100000000000001" customHeight="1" x14ac:dyDescent="0.25">
      <c r="A631" s="119"/>
      <c r="B631" s="119"/>
      <c r="C631" s="48" t="s">
        <v>689</v>
      </c>
      <c r="D631" s="50" t="s">
        <v>690</v>
      </c>
      <c r="E631" s="70"/>
      <c r="F631" s="70"/>
      <c r="G631" s="70"/>
      <c r="H631" s="119"/>
      <c r="J631" s="71"/>
      <c r="K631" s="71"/>
      <c r="L631" s="71"/>
      <c r="M631" s="71"/>
      <c r="N631" s="71"/>
      <c r="O631" s="71"/>
      <c r="P631" s="71"/>
      <c r="Q631" s="71"/>
      <c r="R631" s="71"/>
      <c r="S631" s="71"/>
      <c r="T631" s="71"/>
      <c r="U631" s="71"/>
      <c r="V631" s="355"/>
      <c r="W631" s="377"/>
      <c r="X631" s="71"/>
      <c r="Y631" s="72"/>
      <c r="Z631" s="73"/>
      <c r="AA631" s="73"/>
      <c r="AB631" s="73"/>
      <c r="AC631" s="73"/>
      <c r="AE631" s="71"/>
      <c r="AF631" s="71"/>
      <c r="AG631" s="71"/>
      <c r="AH631" s="72"/>
      <c r="AI631" s="73"/>
      <c r="AK631" s="71"/>
      <c r="AL631" s="71"/>
      <c r="AM631" s="71"/>
      <c r="AN631" s="72"/>
      <c r="AO631" s="73"/>
      <c r="AQ631" s="71"/>
      <c r="AR631" s="71"/>
      <c r="AS631" s="71"/>
      <c r="AT631" s="72"/>
      <c r="AU631" s="73"/>
      <c r="AW631" s="71"/>
      <c r="AX631" s="71"/>
      <c r="AY631" s="71"/>
      <c r="AZ631" s="72"/>
      <c r="BA631" s="73"/>
    </row>
    <row r="632" spans="1:53" s="117" customFormat="1" ht="17.100000000000001" customHeight="1" x14ac:dyDescent="0.25">
      <c r="A632" s="119"/>
      <c r="B632" s="40"/>
      <c r="C632" s="40"/>
      <c r="D632" s="74" t="s">
        <v>691</v>
      </c>
      <c r="E632" s="75" t="s">
        <v>692</v>
      </c>
      <c r="F632" s="105"/>
      <c r="G632" s="151"/>
      <c r="H632" s="119"/>
      <c r="I632" s="138"/>
      <c r="J632" s="111"/>
      <c r="K632" s="111"/>
      <c r="L632" s="111"/>
      <c r="M632" s="111"/>
      <c r="N632" s="111"/>
      <c r="O632" s="111"/>
      <c r="P632" s="327">
        <v>1</v>
      </c>
      <c r="Q632" s="111"/>
      <c r="R632" s="111"/>
      <c r="S632" s="327">
        <v>1</v>
      </c>
      <c r="T632" s="111"/>
      <c r="U632" s="111"/>
      <c r="V632" s="369"/>
      <c r="W632" s="391"/>
      <c r="X632" s="17"/>
      <c r="Y632" s="328">
        <f t="shared" ref="Y632" si="770">P632+S632+V632</f>
        <v>2</v>
      </c>
      <c r="Z632" s="19">
        <f>IF(Y$636=0,0,Y632/Y$636)</f>
        <v>1</v>
      </c>
      <c r="AA632" s="201"/>
      <c r="AB632" s="201"/>
      <c r="AC632" s="84"/>
      <c r="AE632" s="111"/>
      <c r="AF632" s="111"/>
      <c r="AG632" s="111"/>
      <c r="AH632" s="545"/>
      <c r="AI632" s="131"/>
      <c r="AK632" s="111"/>
      <c r="AL632" s="111"/>
      <c r="AM632" s="111"/>
      <c r="AN632" s="545"/>
      <c r="AO632" s="131"/>
      <c r="AQ632" s="111"/>
      <c r="AR632" s="111"/>
      <c r="AS632" s="111"/>
      <c r="AT632" s="545"/>
      <c r="AU632" s="131"/>
      <c r="AW632" s="111"/>
      <c r="AX632" s="111"/>
      <c r="AY632" s="111"/>
      <c r="AZ632" s="545"/>
      <c r="BA632" s="131"/>
    </row>
    <row r="633" spans="1:53" s="117" customFormat="1" ht="17.100000000000001" customHeight="1" x14ac:dyDescent="0.25">
      <c r="A633" s="68"/>
      <c r="B633" s="40"/>
      <c r="C633" s="40"/>
      <c r="D633" s="74" t="s">
        <v>704</v>
      </c>
      <c r="E633" s="85" t="s">
        <v>694</v>
      </c>
      <c r="F633" s="75"/>
      <c r="G633" s="151"/>
      <c r="H633" s="119"/>
      <c r="I633" s="138"/>
      <c r="J633" s="111"/>
      <c r="K633" s="111"/>
      <c r="L633" s="111"/>
      <c r="M633" s="111"/>
      <c r="N633" s="111"/>
      <c r="O633" s="111"/>
      <c r="P633" s="329"/>
      <c r="Q633" s="111"/>
      <c r="R633" s="111"/>
      <c r="S633" s="329"/>
      <c r="T633" s="111"/>
      <c r="U633" s="111"/>
      <c r="V633" s="370"/>
      <c r="W633" s="382"/>
      <c r="X633" s="539"/>
      <c r="Y633" s="539"/>
      <c r="Z633" s="201"/>
      <c r="AA633" s="353">
        <f>MIN(P633,S633,V633)</f>
        <v>0</v>
      </c>
      <c r="AB633" s="353">
        <f>MAX(P633,S633,V633)</f>
        <v>0</v>
      </c>
      <c r="AC633" s="353">
        <f>IF(P633+S633+V633=0,0,AVERAGE(P633,S633,V633))</f>
        <v>0</v>
      </c>
      <c r="AE633" s="111"/>
      <c r="AF633" s="111"/>
      <c r="AG633" s="111"/>
      <c r="AH633" s="545"/>
      <c r="AI633" s="131"/>
      <c r="AK633" s="111"/>
      <c r="AL633" s="111"/>
      <c r="AM633" s="111"/>
      <c r="AN633" s="545"/>
      <c r="AO633" s="131"/>
      <c r="AQ633" s="111"/>
      <c r="AR633" s="111"/>
      <c r="AS633" s="111"/>
      <c r="AT633" s="545"/>
      <c r="AU633" s="131"/>
      <c r="AW633" s="111"/>
      <c r="AX633" s="111"/>
      <c r="AY633" s="111"/>
      <c r="AZ633" s="545"/>
      <c r="BA633" s="131"/>
    </row>
    <row r="634" spans="1:53" ht="17.100000000000001" customHeight="1" x14ac:dyDescent="0.25">
      <c r="A634" s="40"/>
      <c r="B634" s="40"/>
      <c r="C634" s="40"/>
      <c r="D634" s="77" t="s">
        <v>704</v>
      </c>
      <c r="E634" s="134" t="s">
        <v>697</v>
      </c>
      <c r="F634" s="134"/>
      <c r="G634" s="134"/>
      <c r="H634" s="540"/>
      <c r="I634" s="229"/>
      <c r="J634" s="80"/>
      <c r="K634" s="80"/>
      <c r="L634" s="80"/>
      <c r="M634" s="80"/>
      <c r="N634" s="81"/>
      <c r="O634" s="81"/>
      <c r="P634" s="81">
        <f>IF(P633&gt;0,1,0)</f>
        <v>0</v>
      </c>
      <c r="Q634" s="81"/>
      <c r="R634" s="81"/>
      <c r="S634" s="81">
        <f>IF(S633&gt;0,1,0)</f>
        <v>0</v>
      </c>
      <c r="T634" s="81"/>
      <c r="U634" s="81"/>
      <c r="V634" s="356">
        <f>IF(V633&gt;0,1,0)</f>
        <v>0</v>
      </c>
      <c r="W634" s="382"/>
      <c r="X634" s="539"/>
      <c r="Y634" s="328">
        <f t="shared" ref="Y634:Y635" si="771">P634+S634+V634</f>
        <v>0</v>
      </c>
      <c r="Z634" s="19">
        <f t="shared" ref="Z634:Z636" si="772">IF(Y$636=0,0,Y634/Y$636)</f>
        <v>0</v>
      </c>
      <c r="AA634" s="201"/>
      <c r="AB634" s="201"/>
      <c r="AC634" s="84"/>
      <c r="AE634" s="80"/>
      <c r="AF634" s="80"/>
      <c r="AG634" s="81"/>
      <c r="AH634" s="82"/>
      <c r="AI634" s="66"/>
      <c r="AK634" s="80"/>
      <c r="AL634" s="80"/>
      <c r="AM634" s="81"/>
      <c r="AN634" s="82"/>
      <c r="AO634" s="66"/>
      <c r="AQ634" s="80"/>
      <c r="AR634" s="80"/>
      <c r="AS634" s="81"/>
      <c r="AT634" s="82"/>
      <c r="AU634" s="66"/>
      <c r="AW634" s="80"/>
      <c r="AX634" s="80"/>
      <c r="AY634" s="81"/>
      <c r="AZ634" s="82"/>
      <c r="BA634" s="66"/>
    </row>
    <row r="635" spans="1:53" s="117" customFormat="1" ht="17.100000000000001" customHeight="1" x14ac:dyDescent="0.25">
      <c r="A635" s="68"/>
      <c r="B635" s="40"/>
      <c r="C635" s="40"/>
      <c r="D635" s="74" t="s">
        <v>695</v>
      </c>
      <c r="E635" s="85" t="s">
        <v>696</v>
      </c>
      <c r="F635" s="105"/>
      <c r="G635" s="151"/>
      <c r="H635" s="119"/>
      <c r="I635" s="138"/>
      <c r="J635" s="111"/>
      <c r="K635" s="111"/>
      <c r="L635" s="111"/>
      <c r="M635" s="111"/>
      <c r="N635" s="111"/>
      <c r="O635" s="111"/>
      <c r="P635" s="327"/>
      <c r="Q635" s="111"/>
      <c r="R635" s="111"/>
      <c r="S635" s="327"/>
      <c r="T635" s="111"/>
      <c r="U635" s="111"/>
      <c r="V635" s="369"/>
      <c r="W635" s="391"/>
      <c r="X635" s="17"/>
      <c r="Y635" s="328">
        <f t="shared" si="771"/>
        <v>0</v>
      </c>
      <c r="Z635" s="19">
        <f t="shared" si="772"/>
        <v>0</v>
      </c>
      <c r="AA635" s="201"/>
      <c r="AB635" s="201"/>
      <c r="AC635" s="84"/>
      <c r="AE635" s="111"/>
      <c r="AF635" s="111"/>
      <c r="AG635" s="111"/>
      <c r="AH635" s="545"/>
      <c r="AI635" s="131"/>
      <c r="AK635" s="111"/>
      <c r="AL635" s="111"/>
      <c r="AM635" s="111"/>
      <c r="AN635" s="545"/>
      <c r="AO635" s="131"/>
      <c r="AQ635" s="111"/>
      <c r="AR635" s="111"/>
      <c r="AS635" s="111"/>
      <c r="AT635" s="545"/>
      <c r="AU635" s="131"/>
      <c r="AW635" s="111"/>
      <c r="AX635" s="111"/>
      <c r="AY635" s="111"/>
      <c r="AZ635" s="545"/>
      <c r="BA635" s="131"/>
    </row>
    <row r="636" spans="1:53" ht="17.100000000000001" customHeight="1" x14ac:dyDescent="0.25">
      <c r="A636" s="40"/>
      <c r="B636" s="40"/>
      <c r="C636" s="77"/>
      <c r="D636" s="134"/>
      <c r="E636" s="134"/>
      <c r="F636" s="134"/>
      <c r="G636" s="134"/>
      <c r="H636" s="540"/>
      <c r="I636" s="229"/>
      <c r="J636" s="80"/>
      <c r="K636" s="80"/>
      <c r="L636" s="80"/>
      <c r="M636" s="80"/>
      <c r="N636" s="81"/>
      <c r="O636" s="81"/>
      <c r="P636" s="82">
        <f>P632+P634+P635</f>
        <v>1</v>
      </c>
      <c r="Q636" s="81"/>
      <c r="R636" s="81"/>
      <c r="S636" s="82">
        <f>S632+S634+S635</f>
        <v>1</v>
      </c>
      <c r="T636" s="81"/>
      <c r="U636" s="81"/>
      <c r="V636" s="360">
        <f>V632+V634+V635</f>
        <v>0</v>
      </c>
      <c r="W636" s="381"/>
      <c r="X636" s="82"/>
      <c r="Y636" s="82">
        <f>SUM(Y630:Y635)</f>
        <v>2</v>
      </c>
      <c r="Z636" s="205">
        <f t="shared" si="772"/>
        <v>1</v>
      </c>
      <c r="AA636" s="205"/>
      <c r="AB636" s="205"/>
      <c r="AC636" s="83"/>
      <c r="AE636" s="80"/>
      <c r="AF636" s="80"/>
      <c r="AG636" s="81"/>
      <c r="AH636" s="82"/>
      <c r="AI636" s="66"/>
      <c r="AK636" s="80"/>
      <c r="AL636" s="80"/>
      <c r="AM636" s="81"/>
      <c r="AN636" s="82"/>
      <c r="AO636" s="66"/>
      <c r="AQ636" s="80"/>
      <c r="AR636" s="80"/>
      <c r="AS636" s="81"/>
      <c r="AT636" s="82"/>
      <c r="AU636" s="66"/>
      <c r="AW636" s="80"/>
      <c r="AX636" s="80"/>
      <c r="AY636" s="81"/>
      <c r="AZ636" s="82"/>
      <c r="BA636" s="66"/>
    </row>
    <row r="637" spans="1:53" s="117" customFormat="1" ht="17.100000000000001" customHeight="1" x14ac:dyDescent="0.25">
      <c r="A637" s="68"/>
      <c r="B637" s="119"/>
      <c r="C637" s="540"/>
      <c r="D637" s="261"/>
      <c r="E637" s="261"/>
      <c r="F637" s="68"/>
      <c r="G637" s="68"/>
      <c r="H637" s="119"/>
      <c r="I637" s="138"/>
      <c r="J637" s="17"/>
      <c r="K637" s="17"/>
      <c r="L637" s="17"/>
      <c r="M637" s="17"/>
      <c r="N637" s="17"/>
      <c r="O637" s="17"/>
      <c r="P637" s="17" t="str">
        <f>IF(P636=1,"OK","NOK")</f>
        <v>OK</v>
      </c>
      <c r="Q637" s="17"/>
      <c r="R637" s="17"/>
      <c r="S637" s="17" t="str">
        <f>IF(S636=1,"OK","NOK")</f>
        <v>OK</v>
      </c>
      <c r="T637" s="17"/>
      <c r="U637" s="17"/>
      <c r="V637" s="359" t="str">
        <f>IF(V636=1,"OK","NOK")</f>
        <v>NOK</v>
      </c>
      <c r="W637" s="382"/>
      <c r="X637" s="539"/>
      <c r="Y637" s="539"/>
      <c r="Z637" s="201"/>
      <c r="AA637" s="201"/>
      <c r="AB637" s="201"/>
      <c r="AC637" s="84"/>
      <c r="AE637" s="46"/>
      <c r="AF637" s="46"/>
      <c r="AG637" s="17"/>
      <c r="AH637" s="539"/>
      <c r="AI637" s="91"/>
      <c r="AK637" s="46"/>
      <c r="AL637" s="46"/>
      <c r="AM637" s="17"/>
      <c r="AN637" s="539"/>
      <c r="AO637" s="91"/>
      <c r="AQ637" s="46"/>
      <c r="AR637" s="46"/>
      <c r="AS637" s="17"/>
      <c r="AT637" s="539"/>
      <c r="AU637" s="91"/>
      <c r="AW637" s="46"/>
      <c r="AX637" s="46"/>
      <c r="AY637" s="17"/>
      <c r="AZ637" s="539"/>
      <c r="BA637" s="91"/>
    </row>
    <row r="638" spans="1:53" ht="17.100000000000001" customHeight="1" x14ac:dyDescent="0.25">
      <c r="A638" s="119"/>
      <c r="B638" s="119"/>
      <c r="C638" s="48" t="s">
        <v>698</v>
      </c>
      <c r="D638" s="551" t="s">
        <v>699</v>
      </c>
      <c r="E638" s="70"/>
      <c r="F638" s="70"/>
      <c r="G638" s="70"/>
      <c r="H638" s="119"/>
      <c r="J638" s="71"/>
      <c r="K638" s="71"/>
      <c r="L638" s="71"/>
      <c r="M638" s="71"/>
      <c r="N638" s="71"/>
      <c r="O638" s="71"/>
      <c r="P638" s="71"/>
      <c r="Q638" s="71"/>
      <c r="R638" s="71"/>
      <c r="S638" s="71"/>
      <c r="T638" s="71"/>
      <c r="U638" s="71"/>
      <c r="V638" s="355"/>
      <c r="W638" s="377"/>
      <c r="X638" s="71"/>
      <c r="Y638" s="72"/>
      <c r="Z638" s="73"/>
      <c r="AA638" s="73"/>
      <c r="AB638" s="73"/>
      <c r="AC638" s="73"/>
      <c r="AE638" s="71"/>
      <c r="AF638" s="71"/>
      <c r="AG638" s="71"/>
      <c r="AH638" s="72"/>
      <c r="AI638" s="73"/>
      <c r="AK638" s="71"/>
      <c r="AL638" s="71"/>
      <c r="AM638" s="71"/>
      <c r="AN638" s="72"/>
      <c r="AO638" s="73"/>
      <c r="AQ638" s="71"/>
      <c r="AR638" s="71"/>
      <c r="AS638" s="71"/>
      <c r="AT638" s="72"/>
      <c r="AU638" s="73"/>
      <c r="AW638" s="71"/>
      <c r="AX638" s="71"/>
      <c r="AY638" s="71"/>
      <c r="AZ638" s="72"/>
      <c r="BA638" s="73"/>
    </row>
    <row r="639" spans="1:53" s="117" customFormat="1" ht="17.100000000000001" customHeight="1" x14ac:dyDescent="0.25">
      <c r="A639" s="119"/>
      <c r="B639" s="40"/>
      <c r="C639" s="40"/>
      <c r="D639" s="74" t="s">
        <v>702</v>
      </c>
      <c r="E639" s="75" t="s">
        <v>692</v>
      </c>
      <c r="F639" s="105"/>
      <c r="G639" s="151"/>
      <c r="H639" s="119"/>
      <c r="I639" s="138"/>
      <c r="J639" s="111"/>
      <c r="K639" s="111"/>
      <c r="L639" s="111"/>
      <c r="M639" s="111"/>
      <c r="N639" s="111"/>
      <c r="O639" s="111"/>
      <c r="P639" s="327">
        <v>1</v>
      </c>
      <c r="Q639" s="111"/>
      <c r="R639" s="111"/>
      <c r="S639" s="327">
        <v>1</v>
      </c>
      <c r="T639" s="111"/>
      <c r="U639" s="111"/>
      <c r="V639" s="369"/>
      <c r="W639" s="391"/>
      <c r="X639" s="17"/>
      <c r="Y639" s="328">
        <f t="shared" ref="Y639" si="773">P639+S639+V639</f>
        <v>2</v>
      </c>
      <c r="Z639" s="19">
        <f>IF(Y$643=0,0,Y639/Y$643)</f>
        <v>1</v>
      </c>
      <c r="AA639" s="201"/>
      <c r="AB639" s="201"/>
      <c r="AC639" s="84"/>
      <c r="AE639" s="111"/>
      <c r="AF639" s="111"/>
      <c r="AG639" s="111"/>
      <c r="AH639" s="545"/>
      <c r="AI639" s="131"/>
      <c r="AK639" s="111"/>
      <c r="AL639" s="111"/>
      <c r="AM639" s="111"/>
      <c r="AN639" s="545"/>
      <c r="AO639" s="131"/>
      <c r="AQ639" s="111"/>
      <c r="AR639" s="111"/>
      <c r="AS639" s="111"/>
      <c r="AT639" s="545"/>
      <c r="AU639" s="131"/>
      <c r="AW639" s="111"/>
      <c r="AX639" s="111"/>
      <c r="AY639" s="111"/>
      <c r="AZ639" s="545"/>
      <c r="BA639" s="131"/>
    </row>
    <row r="640" spans="1:53" s="117" customFormat="1" ht="17.100000000000001" customHeight="1" x14ac:dyDescent="0.25">
      <c r="A640" s="68"/>
      <c r="B640" s="40"/>
      <c r="C640" s="40"/>
      <c r="D640" s="74" t="s">
        <v>693</v>
      </c>
      <c r="E640" s="85" t="s">
        <v>694</v>
      </c>
      <c r="F640" s="75"/>
      <c r="G640" s="151"/>
      <c r="H640" s="119"/>
      <c r="I640" s="138"/>
      <c r="J640" s="111"/>
      <c r="K640" s="111"/>
      <c r="L640" s="111"/>
      <c r="M640" s="111"/>
      <c r="N640" s="111"/>
      <c r="O640" s="111"/>
      <c r="P640" s="329"/>
      <c r="Q640" s="111"/>
      <c r="R640" s="111"/>
      <c r="S640" s="329"/>
      <c r="T640" s="111"/>
      <c r="U640" s="111"/>
      <c r="V640" s="370"/>
      <c r="W640" s="382"/>
      <c r="X640" s="539"/>
      <c r="Y640" s="539"/>
      <c r="Z640" s="19"/>
      <c r="AA640" s="353">
        <f>MIN(P640,S640,V640)</f>
        <v>0</v>
      </c>
      <c r="AB640" s="353">
        <f>MAX(P640,S640,V640)</f>
        <v>0</v>
      </c>
      <c r="AC640" s="353">
        <f>IF(P640+S640+V640=0,0,AVERAGE(P640,S640,V640))</f>
        <v>0</v>
      </c>
      <c r="AE640" s="111"/>
      <c r="AF640" s="111"/>
      <c r="AG640" s="111"/>
      <c r="AH640" s="545"/>
      <c r="AI640" s="131"/>
      <c r="AK640" s="111"/>
      <c r="AL640" s="111"/>
      <c r="AM640" s="111"/>
      <c r="AN640" s="545"/>
      <c r="AO640" s="131"/>
      <c r="AQ640" s="111"/>
      <c r="AR640" s="111"/>
      <c r="AS640" s="111"/>
      <c r="AT640" s="545"/>
      <c r="AU640" s="131"/>
      <c r="AW640" s="111"/>
      <c r="AX640" s="111"/>
      <c r="AY640" s="111"/>
      <c r="AZ640" s="545"/>
      <c r="BA640" s="131"/>
    </row>
    <row r="641" spans="1:53" ht="17.100000000000001" customHeight="1" x14ac:dyDescent="0.25">
      <c r="A641" s="40"/>
      <c r="B641" s="40"/>
      <c r="C641" s="40"/>
      <c r="D641" s="77" t="s">
        <v>693</v>
      </c>
      <c r="E641" s="134" t="s">
        <v>697</v>
      </c>
      <c r="F641" s="134"/>
      <c r="G641" s="134"/>
      <c r="H641" s="540"/>
      <c r="I641" s="229"/>
      <c r="J641" s="80"/>
      <c r="K641" s="80"/>
      <c r="L641" s="80"/>
      <c r="M641" s="80"/>
      <c r="N641" s="81"/>
      <c r="O641" s="81"/>
      <c r="P641" s="81">
        <f>IF(P640&gt;0,1,0)</f>
        <v>0</v>
      </c>
      <c r="Q641" s="81"/>
      <c r="R641" s="81"/>
      <c r="S641" s="81">
        <f>IF(S640&gt;0,1,0)</f>
        <v>0</v>
      </c>
      <c r="T641" s="81"/>
      <c r="U641" s="81"/>
      <c r="V641" s="356">
        <f>IF(V640&gt;0,1,0)</f>
        <v>0</v>
      </c>
      <c r="W641" s="382"/>
      <c r="X641" s="539"/>
      <c r="Y641" s="328">
        <f t="shared" ref="Y641:Y642" si="774">P641+S641+V641</f>
        <v>0</v>
      </c>
      <c r="Z641" s="19">
        <f t="shared" ref="Z641:Z643" si="775">IF(Y$643=0,0,Y641/Y$643)</f>
        <v>0</v>
      </c>
      <c r="AA641" s="201"/>
      <c r="AB641" s="201"/>
      <c r="AC641" s="84"/>
      <c r="AE641" s="80"/>
      <c r="AF641" s="80"/>
      <c r="AG641" s="81"/>
      <c r="AH641" s="82"/>
      <c r="AI641" s="66"/>
      <c r="AK641" s="80"/>
      <c r="AL641" s="80"/>
      <c r="AM641" s="81"/>
      <c r="AN641" s="82"/>
      <c r="AO641" s="66"/>
      <c r="AQ641" s="80"/>
      <c r="AR641" s="80"/>
      <c r="AS641" s="81"/>
      <c r="AT641" s="82"/>
      <c r="AU641" s="66"/>
      <c r="AW641" s="80"/>
      <c r="AX641" s="80"/>
      <c r="AY641" s="81"/>
      <c r="AZ641" s="82"/>
      <c r="BA641" s="66"/>
    </row>
    <row r="642" spans="1:53" s="117" customFormat="1" ht="17.100000000000001" customHeight="1" x14ac:dyDescent="0.25">
      <c r="A642" s="68"/>
      <c r="B642" s="40"/>
      <c r="C642" s="40"/>
      <c r="D642" s="74" t="s">
        <v>703</v>
      </c>
      <c r="E642" s="85" t="s">
        <v>696</v>
      </c>
      <c r="F642" s="105"/>
      <c r="G642" s="151"/>
      <c r="H642" s="119"/>
      <c r="I642" s="138"/>
      <c r="J642" s="111"/>
      <c r="K642" s="111"/>
      <c r="L642" s="111"/>
      <c r="M642" s="111"/>
      <c r="N642" s="111"/>
      <c r="O642" s="111"/>
      <c r="P642" s="327"/>
      <c r="Q642" s="111"/>
      <c r="R642" s="111"/>
      <c r="S642" s="327"/>
      <c r="T642" s="111"/>
      <c r="U642" s="111"/>
      <c r="V642" s="369"/>
      <c r="W642" s="391"/>
      <c r="X642" s="17"/>
      <c r="Y642" s="328">
        <f t="shared" si="774"/>
        <v>0</v>
      </c>
      <c r="Z642" s="19">
        <f t="shared" si="775"/>
        <v>0</v>
      </c>
      <c r="AA642" s="201"/>
      <c r="AB642" s="201"/>
      <c r="AC642" s="84"/>
      <c r="AE642" s="111"/>
      <c r="AF642" s="111"/>
      <c r="AG642" s="111"/>
      <c r="AH642" s="545"/>
      <c r="AI642" s="131"/>
      <c r="AK642" s="111"/>
      <c r="AL642" s="111"/>
      <c r="AM642" s="111"/>
      <c r="AN642" s="545"/>
      <c r="AO642" s="131"/>
      <c r="AQ642" s="111"/>
      <c r="AR642" s="111"/>
      <c r="AS642" s="111"/>
      <c r="AT642" s="545"/>
      <c r="AU642" s="131"/>
      <c r="AW642" s="111"/>
      <c r="AX642" s="111"/>
      <c r="AY642" s="111"/>
      <c r="AZ642" s="545"/>
      <c r="BA642" s="131"/>
    </row>
    <row r="643" spans="1:53" ht="17.100000000000001" customHeight="1" x14ac:dyDescent="0.25">
      <c r="A643" s="40"/>
      <c r="B643" s="40"/>
      <c r="C643" s="77"/>
      <c r="D643" s="134"/>
      <c r="E643" s="134"/>
      <c r="F643" s="134"/>
      <c r="G643" s="134"/>
      <c r="H643" s="540"/>
      <c r="I643" s="229"/>
      <c r="J643" s="80"/>
      <c r="K643" s="80"/>
      <c r="L643" s="80"/>
      <c r="M643" s="80"/>
      <c r="N643" s="81"/>
      <c r="O643" s="81"/>
      <c r="P643" s="82">
        <f>P639+P641+P642</f>
        <v>1</v>
      </c>
      <c r="Q643" s="81"/>
      <c r="R643" s="81"/>
      <c r="S643" s="82">
        <f>S639+S641+S642</f>
        <v>1</v>
      </c>
      <c r="T643" s="81"/>
      <c r="U643" s="81"/>
      <c r="V643" s="360">
        <f>V639+V641+V642</f>
        <v>0</v>
      </c>
      <c r="W643" s="381"/>
      <c r="X643" s="82"/>
      <c r="Y643" s="82">
        <f>SUM(Y637:Y642)</f>
        <v>2</v>
      </c>
      <c r="Z643" s="205">
        <f t="shared" si="775"/>
        <v>1</v>
      </c>
      <c r="AA643" s="205"/>
      <c r="AB643" s="205"/>
      <c r="AC643" s="83"/>
      <c r="AE643" s="80"/>
      <c r="AF643" s="80"/>
      <c r="AG643" s="81"/>
      <c r="AH643" s="82"/>
      <c r="AI643" s="66"/>
      <c r="AK643" s="80"/>
      <c r="AL643" s="80"/>
      <c r="AM643" s="81"/>
      <c r="AN643" s="82"/>
      <c r="AO643" s="66"/>
      <c r="AQ643" s="80"/>
      <c r="AR643" s="80"/>
      <c r="AS643" s="81"/>
      <c r="AT643" s="82"/>
      <c r="AU643" s="66"/>
      <c r="AW643" s="80"/>
      <c r="AX643" s="80"/>
      <c r="AY643" s="81"/>
      <c r="AZ643" s="82"/>
      <c r="BA643" s="66"/>
    </row>
    <row r="644" spans="1:53" s="117" customFormat="1" ht="17.100000000000001" customHeight="1" x14ac:dyDescent="0.25">
      <c r="A644" s="68"/>
      <c r="B644" s="119"/>
      <c r="C644" s="540"/>
      <c r="D644" s="261"/>
      <c r="E644" s="261"/>
      <c r="F644" s="68"/>
      <c r="G644" s="68"/>
      <c r="H644" s="119"/>
      <c r="I644" s="138"/>
      <c r="J644" s="17"/>
      <c r="K644" s="17"/>
      <c r="L644" s="17"/>
      <c r="M644" s="17"/>
      <c r="N644" s="17"/>
      <c r="O644" s="17"/>
      <c r="P644" s="17" t="str">
        <f>IF(P643=1,"OK","NOK")</f>
        <v>OK</v>
      </c>
      <c r="Q644" s="17"/>
      <c r="R644" s="17"/>
      <c r="S644" s="17" t="str">
        <f>IF(S643=1,"OK","NOK")</f>
        <v>OK</v>
      </c>
      <c r="T644" s="17"/>
      <c r="U644" s="17"/>
      <c r="V644" s="359" t="str">
        <f>IF(V643=1,"OK","NOK")</f>
        <v>NOK</v>
      </c>
      <c r="W644" s="382"/>
      <c r="X644" s="539"/>
      <c r="Y644" s="539"/>
      <c r="Z644" s="201"/>
      <c r="AA644" s="201"/>
      <c r="AB644" s="201"/>
      <c r="AC644" s="84"/>
      <c r="AE644" s="46"/>
      <c r="AF644" s="46"/>
      <c r="AG644" s="17"/>
      <c r="AH644" s="539"/>
      <c r="AI644" s="91"/>
      <c r="AK644" s="46"/>
      <c r="AL644" s="46"/>
      <c r="AM644" s="17"/>
      <c r="AN644" s="539"/>
      <c r="AO644" s="91"/>
      <c r="AQ644" s="46"/>
      <c r="AR644" s="46"/>
      <c r="AS644" s="17"/>
      <c r="AT644" s="539"/>
      <c r="AU644" s="91"/>
      <c r="AW644" s="46"/>
      <c r="AX644" s="46"/>
      <c r="AY644" s="17"/>
      <c r="AZ644" s="539"/>
      <c r="BA644" s="91"/>
    </row>
    <row r="645" spans="1:53" ht="17.100000000000001" customHeight="1" x14ac:dyDescent="0.25">
      <c r="A645" s="119"/>
      <c r="B645" s="119"/>
      <c r="C645" s="48" t="s">
        <v>700</v>
      </c>
      <c r="D645" s="551" t="s">
        <v>701</v>
      </c>
      <c r="E645" s="43"/>
      <c r="F645" s="43"/>
      <c r="G645" s="43"/>
      <c r="H645" s="43"/>
      <c r="I645" s="43"/>
      <c r="J645" s="44"/>
      <c r="K645" s="71"/>
      <c r="L645" s="71"/>
      <c r="M645" s="71"/>
      <c r="N645" s="71"/>
      <c r="O645" s="71"/>
      <c r="P645" s="71"/>
      <c r="Q645" s="71"/>
      <c r="R645" s="71"/>
      <c r="S645" s="71"/>
      <c r="T645" s="71"/>
      <c r="U645" s="71"/>
      <c r="V645" s="355"/>
      <c r="W645" s="377"/>
      <c r="X645" s="71"/>
      <c r="Y645" s="72"/>
      <c r="Z645" s="73"/>
      <c r="AA645" s="73"/>
      <c r="AB645" s="73"/>
      <c r="AC645" s="73"/>
      <c r="AE645" s="71"/>
      <c r="AF645" s="71"/>
      <c r="AG645" s="71"/>
      <c r="AH645" s="72"/>
      <c r="AI645" s="73"/>
      <c r="AK645" s="71"/>
      <c r="AL645" s="71"/>
      <c r="AM645" s="71"/>
      <c r="AN645" s="72"/>
      <c r="AO645" s="73"/>
      <c r="AQ645" s="71"/>
      <c r="AR645" s="71"/>
      <c r="AS645" s="71"/>
      <c r="AT645" s="72"/>
      <c r="AU645" s="73"/>
      <c r="AW645" s="71"/>
      <c r="AX645" s="71"/>
      <c r="AY645" s="71"/>
      <c r="AZ645" s="72"/>
      <c r="BA645" s="73"/>
    </row>
    <row r="646" spans="1:53" s="117" customFormat="1" ht="17.100000000000001" customHeight="1" x14ac:dyDescent="0.25">
      <c r="A646" s="119"/>
      <c r="B646" s="40"/>
      <c r="C646" s="40"/>
      <c r="D646" s="74" t="s">
        <v>705</v>
      </c>
      <c r="E646" s="75" t="s">
        <v>692</v>
      </c>
      <c r="F646" s="105"/>
      <c r="G646" s="151"/>
      <c r="H646" s="119"/>
      <c r="I646" s="138"/>
      <c r="J646" s="111"/>
      <c r="K646" s="111"/>
      <c r="L646" s="111"/>
      <c r="M646" s="111"/>
      <c r="N646" s="111"/>
      <c r="O646" s="111"/>
      <c r="P646" s="327">
        <v>1</v>
      </c>
      <c r="Q646" s="111"/>
      <c r="R646" s="111"/>
      <c r="S646" s="327">
        <v>1</v>
      </c>
      <c r="T646" s="111"/>
      <c r="U646" s="111"/>
      <c r="V646" s="369"/>
      <c r="W646" s="391"/>
      <c r="X646" s="17"/>
      <c r="Y646" s="328">
        <f t="shared" ref="Y646" si="776">P646+S646+V646</f>
        <v>2</v>
      </c>
      <c r="Z646" s="19">
        <f>IF(Y$650=0,0,Y646/Y$650)</f>
        <v>1</v>
      </c>
      <c r="AA646" s="201"/>
      <c r="AB646" s="201"/>
      <c r="AC646" s="84"/>
      <c r="AE646" s="111"/>
      <c r="AF646" s="111"/>
      <c r="AG646" s="111"/>
      <c r="AH646" s="545"/>
      <c r="AI646" s="131"/>
      <c r="AK646" s="111"/>
      <c r="AL646" s="111"/>
      <c r="AM646" s="111"/>
      <c r="AN646" s="545"/>
      <c r="AO646" s="131"/>
      <c r="AQ646" s="111"/>
      <c r="AR646" s="111"/>
      <c r="AS646" s="111"/>
      <c r="AT646" s="545"/>
      <c r="AU646" s="131"/>
      <c r="AW646" s="111"/>
      <c r="AX646" s="111"/>
      <c r="AY646" s="111"/>
      <c r="AZ646" s="545"/>
      <c r="BA646" s="131"/>
    </row>
    <row r="647" spans="1:53" s="117" customFormat="1" ht="17.100000000000001" customHeight="1" x14ac:dyDescent="0.25">
      <c r="A647" s="68"/>
      <c r="B647" s="40"/>
      <c r="C647" s="40"/>
      <c r="D647" s="74" t="s">
        <v>706</v>
      </c>
      <c r="E647" s="85" t="s">
        <v>694</v>
      </c>
      <c r="F647" s="75"/>
      <c r="G647" s="151"/>
      <c r="H647" s="119"/>
      <c r="I647" s="138"/>
      <c r="J647" s="111"/>
      <c r="K647" s="111"/>
      <c r="L647" s="111"/>
      <c r="M647" s="111"/>
      <c r="N647" s="111"/>
      <c r="O647" s="111"/>
      <c r="P647" s="329"/>
      <c r="Q647" s="111"/>
      <c r="R647" s="111"/>
      <c r="S647" s="329"/>
      <c r="T647" s="111"/>
      <c r="U647" s="111"/>
      <c r="V647" s="370"/>
      <c r="W647" s="382"/>
      <c r="X647" s="539"/>
      <c r="Y647" s="539"/>
      <c r="Z647" s="201"/>
      <c r="AA647" s="353">
        <f>MIN(P647,S647,V647)</f>
        <v>0</v>
      </c>
      <c r="AB647" s="353">
        <f>MAX(P647,S647,V647)</f>
        <v>0</v>
      </c>
      <c r="AC647" s="353">
        <f>IF(P647+S647+V647=0,0,AVERAGE(P647,S647,V647))</f>
        <v>0</v>
      </c>
      <c r="AE647" s="111"/>
      <c r="AF647" s="111"/>
      <c r="AG647" s="111"/>
      <c r="AH647" s="545"/>
      <c r="AI647" s="131"/>
      <c r="AK647" s="111"/>
      <c r="AL647" s="111"/>
      <c r="AM647" s="111"/>
      <c r="AN647" s="545"/>
      <c r="AO647" s="131"/>
      <c r="AQ647" s="111"/>
      <c r="AR647" s="111"/>
      <c r="AS647" s="111"/>
      <c r="AT647" s="545"/>
      <c r="AU647" s="131"/>
      <c r="AW647" s="111"/>
      <c r="AX647" s="111"/>
      <c r="AY647" s="111"/>
      <c r="AZ647" s="545"/>
      <c r="BA647" s="131"/>
    </row>
    <row r="648" spans="1:53" ht="17.100000000000001" customHeight="1" x14ac:dyDescent="0.25">
      <c r="A648" s="40"/>
      <c r="B648" s="40"/>
      <c r="C648" s="40"/>
      <c r="D648" s="77" t="s">
        <v>706</v>
      </c>
      <c r="E648" s="134" t="s">
        <v>697</v>
      </c>
      <c r="F648" s="134"/>
      <c r="G648" s="134"/>
      <c r="H648" s="540"/>
      <c r="I648" s="229"/>
      <c r="J648" s="80"/>
      <c r="K648" s="80"/>
      <c r="L648" s="80"/>
      <c r="M648" s="80"/>
      <c r="N648" s="81"/>
      <c r="O648" s="81"/>
      <c r="P648" s="81">
        <f>IF(P647&gt;0,1,0)</f>
        <v>0</v>
      </c>
      <c r="Q648" s="81"/>
      <c r="R648" s="81"/>
      <c r="S648" s="81">
        <f>IF(S647&gt;0,1,0)</f>
        <v>0</v>
      </c>
      <c r="T648" s="81"/>
      <c r="U648" s="81"/>
      <c r="V648" s="356">
        <f>IF(V647&gt;0,1,0)</f>
        <v>0</v>
      </c>
      <c r="W648" s="382"/>
      <c r="X648" s="539"/>
      <c r="Y648" s="328">
        <f t="shared" ref="Y648:Y649" si="777">P648+S648+V648</f>
        <v>0</v>
      </c>
      <c r="Z648" s="19">
        <f t="shared" ref="Z648:Z650" si="778">IF(Y$650=0,0,Y648/Y$650)</f>
        <v>0</v>
      </c>
      <c r="AA648" s="201"/>
      <c r="AB648" s="201"/>
      <c r="AC648" s="84"/>
      <c r="AE648" s="80"/>
      <c r="AF648" s="80"/>
      <c r="AG648" s="81"/>
      <c r="AH648" s="82"/>
      <c r="AI648" s="66"/>
      <c r="AK648" s="80"/>
      <c r="AL648" s="80"/>
      <c r="AM648" s="81"/>
      <c r="AN648" s="82"/>
      <c r="AO648" s="66"/>
      <c r="AQ648" s="80"/>
      <c r="AR648" s="80"/>
      <c r="AS648" s="81"/>
      <c r="AT648" s="82"/>
      <c r="AU648" s="66"/>
      <c r="AW648" s="80"/>
      <c r="AX648" s="80"/>
      <c r="AY648" s="81"/>
      <c r="AZ648" s="82"/>
      <c r="BA648" s="66"/>
    </row>
    <row r="649" spans="1:53" s="117" customFormat="1" ht="17.100000000000001" customHeight="1" x14ac:dyDescent="0.25">
      <c r="A649" s="68"/>
      <c r="B649" s="40"/>
      <c r="C649" s="40"/>
      <c r="D649" s="74" t="s">
        <v>707</v>
      </c>
      <c r="E649" s="85" t="s">
        <v>696</v>
      </c>
      <c r="F649" s="105"/>
      <c r="G649" s="151"/>
      <c r="H649" s="119"/>
      <c r="I649" s="138"/>
      <c r="J649" s="111"/>
      <c r="K649" s="111"/>
      <c r="L649" s="111"/>
      <c r="M649" s="111"/>
      <c r="N649" s="111"/>
      <c r="O649" s="111"/>
      <c r="P649" s="327"/>
      <c r="Q649" s="111"/>
      <c r="R649" s="111"/>
      <c r="S649" s="327"/>
      <c r="T649" s="111"/>
      <c r="U649" s="111"/>
      <c r="V649" s="369"/>
      <c r="W649" s="391"/>
      <c r="X649" s="17"/>
      <c r="Y649" s="328">
        <f t="shared" si="777"/>
        <v>0</v>
      </c>
      <c r="Z649" s="19">
        <f t="shared" si="778"/>
        <v>0</v>
      </c>
      <c r="AA649" s="201"/>
      <c r="AB649" s="201"/>
      <c r="AC649" s="84"/>
      <c r="AE649" s="111"/>
      <c r="AF649" s="111"/>
      <c r="AG649" s="111"/>
      <c r="AH649" s="545"/>
      <c r="AI649" s="131"/>
      <c r="AK649" s="111"/>
      <c r="AL649" s="111"/>
      <c r="AM649" s="111"/>
      <c r="AN649" s="545"/>
      <c r="AO649" s="131"/>
      <c r="AQ649" s="111"/>
      <c r="AR649" s="111"/>
      <c r="AS649" s="111"/>
      <c r="AT649" s="545"/>
      <c r="AU649" s="131"/>
      <c r="AW649" s="111"/>
      <c r="AX649" s="111"/>
      <c r="AY649" s="111"/>
      <c r="AZ649" s="545"/>
      <c r="BA649" s="131"/>
    </row>
    <row r="650" spans="1:53" ht="17.100000000000001" customHeight="1" x14ac:dyDescent="0.25">
      <c r="A650" s="40"/>
      <c r="B650" s="40"/>
      <c r="C650" s="77"/>
      <c r="D650" s="134"/>
      <c r="E650" s="134"/>
      <c r="F650" s="134"/>
      <c r="G650" s="134"/>
      <c r="H650" s="540"/>
      <c r="I650" s="229"/>
      <c r="J650" s="80"/>
      <c r="K650" s="80"/>
      <c r="L650" s="80"/>
      <c r="M650" s="80"/>
      <c r="N650" s="81"/>
      <c r="O650" s="81"/>
      <c r="P650" s="82">
        <f>P646+P648+P649</f>
        <v>1</v>
      </c>
      <c r="Q650" s="81"/>
      <c r="R650" s="81"/>
      <c r="S650" s="82">
        <f>S646+S648+S649</f>
        <v>1</v>
      </c>
      <c r="T650" s="81"/>
      <c r="U650" s="81"/>
      <c r="V650" s="360">
        <f>V646+V648+V649</f>
        <v>0</v>
      </c>
      <c r="W650" s="381"/>
      <c r="X650" s="82"/>
      <c r="Y650" s="82">
        <f>SUM(Y644:Y649)</f>
        <v>2</v>
      </c>
      <c r="Z650" s="205">
        <f t="shared" si="778"/>
        <v>1</v>
      </c>
      <c r="AA650" s="205"/>
      <c r="AB650" s="205"/>
      <c r="AC650" s="83"/>
      <c r="AE650" s="80"/>
      <c r="AF650" s="80"/>
      <c r="AG650" s="81"/>
      <c r="AH650" s="82"/>
      <c r="AI650" s="66"/>
      <c r="AK650" s="80"/>
      <c r="AL650" s="80"/>
      <c r="AM650" s="81"/>
      <c r="AN650" s="82"/>
      <c r="AO650" s="66"/>
      <c r="AQ650" s="80"/>
      <c r="AR650" s="80"/>
      <c r="AS650" s="81"/>
      <c r="AT650" s="82"/>
      <c r="AU650" s="66"/>
      <c r="AW650" s="80"/>
      <c r="AX650" s="80"/>
      <c r="AY650" s="81"/>
      <c r="AZ650" s="82"/>
      <c r="BA650" s="66"/>
    </row>
    <row r="651" spans="1:53" s="117" customFormat="1" ht="17.100000000000001" customHeight="1" x14ac:dyDescent="0.25">
      <c r="A651" s="68"/>
      <c r="B651" s="119"/>
      <c r="C651" s="540"/>
      <c r="D651" s="261"/>
      <c r="E651" s="261"/>
      <c r="F651" s="68"/>
      <c r="G651" s="68"/>
      <c r="H651" s="119"/>
      <c r="I651" s="138"/>
      <c r="J651" s="17"/>
      <c r="K651" s="17"/>
      <c r="L651" s="17"/>
      <c r="M651" s="17"/>
      <c r="N651" s="17"/>
      <c r="O651" s="17"/>
      <c r="P651" s="17" t="str">
        <f>IF(P650=1,"OK","NOK")</f>
        <v>OK</v>
      </c>
      <c r="Q651" s="17"/>
      <c r="R651" s="17"/>
      <c r="S651" s="17" t="str">
        <f>IF(S650=1,"OK","NOK")</f>
        <v>OK</v>
      </c>
      <c r="T651" s="17"/>
      <c r="U651" s="17"/>
      <c r="V651" s="359" t="str">
        <f>IF(V650=1,"OK","NOK")</f>
        <v>NOK</v>
      </c>
      <c r="W651" s="382"/>
      <c r="X651" s="539"/>
      <c r="Y651" s="539"/>
      <c r="Z651" s="201"/>
      <c r="AA651" s="201"/>
      <c r="AB651" s="201"/>
      <c r="AC651" s="84"/>
      <c r="AE651" s="46"/>
      <c r="AF651" s="46"/>
      <c r="AG651" s="17"/>
      <c r="AH651" s="539"/>
      <c r="AI651" s="91"/>
      <c r="AK651" s="46"/>
      <c r="AL651" s="46"/>
      <c r="AM651" s="17"/>
      <c r="AN651" s="539"/>
      <c r="AO651" s="91"/>
      <c r="AQ651" s="46"/>
      <c r="AR651" s="46"/>
      <c r="AS651" s="17"/>
      <c r="AT651" s="539"/>
      <c r="AU651" s="91"/>
      <c r="AW651" s="46"/>
      <c r="AX651" s="46"/>
      <c r="AY651" s="17"/>
      <c r="AZ651" s="539"/>
      <c r="BA651" s="91"/>
    </row>
    <row r="652" spans="1:53" ht="17.100000000000001" customHeight="1" x14ac:dyDescent="0.25">
      <c r="A652" s="119"/>
      <c r="B652" s="48" t="s">
        <v>708</v>
      </c>
      <c r="C652" s="50" t="s">
        <v>709</v>
      </c>
      <c r="D652" s="50"/>
      <c r="E652" s="70"/>
      <c r="F652" s="70"/>
      <c r="G652" s="70"/>
      <c r="H652" s="119"/>
      <c r="J652" s="71"/>
      <c r="K652" s="71"/>
      <c r="L652" s="71"/>
      <c r="M652" s="71"/>
      <c r="N652" s="71"/>
      <c r="O652" s="71"/>
      <c r="P652" s="71"/>
      <c r="Q652" s="71"/>
      <c r="R652" s="71"/>
      <c r="S652" s="71"/>
      <c r="T652" s="71"/>
      <c r="U652" s="71"/>
      <c r="V652" s="355"/>
      <c r="W652" s="377"/>
      <c r="X652" s="71"/>
      <c r="Y652" s="72"/>
      <c r="Z652" s="73"/>
      <c r="AA652" s="73"/>
      <c r="AB652" s="73"/>
      <c r="AC652" s="73"/>
      <c r="AE652" s="71"/>
      <c r="AF652" s="71"/>
      <c r="AG652" s="71"/>
      <c r="AH652" s="72"/>
      <c r="AI652" s="73"/>
      <c r="AK652" s="71"/>
      <c r="AL652" s="71"/>
      <c r="AM652" s="71"/>
      <c r="AN652" s="72"/>
      <c r="AO652" s="73"/>
      <c r="AQ652" s="71"/>
      <c r="AR652" s="71"/>
      <c r="AS652" s="71"/>
      <c r="AT652" s="72"/>
      <c r="AU652" s="73"/>
      <c r="AW652" s="71"/>
      <c r="AX652" s="71"/>
      <c r="AY652" s="71"/>
      <c r="AZ652" s="72"/>
      <c r="BA652" s="73"/>
    </row>
    <row r="653" spans="1:53" ht="17.100000000000001" customHeight="1" x14ac:dyDescent="0.25">
      <c r="A653" s="119"/>
      <c r="B653" s="119"/>
      <c r="C653" s="48" t="s">
        <v>710</v>
      </c>
      <c r="D653" s="50" t="s">
        <v>711</v>
      </c>
      <c r="E653" s="70"/>
      <c r="F653" s="70"/>
      <c r="G653" s="70"/>
      <c r="H653" s="119"/>
      <c r="J653" s="71"/>
      <c r="K653" s="71"/>
      <c r="L653" s="71"/>
      <c r="M653" s="71"/>
      <c r="N653" s="71"/>
      <c r="O653" s="71"/>
      <c r="P653" s="71"/>
      <c r="Q653" s="71"/>
      <c r="R653" s="71"/>
      <c r="S653" s="71"/>
      <c r="T653" s="71"/>
      <c r="U653" s="71"/>
      <c r="V653" s="355"/>
      <c r="W653" s="377"/>
      <c r="X653" s="71"/>
      <c r="Y653" s="72"/>
      <c r="Z653" s="73"/>
      <c r="AA653" s="73"/>
      <c r="AB653" s="73"/>
      <c r="AC653" s="73"/>
      <c r="AE653" s="71"/>
      <c r="AF653" s="71"/>
      <c r="AG653" s="71"/>
      <c r="AH653" s="72"/>
      <c r="AI653" s="73"/>
      <c r="AK653" s="71"/>
      <c r="AL653" s="71"/>
      <c r="AM653" s="71"/>
      <c r="AN653" s="72"/>
      <c r="AO653" s="73"/>
      <c r="AQ653" s="71"/>
      <c r="AR653" s="71"/>
      <c r="AS653" s="71"/>
      <c r="AT653" s="72"/>
      <c r="AU653" s="73"/>
      <c r="AW653" s="71"/>
      <c r="AX653" s="71"/>
      <c r="AY653" s="71"/>
      <c r="AZ653" s="72"/>
      <c r="BA653" s="73"/>
    </row>
    <row r="654" spans="1:53" s="117" customFormat="1" ht="17.100000000000001" customHeight="1" x14ac:dyDescent="0.25">
      <c r="A654" s="68"/>
      <c r="B654" s="119"/>
      <c r="C654" s="92"/>
      <c r="D654" s="180" t="s">
        <v>712</v>
      </c>
      <c r="E654" s="85" t="s">
        <v>692</v>
      </c>
      <c r="F654" s="75"/>
      <c r="G654" s="151"/>
      <c r="H654" s="119"/>
      <c r="I654" s="138"/>
      <c r="J654" s="111"/>
      <c r="K654" s="111"/>
      <c r="L654" s="111"/>
      <c r="M654" s="111"/>
      <c r="N654" s="111"/>
      <c r="O654" s="111"/>
      <c r="P654" s="327"/>
      <c r="Q654" s="111"/>
      <c r="R654" s="111"/>
      <c r="S654" s="327"/>
      <c r="T654" s="111"/>
      <c r="U654" s="111"/>
      <c r="V654" s="369"/>
      <c r="W654" s="382"/>
      <c r="X654" s="539"/>
      <c r="Y654" s="328">
        <f t="shared" ref="Y654:Y662" si="779">P654+S654+V654</f>
        <v>0</v>
      </c>
      <c r="Z654" s="19">
        <f>IF(Y$663=0,0,Y654/Y$663)</f>
        <v>0</v>
      </c>
      <c r="AA654" s="201"/>
      <c r="AB654" s="201"/>
      <c r="AC654" s="84"/>
      <c r="AE654" s="111"/>
      <c r="AF654" s="111"/>
      <c r="AG654" s="111"/>
      <c r="AH654" s="545"/>
      <c r="AI654" s="131"/>
      <c r="AK654" s="111"/>
      <c r="AL654" s="111"/>
      <c r="AM654" s="111"/>
      <c r="AN654" s="545"/>
      <c r="AO654" s="131"/>
      <c r="AQ654" s="111"/>
      <c r="AR654" s="111"/>
      <c r="AS654" s="111"/>
      <c r="AT654" s="545"/>
      <c r="AU654" s="131"/>
      <c r="AW654" s="111"/>
      <c r="AX654" s="111"/>
      <c r="AY654" s="111"/>
      <c r="AZ654" s="545"/>
      <c r="BA654" s="131"/>
    </row>
    <row r="655" spans="1:53" s="117" customFormat="1" ht="17.100000000000001" customHeight="1" x14ac:dyDescent="0.25">
      <c r="A655" s="68"/>
      <c r="B655" s="119"/>
      <c r="C655" s="92"/>
      <c r="D655" s="180" t="s">
        <v>713</v>
      </c>
      <c r="E655" s="85" t="s">
        <v>512</v>
      </c>
      <c r="F655" s="75"/>
      <c r="G655" s="151"/>
      <c r="H655" s="119"/>
      <c r="I655" s="138"/>
      <c r="J655" s="111"/>
      <c r="K655" s="111"/>
      <c r="L655" s="111"/>
      <c r="M655" s="111"/>
      <c r="N655" s="111"/>
      <c r="O655" s="111"/>
      <c r="P655" s="329"/>
      <c r="Q655" s="111"/>
      <c r="R655" s="111"/>
      <c r="S655" s="329"/>
      <c r="T655" s="111"/>
      <c r="U655" s="111"/>
      <c r="V655" s="370"/>
      <c r="W655" s="382"/>
      <c r="X655" s="539"/>
      <c r="Y655" s="328">
        <f t="shared" si="779"/>
        <v>0</v>
      </c>
      <c r="Z655" s="19">
        <f t="shared" ref="Z655:Z663" si="780">IF(Y$663=0,0,Y655/Y$663)</f>
        <v>0</v>
      </c>
      <c r="AA655" s="201"/>
      <c r="AB655" s="201"/>
      <c r="AC655" s="84"/>
      <c r="AE655" s="111"/>
      <c r="AF655" s="111"/>
      <c r="AG655" s="111"/>
      <c r="AH655" s="545"/>
      <c r="AI655" s="131"/>
      <c r="AK655" s="111"/>
      <c r="AL655" s="111"/>
      <c r="AM655" s="111"/>
      <c r="AN655" s="545"/>
      <c r="AO655" s="131"/>
      <c r="AQ655" s="111"/>
      <c r="AR655" s="111"/>
      <c r="AS655" s="111"/>
      <c r="AT655" s="545"/>
      <c r="AU655" s="131"/>
      <c r="AW655" s="111"/>
      <c r="AX655" s="111"/>
      <c r="AY655" s="111"/>
      <c r="AZ655" s="545"/>
      <c r="BA655" s="131"/>
    </row>
    <row r="656" spans="1:53" s="117" customFormat="1" ht="17.100000000000001" customHeight="1" x14ac:dyDescent="0.25">
      <c r="A656" s="68"/>
      <c r="B656" s="119"/>
      <c r="C656" s="92"/>
      <c r="D656" s="180" t="s">
        <v>714</v>
      </c>
      <c r="E656" s="85" t="s">
        <v>513</v>
      </c>
      <c r="F656" s="75"/>
      <c r="G656" s="151"/>
      <c r="H656" s="119"/>
      <c r="I656" s="138"/>
      <c r="J656" s="111"/>
      <c r="K656" s="111"/>
      <c r="L656" s="111"/>
      <c r="M656" s="111"/>
      <c r="N656" s="111"/>
      <c r="O656" s="111"/>
      <c r="P656" s="327"/>
      <c r="Q656" s="111"/>
      <c r="R656" s="111"/>
      <c r="S656" s="327"/>
      <c r="T656" s="111"/>
      <c r="U656" s="111"/>
      <c r="V656" s="369"/>
      <c r="W656" s="382"/>
      <c r="X656" s="539"/>
      <c r="Y656" s="328">
        <f t="shared" si="779"/>
        <v>0</v>
      </c>
      <c r="Z656" s="19">
        <f t="shared" si="780"/>
        <v>0</v>
      </c>
      <c r="AA656" s="201"/>
      <c r="AB656" s="201"/>
      <c r="AC656" s="84"/>
      <c r="AE656" s="111"/>
      <c r="AF656" s="111"/>
      <c r="AG656" s="111"/>
      <c r="AH656" s="545"/>
      <c r="AI656" s="131"/>
      <c r="AK656" s="111"/>
      <c r="AL656" s="111"/>
      <c r="AM656" s="111"/>
      <c r="AN656" s="545"/>
      <c r="AO656" s="131"/>
      <c r="AQ656" s="111"/>
      <c r="AR656" s="111"/>
      <c r="AS656" s="111"/>
      <c r="AT656" s="545"/>
      <c r="AU656" s="131"/>
      <c r="AW656" s="111"/>
      <c r="AX656" s="111"/>
      <c r="AY656" s="111"/>
      <c r="AZ656" s="545"/>
      <c r="BA656" s="131"/>
    </row>
    <row r="657" spans="1:53" s="117" customFormat="1" ht="17.100000000000001" customHeight="1" x14ac:dyDescent="0.25">
      <c r="A657" s="68"/>
      <c r="B657" s="119"/>
      <c r="C657" s="92"/>
      <c r="D657" s="180" t="s">
        <v>715</v>
      </c>
      <c r="E657" s="85" t="s">
        <v>514</v>
      </c>
      <c r="F657" s="75"/>
      <c r="G657" s="151"/>
      <c r="H657" s="119"/>
      <c r="I657" s="138"/>
      <c r="J657" s="111"/>
      <c r="K657" s="111"/>
      <c r="L657" s="111"/>
      <c r="M657" s="111"/>
      <c r="N657" s="111"/>
      <c r="O657" s="111"/>
      <c r="P657" s="329">
        <v>1</v>
      </c>
      <c r="Q657" s="111"/>
      <c r="R657" s="111"/>
      <c r="S657" s="329">
        <v>1</v>
      </c>
      <c r="T657" s="111"/>
      <c r="U657" s="111"/>
      <c r="V657" s="370"/>
      <c r="W657" s="382"/>
      <c r="X657" s="539"/>
      <c r="Y657" s="328">
        <f t="shared" si="779"/>
        <v>2</v>
      </c>
      <c r="Z657" s="19">
        <f t="shared" si="780"/>
        <v>0.66666666666666663</v>
      </c>
      <c r="AA657" s="201"/>
      <c r="AB657" s="201"/>
      <c r="AC657" s="84"/>
      <c r="AE657" s="111"/>
      <c r="AF657" s="111"/>
      <c r="AG657" s="111"/>
      <c r="AH657" s="545"/>
      <c r="AI657" s="131"/>
      <c r="AK657" s="111"/>
      <c r="AL657" s="111"/>
      <c r="AM657" s="111"/>
      <c r="AN657" s="545"/>
      <c r="AO657" s="131"/>
      <c r="AQ657" s="111"/>
      <c r="AR657" s="111"/>
      <c r="AS657" s="111"/>
      <c r="AT657" s="545"/>
      <c r="AU657" s="131"/>
      <c r="AW657" s="111"/>
      <c r="AX657" s="111"/>
      <c r="AY657" s="111"/>
      <c r="AZ657" s="545"/>
      <c r="BA657" s="131"/>
    </row>
    <row r="658" spans="1:53" s="117" customFormat="1" ht="17.100000000000001" customHeight="1" x14ac:dyDescent="0.25">
      <c r="A658" s="68"/>
      <c r="B658" s="119"/>
      <c r="C658" s="92"/>
      <c r="D658" s="180" t="s">
        <v>716</v>
      </c>
      <c r="E658" s="85" t="s">
        <v>357</v>
      </c>
      <c r="F658" s="75"/>
      <c r="G658" s="151"/>
      <c r="H658" s="119"/>
      <c r="I658" s="138"/>
      <c r="J658" s="111"/>
      <c r="K658" s="111"/>
      <c r="L658" s="111"/>
      <c r="M658" s="111"/>
      <c r="N658" s="111"/>
      <c r="O658" s="111"/>
      <c r="P658" s="327"/>
      <c r="Q658" s="111"/>
      <c r="R658" s="111"/>
      <c r="S658" s="327"/>
      <c r="T658" s="111"/>
      <c r="U658" s="111"/>
      <c r="V658" s="369"/>
      <c r="W658" s="382"/>
      <c r="X658" s="539"/>
      <c r="Y658" s="328">
        <f t="shared" si="779"/>
        <v>0</v>
      </c>
      <c r="Z658" s="19">
        <f t="shared" si="780"/>
        <v>0</v>
      </c>
      <c r="AA658" s="201"/>
      <c r="AB658" s="201"/>
      <c r="AC658" s="84"/>
      <c r="AE658" s="111"/>
      <c r="AF658" s="111"/>
      <c r="AG658" s="111"/>
      <c r="AH658" s="545"/>
      <c r="AI658" s="131"/>
      <c r="AK658" s="111"/>
      <c r="AL658" s="111"/>
      <c r="AM658" s="111"/>
      <c r="AN658" s="545"/>
      <c r="AO658" s="131"/>
      <c r="AQ658" s="111"/>
      <c r="AR658" s="111"/>
      <c r="AS658" s="111"/>
      <c r="AT658" s="545"/>
      <c r="AU658" s="131"/>
      <c r="AW658" s="111"/>
      <c r="AX658" s="111"/>
      <c r="AY658" s="111"/>
      <c r="AZ658" s="545"/>
      <c r="BA658" s="131"/>
    </row>
    <row r="659" spans="1:53" s="117" customFormat="1" ht="17.100000000000001" customHeight="1" x14ac:dyDescent="0.25">
      <c r="A659" s="68"/>
      <c r="B659" s="119"/>
      <c r="C659" s="92"/>
      <c r="D659" s="180" t="s">
        <v>717</v>
      </c>
      <c r="E659" s="85" t="s">
        <v>515</v>
      </c>
      <c r="F659" s="75"/>
      <c r="G659" s="151"/>
      <c r="H659" s="119"/>
      <c r="I659" s="138"/>
      <c r="J659" s="111"/>
      <c r="K659" s="111"/>
      <c r="L659" s="111"/>
      <c r="M659" s="111"/>
      <c r="N659" s="111"/>
      <c r="O659" s="111"/>
      <c r="P659" s="329"/>
      <c r="Q659" s="111"/>
      <c r="R659" s="111"/>
      <c r="S659" s="329">
        <v>1</v>
      </c>
      <c r="T659" s="111"/>
      <c r="U659" s="111"/>
      <c r="V659" s="370"/>
      <c r="W659" s="382"/>
      <c r="X659" s="539"/>
      <c r="Y659" s="328">
        <f t="shared" si="779"/>
        <v>1</v>
      </c>
      <c r="Z659" s="19">
        <f t="shared" si="780"/>
        <v>0.33333333333333331</v>
      </c>
      <c r="AA659" s="201"/>
      <c r="AB659" s="201"/>
      <c r="AC659" s="84"/>
      <c r="AE659" s="111"/>
      <c r="AF659" s="111"/>
      <c r="AG659" s="111"/>
      <c r="AH659" s="545"/>
      <c r="AI659" s="131"/>
      <c r="AK659" s="111"/>
      <c r="AL659" s="111"/>
      <c r="AM659" s="111"/>
      <c r="AN659" s="545"/>
      <c r="AO659" s="131"/>
      <c r="AQ659" s="111"/>
      <c r="AR659" s="111"/>
      <c r="AS659" s="111"/>
      <c r="AT659" s="545"/>
      <c r="AU659" s="131"/>
      <c r="AW659" s="111"/>
      <c r="AX659" s="111"/>
      <c r="AY659" s="111"/>
      <c r="AZ659" s="545"/>
      <c r="BA659" s="131"/>
    </row>
    <row r="660" spans="1:53" s="117" customFormat="1" ht="17.100000000000001" customHeight="1" x14ac:dyDescent="0.25">
      <c r="A660" s="68"/>
      <c r="B660" s="119"/>
      <c r="C660" s="92"/>
      <c r="D660" s="180" t="s">
        <v>718</v>
      </c>
      <c r="E660" s="85" t="s">
        <v>516</v>
      </c>
      <c r="F660" s="75"/>
      <c r="G660" s="151"/>
      <c r="H660" s="119"/>
      <c r="I660" s="138"/>
      <c r="J660" s="111"/>
      <c r="K660" s="111"/>
      <c r="L660" s="111"/>
      <c r="M660" s="111"/>
      <c r="N660" s="111"/>
      <c r="O660" s="111"/>
      <c r="P660" s="327"/>
      <c r="Q660" s="111"/>
      <c r="R660" s="111"/>
      <c r="S660" s="327"/>
      <c r="T660" s="111"/>
      <c r="U660" s="111"/>
      <c r="V660" s="369"/>
      <c r="W660" s="382"/>
      <c r="X660" s="539"/>
      <c r="Y660" s="328">
        <f t="shared" si="779"/>
        <v>0</v>
      </c>
      <c r="Z660" s="19">
        <f t="shared" si="780"/>
        <v>0</v>
      </c>
      <c r="AA660" s="201"/>
      <c r="AB660" s="201"/>
      <c r="AC660" s="84"/>
      <c r="AE660" s="111"/>
      <c r="AF660" s="111"/>
      <c r="AG660" s="111"/>
      <c r="AH660" s="545"/>
      <c r="AI660" s="131"/>
      <c r="AK660" s="111"/>
      <c r="AL660" s="111"/>
      <c r="AM660" s="111"/>
      <c r="AN660" s="545"/>
      <c r="AO660" s="131"/>
      <c r="AQ660" s="111"/>
      <c r="AR660" s="111"/>
      <c r="AS660" s="111"/>
      <c r="AT660" s="545"/>
      <c r="AU660" s="131"/>
      <c r="AW660" s="111"/>
      <c r="AX660" s="111"/>
      <c r="AY660" s="111"/>
      <c r="AZ660" s="545"/>
      <c r="BA660" s="131"/>
    </row>
    <row r="661" spans="1:53" s="117" customFormat="1" ht="17.100000000000001" customHeight="1" x14ac:dyDescent="0.25">
      <c r="A661" s="68"/>
      <c r="B661" s="119"/>
      <c r="C661" s="92"/>
      <c r="D661" s="180" t="s">
        <v>719</v>
      </c>
      <c r="E661" s="85" t="s">
        <v>517</v>
      </c>
      <c r="F661" s="75"/>
      <c r="G661" s="151"/>
      <c r="H661" s="119"/>
      <c r="I661" s="138"/>
      <c r="J661" s="111"/>
      <c r="K661" s="111"/>
      <c r="L661" s="111"/>
      <c r="M661" s="111"/>
      <c r="N661" s="111"/>
      <c r="O661" s="111"/>
      <c r="P661" s="329"/>
      <c r="Q661" s="111"/>
      <c r="R661" s="111"/>
      <c r="S661" s="329"/>
      <c r="T661" s="111"/>
      <c r="U661" s="111"/>
      <c r="V661" s="370"/>
      <c r="W661" s="382"/>
      <c r="X661" s="539"/>
      <c r="Y661" s="328">
        <f t="shared" si="779"/>
        <v>0</v>
      </c>
      <c r="Z661" s="19">
        <f t="shared" si="780"/>
        <v>0</v>
      </c>
      <c r="AA661" s="201"/>
      <c r="AB661" s="201"/>
      <c r="AC661" s="84"/>
      <c r="AE661" s="111"/>
      <c r="AF661" s="111"/>
      <c r="AG661" s="111"/>
      <c r="AH661" s="545"/>
      <c r="AI661" s="131"/>
      <c r="AK661" s="111"/>
      <c r="AL661" s="111"/>
      <c r="AM661" s="111"/>
      <c r="AN661" s="545"/>
      <c r="AO661" s="131"/>
      <c r="AQ661" s="111"/>
      <c r="AR661" s="111"/>
      <c r="AS661" s="111"/>
      <c r="AT661" s="545"/>
      <c r="AU661" s="131"/>
      <c r="AW661" s="111"/>
      <c r="AX661" s="111"/>
      <c r="AY661" s="111"/>
      <c r="AZ661" s="545"/>
      <c r="BA661" s="131"/>
    </row>
    <row r="662" spans="1:53" s="117" customFormat="1" ht="17.100000000000001" customHeight="1" x14ac:dyDescent="0.25">
      <c r="A662" s="68"/>
      <c r="B662" s="119"/>
      <c r="C662" s="92"/>
      <c r="D662" s="180" t="s">
        <v>720</v>
      </c>
      <c r="E662" s="85" t="s">
        <v>129</v>
      </c>
      <c r="F662" s="75"/>
      <c r="G662" s="151"/>
      <c r="H662" s="119"/>
      <c r="I662" s="138"/>
      <c r="J662" s="111"/>
      <c r="K662" s="111"/>
      <c r="L662" s="111"/>
      <c r="M662" s="111"/>
      <c r="N662" s="111"/>
      <c r="O662" s="111"/>
      <c r="P662" s="327"/>
      <c r="Q662" s="111"/>
      <c r="R662" s="111"/>
      <c r="S662" s="327"/>
      <c r="T662" s="111"/>
      <c r="U662" s="111"/>
      <c r="V662" s="369"/>
      <c r="W662" s="382"/>
      <c r="X662" s="539"/>
      <c r="Y662" s="328">
        <f t="shared" si="779"/>
        <v>0</v>
      </c>
      <c r="Z662" s="19">
        <f t="shared" si="780"/>
        <v>0</v>
      </c>
      <c r="AA662" s="201"/>
      <c r="AB662" s="201"/>
      <c r="AC662" s="84"/>
      <c r="AE662" s="111"/>
      <c r="AF662" s="111"/>
      <c r="AG662" s="111"/>
      <c r="AH662" s="545"/>
      <c r="AI662" s="131"/>
      <c r="AK662" s="111"/>
      <c r="AL662" s="111"/>
      <c r="AM662" s="111"/>
      <c r="AN662" s="545"/>
      <c r="AO662" s="131"/>
      <c r="AQ662" s="111"/>
      <c r="AR662" s="111"/>
      <c r="AS662" s="111"/>
      <c r="AT662" s="545"/>
      <c r="AU662" s="131"/>
      <c r="AW662" s="111"/>
      <c r="AX662" s="111"/>
      <c r="AY662" s="111"/>
      <c r="AZ662" s="545"/>
      <c r="BA662" s="131"/>
    </row>
    <row r="663" spans="1:53" ht="17.100000000000001" customHeight="1" x14ac:dyDescent="0.25">
      <c r="A663" s="40"/>
      <c r="B663" s="40"/>
      <c r="C663" s="77"/>
      <c r="D663" s="134"/>
      <c r="E663" s="134"/>
      <c r="F663" s="134"/>
      <c r="G663" s="134"/>
      <c r="H663" s="540"/>
      <c r="I663" s="229"/>
      <c r="J663" s="80"/>
      <c r="K663" s="80"/>
      <c r="L663" s="80"/>
      <c r="M663" s="80"/>
      <c r="N663" s="81"/>
      <c r="O663" s="81"/>
      <c r="P663" s="82">
        <f>SUM(P654:P662)</f>
        <v>1</v>
      </c>
      <c r="Q663" s="81"/>
      <c r="R663" s="81"/>
      <c r="S663" s="82">
        <f>SUM(S654:S662)</f>
        <v>2</v>
      </c>
      <c r="T663" s="81"/>
      <c r="U663" s="81"/>
      <c r="V663" s="360">
        <f>SUM(V654:V662)</f>
        <v>0</v>
      </c>
      <c r="W663" s="381"/>
      <c r="X663" s="82"/>
      <c r="Y663" s="82">
        <f>SUM(Y654:Y662)</f>
        <v>3</v>
      </c>
      <c r="Z663" s="205">
        <f t="shared" si="780"/>
        <v>1</v>
      </c>
      <c r="AA663" s="205"/>
      <c r="AB663" s="205"/>
      <c r="AC663" s="83"/>
      <c r="AE663" s="80"/>
      <c r="AF663" s="80"/>
      <c r="AG663" s="81"/>
      <c r="AH663" s="82"/>
      <c r="AI663" s="66"/>
      <c r="AK663" s="80"/>
      <c r="AL663" s="80"/>
      <c r="AM663" s="81"/>
      <c r="AN663" s="82"/>
      <c r="AO663" s="66"/>
      <c r="AQ663" s="80"/>
      <c r="AR663" s="80"/>
      <c r="AS663" s="81"/>
      <c r="AT663" s="82"/>
      <c r="AU663" s="66"/>
      <c r="AW663" s="80"/>
      <c r="AX663" s="80"/>
      <c r="AY663" s="81"/>
      <c r="AZ663" s="82"/>
      <c r="BA663" s="66"/>
    </row>
    <row r="664" spans="1:53" ht="17.100000000000001" customHeight="1" x14ac:dyDescent="0.25">
      <c r="A664" s="119"/>
      <c r="B664" s="119"/>
      <c r="C664" s="48" t="s">
        <v>721</v>
      </c>
      <c r="D664" s="50" t="s">
        <v>722</v>
      </c>
      <c r="E664" s="70"/>
      <c r="F664" s="70"/>
      <c r="G664" s="70"/>
      <c r="H664" s="119"/>
      <c r="J664" s="71"/>
      <c r="K664" s="71"/>
      <c r="L664" s="71"/>
      <c r="M664" s="71"/>
      <c r="N664" s="71"/>
      <c r="O664" s="71"/>
      <c r="P664" s="71"/>
      <c r="Q664" s="71"/>
      <c r="R664" s="71"/>
      <c r="S664" s="71"/>
      <c r="T664" s="71"/>
      <c r="U664" s="71"/>
      <c r="V664" s="355"/>
      <c r="W664" s="377"/>
      <c r="X664" s="71"/>
      <c r="Y664" s="72"/>
      <c r="Z664" s="73"/>
      <c r="AA664" s="73"/>
      <c r="AB664" s="73"/>
      <c r="AC664" s="73"/>
      <c r="AE664" s="71"/>
      <c r="AF664" s="71"/>
      <c r="AG664" s="71"/>
      <c r="AH664" s="72"/>
      <c r="AI664" s="73"/>
      <c r="AK664" s="71"/>
      <c r="AL664" s="71"/>
      <c r="AM664" s="71"/>
      <c r="AN664" s="72"/>
      <c r="AO664" s="73"/>
      <c r="AQ664" s="71"/>
      <c r="AR664" s="71"/>
      <c r="AS664" s="71"/>
      <c r="AT664" s="72"/>
      <c r="AU664" s="73"/>
      <c r="AW664" s="71"/>
      <c r="AX664" s="71"/>
      <c r="AY664" s="71"/>
      <c r="AZ664" s="72"/>
      <c r="BA664" s="73"/>
    </row>
    <row r="665" spans="1:53" s="117" customFormat="1" ht="17.100000000000001" customHeight="1" x14ac:dyDescent="0.25">
      <c r="A665" s="68"/>
      <c r="B665" s="119"/>
      <c r="C665" s="92"/>
      <c r="D665" s="56" t="s">
        <v>723</v>
      </c>
      <c r="E665" s="85" t="s">
        <v>692</v>
      </c>
      <c r="F665" s="75"/>
      <c r="G665" s="151"/>
      <c r="H665" s="119"/>
      <c r="I665" s="138"/>
      <c r="J665" s="111"/>
      <c r="K665" s="111"/>
      <c r="L665" s="111"/>
      <c r="M665" s="111"/>
      <c r="N665" s="111"/>
      <c r="O665" s="111"/>
      <c r="P665" s="327">
        <v>1</v>
      </c>
      <c r="Q665" s="111"/>
      <c r="R665" s="111"/>
      <c r="S665" s="327">
        <v>1</v>
      </c>
      <c r="T665" s="111"/>
      <c r="U665" s="111"/>
      <c r="V665" s="369"/>
      <c r="W665" s="382"/>
      <c r="X665" s="539"/>
      <c r="Y665" s="328">
        <f t="shared" ref="Y665:Y669" si="781">P665+S665+V665</f>
        <v>2</v>
      </c>
      <c r="Z665" s="19">
        <f>IF(Y$670=0,0,Y665/Y$670)</f>
        <v>1</v>
      </c>
      <c r="AA665" s="201"/>
      <c r="AB665" s="201"/>
      <c r="AC665" s="84"/>
      <c r="AE665" s="111"/>
      <c r="AF665" s="111"/>
      <c r="AG665" s="111"/>
      <c r="AH665" s="545"/>
      <c r="AI665" s="131"/>
      <c r="AK665" s="111"/>
      <c r="AL665" s="111"/>
      <c r="AM665" s="111"/>
      <c r="AN665" s="545"/>
      <c r="AO665" s="131"/>
      <c r="AQ665" s="111"/>
      <c r="AR665" s="111"/>
      <c r="AS665" s="111"/>
      <c r="AT665" s="545"/>
      <c r="AU665" s="131"/>
      <c r="AW665" s="111"/>
      <c r="AX665" s="111"/>
      <c r="AY665" s="111"/>
      <c r="AZ665" s="545"/>
      <c r="BA665" s="131"/>
    </row>
    <row r="666" spans="1:53" s="117" customFormat="1" ht="17.100000000000001" customHeight="1" x14ac:dyDescent="0.25">
      <c r="A666" s="68"/>
      <c r="B666" s="119"/>
      <c r="C666" s="92"/>
      <c r="D666" s="56" t="s">
        <v>724</v>
      </c>
      <c r="E666" s="85" t="s">
        <v>725</v>
      </c>
      <c r="F666" s="75"/>
      <c r="G666" s="151"/>
      <c r="H666" s="119"/>
      <c r="I666" s="138"/>
      <c r="J666" s="111"/>
      <c r="K666" s="111"/>
      <c r="L666" s="111"/>
      <c r="M666" s="111"/>
      <c r="N666" s="111"/>
      <c r="O666" s="111"/>
      <c r="P666" s="329"/>
      <c r="Q666" s="111"/>
      <c r="R666" s="111"/>
      <c r="S666" s="329"/>
      <c r="T666" s="111"/>
      <c r="U666" s="111"/>
      <c r="V666" s="370"/>
      <c r="W666" s="382"/>
      <c r="X666" s="539"/>
      <c r="Y666" s="328">
        <f t="shared" si="781"/>
        <v>0</v>
      </c>
      <c r="Z666" s="19">
        <f t="shared" ref="Z666:Z670" si="782">IF(Y$670=0,0,Y666/Y$670)</f>
        <v>0</v>
      </c>
      <c r="AA666" s="201"/>
      <c r="AB666" s="201"/>
      <c r="AC666" s="84"/>
      <c r="AE666" s="111"/>
      <c r="AF666" s="111"/>
      <c r="AG666" s="111"/>
      <c r="AH666" s="545"/>
      <c r="AI666" s="131"/>
      <c r="AK666" s="111"/>
      <c r="AL666" s="111"/>
      <c r="AM666" s="111"/>
      <c r="AN666" s="545"/>
      <c r="AO666" s="131"/>
      <c r="AQ666" s="111"/>
      <c r="AR666" s="111"/>
      <c r="AS666" s="111"/>
      <c r="AT666" s="545"/>
      <c r="AU666" s="131"/>
      <c r="AW666" s="111"/>
      <c r="AX666" s="111"/>
      <c r="AY666" s="111"/>
      <c r="AZ666" s="545"/>
      <c r="BA666" s="131"/>
    </row>
    <row r="667" spans="1:53" s="117" customFormat="1" ht="17.100000000000001" customHeight="1" x14ac:dyDescent="0.25">
      <c r="A667" s="68"/>
      <c r="B667" s="119"/>
      <c r="C667" s="92"/>
      <c r="D667" s="56" t="s">
        <v>726</v>
      </c>
      <c r="E667" s="85" t="s">
        <v>727</v>
      </c>
      <c r="F667" s="75"/>
      <c r="G667" s="151"/>
      <c r="H667" s="119"/>
      <c r="I667" s="138"/>
      <c r="J667" s="111"/>
      <c r="K667" s="111"/>
      <c r="L667" s="111"/>
      <c r="M667" s="111"/>
      <c r="N667" s="111"/>
      <c r="O667" s="111"/>
      <c r="P667" s="327"/>
      <c r="Q667" s="111"/>
      <c r="R667" s="111"/>
      <c r="S667" s="327"/>
      <c r="T667" s="111"/>
      <c r="U667" s="111"/>
      <c r="V667" s="369"/>
      <c r="W667" s="382"/>
      <c r="X667" s="539"/>
      <c r="Y667" s="328">
        <f t="shared" si="781"/>
        <v>0</v>
      </c>
      <c r="Z667" s="19">
        <f t="shared" si="782"/>
        <v>0</v>
      </c>
      <c r="AA667" s="201"/>
      <c r="AB667" s="201"/>
      <c r="AC667" s="84"/>
      <c r="AE667" s="111"/>
      <c r="AF667" s="111"/>
      <c r="AG667" s="111"/>
      <c r="AH667" s="545"/>
      <c r="AI667" s="131"/>
      <c r="AK667" s="111"/>
      <c r="AL667" s="111"/>
      <c r="AM667" s="111"/>
      <c r="AN667" s="545"/>
      <c r="AO667" s="131"/>
      <c r="AQ667" s="111"/>
      <c r="AR667" s="111"/>
      <c r="AS667" s="111"/>
      <c r="AT667" s="545"/>
      <c r="AU667" s="131"/>
      <c r="AW667" s="111"/>
      <c r="AX667" s="111"/>
      <c r="AY667" s="111"/>
      <c r="AZ667" s="545"/>
      <c r="BA667" s="131"/>
    </row>
    <row r="668" spans="1:53" s="117" customFormat="1" ht="17.100000000000001" customHeight="1" x14ac:dyDescent="0.25">
      <c r="A668" s="68"/>
      <c r="B668" s="119"/>
      <c r="C668" s="92"/>
      <c r="D668" s="56" t="s">
        <v>728</v>
      </c>
      <c r="E668" s="85" t="s">
        <v>729</v>
      </c>
      <c r="F668" s="75"/>
      <c r="G668" s="151"/>
      <c r="H668" s="119"/>
      <c r="I668" s="138"/>
      <c r="J668" s="111"/>
      <c r="K668" s="111"/>
      <c r="L668" s="111"/>
      <c r="M668" s="111"/>
      <c r="N668" s="111"/>
      <c r="O668" s="111"/>
      <c r="P668" s="329"/>
      <c r="Q668" s="111"/>
      <c r="R668" s="111"/>
      <c r="S668" s="329"/>
      <c r="T668" s="111"/>
      <c r="U668" s="111"/>
      <c r="V668" s="370"/>
      <c r="W668" s="382"/>
      <c r="X668" s="539"/>
      <c r="Y668" s="328">
        <f t="shared" si="781"/>
        <v>0</v>
      </c>
      <c r="Z668" s="19">
        <f t="shared" si="782"/>
        <v>0</v>
      </c>
      <c r="AA668" s="201"/>
      <c r="AB668" s="201"/>
      <c r="AC668" s="84"/>
      <c r="AE668" s="111"/>
      <c r="AF668" s="111"/>
      <c r="AG668" s="111"/>
      <c r="AH668" s="545"/>
      <c r="AI668" s="131"/>
      <c r="AK668" s="111"/>
      <c r="AL668" s="111"/>
      <c r="AM668" s="111"/>
      <c r="AN668" s="545"/>
      <c r="AO668" s="131"/>
      <c r="AQ668" s="111"/>
      <c r="AR668" s="111"/>
      <c r="AS668" s="111"/>
      <c r="AT668" s="545"/>
      <c r="AU668" s="131"/>
      <c r="AW668" s="111"/>
      <c r="AX668" s="111"/>
      <c r="AY668" s="111"/>
      <c r="AZ668" s="545"/>
      <c r="BA668" s="131"/>
    </row>
    <row r="669" spans="1:53" s="117" customFormat="1" ht="17.100000000000001" customHeight="1" x14ac:dyDescent="0.25">
      <c r="A669" s="68"/>
      <c r="B669" s="119"/>
      <c r="C669" s="92"/>
      <c r="D669" s="56" t="s">
        <v>730</v>
      </c>
      <c r="E669" s="85" t="s">
        <v>129</v>
      </c>
      <c r="F669" s="75"/>
      <c r="G669" s="151"/>
      <c r="H669" s="119"/>
      <c r="I669" s="138"/>
      <c r="J669" s="111"/>
      <c r="K669" s="111"/>
      <c r="L669" s="111"/>
      <c r="M669" s="111"/>
      <c r="N669" s="111"/>
      <c r="O669" s="111"/>
      <c r="P669" s="327"/>
      <c r="Q669" s="111"/>
      <c r="R669" s="111"/>
      <c r="S669" s="327"/>
      <c r="T669" s="111"/>
      <c r="U669" s="111"/>
      <c r="V669" s="369"/>
      <c r="W669" s="382"/>
      <c r="X669" s="539"/>
      <c r="Y669" s="328">
        <f t="shared" si="781"/>
        <v>0</v>
      </c>
      <c r="Z669" s="19">
        <f t="shared" si="782"/>
        <v>0</v>
      </c>
      <c r="AA669" s="201"/>
      <c r="AB669" s="201"/>
      <c r="AC669" s="84"/>
      <c r="AE669" s="111"/>
      <c r="AF669" s="111"/>
      <c r="AG669" s="111"/>
      <c r="AH669" s="545"/>
      <c r="AI669" s="131"/>
      <c r="AK669" s="111"/>
      <c r="AL669" s="111"/>
      <c r="AM669" s="111"/>
      <c r="AN669" s="545"/>
      <c r="AO669" s="131"/>
      <c r="AQ669" s="111"/>
      <c r="AR669" s="111"/>
      <c r="AS669" s="111"/>
      <c r="AT669" s="545"/>
      <c r="AU669" s="131"/>
      <c r="AW669" s="111"/>
      <c r="AX669" s="111"/>
      <c r="AY669" s="111"/>
      <c r="AZ669" s="545"/>
      <c r="BA669" s="131"/>
    </row>
    <row r="670" spans="1:53" ht="17.100000000000001" customHeight="1" x14ac:dyDescent="0.25">
      <c r="A670" s="40"/>
      <c r="B670" s="40"/>
      <c r="C670" s="77"/>
      <c r="D670" s="134"/>
      <c r="E670" s="134"/>
      <c r="F670" s="134"/>
      <c r="G670" s="134"/>
      <c r="H670" s="540"/>
      <c r="I670" s="229"/>
      <c r="J670" s="80"/>
      <c r="K670" s="80"/>
      <c r="L670" s="80"/>
      <c r="M670" s="80"/>
      <c r="N670" s="81"/>
      <c r="O670" s="81"/>
      <c r="P670" s="82">
        <f>SUM(P665:P669)</f>
        <v>1</v>
      </c>
      <c r="Q670" s="81"/>
      <c r="R670" s="81"/>
      <c r="S670" s="82">
        <f>SUM(S665:S669)</f>
        <v>1</v>
      </c>
      <c r="T670" s="81"/>
      <c r="U670" s="81"/>
      <c r="V670" s="360">
        <f>SUM(V665:V669)</f>
        <v>0</v>
      </c>
      <c r="W670" s="381"/>
      <c r="X670" s="82"/>
      <c r="Y670" s="82">
        <f>SUM(Y665:Y669)</f>
        <v>2</v>
      </c>
      <c r="Z670" s="205">
        <f t="shared" si="782"/>
        <v>1</v>
      </c>
      <c r="AA670" s="205"/>
      <c r="AB670" s="205"/>
      <c r="AC670" s="83"/>
      <c r="AE670" s="80"/>
      <c r="AF670" s="80"/>
      <c r="AG670" s="81"/>
      <c r="AH670" s="82"/>
      <c r="AI670" s="66"/>
      <c r="AK670" s="80"/>
      <c r="AL670" s="80"/>
      <c r="AM670" s="81"/>
      <c r="AN670" s="82"/>
      <c r="AO670" s="66"/>
      <c r="AQ670" s="80"/>
      <c r="AR670" s="80"/>
      <c r="AS670" s="81"/>
      <c r="AT670" s="82"/>
      <c r="AU670" s="66"/>
      <c r="AW670" s="80"/>
      <c r="AX670" s="80"/>
      <c r="AY670" s="81"/>
      <c r="AZ670" s="82"/>
      <c r="BA670" s="66"/>
    </row>
    <row r="671" spans="1:53" s="117" customFormat="1" ht="17.100000000000001" customHeight="1" x14ac:dyDescent="0.25">
      <c r="A671" s="68"/>
      <c r="B671" s="119"/>
      <c r="C671" s="92"/>
      <c r="D671" s="261"/>
      <c r="E671" s="261"/>
      <c r="F671" s="68"/>
      <c r="G671" s="68"/>
      <c r="H671" s="119"/>
      <c r="I671" s="138"/>
      <c r="J671" s="17"/>
      <c r="K671" s="17"/>
      <c r="L671" s="17"/>
      <c r="M671" s="17"/>
      <c r="N671" s="17"/>
      <c r="O671" s="17"/>
      <c r="P671" s="17"/>
      <c r="Q671" s="17"/>
      <c r="R671" s="17"/>
      <c r="S671" s="17"/>
      <c r="T671" s="17"/>
      <c r="U671" s="17"/>
      <c r="V671" s="359"/>
      <c r="W671" s="382"/>
      <c r="X671" s="539"/>
      <c r="Y671" s="539"/>
      <c r="Z671" s="201"/>
      <c r="AA671" s="201"/>
      <c r="AB671" s="201"/>
      <c r="AC671" s="84"/>
      <c r="AE671" s="46"/>
      <c r="AF671" s="46"/>
      <c r="AG671" s="17"/>
      <c r="AH671" s="539"/>
      <c r="AI671" s="91"/>
      <c r="AK671" s="46"/>
      <c r="AL671" s="46"/>
      <c r="AM671" s="17"/>
      <c r="AN671" s="539"/>
      <c r="AO671" s="91"/>
      <c r="AQ671" s="46"/>
      <c r="AR671" s="46"/>
      <c r="AS671" s="17"/>
      <c r="AT671" s="539"/>
      <c r="AU671" s="91"/>
      <c r="AW671" s="46"/>
      <c r="AX671" s="46"/>
      <c r="AY671" s="17"/>
      <c r="AZ671" s="539"/>
      <c r="BA671" s="91"/>
    </row>
    <row r="672" spans="1:53" ht="17.100000000000001" customHeight="1" x14ac:dyDescent="0.25">
      <c r="A672" s="68"/>
      <c r="B672" s="41" t="s">
        <v>1445</v>
      </c>
      <c r="C672" s="69" t="s">
        <v>12</v>
      </c>
      <c r="D672" s="50"/>
      <c r="E672" s="70"/>
      <c r="F672" s="70"/>
      <c r="G672" s="70"/>
      <c r="H672" s="119"/>
      <c r="J672" s="71"/>
      <c r="K672" s="71"/>
      <c r="L672" s="71"/>
      <c r="M672" s="71"/>
      <c r="N672" s="71"/>
      <c r="O672" s="71"/>
      <c r="P672" s="71"/>
      <c r="Q672" s="71"/>
      <c r="R672" s="71"/>
      <c r="S672" s="71"/>
      <c r="T672" s="71"/>
      <c r="U672" s="71"/>
      <c r="V672" s="355"/>
      <c r="W672" s="377"/>
      <c r="X672" s="71"/>
      <c r="Y672" s="72"/>
      <c r="Z672" s="73"/>
      <c r="AA672" s="73"/>
      <c r="AB672" s="73"/>
      <c r="AC672" s="73"/>
      <c r="AE672" s="71"/>
      <c r="AF672" s="71"/>
      <c r="AG672" s="71"/>
      <c r="AH672" s="72"/>
      <c r="AI672" s="73"/>
      <c r="AK672" s="71"/>
      <c r="AL672" s="71"/>
      <c r="AM672" s="71"/>
      <c r="AN672" s="72"/>
      <c r="AO672" s="73"/>
      <c r="AQ672" s="71"/>
      <c r="AR672" s="71"/>
      <c r="AS672" s="71"/>
      <c r="AT672" s="72"/>
      <c r="AU672" s="73"/>
      <c r="AW672" s="71"/>
      <c r="AX672" s="71"/>
      <c r="AY672" s="71"/>
      <c r="AZ672" s="72" t="s">
        <v>4</v>
      </c>
      <c r="BA672" s="73"/>
    </row>
    <row r="686" spans="4:52" s="2" customFormat="1" ht="17.100000000000001" customHeight="1" x14ac:dyDescent="0.25">
      <c r="D686" s="3"/>
      <c r="E686" s="3"/>
      <c r="F686" s="4"/>
      <c r="G686" s="4"/>
      <c r="H686" s="138"/>
      <c r="I686" s="97"/>
      <c r="J686" s="6"/>
      <c r="K686" s="6"/>
      <c r="L686" s="6"/>
      <c r="M686" s="6"/>
      <c r="N686" s="6"/>
      <c r="O686" s="6"/>
      <c r="P686" s="6"/>
      <c r="Q686" s="6"/>
      <c r="R686" s="6"/>
      <c r="S686" s="6"/>
      <c r="T686" s="6"/>
      <c r="U686" s="6"/>
      <c r="V686" s="339"/>
      <c r="W686" s="339"/>
      <c r="X686" s="6"/>
      <c r="Y686" s="206"/>
      <c r="AE686" s="6"/>
      <c r="AF686" s="6"/>
      <c r="AG686" s="6"/>
      <c r="AH686" s="206"/>
      <c r="AJ686" s="213"/>
      <c r="AK686" s="6"/>
      <c r="AL686" s="6"/>
      <c r="AM686" s="6"/>
      <c r="AN686" s="206"/>
      <c r="AP686" s="213"/>
      <c r="AQ686" s="6"/>
      <c r="AR686" s="6"/>
      <c r="AS686" s="6"/>
      <c r="AT686" s="206"/>
      <c r="AV686" s="213"/>
      <c r="AW686" s="6"/>
      <c r="AX686" s="6"/>
      <c r="AY686" s="6"/>
      <c r="AZ686" s="206"/>
    </row>
    <row r="687" spans="4:52" s="2" customFormat="1" ht="17.100000000000001" customHeight="1" x14ac:dyDescent="0.25">
      <c r="D687" s="3"/>
      <c r="E687" s="3"/>
      <c r="F687" s="4"/>
      <c r="G687" s="4"/>
      <c r="H687" s="138"/>
      <c r="I687" s="97"/>
      <c r="J687" s="6"/>
      <c r="K687" s="6"/>
      <c r="L687" s="6"/>
      <c r="M687" s="6"/>
      <c r="N687" s="6"/>
      <c r="O687" s="6"/>
      <c r="P687" s="6"/>
      <c r="Q687" s="6"/>
      <c r="R687" s="6"/>
      <c r="S687" s="6"/>
      <c r="T687" s="6"/>
      <c r="U687" s="6"/>
      <c r="V687" s="339"/>
      <c r="W687" s="339"/>
      <c r="X687" s="6"/>
      <c r="Y687" s="206"/>
      <c r="AE687" s="6"/>
      <c r="AF687" s="6"/>
      <c r="AG687" s="6"/>
      <c r="AH687" s="206"/>
      <c r="AJ687" s="213"/>
      <c r="AK687" s="6"/>
      <c r="AL687" s="6"/>
      <c r="AM687" s="6"/>
      <c r="AN687" s="206"/>
      <c r="AP687" s="213"/>
      <c r="AQ687" s="6"/>
      <c r="AR687" s="6"/>
      <c r="AS687" s="6"/>
      <c r="AT687" s="206"/>
      <c r="AV687" s="213"/>
      <c r="AW687" s="6"/>
      <c r="AX687" s="6"/>
      <c r="AY687" s="6"/>
      <c r="AZ687" s="206"/>
    </row>
    <row r="688" spans="4:52" s="2" customFormat="1" ht="17.100000000000001" customHeight="1" x14ac:dyDescent="0.25">
      <c r="D688" s="3"/>
      <c r="E688" s="3"/>
      <c r="F688" s="4"/>
      <c r="G688" s="4"/>
      <c r="H688" s="138"/>
      <c r="I688" s="97"/>
      <c r="J688" s="6"/>
      <c r="K688" s="6"/>
      <c r="L688" s="6"/>
      <c r="M688" s="6"/>
      <c r="N688" s="6"/>
      <c r="O688" s="6"/>
      <c r="P688" s="6"/>
      <c r="Q688" s="6"/>
      <c r="R688" s="6"/>
      <c r="S688" s="6"/>
      <c r="T688" s="6"/>
      <c r="U688" s="6"/>
      <c r="V688" s="339"/>
      <c r="W688" s="339"/>
      <c r="X688" s="6"/>
      <c r="Y688" s="206"/>
      <c r="AE688" s="6"/>
      <c r="AF688" s="6"/>
      <c r="AG688" s="6"/>
      <c r="AH688" s="206"/>
      <c r="AJ688" s="213"/>
      <c r="AK688" s="6"/>
      <c r="AL688" s="6"/>
      <c r="AM688" s="6"/>
      <c r="AN688" s="206"/>
      <c r="AP688" s="213"/>
      <c r="AQ688" s="6"/>
      <c r="AR688" s="6"/>
      <c r="AS688" s="6"/>
      <c r="AT688" s="206"/>
      <c r="AV688" s="213"/>
      <c r="AW688" s="6"/>
      <c r="AX688" s="6"/>
      <c r="AY688" s="6"/>
      <c r="AZ688" s="206"/>
    </row>
    <row r="689" spans="4:52" s="2" customFormat="1" ht="17.100000000000001" customHeight="1" x14ac:dyDescent="0.25">
      <c r="D689" s="3"/>
      <c r="E689" s="3"/>
      <c r="F689" s="4"/>
      <c r="G689" s="4"/>
      <c r="H689" s="138"/>
      <c r="I689" s="97"/>
      <c r="J689" s="6"/>
      <c r="K689" s="6"/>
      <c r="L689" s="6"/>
      <c r="M689" s="6"/>
      <c r="N689" s="6"/>
      <c r="O689" s="6"/>
      <c r="P689" s="6"/>
      <c r="Q689" s="6"/>
      <c r="R689" s="6"/>
      <c r="S689" s="6"/>
      <c r="T689" s="6"/>
      <c r="U689" s="6"/>
      <c r="V689" s="339"/>
      <c r="W689" s="339"/>
      <c r="X689" s="6"/>
      <c r="Y689" s="206"/>
      <c r="AE689" s="6"/>
      <c r="AF689" s="6"/>
      <c r="AG689" s="6"/>
      <c r="AH689" s="206"/>
      <c r="AJ689" s="213"/>
      <c r="AK689" s="6"/>
      <c r="AL689" s="6"/>
      <c r="AM689" s="6"/>
      <c r="AN689" s="206"/>
      <c r="AP689" s="213"/>
      <c r="AQ689" s="6"/>
      <c r="AR689" s="6"/>
      <c r="AS689" s="6"/>
      <c r="AT689" s="206"/>
      <c r="AV689" s="213"/>
      <c r="AW689" s="6"/>
      <c r="AX689" s="6"/>
      <c r="AY689" s="6"/>
      <c r="AZ689" s="206"/>
    </row>
    <row r="690" spans="4:52" s="2" customFormat="1" ht="17.100000000000001" customHeight="1" x14ac:dyDescent="0.25">
      <c r="D690" s="3"/>
      <c r="E690" s="3"/>
      <c r="F690" s="4"/>
      <c r="G690" s="4"/>
      <c r="H690" s="138"/>
      <c r="I690" s="97"/>
      <c r="J690" s="6"/>
      <c r="K690" s="6"/>
      <c r="L690" s="6"/>
      <c r="M690" s="6"/>
      <c r="N690" s="6"/>
      <c r="O690" s="6"/>
      <c r="P690" s="6"/>
      <c r="Q690" s="6"/>
      <c r="R690" s="6"/>
      <c r="S690" s="6"/>
      <c r="T690" s="6"/>
      <c r="U690" s="6"/>
      <c r="V690" s="339"/>
      <c r="W690" s="339"/>
      <c r="X690" s="6"/>
      <c r="Y690" s="206"/>
      <c r="AE690" s="6"/>
      <c r="AF690" s="6"/>
      <c r="AG690" s="6"/>
      <c r="AH690" s="206"/>
      <c r="AJ690" s="213"/>
      <c r="AK690" s="6"/>
      <c r="AL690" s="6"/>
      <c r="AM690" s="6"/>
      <c r="AN690" s="206"/>
      <c r="AP690" s="213"/>
      <c r="AQ690" s="6"/>
      <c r="AR690" s="6"/>
      <c r="AS690" s="6"/>
      <c r="AT690" s="206"/>
      <c r="AV690" s="213"/>
      <c r="AW690" s="6"/>
      <c r="AX690" s="6"/>
      <c r="AY690" s="6"/>
      <c r="AZ690" s="206"/>
    </row>
    <row r="691" spans="4:52" s="2" customFormat="1" ht="17.100000000000001" customHeight="1" x14ac:dyDescent="0.25">
      <c r="D691" s="3"/>
      <c r="E691" s="3"/>
      <c r="F691" s="4"/>
      <c r="G691" s="4"/>
      <c r="H691" s="138"/>
      <c r="I691" s="97"/>
      <c r="J691" s="6"/>
      <c r="K691" s="6"/>
      <c r="L691" s="6"/>
      <c r="M691" s="6"/>
      <c r="N691" s="6"/>
      <c r="O691" s="6"/>
      <c r="P691" s="6"/>
      <c r="Q691" s="6"/>
      <c r="R691" s="6"/>
      <c r="S691" s="6"/>
      <c r="T691" s="6"/>
      <c r="U691" s="6"/>
      <c r="V691" s="339"/>
      <c r="W691" s="339"/>
      <c r="X691" s="6"/>
      <c r="Y691" s="206"/>
      <c r="AE691" s="6"/>
      <c r="AF691" s="6"/>
      <c r="AG691" s="6"/>
      <c r="AH691" s="206"/>
      <c r="AJ691" s="213"/>
      <c r="AK691" s="6"/>
      <c r="AL691" s="6"/>
      <c r="AM691" s="6"/>
      <c r="AN691" s="206"/>
      <c r="AP691" s="213"/>
      <c r="AQ691" s="6"/>
      <c r="AR691" s="6"/>
      <c r="AS691" s="6"/>
      <c r="AT691" s="206"/>
      <c r="AV691" s="213"/>
      <c r="AW691" s="6"/>
      <c r="AX691" s="6"/>
      <c r="AY691" s="6"/>
      <c r="AZ691" s="206"/>
    </row>
    <row r="692" spans="4:52" s="2" customFormat="1" ht="17.100000000000001" customHeight="1" x14ac:dyDescent="0.25">
      <c r="D692" s="3"/>
      <c r="E692" s="3"/>
      <c r="F692" s="4"/>
      <c r="G692" s="4"/>
      <c r="H692" s="138"/>
      <c r="I692" s="97"/>
      <c r="J692" s="6"/>
      <c r="K692" s="6"/>
      <c r="L692" s="6"/>
      <c r="M692" s="6"/>
      <c r="N692" s="6"/>
      <c r="O692" s="6"/>
      <c r="P692" s="6"/>
      <c r="Q692" s="6"/>
      <c r="R692" s="6"/>
      <c r="S692" s="6"/>
      <c r="T692" s="6"/>
      <c r="U692" s="6"/>
      <c r="V692" s="339"/>
      <c r="W692" s="339"/>
      <c r="X692" s="6"/>
      <c r="Y692" s="206"/>
      <c r="AE692" s="6"/>
      <c r="AF692" s="6"/>
      <c r="AG692" s="6"/>
      <c r="AH692" s="206"/>
      <c r="AJ692" s="213"/>
      <c r="AK692" s="6"/>
      <c r="AL692" s="6"/>
      <c r="AM692" s="6"/>
      <c r="AN692" s="206"/>
      <c r="AP692" s="213"/>
      <c r="AQ692" s="6"/>
      <c r="AR692" s="6"/>
      <c r="AS692" s="6"/>
      <c r="AT692" s="206"/>
      <c r="AV692" s="213"/>
      <c r="AW692" s="6"/>
      <c r="AX692" s="6"/>
      <c r="AY692" s="6"/>
      <c r="AZ692" s="206"/>
    </row>
    <row r="693" spans="4:52" s="2" customFormat="1" ht="17.100000000000001" customHeight="1" x14ac:dyDescent="0.25">
      <c r="D693" s="3"/>
      <c r="E693" s="3"/>
      <c r="F693" s="4"/>
      <c r="G693" s="4"/>
      <c r="H693" s="138"/>
      <c r="I693" s="97"/>
      <c r="J693" s="6"/>
      <c r="K693" s="6"/>
      <c r="L693" s="6"/>
      <c r="M693" s="6"/>
      <c r="N693" s="6"/>
      <c r="O693" s="6"/>
      <c r="P693" s="6"/>
      <c r="Q693" s="6"/>
      <c r="R693" s="6"/>
      <c r="S693" s="6"/>
      <c r="T693" s="6"/>
      <c r="U693" s="6"/>
      <c r="V693" s="339"/>
      <c r="W693" s="339"/>
      <c r="X693" s="6"/>
      <c r="Y693" s="206"/>
      <c r="AE693" s="6"/>
      <c r="AF693" s="6"/>
      <c r="AG693" s="6"/>
      <c r="AH693" s="206"/>
      <c r="AJ693" s="213"/>
      <c r="AK693" s="6"/>
      <c r="AL693" s="6"/>
      <c r="AM693" s="6"/>
      <c r="AN693" s="206"/>
      <c r="AP693" s="213"/>
      <c r="AQ693" s="6"/>
      <c r="AR693" s="6"/>
      <c r="AS693" s="6"/>
      <c r="AT693" s="206"/>
      <c r="AV693" s="213"/>
      <c r="AW693" s="6"/>
      <c r="AX693" s="6"/>
      <c r="AY693" s="6"/>
      <c r="AZ693" s="206"/>
    </row>
    <row r="694" spans="4:52" s="2" customFormat="1" ht="17.100000000000001" customHeight="1" x14ac:dyDescent="0.25">
      <c r="D694" s="3"/>
      <c r="E694" s="3"/>
      <c r="F694" s="4"/>
      <c r="G694" s="4"/>
      <c r="H694" s="138"/>
      <c r="I694" s="97"/>
      <c r="J694" s="6"/>
      <c r="K694" s="6"/>
      <c r="L694" s="6"/>
      <c r="M694" s="6"/>
      <c r="N694" s="6"/>
      <c r="O694" s="6"/>
      <c r="P694" s="6"/>
      <c r="Q694" s="6"/>
      <c r="R694" s="6"/>
      <c r="S694" s="6"/>
      <c r="T694" s="6"/>
      <c r="U694" s="6"/>
      <c r="V694" s="339"/>
      <c r="W694" s="339"/>
      <c r="X694" s="6"/>
      <c r="Y694" s="206"/>
      <c r="AE694" s="6"/>
      <c r="AF694" s="6"/>
      <c r="AG694" s="6"/>
      <c r="AH694" s="206"/>
      <c r="AJ694" s="213"/>
      <c r="AK694" s="6"/>
      <c r="AL694" s="6"/>
      <c r="AM694" s="6"/>
      <c r="AN694" s="206"/>
      <c r="AP694" s="213"/>
      <c r="AQ694" s="6"/>
      <c r="AR694" s="6"/>
      <c r="AS694" s="6"/>
      <c r="AT694" s="206"/>
      <c r="AV694" s="213"/>
      <c r="AW694" s="6"/>
      <c r="AX694" s="6"/>
      <c r="AY694" s="6"/>
      <c r="AZ694" s="206"/>
    </row>
    <row r="695" spans="4:52" s="2" customFormat="1" ht="17.100000000000001" customHeight="1" x14ac:dyDescent="0.25">
      <c r="D695" s="3"/>
      <c r="E695" s="3"/>
      <c r="F695" s="4"/>
      <c r="G695" s="4"/>
      <c r="H695" s="138"/>
      <c r="I695" s="97"/>
      <c r="J695" s="6"/>
      <c r="K695" s="6"/>
      <c r="L695" s="6"/>
      <c r="M695" s="6"/>
      <c r="N695" s="6"/>
      <c r="O695" s="6"/>
      <c r="P695" s="6"/>
      <c r="Q695" s="6"/>
      <c r="R695" s="6"/>
      <c r="S695" s="6"/>
      <c r="T695" s="6"/>
      <c r="U695" s="6"/>
      <c r="V695" s="339"/>
      <c r="W695" s="339"/>
      <c r="X695" s="6"/>
      <c r="Y695" s="206"/>
      <c r="AE695" s="6"/>
      <c r="AF695" s="6"/>
      <c r="AG695" s="6"/>
      <c r="AH695" s="206"/>
      <c r="AJ695" s="213"/>
      <c r="AK695" s="6"/>
      <c r="AL695" s="6"/>
      <c r="AM695" s="6"/>
      <c r="AN695" s="206"/>
      <c r="AP695" s="213"/>
      <c r="AQ695" s="6"/>
      <c r="AR695" s="6"/>
      <c r="AS695" s="6"/>
      <c r="AT695" s="206"/>
      <c r="AV695" s="213"/>
      <c r="AW695" s="6"/>
      <c r="AX695" s="6"/>
      <c r="AY695" s="6"/>
      <c r="AZ695" s="206"/>
    </row>
    <row r="696" spans="4:52" s="2" customFormat="1" ht="17.100000000000001" customHeight="1" x14ac:dyDescent="0.25">
      <c r="D696" s="3"/>
      <c r="E696" s="3"/>
      <c r="F696" s="4"/>
      <c r="G696" s="4"/>
      <c r="H696" s="138"/>
      <c r="I696" s="97"/>
      <c r="J696" s="6"/>
      <c r="K696" s="6"/>
      <c r="L696" s="6"/>
      <c r="M696" s="6"/>
      <c r="N696" s="6"/>
      <c r="O696" s="6"/>
      <c r="P696" s="6"/>
      <c r="Q696" s="6"/>
      <c r="R696" s="6"/>
      <c r="S696" s="6"/>
      <c r="T696" s="6"/>
      <c r="U696" s="6"/>
      <c r="V696" s="339"/>
      <c r="W696" s="339"/>
      <c r="X696" s="6"/>
      <c r="Y696" s="206"/>
      <c r="AE696" s="6"/>
      <c r="AF696" s="6"/>
      <c r="AG696" s="6"/>
      <c r="AH696" s="206"/>
      <c r="AJ696" s="213"/>
      <c r="AK696" s="6"/>
      <c r="AL696" s="6"/>
      <c r="AM696" s="6"/>
      <c r="AN696" s="206"/>
      <c r="AP696" s="213"/>
      <c r="AQ696" s="6"/>
      <c r="AR696" s="6"/>
      <c r="AS696" s="6"/>
      <c r="AT696" s="206"/>
      <c r="AV696" s="213"/>
      <c r="AW696" s="6"/>
      <c r="AX696" s="6"/>
      <c r="AY696" s="6"/>
      <c r="AZ696" s="206"/>
    </row>
    <row r="697" spans="4:52" s="2" customFormat="1" ht="17.100000000000001" customHeight="1" x14ac:dyDescent="0.25">
      <c r="D697" s="3"/>
      <c r="E697" s="3"/>
      <c r="F697" s="4"/>
      <c r="G697" s="4"/>
      <c r="H697" s="138"/>
      <c r="I697" s="97"/>
      <c r="J697" s="6"/>
      <c r="K697" s="6"/>
      <c r="L697" s="6"/>
      <c r="M697" s="6"/>
      <c r="N697" s="6"/>
      <c r="O697" s="6"/>
      <c r="P697" s="6"/>
      <c r="Q697" s="6"/>
      <c r="R697" s="6"/>
      <c r="S697" s="6"/>
      <c r="T697" s="6"/>
      <c r="U697" s="6"/>
      <c r="V697" s="339"/>
      <c r="W697" s="339"/>
      <c r="X697" s="6"/>
      <c r="Y697" s="206"/>
      <c r="AE697" s="6"/>
      <c r="AF697" s="6"/>
      <c r="AG697" s="6"/>
      <c r="AH697" s="206"/>
      <c r="AJ697" s="213"/>
      <c r="AK697" s="6"/>
      <c r="AL697" s="6"/>
      <c r="AM697" s="6"/>
      <c r="AN697" s="206"/>
      <c r="AP697" s="213"/>
      <c r="AQ697" s="6"/>
      <c r="AR697" s="6"/>
      <c r="AS697" s="6"/>
      <c r="AT697" s="206"/>
      <c r="AV697" s="213"/>
      <c r="AW697" s="6"/>
      <c r="AX697" s="6"/>
      <c r="AY697" s="6"/>
      <c r="AZ697" s="206"/>
    </row>
    <row r="698" spans="4:52" s="2" customFormat="1" ht="17.100000000000001" customHeight="1" x14ac:dyDescent="0.25">
      <c r="D698" s="3"/>
      <c r="E698" s="3"/>
      <c r="F698" s="4"/>
      <c r="G698" s="4"/>
      <c r="H698" s="138"/>
      <c r="I698" s="97"/>
      <c r="J698" s="6"/>
      <c r="K698" s="6"/>
      <c r="L698" s="6"/>
      <c r="M698" s="6"/>
      <c r="N698" s="6"/>
      <c r="O698" s="6"/>
      <c r="P698" s="6"/>
      <c r="Q698" s="6"/>
      <c r="R698" s="6"/>
      <c r="S698" s="6"/>
      <c r="T698" s="6"/>
      <c r="U698" s="6"/>
      <c r="V698" s="339"/>
      <c r="W698" s="339"/>
      <c r="X698" s="6"/>
      <c r="Y698" s="206"/>
      <c r="AE698" s="6"/>
      <c r="AF698" s="6"/>
      <c r="AG698" s="6"/>
      <c r="AH698" s="206"/>
      <c r="AJ698" s="213"/>
      <c r="AK698" s="6"/>
      <c r="AL698" s="6"/>
      <c r="AM698" s="6"/>
      <c r="AN698" s="206"/>
      <c r="AP698" s="213"/>
      <c r="AQ698" s="6"/>
      <c r="AR698" s="6"/>
      <c r="AS698" s="6"/>
      <c r="AT698" s="206"/>
      <c r="AV698" s="213"/>
      <c r="AW698" s="6"/>
      <c r="AX698" s="6"/>
      <c r="AY698" s="6"/>
      <c r="AZ698" s="206"/>
    </row>
    <row r="699" spans="4:52" s="2" customFormat="1" ht="17.100000000000001" customHeight="1" x14ac:dyDescent="0.25">
      <c r="D699" s="3"/>
      <c r="E699" s="3"/>
      <c r="F699" s="4"/>
      <c r="G699" s="4"/>
      <c r="H699" s="138"/>
      <c r="I699" s="97"/>
      <c r="J699" s="6"/>
      <c r="K699" s="6"/>
      <c r="L699" s="6"/>
      <c r="M699" s="6"/>
      <c r="N699" s="6"/>
      <c r="O699" s="6"/>
      <c r="P699" s="6"/>
      <c r="Q699" s="6"/>
      <c r="R699" s="6"/>
      <c r="S699" s="6"/>
      <c r="T699" s="6"/>
      <c r="U699" s="6"/>
      <c r="V699" s="339"/>
      <c r="W699" s="339"/>
      <c r="X699" s="6"/>
      <c r="Y699" s="206"/>
      <c r="AE699" s="6"/>
      <c r="AF699" s="6"/>
      <c r="AG699" s="6"/>
      <c r="AH699" s="206"/>
      <c r="AJ699" s="213"/>
      <c r="AK699" s="6"/>
      <c r="AL699" s="6"/>
      <c r="AM699" s="6"/>
      <c r="AN699" s="206"/>
      <c r="AP699" s="213"/>
      <c r="AQ699" s="6"/>
      <c r="AR699" s="6"/>
      <c r="AS699" s="6"/>
      <c r="AT699" s="206"/>
      <c r="AV699" s="213"/>
      <c r="AW699" s="6"/>
      <c r="AX699" s="6"/>
      <c r="AY699" s="6"/>
      <c r="AZ699" s="206"/>
    </row>
    <row r="700" spans="4:52" s="2" customFormat="1" ht="17.100000000000001" customHeight="1" x14ac:dyDescent="0.25">
      <c r="D700" s="3"/>
      <c r="E700" s="3"/>
      <c r="F700" s="4"/>
      <c r="G700" s="4"/>
      <c r="H700" s="138"/>
      <c r="I700" s="97"/>
      <c r="J700" s="6"/>
      <c r="K700" s="6"/>
      <c r="L700" s="6"/>
      <c r="M700" s="6"/>
      <c r="N700" s="6"/>
      <c r="O700" s="6"/>
      <c r="P700" s="6"/>
      <c r="Q700" s="6"/>
      <c r="R700" s="6"/>
      <c r="S700" s="6"/>
      <c r="T700" s="6"/>
      <c r="U700" s="6"/>
      <c r="V700" s="339"/>
      <c r="W700" s="339"/>
      <c r="X700" s="6"/>
      <c r="Y700" s="206"/>
      <c r="AE700" s="6"/>
      <c r="AF700" s="6"/>
      <c r="AG700" s="6"/>
      <c r="AH700" s="206"/>
      <c r="AJ700" s="213"/>
      <c r="AK700" s="6"/>
      <c r="AL700" s="6"/>
      <c r="AM700" s="6"/>
      <c r="AN700" s="206"/>
      <c r="AP700" s="213"/>
      <c r="AQ700" s="6"/>
      <c r="AR700" s="6"/>
      <c r="AS700" s="6"/>
      <c r="AT700" s="206"/>
      <c r="AV700" s="213"/>
      <c r="AW700" s="6"/>
      <c r="AX700" s="6"/>
      <c r="AY700" s="6"/>
      <c r="AZ700" s="206"/>
    </row>
    <row r="701" spans="4:52" s="2" customFormat="1" ht="17.100000000000001" customHeight="1" x14ac:dyDescent="0.25">
      <c r="D701" s="3"/>
      <c r="E701" s="3"/>
      <c r="F701" s="4"/>
      <c r="G701" s="4"/>
      <c r="H701" s="138"/>
      <c r="I701" s="97"/>
      <c r="J701" s="6"/>
      <c r="K701" s="6"/>
      <c r="L701" s="6"/>
      <c r="M701" s="6"/>
      <c r="N701" s="6"/>
      <c r="O701" s="6"/>
      <c r="P701" s="6"/>
      <c r="Q701" s="6"/>
      <c r="R701" s="6"/>
      <c r="S701" s="6"/>
      <c r="T701" s="6"/>
      <c r="U701" s="6"/>
      <c r="V701" s="339"/>
      <c r="W701" s="339"/>
      <c r="X701" s="6"/>
      <c r="Y701" s="206"/>
      <c r="AE701" s="6"/>
      <c r="AF701" s="6"/>
      <c r="AG701" s="6"/>
      <c r="AH701" s="206"/>
      <c r="AJ701" s="213"/>
      <c r="AK701" s="6"/>
      <c r="AL701" s="6"/>
      <c r="AM701" s="6"/>
      <c r="AN701" s="206"/>
      <c r="AP701" s="213"/>
      <c r="AQ701" s="6"/>
      <c r="AR701" s="6"/>
      <c r="AS701" s="6"/>
      <c r="AT701" s="206"/>
      <c r="AV701" s="213"/>
      <c r="AW701" s="6"/>
      <c r="AX701" s="6"/>
      <c r="AY701" s="6"/>
      <c r="AZ701" s="206"/>
    </row>
    <row r="702" spans="4:52" s="2" customFormat="1" ht="17.100000000000001" customHeight="1" x14ac:dyDescent="0.25">
      <c r="D702" s="3"/>
      <c r="E702" s="3"/>
      <c r="F702" s="4"/>
      <c r="G702" s="4"/>
      <c r="H702" s="138"/>
      <c r="I702" s="97"/>
      <c r="J702" s="6"/>
      <c r="K702" s="6"/>
      <c r="L702" s="6"/>
      <c r="M702" s="6"/>
      <c r="N702" s="6"/>
      <c r="O702" s="6"/>
      <c r="P702" s="6"/>
      <c r="Q702" s="6"/>
      <c r="R702" s="6"/>
      <c r="S702" s="6"/>
      <c r="T702" s="6"/>
      <c r="U702" s="6"/>
      <c r="V702" s="339"/>
      <c r="W702" s="339"/>
      <c r="X702" s="6"/>
      <c r="Y702" s="206"/>
      <c r="AE702" s="6"/>
      <c r="AF702" s="6"/>
      <c r="AG702" s="6"/>
      <c r="AH702" s="206"/>
      <c r="AJ702" s="213"/>
      <c r="AK702" s="6"/>
      <c r="AL702" s="6"/>
      <c r="AM702" s="6"/>
      <c r="AN702" s="206"/>
      <c r="AP702" s="213"/>
      <c r="AQ702" s="6"/>
      <c r="AR702" s="6"/>
      <c r="AS702" s="6"/>
      <c r="AT702" s="206"/>
      <c r="AV702" s="213"/>
      <c r="AW702" s="6"/>
      <c r="AX702" s="6"/>
      <c r="AY702" s="6"/>
      <c r="AZ702" s="206"/>
    </row>
    <row r="703" spans="4:52" s="2" customFormat="1" ht="17.100000000000001" customHeight="1" x14ac:dyDescent="0.25">
      <c r="D703" s="3"/>
      <c r="E703" s="3"/>
      <c r="F703" s="4"/>
      <c r="G703" s="4"/>
      <c r="H703" s="138"/>
      <c r="I703" s="97"/>
      <c r="J703" s="6"/>
      <c r="K703" s="6"/>
      <c r="L703" s="6"/>
      <c r="M703" s="6"/>
      <c r="N703" s="6"/>
      <c r="O703" s="6"/>
      <c r="P703" s="6"/>
      <c r="Q703" s="6"/>
      <c r="R703" s="6"/>
      <c r="S703" s="6"/>
      <c r="T703" s="6"/>
      <c r="U703" s="6"/>
      <c r="V703" s="339"/>
      <c r="W703" s="339"/>
      <c r="X703" s="6"/>
      <c r="Y703" s="206"/>
      <c r="AE703" s="6"/>
      <c r="AF703" s="6"/>
      <c r="AG703" s="6"/>
      <c r="AH703" s="206"/>
      <c r="AJ703" s="213"/>
      <c r="AK703" s="6"/>
      <c r="AL703" s="6"/>
      <c r="AM703" s="6"/>
      <c r="AN703" s="206"/>
      <c r="AP703" s="213"/>
      <c r="AQ703" s="6"/>
      <c r="AR703" s="6"/>
      <c r="AS703" s="6"/>
      <c r="AT703" s="206"/>
      <c r="AV703" s="213"/>
      <c r="AW703" s="6"/>
      <c r="AX703" s="6"/>
      <c r="AY703" s="6"/>
      <c r="AZ703" s="206"/>
    </row>
    <row r="704" spans="4:52" s="2" customFormat="1" ht="17.100000000000001" customHeight="1" x14ac:dyDescent="0.25">
      <c r="D704" s="3"/>
      <c r="E704" s="3"/>
      <c r="F704" s="4"/>
      <c r="G704" s="4"/>
      <c r="H704" s="138"/>
      <c r="I704" s="97"/>
      <c r="J704" s="6"/>
      <c r="K704" s="6"/>
      <c r="L704" s="6"/>
      <c r="M704" s="6"/>
      <c r="N704" s="6"/>
      <c r="O704" s="6"/>
      <c r="P704" s="6"/>
      <c r="Q704" s="6"/>
      <c r="R704" s="6"/>
      <c r="S704" s="6"/>
      <c r="T704" s="6"/>
      <c r="U704" s="6"/>
      <c r="V704" s="339"/>
      <c r="W704" s="339"/>
      <c r="X704" s="6"/>
      <c r="Y704" s="206"/>
      <c r="AE704" s="6"/>
      <c r="AF704" s="6"/>
      <c r="AG704" s="6"/>
      <c r="AH704" s="206"/>
      <c r="AJ704" s="213"/>
      <c r="AK704" s="6"/>
      <c r="AL704" s="6"/>
      <c r="AM704" s="6"/>
      <c r="AN704" s="206"/>
      <c r="AP704" s="213"/>
      <c r="AQ704" s="6"/>
      <c r="AR704" s="6"/>
      <c r="AS704" s="6"/>
      <c r="AT704" s="206"/>
      <c r="AV704" s="213"/>
      <c r="AW704" s="6"/>
      <c r="AX704" s="6"/>
      <c r="AY704" s="6"/>
      <c r="AZ704" s="206"/>
    </row>
    <row r="705" spans="4:52" s="2" customFormat="1" ht="17.100000000000001" customHeight="1" x14ac:dyDescent="0.25">
      <c r="D705" s="3"/>
      <c r="E705" s="3"/>
      <c r="F705" s="4"/>
      <c r="G705" s="4"/>
      <c r="H705" s="138"/>
      <c r="I705" s="97"/>
      <c r="J705" s="6"/>
      <c r="K705" s="6"/>
      <c r="L705" s="6"/>
      <c r="M705" s="6"/>
      <c r="N705" s="6"/>
      <c r="O705" s="6"/>
      <c r="P705" s="6"/>
      <c r="Q705" s="6"/>
      <c r="R705" s="6"/>
      <c r="S705" s="6"/>
      <c r="T705" s="6"/>
      <c r="U705" s="6"/>
      <c r="V705" s="339"/>
      <c r="W705" s="339"/>
      <c r="X705" s="6"/>
      <c r="Y705" s="206"/>
      <c r="AE705" s="6"/>
      <c r="AF705" s="6"/>
      <c r="AG705" s="6"/>
      <c r="AH705" s="206"/>
      <c r="AJ705" s="213"/>
      <c r="AK705" s="6"/>
      <c r="AL705" s="6"/>
      <c r="AM705" s="6"/>
      <c r="AN705" s="206"/>
      <c r="AP705" s="213"/>
      <c r="AQ705" s="6"/>
      <c r="AR705" s="6"/>
      <c r="AS705" s="6"/>
      <c r="AT705" s="206"/>
      <c r="AV705" s="213"/>
      <c r="AW705" s="6"/>
      <c r="AX705" s="6"/>
      <c r="AY705" s="6"/>
      <c r="AZ705" s="206"/>
    </row>
    <row r="706" spans="4:52" s="2" customFormat="1" ht="17.100000000000001" customHeight="1" x14ac:dyDescent="0.25">
      <c r="D706" s="3"/>
      <c r="E706" s="3"/>
      <c r="F706" s="4"/>
      <c r="G706" s="4"/>
      <c r="H706" s="138"/>
      <c r="I706" s="97"/>
      <c r="J706" s="6"/>
      <c r="K706" s="6"/>
      <c r="L706" s="6"/>
      <c r="M706" s="6"/>
      <c r="N706" s="6"/>
      <c r="O706" s="6"/>
      <c r="P706" s="6"/>
      <c r="Q706" s="6"/>
      <c r="R706" s="6"/>
      <c r="S706" s="6"/>
      <c r="T706" s="6"/>
      <c r="U706" s="6"/>
      <c r="V706" s="339"/>
      <c r="W706" s="339"/>
      <c r="X706" s="6"/>
      <c r="Y706" s="206"/>
      <c r="AE706" s="6"/>
      <c r="AF706" s="6"/>
      <c r="AG706" s="6"/>
      <c r="AH706" s="206"/>
      <c r="AJ706" s="213"/>
      <c r="AK706" s="6"/>
      <c r="AL706" s="6"/>
      <c r="AM706" s="6"/>
      <c r="AN706" s="206"/>
      <c r="AP706" s="213"/>
      <c r="AQ706" s="6"/>
      <c r="AR706" s="6"/>
      <c r="AS706" s="6"/>
      <c r="AT706" s="206"/>
      <c r="AV706" s="213"/>
      <c r="AW706" s="6"/>
      <c r="AX706" s="6"/>
      <c r="AY706" s="6"/>
      <c r="AZ706" s="206"/>
    </row>
    <row r="707" spans="4:52" s="2" customFormat="1" ht="17.100000000000001" customHeight="1" x14ac:dyDescent="0.25">
      <c r="D707" s="3"/>
      <c r="E707" s="3"/>
      <c r="F707" s="4"/>
      <c r="G707" s="4"/>
      <c r="H707" s="138"/>
      <c r="I707" s="97"/>
      <c r="J707" s="6"/>
      <c r="K707" s="6"/>
      <c r="L707" s="6"/>
      <c r="M707" s="6"/>
      <c r="N707" s="6"/>
      <c r="O707" s="6"/>
      <c r="P707" s="6"/>
      <c r="Q707" s="6"/>
      <c r="R707" s="6"/>
      <c r="S707" s="6"/>
      <c r="T707" s="6"/>
      <c r="U707" s="6"/>
      <c r="V707" s="339"/>
      <c r="W707" s="339"/>
      <c r="X707" s="6"/>
      <c r="Y707" s="206"/>
      <c r="AE707" s="6"/>
      <c r="AF707" s="6"/>
      <c r="AG707" s="6"/>
      <c r="AH707" s="206"/>
      <c r="AJ707" s="213"/>
      <c r="AK707" s="6"/>
      <c r="AL707" s="6"/>
      <c r="AM707" s="6"/>
      <c r="AN707" s="206"/>
      <c r="AP707" s="213"/>
      <c r="AQ707" s="6"/>
      <c r="AR707" s="6"/>
      <c r="AS707" s="6"/>
      <c r="AT707" s="206"/>
      <c r="AV707" s="213"/>
      <c r="AW707" s="6"/>
      <c r="AX707" s="6"/>
      <c r="AY707" s="6"/>
      <c r="AZ707" s="206"/>
    </row>
    <row r="708" spans="4:52" s="2" customFormat="1" ht="17.100000000000001" customHeight="1" x14ac:dyDescent="0.25">
      <c r="D708" s="3"/>
      <c r="E708" s="3"/>
      <c r="F708" s="4"/>
      <c r="G708" s="4"/>
      <c r="H708" s="138"/>
      <c r="I708" s="97"/>
      <c r="J708" s="6"/>
      <c r="K708" s="6"/>
      <c r="L708" s="6"/>
      <c r="M708" s="6"/>
      <c r="N708" s="6"/>
      <c r="O708" s="6"/>
      <c r="P708" s="6"/>
      <c r="Q708" s="6"/>
      <c r="R708" s="6"/>
      <c r="S708" s="6"/>
      <c r="T708" s="6"/>
      <c r="U708" s="6"/>
      <c r="V708" s="339"/>
      <c r="W708" s="339"/>
      <c r="X708" s="6"/>
      <c r="Y708" s="206"/>
      <c r="AE708" s="6"/>
      <c r="AF708" s="6"/>
      <c r="AG708" s="6"/>
      <c r="AH708" s="206"/>
      <c r="AJ708" s="213"/>
      <c r="AK708" s="6"/>
      <c r="AL708" s="6"/>
      <c r="AM708" s="6"/>
      <c r="AN708" s="206"/>
      <c r="AP708" s="213"/>
      <c r="AQ708" s="6"/>
      <c r="AR708" s="6"/>
      <c r="AS708" s="6"/>
      <c r="AT708" s="206"/>
      <c r="AV708" s="213"/>
      <c r="AW708" s="6"/>
      <c r="AX708" s="6"/>
      <c r="AY708" s="6"/>
      <c r="AZ708" s="206"/>
    </row>
    <row r="709" spans="4:52" s="2" customFormat="1" ht="17.100000000000001" customHeight="1" x14ac:dyDescent="0.25">
      <c r="D709" s="3"/>
      <c r="E709" s="3"/>
      <c r="F709" s="4"/>
      <c r="G709" s="4"/>
      <c r="H709" s="138"/>
      <c r="I709" s="97"/>
      <c r="J709" s="6"/>
      <c r="K709" s="6"/>
      <c r="L709" s="6"/>
      <c r="M709" s="6"/>
      <c r="N709" s="6"/>
      <c r="O709" s="6"/>
      <c r="P709" s="6"/>
      <c r="Q709" s="6"/>
      <c r="R709" s="6"/>
      <c r="S709" s="6"/>
      <c r="T709" s="6"/>
      <c r="U709" s="6"/>
      <c r="V709" s="339"/>
      <c r="W709" s="339"/>
      <c r="X709" s="6"/>
      <c r="Y709" s="206"/>
      <c r="AE709" s="6"/>
      <c r="AF709" s="6"/>
      <c r="AG709" s="6"/>
      <c r="AH709" s="206"/>
      <c r="AJ709" s="213"/>
      <c r="AK709" s="6"/>
      <c r="AL709" s="6"/>
      <c r="AM709" s="6"/>
      <c r="AN709" s="206"/>
      <c r="AP709" s="213"/>
      <c r="AQ709" s="6"/>
      <c r="AR709" s="6"/>
      <c r="AS709" s="6"/>
      <c r="AT709" s="206"/>
      <c r="AV709" s="213"/>
      <c r="AW709" s="6"/>
      <c r="AX709" s="6"/>
      <c r="AY709" s="6"/>
      <c r="AZ709" s="206"/>
    </row>
    <row r="710" spans="4:52" s="2" customFormat="1" ht="17.100000000000001" customHeight="1" x14ac:dyDescent="0.25">
      <c r="D710" s="3"/>
      <c r="E710" s="3"/>
      <c r="F710" s="4"/>
      <c r="G710" s="4"/>
      <c r="H710" s="138"/>
      <c r="I710" s="97"/>
      <c r="J710" s="6"/>
      <c r="K710" s="6"/>
      <c r="L710" s="6"/>
      <c r="M710" s="6"/>
      <c r="N710" s="6"/>
      <c r="O710" s="6"/>
      <c r="P710" s="6"/>
      <c r="Q710" s="6"/>
      <c r="R710" s="6"/>
      <c r="S710" s="6"/>
      <c r="T710" s="6"/>
      <c r="U710" s="6"/>
      <c r="V710" s="339"/>
      <c r="W710" s="339"/>
      <c r="X710" s="6"/>
      <c r="Y710" s="206"/>
      <c r="AE710" s="6"/>
      <c r="AF710" s="6"/>
      <c r="AG710" s="6"/>
      <c r="AH710" s="206"/>
      <c r="AJ710" s="213"/>
      <c r="AK710" s="6"/>
      <c r="AL710" s="6"/>
      <c r="AM710" s="6"/>
      <c r="AN710" s="206"/>
      <c r="AP710" s="213"/>
      <c r="AQ710" s="6"/>
      <c r="AR710" s="6"/>
      <c r="AS710" s="6"/>
      <c r="AT710" s="206"/>
      <c r="AV710" s="213"/>
      <c r="AW710" s="6"/>
      <c r="AX710" s="6"/>
      <c r="AY710" s="6"/>
      <c r="AZ710" s="206"/>
    </row>
    <row r="711" spans="4:52" s="2" customFormat="1" ht="17.100000000000001" customHeight="1" x14ac:dyDescent="0.25">
      <c r="D711" s="3"/>
      <c r="E711" s="3"/>
      <c r="F711" s="4"/>
      <c r="G711" s="4"/>
      <c r="H711" s="138"/>
      <c r="I711" s="97"/>
      <c r="J711" s="6"/>
      <c r="K711" s="6"/>
      <c r="L711" s="6"/>
      <c r="M711" s="6"/>
      <c r="N711" s="6"/>
      <c r="O711" s="6"/>
      <c r="P711" s="6"/>
      <c r="Q711" s="6"/>
      <c r="R711" s="6"/>
      <c r="S711" s="6"/>
      <c r="T711" s="6"/>
      <c r="U711" s="6"/>
      <c r="V711" s="339"/>
      <c r="W711" s="339"/>
      <c r="X711" s="6"/>
      <c r="Y711" s="206"/>
      <c r="AE711" s="6"/>
      <c r="AF711" s="6"/>
      <c r="AG711" s="6"/>
      <c r="AH711" s="206"/>
      <c r="AJ711" s="213"/>
      <c r="AK711" s="6"/>
      <c r="AL711" s="6"/>
      <c r="AM711" s="6"/>
      <c r="AN711" s="206"/>
      <c r="AP711" s="213"/>
      <c r="AQ711" s="6"/>
      <c r="AR711" s="6"/>
      <c r="AS711" s="6"/>
      <c r="AT711" s="206"/>
      <c r="AV711" s="213"/>
      <c r="AW711" s="6"/>
      <c r="AX711" s="6"/>
      <c r="AY711" s="6"/>
      <c r="AZ711" s="206"/>
    </row>
    <row r="712" spans="4:52" s="2" customFormat="1" ht="17.100000000000001" customHeight="1" x14ac:dyDescent="0.25">
      <c r="D712" s="3"/>
      <c r="E712" s="3"/>
      <c r="F712" s="4"/>
      <c r="G712" s="4"/>
      <c r="H712" s="138"/>
      <c r="I712" s="97"/>
      <c r="J712" s="6"/>
      <c r="K712" s="6"/>
      <c r="L712" s="6"/>
      <c r="M712" s="6"/>
      <c r="N712" s="6"/>
      <c r="O712" s="6"/>
      <c r="P712" s="6"/>
      <c r="Q712" s="6"/>
      <c r="R712" s="6"/>
      <c r="S712" s="6"/>
      <c r="T712" s="6"/>
      <c r="U712" s="6"/>
      <c r="V712" s="339"/>
      <c r="W712" s="339"/>
      <c r="X712" s="6"/>
      <c r="Y712" s="206"/>
      <c r="AE712" s="6"/>
      <c r="AF712" s="6"/>
      <c r="AG712" s="6"/>
      <c r="AH712" s="206"/>
      <c r="AJ712" s="213"/>
      <c r="AK712" s="6"/>
      <c r="AL712" s="6"/>
      <c r="AM712" s="6"/>
      <c r="AN712" s="206"/>
      <c r="AP712" s="213"/>
      <c r="AQ712" s="6"/>
      <c r="AR712" s="6"/>
      <c r="AS712" s="6"/>
      <c r="AT712" s="206"/>
      <c r="AV712" s="213"/>
      <c r="AW712" s="6"/>
      <c r="AX712" s="6"/>
      <c r="AY712" s="6"/>
      <c r="AZ712" s="206"/>
    </row>
    <row r="713" spans="4:52" s="2" customFormat="1" ht="17.100000000000001" customHeight="1" x14ac:dyDescent="0.25">
      <c r="D713" s="3"/>
      <c r="E713" s="3"/>
      <c r="F713" s="4"/>
      <c r="G713" s="4"/>
      <c r="H713" s="138"/>
      <c r="I713" s="97"/>
      <c r="J713" s="6"/>
      <c r="K713" s="6"/>
      <c r="L713" s="6"/>
      <c r="M713" s="6"/>
      <c r="N713" s="6"/>
      <c r="O713" s="6"/>
      <c r="P713" s="6"/>
      <c r="Q713" s="6"/>
      <c r="R713" s="6"/>
      <c r="S713" s="6"/>
      <c r="T713" s="6"/>
      <c r="U713" s="6"/>
      <c r="V713" s="339"/>
      <c r="W713" s="339"/>
      <c r="X713" s="6"/>
      <c r="Y713" s="206"/>
      <c r="AE713" s="6"/>
      <c r="AF713" s="6"/>
      <c r="AG713" s="6"/>
      <c r="AH713" s="206"/>
      <c r="AJ713" s="213"/>
      <c r="AK713" s="6"/>
      <c r="AL713" s="6"/>
      <c r="AM713" s="6"/>
      <c r="AN713" s="206"/>
      <c r="AP713" s="213"/>
      <c r="AQ713" s="6"/>
      <c r="AR713" s="6"/>
      <c r="AS713" s="6"/>
      <c r="AT713" s="206"/>
      <c r="AV713" s="213"/>
      <c r="AW713" s="6"/>
      <c r="AX713" s="6"/>
      <c r="AY713" s="6"/>
      <c r="AZ713" s="206"/>
    </row>
    <row r="714" spans="4:52" s="2" customFormat="1" ht="17.100000000000001" customHeight="1" x14ac:dyDescent="0.25">
      <c r="D714" s="3"/>
      <c r="E714" s="3"/>
      <c r="F714" s="4"/>
      <c r="G714" s="4"/>
      <c r="H714" s="138"/>
      <c r="I714" s="97"/>
      <c r="J714" s="6"/>
      <c r="K714" s="6"/>
      <c r="L714" s="6"/>
      <c r="M714" s="6"/>
      <c r="N714" s="6"/>
      <c r="O714" s="6"/>
      <c r="P714" s="6"/>
      <c r="Q714" s="6"/>
      <c r="R714" s="6"/>
      <c r="S714" s="6"/>
      <c r="T714" s="6"/>
      <c r="U714" s="6"/>
      <c r="V714" s="339"/>
      <c r="W714" s="339"/>
      <c r="X714" s="6"/>
      <c r="Y714" s="206"/>
      <c r="AE714" s="6"/>
      <c r="AF714" s="6"/>
      <c r="AG714" s="6"/>
      <c r="AH714" s="206"/>
      <c r="AJ714" s="213"/>
      <c r="AK714" s="6"/>
      <c r="AL714" s="6"/>
      <c r="AM714" s="6"/>
      <c r="AN714" s="206"/>
      <c r="AP714" s="213"/>
      <c r="AQ714" s="6"/>
      <c r="AR714" s="6"/>
      <c r="AS714" s="6"/>
      <c r="AT714" s="206"/>
      <c r="AV714" s="213"/>
      <c r="AW714" s="6"/>
      <c r="AX714" s="6"/>
      <c r="AY714" s="6"/>
      <c r="AZ714" s="206"/>
    </row>
    <row r="715" spans="4:52" s="2" customFormat="1" ht="17.100000000000001" customHeight="1" x14ac:dyDescent="0.25">
      <c r="D715" s="3"/>
      <c r="E715" s="3"/>
      <c r="F715" s="4"/>
      <c r="G715" s="4"/>
      <c r="H715" s="138"/>
      <c r="I715" s="97"/>
      <c r="J715" s="6"/>
      <c r="K715" s="6"/>
      <c r="L715" s="6"/>
      <c r="M715" s="6"/>
      <c r="N715" s="6"/>
      <c r="O715" s="6"/>
      <c r="P715" s="6"/>
      <c r="Q715" s="6"/>
      <c r="R715" s="6"/>
      <c r="S715" s="6"/>
      <c r="T715" s="6"/>
      <c r="U715" s="6"/>
      <c r="V715" s="339"/>
      <c r="W715" s="339"/>
      <c r="X715" s="6"/>
      <c r="Y715" s="206"/>
      <c r="AE715" s="6"/>
      <c r="AF715" s="6"/>
      <c r="AG715" s="6"/>
      <c r="AH715" s="206"/>
      <c r="AJ715" s="213"/>
      <c r="AK715" s="6"/>
      <c r="AL715" s="6"/>
      <c r="AM715" s="6"/>
      <c r="AN715" s="206"/>
      <c r="AP715" s="213"/>
      <c r="AQ715" s="6"/>
      <c r="AR715" s="6"/>
      <c r="AS715" s="6"/>
      <c r="AT715" s="206"/>
      <c r="AV715" s="213"/>
      <c r="AW715" s="6"/>
      <c r="AX715" s="6"/>
      <c r="AY715" s="6"/>
      <c r="AZ715" s="206"/>
    </row>
    <row r="716" spans="4:52" s="2" customFormat="1" ht="17.100000000000001" customHeight="1" x14ac:dyDescent="0.25">
      <c r="D716" s="3"/>
      <c r="E716" s="3"/>
      <c r="F716" s="4"/>
      <c r="G716" s="4"/>
      <c r="H716" s="138"/>
      <c r="I716" s="97"/>
      <c r="J716" s="6"/>
      <c r="K716" s="6"/>
      <c r="L716" s="6"/>
      <c r="M716" s="6"/>
      <c r="N716" s="6"/>
      <c r="O716" s="6"/>
      <c r="P716" s="6"/>
      <c r="Q716" s="6"/>
      <c r="R716" s="6"/>
      <c r="S716" s="6"/>
      <c r="T716" s="6"/>
      <c r="U716" s="6"/>
      <c r="V716" s="339"/>
      <c r="W716" s="339"/>
      <c r="X716" s="6"/>
      <c r="Y716" s="206"/>
      <c r="AE716" s="6"/>
      <c r="AF716" s="6"/>
      <c r="AG716" s="6"/>
      <c r="AH716" s="206"/>
      <c r="AJ716" s="213"/>
      <c r="AK716" s="6"/>
      <c r="AL716" s="6"/>
      <c r="AM716" s="6"/>
      <c r="AN716" s="206"/>
      <c r="AP716" s="213"/>
      <c r="AQ716" s="6"/>
      <c r="AR716" s="6"/>
      <c r="AS716" s="6"/>
      <c r="AT716" s="206"/>
      <c r="AV716" s="213"/>
      <c r="AW716" s="6"/>
      <c r="AX716" s="6"/>
      <c r="AY716" s="6"/>
      <c r="AZ716" s="206"/>
    </row>
    <row r="717" spans="4:52" s="2" customFormat="1" ht="17.100000000000001" customHeight="1" x14ac:dyDescent="0.25">
      <c r="D717" s="3"/>
      <c r="E717" s="3"/>
      <c r="F717" s="4"/>
      <c r="G717" s="4"/>
      <c r="H717" s="138"/>
      <c r="I717" s="97"/>
      <c r="J717" s="6"/>
      <c r="K717" s="6"/>
      <c r="L717" s="6"/>
      <c r="M717" s="6"/>
      <c r="N717" s="6"/>
      <c r="O717" s="6"/>
      <c r="P717" s="6"/>
      <c r="Q717" s="6"/>
      <c r="R717" s="6"/>
      <c r="S717" s="6"/>
      <c r="T717" s="6"/>
      <c r="U717" s="6"/>
      <c r="V717" s="339"/>
      <c r="W717" s="339"/>
      <c r="X717" s="6"/>
      <c r="Y717" s="206"/>
      <c r="AE717" s="6"/>
      <c r="AF717" s="6"/>
      <c r="AG717" s="6"/>
      <c r="AH717" s="206"/>
      <c r="AJ717" s="213"/>
      <c r="AK717" s="6"/>
      <c r="AL717" s="6"/>
      <c r="AM717" s="6"/>
      <c r="AN717" s="206"/>
      <c r="AP717" s="213"/>
      <c r="AQ717" s="6"/>
      <c r="AR717" s="6"/>
      <c r="AS717" s="6"/>
      <c r="AT717" s="206"/>
      <c r="AV717" s="213"/>
      <c r="AW717" s="6"/>
      <c r="AX717" s="6"/>
      <c r="AY717" s="6"/>
      <c r="AZ717" s="206"/>
    </row>
    <row r="718" spans="4:52" s="2" customFormat="1" ht="17.100000000000001" customHeight="1" x14ac:dyDescent="0.25">
      <c r="D718" s="3"/>
      <c r="E718" s="3"/>
      <c r="F718" s="4"/>
      <c r="G718" s="4"/>
      <c r="H718" s="138"/>
      <c r="I718" s="97"/>
      <c r="J718" s="6"/>
      <c r="K718" s="6"/>
      <c r="L718" s="6"/>
      <c r="M718" s="6"/>
      <c r="N718" s="6"/>
      <c r="O718" s="6"/>
      <c r="P718" s="6"/>
      <c r="Q718" s="6"/>
      <c r="R718" s="6"/>
      <c r="S718" s="6"/>
      <c r="T718" s="6"/>
      <c r="U718" s="6"/>
      <c r="V718" s="339"/>
      <c r="W718" s="339"/>
      <c r="X718" s="6"/>
      <c r="Y718" s="206"/>
      <c r="AE718" s="6"/>
      <c r="AF718" s="6"/>
      <c r="AG718" s="6"/>
      <c r="AH718" s="206"/>
      <c r="AJ718" s="213"/>
      <c r="AK718" s="6"/>
      <c r="AL718" s="6"/>
      <c r="AM718" s="6"/>
      <c r="AN718" s="206"/>
      <c r="AP718" s="213"/>
      <c r="AQ718" s="6"/>
      <c r="AR718" s="6"/>
      <c r="AS718" s="6"/>
      <c r="AT718" s="206"/>
      <c r="AV718" s="213"/>
      <c r="AW718" s="6"/>
      <c r="AX718" s="6"/>
      <c r="AY718" s="6"/>
      <c r="AZ718" s="206"/>
    </row>
    <row r="719" spans="4:52" s="2" customFormat="1" ht="17.100000000000001" customHeight="1" x14ac:dyDescent="0.25">
      <c r="D719" s="3"/>
      <c r="E719" s="3"/>
      <c r="F719" s="4"/>
      <c r="G719" s="4"/>
      <c r="H719" s="138"/>
      <c r="I719" s="97"/>
      <c r="J719" s="6"/>
      <c r="K719" s="6"/>
      <c r="L719" s="6"/>
      <c r="M719" s="6"/>
      <c r="N719" s="6"/>
      <c r="O719" s="6"/>
      <c r="P719" s="6"/>
      <c r="Q719" s="6"/>
      <c r="R719" s="6"/>
      <c r="S719" s="6"/>
      <c r="T719" s="6"/>
      <c r="U719" s="6"/>
      <c r="V719" s="339"/>
      <c r="W719" s="339"/>
      <c r="X719" s="6"/>
      <c r="Y719" s="206"/>
      <c r="AE719" s="6"/>
      <c r="AF719" s="6"/>
      <c r="AG719" s="6"/>
      <c r="AH719" s="206"/>
      <c r="AJ719" s="213"/>
      <c r="AK719" s="6"/>
      <c r="AL719" s="6"/>
      <c r="AM719" s="6"/>
      <c r="AN719" s="206"/>
      <c r="AP719" s="213"/>
      <c r="AQ719" s="6"/>
      <c r="AR719" s="6"/>
      <c r="AS719" s="6"/>
      <c r="AT719" s="206"/>
      <c r="AV719" s="213"/>
      <c r="AW719" s="6"/>
      <c r="AX719" s="6"/>
      <c r="AY719" s="6"/>
      <c r="AZ719" s="206"/>
    </row>
    <row r="720" spans="4:52" s="2" customFormat="1" ht="17.100000000000001" customHeight="1" x14ac:dyDescent="0.25">
      <c r="D720" s="3"/>
      <c r="E720" s="3"/>
      <c r="F720" s="4"/>
      <c r="G720" s="4"/>
      <c r="H720" s="138"/>
      <c r="I720" s="97"/>
      <c r="J720" s="6"/>
      <c r="K720" s="6"/>
      <c r="L720" s="6"/>
      <c r="M720" s="6"/>
      <c r="N720" s="6"/>
      <c r="O720" s="6"/>
      <c r="P720" s="6"/>
      <c r="Q720" s="6"/>
      <c r="R720" s="6"/>
      <c r="S720" s="6"/>
      <c r="T720" s="6"/>
      <c r="U720" s="6"/>
      <c r="V720" s="339"/>
      <c r="W720" s="339"/>
      <c r="X720" s="6"/>
      <c r="Y720" s="206"/>
      <c r="AE720" s="6"/>
      <c r="AF720" s="6"/>
      <c r="AG720" s="6"/>
      <c r="AH720" s="206"/>
      <c r="AJ720" s="213"/>
      <c r="AK720" s="6"/>
      <c r="AL720" s="6"/>
      <c r="AM720" s="6"/>
      <c r="AN720" s="206"/>
      <c r="AP720" s="213"/>
      <c r="AQ720" s="6"/>
      <c r="AR720" s="6"/>
      <c r="AS720" s="6"/>
      <c r="AT720" s="206"/>
      <c r="AV720" s="213"/>
      <c r="AW720" s="6"/>
      <c r="AX720" s="6"/>
      <c r="AY720" s="6"/>
      <c r="AZ720" s="206"/>
    </row>
    <row r="721" spans="4:52" s="2" customFormat="1" ht="17.100000000000001" customHeight="1" x14ac:dyDescent="0.25">
      <c r="D721" s="3"/>
      <c r="E721" s="3"/>
      <c r="F721" s="4"/>
      <c r="G721" s="4"/>
      <c r="H721" s="138"/>
      <c r="I721" s="97"/>
      <c r="J721" s="6"/>
      <c r="K721" s="6"/>
      <c r="L721" s="6"/>
      <c r="M721" s="6"/>
      <c r="N721" s="6"/>
      <c r="O721" s="6"/>
      <c r="P721" s="6"/>
      <c r="Q721" s="6"/>
      <c r="R721" s="6"/>
      <c r="S721" s="6"/>
      <c r="T721" s="6"/>
      <c r="U721" s="6"/>
      <c r="V721" s="339"/>
      <c r="W721" s="339"/>
      <c r="X721" s="6"/>
      <c r="Y721" s="206"/>
      <c r="AE721" s="6"/>
      <c r="AF721" s="6"/>
      <c r="AG721" s="6"/>
      <c r="AH721" s="206"/>
      <c r="AJ721" s="213"/>
      <c r="AK721" s="6"/>
      <c r="AL721" s="6"/>
      <c r="AM721" s="6"/>
      <c r="AN721" s="206"/>
      <c r="AP721" s="213"/>
      <c r="AQ721" s="6"/>
      <c r="AR721" s="6"/>
      <c r="AS721" s="6"/>
      <c r="AT721" s="206"/>
      <c r="AV721" s="213"/>
      <c r="AW721" s="6"/>
      <c r="AX721" s="6"/>
      <c r="AY721" s="6"/>
      <c r="AZ721" s="206"/>
    </row>
    <row r="722" spans="4:52" s="2" customFormat="1" ht="17.100000000000001" customHeight="1" x14ac:dyDescent="0.25">
      <c r="D722" s="3"/>
      <c r="E722" s="3"/>
      <c r="F722" s="4"/>
      <c r="G722" s="4"/>
      <c r="H722" s="138"/>
      <c r="I722" s="97"/>
      <c r="J722" s="6"/>
      <c r="K722" s="6"/>
      <c r="L722" s="6"/>
      <c r="M722" s="6"/>
      <c r="N722" s="6"/>
      <c r="O722" s="6"/>
      <c r="P722" s="6"/>
      <c r="Q722" s="6"/>
      <c r="R722" s="6"/>
      <c r="S722" s="6"/>
      <c r="T722" s="6"/>
      <c r="U722" s="6"/>
      <c r="V722" s="339"/>
      <c r="W722" s="339"/>
      <c r="X722" s="6"/>
      <c r="Y722" s="206"/>
      <c r="AE722" s="6"/>
      <c r="AF722" s="6"/>
      <c r="AG722" s="6"/>
      <c r="AH722" s="206"/>
      <c r="AJ722" s="213"/>
      <c r="AK722" s="6"/>
      <c r="AL722" s="6"/>
      <c r="AM722" s="6"/>
      <c r="AN722" s="206"/>
      <c r="AP722" s="213"/>
      <c r="AQ722" s="6"/>
      <c r="AR722" s="6"/>
      <c r="AS722" s="6"/>
      <c r="AT722" s="206"/>
      <c r="AV722" s="213"/>
      <c r="AW722" s="6"/>
      <c r="AX722" s="6"/>
      <c r="AY722" s="6"/>
      <c r="AZ722" s="206"/>
    </row>
    <row r="723" spans="4:52" s="2" customFormat="1" ht="17.100000000000001" customHeight="1" x14ac:dyDescent="0.25">
      <c r="D723" s="3"/>
      <c r="E723" s="3"/>
      <c r="F723" s="4"/>
      <c r="G723" s="4"/>
      <c r="H723" s="138"/>
      <c r="I723" s="97"/>
      <c r="J723" s="6"/>
      <c r="K723" s="6"/>
      <c r="L723" s="6"/>
      <c r="M723" s="6"/>
      <c r="N723" s="6"/>
      <c r="O723" s="6"/>
      <c r="P723" s="6"/>
      <c r="Q723" s="6"/>
      <c r="R723" s="6"/>
      <c r="S723" s="6"/>
      <c r="T723" s="6"/>
      <c r="U723" s="6"/>
      <c r="V723" s="339"/>
      <c r="W723" s="339"/>
      <c r="X723" s="6"/>
      <c r="Y723" s="206"/>
      <c r="AE723" s="6"/>
      <c r="AF723" s="6"/>
      <c r="AG723" s="6"/>
      <c r="AH723" s="206"/>
      <c r="AJ723" s="213"/>
      <c r="AK723" s="6"/>
      <c r="AL723" s="6"/>
      <c r="AM723" s="6"/>
      <c r="AN723" s="206"/>
      <c r="AP723" s="213"/>
      <c r="AQ723" s="6"/>
      <c r="AR723" s="6"/>
      <c r="AS723" s="6"/>
      <c r="AT723" s="206"/>
      <c r="AV723" s="213"/>
      <c r="AW723" s="6"/>
      <c r="AX723" s="6"/>
      <c r="AY723" s="6"/>
      <c r="AZ723" s="206"/>
    </row>
    <row r="724" spans="4:52" s="2" customFormat="1" ht="17.100000000000001" customHeight="1" x14ac:dyDescent="0.25">
      <c r="D724" s="3"/>
      <c r="E724" s="3"/>
      <c r="F724" s="4"/>
      <c r="G724" s="4"/>
      <c r="H724" s="138"/>
      <c r="I724" s="97"/>
      <c r="J724" s="6"/>
      <c r="K724" s="6"/>
      <c r="L724" s="6"/>
      <c r="M724" s="6"/>
      <c r="N724" s="6"/>
      <c r="O724" s="6"/>
      <c r="P724" s="6"/>
      <c r="Q724" s="6"/>
      <c r="R724" s="6"/>
      <c r="S724" s="6"/>
      <c r="T724" s="6"/>
      <c r="U724" s="6"/>
      <c r="V724" s="339"/>
      <c r="W724" s="339"/>
      <c r="X724" s="6"/>
      <c r="Y724" s="206"/>
      <c r="AE724" s="6"/>
      <c r="AF724" s="6"/>
      <c r="AG724" s="6"/>
      <c r="AH724" s="206"/>
      <c r="AJ724" s="213"/>
      <c r="AK724" s="6"/>
      <c r="AL724" s="6"/>
      <c r="AM724" s="6"/>
      <c r="AN724" s="206"/>
      <c r="AP724" s="213"/>
      <c r="AQ724" s="6"/>
      <c r="AR724" s="6"/>
      <c r="AS724" s="6"/>
      <c r="AT724" s="206"/>
      <c r="AV724" s="213"/>
      <c r="AW724" s="6"/>
      <c r="AX724" s="6"/>
      <c r="AY724" s="6"/>
      <c r="AZ724" s="206"/>
    </row>
    <row r="725" spans="4:52" s="2" customFormat="1" ht="17.100000000000001" customHeight="1" x14ac:dyDescent="0.25">
      <c r="D725" s="3"/>
      <c r="E725" s="3"/>
      <c r="F725" s="4"/>
      <c r="G725" s="4"/>
      <c r="H725" s="138"/>
      <c r="I725" s="97"/>
      <c r="J725" s="6"/>
      <c r="K725" s="6"/>
      <c r="L725" s="6"/>
      <c r="M725" s="6"/>
      <c r="N725" s="6"/>
      <c r="O725" s="6"/>
      <c r="P725" s="6"/>
      <c r="Q725" s="6"/>
      <c r="R725" s="6"/>
      <c r="S725" s="6"/>
      <c r="T725" s="6"/>
      <c r="U725" s="6"/>
      <c r="V725" s="339"/>
      <c r="W725" s="339"/>
      <c r="X725" s="6"/>
      <c r="Y725" s="206"/>
      <c r="AE725" s="6"/>
      <c r="AF725" s="6"/>
      <c r="AG725" s="6"/>
      <c r="AH725" s="206"/>
      <c r="AJ725" s="213"/>
      <c r="AK725" s="6"/>
      <c r="AL725" s="6"/>
      <c r="AM725" s="6"/>
      <c r="AN725" s="206"/>
      <c r="AP725" s="213"/>
      <c r="AQ725" s="6"/>
      <c r="AR725" s="6"/>
      <c r="AS725" s="6"/>
      <c r="AT725" s="206"/>
      <c r="AV725" s="213"/>
      <c r="AW725" s="6"/>
      <c r="AX725" s="6"/>
      <c r="AY725" s="6"/>
      <c r="AZ725" s="206"/>
    </row>
    <row r="726" spans="4:52" s="2" customFormat="1" ht="17.100000000000001" customHeight="1" x14ac:dyDescent="0.25">
      <c r="D726" s="3"/>
      <c r="E726" s="3"/>
      <c r="F726" s="4"/>
      <c r="G726" s="4"/>
      <c r="H726" s="138"/>
      <c r="I726" s="97"/>
      <c r="J726" s="6"/>
      <c r="K726" s="6"/>
      <c r="L726" s="6"/>
      <c r="M726" s="6"/>
      <c r="N726" s="6"/>
      <c r="O726" s="6"/>
      <c r="P726" s="6"/>
      <c r="Q726" s="6"/>
      <c r="R726" s="6"/>
      <c r="S726" s="6"/>
      <c r="T726" s="6"/>
      <c r="U726" s="6"/>
      <c r="V726" s="339"/>
      <c r="W726" s="339"/>
      <c r="X726" s="6"/>
      <c r="Y726" s="206"/>
      <c r="AE726" s="6"/>
      <c r="AF726" s="6"/>
      <c r="AG726" s="6"/>
      <c r="AH726" s="206"/>
      <c r="AJ726" s="213"/>
      <c r="AK726" s="6"/>
      <c r="AL726" s="6"/>
      <c r="AM726" s="6"/>
      <c r="AN726" s="206"/>
      <c r="AP726" s="213"/>
      <c r="AQ726" s="6"/>
      <c r="AR726" s="6"/>
      <c r="AS726" s="6"/>
      <c r="AT726" s="206"/>
      <c r="AV726" s="213"/>
      <c r="AW726" s="6"/>
      <c r="AX726" s="6"/>
      <c r="AY726" s="6"/>
      <c r="AZ726" s="206"/>
    </row>
    <row r="727" spans="4:52" s="2" customFormat="1" ht="17.100000000000001" customHeight="1" x14ac:dyDescent="0.25">
      <c r="D727" s="3"/>
      <c r="E727" s="3"/>
      <c r="F727" s="4"/>
      <c r="G727" s="4"/>
      <c r="H727" s="138"/>
      <c r="I727" s="97"/>
      <c r="J727" s="6"/>
      <c r="K727" s="6"/>
      <c r="L727" s="6"/>
      <c r="M727" s="6"/>
      <c r="N727" s="6"/>
      <c r="O727" s="6"/>
      <c r="P727" s="6"/>
      <c r="Q727" s="6"/>
      <c r="R727" s="6"/>
      <c r="S727" s="6"/>
      <c r="T727" s="6"/>
      <c r="U727" s="6"/>
      <c r="V727" s="339"/>
      <c r="W727" s="339"/>
      <c r="X727" s="6"/>
      <c r="Y727" s="206"/>
      <c r="AE727" s="6"/>
      <c r="AF727" s="6"/>
      <c r="AG727" s="6"/>
      <c r="AH727" s="206"/>
      <c r="AJ727" s="213"/>
      <c r="AK727" s="6"/>
      <c r="AL727" s="6"/>
      <c r="AM727" s="6"/>
      <c r="AN727" s="206"/>
      <c r="AP727" s="213"/>
      <c r="AQ727" s="6"/>
      <c r="AR727" s="6"/>
      <c r="AS727" s="6"/>
      <c r="AT727" s="206"/>
      <c r="AV727" s="213"/>
      <c r="AW727" s="6"/>
      <c r="AX727" s="6"/>
      <c r="AY727" s="6"/>
      <c r="AZ727" s="206"/>
    </row>
    <row r="728" spans="4:52" s="2" customFormat="1" ht="17.100000000000001" customHeight="1" x14ac:dyDescent="0.25">
      <c r="D728" s="3"/>
      <c r="E728" s="3"/>
      <c r="F728" s="4"/>
      <c r="G728" s="4"/>
      <c r="H728" s="138"/>
      <c r="I728" s="97"/>
      <c r="J728" s="6"/>
      <c r="K728" s="6"/>
      <c r="L728" s="6"/>
      <c r="M728" s="6"/>
      <c r="N728" s="6"/>
      <c r="O728" s="6"/>
      <c r="P728" s="6"/>
      <c r="Q728" s="6"/>
      <c r="R728" s="6"/>
      <c r="S728" s="6"/>
      <c r="T728" s="6"/>
      <c r="U728" s="6"/>
      <c r="V728" s="339"/>
      <c r="W728" s="339"/>
      <c r="X728" s="6"/>
      <c r="Y728" s="206"/>
      <c r="AE728" s="6"/>
      <c r="AF728" s="6"/>
      <c r="AG728" s="6"/>
      <c r="AH728" s="206"/>
      <c r="AJ728" s="213"/>
      <c r="AK728" s="6"/>
      <c r="AL728" s="6"/>
      <c r="AM728" s="6"/>
      <c r="AN728" s="206"/>
      <c r="AP728" s="213"/>
      <c r="AQ728" s="6"/>
      <c r="AR728" s="6"/>
      <c r="AS728" s="6"/>
      <c r="AT728" s="206"/>
      <c r="AV728" s="213"/>
      <c r="AW728" s="6"/>
      <c r="AX728" s="6"/>
      <c r="AY728" s="6"/>
      <c r="AZ728" s="206"/>
    </row>
    <row r="729" spans="4:52" s="2" customFormat="1" ht="17.100000000000001" customHeight="1" x14ac:dyDescent="0.25">
      <c r="D729" s="3"/>
      <c r="E729" s="3"/>
      <c r="F729" s="4"/>
      <c r="G729" s="4"/>
      <c r="H729" s="138"/>
      <c r="I729" s="97"/>
      <c r="J729" s="6"/>
      <c r="K729" s="6"/>
      <c r="L729" s="6"/>
      <c r="M729" s="6"/>
      <c r="N729" s="6"/>
      <c r="O729" s="6"/>
      <c r="P729" s="6"/>
      <c r="Q729" s="6"/>
      <c r="R729" s="6"/>
      <c r="S729" s="6"/>
      <c r="T729" s="6"/>
      <c r="U729" s="6"/>
      <c r="V729" s="339"/>
      <c r="W729" s="339"/>
      <c r="X729" s="6"/>
      <c r="Y729" s="206"/>
      <c r="AE729" s="6"/>
      <c r="AF729" s="6"/>
      <c r="AG729" s="6"/>
      <c r="AH729" s="206"/>
      <c r="AJ729" s="213"/>
      <c r="AK729" s="6"/>
      <c r="AL729" s="6"/>
      <c r="AM729" s="6"/>
      <c r="AN729" s="206"/>
      <c r="AP729" s="213"/>
      <c r="AQ729" s="6"/>
      <c r="AR729" s="6"/>
      <c r="AS729" s="6"/>
      <c r="AT729" s="206"/>
      <c r="AV729" s="213"/>
      <c r="AW729" s="6"/>
      <c r="AX729" s="6"/>
      <c r="AY729" s="6"/>
      <c r="AZ729" s="206"/>
    </row>
    <row r="730" spans="4:52" s="2" customFormat="1" ht="17.100000000000001" customHeight="1" x14ac:dyDescent="0.25">
      <c r="D730" s="3"/>
      <c r="E730" s="3"/>
      <c r="F730" s="4"/>
      <c r="G730" s="4"/>
      <c r="H730" s="138"/>
      <c r="I730" s="97"/>
      <c r="J730" s="6"/>
      <c r="K730" s="6"/>
      <c r="L730" s="6"/>
      <c r="M730" s="6"/>
      <c r="N730" s="6"/>
      <c r="O730" s="6"/>
      <c r="P730" s="6"/>
      <c r="Q730" s="6"/>
      <c r="R730" s="6"/>
      <c r="S730" s="6"/>
      <c r="T730" s="6"/>
      <c r="U730" s="6"/>
      <c r="V730" s="339"/>
      <c r="W730" s="339"/>
      <c r="X730" s="6"/>
      <c r="Y730" s="206"/>
      <c r="AE730" s="6"/>
      <c r="AF730" s="6"/>
      <c r="AG730" s="6"/>
      <c r="AH730" s="206"/>
      <c r="AJ730" s="213"/>
      <c r="AK730" s="6"/>
      <c r="AL730" s="6"/>
      <c r="AM730" s="6"/>
      <c r="AN730" s="206"/>
      <c r="AP730" s="213"/>
      <c r="AQ730" s="6"/>
      <c r="AR730" s="6"/>
      <c r="AS730" s="6"/>
      <c r="AT730" s="206"/>
      <c r="AV730" s="213"/>
      <c r="AW730" s="6"/>
      <c r="AX730" s="6"/>
      <c r="AY730" s="6"/>
      <c r="AZ730" s="206"/>
    </row>
    <row r="731" spans="4:52" s="2" customFormat="1" ht="17.100000000000001" customHeight="1" x14ac:dyDescent="0.25">
      <c r="D731" s="3"/>
      <c r="E731" s="3"/>
      <c r="F731" s="4"/>
      <c r="G731" s="4"/>
      <c r="H731" s="138"/>
      <c r="I731" s="97"/>
      <c r="J731" s="6"/>
      <c r="K731" s="6"/>
      <c r="L731" s="6"/>
      <c r="M731" s="6"/>
      <c r="N731" s="6"/>
      <c r="O731" s="6"/>
      <c r="P731" s="6"/>
      <c r="Q731" s="6"/>
      <c r="R731" s="6"/>
      <c r="S731" s="6"/>
      <c r="T731" s="6"/>
      <c r="U731" s="6"/>
      <c r="V731" s="339"/>
      <c r="W731" s="339"/>
      <c r="X731" s="6"/>
      <c r="Y731" s="206"/>
      <c r="AE731" s="6"/>
      <c r="AF731" s="6"/>
      <c r="AG731" s="6"/>
      <c r="AH731" s="206"/>
      <c r="AJ731" s="213"/>
      <c r="AK731" s="6"/>
      <c r="AL731" s="6"/>
      <c r="AM731" s="6"/>
      <c r="AN731" s="206"/>
      <c r="AP731" s="213"/>
      <c r="AQ731" s="6"/>
      <c r="AR731" s="6"/>
      <c r="AS731" s="6"/>
      <c r="AT731" s="206"/>
      <c r="AV731" s="213"/>
      <c r="AW731" s="6"/>
      <c r="AX731" s="6"/>
      <c r="AY731" s="6"/>
      <c r="AZ731" s="206"/>
    </row>
    <row r="732" spans="4:52" s="2" customFormat="1" ht="17.100000000000001" customHeight="1" x14ac:dyDescent="0.25">
      <c r="D732" s="3"/>
      <c r="E732" s="3"/>
      <c r="F732" s="4"/>
      <c r="G732" s="4"/>
      <c r="H732" s="138"/>
      <c r="I732" s="97"/>
      <c r="J732" s="6"/>
      <c r="K732" s="6"/>
      <c r="L732" s="6"/>
      <c r="M732" s="6"/>
      <c r="N732" s="6"/>
      <c r="O732" s="6"/>
      <c r="P732" s="6"/>
      <c r="Q732" s="6"/>
      <c r="R732" s="6"/>
      <c r="S732" s="6"/>
      <c r="T732" s="6"/>
      <c r="U732" s="6"/>
      <c r="V732" s="339"/>
      <c r="W732" s="339"/>
      <c r="X732" s="6"/>
      <c r="Y732" s="206"/>
      <c r="AE732" s="6"/>
      <c r="AF732" s="6"/>
      <c r="AG732" s="6"/>
      <c r="AH732" s="206"/>
      <c r="AJ732" s="213"/>
      <c r="AK732" s="6"/>
      <c r="AL732" s="6"/>
      <c r="AM732" s="6"/>
      <c r="AN732" s="206"/>
      <c r="AP732" s="213"/>
      <c r="AQ732" s="6"/>
      <c r="AR732" s="6"/>
      <c r="AS732" s="6"/>
      <c r="AT732" s="206"/>
      <c r="AV732" s="213"/>
      <c r="AW732" s="6"/>
      <c r="AX732" s="6"/>
      <c r="AY732" s="6"/>
      <c r="AZ732" s="206"/>
    </row>
    <row r="733" spans="4:52" s="2" customFormat="1" ht="17.100000000000001" customHeight="1" x14ac:dyDescent="0.25">
      <c r="D733" s="3"/>
      <c r="E733" s="3"/>
      <c r="F733" s="4"/>
      <c r="G733" s="4"/>
      <c r="H733" s="138"/>
      <c r="I733" s="97"/>
      <c r="J733" s="6"/>
      <c r="K733" s="6"/>
      <c r="L733" s="6"/>
      <c r="M733" s="6"/>
      <c r="N733" s="6"/>
      <c r="O733" s="6"/>
      <c r="P733" s="6"/>
      <c r="Q733" s="6"/>
      <c r="R733" s="6"/>
      <c r="S733" s="6"/>
      <c r="T733" s="6"/>
      <c r="U733" s="6"/>
      <c r="V733" s="339"/>
      <c r="W733" s="339"/>
      <c r="X733" s="6"/>
      <c r="Y733" s="206"/>
      <c r="AE733" s="6"/>
      <c r="AF733" s="6"/>
      <c r="AG733" s="6"/>
      <c r="AH733" s="206"/>
      <c r="AJ733" s="213"/>
      <c r="AK733" s="6"/>
      <c r="AL733" s="6"/>
      <c r="AM733" s="6"/>
      <c r="AN733" s="206"/>
      <c r="AP733" s="213"/>
      <c r="AQ733" s="6"/>
      <c r="AR733" s="6"/>
      <c r="AS733" s="6"/>
      <c r="AT733" s="206"/>
      <c r="AV733" s="213"/>
      <c r="AW733" s="6"/>
      <c r="AX733" s="6"/>
      <c r="AY733" s="6"/>
      <c r="AZ733" s="206"/>
    </row>
    <row r="734" spans="4:52" s="2" customFormat="1" ht="17.100000000000001" customHeight="1" x14ac:dyDescent="0.25">
      <c r="D734" s="3"/>
      <c r="E734" s="3"/>
      <c r="F734" s="4"/>
      <c r="G734" s="4"/>
      <c r="H734" s="138"/>
      <c r="I734" s="97"/>
      <c r="J734" s="6"/>
      <c r="K734" s="6"/>
      <c r="L734" s="6"/>
      <c r="M734" s="6"/>
      <c r="N734" s="6"/>
      <c r="O734" s="6"/>
      <c r="P734" s="6"/>
      <c r="Q734" s="6"/>
      <c r="R734" s="6"/>
      <c r="S734" s="6"/>
      <c r="T734" s="6"/>
      <c r="U734" s="6"/>
      <c r="V734" s="339"/>
      <c r="W734" s="339"/>
      <c r="X734" s="6"/>
      <c r="Y734" s="206"/>
      <c r="AE734" s="6"/>
      <c r="AF734" s="6"/>
      <c r="AG734" s="6"/>
      <c r="AH734" s="206"/>
      <c r="AJ734" s="213"/>
      <c r="AK734" s="6"/>
      <c r="AL734" s="6"/>
      <c r="AM734" s="6"/>
      <c r="AN734" s="206"/>
      <c r="AP734" s="213"/>
      <c r="AQ734" s="6"/>
      <c r="AR734" s="6"/>
      <c r="AS734" s="6"/>
      <c r="AT734" s="206"/>
      <c r="AV734" s="213"/>
      <c r="AW734" s="6"/>
      <c r="AX734" s="6"/>
      <c r="AY734" s="6"/>
      <c r="AZ734" s="206"/>
    </row>
    <row r="735" spans="4:52" s="2" customFormat="1" ht="17.100000000000001" customHeight="1" x14ac:dyDescent="0.25">
      <c r="D735" s="3"/>
      <c r="E735" s="3"/>
      <c r="F735" s="4"/>
      <c r="G735" s="4"/>
      <c r="H735" s="138"/>
      <c r="I735" s="97"/>
      <c r="J735" s="6"/>
      <c r="K735" s="6"/>
      <c r="L735" s="6"/>
      <c r="M735" s="6"/>
      <c r="N735" s="6"/>
      <c r="O735" s="6"/>
      <c r="P735" s="6"/>
      <c r="Q735" s="6"/>
      <c r="R735" s="6"/>
      <c r="S735" s="6"/>
      <c r="T735" s="6"/>
      <c r="U735" s="6"/>
      <c r="V735" s="339"/>
      <c r="W735" s="339"/>
      <c r="X735" s="6"/>
      <c r="Y735" s="206"/>
      <c r="AE735" s="6"/>
      <c r="AF735" s="6"/>
      <c r="AG735" s="6"/>
      <c r="AH735" s="206"/>
      <c r="AJ735" s="213"/>
      <c r="AK735" s="6"/>
      <c r="AL735" s="6"/>
      <c r="AM735" s="6"/>
      <c r="AN735" s="206"/>
      <c r="AP735" s="213"/>
      <c r="AQ735" s="6"/>
      <c r="AR735" s="6"/>
      <c r="AS735" s="6"/>
      <c r="AT735" s="206"/>
      <c r="AV735" s="213"/>
      <c r="AW735" s="6"/>
      <c r="AX735" s="6"/>
      <c r="AY735" s="6"/>
      <c r="AZ735" s="206"/>
    </row>
    <row r="736" spans="4:52" s="2" customFormat="1" ht="17.100000000000001" customHeight="1" x14ac:dyDescent="0.25">
      <c r="D736" s="3"/>
      <c r="E736" s="3"/>
      <c r="F736" s="4"/>
      <c r="G736" s="4"/>
      <c r="H736" s="138"/>
      <c r="I736" s="97"/>
      <c r="J736" s="6"/>
      <c r="K736" s="6"/>
      <c r="L736" s="6"/>
      <c r="M736" s="6"/>
      <c r="N736" s="6"/>
      <c r="O736" s="6"/>
      <c r="P736" s="6"/>
      <c r="Q736" s="6"/>
      <c r="R736" s="6"/>
      <c r="S736" s="6"/>
      <c r="T736" s="6"/>
      <c r="U736" s="6"/>
      <c r="V736" s="339"/>
      <c r="W736" s="339"/>
      <c r="X736" s="6"/>
      <c r="Y736" s="206"/>
      <c r="AE736" s="6"/>
      <c r="AF736" s="6"/>
      <c r="AG736" s="6"/>
      <c r="AH736" s="206"/>
      <c r="AJ736" s="213"/>
      <c r="AK736" s="6"/>
      <c r="AL736" s="6"/>
      <c r="AM736" s="6"/>
      <c r="AN736" s="206"/>
      <c r="AP736" s="213"/>
      <c r="AQ736" s="6"/>
      <c r="AR736" s="6"/>
      <c r="AS736" s="6"/>
      <c r="AT736" s="206"/>
      <c r="AV736" s="213"/>
      <c r="AW736" s="6"/>
      <c r="AX736" s="6"/>
      <c r="AY736" s="6"/>
      <c r="AZ736" s="206"/>
    </row>
    <row r="737" spans="4:52" s="2" customFormat="1" ht="17.100000000000001" customHeight="1" x14ac:dyDescent="0.25">
      <c r="D737" s="3"/>
      <c r="E737" s="3"/>
      <c r="F737" s="4"/>
      <c r="G737" s="4"/>
      <c r="H737" s="138"/>
      <c r="I737" s="97"/>
      <c r="J737" s="6"/>
      <c r="K737" s="6"/>
      <c r="L737" s="6"/>
      <c r="M737" s="6"/>
      <c r="N737" s="6"/>
      <c r="O737" s="6"/>
      <c r="P737" s="6"/>
      <c r="Q737" s="6"/>
      <c r="R737" s="6"/>
      <c r="S737" s="6"/>
      <c r="T737" s="6"/>
      <c r="U737" s="6"/>
      <c r="V737" s="339"/>
      <c r="W737" s="339"/>
      <c r="X737" s="6"/>
      <c r="Y737" s="206"/>
      <c r="AE737" s="6"/>
      <c r="AF737" s="6"/>
      <c r="AG737" s="6"/>
      <c r="AH737" s="206"/>
      <c r="AJ737" s="213"/>
      <c r="AK737" s="6"/>
      <c r="AL737" s="6"/>
      <c r="AM737" s="6"/>
      <c r="AN737" s="206"/>
      <c r="AP737" s="213"/>
      <c r="AQ737" s="6"/>
      <c r="AR737" s="6"/>
      <c r="AS737" s="6"/>
      <c r="AT737" s="206"/>
      <c r="AV737" s="213"/>
      <c r="AW737" s="6"/>
      <c r="AX737" s="6"/>
      <c r="AY737" s="6"/>
      <c r="AZ737" s="206"/>
    </row>
    <row r="738" spans="4:52" s="2" customFormat="1" ht="17.100000000000001" customHeight="1" x14ac:dyDescent="0.25">
      <c r="D738" s="3"/>
      <c r="E738" s="3"/>
      <c r="F738" s="4"/>
      <c r="G738" s="4"/>
      <c r="H738" s="138"/>
      <c r="I738" s="97"/>
      <c r="J738" s="6"/>
      <c r="K738" s="6"/>
      <c r="L738" s="6"/>
      <c r="M738" s="6"/>
      <c r="N738" s="6"/>
      <c r="O738" s="6"/>
      <c r="P738" s="6"/>
      <c r="Q738" s="6"/>
      <c r="R738" s="6"/>
      <c r="S738" s="6"/>
      <c r="T738" s="6"/>
      <c r="U738" s="6"/>
      <c r="V738" s="339"/>
      <c r="W738" s="339"/>
      <c r="X738" s="6"/>
      <c r="Y738" s="206"/>
      <c r="AE738" s="6"/>
      <c r="AF738" s="6"/>
      <c r="AG738" s="6"/>
      <c r="AH738" s="206"/>
      <c r="AJ738" s="213"/>
      <c r="AK738" s="6"/>
      <c r="AL738" s="6"/>
      <c r="AM738" s="6"/>
      <c r="AN738" s="206"/>
      <c r="AP738" s="213"/>
      <c r="AQ738" s="6"/>
      <c r="AR738" s="6"/>
      <c r="AS738" s="6"/>
      <c r="AT738" s="206"/>
      <c r="AV738" s="213"/>
      <c r="AW738" s="6"/>
      <c r="AX738" s="6"/>
      <c r="AY738" s="6"/>
      <c r="AZ738" s="206"/>
    </row>
    <row r="739" spans="4:52" s="2" customFormat="1" ht="17.100000000000001" customHeight="1" x14ac:dyDescent="0.25">
      <c r="D739" s="3"/>
      <c r="E739" s="3"/>
      <c r="F739" s="4"/>
      <c r="G739" s="4"/>
      <c r="H739" s="138"/>
      <c r="I739" s="97"/>
      <c r="J739" s="6"/>
      <c r="K739" s="6"/>
      <c r="L739" s="6"/>
      <c r="M739" s="6"/>
      <c r="N739" s="6"/>
      <c r="O739" s="6"/>
      <c r="P739" s="6"/>
      <c r="Q739" s="6"/>
      <c r="R739" s="6"/>
      <c r="S739" s="6"/>
      <c r="T739" s="6"/>
      <c r="U739" s="6"/>
      <c r="V739" s="339"/>
      <c r="W739" s="339"/>
      <c r="X739" s="6"/>
      <c r="Y739" s="206"/>
      <c r="AE739" s="6"/>
      <c r="AF739" s="6"/>
      <c r="AG739" s="6"/>
      <c r="AH739" s="206"/>
      <c r="AJ739" s="213"/>
      <c r="AK739" s="6"/>
      <c r="AL739" s="6"/>
      <c r="AM739" s="6"/>
      <c r="AN739" s="206"/>
      <c r="AP739" s="213"/>
      <c r="AQ739" s="6"/>
      <c r="AR739" s="6"/>
      <c r="AS739" s="6"/>
      <c r="AT739" s="206"/>
      <c r="AV739" s="213"/>
      <c r="AW739" s="6"/>
      <c r="AX739" s="6"/>
      <c r="AY739" s="6"/>
      <c r="AZ739" s="206"/>
    </row>
    <row r="740" spans="4:52" s="2" customFormat="1" ht="17.100000000000001" customHeight="1" x14ac:dyDescent="0.25">
      <c r="D740" s="3"/>
      <c r="E740" s="3"/>
      <c r="F740" s="4"/>
      <c r="G740" s="4"/>
      <c r="H740" s="138"/>
      <c r="I740" s="97"/>
      <c r="J740" s="6"/>
      <c r="K740" s="6"/>
      <c r="L740" s="6"/>
      <c r="M740" s="6"/>
      <c r="N740" s="6"/>
      <c r="O740" s="6"/>
      <c r="P740" s="6"/>
      <c r="Q740" s="6"/>
      <c r="R740" s="6"/>
      <c r="S740" s="6"/>
      <c r="T740" s="6"/>
      <c r="U740" s="6"/>
      <c r="V740" s="339"/>
      <c r="W740" s="339"/>
      <c r="X740" s="6"/>
      <c r="Y740" s="206"/>
      <c r="AE740" s="6"/>
      <c r="AF740" s="6"/>
      <c r="AG740" s="6"/>
      <c r="AH740" s="206"/>
      <c r="AJ740" s="213"/>
      <c r="AK740" s="6"/>
      <c r="AL740" s="6"/>
      <c r="AM740" s="6"/>
      <c r="AN740" s="206"/>
      <c r="AP740" s="213"/>
      <c r="AQ740" s="6"/>
      <c r="AR740" s="6"/>
      <c r="AS740" s="6"/>
      <c r="AT740" s="206"/>
      <c r="AV740" s="213"/>
      <c r="AW740" s="6"/>
      <c r="AX740" s="6"/>
      <c r="AY740" s="6"/>
      <c r="AZ740" s="206"/>
    </row>
    <row r="741" spans="4:52" s="2" customFormat="1" ht="17.100000000000001" customHeight="1" x14ac:dyDescent="0.25">
      <c r="D741" s="3"/>
      <c r="E741" s="3"/>
      <c r="F741" s="4"/>
      <c r="G741" s="4"/>
      <c r="H741" s="138"/>
      <c r="I741" s="97"/>
      <c r="J741" s="6"/>
      <c r="K741" s="6"/>
      <c r="L741" s="6"/>
      <c r="M741" s="6"/>
      <c r="N741" s="6"/>
      <c r="O741" s="6"/>
      <c r="P741" s="6"/>
      <c r="Q741" s="6"/>
      <c r="R741" s="6"/>
      <c r="S741" s="6"/>
      <c r="T741" s="6"/>
      <c r="U741" s="6"/>
      <c r="V741" s="339"/>
      <c r="W741" s="339"/>
      <c r="X741" s="6"/>
      <c r="Y741" s="206"/>
      <c r="AE741" s="6"/>
      <c r="AF741" s="6"/>
      <c r="AG741" s="6"/>
      <c r="AH741" s="206"/>
      <c r="AJ741" s="213"/>
      <c r="AK741" s="6"/>
      <c r="AL741" s="6"/>
      <c r="AM741" s="6"/>
      <c r="AN741" s="206"/>
      <c r="AP741" s="213"/>
      <c r="AQ741" s="6"/>
      <c r="AR741" s="6"/>
      <c r="AS741" s="6"/>
      <c r="AT741" s="206"/>
      <c r="AV741" s="213"/>
      <c r="AW741" s="6"/>
      <c r="AX741" s="6"/>
      <c r="AY741" s="6"/>
      <c r="AZ741" s="206"/>
    </row>
    <row r="742" spans="4:52" s="2" customFormat="1" ht="17.100000000000001" customHeight="1" x14ac:dyDescent="0.25">
      <c r="D742" s="3"/>
      <c r="E742" s="3"/>
      <c r="F742" s="4"/>
      <c r="G742" s="4"/>
      <c r="H742" s="138"/>
      <c r="I742" s="97"/>
      <c r="J742" s="6"/>
      <c r="K742" s="6"/>
      <c r="L742" s="6"/>
      <c r="M742" s="6"/>
      <c r="N742" s="6"/>
      <c r="O742" s="6"/>
      <c r="P742" s="6"/>
      <c r="Q742" s="6"/>
      <c r="R742" s="6"/>
      <c r="S742" s="6"/>
      <c r="T742" s="6"/>
      <c r="U742" s="6"/>
      <c r="V742" s="339"/>
      <c r="W742" s="339"/>
      <c r="X742" s="6"/>
      <c r="Y742" s="206"/>
      <c r="AE742" s="6"/>
      <c r="AF742" s="6"/>
      <c r="AG742" s="6"/>
      <c r="AH742" s="206"/>
      <c r="AJ742" s="213"/>
      <c r="AK742" s="6"/>
      <c r="AL742" s="6"/>
      <c r="AM742" s="6"/>
      <c r="AN742" s="206"/>
      <c r="AP742" s="213"/>
      <c r="AQ742" s="6"/>
      <c r="AR742" s="6"/>
      <c r="AS742" s="6"/>
      <c r="AT742" s="206"/>
      <c r="AV742" s="213"/>
      <c r="AW742" s="6"/>
      <c r="AX742" s="6"/>
      <c r="AY742" s="6"/>
      <c r="AZ742" s="206"/>
    </row>
    <row r="743" spans="4:52" s="2" customFormat="1" ht="17.100000000000001" customHeight="1" x14ac:dyDescent="0.25">
      <c r="D743" s="3"/>
      <c r="E743" s="3"/>
      <c r="F743" s="4"/>
      <c r="G743" s="4"/>
      <c r="H743" s="138"/>
      <c r="I743" s="97"/>
      <c r="J743" s="6"/>
      <c r="K743" s="6"/>
      <c r="L743" s="6"/>
      <c r="M743" s="6"/>
      <c r="N743" s="6"/>
      <c r="O743" s="6"/>
      <c r="P743" s="6"/>
      <c r="Q743" s="6"/>
      <c r="R743" s="6"/>
      <c r="S743" s="6"/>
      <c r="T743" s="6"/>
      <c r="U743" s="6"/>
      <c r="V743" s="339"/>
      <c r="W743" s="339"/>
      <c r="X743" s="6"/>
      <c r="Y743" s="206"/>
      <c r="AE743" s="6"/>
      <c r="AF743" s="6"/>
      <c r="AG743" s="6"/>
      <c r="AH743" s="206"/>
      <c r="AJ743" s="213"/>
      <c r="AK743" s="6"/>
      <c r="AL743" s="6"/>
      <c r="AM743" s="6"/>
      <c r="AN743" s="206"/>
      <c r="AP743" s="213"/>
      <c r="AQ743" s="6"/>
      <c r="AR743" s="6"/>
      <c r="AS743" s="6"/>
      <c r="AT743" s="206"/>
      <c r="AV743" s="213"/>
      <c r="AW743" s="6"/>
      <c r="AX743" s="6"/>
      <c r="AY743" s="6"/>
      <c r="AZ743" s="206"/>
    </row>
    <row r="744" spans="4:52" s="2" customFormat="1" ht="17.100000000000001" customHeight="1" x14ac:dyDescent="0.25">
      <c r="D744" s="3"/>
      <c r="E744" s="3"/>
      <c r="F744" s="4"/>
      <c r="G744" s="4"/>
      <c r="H744" s="138"/>
      <c r="I744" s="97"/>
      <c r="J744" s="6"/>
      <c r="K744" s="6"/>
      <c r="L744" s="6"/>
      <c r="M744" s="6"/>
      <c r="N744" s="6"/>
      <c r="O744" s="6"/>
      <c r="P744" s="6"/>
      <c r="Q744" s="6"/>
      <c r="R744" s="6"/>
      <c r="S744" s="6"/>
      <c r="T744" s="6"/>
      <c r="U744" s="6"/>
      <c r="V744" s="339"/>
      <c r="W744" s="339"/>
      <c r="X744" s="6"/>
      <c r="Y744" s="206"/>
      <c r="AE744" s="6"/>
      <c r="AF744" s="6"/>
      <c r="AG744" s="6"/>
      <c r="AH744" s="206"/>
      <c r="AJ744" s="213"/>
      <c r="AK744" s="6"/>
      <c r="AL744" s="6"/>
      <c r="AM744" s="6"/>
      <c r="AN744" s="206"/>
      <c r="AP744" s="213"/>
      <c r="AQ744" s="6"/>
      <c r="AR744" s="6"/>
      <c r="AS744" s="6"/>
      <c r="AT744" s="206"/>
      <c r="AV744" s="213"/>
      <c r="AW744" s="6"/>
      <c r="AX744" s="6"/>
      <c r="AY744" s="6"/>
      <c r="AZ744" s="206"/>
    </row>
    <row r="745" spans="4:52" s="2" customFormat="1" ht="17.100000000000001" customHeight="1" x14ac:dyDescent="0.25">
      <c r="D745" s="3"/>
      <c r="E745" s="3"/>
      <c r="F745" s="4"/>
      <c r="G745" s="4"/>
      <c r="H745" s="138"/>
      <c r="I745" s="97"/>
      <c r="J745" s="6"/>
      <c r="K745" s="6"/>
      <c r="L745" s="6"/>
      <c r="M745" s="6"/>
      <c r="N745" s="6"/>
      <c r="O745" s="6"/>
      <c r="P745" s="6"/>
      <c r="Q745" s="6"/>
      <c r="R745" s="6"/>
      <c r="S745" s="6"/>
      <c r="T745" s="6"/>
      <c r="U745" s="6"/>
      <c r="V745" s="339"/>
      <c r="W745" s="339"/>
      <c r="X745" s="6"/>
      <c r="Y745" s="206"/>
      <c r="AE745" s="6"/>
      <c r="AF745" s="6"/>
      <c r="AG745" s="6"/>
      <c r="AH745" s="206"/>
      <c r="AJ745" s="213"/>
      <c r="AK745" s="6"/>
      <c r="AL745" s="6"/>
      <c r="AM745" s="6"/>
      <c r="AN745" s="206"/>
      <c r="AP745" s="213"/>
      <c r="AQ745" s="6"/>
      <c r="AR745" s="6"/>
      <c r="AS745" s="6"/>
      <c r="AT745" s="206"/>
      <c r="AV745" s="213"/>
      <c r="AW745" s="6"/>
      <c r="AX745" s="6"/>
      <c r="AY745" s="6"/>
      <c r="AZ745" s="206"/>
    </row>
    <row r="746" spans="4:52" s="2" customFormat="1" ht="17.100000000000001" customHeight="1" x14ac:dyDescent="0.25">
      <c r="D746" s="3"/>
      <c r="E746" s="3"/>
      <c r="F746" s="4"/>
      <c r="G746" s="4"/>
      <c r="H746" s="138"/>
      <c r="I746" s="97"/>
      <c r="J746" s="6"/>
      <c r="K746" s="6"/>
      <c r="L746" s="6"/>
      <c r="M746" s="6"/>
      <c r="N746" s="6"/>
      <c r="O746" s="6"/>
      <c r="P746" s="6"/>
      <c r="Q746" s="6"/>
      <c r="R746" s="6"/>
      <c r="S746" s="6"/>
      <c r="T746" s="6"/>
      <c r="U746" s="6"/>
      <c r="V746" s="339"/>
      <c r="W746" s="339"/>
      <c r="X746" s="6"/>
      <c r="Y746" s="206"/>
      <c r="AE746" s="6"/>
      <c r="AF746" s="6"/>
      <c r="AG746" s="6"/>
      <c r="AH746" s="206"/>
      <c r="AJ746" s="213"/>
      <c r="AK746" s="6"/>
      <c r="AL746" s="6"/>
      <c r="AM746" s="6"/>
      <c r="AN746" s="206"/>
      <c r="AP746" s="213"/>
      <c r="AQ746" s="6"/>
      <c r="AR746" s="6"/>
      <c r="AS746" s="6"/>
      <c r="AT746" s="206"/>
      <c r="AV746" s="213"/>
      <c r="AW746" s="6"/>
      <c r="AX746" s="6"/>
      <c r="AY746" s="6"/>
      <c r="AZ746" s="206"/>
    </row>
    <row r="747" spans="4:52" s="2" customFormat="1" ht="17.100000000000001" customHeight="1" x14ac:dyDescent="0.25">
      <c r="D747" s="3"/>
      <c r="E747" s="3"/>
      <c r="F747" s="4"/>
      <c r="G747" s="4"/>
      <c r="H747" s="138"/>
      <c r="I747" s="97"/>
      <c r="J747" s="6"/>
      <c r="K747" s="6"/>
      <c r="L747" s="6"/>
      <c r="M747" s="6"/>
      <c r="N747" s="6"/>
      <c r="O747" s="6"/>
      <c r="P747" s="6"/>
      <c r="Q747" s="6"/>
      <c r="R747" s="6"/>
      <c r="S747" s="6"/>
      <c r="T747" s="6"/>
      <c r="U747" s="6"/>
      <c r="V747" s="339"/>
      <c r="W747" s="339"/>
      <c r="X747" s="6"/>
      <c r="Y747" s="206"/>
      <c r="AE747" s="6"/>
      <c r="AF747" s="6"/>
      <c r="AG747" s="6"/>
      <c r="AH747" s="206"/>
      <c r="AJ747" s="213"/>
      <c r="AK747" s="6"/>
      <c r="AL747" s="6"/>
      <c r="AM747" s="6"/>
      <c r="AN747" s="206"/>
      <c r="AP747" s="213"/>
      <c r="AQ747" s="6"/>
      <c r="AR747" s="6"/>
      <c r="AS747" s="6"/>
      <c r="AT747" s="206"/>
      <c r="AV747" s="213"/>
      <c r="AW747" s="6"/>
      <c r="AX747" s="6"/>
      <c r="AY747" s="6"/>
      <c r="AZ747" s="206"/>
    </row>
    <row r="748" spans="4:52" s="2" customFormat="1" ht="17.100000000000001" customHeight="1" x14ac:dyDescent="0.25">
      <c r="D748" s="3"/>
      <c r="E748" s="3"/>
      <c r="F748" s="4"/>
      <c r="G748" s="4"/>
      <c r="H748" s="138"/>
      <c r="I748" s="97"/>
      <c r="J748" s="6"/>
      <c r="K748" s="6"/>
      <c r="L748" s="6"/>
      <c r="M748" s="6"/>
      <c r="N748" s="6"/>
      <c r="O748" s="6"/>
      <c r="P748" s="6"/>
      <c r="Q748" s="6"/>
      <c r="R748" s="6"/>
      <c r="S748" s="6"/>
      <c r="T748" s="6"/>
      <c r="U748" s="6"/>
      <c r="V748" s="339"/>
      <c r="W748" s="339"/>
      <c r="X748" s="6"/>
      <c r="Y748" s="206"/>
      <c r="AE748" s="6"/>
      <c r="AF748" s="6"/>
      <c r="AG748" s="6"/>
      <c r="AH748" s="206"/>
      <c r="AJ748" s="213"/>
      <c r="AK748" s="6"/>
      <c r="AL748" s="6"/>
      <c r="AM748" s="6"/>
      <c r="AN748" s="206"/>
      <c r="AP748" s="213"/>
      <c r="AQ748" s="6"/>
      <c r="AR748" s="6"/>
      <c r="AS748" s="6"/>
      <c r="AT748" s="206"/>
      <c r="AV748" s="213"/>
      <c r="AW748" s="6"/>
      <c r="AX748" s="6"/>
      <c r="AY748" s="6"/>
      <c r="AZ748" s="206"/>
    </row>
    <row r="749" spans="4:52" s="2" customFormat="1" ht="17.100000000000001" customHeight="1" x14ac:dyDescent="0.25">
      <c r="D749" s="3"/>
      <c r="E749" s="3"/>
      <c r="F749" s="4"/>
      <c r="G749" s="4"/>
      <c r="H749" s="138"/>
      <c r="I749" s="97"/>
      <c r="J749" s="6"/>
      <c r="K749" s="6"/>
      <c r="L749" s="6"/>
      <c r="M749" s="6"/>
      <c r="N749" s="6"/>
      <c r="O749" s="6"/>
      <c r="P749" s="6"/>
      <c r="Q749" s="6"/>
      <c r="R749" s="6"/>
      <c r="S749" s="6"/>
      <c r="T749" s="6"/>
      <c r="U749" s="6"/>
      <c r="V749" s="339"/>
      <c r="W749" s="339"/>
      <c r="X749" s="6"/>
      <c r="Y749" s="206"/>
      <c r="AE749" s="6"/>
      <c r="AF749" s="6"/>
      <c r="AG749" s="6"/>
      <c r="AH749" s="206"/>
      <c r="AJ749" s="213"/>
      <c r="AK749" s="6"/>
      <c r="AL749" s="6"/>
      <c r="AM749" s="6"/>
      <c r="AN749" s="206"/>
      <c r="AP749" s="213"/>
      <c r="AQ749" s="6"/>
      <c r="AR749" s="6"/>
      <c r="AS749" s="6"/>
      <c r="AT749" s="206"/>
      <c r="AV749" s="213"/>
      <c r="AW749" s="6"/>
      <c r="AX749" s="6"/>
      <c r="AY749" s="6"/>
      <c r="AZ749" s="206"/>
    </row>
    <row r="750" spans="4:52" s="2" customFormat="1" ht="17.100000000000001" customHeight="1" x14ac:dyDescent="0.25">
      <c r="D750" s="3"/>
      <c r="E750" s="3"/>
      <c r="F750" s="4"/>
      <c r="G750" s="4"/>
      <c r="H750" s="138"/>
      <c r="I750" s="97"/>
      <c r="J750" s="6"/>
      <c r="K750" s="6"/>
      <c r="L750" s="6"/>
      <c r="M750" s="6"/>
      <c r="N750" s="6"/>
      <c r="O750" s="6"/>
      <c r="P750" s="6"/>
      <c r="Q750" s="6"/>
      <c r="R750" s="6"/>
      <c r="S750" s="6"/>
      <c r="T750" s="6"/>
      <c r="U750" s="6"/>
      <c r="V750" s="339"/>
      <c r="W750" s="339"/>
      <c r="X750" s="6"/>
      <c r="Y750" s="206"/>
      <c r="AE750" s="6"/>
      <c r="AF750" s="6"/>
      <c r="AG750" s="6"/>
      <c r="AH750" s="206"/>
      <c r="AJ750" s="213"/>
      <c r="AK750" s="6"/>
      <c r="AL750" s="6"/>
      <c r="AM750" s="6"/>
      <c r="AN750" s="206"/>
      <c r="AP750" s="213"/>
      <c r="AQ750" s="6"/>
      <c r="AR750" s="6"/>
      <c r="AS750" s="6"/>
      <c r="AT750" s="206"/>
      <c r="AV750" s="213"/>
      <c r="AW750" s="6"/>
      <c r="AX750" s="6"/>
      <c r="AY750" s="6"/>
      <c r="AZ750" s="206"/>
    </row>
    <row r="751" spans="4:52" s="2" customFormat="1" ht="17.100000000000001" customHeight="1" x14ac:dyDescent="0.25">
      <c r="D751" s="3"/>
      <c r="E751" s="3"/>
      <c r="F751" s="4"/>
      <c r="G751" s="4"/>
      <c r="H751" s="138"/>
      <c r="I751" s="97"/>
      <c r="J751" s="6"/>
      <c r="K751" s="6"/>
      <c r="L751" s="6"/>
      <c r="M751" s="6"/>
      <c r="N751" s="6"/>
      <c r="O751" s="6"/>
      <c r="P751" s="6"/>
      <c r="Q751" s="6"/>
      <c r="R751" s="6"/>
      <c r="S751" s="6"/>
      <c r="T751" s="6"/>
      <c r="U751" s="6"/>
      <c r="V751" s="339"/>
      <c r="W751" s="339"/>
      <c r="X751" s="6"/>
      <c r="Y751" s="206"/>
      <c r="AE751" s="6"/>
      <c r="AF751" s="6"/>
      <c r="AG751" s="6"/>
      <c r="AH751" s="206"/>
      <c r="AJ751" s="213"/>
      <c r="AK751" s="6"/>
      <c r="AL751" s="6"/>
      <c r="AM751" s="6"/>
      <c r="AN751" s="206"/>
      <c r="AP751" s="213"/>
      <c r="AQ751" s="6"/>
      <c r="AR751" s="6"/>
      <c r="AS751" s="6"/>
      <c r="AT751" s="206"/>
      <c r="AV751" s="213"/>
      <c r="AW751" s="6"/>
      <c r="AX751" s="6"/>
      <c r="AY751" s="6"/>
      <c r="AZ751" s="206"/>
    </row>
    <row r="752" spans="4:52" s="2" customFormat="1" ht="17.100000000000001" customHeight="1" x14ac:dyDescent="0.25">
      <c r="D752" s="3"/>
      <c r="E752" s="3"/>
      <c r="F752" s="4"/>
      <c r="G752" s="4"/>
      <c r="H752" s="138"/>
      <c r="I752" s="97"/>
      <c r="J752" s="6"/>
      <c r="K752" s="6"/>
      <c r="L752" s="6"/>
      <c r="M752" s="6"/>
      <c r="N752" s="6"/>
      <c r="O752" s="6"/>
      <c r="P752" s="6"/>
      <c r="Q752" s="6"/>
      <c r="R752" s="6"/>
      <c r="S752" s="6"/>
      <c r="T752" s="6"/>
      <c r="U752" s="6"/>
      <c r="V752" s="339"/>
      <c r="W752" s="339"/>
      <c r="X752" s="6"/>
      <c r="Y752" s="206"/>
      <c r="AE752" s="6"/>
      <c r="AF752" s="6"/>
      <c r="AG752" s="6"/>
      <c r="AH752" s="206"/>
      <c r="AJ752" s="213"/>
      <c r="AK752" s="6"/>
      <c r="AL752" s="6"/>
      <c r="AM752" s="6"/>
      <c r="AN752" s="206"/>
      <c r="AP752" s="213"/>
      <c r="AQ752" s="6"/>
      <c r="AR752" s="6"/>
      <c r="AS752" s="6"/>
      <c r="AT752" s="206"/>
      <c r="AV752" s="213"/>
      <c r="AW752" s="6"/>
      <c r="AX752" s="6"/>
      <c r="AY752" s="6"/>
      <c r="AZ752" s="206"/>
    </row>
    <row r="753" spans="4:52" s="2" customFormat="1" ht="17.100000000000001" customHeight="1" x14ac:dyDescent="0.25">
      <c r="D753" s="3"/>
      <c r="E753" s="3"/>
      <c r="F753" s="4"/>
      <c r="G753" s="4"/>
      <c r="H753" s="138"/>
      <c r="I753" s="97"/>
      <c r="J753" s="6"/>
      <c r="K753" s="6"/>
      <c r="L753" s="6"/>
      <c r="M753" s="6"/>
      <c r="N753" s="6"/>
      <c r="O753" s="6"/>
      <c r="P753" s="6"/>
      <c r="Q753" s="6"/>
      <c r="R753" s="6"/>
      <c r="S753" s="6"/>
      <c r="T753" s="6"/>
      <c r="U753" s="6"/>
      <c r="V753" s="339"/>
      <c r="W753" s="339"/>
      <c r="X753" s="6"/>
      <c r="Y753" s="206"/>
      <c r="AE753" s="6"/>
      <c r="AF753" s="6"/>
      <c r="AG753" s="6"/>
      <c r="AH753" s="206"/>
      <c r="AJ753" s="213"/>
      <c r="AK753" s="6"/>
      <c r="AL753" s="6"/>
      <c r="AM753" s="6"/>
      <c r="AN753" s="206"/>
      <c r="AP753" s="213"/>
      <c r="AQ753" s="6"/>
      <c r="AR753" s="6"/>
      <c r="AS753" s="6"/>
      <c r="AT753" s="206"/>
      <c r="AV753" s="213"/>
      <c r="AW753" s="6"/>
      <c r="AX753" s="6"/>
      <c r="AY753" s="6"/>
      <c r="AZ753" s="206"/>
    </row>
    <row r="754" spans="4:52" s="2" customFormat="1" ht="17.100000000000001" customHeight="1" x14ac:dyDescent="0.25">
      <c r="D754" s="3"/>
      <c r="E754" s="3"/>
      <c r="F754" s="4"/>
      <c r="G754" s="4"/>
      <c r="H754" s="138"/>
      <c r="I754" s="97"/>
      <c r="J754" s="6"/>
      <c r="K754" s="6"/>
      <c r="L754" s="6"/>
      <c r="M754" s="6"/>
      <c r="N754" s="6"/>
      <c r="O754" s="6"/>
      <c r="P754" s="6"/>
      <c r="Q754" s="6"/>
      <c r="R754" s="6"/>
      <c r="S754" s="6"/>
      <c r="T754" s="6"/>
      <c r="U754" s="6"/>
      <c r="V754" s="339"/>
      <c r="W754" s="339"/>
      <c r="X754" s="6"/>
      <c r="Y754" s="206"/>
      <c r="AE754" s="6"/>
      <c r="AF754" s="6"/>
      <c r="AG754" s="6"/>
      <c r="AH754" s="206"/>
      <c r="AJ754" s="213"/>
      <c r="AK754" s="6"/>
      <c r="AL754" s="6"/>
      <c r="AM754" s="6"/>
      <c r="AN754" s="206"/>
      <c r="AP754" s="213"/>
      <c r="AQ754" s="6"/>
      <c r="AR754" s="6"/>
      <c r="AS754" s="6"/>
      <c r="AT754" s="206"/>
      <c r="AV754" s="213"/>
      <c r="AW754" s="6"/>
      <c r="AX754" s="6"/>
      <c r="AY754" s="6"/>
      <c r="AZ754" s="206"/>
    </row>
    <row r="755" spans="4:52" s="2" customFormat="1" ht="17.100000000000001" customHeight="1" x14ac:dyDescent="0.25">
      <c r="D755" s="3"/>
      <c r="E755" s="3"/>
      <c r="F755" s="4"/>
      <c r="G755" s="4"/>
      <c r="H755" s="138"/>
      <c r="I755" s="97"/>
      <c r="J755" s="6"/>
      <c r="K755" s="6"/>
      <c r="L755" s="6"/>
      <c r="M755" s="6"/>
      <c r="N755" s="6"/>
      <c r="O755" s="6"/>
      <c r="P755" s="6"/>
      <c r="Q755" s="6"/>
      <c r="R755" s="6"/>
      <c r="S755" s="6"/>
      <c r="T755" s="6"/>
      <c r="U755" s="6"/>
      <c r="V755" s="339"/>
      <c r="W755" s="339"/>
      <c r="X755" s="6"/>
      <c r="Y755" s="206"/>
      <c r="AE755" s="6"/>
      <c r="AF755" s="6"/>
      <c r="AG755" s="6"/>
      <c r="AH755" s="206"/>
      <c r="AJ755" s="213"/>
      <c r="AK755" s="6"/>
      <c r="AL755" s="6"/>
      <c r="AM755" s="6"/>
      <c r="AN755" s="206"/>
      <c r="AP755" s="213"/>
      <c r="AQ755" s="6"/>
      <c r="AR755" s="6"/>
      <c r="AS755" s="6"/>
      <c r="AT755" s="206"/>
      <c r="AV755" s="213"/>
      <c r="AW755" s="6"/>
      <c r="AX755" s="6"/>
      <c r="AY755" s="6"/>
      <c r="AZ755" s="206"/>
    </row>
    <row r="756" spans="4:52" s="2" customFormat="1" ht="17.100000000000001" customHeight="1" x14ac:dyDescent="0.25">
      <c r="D756" s="3"/>
      <c r="E756" s="3"/>
      <c r="F756" s="4"/>
      <c r="G756" s="4"/>
      <c r="H756" s="138"/>
      <c r="I756" s="97"/>
      <c r="J756" s="6"/>
      <c r="K756" s="6"/>
      <c r="L756" s="6"/>
      <c r="M756" s="6"/>
      <c r="N756" s="6"/>
      <c r="O756" s="6"/>
      <c r="P756" s="6"/>
      <c r="Q756" s="6"/>
      <c r="R756" s="6"/>
      <c r="S756" s="6"/>
      <c r="T756" s="6"/>
      <c r="U756" s="6"/>
      <c r="V756" s="339"/>
      <c r="W756" s="339"/>
      <c r="X756" s="6"/>
      <c r="Y756" s="206"/>
      <c r="AE756" s="6"/>
      <c r="AF756" s="6"/>
      <c r="AG756" s="6"/>
      <c r="AH756" s="206"/>
      <c r="AJ756" s="213"/>
      <c r="AK756" s="6"/>
      <c r="AL756" s="6"/>
      <c r="AM756" s="6"/>
      <c r="AN756" s="206"/>
      <c r="AP756" s="213"/>
      <c r="AQ756" s="6"/>
      <c r="AR756" s="6"/>
      <c r="AS756" s="6"/>
      <c r="AT756" s="206"/>
      <c r="AV756" s="213"/>
      <c r="AW756" s="6"/>
      <c r="AX756" s="6"/>
      <c r="AY756" s="6"/>
      <c r="AZ756" s="206"/>
    </row>
    <row r="757" spans="4:52" s="2" customFormat="1" ht="17.100000000000001" customHeight="1" x14ac:dyDescent="0.25">
      <c r="D757" s="3"/>
      <c r="E757" s="3"/>
      <c r="F757" s="4"/>
      <c r="G757" s="4"/>
      <c r="H757" s="138"/>
      <c r="I757" s="97"/>
      <c r="J757" s="6"/>
      <c r="K757" s="6"/>
      <c r="L757" s="6"/>
      <c r="M757" s="6"/>
      <c r="N757" s="6"/>
      <c r="O757" s="6"/>
      <c r="P757" s="6"/>
      <c r="Q757" s="6"/>
      <c r="R757" s="6"/>
      <c r="S757" s="6"/>
      <c r="T757" s="6"/>
      <c r="U757" s="6"/>
      <c r="V757" s="339"/>
      <c r="W757" s="339"/>
      <c r="X757" s="6"/>
      <c r="Y757" s="206"/>
      <c r="AE757" s="6"/>
      <c r="AF757" s="6"/>
      <c r="AG757" s="6"/>
      <c r="AH757" s="206"/>
      <c r="AJ757" s="213"/>
      <c r="AK757" s="6"/>
      <c r="AL757" s="6"/>
      <c r="AM757" s="6"/>
      <c r="AN757" s="206"/>
      <c r="AP757" s="213"/>
      <c r="AQ757" s="6"/>
      <c r="AR757" s="6"/>
      <c r="AS757" s="6"/>
      <c r="AT757" s="206"/>
      <c r="AV757" s="213"/>
      <c r="AW757" s="6"/>
      <c r="AX757" s="6"/>
      <c r="AY757" s="6"/>
      <c r="AZ757" s="206"/>
    </row>
    <row r="758" spans="4:52" s="2" customFormat="1" ht="17.100000000000001" customHeight="1" x14ac:dyDescent="0.25">
      <c r="D758" s="3"/>
      <c r="E758" s="3"/>
      <c r="F758" s="4"/>
      <c r="G758" s="4"/>
      <c r="H758" s="138"/>
      <c r="I758" s="97"/>
      <c r="J758" s="6"/>
      <c r="K758" s="6"/>
      <c r="L758" s="6"/>
      <c r="M758" s="6"/>
      <c r="N758" s="6"/>
      <c r="O758" s="6"/>
      <c r="P758" s="6"/>
      <c r="Q758" s="6"/>
      <c r="R758" s="6"/>
      <c r="S758" s="6"/>
      <c r="T758" s="6"/>
      <c r="U758" s="6"/>
      <c r="V758" s="339"/>
      <c r="W758" s="339"/>
      <c r="X758" s="6"/>
      <c r="Y758" s="206"/>
      <c r="AE758" s="6"/>
      <c r="AF758" s="6"/>
      <c r="AG758" s="6"/>
      <c r="AH758" s="206"/>
      <c r="AJ758" s="213"/>
      <c r="AK758" s="6"/>
      <c r="AL758" s="6"/>
      <c r="AM758" s="6"/>
      <c r="AN758" s="206"/>
      <c r="AP758" s="213"/>
      <c r="AQ758" s="6"/>
      <c r="AR758" s="6"/>
      <c r="AS758" s="6"/>
      <c r="AT758" s="206"/>
      <c r="AV758" s="213"/>
      <c r="AW758" s="6"/>
      <c r="AX758" s="6"/>
      <c r="AY758" s="6"/>
      <c r="AZ758" s="206"/>
    </row>
    <row r="759" spans="4:52" s="2" customFormat="1" ht="17.100000000000001" customHeight="1" x14ac:dyDescent="0.25">
      <c r="D759" s="3"/>
      <c r="E759" s="3"/>
      <c r="F759" s="4"/>
      <c r="G759" s="4"/>
      <c r="H759" s="138"/>
      <c r="I759" s="97"/>
      <c r="J759" s="6"/>
      <c r="K759" s="6"/>
      <c r="L759" s="6"/>
      <c r="M759" s="6"/>
      <c r="N759" s="6"/>
      <c r="O759" s="6"/>
      <c r="P759" s="6"/>
      <c r="Q759" s="6"/>
      <c r="R759" s="6"/>
      <c r="S759" s="6"/>
      <c r="T759" s="6"/>
      <c r="U759" s="6"/>
      <c r="V759" s="339"/>
      <c r="W759" s="339"/>
      <c r="X759" s="6"/>
      <c r="Y759" s="206"/>
      <c r="AE759" s="6"/>
      <c r="AF759" s="6"/>
      <c r="AG759" s="6"/>
      <c r="AH759" s="206"/>
      <c r="AJ759" s="213"/>
      <c r="AK759" s="6"/>
      <c r="AL759" s="6"/>
      <c r="AM759" s="6"/>
      <c r="AN759" s="206"/>
      <c r="AP759" s="213"/>
      <c r="AQ759" s="6"/>
      <c r="AR759" s="6"/>
      <c r="AS759" s="6"/>
      <c r="AT759" s="206"/>
      <c r="AV759" s="213"/>
      <c r="AW759" s="6"/>
      <c r="AX759" s="6"/>
      <c r="AY759" s="6"/>
      <c r="AZ759" s="206"/>
    </row>
    <row r="760" spans="4:52" s="2" customFormat="1" ht="17.100000000000001" customHeight="1" x14ac:dyDescent="0.25">
      <c r="D760" s="3"/>
      <c r="E760" s="3"/>
      <c r="F760" s="4"/>
      <c r="G760" s="4"/>
      <c r="H760" s="138"/>
      <c r="I760" s="97"/>
      <c r="J760" s="6"/>
      <c r="K760" s="6"/>
      <c r="L760" s="6"/>
      <c r="M760" s="6"/>
      <c r="N760" s="6"/>
      <c r="O760" s="6"/>
      <c r="P760" s="6"/>
      <c r="Q760" s="6"/>
      <c r="R760" s="6"/>
      <c r="S760" s="6"/>
      <c r="T760" s="6"/>
      <c r="U760" s="6"/>
      <c r="V760" s="339"/>
      <c r="W760" s="339"/>
      <c r="X760" s="6"/>
      <c r="Y760" s="206"/>
      <c r="AE760" s="6"/>
      <c r="AF760" s="6"/>
      <c r="AG760" s="6"/>
      <c r="AH760" s="206"/>
      <c r="AJ760" s="213"/>
      <c r="AK760" s="6"/>
      <c r="AL760" s="6"/>
      <c r="AM760" s="6"/>
      <c r="AN760" s="206"/>
      <c r="AP760" s="213"/>
      <c r="AQ760" s="6"/>
      <c r="AR760" s="6"/>
      <c r="AS760" s="6"/>
      <c r="AT760" s="206"/>
      <c r="AV760" s="213"/>
      <c r="AW760" s="6"/>
      <c r="AX760" s="6"/>
      <c r="AY760" s="6"/>
      <c r="AZ760" s="206"/>
    </row>
    <row r="761" spans="4:52" s="2" customFormat="1" ht="17.100000000000001" customHeight="1" x14ac:dyDescent="0.25">
      <c r="D761" s="3"/>
      <c r="E761" s="3"/>
      <c r="F761" s="4"/>
      <c r="G761" s="4"/>
      <c r="H761" s="138"/>
      <c r="I761" s="97"/>
      <c r="J761" s="6"/>
      <c r="K761" s="6"/>
      <c r="L761" s="6"/>
      <c r="M761" s="6"/>
      <c r="N761" s="6"/>
      <c r="O761" s="6"/>
      <c r="P761" s="6"/>
      <c r="Q761" s="6"/>
      <c r="R761" s="6"/>
      <c r="S761" s="6"/>
      <c r="T761" s="6"/>
      <c r="U761" s="6"/>
      <c r="V761" s="339"/>
      <c r="W761" s="339"/>
      <c r="X761" s="6"/>
      <c r="Y761" s="206"/>
      <c r="AE761" s="6"/>
      <c r="AF761" s="6"/>
      <c r="AG761" s="6"/>
      <c r="AH761" s="206"/>
      <c r="AJ761" s="213"/>
      <c r="AK761" s="6"/>
      <c r="AL761" s="6"/>
      <c r="AM761" s="6"/>
      <c r="AN761" s="206"/>
      <c r="AP761" s="213"/>
      <c r="AQ761" s="6"/>
      <c r="AR761" s="6"/>
      <c r="AS761" s="6"/>
      <c r="AT761" s="206"/>
      <c r="AV761" s="213"/>
      <c r="AW761" s="6"/>
      <c r="AX761" s="6"/>
      <c r="AY761" s="6"/>
      <c r="AZ761" s="206"/>
    </row>
    <row r="762" spans="4:52" s="2" customFormat="1" ht="17.100000000000001" customHeight="1" x14ac:dyDescent="0.25">
      <c r="D762" s="3"/>
      <c r="E762" s="3"/>
      <c r="F762" s="4"/>
      <c r="G762" s="4"/>
      <c r="H762" s="138"/>
      <c r="I762" s="97"/>
      <c r="J762" s="6"/>
      <c r="K762" s="6"/>
      <c r="L762" s="6"/>
      <c r="M762" s="6"/>
      <c r="N762" s="6"/>
      <c r="O762" s="6"/>
      <c r="P762" s="6"/>
      <c r="Q762" s="6"/>
      <c r="R762" s="6"/>
      <c r="S762" s="6"/>
      <c r="T762" s="6"/>
      <c r="U762" s="6"/>
      <c r="V762" s="339"/>
      <c r="W762" s="339"/>
      <c r="X762" s="6"/>
      <c r="Y762" s="206"/>
      <c r="AE762" s="6"/>
      <c r="AF762" s="6"/>
      <c r="AG762" s="6"/>
      <c r="AH762" s="206"/>
      <c r="AJ762" s="213"/>
      <c r="AK762" s="6"/>
      <c r="AL762" s="6"/>
      <c r="AM762" s="6"/>
      <c r="AN762" s="206"/>
      <c r="AP762" s="213"/>
      <c r="AQ762" s="6"/>
      <c r="AR762" s="6"/>
      <c r="AS762" s="6"/>
      <c r="AT762" s="206"/>
      <c r="AV762" s="213"/>
      <c r="AW762" s="6"/>
      <c r="AX762" s="6"/>
      <c r="AY762" s="6"/>
      <c r="AZ762" s="206"/>
    </row>
    <row r="763" spans="4:52" s="2" customFormat="1" ht="17.100000000000001" customHeight="1" x14ac:dyDescent="0.25">
      <c r="D763" s="3"/>
      <c r="E763" s="3"/>
      <c r="F763" s="4"/>
      <c r="G763" s="4"/>
      <c r="H763" s="138"/>
      <c r="I763" s="97"/>
      <c r="J763" s="6"/>
      <c r="K763" s="6"/>
      <c r="L763" s="6"/>
      <c r="M763" s="6"/>
      <c r="N763" s="6"/>
      <c r="O763" s="6"/>
      <c r="P763" s="6"/>
      <c r="Q763" s="6"/>
      <c r="R763" s="6"/>
      <c r="S763" s="6"/>
      <c r="T763" s="6"/>
      <c r="U763" s="6"/>
      <c r="V763" s="339"/>
      <c r="W763" s="339"/>
      <c r="X763" s="6"/>
      <c r="Y763" s="206"/>
      <c r="AE763" s="6"/>
      <c r="AF763" s="6"/>
      <c r="AG763" s="6"/>
      <c r="AH763" s="206"/>
      <c r="AJ763" s="213"/>
      <c r="AK763" s="6"/>
      <c r="AL763" s="6"/>
      <c r="AM763" s="6"/>
      <c r="AN763" s="206"/>
      <c r="AP763" s="213"/>
      <c r="AQ763" s="6"/>
      <c r="AR763" s="6"/>
      <c r="AS763" s="6"/>
      <c r="AT763" s="206"/>
      <c r="AV763" s="213"/>
      <c r="AW763" s="6"/>
      <c r="AX763" s="6"/>
      <c r="AY763" s="6"/>
      <c r="AZ763" s="206"/>
    </row>
    <row r="764" spans="4:52" s="2" customFormat="1" ht="17.100000000000001" customHeight="1" x14ac:dyDescent="0.25">
      <c r="D764" s="3"/>
      <c r="E764" s="3"/>
      <c r="F764" s="4"/>
      <c r="G764" s="4"/>
      <c r="H764" s="138"/>
      <c r="I764" s="97"/>
      <c r="J764" s="6"/>
      <c r="K764" s="6"/>
      <c r="L764" s="6"/>
      <c r="M764" s="6"/>
      <c r="N764" s="6"/>
      <c r="O764" s="6"/>
      <c r="P764" s="6"/>
      <c r="Q764" s="6"/>
      <c r="R764" s="6"/>
      <c r="S764" s="6"/>
      <c r="T764" s="6"/>
      <c r="U764" s="6"/>
      <c r="V764" s="339"/>
      <c r="W764" s="339"/>
      <c r="X764" s="6"/>
      <c r="Y764" s="206"/>
      <c r="AE764" s="6"/>
      <c r="AF764" s="6"/>
      <c r="AG764" s="6"/>
      <c r="AH764" s="206"/>
      <c r="AJ764" s="213"/>
      <c r="AK764" s="6"/>
      <c r="AL764" s="6"/>
      <c r="AM764" s="6"/>
      <c r="AN764" s="206"/>
      <c r="AP764" s="213"/>
      <c r="AQ764" s="6"/>
      <c r="AR764" s="6"/>
      <c r="AS764" s="6"/>
      <c r="AT764" s="206"/>
      <c r="AV764" s="213"/>
      <c r="AW764" s="6"/>
      <c r="AX764" s="6"/>
      <c r="AY764" s="6"/>
      <c r="AZ764" s="206"/>
    </row>
    <row r="765" spans="4:52" s="2" customFormat="1" ht="17.100000000000001" customHeight="1" x14ac:dyDescent="0.25">
      <c r="D765" s="3"/>
      <c r="E765" s="3"/>
      <c r="F765" s="4"/>
      <c r="G765" s="4"/>
      <c r="H765" s="138"/>
      <c r="I765" s="97"/>
      <c r="J765" s="6"/>
      <c r="K765" s="6"/>
      <c r="L765" s="6"/>
      <c r="M765" s="6"/>
      <c r="N765" s="6"/>
      <c r="O765" s="6"/>
      <c r="P765" s="6"/>
      <c r="Q765" s="6"/>
      <c r="R765" s="6"/>
      <c r="S765" s="6"/>
      <c r="T765" s="6"/>
      <c r="U765" s="6"/>
      <c r="V765" s="339"/>
      <c r="W765" s="339"/>
      <c r="X765" s="6"/>
      <c r="Y765" s="206"/>
      <c r="AE765" s="6"/>
      <c r="AF765" s="6"/>
      <c r="AG765" s="6"/>
      <c r="AH765" s="206"/>
      <c r="AJ765" s="213"/>
      <c r="AK765" s="6"/>
      <c r="AL765" s="6"/>
      <c r="AM765" s="6"/>
      <c r="AN765" s="206"/>
      <c r="AP765" s="213"/>
      <c r="AQ765" s="6"/>
      <c r="AR765" s="6"/>
      <c r="AS765" s="6"/>
      <c r="AT765" s="206"/>
      <c r="AV765" s="213"/>
      <c r="AW765" s="6"/>
      <c r="AX765" s="6"/>
      <c r="AY765" s="6"/>
      <c r="AZ765" s="206"/>
    </row>
    <row r="766" spans="4:52" s="2" customFormat="1" ht="17.100000000000001" customHeight="1" x14ac:dyDescent="0.25">
      <c r="D766" s="3"/>
      <c r="E766" s="3"/>
      <c r="F766" s="4"/>
      <c r="G766" s="4"/>
      <c r="H766" s="138"/>
      <c r="I766" s="97"/>
      <c r="J766" s="6"/>
      <c r="K766" s="6"/>
      <c r="L766" s="6"/>
      <c r="M766" s="6"/>
      <c r="N766" s="6"/>
      <c r="O766" s="6"/>
      <c r="P766" s="6"/>
      <c r="Q766" s="6"/>
      <c r="R766" s="6"/>
      <c r="S766" s="6"/>
      <c r="T766" s="6"/>
      <c r="U766" s="6"/>
      <c r="V766" s="339"/>
      <c r="W766" s="339"/>
      <c r="X766" s="6"/>
      <c r="Y766" s="206"/>
      <c r="AE766" s="6"/>
      <c r="AF766" s="6"/>
      <c r="AG766" s="6"/>
      <c r="AH766" s="206"/>
      <c r="AJ766" s="213"/>
      <c r="AK766" s="6"/>
      <c r="AL766" s="6"/>
      <c r="AM766" s="6"/>
      <c r="AN766" s="206"/>
      <c r="AP766" s="213"/>
      <c r="AQ766" s="6"/>
      <c r="AR766" s="6"/>
      <c r="AS766" s="6"/>
      <c r="AT766" s="206"/>
      <c r="AV766" s="213"/>
      <c r="AW766" s="6"/>
      <c r="AX766" s="6"/>
      <c r="AY766" s="6"/>
      <c r="AZ766" s="206"/>
    </row>
    <row r="767" spans="4:52" s="2" customFormat="1" ht="17.100000000000001" customHeight="1" x14ac:dyDescent="0.25">
      <c r="D767" s="3"/>
      <c r="E767" s="3"/>
      <c r="F767" s="4"/>
      <c r="G767" s="4"/>
      <c r="H767" s="138"/>
      <c r="I767" s="97"/>
      <c r="J767" s="6"/>
      <c r="K767" s="6"/>
      <c r="L767" s="6"/>
      <c r="M767" s="6"/>
      <c r="N767" s="6"/>
      <c r="O767" s="6"/>
      <c r="P767" s="6"/>
      <c r="Q767" s="6"/>
      <c r="R767" s="6"/>
      <c r="S767" s="6"/>
      <c r="T767" s="6"/>
      <c r="U767" s="6"/>
      <c r="V767" s="339"/>
      <c r="W767" s="339"/>
      <c r="X767" s="6"/>
      <c r="Y767" s="206"/>
      <c r="AE767" s="6"/>
      <c r="AF767" s="6"/>
      <c r="AG767" s="6"/>
      <c r="AH767" s="206"/>
      <c r="AJ767" s="213"/>
      <c r="AK767" s="6"/>
      <c r="AL767" s="6"/>
      <c r="AM767" s="6"/>
      <c r="AN767" s="206"/>
      <c r="AP767" s="213"/>
      <c r="AQ767" s="6"/>
      <c r="AR767" s="6"/>
      <c r="AS767" s="6"/>
      <c r="AT767" s="206"/>
      <c r="AV767" s="213"/>
      <c r="AW767" s="6"/>
      <c r="AX767" s="6"/>
      <c r="AY767" s="6"/>
      <c r="AZ767" s="206"/>
    </row>
    <row r="768" spans="4:52" s="2" customFormat="1" ht="17.100000000000001" customHeight="1" x14ac:dyDescent="0.25">
      <c r="D768" s="3"/>
      <c r="E768" s="3"/>
      <c r="F768" s="4"/>
      <c r="G768" s="4"/>
      <c r="H768" s="138"/>
      <c r="I768" s="97"/>
      <c r="J768" s="6"/>
      <c r="K768" s="6"/>
      <c r="L768" s="6"/>
      <c r="M768" s="6"/>
      <c r="N768" s="6"/>
      <c r="O768" s="6"/>
      <c r="P768" s="6"/>
      <c r="Q768" s="6"/>
      <c r="R768" s="6"/>
      <c r="S768" s="6"/>
      <c r="T768" s="6"/>
      <c r="U768" s="6"/>
      <c r="V768" s="339"/>
      <c r="W768" s="339"/>
      <c r="X768" s="6"/>
      <c r="Y768" s="206"/>
      <c r="AE768" s="6"/>
      <c r="AF768" s="6"/>
      <c r="AG768" s="6"/>
      <c r="AH768" s="206"/>
      <c r="AJ768" s="213"/>
      <c r="AK768" s="6"/>
      <c r="AL768" s="6"/>
      <c r="AM768" s="6"/>
      <c r="AN768" s="206"/>
      <c r="AP768" s="213"/>
      <c r="AQ768" s="6"/>
      <c r="AR768" s="6"/>
      <c r="AS768" s="6"/>
      <c r="AT768" s="206"/>
      <c r="AV768" s="213"/>
      <c r="AW768" s="6"/>
      <c r="AX768" s="6"/>
      <c r="AY768" s="6"/>
      <c r="AZ768" s="206"/>
    </row>
    <row r="769" spans="4:52" s="2" customFormat="1" ht="17.100000000000001" customHeight="1" x14ac:dyDescent="0.25">
      <c r="D769" s="3"/>
      <c r="E769" s="3"/>
      <c r="F769" s="4"/>
      <c r="G769" s="4"/>
      <c r="H769" s="138"/>
      <c r="I769" s="97"/>
      <c r="J769" s="6"/>
      <c r="K769" s="6"/>
      <c r="L769" s="6"/>
      <c r="M769" s="6"/>
      <c r="N769" s="6"/>
      <c r="O769" s="6"/>
      <c r="P769" s="6"/>
      <c r="Q769" s="6"/>
      <c r="R769" s="6"/>
      <c r="S769" s="6"/>
      <c r="T769" s="6"/>
      <c r="U769" s="6"/>
      <c r="V769" s="339"/>
      <c r="W769" s="339"/>
      <c r="X769" s="6"/>
      <c r="Y769" s="206"/>
      <c r="AE769" s="6"/>
      <c r="AF769" s="6"/>
      <c r="AG769" s="6"/>
      <c r="AH769" s="206"/>
      <c r="AJ769" s="213"/>
      <c r="AK769" s="6"/>
      <c r="AL769" s="6"/>
      <c r="AM769" s="6"/>
      <c r="AN769" s="206"/>
      <c r="AP769" s="213"/>
      <c r="AQ769" s="6"/>
      <c r="AR769" s="6"/>
      <c r="AS769" s="6"/>
      <c r="AT769" s="206"/>
      <c r="AV769" s="213"/>
      <c r="AW769" s="6"/>
      <c r="AX769" s="6"/>
      <c r="AY769" s="6"/>
      <c r="AZ769" s="206"/>
    </row>
    <row r="770" spans="4:52" s="2" customFormat="1" ht="17.100000000000001" customHeight="1" x14ac:dyDescent="0.25">
      <c r="D770" s="3"/>
      <c r="E770" s="3"/>
      <c r="F770" s="4"/>
      <c r="G770" s="4"/>
      <c r="H770" s="138"/>
      <c r="I770" s="97"/>
      <c r="J770" s="6"/>
      <c r="K770" s="6"/>
      <c r="L770" s="6"/>
      <c r="M770" s="6"/>
      <c r="N770" s="6"/>
      <c r="O770" s="6"/>
      <c r="P770" s="6"/>
      <c r="Q770" s="6"/>
      <c r="R770" s="6"/>
      <c r="S770" s="6"/>
      <c r="T770" s="6"/>
      <c r="U770" s="6"/>
      <c r="V770" s="339"/>
      <c r="W770" s="339"/>
      <c r="X770" s="6"/>
      <c r="Y770" s="206"/>
      <c r="AE770" s="6"/>
      <c r="AF770" s="6"/>
      <c r="AG770" s="6"/>
      <c r="AH770" s="206"/>
      <c r="AJ770" s="213"/>
      <c r="AK770" s="6"/>
      <c r="AL770" s="6"/>
      <c r="AM770" s="6"/>
      <c r="AN770" s="206"/>
      <c r="AP770" s="213"/>
      <c r="AQ770" s="6"/>
      <c r="AR770" s="6"/>
      <c r="AS770" s="6"/>
      <c r="AT770" s="206"/>
      <c r="AV770" s="213"/>
      <c r="AW770" s="6"/>
      <c r="AX770" s="6"/>
      <c r="AY770" s="6"/>
      <c r="AZ770" s="206"/>
    </row>
    <row r="771" spans="4:52" s="2" customFormat="1" ht="17.100000000000001" customHeight="1" x14ac:dyDescent="0.25">
      <c r="D771" s="3"/>
      <c r="E771" s="3"/>
      <c r="F771" s="4"/>
      <c r="G771" s="4"/>
      <c r="H771" s="138"/>
      <c r="I771" s="97"/>
      <c r="J771" s="6"/>
      <c r="K771" s="6"/>
      <c r="L771" s="6"/>
      <c r="M771" s="6"/>
      <c r="N771" s="6"/>
      <c r="O771" s="6"/>
      <c r="P771" s="6"/>
      <c r="Q771" s="6"/>
      <c r="R771" s="6"/>
      <c r="S771" s="6"/>
      <c r="T771" s="6"/>
      <c r="U771" s="6"/>
      <c r="V771" s="339"/>
      <c r="W771" s="339"/>
      <c r="X771" s="6"/>
      <c r="Y771" s="206"/>
      <c r="AE771" s="6"/>
      <c r="AF771" s="6"/>
      <c r="AG771" s="6"/>
      <c r="AH771" s="206"/>
      <c r="AJ771" s="213"/>
      <c r="AK771" s="6"/>
      <c r="AL771" s="6"/>
      <c r="AM771" s="6"/>
      <c r="AN771" s="206"/>
      <c r="AP771" s="213"/>
      <c r="AQ771" s="6"/>
      <c r="AR771" s="6"/>
      <c r="AS771" s="6"/>
      <c r="AT771" s="206"/>
      <c r="AV771" s="213"/>
      <c r="AW771" s="6"/>
      <c r="AX771" s="6"/>
      <c r="AY771" s="6"/>
      <c r="AZ771" s="206"/>
    </row>
    <row r="772" spans="4:52" s="2" customFormat="1" ht="17.100000000000001" customHeight="1" x14ac:dyDescent="0.25">
      <c r="D772" s="3"/>
      <c r="E772" s="3"/>
      <c r="F772" s="4"/>
      <c r="G772" s="4"/>
      <c r="H772" s="138"/>
      <c r="I772" s="97"/>
      <c r="J772" s="6"/>
      <c r="K772" s="6"/>
      <c r="L772" s="6"/>
      <c r="M772" s="6"/>
      <c r="N772" s="6"/>
      <c r="O772" s="6"/>
      <c r="P772" s="6"/>
      <c r="Q772" s="6"/>
      <c r="R772" s="6"/>
      <c r="S772" s="6"/>
      <c r="T772" s="6"/>
      <c r="U772" s="6"/>
      <c r="V772" s="339"/>
      <c r="W772" s="339"/>
      <c r="X772" s="6"/>
      <c r="Y772" s="206"/>
      <c r="AE772" s="6"/>
      <c r="AF772" s="6"/>
      <c r="AG772" s="6"/>
      <c r="AH772" s="206"/>
      <c r="AJ772" s="213"/>
      <c r="AK772" s="6"/>
      <c r="AL772" s="6"/>
      <c r="AM772" s="6"/>
      <c r="AN772" s="206"/>
      <c r="AP772" s="213"/>
      <c r="AQ772" s="6"/>
      <c r="AR772" s="6"/>
      <c r="AS772" s="6"/>
      <c r="AT772" s="206"/>
      <c r="AV772" s="213"/>
      <c r="AW772" s="6"/>
      <c r="AX772" s="6"/>
      <c r="AY772" s="6"/>
      <c r="AZ772" s="206"/>
    </row>
    <row r="773" spans="4:52" s="2" customFormat="1" ht="17.100000000000001" customHeight="1" x14ac:dyDescent="0.25">
      <c r="D773" s="3"/>
      <c r="E773" s="3"/>
      <c r="F773" s="4"/>
      <c r="G773" s="4"/>
      <c r="H773" s="138"/>
      <c r="I773" s="97"/>
      <c r="J773" s="6"/>
      <c r="K773" s="6"/>
      <c r="L773" s="6"/>
      <c r="M773" s="6"/>
      <c r="N773" s="6"/>
      <c r="O773" s="6"/>
      <c r="P773" s="6"/>
      <c r="Q773" s="6"/>
      <c r="R773" s="6"/>
      <c r="S773" s="6"/>
      <c r="T773" s="6"/>
      <c r="U773" s="6"/>
      <c r="V773" s="339"/>
      <c r="W773" s="339"/>
      <c r="X773" s="6"/>
      <c r="Y773" s="206"/>
      <c r="AE773" s="6"/>
      <c r="AF773" s="6"/>
      <c r="AG773" s="6"/>
      <c r="AH773" s="206"/>
      <c r="AJ773" s="213"/>
      <c r="AK773" s="6"/>
      <c r="AL773" s="6"/>
      <c r="AM773" s="6"/>
      <c r="AN773" s="206"/>
      <c r="AP773" s="213"/>
      <c r="AQ773" s="6"/>
      <c r="AR773" s="6"/>
      <c r="AS773" s="6"/>
      <c r="AT773" s="206"/>
      <c r="AV773" s="213"/>
      <c r="AW773" s="6"/>
      <c r="AX773" s="6"/>
      <c r="AY773" s="6"/>
      <c r="AZ773" s="206"/>
    </row>
    <row r="774" spans="4:52" s="2" customFormat="1" ht="17.100000000000001" customHeight="1" x14ac:dyDescent="0.25">
      <c r="D774" s="3"/>
      <c r="E774" s="3"/>
      <c r="F774" s="4"/>
      <c r="G774" s="4"/>
      <c r="H774" s="138"/>
      <c r="I774" s="97"/>
      <c r="J774" s="6"/>
      <c r="K774" s="6"/>
      <c r="L774" s="6"/>
      <c r="M774" s="6"/>
      <c r="N774" s="6"/>
      <c r="O774" s="6"/>
      <c r="P774" s="6"/>
      <c r="Q774" s="6"/>
      <c r="R774" s="6"/>
      <c r="S774" s="6"/>
      <c r="T774" s="6"/>
      <c r="U774" s="6"/>
      <c r="V774" s="339"/>
      <c r="W774" s="339"/>
      <c r="X774" s="6"/>
      <c r="Y774" s="206"/>
      <c r="AE774" s="6"/>
      <c r="AF774" s="6"/>
      <c r="AG774" s="6"/>
      <c r="AH774" s="206"/>
      <c r="AJ774" s="213"/>
      <c r="AK774" s="6"/>
      <c r="AL774" s="6"/>
      <c r="AM774" s="6"/>
      <c r="AN774" s="206"/>
      <c r="AP774" s="213"/>
      <c r="AQ774" s="6"/>
      <c r="AR774" s="6"/>
      <c r="AS774" s="6"/>
      <c r="AT774" s="206"/>
      <c r="AV774" s="213"/>
      <c r="AW774" s="6"/>
      <c r="AX774" s="6"/>
      <c r="AY774" s="6"/>
      <c r="AZ774" s="206"/>
    </row>
    <row r="775" spans="4:52" s="2" customFormat="1" ht="17.100000000000001" customHeight="1" x14ac:dyDescent="0.25">
      <c r="D775" s="3"/>
      <c r="E775" s="3"/>
      <c r="F775" s="4"/>
      <c r="G775" s="4"/>
      <c r="H775" s="138"/>
      <c r="I775" s="97"/>
      <c r="J775" s="6"/>
      <c r="K775" s="6"/>
      <c r="L775" s="6"/>
      <c r="M775" s="6"/>
      <c r="N775" s="6"/>
      <c r="O775" s="6"/>
      <c r="P775" s="6"/>
      <c r="Q775" s="6"/>
      <c r="R775" s="6"/>
      <c r="S775" s="6"/>
      <c r="T775" s="6"/>
      <c r="U775" s="6"/>
      <c r="V775" s="339"/>
      <c r="W775" s="339"/>
      <c r="X775" s="6"/>
      <c r="Y775" s="206"/>
      <c r="AE775" s="6"/>
      <c r="AF775" s="6"/>
      <c r="AG775" s="6"/>
      <c r="AH775" s="206"/>
      <c r="AJ775" s="213"/>
      <c r="AK775" s="6"/>
      <c r="AL775" s="6"/>
      <c r="AM775" s="6"/>
      <c r="AN775" s="206"/>
      <c r="AP775" s="213"/>
      <c r="AQ775" s="6"/>
      <c r="AR775" s="6"/>
      <c r="AS775" s="6"/>
      <c r="AT775" s="206"/>
      <c r="AV775" s="213"/>
      <c r="AW775" s="6"/>
      <c r="AX775" s="6"/>
      <c r="AY775" s="6"/>
      <c r="AZ775" s="206"/>
    </row>
    <row r="776" spans="4:52" s="2" customFormat="1" ht="17.100000000000001" customHeight="1" x14ac:dyDescent="0.25">
      <c r="D776" s="3"/>
      <c r="E776" s="3"/>
      <c r="F776" s="4"/>
      <c r="G776" s="4"/>
      <c r="H776" s="138"/>
      <c r="I776" s="97"/>
      <c r="J776" s="6"/>
      <c r="K776" s="6"/>
      <c r="L776" s="6"/>
      <c r="M776" s="6"/>
      <c r="N776" s="6"/>
      <c r="O776" s="6"/>
      <c r="P776" s="6"/>
      <c r="Q776" s="6"/>
      <c r="R776" s="6"/>
      <c r="S776" s="6"/>
      <c r="T776" s="6"/>
      <c r="U776" s="6"/>
      <c r="V776" s="339"/>
      <c r="W776" s="339"/>
      <c r="X776" s="6"/>
      <c r="Y776" s="206"/>
      <c r="AE776" s="6"/>
      <c r="AF776" s="6"/>
      <c r="AG776" s="6"/>
      <c r="AH776" s="206"/>
      <c r="AJ776" s="213"/>
      <c r="AK776" s="6"/>
      <c r="AL776" s="6"/>
      <c r="AM776" s="6"/>
      <c r="AN776" s="206"/>
      <c r="AP776" s="213"/>
      <c r="AQ776" s="6"/>
      <c r="AR776" s="6"/>
      <c r="AS776" s="6"/>
      <c r="AT776" s="206"/>
      <c r="AV776" s="213"/>
      <c r="AW776" s="6"/>
      <c r="AX776" s="6"/>
      <c r="AY776" s="6"/>
      <c r="AZ776" s="206"/>
    </row>
    <row r="777" spans="4:52" s="2" customFormat="1" ht="17.100000000000001" customHeight="1" x14ac:dyDescent="0.25">
      <c r="D777" s="3"/>
      <c r="E777" s="3"/>
      <c r="F777" s="4"/>
      <c r="G777" s="4"/>
      <c r="H777" s="138"/>
      <c r="I777" s="97"/>
      <c r="J777" s="6"/>
      <c r="K777" s="6"/>
      <c r="L777" s="6"/>
      <c r="M777" s="6"/>
      <c r="N777" s="6"/>
      <c r="O777" s="6"/>
      <c r="P777" s="6"/>
      <c r="Q777" s="6"/>
      <c r="R777" s="6"/>
      <c r="S777" s="6"/>
      <c r="T777" s="6"/>
      <c r="U777" s="6"/>
      <c r="V777" s="339"/>
      <c r="W777" s="339"/>
      <c r="X777" s="6"/>
      <c r="Y777" s="206"/>
      <c r="AE777" s="6"/>
      <c r="AF777" s="6"/>
      <c r="AG777" s="6"/>
      <c r="AH777" s="206"/>
      <c r="AJ777" s="213"/>
      <c r="AK777" s="6"/>
      <c r="AL777" s="6"/>
      <c r="AM777" s="6"/>
      <c r="AN777" s="206"/>
      <c r="AP777" s="213"/>
      <c r="AQ777" s="6"/>
      <c r="AR777" s="6"/>
      <c r="AS777" s="6"/>
      <c r="AT777" s="206"/>
      <c r="AV777" s="213"/>
      <c r="AW777" s="6"/>
      <c r="AX777" s="6"/>
      <c r="AY777" s="6"/>
      <c r="AZ777" s="206"/>
    </row>
    <row r="778" spans="4:52" s="2" customFormat="1" ht="17.100000000000001" customHeight="1" x14ac:dyDescent="0.25">
      <c r="D778" s="3"/>
      <c r="E778" s="3"/>
      <c r="F778" s="4"/>
      <c r="G778" s="4"/>
      <c r="H778" s="138"/>
      <c r="I778" s="97"/>
      <c r="J778" s="6"/>
      <c r="K778" s="6"/>
      <c r="L778" s="6"/>
      <c r="M778" s="6"/>
      <c r="N778" s="6"/>
      <c r="O778" s="6"/>
      <c r="P778" s="6"/>
      <c r="Q778" s="6"/>
      <c r="R778" s="6"/>
      <c r="S778" s="6"/>
      <c r="T778" s="6"/>
      <c r="U778" s="6"/>
      <c r="V778" s="339"/>
      <c r="W778" s="339"/>
      <c r="X778" s="6"/>
      <c r="Y778" s="206"/>
      <c r="AE778" s="6"/>
      <c r="AF778" s="6"/>
      <c r="AG778" s="6"/>
      <c r="AH778" s="206"/>
      <c r="AJ778" s="213"/>
      <c r="AK778" s="6"/>
      <c r="AL778" s="6"/>
      <c r="AM778" s="6"/>
      <c r="AN778" s="206"/>
      <c r="AP778" s="213"/>
      <c r="AQ778" s="6"/>
      <c r="AR778" s="6"/>
      <c r="AS778" s="6"/>
      <c r="AT778" s="206"/>
      <c r="AV778" s="213"/>
      <c r="AW778" s="6"/>
      <c r="AX778" s="6"/>
      <c r="AY778" s="6"/>
      <c r="AZ778" s="206"/>
    </row>
    <row r="779" spans="4:52" s="2" customFormat="1" ht="17.100000000000001" customHeight="1" x14ac:dyDescent="0.25">
      <c r="D779" s="3"/>
      <c r="E779" s="3"/>
      <c r="F779" s="4"/>
      <c r="G779" s="4"/>
      <c r="H779" s="138"/>
      <c r="I779" s="97"/>
      <c r="J779" s="6"/>
      <c r="K779" s="6"/>
      <c r="L779" s="6"/>
      <c r="M779" s="6"/>
      <c r="N779" s="6"/>
      <c r="O779" s="6"/>
      <c r="P779" s="6"/>
      <c r="Q779" s="6"/>
      <c r="R779" s="6"/>
      <c r="S779" s="6"/>
      <c r="T779" s="6"/>
      <c r="U779" s="6"/>
      <c r="V779" s="339"/>
      <c r="W779" s="339"/>
      <c r="X779" s="6"/>
      <c r="Y779" s="206"/>
      <c r="AE779" s="6"/>
      <c r="AF779" s="6"/>
      <c r="AG779" s="6"/>
      <c r="AH779" s="206"/>
      <c r="AJ779" s="213"/>
      <c r="AK779" s="6"/>
      <c r="AL779" s="6"/>
      <c r="AM779" s="6"/>
      <c r="AN779" s="206"/>
      <c r="AP779" s="213"/>
      <c r="AQ779" s="6"/>
      <c r="AR779" s="6"/>
      <c r="AS779" s="6"/>
      <c r="AT779" s="206"/>
      <c r="AV779" s="213"/>
      <c r="AW779" s="6"/>
      <c r="AX779" s="6"/>
      <c r="AY779" s="6"/>
      <c r="AZ779" s="206"/>
    </row>
    <row r="780" spans="4:52" s="2" customFormat="1" ht="17.100000000000001" customHeight="1" x14ac:dyDescent="0.25">
      <c r="D780" s="3"/>
      <c r="E780" s="3"/>
      <c r="F780" s="4"/>
      <c r="G780" s="4"/>
      <c r="H780" s="138"/>
      <c r="I780" s="97"/>
      <c r="J780" s="6"/>
      <c r="K780" s="6"/>
      <c r="L780" s="6"/>
      <c r="M780" s="6"/>
      <c r="N780" s="6"/>
      <c r="O780" s="6"/>
      <c r="P780" s="6"/>
      <c r="Q780" s="6"/>
      <c r="R780" s="6"/>
      <c r="S780" s="6"/>
      <c r="T780" s="6"/>
      <c r="U780" s="6"/>
      <c r="V780" s="339"/>
      <c r="W780" s="339"/>
      <c r="X780" s="6"/>
      <c r="Y780" s="206"/>
      <c r="AE780" s="6"/>
      <c r="AF780" s="6"/>
      <c r="AG780" s="6"/>
      <c r="AH780" s="206"/>
      <c r="AJ780" s="213"/>
      <c r="AK780" s="6"/>
      <c r="AL780" s="6"/>
      <c r="AM780" s="6"/>
      <c r="AN780" s="206"/>
      <c r="AP780" s="213"/>
      <c r="AQ780" s="6"/>
      <c r="AR780" s="6"/>
      <c r="AS780" s="6"/>
      <c r="AT780" s="206"/>
      <c r="AV780" s="213"/>
      <c r="AW780" s="6"/>
      <c r="AX780" s="6"/>
      <c r="AY780" s="6"/>
      <c r="AZ780" s="206"/>
    </row>
    <row r="781" spans="4:52" s="2" customFormat="1" ht="17.100000000000001" customHeight="1" x14ac:dyDescent="0.25">
      <c r="D781" s="3"/>
      <c r="E781" s="3"/>
      <c r="F781" s="4"/>
      <c r="G781" s="4"/>
      <c r="H781" s="138"/>
      <c r="I781" s="97"/>
      <c r="J781" s="6"/>
      <c r="K781" s="6"/>
      <c r="L781" s="6"/>
      <c r="M781" s="6"/>
      <c r="N781" s="6"/>
      <c r="O781" s="6"/>
      <c r="P781" s="6"/>
      <c r="Q781" s="6"/>
      <c r="R781" s="6"/>
      <c r="S781" s="6"/>
      <c r="T781" s="6"/>
      <c r="U781" s="6"/>
      <c r="V781" s="339"/>
      <c r="W781" s="339"/>
      <c r="X781" s="6"/>
      <c r="Y781" s="206"/>
      <c r="AE781" s="6"/>
      <c r="AF781" s="6"/>
      <c r="AG781" s="6"/>
      <c r="AH781" s="206"/>
      <c r="AJ781" s="213"/>
      <c r="AK781" s="6"/>
      <c r="AL781" s="6"/>
      <c r="AM781" s="6"/>
      <c r="AN781" s="206"/>
      <c r="AP781" s="213"/>
      <c r="AQ781" s="6"/>
      <c r="AR781" s="6"/>
      <c r="AS781" s="6"/>
      <c r="AT781" s="206"/>
      <c r="AV781" s="213"/>
      <c r="AW781" s="6"/>
      <c r="AX781" s="6"/>
      <c r="AY781" s="6"/>
      <c r="AZ781" s="206"/>
    </row>
    <row r="782" spans="4:52" s="2" customFormat="1" ht="17.100000000000001" customHeight="1" x14ac:dyDescent="0.25">
      <c r="D782" s="3"/>
      <c r="E782" s="3"/>
      <c r="F782" s="4"/>
      <c r="G782" s="4"/>
      <c r="H782" s="138"/>
      <c r="I782" s="97"/>
      <c r="J782" s="6"/>
      <c r="K782" s="6"/>
      <c r="L782" s="6"/>
      <c r="M782" s="6"/>
      <c r="N782" s="6"/>
      <c r="O782" s="6"/>
      <c r="P782" s="6"/>
      <c r="Q782" s="6"/>
      <c r="R782" s="6"/>
      <c r="S782" s="6"/>
      <c r="T782" s="6"/>
      <c r="U782" s="6"/>
      <c r="V782" s="339"/>
      <c r="W782" s="339"/>
      <c r="X782" s="6"/>
      <c r="Y782" s="206"/>
      <c r="AE782" s="6"/>
      <c r="AF782" s="6"/>
      <c r="AG782" s="6"/>
      <c r="AH782" s="206"/>
      <c r="AJ782" s="213"/>
      <c r="AK782" s="6"/>
      <c r="AL782" s="6"/>
      <c r="AM782" s="6"/>
      <c r="AN782" s="206"/>
      <c r="AP782" s="213"/>
      <c r="AQ782" s="6"/>
      <c r="AR782" s="6"/>
      <c r="AS782" s="6"/>
      <c r="AT782" s="206"/>
      <c r="AV782" s="213"/>
      <c r="AW782" s="6"/>
      <c r="AX782" s="6"/>
      <c r="AY782" s="6"/>
      <c r="AZ782" s="206"/>
    </row>
    <row r="783" spans="4:52" s="2" customFormat="1" ht="17.100000000000001" customHeight="1" x14ac:dyDescent="0.25">
      <c r="D783" s="3"/>
      <c r="E783" s="3"/>
      <c r="F783" s="4"/>
      <c r="G783" s="4"/>
      <c r="H783" s="138"/>
      <c r="I783" s="97"/>
      <c r="J783" s="6"/>
      <c r="K783" s="6"/>
      <c r="L783" s="6"/>
      <c r="M783" s="6"/>
      <c r="N783" s="6"/>
      <c r="O783" s="6"/>
      <c r="P783" s="6"/>
      <c r="Q783" s="6"/>
      <c r="R783" s="6"/>
      <c r="S783" s="6"/>
      <c r="T783" s="6"/>
      <c r="U783" s="6"/>
      <c r="V783" s="339"/>
      <c r="W783" s="339"/>
      <c r="X783" s="6"/>
      <c r="Y783" s="206"/>
      <c r="AE783" s="6"/>
      <c r="AF783" s="6"/>
      <c r="AG783" s="6"/>
      <c r="AH783" s="206"/>
      <c r="AJ783" s="213"/>
      <c r="AK783" s="6"/>
      <c r="AL783" s="6"/>
      <c r="AM783" s="6"/>
      <c r="AN783" s="206"/>
      <c r="AP783" s="213"/>
      <c r="AQ783" s="6"/>
      <c r="AR783" s="6"/>
      <c r="AS783" s="6"/>
      <c r="AT783" s="206"/>
      <c r="AV783" s="213"/>
      <c r="AW783" s="6"/>
      <c r="AX783" s="6"/>
      <c r="AY783" s="6"/>
      <c r="AZ783" s="206"/>
    </row>
    <row r="784" spans="4:52" s="2" customFormat="1" ht="17.100000000000001" customHeight="1" x14ac:dyDescent="0.25">
      <c r="D784" s="3"/>
      <c r="E784" s="3"/>
      <c r="F784" s="4"/>
      <c r="G784" s="4"/>
      <c r="H784" s="138"/>
      <c r="I784" s="97"/>
      <c r="J784" s="6"/>
      <c r="K784" s="6"/>
      <c r="L784" s="6"/>
      <c r="M784" s="6"/>
      <c r="N784" s="6"/>
      <c r="O784" s="6"/>
      <c r="P784" s="6"/>
      <c r="Q784" s="6"/>
      <c r="R784" s="6"/>
      <c r="S784" s="6"/>
      <c r="T784" s="6"/>
      <c r="U784" s="6"/>
      <c r="V784" s="339"/>
      <c r="W784" s="339"/>
      <c r="X784" s="6"/>
      <c r="Y784" s="206"/>
      <c r="AE784" s="6"/>
      <c r="AF784" s="6"/>
      <c r="AG784" s="6"/>
      <c r="AH784" s="206"/>
      <c r="AJ784" s="213"/>
      <c r="AK784" s="6"/>
      <c r="AL784" s="6"/>
      <c r="AM784" s="6"/>
      <c r="AN784" s="206"/>
      <c r="AP784" s="213"/>
      <c r="AQ784" s="6"/>
      <c r="AR784" s="6"/>
      <c r="AS784" s="6"/>
      <c r="AT784" s="206"/>
      <c r="AV784" s="213"/>
      <c r="AW784" s="6"/>
      <c r="AX784" s="6"/>
      <c r="AY784" s="6"/>
      <c r="AZ784" s="206"/>
    </row>
    <row r="785" spans="4:52" s="2" customFormat="1" ht="17.100000000000001" customHeight="1" x14ac:dyDescent="0.25">
      <c r="D785" s="3"/>
      <c r="E785" s="3"/>
      <c r="F785" s="4"/>
      <c r="G785" s="4"/>
      <c r="H785" s="138"/>
      <c r="I785" s="97"/>
      <c r="J785" s="6"/>
      <c r="K785" s="6"/>
      <c r="L785" s="6"/>
      <c r="M785" s="6"/>
      <c r="N785" s="6"/>
      <c r="O785" s="6"/>
      <c r="P785" s="6"/>
      <c r="Q785" s="6"/>
      <c r="R785" s="6"/>
      <c r="S785" s="6"/>
      <c r="T785" s="6"/>
      <c r="U785" s="6"/>
      <c r="V785" s="339"/>
      <c r="W785" s="339"/>
      <c r="X785" s="6"/>
      <c r="Y785" s="206"/>
      <c r="AE785" s="6"/>
      <c r="AF785" s="6"/>
      <c r="AG785" s="6"/>
      <c r="AH785" s="206"/>
      <c r="AJ785" s="213"/>
      <c r="AK785" s="6"/>
      <c r="AL785" s="6"/>
      <c r="AM785" s="6"/>
      <c r="AN785" s="206"/>
      <c r="AP785" s="213"/>
      <c r="AQ785" s="6"/>
      <c r="AR785" s="6"/>
      <c r="AS785" s="6"/>
      <c r="AT785" s="206"/>
      <c r="AV785" s="213"/>
      <c r="AW785" s="6"/>
      <c r="AX785" s="6"/>
      <c r="AY785" s="6"/>
      <c r="AZ785" s="206"/>
    </row>
    <row r="786" spans="4:52" s="2" customFormat="1" ht="17.100000000000001" customHeight="1" x14ac:dyDescent="0.25">
      <c r="D786" s="3"/>
      <c r="E786" s="3"/>
      <c r="F786" s="4"/>
      <c r="G786" s="4"/>
      <c r="H786" s="138"/>
      <c r="I786" s="97"/>
      <c r="J786" s="6"/>
      <c r="K786" s="6"/>
      <c r="L786" s="6"/>
      <c r="M786" s="6"/>
      <c r="N786" s="6"/>
      <c r="O786" s="6"/>
      <c r="P786" s="6"/>
      <c r="Q786" s="6"/>
      <c r="R786" s="6"/>
      <c r="S786" s="6"/>
      <c r="T786" s="6"/>
      <c r="U786" s="6"/>
      <c r="V786" s="339"/>
      <c r="W786" s="339"/>
      <c r="X786" s="6"/>
      <c r="Y786" s="206"/>
      <c r="AE786" s="6"/>
      <c r="AF786" s="6"/>
      <c r="AG786" s="6"/>
      <c r="AH786" s="206"/>
      <c r="AJ786" s="213"/>
      <c r="AK786" s="6"/>
      <c r="AL786" s="6"/>
      <c r="AM786" s="6"/>
      <c r="AN786" s="206"/>
      <c r="AP786" s="213"/>
      <c r="AQ786" s="6"/>
      <c r="AR786" s="6"/>
      <c r="AS786" s="6"/>
      <c r="AT786" s="206"/>
      <c r="AV786" s="213"/>
      <c r="AW786" s="6"/>
      <c r="AX786" s="6"/>
      <c r="AY786" s="6"/>
      <c r="AZ786" s="206"/>
    </row>
    <row r="787" spans="4:52" s="2" customFormat="1" ht="17.100000000000001" customHeight="1" x14ac:dyDescent="0.25">
      <c r="D787" s="3"/>
      <c r="E787" s="3"/>
      <c r="F787" s="4"/>
      <c r="G787" s="4"/>
      <c r="H787" s="138"/>
      <c r="I787" s="97"/>
      <c r="J787" s="6"/>
      <c r="K787" s="6"/>
      <c r="L787" s="6"/>
      <c r="M787" s="6"/>
      <c r="N787" s="6"/>
      <c r="O787" s="6"/>
      <c r="P787" s="6"/>
      <c r="Q787" s="6"/>
      <c r="R787" s="6"/>
      <c r="S787" s="6"/>
      <c r="T787" s="6"/>
      <c r="U787" s="6"/>
      <c r="V787" s="339"/>
      <c r="W787" s="339"/>
      <c r="X787" s="6"/>
      <c r="Y787" s="206"/>
      <c r="AE787" s="6"/>
      <c r="AF787" s="6"/>
      <c r="AG787" s="6"/>
      <c r="AH787" s="206"/>
      <c r="AJ787" s="213"/>
      <c r="AK787" s="6"/>
      <c r="AL787" s="6"/>
      <c r="AM787" s="6"/>
      <c r="AN787" s="206"/>
      <c r="AP787" s="213"/>
      <c r="AQ787" s="6"/>
      <c r="AR787" s="6"/>
      <c r="AS787" s="6"/>
      <c r="AT787" s="206"/>
      <c r="AV787" s="213"/>
      <c r="AW787" s="6"/>
      <c r="AX787" s="6"/>
      <c r="AY787" s="6"/>
      <c r="AZ787" s="206"/>
    </row>
    <row r="788" spans="4:52" s="2" customFormat="1" ht="17.100000000000001" customHeight="1" x14ac:dyDescent="0.25">
      <c r="D788" s="3"/>
      <c r="E788" s="3"/>
      <c r="F788" s="4"/>
      <c r="G788" s="4"/>
      <c r="H788" s="138"/>
      <c r="I788" s="97"/>
      <c r="J788" s="6"/>
      <c r="K788" s="6"/>
      <c r="L788" s="6"/>
      <c r="M788" s="6"/>
      <c r="N788" s="6"/>
      <c r="O788" s="6"/>
      <c r="P788" s="6"/>
      <c r="Q788" s="6"/>
      <c r="R788" s="6"/>
      <c r="S788" s="6"/>
      <c r="T788" s="6"/>
      <c r="U788" s="6"/>
      <c r="V788" s="339"/>
      <c r="W788" s="339"/>
      <c r="X788" s="6"/>
      <c r="Y788" s="206"/>
      <c r="AE788" s="6"/>
      <c r="AF788" s="6"/>
      <c r="AG788" s="6"/>
      <c r="AH788" s="206"/>
      <c r="AJ788" s="213"/>
      <c r="AK788" s="6"/>
      <c r="AL788" s="6"/>
      <c r="AM788" s="6"/>
      <c r="AN788" s="206"/>
      <c r="AP788" s="213"/>
      <c r="AQ788" s="6"/>
      <c r="AR788" s="6"/>
      <c r="AS788" s="6"/>
      <c r="AT788" s="206"/>
      <c r="AV788" s="213"/>
      <c r="AW788" s="6"/>
      <c r="AX788" s="6"/>
      <c r="AY788" s="6"/>
      <c r="AZ788" s="206"/>
    </row>
    <row r="789" spans="4:52" s="2" customFormat="1" ht="17.100000000000001" customHeight="1" x14ac:dyDescent="0.25">
      <c r="D789" s="3"/>
      <c r="E789" s="3"/>
      <c r="F789" s="4"/>
      <c r="G789" s="4"/>
      <c r="H789" s="138"/>
      <c r="I789" s="97"/>
      <c r="J789" s="6"/>
      <c r="K789" s="6"/>
      <c r="L789" s="6"/>
      <c r="M789" s="6"/>
      <c r="N789" s="6"/>
      <c r="O789" s="6"/>
      <c r="P789" s="6"/>
      <c r="Q789" s="6"/>
      <c r="R789" s="6"/>
      <c r="S789" s="6"/>
      <c r="T789" s="6"/>
      <c r="U789" s="6"/>
      <c r="V789" s="339"/>
      <c r="W789" s="339"/>
      <c r="X789" s="6"/>
      <c r="Y789" s="206"/>
      <c r="AE789" s="6"/>
      <c r="AF789" s="6"/>
      <c r="AG789" s="6"/>
      <c r="AH789" s="206"/>
      <c r="AJ789" s="213"/>
      <c r="AK789" s="6"/>
      <c r="AL789" s="6"/>
      <c r="AM789" s="6"/>
      <c r="AN789" s="206"/>
      <c r="AP789" s="213"/>
      <c r="AQ789" s="6"/>
      <c r="AR789" s="6"/>
      <c r="AS789" s="6"/>
      <c r="AT789" s="206"/>
      <c r="AV789" s="213"/>
      <c r="AW789" s="6"/>
      <c r="AX789" s="6"/>
      <c r="AY789" s="6"/>
      <c r="AZ789" s="206"/>
    </row>
    <row r="790" spans="4:52" s="2" customFormat="1" ht="17.100000000000001" customHeight="1" x14ac:dyDescent="0.25">
      <c r="D790" s="3"/>
      <c r="E790" s="3"/>
      <c r="F790" s="4"/>
      <c r="G790" s="4"/>
      <c r="H790" s="138"/>
      <c r="I790" s="97"/>
      <c r="J790" s="6"/>
      <c r="K790" s="6"/>
      <c r="L790" s="6"/>
      <c r="M790" s="6"/>
      <c r="N790" s="6"/>
      <c r="O790" s="6"/>
      <c r="P790" s="6"/>
      <c r="Q790" s="6"/>
      <c r="R790" s="6"/>
      <c r="S790" s="6"/>
      <c r="T790" s="6"/>
      <c r="U790" s="6"/>
      <c r="V790" s="339"/>
      <c r="W790" s="339"/>
      <c r="X790" s="6"/>
      <c r="Y790" s="206"/>
      <c r="AE790" s="6"/>
      <c r="AF790" s="6"/>
      <c r="AG790" s="6"/>
      <c r="AH790" s="206"/>
      <c r="AJ790" s="213"/>
      <c r="AK790" s="6"/>
      <c r="AL790" s="6"/>
      <c r="AM790" s="6"/>
      <c r="AN790" s="206"/>
      <c r="AP790" s="213"/>
      <c r="AQ790" s="6"/>
      <c r="AR790" s="6"/>
      <c r="AS790" s="6"/>
      <c r="AT790" s="206"/>
      <c r="AV790" s="213"/>
      <c r="AW790" s="6"/>
      <c r="AX790" s="6"/>
      <c r="AY790" s="6"/>
      <c r="AZ790" s="206"/>
    </row>
    <row r="791" spans="4:52" s="2" customFormat="1" ht="17.100000000000001" customHeight="1" x14ac:dyDescent="0.25">
      <c r="D791" s="3"/>
      <c r="E791" s="3"/>
      <c r="F791" s="4"/>
      <c r="G791" s="4"/>
      <c r="H791" s="138"/>
      <c r="I791" s="97"/>
      <c r="J791" s="6"/>
      <c r="K791" s="6"/>
      <c r="L791" s="6"/>
      <c r="M791" s="6"/>
      <c r="N791" s="6"/>
      <c r="O791" s="6"/>
      <c r="P791" s="6"/>
      <c r="Q791" s="6"/>
      <c r="R791" s="6"/>
      <c r="S791" s="6"/>
      <c r="T791" s="6"/>
      <c r="U791" s="6"/>
      <c r="V791" s="339"/>
      <c r="W791" s="339"/>
      <c r="X791" s="6"/>
      <c r="Y791" s="206"/>
      <c r="AE791" s="6"/>
      <c r="AF791" s="6"/>
      <c r="AG791" s="6"/>
      <c r="AH791" s="206"/>
      <c r="AJ791" s="213"/>
      <c r="AK791" s="6"/>
      <c r="AL791" s="6"/>
      <c r="AM791" s="6"/>
      <c r="AN791" s="206"/>
      <c r="AP791" s="213"/>
      <c r="AQ791" s="6"/>
      <c r="AR791" s="6"/>
      <c r="AS791" s="6"/>
      <c r="AT791" s="206"/>
      <c r="AV791" s="213"/>
      <c r="AW791" s="6"/>
      <c r="AX791" s="6"/>
      <c r="AY791" s="6"/>
      <c r="AZ791" s="206"/>
    </row>
    <row r="792" spans="4:52" s="2" customFormat="1" ht="17.100000000000001" customHeight="1" x14ac:dyDescent="0.25">
      <c r="D792" s="3"/>
      <c r="E792" s="3"/>
      <c r="F792" s="4"/>
      <c r="G792" s="4"/>
      <c r="H792" s="138"/>
      <c r="I792" s="97"/>
      <c r="J792" s="6"/>
      <c r="K792" s="6"/>
      <c r="L792" s="6"/>
      <c r="M792" s="6"/>
      <c r="N792" s="6"/>
      <c r="O792" s="6"/>
      <c r="P792" s="6"/>
      <c r="Q792" s="6"/>
      <c r="R792" s="6"/>
      <c r="S792" s="6"/>
      <c r="T792" s="6"/>
      <c r="U792" s="6"/>
      <c r="V792" s="339"/>
      <c r="W792" s="339"/>
      <c r="X792" s="6"/>
      <c r="Y792" s="206"/>
      <c r="AE792" s="6"/>
      <c r="AF792" s="6"/>
      <c r="AG792" s="6"/>
      <c r="AH792" s="206"/>
      <c r="AJ792" s="213"/>
      <c r="AK792" s="6"/>
      <c r="AL792" s="6"/>
      <c r="AM792" s="6"/>
      <c r="AN792" s="206"/>
      <c r="AP792" s="213"/>
      <c r="AQ792" s="6"/>
      <c r="AR792" s="6"/>
      <c r="AS792" s="6"/>
      <c r="AT792" s="206"/>
      <c r="AV792" s="213"/>
      <c r="AW792" s="6"/>
      <c r="AX792" s="6"/>
      <c r="AY792" s="6"/>
      <c r="AZ792" s="206"/>
    </row>
    <row r="793" spans="4:52" s="2" customFormat="1" ht="17.100000000000001" customHeight="1" x14ac:dyDescent="0.25">
      <c r="D793" s="3"/>
      <c r="E793" s="3"/>
      <c r="F793" s="4"/>
      <c r="G793" s="4"/>
      <c r="H793" s="138"/>
      <c r="I793" s="97"/>
      <c r="J793" s="6"/>
      <c r="K793" s="6"/>
      <c r="L793" s="6"/>
      <c r="M793" s="6"/>
      <c r="N793" s="6"/>
      <c r="O793" s="6"/>
      <c r="P793" s="6"/>
      <c r="Q793" s="6"/>
      <c r="R793" s="6"/>
      <c r="S793" s="6"/>
      <c r="T793" s="6"/>
      <c r="U793" s="6"/>
      <c r="V793" s="339"/>
      <c r="W793" s="339"/>
      <c r="X793" s="6"/>
      <c r="Y793" s="206"/>
      <c r="AE793" s="6"/>
      <c r="AF793" s="6"/>
      <c r="AG793" s="6"/>
      <c r="AH793" s="206"/>
      <c r="AJ793" s="213"/>
      <c r="AK793" s="6"/>
      <c r="AL793" s="6"/>
      <c r="AM793" s="6"/>
      <c r="AN793" s="206"/>
      <c r="AP793" s="213"/>
      <c r="AQ793" s="6"/>
      <c r="AR793" s="6"/>
      <c r="AS793" s="6"/>
      <c r="AT793" s="206"/>
      <c r="AV793" s="213"/>
      <c r="AW793" s="6"/>
      <c r="AX793" s="6"/>
      <c r="AY793" s="6"/>
      <c r="AZ793" s="206"/>
    </row>
    <row r="794" spans="4:52" s="2" customFormat="1" ht="17.100000000000001" customHeight="1" x14ac:dyDescent="0.25">
      <c r="D794" s="3"/>
      <c r="E794" s="3"/>
      <c r="F794" s="4"/>
      <c r="G794" s="4"/>
      <c r="H794" s="138"/>
      <c r="I794" s="97"/>
      <c r="J794" s="6"/>
      <c r="K794" s="6"/>
      <c r="L794" s="6"/>
      <c r="M794" s="6"/>
      <c r="N794" s="6"/>
      <c r="O794" s="6"/>
      <c r="P794" s="6"/>
      <c r="Q794" s="6"/>
      <c r="R794" s="6"/>
      <c r="S794" s="6"/>
      <c r="T794" s="6"/>
      <c r="U794" s="6"/>
      <c r="V794" s="339"/>
      <c r="W794" s="339"/>
      <c r="X794" s="6"/>
      <c r="Y794" s="206"/>
      <c r="AE794" s="6"/>
      <c r="AF794" s="6"/>
      <c r="AG794" s="6"/>
      <c r="AH794" s="206"/>
      <c r="AJ794" s="213"/>
      <c r="AK794" s="6"/>
      <c r="AL794" s="6"/>
      <c r="AM794" s="6"/>
      <c r="AN794" s="206"/>
      <c r="AP794" s="213"/>
      <c r="AQ794" s="6"/>
      <c r="AR794" s="6"/>
      <c r="AS794" s="6"/>
      <c r="AT794" s="206"/>
      <c r="AV794" s="213"/>
      <c r="AW794" s="6"/>
      <c r="AX794" s="6"/>
      <c r="AY794" s="6"/>
      <c r="AZ794" s="206"/>
    </row>
    <row r="795" spans="4:52" s="2" customFormat="1" ht="17.100000000000001" customHeight="1" x14ac:dyDescent="0.25">
      <c r="D795" s="3"/>
      <c r="E795" s="3"/>
      <c r="F795" s="4"/>
      <c r="G795" s="4"/>
      <c r="H795" s="138"/>
      <c r="I795" s="97"/>
      <c r="J795" s="6"/>
      <c r="K795" s="6"/>
      <c r="L795" s="6"/>
      <c r="M795" s="6"/>
      <c r="N795" s="6"/>
      <c r="O795" s="6"/>
      <c r="P795" s="6"/>
      <c r="Q795" s="6"/>
      <c r="R795" s="6"/>
      <c r="S795" s="6"/>
      <c r="T795" s="6"/>
      <c r="U795" s="6"/>
      <c r="V795" s="339"/>
      <c r="W795" s="339"/>
      <c r="X795" s="6"/>
      <c r="Y795" s="206"/>
      <c r="AE795" s="6"/>
      <c r="AF795" s="6"/>
      <c r="AG795" s="6"/>
      <c r="AH795" s="206"/>
      <c r="AJ795" s="213"/>
      <c r="AK795" s="6"/>
      <c r="AL795" s="6"/>
      <c r="AM795" s="6"/>
      <c r="AN795" s="206"/>
      <c r="AP795" s="213"/>
      <c r="AQ795" s="6"/>
      <c r="AR795" s="6"/>
      <c r="AS795" s="6"/>
      <c r="AT795" s="206"/>
      <c r="AV795" s="213"/>
      <c r="AW795" s="6"/>
      <c r="AX795" s="6"/>
      <c r="AY795" s="6"/>
      <c r="AZ795" s="206"/>
    </row>
    <row r="796" spans="4:52" s="2" customFormat="1" ht="17.100000000000001" customHeight="1" x14ac:dyDescent="0.25">
      <c r="D796" s="3"/>
      <c r="E796" s="3"/>
      <c r="F796" s="4"/>
      <c r="G796" s="4"/>
      <c r="H796" s="138"/>
      <c r="I796" s="97"/>
      <c r="J796" s="6"/>
      <c r="K796" s="6"/>
      <c r="L796" s="6"/>
      <c r="M796" s="6"/>
      <c r="N796" s="6"/>
      <c r="O796" s="6"/>
      <c r="P796" s="6"/>
      <c r="Q796" s="6"/>
      <c r="R796" s="6"/>
      <c r="S796" s="6"/>
      <c r="T796" s="6"/>
      <c r="U796" s="6"/>
      <c r="V796" s="339"/>
      <c r="W796" s="339"/>
      <c r="X796" s="6"/>
      <c r="Y796" s="206"/>
      <c r="AE796" s="6"/>
      <c r="AF796" s="6"/>
      <c r="AG796" s="6"/>
      <c r="AH796" s="206"/>
      <c r="AJ796" s="213"/>
      <c r="AK796" s="6"/>
      <c r="AL796" s="6"/>
      <c r="AM796" s="6"/>
      <c r="AN796" s="206"/>
      <c r="AP796" s="213"/>
      <c r="AQ796" s="6"/>
      <c r="AR796" s="6"/>
      <c r="AS796" s="6"/>
      <c r="AT796" s="206"/>
      <c r="AV796" s="213"/>
      <c r="AW796" s="6"/>
      <c r="AX796" s="6"/>
      <c r="AY796" s="6"/>
      <c r="AZ796" s="206"/>
    </row>
    <row r="797" spans="4:52" s="2" customFormat="1" ht="17.100000000000001" customHeight="1" x14ac:dyDescent="0.25">
      <c r="D797" s="3"/>
      <c r="E797" s="3"/>
      <c r="F797" s="4"/>
      <c r="G797" s="4"/>
      <c r="H797" s="138"/>
      <c r="I797" s="97"/>
      <c r="J797" s="6"/>
      <c r="K797" s="6"/>
      <c r="L797" s="6"/>
      <c r="M797" s="6"/>
      <c r="N797" s="6"/>
      <c r="O797" s="6"/>
      <c r="P797" s="6"/>
      <c r="Q797" s="6"/>
      <c r="R797" s="6"/>
      <c r="S797" s="6"/>
      <c r="T797" s="6"/>
      <c r="U797" s="6"/>
      <c r="V797" s="339"/>
      <c r="W797" s="339"/>
      <c r="X797" s="6"/>
      <c r="Y797" s="206"/>
      <c r="AE797" s="6"/>
      <c r="AF797" s="6"/>
      <c r="AG797" s="6"/>
      <c r="AH797" s="206"/>
      <c r="AJ797" s="213"/>
      <c r="AK797" s="6"/>
      <c r="AL797" s="6"/>
      <c r="AM797" s="6"/>
      <c r="AN797" s="206"/>
      <c r="AP797" s="213"/>
      <c r="AQ797" s="6"/>
      <c r="AR797" s="6"/>
      <c r="AS797" s="6"/>
      <c r="AT797" s="206"/>
      <c r="AV797" s="213"/>
      <c r="AW797" s="6"/>
      <c r="AX797" s="6"/>
      <c r="AY797" s="6"/>
      <c r="AZ797" s="206"/>
    </row>
    <row r="798" spans="4:52" s="2" customFormat="1" ht="17.100000000000001" customHeight="1" x14ac:dyDescent="0.25">
      <c r="D798" s="3"/>
      <c r="E798" s="3"/>
      <c r="F798" s="4"/>
      <c r="G798" s="4"/>
      <c r="H798" s="138"/>
      <c r="I798" s="97"/>
      <c r="J798" s="6"/>
      <c r="K798" s="6"/>
      <c r="L798" s="6"/>
      <c r="M798" s="6"/>
      <c r="N798" s="6"/>
      <c r="O798" s="6"/>
      <c r="P798" s="6"/>
      <c r="Q798" s="6"/>
      <c r="R798" s="6"/>
      <c r="S798" s="6"/>
      <c r="T798" s="6"/>
      <c r="U798" s="6"/>
      <c r="V798" s="339"/>
      <c r="W798" s="339"/>
      <c r="X798" s="6"/>
      <c r="Y798" s="206"/>
      <c r="AE798" s="6"/>
      <c r="AF798" s="6"/>
      <c r="AG798" s="6"/>
      <c r="AH798" s="206"/>
      <c r="AJ798" s="213"/>
      <c r="AK798" s="6"/>
      <c r="AL798" s="6"/>
      <c r="AM798" s="6"/>
      <c r="AN798" s="206"/>
      <c r="AP798" s="213"/>
      <c r="AQ798" s="6"/>
      <c r="AR798" s="6"/>
      <c r="AS798" s="6"/>
      <c r="AT798" s="206"/>
      <c r="AV798" s="213"/>
      <c r="AW798" s="6"/>
      <c r="AX798" s="6"/>
      <c r="AY798" s="6"/>
      <c r="AZ798" s="206"/>
    </row>
    <row r="799" spans="4:52" s="2" customFormat="1" ht="17.100000000000001" customHeight="1" x14ac:dyDescent="0.25">
      <c r="D799" s="3"/>
      <c r="E799" s="3"/>
      <c r="F799" s="4"/>
      <c r="G799" s="4"/>
      <c r="H799" s="138"/>
      <c r="I799" s="97"/>
      <c r="J799" s="6"/>
      <c r="K799" s="6"/>
      <c r="L799" s="6"/>
      <c r="M799" s="6"/>
      <c r="N799" s="6"/>
      <c r="O799" s="6"/>
      <c r="P799" s="6"/>
      <c r="Q799" s="6"/>
      <c r="R799" s="6"/>
      <c r="S799" s="6"/>
      <c r="T799" s="6"/>
      <c r="U799" s="6"/>
      <c r="V799" s="339"/>
      <c r="W799" s="339"/>
      <c r="X799" s="6"/>
      <c r="Y799" s="206"/>
      <c r="AE799" s="6"/>
      <c r="AF799" s="6"/>
      <c r="AG799" s="6"/>
      <c r="AH799" s="206"/>
      <c r="AJ799" s="213"/>
      <c r="AK799" s="6"/>
      <c r="AL799" s="6"/>
      <c r="AM799" s="6"/>
      <c r="AN799" s="206"/>
      <c r="AP799" s="213"/>
      <c r="AQ799" s="6"/>
      <c r="AR799" s="6"/>
      <c r="AS799" s="6"/>
      <c r="AT799" s="206"/>
      <c r="AV799" s="213"/>
      <c r="AW799" s="6"/>
      <c r="AX799" s="6"/>
      <c r="AY799" s="6"/>
      <c r="AZ799" s="206"/>
    </row>
    <row r="800" spans="4:52" s="2" customFormat="1" ht="17.100000000000001" customHeight="1" x14ac:dyDescent="0.25">
      <c r="D800" s="3"/>
      <c r="E800" s="3"/>
      <c r="F800" s="4"/>
      <c r="G800" s="4"/>
      <c r="H800" s="138"/>
      <c r="I800" s="97"/>
      <c r="J800" s="6"/>
      <c r="K800" s="6"/>
      <c r="L800" s="6"/>
      <c r="M800" s="6"/>
      <c r="N800" s="6"/>
      <c r="O800" s="6"/>
      <c r="P800" s="6"/>
      <c r="Q800" s="6"/>
      <c r="R800" s="6"/>
      <c r="S800" s="6"/>
      <c r="T800" s="6"/>
      <c r="U800" s="6"/>
      <c r="V800" s="339"/>
      <c r="W800" s="339"/>
      <c r="X800" s="6"/>
      <c r="Y800" s="206"/>
      <c r="AE800" s="6"/>
      <c r="AF800" s="6"/>
      <c r="AG800" s="6"/>
      <c r="AH800" s="206"/>
      <c r="AJ800" s="213"/>
      <c r="AK800" s="6"/>
      <c r="AL800" s="6"/>
      <c r="AM800" s="6"/>
      <c r="AN800" s="206"/>
      <c r="AP800" s="213"/>
      <c r="AQ800" s="6"/>
      <c r="AR800" s="6"/>
      <c r="AS800" s="6"/>
      <c r="AT800" s="206"/>
      <c r="AV800" s="213"/>
      <c r="AW800" s="6"/>
      <c r="AX800" s="6"/>
      <c r="AY800" s="6"/>
      <c r="AZ800" s="206"/>
    </row>
    <row r="801" spans="4:52" s="2" customFormat="1" ht="17.100000000000001" customHeight="1" x14ac:dyDescent="0.25">
      <c r="D801" s="3"/>
      <c r="E801" s="3"/>
      <c r="F801" s="4"/>
      <c r="G801" s="4"/>
      <c r="H801" s="138"/>
      <c r="I801" s="97"/>
      <c r="J801" s="6"/>
      <c r="K801" s="6"/>
      <c r="L801" s="6"/>
      <c r="M801" s="6"/>
      <c r="N801" s="6"/>
      <c r="O801" s="6"/>
      <c r="P801" s="6"/>
      <c r="Q801" s="6"/>
      <c r="R801" s="6"/>
      <c r="S801" s="6"/>
      <c r="T801" s="6"/>
      <c r="U801" s="6"/>
      <c r="V801" s="339"/>
      <c r="W801" s="339"/>
      <c r="X801" s="6"/>
      <c r="Y801" s="206"/>
      <c r="AE801" s="6"/>
      <c r="AF801" s="6"/>
      <c r="AG801" s="6"/>
      <c r="AH801" s="206"/>
      <c r="AJ801" s="213"/>
      <c r="AK801" s="6"/>
      <c r="AL801" s="6"/>
      <c r="AM801" s="6"/>
      <c r="AN801" s="206"/>
      <c r="AP801" s="213"/>
      <c r="AQ801" s="6"/>
      <c r="AR801" s="6"/>
      <c r="AS801" s="6"/>
      <c r="AT801" s="206"/>
      <c r="AV801" s="213"/>
      <c r="AW801" s="6"/>
      <c r="AX801" s="6"/>
      <c r="AY801" s="6"/>
      <c r="AZ801" s="206"/>
    </row>
    <row r="802" spans="4:52" s="2" customFormat="1" ht="17.100000000000001" customHeight="1" x14ac:dyDescent="0.25">
      <c r="D802" s="3"/>
      <c r="E802" s="3"/>
      <c r="F802" s="4"/>
      <c r="G802" s="4"/>
      <c r="H802" s="138"/>
      <c r="I802" s="97"/>
      <c r="J802" s="6"/>
      <c r="K802" s="6"/>
      <c r="L802" s="6"/>
      <c r="M802" s="6"/>
      <c r="N802" s="6"/>
      <c r="O802" s="6"/>
      <c r="P802" s="6"/>
      <c r="Q802" s="6"/>
      <c r="R802" s="6"/>
      <c r="S802" s="6"/>
      <c r="T802" s="6"/>
      <c r="U802" s="6"/>
      <c r="V802" s="339"/>
      <c r="W802" s="339"/>
      <c r="X802" s="6"/>
      <c r="Y802" s="206"/>
      <c r="AE802" s="6"/>
      <c r="AF802" s="6"/>
      <c r="AG802" s="6"/>
      <c r="AH802" s="206"/>
      <c r="AJ802" s="213"/>
      <c r="AK802" s="6"/>
      <c r="AL802" s="6"/>
      <c r="AM802" s="6"/>
      <c r="AN802" s="206"/>
      <c r="AP802" s="213"/>
      <c r="AQ802" s="6"/>
      <c r="AR802" s="6"/>
      <c r="AS802" s="6"/>
      <c r="AT802" s="206"/>
      <c r="AV802" s="213"/>
      <c r="AW802" s="6"/>
      <c r="AX802" s="6"/>
      <c r="AY802" s="6"/>
      <c r="AZ802" s="206"/>
    </row>
    <row r="803" spans="4:52" s="2" customFormat="1" ht="17.100000000000001" customHeight="1" x14ac:dyDescent="0.25">
      <c r="D803" s="3"/>
      <c r="E803" s="3"/>
      <c r="F803" s="4"/>
      <c r="G803" s="4"/>
      <c r="H803" s="138"/>
      <c r="I803" s="97"/>
      <c r="J803" s="6"/>
      <c r="K803" s="6"/>
      <c r="L803" s="6"/>
      <c r="M803" s="6"/>
      <c r="N803" s="6"/>
      <c r="O803" s="6"/>
      <c r="P803" s="6"/>
      <c r="Q803" s="6"/>
      <c r="R803" s="6"/>
      <c r="S803" s="6"/>
      <c r="T803" s="6"/>
      <c r="U803" s="6"/>
      <c r="V803" s="339"/>
      <c r="W803" s="339"/>
      <c r="X803" s="6"/>
      <c r="Y803" s="206"/>
      <c r="AE803" s="6"/>
      <c r="AF803" s="6"/>
      <c r="AG803" s="6"/>
      <c r="AH803" s="206"/>
      <c r="AJ803" s="213"/>
      <c r="AK803" s="6"/>
      <c r="AL803" s="6"/>
      <c r="AM803" s="6"/>
      <c r="AN803" s="206"/>
      <c r="AP803" s="213"/>
      <c r="AQ803" s="6"/>
      <c r="AR803" s="6"/>
      <c r="AS803" s="6"/>
      <c r="AT803" s="206"/>
      <c r="AV803" s="213"/>
      <c r="AW803" s="6"/>
      <c r="AX803" s="6"/>
      <c r="AY803" s="6"/>
      <c r="AZ803" s="206"/>
    </row>
    <row r="804" spans="4:52" s="2" customFormat="1" ht="17.100000000000001" customHeight="1" x14ac:dyDescent="0.25">
      <c r="D804" s="3"/>
      <c r="E804" s="3"/>
      <c r="F804" s="4"/>
      <c r="G804" s="4"/>
      <c r="H804" s="138"/>
      <c r="I804" s="97"/>
      <c r="J804" s="6"/>
      <c r="K804" s="6"/>
      <c r="L804" s="6"/>
      <c r="M804" s="6"/>
      <c r="N804" s="6"/>
      <c r="O804" s="6"/>
      <c r="P804" s="6"/>
      <c r="Q804" s="6"/>
      <c r="R804" s="6"/>
      <c r="S804" s="6"/>
      <c r="T804" s="6"/>
      <c r="U804" s="6"/>
      <c r="V804" s="339"/>
      <c r="W804" s="339"/>
      <c r="X804" s="6"/>
      <c r="Y804" s="206"/>
      <c r="AE804" s="6"/>
      <c r="AF804" s="6"/>
      <c r="AG804" s="6"/>
      <c r="AH804" s="206"/>
      <c r="AJ804" s="213"/>
      <c r="AK804" s="6"/>
      <c r="AL804" s="6"/>
      <c r="AM804" s="6"/>
      <c r="AN804" s="206"/>
      <c r="AP804" s="213"/>
      <c r="AQ804" s="6"/>
      <c r="AR804" s="6"/>
      <c r="AS804" s="6"/>
      <c r="AT804" s="206"/>
      <c r="AV804" s="213"/>
      <c r="AW804" s="6"/>
      <c r="AX804" s="6"/>
      <c r="AY804" s="6"/>
      <c r="AZ804" s="206"/>
    </row>
    <row r="805" spans="4:52" s="2" customFormat="1" ht="17.100000000000001" customHeight="1" x14ac:dyDescent="0.25">
      <c r="D805" s="3"/>
      <c r="E805" s="3"/>
      <c r="F805" s="4"/>
      <c r="G805" s="4"/>
      <c r="H805" s="138"/>
      <c r="I805" s="97"/>
      <c r="J805" s="6"/>
      <c r="K805" s="6"/>
      <c r="L805" s="6"/>
      <c r="M805" s="6"/>
      <c r="N805" s="6"/>
      <c r="O805" s="6"/>
      <c r="P805" s="6"/>
      <c r="Q805" s="6"/>
      <c r="R805" s="6"/>
      <c r="S805" s="6"/>
      <c r="T805" s="6"/>
      <c r="U805" s="6"/>
      <c r="V805" s="339"/>
      <c r="W805" s="339"/>
      <c r="X805" s="6"/>
      <c r="Y805" s="206"/>
      <c r="AE805" s="6"/>
      <c r="AF805" s="6"/>
      <c r="AG805" s="6"/>
      <c r="AH805" s="206"/>
      <c r="AJ805" s="213"/>
      <c r="AK805" s="6"/>
      <c r="AL805" s="6"/>
      <c r="AM805" s="6"/>
      <c r="AN805" s="206"/>
      <c r="AP805" s="213"/>
      <c r="AQ805" s="6"/>
      <c r="AR805" s="6"/>
      <c r="AS805" s="6"/>
      <c r="AT805" s="206"/>
      <c r="AV805" s="213"/>
      <c r="AW805" s="6"/>
      <c r="AX805" s="6"/>
      <c r="AY805" s="6"/>
      <c r="AZ805" s="206"/>
    </row>
    <row r="806" spans="4:52" s="2" customFormat="1" ht="17.100000000000001" customHeight="1" x14ac:dyDescent="0.25">
      <c r="D806" s="3"/>
      <c r="E806" s="3"/>
      <c r="F806" s="4"/>
      <c r="G806" s="4"/>
      <c r="H806" s="138"/>
      <c r="I806" s="97"/>
      <c r="J806" s="6"/>
      <c r="K806" s="6"/>
      <c r="L806" s="6"/>
      <c r="M806" s="6"/>
      <c r="N806" s="6"/>
      <c r="O806" s="6"/>
      <c r="P806" s="6"/>
      <c r="Q806" s="6"/>
      <c r="R806" s="6"/>
      <c r="S806" s="6"/>
      <c r="T806" s="6"/>
      <c r="U806" s="6"/>
      <c r="V806" s="339"/>
      <c r="W806" s="339"/>
      <c r="X806" s="6"/>
      <c r="Y806" s="206"/>
      <c r="AE806" s="6"/>
      <c r="AF806" s="6"/>
      <c r="AG806" s="6"/>
      <c r="AH806" s="206"/>
      <c r="AJ806" s="213"/>
      <c r="AK806" s="6"/>
      <c r="AL806" s="6"/>
      <c r="AM806" s="6"/>
      <c r="AN806" s="206"/>
      <c r="AP806" s="213"/>
      <c r="AQ806" s="6"/>
      <c r="AR806" s="6"/>
      <c r="AS806" s="6"/>
      <c r="AT806" s="206"/>
      <c r="AV806" s="213"/>
      <c r="AW806" s="6"/>
      <c r="AX806" s="6"/>
      <c r="AY806" s="6"/>
      <c r="AZ806" s="206"/>
    </row>
    <row r="807" spans="4:52" s="2" customFormat="1" ht="17.100000000000001" customHeight="1" x14ac:dyDescent="0.25">
      <c r="D807" s="3"/>
      <c r="E807" s="3"/>
      <c r="F807" s="4"/>
      <c r="G807" s="4"/>
      <c r="H807" s="138"/>
      <c r="I807" s="97"/>
      <c r="J807" s="6"/>
      <c r="K807" s="6"/>
      <c r="L807" s="6"/>
      <c r="M807" s="6"/>
      <c r="N807" s="6"/>
      <c r="O807" s="6"/>
      <c r="P807" s="6"/>
      <c r="Q807" s="6"/>
      <c r="R807" s="6"/>
      <c r="S807" s="6"/>
      <c r="T807" s="6"/>
      <c r="U807" s="6"/>
      <c r="V807" s="339"/>
      <c r="W807" s="339"/>
      <c r="X807" s="6"/>
      <c r="Y807" s="206"/>
      <c r="AE807" s="6"/>
      <c r="AF807" s="6"/>
      <c r="AG807" s="6"/>
      <c r="AH807" s="206"/>
      <c r="AJ807" s="213"/>
      <c r="AK807" s="6"/>
      <c r="AL807" s="6"/>
      <c r="AM807" s="6"/>
      <c r="AN807" s="206"/>
      <c r="AP807" s="213"/>
      <c r="AQ807" s="6"/>
      <c r="AR807" s="6"/>
      <c r="AS807" s="6"/>
      <c r="AT807" s="206"/>
      <c r="AV807" s="213"/>
      <c r="AW807" s="6"/>
      <c r="AX807" s="6"/>
      <c r="AY807" s="6"/>
      <c r="AZ807" s="206"/>
    </row>
    <row r="808" spans="4:52" s="2" customFormat="1" ht="17.100000000000001" customHeight="1" x14ac:dyDescent="0.25">
      <c r="D808" s="3"/>
      <c r="E808" s="3"/>
      <c r="F808" s="4"/>
      <c r="G808" s="4"/>
      <c r="H808" s="138"/>
      <c r="I808" s="97"/>
      <c r="J808" s="6"/>
      <c r="K808" s="6"/>
      <c r="L808" s="6"/>
      <c r="M808" s="6"/>
      <c r="N808" s="6"/>
      <c r="O808" s="6"/>
      <c r="P808" s="6"/>
      <c r="Q808" s="6"/>
      <c r="R808" s="6"/>
      <c r="S808" s="6"/>
      <c r="T808" s="6"/>
      <c r="U808" s="6"/>
      <c r="V808" s="339"/>
      <c r="W808" s="339"/>
      <c r="X808" s="6"/>
      <c r="Y808" s="206"/>
      <c r="AE808" s="6"/>
      <c r="AF808" s="6"/>
      <c r="AG808" s="6"/>
      <c r="AH808" s="206"/>
      <c r="AJ808" s="213"/>
      <c r="AK808" s="6"/>
      <c r="AL808" s="6"/>
      <c r="AM808" s="6"/>
      <c r="AN808" s="206"/>
      <c r="AP808" s="213"/>
      <c r="AQ808" s="6"/>
      <c r="AR808" s="6"/>
      <c r="AS808" s="6"/>
      <c r="AT808" s="206"/>
      <c r="AV808" s="213"/>
      <c r="AW808" s="6"/>
      <c r="AX808" s="6"/>
      <c r="AY808" s="6"/>
      <c r="AZ808" s="206"/>
    </row>
    <row r="809" spans="4:52" s="2" customFormat="1" ht="17.100000000000001" customHeight="1" x14ac:dyDescent="0.25">
      <c r="D809" s="3"/>
      <c r="E809" s="3"/>
      <c r="F809" s="4"/>
      <c r="G809" s="4"/>
      <c r="H809" s="138"/>
      <c r="I809" s="97"/>
      <c r="J809" s="6"/>
      <c r="K809" s="6"/>
      <c r="L809" s="6"/>
      <c r="M809" s="6"/>
      <c r="N809" s="6"/>
      <c r="O809" s="6"/>
      <c r="P809" s="6"/>
      <c r="Q809" s="6"/>
      <c r="R809" s="6"/>
      <c r="S809" s="6"/>
      <c r="T809" s="6"/>
      <c r="U809" s="6"/>
      <c r="V809" s="339"/>
      <c r="W809" s="339"/>
      <c r="X809" s="6"/>
      <c r="Y809" s="206"/>
      <c r="AE809" s="6"/>
      <c r="AF809" s="6"/>
      <c r="AG809" s="6"/>
      <c r="AH809" s="206"/>
      <c r="AJ809" s="213"/>
      <c r="AK809" s="6"/>
      <c r="AL809" s="6"/>
      <c r="AM809" s="6"/>
      <c r="AN809" s="206"/>
      <c r="AP809" s="213"/>
      <c r="AQ809" s="6"/>
      <c r="AR809" s="6"/>
      <c r="AS809" s="6"/>
      <c r="AT809" s="206"/>
      <c r="AV809" s="213"/>
      <c r="AW809" s="6"/>
      <c r="AX809" s="6"/>
      <c r="AY809" s="6"/>
      <c r="AZ809" s="206"/>
    </row>
    <row r="810" spans="4:52" s="2" customFormat="1" ht="17.100000000000001" customHeight="1" x14ac:dyDescent="0.25">
      <c r="D810" s="3"/>
      <c r="E810" s="3"/>
      <c r="F810" s="4"/>
      <c r="G810" s="4"/>
      <c r="H810" s="138"/>
      <c r="I810" s="97"/>
      <c r="J810" s="6"/>
      <c r="K810" s="6"/>
      <c r="L810" s="6"/>
      <c r="M810" s="6"/>
      <c r="N810" s="6"/>
      <c r="O810" s="6"/>
      <c r="P810" s="6"/>
      <c r="Q810" s="6"/>
      <c r="R810" s="6"/>
      <c r="S810" s="6"/>
      <c r="T810" s="6"/>
      <c r="U810" s="6"/>
      <c r="V810" s="339"/>
      <c r="W810" s="339"/>
      <c r="X810" s="6"/>
      <c r="Y810" s="206"/>
      <c r="AE810" s="6"/>
      <c r="AF810" s="6"/>
      <c r="AG810" s="6"/>
      <c r="AH810" s="206"/>
      <c r="AJ810" s="213"/>
      <c r="AK810" s="6"/>
      <c r="AL810" s="6"/>
      <c r="AM810" s="6"/>
      <c r="AN810" s="206"/>
      <c r="AP810" s="213"/>
      <c r="AQ810" s="6"/>
      <c r="AR810" s="6"/>
      <c r="AS810" s="6"/>
      <c r="AT810" s="206"/>
      <c r="AV810" s="213"/>
      <c r="AW810" s="6"/>
      <c r="AX810" s="6"/>
      <c r="AY810" s="6"/>
      <c r="AZ810" s="206"/>
    </row>
    <row r="811" spans="4:52" s="2" customFormat="1" ht="17.100000000000001" customHeight="1" x14ac:dyDescent="0.25">
      <c r="D811" s="3"/>
      <c r="E811" s="3"/>
      <c r="F811" s="4"/>
      <c r="G811" s="4"/>
      <c r="H811" s="138"/>
      <c r="I811" s="97"/>
      <c r="J811" s="6"/>
      <c r="K811" s="6"/>
      <c r="L811" s="6"/>
      <c r="M811" s="6"/>
      <c r="N811" s="6"/>
      <c r="O811" s="6"/>
      <c r="P811" s="6"/>
      <c r="Q811" s="6"/>
      <c r="R811" s="6"/>
      <c r="S811" s="6"/>
      <c r="T811" s="6"/>
      <c r="U811" s="6"/>
      <c r="V811" s="339"/>
      <c r="W811" s="339"/>
      <c r="X811" s="6"/>
      <c r="Y811" s="206"/>
      <c r="AE811" s="6"/>
      <c r="AF811" s="6"/>
      <c r="AG811" s="6"/>
      <c r="AH811" s="206"/>
      <c r="AJ811" s="213"/>
      <c r="AK811" s="6"/>
      <c r="AL811" s="6"/>
      <c r="AM811" s="6"/>
      <c r="AN811" s="206"/>
      <c r="AP811" s="213"/>
      <c r="AQ811" s="6"/>
      <c r="AR811" s="6"/>
      <c r="AS811" s="6"/>
      <c r="AT811" s="206"/>
      <c r="AV811" s="213"/>
      <c r="AW811" s="6"/>
      <c r="AX811" s="6"/>
      <c r="AY811" s="6"/>
      <c r="AZ811" s="206"/>
    </row>
    <row r="812" spans="4:52" s="2" customFormat="1" ht="17.100000000000001" customHeight="1" x14ac:dyDescent="0.25">
      <c r="D812" s="3"/>
      <c r="E812" s="3"/>
      <c r="F812" s="4"/>
      <c r="G812" s="4"/>
      <c r="H812" s="138"/>
      <c r="I812" s="97"/>
      <c r="J812" s="6"/>
      <c r="K812" s="6"/>
      <c r="L812" s="6"/>
      <c r="M812" s="6"/>
      <c r="N812" s="6"/>
      <c r="O812" s="6"/>
      <c r="P812" s="6"/>
      <c r="Q812" s="6"/>
      <c r="R812" s="6"/>
      <c r="S812" s="6"/>
      <c r="T812" s="6"/>
      <c r="U812" s="6"/>
      <c r="V812" s="339"/>
      <c r="W812" s="339"/>
      <c r="X812" s="6"/>
      <c r="Y812" s="206"/>
      <c r="AE812" s="6"/>
      <c r="AF812" s="6"/>
      <c r="AG812" s="6"/>
      <c r="AH812" s="206"/>
      <c r="AJ812" s="213"/>
      <c r="AK812" s="6"/>
      <c r="AL812" s="6"/>
      <c r="AM812" s="6"/>
      <c r="AN812" s="206"/>
      <c r="AP812" s="213"/>
      <c r="AQ812" s="6"/>
      <c r="AR812" s="6"/>
      <c r="AS812" s="6"/>
      <c r="AT812" s="206"/>
      <c r="AV812" s="213"/>
      <c r="AW812" s="6"/>
      <c r="AX812" s="6"/>
      <c r="AY812" s="6"/>
      <c r="AZ812" s="206"/>
    </row>
    <row r="813" spans="4:52" s="2" customFormat="1" ht="17.100000000000001" customHeight="1" x14ac:dyDescent="0.25">
      <c r="D813" s="3"/>
      <c r="E813" s="3"/>
      <c r="F813" s="4"/>
      <c r="G813" s="4"/>
      <c r="H813" s="138"/>
      <c r="I813" s="97"/>
      <c r="J813" s="6"/>
      <c r="K813" s="6"/>
      <c r="L813" s="6"/>
      <c r="M813" s="6"/>
      <c r="N813" s="6"/>
      <c r="O813" s="6"/>
      <c r="P813" s="6"/>
      <c r="Q813" s="6"/>
      <c r="R813" s="6"/>
      <c r="S813" s="6"/>
      <c r="T813" s="6"/>
      <c r="U813" s="6"/>
      <c r="V813" s="339"/>
      <c r="W813" s="339"/>
      <c r="X813" s="6"/>
      <c r="Y813" s="206"/>
      <c r="AE813" s="6"/>
      <c r="AF813" s="6"/>
      <c r="AG813" s="6"/>
      <c r="AH813" s="206"/>
      <c r="AJ813" s="213"/>
      <c r="AK813" s="6"/>
      <c r="AL813" s="6"/>
      <c r="AM813" s="6"/>
      <c r="AN813" s="206"/>
      <c r="AP813" s="213"/>
      <c r="AQ813" s="6"/>
      <c r="AR813" s="6"/>
      <c r="AS813" s="6"/>
      <c r="AT813" s="206"/>
      <c r="AV813" s="213"/>
      <c r="AW813" s="6"/>
      <c r="AX813" s="6"/>
      <c r="AY813" s="6"/>
      <c r="AZ813" s="206"/>
    </row>
    <row r="814" spans="4:52" s="2" customFormat="1" ht="17.100000000000001" customHeight="1" x14ac:dyDescent="0.25">
      <c r="D814" s="3"/>
      <c r="E814" s="3"/>
      <c r="F814" s="4"/>
      <c r="G814" s="4"/>
      <c r="H814" s="138"/>
      <c r="I814" s="97"/>
      <c r="J814" s="6"/>
      <c r="K814" s="6"/>
      <c r="L814" s="6"/>
      <c r="M814" s="6"/>
      <c r="N814" s="6"/>
      <c r="O814" s="6"/>
      <c r="P814" s="6"/>
      <c r="Q814" s="6"/>
      <c r="R814" s="6"/>
      <c r="S814" s="6"/>
      <c r="T814" s="6"/>
      <c r="U814" s="6"/>
      <c r="V814" s="339"/>
      <c r="W814" s="339"/>
      <c r="X814" s="6"/>
      <c r="Y814" s="206"/>
      <c r="AE814" s="6"/>
      <c r="AF814" s="6"/>
      <c r="AG814" s="6"/>
      <c r="AH814" s="206"/>
      <c r="AJ814" s="213"/>
      <c r="AK814" s="6"/>
      <c r="AL814" s="6"/>
      <c r="AM814" s="6"/>
      <c r="AN814" s="206"/>
      <c r="AP814" s="213"/>
      <c r="AQ814" s="6"/>
      <c r="AR814" s="6"/>
      <c r="AS814" s="6"/>
      <c r="AT814" s="206"/>
      <c r="AV814" s="213"/>
      <c r="AW814" s="6"/>
      <c r="AX814" s="6"/>
      <c r="AY814" s="6"/>
      <c r="AZ814" s="206"/>
    </row>
    <row r="815" spans="4:52" s="2" customFormat="1" ht="17.100000000000001" customHeight="1" x14ac:dyDescent="0.25">
      <c r="D815" s="3"/>
      <c r="E815" s="3"/>
      <c r="F815" s="4"/>
      <c r="G815" s="4"/>
      <c r="H815" s="138"/>
      <c r="I815" s="97"/>
      <c r="J815" s="6"/>
      <c r="K815" s="6"/>
      <c r="L815" s="6"/>
      <c r="M815" s="6"/>
      <c r="N815" s="6"/>
      <c r="O815" s="6"/>
      <c r="P815" s="6"/>
      <c r="Q815" s="6"/>
      <c r="R815" s="6"/>
      <c r="S815" s="6"/>
      <c r="T815" s="6"/>
      <c r="U815" s="6"/>
      <c r="V815" s="339"/>
      <c r="W815" s="339"/>
      <c r="X815" s="6"/>
      <c r="Y815" s="206"/>
      <c r="AE815" s="6"/>
      <c r="AF815" s="6"/>
      <c r="AG815" s="6"/>
      <c r="AH815" s="206"/>
      <c r="AJ815" s="213"/>
      <c r="AK815" s="6"/>
      <c r="AL815" s="6"/>
      <c r="AM815" s="6"/>
      <c r="AN815" s="206"/>
      <c r="AP815" s="213"/>
      <c r="AQ815" s="6"/>
      <c r="AR815" s="6"/>
      <c r="AS815" s="6"/>
      <c r="AT815" s="206"/>
      <c r="AV815" s="213"/>
      <c r="AW815" s="6"/>
      <c r="AX815" s="6"/>
      <c r="AY815" s="6"/>
      <c r="AZ815" s="206"/>
    </row>
    <row r="816" spans="4:52" s="2" customFormat="1" ht="17.100000000000001" customHeight="1" x14ac:dyDescent="0.25">
      <c r="D816" s="3"/>
      <c r="E816" s="3"/>
      <c r="F816" s="4"/>
      <c r="G816" s="4"/>
      <c r="H816" s="138"/>
      <c r="I816" s="97"/>
      <c r="J816" s="6"/>
      <c r="K816" s="6"/>
      <c r="L816" s="6"/>
      <c r="M816" s="6"/>
      <c r="N816" s="6"/>
      <c r="O816" s="6"/>
      <c r="P816" s="6"/>
      <c r="Q816" s="6"/>
      <c r="R816" s="6"/>
      <c r="S816" s="6"/>
      <c r="T816" s="6"/>
      <c r="U816" s="6"/>
      <c r="V816" s="339"/>
      <c r="W816" s="339"/>
      <c r="X816" s="6"/>
      <c r="Y816" s="206"/>
      <c r="AE816" s="6"/>
      <c r="AF816" s="6"/>
      <c r="AG816" s="6"/>
      <c r="AH816" s="206"/>
      <c r="AJ816" s="213"/>
      <c r="AK816" s="6"/>
      <c r="AL816" s="6"/>
      <c r="AM816" s="6"/>
      <c r="AN816" s="206"/>
      <c r="AP816" s="213"/>
      <c r="AQ816" s="6"/>
      <c r="AR816" s="6"/>
      <c r="AS816" s="6"/>
      <c r="AT816" s="206"/>
      <c r="AV816" s="213"/>
      <c r="AW816" s="6"/>
      <c r="AX816" s="6"/>
      <c r="AY816" s="6"/>
      <c r="AZ816" s="206"/>
    </row>
    <row r="817" spans="4:52" s="2" customFormat="1" ht="17.100000000000001" customHeight="1" x14ac:dyDescent="0.25">
      <c r="D817" s="3"/>
      <c r="E817" s="3"/>
      <c r="F817" s="4"/>
      <c r="G817" s="4"/>
      <c r="H817" s="138"/>
      <c r="I817" s="97"/>
      <c r="J817" s="6"/>
      <c r="K817" s="6"/>
      <c r="L817" s="6"/>
      <c r="M817" s="6"/>
      <c r="N817" s="6"/>
      <c r="O817" s="6"/>
      <c r="P817" s="6"/>
      <c r="Q817" s="6"/>
      <c r="R817" s="6"/>
      <c r="S817" s="6"/>
      <c r="T817" s="6"/>
      <c r="U817" s="6"/>
      <c r="V817" s="339"/>
      <c r="W817" s="339"/>
      <c r="X817" s="6"/>
      <c r="Y817" s="206"/>
      <c r="AE817" s="6"/>
      <c r="AF817" s="6"/>
      <c r="AG817" s="6"/>
      <c r="AH817" s="206"/>
      <c r="AJ817" s="213"/>
      <c r="AK817" s="6"/>
      <c r="AL817" s="6"/>
      <c r="AM817" s="6"/>
      <c r="AN817" s="206"/>
      <c r="AP817" s="213"/>
      <c r="AQ817" s="6"/>
      <c r="AR817" s="6"/>
      <c r="AS817" s="6"/>
      <c r="AT817" s="206"/>
      <c r="AV817" s="213"/>
      <c r="AW817" s="6"/>
      <c r="AX817" s="6"/>
      <c r="AY817" s="6"/>
      <c r="AZ817" s="206"/>
    </row>
    <row r="818" spans="4:52" s="2" customFormat="1" ht="17.100000000000001" customHeight="1" x14ac:dyDescent="0.25">
      <c r="D818" s="3"/>
      <c r="E818" s="3"/>
      <c r="F818" s="4"/>
      <c r="G818" s="4"/>
      <c r="H818" s="138"/>
      <c r="I818" s="97"/>
      <c r="J818" s="6"/>
      <c r="K818" s="6"/>
      <c r="L818" s="6"/>
      <c r="M818" s="6"/>
      <c r="N818" s="6"/>
      <c r="O818" s="6"/>
      <c r="P818" s="6"/>
      <c r="Q818" s="6"/>
      <c r="R818" s="6"/>
      <c r="S818" s="6"/>
      <c r="T818" s="6"/>
      <c r="U818" s="6"/>
      <c r="V818" s="339"/>
      <c r="W818" s="339"/>
      <c r="X818" s="6"/>
      <c r="Y818" s="206"/>
      <c r="AE818" s="6"/>
      <c r="AF818" s="6"/>
      <c r="AG818" s="6"/>
      <c r="AH818" s="206"/>
      <c r="AJ818" s="213"/>
      <c r="AK818" s="6"/>
      <c r="AL818" s="6"/>
      <c r="AM818" s="6"/>
      <c r="AN818" s="206"/>
      <c r="AP818" s="213"/>
      <c r="AQ818" s="6"/>
      <c r="AR818" s="6"/>
      <c r="AS818" s="6"/>
      <c r="AT818" s="206"/>
      <c r="AV818" s="213"/>
      <c r="AW818" s="6"/>
      <c r="AX818" s="6"/>
      <c r="AY818" s="6"/>
      <c r="AZ818" s="206"/>
    </row>
    <row r="819" spans="4:52" s="2" customFormat="1" ht="17.100000000000001" customHeight="1" x14ac:dyDescent="0.25">
      <c r="D819" s="3"/>
      <c r="E819" s="3"/>
      <c r="F819" s="4"/>
      <c r="G819" s="4"/>
      <c r="H819" s="138"/>
      <c r="I819" s="97"/>
      <c r="J819" s="6"/>
      <c r="K819" s="6"/>
      <c r="L819" s="6"/>
      <c r="M819" s="6"/>
      <c r="N819" s="6"/>
      <c r="O819" s="6"/>
      <c r="P819" s="6"/>
      <c r="Q819" s="6"/>
      <c r="R819" s="6"/>
      <c r="S819" s="6"/>
      <c r="T819" s="6"/>
      <c r="U819" s="6"/>
      <c r="V819" s="339"/>
      <c r="W819" s="339"/>
      <c r="X819" s="6"/>
      <c r="Y819" s="206"/>
      <c r="AE819" s="6"/>
      <c r="AF819" s="6"/>
      <c r="AG819" s="6"/>
      <c r="AH819" s="206"/>
      <c r="AJ819" s="213"/>
      <c r="AK819" s="6"/>
      <c r="AL819" s="6"/>
      <c r="AM819" s="6"/>
      <c r="AN819" s="206"/>
      <c r="AP819" s="213"/>
      <c r="AQ819" s="6"/>
      <c r="AR819" s="6"/>
      <c r="AS819" s="6"/>
      <c r="AT819" s="206"/>
      <c r="AV819" s="213"/>
      <c r="AW819" s="6"/>
      <c r="AX819" s="6"/>
      <c r="AY819" s="6"/>
      <c r="AZ819" s="206"/>
    </row>
    <row r="820" spans="4:52" s="2" customFormat="1" ht="17.100000000000001" customHeight="1" x14ac:dyDescent="0.25">
      <c r="D820" s="3"/>
      <c r="E820" s="3"/>
      <c r="F820" s="4"/>
      <c r="G820" s="4"/>
      <c r="H820" s="138"/>
      <c r="I820" s="97"/>
      <c r="J820" s="6"/>
      <c r="K820" s="6"/>
      <c r="L820" s="6"/>
      <c r="M820" s="6"/>
      <c r="N820" s="6"/>
      <c r="O820" s="6"/>
      <c r="P820" s="6"/>
      <c r="Q820" s="6"/>
      <c r="R820" s="6"/>
      <c r="S820" s="6"/>
      <c r="T820" s="6"/>
      <c r="U820" s="6"/>
      <c r="V820" s="339"/>
      <c r="W820" s="339"/>
      <c r="X820" s="6"/>
      <c r="Y820" s="206"/>
      <c r="AE820" s="6"/>
      <c r="AF820" s="6"/>
      <c r="AG820" s="6"/>
      <c r="AH820" s="206"/>
      <c r="AJ820" s="213"/>
      <c r="AK820" s="6"/>
      <c r="AL820" s="6"/>
      <c r="AM820" s="6"/>
      <c r="AN820" s="206"/>
      <c r="AP820" s="213"/>
      <c r="AQ820" s="6"/>
      <c r="AR820" s="6"/>
      <c r="AS820" s="6"/>
      <c r="AT820" s="206"/>
      <c r="AV820" s="213"/>
      <c r="AW820" s="6"/>
      <c r="AX820" s="6"/>
      <c r="AY820" s="6"/>
      <c r="AZ820" s="206"/>
    </row>
    <row r="821" spans="4:52" s="2" customFormat="1" ht="17.100000000000001" customHeight="1" x14ac:dyDescent="0.25">
      <c r="D821" s="3"/>
      <c r="E821" s="3"/>
      <c r="F821" s="4"/>
      <c r="G821" s="4"/>
      <c r="H821" s="138"/>
      <c r="I821" s="97"/>
      <c r="J821" s="6"/>
      <c r="K821" s="6"/>
      <c r="L821" s="6"/>
      <c r="M821" s="6"/>
      <c r="N821" s="6"/>
      <c r="O821" s="6"/>
      <c r="P821" s="6"/>
      <c r="Q821" s="6"/>
      <c r="R821" s="6"/>
      <c r="S821" s="6"/>
      <c r="T821" s="6"/>
      <c r="U821" s="6"/>
      <c r="V821" s="339"/>
      <c r="W821" s="339"/>
      <c r="X821" s="6"/>
      <c r="Y821" s="206"/>
      <c r="AE821" s="6"/>
      <c r="AF821" s="6"/>
      <c r="AG821" s="6"/>
      <c r="AH821" s="206"/>
      <c r="AJ821" s="213"/>
      <c r="AK821" s="6"/>
      <c r="AL821" s="6"/>
      <c r="AM821" s="6"/>
      <c r="AN821" s="206"/>
      <c r="AP821" s="213"/>
      <c r="AQ821" s="6"/>
      <c r="AR821" s="6"/>
      <c r="AS821" s="6"/>
      <c r="AT821" s="206"/>
      <c r="AV821" s="213"/>
      <c r="AW821" s="6"/>
      <c r="AX821" s="6"/>
      <c r="AY821" s="6"/>
      <c r="AZ821" s="206"/>
    </row>
    <row r="822" spans="4:52" s="2" customFormat="1" ht="17.100000000000001" customHeight="1" x14ac:dyDescent="0.25">
      <c r="D822" s="3"/>
      <c r="E822" s="3"/>
      <c r="F822" s="4"/>
      <c r="G822" s="4"/>
      <c r="H822" s="138"/>
      <c r="I822" s="97"/>
      <c r="J822" s="6"/>
      <c r="K822" s="6"/>
      <c r="L822" s="6"/>
      <c r="M822" s="6"/>
      <c r="N822" s="6"/>
      <c r="O822" s="6"/>
      <c r="P822" s="6"/>
      <c r="Q822" s="6"/>
      <c r="R822" s="6"/>
      <c r="S822" s="6"/>
      <c r="T822" s="6"/>
      <c r="U822" s="6"/>
      <c r="V822" s="339"/>
      <c r="W822" s="339"/>
      <c r="X822" s="6"/>
      <c r="Y822" s="206"/>
      <c r="AE822" s="6"/>
      <c r="AF822" s="6"/>
      <c r="AG822" s="6"/>
      <c r="AH822" s="206"/>
      <c r="AJ822" s="213"/>
      <c r="AK822" s="6"/>
      <c r="AL822" s="6"/>
      <c r="AM822" s="6"/>
      <c r="AN822" s="206"/>
      <c r="AP822" s="213"/>
      <c r="AQ822" s="6"/>
      <c r="AR822" s="6"/>
      <c r="AS822" s="6"/>
      <c r="AT822" s="206"/>
      <c r="AV822" s="213"/>
      <c r="AW822" s="6"/>
      <c r="AX822" s="6"/>
      <c r="AY822" s="6"/>
      <c r="AZ822" s="206"/>
    </row>
    <row r="823" spans="4:52" s="2" customFormat="1" ht="17.100000000000001" customHeight="1" x14ac:dyDescent="0.25">
      <c r="D823" s="3"/>
      <c r="E823" s="3"/>
      <c r="F823" s="4"/>
      <c r="G823" s="4"/>
      <c r="H823" s="138"/>
      <c r="I823" s="97"/>
      <c r="J823" s="6"/>
      <c r="K823" s="6"/>
      <c r="L823" s="6"/>
      <c r="M823" s="6"/>
      <c r="N823" s="6"/>
      <c r="O823" s="6"/>
      <c r="P823" s="6"/>
      <c r="Q823" s="6"/>
      <c r="R823" s="6"/>
      <c r="S823" s="6"/>
      <c r="T823" s="6"/>
      <c r="U823" s="6"/>
      <c r="V823" s="339"/>
      <c r="W823" s="339"/>
      <c r="X823" s="6"/>
      <c r="Y823" s="206"/>
      <c r="AE823" s="6"/>
      <c r="AF823" s="6"/>
      <c r="AG823" s="6"/>
      <c r="AH823" s="206"/>
      <c r="AJ823" s="213"/>
      <c r="AK823" s="6"/>
      <c r="AL823" s="6"/>
      <c r="AM823" s="6"/>
      <c r="AN823" s="206"/>
      <c r="AP823" s="213"/>
      <c r="AQ823" s="6"/>
      <c r="AR823" s="6"/>
      <c r="AS823" s="6"/>
      <c r="AT823" s="206"/>
      <c r="AV823" s="213"/>
      <c r="AW823" s="6"/>
      <c r="AX823" s="6"/>
      <c r="AY823" s="6"/>
      <c r="AZ823" s="206"/>
    </row>
    <row r="824" spans="4:52" s="2" customFormat="1" ht="17.100000000000001" customHeight="1" x14ac:dyDescent="0.25">
      <c r="D824" s="3"/>
      <c r="E824" s="3"/>
      <c r="F824" s="4"/>
      <c r="G824" s="4"/>
      <c r="H824" s="138"/>
      <c r="I824" s="97"/>
      <c r="J824" s="6"/>
      <c r="K824" s="6"/>
      <c r="L824" s="6"/>
      <c r="M824" s="6"/>
      <c r="N824" s="6"/>
      <c r="O824" s="6"/>
      <c r="P824" s="6"/>
      <c r="Q824" s="6"/>
      <c r="R824" s="6"/>
      <c r="S824" s="6"/>
      <c r="T824" s="6"/>
      <c r="U824" s="6"/>
      <c r="V824" s="339"/>
      <c r="W824" s="339"/>
      <c r="X824" s="6"/>
      <c r="Y824" s="206"/>
      <c r="AE824" s="6"/>
      <c r="AF824" s="6"/>
      <c r="AG824" s="6"/>
      <c r="AH824" s="206"/>
      <c r="AJ824" s="213"/>
      <c r="AK824" s="6"/>
      <c r="AL824" s="6"/>
      <c r="AM824" s="6"/>
      <c r="AN824" s="206"/>
      <c r="AP824" s="213"/>
      <c r="AQ824" s="6"/>
      <c r="AR824" s="6"/>
      <c r="AS824" s="6"/>
      <c r="AT824" s="206"/>
      <c r="AV824" s="213"/>
      <c r="AW824" s="6"/>
      <c r="AX824" s="6"/>
      <c r="AY824" s="6"/>
      <c r="AZ824" s="206"/>
    </row>
    <row r="825" spans="4:52" s="2" customFormat="1" ht="17.100000000000001" customHeight="1" x14ac:dyDescent="0.25">
      <c r="D825" s="3"/>
      <c r="E825" s="3"/>
      <c r="F825" s="4"/>
      <c r="G825" s="4"/>
      <c r="H825" s="138"/>
      <c r="I825" s="97"/>
      <c r="J825" s="6"/>
      <c r="K825" s="6"/>
      <c r="L825" s="6"/>
      <c r="M825" s="6"/>
      <c r="N825" s="6"/>
      <c r="O825" s="6"/>
      <c r="P825" s="6"/>
      <c r="Q825" s="6"/>
      <c r="R825" s="6"/>
      <c r="S825" s="6"/>
      <c r="T825" s="6"/>
      <c r="U825" s="6"/>
      <c r="V825" s="339"/>
      <c r="W825" s="339"/>
      <c r="X825" s="6"/>
      <c r="Y825" s="206"/>
      <c r="AE825" s="6"/>
      <c r="AF825" s="6"/>
      <c r="AG825" s="6"/>
      <c r="AH825" s="206"/>
      <c r="AJ825" s="213"/>
      <c r="AK825" s="6"/>
      <c r="AL825" s="6"/>
      <c r="AM825" s="6"/>
      <c r="AN825" s="206"/>
      <c r="AP825" s="213"/>
      <c r="AQ825" s="6"/>
      <c r="AR825" s="6"/>
      <c r="AS825" s="6"/>
      <c r="AT825" s="206"/>
      <c r="AV825" s="213"/>
      <c r="AW825" s="6"/>
      <c r="AX825" s="6"/>
      <c r="AY825" s="6"/>
      <c r="AZ825" s="206"/>
    </row>
    <row r="826" spans="4:52" s="2" customFormat="1" ht="17.100000000000001" customHeight="1" x14ac:dyDescent="0.25">
      <c r="D826" s="3"/>
      <c r="E826" s="3"/>
      <c r="F826" s="4"/>
      <c r="G826" s="4"/>
      <c r="H826" s="138"/>
      <c r="I826" s="97"/>
      <c r="J826" s="6"/>
      <c r="K826" s="6"/>
      <c r="L826" s="6"/>
      <c r="M826" s="6"/>
      <c r="N826" s="6"/>
      <c r="O826" s="6"/>
      <c r="P826" s="6"/>
      <c r="Q826" s="6"/>
      <c r="R826" s="6"/>
      <c r="S826" s="6"/>
      <c r="T826" s="6"/>
      <c r="U826" s="6"/>
      <c r="V826" s="339"/>
      <c r="W826" s="339"/>
      <c r="X826" s="6"/>
      <c r="Y826" s="206"/>
      <c r="AE826" s="6"/>
      <c r="AF826" s="6"/>
      <c r="AG826" s="6"/>
      <c r="AH826" s="206"/>
      <c r="AJ826" s="213"/>
      <c r="AK826" s="6"/>
      <c r="AL826" s="6"/>
      <c r="AM826" s="6"/>
      <c r="AN826" s="206"/>
      <c r="AP826" s="213"/>
      <c r="AQ826" s="6"/>
      <c r="AR826" s="6"/>
      <c r="AS826" s="6"/>
      <c r="AT826" s="206"/>
      <c r="AV826" s="213"/>
      <c r="AW826" s="6"/>
      <c r="AX826" s="6"/>
      <c r="AY826" s="6"/>
      <c r="AZ826" s="206"/>
    </row>
    <row r="827" spans="4:52" s="2" customFormat="1" ht="17.100000000000001" customHeight="1" x14ac:dyDescent="0.25">
      <c r="D827" s="3"/>
      <c r="E827" s="3"/>
      <c r="F827" s="4"/>
      <c r="G827" s="4"/>
      <c r="H827" s="138"/>
      <c r="I827" s="97"/>
      <c r="J827" s="6"/>
      <c r="K827" s="6"/>
      <c r="L827" s="6"/>
      <c r="M827" s="6"/>
      <c r="N827" s="6"/>
      <c r="O827" s="6"/>
      <c r="P827" s="6"/>
      <c r="Q827" s="6"/>
      <c r="R827" s="6"/>
      <c r="S827" s="6"/>
      <c r="T827" s="6"/>
      <c r="U827" s="6"/>
      <c r="V827" s="339"/>
      <c r="W827" s="339"/>
      <c r="X827" s="6"/>
      <c r="Y827" s="206"/>
      <c r="AE827" s="6"/>
      <c r="AF827" s="6"/>
      <c r="AG827" s="6"/>
      <c r="AH827" s="206"/>
      <c r="AJ827" s="213"/>
      <c r="AK827" s="6"/>
      <c r="AL827" s="6"/>
      <c r="AM827" s="6"/>
      <c r="AN827" s="206"/>
      <c r="AP827" s="213"/>
      <c r="AQ827" s="6"/>
      <c r="AR827" s="6"/>
      <c r="AS827" s="6"/>
      <c r="AT827" s="206"/>
      <c r="AV827" s="213"/>
      <c r="AW827" s="6"/>
      <c r="AX827" s="6"/>
      <c r="AY827" s="6"/>
      <c r="AZ827" s="206"/>
    </row>
    <row r="828" spans="4:52" s="2" customFormat="1" ht="17.100000000000001" customHeight="1" x14ac:dyDescent="0.25">
      <c r="D828" s="3"/>
      <c r="E828" s="3"/>
      <c r="F828" s="4"/>
      <c r="G828" s="4"/>
      <c r="H828" s="138"/>
      <c r="I828" s="97"/>
      <c r="J828" s="6"/>
      <c r="K828" s="6"/>
      <c r="L828" s="6"/>
      <c r="M828" s="6"/>
      <c r="N828" s="6"/>
      <c r="O828" s="6"/>
      <c r="P828" s="6"/>
      <c r="Q828" s="6"/>
      <c r="R828" s="6"/>
      <c r="S828" s="6"/>
      <c r="T828" s="6"/>
      <c r="U828" s="6"/>
      <c r="V828" s="339"/>
      <c r="W828" s="339"/>
      <c r="X828" s="6"/>
      <c r="Y828" s="206"/>
      <c r="AE828" s="6"/>
      <c r="AF828" s="6"/>
      <c r="AG828" s="6"/>
      <c r="AH828" s="206"/>
      <c r="AJ828" s="213"/>
      <c r="AK828" s="6"/>
      <c r="AL828" s="6"/>
      <c r="AM828" s="6"/>
      <c r="AN828" s="206"/>
      <c r="AP828" s="213"/>
      <c r="AQ828" s="6"/>
      <c r="AR828" s="6"/>
      <c r="AS828" s="6"/>
      <c r="AT828" s="206"/>
      <c r="AV828" s="213"/>
      <c r="AW828" s="6"/>
      <c r="AX828" s="6"/>
      <c r="AY828" s="6"/>
      <c r="AZ828" s="206"/>
    </row>
    <row r="829" spans="4:52" s="2" customFormat="1" ht="17.100000000000001" customHeight="1" x14ac:dyDescent="0.25">
      <c r="D829" s="3"/>
      <c r="E829" s="3"/>
      <c r="F829" s="4"/>
      <c r="G829" s="4"/>
      <c r="H829" s="138"/>
      <c r="I829" s="97"/>
      <c r="J829" s="6"/>
      <c r="K829" s="6"/>
      <c r="L829" s="6"/>
      <c r="M829" s="6"/>
      <c r="N829" s="6"/>
      <c r="O829" s="6"/>
      <c r="P829" s="6"/>
      <c r="Q829" s="6"/>
      <c r="R829" s="6"/>
      <c r="S829" s="6"/>
      <c r="T829" s="6"/>
      <c r="U829" s="6"/>
      <c r="V829" s="339"/>
      <c r="W829" s="339"/>
      <c r="X829" s="6"/>
      <c r="Y829" s="206"/>
      <c r="AE829" s="6"/>
      <c r="AF829" s="6"/>
      <c r="AG829" s="6"/>
      <c r="AH829" s="206"/>
      <c r="AJ829" s="213"/>
      <c r="AK829" s="6"/>
      <c r="AL829" s="6"/>
      <c r="AM829" s="6"/>
      <c r="AN829" s="206"/>
      <c r="AP829" s="213"/>
      <c r="AQ829" s="6"/>
      <c r="AR829" s="6"/>
      <c r="AS829" s="6"/>
      <c r="AT829" s="206"/>
      <c r="AV829" s="213"/>
      <c r="AW829" s="6"/>
      <c r="AX829" s="6"/>
      <c r="AY829" s="6"/>
      <c r="AZ829" s="206"/>
    </row>
    <row r="830" spans="4:52" s="2" customFormat="1" ht="17.100000000000001" customHeight="1" x14ac:dyDescent="0.25">
      <c r="D830" s="3"/>
      <c r="E830" s="3"/>
      <c r="F830" s="4"/>
      <c r="G830" s="4"/>
      <c r="H830" s="138"/>
      <c r="I830" s="97"/>
      <c r="J830" s="6"/>
      <c r="K830" s="6"/>
      <c r="L830" s="6"/>
      <c r="M830" s="6"/>
      <c r="N830" s="6"/>
      <c r="O830" s="6"/>
      <c r="P830" s="6"/>
      <c r="Q830" s="6"/>
      <c r="R830" s="6"/>
      <c r="S830" s="6"/>
      <c r="T830" s="6"/>
      <c r="U830" s="6"/>
      <c r="V830" s="339"/>
      <c r="W830" s="339"/>
      <c r="X830" s="6"/>
      <c r="Y830" s="206"/>
      <c r="AE830" s="6"/>
      <c r="AF830" s="6"/>
      <c r="AG830" s="6"/>
      <c r="AH830" s="206"/>
      <c r="AJ830" s="213"/>
      <c r="AK830" s="6"/>
      <c r="AL830" s="6"/>
      <c r="AM830" s="6"/>
      <c r="AN830" s="206"/>
      <c r="AP830" s="213"/>
      <c r="AQ830" s="6"/>
      <c r="AR830" s="6"/>
      <c r="AS830" s="6"/>
      <c r="AT830" s="206"/>
      <c r="AV830" s="213"/>
      <c r="AW830" s="6"/>
      <c r="AX830" s="6"/>
      <c r="AY830" s="6"/>
      <c r="AZ830" s="206"/>
    </row>
    <row r="831" spans="4:52" s="2" customFormat="1" ht="17.100000000000001" customHeight="1" x14ac:dyDescent="0.25">
      <c r="D831" s="3"/>
      <c r="E831" s="3"/>
      <c r="F831" s="4"/>
      <c r="G831" s="4"/>
      <c r="H831" s="138"/>
      <c r="I831" s="97"/>
      <c r="J831" s="6"/>
      <c r="K831" s="6"/>
      <c r="L831" s="6"/>
      <c r="M831" s="6"/>
      <c r="N831" s="6"/>
      <c r="O831" s="6"/>
      <c r="P831" s="6"/>
      <c r="Q831" s="6"/>
      <c r="R831" s="6"/>
      <c r="S831" s="6"/>
      <c r="T831" s="6"/>
      <c r="U831" s="6"/>
      <c r="V831" s="339"/>
      <c r="W831" s="339"/>
      <c r="X831" s="6"/>
      <c r="Y831" s="206"/>
      <c r="AE831" s="6"/>
      <c r="AF831" s="6"/>
      <c r="AG831" s="6"/>
      <c r="AH831" s="206"/>
      <c r="AJ831" s="213"/>
      <c r="AK831" s="6"/>
      <c r="AL831" s="6"/>
      <c r="AM831" s="6"/>
      <c r="AN831" s="206"/>
      <c r="AP831" s="213"/>
      <c r="AQ831" s="6"/>
      <c r="AR831" s="6"/>
      <c r="AS831" s="6"/>
      <c r="AT831" s="206"/>
      <c r="AV831" s="213"/>
      <c r="AW831" s="6"/>
      <c r="AX831" s="6"/>
      <c r="AY831" s="6"/>
      <c r="AZ831" s="206"/>
    </row>
    <row r="832" spans="4:52" s="2" customFormat="1" ht="17.100000000000001" customHeight="1" x14ac:dyDescent="0.25">
      <c r="D832" s="3"/>
      <c r="E832" s="3"/>
      <c r="F832" s="4"/>
      <c r="G832" s="4"/>
      <c r="H832" s="138"/>
      <c r="I832" s="97"/>
      <c r="J832" s="6"/>
      <c r="K832" s="6"/>
      <c r="L832" s="6"/>
      <c r="M832" s="6"/>
      <c r="N832" s="6"/>
      <c r="O832" s="6"/>
      <c r="P832" s="6"/>
      <c r="Q832" s="6"/>
      <c r="R832" s="6"/>
      <c r="S832" s="6"/>
      <c r="T832" s="6"/>
      <c r="U832" s="6"/>
      <c r="V832" s="339"/>
      <c r="W832" s="339"/>
      <c r="X832" s="6"/>
      <c r="Y832" s="206"/>
      <c r="AE832" s="6"/>
      <c r="AF832" s="6"/>
      <c r="AG832" s="6"/>
      <c r="AH832" s="206"/>
      <c r="AJ832" s="213"/>
      <c r="AK832" s="6"/>
      <c r="AL832" s="6"/>
      <c r="AM832" s="6"/>
      <c r="AN832" s="206"/>
      <c r="AP832" s="213"/>
      <c r="AQ832" s="6"/>
      <c r="AR832" s="6"/>
      <c r="AS832" s="6"/>
      <c r="AT832" s="206"/>
      <c r="AV832" s="213"/>
      <c r="AW832" s="6"/>
      <c r="AX832" s="6"/>
      <c r="AY832" s="6"/>
      <c r="AZ832" s="206"/>
    </row>
    <row r="833" spans="4:52" s="2" customFormat="1" ht="17.100000000000001" customHeight="1" x14ac:dyDescent="0.25">
      <c r="D833" s="3"/>
      <c r="E833" s="3"/>
      <c r="F833" s="4"/>
      <c r="G833" s="4"/>
      <c r="H833" s="138"/>
      <c r="I833" s="97"/>
      <c r="J833" s="6"/>
      <c r="K833" s="6"/>
      <c r="L833" s="6"/>
      <c r="M833" s="6"/>
      <c r="N833" s="6"/>
      <c r="O833" s="6"/>
      <c r="P833" s="6"/>
      <c r="Q833" s="6"/>
      <c r="R833" s="6"/>
      <c r="S833" s="6"/>
      <c r="T833" s="6"/>
      <c r="U833" s="6"/>
      <c r="V833" s="339"/>
      <c r="W833" s="339"/>
      <c r="X833" s="6"/>
      <c r="Y833" s="206"/>
      <c r="AE833" s="6"/>
      <c r="AF833" s="6"/>
      <c r="AG833" s="6"/>
      <c r="AH833" s="206"/>
      <c r="AJ833" s="213"/>
      <c r="AK833" s="6"/>
      <c r="AL833" s="6"/>
      <c r="AM833" s="6"/>
      <c r="AN833" s="206"/>
      <c r="AP833" s="213"/>
      <c r="AQ833" s="6"/>
      <c r="AR833" s="6"/>
      <c r="AS833" s="6"/>
      <c r="AT833" s="206"/>
      <c r="AV833" s="213"/>
      <c r="AW833" s="6"/>
      <c r="AX833" s="6"/>
      <c r="AY833" s="6"/>
      <c r="AZ833" s="206"/>
    </row>
    <row r="834" spans="4:52" s="2" customFormat="1" ht="17.100000000000001" customHeight="1" x14ac:dyDescent="0.25">
      <c r="D834" s="3"/>
      <c r="E834" s="3"/>
      <c r="F834" s="4"/>
      <c r="G834" s="4"/>
      <c r="H834" s="138"/>
      <c r="I834" s="97"/>
      <c r="J834" s="6"/>
      <c r="K834" s="6"/>
      <c r="L834" s="6"/>
      <c r="M834" s="6"/>
      <c r="N834" s="6"/>
      <c r="O834" s="6"/>
      <c r="P834" s="6"/>
      <c r="Q834" s="6"/>
      <c r="R834" s="6"/>
      <c r="S834" s="6"/>
      <c r="T834" s="6"/>
      <c r="U834" s="6"/>
      <c r="V834" s="339"/>
      <c r="W834" s="339"/>
      <c r="X834" s="6"/>
      <c r="Y834" s="206"/>
      <c r="AE834" s="6"/>
      <c r="AF834" s="6"/>
      <c r="AG834" s="6"/>
      <c r="AH834" s="206"/>
      <c r="AJ834" s="213"/>
      <c r="AK834" s="6"/>
      <c r="AL834" s="6"/>
      <c r="AM834" s="6"/>
      <c r="AN834" s="206"/>
      <c r="AP834" s="213"/>
      <c r="AQ834" s="6"/>
      <c r="AR834" s="6"/>
      <c r="AS834" s="6"/>
      <c r="AT834" s="206"/>
      <c r="AV834" s="213"/>
      <c r="AW834" s="6"/>
      <c r="AX834" s="6"/>
      <c r="AY834" s="6"/>
      <c r="AZ834" s="206"/>
    </row>
    <row r="835" spans="4:52" s="2" customFormat="1" ht="17.100000000000001" customHeight="1" x14ac:dyDescent="0.25">
      <c r="D835" s="3"/>
      <c r="E835" s="3"/>
      <c r="F835" s="4"/>
      <c r="G835" s="4"/>
      <c r="H835" s="138"/>
      <c r="I835" s="97"/>
      <c r="J835" s="6"/>
      <c r="K835" s="6"/>
      <c r="L835" s="6"/>
      <c r="M835" s="6"/>
      <c r="N835" s="6"/>
      <c r="O835" s="6"/>
      <c r="P835" s="6"/>
      <c r="Q835" s="6"/>
      <c r="R835" s="6"/>
      <c r="S835" s="6"/>
      <c r="T835" s="6"/>
      <c r="U835" s="6"/>
      <c r="V835" s="339"/>
      <c r="W835" s="339"/>
      <c r="X835" s="6"/>
      <c r="Y835" s="206"/>
      <c r="AE835" s="6"/>
      <c r="AF835" s="6"/>
      <c r="AG835" s="6"/>
      <c r="AH835" s="206"/>
      <c r="AJ835" s="213"/>
      <c r="AK835" s="6"/>
      <c r="AL835" s="6"/>
      <c r="AM835" s="6"/>
      <c r="AN835" s="206"/>
      <c r="AP835" s="213"/>
      <c r="AQ835" s="6"/>
      <c r="AR835" s="6"/>
      <c r="AS835" s="6"/>
      <c r="AT835" s="206"/>
      <c r="AV835" s="213"/>
      <c r="AW835" s="6"/>
      <c r="AX835" s="6"/>
      <c r="AY835" s="6"/>
      <c r="AZ835" s="206"/>
    </row>
    <row r="836" spans="4:52" s="2" customFormat="1" ht="17.100000000000001" customHeight="1" x14ac:dyDescent="0.25">
      <c r="D836" s="3"/>
      <c r="E836" s="3"/>
      <c r="F836" s="4"/>
      <c r="G836" s="4"/>
      <c r="H836" s="138"/>
      <c r="I836" s="97"/>
      <c r="J836" s="6"/>
      <c r="K836" s="6"/>
      <c r="L836" s="6"/>
      <c r="M836" s="6"/>
      <c r="N836" s="6"/>
      <c r="O836" s="6"/>
      <c r="P836" s="6"/>
      <c r="Q836" s="6"/>
      <c r="R836" s="6"/>
      <c r="S836" s="6"/>
      <c r="T836" s="6"/>
      <c r="U836" s="6"/>
      <c r="V836" s="339"/>
      <c r="W836" s="339"/>
      <c r="X836" s="6"/>
      <c r="Y836" s="206"/>
      <c r="AE836" s="6"/>
      <c r="AF836" s="6"/>
      <c r="AG836" s="6"/>
      <c r="AH836" s="206"/>
      <c r="AJ836" s="213"/>
      <c r="AK836" s="6"/>
      <c r="AL836" s="6"/>
      <c r="AM836" s="6"/>
      <c r="AN836" s="206"/>
      <c r="AP836" s="213"/>
      <c r="AQ836" s="6"/>
      <c r="AR836" s="6"/>
      <c r="AS836" s="6"/>
      <c r="AT836" s="206"/>
      <c r="AV836" s="213"/>
      <c r="AW836" s="6"/>
      <c r="AX836" s="6"/>
      <c r="AY836" s="6"/>
      <c r="AZ836" s="206"/>
    </row>
    <row r="837" spans="4:52" s="2" customFormat="1" ht="17.100000000000001" customHeight="1" x14ac:dyDescent="0.25">
      <c r="D837" s="3"/>
      <c r="E837" s="3"/>
      <c r="F837" s="4"/>
      <c r="G837" s="4"/>
      <c r="H837" s="138"/>
      <c r="I837" s="97"/>
      <c r="J837" s="6"/>
      <c r="K837" s="6"/>
      <c r="L837" s="6"/>
      <c r="M837" s="6"/>
      <c r="N837" s="6"/>
      <c r="O837" s="6"/>
      <c r="P837" s="6"/>
      <c r="Q837" s="6"/>
      <c r="R837" s="6"/>
      <c r="S837" s="6"/>
      <c r="T837" s="6"/>
      <c r="U837" s="6"/>
      <c r="V837" s="339"/>
      <c r="W837" s="339"/>
      <c r="X837" s="6"/>
      <c r="Y837" s="206"/>
      <c r="AE837" s="6"/>
      <c r="AF837" s="6"/>
      <c r="AG837" s="6"/>
      <c r="AH837" s="206"/>
      <c r="AJ837" s="213"/>
      <c r="AK837" s="6"/>
      <c r="AL837" s="6"/>
      <c r="AM837" s="6"/>
      <c r="AN837" s="206"/>
      <c r="AP837" s="213"/>
      <c r="AQ837" s="6"/>
      <c r="AR837" s="6"/>
      <c r="AS837" s="6"/>
      <c r="AT837" s="206"/>
      <c r="AV837" s="213"/>
      <c r="AW837" s="6"/>
      <c r="AX837" s="6"/>
      <c r="AY837" s="6"/>
      <c r="AZ837" s="206"/>
    </row>
    <row r="838" spans="4:52" s="2" customFormat="1" ht="17.100000000000001" customHeight="1" x14ac:dyDescent="0.25">
      <c r="D838" s="3"/>
      <c r="E838" s="3"/>
      <c r="F838" s="4"/>
      <c r="G838" s="4"/>
      <c r="H838" s="138"/>
      <c r="I838" s="97"/>
      <c r="J838" s="6"/>
      <c r="K838" s="6"/>
      <c r="L838" s="6"/>
      <c r="M838" s="6"/>
      <c r="N838" s="6"/>
      <c r="O838" s="6"/>
      <c r="P838" s="6"/>
      <c r="Q838" s="6"/>
      <c r="R838" s="6"/>
      <c r="S838" s="6"/>
      <c r="T838" s="6"/>
      <c r="U838" s="6"/>
      <c r="V838" s="339"/>
      <c r="W838" s="339"/>
      <c r="X838" s="6"/>
      <c r="Y838" s="206"/>
      <c r="AE838" s="6"/>
      <c r="AF838" s="6"/>
      <c r="AG838" s="6"/>
      <c r="AH838" s="206"/>
      <c r="AJ838" s="213"/>
      <c r="AK838" s="6"/>
      <c r="AL838" s="6"/>
      <c r="AM838" s="6"/>
      <c r="AN838" s="206"/>
      <c r="AP838" s="213"/>
      <c r="AQ838" s="6"/>
      <c r="AR838" s="6"/>
      <c r="AS838" s="6"/>
      <c r="AT838" s="206"/>
      <c r="AV838" s="213"/>
      <c r="AW838" s="6"/>
      <c r="AX838" s="6"/>
      <c r="AY838" s="6"/>
      <c r="AZ838" s="206"/>
    </row>
    <row r="839" spans="4:52" s="2" customFormat="1" ht="17.100000000000001" customHeight="1" x14ac:dyDescent="0.25">
      <c r="D839" s="3"/>
      <c r="E839" s="3"/>
      <c r="F839" s="4"/>
      <c r="G839" s="4"/>
      <c r="H839" s="138"/>
      <c r="I839" s="97"/>
      <c r="J839" s="6"/>
      <c r="K839" s="6"/>
      <c r="L839" s="6"/>
      <c r="M839" s="6"/>
      <c r="N839" s="6"/>
      <c r="O839" s="6"/>
      <c r="P839" s="6"/>
      <c r="Q839" s="6"/>
      <c r="R839" s="6"/>
      <c r="S839" s="6"/>
      <c r="T839" s="6"/>
      <c r="U839" s="6"/>
      <c r="V839" s="339"/>
      <c r="W839" s="339"/>
      <c r="X839" s="6"/>
      <c r="Y839" s="206"/>
      <c r="AE839" s="6"/>
      <c r="AF839" s="6"/>
      <c r="AG839" s="6"/>
      <c r="AH839" s="206"/>
      <c r="AJ839" s="213"/>
      <c r="AK839" s="6"/>
      <c r="AL839" s="6"/>
      <c r="AM839" s="6"/>
      <c r="AN839" s="206"/>
      <c r="AP839" s="213"/>
      <c r="AQ839" s="6"/>
      <c r="AR839" s="6"/>
      <c r="AS839" s="6"/>
      <c r="AT839" s="206"/>
      <c r="AV839" s="213"/>
      <c r="AW839" s="6"/>
      <c r="AX839" s="6"/>
      <c r="AY839" s="6"/>
      <c r="AZ839" s="206"/>
    </row>
    <row r="840" spans="4:52" s="2" customFormat="1" ht="17.100000000000001" customHeight="1" x14ac:dyDescent="0.25">
      <c r="D840" s="3"/>
      <c r="E840" s="3"/>
      <c r="F840" s="4"/>
      <c r="G840" s="4"/>
      <c r="H840" s="138"/>
      <c r="I840" s="97"/>
      <c r="J840" s="6"/>
      <c r="K840" s="6"/>
      <c r="L840" s="6"/>
      <c r="M840" s="6"/>
      <c r="N840" s="6"/>
      <c r="O840" s="6"/>
      <c r="P840" s="6"/>
      <c r="Q840" s="6"/>
      <c r="R840" s="6"/>
      <c r="S840" s="6"/>
      <c r="T840" s="6"/>
      <c r="U840" s="6"/>
      <c r="V840" s="339"/>
      <c r="W840" s="339"/>
      <c r="X840" s="6"/>
      <c r="Y840" s="206"/>
      <c r="AE840" s="6"/>
      <c r="AF840" s="6"/>
      <c r="AG840" s="6"/>
      <c r="AH840" s="206"/>
      <c r="AJ840" s="213"/>
      <c r="AK840" s="6"/>
      <c r="AL840" s="6"/>
      <c r="AM840" s="6"/>
      <c r="AN840" s="206"/>
      <c r="AP840" s="213"/>
      <c r="AQ840" s="6"/>
      <c r="AR840" s="6"/>
      <c r="AS840" s="6"/>
      <c r="AT840" s="206"/>
      <c r="AV840" s="213"/>
      <c r="AW840" s="6"/>
      <c r="AX840" s="6"/>
      <c r="AY840" s="6"/>
      <c r="AZ840" s="206"/>
    </row>
  </sheetData>
  <dataConsolidate/>
  <mergeCells count="19">
    <mergeCell ref="AQ10:AU10"/>
    <mergeCell ref="AW10:BA10"/>
    <mergeCell ref="E382:G382"/>
    <mergeCell ref="E384:G384"/>
    <mergeCell ref="E446:G446"/>
    <mergeCell ref="E447:G447"/>
    <mergeCell ref="AE8:AO8"/>
    <mergeCell ref="J9:M9"/>
    <mergeCell ref="N9:P9"/>
    <mergeCell ref="Q9:S9"/>
    <mergeCell ref="T9:V9"/>
    <mergeCell ref="AE10:AI10"/>
    <mergeCell ref="AK10:AO10"/>
    <mergeCell ref="W8:Y9"/>
    <mergeCell ref="L6:M6"/>
    <mergeCell ref="J8:M8"/>
    <mergeCell ref="N8:P8"/>
    <mergeCell ref="Q8:S8"/>
    <mergeCell ref="T8:V8"/>
  </mergeCells>
  <pageMargins left="0.7" right="0.7" top="0.75" bottom="0.75" header="0.3" footer="0.3"/>
  <pageSetup paperSize="9" scale="70" fitToHeight="5" orientation="portrait" r:id="rId1"/>
  <headerFooter>
    <oddFooter>&amp;L&amp;10SANITATION DEMAND AND SUPPLY STUDY&amp;C&amp;10&amp;P&amp;R&amp;10HOUSEHOLDS WITH TOILET</oddFooter>
  </headerFooter>
  <rowBreaks count="4" manualBreakCount="4">
    <brk id="89" max="10" man="1"/>
    <brk id="212" max="10" man="1"/>
    <brk id="373" max="10" man="1"/>
    <brk id="567" max="10" man="1"/>
  </rowBreaks>
  <ignoredErrors>
    <ignoredError sqref="AA318:AC320 O443:R443" formulaRange="1"/>
    <ignoredError sqref="P101:S107 P177:S177 P395:S395 P449:S449 P527:V528"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BH840"/>
  <sheetViews>
    <sheetView zoomScale="80" zoomScaleNormal="80" workbookViewId="0">
      <pane xSplit="7" ySplit="11" topLeftCell="H12" activePane="bottomRight" state="frozen"/>
      <selection activeCell="W396" sqref="W396:X399"/>
      <selection pane="topRight" activeCell="W396" sqref="W396:X399"/>
      <selection pane="bottomLeft" activeCell="W396" sqref="W396:X399"/>
      <selection pane="bottomRight" activeCell="O5" sqref="O5"/>
    </sheetView>
  </sheetViews>
  <sheetFormatPr defaultRowHeight="17.100000000000001" customHeight="1" x14ac:dyDescent="0.25"/>
  <cols>
    <col min="1" max="2" width="4.7109375" style="2" customWidth="1"/>
    <col min="3" max="3" width="6.7109375" style="2" customWidth="1"/>
    <col min="4" max="4" width="7.7109375" style="3" customWidth="1"/>
    <col min="5" max="5" width="4.7109375" style="3" customWidth="1"/>
    <col min="6" max="6" width="30.7109375" style="4" customWidth="1"/>
    <col min="7" max="7" width="3.7109375" style="4" customWidth="1"/>
    <col min="8" max="8" width="4.42578125" style="138" customWidth="1"/>
    <col min="9" max="9" width="3.7109375" style="97" customWidth="1"/>
    <col min="10" max="21" width="10.7109375" style="6" customWidth="1"/>
    <col min="22" max="23" width="10.7109375" style="339" customWidth="1"/>
    <col min="24" max="24" width="10.7109375" style="6" customWidth="1"/>
    <col min="25" max="25" width="10.7109375" style="7" customWidth="1"/>
    <col min="26" max="29" width="10.7109375" style="3" customWidth="1"/>
    <col min="30" max="30" width="8.7109375" style="3" customWidth="1"/>
    <col min="31" max="33" width="9.7109375" style="8" customWidth="1"/>
    <col min="34" max="34" width="9.7109375" style="7" customWidth="1"/>
    <col min="35" max="35" width="9.7109375" style="3" customWidth="1"/>
    <col min="36" max="36" width="8.7109375" style="117" customWidth="1"/>
    <col min="37" max="39" width="9.7109375" style="8" customWidth="1"/>
    <col min="40" max="40" width="9.7109375" style="7" customWidth="1"/>
    <col min="41" max="41" width="9.7109375" style="3" customWidth="1"/>
    <col min="42" max="42" width="8.7109375" style="117" customWidth="1"/>
    <col min="43" max="45" width="9.7109375" style="8" customWidth="1"/>
    <col min="46" max="46" width="9.7109375" style="7" customWidth="1"/>
    <col min="47" max="47" width="9.7109375" style="3" customWidth="1"/>
    <col min="48" max="48" width="8.7109375" style="117" customWidth="1"/>
    <col min="49" max="51" width="9.7109375" style="8" customWidth="1"/>
    <col min="52" max="52" width="9.7109375" style="7" customWidth="1"/>
    <col min="53" max="53" width="9.7109375" style="3" customWidth="1"/>
    <col min="54" max="16384" width="9.140625" style="3"/>
  </cols>
  <sheetData>
    <row r="1" spans="1:53" ht="17.100000000000001" customHeight="1" x14ac:dyDescent="0.25">
      <c r="A1" s="1" t="s">
        <v>363</v>
      </c>
      <c r="J1" s="5" t="s">
        <v>883</v>
      </c>
      <c r="V1" s="6"/>
      <c r="W1" s="6"/>
    </row>
    <row r="2" spans="1:53" ht="17.100000000000001" customHeight="1" x14ac:dyDescent="0.25">
      <c r="A2" s="1" t="str">
        <f>'STUDY VILLAGES'!U7</f>
        <v>KAMPOT PROVINCE</v>
      </c>
      <c r="J2" s="5"/>
      <c r="V2" s="6"/>
      <c r="W2" s="6"/>
    </row>
    <row r="3" spans="1:53" ht="17.100000000000001" customHeight="1" x14ac:dyDescent="0.25">
      <c r="A3" s="1" t="str">
        <f>'STUDY VILLAGES'!U8</f>
        <v>BANTEAY MEAS DISTRICT</v>
      </c>
      <c r="J3" s="268" t="s">
        <v>555</v>
      </c>
      <c r="K3" s="95"/>
      <c r="L3" s="267" t="str">
        <f>'STUDY VILLAGES'!B12</f>
        <v>SK KHANG TBOUNG</v>
      </c>
      <c r="M3" s="267"/>
      <c r="V3" s="6"/>
      <c r="W3" s="6"/>
    </row>
    <row r="4" spans="1:53" ht="12.75" x14ac:dyDescent="0.25">
      <c r="A4" s="3"/>
      <c r="B4" s="3"/>
      <c r="C4" s="3"/>
      <c r="F4" s="3"/>
      <c r="G4" s="3"/>
      <c r="H4" s="213"/>
      <c r="J4" s="3"/>
      <c r="K4" s="3"/>
      <c r="L4" s="3"/>
      <c r="M4" s="3"/>
      <c r="N4" s="3"/>
      <c r="O4" s="3"/>
      <c r="P4" s="3"/>
      <c r="V4" s="6"/>
      <c r="W4" s="6"/>
    </row>
    <row r="5" spans="1:53" ht="21" x14ac:dyDescent="0.25">
      <c r="A5" s="1" t="s">
        <v>743</v>
      </c>
      <c r="J5" s="9" t="s">
        <v>1</v>
      </c>
      <c r="K5" s="10"/>
      <c r="L5" s="653"/>
      <c r="M5" s="397"/>
      <c r="N5" s="3"/>
      <c r="O5" s="519" t="s">
        <v>1070</v>
      </c>
      <c r="P5" s="3"/>
      <c r="V5" s="6"/>
      <c r="W5" s="6"/>
    </row>
    <row r="6" spans="1:53" ht="21" customHeight="1" x14ac:dyDescent="0.25">
      <c r="A6" s="444" t="s">
        <v>618</v>
      </c>
      <c r="J6" s="11" t="s">
        <v>2</v>
      </c>
      <c r="K6" s="10"/>
      <c r="L6" s="1379"/>
      <c r="M6" s="1379"/>
      <c r="N6" s="3"/>
      <c r="O6" s="3"/>
      <c r="P6" s="3"/>
      <c r="V6" s="6"/>
      <c r="W6" s="6"/>
    </row>
    <row r="7" spans="1:53" ht="9.9499999999999993" customHeight="1" x14ac:dyDescent="0.25">
      <c r="A7" s="12"/>
      <c r="B7" s="13"/>
      <c r="C7" s="14"/>
      <c r="D7" s="15"/>
      <c r="E7" s="16"/>
      <c r="F7" s="16"/>
      <c r="G7" s="16"/>
      <c r="H7" s="214"/>
      <c r="I7" s="16"/>
      <c r="V7" s="6"/>
      <c r="W7" s="6"/>
    </row>
    <row r="8" spans="1:53" ht="17.100000000000001" customHeight="1" x14ac:dyDescent="0.25">
      <c r="D8" s="2"/>
      <c r="E8" s="2"/>
      <c r="F8" s="21"/>
      <c r="G8" s="21"/>
      <c r="H8" s="12"/>
      <c r="I8" s="138"/>
      <c r="J8" s="1384" t="s">
        <v>541</v>
      </c>
      <c r="K8" s="1385"/>
      <c r="L8" s="1385"/>
      <c r="M8" s="1386"/>
      <c r="N8" s="1384" t="s">
        <v>364</v>
      </c>
      <c r="O8" s="1385"/>
      <c r="P8" s="1386"/>
      <c r="Q8" s="1384" t="s">
        <v>365</v>
      </c>
      <c r="R8" s="1385"/>
      <c r="S8" s="1386"/>
      <c r="T8" s="1384" t="s">
        <v>366</v>
      </c>
      <c r="U8" s="1385"/>
      <c r="V8" s="1385"/>
      <c r="W8" s="1396" t="s">
        <v>4</v>
      </c>
      <c r="X8" s="1397"/>
      <c r="Y8" s="1397"/>
      <c r="AE8" s="1383" t="s">
        <v>731</v>
      </c>
      <c r="AF8" s="1383"/>
      <c r="AG8" s="1383"/>
      <c r="AH8" s="1383"/>
      <c r="AI8" s="1383"/>
      <c r="AJ8" s="1383"/>
      <c r="AK8" s="1383"/>
      <c r="AL8" s="1383"/>
      <c r="AM8" s="1383"/>
      <c r="AN8" s="1383"/>
      <c r="AO8" s="1383"/>
      <c r="AP8" s="3"/>
      <c r="AV8" s="3"/>
    </row>
    <row r="9" spans="1:53" ht="17.100000000000001" customHeight="1" x14ac:dyDescent="0.25">
      <c r="D9" s="2"/>
      <c r="E9" s="2"/>
      <c r="F9" s="21"/>
      <c r="G9" s="21"/>
      <c r="H9" s="12"/>
      <c r="I9" s="138"/>
      <c r="J9" s="1384" t="s">
        <v>542</v>
      </c>
      <c r="K9" s="1385"/>
      <c r="L9" s="1385"/>
      <c r="M9" s="1386"/>
      <c r="N9" s="1387" t="str">
        <f>'STUDY VILLAGES'!C12</f>
        <v>Phnum Touch</v>
      </c>
      <c r="O9" s="1388"/>
      <c r="P9" s="1389"/>
      <c r="Q9" s="1387">
        <f>'STUDY VILLAGES'!F12</f>
        <v>0</v>
      </c>
      <c r="R9" s="1388"/>
      <c r="S9" s="1389"/>
      <c r="T9" s="1387">
        <f>'STUDY VILLAGES'!I12</f>
        <v>0</v>
      </c>
      <c r="U9" s="1388"/>
      <c r="V9" s="1389"/>
      <c r="W9" s="1396"/>
      <c r="X9" s="1397"/>
      <c r="Y9" s="1397"/>
      <c r="AB9" s="513" t="s">
        <v>900</v>
      </c>
      <c r="AC9" s="514">
        <f>SUM(AA10:AC10)</f>
        <v>1</v>
      </c>
    </row>
    <row r="10" spans="1:53" ht="17.100000000000001" customHeight="1" x14ac:dyDescent="0.25">
      <c r="A10" s="21"/>
      <c r="B10" s="21"/>
      <c r="C10" s="21"/>
      <c r="D10" s="4"/>
      <c r="E10" s="4"/>
      <c r="G10" s="22"/>
      <c r="H10" s="166"/>
      <c r="I10" s="208"/>
      <c r="J10" s="334" t="s">
        <v>733</v>
      </c>
      <c r="K10" s="334" t="s">
        <v>734</v>
      </c>
      <c r="L10" s="334" t="s">
        <v>657</v>
      </c>
      <c r="M10" s="334" t="s">
        <v>320</v>
      </c>
      <c r="N10" s="334" t="s">
        <v>735</v>
      </c>
      <c r="O10" s="334" t="s">
        <v>657</v>
      </c>
      <c r="P10" s="334" t="s">
        <v>320</v>
      </c>
      <c r="Q10" s="334" t="s">
        <v>735</v>
      </c>
      <c r="R10" s="334" t="s">
        <v>657</v>
      </c>
      <c r="S10" s="334" t="s">
        <v>320</v>
      </c>
      <c r="T10" s="334" t="s">
        <v>735</v>
      </c>
      <c r="U10" s="334" t="s">
        <v>657</v>
      </c>
      <c r="V10" s="544" t="s">
        <v>320</v>
      </c>
      <c r="W10" s="375" t="s">
        <v>735</v>
      </c>
      <c r="X10" s="335" t="s">
        <v>657</v>
      </c>
      <c r="Y10" s="410" t="s">
        <v>4</v>
      </c>
      <c r="AA10" s="2">
        <f>IF(P20&gt;0,1,0)</f>
        <v>1</v>
      </c>
      <c r="AB10" s="2">
        <f>IF(S20&gt;0,1,0)</f>
        <v>0</v>
      </c>
      <c r="AC10" s="2">
        <f>IF(V20&gt;0,1,0)</f>
        <v>0</v>
      </c>
      <c r="AE10" s="1400" t="s">
        <v>733</v>
      </c>
      <c r="AF10" s="1401"/>
      <c r="AG10" s="1401"/>
      <c r="AH10" s="1401"/>
      <c r="AI10" s="1402"/>
      <c r="AK10" s="1390" t="s">
        <v>734</v>
      </c>
      <c r="AL10" s="1391"/>
      <c r="AM10" s="1391"/>
      <c r="AN10" s="1391"/>
      <c r="AO10" s="1392"/>
      <c r="AQ10" s="1380" t="s">
        <v>732</v>
      </c>
      <c r="AR10" s="1381"/>
      <c r="AS10" s="1381"/>
      <c r="AT10" s="1381"/>
      <c r="AU10" s="1382"/>
      <c r="AW10" s="1393" t="s">
        <v>556</v>
      </c>
      <c r="AX10" s="1394"/>
      <c r="AY10" s="1394"/>
      <c r="AZ10" s="1394"/>
      <c r="BA10" s="1395"/>
    </row>
    <row r="11" spans="1:53" s="32" customFormat="1" ht="17.100000000000001" customHeight="1" thickBot="1" x14ac:dyDescent="0.3">
      <c r="A11" s="24">
        <v>0</v>
      </c>
      <c r="B11" s="25" t="s">
        <v>3</v>
      </c>
      <c r="C11" s="26"/>
      <c r="D11" s="27"/>
      <c r="E11" s="27"/>
      <c r="F11" s="27"/>
      <c r="G11" s="28"/>
      <c r="H11" s="215"/>
      <c r="I11" s="228"/>
      <c r="J11" s="29"/>
      <c r="K11" s="29"/>
      <c r="L11" s="29"/>
      <c r="M11" s="29"/>
      <c r="N11" s="29"/>
      <c r="O11" s="29"/>
      <c r="P11" s="29"/>
      <c r="Q11" s="29"/>
      <c r="R11" s="29"/>
      <c r="S11" s="29"/>
      <c r="T11" s="29"/>
      <c r="U11" s="29"/>
      <c r="V11" s="354"/>
      <c r="W11" s="376"/>
      <c r="X11" s="29"/>
      <c r="Y11" s="30"/>
      <c r="Z11" s="31" t="s">
        <v>5</v>
      </c>
      <c r="AA11" s="31" t="s">
        <v>181</v>
      </c>
      <c r="AB11" s="31" t="s">
        <v>182</v>
      </c>
      <c r="AC11" s="31" t="s">
        <v>6</v>
      </c>
      <c r="AE11" s="33" t="s">
        <v>181</v>
      </c>
      <c r="AF11" s="33" t="s">
        <v>182</v>
      </c>
      <c r="AG11" s="33" t="s">
        <v>6</v>
      </c>
      <c r="AH11" s="33" t="s">
        <v>4</v>
      </c>
      <c r="AI11" s="34" t="s">
        <v>5</v>
      </c>
      <c r="AJ11" s="406"/>
      <c r="AK11" s="36" t="s">
        <v>181</v>
      </c>
      <c r="AL11" s="36" t="s">
        <v>182</v>
      </c>
      <c r="AM11" s="36" t="s">
        <v>6</v>
      </c>
      <c r="AN11" s="36" t="s">
        <v>4</v>
      </c>
      <c r="AO11" s="37" t="s">
        <v>5</v>
      </c>
      <c r="AP11" s="406"/>
      <c r="AQ11" s="398" t="s">
        <v>181</v>
      </c>
      <c r="AR11" s="398" t="s">
        <v>182</v>
      </c>
      <c r="AS11" s="398" t="s">
        <v>6</v>
      </c>
      <c r="AT11" s="398" t="s">
        <v>4</v>
      </c>
      <c r="AU11" s="399" t="s">
        <v>5</v>
      </c>
      <c r="AV11" s="406"/>
      <c r="AW11" s="400" t="s">
        <v>181</v>
      </c>
      <c r="AX11" s="400" t="s">
        <v>182</v>
      </c>
      <c r="AY11" s="400" t="s">
        <v>6</v>
      </c>
      <c r="AZ11" s="400" t="s">
        <v>4</v>
      </c>
      <c r="BA11" s="401" t="s">
        <v>5</v>
      </c>
    </row>
    <row r="12" spans="1:53" ht="17.100000000000001" customHeight="1" x14ac:dyDescent="0.25">
      <c r="A12" s="40"/>
      <c r="B12" s="414">
        <v>0</v>
      </c>
      <c r="C12" s="42" t="s">
        <v>367</v>
      </c>
      <c r="D12" s="43"/>
      <c r="E12" s="43"/>
      <c r="F12" s="43"/>
      <c r="G12" s="44"/>
      <c r="H12" s="219"/>
      <c r="I12" s="229"/>
      <c r="J12" s="577"/>
      <c r="K12" s="577"/>
      <c r="L12" s="578"/>
      <c r="M12" s="578"/>
      <c r="N12" s="578"/>
      <c r="O12" s="578"/>
      <c r="P12" s="578"/>
      <c r="Q12" s="578"/>
      <c r="R12" s="578"/>
      <c r="S12" s="578"/>
      <c r="T12" s="578"/>
      <c r="U12" s="578"/>
      <c r="V12" s="579"/>
      <c r="W12" s="580"/>
      <c r="X12" s="578"/>
      <c r="Y12" s="220"/>
      <c r="Z12" s="51"/>
      <c r="AA12" s="51"/>
      <c r="AB12" s="51"/>
      <c r="AC12" s="51"/>
      <c r="AE12" s="52"/>
      <c r="AF12" s="52"/>
      <c r="AG12" s="52"/>
      <c r="AH12" s="53"/>
      <c r="AI12" s="54"/>
      <c r="AK12" s="52"/>
      <c r="AL12" s="52"/>
      <c r="AM12" s="52"/>
      <c r="AN12" s="53"/>
      <c r="AO12" s="54"/>
      <c r="AQ12" s="52"/>
      <c r="AR12" s="52"/>
      <c r="AS12" s="52"/>
      <c r="AT12" s="53"/>
      <c r="AU12" s="54"/>
      <c r="AW12" s="52"/>
      <c r="AX12" s="52"/>
      <c r="AY12" s="52"/>
      <c r="AZ12" s="53"/>
      <c r="BA12" s="54"/>
    </row>
    <row r="13" spans="1:53" ht="17.100000000000001" customHeight="1" x14ac:dyDescent="0.25">
      <c r="A13" s="47"/>
      <c r="B13" s="55"/>
      <c r="C13" s="56" t="s">
        <v>626</v>
      </c>
      <c r="D13" s="57" t="s">
        <v>368</v>
      </c>
      <c r="E13" s="58"/>
      <c r="F13" s="58"/>
      <c r="G13" s="59"/>
      <c r="H13" s="218">
        <v>1</v>
      </c>
      <c r="I13" s="229"/>
      <c r="J13" s="581"/>
      <c r="K13" s="581"/>
      <c r="L13" s="582"/>
      <c r="M13" s="17">
        <f>SUM(J13:L13)</f>
        <v>0</v>
      </c>
      <c r="N13" s="111"/>
      <c r="O13" s="111"/>
      <c r="P13" s="111"/>
      <c r="Q13" s="111"/>
      <c r="R13" s="111"/>
      <c r="S13" s="111"/>
      <c r="T13" s="111"/>
      <c r="U13" s="111"/>
      <c r="V13" s="358"/>
      <c r="W13" s="391">
        <f>J13+K13+N13+Q13+T13</f>
        <v>0</v>
      </c>
      <c r="X13" s="17">
        <f>L13+O13+R13+U13</f>
        <v>0</v>
      </c>
      <c r="Y13" s="18">
        <f>SUM(W13:X13)</f>
        <v>0</v>
      </c>
      <c r="Z13" s="19">
        <f>IF(Y$15=0,0,Y13/Y$15)</f>
        <v>0</v>
      </c>
      <c r="AA13" s="19"/>
      <c r="AB13" s="19"/>
      <c r="AC13" s="20"/>
      <c r="AE13" s="17"/>
      <c r="AF13" s="17"/>
      <c r="AG13" s="17"/>
      <c r="AH13" s="18">
        <f>J13</f>
        <v>0</v>
      </c>
      <c r="AI13" s="19">
        <f>IF(AH$15=0,0,AH13/AH$15)</f>
        <v>0</v>
      </c>
      <c r="AK13" s="17"/>
      <c r="AL13" s="17"/>
      <c r="AM13" s="17"/>
      <c r="AN13" s="18">
        <f>K13</f>
        <v>0</v>
      </c>
      <c r="AO13" s="19">
        <f>IF(AN$15=0,0,AN13/AN$15)</f>
        <v>0</v>
      </c>
      <c r="AQ13" s="17"/>
      <c r="AR13" s="17"/>
      <c r="AS13" s="17"/>
      <c r="AT13" s="18">
        <f>W13</f>
        <v>0</v>
      </c>
      <c r="AU13" s="19">
        <f>IF(AT$15=0,0,AT13/AT$15)</f>
        <v>0</v>
      </c>
      <c r="AW13" s="17"/>
      <c r="AX13" s="17"/>
      <c r="AY13" s="17"/>
      <c r="AZ13" s="18">
        <f>X13</f>
        <v>0</v>
      </c>
      <c r="BA13" s="19">
        <f>IF(AZ$15=0,0,AZ13/AZ$15)</f>
        <v>0</v>
      </c>
    </row>
    <row r="14" spans="1:53" ht="17.100000000000001" customHeight="1" x14ac:dyDescent="0.25">
      <c r="A14" s="47"/>
      <c r="B14" s="55"/>
      <c r="C14" s="56" t="s">
        <v>627</v>
      </c>
      <c r="D14" s="57" t="s">
        <v>369</v>
      </c>
      <c r="E14" s="58"/>
      <c r="F14" s="58"/>
      <c r="G14" s="59"/>
      <c r="H14" s="218">
        <v>1</v>
      </c>
      <c r="I14" s="229"/>
      <c r="J14" s="583"/>
      <c r="K14" s="583"/>
      <c r="L14" s="584"/>
      <c r="M14" s="17">
        <f>SUM(J14:L14)</f>
        <v>0</v>
      </c>
      <c r="N14" s="111"/>
      <c r="O14" s="111"/>
      <c r="P14" s="111"/>
      <c r="Q14" s="111"/>
      <c r="R14" s="111"/>
      <c r="S14" s="111"/>
      <c r="T14" s="111"/>
      <c r="U14" s="111"/>
      <c r="V14" s="358"/>
      <c r="W14" s="391">
        <f>J14+K14+N14+Q14+T14</f>
        <v>0</v>
      </c>
      <c r="X14" s="17">
        <f>L14+O14+R14+U14</f>
        <v>0</v>
      </c>
      <c r="Y14" s="18">
        <f>SUM(W14:X14)</f>
        <v>0</v>
      </c>
      <c r="Z14" s="19">
        <f>IF(Y$15=0,0,Y14/Y$15)</f>
        <v>0</v>
      </c>
      <c r="AA14" s="19"/>
      <c r="AB14" s="19"/>
      <c r="AC14" s="20"/>
      <c r="AE14" s="17"/>
      <c r="AF14" s="17"/>
      <c r="AG14" s="17"/>
      <c r="AH14" s="18">
        <f>J14</f>
        <v>0</v>
      </c>
      <c r="AI14" s="19">
        <f>IF(AH$15=0,0,AH14/AH$15)</f>
        <v>0</v>
      </c>
      <c r="AK14" s="17"/>
      <c r="AL14" s="17"/>
      <c r="AM14" s="17"/>
      <c r="AN14" s="18">
        <f>K14</f>
        <v>0</v>
      </c>
      <c r="AO14" s="19">
        <f>IF(AN$15=0,0,AN14/AN$15)</f>
        <v>0</v>
      </c>
      <c r="AQ14" s="17"/>
      <c r="AR14" s="17"/>
      <c r="AS14" s="17"/>
      <c r="AT14" s="18">
        <f>W14</f>
        <v>0</v>
      </c>
      <c r="AU14" s="19">
        <f>IF(AT$15=0,0,AT14/AT$15)</f>
        <v>0</v>
      </c>
      <c r="AW14" s="17"/>
      <c r="AX14" s="17"/>
      <c r="AY14" s="17"/>
      <c r="AZ14" s="18">
        <f>X14</f>
        <v>0</v>
      </c>
      <c r="BA14" s="19">
        <f>IF(AZ$15=0,0,AZ14/AZ$15)</f>
        <v>0</v>
      </c>
    </row>
    <row r="15" spans="1:53" ht="17.100000000000001" customHeight="1" x14ac:dyDescent="0.25">
      <c r="A15" s="47"/>
      <c r="B15" s="47"/>
      <c r="C15" s="252"/>
      <c r="D15" s="62"/>
      <c r="E15" s="62"/>
      <c r="F15" s="62"/>
      <c r="G15" s="63"/>
      <c r="H15" s="216"/>
      <c r="I15" s="229"/>
      <c r="J15" s="64">
        <f>SUM(J13:J14)</f>
        <v>0</v>
      </c>
      <c r="K15" s="64">
        <f t="shared" ref="K15:M15" si="0">SUM(K13:K14)</f>
        <v>0</v>
      </c>
      <c r="L15" s="64">
        <f t="shared" si="0"/>
        <v>0</v>
      </c>
      <c r="M15" s="64">
        <f t="shared" si="0"/>
        <v>0</v>
      </c>
      <c r="N15" s="64"/>
      <c r="O15" s="64"/>
      <c r="P15" s="64"/>
      <c r="Q15" s="81"/>
      <c r="R15" s="81"/>
      <c r="S15" s="81"/>
      <c r="T15" s="81"/>
      <c r="U15" s="81"/>
      <c r="V15" s="356"/>
      <c r="W15" s="381">
        <f>SUM(W13:W14)</f>
        <v>0</v>
      </c>
      <c r="X15" s="82">
        <f t="shared" ref="X15:Y15" si="1">SUM(X13:X14)</f>
        <v>0</v>
      </c>
      <c r="Y15" s="82">
        <f t="shared" si="1"/>
        <v>0</v>
      </c>
      <c r="Z15" s="205">
        <f>IF(Y$15=0,0,Y15/Y$15)</f>
        <v>0</v>
      </c>
      <c r="AA15" s="205"/>
      <c r="AB15" s="205"/>
      <c r="AC15" s="83"/>
      <c r="AE15" s="67"/>
      <c r="AF15" s="67"/>
      <c r="AG15" s="67"/>
      <c r="AH15" s="65">
        <f>SUM(AH13:AH14)</f>
        <v>0</v>
      </c>
      <c r="AI15" s="66">
        <f>IF(AH$15=0,0,AH15/AH$15)</f>
        <v>0</v>
      </c>
      <c r="AK15" s="67"/>
      <c r="AL15" s="67"/>
      <c r="AM15" s="67"/>
      <c r="AN15" s="65">
        <f>SUM(AN13:AN14)</f>
        <v>0</v>
      </c>
      <c r="AO15" s="66">
        <f>IF(AN$15=0,0,AN15/AN$15)</f>
        <v>0</v>
      </c>
      <c r="AQ15" s="67"/>
      <c r="AR15" s="67"/>
      <c r="AS15" s="67"/>
      <c r="AT15" s="65">
        <f>SUM(AT13:AT14)</f>
        <v>0</v>
      </c>
      <c r="AU15" s="66">
        <f>IF(AT$15=0,0,AT15/AT$15)</f>
        <v>0</v>
      </c>
      <c r="AW15" s="67"/>
      <c r="AX15" s="67"/>
      <c r="AY15" s="67"/>
      <c r="AZ15" s="65">
        <f>SUM(AZ13:AZ14)</f>
        <v>0</v>
      </c>
      <c r="BA15" s="66">
        <f>IF(AZ$15=0,0,AZ15/AZ$15)</f>
        <v>0</v>
      </c>
    </row>
    <row r="16" spans="1:53" s="117" customFormat="1" ht="17.100000000000001" customHeight="1" x14ac:dyDescent="0.25">
      <c r="A16" s="186"/>
      <c r="B16" s="253"/>
      <c r="C16" s="254"/>
      <c r="D16" s="255"/>
      <c r="E16" s="93"/>
      <c r="F16" s="93"/>
      <c r="G16" s="209"/>
      <c r="H16" s="540"/>
      <c r="I16" s="12"/>
      <c r="J16" s="198"/>
      <c r="K16" s="585"/>
      <c r="L16" s="17"/>
      <c r="M16" s="17"/>
      <c r="N16" s="17"/>
      <c r="O16" s="17"/>
      <c r="P16" s="17"/>
      <c r="Q16" s="17"/>
      <c r="R16" s="17"/>
      <c r="S16" s="17"/>
      <c r="T16" s="17"/>
      <c r="U16" s="17"/>
      <c r="V16" s="359"/>
      <c r="W16" s="395">
        <f>IF($Y$15=0,0,W15/$Y$15)</f>
        <v>0</v>
      </c>
      <c r="X16" s="91">
        <f>IF($Y$15=0,0,X15/$Y$15)</f>
        <v>0</v>
      </c>
      <c r="Y16" s="201">
        <f>IF($Y$15=0,0,Y15/$Y$15)</f>
        <v>0</v>
      </c>
      <c r="Z16" s="201"/>
      <c r="AA16" s="201"/>
      <c r="AB16" s="201"/>
      <c r="AC16" s="84"/>
      <c r="AE16" s="256"/>
      <c r="AF16" s="256"/>
      <c r="AG16" s="256"/>
      <c r="AH16" s="257"/>
      <c r="AI16" s="91"/>
      <c r="AK16" s="256"/>
      <c r="AL16" s="256"/>
      <c r="AM16" s="256"/>
      <c r="AN16" s="257"/>
      <c r="AO16" s="91"/>
      <c r="AQ16" s="256"/>
      <c r="AR16" s="256"/>
      <c r="AS16" s="256"/>
      <c r="AT16" s="257"/>
      <c r="AU16" s="91"/>
      <c r="AW16" s="256"/>
      <c r="AX16" s="256"/>
      <c r="AY16" s="256"/>
      <c r="AZ16" s="257"/>
      <c r="BA16" s="91"/>
    </row>
    <row r="17" spans="1:60" ht="17.100000000000001" customHeight="1" x14ac:dyDescent="0.25">
      <c r="A17" s="40"/>
      <c r="B17" s="41">
        <v>0.1</v>
      </c>
      <c r="C17" s="42" t="s">
        <v>628</v>
      </c>
      <c r="D17" s="43"/>
      <c r="E17" s="43"/>
      <c r="F17" s="43"/>
      <c r="G17" s="44"/>
      <c r="H17" s="219"/>
      <c r="I17" s="229"/>
      <c r="J17" s="586"/>
      <c r="K17" s="586"/>
      <c r="L17" s="71"/>
      <c r="M17" s="71"/>
      <c r="N17" s="71"/>
      <c r="O17" s="71"/>
      <c r="P17" s="71"/>
      <c r="Q17" s="71"/>
      <c r="R17" s="71"/>
      <c r="S17" s="71"/>
      <c r="T17" s="71"/>
      <c r="U17" s="71"/>
      <c r="V17" s="355"/>
      <c r="W17" s="377"/>
      <c r="X17" s="71"/>
      <c r="Y17" s="72"/>
      <c r="Z17" s="73"/>
      <c r="AA17" s="73"/>
      <c r="AB17" s="73"/>
      <c r="AC17" s="73"/>
      <c r="AE17" s="52"/>
      <c r="AF17" s="52"/>
      <c r="AG17" s="52"/>
      <c r="AH17" s="53"/>
      <c r="AI17" s="54"/>
      <c r="AK17" s="52"/>
      <c r="AL17" s="52"/>
      <c r="AM17" s="52"/>
      <c r="AN17" s="53"/>
      <c r="AO17" s="54"/>
      <c r="AQ17" s="52"/>
      <c r="AR17" s="52"/>
      <c r="AS17" s="52"/>
      <c r="AT17" s="53"/>
      <c r="AU17" s="54"/>
      <c r="AW17" s="52"/>
      <c r="AX17" s="52"/>
      <c r="AY17" s="52"/>
      <c r="AZ17" s="53"/>
      <c r="BA17" s="54"/>
    </row>
    <row r="18" spans="1:60" ht="17.100000000000001" customHeight="1" x14ac:dyDescent="0.25">
      <c r="A18" s="47"/>
      <c r="B18" s="55"/>
      <c r="C18" s="56" t="s">
        <v>371</v>
      </c>
      <c r="D18" s="120" t="s">
        <v>629</v>
      </c>
      <c r="E18" s="58"/>
      <c r="F18" s="58"/>
      <c r="G18" s="59"/>
      <c r="H18" s="216"/>
      <c r="I18" s="229"/>
      <c r="J18" s="174"/>
      <c r="K18" s="174"/>
      <c r="L18" s="111"/>
      <c r="M18" s="111"/>
      <c r="N18" s="60"/>
      <c r="O18" s="60">
        <v>2</v>
      </c>
      <c r="P18" s="17">
        <f>SUM(N18:O18)</f>
        <v>2</v>
      </c>
      <c r="Q18" s="60"/>
      <c r="R18" s="60"/>
      <c r="S18" s="17">
        <f>SUM(Q18:R18)</f>
        <v>0</v>
      </c>
      <c r="T18" s="60"/>
      <c r="U18" s="60"/>
      <c r="V18" s="359">
        <f>SUM(T18:U18)</f>
        <v>0</v>
      </c>
      <c r="W18" s="391">
        <f t="shared" ref="W18:W19" si="2">J18+K18+N18+Q18+T18</f>
        <v>0</v>
      </c>
      <c r="X18" s="17">
        <f t="shared" ref="X18:X19" si="3">L18+O18+R18+U18</f>
        <v>2</v>
      </c>
      <c r="Y18" s="18">
        <f>SUM(W18:X18)</f>
        <v>2</v>
      </c>
      <c r="Z18" s="19">
        <f>IF(Y$20=0,0,Y18/Y$20)</f>
        <v>0.22222222222222221</v>
      </c>
      <c r="AA18" s="19"/>
      <c r="AB18" s="19"/>
      <c r="AC18" s="20"/>
      <c r="AE18" s="17"/>
      <c r="AF18" s="17"/>
      <c r="AG18" s="17"/>
      <c r="AH18" s="18">
        <f>J18</f>
        <v>0</v>
      </c>
      <c r="AI18" s="19">
        <f>IF(AH$15=0,0,AH18/AH$15)</f>
        <v>0</v>
      </c>
      <c r="AK18" s="17"/>
      <c r="AL18" s="17"/>
      <c r="AM18" s="17"/>
      <c r="AN18" s="18">
        <f>K18</f>
        <v>0</v>
      </c>
      <c r="AO18" s="19">
        <f>IF(AN$20=0,0,AN18/AN$20)</f>
        <v>0</v>
      </c>
      <c r="AQ18" s="17"/>
      <c r="AR18" s="17"/>
      <c r="AS18" s="17"/>
      <c r="AT18" s="18">
        <f>W18</f>
        <v>0</v>
      </c>
      <c r="AU18" s="19">
        <f>IF(AT$20=0,0,AT18/AT$20)</f>
        <v>0</v>
      </c>
      <c r="AW18" s="17"/>
      <c r="AX18" s="17"/>
      <c r="AY18" s="17"/>
      <c r="AZ18" s="18">
        <f>X18</f>
        <v>2</v>
      </c>
      <c r="BA18" s="19">
        <f>IF(AZ$20=0,0,AZ18/AZ$20)</f>
        <v>0.22222222222222221</v>
      </c>
    </row>
    <row r="19" spans="1:60" ht="17.100000000000001" customHeight="1" x14ac:dyDescent="0.25">
      <c r="A19" s="47"/>
      <c r="B19" s="55"/>
      <c r="C19" s="56" t="s">
        <v>372</v>
      </c>
      <c r="D19" s="120" t="s">
        <v>630</v>
      </c>
      <c r="E19" s="58"/>
      <c r="F19" s="58"/>
      <c r="G19" s="59"/>
      <c r="H19" s="216"/>
      <c r="I19" s="229"/>
      <c r="J19" s="174"/>
      <c r="K19" s="174"/>
      <c r="L19" s="111"/>
      <c r="M19" s="111"/>
      <c r="N19" s="61"/>
      <c r="O19" s="61">
        <v>7</v>
      </c>
      <c r="P19" s="17">
        <f>SUM(N19:O19)</f>
        <v>7</v>
      </c>
      <c r="Q19" s="61"/>
      <c r="R19" s="61"/>
      <c r="S19" s="17">
        <f>SUM(Q19:R19)</f>
        <v>0</v>
      </c>
      <c r="T19" s="61"/>
      <c r="U19" s="61"/>
      <c r="V19" s="359">
        <f>SUM(T19:U19)</f>
        <v>0</v>
      </c>
      <c r="W19" s="391">
        <f t="shared" si="2"/>
        <v>0</v>
      </c>
      <c r="X19" s="17">
        <f t="shared" si="3"/>
        <v>7</v>
      </c>
      <c r="Y19" s="18">
        <f>SUM(W19:X19)</f>
        <v>7</v>
      </c>
      <c r="Z19" s="19">
        <f t="shared" ref="Z19:Z20" si="4">IF(Y$20=0,0,Y19/Y$20)</f>
        <v>0.77777777777777779</v>
      </c>
      <c r="AA19" s="19"/>
      <c r="AB19" s="19"/>
      <c r="AC19" s="20"/>
      <c r="AE19" s="17"/>
      <c r="AF19" s="17"/>
      <c r="AG19" s="17"/>
      <c r="AH19" s="18">
        <f>J19</f>
        <v>0</v>
      </c>
      <c r="AI19" s="19">
        <f>IF(AH$15=0,0,AH19/AH$15)</f>
        <v>0</v>
      </c>
      <c r="AK19" s="17"/>
      <c r="AL19" s="17"/>
      <c r="AM19" s="17"/>
      <c r="AN19" s="18">
        <f>K19</f>
        <v>0</v>
      </c>
      <c r="AO19" s="19">
        <f t="shared" ref="AO19:AO20" si="5">IF(AN$20=0,0,AN19/AN$20)</f>
        <v>0</v>
      </c>
      <c r="AQ19" s="17"/>
      <c r="AR19" s="17"/>
      <c r="AS19" s="17"/>
      <c r="AT19" s="18">
        <f>W19</f>
        <v>0</v>
      </c>
      <c r="AU19" s="19">
        <f t="shared" ref="AU19:AU20" si="6">IF(AT$20=0,0,AT19/AT$20)</f>
        <v>0</v>
      </c>
      <c r="AW19" s="17"/>
      <c r="AX19" s="17"/>
      <c r="AY19" s="17"/>
      <c r="AZ19" s="18">
        <f>X19</f>
        <v>7</v>
      </c>
      <c r="BA19" s="19">
        <f t="shared" ref="BA19:BA20" si="7">IF(AZ$20=0,0,AZ19/AZ$20)</f>
        <v>0.77777777777777779</v>
      </c>
    </row>
    <row r="20" spans="1:60" ht="17.100000000000001" customHeight="1" x14ac:dyDescent="0.25">
      <c r="A20" s="47"/>
      <c r="B20" s="47"/>
      <c r="C20" s="252"/>
      <c r="D20" s="62"/>
      <c r="E20" s="62"/>
      <c r="F20" s="62"/>
      <c r="G20" s="63"/>
      <c r="H20" s="216"/>
      <c r="I20" s="229"/>
      <c r="J20" s="64"/>
      <c r="K20" s="64"/>
      <c r="L20" s="64"/>
      <c r="M20" s="64"/>
      <c r="N20" s="64">
        <f>SUM(N18:N19)</f>
        <v>0</v>
      </c>
      <c r="O20" s="64">
        <f t="shared" ref="O20:V20" si="8">SUM(O18:O19)</f>
        <v>9</v>
      </c>
      <c r="P20" s="64">
        <f t="shared" si="8"/>
        <v>9</v>
      </c>
      <c r="Q20" s="64">
        <f t="shared" si="8"/>
        <v>0</v>
      </c>
      <c r="R20" s="64">
        <f t="shared" si="8"/>
        <v>0</v>
      </c>
      <c r="S20" s="64">
        <f t="shared" si="8"/>
        <v>0</v>
      </c>
      <c r="T20" s="64">
        <f t="shared" si="8"/>
        <v>0</v>
      </c>
      <c r="U20" s="64">
        <f t="shared" si="8"/>
        <v>0</v>
      </c>
      <c r="V20" s="64">
        <f t="shared" si="8"/>
        <v>0</v>
      </c>
      <c r="W20" s="381">
        <f>SUM(W18:W19)</f>
        <v>0</v>
      </c>
      <c r="X20" s="82">
        <f t="shared" ref="X20:Y20" si="9">SUM(X18:X19)</f>
        <v>9</v>
      </c>
      <c r="Y20" s="82">
        <f t="shared" si="9"/>
        <v>9</v>
      </c>
      <c r="Z20" s="205">
        <f t="shared" si="4"/>
        <v>1</v>
      </c>
      <c r="AA20" s="205"/>
      <c r="AB20" s="205"/>
      <c r="AC20" s="83"/>
      <c r="AE20" s="67"/>
      <c r="AF20" s="67"/>
      <c r="AG20" s="67"/>
      <c r="AH20" s="65">
        <f>SUM(AH18:AH19)</f>
        <v>0</v>
      </c>
      <c r="AI20" s="66">
        <f>IF(AH$15=0,0,AH20/AH$15)</f>
        <v>0</v>
      </c>
      <c r="AK20" s="67"/>
      <c r="AL20" s="67"/>
      <c r="AM20" s="67"/>
      <c r="AN20" s="65">
        <f>SUM(AN18:AN19)</f>
        <v>0</v>
      </c>
      <c r="AO20" s="66">
        <f t="shared" si="5"/>
        <v>0</v>
      </c>
      <c r="AQ20" s="67"/>
      <c r="AR20" s="67"/>
      <c r="AS20" s="67"/>
      <c r="AT20" s="65">
        <f>SUM(AT18:AT19)</f>
        <v>0</v>
      </c>
      <c r="AU20" s="66">
        <f t="shared" si="6"/>
        <v>0</v>
      </c>
      <c r="AW20" s="67"/>
      <c r="AX20" s="67"/>
      <c r="AY20" s="67"/>
      <c r="AZ20" s="65">
        <f>SUM(AZ18:AZ19)</f>
        <v>9</v>
      </c>
      <c r="BA20" s="66">
        <f t="shared" si="7"/>
        <v>1</v>
      </c>
    </row>
    <row r="21" spans="1:60" s="117" customFormat="1" ht="17.100000000000001" customHeight="1" x14ac:dyDescent="0.25">
      <c r="A21" s="186"/>
      <c r="B21" s="253"/>
      <c r="C21" s="254"/>
      <c r="D21" s="255"/>
      <c r="E21" s="93"/>
      <c r="F21" s="93"/>
      <c r="G21" s="209"/>
      <c r="H21" s="540"/>
      <c r="I21" s="12"/>
      <c r="J21" s="198"/>
      <c r="K21" s="585"/>
      <c r="L21" s="17"/>
      <c r="M21" s="17"/>
      <c r="N21" s="17"/>
      <c r="O21" s="17"/>
      <c r="P21" s="17"/>
      <c r="Q21" s="17"/>
      <c r="R21" s="17"/>
      <c r="S21" s="17"/>
      <c r="T21" s="17"/>
      <c r="U21" s="17"/>
      <c r="V21" s="359"/>
      <c r="W21" s="395">
        <f>IF($Y$20=0,0,W20/$Y$20)</f>
        <v>0</v>
      </c>
      <c r="X21" s="91">
        <f>IF($Y$20=0,0,X20/$Y$20)</f>
        <v>1</v>
      </c>
      <c r="Y21" s="201">
        <f>IF($Y$20=0,0,Y20/$Y$20)</f>
        <v>1</v>
      </c>
      <c r="Z21" s="201"/>
      <c r="AA21" s="201"/>
      <c r="AB21" s="201"/>
      <c r="AC21" s="84"/>
      <c r="AE21" s="256"/>
      <c r="AF21" s="256"/>
      <c r="AG21" s="256"/>
      <c r="AH21" s="257"/>
      <c r="AI21" s="91"/>
      <c r="AK21" s="256"/>
      <c r="AL21" s="256"/>
      <c r="AM21" s="256"/>
      <c r="AN21" s="257"/>
      <c r="AO21" s="91"/>
      <c r="AQ21" s="256"/>
      <c r="AR21" s="256"/>
      <c r="AS21" s="256"/>
      <c r="AT21" s="257"/>
      <c r="AU21" s="91"/>
      <c r="AW21" s="256"/>
      <c r="AX21" s="256"/>
      <c r="AY21" s="256"/>
      <c r="AZ21" s="257"/>
      <c r="BA21" s="91"/>
      <c r="BC21" s="3"/>
      <c r="BD21" s="3"/>
      <c r="BE21" s="3"/>
      <c r="BF21" s="3"/>
      <c r="BG21" s="3"/>
      <c r="BH21" s="3"/>
    </row>
    <row r="22" spans="1:60" ht="17.100000000000001" customHeight="1" x14ac:dyDescent="0.25">
      <c r="A22" s="68"/>
      <c r="B22" s="41">
        <v>0.2</v>
      </c>
      <c r="C22" s="69" t="s">
        <v>370</v>
      </c>
      <c r="D22" s="50"/>
      <c r="E22" s="70"/>
      <c r="F22" s="70"/>
      <c r="G22" s="70"/>
      <c r="H22" s="119"/>
      <c r="J22" s="71"/>
      <c r="K22" s="71"/>
      <c r="L22" s="71"/>
      <c r="M22" s="71"/>
      <c r="N22" s="71"/>
      <c r="O22" s="71"/>
      <c r="P22" s="71"/>
      <c r="Q22" s="71"/>
      <c r="R22" s="71"/>
      <c r="S22" s="71"/>
      <c r="T22" s="71"/>
      <c r="U22" s="71"/>
      <c r="V22" s="355"/>
      <c r="W22" s="377"/>
      <c r="X22" s="71"/>
      <c r="Y22" s="72"/>
      <c r="Z22" s="73"/>
      <c r="AA22" s="73"/>
      <c r="AB22" s="73"/>
      <c r="AC22" s="73"/>
      <c r="AE22" s="71"/>
      <c r="AF22" s="71"/>
      <c r="AG22" s="71"/>
      <c r="AH22" s="72"/>
      <c r="AI22" s="73"/>
      <c r="AK22" s="71"/>
      <c r="AL22" s="71"/>
      <c r="AM22" s="71"/>
      <c r="AN22" s="72"/>
      <c r="AO22" s="73"/>
      <c r="AQ22" s="71"/>
      <c r="AR22" s="71"/>
      <c r="AS22" s="71"/>
      <c r="AT22" s="72"/>
      <c r="AU22" s="73"/>
      <c r="AW22" s="71"/>
      <c r="AX22" s="71"/>
      <c r="AY22" s="71"/>
      <c r="AZ22" s="72"/>
      <c r="BA22" s="73"/>
    </row>
    <row r="23" spans="1:60" ht="17.100000000000001" customHeight="1" x14ac:dyDescent="0.25">
      <c r="A23" s="40"/>
      <c r="B23" s="40"/>
      <c r="C23" s="74" t="s">
        <v>7</v>
      </c>
      <c r="D23" s="542" t="s">
        <v>9</v>
      </c>
      <c r="E23" s="75"/>
      <c r="F23" s="75"/>
      <c r="G23" s="76"/>
      <c r="H23" s="589">
        <v>5</v>
      </c>
      <c r="I23" s="229"/>
      <c r="J23" s="581"/>
      <c r="K23" s="581"/>
      <c r="L23" s="582"/>
      <c r="M23" s="17">
        <f t="shared" ref="M23:M25" si="10">SUM(J23:L23)</f>
        <v>0</v>
      </c>
      <c r="N23" s="111"/>
      <c r="O23" s="111"/>
      <c r="P23" s="111"/>
      <c r="Q23" s="111"/>
      <c r="R23" s="111"/>
      <c r="S23" s="111"/>
      <c r="T23" s="111"/>
      <c r="U23" s="111"/>
      <c r="V23" s="358"/>
      <c r="W23" s="391">
        <f t="shared" ref="W23:W25" si="11">J23+K23+N23+Q23+T23</f>
        <v>0</v>
      </c>
      <c r="X23" s="17">
        <f t="shared" ref="X23:X25" si="12">L23+O23+R23+U23</f>
        <v>0</v>
      </c>
      <c r="Y23" s="18">
        <f>SUM(W23:X23)</f>
        <v>0</v>
      </c>
      <c r="Z23" s="19">
        <f>IF(Y$26=0,0,Y23/Y$26)</f>
        <v>0</v>
      </c>
      <c r="AA23" s="19"/>
      <c r="AB23" s="19"/>
      <c r="AC23" s="20"/>
      <c r="AE23" s="17"/>
      <c r="AF23" s="17"/>
      <c r="AG23" s="17"/>
      <c r="AH23" s="18">
        <f>J23</f>
        <v>0</v>
      </c>
      <c r="AI23" s="19">
        <f>IF(AH$26=0,0,AH23/AH$26)</f>
        <v>0</v>
      </c>
      <c r="AK23" s="17"/>
      <c r="AL23" s="17"/>
      <c r="AM23" s="17"/>
      <c r="AN23" s="18">
        <f>K23</f>
        <v>0</v>
      </c>
      <c r="AO23" s="19">
        <f>IF(AN$26=0,0,AN23/AN$26)</f>
        <v>0</v>
      </c>
      <c r="AQ23" s="17"/>
      <c r="AR23" s="17"/>
      <c r="AS23" s="17"/>
      <c r="AT23" s="18">
        <f>W23</f>
        <v>0</v>
      </c>
      <c r="AU23" s="19">
        <f>IF(AT$26=0,0,AT23/AT$26)</f>
        <v>0</v>
      </c>
      <c r="AW23" s="17"/>
      <c r="AX23" s="17"/>
      <c r="AY23" s="17"/>
      <c r="AZ23" s="18">
        <f>X23</f>
        <v>0</v>
      </c>
      <c r="BA23" s="19">
        <f>IF(AZ$26=0,0,AZ23/AZ$26)</f>
        <v>0</v>
      </c>
    </row>
    <row r="24" spans="1:60" ht="17.100000000000001" customHeight="1" x14ac:dyDescent="0.25">
      <c r="A24" s="40"/>
      <c r="B24" s="40"/>
      <c r="C24" s="74" t="s">
        <v>8</v>
      </c>
      <c r="D24" s="542" t="s">
        <v>10</v>
      </c>
      <c r="E24" s="75"/>
      <c r="F24" s="75"/>
      <c r="G24" s="76"/>
      <c r="H24" s="211"/>
      <c r="I24" s="229"/>
      <c r="J24" s="583"/>
      <c r="K24" s="583"/>
      <c r="L24" s="584"/>
      <c r="M24" s="17">
        <f t="shared" si="10"/>
        <v>0</v>
      </c>
      <c r="N24" s="111"/>
      <c r="O24" s="111"/>
      <c r="P24" s="111"/>
      <c r="Q24" s="111"/>
      <c r="R24" s="111"/>
      <c r="S24" s="111"/>
      <c r="T24" s="111"/>
      <c r="U24" s="111"/>
      <c r="V24" s="358"/>
      <c r="W24" s="391">
        <f t="shared" si="11"/>
        <v>0</v>
      </c>
      <c r="X24" s="17">
        <f t="shared" si="12"/>
        <v>0</v>
      </c>
      <c r="Y24" s="18">
        <f>SUM(W24:X24)</f>
        <v>0</v>
      </c>
      <c r="Z24" s="19">
        <f t="shared" ref="Z24:Z25" si="13">IF(Y$26=0,0,Y24/Y$26)</f>
        <v>0</v>
      </c>
      <c r="AA24" s="19"/>
      <c r="AB24" s="19"/>
      <c r="AC24" s="20"/>
      <c r="AE24" s="17"/>
      <c r="AF24" s="17"/>
      <c r="AG24" s="17"/>
      <c r="AH24" s="18">
        <f t="shared" ref="AH24:AH25" si="14">J24</f>
        <v>0</v>
      </c>
      <c r="AI24" s="19">
        <f t="shared" ref="AI24:AI26" si="15">IF(AH$26=0,0,AH24/AH$26)</f>
        <v>0</v>
      </c>
      <c r="AK24" s="17"/>
      <c r="AL24" s="17"/>
      <c r="AM24" s="17"/>
      <c r="AN24" s="18">
        <f t="shared" ref="AN24:AN25" si="16">K24</f>
        <v>0</v>
      </c>
      <c r="AO24" s="19">
        <f t="shared" ref="AO24:AO26" si="17">IF(AN$26=0,0,AN24/AN$26)</f>
        <v>0</v>
      </c>
      <c r="AQ24" s="17"/>
      <c r="AR24" s="17"/>
      <c r="AS24" s="17"/>
      <c r="AT24" s="18">
        <f t="shared" ref="AT24:AT25" si="18">W24</f>
        <v>0</v>
      </c>
      <c r="AU24" s="19">
        <f t="shared" ref="AU24:AU26" si="19">IF(AT$26=0,0,AT24/AT$26)</f>
        <v>0</v>
      </c>
      <c r="AW24" s="17"/>
      <c r="AX24" s="17"/>
      <c r="AY24" s="17"/>
      <c r="AZ24" s="18">
        <f t="shared" ref="AZ24:AZ25" si="20">X24</f>
        <v>0</v>
      </c>
      <c r="BA24" s="19">
        <f t="shared" ref="BA24:BA26" si="21">IF(AZ$26=0,0,AZ24/AZ$26)</f>
        <v>0</v>
      </c>
    </row>
    <row r="25" spans="1:60" ht="17.100000000000001" customHeight="1" x14ac:dyDescent="0.25">
      <c r="A25" s="40"/>
      <c r="B25" s="40"/>
      <c r="C25" s="74" t="s">
        <v>531</v>
      </c>
      <c r="D25" s="542" t="s">
        <v>530</v>
      </c>
      <c r="E25" s="75"/>
      <c r="F25" s="75"/>
      <c r="G25" s="76"/>
      <c r="H25" s="211"/>
      <c r="I25" s="229"/>
      <c r="J25" s="581"/>
      <c r="K25" s="581"/>
      <c r="L25" s="582"/>
      <c r="M25" s="17">
        <f t="shared" si="10"/>
        <v>0</v>
      </c>
      <c r="N25" s="111"/>
      <c r="O25" s="111"/>
      <c r="P25" s="111"/>
      <c r="Q25" s="111"/>
      <c r="R25" s="111"/>
      <c r="S25" s="111"/>
      <c r="T25" s="111"/>
      <c r="U25" s="111"/>
      <c r="V25" s="358"/>
      <c r="W25" s="391">
        <f t="shared" si="11"/>
        <v>0</v>
      </c>
      <c r="X25" s="17">
        <f t="shared" si="12"/>
        <v>0</v>
      </c>
      <c r="Y25" s="18">
        <f>SUM(W25:X25)</f>
        <v>0</v>
      </c>
      <c r="Z25" s="19">
        <f t="shared" si="13"/>
        <v>0</v>
      </c>
      <c r="AA25" s="19"/>
      <c r="AB25" s="19"/>
      <c r="AC25" s="20"/>
      <c r="AE25" s="17"/>
      <c r="AF25" s="17"/>
      <c r="AG25" s="17"/>
      <c r="AH25" s="18">
        <f t="shared" si="14"/>
        <v>0</v>
      </c>
      <c r="AI25" s="19">
        <f t="shared" si="15"/>
        <v>0</v>
      </c>
      <c r="AK25" s="17"/>
      <c r="AL25" s="17"/>
      <c r="AM25" s="17"/>
      <c r="AN25" s="18">
        <f t="shared" si="16"/>
        <v>0</v>
      </c>
      <c r="AO25" s="19">
        <f t="shared" si="17"/>
        <v>0</v>
      </c>
      <c r="AQ25" s="17"/>
      <c r="AR25" s="17"/>
      <c r="AS25" s="17"/>
      <c r="AT25" s="18">
        <f t="shared" si="18"/>
        <v>0</v>
      </c>
      <c r="AU25" s="19">
        <f t="shared" si="19"/>
        <v>0</v>
      </c>
      <c r="AW25" s="17"/>
      <c r="AX25" s="17"/>
      <c r="AY25" s="17"/>
      <c r="AZ25" s="18">
        <f t="shared" si="20"/>
        <v>0</v>
      </c>
      <c r="BA25" s="19">
        <f t="shared" si="21"/>
        <v>0</v>
      </c>
    </row>
    <row r="26" spans="1:60" ht="17.100000000000001" customHeight="1" x14ac:dyDescent="0.25">
      <c r="A26" s="40"/>
      <c r="B26" s="40"/>
      <c r="C26" s="77"/>
      <c r="D26" s="78"/>
      <c r="E26" s="78"/>
      <c r="F26" s="78"/>
      <c r="G26" s="79"/>
      <c r="H26" s="211"/>
      <c r="I26" s="230"/>
      <c r="J26" s="80">
        <f>SUM(J23:J25)</f>
        <v>0</v>
      </c>
      <c r="K26" s="80">
        <f t="shared" ref="K26:M26" si="22">SUM(K23:K25)</f>
        <v>0</v>
      </c>
      <c r="L26" s="80">
        <f t="shared" si="22"/>
        <v>0</v>
      </c>
      <c r="M26" s="80">
        <f t="shared" si="22"/>
        <v>0</v>
      </c>
      <c r="N26" s="80"/>
      <c r="O26" s="80"/>
      <c r="P26" s="80"/>
      <c r="Q26" s="81"/>
      <c r="R26" s="81"/>
      <c r="S26" s="81"/>
      <c r="T26" s="81"/>
      <c r="U26" s="81"/>
      <c r="V26" s="356"/>
      <c r="W26" s="381">
        <f>SUM(W23:W25)</f>
        <v>0</v>
      </c>
      <c r="X26" s="82">
        <f t="shared" ref="X26:Y26" si="23">SUM(X23:X25)</f>
        <v>0</v>
      </c>
      <c r="Y26" s="82">
        <f t="shared" si="23"/>
        <v>0</v>
      </c>
      <c r="Z26" s="205">
        <f>IF(Y$26=0,0,Y26/Y$26)</f>
        <v>0</v>
      </c>
      <c r="AA26" s="205"/>
      <c r="AB26" s="205"/>
      <c r="AC26" s="83"/>
      <c r="AE26" s="67"/>
      <c r="AF26" s="67"/>
      <c r="AG26" s="67"/>
      <c r="AH26" s="65">
        <f>SUM(AH23:AH25)</f>
        <v>0</v>
      </c>
      <c r="AI26" s="66">
        <f t="shared" si="15"/>
        <v>0</v>
      </c>
      <c r="AK26" s="67"/>
      <c r="AL26" s="67"/>
      <c r="AM26" s="67"/>
      <c r="AN26" s="65">
        <f>SUM(AN23:AN25)</f>
        <v>0</v>
      </c>
      <c r="AO26" s="66">
        <f t="shared" si="17"/>
        <v>0</v>
      </c>
      <c r="AQ26" s="67"/>
      <c r="AR26" s="67"/>
      <c r="AS26" s="67"/>
      <c r="AT26" s="65">
        <f>SUM(AT23:AT25)</f>
        <v>0</v>
      </c>
      <c r="AU26" s="66">
        <f t="shared" si="19"/>
        <v>0</v>
      </c>
      <c r="AW26" s="67"/>
      <c r="AX26" s="67"/>
      <c r="AY26" s="67"/>
      <c r="AZ26" s="65">
        <f>SUM(AZ23:AZ25)</f>
        <v>0</v>
      </c>
      <c r="BA26" s="66">
        <f t="shared" si="21"/>
        <v>0</v>
      </c>
    </row>
    <row r="27" spans="1:60" s="97" customFormat="1" ht="17.100000000000001" customHeight="1" x14ac:dyDescent="0.25">
      <c r="A27" s="68"/>
      <c r="B27" s="68"/>
      <c r="C27" s="92"/>
      <c r="D27" s="93"/>
      <c r="E27" s="93"/>
      <c r="F27" s="93"/>
      <c r="G27" s="93"/>
      <c r="H27" s="165"/>
      <c r="I27" s="12"/>
      <c r="J27" s="94" t="str">
        <f>IF(J26=J$15,"OK","NOK")</f>
        <v>OK</v>
      </c>
      <c r="K27" s="94" t="str">
        <f t="shared" ref="K27:L27" si="24">IF(K26=K$15,"OK","NOK")</f>
        <v>OK</v>
      </c>
      <c r="L27" s="94" t="str">
        <f t="shared" si="24"/>
        <v>OK</v>
      </c>
      <c r="M27" s="95"/>
      <c r="N27" s="95"/>
      <c r="O27" s="95"/>
      <c r="P27" s="95"/>
      <c r="Q27" s="95"/>
      <c r="R27" s="95"/>
      <c r="S27" s="95"/>
      <c r="T27" s="95"/>
      <c r="U27" s="95"/>
      <c r="V27" s="95"/>
      <c r="W27" s="378"/>
      <c r="X27" s="95"/>
      <c r="Y27" s="96"/>
      <c r="AE27" s="98"/>
      <c r="AF27" s="98"/>
      <c r="AG27" s="98"/>
      <c r="AH27" s="99"/>
      <c r="AI27" s="100"/>
      <c r="AJ27" s="407"/>
      <c r="AK27" s="98"/>
      <c r="AL27" s="98"/>
      <c r="AM27" s="98"/>
      <c r="AN27" s="99"/>
      <c r="AO27" s="100"/>
      <c r="AP27" s="407"/>
      <c r="AQ27" s="98"/>
      <c r="AR27" s="98"/>
      <c r="AS27" s="98"/>
      <c r="AT27" s="99"/>
      <c r="AU27" s="100"/>
      <c r="AV27" s="407"/>
      <c r="AW27" s="98"/>
      <c r="AX27" s="98"/>
      <c r="AY27" s="98"/>
      <c r="AZ27" s="99"/>
      <c r="BA27" s="100"/>
      <c r="BC27" s="3"/>
      <c r="BD27" s="3"/>
      <c r="BE27" s="3"/>
      <c r="BF27" s="3"/>
      <c r="BG27" s="3"/>
      <c r="BH27" s="3"/>
    </row>
    <row r="28" spans="1:60" s="32" customFormat="1" ht="16.5" thickBot="1" x14ac:dyDescent="0.3">
      <c r="A28" s="24" t="s">
        <v>13</v>
      </c>
      <c r="B28" s="25" t="s">
        <v>14</v>
      </c>
      <c r="C28" s="26"/>
      <c r="D28" s="27"/>
      <c r="E28" s="27"/>
      <c r="F28" s="27"/>
      <c r="G28" s="28"/>
      <c r="H28" s="215"/>
      <c r="I28" s="228"/>
      <c r="J28" s="101"/>
      <c r="K28" s="101"/>
      <c r="L28" s="101"/>
      <c r="M28" s="101"/>
      <c r="N28" s="101"/>
      <c r="O28" s="101"/>
      <c r="P28" s="101"/>
      <c r="Q28" s="101"/>
      <c r="R28" s="101"/>
      <c r="S28" s="101"/>
      <c r="T28" s="101"/>
      <c r="U28" s="101"/>
      <c r="V28" s="357"/>
      <c r="W28" s="379"/>
      <c r="X28" s="101"/>
      <c r="Y28" s="30" t="s">
        <v>4</v>
      </c>
      <c r="Z28" s="31" t="s">
        <v>5</v>
      </c>
      <c r="AA28" s="31"/>
      <c r="AB28" s="31"/>
      <c r="AC28" s="31"/>
      <c r="AE28" s="33" t="s">
        <v>181</v>
      </c>
      <c r="AF28" s="33" t="s">
        <v>182</v>
      </c>
      <c r="AG28" s="33" t="s">
        <v>6</v>
      </c>
      <c r="AH28" s="33" t="s">
        <v>4</v>
      </c>
      <c r="AI28" s="34" t="s">
        <v>5</v>
      </c>
      <c r="AJ28" s="408"/>
      <c r="AK28" s="36" t="s">
        <v>181</v>
      </c>
      <c r="AL28" s="36" t="s">
        <v>182</v>
      </c>
      <c r="AM28" s="36" t="s">
        <v>6</v>
      </c>
      <c r="AN28" s="36" t="s">
        <v>4</v>
      </c>
      <c r="AO28" s="37" t="s">
        <v>5</v>
      </c>
      <c r="AP28" s="408"/>
      <c r="AQ28" s="398"/>
      <c r="AR28" s="398"/>
      <c r="AS28" s="398"/>
      <c r="AT28" s="398"/>
      <c r="AU28" s="399"/>
      <c r="AV28" s="408"/>
      <c r="AW28" s="400" t="s">
        <v>181</v>
      </c>
      <c r="AX28" s="400" t="s">
        <v>182</v>
      </c>
      <c r="AY28" s="400" t="s">
        <v>6</v>
      </c>
      <c r="AZ28" s="400" t="s">
        <v>4</v>
      </c>
      <c r="BA28" s="401" t="s">
        <v>5</v>
      </c>
      <c r="BC28" s="3"/>
      <c r="BD28" s="3"/>
      <c r="BE28" s="3"/>
      <c r="BF28" s="3"/>
      <c r="BG28" s="3"/>
      <c r="BH28" s="3"/>
    </row>
    <row r="29" spans="1:60" ht="17.100000000000001" customHeight="1" x14ac:dyDescent="0.25">
      <c r="A29" s="68"/>
      <c r="B29" s="41" t="s">
        <v>15</v>
      </c>
      <c r="C29" s="69" t="s">
        <v>16</v>
      </c>
      <c r="D29" s="50"/>
      <c r="E29" s="70"/>
      <c r="F29" s="70"/>
      <c r="G29" s="70"/>
      <c r="H29" s="589">
        <v>8</v>
      </c>
      <c r="J29" s="71"/>
      <c r="K29" s="71"/>
      <c r="L29" s="71"/>
      <c r="M29" s="71"/>
      <c r="N29" s="71"/>
      <c r="O29" s="71"/>
      <c r="P29" s="71"/>
      <c r="Q29" s="71"/>
      <c r="R29" s="71"/>
      <c r="S29" s="71"/>
      <c r="T29" s="71"/>
      <c r="U29" s="71"/>
      <c r="V29" s="355"/>
      <c r="W29" s="377"/>
      <c r="X29" s="71"/>
      <c r="Y29" s="72"/>
      <c r="Z29" s="73"/>
      <c r="AA29" s="73"/>
      <c r="AB29" s="73"/>
      <c r="AC29" s="73"/>
      <c r="AE29" s="71"/>
      <c r="AF29" s="71"/>
      <c r="AG29" s="71"/>
      <c r="AH29" s="72"/>
      <c r="AI29" s="73"/>
      <c r="AK29" s="71"/>
      <c r="AL29" s="71"/>
      <c r="AM29" s="71"/>
      <c r="AN29" s="72"/>
      <c r="AO29" s="73"/>
      <c r="AQ29" s="71"/>
      <c r="AR29" s="71"/>
      <c r="AS29" s="71"/>
      <c r="AT29" s="72"/>
      <c r="AU29" s="73"/>
      <c r="AW29" s="71"/>
      <c r="AX29" s="71"/>
      <c r="AY29" s="71"/>
      <c r="AZ29" s="72"/>
      <c r="BA29" s="73"/>
    </row>
    <row r="30" spans="1:60" ht="17.100000000000001" customHeight="1" x14ac:dyDescent="0.25">
      <c r="A30" s="102"/>
      <c r="B30" s="102"/>
      <c r="C30" s="103" t="s">
        <v>17</v>
      </c>
      <c r="D30" s="104" t="s">
        <v>609</v>
      </c>
      <c r="E30" s="105"/>
      <c r="F30" s="105"/>
      <c r="G30" s="106"/>
      <c r="H30" s="210"/>
      <c r="I30" s="231"/>
      <c r="J30" s="198">
        <f>J15</f>
        <v>0</v>
      </c>
      <c r="K30" s="198"/>
      <c r="L30" s="17"/>
      <c r="M30" s="17">
        <f t="shared" ref="M30:M32" si="25">SUM(J30:L30)</f>
        <v>0</v>
      </c>
      <c r="N30" s="111"/>
      <c r="O30" s="111"/>
      <c r="P30" s="111"/>
      <c r="Q30" s="111"/>
      <c r="R30" s="111"/>
      <c r="S30" s="111"/>
      <c r="T30" s="111"/>
      <c r="U30" s="111"/>
      <c r="V30" s="358"/>
      <c r="W30" s="391">
        <f t="shared" ref="W30:W32" si="26">J30+K30+N30+Q30+T30</f>
        <v>0</v>
      </c>
      <c r="X30" s="17">
        <f t="shared" ref="X30:X32" si="27">L30+O30+R30+U30</f>
        <v>0</v>
      </c>
      <c r="Y30" s="18">
        <f>SUM(W30:X30)</f>
        <v>0</v>
      </c>
      <c r="Z30" s="19">
        <f>IF(Y$33=0,0,Y30/Y$33)</f>
        <v>0</v>
      </c>
      <c r="AA30" s="19"/>
      <c r="AB30" s="19"/>
      <c r="AC30" s="20"/>
      <c r="AE30" s="17"/>
      <c r="AF30" s="17"/>
      <c r="AG30" s="17"/>
      <c r="AH30" s="18">
        <f t="shared" ref="AH30:AH32" si="28">J30</f>
        <v>0</v>
      </c>
      <c r="AI30" s="19">
        <f>IF(AH$33=0,0,AH30/AH$33)</f>
        <v>0</v>
      </c>
      <c r="AK30" s="17"/>
      <c r="AL30" s="17"/>
      <c r="AM30" s="17"/>
      <c r="AN30" s="18">
        <f t="shared" ref="AN30:AN32" si="29">K30</f>
        <v>0</v>
      </c>
      <c r="AO30" s="19">
        <f>IF(AN$33=0,0,AN30/AN$33)</f>
        <v>0</v>
      </c>
      <c r="AQ30" s="17"/>
      <c r="AR30" s="17"/>
      <c r="AS30" s="17"/>
      <c r="AT30" s="18">
        <f t="shared" ref="AT30:AT32" si="30">W30</f>
        <v>0</v>
      </c>
      <c r="AU30" s="19">
        <f>IF(AT$33=0,0,AT30/AT$33)</f>
        <v>0</v>
      </c>
      <c r="AW30" s="17"/>
      <c r="AX30" s="17"/>
      <c r="AY30" s="17"/>
      <c r="AZ30" s="18">
        <f t="shared" ref="AZ30:AZ32" si="31">X30</f>
        <v>0</v>
      </c>
      <c r="BA30" s="19">
        <f>IF(AZ$33=0,0,AZ30/AZ$33)</f>
        <v>0</v>
      </c>
    </row>
    <row r="31" spans="1:60" ht="17.100000000000001" customHeight="1" x14ac:dyDescent="0.25">
      <c r="A31" s="102"/>
      <c r="B31" s="102"/>
      <c r="C31" s="103" t="s">
        <v>18</v>
      </c>
      <c r="D31" s="104" t="s">
        <v>610</v>
      </c>
      <c r="E31" s="105"/>
      <c r="F31" s="105"/>
      <c r="G31" s="106"/>
      <c r="H31" s="210"/>
      <c r="I31" s="231"/>
      <c r="J31" s="198"/>
      <c r="K31" s="198">
        <f>K15</f>
        <v>0</v>
      </c>
      <c r="L31" s="17"/>
      <c r="M31" s="17">
        <f t="shared" si="25"/>
        <v>0</v>
      </c>
      <c r="N31" s="111"/>
      <c r="O31" s="111"/>
      <c r="P31" s="111"/>
      <c r="Q31" s="111"/>
      <c r="R31" s="111"/>
      <c r="S31" s="111"/>
      <c r="T31" s="111"/>
      <c r="U31" s="111"/>
      <c r="V31" s="358"/>
      <c r="W31" s="391">
        <f t="shared" si="26"/>
        <v>0</v>
      </c>
      <c r="X31" s="17">
        <f t="shared" si="27"/>
        <v>0</v>
      </c>
      <c r="Y31" s="18">
        <f>SUM(W31:X31)</f>
        <v>0</v>
      </c>
      <c r="Z31" s="19">
        <f t="shared" ref="Z31:Z33" si="32">IF(Y$33=0,0,Y31/Y$33)</f>
        <v>0</v>
      </c>
      <c r="AA31" s="19"/>
      <c r="AB31" s="19"/>
      <c r="AC31" s="20"/>
      <c r="AE31" s="17"/>
      <c r="AF31" s="17"/>
      <c r="AG31" s="17"/>
      <c r="AH31" s="18">
        <f t="shared" si="28"/>
        <v>0</v>
      </c>
      <c r="AI31" s="19">
        <f>IF(AH$33=0,0,AH31/AH$33)</f>
        <v>0</v>
      </c>
      <c r="AK31" s="17"/>
      <c r="AL31" s="17"/>
      <c r="AM31" s="17"/>
      <c r="AN31" s="18">
        <f t="shared" si="29"/>
        <v>0</v>
      </c>
      <c r="AO31" s="19">
        <f>IF(AN$33=0,0,AN31/AN$33)</f>
        <v>0</v>
      </c>
      <c r="AQ31" s="17"/>
      <c r="AR31" s="17"/>
      <c r="AS31" s="17"/>
      <c r="AT31" s="18">
        <f t="shared" si="30"/>
        <v>0</v>
      </c>
      <c r="AU31" s="19">
        <f>IF(AT$33=0,0,AT31/AT$33)</f>
        <v>0</v>
      </c>
      <c r="AW31" s="17"/>
      <c r="AX31" s="17"/>
      <c r="AY31" s="17"/>
      <c r="AZ31" s="18">
        <f t="shared" si="31"/>
        <v>0</v>
      </c>
      <c r="BA31" s="19">
        <f>IF(AZ$33=0,0,AZ31/AZ$33)</f>
        <v>0</v>
      </c>
    </row>
    <row r="32" spans="1:60" ht="17.100000000000001" customHeight="1" x14ac:dyDescent="0.25">
      <c r="A32" s="102"/>
      <c r="B32" s="102"/>
      <c r="C32" s="103" t="s">
        <v>19</v>
      </c>
      <c r="D32" s="104" t="s">
        <v>611</v>
      </c>
      <c r="E32" s="105"/>
      <c r="F32" s="105"/>
      <c r="G32" s="106"/>
      <c r="H32" s="210"/>
      <c r="I32" s="231"/>
      <c r="J32" s="198"/>
      <c r="K32" s="198"/>
      <c r="L32" s="17">
        <f>L15</f>
        <v>0</v>
      </c>
      <c r="M32" s="17">
        <f t="shared" si="25"/>
        <v>0</v>
      </c>
      <c r="N32" s="111"/>
      <c r="O32" s="111"/>
      <c r="P32" s="111"/>
      <c r="Q32" s="111"/>
      <c r="R32" s="111"/>
      <c r="S32" s="111"/>
      <c r="T32" s="111"/>
      <c r="U32" s="111"/>
      <c r="V32" s="358"/>
      <c r="W32" s="391">
        <f t="shared" si="26"/>
        <v>0</v>
      </c>
      <c r="X32" s="17">
        <f t="shared" si="27"/>
        <v>0</v>
      </c>
      <c r="Y32" s="18">
        <f>SUM(W32:X32)</f>
        <v>0</v>
      </c>
      <c r="Z32" s="19">
        <f t="shared" si="32"/>
        <v>0</v>
      </c>
      <c r="AA32" s="19"/>
      <c r="AB32" s="19"/>
      <c r="AC32" s="20"/>
      <c r="AE32" s="17"/>
      <c r="AF32" s="17"/>
      <c r="AG32" s="17"/>
      <c r="AH32" s="18">
        <f t="shared" si="28"/>
        <v>0</v>
      </c>
      <c r="AI32" s="19">
        <f>IF(AH$33=0,0,AH32/AH$33)</f>
        <v>0</v>
      </c>
      <c r="AK32" s="17"/>
      <c r="AL32" s="17"/>
      <c r="AM32" s="17"/>
      <c r="AN32" s="18">
        <f t="shared" si="29"/>
        <v>0</v>
      </c>
      <c r="AO32" s="19">
        <f>IF(AN$33=0,0,AN32/AN$33)</f>
        <v>0</v>
      </c>
      <c r="AQ32" s="17"/>
      <c r="AR32" s="17"/>
      <c r="AS32" s="17"/>
      <c r="AT32" s="18">
        <f t="shared" si="30"/>
        <v>0</v>
      </c>
      <c r="AU32" s="19">
        <f>IF(AT$33=0,0,AT32/AT$33)</f>
        <v>0</v>
      </c>
      <c r="AW32" s="17"/>
      <c r="AX32" s="17"/>
      <c r="AY32" s="17"/>
      <c r="AZ32" s="18">
        <f t="shared" si="31"/>
        <v>0</v>
      </c>
      <c r="BA32" s="19">
        <f>IF(AZ$33=0,0,AZ32/AZ$33)</f>
        <v>0</v>
      </c>
    </row>
    <row r="33" spans="1:53" ht="17.100000000000001" customHeight="1" x14ac:dyDescent="0.25">
      <c r="A33" s="40"/>
      <c r="B33" s="40"/>
      <c r="C33" s="77"/>
      <c r="D33" s="78"/>
      <c r="E33" s="78"/>
      <c r="F33" s="78"/>
      <c r="G33" s="79"/>
      <c r="H33" s="217"/>
      <c r="I33" s="230"/>
      <c r="J33" s="80">
        <f>SUM(J30:J32)</f>
        <v>0</v>
      </c>
      <c r="K33" s="80">
        <f t="shared" ref="K33:M33" si="33">SUM(K30:K32)</f>
        <v>0</v>
      </c>
      <c r="L33" s="80">
        <f t="shared" si="33"/>
        <v>0</v>
      </c>
      <c r="M33" s="80">
        <f t="shared" si="33"/>
        <v>0</v>
      </c>
      <c r="N33" s="81"/>
      <c r="O33" s="81"/>
      <c r="P33" s="81"/>
      <c r="Q33" s="81"/>
      <c r="R33" s="81"/>
      <c r="S33" s="81"/>
      <c r="T33" s="81"/>
      <c r="U33" s="81"/>
      <c r="V33" s="356"/>
      <c r="W33" s="381">
        <f>SUM(W30:W32)</f>
        <v>0</v>
      </c>
      <c r="X33" s="82">
        <f t="shared" ref="X33:Y33" si="34">SUM(X30:X32)</f>
        <v>0</v>
      </c>
      <c r="Y33" s="82">
        <f t="shared" si="34"/>
        <v>0</v>
      </c>
      <c r="Z33" s="205">
        <f t="shared" si="32"/>
        <v>0</v>
      </c>
      <c r="AA33" s="205"/>
      <c r="AB33" s="205"/>
      <c r="AC33" s="83"/>
      <c r="AE33" s="107"/>
      <c r="AF33" s="107"/>
      <c r="AG33" s="107"/>
      <c r="AH33" s="82">
        <f>SUM(AH30:AH32)</f>
        <v>0</v>
      </c>
      <c r="AI33" s="66">
        <f>IF(AH$33=0,0,AH33/AH$33)</f>
        <v>0</v>
      </c>
      <c r="AK33" s="107"/>
      <c r="AL33" s="107"/>
      <c r="AM33" s="107"/>
      <c r="AN33" s="82">
        <f>SUM(AN30:AN32)</f>
        <v>0</v>
      </c>
      <c r="AO33" s="66">
        <f>IF(AN$33=0,0,AN33/AN$33)</f>
        <v>0</v>
      </c>
      <c r="AQ33" s="107"/>
      <c r="AR33" s="107"/>
      <c r="AS33" s="107"/>
      <c r="AT33" s="82">
        <f>SUM(AT30:AT32)</f>
        <v>0</v>
      </c>
      <c r="AU33" s="66">
        <f>IF(AT$33=0,0,AT33/AT$33)</f>
        <v>0</v>
      </c>
      <c r="AW33" s="107"/>
      <c r="AX33" s="107"/>
      <c r="AY33" s="107"/>
      <c r="AZ33" s="82">
        <f>SUM(AZ30:AZ32)</f>
        <v>0</v>
      </c>
      <c r="BA33" s="66">
        <f>IF(AZ$33=0,0,AZ33/AZ$33)</f>
        <v>0</v>
      </c>
    </row>
    <row r="34" spans="1:53" s="97" customFormat="1" ht="17.100000000000001" customHeight="1" x14ac:dyDescent="0.25">
      <c r="A34" s="68"/>
      <c r="B34" s="68"/>
      <c r="C34" s="92"/>
      <c r="D34" s="93"/>
      <c r="E34" s="93"/>
      <c r="F34" s="93"/>
      <c r="G34" s="93"/>
      <c r="H34" s="92"/>
      <c r="I34" s="12"/>
      <c r="J34" s="94"/>
      <c r="K34" s="94"/>
      <c r="L34" s="94"/>
      <c r="M34" s="95"/>
      <c r="N34" s="95"/>
      <c r="O34" s="95"/>
      <c r="P34" s="95"/>
      <c r="Q34" s="95"/>
      <c r="R34" s="95"/>
      <c r="S34" s="95"/>
      <c r="T34" s="95"/>
      <c r="U34" s="95"/>
      <c r="V34" s="95"/>
      <c r="W34" s="378"/>
      <c r="X34" s="95"/>
      <c r="Y34" s="96"/>
      <c r="AE34" s="109"/>
      <c r="AF34" s="109"/>
      <c r="AG34" s="109"/>
      <c r="AH34" s="96"/>
      <c r="AK34" s="109"/>
      <c r="AL34" s="109"/>
      <c r="AM34" s="109"/>
      <c r="AN34" s="96"/>
      <c r="AQ34" s="109"/>
      <c r="AR34" s="109"/>
      <c r="AS34" s="109"/>
      <c r="AT34" s="96"/>
      <c r="AW34" s="109"/>
      <c r="AX34" s="109"/>
      <c r="AY34" s="109"/>
      <c r="AZ34" s="96"/>
    </row>
    <row r="35" spans="1:53" s="32" customFormat="1" ht="16.5" thickBot="1" x14ac:dyDescent="0.3">
      <c r="A35" s="24" t="s">
        <v>20</v>
      </c>
      <c r="B35" s="25" t="s">
        <v>21</v>
      </c>
      <c r="C35" s="26"/>
      <c r="D35" s="27"/>
      <c r="E35" s="27"/>
      <c r="F35" s="27"/>
      <c r="G35" s="28"/>
      <c r="H35" s="215"/>
      <c r="I35" s="228"/>
      <c r="J35" s="101"/>
      <c r="K35" s="101"/>
      <c r="L35" s="101"/>
      <c r="M35" s="101"/>
      <c r="N35" s="101"/>
      <c r="O35" s="101"/>
      <c r="P35" s="101"/>
      <c r="Q35" s="101"/>
      <c r="R35" s="101"/>
      <c r="S35" s="101"/>
      <c r="T35" s="101"/>
      <c r="U35" s="101"/>
      <c r="V35" s="357"/>
      <c r="W35" s="379"/>
      <c r="X35" s="101"/>
      <c r="Y35" s="30" t="s">
        <v>4</v>
      </c>
      <c r="Z35" s="31" t="s">
        <v>5</v>
      </c>
      <c r="AA35" s="31" t="s">
        <v>181</v>
      </c>
      <c r="AB35" s="31" t="s">
        <v>182</v>
      </c>
      <c r="AC35" s="31" t="s">
        <v>6</v>
      </c>
      <c r="AE35" s="33" t="s">
        <v>181</v>
      </c>
      <c r="AF35" s="33" t="s">
        <v>182</v>
      </c>
      <c r="AG35" s="33" t="s">
        <v>6</v>
      </c>
      <c r="AH35" s="33" t="s">
        <v>4</v>
      </c>
      <c r="AI35" s="34" t="s">
        <v>5</v>
      </c>
      <c r="AJ35" s="408"/>
      <c r="AK35" s="36" t="s">
        <v>181</v>
      </c>
      <c r="AL35" s="36" t="s">
        <v>182</v>
      </c>
      <c r="AM35" s="36" t="s">
        <v>6</v>
      </c>
      <c r="AN35" s="36" t="s">
        <v>4</v>
      </c>
      <c r="AO35" s="37" t="s">
        <v>5</v>
      </c>
      <c r="AP35" s="408"/>
      <c r="AQ35" s="36"/>
      <c r="AR35" s="36"/>
      <c r="AS35" s="36"/>
      <c r="AT35" s="36"/>
      <c r="AU35" s="37"/>
      <c r="AV35" s="408"/>
      <c r="AW35" s="38" t="s">
        <v>181</v>
      </c>
      <c r="AX35" s="38" t="s">
        <v>182</v>
      </c>
      <c r="AY35" s="38" t="s">
        <v>6</v>
      </c>
      <c r="AZ35" s="38" t="s">
        <v>4</v>
      </c>
      <c r="BA35" s="39" t="s">
        <v>5</v>
      </c>
    </row>
    <row r="36" spans="1:53" ht="17.100000000000001" customHeight="1" x14ac:dyDescent="0.25">
      <c r="A36" s="119"/>
      <c r="B36" s="41" t="s">
        <v>22</v>
      </c>
      <c r="C36" s="332" t="s">
        <v>23</v>
      </c>
      <c r="D36" s="50"/>
      <c r="E36" s="70"/>
      <c r="F36" s="70"/>
      <c r="G36" s="70"/>
      <c r="H36" s="589">
        <v>9</v>
      </c>
      <c r="J36" s="71"/>
      <c r="K36" s="71"/>
      <c r="L36" s="71"/>
      <c r="M36" s="71"/>
      <c r="N36" s="71"/>
      <c r="O36" s="71"/>
      <c r="P36" s="71"/>
      <c r="Q36" s="71"/>
      <c r="R36" s="71"/>
      <c r="S36" s="71"/>
      <c r="T36" s="71"/>
      <c r="U36" s="71"/>
      <c r="V36" s="355"/>
      <c r="W36" s="377"/>
      <c r="X36" s="71"/>
      <c r="Y36" s="72"/>
      <c r="Z36" s="73"/>
      <c r="AA36" s="73"/>
      <c r="AB36" s="73"/>
      <c r="AC36" s="73"/>
      <c r="AE36" s="71"/>
      <c r="AF36" s="71"/>
      <c r="AG36" s="71"/>
      <c r="AH36" s="72"/>
      <c r="AI36" s="73"/>
      <c r="AK36" s="71"/>
      <c r="AL36" s="71"/>
      <c r="AM36" s="71"/>
      <c r="AN36" s="72"/>
      <c r="AO36" s="73"/>
      <c r="AQ36" s="71"/>
      <c r="AR36" s="71"/>
      <c r="AS36" s="71"/>
      <c r="AT36" s="72"/>
      <c r="AU36" s="73"/>
      <c r="AW36" s="71"/>
      <c r="AX36" s="71"/>
      <c r="AY36" s="71"/>
      <c r="AZ36" s="72"/>
      <c r="BA36" s="73"/>
    </row>
    <row r="37" spans="1:53" ht="17.100000000000001" customHeight="1" x14ac:dyDescent="0.25">
      <c r="A37" s="119"/>
      <c r="B37" s="540"/>
      <c r="C37" s="103" t="s">
        <v>631</v>
      </c>
      <c r="D37" s="313" t="s">
        <v>658</v>
      </c>
      <c r="E37" s="108"/>
      <c r="F37" s="108"/>
      <c r="G37" s="108"/>
      <c r="H37" s="119"/>
      <c r="J37" s="111"/>
      <c r="K37" s="111"/>
      <c r="L37" s="111"/>
      <c r="M37" s="111"/>
      <c r="N37" s="111"/>
      <c r="O37" s="111"/>
      <c r="P37" s="111"/>
      <c r="Q37" s="111"/>
      <c r="R37" s="111"/>
      <c r="S37" s="111"/>
      <c r="T37" s="111"/>
      <c r="U37" s="111"/>
      <c r="V37" s="358"/>
      <c r="W37" s="380"/>
      <c r="X37" s="111"/>
      <c r="Y37" s="112"/>
      <c r="Z37" s="113"/>
      <c r="AA37" s="113"/>
      <c r="AB37" s="113"/>
      <c r="AC37" s="113"/>
      <c r="AE37" s="111"/>
      <c r="AF37" s="111"/>
      <c r="AG37" s="111"/>
      <c r="AH37" s="112"/>
      <c r="AI37" s="113"/>
      <c r="AK37" s="111"/>
      <c r="AL37" s="111"/>
      <c r="AM37" s="111"/>
      <c r="AN37" s="112"/>
      <c r="AO37" s="113"/>
      <c r="AQ37" s="111"/>
      <c r="AR37" s="111"/>
      <c r="AS37" s="111"/>
      <c r="AT37" s="112"/>
      <c r="AU37" s="113"/>
      <c r="AW37" s="111"/>
      <c r="AX37" s="111"/>
      <c r="AY37" s="111"/>
      <c r="AZ37" s="112"/>
      <c r="BA37" s="113"/>
    </row>
    <row r="38" spans="1:53" ht="17.100000000000001" customHeight="1" x14ac:dyDescent="0.25">
      <c r="A38" s="47"/>
      <c r="B38" s="55"/>
      <c r="C38" s="56"/>
      <c r="D38" s="120" t="s">
        <v>632</v>
      </c>
      <c r="E38" s="58" t="s">
        <v>659</v>
      </c>
      <c r="F38" s="58"/>
      <c r="G38" s="59"/>
      <c r="H38" s="216"/>
      <c r="I38" s="229"/>
      <c r="J38" s="174"/>
      <c r="K38" s="174"/>
      <c r="L38" s="111"/>
      <c r="M38" s="111"/>
      <c r="N38" s="60"/>
      <c r="O38" s="60"/>
      <c r="P38" s="17">
        <f>SUM(N38:O38)</f>
        <v>0</v>
      </c>
      <c r="Q38" s="60"/>
      <c r="R38" s="60"/>
      <c r="S38" s="17">
        <f>SUM(Q38:R38)</f>
        <v>0</v>
      </c>
      <c r="T38" s="60"/>
      <c r="U38" s="60"/>
      <c r="V38" s="17">
        <f>SUM(T38:U38)</f>
        <v>0</v>
      </c>
      <c r="W38" s="391">
        <f t="shared" ref="W38:W40" si="35">J38+K38+N38+Q38+T38</f>
        <v>0</v>
      </c>
      <c r="X38" s="17">
        <f t="shared" ref="X38:X40" si="36">L38+O38+R38+U38</f>
        <v>0</v>
      </c>
      <c r="Y38" s="18">
        <f>SUM(W38:X38)</f>
        <v>0</v>
      </c>
      <c r="Z38" s="19">
        <f>IF(Y$41=0,0,Y38/Y$41)</f>
        <v>0</v>
      </c>
      <c r="AA38" s="19"/>
      <c r="AB38" s="19"/>
      <c r="AC38" s="20"/>
      <c r="AE38" s="111"/>
      <c r="AF38" s="111"/>
      <c r="AG38" s="111"/>
      <c r="AH38" s="545"/>
      <c r="AI38" s="131"/>
      <c r="AK38" s="111"/>
      <c r="AL38" s="111"/>
      <c r="AM38" s="111"/>
      <c r="AN38" s="545"/>
      <c r="AO38" s="131"/>
      <c r="AQ38" s="17"/>
      <c r="AR38" s="17"/>
      <c r="AS38" s="17"/>
      <c r="AT38" s="18">
        <f>W38</f>
        <v>0</v>
      </c>
      <c r="AU38" s="19">
        <f>IF(AT$41=0,0,AT38/AT$41)</f>
        <v>0</v>
      </c>
      <c r="AW38" s="17"/>
      <c r="AX38" s="17"/>
      <c r="AY38" s="17"/>
      <c r="AZ38" s="18">
        <f>X38</f>
        <v>0</v>
      </c>
      <c r="BA38" s="19">
        <f>IF(AZ$41=0,0,AZ38/AZ$41)</f>
        <v>0</v>
      </c>
    </row>
    <row r="39" spans="1:53" ht="17.100000000000001" customHeight="1" x14ac:dyDescent="0.25">
      <c r="A39" s="47"/>
      <c r="B39" s="55"/>
      <c r="C39" s="56"/>
      <c r="D39" s="120" t="s">
        <v>633</v>
      </c>
      <c r="E39" s="58" t="s">
        <v>634</v>
      </c>
      <c r="F39" s="58"/>
      <c r="G39" s="59"/>
      <c r="H39" s="216"/>
      <c r="I39" s="229"/>
      <c r="J39" s="174"/>
      <c r="K39" s="174"/>
      <c r="L39" s="111"/>
      <c r="M39" s="111"/>
      <c r="N39" s="61"/>
      <c r="O39" s="61">
        <v>9</v>
      </c>
      <c r="P39" s="17">
        <f t="shared" ref="P39:P40" si="37">SUM(N39:O39)</f>
        <v>9</v>
      </c>
      <c r="Q39" s="61"/>
      <c r="R39" s="61"/>
      <c r="S39" s="17">
        <f t="shared" ref="S39:S40" si="38">SUM(Q39:R39)</f>
        <v>0</v>
      </c>
      <c r="T39" s="61"/>
      <c r="U39" s="61"/>
      <c r="V39" s="17">
        <f t="shared" ref="V39:V40" si="39">SUM(T39:U39)</f>
        <v>0</v>
      </c>
      <c r="W39" s="391">
        <f t="shared" si="35"/>
        <v>0</v>
      </c>
      <c r="X39" s="17">
        <f t="shared" si="36"/>
        <v>9</v>
      </c>
      <c r="Y39" s="18">
        <f>SUM(W39:X39)</f>
        <v>9</v>
      </c>
      <c r="Z39" s="19">
        <f>IF(Y$41=0,0,Y39/Y$41)</f>
        <v>1</v>
      </c>
      <c r="AA39" s="19"/>
      <c r="AB39" s="19"/>
      <c r="AC39" s="20"/>
      <c r="AE39" s="111"/>
      <c r="AF39" s="111"/>
      <c r="AG39" s="111"/>
      <c r="AH39" s="545"/>
      <c r="AI39" s="131"/>
      <c r="AK39" s="111"/>
      <c r="AL39" s="111"/>
      <c r="AM39" s="111"/>
      <c r="AN39" s="545"/>
      <c r="AO39" s="131"/>
      <c r="AQ39" s="17"/>
      <c r="AR39" s="17"/>
      <c r="AS39" s="17"/>
      <c r="AT39" s="18">
        <f>W39</f>
        <v>0</v>
      </c>
      <c r="AU39" s="19">
        <f>IF(AT$41=0,0,AT39/AT$41)</f>
        <v>0</v>
      </c>
      <c r="AW39" s="17"/>
      <c r="AX39" s="17"/>
      <c r="AY39" s="17"/>
      <c r="AZ39" s="18">
        <f>X39</f>
        <v>9</v>
      </c>
      <c r="BA39" s="19">
        <f>IF(AZ$41=0,0,AZ39/AZ$41)</f>
        <v>1</v>
      </c>
    </row>
    <row r="40" spans="1:53" ht="17.100000000000001" customHeight="1" x14ac:dyDescent="0.25">
      <c r="A40" s="47"/>
      <c r="B40" s="55"/>
      <c r="C40" s="56"/>
      <c r="D40" s="120" t="s">
        <v>744</v>
      </c>
      <c r="E40" s="58" t="s">
        <v>745</v>
      </c>
      <c r="F40" s="58"/>
      <c r="G40" s="59"/>
      <c r="H40" s="216"/>
      <c r="I40" s="229"/>
      <c r="J40" s="174"/>
      <c r="K40" s="174"/>
      <c r="L40" s="111"/>
      <c r="M40" s="111"/>
      <c r="N40" s="60"/>
      <c r="O40" s="60"/>
      <c r="P40" s="17">
        <f t="shared" si="37"/>
        <v>0</v>
      </c>
      <c r="Q40" s="60"/>
      <c r="R40" s="60"/>
      <c r="S40" s="17">
        <f t="shared" si="38"/>
        <v>0</v>
      </c>
      <c r="T40" s="60"/>
      <c r="U40" s="60"/>
      <c r="V40" s="17">
        <f t="shared" si="39"/>
        <v>0</v>
      </c>
      <c r="W40" s="391">
        <f t="shared" si="35"/>
        <v>0</v>
      </c>
      <c r="X40" s="17">
        <f t="shared" si="36"/>
        <v>0</v>
      </c>
      <c r="Y40" s="18">
        <f>SUM(W40:X40)</f>
        <v>0</v>
      </c>
      <c r="Z40" s="19">
        <f>IF(Y$41=0,0,Y40/Y$41)</f>
        <v>0</v>
      </c>
      <c r="AA40" s="19"/>
      <c r="AB40" s="19"/>
      <c r="AC40" s="20"/>
      <c r="AE40" s="111"/>
      <c r="AF40" s="111"/>
      <c r="AG40" s="111"/>
      <c r="AH40" s="545"/>
      <c r="AI40" s="131"/>
      <c r="AK40" s="111"/>
      <c r="AL40" s="111"/>
      <c r="AM40" s="111"/>
      <c r="AN40" s="545"/>
      <c r="AO40" s="131"/>
      <c r="AQ40" s="17"/>
      <c r="AR40" s="17"/>
      <c r="AS40" s="17"/>
      <c r="AT40" s="18">
        <f>W40</f>
        <v>0</v>
      </c>
      <c r="AU40" s="19">
        <f>IF(AT$41=0,0,AT40/AT$41)</f>
        <v>0</v>
      </c>
      <c r="AW40" s="17"/>
      <c r="AX40" s="17"/>
      <c r="AY40" s="17"/>
      <c r="AZ40" s="18">
        <f>X40</f>
        <v>0</v>
      </c>
      <c r="BA40" s="19">
        <f>IF(AZ$41=0,0,AZ40/AZ$41)</f>
        <v>0</v>
      </c>
    </row>
    <row r="41" spans="1:53" ht="17.100000000000001" customHeight="1" x14ac:dyDescent="0.25">
      <c r="A41" s="40"/>
      <c r="B41" s="40"/>
      <c r="C41" s="77"/>
      <c r="D41" s="78"/>
      <c r="E41" s="78"/>
      <c r="F41" s="78"/>
      <c r="G41" s="78"/>
      <c r="H41" s="242"/>
      <c r="I41" s="230"/>
      <c r="J41" s="80"/>
      <c r="K41" s="80"/>
      <c r="L41" s="80"/>
      <c r="M41" s="80"/>
      <c r="N41" s="64">
        <f>SUM(N38:N40)</f>
        <v>0</v>
      </c>
      <c r="O41" s="64">
        <f t="shared" ref="O41:V41" si="40">SUM(O38:O40)</f>
        <v>9</v>
      </c>
      <c r="P41" s="64">
        <f t="shared" si="40"/>
        <v>9</v>
      </c>
      <c r="Q41" s="64">
        <f t="shared" si="40"/>
        <v>0</v>
      </c>
      <c r="R41" s="64">
        <f t="shared" si="40"/>
        <v>0</v>
      </c>
      <c r="S41" s="64">
        <f t="shared" si="40"/>
        <v>0</v>
      </c>
      <c r="T41" s="64">
        <f t="shared" si="40"/>
        <v>0</v>
      </c>
      <c r="U41" s="64">
        <f t="shared" si="40"/>
        <v>0</v>
      </c>
      <c r="V41" s="64">
        <f t="shared" si="40"/>
        <v>0</v>
      </c>
      <c r="W41" s="381">
        <f>SUM(W38:W40)</f>
        <v>0</v>
      </c>
      <c r="X41" s="82">
        <f t="shared" ref="X41:Y41" si="41">SUM(X38:X40)</f>
        <v>9</v>
      </c>
      <c r="Y41" s="82">
        <f t="shared" si="41"/>
        <v>9</v>
      </c>
      <c r="Z41" s="205">
        <f>IF(Y$41=0,0,Y41/Y$41)</f>
        <v>1</v>
      </c>
      <c r="AA41" s="205"/>
      <c r="AB41" s="205"/>
      <c r="AC41" s="83"/>
      <c r="AE41" s="81"/>
      <c r="AF41" s="81"/>
      <c r="AG41" s="81"/>
      <c r="AH41" s="82"/>
      <c r="AI41" s="66"/>
      <c r="AK41" s="81"/>
      <c r="AL41" s="81"/>
      <c r="AM41" s="81"/>
      <c r="AN41" s="82"/>
      <c r="AO41" s="66"/>
      <c r="AQ41" s="81"/>
      <c r="AR41" s="81"/>
      <c r="AS41" s="81"/>
      <c r="AT41" s="82">
        <f>SUM(AT38:AT40)</f>
        <v>0</v>
      </c>
      <c r="AU41" s="66">
        <f>IF(AT$41=0,0,AT41/AT$41)</f>
        <v>0</v>
      </c>
      <c r="AW41" s="81"/>
      <c r="AX41" s="81"/>
      <c r="AY41" s="81"/>
      <c r="AZ41" s="82">
        <f>SUM(AZ38:AZ40)</f>
        <v>9</v>
      </c>
      <c r="BA41" s="66">
        <f>IF(AZ$41=0,0,AZ41/AZ$41)</f>
        <v>1</v>
      </c>
    </row>
    <row r="42" spans="1:53" s="117" customFormat="1" ht="17.100000000000001" customHeight="1" x14ac:dyDescent="0.25">
      <c r="A42" s="119"/>
      <c r="B42" s="119"/>
      <c r="C42" s="540"/>
      <c r="D42" s="212"/>
      <c r="E42" s="212"/>
      <c r="F42" s="212"/>
      <c r="G42" s="212"/>
      <c r="H42" s="242"/>
      <c r="I42" s="230"/>
      <c r="J42" s="17"/>
      <c r="K42" s="17"/>
      <c r="L42" s="17"/>
      <c r="M42" s="17"/>
      <c r="N42" s="17" t="str">
        <f>IF(N41=N$20,"OK","NOK")</f>
        <v>OK</v>
      </c>
      <c r="O42" s="17" t="str">
        <f>IF(O41=O$20,"OK","NOK")</f>
        <v>OK</v>
      </c>
      <c r="P42" s="17"/>
      <c r="Q42" s="17" t="str">
        <f>IF(Q41=Q$20,"OK","NOK")</f>
        <v>OK</v>
      </c>
      <c r="R42" s="17" t="str">
        <f>IF(R41=R$20,"OK","NOK")</f>
        <v>OK</v>
      </c>
      <c r="S42" s="17"/>
      <c r="T42" s="17" t="str">
        <f>IF(T41=T$20,"OK","NOK")</f>
        <v>OK</v>
      </c>
      <c r="U42" s="17" t="str">
        <f>IF(U41=U$20,"OK","NOK")</f>
        <v>OK</v>
      </c>
      <c r="V42" s="359"/>
      <c r="W42" s="395">
        <f>IF($Y$41=0,0,W41/$Y$41)</f>
        <v>0</v>
      </c>
      <c r="X42" s="91">
        <f>IF($Y$41=0,0,X41/$Y$41)</f>
        <v>1</v>
      </c>
      <c r="Y42" s="201">
        <f>IF($Y$41=0,0,Y41/$Y$41)</f>
        <v>1</v>
      </c>
      <c r="Z42" s="201"/>
      <c r="AA42" s="201"/>
      <c r="AB42" s="201"/>
      <c r="AC42" s="84"/>
      <c r="AE42" s="17"/>
      <c r="AF42" s="17"/>
      <c r="AG42" s="17"/>
      <c r="AH42" s="539"/>
      <c r="AI42" s="91"/>
      <c r="AK42" s="17"/>
      <c r="AL42" s="17"/>
      <c r="AM42" s="17"/>
      <c r="AN42" s="539"/>
      <c r="AO42" s="91"/>
      <c r="AQ42" s="17"/>
      <c r="AR42" s="17"/>
      <c r="AS42" s="17"/>
      <c r="AT42" s="539"/>
      <c r="AU42" s="91"/>
      <c r="AW42" s="17"/>
      <c r="AX42" s="17"/>
      <c r="AY42" s="17"/>
      <c r="AZ42" s="539"/>
      <c r="BA42" s="91"/>
    </row>
    <row r="43" spans="1:53" ht="17.100000000000001" customHeight="1" x14ac:dyDescent="0.25">
      <c r="A43" s="68"/>
      <c r="B43" s="540"/>
      <c r="C43" s="103" t="s">
        <v>24</v>
      </c>
      <c r="D43" s="110" t="s">
        <v>373</v>
      </c>
      <c r="E43" s="108"/>
      <c r="F43" s="108"/>
      <c r="G43" s="108"/>
      <c r="H43" s="589">
        <v>9</v>
      </c>
      <c r="J43" s="111"/>
      <c r="K43" s="111"/>
      <c r="L43" s="111"/>
      <c r="M43" s="111"/>
      <c r="N43" s="111"/>
      <c r="O43" s="111"/>
      <c r="P43" s="111"/>
      <c r="Q43" s="111"/>
      <c r="R43" s="111"/>
      <c r="S43" s="111"/>
      <c r="T43" s="111"/>
      <c r="U43" s="111"/>
      <c r="V43" s="358"/>
      <c r="W43" s="380"/>
      <c r="X43" s="111"/>
      <c r="Y43" s="112"/>
      <c r="Z43" s="113"/>
      <c r="AA43" s="113"/>
      <c r="AB43" s="113"/>
      <c r="AC43" s="113"/>
      <c r="AE43" s="111"/>
      <c r="AF43" s="111"/>
      <c r="AG43" s="111"/>
      <c r="AH43" s="112"/>
      <c r="AI43" s="113"/>
      <c r="AK43" s="111"/>
      <c r="AL43" s="111"/>
      <c r="AM43" s="111"/>
      <c r="AN43" s="112"/>
      <c r="AO43" s="113"/>
      <c r="AQ43" s="111"/>
      <c r="AR43" s="111"/>
      <c r="AS43" s="111"/>
      <c r="AT43" s="112"/>
      <c r="AU43" s="113"/>
      <c r="AW43" s="111"/>
      <c r="AX43" s="111"/>
      <c r="AY43" s="111"/>
      <c r="AZ43" s="112"/>
      <c r="BA43" s="113"/>
    </row>
    <row r="44" spans="1:53" ht="17.100000000000001" customHeight="1" x14ac:dyDescent="0.25">
      <c r="A44" s="68"/>
      <c r="B44" s="540"/>
      <c r="C44" s="23"/>
      <c r="D44" s="202" t="s">
        <v>25</v>
      </c>
      <c r="E44" s="85" t="s">
        <v>384</v>
      </c>
      <c r="F44" s="75"/>
      <c r="G44" s="75"/>
      <c r="H44" s="119"/>
      <c r="J44" s="581"/>
      <c r="K44" s="581"/>
      <c r="L44" s="582"/>
      <c r="M44" s="17">
        <f t="shared" ref="M44:M57" si="42">SUM(J44:L44)</f>
        <v>0</v>
      </c>
      <c r="N44" s="111"/>
      <c r="O44" s="111"/>
      <c r="P44" s="111"/>
      <c r="Q44" s="111"/>
      <c r="R44" s="111"/>
      <c r="S44" s="111"/>
      <c r="T44" s="111"/>
      <c r="U44" s="111"/>
      <c r="V44" s="358"/>
      <c r="W44" s="391">
        <f t="shared" ref="W44:W57" si="43">J44+K44+N44+Q44+T44</f>
        <v>0</v>
      </c>
      <c r="X44" s="17">
        <f t="shared" ref="X44:X57" si="44">L44+O44+R44+U44</f>
        <v>0</v>
      </c>
      <c r="Y44" s="18">
        <f t="shared" ref="Y44:Y57" si="45">SUM(W44:X44)</f>
        <v>0</v>
      </c>
      <c r="Z44" s="19">
        <f>IF(Y$58=0,0,Y44/Y$58)</f>
        <v>0</v>
      </c>
      <c r="AA44" s="19"/>
      <c r="AB44" s="19"/>
      <c r="AC44" s="84"/>
      <c r="AE44" s="17"/>
      <c r="AF44" s="17"/>
      <c r="AG44" s="17"/>
      <c r="AH44" s="18">
        <f t="shared" ref="AH44:AH57" si="46">J44</f>
        <v>0</v>
      </c>
      <c r="AI44" s="19">
        <f>IF(AH$58=0,0,AH44/AH$58)</f>
        <v>0</v>
      </c>
      <c r="AK44" s="17"/>
      <c r="AL44" s="17"/>
      <c r="AM44" s="17"/>
      <c r="AN44" s="18">
        <f t="shared" ref="AN44:AN57" si="47">K44</f>
        <v>0</v>
      </c>
      <c r="AO44" s="19">
        <f>IF(AN$58=0,0,AN44/AN$58)</f>
        <v>0</v>
      </c>
      <c r="AQ44" s="17"/>
      <c r="AR44" s="17"/>
      <c r="AS44" s="17"/>
      <c r="AT44" s="18">
        <f t="shared" ref="AT44:AT57" si="48">W44</f>
        <v>0</v>
      </c>
      <c r="AU44" s="19">
        <f>IF(AT$58=0,0,AT44/AT$58)</f>
        <v>0</v>
      </c>
      <c r="AW44" s="17"/>
      <c r="AX44" s="17"/>
      <c r="AY44" s="17"/>
      <c r="AZ44" s="18">
        <f t="shared" ref="AZ44:AZ57" si="49">X44</f>
        <v>0</v>
      </c>
      <c r="BA44" s="19">
        <f>IF(AZ$58=0,0,AZ44/AZ$58)</f>
        <v>0</v>
      </c>
    </row>
    <row r="45" spans="1:53" ht="17.100000000000001" customHeight="1" x14ac:dyDescent="0.25">
      <c r="A45" s="68"/>
      <c r="B45" s="540"/>
      <c r="C45" s="23"/>
      <c r="D45" s="202" t="s">
        <v>27</v>
      </c>
      <c r="E45" s="85" t="s">
        <v>385</v>
      </c>
      <c r="F45" s="75"/>
      <c r="G45" s="75"/>
      <c r="H45" s="119"/>
      <c r="J45" s="583"/>
      <c r="K45" s="583"/>
      <c r="L45" s="584"/>
      <c r="M45" s="17">
        <f t="shared" si="42"/>
        <v>0</v>
      </c>
      <c r="N45" s="111"/>
      <c r="O45" s="111"/>
      <c r="P45" s="111"/>
      <c r="Q45" s="111"/>
      <c r="R45" s="111"/>
      <c r="S45" s="111"/>
      <c r="T45" s="111"/>
      <c r="U45" s="111"/>
      <c r="V45" s="358"/>
      <c r="W45" s="391">
        <f t="shared" si="43"/>
        <v>0</v>
      </c>
      <c r="X45" s="17">
        <f t="shared" si="44"/>
        <v>0</v>
      </c>
      <c r="Y45" s="18">
        <f t="shared" si="45"/>
        <v>0</v>
      </c>
      <c r="Z45" s="19">
        <f t="shared" ref="Z45:Z58" si="50">IF(Y$58=0,0,Y45/Y$58)</f>
        <v>0</v>
      </c>
      <c r="AA45" s="19"/>
      <c r="AB45" s="19"/>
      <c r="AC45" s="84"/>
      <c r="AE45" s="17"/>
      <c r="AF45" s="17"/>
      <c r="AG45" s="17"/>
      <c r="AH45" s="18">
        <f t="shared" si="46"/>
        <v>0</v>
      </c>
      <c r="AI45" s="19">
        <f t="shared" ref="AI45:AI58" si="51">IF(AH$58=0,0,AH45/AH$58)</f>
        <v>0</v>
      </c>
      <c r="AK45" s="17"/>
      <c r="AL45" s="17"/>
      <c r="AM45" s="17"/>
      <c r="AN45" s="18">
        <f t="shared" si="47"/>
        <v>0</v>
      </c>
      <c r="AO45" s="19">
        <f t="shared" ref="AO45:AO58" si="52">IF(AN$58=0,0,AN45/AN$58)</f>
        <v>0</v>
      </c>
      <c r="AQ45" s="17"/>
      <c r="AR45" s="17"/>
      <c r="AS45" s="17"/>
      <c r="AT45" s="18">
        <f t="shared" si="48"/>
        <v>0</v>
      </c>
      <c r="AU45" s="19">
        <f t="shared" ref="AU45:AU58" si="53">IF(AT$58=0,0,AT45/AT$58)</f>
        <v>0</v>
      </c>
      <c r="AW45" s="17"/>
      <c r="AX45" s="17"/>
      <c r="AY45" s="17"/>
      <c r="AZ45" s="18">
        <f t="shared" si="49"/>
        <v>0</v>
      </c>
      <c r="BA45" s="19">
        <f t="shared" ref="BA45:BA58" si="54">IF(AZ$58=0,0,AZ45/AZ$58)</f>
        <v>0</v>
      </c>
    </row>
    <row r="46" spans="1:53" ht="17.100000000000001" customHeight="1" x14ac:dyDescent="0.25">
      <c r="A46" s="68"/>
      <c r="B46" s="540"/>
      <c r="C46" s="23"/>
      <c r="D46" s="202" t="s">
        <v>29</v>
      </c>
      <c r="E46" s="85" t="s">
        <v>386</v>
      </c>
      <c r="F46" s="75"/>
      <c r="G46" s="75"/>
      <c r="H46" s="119"/>
      <c r="J46" s="581"/>
      <c r="K46" s="581"/>
      <c r="L46" s="582"/>
      <c r="M46" s="17">
        <f t="shared" si="42"/>
        <v>0</v>
      </c>
      <c r="N46" s="111"/>
      <c r="O46" s="111"/>
      <c r="P46" s="111"/>
      <c r="Q46" s="111"/>
      <c r="R46" s="111"/>
      <c r="S46" s="111"/>
      <c r="T46" s="111"/>
      <c r="U46" s="111"/>
      <c r="V46" s="358"/>
      <c r="W46" s="391">
        <f t="shared" si="43"/>
        <v>0</v>
      </c>
      <c r="X46" s="17">
        <f t="shared" si="44"/>
        <v>0</v>
      </c>
      <c r="Y46" s="18">
        <f t="shared" si="45"/>
        <v>0</v>
      </c>
      <c r="Z46" s="19">
        <f t="shared" si="50"/>
        <v>0</v>
      </c>
      <c r="AA46" s="19"/>
      <c r="AB46" s="19"/>
      <c r="AC46" s="84"/>
      <c r="AE46" s="17"/>
      <c r="AF46" s="17"/>
      <c r="AG46" s="17"/>
      <c r="AH46" s="18">
        <f t="shared" si="46"/>
        <v>0</v>
      </c>
      <c r="AI46" s="19">
        <f t="shared" si="51"/>
        <v>0</v>
      </c>
      <c r="AK46" s="17"/>
      <c r="AL46" s="17"/>
      <c r="AM46" s="17"/>
      <c r="AN46" s="18">
        <f t="shared" si="47"/>
        <v>0</v>
      </c>
      <c r="AO46" s="19">
        <f t="shared" si="52"/>
        <v>0</v>
      </c>
      <c r="AQ46" s="17"/>
      <c r="AR46" s="17"/>
      <c r="AS46" s="17"/>
      <c r="AT46" s="18">
        <f t="shared" si="48"/>
        <v>0</v>
      </c>
      <c r="AU46" s="19">
        <f t="shared" si="53"/>
        <v>0</v>
      </c>
      <c r="AW46" s="17"/>
      <c r="AX46" s="17"/>
      <c r="AY46" s="17"/>
      <c r="AZ46" s="18">
        <f t="shared" si="49"/>
        <v>0</v>
      </c>
      <c r="BA46" s="19">
        <f t="shared" si="54"/>
        <v>0</v>
      </c>
    </row>
    <row r="47" spans="1:53" ht="17.100000000000001" customHeight="1" x14ac:dyDescent="0.25">
      <c r="A47" s="68"/>
      <c r="B47" s="540"/>
      <c r="C47" s="23"/>
      <c r="D47" s="202" t="s">
        <v>31</v>
      </c>
      <c r="E47" s="85" t="s">
        <v>533</v>
      </c>
      <c r="F47" s="75"/>
      <c r="G47" s="75"/>
      <c r="H47" s="119"/>
      <c r="J47" s="583"/>
      <c r="K47" s="583"/>
      <c r="L47" s="584"/>
      <c r="M47" s="17">
        <f t="shared" si="42"/>
        <v>0</v>
      </c>
      <c r="N47" s="111"/>
      <c r="O47" s="111"/>
      <c r="P47" s="111"/>
      <c r="Q47" s="111"/>
      <c r="R47" s="111"/>
      <c r="S47" s="111"/>
      <c r="T47" s="111"/>
      <c r="U47" s="111"/>
      <c r="V47" s="358"/>
      <c r="W47" s="391">
        <f t="shared" si="43"/>
        <v>0</v>
      </c>
      <c r="X47" s="17">
        <f t="shared" si="44"/>
        <v>0</v>
      </c>
      <c r="Y47" s="18">
        <f t="shared" si="45"/>
        <v>0</v>
      </c>
      <c r="Z47" s="19">
        <f t="shared" si="50"/>
        <v>0</v>
      </c>
      <c r="AA47" s="19"/>
      <c r="AB47" s="19"/>
      <c r="AC47" s="84"/>
      <c r="AE47" s="17"/>
      <c r="AF47" s="17"/>
      <c r="AG47" s="17"/>
      <c r="AH47" s="18">
        <f t="shared" si="46"/>
        <v>0</v>
      </c>
      <c r="AI47" s="19">
        <f t="shared" si="51"/>
        <v>0</v>
      </c>
      <c r="AK47" s="17"/>
      <c r="AL47" s="17"/>
      <c r="AM47" s="17"/>
      <c r="AN47" s="18">
        <f t="shared" si="47"/>
        <v>0</v>
      </c>
      <c r="AO47" s="19">
        <f t="shared" si="52"/>
        <v>0</v>
      </c>
      <c r="AQ47" s="17"/>
      <c r="AR47" s="17"/>
      <c r="AS47" s="17"/>
      <c r="AT47" s="18">
        <f t="shared" si="48"/>
        <v>0</v>
      </c>
      <c r="AU47" s="19">
        <f t="shared" si="53"/>
        <v>0</v>
      </c>
      <c r="AW47" s="17"/>
      <c r="AX47" s="17"/>
      <c r="AY47" s="17"/>
      <c r="AZ47" s="18">
        <f t="shared" si="49"/>
        <v>0</v>
      </c>
      <c r="BA47" s="19">
        <f t="shared" si="54"/>
        <v>0</v>
      </c>
    </row>
    <row r="48" spans="1:53" ht="17.100000000000001" customHeight="1" x14ac:dyDescent="0.25">
      <c r="A48" s="68"/>
      <c r="B48" s="540"/>
      <c r="C48" s="93"/>
      <c r="D48" s="202" t="s">
        <v>374</v>
      </c>
      <c r="E48" s="85" t="s">
        <v>534</v>
      </c>
      <c r="F48" s="75"/>
      <c r="G48" s="75"/>
      <c r="H48" s="119"/>
      <c r="J48" s="581"/>
      <c r="K48" s="581"/>
      <c r="L48" s="582"/>
      <c r="M48" s="17">
        <f t="shared" si="42"/>
        <v>0</v>
      </c>
      <c r="N48" s="111"/>
      <c r="O48" s="111"/>
      <c r="P48" s="111"/>
      <c r="Q48" s="111"/>
      <c r="R48" s="111"/>
      <c r="S48" s="111"/>
      <c r="T48" s="111"/>
      <c r="U48" s="111"/>
      <c r="V48" s="358"/>
      <c r="W48" s="391">
        <f t="shared" si="43"/>
        <v>0</v>
      </c>
      <c r="X48" s="17">
        <f t="shared" si="44"/>
        <v>0</v>
      </c>
      <c r="Y48" s="18">
        <f t="shared" si="45"/>
        <v>0</v>
      </c>
      <c r="Z48" s="19">
        <f t="shared" si="50"/>
        <v>0</v>
      </c>
      <c r="AA48" s="19"/>
      <c r="AB48" s="19"/>
      <c r="AC48" s="84"/>
      <c r="AE48" s="17"/>
      <c r="AF48" s="17"/>
      <c r="AG48" s="17"/>
      <c r="AH48" s="18">
        <f t="shared" si="46"/>
        <v>0</v>
      </c>
      <c r="AI48" s="19">
        <f t="shared" si="51"/>
        <v>0</v>
      </c>
      <c r="AK48" s="17"/>
      <c r="AL48" s="17"/>
      <c r="AM48" s="17"/>
      <c r="AN48" s="18">
        <f t="shared" si="47"/>
        <v>0</v>
      </c>
      <c r="AO48" s="19">
        <f t="shared" si="52"/>
        <v>0</v>
      </c>
      <c r="AQ48" s="17"/>
      <c r="AR48" s="17"/>
      <c r="AS48" s="17"/>
      <c r="AT48" s="18">
        <f t="shared" si="48"/>
        <v>0</v>
      </c>
      <c r="AU48" s="19">
        <f t="shared" si="53"/>
        <v>0</v>
      </c>
      <c r="AW48" s="17"/>
      <c r="AX48" s="17"/>
      <c r="AY48" s="17"/>
      <c r="AZ48" s="18">
        <f t="shared" si="49"/>
        <v>0</v>
      </c>
      <c r="BA48" s="19">
        <f t="shared" si="54"/>
        <v>0</v>
      </c>
    </row>
    <row r="49" spans="1:53" ht="17.100000000000001" customHeight="1" x14ac:dyDescent="0.25">
      <c r="A49" s="68"/>
      <c r="B49" s="540"/>
      <c r="C49" s="93"/>
      <c r="D49" s="202" t="s">
        <v>375</v>
      </c>
      <c r="E49" s="85" t="s">
        <v>535</v>
      </c>
      <c r="F49" s="75"/>
      <c r="G49" s="75"/>
      <c r="H49" s="119"/>
      <c r="J49" s="583"/>
      <c r="K49" s="583"/>
      <c r="L49" s="584"/>
      <c r="M49" s="17">
        <f t="shared" si="42"/>
        <v>0</v>
      </c>
      <c r="N49" s="111"/>
      <c r="O49" s="111"/>
      <c r="P49" s="111"/>
      <c r="Q49" s="111"/>
      <c r="R49" s="111"/>
      <c r="S49" s="111"/>
      <c r="T49" s="111"/>
      <c r="U49" s="111"/>
      <c r="V49" s="358"/>
      <c r="W49" s="391">
        <f t="shared" si="43"/>
        <v>0</v>
      </c>
      <c r="X49" s="17">
        <f t="shared" si="44"/>
        <v>0</v>
      </c>
      <c r="Y49" s="18">
        <f t="shared" si="45"/>
        <v>0</v>
      </c>
      <c r="Z49" s="19">
        <f t="shared" si="50"/>
        <v>0</v>
      </c>
      <c r="AA49" s="19"/>
      <c r="AB49" s="19"/>
      <c r="AC49" s="84"/>
      <c r="AE49" s="17"/>
      <c r="AF49" s="17"/>
      <c r="AG49" s="17"/>
      <c r="AH49" s="18">
        <f t="shared" si="46"/>
        <v>0</v>
      </c>
      <c r="AI49" s="19">
        <f t="shared" si="51"/>
        <v>0</v>
      </c>
      <c r="AK49" s="17"/>
      <c r="AL49" s="17"/>
      <c r="AM49" s="17"/>
      <c r="AN49" s="18">
        <f t="shared" si="47"/>
        <v>0</v>
      </c>
      <c r="AO49" s="19">
        <f t="shared" si="52"/>
        <v>0</v>
      </c>
      <c r="AQ49" s="17"/>
      <c r="AR49" s="17"/>
      <c r="AS49" s="17"/>
      <c r="AT49" s="18">
        <f t="shared" si="48"/>
        <v>0</v>
      </c>
      <c r="AU49" s="19">
        <f t="shared" si="53"/>
        <v>0</v>
      </c>
      <c r="AW49" s="17"/>
      <c r="AX49" s="17"/>
      <c r="AY49" s="17"/>
      <c r="AZ49" s="18">
        <f t="shared" si="49"/>
        <v>0</v>
      </c>
      <c r="BA49" s="19">
        <f t="shared" si="54"/>
        <v>0</v>
      </c>
    </row>
    <row r="50" spans="1:53" ht="17.100000000000001" customHeight="1" x14ac:dyDescent="0.25">
      <c r="A50" s="68"/>
      <c r="B50" s="540"/>
      <c r="C50" s="93"/>
      <c r="D50" s="202" t="s">
        <v>376</v>
      </c>
      <c r="E50" s="85" t="s">
        <v>387</v>
      </c>
      <c r="F50" s="75"/>
      <c r="G50" s="75"/>
      <c r="H50" s="119"/>
      <c r="J50" s="581"/>
      <c r="K50" s="581"/>
      <c r="L50" s="582"/>
      <c r="M50" s="17">
        <f t="shared" si="42"/>
        <v>0</v>
      </c>
      <c r="N50" s="111"/>
      <c r="O50" s="111"/>
      <c r="P50" s="111"/>
      <c r="Q50" s="111"/>
      <c r="R50" s="111"/>
      <c r="S50" s="111"/>
      <c r="T50" s="111"/>
      <c r="U50" s="111"/>
      <c r="V50" s="358"/>
      <c r="W50" s="391">
        <f t="shared" si="43"/>
        <v>0</v>
      </c>
      <c r="X50" s="17">
        <f t="shared" si="44"/>
        <v>0</v>
      </c>
      <c r="Y50" s="18">
        <f t="shared" si="45"/>
        <v>0</v>
      </c>
      <c r="Z50" s="19">
        <f t="shared" si="50"/>
        <v>0</v>
      </c>
      <c r="AA50" s="19"/>
      <c r="AB50" s="19"/>
      <c r="AC50" s="84"/>
      <c r="AE50" s="17"/>
      <c r="AF50" s="17"/>
      <c r="AG50" s="17"/>
      <c r="AH50" s="18">
        <f t="shared" si="46"/>
        <v>0</v>
      </c>
      <c r="AI50" s="19">
        <f t="shared" si="51"/>
        <v>0</v>
      </c>
      <c r="AK50" s="17"/>
      <c r="AL50" s="17"/>
      <c r="AM50" s="17"/>
      <c r="AN50" s="18">
        <f t="shared" si="47"/>
        <v>0</v>
      </c>
      <c r="AO50" s="19">
        <f t="shared" si="52"/>
        <v>0</v>
      </c>
      <c r="AQ50" s="17"/>
      <c r="AR50" s="17"/>
      <c r="AS50" s="17"/>
      <c r="AT50" s="18">
        <f t="shared" si="48"/>
        <v>0</v>
      </c>
      <c r="AU50" s="19">
        <f t="shared" si="53"/>
        <v>0</v>
      </c>
      <c r="AW50" s="17"/>
      <c r="AX50" s="17"/>
      <c r="AY50" s="17"/>
      <c r="AZ50" s="18">
        <f t="shared" si="49"/>
        <v>0</v>
      </c>
      <c r="BA50" s="19">
        <f t="shared" si="54"/>
        <v>0</v>
      </c>
    </row>
    <row r="51" spans="1:53" ht="17.100000000000001" customHeight="1" x14ac:dyDescent="0.25">
      <c r="A51" s="68"/>
      <c r="B51" s="540"/>
      <c r="C51" s="93"/>
      <c r="D51" s="202" t="s">
        <v>377</v>
      </c>
      <c r="E51" s="85" t="s">
        <v>388</v>
      </c>
      <c r="F51" s="75"/>
      <c r="G51" s="75"/>
      <c r="H51" s="119"/>
      <c r="J51" s="583"/>
      <c r="K51" s="583"/>
      <c r="L51" s="584"/>
      <c r="M51" s="17">
        <f t="shared" si="42"/>
        <v>0</v>
      </c>
      <c r="N51" s="111"/>
      <c r="O51" s="111"/>
      <c r="P51" s="111"/>
      <c r="Q51" s="111"/>
      <c r="R51" s="111"/>
      <c r="S51" s="111"/>
      <c r="T51" s="111"/>
      <c r="U51" s="111"/>
      <c r="V51" s="358"/>
      <c r="W51" s="391">
        <f t="shared" si="43"/>
        <v>0</v>
      </c>
      <c r="X51" s="17">
        <f t="shared" si="44"/>
        <v>0</v>
      </c>
      <c r="Y51" s="18">
        <f t="shared" si="45"/>
        <v>0</v>
      </c>
      <c r="Z51" s="19">
        <f t="shared" si="50"/>
        <v>0</v>
      </c>
      <c r="AA51" s="19"/>
      <c r="AB51" s="19"/>
      <c r="AC51" s="84"/>
      <c r="AE51" s="17"/>
      <c r="AF51" s="17"/>
      <c r="AG51" s="17"/>
      <c r="AH51" s="18">
        <f t="shared" si="46"/>
        <v>0</v>
      </c>
      <c r="AI51" s="19">
        <f t="shared" si="51"/>
        <v>0</v>
      </c>
      <c r="AK51" s="17"/>
      <c r="AL51" s="17"/>
      <c r="AM51" s="17"/>
      <c r="AN51" s="18">
        <f t="shared" si="47"/>
        <v>0</v>
      </c>
      <c r="AO51" s="19">
        <f t="shared" si="52"/>
        <v>0</v>
      </c>
      <c r="AQ51" s="17"/>
      <c r="AR51" s="17"/>
      <c r="AS51" s="17"/>
      <c r="AT51" s="18">
        <f t="shared" si="48"/>
        <v>0</v>
      </c>
      <c r="AU51" s="19">
        <f t="shared" si="53"/>
        <v>0</v>
      </c>
      <c r="AW51" s="17"/>
      <c r="AX51" s="17"/>
      <c r="AY51" s="17"/>
      <c r="AZ51" s="18">
        <f t="shared" si="49"/>
        <v>0</v>
      </c>
      <c r="BA51" s="19">
        <f t="shared" si="54"/>
        <v>0</v>
      </c>
    </row>
    <row r="52" spans="1:53" ht="17.100000000000001" customHeight="1" x14ac:dyDescent="0.25">
      <c r="A52" s="68"/>
      <c r="B52" s="540"/>
      <c r="C52" s="93"/>
      <c r="D52" s="202" t="s">
        <v>378</v>
      </c>
      <c r="E52" s="85" t="s">
        <v>532</v>
      </c>
      <c r="F52" s="75"/>
      <c r="G52" s="75"/>
      <c r="H52" s="119"/>
      <c r="J52" s="581"/>
      <c r="K52" s="581"/>
      <c r="L52" s="582"/>
      <c r="M52" s="17">
        <f t="shared" si="42"/>
        <v>0</v>
      </c>
      <c r="N52" s="111"/>
      <c r="O52" s="111"/>
      <c r="P52" s="111"/>
      <c r="Q52" s="111"/>
      <c r="R52" s="111"/>
      <c r="S52" s="111"/>
      <c r="T52" s="111"/>
      <c r="U52" s="111"/>
      <c r="V52" s="358"/>
      <c r="W52" s="391">
        <f t="shared" si="43"/>
        <v>0</v>
      </c>
      <c r="X52" s="17">
        <f t="shared" si="44"/>
        <v>0</v>
      </c>
      <c r="Y52" s="18">
        <f t="shared" si="45"/>
        <v>0</v>
      </c>
      <c r="Z52" s="19">
        <f t="shared" si="50"/>
        <v>0</v>
      </c>
      <c r="AA52" s="19"/>
      <c r="AB52" s="19"/>
      <c r="AC52" s="84"/>
      <c r="AE52" s="17"/>
      <c r="AF52" s="17"/>
      <c r="AG52" s="17"/>
      <c r="AH52" s="18">
        <f t="shared" si="46"/>
        <v>0</v>
      </c>
      <c r="AI52" s="19">
        <f t="shared" si="51"/>
        <v>0</v>
      </c>
      <c r="AK52" s="17"/>
      <c r="AL52" s="17"/>
      <c r="AM52" s="17"/>
      <c r="AN52" s="18">
        <f t="shared" si="47"/>
        <v>0</v>
      </c>
      <c r="AO52" s="19">
        <f t="shared" si="52"/>
        <v>0</v>
      </c>
      <c r="AQ52" s="17"/>
      <c r="AR52" s="17"/>
      <c r="AS52" s="17"/>
      <c r="AT52" s="18">
        <f t="shared" si="48"/>
        <v>0</v>
      </c>
      <c r="AU52" s="19">
        <f t="shared" si="53"/>
        <v>0</v>
      </c>
      <c r="AW52" s="17"/>
      <c r="AX52" s="17"/>
      <c r="AY52" s="17"/>
      <c r="AZ52" s="18">
        <f t="shared" si="49"/>
        <v>0</v>
      </c>
      <c r="BA52" s="19">
        <f t="shared" si="54"/>
        <v>0</v>
      </c>
    </row>
    <row r="53" spans="1:53" ht="17.100000000000001" customHeight="1" x14ac:dyDescent="0.25">
      <c r="A53" s="68"/>
      <c r="B53" s="540"/>
      <c r="C53" s="93"/>
      <c r="D53" s="202" t="s">
        <v>379</v>
      </c>
      <c r="E53" s="85" t="s">
        <v>389</v>
      </c>
      <c r="F53" s="75"/>
      <c r="G53" s="105"/>
      <c r="H53" s="119"/>
      <c r="J53" s="583"/>
      <c r="K53" s="583"/>
      <c r="L53" s="584"/>
      <c r="M53" s="17">
        <f t="shared" si="42"/>
        <v>0</v>
      </c>
      <c r="N53" s="111"/>
      <c r="O53" s="111"/>
      <c r="P53" s="111"/>
      <c r="Q53" s="111"/>
      <c r="R53" s="111"/>
      <c r="S53" s="111"/>
      <c r="T53" s="111"/>
      <c r="U53" s="111"/>
      <c r="V53" s="358"/>
      <c r="W53" s="391">
        <f t="shared" si="43"/>
        <v>0</v>
      </c>
      <c r="X53" s="17">
        <f t="shared" si="44"/>
        <v>0</v>
      </c>
      <c r="Y53" s="18">
        <f t="shared" si="45"/>
        <v>0</v>
      </c>
      <c r="Z53" s="19">
        <f t="shared" si="50"/>
        <v>0</v>
      </c>
      <c r="AA53" s="19"/>
      <c r="AB53" s="19"/>
      <c r="AC53" s="84"/>
      <c r="AE53" s="17"/>
      <c r="AF53" s="17"/>
      <c r="AG53" s="17"/>
      <c r="AH53" s="18">
        <f t="shared" si="46"/>
        <v>0</v>
      </c>
      <c r="AI53" s="19">
        <f t="shared" si="51"/>
        <v>0</v>
      </c>
      <c r="AK53" s="17"/>
      <c r="AL53" s="17"/>
      <c r="AM53" s="17"/>
      <c r="AN53" s="18">
        <f t="shared" si="47"/>
        <v>0</v>
      </c>
      <c r="AO53" s="19">
        <f t="shared" si="52"/>
        <v>0</v>
      </c>
      <c r="AQ53" s="17"/>
      <c r="AR53" s="17"/>
      <c r="AS53" s="17"/>
      <c r="AT53" s="18">
        <f t="shared" si="48"/>
        <v>0</v>
      </c>
      <c r="AU53" s="19">
        <f t="shared" si="53"/>
        <v>0</v>
      </c>
      <c r="AW53" s="17"/>
      <c r="AX53" s="17"/>
      <c r="AY53" s="17"/>
      <c r="AZ53" s="18">
        <f t="shared" si="49"/>
        <v>0</v>
      </c>
      <c r="BA53" s="19">
        <f t="shared" si="54"/>
        <v>0</v>
      </c>
    </row>
    <row r="54" spans="1:53" ht="17.100000000000001" customHeight="1" x14ac:dyDescent="0.25">
      <c r="A54" s="68"/>
      <c r="B54" s="540"/>
      <c r="C54" s="93"/>
      <c r="D54" s="202" t="s">
        <v>380</v>
      </c>
      <c r="E54" s="85" t="s">
        <v>390</v>
      </c>
      <c r="F54" s="75"/>
      <c r="G54" s="105"/>
      <c r="H54" s="119"/>
      <c r="J54" s="581"/>
      <c r="K54" s="581"/>
      <c r="L54" s="582"/>
      <c r="M54" s="17">
        <f t="shared" si="42"/>
        <v>0</v>
      </c>
      <c r="N54" s="111"/>
      <c r="O54" s="111"/>
      <c r="P54" s="111"/>
      <c r="Q54" s="111"/>
      <c r="R54" s="111"/>
      <c r="S54" s="111"/>
      <c r="T54" s="111"/>
      <c r="U54" s="111"/>
      <c r="V54" s="358"/>
      <c r="W54" s="391">
        <f t="shared" si="43"/>
        <v>0</v>
      </c>
      <c r="X54" s="17">
        <f t="shared" si="44"/>
        <v>0</v>
      </c>
      <c r="Y54" s="18">
        <f t="shared" si="45"/>
        <v>0</v>
      </c>
      <c r="Z54" s="19">
        <f t="shared" si="50"/>
        <v>0</v>
      </c>
      <c r="AA54" s="19"/>
      <c r="AB54" s="19"/>
      <c r="AC54" s="84"/>
      <c r="AE54" s="17"/>
      <c r="AF54" s="17"/>
      <c r="AG54" s="17"/>
      <c r="AH54" s="18">
        <f t="shared" si="46"/>
        <v>0</v>
      </c>
      <c r="AI54" s="19">
        <f t="shared" si="51"/>
        <v>0</v>
      </c>
      <c r="AK54" s="17"/>
      <c r="AL54" s="17"/>
      <c r="AM54" s="17"/>
      <c r="AN54" s="18">
        <f t="shared" si="47"/>
        <v>0</v>
      </c>
      <c r="AO54" s="19">
        <f t="shared" si="52"/>
        <v>0</v>
      </c>
      <c r="AQ54" s="17"/>
      <c r="AR54" s="17"/>
      <c r="AS54" s="17"/>
      <c r="AT54" s="18">
        <f t="shared" si="48"/>
        <v>0</v>
      </c>
      <c r="AU54" s="19">
        <f t="shared" si="53"/>
        <v>0</v>
      </c>
      <c r="AW54" s="17"/>
      <c r="AX54" s="17"/>
      <c r="AY54" s="17"/>
      <c r="AZ54" s="18">
        <f t="shared" si="49"/>
        <v>0</v>
      </c>
      <c r="BA54" s="19">
        <f t="shared" si="54"/>
        <v>0</v>
      </c>
    </row>
    <row r="55" spans="1:53" ht="17.100000000000001" customHeight="1" x14ac:dyDescent="0.25">
      <c r="A55" s="68"/>
      <c r="B55" s="540"/>
      <c r="C55" s="93"/>
      <c r="D55" s="202" t="s">
        <v>381</v>
      </c>
      <c r="E55" s="85" t="s">
        <v>536</v>
      </c>
      <c r="F55" s="75"/>
      <c r="G55" s="105"/>
      <c r="H55" s="119"/>
      <c r="J55" s="583"/>
      <c r="K55" s="583"/>
      <c r="L55" s="584"/>
      <c r="M55" s="17">
        <f t="shared" si="42"/>
        <v>0</v>
      </c>
      <c r="N55" s="111"/>
      <c r="O55" s="111"/>
      <c r="P55" s="111"/>
      <c r="Q55" s="111"/>
      <c r="R55" s="111"/>
      <c r="S55" s="111"/>
      <c r="T55" s="111"/>
      <c r="U55" s="111"/>
      <c r="V55" s="358"/>
      <c r="W55" s="391">
        <f t="shared" si="43"/>
        <v>0</v>
      </c>
      <c r="X55" s="17">
        <f t="shared" si="44"/>
        <v>0</v>
      </c>
      <c r="Y55" s="18">
        <f t="shared" si="45"/>
        <v>0</v>
      </c>
      <c r="Z55" s="19">
        <f t="shared" si="50"/>
        <v>0</v>
      </c>
      <c r="AA55" s="19"/>
      <c r="AB55" s="19"/>
      <c r="AC55" s="84"/>
      <c r="AE55" s="17"/>
      <c r="AF55" s="17"/>
      <c r="AG55" s="17"/>
      <c r="AH55" s="18">
        <f t="shared" si="46"/>
        <v>0</v>
      </c>
      <c r="AI55" s="19">
        <f t="shared" si="51"/>
        <v>0</v>
      </c>
      <c r="AK55" s="17"/>
      <c r="AL55" s="17"/>
      <c r="AM55" s="17"/>
      <c r="AN55" s="18">
        <f t="shared" si="47"/>
        <v>0</v>
      </c>
      <c r="AO55" s="19">
        <f t="shared" si="52"/>
        <v>0</v>
      </c>
      <c r="AQ55" s="17"/>
      <c r="AR55" s="17"/>
      <c r="AS55" s="17"/>
      <c r="AT55" s="18">
        <f t="shared" si="48"/>
        <v>0</v>
      </c>
      <c r="AU55" s="19">
        <f t="shared" si="53"/>
        <v>0</v>
      </c>
      <c r="AW55" s="17"/>
      <c r="AX55" s="17"/>
      <c r="AY55" s="17"/>
      <c r="AZ55" s="18">
        <f t="shared" si="49"/>
        <v>0</v>
      </c>
      <c r="BA55" s="19">
        <f t="shared" si="54"/>
        <v>0</v>
      </c>
    </row>
    <row r="56" spans="1:53" ht="17.100000000000001" customHeight="1" x14ac:dyDescent="0.25">
      <c r="A56" s="68"/>
      <c r="B56" s="540"/>
      <c r="C56" s="93"/>
      <c r="D56" s="202" t="s">
        <v>382</v>
      </c>
      <c r="E56" s="85" t="s">
        <v>391</v>
      </c>
      <c r="F56" s="75"/>
      <c r="G56" s="105"/>
      <c r="H56" s="119"/>
      <c r="J56" s="581"/>
      <c r="K56" s="581"/>
      <c r="L56" s="582"/>
      <c r="M56" s="17">
        <f t="shared" si="42"/>
        <v>0</v>
      </c>
      <c r="N56" s="111"/>
      <c r="O56" s="111"/>
      <c r="P56" s="111"/>
      <c r="Q56" s="111"/>
      <c r="R56" s="111"/>
      <c r="S56" s="111"/>
      <c r="T56" s="111"/>
      <c r="U56" s="111"/>
      <c r="V56" s="358"/>
      <c r="W56" s="391">
        <f t="shared" si="43"/>
        <v>0</v>
      </c>
      <c r="X56" s="17">
        <f t="shared" si="44"/>
        <v>0</v>
      </c>
      <c r="Y56" s="18">
        <f t="shared" si="45"/>
        <v>0</v>
      </c>
      <c r="Z56" s="19">
        <f t="shared" si="50"/>
        <v>0</v>
      </c>
      <c r="AA56" s="19"/>
      <c r="AB56" s="19"/>
      <c r="AC56" s="84"/>
      <c r="AE56" s="17"/>
      <c r="AF56" s="17"/>
      <c r="AG56" s="17"/>
      <c r="AH56" s="18">
        <f t="shared" si="46"/>
        <v>0</v>
      </c>
      <c r="AI56" s="19">
        <f t="shared" si="51"/>
        <v>0</v>
      </c>
      <c r="AK56" s="17"/>
      <c r="AL56" s="17"/>
      <c r="AM56" s="17"/>
      <c r="AN56" s="18">
        <f t="shared" si="47"/>
        <v>0</v>
      </c>
      <c r="AO56" s="19">
        <f t="shared" si="52"/>
        <v>0</v>
      </c>
      <c r="AQ56" s="17"/>
      <c r="AR56" s="17"/>
      <c r="AS56" s="17"/>
      <c r="AT56" s="18">
        <f t="shared" si="48"/>
        <v>0</v>
      </c>
      <c r="AU56" s="19">
        <f t="shared" si="53"/>
        <v>0</v>
      </c>
      <c r="AW56" s="17"/>
      <c r="AX56" s="17"/>
      <c r="AY56" s="17"/>
      <c r="AZ56" s="18">
        <f t="shared" si="49"/>
        <v>0</v>
      </c>
      <c r="BA56" s="19">
        <f t="shared" si="54"/>
        <v>0</v>
      </c>
    </row>
    <row r="57" spans="1:53" ht="17.100000000000001" customHeight="1" x14ac:dyDescent="0.25">
      <c r="A57" s="68"/>
      <c r="B57" s="540"/>
      <c r="C57" s="93"/>
      <c r="D57" s="202" t="s">
        <v>383</v>
      </c>
      <c r="E57" s="85" t="s">
        <v>392</v>
      </c>
      <c r="F57" s="75"/>
      <c r="G57" s="105"/>
      <c r="H57" s="119"/>
      <c r="J57" s="583"/>
      <c r="K57" s="583"/>
      <c r="L57" s="584"/>
      <c r="M57" s="17">
        <f t="shared" si="42"/>
        <v>0</v>
      </c>
      <c r="N57" s="111"/>
      <c r="O57" s="111"/>
      <c r="P57" s="111"/>
      <c r="Q57" s="111"/>
      <c r="R57" s="111"/>
      <c r="S57" s="111"/>
      <c r="T57" s="111"/>
      <c r="U57" s="111"/>
      <c r="V57" s="358"/>
      <c r="W57" s="391">
        <f t="shared" si="43"/>
        <v>0</v>
      </c>
      <c r="X57" s="17">
        <f t="shared" si="44"/>
        <v>0</v>
      </c>
      <c r="Y57" s="18">
        <f t="shared" si="45"/>
        <v>0</v>
      </c>
      <c r="Z57" s="19">
        <f t="shared" si="50"/>
        <v>0</v>
      </c>
      <c r="AA57" s="19"/>
      <c r="AB57" s="19"/>
      <c r="AC57" s="84"/>
      <c r="AE57" s="17"/>
      <c r="AF57" s="17"/>
      <c r="AG57" s="17"/>
      <c r="AH57" s="18">
        <f t="shared" si="46"/>
        <v>0</v>
      </c>
      <c r="AI57" s="19">
        <f t="shared" si="51"/>
        <v>0</v>
      </c>
      <c r="AK57" s="17"/>
      <c r="AL57" s="17"/>
      <c r="AM57" s="17"/>
      <c r="AN57" s="18">
        <f t="shared" si="47"/>
        <v>0</v>
      </c>
      <c r="AO57" s="19">
        <f t="shared" si="52"/>
        <v>0</v>
      </c>
      <c r="AQ57" s="17"/>
      <c r="AR57" s="17"/>
      <c r="AS57" s="17"/>
      <c r="AT57" s="18">
        <f t="shared" si="48"/>
        <v>0</v>
      </c>
      <c r="AU57" s="19">
        <f t="shared" si="53"/>
        <v>0</v>
      </c>
      <c r="AW57" s="17"/>
      <c r="AX57" s="17"/>
      <c r="AY57" s="17"/>
      <c r="AZ57" s="18">
        <f t="shared" si="49"/>
        <v>0</v>
      </c>
      <c r="BA57" s="19">
        <f t="shared" si="54"/>
        <v>0</v>
      </c>
    </row>
    <row r="58" spans="1:53" ht="17.100000000000001" customHeight="1" x14ac:dyDescent="0.25">
      <c r="A58" s="40"/>
      <c r="B58" s="40"/>
      <c r="C58" s="77"/>
      <c r="D58" s="78"/>
      <c r="E58" s="78"/>
      <c r="F58" s="78"/>
      <c r="G58" s="78"/>
      <c r="H58" s="242"/>
      <c r="I58" s="230"/>
      <c r="J58" s="80">
        <f>SUM(J44:J57)</f>
        <v>0</v>
      </c>
      <c r="K58" s="80">
        <f t="shared" ref="K58:M58" si="55">SUM(K44:K57)</f>
        <v>0</v>
      </c>
      <c r="L58" s="80">
        <f t="shared" si="55"/>
        <v>0</v>
      </c>
      <c r="M58" s="80">
        <f t="shared" si="55"/>
        <v>0</v>
      </c>
      <c r="N58" s="80"/>
      <c r="O58" s="80"/>
      <c r="P58" s="80"/>
      <c r="Q58" s="81"/>
      <c r="R58" s="81"/>
      <c r="S58" s="81"/>
      <c r="T58" s="81"/>
      <c r="U58" s="81"/>
      <c r="V58" s="356"/>
      <c r="W58" s="381">
        <f>SUM(W44:W57)</f>
        <v>0</v>
      </c>
      <c r="X58" s="82">
        <f t="shared" ref="X58:Y58" si="56">SUM(X44:X57)</f>
        <v>0</v>
      </c>
      <c r="Y58" s="82">
        <f t="shared" si="56"/>
        <v>0</v>
      </c>
      <c r="Z58" s="205">
        <f t="shared" si="50"/>
        <v>0</v>
      </c>
      <c r="AA58" s="205"/>
      <c r="AB58" s="205"/>
      <c r="AC58" s="83"/>
      <c r="AE58" s="81"/>
      <c r="AF58" s="81"/>
      <c r="AG58" s="81"/>
      <c r="AH58" s="82">
        <f>SUM(AH44:AH57)</f>
        <v>0</v>
      </c>
      <c r="AI58" s="66">
        <f t="shared" si="51"/>
        <v>0</v>
      </c>
      <c r="AK58" s="81"/>
      <c r="AL58" s="81"/>
      <c r="AM58" s="81"/>
      <c r="AN58" s="82">
        <f>SUM(AN44:AN57)</f>
        <v>0</v>
      </c>
      <c r="AO58" s="66">
        <f t="shared" si="52"/>
        <v>0</v>
      </c>
      <c r="AQ58" s="81"/>
      <c r="AR58" s="81"/>
      <c r="AS58" s="81"/>
      <c r="AT58" s="82">
        <f>SUM(AT44:AT57)</f>
        <v>0</v>
      </c>
      <c r="AU58" s="66">
        <f t="shared" si="53"/>
        <v>0</v>
      </c>
      <c r="AW58" s="81"/>
      <c r="AX58" s="81"/>
      <c r="AY58" s="81"/>
      <c r="AZ58" s="82">
        <f>SUM(AZ44:AZ57)</f>
        <v>0</v>
      </c>
      <c r="BA58" s="66">
        <f t="shared" si="54"/>
        <v>0</v>
      </c>
    </row>
    <row r="59" spans="1:53" s="117" customFormat="1" ht="17.100000000000001" customHeight="1" x14ac:dyDescent="0.25">
      <c r="A59" s="119"/>
      <c r="B59" s="119"/>
      <c r="C59" s="540"/>
      <c r="D59" s="212"/>
      <c r="E59" s="212"/>
      <c r="F59" s="212"/>
      <c r="G59" s="212"/>
      <c r="H59" s="242"/>
      <c r="I59" s="230"/>
      <c r="J59" s="17" t="str">
        <f>IF(J58=J$15,"OK","NOK")</f>
        <v>OK</v>
      </c>
      <c r="K59" s="17" t="str">
        <f t="shared" ref="K59:L59" si="57">IF(K58=K$15,"OK","NOK")</f>
        <v>OK</v>
      </c>
      <c r="L59" s="17" t="str">
        <f t="shared" si="57"/>
        <v>OK</v>
      </c>
      <c r="M59" s="17"/>
      <c r="N59" s="17"/>
      <c r="O59" s="17"/>
      <c r="P59" s="17"/>
      <c r="Q59" s="17"/>
      <c r="R59" s="17"/>
      <c r="S59" s="17"/>
      <c r="T59" s="17"/>
      <c r="U59" s="17"/>
      <c r="V59" s="359"/>
      <c r="W59" s="382"/>
      <c r="X59" s="539"/>
      <c r="Y59" s="539"/>
      <c r="Z59" s="201"/>
      <c r="AA59" s="201"/>
      <c r="AB59" s="201"/>
      <c r="AC59" s="84"/>
      <c r="AE59" s="17"/>
      <c r="AF59" s="17"/>
      <c r="AG59" s="17"/>
      <c r="AH59" s="539"/>
      <c r="AI59" s="91"/>
      <c r="AK59" s="17"/>
      <c r="AL59" s="17"/>
      <c r="AM59" s="17"/>
      <c r="AN59" s="539"/>
      <c r="AO59" s="91"/>
      <c r="AQ59" s="17"/>
      <c r="AR59" s="17"/>
      <c r="AS59" s="17"/>
      <c r="AT59" s="539"/>
      <c r="AU59" s="91"/>
      <c r="AW59" s="17"/>
      <c r="AX59" s="17"/>
      <c r="AY59" s="17"/>
      <c r="AZ59" s="539"/>
      <c r="BA59" s="91"/>
    </row>
    <row r="60" spans="1:53" ht="17.100000000000001" customHeight="1" x14ac:dyDescent="0.25">
      <c r="A60" s="102"/>
      <c r="B60" s="102"/>
      <c r="C60" s="103" t="s">
        <v>33</v>
      </c>
      <c r="D60" s="110" t="s">
        <v>736</v>
      </c>
      <c r="E60" s="108"/>
      <c r="F60" s="108"/>
      <c r="G60" s="108"/>
      <c r="H60" s="258"/>
      <c r="I60" s="232"/>
      <c r="J60" s="111"/>
      <c r="K60" s="111"/>
      <c r="L60" s="111"/>
      <c r="M60" s="111"/>
      <c r="N60" s="111"/>
      <c r="O60" s="111"/>
      <c r="P60" s="111"/>
      <c r="Q60" s="111"/>
      <c r="R60" s="111"/>
      <c r="S60" s="111"/>
      <c r="T60" s="111"/>
      <c r="U60" s="111"/>
      <c r="V60" s="358"/>
      <c r="W60" s="380"/>
      <c r="X60" s="111"/>
      <c r="Y60" s="112"/>
      <c r="Z60" s="113"/>
      <c r="AA60" s="113"/>
      <c r="AB60" s="113"/>
      <c r="AC60" s="113"/>
      <c r="AE60" s="114"/>
      <c r="AF60" s="114"/>
      <c r="AG60" s="114"/>
      <c r="AH60" s="112"/>
      <c r="AI60" s="113"/>
      <c r="AK60" s="114"/>
      <c r="AL60" s="114"/>
      <c r="AM60" s="114"/>
      <c r="AN60" s="112"/>
      <c r="AO60" s="113"/>
      <c r="AQ60" s="114"/>
      <c r="AR60" s="114"/>
      <c r="AS60" s="114"/>
      <c r="AT60" s="112"/>
      <c r="AU60" s="113"/>
      <c r="AW60" s="114"/>
      <c r="AX60" s="114"/>
      <c r="AY60" s="114"/>
      <c r="AZ60" s="112"/>
      <c r="BA60" s="113"/>
    </row>
    <row r="61" spans="1:53" s="117" customFormat="1" ht="17.100000000000001" customHeight="1" x14ac:dyDescent="0.25">
      <c r="A61" s="540"/>
      <c r="B61" s="23"/>
      <c r="C61" s="23"/>
      <c r="D61" s="74" t="s">
        <v>34</v>
      </c>
      <c r="E61" s="75" t="s">
        <v>26</v>
      </c>
      <c r="F61" s="75"/>
      <c r="G61" s="75"/>
      <c r="H61" s="540"/>
      <c r="I61" s="229"/>
      <c r="J61" s="152"/>
      <c r="K61" s="152"/>
      <c r="L61" s="111"/>
      <c r="M61" s="111"/>
      <c r="N61" s="60"/>
      <c r="O61" s="60"/>
      <c r="P61" s="17">
        <f>SUM(N61:O61)</f>
        <v>0</v>
      </c>
      <c r="Q61" s="60"/>
      <c r="R61" s="60"/>
      <c r="S61" s="17">
        <f>SUM(Q61:R61)</f>
        <v>0</v>
      </c>
      <c r="T61" s="60"/>
      <c r="U61" s="60"/>
      <c r="V61" s="359">
        <f>SUM(T61:U61)</f>
        <v>0</v>
      </c>
      <c r="W61" s="391">
        <f t="shared" ref="W61:W64" si="58">J61+K61+N61+Q61+T61</f>
        <v>0</v>
      </c>
      <c r="X61" s="17">
        <f t="shared" ref="X61:X64" si="59">L61+O61+R61+U61</f>
        <v>0</v>
      </c>
      <c r="Y61" s="18">
        <f>SUM(W61:X61)</f>
        <v>0</v>
      </c>
      <c r="Z61" s="19">
        <f>IF(Y$65=0,0,Y61/Y$65)</f>
        <v>0</v>
      </c>
      <c r="AA61" s="19"/>
      <c r="AB61" s="19"/>
      <c r="AC61" s="84"/>
      <c r="AE61" s="111"/>
      <c r="AF61" s="111"/>
      <c r="AG61" s="111"/>
      <c r="AH61" s="112"/>
      <c r="AI61" s="113"/>
      <c r="AK61" s="111"/>
      <c r="AL61" s="111"/>
      <c r="AM61" s="111"/>
      <c r="AN61" s="112"/>
      <c r="AO61" s="113"/>
      <c r="AQ61" s="17"/>
      <c r="AR61" s="17"/>
      <c r="AS61" s="17"/>
      <c r="AT61" s="18">
        <f>W61</f>
        <v>0</v>
      </c>
      <c r="AU61" s="19">
        <f>IF(AT$65=0,0,AT61/AT$65)</f>
        <v>0</v>
      </c>
      <c r="AW61" s="17"/>
      <c r="AX61" s="17"/>
      <c r="AY61" s="17"/>
      <c r="AZ61" s="18">
        <f>X61</f>
        <v>0</v>
      </c>
      <c r="BA61" s="19">
        <f>IF(AZ$65=0,0,AZ61/AZ$65)</f>
        <v>0</v>
      </c>
    </row>
    <row r="62" spans="1:53" s="117" customFormat="1" ht="17.100000000000001" customHeight="1" x14ac:dyDescent="0.25">
      <c r="A62" s="540"/>
      <c r="B62" s="23"/>
      <c r="C62" s="23"/>
      <c r="D62" s="74" t="s">
        <v>36</v>
      </c>
      <c r="E62" s="75" t="s">
        <v>28</v>
      </c>
      <c r="F62" s="75"/>
      <c r="G62" s="75"/>
      <c r="H62" s="540"/>
      <c r="I62" s="229"/>
      <c r="J62" s="152"/>
      <c r="K62" s="152"/>
      <c r="L62" s="111"/>
      <c r="M62" s="111"/>
      <c r="N62" s="61"/>
      <c r="O62" s="61"/>
      <c r="P62" s="17">
        <f>SUM(N62:O62)</f>
        <v>0</v>
      </c>
      <c r="Q62" s="61"/>
      <c r="R62" s="61"/>
      <c r="S62" s="17">
        <f>SUM(Q62:R62)</f>
        <v>0</v>
      </c>
      <c r="T62" s="61"/>
      <c r="U62" s="61"/>
      <c r="V62" s="359">
        <f>SUM(T62:U62)</f>
        <v>0</v>
      </c>
      <c r="W62" s="391">
        <f t="shared" si="58"/>
        <v>0</v>
      </c>
      <c r="X62" s="17">
        <f t="shared" si="59"/>
        <v>0</v>
      </c>
      <c r="Y62" s="18">
        <f>SUM(W62:X62)</f>
        <v>0</v>
      </c>
      <c r="Z62" s="19">
        <f t="shared" ref="Z62:Z65" si="60">IF(Y$65=0,0,Y62/Y$65)</f>
        <v>0</v>
      </c>
      <c r="AA62" s="19"/>
      <c r="AB62" s="19"/>
      <c r="AC62" s="84"/>
      <c r="AE62" s="111"/>
      <c r="AF62" s="111"/>
      <c r="AG62" s="111"/>
      <c r="AH62" s="112"/>
      <c r="AI62" s="113"/>
      <c r="AK62" s="111"/>
      <c r="AL62" s="111"/>
      <c r="AM62" s="111"/>
      <c r="AN62" s="112"/>
      <c r="AO62" s="113"/>
      <c r="AQ62" s="17"/>
      <c r="AR62" s="17"/>
      <c r="AS62" s="17"/>
      <c r="AT62" s="18">
        <f t="shared" ref="AT62:AT64" si="61">W62</f>
        <v>0</v>
      </c>
      <c r="AU62" s="19">
        <f t="shared" ref="AU62:AU65" si="62">IF(AT$65=0,0,AT62/AT$65)</f>
        <v>0</v>
      </c>
      <c r="AW62" s="17"/>
      <c r="AX62" s="17"/>
      <c r="AY62" s="17"/>
      <c r="AZ62" s="18">
        <f t="shared" ref="AZ62:AZ64" si="63">X62</f>
        <v>0</v>
      </c>
      <c r="BA62" s="19">
        <f t="shared" ref="BA62:BA65" si="64">IF(AZ$65=0,0,AZ62/AZ$65)</f>
        <v>0</v>
      </c>
    </row>
    <row r="63" spans="1:53" s="117" customFormat="1" ht="17.100000000000001" customHeight="1" x14ac:dyDescent="0.25">
      <c r="A63" s="540"/>
      <c r="B63" s="23"/>
      <c r="C63" s="23"/>
      <c r="D63" s="74" t="s">
        <v>38</v>
      </c>
      <c r="E63" s="75" t="s">
        <v>30</v>
      </c>
      <c r="F63" s="75"/>
      <c r="G63" s="75"/>
      <c r="H63" s="540"/>
      <c r="I63" s="229"/>
      <c r="J63" s="152"/>
      <c r="K63" s="152"/>
      <c r="L63" s="111"/>
      <c r="M63" s="111"/>
      <c r="N63" s="60"/>
      <c r="O63" s="60"/>
      <c r="P63" s="17">
        <f>SUM(N63:O63)</f>
        <v>0</v>
      </c>
      <c r="Q63" s="60"/>
      <c r="R63" s="60"/>
      <c r="S63" s="17">
        <f>SUM(Q63:R63)</f>
        <v>0</v>
      </c>
      <c r="T63" s="60"/>
      <c r="U63" s="60"/>
      <c r="V63" s="359">
        <f>SUM(T63:U63)</f>
        <v>0</v>
      </c>
      <c r="W63" s="391">
        <f t="shared" si="58"/>
        <v>0</v>
      </c>
      <c r="X63" s="17">
        <f t="shared" si="59"/>
        <v>0</v>
      </c>
      <c r="Y63" s="18">
        <f>SUM(W63:X63)</f>
        <v>0</v>
      </c>
      <c r="Z63" s="19">
        <f t="shared" si="60"/>
        <v>0</v>
      </c>
      <c r="AA63" s="19"/>
      <c r="AB63" s="19"/>
      <c r="AC63" s="84"/>
      <c r="AE63" s="111"/>
      <c r="AF63" s="111"/>
      <c r="AG63" s="111"/>
      <c r="AH63" s="112"/>
      <c r="AI63" s="113"/>
      <c r="AK63" s="111"/>
      <c r="AL63" s="111"/>
      <c r="AM63" s="111"/>
      <c r="AN63" s="112"/>
      <c r="AO63" s="113"/>
      <c r="AQ63" s="17"/>
      <c r="AR63" s="17"/>
      <c r="AS63" s="17"/>
      <c r="AT63" s="18">
        <f t="shared" si="61"/>
        <v>0</v>
      </c>
      <c r="AU63" s="19">
        <f t="shared" si="62"/>
        <v>0</v>
      </c>
      <c r="AW63" s="17"/>
      <c r="AX63" s="17"/>
      <c r="AY63" s="17"/>
      <c r="AZ63" s="18">
        <f t="shared" si="63"/>
        <v>0</v>
      </c>
      <c r="BA63" s="19">
        <f t="shared" si="64"/>
        <v>0</v>
      </c>
    </row>
    <row r="64" spans="1:53" s="117" customFormat="1" ht="17.100000000000001" customHeight="1" x14ac:dyDescent="0.25">
      <c r="A64" s="540"/>
      <c r="B64" s="23"/>
      <c r="C64" s="23"/>
      <c r="D64" s="74" t="s">
        <v>40</v>
      </c>
      <c r="E64" s="75" t="s">
        <v>32</v>
      </c>
      <c r="F64" s="75"/>
      <c r="G64" s="75"/>
      <c r="H64" s="540"/>
      <c r="I64" s="229"/>
      <c r="J64" s="152"/>
      <c r="K64" s="152"/>
      <c r="L64" s="111"/>
      <c r="M64" s="111"/>
      <c r="N64" s="61"/>
      <c r="O64" s="61">
        <v>9</v>
      </c>
      <c r="P64" s="17">
        <f>SUM(N64:O64)</f>
        <v>9</v>
      </c>
      <c r="Q64" s="61"/>
      <c r="R64" s="61"/>
      <c r="S64" s="17">
        <f>SUM(Q64:R64)</f>
        <v>0</v>
      </c>
      <c r="T64" s="61"/>
      <c r="U64" s="61"/>
      <c r="V64" s="359">
        <f>SUM(T64:U64)</f>
        <v>0</v>
      </c>
      <c r="W64" s="391">
        <f t="shared" si="58"/>
        <v>0</v>
      </c>
      <c r="X64" s="17">
        <f t="shared" si="59"/>
        <v>9</v>
      </c>
      <c r="Y64" s="18">
        <f>SUM(W64:X64)</f>
        <v>9</v>
      </c>
      <c r="Z64" s="19">
        <f t="shared" si="60"/>
        <v>1</v>
      </c>
      <c r="AA64" s="19"/>
      <c r="AB64" s="19"/>
      <c r="AC64" s="84"/>
      <c r="AE64" s="111"/>
      <c r="AF64" s="111"/>
      <c r="AG64" s="111"/>
      <c r="AH64" s="112"/>
      <c r="AI64" s="113"/>
      <c r="AK64" s="111"/>
      <c r="AL64" s="111"/>
      <c r="AM64" s="111"/>
      <c r="AN64" s="112"/>
      <c r="AO64" s="113"/>
      <c r="AQ64" s="17"/>
      <c r="AR64" s="17"/>
      <c r="AS64" s="17"/>
      <c r="AT64" s="18">
        <f t="shared" si="61"/>
        <v>0</v>
      </c>
      <c r="AU64" s="19">
        <f t="shared" si="62"/>
        <v>0</v>
      </c>
      <c r="AW64" s="17"/>
      <c r="AX64" s="17"/>
      <c r="AY64" s="17"/>
      <c r="AZ64" s="18">
        <f t="shared" si="63"/>
        <v>9</v>
      </c>
      <c r="BA64" s="19">
        <f t="shared" si="64"/>
        <v>1</v>
      </c>
    </row>
    <row r="65" spans="1:53" ht="17.100000000000001" customHeight="1" x14ac:dyDescent="0.25">
      <c r="A65" s="40"/>
      <c r="B65" s="40"/>
      <c r="C65" s="77"/>
      <c r="D65" s="78"/>
      <c r="E65" s="78"/>
      <c r="F65" s="78"/>
      <c r="G65" s="78"/>
      <c r="H65" s="242"/>
      <c r="I65" s="230"/>
      <c r="J65" s="80"/>
      <c r="K65" s="80"/>
      <c r="L65" s="81"/>
      <c r="M65" s="81"/>
      <c r="N65" s="81">
        <f t="shared" ref="N65:Y65" si="65">SUM(N61:N64)</f>
        <v>0</v>
      </c>
      <c r="O65" s="81">
        <f t="shared" si="65"/>
        <v>9</v>
      </c>
      <c r="P65" s="81">
        <f t="shared" si="65"/>
        <v>9</v>
      </c>
      <c r="Q65" s="81">
        <f t="shared" si="65"/>
        <v>0</v>
      </c>
      <c r="R65" s="81">
        <f t="shared" si="65"/>
        <v>0</v>
      </c>
      <c r="S65" s="81">
        <f t="shared" si="65"/>
        <v>0</v>
      </c>
      <c r="T65" s="81">
        <f t="shared" si="65"/>
        <v>0</v>
      </c>
      <c r="U65" s="81">
        <f t="shared" si="65"/>
        <v>0</v>
      </c>
      <c r="V65" s="81">
        <f t="shared" si="65"/>
        <v>0</v>
      </c>
      <c r="W65" s="381">
        <f t="shared" si="65"/>
        <v>0</v>
      </c>
      <c r="X65" s="82">
        <f t="shared" si="65"/>
        <v>9</v>
      </c>
      <c r="Y65" s="82">
        <f t="shared" si="65"/>
        <v>9</v>
      </c>
      <c r="Z65" s="205">
        <f t="shared" si="60"/>
        <v>1</v>
      </c>
      <c r="AA65" s="205"/>
      <c r="AB65" s="205"/>
      <c r="AC65" s="83"/>
      <c r="AE65" s="81"/>
      <c r="AF65" s="81"/>
      <c r="AG65" s="81"/>
      <c r="AH65" s="82"/>
      <c r="AI65" s="66"/>
      <c r="AK65" s="81"/>
      <c r="AL65" s="81"/>
      <c r="AM65" s="81"/>
      <c r="AN65" s="82"/>
      <c r="AO65" s="66"/>
      <c r="AQ65" s="81"/>
      <c r="AR65" s="81"/>
      <c r="AS65" s="81"/>
      <c r="AT65" s="82">
        <f>SUM(AT61:AT64)</f>
        <v>0</v>
      </c>
      <c r="AU65" s="66">
        <f t="shared" si="62"/>
        <v>0</v>
      </c>
      <c r="AW65" s="81"/>
      <c r="AX65" s="81"/>
      <c r="AY65" s="81"/>
      <c r="AZ65" s="82">
        <f>SUM(AZ61:AZ64)</f>
        <v>9</v>
      </c>
      <c r="BA65" s="66">
        <f t="shared" si="64"/>
        <v>1</v>
      </c>
    </row>
    <row r="66" spans="1:53" s="117" customFormat="1" ht="17.100000000000001" customHeight="1" x14ac:dyDescent="0.25">
      <c r="A66" s="119"/>
      <c r="B66" s="119"/>
      <c r="C66" s="540"/>
      <c r="D66" s="212"/>
      <c r="E66" s="212"/>
      <c r="F66" s="212"/>
      <c r="G66" s="212"/>
      <c r="H66" s="242"/>
      <c r="I66" s="230"/>
      <c r="J66" s="17"/>
      <c r="K66" s="17"/>
      <c r="L66" s="17"/>
      <c r="M66" s="17"/>
      <c r="N66" s="17" t="str">
        <f>IF(N65=N$20,"OK","NOK")</f>
        <v>OK</v>
      </c>
      <c r="O66" s="17" t="str">
        <f>IF(O65=O$20,"OK","NOK")</f>
        <v>OK</v>
      </c>
      <c r="P66" s="17"/>
      <c r="Q66" s="17" t="str">
        <f>IF(Q65=Q$20,"OK","NOK")</f>
        <v>OK</v>
      </c>
      <c r="R66" s="17" t="str">
        <f>IF(R65=R$20,"OK","NOK")</f>
        <v>OK</v>
      </c>
      <c r="S66" s="17"/>
      <c r="T66" s="17" t="str">
        <f>IF(T65=T$20,"OK","NOK")</f>
        <v>OK</v>
      </c>
      <c r="U66" s="17" t="str">
        <f>IF(U65=U$20,"OK","NOK")</f>
        <v>OK</v>
      </c>
      <c r="V66" s="359"/>
      <c r="W66" s="382"/>
      <c r="X66" s="539"/>
      <c r="Y66" s="539"/>
      <c r="Z66" s="201"/>
      <c r="AA66" s="201"/>
      <c r="AB66" s="201"/>
      <c r="AC66" s="84"/>
      <c r="AE66" s="17"/>
      <c r="AF66" s="17"/>
      <c r="AG66" s="17"/>
      <c r="AH66" s="539"/>
      <c r="AI66" s="91"/>
      <c r="AK66" s="17"/>
      <c r="AL66" s="17"/>
      <c r="AM66" s="17"/>
      <c r="AN66" s="539"/>
      <c r="AO66" s="91"/>
      <c r="AQ66" s="17"/>
      <c r="AR66" s="17"/>
      <c r="AS66" s="17"/>
      <c r="AT66" s="539"/>
      <c r="AU66" s="91"/>
      <c r="AW66" s="17"/>
      <c r="AX66" s="17"/>
      <c r="AY66" s="17"/>
      <c r="AZ66" s="539"/>
      <c r="BA66" s="91"/>
    </row>
    <row r="67" spans="1:53" ht="17.100000000000001" customHeight="1" x14ac:dyDescent="0.25">
      <c r="A67" s="102"/>
      <c r="B67" s="23"/>
      <c r="C67" s="103" t="s">
        <v>393</v>
      </c>
      <c r="D67" s="110" t="s">
        <v>737</v>
      </c>
      <c r="E67" s="313"/>
      <c r="F67" s="313"/>
      <c r="G67" s="313"/>
      <c r="H67" s="313"/>
      <c r="I67" s="313"/>
      <c r="J67" s="314"/>
      <c r="K67" s="111"/>
      <c r="L67" s="111"/>
      <c r="M67" s="111"/>
      <c r="N67" s="111"/>
      <c r="O67" s="111"/>
      <c r="P67" s="111"/>
      <c r="Q67" s="111"/>
      <c r="R67" s="111"/>
      <c r="S67" s="111"/>
      <c r="T67" s="111"/>
      <c r="U67" s="111"/>
      <c r="V67" s="358"/>
      <c r="W67" s="380"/>
      <c r="X67" s="111"/>
      <c r="Y67" s="112"/>
      <c r="Z67" s="113"/>
      <c r="AA67" s="113"/>
      <c r="AB67" s="113"/>
      <c r="AC67" s="113"/>
      <c r="AE67" s="114"/>
      <c r="AF67" s="114"/>
      <c r="AG67" s="114"/>
      <c r="AH67" s="112"/>
      <c r="AI67" s="113"/>
      <c r="AK67" s="114"/>
      <c r="AL67" s="114"/>
      <c r="AM67" s="114"/>
      <c r="AN67" s="112"/>
      <c r="AO67" s="113"/>
      <c r="AQ67" s="114"/>
      <c r="AR67" s="114"/>
      <c r="AS67" s="114"/>
      <c r="AT67" s="112"/>
      <c r="AU67" s="113"/>
      <c r="AW67" s="114"/>
      <c r="AX67" s="114"/>
      <c r="AY67" s="114"/>
      <c r="AZ67" s="112"/>
      <c r="BA67" s="113"/>
    </row>
    <row r="68" spans="1:53" ht="17.100000000000001" customHeight="1" x14ac:dyDescent="0.25">
      <c r="A68" s="102"/>
      <c r="B68" s="118"/>
      <c r="C68" s="118"/>
      <c r="D68" s="103" t="s">
        <v>394</v>
      </c>
      <c r="E68" s="108" t="s">
        <v>35</v>
      </c>
      <c r="F68" s="108"/>
      <c r="G68" s="108"/>
      <c r="H68" s="258"/>
      <c r="I68" s="232"/>
      <c r="J68" s="152"/>
      <c r="K68" s="152"/>
      <c r="L68" s="111"/>
      <c r="M68" s="111"/>
      <c r="N68" s="60"/>
      <c r="O68" s="60">
        <v>9</v>
      </c>
      <c r="P68" s="17">
        <f>SUM(N68:O68)</f>
        <v>9</v>
      </c>
      <c r="Q68" s="60"/>
      <c r="R68" s="60"/>
      <c r="S68" s="17">
        <f>SUM(Q68:R68)</f>
        <v>0</v>
      </c>
      <c r="T68" s="60"/>
      <c r="U68" s="60"/>
      <c r="V68" s="359">
        <f>SUM(T68:U68)</f>
        <v>0</v>
      </c>
      <c r="W68" s="391">
        <f t="shared" ref="W68:W72" si="66">J68+K68+N68+Q68+T68</f>
        <v>0</v>
      </c>
      <c r="X68" s="17">
        <f t="shared" ref="X68:X72" si="67">L68+O68+R68+U68</f>
        <v>9</v>
      </c>
      <c r="Y68" s="18">
        <f>SUM(W68:X68)</f>
        <v>9</v>
      </c>
      <c r="Z68" s="19">
        <f>IF(Y$73=0,0,Y68/Y$73)</f>
        <v>1</v>
      </c>
      <c r="AA68" s="19"/>
      <c r="AB68" s="19"/>
      <c r="AC68" s="20"/>
      <c r="AE68" s="111"/>
      <c r="AF68" s="111"/>
      <c r="AG68" s="111"/>
      <c r="AH68" s="112"/>
      <c r="AI68" s="113"/>
      <c r="AK68" s="111"/>
      <c r="AL68" s="111"/>
      <c r="AM68" s="111"/>
      <c r="AN68" s="112"/>
      <c r="AO68" s="113"/>
      <c r="AQ68" s="17"/>
      <c r="AR68" s="17"/>
      <c r="AS68" s="17"/>
      <c r="AT68" s="18">
        <f t="shared" ref="AT68:AT72" si="68">W68</f>
        <v>0</v>
      </c>
      <c r="AU68" s="19">
        <f>IF(AT$73=0,0,AT68/AT$73)</f>
        <v>0</v>
      </c>
      <c r="AW68" s="17"/>
      <c r="AX68" s="17"/>
      <c r="AY68" s="17"/>
      <c r="AZ68" s="18">
        <f t="shared" ref="AZ68:AZ72" si="69">X68</f>
        <v>9</v>
      </c>
      <c r="BA68" s="19">
        <f>IF(AZ$73=0,0,AZ68/AZ$73)</f>
        <v>1</v>
      </c>
    </row>
    <row r="69" spans="1:53" ht="17.100000000000001" customHeight="1" x14ac:dyDescent="0.25">
      <c r="A69" s="102"/>
      <c r="B69" s="118"/>
      <c r="C69" s="118"/>
      <c r="D69" s="103" t="s">
        <v>395</v>
      </c>
      <c r="E69" s="108" t="s">
        <v>37</v>
      </c>
      <c r="F69" s="108"/>
      <c r="G69" s="108"/>
      <c r="H69" s="258"/>
      <c r="I69" s="232"/>
      <c r="J69" s="152"/>
      <c r="K69" s="152"/>
      <c r="L69" s="111"/>
      <c r="M69" s="111"/>
      <c r="N69" s="61"/>
      <c r="O69" s="61"/>
      <c r="P69" s="17">
        <f>SUM(N69:O69)</f>
        <v>0</v>
      </c>
      <c r="Q69" s="61"/>
      <c r="R69" s="61"/>
      <c r="S69" s="17">
        <f>SUM(Q69:R69)</f>
        <v>0</v>
      </c>
      <c r="T69" s="61"/>
      <c r="U69" s="61"/>
      <c r="V69" s="359">
        <f>SUM(T69:U69)</f>
        <v>0</v>
      </c>
      <c r="W69" s="391">
        <f t="shared" si="66"/>
        <v>0</v>
      </c>
      <c r="X69" s="17">
        <f t="shared" si="67"/>
        <v>0</v>
      </c>
      <c r="Y69" s="18">
        <f>SUM(W69:X69)</f>
        <v>0</v>
      </c>
      <c r="Z69" s="19">
        <f t="shared" ref="Z69:Z73" si="70">IF(Y$73=0,0,Y69/Y$73)</f>
        <v>0</v>
      </c>
      <c r="AA69" s="19"/>
      <c r="AB69" s="19"/>
      <c r="AC69" s="20"/>
      <c r="AE69" s="111"/>
      <c r="AF69" s="111"/>
      <c r="AG69" s="111"/>
      <c r="AH69" s="112"/>
      <c r="AI69" s="113"/>
      <c r="AK69" s="111"/>
      <c r="AL69" s="111"/>
      <c r="AM69" s="111"/>
      <c r="AN69" s="112"/>
      <c r="AO69" s="113"/>
      <c r="AQ69" s="17"/>
      <c r="AR69" s="17"/>
      <c r="AS69" s="17"/>
      <c r="AT69" s="18">
        <f t="shared" si="68"/>
        <v>0</v>
      </c>
      <c r="AU69" s="19">
        <f t="shared" ref="AU69:AU73" si="71">IF(AT$73=0,0,AT69/AT$73)</f>
        <v>0</v>
      </c>
      <c r="AW69" s="17"/>
      <c r="AX69" s="17"/>
      <c r="AY69" s="17"/>
      <c r="AZ69" s="18">
        <f t="shared" si="69"/>
        <v>0</v>
      </c>
      <c r="BA69" s="19">
        <f t="shared" ref="BA69:BA72" si="72">IF(AZ$65=0,0,AZ69/AZ$65)</f>
        <v>0</v>
      </c>
    </row>
    <row r="70" spans="1:53" ht="17.100000000000001" customHeight="1" x14ac:dyDescent="0.25">
      <c r="A70" s="102"/>
      <c r="B70" s="118"/>
      <c r="C70" s="118"/>
      <c r="D70" s="103" t="s">
        <v>396</v>
      </c>
      <c r="E70" s="108" t="s">
        <v>39</v>
      </c>
      <c r="F70" s="108"/>
      <c r="G70" s="108"/>
      <c r="H70" s="258"/>
      <c r="I70" s="232"/>
      <c r="J70" s="152"/>
      <c r="K70" s="152"/>
      <c r="L70" s="111"/>
      <c r="M70" s="111"/>
      <c r="N70" s="60"/>
      <c r="O70" s="60"/>
      <c r="P70" s="17">
        <f>SUM(N70:O70)</f>
        <v>0</v>
      </c>
      <c r="Q70" s="60"/>
      <c r="R70" s="60"/>
      <c r="S70" s="17">
        <f>SUM(Q70:R70)</f>
        <v>0</v>
      </c>
      <c r="T70" s="60"/>
      <c r="U70" s="60"/>
      <c r="V70" s="359">
        <f>SUM(T70:U70)</f>
        <v>0</v>
      </c>
      <c r="W70" s="391">
        <f t="shared" si="66"/>
        <v>0</v>
      </c>
      <c r="X70" s="17">
        <f t="shared" si="67"/>
        <v>0</v>
      </c>
      <c r="Y70" s="18">
        <f>SUM(W70:X70)</f>
        <v>0</v>
      </c>
      <c r="Z70" s="19">
        <f t="shared" si="70"/>
        <v>0</v>
      </c>
      <c r="AA70" s="19"/>
      <c r="AB70" s="19"/>
      <c r="AC70" s="20"/>
      <c r="AE70" s="111"/>
      <c r="AF70" s="111"/>
      <c r="AG70" s="111"/>
      <c r="AH70" s="112"/>
      <c r="AI70" s="113"/>
      <c r="AK70" s="111"/>
      <c r="AL70" s="111"/>
      <c r="AM70" s="111"/>
      <c r="AN70" s="112"/>
      <c r="AO70" s="113"/>
      <c r="AQ70" s="17"/>
      <c r="AR70" s="17"/>
      <c r="AS70" s="17"/>
      <c r="AT70" s="18">
        <f t="shared" si="68"/>
        <v>0</v>
      </c>
      <c r="AU70" s="19">
        <f t="shared" si="71"/>
        <v>0</v>
      </c>
      <c r="AW70" s="17"/>
      <c r="AX70" s="17"/>
      <c r="AY70" s="17"/>
      <c r="AZ70" s="18">
        <f t="shared" si="69"/>
        <v>0</v>
      </c>
      <c r="BA70" s="19">
        <f t="shared" si="72"/>
        <v>0</v>
      </c>
    </row>
    <row r="71" spans="1:53" ht="17.100000000000001" customHeight="1" x14ac:dyDescent="0.25">
      <c r="A71" s="102"/>
      <c r="B71" s="118"/>
      <c r="C71" s="118"/>
      <c r="D71" s="103" t="s">
        <v>397</v>
      </c>
      <c r="E71" s="108" t="s">
        <v>41</v>
      </c>
      <c r="F71" s="108"/>
      <c r="G71" s="108"/>
      <c r="H71" s="258"/>
      <c r="I71" s="232"/>
      <c r="J71" s="152"/>
      <c r="K71" s="152"/>
      <c r="L71" s="111"/>
      <c r="M71" s="111"/>
      <c r="N71" s="61"/>
      <c r="O71" s="61"/>
      <c r="P71" s="17">
        <f>SUM(N71:O71)</f>
        <v>0</v>
      </c>
      <c r="Q71" s="61"/>
      <c r="R71" s="61"/>
      <c r="S71" s="17">
        <f>SUM(Q71:R71)</f>
        <v>0</v>
      </c>
      <c r="T71" s="61"/>
      <c r="U71" s="61"/>
      <c r="V71" s="359">
        <f>SUM(T71:U71)</f>
        <v>0</v>
      </c>
      <c r="W71" s="391">
        <f t="shared" si="66"/>
        <v>0</v>
      </c>
      <c r="X71" s="17">
        <f t="shared" si="67"/>
        <v>0</v>
      </c>
      <c r="Y71" s="18">
        <f>SUM(W71:X71)</f>
        <v>0</v>
      </c>
      <c r="Z71" s="19">
        <f t="shared" si="70"/>
        <v>0</v>
      </c>
      <c r="AA71" s="19"/>
      <c r="AB71" s="19"/>
      <c r="AC71" s="20"/>
      <c r="AE71" s="111"/>
      <c r="AF71" s="111"/>
      <c r="AG71" s="111"/>
      <c r="AH71" s="112"/>
      <c r="AI71" s="113"/>
      <c r="AK71" s="111"/>
      <c r="AL71" s="111"/>
      <c r="AM71" s="111"/>
      <c r="AN71" s="112"/>
      <c r="AO71" s="113"/>
      <c r="AQ71" s="17"/>
      <c r="AR71" s="17"/>
      <c r="AS71" s="17"/>
      <c r="AT71" s="18">
        <f t="shared" si="68"/>
        <v>0</v>
      </c>
      <c r="AU71" s="19">
        <f t="shared" si="71"/>
        <v>0</v>
      </c>
      <c r="AW71" s="17"/>
      <c r="AX71" s="17"/>
      <c r="AY71" s="17"/>
      <c r="AZ71" s="18">
        <f t="shared" si="69"/>
        <v>0</v>
      </c>
      <c r="BA71" s="19">
        <f t="shared" si="72"/>
        <v>0</v>
      </c>
    </row>
    <row r="72" spans="1:53" ht="17.100000000000001" customHeight="1" x14ac:dyDescent="0.25">
      <c r="A72" s="102"/>
      <c r="B72" s="118"/>
      <c r="C72" s="118"/>
      <c r="D72" s="103" t="s">
        <v>398</v>
      </c>
      <c r="E72" s="108" t="s">
        <v>42</v>
      </c>
      <c r="F72" s="108"/>
      <c r="G72" s="108"/>
      <c r="H72" s="258"/>
      <c r="I72" s="232"/>
      <c r="J72" s="152"/>
      <c r="K72" s="152"/>
      <c r="L72" s="111"/>
      <c r="M72" s="111"/>
      <c r="N72" s="60"/>
      <c r="O72" s="60"/>
      <c r="P72" s="17">
        <f>SUM(N72:O72)</f>
        <v>0</v>
      </c>
      <c r="Q72" s="60"/>
      <c r="R72" s="60"/>
      <c r="S72" s="17">
        <f>SUM(Q72:R72)</f>
        <v>0</v>
      </c>
      <c r="T72" s="60"/>
      <c r="U72" s="60"/>
      <c r="V72" s="359">
        <f>SUM(T72:U72)</f>
        <v>0</v>
      </c>
      <c r="W72" s="391">
        <f t="shared" si="66"/>
        <v>0</v>
      </c>
      <c r="X72" s="17">
        <f t="shared" si="67"/>
        <v>0</v>
      </c>
      <c r="Y72" s="18">
        <f>SUM(W72:X72)</f>
        <v>0</v>
      </c>
      <c r="Z72" s="19">
        <f t="shared" si="70"/>
        <v>0</v>
      </c>
      <c r="AA72" s="19"/>
      <c r="AB72" s="19"/>
      <c r="AC72" s="20"/>
      <c r="AE72" s="111"/>
      <c r="AF72" s="111"/>
      <c r="AG72" s="111"/>
      <c r="AH72" s="112"/>
      <c r="AI72" s="113"/>
      <c r="AK72" s="111"/>
      <c r="AL72" s="111"/>
      <c r="AM72" s="111"/>
      <c r="AN72" s="112"/>
      <c r="AO72" s="113"/>
      <c r="AQ72" s="17"/>
      <c r="AR72" s="17"/>
      <c r="AS72" s="17"/>
      <c r="AT72" s="18">
        <f t="shared" si="68"/>
        <v>0</v>
      </c>
      <c r="AU72" s="19">
        <f t="shared" si="71"/>
        <v>0</v>
      </c>
      <c r="AW72" s="17"/>
      <c r="AX72" s="17"/>
      <c r="AY72" s="17"/>
      <c r="AZ72" s="18">
        <f t="shared" si="69"/>
        <v>0</v>
      </c>
      <c r="BA72" s="19">
        <f t="shared" si="72"/>
        <v>0</v>
      </c>
    </row>
    <row r="73" spans="1:53" ht="17.100000000000001" customHeight="1" x14ac:dyDescent="0.25">
      <c r="A73" s="40"/>
      <c r="B73" s="40"/>
      <c r="C73" s="77"/>
      <c r="D73" s="78"/>
      <c r="E73" s="78"/>
      <c r="F73" s="78"/>
      <c r="G73" s="78"/>
      <c r="H73" s="242"/>
      <c r="I73" s="230"/>
      <c r="J73" s="80"/>
      <c r="K73" s="80"/>
      <c r="L73" s="81"/>
      <c r="M73" s="81"/>
      <c r="N73" s="81">
        <f t="shared" ref="N73:X73" si="73">SUM(N68:N72)</f>
        <v>0</v>
      </c>
      <c r="O73" s="81">
        <f t="shared" si="73"/>
        <v>9</v>
      </c>
      <c r="P73" s="81">
        <f t="shared" si="73"/>
        <v>9</v>
      </c>
      <c r="Q73" s="81">
        <f t="shared" si="73"/>
        <v>0</v>
      </c>
      <c r="R73" s="81">
        <f t="shared" si="73"/>
        <v>0</v>
      </c>
      <c r="S73" s="81">
        <f t="shared" si="73"/>
        <v>0</v>
      </c>
      <c r="T73" s="81">
        <f t="shared" si="73"/>
        <v>0</v>
      </c>
      <c r="U73" s="81">
        <f t="shared" si="73"/>
        <v>0</v>
      </c>
      <c r="V73" s="81">
        <f t="shared" si="73"/>
        <v>0</v>
      </c>
      <c r="W73" s="381">
        <f t="shared" si="73"/>
        <v>0</v>
      </c>
      <c r="X73" s="82">
        <f t="shared" si="73"/>
        <v>9</v>
      </c>
      <c r="Y73" s="82">
        <f>SUM(Y68:Y72)</f>
        <v>9</v>
      </c>
      <c r="Z73" s="205">
        <f t="shared" si="70"/>
        <v>1</v>
      </c>
      <c r="AA73" s="205"/>
      <c r="AB73" s="205"/>
      <c r="AC73" s="83"/>
      <c r="AE73" s="81"/>
      <c r="AF73" s="81"/>
      <c r="AG73" s="81"/>
      <c r="AH73" s="82"/>
      <c r="AI73" s="66"/>
      <c r="AK73" s="81"/>
      <c r="AL73" s="81"/>
      <c r="AM73" s="81"/>
      <c r="AN73" s="82"/>
      <c r="AO73" s="66"/>
      <c r="AQ73" s="81"/>
      <c r="AR73" s="81"/>
      <c r="AS73" s="81"/>
      <c r="AT73" s="82">
        <f>SUM(AT68:AT72)</f>
        <v>0</v>
      </c>
      <c r="AU73" s="66">
        <f t="shared" si="71"/>
        <v>0</v>
      </c>
      <c r="AW73" s="81"/>
      <c r="AX73" s="81"/>
      <c r="AY73" s="81"/>
      <c r="AZ73" s="82">
        <f>SUM(AZ68:AZ72)</f>
        <v>9</v>
      </c>
      <c r="BA73" s="66">
        <f t="shared" ref="BA73" si="74">IF(AZ$73=0,0,AZ73/AZ$73)</f>
        <v>1</v>
      </c>
    </row>
    <row r="74" spans="1:53" s="117" customFormat="1" ht="17.100000000000001" customHeight="1" x14ac:dyDescent="0.25">
      <c r="A74" s="119"/>
      <c r="B74" s="119"/>
      <c r="C74" s="540"/>
      <c r="D74" s="212"/>
      <c r="E74" s="212"/>
      <c r="F74" s="212"/>
      <c r="G74" s="212"/>
      <c r="H74" s="242"/>
      <c r="I74" s="230"/>
      <c r="J74" s="17"/>
      <c r="K74" s="17"/>
      <c r="L74" s="17"/>
      <c r="M74" s="17"/>
      <c r="N74" s="17" t="str">
        <f>IF(N73=N$20,"OK","NOK")</f>
        <v>OK</v>
      </c>
      <c r="O74" s="17" t="str">
        <f>IF(O73=O$20,"OK","NOK")</f>
        <v>OK</v>
      </c>
      <c r="P74" s="17"/>
      <c r="Q74" s="17" t="str">
        <f>IF(Q73=Q$20,"OK","NOK")</f>
        <v>OK</v>
      </c>
      <c r="R74" s="17" t="str">
        <f>IF(R73=R$20,"OK","NOK")</f>
        <v>OK</v>
      </c>
      <c r="S74" s="17"/>
      <c r="T74" s="17" t="str">
        <f>IF(T73=T$20,"OK","NOK")</f>
        <v>OK</v>
      </c>
      <c r="U74" s="17" t="str">
        <f>IF(U73=U$20,"OK","NOK")</f>
        <v>OK</v>
      </c>
      <c r="V74" s="359"/>
      <c r="W74" s="382"/>
      <c r="X74" s="539"/>
      <c r="Y74" s="539"/>
      <c r="Z74" s="201"/>
      <c r="AA74" s="201"/>
      <c r="AB74" s="201"/>
      <c r="AC74" s="84"/>
      <c r="AE74" s="17"/>
      <c r="AF74" s="17"/>
      <c r="AG74" s="17"/>
      <c r="AH74" s="539"/>
      <c r="AI74" s="91"/>
      <c r="AK74" s="17"/>
      <c r="AL74" s="17"/>
      <c r="AM74" s="17"/>
      <c r="AN74" s="539"/>
      <c r="AO74" s="91"/>
      <c r="AQ74" s="17"/>
      <c r="AR74" s="17"/>
      <c r="AS74" s="17"/>
      <c r="AT74" s="539"/>
      <c r="AU74" s="91"/>
      <c r="AW74" s="17"/>
      <c r="AX74" s="17"/>
      <c r="AY74" s="17"/>
      <c r="AZ74" s="539"/>
      <c r="BA74" s="91"/>
    </row>
    <row r="75" spans="1:53" ht="17.100000000000001" customHeight="1" x14ac:dyDescent="0.25">
      <c r="A75" s="68"/>
      <c r="B75" s="41" t="s">
        <v>43</v>
      </c>
      <c r="C75" s="69" t="s">
        <v>44</v>
      </c>
      <c r="D75" s="50"/>
      <c r="E75" s="70"/>
      <c r="F75" s="70"/>
      <c r="G75" s="70"/>
      <c r="H75" s="119"/>
      <c r="J75" s="71"/>
      <c r="K75" s="71"/>
      <c r="L75" s="71"/>
      <c r="M75" s="71"/>
      <c r="N75" s="71"/>
      <c r="O75" s="71"/>
      <c r="P75" s="71"/>
      <c r="Q75" s="71"/>
      <c r="R75" s="71"/>
      <c r="S75" s="71"/>
      <c r="T75" s="71"/>
      <c r="U75" s="71"/>
      <c r="V75" s="355"/>
      <c r="W75" s="377"/>
      <c r="X75" s="71"/>
      <c r="Y75" s="72"/>
      <c r="Z75" s="73"/>
      <c r="AA75" s="73"/>
      <c r="AB75" s="73"/>
      <c r="AC75" s="73"/>
      <c r="AE75" s="71"/>
      <c r="AF75" s="71"/>
      <c r="AG75" s="71"/>
      <c r="AH75" s="72"/>
      <c r="AI75" s="73"/>
      <c r="AK75" s="71"/>
      <c r="AL75" s="71"/>
      <c r="AM75" s="71"/>
      <c r="AN75" s="72"/>
      <c r="AO75" s="73"/>
      <c r="AQ75" s="71"/>
      <c r="AR75" s="71"/>
      <c r="AS75" s="71"/>
      <c r="AT75" s="72"/>
      <c r="AU75" s="73"/>
      <c r="AW75" s="71"/>
      <c r="AX75" s="71"/>
      <c r="AY75" s="71"/>
      <c r="AZ75" s="72"/>
      <c r="BA75" s="73"/>
    </row>
    <row r="76" spans="1:53" ht="17.100000000000001" customHeight="1" x14ac:dyDescent="0.25">
      <c r="A76" s="102"/>
      <c r="B76" s="102"/>
      <c r="C76" s="103" t="s">
        <v>45</v>
      </c>
      <c r="D76" s="108" t="s">
        <v>46</v>
      </c>
      <c r="E76" s="108"/>
      <c r="F76" s="108"/>
      <c r="G76" s="108"/>
      <c r="H76" s="258"/>
      <c r="I76" s="232"/>
      <c r="J76" s="111"/>
      <c r="K76" s="111"/>
      <c r="L76" s="111"/>
      <c r="M76" s="111"/>
      <c r="N76" s="111"/>
      <c r="O76" s="111"/>
      <c r="P76" s="111"/>
      <c r="Q76" s="111"/>
      <c r="R76" s="111"/>
      <c r="S76" s="111"/>
      <c r="T76" s="111"/>
      <c r="U76" s="111"/>
      <c r="V76" s="358"/>
      <c r="W76" s="380"/>
      <c r="X76" s="111"/>
      <c r="Y76" s="112"/>
      <c r="Z76" s="113"/>
      <c r="AA76" s="113"/>
      <c r="AB76" s="113"/>
      <c r="AC76" s="113"/>
      <c r="AE76" s="114"/>
      <c r="AF76" s="114"/>
      <c r="AG76" s="114"/>
      <c r="AH76" s="112"/>
      <c r="AI76" s="113"/>
      <c r="AK76" s="114"/>
      <c r="AL76" s="114"/>
      <c r="AM76" s="114"/>
      <c r="AN76" s="112"/>
      <c r="AO76" s="113"/>
      <c r="AQ76" s="114"/>
      <c r="AR76" s="114"/>
      <c r="AS76" s="114"/>
      <c r="AT76" s="112"/>
      <c r="AU76" s="113"/>
      <c r="AW76" s="114"/>
      <c r="AX76" s="114"/>
      <c r="AY76" s="114"/>
      <c r="AZ76" s="112"/>
      <c r="BA76" s="113"/>
    </row>
    <row r="77" spans="1:53" ht="17.100000000000001" customHeight="1" x14ac:dyDescent="0.25">
      <c r="A77" s="102"/>
      <c r="B77" s="102"/>
      <c r="C77" s="102"/>
      <c r="D77" s="103" t="s">
        <v>47</v>
      </c>
      <c r="E77" s="108" t="s">
        <v>35</v>
      </c>
      <c r="F77" s="108"/>
      <c r="G77" s="108"/>
      <c r="H77" s="258"/>
      <c r="I77" s="232"/>
      <c r="J77" s="152"/>
      <c r="K77" s="152"/>
      <c r="L77" s="111"/>
      <c r="M77" s="111"/>
      <c r="N77" s="152"/>
      <c r="O77" s="111"/>
      <c r="P77" s="60">
        <v>1</v>
      </c>
      <c r="Q77" s="152"/>
      <c r="R77" s="111"/>
      <c r="S77" s="60"/>
      <c r="T77" s="152"/>
      <c r="U77" s="111"/>
      <c r="V77" s="361"/>
      <c r="W77" s="391"/>
      <c r="X77" s="17"/>
      <c r="Y77" s="18">
        <f>M77+P77+S77+V77</f>
        <v>1</v>
      </c>
      <c r="Z77" s="19">
        <f>IF(Y$81=0,0,Y77/Y$81)</f>
        <v>1</v>
      </c>
      <c r="AA77" s="19"/>
      <c r="AB77" s="19"/>
      <c r="AC77" s="20"/>
      <c r="AE77" s="111"/>
      <c r="AF77" s="111"/>
      <c r="AG77" s="111"/>
      <c r="AH77" s="545"/>
      <c r="AI77" s="131"/>
      <c r="AK77" s="111"/>
      <c r="AL77" s="111"/>
      <c r="AM77" s="111"/>
      <c r="AN77" s="545"/>
      <c r="AO77" s="131"/>
      <c r="AQ77" s="111"/>
      <c r="AR77" s="111"/>
      <c r="AS77" s="111"/>
      <c r="AT77" s="545"/>
      <c r="AU77" s="131"/>
      <c r="AW77" s="111"/>
      <c r="AX77" s="111"/>
      <c r="AY77" s="111"/>
      <c r="AZ77" s="545"/>
      <c r="BA77" s="131"/>
    </row>
    <row r="78" spans="1:53" ht="17.100000000000001" customHeight="1" x14ac:dyDescent="0.25">
      <c r="A78" s="102"/>
      <c r="B78" s="102"/>
      <c r="C78" s="102"/>
      <c r="D78" s="103" t="s">
        <v>48</v>
      </c>
      <c r="E78" s="108" t="s">
        <v>49</v>
      </c>
      <c r="F78" s="108"/>
      <c r="G78" s="108"/>
      <c r="H78" s="258"/>
      <c r="I78" s="232"/>
      <c r="J78" s="152"/>
      <c r="K78" s="152"/>
      <c r="L78" s="111"/>
      <c r="M78" s="111"/>
      <c r="N78" s="152"/>
      <c r="O78" s="111"/>
      <c r="P78" s="61"/>
      <c r="Q78" s="152"/>
      <c r="R78" s="111"/>
      <c r="S78" s="61"/>
      <c r="T78" s="152"/>
      <c r="U78" s="111"/>
      <c r="V78" s="362"/>
      <c r="W78" s="391"/>
      <c r="X78" s="17"/>
      <c r="Y78" s="18">
        <f t="shared" ref="Y78:Y80" si="75">M78+P78+S78+V78</f>
        <v>0</v>
      </c>
      <c r="Z78" s="19">
        <f t="shared" ref="Z78:Z81" si="76">IF(Y$81=0,0,Y78/Y$81)</f>
        <v>0</v>
      </c>
      <c r="AA78" s="19"/>
      <c r="AB78" s="19"/>
      <c r="AC78" s="20"/>
      <c r="AE78" s="111"/>
      <c r="AF78" s="111"/>
      <c r="AG78" s="111"/>
      <c r="AH78" s="545"/>
      <c r="AI78" s="131"/>
      <c r="AK78" s="111"/>
      <c r="AL78" s="111"/>
      <c r="AM78" s="111"/>
      <c r="AN78" s="545"/>
      <c r="AO78" s="131"/>
      <c r="AQ78" s="111"/>
      <c r="AR78" s="111"/>
      <c r="AS78" s="111"/>
      <c r="AT78" s="545"/>
      <c r="AU78" s="131"/>
      <c r="AW78" s="111"/>
      <c r="AX78" s="111"/>
      <c r="AY78" s="111"/>
      <c r="AZ78" s="545"/>
      <c r="BA78" s="131"/>
    </row>
    <row r="79" spans="1:53" ht="17.100000000000001" customHeight="1" x14ac:dyDescent="0.25">
      <c r="A79" s="102"/>
      <c r="B79" s="102"/>
      <c r="C79" s="102"/>
      <c r="D79" s="103" t="s">
        <v>50</v>
      </c>
      <c r="E79" s="108" t="s">
        <v>51</v>
      </c>
      <c r="F79" s="108"/>
      <c r="G79" s="108"/>
      <c r="H79" s="258"/>
      <c r="I79" s="232"/>
      <c r="J79" s="152"/>
      <c r="K79" s="152"/>
      <c r="L79" s="111"/>
      <c r="M79" s="111"/>
      <c r="N79" s="152"/>
      <c r="O79" s="111"/>
      <c r="P79" s="60"/>
      <c r="Q79" s="152"/>
      <c r="R79" s="111"/>
      <c r="S79" s="60"/>
      <c r="T79" s="152"/>
      <c r="U79" s="111"/>
      <c r="V79" s="361"/>
      <c r="W79" s="391"/>
      <c r="X79" s="17"/>
      <c r="Y79" s="18">
        <f t="shared" si="75"/>
        <v>0</v>
      </c>
      <c r="Z79" s="19">
        <f t="shared" si="76"/>
        <v>0</v>
      </c>
      <c r="AA79" s="19"/>
      <c r="AB79" s="19"/>
      <c r="AC79" s="20"/>
      <c r="AE79" s="111"/>
      <c r="AF79" s="111"/>
      <c r="AG79" s="111"/>
      <c r="AH79" s="545"/>
      <c r="AI79" s="131"/>
      <c r="AK79" s="111"/>
      <c r="AL79" s="111"/>
      <c r="AM79" s="111"/>
      <c r="AN79" s="545"/>
      <c r="AO79" s="131"/>
      <c r="AQ79" s="111"/>
      <c r="AR79" s="111"/>
      <c r="AS79" s="111"/>
      <c r="AT79" s="545"/>
      <c r="AU79" s="131"/>
      <c r="AW79" s="111"/>
      <c r="AX79" s="111"/>
      <c r="AY79" s="111"/>
      <c r="AZ79" s="545"/>
      <c r="BA79" s="131"/>
    </row>
    <row r="80" spans="1:53" ht="17.100000000000001" customHeight="1" x14ac:dyDescent="0.25">
      <c r="A80" s="102"/>
      <c r="B80" s="102"/>
      <c r="C80" s="102"/>
      <c r="D80" s="103" t="s">
        <v>52</v>
      </c>
      <c r="E80" s="108" t="s">
        <v>53</v>
      </c>
      <c r="F80" s="108"/>
      <c r="G80" s="108"/>
      <c r="H80" s="258"/>
      <c r="I80" s="232"/>
      <c r="J80" s="152"/>
      <c r="K80" s="152"/>
      <c r="L80" s="111"/>
      <c r="M80" s="111"/>
      <c r="N80" s="152"/>
      <c r="O80" s="111"/>
      <c r="P80" s="61"/>
      <c r="Q80" s="152"/>
      <c r="R80" s="111"/>
      <c r="S80" s="61"/>
      <c r="T80" s="152"/>
      <c r="U80" s="111"/>
      <c r="V80" s="362"/>
      <c r="W80" s="391"/>
      <c r="X80" s="17"/>
      <c r="Y80" s="18">
        <f t="shared" si="75"/>
        <v>0</v>
      </c>
      <c r="Z80" s="19">
        <f t="shared" si="76"/>
        <v>0</v>
      </c>
      <c r="AA80" s="19"/>
      <c r="AB80" s="19"/>
      <c r="AC80" s="20"/>
      <c r="AE80" s="111"/>
      <c r="AF80" s="111"/>
      <c r="AG80" s="111"/>
      <c r="AH80" s="545"/>
      <c r="AI80" s="131"/>
      <c r="AK80" s="111"/>
      <c r="AL80" s="111"/>
      <c r="AM80" s="111"/>
      <c r="AN80" s="545"/>
      <c r="AO80" s="131"/>
      <c r="AQ80" s="111"/>
      <c r="AR80" s="111"/>
      <c r="AS80" s="111"/>
      <c r="AT80" s="545"/>
      <c r="AU80" s="131"/>
      <c r="AW80" s="111"/>
      <c r="AX80" s="111"/>
      <c r="AY80" s="111"/>
      <c r="AZ80" s="545"/>
      <c r="BA80" s="131"/>
    </row>
    <row r="81" spans="1:53" ht="17.100000000000001" customHeight="1" x14ac:dyDescent="0.25">
      <c r="A81" s="40"/>
      <c r="B81" s="40"/>
      <c r="C81" s="77"/>
      <c r="D81" s="78"/>
      <c r="E81" s="78"/>
      <c r="F81" s="78"/>
      <c r="G81" s="78"/>
      <c r="H81" s="242"/>
      <c r="I81" s="230"/>
      <c r="J81" s="80"/>
      <c r="K81" s="80"/>
      <c r="L81" s="81"/>
      <c r="M81" s="81"/>
      <c r="N81" s="81"/>
      <c r="O81" s="81"/>
      <c r="P81" s="82">
        <f>SUM(P77:P80)</f>
        <v>1</v>
      </c>
      <c r="Q81" s="81"/>
      <c r="R81" s="81"/>
      <c r="S81" s="82">
        <f>SUM(S77:S80)</f>
        <v>0</v>
      </c>
      <c r="T81" s="81"/>
      <c r="U81" s="81"/>
      <c r="V81" s="360">
        <f>SUM(V77:V80)</f>
        <v>0</v>
      </c>
      <c r="W81" s="381"/>
      <c r="X81" s="82"/>
      <c r="Y81" s="82">
        <f t="shared" ref="Y81" si="77">SUM(Y77:Y80)</f>
        <v>1</v>
      </c>
      <c r="Z81" s="205">
        <f t="shared" si="76"/>
        <v>1</v>
      </c>
      <c r="AA81" s="205"/>
      <c r="AB81" s="205"/>
      <c r="AC81" s="83"/>
      <c r="AE81" s="81"/>
      <c r="AF81" s="81"/>
      <c r="AG81" s="81"/>
      <c r="AH81" s="82"/>
      <c r="AI81" s="66"/>
      <c r="AK81" s="81"/>
      <c r="AL81" s="81"/>
      <c r="AM81" s="81"/>
      <c r="AN81" s="82"/>
      <c r="AO81" s="66"/>
      <c r="AQ81" s="81"/>
      <c r="AR81" s="81"/>
      <c r="AS81" s="81"/>
      <c r="AT81" s="82"/>
      <c r="AU81" s="66"/>
      <c r="AW81" s="81"/>
      <c r="AX81" s="81"/>
      <c r="AY81" s="81"/>
      <c r="AZ81" s="82"/>
      <c r="BA81" s="66"/>
    </row>
    <row r="82" spans="1:53" s="117" customFormat="1" ht="17.100000000000001" customHeight="1" x14ac:dyDescent="0.25">
      <c r="A82" s="119"/>
      <c r="B82" s="119"/>
      <c r="C82" s="540"/>
      <c r="D82" s="212"/>
      <c r="E82" s="212"/>
      <c r="F82" s="212"/>
      <c r="G82" s="212"/>
      <c r="H82" s="242"/>
      <c r="I82" s="230"/>
      <c r="J82" s="17"/>
      <c r="K82" s="17"/>
      <c r="L82" s="17"/>
      <c r="M82" s="17"/>
      <c r="N82" s="17"/>
      <c r="O82" s="17"/>
      <c r="P82" s="359" t="str">
        <f>IF(P$20=0,"",IF(P81=1,"OK","NOK"))</f>
        <v>OK</v>
      </c>
      <c r="Q82" s="17"/>
      <c r="R82" s="17"/>
      <c r="S82" s="359" t="str">
        <f>IF(S$20=0,"",IF(S81=1,"OK","NOK"))</f>
        <v/>
      </c>
      <c r="T82" s="17"/>
      <c r="U82" s="17"/>
      <c r="V82" s="359" t="str">
        <f>IF(V$20=0,"",IF(V81=1,"OK","NOK"))</f>
        <v/>
      </c>
      <c r="W82" s="382"/>
      <c r="X82" s="539"/>
      <c r="Y82" s="539"/>
      <c r="Z82" s="201"/>
      <c r="AA82" s="201"/>
      <c r="AB82" s="201"/>
      <c r="AC82" s="84"/>
      <c r="AE82" s="17"/>
      <c r="AF82" s="17"/>
      <c r="AG82" s="17"/>
      <c r="AH82" s="539"/>
      <c r="AI82" s="91"/>
      <c r="AK82" s="17"/>
      <c r="AL82" s="17"/>
      <c r="AM82" s="17"/>
      <c r="AN82" s="539"/>
      <c r="AO82" s="91"/>
      <c r="AQ82" s="17"/>
      <c r="AR82" s="17"/>
      <c r="AS82" s="17"/>
      <c r="AT82" s="539"/>
      <c r="AU82" s="91"/>
      <c r="AW82" s="17"/>
      <c r="AX82" s="17"/>
      <c r="AY82" s="17"/>
      <c r="AZ82" s="539"/>
      <c r="BA82" s="91"/>
    </row>
    <row r="83" spans="1:53" ht="17.100000000000001" customHeight="1" x14ac:dyDescent="0.25">
      <c r="A83" s="102"/>
      <c r="B83" s="102"/>
      <c r="C83" s="103" t="s">
        <v>54</v>
      </c>
      <c r="D83" s="108" t="s">
        <v>55</v>
      </c>
      <c r="E83" s="108"/>
      <c r="F83" s="108"/>
      <c r="G83" s="108"/>
      <c r="H83" s="258"/>
      <c r="I83" s="232"/>
      <c r="J83" s="111"/>
      <c r="K83" s="111"/>
      <c r="L83" s="111"/>
      <c r="M83" s="111"/>
      <c r="N83" s="111"/>
      <c r="O83" s="111"/>
      <c r="P83" s="111"/>
      <c r="Q83" s="111"/>
      <c r="R83" s="111"/>
      <c r="S83" s="111"/>
      <c r="T83" s="111"/>
      <c r="U83" s="111"/>
      <c r="V83" s="358"/>
      <c r="W83" s="380"/>
      <c r="X83" s="111"/>
      <c r="Y83" s="112"/>
      <c r="Z83" s="113"/>
      <c r="AA83" s="113"/>
      <c r="AB83" s="113"/>
      <c r="AC83" s="113"/>
      <c r="AE83" s="114"/>
      <c r="AF83" s="114"/>
      <c r="AG83" s="114"/>
      <c r="AH83" s="112"/>
      <c r="AI83" s="113"/>
      <c r="AK83" s="114"/>
      <c r="AL83" s="114"/>
      <c r="AM83" s="114"/>
      <c r="AN83" s="112"/>
      <c r="AO83" s="113"/>
      <c r="AQ83" s="114"/>
      <c r="AR83" s="114"/>
      <c r="AS83" s="114"/>
      <c r="AT83" s="112"/>
      <c r="AU83" s="113"/>
      <c r="AW83" s="114"/>
      <c r="AX83" s="114"/>
      <c r="AY83" s="114"/>
      <c r="AZ83" s="112"/>
      <c r="BA83" s="113"/>
    </row>
    <row r="84" spans="1:53" ht="17.100000000000001" customHeight="1" x14ac:dyDescent="0.25">
      <c r="A84" s="102"/>
      <c r="B84" s="118"/>
      <c r="C84" s="118"/>
      <c r="D84" s="103" t="s">
        <v>56</v>
      </c>
      <c r="E84" s="108" t="s">
        <v>35</v>
      </c>
      <c r="F84" s="108"/>
      <c r="G84" s="108"/>
      <c r="H84" s="258"/>
      <c r="I84" s="232"/>
      <c r="J84" s="152"/>
      <c r="K84" s="152"/>
      <c r="L84" s="111"/>
      <c r="M84" s="111"/>
      <c r="N84" s="152"/>
      <c r="O84" s="111"/>
      <c r="P84" s="60">
        <v>1</v>
      </c>
      <c r="Q84" s="152"/>
      <c r="R84" s="111"/>
      <c r="S84" s="60"/>
      <c r="T84" s="152"/>
      <c r="U84" s="111"/>
      <c r="V84" s="361"/>
      <c r="W84" s="391"/>
      <c r="X84" s="17"/>
      <c r="Y84" s="18">
        <f>M84+P84+S84+V84</f>
        <v>1</v>
      </c>
      <c r="Z84" s="19">
        <f>IF(Y$88=0,0,Y84/Y$88)</f>
        <v>1</v>
      </c>
      <c r="AA84" s="19"/>
      <c r="AB84" s="19"/>
      <c r="AC84" s="20"/>
      <c r="AE84" s="111"/>
      <c r="AF84" s="111"/>
      <c r="AG84" s="111"/>
      <c r="AH84" s="545"/>
      <c r="AI84" s="131"/>
      <c r="AK84" s="111"/>
      <c r="AL84" s="111"/>
      <c r="AM84" s="111"/>
      <c r="AN84" s="545"/>
      <c r="AO84" s="131"/>
      <c r="AQ84" s="111"/>
      <c r="AR84" s="111"/>
      <c r="AS84" s="111"/>
      <c r="AT84" s="545"/>
      <c r="AU84" s="131"/>
      <c r="AW84" s="111"/>
      <c r="AX84" s="111"/>
      <c r="AY84" s="111"/>
      <c r="AZ84" s="545"/>
      <c r="BA84" s="131"/>
    </row>
    <row r="85" spans="1:53" ht="17.100000000000001" customHeight="1" x14ac:dyDescent="0.25">
      <c r="A85" s="102"/>
      <c r="B85" s="118"/>
      <c r="C85" s="118"/>
      <c r="D85" s="103" t="s">
        <v>57</v>
      </c>
      <c r="E85" s="108" t="s">
        <v>58</v>
      </c>
      <c r="F85" s="108"/>
      <c r="G85" s="108"/>
      <c r="H85" s="258"/>
      <c r="I85" s="232"/>
      <c r="J85" s="152"/>
      <c r="K85" s="152"/>
      <c r="L85" s="111"/>
      <c r="M85" s="111"/>
      <c r="N85" s="152"/>
      <c r="O85" s="111"/>
      <c r="P85" s="61"/>
      <c r="Q85" s="152"/>
      <c r="R85" s="111"/>
      <c r="S85" s="61"/>
      <c r="T85" s="152"/>
      <c r="U85" s="111"/>
      <c r="V85" s="362"/>
      <c r="W85" s="391"/>
      <c r="X85" s="17"/>
      <c r="Y85" s="18">
        <f t="shared" ref="Y85:Y87" si="78">M85+P85+S85+V85</f>
        <v>0</v>
      </c>
      <c r="Z85" s="19">
        <f t="shared" ref="Z85:Z88" si="79">IF(Y$88=0,0,Y85/Y$88)</f>
        <v>0</v>
      </c>
      <c r="AA85" s="19"/>
      <c r="AB85" s="19"/>
      <c r="AC85" s="20"/>
      <c r="AE85" s="111"/>
      <c r="AF85" s="111"/>
      <c r="AG85" s="111"/>
      <c r="AH85" s="545"/>
      <c r="AI85" s="131"/>
      <c r="AK85" s="111"/>
      <c r="AL85" s="111"/>
      <c r="AM85" s="111"/>
      <c r="AN85" s="545"/>
      <c r="AO85" s="131"/>
      <c r="AQ85" s="111"/>
      <c r="AR85" s="111"/>
      <c r="AS85" s="111"/>
      <c r="AT85" s="545"/>
      <c r="AU85" s="131"/>
      <c r="AW85" s="111"/>
      <c r="AX85" s="111"/>
      <c r="AY85" s="111"/>
      <c r="AZ85" s="545"/>
      <c r="BA85" s="131"/>
    </row>
    <row r="86" spans="1:53" ht="17.100000000000001" customHeight="1" x14ac:dyDescent="0.25">
      <c r="A86" s="102"/>
      <c r="B86" s="118"/>
      <c r="C86" s="118"/>
      <c r="D86" s="103" t="s">
        <v>59</v>
      </c>
      <c r="E86" s="108" t="s">
        <v>60</v>
      </c>
      <c r="F86" s="108"/>
      <c r="G86" s="108"/>
      <c r="H86" s="258"/>
      <c r="I86" s="232"/>
      <c r="J86" s="152"/>
      <c r="K86" s="152"/>
      <c r="L86" s="111"/>
      <c r="M86" s="111"/>
      <c r="N86" s="152"/>
      <c r="O86" s="111"/>
      <c r="P86" s="60"/>
      <c r="Q86" s="152"/>
      <c r="R86" s="111"/>
      <c r="S86" s="60"/>
      <c r="T86" s="152"/>
      <c r="U86" s="111"/>
      <c r="V86" s="361"/>
      <c r="W86" s="391"/>
      <c r="X86" s="17"/>
      <c r="Y86" s="18">
        <f t="shared" si="78"/>
        <v>0</v>
      </c>
      <c r="Z86" s="19">
        <f t="shared" si="79"/>
        <v>0</v>
      </c>
      <c r="AA86" s="19"/>
      <c r="AB86" s="19"/>
      <c r="AC86" s="20"/>
      <c r="AE86" s="111"/>
      <c r="AF86" s="111"/>
      <c r="AG86" s="111"/>
      <c r="AH86" s="545"/>
      <c r="AI86" s="131"/>
      <c r="AK86" s="111"/>
      <c r="AL86" s="111"/>
      <c r="AM86" s="111"/>
      <c r="AN86" s="545"/>
      <c r="AO86" s="131"/>
      <c r="AQ86" s="111"/>
      <c r="AR86" s="111"/>
      <c r="AS86" s="111"/>
      <c r="AT86" s="545"/>
      <c r="AU86" s="131"/>
      <c r="AW86" s="111"/>
      <c r="AX86" s="111"/>
      <c r="AY86" s="111"/>
      <c r="AZ86" s="545"/>
      <c r="BA86" s="131"/>
    </row>
    <row r="87" spans="1:53" ht="17.100000000000001" customHeight="1" x14ac:dyDescent="0.25">
      <c r="A87" s="102"/>
      <c r="B87" s="118"/>
      <c r="C87" s="118"/>
      <c r="D87" s="103" t="s">
        <v>61</v>
      </c>
      <c r="E87" s="108" t="s">
        <v>62</v>
      </c>
      <c r="F87" s="108"/>
      <c r="G87" s="108"/>
      <c r="H87" s="258"/>
      <c r="I87" s="232"/>
      <c r="J87" s="152"/>
      <c r="K87" s="152"/>
      <c r="L87" s="111"/>
      <c r="M87" s="111"/>
      <c r="N87" s="152"/>
      <c r="O87" s="111"/>
      <c r="P87" s="61"/>
      <c r="Q87" s="152"/>
      <c r="R87" s="111"/>
      <c r="S87" s="61"/>
      <c r="T87" s="152"/>
      <c r="U87" s="111"/>
      <c r="V87" s="362"/>
      <c r="W87" s="391"/>
      <c r="X87" s="17"/>
      <c r="Y87" s="18">
        <f t="shared" si="78"/>
        <v>0</v>
      </c>
      <c r="Z87" s="19">
        <f t="shared" si="79"/>
        <v>0</v>
      </c>
      <c r="AA87" s="19"/>
      <c r="AB87" s="19"/>
      <c r="AC87" s="20"/>
      <c r="AE87" s="111"/>
      <c r="AF87" s="111"/>
      <c r="AG87" s="111"/>
      <c r="AH87" s="545"/>
      <c r="AI87" s="131"/>
      <c r="AK87" s="111"/>
      <c r="AL87" s="111"/>
      <c r="AM87" s="111"/>
      <c r="AN87" s="545"/>
      <c r="AO87" s="131"/>
      <c r="AQ87" s="111"/>
      <c r="AR87" s="111"/>
      <c r="AS87" s="111"/>
      <c r="AT87" s="545"/>
      <c r="AU87" s="131"/>
      <c r="AW87" s="111"/>
      <c r="AX87" s="111"/>
      <c r="AY87" s="111"/>
      <c r="AZ87" s="545"/>
      <c r="BA87" s="131"/>
    </row>
    <row r="88" spans="1:53" ht="17.100000000000001" customHeight="1" x14ac:dyDescent="0.25">
      <c r="A88" s="40"/>
      <c r="B88" s="40"/>
      <c r="C88" s="77"/>
      <c r="D88" s="78"/>
      <c r="E88" s="78"/>
      <c r="F88" s="78"/>
      <c r="G88" s="78"/>
      <c r="H88" s="242"/>
      <c r="I88" s="230"/>
      <c r="J88" s="80"/>
      <c r="K88" s="80"/>
      <c r="L88" s="81"/>
      <c r="M88" s="81"/>
      <c r="N88" s="81"/>
      <c r="O88" s="81"/>
      <c r="P88" s="82">
        <f>SUM(P84:P87)</f>
        <v>1</v>
      </c>
      <c r="Q88" s="81"/>
      <c r="R88" s="81"/>
      <c r="S88" s="82">
        <f>SUM(S84:S87)</f>
        <v>0</v>
      </c>
      <c r="T88" s="81"/>
      <c r="U88" s="81"/>
      <c r="V88" s="360">
        <f>SUM(V84:V87)</f>
        <v>0</v>
      </c>
      <c r="W88" s="381"/>
      <c r="X88" s="82"/>
      <c r="Y88" s="82">
        <f t="shared" ref="Y88" si="80">SUM(Y84:Y87)</f>
        <v>1</v>
      </c>
      <c r="Z88" s="205">
        <f t="shared" si="79"/>
        <v>1</v>
      </c>
      <c r="AA88" s="205"/>
      <c r="AB88" s="205"/>
      <c r="AC88" s="83"/>
      <c r="AE88" s="81"/>
      <c r="AF88" s="81"/>
      <c r="AG88" s="81"/>
      <c r="AH88" s="82"/>
      <c r="AI88" s="66"/>
      <c r="AK88" s="81"/>
      <c r="AL88" s="81"/>
      <c r="AM88" s="81"/>
      <c r="AN88" s="82"/>
      <c r="AO88" s="66"/>
      <c r="AQ88" s="81"/>
      <c r="AR88" s="81"/>
      <c r="AS88" s="81"/>
      <c r="AT88" s="82"/>
      <c r="AU88" s="66"/>
      <c r="AW88" s="81"/>
      <c r="AX88" s="81"/>
      <c r="AY88" s="81"/>
      <c r="AZ88" s="82"/>
      <c r="BA88" s="66"/>
    </row>
    <row r="89" spans="1:53" s="117" customFormat="1" ht="17.100000000000001" customHeight="1" x14ac:dyDescent="0.25">
      <c r="A89" s="119"/>
      <c r="B89" s="119"/>
      <c r="C89" s="540"/>
      <c r="D89" s="212"/>
      <c r="E89" s="212"/>
      <c r="F89" s="212"/>
      <c r="G89" s="212"/>
      <c r="H89" s="242"/>
      <c r="I89" s="230"/>
      <c r="J89" s="17"/>
      <c r="K89" s="17"/>
      <c r="L89" s="17"/>
      <c r="M89" s="17"/>
      <c r="N89" s="17"/>
      <c r="O89" s="17"/>
      <c r="P89" s="359" t="str">
        <f>IF(P$20=0,"",IF(P88=1,"OK","NOK"))</f>
        <v>OK</v>
      </c>
      <c r="Q89" s="17"/>
      <c r="R89" s="17"/>
      <c r="S89" s="359" t="str">
        <f>IF(S$20=0,"",IF(S88=1,"OK","NOK"))</f>
        <v/>
      </c>
      <c r="T89" s="17"/>
      <c r="U89" s="17"/>
      <c r="V89" s="359" t="str">
        <f>IF(V$20=0,"",IF(V88=1,"OK","NOK"))</f>
        <v/>
      </c>
      <c r="W89" s="382"/>
      <c r="X89" s="539"/>
      <c r="Y89" s="539"/>
      <c r="Z89" s="201"/>
      <c r="AA89" s="201"/>
      <c r="AB89" s="201"/>
      <c r="AC89" s="84"/>
      <c r="AE89" s="17"/>
      <c r="AF89" s="17"/>
      <c r="AG89" s="17"/>
      <c r="AH89" s="539"/>
      <c r="AI89" s="91"/>
      <c r="AK89" s="17"/>
      <c r="AL89" s="17"/>
      <c r="AM89" s="17"/>
      <c r="AN89" s="539"/>
      <c r="AO89" s="91"/>
      <c r="AQ89" s="17"/>
      <c r="AR89" s="17"/>
      <c r="AS89" s="17"/>
      <c r="AT89" s="539"/>
      <c r="AU89" s="91"/>
      <c r="AW89" s="17"/>
      <c r="AX89" s="17"/>
      <c r="AY89" s="17"/>
      <c r="AZ89" s="539"/>
      <c r="BA89" s="91"/>
    </row>
    <row r="90" spans="1:53" ht="17.100000000000001" customHeight="1" x14ac:dyDescent="0.25">
      <c r="A90" s="68"/>
      <c r="B90" s="41" t="s">
        <v>63</v>
      </c>
      <c r="C90" s="69" t="s">
        <v>64</v>
      </c>
      <c r="D90" s="50"/>
      <c r="E90" s="70"/>
      <c r="F90" s="70"/>
      <c r="G90" s="70"/>
      <c r="H90" s="119"/>
      <c r="J90" s="71"/>
      <c r="K90" s="71"/>
      <c r="L90" s="71"/>
      <c r="M90" s="71"/>
      <c r="N90" s="71"/>
      <c r="O90" s="71"/>
      <c r="P90" s="71"/>
      <c r="Q90" s="71"/>
      <c r="R90" s="71"/>
      <c r="S90" s="71"/>
      <c r="T90" s="71"/>
      <c r="U90" s="71"/>
      <c r="V90" s="355"/>
      <c r="W90" s="377"/>
      <c r="X90" s="71"/>
      <c r="Y90" s="72"/>
      <c r="Z90" s="73"/>
      <c r="AA90" s="73"/>
      <c r="AB90" s="73"/>
      <c r="AC90" s="73"/>
      <c r="AE90" s="71"/>
      <c r="AF90" s="71"/>
      <c r="AG90" s="71"/>
      <c r="AH90" s="72"/>
      <c r="AI90" s="73"/>
      <c r="AK90" s="71"/>
      <c r="AL90" s="71"/>
      <c r="AM90" s="71"/>
      <c r="AN90" s="72"/>
      <c r="AO90" s="73"/>
      <c r="AQ90" s="71"/>
      <c r="AR90" s="71"/>
      <c r="AS90" s="71"/>
      <c r="AT90" s="72"/>
      <c r="AU90" s="73"/>
      <c r="AW90" s="71"/>
      <c r="AX90" s="71"/>
      <c r="AY90" s="71"/>
      <c r="AZ90" s="72"/>
      <c r="BA90" s="73"/>
    </row>
    <row r="91" spans="1:53" ht="17.100000000000001" customHeight="1" x14ac:dyDescent="0.25">
      <c r="A91" s="102"/>
      <c r="B91" s="102"/>
      <c r="C91" s="103" t="s">
        <v>65</v>
      </c>
      <c r="D91" s="108" t="s">
        <v>66</v>
      </c>
      <c r="E91" s="108"/>
      <c r="F91" s="108"/>
      <c r="G91" s="108"/>
      <c r="H91" s="258"/>
      <c r="I91" s="232"/>
      <c r="J91" s="111"/>
      <c r="K91" s="111"/>
      <c r="L91" s="111"/>
      <c r="M91" s="111"/>
      <c r="N91" s="111"/>
      <c r="O91" s="111"/>
      <c r="P91" s="111"/>
      <c r="Q91" s="111"/>
      <c r="R91" s="111"/>
      <c r="S91" s="111"/>
      <c r="T91" s="111"/>
      <c r="U91" s="111"/>
      <c r="V91" s="358"/>
      <c r="W91" s="380"/>
      <c r="X91" s="111"/>
      <c r="Y91" s="112"/>
      <c r="Z91" s="113"/>
      <c r="AA91" s="113"/>
      <c r="AB91" s="113"/>
      <c r="AC91" s="113"/>
      <c r="AE91" s="114"/>
      <c r="AF91" s="114"/>
      <c r="AG91" s="114"/>
      <c r="AH91" s="112"/>
      <c r="AI91" s="113"/>
      <c r="AK91" s="114"/>
      <c r="AL91" s="114"/>
      <c r="AM91" s="114"/>
      <c r="AN91" s="112"/>
      <c r="AO91" s="113"/>
      <c r="AQ91" s="114"/>
      <c r="AR91" s="114"/>
      <c r="AS91" s="114"/>
      <c r="AT91" s="112"/>
      <c r="AU91" s="113"/>
      <c r="AW91" s="114"/>
      <c r="AX91" s="114"/>
      <c r="AY91" s="114"/>
      <c r="AZ91" s="112"/>
      <c r="BA91" s="113"/>
    </row>
    <row r="92" spans="1:53" ht="17.100000000000001" customHeight="1" x14ac:dyDescent="0.25">
      <c r="A92" s="102"/>
      <c r="B92" s="118"/>
      <c r="C92" s="118"/>
      <c r="D92" s="103" t="s">
        <v>67</v>
      </c>
      <c r="E92" s="110" t="s">
        <v>68</v>
      </c>
      <c r="F92" s="313"/>
      <c r="G92" s="314"/>
      <c r="H92" s="259"/>
      <c r="I92" s="233"/>
      <c r="J92" s="152"/>
      <c r="K92" s="152"/>
      <c r="L92" s="152"/>
      <c r="M92" s="152"/>
      <c r="N92" s="152"/>
      <c r="O92" s="111"/>
      <c r="P92" s="60"/>
      <c r="Q92" s="152"/>
      <c r="R92" s="111"/>
      <c r="S92" s="60"/>
      <c r="T92" s="152"/>
      <c r="U92" s="111"/>
      <c r="V92" s="361"/>
      <c r="W92" s="391"/>
      <c r="X92" s="17"/>
      <c r="Y92" s="18">
        <f>M92+P92+S92+V92</f>
        <v>0</v>
      </c>
      <c r="Z92" s="19">
        <f>IF(Y$96=0,0,Y92/Y$96)</f>
        <v>0</v>
      </c>
      <c r="AA92" s="19"/>
      <c r="AB92" s="19"/>
      <c r="AC92" s="20"/>
      <c r="AE92" s="111"/>
      <c r="AF92" s="111"/>
      <c r="AG92" s="111"/>
      <c r="AH92" s="545"/>
      <c r="AI92" s="131"/>
      <c r="AK92" s="111"/>
      <c r="AL92" s="111"/>
      <c r="AM92" s="111"/>
      <c r="AN92" s="545"/>
      <c r="AO92" s="131"/>
      <c r="AQ92" s="111"/>
      <c r="AR92" s="111"/>
      <c r="AS92" s="111"/>
      <c r="AT92" s="545"/>
      <c r="AU92" s="131"/>
      <c r="AW92" s="111"/>
      <c r="AX92" s="111"/>
      <c r="AY92" s="111"/>
      <c r="AZ92" s="545"/>
      <c r="BA92" s="131"/>
    </row>
    <row r="93" spans="1:53" ht="17.100000000000001" customHeight="1" x14ac:dyDescent="0.25">
      <c r="A93" s="102"/>
      <c r="B93" s="118"/>
      <c r="C93" s="118"/>
      <c r="D93" s="103" t="s">
        <v>69</v>
      </c>
      <c r="E93" s="110" t="s">
        <v>70</v>
      </c>
      <c r="F93" s="226"/>
      <c r="G93" s="226"/>
      <c r="H93" s="260"/>
      <c r="I93" s="234"/>
      <c r="J93" s="152"/>
      <c r="K93" s="152"/>
      <c r="L93" s="111"/>
      <c r="M93" s="111"/>
      <c r="N93" s="152"/>
      <c r="O93" s="111"/>
      <c r="P93" s="61">
        <v>1</v>
      </c>
      <c r="Q93" s="152"/>
      <c r="R93" s="111"/>
      <c r="S93" s="61"/>
      <c r="T93" s="152"/>
      <c r="U93" s="111"/>
      <c r="V93" s="362"/>
      <c r="W93" s="391"/>
      <c r="X93" s="17"/>
      <c r="Y93" s="18">
        <f t="shared" ref="Y93:Y95" si="81">M93+P93+S93+V93</f>
        <v>1</v>
      </c>
      <c r="Z93" s="19">
        <f t="shared" ref="Z93:Z96" si="82">IF(Y$96=0,0,Y93/Y$96)</f>
        <v>1</v>
      </c>
      <c r="AA93" s="19"/>
      <c r="AB93" s="19"/>
      <c r="AC93" s="20"/>
      <c r="AE93" s="111"/>
      <c r="AF93" s="111"/>
      <c r="AG93" s="111"/>
      <c r="AH93" s="545"/>
      <c r="AI93" s="131"/>
      <c r="AK93" s="111"/>
      <c r="AL93" s="111"/>
      <c r="AM93" s="111"/>
      <c r="AN93" s="545"/>
      <c r="AO93" s="131"/>
      <c r="AQ93" s="111"/>
      <c r="AR93" s="111"/>
      <c r="AS93" s="111"/>
      <c r="AT93" s="545"/>
      <c r="AU93" s="131"/>
      <c r="AW93" s="111"/>
      <c r="AX93" s="111"/>
      <c r="AY93" s="111"/>
      <c r="AZ93" s="545"/>
      <c r="BA93" s="131"/>
    </row>
    <row r="94" spans="1:53" ht="17.100000000000001" customHeight="1" x14ac:dyDescent="0.25">
      <c r="A94" s="102"/>
      <c r="B94" s="118"/>
      <c r="C94" s="118"/>
      <c r="D94" s="103" t="s">
        <v>71</v>
      </c>
      <c r="E94" s="110" t="s">
        <v>72</v>
      </c>
      <c r="F94" s="226"/>
      <c r="G94" s="226"/>
      <c r="H94" s="260"/>
      <c r="I94" s="234"/>
      <c r="J94" s="152"/>
      <c r="K94" s="152"/>
      <c r="L94" s="111"/>
      <c r="M94" s="111"/>
      <c r="N94" s="152"/>
      <c r="O94" s="111"/>
      <c r="P94" s="60"/>
      <c r="Q94" s="152"/>
      <c r="R94" s="111"/>
      <c r="S94" s="60"/>
      <c r="T94" s="152"/>
      <c r="U94" s="111"/>
      <c r="V94" s="361"/>
      <c r="W94" s="391"/>
      <c r="X94" s="17"/>
      <c r="Y94" s="18">
        <f t="shared" si="81"/>
        <v>0</v>
      </c>
      <c r="Z94" s="19">
        <f t="shared" si="82"/>
        <v>0</v>
      </c>
      <c r="AA94" s="19"/>
      <c r="AB94" s="19"/>
      <c r="AC94" s="20"/>
      <c r="AE94" s="111"/>
      <c r="AF94" s="111"/>
      <c r="AG94" s="111"/>
      <c r="AH94" s="545"/>
      <c r="AI94" s="131"/>
      <c r="AK94" s="111"/>
      <c r="AL94" s="111"/>
      <c r="AM94" s="111"/>
      <c r="AN94" s="545"/>
      <c r="AO94" s="131"/>
      <c r="AQ94" s="111"/>
      <c r="AR94" s="111"/>
      <c r="AS94" s="111"/>
      <c r="AT94" s="545"/>
      <c r="AU94" s="131"/>
      <c r="AW94" s="111"/>
      <c r="AX94" s="111"/>
      <c r="AY94" s="111"/>
      <c r="AZ94" s="545"/>
      <c r="BA94" s="131"/>
    </row>
    <row r="95" spans="1:53" ht="17.100000000000001" customHeight="1" x14ac:dyDescent="0.25">
      <c r="A95" s="102"/>
      <c r="B95" s="118"/>
      <c r="C95" s="118"/>
      <c r="D95" s="103" t="s">
        <v>73</v>
      </c>
      <c r="E95" s="278" t="s">
        <v>561</v>
      </c>
      <c r="F95" s="313"/>
      <c r="G95" s="314"/>
      <c r="H95" s="259"/>
      <c r="I95" s="233"/>
      <c r="J95" s="152"/>
      <c r="K95" s="152"/>
      <c r="L95" s="111"/>
      <c r="M95" s="111"/>
      <c r="N95" s="152"/>
      <c r="O95" s="111"/>
      <c r="P95" s="61"/>
      <c r="Q95" s="152"/>
      <c r="R95" s="111"/>
      <c r="S95" s="61"/>
      <c r="T95" s="152"/>
      <c r="U95" s="111"/>
      <c r="V95" s="362"/>
      <c r="W95" s="391"/>
      <c r="X95" s="17"/>
      <c r="Y95" s="18">
        <f t="shared" si="81"/>
        <v>0</v>
      </c>
      <c r="Z95" s="19">
        <f t="shared" si="82"/>
        <v>0</v>
      </c>
      <c r="AA95" s="19"/>
      <c r="AB95" s="19"/>
      <c r="AC95" s="20"/>
      <c r="AE95" s="111"/>
      <c r="AF95" s="111"/>
      <c r="AG95" s="111"/>
      <c r="AH95" s="545"/>
      <c r="AI95" s="131"/>
      <c r="AK95" s="111"/>
      <c r="AL95" s="111"/>
      <c r="AM95" s="111"/>
      <c r="AN95" s="545"/>
      <c r="AO95" s="131"/>
      <c r="AQ95" s="111"/>
      <c r="AR95" s="111"/>
      <c r="AS95" s="111"/>
      <c r="AT95" s="545"/>
      <c r="AU95" s="131"/>
      <c r="AW95" s="111"/>
      <c r="AX95" s="111"/>
      <c r="AY95" s="111"/>
      <c r="AZ95" s="545"/>
      <c r="BA95" s="131"/>
    </row>
    <row r="96" spans="1:53" ht="17.100000000000001" customHeight="1" x14ac:dyDescent="0.25">
      <c r="A96" s="40"/>
      <c r="B96" s="40"/>
      <c r="C96" s="77"/>
      <c r="D96" s="78"/>
      <c r="E96" s="78"/>
      <c r="F96" s="78"/>
      <c r="G96" s="78"/>
      <c r="H96" s="242"/>
      <c r="I96" s="230"/>
      <c r="J96" s="80"/>
      <c r="K96" s="80"/>
      <c r="L96" s="81"/>
      <c r="M96" s="81"/>
      <c r="N96" s="81"/>
      <c r="O96" s="81"/>
      <c r="P96" s="82">
        <f>SUM(P92:P95)</f>
        <v>1</v>
      </c>
      <c r="Q96" s="81"/>
      <c r="R96" s="81"/>
      <c r="S96" s="82">
        <f>SUM(S92:S95)</f>
        <v>0</v>
      </c>
      <c r="T96" s="81"/>
      <c r="U96" s="81"/>
      <c r="V96" s="360">
        <f>SUM(V92:V95)</f>
        <v>0</v>
      </c>
      <c r="W96" s="381"/>
      <c r="X96" s="82"/>
      <c r="Y96" s="82">
        <f t="shared" ref="Y96" si="83">SUM(Y92:Y95)</f>
        <v>1</v>
      </c>
      <c r="Z96" s="205">
        <f t="shared" si="82"/>
        <v>1</v>
      </c>
      <c r="AA96" s="205"/>
      <c r="AB96" s="205"/>
      <c r="AC96" s="83"/>
      <c r="AE96" s="81"/>
      <c r="AF96" s="81"/>
      <c r="AG96" s="81"/>
      <c r="AH96" s="82"/>
      <c r="AI96" s="66"/>
      <c r="AK96" s="81"/>
      <c r="AL96" s="81"/>
      <c r="AM96" s="81"/>
      <c r="AN96" s="82"/>
      <c r="AO96" s="66"/>
      <c r="AQ96" s="81"/>
      <c r="AR96" s="81"/>
      <c r="AS96" s="81"/>
      <c r="AT96" s="82"/>
      <c r="AU96" s="66"/>
      <c r="AW96" s="81"/>
      <c r="AX96" s="81"/>
      <c r="AY96" s="81"/>
      <c r="AZ96" s="82"/>
      <c r="BA96" s="66"/>
    </row>
    <row r="97" spans="1:53" s="117" customFormat="1" ht="17.100000000000001" customHeight="1" x14ac:dyDescent="0.25">
      <c r="A97" s="119"/>
      <c r="B97" s="119"/>
      <c r="C97" s="540"/>
      <c r="D97" s="212"/>
      <c r="E97" s="212"/>
      <c r="F97" s="212"/>
      <c r="G97" s="212"/>
      <c r="H97" s="242"/>
      <c r="I97" s="230"/>
      <c r="J97" s="17"/>
      <c r="K97" s="17"/>
      <c r="L97" s="17"/>
      <c r="M97" s="17"/>
      <c r="N97" s="17"/>
      <c r="O97" s="17"/>
      <c r="P97" s="359" t="str">
        <f>IF(P$20=0,"",IF(P96=1,"OK","NOK"))</f>
        <v>OK</v>
      </c>
      <c r="Q97" s="17"/>
      <c r="R97" s="17"/>
      <c r="S97" s="359" t="str">
        <f>IF(S$20=0,"",IF(S96=1,"OK","NOK"))</f>
        <v/>
      </c>
      <c r="T97" s="17"/>
      <c r="U97" s="17"/>
      <c r="V97" s="359" t="str">
        <f>IF(V$20=0,"",IF(V96=1,"OK","NOK"))</f>
        <v/>
      </c>
      <c r="W97" s="382"/>
      <c r="X97" s="539"/>
      <c r="Y97" s="539"/>
      <c r="Z97" s="201"/>
      <c r="AA97" s="201"/>
      <c r="AB97" s="201"/>
      <c r="AC97" s="84"/>
      <c r="AE97" s="17"/>
      <c r="AF97" s="17"/>
      <c r="AG97" s="17"/>
      <c r="AH97" s="539"/>
      <c r="AI97" s="91"/>
      <c r="AK97" s="17"/>
      <c r="AL97" s="17"/>
      <c r="AM97" s="17"/>
      <c r="AN97" s="539"/>
      <c r="AO97" s="91"/>
      <c r="AQ97" s="17"/>
      <c r="AR97" s="17"/>
      <c r="AS97" s="17"/>
      <c r="AT97" s="539"/>
      <c r="AU97" s="91"/>
      <c r="AW97" s="17"/>
      <c r="AX97" s="17"/>
      <c r="AY97" s="17"/>
      <c r="AZ97" s="539"/>
      <c r="BA97" s="91"/>
    </row>
    <row r="98" spans="1:53" ht="17.100000000000001" customHeight="1" x14ac:dyDescent="0.25">
      <c r="A98" s="68"/>
      <c r="B98" s="41" t="s">
        <v>74</v>
      </c>
      <c r="C98" s="69" t="s">
        <v>12</v>
      </c>
      <c r="D98" s="50"/>
      <c r="E98" s="70"/>
      <c r="F98" s="70"/>
      <c r="G98" s="70"/>
      <c r="H98" s="119"/>
      <c r="J98" s="71"/>
      <c r="K98" s="71"/>
      <c r="L98" s="71"/>
      <c r="M98" s="71"/>
      <c r="N98" s="71"/>
      <c r="O98" s="71"/>
      <c r="P98" s="71"/>
      <c r="Q98" s="71"/>
      <c r="R98" s="71"/>
      <c r="S98" s="71"/>
      <c r="T98" s="71"/>
      <c r="U98" s="71"/>
      <c r="V98" s="355"/>
      <c r="W98" s="377"/>
      <c r="X98" s="71"/>
      <c r="Y98" s="72"/>
      <c r="Z98" s="73"/>
      <c r="AA98" s="73"/>
      <c r="AB98" s="73"/>
      <c r="AC98" s="73"/>
      <c r="AE98" s="71"/>
      <c r="AF98" s="71"/>
      <c r="AG98" s="71"/>
      <c r="AH98" s="72"/>
      <c r="AI98" s="73"/>
      <c r="AK98" s="71"/>
      <c r="AL98" s="71"/>
      <c r="AM98" s="71"/>
      <c r="AN98" s="72"/>
      <c r="AO98" s="73"/>
      <c r="AQ98" s="71"/>
      <c r="AR98" s="71"/>
      <c r="AS98" s="71"/>
      <c r="AT98" s="72"/>
      <c r="AU98" s="73"/>
      <c r="AW98" s="71"/>
      <c r="AX98" s="71"/>
      <c r="AY98" s="71"/>
      <c r="AZ98" s="72"/>
      <c r="BA98" s="73"/>
    </row>
    <row r="99" spans="1:53" s="97" customFormat="1" ht="17.100000000000001" customHeight="1" x14ac:dyDescent="0.25">
      <c r="A99" s="119"/>
      <c r="B99" s="119"/>
      <c r="C99" s="120" t="s">
        <v>895</v>
      </c>
      <c r="D99" s="85"/>
      <c r="E99" s="75"/>
      <c r="F99" s="75"/>
      <c r="G99" s="75"/>
      <c r="H99" s="540"/>
      <c r="I99" s="229"/>
      <c r="J99" s="111"/>
      <c r="K99" s="111"/>
      <c r="L99" s="111"/>
      <c r="M99" s="111"/>
      <c r="N99" s="111"/>
      <c r="O99" s="111"/>
      <c r="P99" s="111"/>
      <c r="Q99" s="111"/>
      <c r="R99" s="111"/>
      <c r="S99" s="111"/>
      <c r="T99" s="111"/>
      <c r="U99" s="111"/>
      <c r="V99" s="358"/>
      <c r="W99" s="380"/>
      <c r="X99" s="111"/>
      <c r="Y99" s="112"/>
      <c r="Z99" s="113"/>
      <c r="AA99" s="113"/>
      <c r="AB99" s="113"/>
      <c r="AC99" s="113"/>
      <c r="AE99" s="114"/>
      <c r="AF99" s="114"/>
      <c r="AG99" s="114"/>
      <c r="AH99" s="112"/>
      <c r="AI99" s="113"/>
      <c r="AK99" s="114"/>
      <c r="AL99" s="114"/>
      <c r="AM99" s="114"/>
      <c r="AN99" s="112"/>
      <c r="AO99" s="113"/>
      <c r="AQ99" s="114"/>
      <c r="AR99" s="114"/>
      <c r="AS99" s="114"/>
      <c r="AT99" s="112"/>
      <c r="AU99" s="113"/>
      <c r="AW99" s="114"/>
      <c r="AX99" s="114"/>
      <c r="AY99" s="114"/>
      <c r="AZ99" s="112"/>
      <c r="BA99" s="113"/>
    </row>
    <row r="100" spans="1:53" s="97" customFormat="1" ht="17.100000000000001" customHeight="1" x14ac:dyDescent="0.25">
      <c r="A100" s="119"/>
      <c r="B100" s="119"/>
      <c r="C100" s="540"/>
      <c r="D100" s="121" t="s">
        <v>75</v>
      </c>
      <c r="E100" s="122"/>
      <c r="F100" s="122"/>
      <c r="G100" s="122"/>
      <c r="H100" s="540"/>
      <c r="I100" s="229"/>
      <c r="J100" s="123"/>
      <c r="K100" s="123"/>
      <c r="L100" s="123"/>
      <c r="M100" s="123"/>
      <c r="N100" s="123"/>
      <c r="O100" s="123"/>
      <c r="P100" s="123"/>
      <c r="Q100" s="123"/>
      <c r="R100" s="123"/>
      <c r="S100" s="123"/>
      <c r="T100" s="123"/>
      <c r="U100" s="123"/>
      <c r="V100" s="363"/>
      <c r="W100" s="383"/>
      <c r="X100" s="123"/>
      <c r="Y100" s="124"/>
      <c r="Z100" s="125"/>
      <c r="AA100" s="125"/>
      <c r="AB100" s="125"/>
      <c r="AC100" s="125"/>
      <c r="AE100" s="126"/>
      <c r="AF100" s="126"/>
      <c r="AG100" s="126"/>
      <c r="AH100" s="124"/>
      <c r="AI100" s="125"/>
      <c r="AK100" s="126"/>
      <c r="AL100" s="126"/>
      <c r="AM100" s="126"/>
      <c r="AN100" s="124"/>
      <c r="AO100" s="125"/>
      <c r="AQ100" s="126"/>
      <c r="AR100" s="126"/>
      <c r="AS100" s="126"/>
      <c r="AT100" s="124"/>
      <c r="AU100" s="125"/>
      <c r="AW100" s="126"/>
      <c r="AX100" s="126"/>
      <c r="AY100" s="126"/>
      <c r="AZ100" s="124"/>
      <c r="BA100" s="125"/>
    </row>
    <row r="101" spans="1:53" s="97" customFormat="1" ht="17.100000000000001" customHeight="1" x14ac:dyDescent="0.25">
      <c r="A101" s="137"/>
      <c r="B101" s="137"/>
      <c r="C101" s="928"/>
      <c r="D101" s="941" t="s">
        <v>1438</v>
      </c>
      <c r="E101" s="122"/>
      <c r="F101" s="122"/>
      <c r="G101" s="122"/>
      <c r="H101" s="928"/>
      <c r="I101" s="229"/>
      <c r="J101" s="123"/>
      <c r="K101" s="123"/>
      <c r="L101" s="123"/>
      <c r="M101" s="123"/>
      <c r="N101" s="123">
        <f>N40</f>
        <v>0</v>
      </c>
      <c r="O101" s="123">
        <f>O40</f>
        <v>0</v>
      </c>
      <c r="P101" s="942">
        <f>SUM(N101:O101)</f>
        <v>0</v>
      </c>
      <c r="Q101" s="123">
        <f>Q40</f>
        <v>0</v>
      </c>
      <c r="R101" s="123">
        <f>R40</f>
        <v>0</v>
      </c>
      <c r="S101" s="942">
        <f>SUM(Q101:R101)</f>
        <v>0</v>
      </c>
      <c r="T101" s="123">
        <f>T40</f>
        <v>0</v>
      </c>
      <c r="U101" s="123">
        <f>U40</f>
        <v>0</v>
      </c>
      <c r="V101" s="942">
        <f>SUM(T101:U101)</f>
        <v>0</v>
      </c>
      <c r="W101" s="383"/>
      <c r="X101" s="123"/>
      <c r="Y101" s="129"/>
      <c r="Z101" s="125"/>
      <c r="AA101" s="125"/>
      <c r="AB101" s="125"/>
      <c r="AC101" s="125"/>
      <c r="AE101" s="126"/>
      <c r="AF101" s="126"/>
      <c r="AG101" s="126"/>
      <c r="AH101" s="124"/>
      <c r="AI101" s="125"/>
      <c r="AK101" s="126"/>
      <c r="AL101" s="126"/>
      <c r="AM101" s="126"/>
      <c r="AN101" s="124"/>
      <c r="AO101" s="125"/>
      <c r="AQ101" s="126"/>
      <c r="AR101" s="126"/>
      <c r="AS101" s="126"/>
      <c r="AT101" s="124"/>
      <c r="AU101" s="125"/>
      <c r="AW101" s="126"/>
      <c r="AX101" s="126"/>
      <c r="AY101" s="126"/>
      <c r="AZ101" s="124"/>
      <c r="BA101" s="125"/>
    </row>
    <row r="102" spans="1:53" s="97" customFormat="1" ht="17.100000000000001" customHeight="1" x14ac:dyDescent="0.25">
      <c r="A102" s="137"/>
      <c r="B102" s="119"/>
      <c r="C102" s="928"/>
      <c r="D102" s="127" t="s">
        <v>76</v>
      </c>
      <c r="E102" s="128"/>
      <c r="F102" s="122"/>
      <c r="G102" s="122"/>
      <c r="H102" s="928"/>
      <c r="I102" s="229"/>
      <c r="J102" s="123"/>
      <c r="K102" s="123"/>
      <c r="L102" s="123"/>
      <c r="M102" s="123"/>
      <c r="N102" s="943">
        <f>N63</f>
        <v>0</v>
      </c>
      <c r="O102" s="943">
        <f>O63</f>
        <v>0</v>
      </c>
      <c r="P102" s="942">
        <f>SUM(N102:O102)</f>
        <v>0</v>
      </c>
      <c r="Q102" s="943">
        <f>Q63</f>
        <v>0</v>
      </c>
      <c r="R102" s="943">
        <f>R63</f>
        <v>0</v>
      </c>
      <c r="S102" s="942">
        <f>SUM(Q102:R102)</f>
        <v>0</v>
      </c>
      <c r="T102" s="943">
        <f>T63</f>
        <v>0</v>
      </c>
      <c r="U102" s="943">
        <f>U63</f>
        <v>0</v>
      </c>
      <c r="V102" s="942">
        <f>SUM(T102:U102)</f>
        <v>0</v>
      </c>
      <c r="W102" s="383"/>
      <c r="X102" s="123"/>
      <c r="Y102" s="129"/>
      <c r="Z102" s="125"/>
      <c r="AA102" s="125"/>
      <c r="AB102" s="125"/>
      <c r="AC102" s="125"/>
      <c r="AE102" s="123"/>
      <c r="AF102" s="123"/>
      <c r="AG102" s="123"/>
      <c r="AH102" s="124"/>
      <c r="AI102" s="125"/>
      <c r="AK102" s="123"/>
      <c r="AL102" s="123"/>
      <c r="AM102" s="123"/>
      <c r="AN102" s="124"/>
      <c r="AO102" s="125"/>
      <c r="AQ102" s="123"/>
      <c r="AR102" s="123"/>
      <c r="AS102" s="123"/>
      <c r="AT102" s="124"/>
      <c r="AU102" s="125"/>
      <c r="AW102" s="123"/>
      <c r="AX102" s="123"/>
      <c r="AY102" s="123"/>
      <c r="AZ102" s="124"/>
      <c r="BA102" s="125"/>
    </row>
    <row r="103" spans="1:53" s="97" customFormat="1" ht="17.100000000000001" customHeight="1" x14ac:dyDescent="0.25">
      <c r="A103" s="137"/>
      <c r="B103" s="119"/>
      <c r="C103" s="928"/>
      <c r="D103" s="127" t="s">
        <v>77</v>
      </c>
      <c r="E103" s="128"/>
      <c r="F103" s="122"/>
      <c r="G103" s="122"/>
      <c r="H103" s="928"/>
      <c r="I103" s="229"/>
      <c r="J103" s="123"/>
      <c r="K103" s="123"/>
      <c r="L103" s="123"/>
      <c r="M103" s="123"/>
      <c r="N103" s="943">
        <f>N64</f>
        <v>0</v>
      </c>
      <c r="O103" s="943">
        <f>O64</f>
        <v>9</v>
      </c>
      <c r="P103" s="942">
        <f t="shared" ref="P103:P107" si="84">SUM(N103:O103)</f>
        <v>9</v>
      </c>
      <c r="Q103" s="943">
        <f>Q64</f>
        <v>0</v>
      </c>
      <c r="R103" s="943">
        <f>R64</f>
        <v>0</v>
      </c>
      <c r="S103" s="942">
        <f t="shared" ref="S103:S107" si="85">SUM(Q103:R103)</f>
        <v>0</v>
      </c>
      <c r="T103" s="943">
        <f>T64</f>
        <v>0</v>
      </c>
      <c r="U103" s="943">
        <f>U64</f>
        <v>0</v>
      </c>
      <c r="V103" s="942">
        <f t="shared" ref="V103:V107" si="86">SUM(T103:U103)</f>
        <v>0</v>
      </c>
      <c r="W103" s="383"/>
      <c r="X103" s="123"/>
      <c r="Y103" s="129"/>
      <c r="Z103" s="125"/>
      <c r="AA103" s="125"/>
      <c r="AB103" s="125"/>
      <c r="AC103" s="125"/>
      <c r="AE103" s="123"/>
      <c r="AF103" s="123"/>
      <c r="AG103" s="123"/>
      <c r="AH103" s="124"/>
      <c r="AI103" s="125"/>
      <c r="AK103" s="123"/>
      <c r="AL103" s="123"/>
      <c r="AM103" s="123"/>
      <c r="AN103" s="124"/>
      <c r="AO103" s="125"/>
      <c r="AQ103" s="123"/>
      <c r="AR103" s="123"/>
      <c r="AS103" s="123"/>
      <c r="AT103" s="124"/>
      <c r="AU103" s="125"/>
      <c r="AW103" s="123"/>
      <c r="AX103" s="123"/>
      <c r="AY103" s="123"/>
      <c r="AZ103" s="124"/>
      <c r="BA103" s="125"/>
    </row>
    <row r="104" spans="1:53" s="97" customFormat="1" ht="17.100000000000001" customHeight="1" x14ac:dyDescent="0.25">
      <c r="A104" s="137"/>
      <c r="B104" s="119"/>
      <c r="C104" s="928"/>
      <c r="D104" s="127" t="s">
        <v>78</v>
      </c>
      <c r="E104" s="128"/>
      <c r="F104" s="122"/>
      <c r="G104" s="122"/>
      <c r="H104" s="928"/>
      <c r="I104" s="229"/>
      <c r="J104" s="123"/>
      <c r="K104" s="123"/>
      <c r="L104" s="123"/>
      <c r="M104" s="123"/>
      <c r="N104" s="943">
        <f>N71</f>
        <v>0</v>
      </c>
      <c r="O104" s="943">
        <f>O71</f>
        <v>0</v>
      </c>
      <c r="P104" s="942">
        <f t="shared" si="84"/>
        <v>0</v>
      </c>
      <c r="Q104" s="943">
        <f>Q71</f>
        <v>0</v>
      </c>
      <c r="R104" s="943">
        <f>R71</f>
        <v>0</v>
      </c>
      <c r="S104" s="942">
        <f t="shared" si="85"/>
        <v>0</v>
      </c>
      <c r="T104" s="943">
        <f>T71</f>
        <v>0</v>
      </c>
      <c r="U104" s="943">
        <f>U71</f>
        <v>0</v>
      </c>
      <c r="V104" s="942">
        <f t="shared" si="86"/>
        <v>0</v>
      </c>
      <c r="W104" s="383"/>
      <c r="X104" s="123"/>
      <c r="Y104" s="129"/>
      <c r="Z104" s="125"/>
      <c r="AA104" s="125"/>
      <c r="AB104" s="125"/>
      <c r="AC104" s="125"/>
      <c r="AE104" s="123"/>
      <c r="AF104" s="123"/>
      <c r="AG104" s="123"/>
      <c r="AH104" s="124"/>
      <c r="AI104" s="125"/>
      <c r="AK104" s="123"/>
      <c r="AL104" s="123"/>
      <c r="AM104" s="123"/>
      <c r="AN104" s="124"/>
      <c r="AO104" s="125"/>
      <c r="AQ104" s="123"/>
      <c r="AR104" s="123"/>
      <c r="AS104" s="123"/>
      <c r="AT104" s="124"/>
      <c r="AU104" s="125"/>
      <c r="AW104" s="123"/>
      <c r="AX104" s="123"/>
      <c r="AY104" s="123"/>
      <c r="AZ104" s="124"/>
      <c r="BA104" s="125"/>
    </row>
    <row r="105" spans="1:53" s="97" customFormat="1" ht="17.100000000000001" customHeight="1" x14ac:dyDescent="0.25">
      <c r="A105" s="137"/>
      <c r="B105" s="119"/>
      <c r="C105" s="928"/>
      <c r="D105" s="127" t="s">
        <v>79</v>
      </c>
      <c r="E105" s="122"/>
      <c r="F105" s="122"/>
      <c r="G105" s="122"/>
      <c r="H105" s="928"/>
      <c r="I105" s="229"/>
      <c r="J105" s="123"/>
      <c r="K105" s="123"/>
      <c r="L105" s="123"/>
      <c r="M105" s="123"/>
      <c r="N105" s="943">
        <f>N72</f>
        <v>0</v>
      </c>
      <c r="O105" s="943">
        <f>O72</f>
        <v>0</v>
      </c>
      <c r="P105" s="942">
        <f t="shared" si="84"/>
        <v>0</v>
      </c>
      <c r="Q105" s="943">
        <f>Q72</f>
        <v>0</v>
      </c>
      <c r="R105" s="943">
        <f>R72</f>
        <v>0</v>
      </c>
      <c r="S105" s="942">
        <f t="shared" si="85"/>
        <v>0</v>
      </c>
      <c r="T105" s="943">
        <f>T72</f>
        <v>0</v>
      </c>
      <c r="U105" s="943">
        <f>U72</f>
        <v>0</v>
      </c>
      <c r="V105" s="942">
        <f t="shared" si="86"/>
        <v>0</v>
      </c>
      <c r="W105" s="383"/>
      <c r="X105" s="123"/>
      <c r="Y105" s="129"/>
      <c r="Z105" s="125"/>
      <c r="AA105" s="125"/>
      <c r="AB105" s="125"/>
      <c r="AC105" s="125"/>
      <c r="AE105" s="123"/>
      <c r="AF105" s="123"/>
      <c r="AG105" s="123"/>
      <c r="AH105" s="124"/>
      <c r="AI105" s="125"/>
      <c r="AK105" s="123"/>
      <c r="AL105" s="123"/>
      <c r="AM105" s="123"/>
      <c r="AN105" s="124"/>
      <c r="AO105" s="125"/>
      <c r="AQ105" s="123"/>
      <c r="AR105" s="123"/>
      <c r="AS105" s="123"/>
      <c r="AT105" s="124"/>
      <c r="AU105" s="125"/>
      <c r="AW105" s="123"/>
      <c r="AX105" s="123"/>
      <c r="AY105" s="123"/>
      <c r="AZ105" s="124"/>
      <c r="BA105" s="125"/>
    </row>
    <row r="106" spans="1:53" s="97" customFormat="1" ht="17.100000000000001" customHeight="1" x14ac:dyDescent="0.25">
      <c r="A106" s="137"/>
      <c r="B106" s="137"/>
      <c r="C106" s="928"/>
      <c r="D106" s="127" t="s">
        <v>81</v>
      </c>
      <c r="E106" s="122"/>
      <c r="F106" s="122"/>
      <c r="G106" s="122"/>
      <c r="H106" s="928"/>
      <c r="I106" s="229"/>
      <c r="J106" s="123"/>
      <c r="K106" s="123"/>
      <c r="L106" s="123"/>
      <c r="M106" s="123"/>
      <c r="N106" s="943">
        <f>SUM(N101:N105)</f>
        <v>0</v>
      </c>
      <c r="O106" s="943">
        <f>SUM(O101:O105)</f>
        <v>9</v>
      </c>
      <c r="P106" s="942">
        <f t="shared" si="84"/>
        <v>9</v>
      </c>
      <c r="Q106" s="943">
        <f>SUM(Q101:Q105)</f>
        <v>0</v>
      </c>
      <c r="R106" s="943">
        <f>SUM(R101:R105)</f>
        <v>0</v>
      </c>
      <c r="S106" s="942">
        <f t="shared" si="85"/>
        <v>0</v>
      </c>
      <c r="T106" s="943">
        <f>SUM(T101:T105)</f>
        <v>0</v>
      </c>
      <c r="U106" s="943">
        <f>SUM(U101:U105)</f>
        <v>0</v>
      </c>
      <c r="V106" s="942">
        <f t="shared" si="86"/>
        <v>0</v>
      </c>
      <c r="W106" s="383"/>
      <c r="X106" s="123"/>
      <c r="Y106" s="129"/>
      <c r="Z106" s="125"/>
      <c r="AA106" s="125"/>
      <c r="AB106" s="125"/>
      <c r="AC106" s="125"/>
      <c r="AE106" s="123"/>
      <c r="AF106" s="123"/>
      <c r="AG106" s="123"/>
      <c r="AH106" s="124"/>
      <c r="AI106" s="125"/>
      <c r="AK106" s="123"/>
      <c r="AL106" s="123"/>
      <c r="AM106" s="123"/>
      <c r="AN106" s="124"/>
      <c r="AO106" s="125"/>
      <c r="AQ106" s="123"/>
      <c r="AR106" s="123"/>
      <c r="AS106" s="123"/>
      <c r="AT106" s="124"/>
      <c r="AU106" s="125"/>
      <c r="AW106" s="123"/>
      <c r="AX106" s="123"/>
      <c r="AY106" s="123"/>
      <c r="AZ106" s="124"/>
      <c r="BA106" s="125"/>
    </row>
    <row r="107" spans="1:53" s="97" customFormat="1" ht="17.100000000000001" customHeight="1" x14ac:dyDescent="0.25">
      <c r="A107" s="137"/>
      <c r="B107" s="137"/>
      <c r="C107" s="928"/>
      <c r="D107" s="127" t="s">
        <v>1439</v>
      </c>
      <c r="E107" s="122"/>
      <c r="F107" s="122"/>
      <c r="G107" s="122"/>
      <c r="H107" s="928"/>
      <c r="I107" s="229"/>
      <c r="J107" s="123"/>
      <c r="K107" s="123"/>
      <c r="L107" s="123"/>
      <c r="M107" s="123"/>
      <c r="N107" s="943">
        <f>N20*3</f>
        <v>0</v>
      </c>
      <c r="O107" s="943">
        <f>O20*3</f>
        <v>27</v>
      </c>
      <c r="P107" s="942">
        <f t="shared" si="84"/>
        <v>27</v>
      </c>
      <c r="Q107" s="943">
        <f>Q20*3</f>
        <v>0</v>
      </c>
      <c r="R107" s="943">
        <f>R20*3</f>
        <v>0</v>
      </c>
      <c r="S107" s="942">
        <f t="shared" si="85"/>
        <v>0</v>
      </c>
      <c r="T107" s="943">
        <f>T20*3</f>
        <v>0</v>
      </c>
      <c r="U107" s="943">
        <f>U20*3</f>
        <v>0</v>
      </c>
      <c r="V107" s="942">
        <f t="shared" si="86"/>
        <v>0</v>
      </c>
      <c r="W107" s="383"/>
      <c r="X107" s="123"/>
      <c r="Y107" s="129"/>
      <c r="Z107" s="125"/>
      <c r="AA107" s="125"/>
      <c r="AB107" s="125"/>
      <c r="AC107" s="125"/>
      <c r="AE107" s="123"/>
      <c r="AF107" s="123"/>
      <c r="AG107" s="123"/>
      <c r="AH107" s="124"/>
      <c r="AI107" s="125"/>
      <c r="AK107" s="123"/>
      <c r="AL107" s="123"/>
      <c r="AM107" s="123"/>
      <c r="AN107" s="124"/>
      <c r="AO107" s="125"/>
      <c r="AQ107" s="123"/>
      <c r="AR107" s="123"/>
      <c r="AS107" s="123"/>
      <c r="AT107" s="124"/>
      <c r="AU107" s="125"/>
      <c r="AW107" s="123"/>
      <c r="AX107" s="123"/>
      <c r="AY107" s="123"/>
      <c r="AZ107" s="124"/>
      <c r="BA107" s="125"/>
    </row>
    <row r="108" spans="1:53" s="97" customFormat="1" ht="17.100000000000001" customHeight="1" x14ac:dyDescent="0.25">
      <c r="A108" s="137"/>
      <c r="B108" s="137"/>
      <c r="C108" s="928"/>
      <c r="D108" s="127" t="s">
        <v>1440</v>
      </c>
      <c r="E108" s="122"/>
      <c r="F108" s="122"/>
      <c r="G108" s="122"/>
      <c r="H108" s="928"/>
      <c r="I108" s="229"/>
      <c r="J108" s="123"/>
      <c r="K108" s="123"/>
      <c r="L108" s="123"/>
      <c r="M108" s="123"/>
      <c r="N108" s="130">
        <f>IF(N107=0,0,N106/N107)</f>
        <v>0</v>
      </c>
      <c r="O108" s="130">
        <f t="shared" ref="O108:V108" si="87">IF(O107=0,0,O106/O107)</f>
        <v>0.33333333333333331</v>
      </c>
      <c r="P108" s="130">
        <f t="shared" si="87"/>
        <v>0.33333333333333331</v>
      </c>
      <c r="Q108" s="130">
        <f t="shared" si="87"/>
        <v>0</v>
      </c>
      <c r="R108" s="130">
        <f t="shared" si="87"/>
        <v>0</v>
      </c>
      <c r="S108" s="130">
        <f t="shared" si="87"/>
        <v>0</v>
      </c>
      <c r="T108" s="130">
        <f t="shared" si="87"/>
        <v>0</v>
      </c>
      <c r="U108" s="130">
        <f t="shared" si="87"/>
        <v>0</v>
      </c>
      <c r="V108" s="130">
        <f t="shared" si="87"/>
        <v>0</v>
      </c>
      <c r="W108" s="383"/>
      <c r="X108" s="123"/>
      <c r="Y108" s="129"/>
      <c r="Z108" s="125"/>
      <c r="AA108" s="125"/>
      <c r="AB108" s="125"/>
      <c r="AC108" s="125"/>
      <c r="AE108" s="123"/>
      <c r="AF108" s="123"/>
      <c r="AG108" s="123"/>
      <c r="AH108" s="124"/>
      <c r="AI108" s="125"/>
      <c r="AK108" s="123"/>
      <c r="AL108" s="123"/>
      <c r="AM108" s="123"/>
      <c r="AN108" s="124"/>
      <c r="AO108" s="125"/>
      <c r="AQ108" s="123"/>
      <c r="AR108" s="123"/>
      <c r="AS108" s="123"/>
      <c r="AT108" s="124"/>
      <c r="AU108" s="125"/>
      <c r="AW108" s="123"/>
      <c r="AX108" s="123"/>
      <c r="AY108" s="123"/>
      <c r="AZ108" s="124"/>
      <c r="BA108" s="125"/>
    </row>
    <row r="109" spans="1:53" s="97" customFormat="1" ht="17.100000000000001" customHeight="1" x14ac:dyDescent="0.25">
      <c r="A109" s="137"/>
      <c r="B109" s="119"/>
      <c r="C109" s="103" t="s">
        <v>80</v>
      </c>
      <c r="D109" s="85" t="s">
        <v>896</v>
      </c>
      <c r="E109" s="75"/>
      <c r="F109" s="75"/>
      <c r="G109" s="75"/>
      <c r="H109" s="1310"/>
      <c r="I109" s="229"/>
      <c r="J109" s="1309"/>
      <c r="K109" s="1309"/>
      <c r="L109" s="1309"/>
      <c r="M109" s="1309"/>
      <c r="N109" s="1309"/>
      <c r="O109" s="1309"/>
      <c r="P109" s="1309">
        <f>IF(P108&gt;=0.5,1,0)</f>
        <v>0</v>
      </c>
      <c r="Q109" s="1309"/>
      <c r="R109" s="1309"/>
      <c r="S109" s="1309">
        <f>IF(S108&gt;=0.5,1,0)</f>
        <v>0</v>
      </c>
      <c r="T109" s="1309"/>
      <c r="U109" s="1309"/>
      <c r="V109" s="1309">
        <f>IF(V108&gt;=0.5,1,0)</f>
        <v>0</v>
      </c>
      <c r="W109" s="382"/>
      <c r="X109" s="1309"/>
      <c r="Y109" s="1309">
        <f t="shared" ref="Y109" si="88">M109+P109+S109+V109</f>
        <v>0</v>
      </c>
      <c r="Z109" s="91"/>
      <c r="AA109" s="91"/>
      <c r="AB109" s="91"/>
      <c r="AC109" s="84"/>
      <c r="AE109" s="1309"/>
      <c r="AF109" s="1309"/>
      <c r="AG109" s="1309"/>
      <c r="AH109" s="1309"/>
      <c r="AI109" s="91"/>
      <c r="AK109" s="1309"/>
      <c r="AL109" s="1309"/>
      <c r="AM109" s="1309"/>
      <c r="AN109" s="1309"/>
      <c r="AO109" s="91"/>
      <c r="AQ109" s="1309"/>
      <c r="AR109" s="1309"/>
      <c r="AS109" s="1309"/>
      <c r="AT109" s="1309"/>
      <c r="AU109" s="91"/>
      <c r="AW109" s="1309"/>
      <c r="AX109" s="1309"/>
      <c r="AY109" s="1309"/>
      <c r="AZ109" s="1309"/>
      <c r="BA109" s="91"/>
    </row>
    <row r="110" spans="1:53" s="97" customFormat="1" ht="16.5" customHeight="1" x14ac:dyDescent="0.25">
      <c r="A110" s="119"/>
      <c r="B110" s="119"/>
      <c r="C110" s="928"/>
      <c r="D110" s="121" t="s">
        <v>82</v>
      </c>
      <c r="E110" s="122"/>
      <c r="F110" s="122"/>
      <c r="G110" s="122"/>
      <c r="H110" s="928"/>
      <c r="I110" s="229"/>
      <c r="J110" s="123"/>
      <c r="K110" s="123"/>
      <c r="L110" s="123"/>
      <c r="M110" s="123"/>
      <c r="N110" s="123"/>
      <c r="O110" s="123"/>
      <c r="P110" s="123"/>
      <c r="Q110" s="123"/>
      <c r="R110" s="123"/>
      <c r="S110" s="123"/>
      <c r="T110" s="123"/>
      <c r="U110" s="123"/>
      <c r="V110" s="363"/>
      <c r="W110" s="383"/>
      <c r="X110" s="123"/>
      <c r="Y110" s="124"/>
      <c r="Z110" s="125"/>
      <c r="AA110" s="125"/>
      <c r="AB110" s="125"/>
      <c r="AC110" s="125"/>
      <c r="AE110" s="126"/>
      <c r="AF110" s="126"/>
      <c r="AG110" s="126"/>
      <c r="AH110" s="124"/>
      <c r="AI110" s="125"/>
      <c r="AK110" s="126"/>
      <c r="AL110" s="126"/>
      <c r="AM110" s="126"/>
      <c r="AN110" s="124"/>
      <c r="AO110" s="125"/>
      <c r="AQ110" s="126"/>
      <c r="AR110" s="126"/>
      <c r="AS110" s="126"/>
      <c r="AT110" s="124"/>
      <c r="AU110" s="125"/>
      <c r="AW110" s="126"/>
      <c r="AX110" s="126"/>
      <c r="AY110" s="126"/>
      <c r="AZ110" s="124"/>
      <c r="BA110" s="125"/>
    </row>
    <row r="111" spans="1:53" s="97" customFormat="1" ht="17.100000000000001" customHeight="1" x14ac:dyDescent="0.25">
      <c r="A111" s="119"/>
      <c r="B111" s="119"/>
      <c r="C111" s="928"/>
      <c r="D111" s="127" t="s">
        <v>910</v>
      </c>
      <c r="E111" s="122"/>
      <c r="F111" s="122"/>
      <c r="G111" s="122"/>
      <c r="H111" s="928"/>
      <c r="I111" s="229"/>
      <c r="J111" s="123"/>
      <c r="K111" s="123"/>
      <c r="L111" s="123"/>
      <c r="M111" s="123"/>
      <c r="N111" s="123"/>
      <c r="O111" s="123"/>
      <c r="P111" s="129">
        <f>P80</f>
        <v>0</v>
      </c>
      <c r="Q111" s="123"/>
      <c r="R111" s="123"/>
      <c r="S111" s="129">
        <f>S80</f>
        <v>0</v>
      </c>
      <c r="T111" s="123"/>
      <c r="U111" s="123"/>
      <c r="V111" s="129">
        <f>V80</f>
        <v>0</v>
      </c>
      <c r="W111" s="383"/>
      <c r="X111" s="123"/>
      <c r="Y111" s="124"/>
      <c r="Z111" s="125"/>
      <c r="AA111" s="125"/>
      <c r="AB111" s="125"/>
      <c r="AC111" s="125"/>
      <c r="AE111" s="126"/>
      <c r="AF111" s="126"/>
      <c r="AG111" s="126"/>
      <c r="AH111" s="124"/>
      <c r="AI111" s="125"/>
      <c r="AK111" s="126"/>
      <c r="AL111" s="126"/>
      <c r="AM111" s="126"/>
      <c r="AN111" s="124"/>
      <c r="AO111" s="125"/>
      <c r="AQ111" s="126"/>
      <c r="AR111" s="126"/>
      <c r="AS111" s="126"/>
      <c r="AT111" s="124"/>
      <c r="AU111" s="125"/>
      <c r="AW111" s="126"/>
      <c r="AX111" s="126"/>
      <c r="AY111" s="126"/>
      <c r="AZ111" s="124"/>
      <c r="BA111" s="125"/>
    </row>
    <row r="112" spans="1:53" s="97" customFormat="1" ht="17.100000000000001" customHeight="1" x14ac:dyDescent="0.25">
      <c r="A112" s="119"/>
      <c r="B112" s="119"/>
      <c r="C112" s="928"/>
      <c r="D112" s="127" t="s">
        <v>83</v>
      </c>
      <c r="E112" s="122"/>
      <c r="F112" s="122"/>
      <c r="G112" s="122"/>
      <c r="H112" s="928"/>
      <c r="I112" s="229"/>
      <c r="J112" s="123"/>
      <c r="K112" s="123"/>
      <c r="L112" s="123"/>
      <c r="M112" s="123"/>
      <c r="N112" s="123"/>
      <c r="O112" s="123"/>
      <c r="P112" s="129">
        <f t="shared" ref="P112:P114" si="89">P85</f>
        <v>0</v>
      </c>
      <c r="Q112" s="123"/>
      <c r="R112" s="123"/>
      <c r="S112" s="129">
        <f>S85</f>
        <v>0</v>
      </c>
      <c r="T112" s="123"/>
      <c r="U112" s="123"/>
      <c r="V112" s="129">
        <f>V85</f>
        <v>0</v>
      </c>
      <c r="W112" s="383"/>
      <c r="X112" s="123"/>
      <c r="Y112" s="129"/>
      <c r="Z112" s="125"/>
      <c r="AA112" s="125"/>
      <c r="AB112" s="125"/>
      <c r="AC112" s="125"/>
      <c r="AE112" s="123"/>
      <c r="AF112" s="123"/>
      <c r="AG112" s="123"/>
      <c r="AH112" s="124"/>
      <c r="AI112" s="125"/>
      <c r="AK112" s="123"/>
      <c r="AL112" s="123"/>
      <c r="AM112" s="123"/>
      <c r="AN112" s="124"/>
      <c r="AO112" s="125"/>
      <c r="AQ112" s="123"/>
      <c r="AR112" s="123"/>
      <c r="AS112" s="123"/>
      <c r="AT112" s="124"/>
      <c r="AU112" s="125"/>
      <c r="AW112" s="123"/>
      <c r="AX112" s="123"/>
      <c r="AY112" s="123"/>
      <c r="AZ112" s="124"/>
      <c r="BA112" s="125"/>
    </row>
    <row r="113" spans="1:53" s="97" customFormat="1" ht="17.100000000000001" customHeight="1" x14ac:dyDescent="0.25">
      <c r="A113" s="119"/>
      <c r="B113" s="119"/>
      <c r="C113" s="928"/>
      <c r="D113" s="127" t="s">
        <v>84</v>
      </c>
      <c r="E113" s="122"/>
      <c r="F113" s="122"/>
      <c r="G113" s="122"/>
      <c r="H113" s="928"/>
      <c r="I113" s="229"/>
      <c r="J113" s="123"/>
      <c r="K113" s="123"/>
      <c r="L113" s="123"/>
      <c r="M113" s="123"/>
      <c r="N113" s="123"/>
      <c r="O113" s="123"/>
      <c r="P113" s="129">
        <f t="shared" si="89"/>
        <v>0</v>
      </c>
      <c r="Q113" s="123"/>
      <c r="R113" s="123"/>
      <c r="S113" s="129">
        <f>S86</f>
        <v>0</v>
      </c>
      <c r="T113" s="123"/>
      <c r="U113" s="123"/>
      <c r="V113" s="129">
        <f>V86</f>
        <v>0</v>
      </c>
      <c r="W113" s="383"/>
      <c r="X113" s="123"/>
      <c r="Y113" s="129"/>
      <c r="Z113" s="125"/>
      <c r="AA113" s="125"/>
      <c r="AB113" s="125"/>
      <c r="AC113" s="125"/>
      <c r="AE113" s="123"/>
      <c r="AF113" s="123"/>
      <c r="AG113" s="123"/>
      <c r="AH113" s="124"/>
      <c r="AI113" s="125"/>
      <c r="AK113" s="123"/>
      <c r="AL113" s="123"/>
      <c r="AM113" s="123"/>
      <c r="AN113" s="124"/>
      <c r="AO113" s="125"/>
      <c r="AQ113" s="123"/>
      <c r="AR113" s="123"/>
      <c r="AS113" s="123"/>
      <c r="AT113" s="124"/>
      <c r="AU113" s="125"/>
      <c r="AW113" s="123"/>
      <c r="AX113" s="123"/>
      <c r="AY113" s="123"/>
      <c r="AZ113" s="124"/>
      <c r="BA113" s="125"/>
    </row>
    <row r="114" spans="1:53" s="97" customFormat="1" ht="17.100000000000001" customHeight="1" x14ac:dyDescent="0.25">
      <c r="A114" s="119"/>
      <c r="B114" s="119"/>
      <c r="C114" s="928"/>
      <c r="D114" s="127" t="s">
        <v>85</v>
      </c>
      <c r="E114" s="122"/>
      <c r="F114" s="122"/>
      <c r="G114" s="122"/>
      <c r="H114" s="928"/>
      <c r="I114" s="229"/>
      <c r="J114" s="123"/>
      <c r="K114" s="123"/>
      <c r="L114" s="123"/>
      <c r="M114" s="123"/>
      <c r="N114" s="123"/>
      <c r="O114" s="123"/>
      <c r="P114" s="129">
        <f t="shared" si="89"/>
        <v>0</v>
      </c>
      <c r="Q114" s="123"/>
      <c r="R114" s="123"/>
      <c r="S114" s="129">
        <f>S87</f>
        <v>0</v>
      </c>
      <c r="T114" s="123"/>
      <c r="U114" s="123"/>
      <c r="V114" s="129">
        <f>V87</f>
        <v>0</v>
      </c>
      <c r="W114" s="383"/>
      <c r="X114" s="123"/>
      <c r="Y114" s="129"/>
      <c r="Z114" s="125"/>
      <c r="AA114" s="125"/>
      <c r="AB114" s="125"/>
      <c r="AC114" s="125"/>
      <c r="AE114" s="123"/>
      <c r="AF114" s="123"/>
      <c r="AG114" s="123"/>
      <c r="AH114" s="124"/>
      <c r="AI114" s="125"/>
      <c r="AK114" s="123"/>
      <c r="AL114" s="123"/>
      <c r="AM114" s="123"/>
      <c r="AN114" s="124"/>
      <c r="AO114" s="125"/>
      <c r="AQ114" s="123"/>
      <c r="AR114" s="123"/>
      <c r="AS114" s="123"/>
      <c r="AT114" s="124"/>
      <c r="AU114" s="125"/>
      <c r="AW114" s="123"/>
      <c r="AX114" s="123"/>
      <c r="AY114" s="123"/>
      <c r="AZ114" s="124"/>
      <c r="BA114" s="125"/>
    </row>
    <row r="115" spans="1:53" s="97" customFormat="1" ht="17.100000000000001" customHeight="1" x14ac:dyDescent="0.25">
      <c r="A115" s="119"/>
      <c r="B115" s="119"/>
      <c r="C115" s="103" t="s">
        <v>86</v>
      </c>
      <c r="D115" s="85" t="s">
        <v>907</v>
      </c>
      <c r="E115" s="75"/>
      <c r="F115" s="75"/>
      <c r="G115" s="75"/>
      <c r="H115" s="540"/>
      <c r="I115" s="229"/>
      <c r="J115" s="545"/>
      <c r="K115" s="545"/>
      <c r="L115" s="545"/>
      <c r="M115" s="545"/>
      <c r="N115" s="545"/>
      <c r="O115" s="545"/>
      <c r="P115" s="545"/>
      <c r="Q115" s="545"/>
      <c r="R115" s="545"/>
      <c r="S115" s="545"/>
      <c r="T115" s="545"/>
      <c r="U115" s="545"/>
      <c r="V115" s="545"/>
      <c r="W115" s="385"/>
      <c r="X115" s="545"/>
      <c r="Y115" s="545"/>
      <c r="Z115" s="131"/>
      <c r="AA115" s="131"/>
      <c r="AB115" s="131"/>
      <c r="AC115" s="113"/>
      <c r="AE115" s="539"/>
      <c r="AF115" s="539"/>
      <c r="AG115" s="539"/>
      <c r="AH115" s="539"/>
      <c r="AI115" s="91"/>
      <c r="AK115" s="539"/>
      <c r="AL115" s="539"/>
      <c r="AM115" s="539"/>
      <c r="AN115" s="539"/>
      <c r="AO115" s="91"/>
      <c r="AQ115" s="539"/>
      <c r="AR115" s="539"/>
      <c r="AS115" s="539"/>
      <c r="AT115" s="539"/>
      <c r="AU115" s="91"/>
      <c r="AW115" s="539"/>
      <c r="AX115" s="539"/>
      <c r="AY115" s="539"/>
      <c r="AZ115" s="539"/>
      <c r="BA115" s="91"/>
    </row>
    <row r="116" spans="1:53" s="97" customFormat="1" ht="17.100000000000001" customHeight="1" x14ac:dyDescent="0.25">
      <c r="A116" s="119"/>
      <c r="B116" s="119"/>
      <c r="C116" s="119"/>
      <c r="D116" s="74" t="s">
        <v>905</v>
      </c>
      <c r="E116" s="75" t="s">
        <v>908</v>
      </c>
      <c r="F116" s="75"/>
      <c r="G116" s="75"/>
      <c r="H116" s="540"/>
      <c r="I116" s="229"/>
      <c r="J116" s="539"/>
      <c r="K116" s="539"/>
      <c r="L116" s="539"/>
      <c r="M116" s="539"/>
      <c r="N116" s="539"/>
      <c r="O116" s="539"/>
      <c r="P116" s="539">
        <f>IF(SUM(P111:P112)&gt;=1,1,0)</f>
        <v>0</v>
      </c>
      <c r="Q116" s="539"/>
      <c r="R116" s="539"/>
      <c r="S116" s="539">
        <f>IF(SUM(S111:S112)&gt;=1,1,0)</f>
        <v>0</v>
      </c>
      <c r="T116" s="539"/>
      <c r="U116" s="539"/>
      <c r="V116" s="539">
        <f>IF(SUM(V111:V112)&gt;=1,1,0)</f>
        <v>0</v>
      </c>
      <c r="W116" s="382"/>
      <c r="X116" s="539"/>
      <c r="Y116" s="539">
        <f t="shared" ref="Y116:Y121" si="90">M116+P116+S116+V116</f>
        <v>0</v>
      </c>
      <c r="Z116" s="91"/>
      <c r="AA116" s="91"/>
      <c r="AB116" s="91"/>
      <c r="AC116" s="84"/>
      <c r="AE116" s="539"/>
      <c r="AF116" s="539"/>
      <c r="AG116" s="539"/>
      <c r="AH116" s="539"/>
      <c r="AI116" s="91"/>
      <c r="AK116" s="539"/>
      <c r="AL116" s="539"/>
      <c r="AM116" s="539"/>
      <c r="AN116" s="539"/>
      <c r="AO116" s="91"/>
      <c r="AQ116" s="539"/>
      <c r="AR116" s="539"/>
      <c r="AS116" s="539"/>
      <c r="AT116" s="539"/>
      <c r="AU116" s="91"/>
      <c r="AW116" s="539"/>
      <c r="AX116" s="539"/>
      <c r="AY116" s="539"/>
      <c r="AZ116" s="539"/>
      <c r="BA116" s="91"/>
    </row>
    <row r="117" spans="1:53" s="97" customFormat="1" ht="17.100000000000001" customHeight="1" x14ac:dyDescent="0.25">
      <c r="A117" s="119"/>
      <c r="B117" s="119"/>
      <c r="C117" s="119"/>
      <c r="D117" s="74" t="s">
        <v>906</v>
      </c>
      <c r="E117" s="75" t="s">
        <v>909</v>
      </c>
      <c r="F117" s="75"/>
      <c r="G117" s="75"/>
      <c r="H117" s="540"/>
      <c r="I117" s="229"/>
      <c r="J117" s="539"/>
      <c r="K117" s="539"/>
      <c r="L117" s="539"/>
      <c r="M117" s="539"/>
      <c r="N117" s="539"/>
      <c r="O117" s="539"/>
      <c r="P117" s="539">
        <f>IF(SUM(P113:P114)&gt;=1,1,0)</f>
        <v>0</v>
      </c>
      <c r="Q117" s="539"/>
      <c r="R117" s="539"/>
      <c r="S117" s="539">
        <f>IF(SUM(S113:S114)&gt;=1,1,0)</f>
        <v>0</v>
      </c>
      <c r="T117" s="539"/>
      <c r="U117" s="539"/>
      <c r="V117" s="539">
        <f>IF(SUM(V113:V114)&gt;=1,1,0)</f>
        <v>0</v>
      </c>
      <c r="W117" s="382"/>
      <c r="X117" s="539"/>
      <c r="Y117" s="539">
        <f t="shared" si="90"/>
        <v>0</v>
      </c>
      <c r="Z117" s="91"/>
      <c r="AA117" s="91"/>
      <c r="AB117" s="91"/>
      <c r="AC117" s="84"/>
      <c r="AE117" s="539"/>
      <c r="AF117" s="539"/>
      <c r="AG117" s="539"/>
      <c r="AH117" s="539"/>
      <c r="AI117" s="91"/>
      <c r="AK117" s="539"/>
      <c r="AL117" s="539"/>
      <c r="AM117" s="539"/>
      <c r="AN117" s="539"/>
      <c r="AO117" s="91"/>
      <c r="AQ117" s="539"/>
      <c r="AR117" s="539"/>
      <c r="AS117" s="539"/>
      <c r="AT117" s="539"/>
      <c r="AU117" s="91"/>
      <c r="AW117" s="539"/>
      <c r="AX117" s="539"/>
      <c r="AY117" s="539"/>
      <c r="AZ117" s="539"/>
      <c r="BA117" s="91"/>
    </row>
    <row r="118" spans="1:53" s="97" customFormat="1" ht="17.100000000000001" customHeight="1" x14ac:dyDescent="0.25">
      <c r="A118" s="119"/>
      <c r="B118" s="119"/>
      <c r="C118" s="540"/>
      <c r="D118" s="121" t="s">
        <v>88</v>
      </c>
      <c r="E118" s="122"/>
      <c r="F118" s="122"/>
      <c r="G118" s="122"/>
      <c r="H118" s="540"/>
      <c r="I118" s="229"/>
      <c r="J118" s="123"/>
      <c r="K118" s="123"/>
      <c r="L118" s="123"/>
      <c r="M118" s="123"/>
      <c r="N118" s="123"/>
      <c r="O118" s="123"/>
      <c r="P118" s="123"/>
      <c r="Q118" s="123"/>
      <c r="R118" s="123"/>
      <c r="S118" s="123"/>
      <c r="T118" s="123"/>
      <c r="U118" s="123"/>
      <c r="V118" s="363"/>
      <c r="W118" s="383"/>
      <c r="X118" s="123"/>
      <c r="Y118" s="124"/>
      <c r="Z118" s="125"/>
      <c r="AA118" s="125"/>
      <c r="AB118" s="125"/>
      <c r="AC118" s="125"/>
      <c r="AE118" s="126"/>
      <c r="AF118" s="126"/>
      <c r="AG118" s="126"/>
      <c r="AH118" s="124"/>
      <c r="AI118" s="125"/>
      <c r="AK118" s="126"/>
      <c r="AL118" s="126"/>
      <c r="AM118" s="126"/>
      <c r="AN118" s="124"/>
      <c r="AO118" s="125"/>
      <c r="AQ118" s="126"/>
      <c r="AR118" s="126"/>
      <c r="AS118" s="126"/>
      <c r="AT118" s="124"/>
      <c r="AU118" s="125"/>
      <c r="AW118" s="126"/>
      <c r="AX118" s="126"/>
      <c r="AY118" s="126"/>
      <c r="AZ118" s="124"/>
      <c r="BA118" s="125"/>
    </row>
    <row r="119" spans="1:53" s="97" customFormat="1" ht="17.100000000000001" customHeight="1" x14ac:dyDescent="0.25">
      <c r="A119" s="119"/>
      <c r="B119" s="119"/>
      <c r="C119" s="540"/>
      <c r="D119" s="127" t="s">
        <v>90</v>
      </c>
      <c r="E119" s="122"/>
      <c r="F119" s="122"/>
      <c r="G119" s="279"/>
      <c r="H119" s="540"/>
      <c r="I119" s="229"/>
      <c r="J119" s="123"/>
      <c r="K119" s="123"/>
      <c r="L119" s="123"/>
      <c r="M119" s="123"/>
      <c r="N119" s="123"/>
      <c r="O119" s="123"/>
      <c r="P119" s="123">
        <f>P92</f>
        <v>0</v>
      </c>
      <c r="Q119" s="123"/>
      <c r="R119" s="123"/>
      <c r="S119" s="123">
        <f>S92</f>
        <v>0</v>
      </c>
      <c r="T119" s="123"/>
      <c r="U119" s="123"/>
      <c r="V119" s="123">
        <f>V92</f>
        <v>0</v>
      </c>
      <c r="W119" s="383"/>
      <c r="X119" s="123"/>
      <c r="Y119" s="123">
        <f t="shared" si="90"/>
        <v>0</v>
      </c>
      <c r="Z119" s="125"/>
      <c r="AA119" s="125"/>
      <c r="AB119" s="125"/>
      <c r="AC119" s="125"/>
      <c r="AE119" s="123"/>
      <c r="AF119" s="123"/>
      <c r="AG119" s="123"/>
      <c r="AH119" s="124"/>
      <c r="AI119" s="125"/>
      <c r="AK119" s="123"/>
      <c r="AL119" s="123"/>
      <c r="AM119" s="123"/>
      <c r="AN119" s="124"/>
      <c r="AO119" s="125"/>
      <c r="AQ119" s="123"/>
      <c r="AR119" s="123"/>
      <c r="AS119" s="123"/>
      <c r="AT119" s="124"/>
      <c r="AU119" s="125"/>
      <c r="AW119" s="123"/>
      <c r="AX119" s="123"/>
      <c r="AY119" s="123"/>
      <c r="AZ119" s="124"/>
      <c r="BA119" s="125"/>
    </row>
    <row r="120" spans="1:53" s="97" customFormat="1" ht="17.100000000000001" customHeight="1" x14ac:dyDescent="0.25">
      <c r="A120" s="119"/>
      <c r="B120" s="119"/>
      <c r="C120" s="540"/>
      <c r="D120" s="127" t="s">
        <v>89</v>
      </c>
      <c r="E120" s="122"/>
      <c r="F120" s="128"/>
      <c r="G120" s="279"/>
      <c r="H120" s="540"/>
      <c r="I120" s="229"/>
      <c r="J120" s="123"/>
      <c r="K120" s="123"/>
      <c r="L120" s="123"/>
      <c r="M120" s="123"/>
      <c r="N120" s="123"/>
      <c r="O120" s="123"/>
      <c r="P120" s="123">
        <f>SUM(P93:P95)</f>
        <v>1</v>
      </c>
      <c r="Q120" s="123"/>
      <c r="R120" s="123"/>
      <c r="S120" s="123">
        <f>SUM(S93:S95)</f>
        <v>0</v>
      </c>
      <c r="T120" s="123"/>
      <c r="U120" s="123"/>
      <c r="V120" s="123">
        <f>SUM(V93:V95)</f>
        <v>0</v>
      </c>
      <c r="W120" s="383"/>
      <c r="X120" s="123"/>
      <c r="Y120" s="123">
        <f t="shared" si="90"/>
        <v>1</v>
      </c>
      <c r="Z120" s="125"/>
      <c r="AA120" s="125"/>
      <c r="AB120" s="125"/>
      <c r="AC120" s="125"/>
      <c r="AE120" s="123"/>
      <c r="AF120" s="123"/>
      <c r="AG120" s="123"/>
      <c r="AH120" s="124"/>
      <c r="AI120" s="125"/>
      <c r="AK120" s="123"/>
      <c r="AL120" s="123"/>
      <c r="AM120" s="123"/>
      <c r="AN120" s="124"/>
      <c r="AO120" s="125"/>
      <c r="AQ120" s="123"/>
      <c r="AR120" s="123"/>
      <c r="AS120" s="123"/>
      <c r="AT120" s="124"/>
      <c r="AU120" s="125"/>
      <c r="AW120" s="123"/>
      <c r="AX120" s="123"/>
      <c r="AY120" s="123"/>
      <c r="AZ120" s="124"/>
      <c r="BA120" s="125"/>
    </row>
    <row r="121" spans="1:53" s="97" customFormat="1" ht="17.100000000000001" customHeight="1" x14ac:dyDescent="0.25">
      <c r="A121" s="119"/>
      <c r="B121" s="119"/>
      <c r="C121" s="540"/>
      <c r="D121" s="127" t="s">
        <v>91</v>
      </c>
      <c r="E121" s="122"/>
      <c r="F121" s="122"/>
      <c r="G121" s="279"/>
      <c r="H121" s="540"/>
      <c r="I121" s="229"/>
      <c r="J121" s="129"/>
      <c r="K121" s="129"/>
      <c r="L121" s="129"/>
      <c r="M121" s="129"/>
      <c r="N121" s="129"/>
      <c r="O121" s="129"/>
      <c r="P121" s="129">
        <f t="shared" ref="P121" si="91">IF(P119=1,0,IF(P120=1,1,0))</f>
        <v>1</v>
      </c>
      <c r="Q121" s="129"/>
      <c r="R121" s="129"/>
      <c r="S121" s="129">
        <f t="shared" ref="S121" si="92">IF(S119=1,0,IF(S120=1,1,0))</f>
        <v>0</v>
      </c>
      <c r="T121" s="129"/>
      <c r="U121" s="129"/>
      <c r="V121" s="129">
        <f t="shared" ref="V121" si="93">IF(V119=1,0,IF(V120=1,1,0))</f>
        <v>0</v>
      </c>
      <c r="W121" s="384"/>
      <c r="X121" s="129"/>
      <c r="Y121" s="129">
        <f t="shared" si="90"/>
        <v>1</v>
      </c>
      <c r="Z121" s="130"/>
      <c r="AA121" s="130"/>
      <c r="AB121" s="130"/>
      <c r="AC121" s="125"/>
      <c r="AE121" s="129"/>
      <c r="AF121" s="129"/>
      <c r="AG121" s="129"/>
      <c r="AH121" s="129"/>
      <c r="AI121" s="130"/>
      <c r="AK121" s="129"/>
      <c r="AL121" s="129"/>
      <c r="AM121" s="129"/>
      <c r="AN121" s="129"/>
      <c r="AO121" s="130"/>
      <c r="AQ121" s="129"/>
      <c r="AR121" s="129"/>
      <c r="AS121" s="129"/>
      <c r="AT121" s="129"/>
      <c r="AU121" s="130"/>
      <c r="AW121" s="129"/>
      <c r="AX121" s="129"/>
      <c r="AY121" s="129"/>
      <c r="AZ121" s="129"/>
      <c r="BA121" s="130"/>
    </row>
    <row r="122" spans="1:53" s="97" customFormat="1" ht="17.100000000000001" customHeight="1" x14ac:dyDescent="0.25">
      <c r="A122" s="119"/>
      <c r="B122" s="119"/>
      <c r="C122" s="103" t="s">
        <v>92</v>
      </c>
      <c r="D122" s="85" t="s">
        <v>914</v>
      </c>
      <c r="E122" s="75"/>
      <c r="F122" s="75"/>
      <c r="G122" s="75"/>
      <c r="H122" s="540"/>
      <c r="I122" s="229"/>
      <c r="J122" s="539"/>
      <c r="K122" s="539"/>
      <c r="L122" s="539"/>
      <c r="M122" s="539"/>
      <c r="N122" s="539"/>
      <c r="O122" s="539"/>
      <c r="P122" s="539">
        <f>P121</f>
        <v>1</v>
      </c>
      <c r="Q122" s="539"/>
      <c r="R122" s="539"/>
      <c r="S122" s="539">
        <f>S121</f>
        <v>0</v>
      </c>
      <c r="T122" s="539"/>
      <c r="U122" s="539"/>
      <c r="V122" s="539">
        <f>V121</f>
        <v>0</v>
      </c>
      <c r="W122" s="382"/>
      <c r="X122" s="539"/>
      <c r="Y122" s="539">
        <f>SUM(J122:X122)</f>
        <v>1</v>
      </c>
      <c r="Z122" s="91"/>
      <c r="AA122" s="91"/>
      <c r="AB122" s="91"/>
      <c r="AC122" s="84"/>
      <c r="AE122" s="539"/>
      <c r="AF122" s="539"/>
      <c r="AG122" s="539"/>
      <c r="AH122" s="539"/>
      <c r="AI122" s="91"/>
      <c r="AK122" s="539"/>
      <c r="AL122" s="539"/>
      <c r="AM122" s="539"/>
      <c r="AN122" s="539"/>
      <c r="AO122" s="91"/>
      <c r="AQ122" s="539"/>
      <c r="AR122" s="539"/>
      <c r="AS122" s="539"/>
      <c r="AT122" s="539"/>
      <c r="AU122" s="91"/>
      <c r="AW122" s="539"/>
      <c r="AX122" s="539"/>
      <c r="AY122" s="539"/>
      <c r="AZ122" s="539"/>
      <c r="BA122" s="91"/>
    </row>
    <row r="123" spans="1:53" s="97" customFormat="1" ht="17.100000000000001" customHeight="1" x14ac:dyDescent="0.25">
      <c r="A123" s="119"/>
      <c r="B123" s="119"/>
      <c r="C123" s="103" t="s">
        <v>93</v>
      </c>
      <c r="D123" s="85" t="s">
        <v>94</v>
      </c>
      <c r="E123" s="75"/>
      <c r="F123" s="75"/>
      <c r="G123" s="75"/>
      <c r="H123" s="928"/>
      <c r="I123" s="229"/>
      <c r="J123" s="932"/>
      <c r="K123" s="932"/>
      <c r="L123" s="932"/>
      <c r="M123" s="932"/>
      <c r="N123" s="932"/>
      <c r="O123" s="932"/>
      <c r="P123" s="932"/>
      <c r="Q123" s="932"/>
      <c r="R123" s="932"/>
      <c r="S123" s="932"/>
      <c r="T123" s="932"/>
      <c r="U123" s="932"/>
      <c r="V123" s="364"/>
      <c r="W123" s="385"/>
      <c r="X123" s="932"/>
      <c r="Y123" s="932"/>
      <c r="Z123" s="131"/>
      <c r="AA123" s="131"/>
      <c r="AB123" s="131"/>
      <c r="AC123" s="113"/>
      <c r="AE123" s="114"/>
      <c r="AF123" s="114"/>
      <c r="AG123" s="114"/>
      <c r="AH123" s="112"/>
      <c r="AI123" s="113"/>
      <c r="AK123" s="114"/>
      <c r="AL123" s="114"/>
      <c r="AM123" s="114"/>
      <c r="AN123" s="112"/>
      <c r="AO123" s="113"/>
      <c r="AQ123" s="114"/>
      <c r="AR123" s="114"/>
      <c r="AS123" s="114"/>
      <c r="AT123" s="112"/>
      <c r="AU123" s="113"/>
      <c r="AW123" s="114"/>
      <c r="AX123" s="114"/>
      <c r="AY123" s="114"/>
      <c r="AZ123" s="112"/>
      <c r="BA123" s="113"/>
    </row>
    <row r="124" spans="1:53" s="97" customFormat="1" ht="17.100000000000001" customHeight="1" x14ac:dyDescent="0.25">
      <c r="A124" s="137"/>
      <c r="B124" s="119"/>
      <c r="C124" s="132"/>
      <c r="D124" s="133" t="s">
        <v>95</v>
      </c>
      <c r="E124" s="134"/>
      <c r="F124" s="134"/>
      <c r="G124" s="134"/>
      <c r="H124" s="928"/>
      <c r="I124" s="229"/>
      <c r="J124" s="82"/>
      <c r="K124" s="82" t="str">
        <f>IF(SUM(K30:K32)=1,1-SUM(K125:K127),"")</f>
        <v/>
      </c>
      <c r="L124" s="82" t="str">
        <f>IF(SUM(L30:L32)=1,1-SUM(L125:L127),"")</f>
        <v/>
      </c>
      <c r="M124" s="82"/>
      <c r="N124" s="82"/>
      <c r="O124" s="82"/>
      <c r="P124" s="82">
        <f>IF(P20=0,0,IF(P109+P116+P117+P122=0,1,0))</f>
        <v>0</v>
      </c>
      <c r="Q124" s="82"/>
      <c r="R124" s="82"/>
      <c r="S124" s="82">
        <f>IF(S20=0,0,IF(S109+S116+S117+S122=0,1,0))</f>
        <v>0</v>
      </c>
      <c r="T124" s="82"/>
      <c r="U124" s="82"/>
      <c r="V124" s="82">
        <f>IF(V20=0,0,IF(V109+V116+V117+V122=0,1,0))</f>
        <v>0</v>
      </c>
      <c r="W124" s="381"/>
      <c r="X124" s="82" t="str">
        <f>IF(SUM(X30:X32)=1,1-SUM(X125:X127),"")</f>
        <v/>
      </c>
      <c r="Y124" s="82">
        <f>P124+S124+V124</f>
        <v>0</v>
      </c>
      <c r="Z124" s="66">
        <f>IF(Y$128=0,0,Y124/Y$128)</f>
        <v>0</v>
      </c>
      <c r="AA124" s="66"/>
      <c r="AB124" s="66"/>
      <c r="AC124" s="83"/>
      <c r="AE124" s="82"/>
      <c r="AF124" s="82"/>
      <c r="AG124" s="82"/>
      <c r="AH124" s="82"/>
      <c r="AI124" s="66"/>
      <c r="AK124" s="82"/>
      <c r="AL124" s="82"/>
      <c r="AM124" s="82"/>
      <c r="AN124" s="82"/>
      <c r="AO124" s="66"/>
      <c r="AQ124" s="82"/>
      <c r="AR124" s="82"/>
      <c r="AS124" s="82"/>
      <c r="AT124" s="82"/>
      <c r="AU124" s="66"/>
      <c r="AW124" s="82"/>
      <c r="AX124" s="82"/>
      <c r="AY124" s="82"/>
      <c r="AZ124" s="82"/>
      <c r="BA124" s="66"/>
    </row>
    <row r="125" spans="1:53" s="97" customFormat="1" ht="17.100000000000001" customHeight="1" x14ac:dyDescent="0.25">
      <c r="A125" s="119"/>
      <c r="B125" s="119"/>
      <c r="C125" s="135"/>
      <c r="D125" s="133" t="s">
        <v>96</v>
      </c>
      <c r="E125" s="134"/>
      <c r="F125" s="134"/>
      <c r="G125" s="134"/>
      <c r="H125" s="928"/>
      <c r="I125" s="229"/>
      <c r="J125" s="82"/>
      <c r="K125" s="82"/>
      <c r="L125" s="82"/>
      <c r="M125" s="82"/>
      <c r="N125" s="82"/>
      <c r="O125" s="82"/>
      <c r="P125" s="82">
        <f>IF(P109+P116+P117+P122=1,1,0)</f>
        <v>1</v>
      </c>
      <c r="Q125" s="82"/>
      <c r="R125" s="82"/>
      <c r="S125" s="82">
        <f>IF(S109+S116+S117+S122=1,1,0)</f>
        <v>0</v>
      </c>
      <c r="T125" s="82"/>
      <c r="U125" s="82"/>
      <c r="V125" s="82">
        <f>IF(V109+V116+V117+V122=1,1,0)</f>
        <v>0</v>
      </c>
      <c r="W125" s="381"/>
      <c r="X125" s="82"/>
      <c r="Y125" s="82">
        <f t="shared" ref="Y125:Y127" si="94">P125+S125+V125</f>
        <v>1</v>
      </c>
      <c r="Z125" s="66">
        <f>IF(Y$128=0,0,Y125/Y$128)</f>
        <v>1</v>
      </c>
      <c r="AA125" s="66"/>
      <c r="AB125" s="66"/>
      <c r="AC125" s="83"/>
      <c r="AE125" s="82"/>
      <c r="AF125" s="82"/>
      <c r="AG125" s="82"/>
      <c r="AH125" s="82"/>
      <c r="AI125" s="66"/>
      <c r="AK125" s="82"/>
      <c r="AL125" s="82"/>
      <c r="AM125" s="82"/>
      <c r="AN125" s="82"/>
      <c r="AO125" s="66"/>
      <c r="AQ125" s="82"/>
      <c r="AR125" s="82"/>
      <c r="AS125" s="82"/>
      <c r="AT125" s="82"/>
      <c r="AU125" s="66"/>
      <c r="AW125" s="82"/>
      <c r="AX125" s="82"/>
      <c r="AY125" s="82"/>
      <c r="AZ125" s="82"/>
      <c r="BA125" s="66"/>
    </row>
    <row r="126" spans="1:53" s="97" customFormat="1" ht="17.100000000000001" customHeight="1" x14ac:dyDescent="0.25">
      <c r="A126" s="119"/>
      <c r="B126" s="119"/>
      <c r="C126" s="136"/>
      <c r="D126" s="133" t="s">
        <v>97</v>
      </c>
      <c r="E126" s="134"/>
      <c r="F126" s="134"/>
      <c r="G126" s="134"/>
      <c r="H126" s="928"/>
      <c r="I126" s="229"/>
      <c r="J126" s="82"/>
      <c r="K126" s="82"/>
      <c r="L126" s="82"/>
      <c r="M126" s="82"/>
      <c r="N126" s="82"/>
      <c r="O126" s="82"/>
      <c r="P126" s="82">
        <f>IF(P109+P116+P117+P122=2,1,0)</f>
        <v>0</v>
      </c>
      <c r="Q126" s="82"/>
      <c r="R126" s="82"/>
      <c r="S126" s="82">
        <f>IF(S109+S116+S117+S122=2,1,0)</f>
        <v>0</v>
      </c>
      <c r="T126" s="82"/>
      <c r="U126" s="82"/>
      <c r="V126" s="82">
        <f>IF(V109+V116+V117+V122=2,1,0)</f>
        <v>0</v>
      </c>
      <c r="W126" s="381"/>
      <c r="X126" s="82"/>
      <c r="Y126" s="82">
        <f t="shared" si="94"/>
        <v>0</v>
      </c>
      <c r="Z126" s="66">
        <f>IF(Y$128=0,0,Y126/Y$128)</f>
        <v>0</v>
      </c>
      <c r="AA126" s="66"/>
      <c r="AB126" s="66"/>
      <c r="AC126" s="83"/>
      <c r="AE126" s="82"/>
      <c r="AF126" s="82"/>
      <c r="AG126" s="82"/>
      <c r="AH126" s="82"/>
      <c r="AI126" s="66"/>
      <c r="AK126" s="82"/>
      <c r="AL126" s="82"/>
      <c r="AM126" s="82"/>
      <c r="AN126" s="82"/>
      <c r="AO126" s="66"/>
      <c r="AQ126" s="82"/>
      <c r="AR126" s="82"/>
      <c r="AS126" s="82"/>
      <c r="AT126" s="82"/>
      <c r="AU126" s="66"/>
      <c r="AW126" s="82"/>
      <c r="AX126" s="82"/>
      <c r="AY126" s="82"/>
      <c r="AZ126" s="82"/>
      <c r="BA126" s="66"/>
    </row>
    <row r="127" spans="1:53" s="97" customFormat="1" ht="17.100000000000001" customHeight="1" x14ac:dyDescent="0.25">
      <c r="A127" s="119"/>
      <c r="B127" s="119"/>
      <c r="C127" s="137"/>
      <c r="D127" s="133" t="s">
        <v>98</v>
      </c>
      <c r="E127" s="134"/>
      <c r="F127" s="134"/>
      <c r="G127" s="134"/>
      <c r="H127" s="928"/>
      <c r="I127" s="229"/>
      <c r="J127" s="82"/>
      <c r="K127" s="82"/>
      <c r="L127" s="82"/>
      <c r="M127" s="82"/>
      <c r="N127" s="82"/>
      <c r="O127" s="82"/>
      <c r="P127" s="82">
        <f>IF(P109+P116+P117+P122=3,1,0)</f>
        <v>0</v>
      </c>
      <c r="Q127" s="82"/>
      <c r="R127" s="82"/>
      <c r="S127" s="82">
        <f>IF(S109+S116+S117+S122=3,1,0)</f>
        <v>0</v>
      </c>
      <c r="T127" s="82"/>
      <c r="U127" s="82"/>
      <c r="V127" s="82">
        <f>IF(V109+V116+V117+V122=3,1,0)</f>
        <v>0</v>
      </c>
      <c r="W127" s="381"/>
      <c r="X127" s="82"/>
      <c r="Y127" s="82">
        <f t="shared" si="94"/>
        <v>0</v>
      </c>
      <c r="Z127" s="66">
        <f>IF(Y$128=0,0,Y127/Y$128)</f>
        <v>0</v>
      </c>
      <c r="AA127" s="66"/>
      <c r="AB127" s="66"/>
      <c r="AC127" s="83"/>
      <c r="AE127" s="82"/>
      <c r="AF127" s="82"/>
      <c r="AG127" s="82"/>
      <c r="AH127" s="82"/>
      <c r="AI127" s="66"/>
      <c r="AK127" s="82"/>
      <c r="AL127" s="82"/>
      <c r="AM127" s="82"/>
      <c r="AN127" s="82"/>
      <c r="AO127" s="66"/>
      <c r="AQ127" s="82"/>
      <c r="AR127" s="82"/>
      <c r="AS127" s="82"/>
      <c r="AT127" s="82"/>
      <c r="AU127" s="66"/>
      <c r="AW127" s="82"/>
      <c r="AX127" s="82"/>
      <c r="AY127" s="82"/>
      <c r="AZ127" s="82"/>
      <c r="BA127" s="66"/>
    </row>
    <row r="128" spans="1:53" s="97" customFormat="1" ht="17.100000000000001" customHeight="1" x14ac:dyDescent="0.25">
      <c r="A128" s="119"/>
      <c r="B128" s="119"/>
      <c r="C128" s="928"/>
      <c r="D128" s="133"/>
      <c r="E128" s="134"/>
      <c r="F128" s="134"/>
      <c r="G128" s="134"/>
      <c r="H128" s="928"/>
      <c r="I128" s="229"/>
      <c r="J128" s="82"/>
      <c r="K128" s="82"/>
      <c r="L128" s="82"/>
      <c r="M128" s="82"/>
      <c r="N128" s="82"/>
      <c r="O128" s="82"/>
      <c r="P128" s="82"/>
      <c r="Q128" s="82"/>
      <c r="R128" s="82"/>
      <c r="S128" s="82"/>
      <c r="T128" s="82"/>
      <c r="U128" s="82"/>
      <c r="V128" s="360"/>
      <c r="W128" s="381"/>
      <c r="X128" s="82"/>
      <c r="Y128" s="82">
        <f>SUM(Y124:Y127)</f>
        <v>1</v>
      </c>
      <c r="Z128" s="66">
        <f>IF(Y$128=0,0,Y128/Y$128)</f>
        <v>1</v>
      </c>
      <c r="AA128" s="66"/>
      <c r="AB128" s="66"/>
      <c r="AC128" s="83"/>
      <c r="AE128" s="82"/>
      <c r="AF128" s="82"/>
      <c r="AG128" s="82"/>
      <c r="AH128" s="82"/>
      <c r="AI128" s="66"/>
      <c r="AK128" s="82"/>
      <c r="AL128" s="82"/>
      <c r="AM128" s="82"/>
      <c r="AN128" s="82"/>
      <c r="AO128" s="66"/>
      <c r="AQ128" s="82"/>
      <c r="AR128" s="82"/>
      <c r="AS128" s="82"/>
      <c r="AT128" s="82"/>
      <c r="AU128" s="66"/>
      <c r="AW128" s="82"/>
      <c r="AX128" s="82"/>
      <c r="AY128" s="82"/>
      <c r="AZ128" s="82"/>
      <c r="BA128" s="66"/>
    </row>
    <row r="129" spans="1:53" s="97" customFormat="1" ht="17.100000000000001" customHeight="1" x14ac:dyDescent="0.25">
      <c r="A129" s="119"/>
      <c r="B129" s="119"/>
      <c r="C129" s="928"/>
      <c r="D129" s="127" t="s">
        <v>81</v>
      </c>
      <c r="E129" s="122"/>
      <c r="F129" s="122"/>
      <c r="G129" s="122"/>
      <c r="H129" s="928"/>
      <c r="I129" s="229"/>
      <c r="J129" s="123"/>
      <c r="K129" s="123"/>
      <c r="L129" s="123"/>
      <c r="M129" s="123"/>
      <c r="N129" s="123"/>
      <c r="O129" s="123"/>
      <c r="P129" s="123">
        <f t="shared" ref="P129" si="95">P109</f>
        <v>0</v>
      </c>
      <c r="Q129" s="123"/>
      <c r="R129" s="123"/>
      <c r="S129" s="123">
        <f t="shared" ref="S129" si="96">S109</f>
        <v>0</v>
      </c>
      <c r="T129" s="123"/>
      <c r="U129" s="123"/>
      <c r="V129" s="123">
        <f t="shared" ref="V129" si="97">V109</f>
        <v>0</v>
      </c>
      <c r="W129" s="383"/>
      <c r="X129" s="123"/>
      <c r="Y129" s="123">
        <f t="shared" ref="Y129" si="98">Y109</f>
        <v>0</v>
      </c>
      <c r="Z129" s="525"/>
      <c r="AA129" s="125"/>
      <c r="AB129" s="125"/>
      <c r="AC129" s="125"/>
      <c r="AE129" s="123"/>
      <c r="AF129" s="123"/>
      <c r="AG129" s="123"/>
      <c r="AH129" s="124"/>
      <c r="AI129" s="125"/>
      <c r="AK129" s="123"/>
      <c r="AL129" s="123"/>
      <c r="AM129" s="123"/>
      <c r="AN129" s="124"/>
      <c r="AO129" s="125"/>
      <c r="AQ129" s="123"/>
      <c r="AR129" s="123"/>
      <c r="AS129" s="123"/>
      <c r="AT129" s="124"/>
      <c r="AU129" s="125"/>
      <c r="AW129" s="123"/>
      <c r="AX129" s="123"/>
      <c r="AY129" s="123"/>
      <c r="AZ129" s="124"/>
      <c r="BA129" s="125"/>
    </row>
    <row r="130" spans="1:53" s="97" customFormat="1" ht="17.100000000000001" customHeight="1" x14ac:dyDescent="0.25">
      <c r="A130" s="119"/>
      <c r="B130" s="119"/>
      <c r="C130" s="1310"/>
      <c r="D130" s="127" t="s">
        <v>87</v>
      </c>
      <c r="E130" s="122"/>
      <c r="F130" s="122"/>
      <c r="G130" s="122"/>
      <c r="H130" s="1310"/>
      <c r="I130" s="229"/>
      <c r="J130" s="123"/>
      <c r="K130" s="123"/>
      <c r="L130" s="123"/>
      <c r="M130" s="123"/>
      <c r="N130" s="123"/>
      <c r="O130" s="123"/>
      <c r="P130" s="123">
        <f>P116+P117</f>
        <v>0</v>
      </c>
      <c r="Q130" s="123"/>
      <c r="R130" s="123"/>
      <c r="S130" s="123">
        <f>S116+S117</f>
        <v>0</v>
      </c>
      <c r="T130" s="123"/>
      <c r="U130" s="123"/>
      <c r="V130" s="123">
        <f>V116+V117</f>
        <v>0</v>
      </c>
      <c r="W130" s="383"/>
      <c r="X130" s="123"/>
      <c r="Y130" s="123">
        <f>Y116+Y117</f>
        <v>0</v>
      </c>
      <c r="Z130" s="525"/>
      <c r="AA130" s="125"/>
      <c r="AB130" s="125"/>
      <c r="AC130" s="125"/>
      <c r="AE130" s="123"/>
      <c r="AF130" s="123"/>
      <c r="AG130" s="123"/>
      <c r="AH130" s="124"/>
      <c r="AI130" s="125"/>
      <c r="AK130" s="123"/>
      <c r="AL130" s="123"/>
      <c r="AM130" s="123"/>
      <c r="AN130" s="124"/>
      <c r="AO130" s="125"/>
      <c r="AQ130" s="123"/>
      <c r="AR130" s="123"/>
      <c r="AS130" s="123"/>
      <c r="AT130" s="124"/>
      <c r="AU130" s="125"/>
      <c r="AW130" s="123"/>
      <c r="AX130" s="123"/>
      <c r="AY130" s="123"/>
      <c r="AZ130" s="124"/>
      <c r="BA130" s="125"/>
    </row>
    <row r="131" spans="1:53" s="97" customFormat="1" ht="17.100000000000001" customHeight="1" x14ac:dyDescent="0.25">
      <c r="A131" s="119"/>
      <c r="B131" s="119"/>
      <c r="C131" s="928"/>
      <c r="D131" s="127" t="s">
        <v>923</v>
      </c>
      <c r="E131" s="122"/>
      <c r="F131" s="122"/>
      <c r="G131" s="122"/>
      <c r="H131" s="928"/>
      <c r="I131" s="229"/>
      <c r="J131" s="123"/>
      <c r="K131" s="123"/>
      <c r="L131" s="123"/>
      <c r="M131" s="123"/>
      <c r="N131" s="123"/>
      <c r="O131" s="123"/>
      <c r="P131" s="123"/>
      <c r="Q131" s="123"/>
      <c r="R131" s="123"/>
      <c r="S131" s="123"/>
      <c r="T131" s="123"/>
      <c r="U131" s="123"/>
      <c r="V131" s="123"/>
      <c r="W131" s="383"/>
      <c r="X131" s="123"/>
      <c r="Y131" s="123"/>
      <c r="Z131" s="525"/>
      <c r="AA131" s="130"/>
      <c r="AB131" s="130"/>
      <c r="AC131" s="125"/>
      <c r="AE131" s="123"/>
      <c r="AF131" s="123"/>
      <c r="AG131" s="123"/>
      <c r="AH131" s="129"/>
      <c r="AI131" s="130"/>
      <c r="AK131" s="123"/>
      <c r="AL131" s="123"/>
      <c r="AM131" s="123"/>
      <c r="AN131" s="129"/>
      <c r="AO131" s="130"/>
      <c r="AQ131" s="123"/>
      <c r="AR131" s="123"/>
      <c r="AS131" s="123"/>
      <c r="AT131" s="129"/>
      <c r="AU131" s="130"/>
      <c r="AW131" s="123"/>
      <c r="AX131" s="123"/>
      <c r="AY131" s="123"/>
      <c r="AZ131" s="129"/>
      <c r="BA131" s="130"/>
    </row>
    <row r="132" spans="1:53" s="97" customFormat="1" ht="17.100000000000001" customHeight="1" x14ac:dyDescent="0.25">
      <c r="A132" s="119"/>
      <c r="B132" s="119"/>
      <c r="C132" s="928"/>
      <c r="D132" s="127" t="s">
        <v>922</v>
      </c>
      <c r="E132" s="122"/>
      <c r="F132" s="122"/>
      <c r="G132" s="122"/>
      <c r="H132" s="928"/>
      <c r="I132" s="229"/>
      <c r="J132" s="123"/>
      <c r="K132" s="123"/>
      <c r="L132" s="123"/>
      <c r="M132" s="123"/>
      <c r="N132" s="123"/>
      <c r="O132" s="123"/>
      <c r="P132" s="123">
        <f t="shared" ref="P132" si="99">SUM(P129:P131)</f>
        <v>0</v>
      </c>
      <c r="Q132" s="123"/>
      <c r="R132" s="123"/>
      <c r="S132" s="123">
        <f t="shared" ref="S132" si="100">SUM(S129:S131)</f>
        <v>0</v>
      </c>
      <c r="T132" s="123"/>
      <c r="U132" s="123"/>
      <c r="V132" s="123">
        <f t="shared" ref="V132" si="101">SUM(V129:V131)</f>
        <v>0</v>
      </c>
      <c r="W132" s="383"/>
      <c r="X132" s="123"/>
      <c r="Y132" s="123">
        <f t="shared" ref="Y132:Y133" si="102">SUM(Y129:Y131)</f>
        <v>0</v>
      </c>
      <c r="Z132" s="525"/>
      <c r="AA132" s="125"/>
      <c r="AB132" s="125"/>
      <c r="AC132" s="125"/>
      <c r="AE132" s="123"/>
      <c r="AF132" s="123"/>
      <c r="AG132" s="123"/>
      <c r="AH132" s="124"/>
      <c r="AI132" s="125"/>
      <c r="AK132" s="123"/>
      <c r="AL132" s="123"/>
      <c r="AM132" s="123"/>
      <c r="AN132" s="124"/>
      <c r="AO132" s="125"/>
      <c r="AQ132" s="123"/>
      <c r="AR132" s="123"/>
      <c r="AS132" s="123"/>
      <c r="AT132" s="124"/>
      <c r="AU132" s="125"/>
      <c r="AW132" s="123"/>
      <c r="AX132" s="123"/>
      <c r="AY132" s="123"/>
      <c r="AZ132" s="124"/>
      <c r="BA132" s="125"/>
    </row>
    <row r="133" spans="1:53" s="97" customFormat="1" ht="17.100000000000001" customHeight="1" x14ac:dyDescent="0.25">
      <c r="A133" s="119"/>
      <c r="B133" s="119"/>
      <c r="C133" s="103" t="s">
        <v>99</v>
      </c>
      <c r="D133" s="85" t="s">
        <v>921</v>
      </c>
      <c r="E133" s="75"/>
      <c r="F133" s="75"/>
      <c r="G133" s="75"/>
      <c r="H133" s="928"/>
      <c r="I133" s="229"/>
      <c r="J133" s="927"/>
      <c r="K133" s="927"/>
      <c r="L133" s="927"/>
      <c r="M133" s="927"/>
      <c r="N133" s="927"/>
      <c r="O133" s="927"/>
      <c r="P133" s="927">
        <f t="shared" ref="P133" si="103">IF(P132&gt;=1,1,0)</f>
        <v>0</v>
      </c>
      <c r="Q133" s="927"/>
      <c r="R133" s="927"/>
      <c r="S133" s="927">
        <f t="shared" ref="S133" si="104">IF(S132&gt;=1,1,0)</f>
        <v>0</v>
      </c>
      <c r="T133" s="927"/>
      <c r="U133" s="927"/>
      <c r="V133" s="927">
        <f t="shared" ref="V133" si="105">IF(V132&gt;=1,1,0)</f>
        <v>0</v>
      </c>
      <c r="W133" s="382"/>
      <c r="X133" s="927"/>
      <c r="Y133" s="927">
        <f t="shared" si="102"/>
        <v>0</v>
      </c>
      <c r="Z133" s="91"/>
      <c r="AA133" s="91"/>
      <c r="AB133" s="91"/>
      <c r="AC133" s="84"/>
      <c r="AE133" s="927"/>
      <c r="AF133" s="927"/>
      <c r="AG133" s="927"/>
      <c r="AH133" s="927"/>
      <c r="AI133" s="91"/>
      <c r="AK133" s="927"/>
      <c r="AL133" s="927"/>
      <c r="AM133" s="927"/>
      <c r="AN133" s="927"/>
      <c r="AO133" s="91"/>
      <c r="AQ133" s="927"/>
      <c r="AR133" s="927"/>
      <c r="AS133" s="927"/>
      <c r="AT133" s="927"/>
      <c r="AU133" s="91"/>
      <c r="AW133" s="927"/>
      <c r="AX133" s="927"/>
      <c r="AY133" s="927"/>
      <c r="AZ133" s="927"/>
      <c r="BA133" s="91"/>
    </row>
    <row r="134" spans="1:53" s="97" customFormat="1" ht="17.100000000000001" customHeight="1" x14ac:dyDescent="0.25">
      <c r="A134" s="138"/>
      <c r="B134" s="138"/>
      <c r="C134" s="139"/>
      <c r="D134" s="12"/>
      <c r="E134" s="12"/>
      <c r="F134" s="12"/>
      <c r="G134" s="12"/>
      <c r="H134" s="139"/>
      <c r="I134" s="12"/>
      <c r="J134" s="95"/>
      <c r="K134" s="95"/>
      <c r="L134" s="95"/>
      <c r="M134" s="95"/>
      <c r="N134" s="95"/>
      <c r="O134" s="95"/>
      <c r="P134" s="95"/>
      <c r="Q134" s="95"/>
      <c r="R134" s="95"/>
      <c r="S134" s="95"/>
      <c r="T134" s="95"/>
      <c r="U134" s="95"/>
      <c r="V134" s="95"/>
      <c r="W134" s="378"/>
      <c r="X134" s="95"/>
      <c r="Y134" s="96"/>
      <c r="AE134" s="109"/>
      <c r="AF134" s="109"/>
      <c r="AG134" s="109"/>
      <c r="AH134" s="96"/>
      <c r="AK134" s="109"/>
      <c r="AL134" s="109"/>
      <c r="AM134" s="109"/>
      <c r="AN134" s="96"/>
      <c r="AQ134" s="109"/>
      <c r="AR134" s="109"/>
      <c r="AS134" s="109"/>
      <c r="AT134" s="96"/>
      <c r="AW134" s="109"/>
      <c r="AX134" s="109"/>
      <c r="AY134" s="109"/>
      <c r="AZ134" s="96"/>
    </row>
    <row r="135" spans="1:53" s="32" customFormat="1" ht="16.5" thickBot="1" x14ac:dyDescent="0.3">
      <c r="A135" s="24" t="s">
        <v>100</v>
      </c>
      <c r="B135" s="25" t="s">
        <v>101</v>
      </c>
      <c r="C135" s="26"/>
      <c r="D135" s="27"/>
      <c r="E135" s="27"/>
      <c r="F135" s="27"/>
      <c r="G135" s="28"/>
      <c r="H135" s="215"/>
      <c r="I135" s="228"/>
      <c r="J135" s="140"/>
      <c r="K135" s="140"/>
      <c r="L135" s="140"/>
      <c r="M135" s="140"/>
      <c r="N135" s="140"/>
      <c r="O135" s="140"/>
      <c r="P135" s="140"/>
      <c r="Q135" s="140"/>
      <c r="R135" s="140"/>
      <c r="S135" s="140"/>
      <c r="T135" s="140"/>
      <c r="U135" s="140"/>
      <c r="V135" s="365"/>
      <c r="W135" s="379"/>
      <c r="X135" s="140"/>
      <c r="Y135" s="30" t="s">
        <v>4</v>
      </c>
      <c r="Z135" s="31" t="s">
        <v>5</v>
      </c>
      <c r="AA135" s="31" t="s">
        <v>181</v>
      </c>
      <c r="AB135" s="31" t="s">
        <v>182</v>
      </c>
      <c r="AC135" s="31" t="s">
        <v>6</v>
      </c>
      <c r="AE135" s="33" t="s">
        <v>181</v>
      </c>
      <c r="AF135" s="33" t="s">
        <v>182</v>
      </c>
      <c r="AG135" s="33" t="s">
        <v>6</v>
      </c>
      <c r="AH135" s="33" t="s">
        <v>4</v>
      </c>
      <c r="AI135" s="34" t="s">
        <v>5</v>
      </c>
      <c r="AJ135" s="408"/>
      <c r="AK135" s="36" t="s">
        <v>181</v>
      </c>
      <c r="AL135" s="36" t="s">
        <v>182</v>
      </c>
      <c r="AM135" s="36" t="s">
        <v>6</v>
      </c>
      <c r="AN135" s="36" t="s">
        <v>4</v>
      </c>
      <c r="AO135" s="37" t="s">
        <v>5</v>
      </c>
      <c r="AP135" s="408"/>
      <c r="AQ135" s="36"/>
      <c r="AR135" s="36"/>
      <c r="AS135" s="36"/>
      <c r="AT135" s="36"/>
      <c r="AU135" s="37"/>
      <c r="AV135" s="408"/>
      <c r="AW135" s="38" t="s">
        <v>181</v>
      </c>
      <c r="AX135" s="38" t="s">
        <v>182</v>
      </c>
      <c r="AY135" s="38" t="s">
        <v>6</v>
      </c>
      <c r="AZ135" s="38" t="s">
        <v>4</v>
      </c>
      <c r="BA135" s="39" t="s">
        <v>5</v>
      </c>
    </row>
    <row r="136" spans="1:53" ht="17.100000000000001" customHeight="1" x14ac:dyDescent="0.25">
      <c r="A136" s="68"/>
      <c r="B136" s="41" t="s">
        <v>102</v>
      </c>
      <c r="C136" s="69" t="s">
        <v>103</v>
      </c>
      <c r="D136" s="50"/>
      <c r="E136" s="70"/>
      <c r="F136" s="70"/>
      <c r="G136" s="70"/>
      <c r="H136" s="263">
        <v>2</v>
      </c>
      <c r="J136" s="71"/>
      <c r="K136" s="71"/>
      <c r="L136" s="71"/>
      <c r="M136" s="71"/>
      <c r="N136" s="71"/>
      <c r="O136" s="71"/>
      <c r="P136" s="71"/>
      <c r="Q136" s="71"/>
      <c r="R136" s="71"/>
      <c r="S136" s="71"/>
      <c r="T136" s="71"/>
      <c r="U136" s="71"/>
      <c r="V136" s="355"/>
      <c r="W136" s="377"/>
      <c r="X136" s="71"/>
      <c r="Y136" s="72"/>
      <c r="Z136" s="73"/>
      <c r="AA136" s="73"/>
      <c r="AB136" s="73"/>
      <c r="AC136" s="73"/>
      <c r="AE136" s="71"/>
      <c r="AF136" s="71"/>
      <c r="AG136" s="71"/>
      <c r="AH136" s="72"/>
      <c r="AI136" s="73"/>
      <c r="AK136" s="71"/>
      <c r="AL136" s="71"/>
      <c r="AM136" s="71"/>
      <c r="AN136" s="72"/>
      <c r="AO136" s="73"/>
      <c r="AQ136" s="71"/>
      <c r="AR136" s="71"/>
      <c r="AS136" s="71"/>
      <c r="AT136" s="72"/>
      <c r="AU136" s="73"/>
      <c r="AW136" s="71"/>
      <c r="AX136" s="71"/>
      <c r="AY136" s="71"/>
      <c r="AZ136" s="72"/>
      <c r="BA136" s="73"/>
    </row>
    <row r="137" spans="1:53" ht="17.100000000000001" customHeight="1" x14ac:dyDescent="0.25">
      <c r="A137" s="40"/>
      <c r="B137" s="40"/>
      <c r="C137" s="74" t="s">
        <v>104</v>
      </c>
      <c r="D137" s="75" t="s">
        <v>404</v>
      </c>
      <c r="E137" s="75"/>
      <c r="F137" s="75"/>
      <c r="G137" s="542"/>
      <c r="H137" s="540"/>
      <c r="I137" s="235"/>
      <c r="J137" s="581"/>
      <c r="K137" s="581"/>
      <c r="L137" s="582"/>
      <c r="M137" s="17">
        <f t="shared" ref="M137:M146" si="106">SUM(J137:L137)</f>
        <v>0</v>
      </c>
      <c r="N137" s="111"/>
      <c r="O137" s="111"/>
      <c r="P137" s="111"/>
      <c r="Q137" s="111"/>
      <c r="R137" s="111"/>
      <c r="S137" s="111"/>
      <c r="T137" s="111"/>
      <c r="U137" s="111"/>
      <c r="V137" s="358"/>
      <c r="W137" s="391">
        <f t="shared" ref="W137:W146" si="107">J137+K137+N137+Q137+T137</f>
        <v>0</v>
      </c>
      <c r="X137" s="17">
        <f t="shared" ref="X137:X146" si="108">L137+O137+R137+U137</f>
        <v>0</v>
      </c>
      <c r="Y137" s="18">
        <f t="shared" ref="Y137:Y146" si="109">SUM(W137:X137)</f>
        <v>0</v>
      </c>
      <c r="Z137" s="19">
        <f>IF(Y$147=0,0,Y137/Y$147)</f>
        <v>0</v>
      </c>
      <c r="AA137" s="19"/>
      <c r="AB137" s="19"/>
      <c r="AC137" s="20"/>
      <c r="AE137" s="17"/>
      <c r="AF137" s="17"/>
      <c r="AG137" s="17"/>
      <c r="AH137" s="18">
        <f t="shared" ref="AH137:AH146" si="110">J137</f>
        <v>0</v>
      </c>
      <c r="AI137" s="19">
        <f>IF(AH$147=0,0,AH137/AH$147)</f>
        <v>0</v>
      </c>
      <c r="AK137" s="17"/>
      <c r="AL137" s="17"/>
      <c r="AM137" s="17"/>
      <c r="AN137" s="18">
        <f t="shared" ref="AN137:AN146" si="111">K137</f>
        <v>0</v>
      </c>
      <c r="AO137" s="19">
        <f>IF(AN$147=0,0,AN137/AN$147)</f>
        <v>0</v>
      </c>
      <c r="AQ137" s="17"/>
      <c r="AR137" s="17"/>
      <c r="AS137" s="17"/>
      <c r="AT137" s="18">
        <f t="shared" ref="AT137:AT146" si="112">W137</f>
        <v>0</v>
      </c>
      <c r="AU137" s="19">
        <f>IF(AT$147=0,0,AT137/AT$147)</f>
        <v>0</v>
      </c>
      <c r="AW137" s="17"/>
      <c r="AX137" s="17"/>
      <c r="AY137" s="17"/>
      <c r="AZ137" s="18">
        <f t="shared" ref="AZ137:AZ146" si="113">X137</f>
        <v>0</v>
      </c>
      <c r="BA137" s="19">
        <f>IF(AZ$147=0,0,AZ137/AZ$147)</f>
        <v>0</v>
      </c>
    </row>
    <row r="138" spans="1:53" ht="17.100000000000001" customHeight="1" x14ac:dyDescent="0.25">
      <c r="A138" s="40"/>
      <c r="B138" s="40"/>
      <c r="C138" s="74" t="s">
        <v>105</v>
      </c>
      <c r="D138" s="75" t="s">
        <v>405</v>
      </c>
      <c r="E138" s="75"/>
      <c r="F138" s="75"/>
      <c r="G138" s="542"/>
      <c r="H138" s="540"/>
      <c r="I138" s="235"/>
      <c r="J138" s="583"/>
      <c r="K138" s="583"/>
      <c r="L138" s="584"/>
      <c r="M138" s="17">
        <f t="shared" si="106"/>
        <v>0</v>
      </c>
      <c r="N138" s="111"/>
      <c r="O138" s="111"/>
      <c r="P138" s="111"/>
      <c r="Q138" s="111"/>
      <c r="R138" s="111"/>
      <c r="S138" s="111"/>
      <c r="T138" s="111"/>
      <c r="U138" s="111"/>
      <c r="V138" s="358"/>
      <c r="W138" s="391">
        <f t="shared" si="107"/>
        <v>0</v>
      </c>
      <c r="X138" s="17">
        <f t="shared" si="108"/>
        <v>0</v>
      </c>
      <c r="Y138" s="18">
        <f t="shared" si="109"/>
        <v>0</v>
      </c>
      <c r="Z138" s="19">
        <f t="shared" ref="Z138:Z146" si="114">IF(Y$147=0,0,Y138/Y$147)</f>
        <v>0</v>
      </c>
      <c r="AA138" s="19"/>
      <c r="AB138" s="19"/>
      <c r="AC138" s="20"/>
      <c r="AE138" s="17"/>
      <c r="AF138" s="17"/>
      <c r="AG138" s="17"/>
      <c r="AH138" s="18">
        <f t="shared" si="110"/>
        <v>0</v>
      </c>
      <c r="AI138" s="19">
        <f t="shared" ref="AI138:AI147" si="115">IF(AH$147=0,0,AH138/AH$147)</f>
        <v>0</v>
      </c>
      <c r="AK138" s="17"/>
      <c r="AL138" s="17"/>
      <c r="AM138" s="17"/>
      <c r="AN138" s="18">
        <f t="shared" si="111"/>
        <v>0</v>
      </c>
      <c r="AO138" s="19">
        <f t="shared" ref="AO138:AO147" si="116">IF(AN$147=0,0,AN138/AN$147)</f>
        <v>0</v>
      </c>
      <c r="AQ138" s="17"/>
      <c r="AR138" s="17"/>
      <c r="AS138" s="17"/>
      <c r="AT138" s="18">
        <f t="shared" si="112"/>
        <v>0</v>
      </c>
      <c r="AU138" s="19">
        <f t="shared" ref="AU138:AU147" si="117">IF(AT$147=0,0,AT138/AT$147)</f>
        <v>0</v>
      </c>
      <c r="AW138" s="17"/>
      <c r="AX138" s="17"/>
      <c r="AY138" s="17"/>
      <c r="AZ138" s="18">
        <f t="shared" si="113"/>
        <v>0</v>
      </c>
      <c r="BA138" s="19">
        <f t="shared" ref="BA138:BA147" si="118">IF(AZ$147=0,0,AZ138/AZ$147)</f>
        <v>0</v>
      </c>
    </row>
    <row r="139" spans="1:53" ht="17.100000000000001" customHeight="1" x14ac:dyDescent="0.25">
      <c r="A139" s="40"/>
      <c r="B139" s="40"/>
      <c r="C139" s="74" t="s">
        <v>106</v>
      </c>
      <c r="D139" s="75" t="s">
        <v>406</v>
      </c>
      <c r="E139" s="75"/>
      <c r="F139" s="75"/>
      <c r="G139" s="542"/>
      <c r="H139" s="540"/>
      <c r="I139" s="235"/>
      <c r="J139" s="581"/>
      <c r="K139" s="581"/>
      <c r="L139" s="582"/>
      <c r="M139" s="17">
        <f t="shared" si="106"/>
        <v>0</v>
      </c>
      <c r="N139" s="111"/>
      <c r="O139" s="111"/>
      <c r="P139" s="111"/>
      <c r="Q139" s="111"/>
      <c r="R139" s="111"/>
      <c r="S139" s="111"/>
      <c r="T139" s="111"/>
      <c r="U139" s="111"/>
      <c r="V139" s="358"/>
      <c r="W139" s="391">
        <f t="shared" si="107"/>
        <v>0</v>
      </c>
      <c r="X139" s="17">
        <f t="shared" si="108"/>
        <v>0</v>
      </c>
      <c r="Y139" s="18">
        <f t="shared" si="109"/>
        <v>0</v>
      </c>
      <c r="Z139" s="19">
        <f t="shared" si="114"/>
        <v>0</v>
      </c>
      <c r="AA139" s="19"/>
      <c r="AB139" s="19"/>
      <c r="AC139" s="20"/>
      <c r="AE139" s="17"/>
      <c r="AF139" s="17"/>
      <c r="AG139" s="17"/>
      <c r="AH139" s="18">
        <f t="shared" si="110"/>
        <v>0</v>
      </c>
      <c r="AI139" s="19">
        <f t="shared" si="115"/>
        <v>0</v>
      </c>
      <c r="AK139" s="17"/>
      <c r="AL139" s="17"/>
      <c r="AM139" s="17"/>
      <c r="AN139" s="18">
        <f t="shared" si="111"/>
        <v>0</v>
      </c>
      <c r="AO139" s="19">
        <f t="shared" si="116"/>
        <v>0</v>
      </c>
      <c r="AQ139" s="17"/>
      <c r="AR139" s="17"/>
      <c r="AS139" s="17"/>
      <c r="AT139" s="18">
        <f t="shared" si="112"/>
        <v>0</v>
      </c>
      <c r="AU139" s="19">
        <f t="shared" si="117"/>
        <v>0</v>
      </c>
      <c r="AW139" s="17"/>
      <c r="AX139" s="17"/>
      <c r="AY139" s="17"/>
      <c r="AZ139" s="18">
        <f t="shared" si="113"/>
        <v>0</v>
      </c>
      <c r="BA139" s="19">
        <f t="shared" si="118"/>
        <v>0</v>
      </c>
    </row>
    <row r="140" spans="1:53" ht="17.100000000000001" customHeight="1" x14ac:dyDescent="0.25">
      <c r="A140" s="40"/>
      <c r="B140" s="40"/>
      <c r="C140" s="74" t="s">
        <v>107</v>
      </c>
      <c r="D140" s="75" t="s">
        <v>407</v>
      </c>
      <c r="E140" s="75"/>
      <c r="F140" s="75"/>
      <c r="G140" s="75"/>
      <c r="H140" s="540"/>
      <c r="I140" s="229"/>
      <c r="J140" s="583"/>
      <c r="K140" s="583"/>
      <c r="L140" s="584"/>
      <c r="M140" s="17">
        <f t="shared" si="106"/>
        <v>0</v>
      </c>
      <c r="N140" s="111"/>
      <c r="O140" s="111"/>
      <c r="P140" s="111"/>
      <c r="Q140" s="111"/>
      <c r="R140" s="111"/>
      <c r="S140" s="111"/>
      <c r="T140" s="111"/>
      <c r="U140" s="111"/>
      <c r="V140" s="358"/>
      <c r="W140" s="391">
        <f t="shared" si="107"/>
        <v>0</v>
      </c>
      <c r="X140" s="17">
        <f t="shared" si="108"/>
        <v>0</v>
      </c>
      <c r="Y140" s="18">
        <f t="shared" si="109"/>
        <v>0</v>
      </c>
      <c r="Z140" s="19">
        <f t="shared" si="114"/>
        <v>0</v>
      </c>
      <c r="AA140" s="19"/>
      <c r="AB140" s="19"/>
      <c r="AC140" s="20"/>
      <c r="AE140" s="17"/>
      <c r="AF140" s="17"/>
      <c r="AG140" s="17"/>
      <c r="AH140" s="18">
        <f t="shared" si="110"/>
        <v>0</v>
      </c>
      <c r="AI140" s="19">
        <f t="shared" si="115"/>
        <v>0</v>
      </c>
      <c r="AK140" s="17"/>
      <c r="AL140" s="17"/>
      <c r="AM140" s="17"/>
      <c r="AN140" s="18">
        <f t="shared" si="111"/>
        <v>0</v>
      </c>
      <c r="AO140" s="19">
        <f t="shared" si="116"/>
        <v>0</v>
      </c>
      <c r="AQ140" s="17"/>
      <c r="AR140" s="17"/>
      <c r="AS140" s="17"/>
      <c r="AT140" s="18">
        <f t="shared" si="112"/>
        <v>0</v>
      </c>
      <c r="AU140" s="19">
        <f t="shared" si="117"/>
        <v>0</v>
      </c>
      <c r="AW140" s="17"/>
      <c r="AX140" s="17"/>
      <c r="AY140" s="17"/>
      <c r="AZ140" s="18">
        <f t="shared" si="113"/>
        <v>0</v>
      </c>
      <c r="BA140" s="19">
        <f t="shared" si="118"/>
        <v>0</v>
      </c>
    </row>
    <row r="141" spans="1:53" ht="17.100000000000001" customHeight="1" x14ac:dyDescent="0.25">
      <c r="A141" s="40"/>
      <c r="B141" s="40"/>
      <c r="C141" s="56" t="s">
        <v>108</v>
      </c>
      <c r="D141" s="75" t="s">
        <v>408</v>
      </c>
      <c r="E141" s="542"/>
      <c r="F141" s="542"/>
      <c r="G141" s="542"/>
      <c r="H141" s="540"/>
      <c r="I141" s="235"/>
      <c r="J141" s="581"/>
      <c r="K141" s="581"/>
      <c r="L141" s="582"/>
      <c r="M141" s="17">
        <f t="shared" si="106"/>
        <v>0</v>
      </c>
      <c r="N141" s="111"/>
      <c r="O141" s="111"/>
      <c r="P141" s="111"/>
      <c r="Q141" s="111"/>
      <c r="R141" s="111"/>
      <c r="S141" s="111"/>
      <c r="T141" s="111"/>
      <c r="U141" s="111"/>
      <c r="V141" s="358"/>
      <c r="W141" s="391">
        <f t="shared" si="107"/>
        <v>0</v>
      </c>
      <c r="X141" s="17">
        <f t="shared" si="108"/>
        <v>0</v>
      </c>
      <c r="Y141" s="18">
        <f t="shared" si="109"/>
        <v>0</v>
      </c>
      <c r="Z141" s="19">
        <f t="shared" si="114"/>
        <v>0</v>
      </c>
      <c r="AA141" s="19"/>
      <c r="AB141" s="19"/>
      <c r="AC141" s="20"/>
      <c r="AE141" s="17"/>
      <c r="AF141" s="17"/>
      <c r="AG141" s="17"/>
      <c r="AH141" s="18">
        <f t="shared" si="110"/>
        <v>0</v>
      </c>
      <c r="AI141" s="19">
        <f t="shared" si="115"/>
        <v>0</v>
      </c>
      <c r="AK141" s="17"/>
      <c r="AL141" s="17"/>
      <c r="AM141" s="17"/>
      <c r="AN141" s="18">
        <f t="shared" si="111"/>
        <v>0</v>
      </c>
      <c r="AO141" s="19">
        <f t="shared" si="116"/>
        <v>0</v>
      </c>
      <c r="AQ141" s="17"/>
      <c r="AR141" s="17"/>
      <c r="AS141" s="17"/>
      <c r="AT141" s="18">
        <f t="shared" si="112"/>
        <v>0</v>
      </c>
      <c r="AU141" s="19">
        <f t="shared" si="117"/>
        <v>0</v>
      </c>
      <c r="AW141" s="17"/>
      <c r="AX141" s="17"/>
      <c r="AY141" s="17"/>
      <c r="AZ141" s="18">
        <f t="shared" si="113"/>
        <v>0</v>
      </c>
      <c r="BA141" s="19">
        <f t="shared" si="118"/>
        <v>0</v>
      </c>
    </row>
    <row r="142" spans="1:53" ht="17.100000000000001" customHeight="1" x14ac:dyDescent="0.25">
      <c r="A142" s="40"/>
      <c r="B142" s="40"/>
      <c r="C142" s="74" t="s">
        <v>399</v>
      </c>
      <c r="D142" s="75" t="s">
        <v>409</v>
      </c>
      <c r="E142" s="150"/>
      <c r="F142" s="151"/>
      <c r="G142" s="151"/>
      <c r="H142" s="119"/>
      <c r="I142" s="236"/>
      <c r="J142" s="583"/>
      <c r="K142" s="583"/>
      <c r="L142" s="584"/>
      <c r="M142" s="17">
        <f t="shared" si="106"/>
        <v>0</v>
      </c>
      <c r="N142" s="111"/>
      <c r="O142" s="111"/>
      <c r="P142" s="111"/>
      <c r="Q142" s="111"/>
      <c r="R142" s="111"/>
      <c r="S142" s="111"/>
      <c r="T142" s="111"/>
      <c r="U142" s="111"/>
      <c r="V142" s="358"/>
      <c r="W142" s="391">
        <f t="shared" si="107"/>
        <v>0</v>
      </c>
      <c r="X142" s="17">
        <f t="shared" si="108"/>
        <v>0</v>
      </c>
      <c r="Y142" s="18">
        <f t="shared" si="109"/>
        <v>0</v>
      </c>
      <c r="Z142" s="19">
        <f t="shared" si="114"/>
        <v>0</v>
      </c>
      <c r="AA142" s="19"/>
      <c r="AB142" s="19"/>
      <c r="AC142" s="20"/>
      <c r="AE142" s="17"/>
      <c r="AF142" s="17"/>
      <c r="AG142" s="17"/>
      <c r="AH142" s="18">
        <f t="shared" si="110"/>
        <v>0</v>
      </c>
      <c r="AI142" s="19">
        <f t="shared" si="115"/>
        <v>0</v>
      </c>
      <c r="AK142" s="17"/>
      <c r="AL142" s="17"/>
      <c r="AM142" s="17"/>
      <c r="AN142" s="18">
        <f t="shared" si="111"/>
        <v>0</v>
      </c>
      <c r="AO142" s="19">
        <f t="shared" si="116"/>
        <v>0</v>
      </c>
      <c r="AQ142" s="17"/>
      <c r="AR142" s="17"/>
      <c r="AS142" s="17"/>
      <c r="AT142" s="18">
        <f t="shared" si="112"/>
        <v>0</v>
      </c>
      <c r="AU142" s="19">
        <f t="shared" si="117"/>
        <v>0</v>
      </c>
      <c r="AW142" s="17"/>
      <c r="AX142" s="17"/>
      <c r="AY142" s="17"/>
      <c r="AZ142" s="18">
        <f t="shared" si="113"/>
        <v>0</v>
      </c>
      <c r="BA142" s="19">
        <f t="shared" si="118"/>
        <v>0</v>
      </c>
    </row>
    <row r="143" spans="1:53" ht="17.100000000000001" customHeight="1" x14ac:dyDescent="0.25">
      <c r="A143" s="40"/>
      <c r="B143" s="40"/>
      <c r="C143" s="56" t="s">
        <v>400</v>
      </c>
      <c r="D143" s="75" t="s">
        <v>410</v>
      </c>
      <c r="E143" s="150"/>
      <c r="F143" s="151"/>
      <c r="G143" s="151"/>
      <c r="H143" s="119"/>
      <c r="I143" s="236"/>
      <c r="J143" s="581"/>
      <c r="K143" s="581"/>
      <c r="L143" s="582"/>
      <c r="M143" s="17">
        <f t="shared" si="106"/>
        <v>0</v>
      </c>
      <c r="N143" s="111"/>
      <c r="O143" s="111"/>
      <c r="P143" s="111"/>
      <c r="Q143" s="111"/>
      <c r="R143" s="111"/>
      <c r="S143" s="111"/>
      <c r="T143" s="111"/>
      <c r="U143" s="111"/>
      <c r="V143" s="358"/>
      <c r="W143" s="391">
        <f t="shared" si="107"/>
        <v>0</v>
      </c>
      <c r="X143" s="17">
        <f t="shared" si="108"/>
        <v>0</v>
      </c>
      <c r="Y143" s="18">
        <f t="shared" si="109"/>
        <v>0</v>
      </c>
      <c r="Z143" s="19">
        <f t="shared" si="114"/>
        <v>0</v>
      </c>
      <c r="AA143" s="19"/>
      <c r="AB143" s="19"/>
      <c r="AC143" s="20"/>
      <c r="AE143" s="17"/>
      <c r="AF143" s="17"/>
      <c r="AG143" s="17"/>
      <c r="AH143" s="18">
        <f t="shared" si="110"/>
        <v>0</v>
      </c>
      <c r="AI143" s="19">
        <f t="shared" si="115"/>
        <v>0</v>
      </c>
      <c r="AK143" s="17"/>
      <c r="AL143" s="17"/>
      <c r="AM143" s="17"/>
      <c r="AN143" s="18">
        <f t="shared" si="111"/>
        <v>0</v>
      </c>
      <c r="AO143" s="19">
        <f t="shared" si="116"/>
        <v>0</v>
      </c>
      <c r="AQ143" s="17"/>
      <c r="AR143" s="17"/>
      <c r="AS143" s="17"/>
      <c r="AT143" s="18">
        <f t="shared" si="112"/>
        <v>0</v>
      </c>
      <c r="AU143" s="19">
        <f t="shared" si="117"/>
        <v>0</v>
      </c>
      <c r="AW143" s="17"/>
      <c r="AX143" s="17"/>
      <c r="AY143" s="17"/>
      <c r="AZ143" s="18">
        <f t="shared" si="113"/>
        <v>0</v>
      </c>
      <c r="BA143" s="19">
        <f t="shared" si="118"/>
        <v>0</v>
      </c>
    </row>
    <row r="144" spans="1:53" ht="17.100000000000001" customHeight="1" x14ac:dyDescent="0.25">
      <c r="A144" s="40"/>
      <c r="B144" s="40"/>
      <c r="C144" s="74" t="s">
        <v>401</v>
      </c>
      <c r="D144" s="75" t="s">
        <v>411</v>
      </c>
      <c r="E144" s="150"/>
      <c r="F144" s="151"/>
      <c r="G144" s="151"/>
      <c r="H144" s="119"/>
      <c r="I144" s="236"/>
      <c r="J144" s="583"/>
      <c r="K144" s="583"/>
      <c r="L144" s="584"/>
      <c r="M144" s="17">
        <f t="shared" si="106"/>
        <v>0</v>
      </c>
      <c r="N144" s="111"/>
      <c r="O144" s="111"/>
      <c r="P144" s="111"/>
      <c r="Q144" s="111"/>
      <c r="R144" s="111"/>
      <c r="S144" s="111"/>
      <c r="T144" s="111"/>
      <c r="U144" s="111"/>
      <c r="V144" s="358"/>
      <c r="W144" s="391">
        <f t="shared" si="107"/>
        <v>0</v>
      </c>
      <c r="X144" s="17">
        <f t="shared" si="108"/>
        <v>0</v>
      </c>
      <c r="Y144" s="18">
        <f t="shared" si="109"/>
        <v>0</v>
      </c>
      <c r="Z144" s="19">
        <f t="shared" si="114"/>
        <v>0</v>
      </c>
      <c r="AA144" s="19"/>
      <c r="AB144" s="19"/>
      <c r="AC144" s="20"/>
      <c r="AE144" s="17"/>
      <c r="AF144" s="17"/>
      <c r="AG144" s="17"/>
      <c r="AH144" s="18">
        <f t="shared" si="110"/>
        <v>0</v>
      </c>
      <c r="AI144" s="19">
        <f t="shared" si="115"/>
        <v>0</v>
      </c>
      <c r="AK144" s="17"/>
      <c r="AL144" s="17"/>
      <c r="AM144" s="17"/>
      <c r="AN144" s="18">
        <f t="shared" si="111"/>
        <v>0</v>
      </c>
      <c r="AO144" s="19">
        <f t="shared" si="116"/>
        <v>0</v>
      </c>
      <c r="AQ144" s="17"/>
      <c r="AR144" s="17"/>
      <c r="AS144" s="17"/>
      <c r="AT144" s="18">
        <f t="shared" si="112"/>
        <v>0</v>
      </c>
      <c r="AU144" s="19">
        <f t="shared" si="117"/>
        <v>0</v>
      </c>
      <c r="AW144" s="17"/>
      <c r="AX144" s="17"/>
      <c r="AY144" s="17"/>
      <c r="AZ144" s="18">
        <f t="shared" si="113"/>
        <v>0</v>
      </c>
      <c r="BA144" s="19">
        <f t="shared" si="118"/>
        <v>0</v>
      </c>
    </row>
    <row r="145" spans="1:53" ht="17.100000000000001" customHeight="1" x14ac:dyDescent="0.25">
      <c r="A145" s="40"/>
      <c r="B145" s="40"/>
      <c r="C145" s="56" t="s">
        <v>402</v>
      </c>
      <c r="D145" s="75" t="s">
        <v>412</v>
      </c>
      <c r="E145" s="150"/>
      <c r="F145" s="151"/>
      <c r="G145" s="151"/>
      <c r="H145" s="119"/>
      <c r="I145" s="236"/>
      <c r="J145" s="581"/>
      <c r="K145" s="581"/>
      <c r="L145" s="582"/>
      <c r="M145" s="17">
        <f t="shared" si="106"/>
        <v>0</v>
      </c>
      <c r="N145" s="111"/>
      <c r="O145" s="111"/>
      <c r="P145" s="111"/>
      <c r="Q145" s="111"/>
      <c r="R145" s="111"/>
      <c r="S145" s="111"/>
      <c r="T145" s="111"/>
      <c r="U145" s="111"/>
      <c r="V145" s="358"/>
      <c r="W145" s="391">
        <f t="shared" si="107"/>
        <v>0</v>
      </c>
      <c r="X145" s="17">
        <f t="shared" si="108"/>
        <v>0</v>
      </c>
      <c r="Y145" s="18">
        <f t="shared" si="109"/>
        <v>0</v>
      </c>
      <c r="Z145" s="19">
        <f t="shared" si="114"/>
        <v>0</v>
      </c>
      <c r="AA145" s="19"/>
      <c r="AB145" s="19"/>
      <c r="AC145" s="20"/>
      <c r="AE145" s="17"/>
      <c r="AF145" s="17"/>
      <c r="AG145" s="17"/>
      <c r="AH145" s="18">
        <f t="shared" si="110"/>
        <v>0</v>
      </c>
      <c r="AI145" s="19">
        <f t="shared" si="115"/>
        <v>0</v>
      </c>
      <c r="AK145" s="17"/>
      <c r="AL145" s="17"/>
      <c r="AM145" s="17"/>
      <c r="AN145" s="18">
        <f t="shared" si="111"/>
        <v>0</v>
      </c>
      <c r="AO145" s="19">
        <f t="shared" si="116"/>
        <v>0</v>
      </c>
      <c r="AQ145" s="17"/>
      <c r="AR145" s="17"/>
      <c r="AS145" s="17"/>
      <c r="AT145" s="18">
        <f t="shared" si="112"/>
        <v>0</v>
      </c>
      <c r="AU145" s="19">
        <f t="shared" si="117"/>
        <v>0</v>
      </c>
      <c r="AW145" s="17"/>
      <c r="AX145" s="17"/>
      <c r="AY145" s="17"/>
      <c r="AZ145" s="18">
        <f t="shared" si="113"/>
        <v>0</v>
      </c>
      <c r="BA145" s="19">
        <f t="shared" si="118"/>
        <v>0</v>
      </c>
    </row>
    <row r="146" spans="1:53" ht="17.100000000000001" customHeight="1" x14ac:dyDescent="0.25">
      <c r="A146" s="40"/>
      <c r="B146" s="40"/>
      <c r="C146" s="74" t="s">
        <v>403</v>
      </c>
      <c r="D146" s="75" t="s">
        <v>392</v>
      </c>
      <c r="E146" s="150"/>
      <c r="F146" s="151"/>
      <c r="G146" s="151"/>
      <c r="H146" s="119"/>
      <c r="I146" s="236"/>
      <c r="J146" s="583"/>
      <c r="K146" s="583"/>
      <c r="L146" s="584"/>
      <c r="M146" s="17">
        <f t="shared" si="106"/>
        <v>0</v>
      </c>
      <c r="N146" s="111"/>
      <c r="O146" s="111"/>
      <c r="P146" s="111"/>
      <c r="Q146" s="111"/>
      <c r="R146" s="111"/>
      <c r="S146" s="111"/>
      <c r="T146" s="111"/>
      <c r="U146" s="111"/>
      <c r="V146" s="358"/>
      <c r="W146" s="391">
        <f t="shared" si="107"/>
        <v>0</v>
      </c>
      <c r="X146" s="17">
        <f t="shared" si="108"/>
        <v>0</v>
      </c>
      <c r="Y146" s="18">
        <f t="shared" si="109"/>
        <v>0</v>
      </c>
      <c r="Z146" s="19">
        <f t="shared" si="114"/>
        <v>0</v>
      </c>
      <c r="AA146" s="19"/>
      <c r="AB146" s="19"/>
      <c r="AC146" s="20"/>
      <c r="AE146" s="17"/>
      <c r="AF146" s="17"/>
      <c r="AG146" s="17"/>
      <c r="AH146" s="18">
        <f t="shared" si="110"/>
        <v>0</v>
      </c>
      <c r="AI146" s="19">
        <f t="shared" si="115"/>
        <v>0</v>
      </c>
      <c r="AK146" s="17"/>
      <c r="AL146" s="17"/>
      <c r="AM146" s="17"/>
      <c r="AN146" s="18">
        <f t="shared" si="111"/>
        <v>0</v>
      </c>
      <c r="AO146" s="19">
        <f t="shared" si="116"/>
        <v>0</v>
      </c>
      <c r="AQ146" s="17"/>
      <c r="AR146" s="17"/>
      <c r="AS146" s="17"/>
      <c r="AT146" s="18">
        <f t="shared" si="112"/>
        <v>0</v>
      </c>
      <c r="AU146" s="19">
        <f t="shared" si="117"/>
        <v>0</v>
      </c>
      <c r="AW146" s="17"/>
      <c r="AX146" s="17"/>
      <c r="AY146" s="17"/>
      <c r="AZ146" s="18">
        <f t="shared" si="113"/>
        <v>0</v>
      </c>
      <c r="BA146" s="19">
        <f t="shared" si="118"/>
        <v>0</v>
      </c>
    </row>
    <row r="147" spans="1:53" ht="17.100000000000001" customHeight="1" x14ac:dyDescent="0.25">
      <c r="A147" s="40"/>
      <c r="B147" s="40"/>
      <c r="C147" s="77"/>
      <c r="D147" s="144"/>
      <c r="E147" s="144"/>
      <c r="F147" s="145"/>
      <c r="G147" s="145"/>
      <c r="H147" s="119"/>
      <c r="I147" s="236"/>
      <c r="J147" s="80">
        <f>SUM(J137:J146)</f>
        <v>0</v>
      </c>
      <c r="K147" s="80">
        <f t="shared" ref="K147:M147" si="119">SUM(K137:K146)</f>
        <v>0</v>
      </c>
      <c r="L147" s="80">
        <f t="shared" si="119"/>
        <v>0</v>
      </c>
      <c r="M147" s="80">
        <f t="shared" si="119"/>
        <v>0</v>
      </c>
      <c r="N147" s="80"/>
      <c r="O147" s="80"/>
      <c r="P147" s="80"/>
      <c r="Q147" s="81"/>
      <c r="R147" s="81"/>
      <c r="S147" s="81"/>
      <c r="T147" s="81"/>
      <c r="U147" s="81"/>
      <c r="V147" s="356"/>
      <c r="W147" s="381">
        <f>SUM(W138:W146)</f>
        <v>0</v>
      </c>
      <c r="X147" s="82">
        <f t="shared" ref="X147:Y147" si="120">SUM(X138:X146)</f>
        <v>0</v>
      </c>
      <c r="Y147" s="82">
        <f t="shared" si="120"/>
        <v>0</v>
      </c>
      <c r="Z147" s="205">
        <f>IF(Y$147=0,0,Y147/Y$147)</f>
        <v>0</v>
      </c>
      <c r="AA147" s="205"/>
      <c r="AB147" s="205"/>
      <c r="AC147" s="83"/>
      <c r="AE147" s="80"/>
      <c r="AF147" s="80"/>
      <c r="AG147" s="81"/>
      <c r="AH147" s="82">
        <f>SUM(AH137:AH146)</f>
        <v>0</v>
      </c>
      <c r="AI147" s="66">
        <f t="shared" si="115"/>
        <v>0</v>
      </c>
      <c r="AK147" s="80"/>
      <c r="AL147" s="80"/>
      <c r="AM147" s="81"/>
      <c r="AN147" s="82">
        <f>SUM(AN137:AN146)</f>
        <v>0</v>
      </c>
      <c r="AO147" s="66">
        <f t="shared" si="116"/>
        <v>0</v>
      </c>
      <c r="AQ147" s="80"/>
      <c r="AR147" s="80"/>
      <c r="AS147" s="81"/>
      <c r="AT147" s="82"/>
      <c r="AU147" s="66">
        <f t="shared" si="117"/>
        <v>0</v>
      </c>
      <c r="AW147" s="80"/>
      <c r="AX147" s="80"/>
      <c r="AY147" s="81"/>
      <c r="AZ147" s="82">
        <f>SUM(AZ137:AZ146)</f>
        <v>0</v>
      </c>
      <c r="BA147" s="66">
        <f t="shared" si="118"/>
        <v>0</v>
      </c>
    </row>
    <row r="148" spans="1:53" s="117" customFormat="1" ht="17.100000000000001" customHeight="1" x14ac:dyDescent="0.25">
      <c r="A148" s="68"/>
      <c r="B148" s="119"/>
      <c r="C148" s="540"/>
      <c r="D148" s="261"/>
      <c r="E148" s="261"/>
      <c r="F148" s="68"/>
      <c r="G148" s="68"/>
      <c r="H148" s="119"/>
      <c r="I148" s="138"/>
      <c r="J148" s="17" t="str">
        <f>IF(J147=J$15,"OK","NOK")</f>
        <v>OK</v>
      </c>
      <c r="K148" s="17" t="str">
        <f t="shared" ref="K148:L148" si="121">IF(K147=K$15,"OK","NOK")</f>
        <v>OK</v>
      </c>
      <c r="L148" s="17" t="str">
        <f t="shared" si="121"/>
        <v>OK</v>
      </c>
      <c r="M148" s="17"/>
      <c r="N148" s="17"/>
      <c r="O148" s="17"/>
      <c r="P148" s="17"/>
      <c r="Q148" s="17"/>
      <c r="R148" s="17"/>
      <c r="S148" s="17"/>
      <c r="T148" s="17"/>
      <c r="U148" s="17"/>
      <c r="V148" s="359"/>
      <c r="W148" s="382"/>
      <c r="X148" s="539"/>
      <c r="Y148" s="539"/>
      <c r="Z148" s="201"/>
      <c r="AA148" s="201"/>
      <c r="AB148" s="201"/>
      <c r="AC148" s="84"/>
      <c r="AE148" s="46"/>
      <c r="AF148" s="46"/>
      <c r="AG148" s="17"/>
      <c r="AH148" s="539"/>
      <c r="AI148" s="91"/>
      <c r="AK148" s="46"/>
      <c r="AL148" s="46"/>
      <c r="AM148" s="17"/>
      <c r="AN148" s="539"/>
      <c r="AO148" s="91"/>
      <c r="AQ148" s="46"/>
      <c r="AR148" s="46"/>
      <c r="AS148" s="17"/>
      <c r="AT148" s="539"/>
      <c r="AU148" s="91"/>
      <c r="AW148" s="46"/>
      <c r="AX148" s="46"/>
      <c r="AY148" s="17"/>
      <c r="AZ148" s="539"/>
      <c r="BA148" s="91"/>
    </row>
    <row r="149" spans="1:53" ht="17.100000000000001" customHeight="1" x14ac:dyDescent="0.25">
      <c r="A149" s="68"/>
      <c r="B149" s="41" t="s">
        <v>110</v>
      </c>
      <c r="C149" s="69" t="s">
        <v>111</v>
      </c>
      <c r="D149" s="50"/>
      <c r="E149" s="70"/>
      <c r="F149" s="70"/>
      <c r="G149" s="70"/>
      <c r="H149" s="119"/>
      <c r="J149" s="71"/>
      <c r="K149" s="71"/>
      <c r="L149" s="71"/>
      <c r="M149" s="71"/>
      <c r="N149" s="71"/>
      <c r="O149" s="71"/>
      <c r="P149" s="71"/>
      <c r="Q149" s="71"/>
      <c r="R149" s="71"/>
      <c r="S149" s="71"/>
      <c r="T149" s="71"/>
      <c r="U149" s="71"/>
      <c r="V149" s="355"/>
      <c r="W149" s="377"/>
      <c r="X149" s="71"/>
      <c r="Y149" s="72"/>
      <c r="Z149" s="73"/>
      <c r="AA149" s="73"/>
      <c r="AB149" s="73"/>
      <c r="AC149" s="73"/>
      <c r="AE149" s="71"/>
      <c r="AF149" s="71"/>
      <c r="AG149" s="71"/>
      <c r="AH149" s="72"/>
      <c r="AI149" s="73"/>
      <c r="AK149" s="71"/>
      <c r="AL149" s="71"/>
      <c r="AM149" s="71"/>
      <c r="AN149" s="72"/>
      <c r="AO149" s="73"/>
      <c r="AQ149" s="71"/>
      <c r="AR149" s="71"/>
      <c r="AS149" s="71"/>
      <c r="AT149" s="72"/>
      <c r="AU149" s="73"/>
      <c r="AW149" s="71"/>
      <c r="AX149" s="71"/>
      <c r="AY149" s="71"/>
      <c r="AZ149" s="72"/>
      <c r="BA149" s="73"/>
    </row>
    <row r="150" spans="1:53" ht="17.100000000000001" customHeight="1" x14ac:dyDescent="0.25">
      <c r="A150" s="40"/>
      <c r="B150" s="40"/>
      <c r="C150" s="141" t="s">
        <v>112</v>
      </c>
      <c r="D150" s="85" t="s">
        <v>113</v>
      </c>
      <c r="E150" s="75"/>
      <c r="F150" s="75"/>
      <c r="G150" s="75"/>
      <c r="H150" s="540"/>
      <c r="I150" s="229"/>
      <c r="J150" s="111"/>
      <c r="K150" s="111"/>
      <c r="L150" s="111"/>
      <c r="M150" s="111"/>
      <c r="N150" s="60"/>
      <c r="O150" s="60"/>
      <c r="P150" s="17">
        <f>SUM(N150:O150)</f>
        <v>0</v>
      </c>
      <c r="Q150" s="60"/>
      <c r="R150" s="60"/>
      <c r="S150" s="17">
        <f>SUM(Q150:R150)</f>
        <v>0</v>
      </c>
      <c r="T150" s="60"/>
      <c r="U150" s="60"/>
      <c r="V150" s="359">
        <f>SUM(T150:U150)</f>
        <v>0</v>
      </c>
      <c r="W150" s="391">
        <f t="shared" ref="W150:W151" si="122">J150+K150+N150+Q150+T150</f>
        <v>0</v>
      </c>
      <c r="X150" s="17">
        <f t="shared" ref="X150:X151" si="123">L150+O150+R150+U150</f>
        <v>0</v>
      </c>
      <c r="Y150" s="18">
        <f>SUM(W150:X150)</f>
        <v>0</v>
      </c>
      <c r="Z150" s="19">
        <f>IF(Y$152=0,0,Y150/Y$152)</f>
        <v>0</v>
      </c>
      <c r="AA150" s="19"/>
      <c r="AB150" s="19"/>
      <c r="AC150" s="20"/>
      <c r="AE150" s="111"/>
      <c r="AF150" s="111"/>
      <c r="AG150" s="111"/>
      <c r="AH150" s="112"/>
      <c r="AI150" s="113"/>
      <c r="AK150" s="111"/>
      <c r="AL150" s="111"/>
      <c r="AM150" s="111"/>
      <c r="AN150" s="112"/>
      <c r="AO150" s="113"/>
      <c r="AQ150" s="17"/>
      <c r="AR150" s="17"/>
      <c r="AS150" s="17"/>
      <c r="AT150" s="18">
        <f t="shared" ref="AT150:AT151" si="124">W150</f>
        <v>0</v>
      </c>
      <c r="AU150" s="19">
        <f>IF(AT$152=0,0,AT150/AT$152)</f>
        <v>0</v>
      </c>
      <c r="AW150" s="17"/>
      <c r="AX150" s="17"/>
      <c r="AY150" s="17"/>
      <c r="AZ150" s="18">
        <f t="shared" ref="AZ150:AZ151" si="125">X150</f>
        <v>0</v>
      </c>
      <c r="BA150" s="19">
        <f>IF(AZ$152=0,0,AZ150/AZ$152)</f>
        <v>0</v>
      </c>
    </row>
    <row r="151" spans="1:53" ht="17.100000000000001" customHeight="1" x14ac:dyDescent="0.25">
      <c r="A151" s="40"/>
      <c r="B151" s="40"/>
      <c r="C151" s="141" t="s">
        <v>114</v>
      </c>
      <c r="D151" s="146" t="s">
        <v>115</v>
      </c>
      <c r="E151" s="75"/>
      <c r="F151" s="75"/>
      <c r="G151" s="75"/>
      <c r="H151" s="540"/>
      <c r="I151" s="229"/>
      <c r="J151" s="111"/>
      <c r="K151" s="111"/>
      <c r="L151" s="111"/>
      <c r="M151" s="111"/>
      <c r="N151" s="61"/>
      <c r="O151" s="61">
        <v>9</v>
      </c>
      <c r="P151" s="17">
        <f>SUM(N151:O151)</f>
        <v>9</v>
      </c>
      <c r="Q151" s="61"/>
      <c r="R151" s="61"/>
      <c r="S151" s="17">
        <f>SUM(Q151:R151)</f>
        <v>0</v>
      </c>
      <c r="T151" s="61"/>
      <c r="U151" s="61"/>
      <c r="V151" s="359">
        <f>SUM(T151:U151)</f>
        <v>0</v>
      </c>
      <c r="W151" s="391">
        <f t="shared" si="122"/>
        <v>0</v>
      </c>
      <c r="X151" s="17">
        <f t="shared" si="123"/>
        <v>9</v>
      </c>
      <c r="Y151" s="18">
        <f>SUM(W151:X151)</f>
        <v>9</v>
      </c>
      <c r="Z151" s="19">
        <f>IF(Y$152=0,0,Y151/Y$152)</f>
        <v>1</v>
      </c>
      <c r="AA151" s="19"/>
      <c r="AB151" s="19"/>
      <c r="AC151" s="20"/>
      <c r="AE151" s="111"/>
      <c r="AF151" s="111"/>
      <c r="AG151" s="111"/>
      <c r="AH151" s="112"/>
      <c r="AI151" s="113"/>
      <c r="AK151" s="111"/>
      <c r="AL151" s="111"/>
      <c r="AM151" s="111"/>
      <c r="AN151" s="112"/>
      <c r="AO151" s="113"/>
      <c r="AQ151" s="17"/>
      <c r="AR151" s="17"/>
      <c r="AS151" s="17"/>
      <c r="AT151" s="18">
        <f t="shared" si="124"/>
        <v>0</v>
      </c>
      <c r="AU151" s="19">
        <f t="shared" ref="AU151:AU152" si="126">IF(AT$152=0,0,AT151/AT$152)</f>
        <v>0</v>
      </c>
      <c r="AW151" s="17"/>
      <c r="AX151" s="17"/>
      <c r="AY151" s="17"/>
      <c r="AZ151" s="18">
        <f t="shared" si="125"/>
        <v>9</v>
      </c>
      <c r="BA151" s="19">
        <f t="shared" ref="BA151:BA152" si="127">IF(AZ$152=0,0,AZ151/AZ$152)</f>
        <v>1</v>
      </c>
    </row>
    <row r="152" spans="1:53" ht="17.100000000000001" customHeight="1" x14ac:dyDescent="0.25">
      <c r="A152" s="40"/>
      <c r="B152" s="40"/>
      <c r="C152" s="77"/>
      <c r="D152" s="144"/>
      <c r="E152" s="144"/>
      <c r="F152" s="145"/>
      <c r="G152" s="145"/>
      <c r="H152" s="119"/>
      <c r="I152" s="236"/>
      <c r="J152" s="80"/>
      <c r="K152" s="80"/>
      <c r="L152" s="81"/>
      <c r="M152" s="81"/>
      <c r="N152" s="81">
        <f t="shared" ref="N152:Y152" si="128">SUM(N150:N151)</f>
        <v>0</v>
      </c>
      <c r="O152" s="81">
        <f t="shared" si="128"/>
        <v>9</v>
      </c>
      <c r="P152" s="81">
        <f t="shared" si="128"/>
        <v>9</v>
      </c>
      <c r="Q152" s="81">
        <f t="shared" si="128"/>
        <v>0</v>
      </c>
      <c r="R152" s="81">
        <f t="shared" si="128"/>
        <v>0</v>
      </c>
      <c r="S152" s="81">
        <f t="shared" si="128"/>
        <v>0</v>
      </c>
      <c r="T152" s="81">
        <f t="shared" si="128"/>
        <v>0</v>
      </c>
      <c r="U152" s="81">
        <f t="shared" si="128"/>
        <v>0</v>
      </c>
      <c r="V152" s="81">
        <f t="shared" si="128"/>
        <v>0</v>
      </c>
      <c r="W152" s="381">
        <f t="shared" si="128"/>
        <v>0</v>
      </c>
      <c r="X152" s="82">
        <f t="shared" si="128"/>
        <v>9</v>
      </c>
      <c r="Y152" s="82">
        <f t="shared" si="128"/>
        <v>9</v>
      </c>
      <c r="Z152" s="205">
        <f t="shared" ref="Z152" si="129">IF(Y$152=0,0,Y152/Y$152)</f>
        <v>1</v>
      </c>
      <c r="AA152" s="205"/>
      <c r="AB152" s="205"/>
      <c r="AC152" s="83"/>
      <c r="AE152" s="80"/>
      <c r="AF152" s="80"/>
      <c r="AG152" s="81"/>
      <c r="AH152" s="82"/>
      <c r="AI152" s="66"/>
      <c r="AK152" s="80"/>
      <c r="AL152" s="80"/>
      <c r="AM152" s="81"/>
      <c r="AN152" s="82"/>
      <c r="AO152" s="66"/>
      <c r="AQ152" s="80"/>
      <c r="AR152" s="80"/>
      <c r="AS152" s="81"/>
      <c r="AT152" s="82">
        <f>SUM(AT150:AT151)</f>
        <v>0</v>
      </c>
      <c r="AU152" s="66">
        <f t="shared" si="126"/>
        <v>0</v>
      </c>
      <c r="AW152" s="80"/>
      <c r="AX152" s="80"/>
      <c r="AY152" s="81"/>
      <c r="AZ152" s="82">
        <f>SUM(AZ150:AZ151)</f>
        <v>9</v>
      </c>
      <c r="BA152" s="66">
        <f t="shared" si="127"/>
        <v>1</v>
      </c>
    </row>
    <row r="153" spans="1:53" s="117" customFormat="1" ht="17.100000000000001" customHeight="1" x14ac:dyDescent="0.25">
      <c r="A153" s="68"/>
      <c r="B153" s="119"/>
      <c r="C153" s="540"/>
      <c r="D153" s="261"/>
      <c r="E153" s="261"/>
      <c r="F153" s="68"/>
      <c r="G153" s="68"/>
      <c r="H153" s="119"/>
      <c r="I153" s="138"/>
      <c r="J153" s="17"/>
      <c r="K153" s="17"/>
      <c r="L153" s="17"/>
      <c r="M153" s="17"/>
      <c r="N153" s="17" t="str">
        <f>IF(N152=N$20,"OK","NOK")</f>
        <v>OK</v>
      </c>
      <c r="O153" s="17" t="str">
        <f>IF(O152=O$20,"OK","NOK")</f>
        <v>OK</v>
      </c>
      <c r="P153" s="17"/>
      <c r="Q153" s="17" t="str">
        <f>IF(Q152=Q$20,"OK","NOK")</f>
        <v>OK</v>
      </c>
      <c r="R153" s="17" t="str">
        <f>IF(R152=R$20,"OK","NOK")</f>
        <v>OK</v>
      </c>
      <c r="S153" s="17"/>
      <c r="T153" s="17" t="str">
        <f>IF(T152=T$20,"OK","NOK")</f>
        <v>OK</v>
      </c>
      <c r="U153" s="17" t="str">
        <f>IF(U152=U$20,"OK","NOK")</f>
        <v>OK</v>
      </c>
      <c r="V153" s="359"/>
      <c r="W153" s="382"/>
      <c r="X153" s="539"/>
      <c r="Y153" s="539"/>
      <c r="Z153" s="201"/>
      <c r="AA153" s="201"/>
      <c r="AB153" s="201"/>
      <c r="AC153" s="84"/>
      <c r="AE153" s="46"/>
      <c r="AF153" s="46"/>
      <c r="AG153" s="17"/>
      <c r="AH153" s="539"/>
      <c r="AI153" s="91"/>
      <c r="AK153" s="46"/>
      <c r="AL153" s="46"/>
      <c r="AM153" s="17"/>
      <c r="AN153" s="539"/>
      <c r="AO153" s="91"/>
      <c r="AQ153" s="46"/>
      <c r="AR153" s="46"/>
      <c r="AS153" s="17"/>
      <c r="AT153" s="539"/>
      <c r="AU153" s="91"/>
      <c r="AW153" s="46"/>
      <c r="AX153" s="46"/>
      <c r="AY153" s="17"/>
      <c r="AZ153" s="539"/>
      <c r="BA153" s="91"/>
    </row>
    <row r="154" spans="1:53" ht="17.100000000000001" customHeight="1" x14ac:dyDescent="0.25">
      <c r="A154" s="68"/>
      <c r="B154" s="41" t="s">
        <v>116</v>
      </c>
      <c r="C154" s="69" t="s">
        <v>427</v>
      </c>
      <c r="D154" s="50"/>
      <c r="E154" s="70"/>
      <c r="F154" s="70"/>
      <c r="G154" s="70"/>
      <c r="H154" s="243">
        <v>34</v>
      </c>
      <c r="J154" s="71"/>
      <c r="K154" s="71"/>
      <c r="L154" s="71"/>
      <c r="M154" s="71"/>
      <c r="N154" s="71"/>
      <c r="O154" s="71"/>
      <c r="P154" s="71"/>
      <c r="Q154" s="71"/>
      <c r="R154" s="71"/>
      <c r="S154" s="71"/>
      <c r="T154" s="71"/>
      <c r="U154" s="71"/>
      <c r="V154" s="355"/>
      <c r="W154" s="377"/>
      <c r="X154" s="71"/>
      <c r="Y154" s="72"/>
      <c r="Z154" s="73"/>
      <c r="AA154" s="73"/>
      <c r="AB154" s="73"/>
      <c r="AC154" s="73"/>
      <c r="AE154" s="71"/>
      <c r="AF154" s="71"/>
      <c r="AG154" s="71"/>
      <c r="AH154" s="72"/>
      <c r="AI154" s="73"/>
      <c r="AK154" s="71"/>
      <c r="AL154" s="71"/>
      <c r="AM154" s="71"/>
      <c r="AN154" s="72"/>
      <c r="AO154" s="73"/>
      <c r="AQ154" s="71"/>
      <c r="AR154" s="71"/>
      <c r="AS154" s="71"/>
      <c r="AT154" s="72"/>
      <c r="AU154" s="73"/>
      <c r="AW154" s="71"/>
      <c r="AX154" s="71"/>
      <c r="AY154" s="71"/>
      <c r="AZ154" s="72"/>
      <c r="BA154" s="73"/>
    </row>
    <row r="155" spans="1:53" ht="17.100000000000001" customHeight="1" x14ac:dyDescent="0.25">
      <c r="A155" s="40"/>
      <c r="B155" s="40"/>
      <c r="C155" s="141" t="s">
        <v>117</v>
      </c>
      <c r="D155" s="85" t="s">
        <v>428</v>
      </c>
      <c r="E155" s="75"/>
      <c r="F155" s="75"/>
      <c r="G155" s="75"/>
      <c r="H155" s="540"/>
      <c r="I155" s="229"/>
      <c r="J155" s="581"/>
      <c r="K155" s="581"/>
      <c r="L155" s="582"/>
      <c r="M155" s="17">
        <f t="shared" ref="M155:M160" si="130">SUM(J155:L155)</f>
        <v>0</v>
      </c>
      <c r="N155" s="111"/>
      <c r="O155" s="111"/>
      <c r="P155" s="111"/>
      <c r="Q155" s="111"/>
      <c r="R155" s="111"/>
      <c r="S155" s="111"/>
      <c r="T155" s="111"/>
      <c r="U155" s="111"/>
      <c r="V155" s="358"/>
      <c r="W155" s="391">
        <f t="shared" ref="W155:W160" si="131">J155+K155+N155+Q155+T155</f>
        <v>0</v>
      </c>
      <c r="X155" s="17">
        <f t="shared" ref="X155:X160" si="132">L155+O155+R155+U155</f>
        <v>0</v>
      </c>
      <c r="Y155" s="18">
        <f t="shared" ref="Y155:Y160" si="133">SUM(W155:X155)</f>
        <v>0</v>
      </c>
      <c r="Z155" s="19">
        <f>IF($Y$161=0,0,Y155/$Y$161)</f>
        <v>0</v>
      </c>
      <c r="AA155" s="19"/>
      <c r="AB155" s="19"/>
      <c r="AC155" s="20"/>
      <c r="AE155" s="17"/>
      <c r="AF155" s="17"/>
      <c r="AG155" s="17"/>
      <c r="AH155" s="18">
        <f t="shared" ref="AH155:AH160" si="134">J155</f>
        <v>0</v>
      </c>
      <c r="AI155" s="19">
        <f>IF(AH$161=0,0,AH155/AH$161)</f>
        <v>0</v>
      </c>
      <c r="AK155" s="17"/>
      <c r="AL155" s="17"/>
      <c r="AM155" s="17"/>
      <c r="AN155" s="18">
        <f t="shared" ref="AN155:AN160" si="135">K155</f>
        <v>0</v>
      </c>
      <c r="AO155" s="19">
        <f>IF(AN$161=0,0,AN155/AN$161)</f>
        <v>0</v>
      </c>
      <c r="AQ155" s="17"/>
      <c r="AR155" s="17"/>
      <c r="AS155" s="17"/>
      <c r="AT155" s="18">
        <f t="shared" ref="AT155:AT160" si="136">W155</f>
        <v>0</v>
      </c>
      <c r="AU155" s="19">
        <f>IF(AT$161=0,0,AT155/AT$161)</f>
        <v>0</v>
      </c>
      <c r="AW155" s="17"/>
      <c r="AX155" s="17"/>
      <c r="AY155" s="17"/>
      <c r="AZ155" s="18">
        <f t="shared" ref="AZ155:AZ160" si="137">X155</f>
        <v>0</v>
      </c>
      <c r="BA155" s="19">
        <f>IF(AZ$161=0,0,AZ155/AZ$161)</f>
        <v>0</v>
      </c>
    </row>
    <row r="156" spans="1:53" ht="17.100000000000001" customHeight="1" x14ac:dyDescent="0.25">
      <c r="A156" s="40"/>
      <c r="B156" s="40"/>
      <c r="C156" s="141" t="s">
        <v>118</v>
      </c>
      <c r="D156" s="85" t="s">
        <v>429</v>
      </c>
      <c r="E156" s="75"/>
      <c r="F156" s="75"/>
      <c r="G156" s="75"/>
      <c r="H156" s="540"/>
      <c r="I156" s="229"/>
      <c r="J156" s="583"/>
      <c r="K156" s="583"/>
      <c r="L156" s="584"/>
      <c r="M156" s="17">
        <f t="shared" si="130"/>
        <v>0</v>
      </c>
      <c r="N156" s="111"/>
      <c r="O156" s="111"/>
      <c r="P156" s="111"/>
      <c r="Q156" s="111"/>
      <c r="R156" s="111"/>
      <c r="S156" s="111"/>
      <c r="T156" s="111"/>
      <c r="U156" s="111"/>
      <c r="V156" s="358"/>
      <c r="W156" s="391">
        <f t="shared" si="131"/>
        <v>0</v>
      </c>
      <c r="X156" s="17">
        <f t="shared" si="132"/>
        <v>0</v>
      </c>
      <c r="Y156" s="18">
        <f t="shared" si="133"/>
        <v>0</v>
      </c>
      <c r="Z156" s="19">
        <f t="shared" ref="Z156:Z161" si="138">IF($Y$161=0,0,Y156/$Y$161)</f>
        <v>0</v>
      </c>
      <c r="AA156" s="19"/>
      <c r="AB156" s="19"/>
      <c r="AC156" s="20"/>
      <c r="AE156" s="17"/>
      <c r="AF156" s="17"/>
      <c r="AG156" s="17"/>
      <c r="AH156" s="18">
        <f t="shared" si="134"/>
        <v>0</v>
      </c>
      <c r="AI156" s="19">
        <f t="shared" ref="AI156:AI161" si="139">IF(AH$161=0,0,AH156/AH$161)</f>
        <v>0</v>
      </c>
      <c r="AK156" s="17"/>
      <c r="AL156" s="17"/>
      <c r="AM156" s="17"/>
      <c r="AN156" s="18">
        <f t="shared" si="135"/>
        <v>0</v>
      </c>
      <c r="AO156" s="19">
        <f t="shared" ref="AO156:AO161" si="140">IF(AN$161=0,0,AN156/AN$161)</f>
        <v>0</v>
      </c>
      <c r="AQ156" s="17"/>
      <c r="AR156" s="17"/>
      <c r="AS156" s="17"/>
      <c r="AT156" s="18">
        <f t="shared" si="136"/>
        <v>0</v>
      </c>
      <c r="AU156" s="19">
        <f t="shared" ref="AU156:AU161" si="141">IF(AT$161=0,0,AT156/AT$161)</f>
        <v>0</v>
      </c>
      <c r="AW156" s="17"/>
      <c r="AX156" s="17"/>
      <c r="AY156" s="17"/>
      <c r="AZ156" s="18">
        <f t="shared" si="137"/>
        <v>0</v>
      </c>
      <c r="BA156" s="19">
        <f t="shared" ref="BA156:BA161" si="142">IF(AZ$161=0,0,AZ156/AZ$161)</f>
        <v>0</v>
      </c>
    </row>
    <row r="157" spans="1:53" ht="17.100000000000001" customHeight="1" x14ac:dyDescent="0.25">
      <c r="A157" s="40"/>
      <c r="B157" s="40"/>
      <c r="C157" s="141" t="s">
        <v>119</v>
      </c>
      <c r="D157" s="85" t="s">
        <v>430</v>
      </c>
      <c r="E157" s="75"/>
      <c r="F157" s="75"/>
      <c r="G157" s="75"/>
      <c r="H157" s="540"/>
      <c r="I157" s="229"/>
      <c r="J157" s="581"/>
      <c r="K157" s="581"/>
      <c r="L157" s="582"/>
      <c r="M157" s="17">
        <f t="shared" si="130"/>
        <v>0</v>
      </c>
      <c r="N157" s="111"/>
      <c r="O157" s="111"/>
      <c r="P157" s="111"/>
      <c r="Q157" s="111"/>
      <c r="R157" s="111"/>
      <c r="S157" s="111"/>
      <c r="T157" s="111"/>
      <c r="U157" s="111"/>
      <c r="V157" s="358"/>
      <c r="W157" s="391">
        <f t="shared" si="131"/>
        <v>0</v>
      </c>
      <c r="X157" s="17">
        <f t="shared" si="132"/>
        <v>0</v>
      </c>
      <c r="Y157" s="18">
        <f t="shared" si="133"/>
        <v>0</v>
      </c>
      <c r="Z157" s="19">
        <f t="shared" si="138"/>
        <v>0</v>
      </c>
      <c r="AA157" s="19"/>
      <c r="AB157" s="19"/>
      <c r="AC157" s="20"/>
      <c r="AE157" s="17"/>
      <c r="AF157" s="17"/>
      <c r="AG157" s="17"/>
      <c r="AH157" s="18">
        <f t="shared" si="134"/>
        <v>0</v>
      </c>
      <c r="AI157" s="19">
        <f t="shared" si="139"/>
        <v>0</v>
      </c>
      <c r="AK157" s="17"/>
      <c r="AL157" s="17"/>
      <c r="AM157" s="17"/>
      <c r="AN157" s="18">
        <f t="shared" si="135"/>
        <v>0</v>
      </c>
      <c r="AO157" s="19">
        <f t="shared" si="140"/>
        <v>0</v>
      </c>
      <c r="AQ157" s="17"/>
      <c r="AR157" s="17"/>
      <c r="AS157" s="17"/>
      <c r="AT157" s="18">
        <f t="shared" si="136"/>
        <v>0</v>
      </c>
      <c r="AU157" s="19">
        <f t="shared" si="141"/>
        <v>0</v>
      </c>
      <c r="AW157" s="17"/>
      <c r="AX157" s="17"/>
      <c r="AY157" s="17"/>
      <c r="AZ157" s="18">
        <f t="shared" si="137"/>
        <v>0</v>
      </c>
      <c r="BA157" s="19">
        <f t="shared" si="142"/>
        <v>0</v>
      </c>
    </row>
    <row r="158" spans="1:53" ht="17.100000000000001" customHeight="1" x14ac:dyDescent="0.25">
      <c r="A158" s="40"/>
      <c r="B158" s="40"/>
      <c r="C158" s="141" t="s">
        <v>120</v>
      </c>
      <c r="D158" s="85" t="s">
        <v>431</v>
      </c>
      <c r="E158" s="75"/>
      <c r="F158" s="75"/>
      <c r="G158" s="75"/>
      <c r="H158" s="540"/>
      <c r="I158" s="229"/>
      <c r="J158" s="583"/>
      <c r="K158" s="583"/>
      <c r="L158" s="584"/>
      <c r="M158" s="17">
        <f t="shared" si="130"/>
        <v>0</v>
      </c>
      <c r="N158" s="111"/>
      <c r="O158" s="111"/>
      <c r="P158" s="111"/>
      <c r="Q158" s="111"/>
      <c r="R158" s="111"/>
      <c r="S158" s="111"/>
      <c r="T158" s="111"/>
      <c r="U158" s="111"/>
      <c r="V158" s="358"/>
      <c r="W158" s="391">
        <f t="shared" si="131"/>
        <v>0</v>
      </c>
      <c r="X158" s="17">
        <f t="shared" si="132"/>
        <v>0</v>
      </c>
      <c r="Y158" s="18">
        <f t="shared" si="133"/>
        <v>0</v>
      </c>
      <c r="Z158" s="19">
        <f t="shared" si="138"/>
        <v>0</v>
      </c>
      <c r="AA158" s="19"/>
      <c r="AB158" s="19"/>
      <c r="AC158" s="20"/>
      <c r="AE158" s="17"/>
      <c r="AF158" s="17"/>
      <c r="AG158" s="17"/>
      <c r="AH158" s="18">
        <f t="shared" si="134"/>
        <v>0</v>
      </c>
      <c r="AI158" s="19">
        <f t="shared" si="139"/>
        <v>0</v>
      </c>
      <c r="AK158" s="17"/>
      <c r="AL158" s="17"/>
      <c r="AM158" s="17"/>
      <c r="AN158" s="18">
        <f t="shared" si="135"/>
        <v>0</v>
      </c>
      <c r="AO158" s="19">
        <f t="shared" si="140"/>
        <v>0</v>
      </c>
      <c r="AQ158" s="17"/>
      <c r="AR158" s="17"/>
      <c r="AS158" s="17"/>
      <c r="AT158" s="18">
        <f t="shared" si="136"/>
        <v>0</v>
      </c>
      <c r="AU158" s="19">
        <f t="shared" si="141"/>
        <v>0</v>
      </c>
      <c r="AW158" s="17"/>
      <c r="AX158" s="17"/>
      <c r="AY158" s="17"/>
      <c r="AZ158" s="18">
        <f t="shared" si="137"/>
        <v>0</v>
      </c>
      <c r="BA158" s="19">
        <f t="shared" si="142"/>
        <v>0</v>
      </c>
    </row>
    <row r="159" spans="1:53" ht="17.100000000000001" customHeight="1" x14ac:dyDescent="0.25">
      <c r="A159" s="40"/>
      <c r="B159" s="40"/>
      <c r="C159" s="141" t="s">
        <v>121</v>
      </c>
      <c r="D159" s="85" t="s">
        <v>432</v>
      </c>
      <c r="E159" s="75"/>
      <c r="F159" s="75"/>
      <c r="G159" s="75"/>
      <c r="H159" s="540"/>
      <c r="I159" s="229"/>
      <c r="J159" s="581"/>
      <c r="K159" s="581"/>
      <c r="L159" s="582"/>
      <c r="M159" s="17">
        <f t="shared" si="130"/>
        <v>0</v>
      </c>
      <c r="N159" s="111"/>
      <c r="O159" s="111"/>
      <c r="P159" s="111"/>
      <c r="Q159" s="111"/>
      <c r="R159" s="111"/>
      <c r="S159" s="111"/>
      <c r="T159" s="111"/>
      <c r="U159" s="111"/>
      <c r="V159" s="358"/>
      <c r="W159" s="391">
        <f t="shared" si="131"/>
        <v>0</v>
      </c>
      <c r="X159" s="17">
        <f t="shared" si="132"/>
        <v>0</v>
      </c>
      <c r="Y159" s="18">
        <f t="shared" si="133"/>
        <v>0</v>
      </c>
      <c r="Z159" s="19">
        <f t="shared" si="138"/>
        <v>0</v>
      </c>
      <c r="AA159" s="19"/>
      <c r="AB159" s="19"/>
      <c r="AC159" s="20"/>
      <c r="AE159" s="17"/>
      <c r="AF159" s="17"/>
      <c r="AG159" s="17"/>
      <c r="AH159" s="18">
        <f t="shared" si="134"/>
        <v>0</v>
      </c>
      <c r="AI159" s="19">
        <f t="shared" si="139"/>
        <v>0</v>
      </c>
      <c r="AK159" s="17"/>
      <c r="AL159" s="17"/>
      <c r="AM159" s="17"/>
      <c r="AN159" s="18">
        <f t="shared" si="135"/>
        <v>0</v>
      </c>
      <c r="AO159" s="19">
        <f t="shared" si="140"/>
        <v>0</v>
      </c>
      <c r="AQ159" s="17"/>
      <c r="AR159" s="17"/>
      <c r="AS159" s="17"/>
      <c r="AT159" s="18">
        <f t="shared" si="136"/>
        <v>0</v>
      </c>
      <c r="AU159" s="19">
        <f t="shared" si="141"/>
        <v>0</v>
      </c>
      <c r="AW159" s="17"/>
      <c r="AX159" s="17"/>
      <c r="AY159" s="17"/>
      <c r="AZ159" s="18">
        <f t="shared" si="137"/>
        <v>0</v>
      </c>
      <c r="BA159" s="19">
        <f t="shared" si="142"/>
        <v>0</v>
      </c>
    </row>
    <row r="160" spans="1:53" ht="17.100000000000001" customHeight="1" x14ac:dyDescent="0.25">
      <c r="A160" s="40"/>
      <c r="B160" s="40"/>
      <c r="C160" s="141" t="s">
        <v>122</v>
      </c>
      <c r="D160" s="85" t="s">
        <v>129</v>
      </c>
      <c r="E160" s="75"/>
      <c r="F160" s="75"/>
      <c r="G160" s="75"/>
      <c r="H160" s="540"/>
      <c r="I160" s="229"/>
      <c r="J160" s="583"/>
      <c r="K160" s="583"/>
      <c r="L160" s="584"/>
      <c r="M160" s="17">
        <f t="shared" si="130"/>
        <v>0</v>
      </c>
      <c r="N160" s="111"/>
      <c r="O160" s="111"/>
      <c r="P160" s="111"/>
      <c r="Q160" s="111"/>
      <c r="R160" s="111"/>
      <c r="S160" s="111"/>
      <c r="T160" s="111"/>
      <c r="U160" s="111"/>
      <c r="V160" s="358"/>
      <c r="W160" s="391">
        <f t="shared" si="131"/>
        <v>0</v>
      </c>
      <c r="X160" s="17">
        <f t="shared" si="132"/>
        <v>0</v>
      </c>
      <c r="Y160" s="18">
        <f t="shared" si="133"/>
        <v>0</v>
      </c>
      <c r="Z160" s="19">
        <f t="shared" si="138"/>
        <v>0</v>
      </c>
      <c r="AA160" s="19"/>
      <c r="AB160" s="19"/>
      <c r="AC160" s="20"/>
      <c r="AE160" s="17"/>
      <c r="AF160" s="17"/>
      <c r="AG160" s="17"/>
      <c r="AH160" s="18">
        <f t="shared" si="134"/>
        <v>0</v>
      </c>
      <c r="AI160" s="19">
        <f t="shared" si="139"/>
        <v>0</v>
      </c>
      <c r="AK160" s="17"/>
      <c r="AL160" s="17"/>
      <c r="AM160" s="17"/>
      <c r="AN160" s="18">
        <f t="shared" si="135"/>
        <v>0</v>
      </c>
      <c r="AO160" s="19">
        <f t="shared" si="140"/>
        <v>0</v>
      </c>
      <c r="AQ160" s="17"/>
      <c r="AR160" s="17"/>
      <c r="AS160" s="17"/>
      <c r="AT160" s="18">
        <f t="shared" si="136"/>
        <v>0</v>
      </c>
      <c r="AU160" s="19">
        <f t="shared" si="141"/>
        <v>0</v>
      </c>
      <c r="AW160" s="17"/>
      <c r="AX160" s="17"/>
      <c r="AY160" s="17"/>
      <c r="AZ160" s="18">
        <f t="shared" si="137"/>
        <v>0</v>
      </c>
      <c r="BA160" s="19">
        <f t="shared" si="142"/>
        <v>0</v>
      </c>
    </row>
    <row r="161" spans="1:53" ht="17.100000000000001" customHeight="1" x14ac:dyDescent="0.25">
      <c r="A161" s="40"/>
      <c r="B161" s="40"/>
      <c r="C161" s="77"/>
      <c r="D161" s="144"/>
      <c r="E161" s="144"/>
      <c r="F161" s="145"/>
      <c r="G161" s="145"/>
      <c r="H161" s="119"/>
      <c r="I161" s="236"/>
      <c r="J161" s="64">
        <f>SUM(J155:J160)</f>
        <v>0</v>
      </c>
      <c r="K161" s="64">
        <f t="shared" ref="K161:M161" si="143">SUM(K155:K160)</f>
        <v>0</v>
      </c>
      <c r="L161" s="64">
        <f t="shared" si="143"/>
        <v>0</v>
      </c>
      <c r="M161" s="64">
        <f t="shared" si="143"/>
        <v>0</v>
      </c>
      <c r="N161" s="64"/>
      <c r="O161" s="64"/>
      <c r="P161" s="64"/>
      <c r="Q161" s="81"/>
      <c r="R161" s="81"/>
      <c r="S161" s="81"/>
      <c r="T161" s="81"/>
      <c r="U161" s="81"/>
      <c r="V161" s="356"/>
      <c r="W161" s="381">
        <f>SUM(W155:W160)</f>
        <v>0</v>
      </c>
      <c r="X161" s="82">
        <f t="shared" ref="X161:Y161" si="144">SUM(X155:X160)</f>
        <v>0</v>
      </c>
      <c r="Y161" s="82">
        <f t="shared" si="144"/>
        <v>0</v>
      </c>
      <c r="Z161" s="205">
        <f t="shared" si="138"/>
        <v>0</v>
      </c>
      <c r="AA161" s="205"/>
      <c r="AB161" s="205"/>
      <c r="AC161" s="83"/>
      <c r="AE161" s="80"/>
      <c r="AF161" s="80"/>
      <c r="AG161" s="81"/>
      <c r="AH161" s="82">
        <f>SUM(AH155:AH160)</f>
        <v>0</v>
      </c>
      <c r="AI161" s="66">
        <f t="shared" si="139"/>
        <v>0</v>
      </c>
      <c r="AK161" s="80"/>
      <c r="AL161" s="80"/>
      <c r="AM161" s="81"/>
      <c r="AN161" s="82">
        <f>SUM(AN155:AN160)</f>
        <v>0</v>
      </c>
      <c r="AO161" s="66">
        <f t="shared" si="140"/>
        <v>0</v>
      </c>
      <c r="AQ161" s="80"/>
      <c r="AR161" s="80"/>
      <c r="AS161" s="81"/>
      <c r="AT161" s="82">
        <f>SUM(AT155:AT160)</f>
        <v>0</v>
      </c>
      <c r="AU161" s="66">
        <f t="shared" si="141"/>
        <v>0</v>
      </c>
      <c r="AW161" s="80"/>
      <c r="AX161" s="80"/>
      <c r="AY161" s="81"/>
      <c r="AZ161" s="82">
        <f>SUM(AZ155:AZ160)</f>
        <v>0</v>
      </c>
      <c r="BA161" s="66">
        <f t="shared" si="142"/>
        <v>0</v>
      </c>
    </row>
    <row r="162" spans="1:53" s="117" customFormat="1" ht="17.100000000000001" customHeight="1" x14ac:dyDescent="0.25">
      <c r="A162" s="68"/>
      <c r="B162" s="119"/>
      <c r="C162" s="540"/>
      <c r="D162" s="261"/>
      <c r="E162" s="261"/>
      <c r="F162" s="68"/>
      <c r="G162" s="68"/>
      <c r="H162" s="119"/>
      <c r="I162" s="138"/>
      <c r="J162" s="17" t="str">
        <f>IF(J161=J$15,"OK","NOK")</f>
        <v>OK</v>
      </c>
      <c r="K162" s="17" t="str">
        <f t="shared" ref="K162:L162" si="145">IF(K161=K$15,"OK","NOK")</f>
        <v>OK</v>
      </c>
      <c r="L162" s="17" t="str">
        <f t="shared" si="145"/>
        <v>OK</v>
      </c>
      <c r="M162" s="17"/>
      <c r="N162" s="17"/>
      <c r="O162" s="17"/>
      <c r="P162" s="17"/>
      <c r="Q162" s="17"/>
      <c r="R162" s="17"/>
      <c r="S162" s="17"/>
      <c r="T162" s="17"/>
      <c r="U162" s="17"/>
      <c r="V162" s="359"/>
      <c r="W162" s="382"/>
      <c r="X162" s="539"/>
      <c r="Y162" s="539"/>
      <c r="Z162" s="201"/>
      <c r="AA162" s="201"/>
      <c r="AB162" s="201"/>
      <c r="AC162" s="84"/>
      <c r="AE162" s="46"/>
      <c r="AF162" s="46"/>
      <c r="AG162" s="17"/>
      <c r="AH162" s="539"/>
      <c r="AI162" s="91"/>
      <c r="AK162" s="46"/>
      <c r="AL162" s="46"/>
      <c r="AM162" s="17"/>
      <c r="AN162" s="539"/>
      <c r="AO162" s="91"/>
      <c r="AQ162" s="46"/>
      <c r="AR162" s="46"/>
      <c r="AS162" s="17"/>
      <c r="AT162" s="539"/>
      <c r="AU162" s="91"/>
      <c r="AW162" s="46"/>
      <c r="AX162" s="46"/>
      <c r="AY162" s="17"/>
      <c r="AZ162" s="539"/>
      <c r="BA162" s="91"/>
    </row>
    <row r="163" spans="1:53" ht="17.100000000000001" customHeight="1" x14ac:dyDescent="0.25">
      <c r="A163" s="68"/>
      <c r="B163" s="41" t="s">
        <v>123</v>
      </c>
      <c r="C163" s="49" t="s">
        <v>426</v>
      </c>
      <c r="D163" s="50"/>
      <c r="E163" s="70"/>
      <c r="F163" s="70"/>
      <c r="G163" s="70"/>
      <c r="H163" s="243">
        <v>8</v>
      </c>
      <c r="J163" s="71"/>
      <c r="K163" s="71"/>
      <c r="L163" s="71"/>
      <c r="M163" s="71"/>
      <c r="N163" s="71"/>
      <c r="O163" s="71"/>
      <c r="P163" s="71"/>
      <c r="Q163" s="71"/>
      <c r="R163" s="71"/>
      <c r="S163" s="71"/>
      <c r="T163" s="71"/>
      <c r="U163" s="71"/>
      <c r="V163" s="355"/>
      <c r="W163" s="377"/>
      <c r="X163" s="71"/>
      <c r="Y163" s="72"/>
      <c r="Z163" s="73"/>
      <c r="AA163" s="73"/>
      <c r="AB163" s="73"/>
      <c r="AC163" s="73"/>
      <c r="AE163" s="71"/>
      <c r="AF163" s="71"/>
      <c r="AG163" s="71"/>
      <c r="AH163" s="72"/>
      <c r="AI163" s="73"/>
      <c r="AK163" s="71"/>
      <c r="AL163" s="71"/>
      <c r="AM163" s="71"/>
      <c r="AN163" s="72"/>
      <c r="AO163" s="73"/>
      <c r="AQ163" s="71"/>
      <c r="AR163" s="71"/>
      <c r="AS163" s="71"/>
      <c r="AT163" s="72"/>
      <c r="AU163" s="73"/>
      <c r="AW163" s="71"/>
      <c r="AX163" s="71"/>
      <c r="AY163" s="71"/>
      <c r="AZ163" s="72"/>
      <c r="BA163" s="73"/>
    </row>
    <row r="164" spans="1:53" ht="17.100000000000001" customHeight="1" x14ac:dyDescent="0.25">
      <c r="A164" s="40"/>
      <c r="B164" s="40"/>
      <c r="C164" s="74" t="s">
        <v>125</v>
      </c>
      <c r="D164" s="75" t="s">
        <v>148</v>
      </c>
      <c r="E164" s="75"/>
      <c r="F164" s="75"/>
      <c r="G164" s="75"/>
      <c r="H164" s="540"/>
      <c r="I164" s="229"/>
      <c r="J164" s="581"/>
      <c r="K164" s="581"/>
      <c r="L164" s="582"/>
      <c r="M164" s="17">
        <f t="shared" ref="M164:M165" si="146">SUM(J164:L164)</f>
        <v>0</v>
      </c>
      <c r="N164" s="111"/>
      <c r="O164" s="111"/>
      <c r="P164" s="111"/>
      <c r="Q164" s="111"/>
      <c r="R164" s="111"/>
      <c r="S164" s="111"/>
      <c r="T164" s="111"/>
      <c r="U164" s="111"/>
      <c r="V164" s="358"/>
      <c r="W164" s="391">
        <f t="shared" ref="W164:W165" si="147">J164+K164+N164+Q164+T164</f>
        <v>0</v>
      </c>
      <c r="X164" s="17">
        <f t="shared" ref="X164:X165" si="148">L164+O164+R164+U164</f>
        <v>0</v>
      </c>
      <c r="Y164" s="18">
        <f>SUM(W164:X164)</f>
        <v>0</v>
      </c>
      <c r="Z164" s="19">
        <f>IF($Y$166=0,0,Y164/$Y$166)</f>
        <v>0</v>
      </c>
      <c r="AA164" s="19"/>
      <c r="AB164" s="19"/>
      <c r="AC164" s="20"/>
      <c r="AE164" s="17"/>
      <c r="AF164" s="17"/>
      <c r="AG164" s="17"/>
      <c r="AH164" s="18">
        <f t="shared" ref="AH164:AH165" si="149">J164</f>
        <v>0</v>
      </c>
      <c r="AI164" s="19">
        <f>IF(AH$166=0,0,AH164/AH$166)</f>
        <v>0</v>
      </c>
      <c r="AK164" s="17"/>
      <c r="AL164" s="17"/>
      <c r="AM164" s="17"/>
      <c r="AN164" s="18">
        <f t="shared" ref="AN164:AN165" si="150">K164</f>
        <v>0</v>
      </c>
      <c r="AO164" s="19">
        <f>IF(AN$166=0,0,AN164/AN$166)</f>
        <v>0</v>
      </c>
      <c r="AQ164" s="17"/>
      <c r="AR164" s="17"/>
      <c r="AS164" s="17"/>
      <c r="AT164" s="18">
        <f t="shared" ref="AT164:AT165" si="151">W164</f>
        <v>0</v>
      </c>
      <c r="AU164" s="19">
        <f>IF(AT$166=0,0,AT164/AT$166)</f>
        <v>0</v>
      </c>
      <c r="AW164" s="17"/>
      <c r="AX164" s="17"/>
      <c r="AY164" s="17"/>
      <c r="AZ164" s="18">
        <f t="shared" ref="AZ164:AZ165" si="152">X164</f>
        <v>0</v>
      </c>
      <c r="BA164" s="19">
        <f>IF(AZ$166=0,0,AZ164/AZ$166)</f>
        <v>0</v>
      </c>
    </row>
    <row r="165" spans="1:53" ht="17.100000000000001" customHeight="1" x14ac:dyDescent="0.25">
      <c r="A165" s="40"/>
      <c r="B165" s="40"/>
      <c r="C165" s="74" t="s">
        <v>126</v>
      </c>
      <c r="D165" s="75" t="s">
        <v>149</v>
      </c>
      <c r="E165" s="75"/>
      <c r="F165" s="75"/>
      <c r="G165" s="75"/>
      <c r="H165" s="540"/>
      <c r="I165" s="229"/>
      <c r="J165" s="583"/>
      <c r="K165" s="583"/>
      <c r="L165" s="584"/>
      <c r="M165" s="17">
        <f t="shared" si="146"/>
        <v>0</v>
      </c>
      <c r="N165" s="111"/>
      <c r="O165" s="111"/>
      <c r="P165" s="111"/>
      <c r="Q165" s="111"/>
      <c r="R165" s="111"/>
      <c r="S165" s="111"/>
      <c r="T165" s="111"/>
      <c r="U165" s="111"/>
      <c r="V165" s="358"/>
      <c r="W165" s="391">
        <f t="shared" si="147"/>
        <v>0</v>
      </c>
      <c r="X165" s="17">
        <f t="shared" si="148"/>
        <v>0</v>
      </c>
      <c r="Y165" s="18">
        <f>SUM(W165:X165)</f>
        <v>0</v>
      </c>
      <c r="Z165" s="19">
        <f t="shared" ref="Z165:Z166" si="153">IF($Y$166=0,0,Y165/$Y$166)</f>
        <v>0</v>
      </c>
      <c r="AA165" s="19"/>
      <c r="AB165" s="19"/>
      <c r="AC165" s="20"/>
      <c r="AE165" s="17"/>
      <c r="AF165" s="17"/>
      <c r="AG165" s="17"/>
      <c r="AH165" s="18">
        <f t="shared" si="149"/>
        <v>0</v>
      </c>
      <c r="AI165" s="19">
        <f t="shared" ref="AI165:AI166" si="154">IF(AH$166=0,0,AH165/AH$166)</f>
        <v>0</v>
      </c>
      <c r="AK165" s="17"/>
      <c r="AL165" s="17"/>
      <c r="AM165" s="17"/>
      <c r="AN165" s="18">
        <f t="shared" si="150"/>
        <v>0</v>
      </c>
      <c r="AO165" s="19">
        <f t="shared" ref="AO165:AO166" si="155">IF(AN$166=0,0,AN165/AN$166)</f>
        <v>0</v>
      </c>
      <c r="AQ165" s="17"/>
      <c r="AR165" s="17"/>
      <c r="AS165" s="17"/>
      <c r="AT165" s="18">
        <f t="shared" si="151"/>
        <v>0</v>
      </c>
      <c r="AU165" s="19">
        <f t="shared" ref="AU165:AU166" si="156">IF(AT$166=0,0,AT165/AT$166)</f>
        <v>0</v>
      </c>
      <c r="AW165" s="17"/>
      <c r="AX165" s="17"/>
      <c r="AY165" s="17"/>
      <c r="AZ165" s="18">
        <f t="shared" si="152"/>
        <v>0</v>
      </c>
      <c r="BA165" s="19">
        <f t="shared" ref="BA165:BA166" si="157">IF(AZ$166=0,0,AZ165/AZ$166)</f>
        <v>0</v>
      </c>
    </row>
    <row r="166" spans="1:53" ht="17.100000000000001" customHeight="1" x14ac:dyDescent="0.25">
      <c r="A166" s="40"/>
      <c r="B166" s="40"/>
      <c r="C166" s="77"/>
      <c r="D166" s="144"/>
      <c r="E166" s="144"/>
      <c r="F166" s="145"/>
      <c r="G166" s="145"/>
      <c r="H166" s="119"/>
      <c r="I166" s="236"/>
      <c r="J166" s="64">
        <f>SUM(J164:J165)</f>
        <v>0</v>
      </c>
      <c r="K166" s="64">
        <f t="shared" ref="K166:M166" si="158">SUM(K164:K165)</f>
        <v>0</v>
      </c>
      <c r="L166" s="64">
        <f t="shared" si="158"/>
        <v>0</v>
      </c>
      <c r="M166" s="64">
        <f t="shared" si="158"/>
        <v>0</v>
      </c>
      <c r="N166" s="64"/>
      <c r="O166" s="64"/>
      <c r="P166" s="64"/>
      <c r="Q166" s="81"/>
      <c r="R166" s="81"/>
      <c r="S166" s="81"/>
      <c r="T166" s="81"/>
      <c r="U166" s="81"/>
      <c r="V166" s="356"/>
      <c r="W166" s="381">
        <f>SUM(W164:W165)</f>
        <v>0</v>
      </c>
      <c r="X166" s="82">
        <f t="shared" ref="X166:Y166" si="159">SUM(X164:X165)</f>
        <v>0</v>
      </c>
      <c r="Y166" s="82">
        <f t="shared" si="159"/>
        <v>0</v>
      </c>
      <c r="Z166" s="205">
        <f t="shared" si="153"/>
        <v>0</v>
      </c>
      <c r="AA166" s="205"/>
      <c r="AB166" s="205"/>
      <c r="AC166" s="83"/>
      <c r="AE166" s="80"/>
      <c r="AF166" s="80"/>
      <c r="AG166" s="81"/>
      <c r="AH166" s="82">
        <f>SUM(AH164:AH165)</f>
        <v>0</v>
      </c>
      <c r="AI166" s="66">
        <f t="shared" si="154"/>
        <v>0</v>
      </c>
      <c r="AK166" s="80"/>
      <c r="AL166" s="80"/>
      <c r="AM166" s="81"/>
      <c r="AN166" s="82">
        <f>SUM(AN164:AN165)</f>
        <v>0</v>
      </c>
      <c r="AO166" s="66">
        <f t="shared" si="155"/>
        <v>0</v>
      </c>
      <c r="AQ166" s="80"/>
      <c r="AR166" s="80"/>
      <c r="AS166" s="81"/>
      <c r="AT166" s="82">
        <f>SUM(AT164:AT165)</f>
        <v>0</v>
      </c>
      <c r="AU166" s="66">
        <f t="shared" si="156"/>
        <v>0</v>
      </c>
      <c r="AW166" s="80"/>
      <c r="AX166" s="80"/>
      <c r="AY166" s="81"/>
      <c r="AZ166" s="82">
        <f>SUM(AZ164:AZ165)</f>
        <v>0</v>
      </c>
      <c r="BA166" s="66">
        <f t="shared" si="157"/>
        <v>0</v>
      </c>
    </row>
    <row r="167" spans="1:53" s="117" customFormat="1" ht="17.100000000000001" customHeight="1" x14ac:dyDescent="0.25">
      <c r="A167" s="68"/>
      <c r="B167" s="119"/>
      <c r="C167" s="540"/>
      <c r="D167" s="261"/>
      <c r="E167" s="261"/>
      <c r="F167" s="68"/>
      <c r="G167" s="68"/>
      <c r="H167" s="119"/>
      <c r="I167" s="138"/>
      <c r="J167" s="17" t="str">
        <f>IF(J166=J$15,"OK","NOK")</f>
        <v>OK</v>
      </c>
      <c r="K167" s="17" t="str">
        <f t="shared" ref="K167:L167" si="160">IF(K166=K$15,"OK","NOK")</f>
        <v>OK</v>
      </c>
      <c r="L167" s="17" t="str">
        <f t="shared" si="160"/>
        <v>OK</v>
      </c>
      <c r="M167" s="17"/>
      <c r="N167" s="17"/>
      <c r="O167" s="17"/>
      <c r="P167" s="17"/>
      <c r="Q167" s="17"/>
      <c r="R167" s="17"/>
      <c r="S167" s="17"/>
      <c r="T167" s="17"/>
      <c r="U167" s="17"/>
      <c r="V167" s="359"/>
      <c r="W167" s="382"/>
      <c r="X167" s="539"/>
      <c r="Y167" s="539"/>
      <c r="Z167" s="201"/>
      <c r="AA167" s="201"/>
      <c r="AB167" s="201"/>
      <c r="AC167" s="84"/>
      <c r="AE167" s="46"/>
      <c r="AF167" s="46"/>
      <c r="AG167" s="17"/>
      <c r="AH167" s="539"/>
      <c r="AI167" s="91"/>
      <c r="AK167" s="46"/>
      <c r="AL167" s="46"/>
      <c r="AM167" s="17"/>
      <c r="AN167" s="539"/>
      <c r="AO167" s="91"/>
      <c r="AQ167" s="46"/>
      <c r="AR167" s="46"/>
      <c r="AS167" s="17"/>
      <c r="AT167" s="539"/>
      <c r="AU167" s="91"/>
      <c r="AW167" s="46"/>
      <c r="AX167" s="46"/>
      <c r="AY167" s="17"/>
      <c r="AZ167" s="539"/>
      <c r="BA167" s="91"/>
    </row>
    <row r="168" spans="1:53" ht="17.100000000000001" customHeight="1" x14ac:dyDescent="0.25">
      <c r="A168" s="68"/>
      <c r="B168" s="41" t="s">
        <v>130</v>
      </c>
      <c r="C168" s="69" t="s">
        <v>413</v>
      </c>
      <c r="D168" s="50"/>
      <c r="E168" s="70"/>
      <c r="F168" s="70"/>
      <c r="G168" s="70"/>
      <c r="H168" s="119"/>
      <c r="J168" s="71"/>
      <c r="K168" s="71"/>
      <c r="L168" s="71"/>
      <c r="M168" s="71"/>
      <c r="N168" s="71"/>
      <c r="O168" s="71"/>
      <c r="P168" s="71"/>
      <c r="Q168" s="71"/>
      <c r="R168" s="71"/>
      <c r="S168" s="71"/>
      <c r="T168" s="71"/>
      <c r="U168" s="71"/>
      <c r="V168" s="355"/>
      <c r="W168" s="377"/>
      <c r="X168" s="71"/>
      <c r="Y168" s="72"/>
      <c r="Z168" s="73"/>
      <c r="AA168" s="73"/>
      <c r="AB168" s="73"/>
      <c r="AC168" s="73"/>
      <c r="AE168" s="71"/>
      <c r="AF168" s="71"/>
      <c r="AG168" s="71"/>
      <c r="AH168" s="72"/>
      <c r="AI168" s="73"/>
      <c r="AK168" s="71"/>
      <c r="AL168" s="71"/>
      <c r="AM168" s="71"/>
      <c r="AN168" s="72"/>
      <c r="AO168" s="73"/>
      <c r="AQ168" s="71"/>
      <c r="AR168" s="71"/>
      <c r="AS168" s="71"/>
      <c r="AT168" s="72"/>
      <c r="AU168" s="73"/>
      <c r="AW168" s="71"/>
      <c r="AX168" s="71"/>
      <c r="AY168" s="71"/>
      <c r="AZ168" s="72"/>
      <c r="BA168" s="73"/>
    </row>
    <row r="169" spans="1:53" ht="17.100000000000001" customHeight="1" x14ac:dyDescent="0.25">
      <c r="A169" s="40"/>
      <c r="B169" s="40"/>
      <c r="C169" s="74" t="s">
        <v>131</v>
      </c>
      <c r="D169" s="542" t="s">
        <v>457</v>
      </c>
      <c r="E169" s="542"/>
      <c r="F169" s="542"/>
      <c r="G169" s="542"/>
      <c r="H169" s="540"/>
      <c r="I169" s="235"/>
      <c r="J169" s="111"/>
      <c r="K169" s="111"/>
      <c r="L169" s="111"/>
      <c r="M169" s="111"/>
      <c r="N169" s="60"/>
      <c r="O169" s="60"/>
      <c r="P169" s="17">
        <f>SUM(N169:O169)</f>
        <v>0</v>
      </c>
      <c r="Q169" s="60"/>
      <c r="R169" s="60"/>
      <c r="S169" s="17">
        <f>SUM(Q169:R169)</f>
        <v>0</v>
      </c>
      <c r="T169" s="60"/>
      <c r="U169" s="60"/>
      <c r="V169" s="359">
        <f>SUM(T169:U169)</f>
        <v>0</v>
      </c>
      <c r="W169" s="391">
        <f t="shared" ref="W169:W173" si="161">J169+K169+N169+Q169+T169</f>
        <v>0</v>
      </c>
      <c r="X169" s="17">
        <f t="shared" ref="X169:X173" si="162">L169+O169+R169+U169</f>
        <v>0</v>
      </c>
      <c r="Y169" s="18">
        <f>SUM(W169:X169)</f>
        <v>0</v>
      </c>
      <c r="Z169" s="19">
        <f t="shared" ref="Z169:Z174" si="163">IF(Y$174=0,0,Y169/Y$174)</f>
        <v>0</v>
      </c>
      <c r="AA169" s="19"/>
      <c r="AB169" s="19"/>
      <c r="AC169" s="20"/>
      <c r="AE169" s="111"/>
      <c r="AF169" s="111"/>
      <c r="AG169" s="111"/>
      <c r="AH169" s="112"/>
      <c r="AI169" s="113"/>
      <c r="AK169" s="111"/>
      <c r="AL169" s="111"/>
      <c r="AM169" s="111"/>
      <c r="AN169" s="112"/>
      <c r="AO169" s="113"/>
      <c r="AQ169" s="17"/>
      <c r="AR169" s="17"/>
      <c r="AS169" s="17"/>
      <c r="AT169" s="18">
        <f t="shared" ref="AT169:AT173" si="164">W169</f>
        <v>0</v>
      </c>
      <c r="AU169" s="19">
        <f t="shared" ref="AU169:AU174" si="165">IF(AT$174=0,0,AT169/AT$174)</f>
        <v>0</v>
      </c>
      <c r="AW169" s="17"/>
      <c r="AX169" s="17"/>
      <c r="AY169" s="17"/>
      <c r="AZ169" s="18">
        <f t="shared" ref="AZ169:AZ173" si="166">X169</f>
        <v>0</v>
      </c>
      <c r="BA169" s="19">
        <f t="shared" ref="BA169:BA174" si="167">IF(AZ$174=0,0,AZ169/AZ$174)</f>
        <v>0</v>
      </c>
    </row>
    <row r="170" spans="1:53" ht="17.100000000000001" customHeight="1" x14ac:dyDescent="0.25">
      <c r="A170" s="40"/>
      <c r="B170" s="40"/>
      <c r="C170" s="74" t="s">
        <v>132</v>
      </c>
      <c r="D170" s="542" t="s">
        <v>459</v>
      </c>
      <c r="E170" s="542"/>
      <c r="F170" s="542"/>
      <c r="G170" s="542"/>
      <c r="H170" s="540"/>
      <c r="I170" s="235"/>
      <c r="J170" s="111"/>
      <c r="K170" s="111"/>
      <c r="L170" s="111"/>
      <c r="M170" s="111"/>
      <c r="N170" s="61"/>
      <c r="O170" s="61"/>
      <c r="P170" s="17">
        <f>SUM(N170:O170)</f>
        <v>0</v>
      </c>
      <c r="Q170" s="61"/>
      <c r="R170" s="61"/>
      <c r="S170" s="17">
        <f>SUM(Q170:R170)</f>
        <v>0</v>
      </c>
      <c r="T170" s="61"/>
      <c r="U170" s="61"/>
      <c r="V170" s="359">
        <f>SUM(T170:U170)</f>
        <v>0</v>
      </c>
      <c r="W170" s="391">
        <f t="shared" si="161"/>
        <v>0</v>
      </c>
      <c r="X170" s="17">
        <f t="shared" si="162"/>
        <v>0</v>
      </c>
      <c r="Y170" s="18">
        <f>SUM(W170:X170)</f>
        <v>0</v>
      </c>
      <c r="Z170" s="19">
        <f t="shared" si="163"/>
        <v>0</v>
      </c>
      <c r="AA170" s="19"/>
      <c r="AB170" s="19"/>
      <c r="AC170" s="20"/>
      <c r="AE170" s="111"/>
      <c r="AF170" s="111"/>
      <c r="AG170" s="111"/>
      <c r="AH170" s="112"/>
      <c r="AI170" s="113"/>
      <c r="AK170" s="111"/>
      <c r="AL170" s="111"/>
      <c r="AM170" s="111"/>
      <c r="AN170" s="112"/>
      <c r="AO170" s="113"/>
      <c r="AQ170" s="17"/>
      <c r="AR170" s="17"/>
      <c r="AS170" s="17"/>
      <c r="AT170" s="18">
        <f t="shared" si="164"/>
        <v>0</v>
      </c>
      <c r="AU170" s="19">
        <f t="shared" si="165"/>
        <v>0</v>
      </c>
      <c r="AW170" s="17"/>
      <c r="AX170" s="17"/>
      <c r="AY170" s="17"/>
      <c r="AZ170" s="18">
        <f t="shared" si="166"/>
        <v>0</v>
      </c>
      <c r="BA170" s="19">
        <f t="shared" si="167"/>
        <v>0</v>
      </c>
    </row>
    <row r="171" spans="1:53" ht="17.100000000000001" customHeight="1" x14ac:dyDescent="0.25">
      <c r="A171" s="40"/>
      <c r="B171" s="40"/>
      <c r="C171" s="74" t="s">
        <v>133</v>
      </c>
      <c r="D171" s="542" t="s">
        <v>460</v>
      </c>
      <c r="E171" s="542"/>
      <c r="F171" s="542"/>
      <c r="G171" s="542"/>
      <c r="H171" s="540"/>
      <c r="I171" s="235"/>
      <c r="J171" s="111"/>
      <c r="K171" s="111"/>
      <c r="L171" s="111"/>
      <c r="M171" s="111"/>
      <c r="N171" s="60"/>
      <c r="O171" s="60">
        <v>1</v>
      </c>
      <c r="P171" s="17">
        <f>SUM(N171:O171)</f>
        <v>1</v>
      </c>
      <c r="Q171" s="60"/>
      <c r="R171" s="60"/>
      <c r="S171" s="17">
        <f>SUM(Q171:R171)</f>
        <v>0</v>
      </c>
      <c r="T171" s="60"/>
      <c r="U171" s="60"/>
      <c r="V171" s="359">
        <f>SUM(T171:U171)</f>
        <v>0</v>
      </c>
      <c r="W171" s="391">
        <f t="shared" si="161"/>
        <v>0</v>
      </c>
      <c r="X171" s="17">
        <f t="shared" si="162"/>
        <v>1</v>
      </c>
      <c r="Y171" s="18">
        <f>SUM(W171:X171)</f>
        <v>1</v>
      </c>
      <c r="Z171" s="19">
        <f t="shared" si="163"/>
        <v>0.1111111111111111</v>
      </c>
      <c r="AA171" s="19"/>
      <c r="AB171" s="19"/>
      <c r="AC171" s="20"/>
      <c r="AE171" s="111"/>
      <c r="AF171" s="111"/>
      <c r="AG171" s="111"/>
      <c r="AH171" s="112"/>
      <c r="AI171" s="113"/>
      <c r="AK171" s="111"/>
      <c r="AL171" s="111"/>
      <c r="AM171" s="111"/>
      <c r="AN171" s="112"/>
      <c r="AO171" s="113"/>
      <c r="AQ171" s="17"/>
      <c r="AR171" s="17"/>
      <c r="AS171" s="17"/>
      <c r="AT171" s="18">
        <f t="shared" si="164"/>
        <v>0</v>
      </c>
      <c r="AU171" s="19">
        <f t="shared" si="165"/>
        <v>0</v>
      </c>
      <c r="AW171" s="17"/>
      <c r="AX171" s="17"/>
      <c r="AY171" s="17"/>
      <c r="AZ171" s="18">
        <f t="shared" si="166"/>
        <v>1</v>
      </c>
      <c r="BA171" s="19">
        <f t="shared" si="167"/>
        <v>0.1111111111111111</v>
      </c>
    </row>
    <row r="172" spans="1:53" ht="17.100000000000001" customHeight="1" x14ac:dyDescent="0.25">
      <c r="A172" s="40"/>
      <c r="B172" s="40"/>
      <c r="C172" s="74" t="s">
        <v>134</v>
      </c>
      <c r="D172" s="542" t="s">
        <v>461</v>
      </c>
      <c r="E172" s="542"/>
      <c r="F172" s="542"/>
      <c r="G172" s="542"/>
      <c r="H172" s="540"/>
      <c r="I172" s="235"/>
      <c r="J172" s="111"/>
      <c r="K172" s="111"/>
      <c r="L172" s="111"/>
      <c r="M172" s="111"/>
      <c r="N172" s="61"/>
      <c r="O172" s="61">
        <v>8</v>
      </c>
      <c r="P172" s="17">
        <f>SUM(N172:O172)</f>
        <v>8</v>
      </c>
      <c r="Q172" s="61"/>
      <c r="R172" s="61"/>
      <c r="S172" s="17">
        <f>SUM(Q172:R172)</f>
        <v>0</v>
      </c>
      <c r="T172" s="61"/>
      <c r="U172" s="61"/>
      <c r="V172" s="359">
        <f>SUM(T172:U172)</f>
        <v>0</v>
      </c>
      <c r="W172" s="391">
        <f t="shared" si="161"/>
        <v>0</v>
      </c>
      <c r="X172" s="17">
        <f t="shared" si="162"/>
        <v>8</v>
      </c>
      <c r="Y172" s="18">
        <f>SUM(W172:X172)</f>
        <v>8</v>
      </c>
      <c r="Z172" s="19">
        <f t="shared" si="163"/>
        <v>0.88888888888888884</v>
      </c>
      <c r="AA172" s="19"/>
      <c r="AB172" s="19"/>
      <c r="AC172" s="20"/>
      <c r="AE172" s="111"/>
      <c r="AF172" s="111"/>
      <c r="AG172" s="111"/>
      <c r="AH172" s="112"/>
      <c r="AI172" s="113"/>
      <c r="AK172" s="111"/>
      <c r="AL172" s="111"/>
      <c r="AM172" s="111"/>
      <c r="AN172" s="112"/>
      <c r="AO172" s="113"/>
      <c r="AQ172" s="17"/>
      <c r="AR172" s="17"/>
      <c r="AS172" s="17"/>
      <c r="AT172" s="18">
        <f t="shared" si="164"/>
        <v>0</v>
      </c>
      <c r="AU172" s="19">
        <f t="shared" si="165"/>
        <v>0</v>
      </c>
      <c r="AW172" s="17"/>
      <c r="AX172" s="17"/>
      <c r="AY172" s="17"/>
      <c r="AZ172" s="18">
        <f t="shared" si="166"/>
        <v>8</v>
      </c>
      <c r="BA172" s="19">
        <f t="shared" si="167"/>
        <v>0.88888888888888884</v>
      </c>
    </row>
    <row r="173" spans="1:53" ht="17.100000000000001" customHeight="1" x14ac:dyDescent="0.25">
      <c r="A173" s="40"/>
      <c r="B173" s="40"/>
      <c r="C173" s="74" t="s">
        <v>135</v>
      </c>
      <c r="D173" s="542" t="s">
        <v>458</v>
      </c>
      <c r="E173" s="542"/>
      <c r="F173" s="542"/>
      <c r="G173" s="542"/>
      <c r="H173" s="540"/>
      <c r="I173" s="235"/>
      <c r="J173" s="111"/>
      <c r="K173" s="111"/>
      <c r="L173" s="111"/>
      <c r="M173" s="111"/>
      <c r="N173" s="60"/>
      <c r="O173" s="60"/>
      <c r="P173" s="17">
        <f>SUM(N173:O173)</f>
        <v>0</v>
      </c>
      <c r="Q173" s="60"/>
      <c r="R173" s="60"/>
      <c r="S173" s="17">
        <f>SUM(Q173:R173)</f>
        <v>0</v>
      </c>
      <c r="T173" s="60"/>
      <c r="U173" s="60"/>
      <c r="V173" s="359">
        <f>SUM(T173:U173)</f>
        <v>0</v>
      </c>
      <c r="W173" s="391">
        <f t="shared" si="161"/>
        <v>0</v>
      </c>
      <c r="X173" s="17">
        <f t="shared" si="162"/>
        <v>0</v>
      </c>
      <c r="Y173" s="18">
        <f>SUM(W173:X173)</f>
        <v>0</v>
      </c>
      <c r="Z173" s="19">
        <f t="shared" si="163"/>
        <v>0</v>
      </c>
      <c r="AA173" s="19"/>
      <c r="AB173" s="19"/>
      <c r="AC173" s="20"/>
      <c r="AE173" s="111"/>
      <c r="AF173" s="111"/>
      <c r="AG173" s="111"/>
      <c r="AH173" s="112"/>
      <c r="AI173" s="113"/>
      <c r="AK173" s="111"/>
      <c r="AL173" s="111"/>
      <c r="AM173" s="111"/>
      <c r="AN173" s="112"/>
      <c r="AO173" s="113"/>
      <c r="AQ173" s="17"/>
      <c r="AR173" s="17"/>
      <c r="AS173" s="17"/>
      <c r="AT173" s="18">
        <f t="shared" si="164"/>
        <v>0</v>
      </c>
      <c r="AU173" s="19">
        <f t="shared" si="165"/>
        <v>0</v>
      </c>
      <c r="AW173" s="17"/>
      <c r="AX173" s="17"/>
      <c r="AY173" s="17"/>
      <c r="AZ173" s="18">
        <f t="shared" si="166"/>
        <v>0</v>
      </c>
      <c r="BA173" s="19">
        <f t="shared" si="167"/>
        <v>0</v>
      </c>
    </row>
    <row r="174" spans="1:53" ht="17.100000000000001" customHeight="1" x14ac:dyDescent="0.25">
      <c r="A174" s="40"/>
      <c r="B174" s="40"/>
      <c r="C174" s="77"/>
      <c r="D174" s="144"/>
      <c r="E174" s="144"/>
      <c r="F174" s="145"/>
      <c r="G174" s="145"/>
      <c r="H174" s="119"/>
      <c r="I174" s="236"/>
      <c r="J174" s="80"/>
      <c r="K174" s="80"/>
      <c r="L174" s="81"/>
      <c r="M174" s="81"/>
      <c r="N174" s="81">
        <f t="shared" ref="N174:Y174" si="168">SUM(N169:N173)</f>
        <v>0</v>
      </c>
      <c r="O174" s="81">
        <f t="shared" si="168"/>
        <v>9</v>
      </c>
      <c r="P174" s="81">
        <f t="shared" si="168"/>
        <v>9</v>
      </c>
      <c r="Q174" s="81">
        <f t="shared" si="168"/>
        <v>0</v>
      </c>
      <c r="R174" s="81">
        <f t="shared" si="168"/>
        <v>0</v>
      </c>
      <c r="S174" s="81">
        <f t="shared" si="168"/>
        <v>0</v>
      </c>
      <c r="T174" s="81">
        <f t="shared" si="168"/>
        <v>0</v>
      </c>
      <c r="U174" s="81">
        <f t="shared" si="168"/>
        <v>0</v>
      </c>
      <c r="V174" s="81">
        <f t="shared" si="168"/>
        <v>0</v>
      </c>
      <c r="W174" s="381">
        <f t="shared" si="168"/>
        <v>0</v>
      </c>
      <c r="X174" s="82">
        <f t="shared" si="168"/>
        <v>9</v>
      </c>
      <c r="Y174" s="82">
        <f t="shared" si="168"/>
        <v>9</v>
      </c>
      <c r="Z174" s="205">
        <f t="shared" si="163"/>
        <v>1</v>
      </c>
      <c r="AA174" s="205"/>
      <c r="AB174" s="205"/>
      <c r="AC174" s="83"/>
      <c r="AE174" s="80"/>
      <c r="AF174" s="80"/>
      <c r="AG174" s="81"/>
      <c r="AH174" s="82"/>
      <c r="AI174" s="66"/>
      <c r="AK174" s="80"/>
      <c r="AL174" s="80"/>
      <c r="AM174" s="81"/>
      <c r="AN174" s="82"/>
      <c r="AO174" s="66"/>
      <c r="AQ174" s="80"/>
      <c r="AR174" s="80"/>
      <c r="AS174" s="81"/>
      <c r="AT174" s="82">
        <f>SUM(AT169:AT173)</f>
        <v>0</v>
      </c>
      <c r="AU174" s="66">
        <f t="shared" si="165"/>
        <v>0</v>
      </c>
      <c r="AW174" s="80"/>
      <c r="AX174" s="80"/>
      <c r="AY174" s="81"/>
      <c r="AZ174" s="82">
        <f>SUM(AZ169:AZ173)</f>
        <v>9</v>
      </c>
      <c r="BA174" s="66">
        <f t="shared" si="167"/>
        <v>1</v>
      </c>
    </row>
    <row r="175" spans="1:53" s="117" customFormat="1" ht="17.100000000000001" customHeight="1" x14ac:dyDescent="0.25">
      <c r="A175" s="68"/>
      <c r="B175" s="119"/>
      <c r="C175" s="540"/>
      <c r="D175" s="261"/>
      <c r="E175" s="261"/>
      <c r="F175" s="68"/>
      <c r="G175" s="68"/>
      <c r="H175" s="119"/>
      <c r="I175" s="138"/>
      <c r="J175" s="17"/>
      <c r="K175" s="17"/>
      <c r="L175" s="17"/>
      <c r="M175" s="17"/>
      <c r="N175" s="17" t="str">
        <f>IF(N174=N$20,"OK","NOK")</f>
        <v>OK</v>
      </c>
      <c r="O175" s="17" t="str">
        <f>IF(O174=O$20,"OK","NOK")</f>
        <v>OK</v>
      </c>
      <c r="P175" s="17"/>
      <c r="Q175" s="17" t="str">
        <f>IF(Q174=Q$20,"OK","NOK")</f>
        <v>OK</v>
      </c>
      <c r="R175" s="17" t="str">
        <f>IF(R174=R$20,"OK","NOK")</f>
        <v>OK</v>
      </c>
      <c r="S175" s="17"/>
      <c r="T175" s="17" t="str">
        <f>IF(T174=T$20,"OK","NOK")</f>
        <v>OK</v>
      </c>
      <c r="U175" s="17" t="str">
        <f>IF(U174=U$20,"OK","NOK")</f>
        <v>OK</v>
      </c>
      <c r="V175" s="359"/>
      <c r="W175" s="382"/>
      <c r="X175" s="539"/>
      <c r="Y175" s="539"/>
      <c r="Z175" s="201"/>
      <c r="AA175" s="201"/>
      <c r="AB175" s="201"/>
      <c r="AC175" s="84"/>
      <c r="AE175" s="46"/>
      <c r="AF175" s="46"/>
      <c r="AG175" s="17"/>
      <c r="AH175" s="539"/>
      <c r="AI175" s="91"/>
      <c r="AK175" s="46"/>
      <c r="AL175" s="46"/>
      <c r="AM175" s="17"/>
      <c r="AN175" s="539"/>
      <c r="AO175" s="91"/>
      <c r="AQ175" s="46"/>
      <c r="AR175" s="46"/>
      <c r="AS175" s="17"/>
      <c r="AT175" s="539"/>
      <c r="AU175" s="91"/>
      <c r="AW175" s="46"/>
      <c r="AX175" s="46"/>
      <c r="AY175" s="17"/>
      <c r="AZ175" s="539"/>
      <c r="BA175" s="91"/>
    </row>
    <row r="176" spans="1:53" ht="17.100000000000001" customHeight="1" x14ac:dyDescent="0.25">
      <c r="A176" s="68"/>
      <c r="B176" s="41" t="s">
        <v>137</v>
      </c>
      <c r="C176" s="69" t="s">
        <v>124</v>
      </c>
      <c r="D176" s="50"/>
      <c r="E176" s="70"/>
      <c r="F176" s="70"/>
      <c r="G176" s="70"/>
      <c r="H176" s="119"/>
      <c r="J176" s="71"/>
      <c r="K176" s="71"/>
      <c r="L176" s="71"/>
      <c r="M176" s="71"/>
      <c r="N176" s="71"/>
      <c r="O176" s="71"/>
      <c r="P176" s="71"/>
      <c r="Q176" s="71"/>
      <c r="R176" s="71"/>
      <c r="S176" s="71"/>
      <c r="T176" s="71"/>
      <c r="U176" s="71"/>
      <c r="V176" s="355"/>
      <c r="W176" s="377"/>
      <c r="X176" s="71"/>
      <c r="Y176" s="72"/>
      <c r="Z176" s="73"/>
      <c r="AA176" s="73"/>
      <c r="AB176" s="73"/>
      <c r="AC176" s="73"/>
      <c r="AE176" s="71"/>
      <c r="AF176" s="71"/>
      <c r="AG176" s="71"/>
      <c r="AH176" s="72"/>
      <c r="AI176" s="73"/>
      <c r="AK176" s="71"/>
      <c r="AL176" s="71"/>
      <c r="AM176" s="71"/>
      <c r="AN176" s="72"/>
      <c r="AO176" s="73"/>
      <c r="AQ176" s="71"/>
      <c r="AR176" s="71"/>
      <c r="AS176" s="71"/>
      <c r="AT176" s="72"/>
      <c r="AU176" s="73"/>
      <c r="AW176" s="71"/>
      <c r="AX176" s="71"/>
      <c r="AY176" s="71"/>
      <c r="AZ176" s="72"/>
      <c r="BA176" s="73"/>
    </row>
    <row r="177" spans="1:53" ht="17.100000000000001" customHeight="1" x14ac:dyDescent="0.25">
      <c r="A177" s="40"/>
      <c r="B177" s="40"/>
      <c r="C177" s="74" t="s">
        <v>139</v>
      </c>
      <c r="D177" s="541" t="s">
        <v>666</v>
      </c>
      <c r="E177" s="542"/>
      <c r="F177" s="542"/>
      <c r="G177" s="542"/>
      <c r="H177" s="540"/>
      <c r="I177" s="235"/>
      <c r="J177" s="111"/>
      <c r="K177" s="111"/>
      <c r="L177" s="111"/>
      <c r="M177" s="111"/>
      <c r="N177" s="111">
        <f>SUM(N178:N183)</f>
        <v>0</v>
      </c>
      <c r="O177" s="111">
        <f>SUM(O178:O183)</f>
        <v>9</v>
      </c>
      <c r="P177" s="111">
        <f t="shared" ref="P177:P183" si="169">SUM(N177:O177)</f>
        <v>9</v>
      </c>
      <c r="Q177" s="111">
        <f>SUM(Q178:Q183)</f>
        <v>0</v>
      </c>
      <c r="R177" s="111">
        <f>SUM(R178:R183)</f>
        <v>0</v>
      </c>
      <c r="S177" s="111">
        <f t="shared" ref="S177:S183" si="170">SUM(Q177:R177)</f>
        <v>0</v>
      </c>
      <c r="T177" s="111">
        <f>SUM(T178:T183)</f>
        <v>0</v>
      </c>
      <c r="U177" s="111">
        <f>SUM(U178:U183)</f>
        <v>0</v>
      </c>
      <c r="V177" s="358">
        <f t="shared" ref="V177:V183" si="171">SUM(T177:U177)</f>
        <v>0</v>
      </c>
      <c r="W177" s="385">
        <f t="shared" ref="W177:W183" si="172">J177+K177+N177+Q177+T177</f>
        <v>0</v>
      </c>
      <c r="X177" s="545">
        <f t="shared" ref="X177:X183" si="173">L177+O177+R177+U177</f>
        <v>9</v>
      </c>
      <c r="Y177" s="545">
        <f t="shared" ref="Y177:Y183" si="174">SUM(W177:X177)</f>
        <v>9</v>
      </c>
      <c r="Z177" s="172">
        <f t="shared" ref="Z177:Z183" si="175">IF(Y$187=0,0,Y177/Y$187)</f>
        <v>1</v>
      </c>
      <c r="AA177" s="172"/>
      <c r="AB177" s="172"/>
      <c r="AC177" s="113"/>
      <c r="AE177" s="111"/>
      <c r="AF177" s="111"/>
      <c r="AG177" s="111"/>
      <c r="AH177" s="545"/>
      <c r="AI177" s="131"/>
      <c r="AK177" s="111"/>
      <c r="AL177" s="111"/>
      <c r="AM177" s="111"/>
      <c r="AN177" s="545"/>
      <c r="AO177" s="131"/>
      <c r="AQ177" s="111"/>
      <c r="AR177" s="111"/>
      <c r="AS177" s="111"/>
      <c r="AT177" s="545">
        <f>SUM(AT178:AT183)</f>
        <v>0</v>
      </c>
      <c r="AU177" s="131">
        <f>IF(AT$187=0,0,AT177/AT$187)</f>
        <v>0</v>
      </c>
      <c r="AW177" s="111"/>
      <c r="AX177" s="111"/>
      <c r="AY177" s="111"/>
      <c r="AZ177" s="545">
        <f t="shared" ref="AZ177:AZ186" si="176">X177</f>
        <v>9</v>
      </c>
      <c r="BA177" s="131">
        <f>IF(AZ$187=0,0,AZ177/AZ$187)</f>
        <v>1</v>
      </c>
    </row>
    <row r="178" spans="1:53" ht="17.100000000000001" customHeight="1" x14ac:dyDescent="0.25">
      <c r="A178" s="40"/>
      <c r="B178" s="40"/>
      <c r="C178" s="540"/>
      <c r="D178" s="74" t="s">
        <v>140</v>
      </c>
      <c r="E178" s="542" t="s">
        <v>414</v>
      </c>
      <c r="F178" s="542"/>
      <c r="G178" s="542"/>
      <c r="H178" s="540"/>
      <c r="I178" s="235"/>
      <c r="J178" s="111"/>
      <c r="K178" s="111"/>
      <c r="L178" s="111"/>
      <c r="M178" s="111"/>
      <c r="N178" s="60"/>
      <c r="O178" s="60"/>
      <c r="P178" s="17">
        <f t="shared" si="169"/>
        <v>0</v>
      </c>
      <c r="Q178" s="60"/>
      <c r="R178" s="60"/>
      <c r="S178" s="17">
        <f t="shared" si="170"/>
        <v>0</v>
      </c>
      <c r="T178" s="60"/>
      <c r="U178" s="60"/>
      <c r="V178" s="359">
        <f t="shared" si="171"/>
        <v>0</v>
      </c>
      <c r="W178" s="391">
        <f t="shared" si="172"/>
        <v>0</v>
      </c>
      <c r="X178" s="17">
        <f t="shared" si="173"/>
        <v>0</v>
      </c>
      <c r="Y178" s="18">
        <f t="shared" si="174"/>
        <v>0</v>
      </c>
      <c r="Z178" s="19">
        <f t="shared" si="175"/>
        <v>0</v>
      </c>
      <c r="AA178" s="19"/>
      <c r="AB178" s="19"/>
      <c r="AC178" s="20"/>
      <c r="AE178" s="111"/>
      <c r="AF178" s="111"/>
      <c r="AG178" s="111"/>
      <c r="AH178" s="112"/>
      <c r="AI178" s="113"/>
      <c r="AK178" s="111"/>
      <c r="AL178" s="111"/>
      <c r="AM178" s="111"/>
      <c r="AN178" s="112"/>
      <c r="AO178" s="113"/>
      <c r="AQ178" s="17"/>
      <c r="AR178" s="17"/>
      <c r="AS178" s="17"/>
      <c r="AT178" s="18">
        <f t="shared" ref="AT178:AT183" si="177">W178</f>
        <v>0</v>
      </c>
      <c r="AU178" s="91">
        <f t="shared" ref="AU178:AU187" si="178">IF(AT$187=0,0,AT178/AT$187)</f>
        <v>0</v>
      </c>
      <c r="AW178" s="17"/>
      <c r="AX178" s="17"/>
      <c r="AY178" s="17"/>
      <c r="AZ178" s="18">
        <f t="shared" si="176"/>
        <v>0</v>
      </c>
      <c r="BA178" s="91">
        <f t="shared" ref="BA178:BA187" si="179">IF(AZ$187=0,0,AZ178/AZ$187)</f>
        <v>0</v>
      </c>
    </row>
    <row r="179" spans="1:53" ht="17.100000000000001" customHeight="1" x14ac:dyDescent="0.25">
      <c r="A179" s="40"/>
      <c r="B179" s="40"/>
      <c r="C179" s="540"/>
      <c r="D179" s="74" t="s">
        <v>660</v>
      </c>
      <c r="E179" s="542" t="s">
        <v>415</v>
      </c>
      <c r="F179" s="542"/>
      <c r="G179" s="542"/>
      <c r="H179" s="540"/>
      <c r="I179" s="235"/>
      <c r="J179" s="111"/>
      <c r="K179" s="111"/>
      <c r="L179" s="111"/>
      <c r="M179" s="111"/>
      <c r="N179" s="61"/>
      <c r="O179" s="61">
        <v>1</v>
      </c>
      <c r="P179" s="17">
        <f t="shared" si="169"/>
        <v>1</v>
      </c>
      <c r="Q179" s="61"/>
      <c r="R179" s="61"/>
      <c r="S179" s="17">
        <f t="shared" si="170"/>
        <v>0</v>
      </c>
      <c r="T179" s="61"/>
      <c r="U179" s="61"/>
      <c r="V179" s="359">
        <f t="shared" si="171"/>
        <v>0</v>
      </c>
      <c r="W179" s="391">
        <f t="shared" si="172"/>
        <v>0</v>
      </c>
      <c r="X179" s="17">
        <f t="shared" si="173"/>
        <v>1</v>
      </c>
      <c r="Y179" s="18">
        <f t="shared" si="174"/>
        <v>1</v>
      </c>
      <c r="Z179" s="19">
        <f t="shared" si="175"/>
        <v>0.1111111111111111</v>
      </c>
      <c r="AA179" s="19"/>
      <c r="AB179" s="19"/>
      <c r="AC179" s="20"/>
      <c r="AE179" s="111"/>
      <c r="AF179" s="111"/>
      <c r="AG179" s="111"/>
      <c r="AH179" s="112"/>
      <c r="AI179" s="113"/>
      <c r="AK179" s="111"/>
      <c r="AL179" s="111"/>
      <c r="AM179" s="111"/>
      <c r="AN179" s="112"/>
      <c r="AO179" s="113"/>
      <c r="AQ179" s="17"/>
      <c r="AR179" s="17"/>
      <c r="AS179" s="17"/>
      <c r="AT179" s="18">
        <f t="shared" si="177"/>
        <v>0</v>
      </c>
      <c r="AU179" s="91">
        <f t="shared" si="178"/>
        <v>0</v>
      </c>
      <c r="AW179" s="17"/>
      <c r="AX179" s="17"/>
      <c r="AY179" s="17"/>
      <c r="AZ179" s="18">
        <f t="shared" si="176"/>
        <v>1</v>
      </c>
      <c r="BA179" s="91">
        <f t="shared" si="179"/>
        <v>0.1111111111111111</v>
      </c>
    </row>
    <row r="180" spans="1:53" ht="17.100000000000001" customHeight="1" x14ac:dyDescent="0.25">
      <c r="A180" s="40"/>
      <c r="B180" s="40"/>
      <c r="C180" s="540"/>
      <c r="D180" s="74" t="s">
        <v>661</v>
      </c>
      <c r="E180" s="542" t="s">
        <v>416</v>
      </c>
      <c r="F180" s="542"/>
      <c r="G180" s="542"/>
      <c r="H180" s="540"/>
      <c r="I180" s="235"/>
      <c r="J180" s="111"/>
      <c r="K180" s="111"/>
      <c r="L180" s="111"/>
      <c r="M180" s="111"/>
      <c r="N180" s="60"/>
      <c r="O180" s="60">
        <v>5</v>
      </c>
      <c r="P180" s="17">
        <f t="shared" si="169"/>
        <v>5</v>
      </c>
      <c r="Q180" s="60"/>
      <c r="R180" s="60"/>
      <c r="S180" s="17">
        <f t="shared" si="170"/>
        <v>0</v>
      </c>
      <c r="T180" s="60"/>
      <c r="U180" s="60"/>
      <c r="V180" s="359">
        <f t="shared" si="171"/>
        <v>0</v>
      </c>
      <c r="W180" s="391">
        <f t="shared" si="172"/>
        <v>0</v>
      </c>
      <c r="X180" s="17">
        <f t="shared" si="173"/>
        <v>5</v>
      </c>
      <c r="Y180" s="18">
        <f t="shared" si="174"/>
        <v>5</v>
      </c>
      <c r="Z180" s="19">
        <f t="shared" si="175"/>
        <v>0.55555555555555558</v>
      </c>
      <c r="AA180" s="19"/>
      <c r="AB180" s="19"/>
      <c r="AC180" s="20"/>
      <c r="AE180" s="111"/>
      <c r="AF180" s="111"/>
      <c r="AG180" s="111"/>
      <c r="AH180" s="112"/>
      <c r="AI180" s="113"/>
      <c r="AK180" s="111"/>
      <c r="AL180" s="111"/>
      <c r="AM180" s="111"/>
      <c r="AN180" s="112"/>
      <c r="AO180" s="113"/>
      <c r="AQ180" s="17"/>
      <c r="AR180" s="17"/>
      <c r="AS180" s="17"/>
      <c r="AT180" s="18">
        <f t="shared" si="177"/>
        <v>0</v>
      </c>
      <c r="AU180" s="91">
        <f t="shared" si="178"/>
        <v>0</v>
      </c>
      <c r="AW180" s="17"/>
      <c r="AX180" s="17"/>
      <c r="AY180" s="17"/>
      <c r="AZ180" s="18">
        <f t="shared" si="176"/>
        <v>5</v>
      </c>
      <c r="BA180" s="91">
        <f t="shared" si="179"/>
        <v>0.55555555555555558</v>
      </c>
    </row>
    <row r="181" spans="1:53" ht="17.100000000000001" customHeight="1" x14ac:dyDescent="0.25">
      <c r="A181" s="40"/>
      <c r="B181" s="40"/>
      <c r="C181" s="540"/>
      <c r="D181" s="74" t="s">
        <v>662</v>
      </c>
      <c r="E181" s="542" t="s">
        <v>127</v>
      </c>
      <c r="F181" s="542"/>
      <c r="G181" s="542"/>
      <c r="H181" s="540"/>
      <c r="I181" s="235"/>
      <c r="J181" s="111"/>
      <c r="K181" s="111"/>
      <c r="L181" s="111"/>
      <c r="M181" s="111"/>
      <c r="N181" s="61"/>
      <c r="O181" s="61">
        <v>3</v>
      </c>
      <c r="P181" s="17">
        <f t="shared" si="169"/>
        <v>3</v>
      </c>
      <c r="Q181" s="61"/>
      <c r="R181" s="61"/>
      <c r="S181" s="17">
        <f t="shared" si="170"/>
        <v>0</v>
      </c>
      <c r="T181" s="61"/>
      <c r="U181" s="61"/>
      <c r="V181" s="359">
        <f t="shared" si="171"/>
        <v>0</v>
      </c>
      <c r="W181" s="391">
        <f t="shared" si="172"/>
        <v>0</v>
      </c>
      <c r="X181" s="17">
        <f t="shared" si="173"/>
        <v>3</v>
      </c>
      <c r="Y181" s="18">
        <f t="shared" si="174"/>
        <v>3</v>
      </c>
      <c r="Z181" s="19">
        <f t="shared" si="175"/>
        <v>0.33333333333333331</v>
      </c>
      <c r="AA181" s="19"/>
      <c r="AB181" s="19"/>
      <c r="AC181" s="20"/>
      <c r="AE181" s="111"/>
      <c r="AF181" s="111"/>
      <c r="AG181" s="111"/>
      <c r="AH181" s="112"/>
      <c r="AI181" s="113"/>
      <c r="AK181" s="111"/>
      <c r="AL181" s="111"/>
      <c r="AM181" s="111"/>
      <c r="AN181" s="112"/>
      <c r="AO181" s="113"/>
      <c r="AQ181" s="17"/>
      <c r="AR181" s="17"/>
      <c r="AS181" s="17"/>
      <c r="AT181" s="18">
        <f t="shared" si="177"/>
        <v>0</v>
      </c>
      <c r="AU181" s="91">
        <f t="shared" si="178"/>
        <v>0</v>
      </c>
      <c r="AW181" s="17"/>
      <c r="AX181" s="17"/>
      <c r="AY181" s="17"/>
      <c r="AZ181" s="18">
        <f t="shared" si="176"/>
        <v>3</v>
      </c>
      <c r="BA181" s="91">
        <f t="shared" si="179"/>
        <v>0.33333333333333331</v>
      </c>
    </row>
    <row r="182" spans="1:53" ht="17.100000000000001" customHeight="1" x14ac:dyDescent="0.25">
      <c r="A182" s="40"/>
      <c r="B182" s="40"/>
      <c r="C182" s="540"/>
      <c r="D182" s="74" t="s">
        <v>663</v>
      </c>
      <c r="E182" s="542" t="s">
        <v>417</v>
      </c>
      <c r="F182" s="542"/>
      <c r="G182" s="542"/>
      <c r="H182" s="540"/>
      <c r="I182" s="235"/>
      <c r="J182" s="111"/>
      <c r="K182" s="111"/>
      <c r="L182" s="111"/>
      <c r="M182" s="111"/>
      <c r="N182" s="60"/>
      <c r="O182" s="60"/>
      <c r="P182" s="17">
        <f t="shared" si="169"/>
        <v>0</v>
      </c>
      <c r="Q182" s="60"/>
      <c r="R182" s="60"/>
      <c r="S182" s="17">
        <f t="shared" si="170"/>
        <v>0</v>
      </c>
      <c r="T182" s="60"/>
      <c r="U182" s="60"/>
      <c r="V182" s="359">
        <f t="shared" si="171"/>
        <v>0</v>
      </c>
      <c r="W182" s="391">
        <f t="shared" si="172"/>
        <v>0</v>
      </c>
      <c r="X182" s="17">
        <f t="shared" si="173"/>
        <v>0</v>
      </c>
      <c r="Y182" s="18">
        <f t="shared" si="174"/>
        <v>0</v>
      </c>
      <c r="Z182" s="19">
        <f t="shared" si="175"/>
        <v>0</v>
      </c>
      <c r="AA182" s="19"/>
      <c r="AB182" s="19"/>
      <c r="AC182" s="20"/>
      <c r="AE182" s="111"/>
      <c r="AF182" s="111"/>
      <c r="AG182" s="111"/>
      <c r="AH182" s="112"/>
      <c r="AI182" s="113"/>
      <c r="AK182" s="111"/>
      <c r="AL182" s="111"/>
      <c r="AM182" s="111"/>
      <c r="AN182" s="112"/>
      <c r="AO182" s="113"/>
      <c r="AQ182" s="17"/>
      <c r="AR182" s="17"/>
      <c r="AS182" s="17"/>
      <c r="AT182" s="18">
        <f t="shared" si="177"/>
        <v>0</v>
      </c>
      <c r="AU182" s="91">
        <f t="shared" si="178"/>
        <v>0</v>
      </c>
      <c r="AW182" s="17"/>
      <c r="AX182" s="17"/>
      <c r="AY182" s="17"/>
      <c r="AZ182" s="18">
        <f t="shared" si="176"/>
        <v>0</v>
      </c>
      <c r="BA182" s="91">
        <f t="shared" si="179"/>
        <v>0</v>
      </c>
    </row>
    <row r="183" spans="1:53" ht="17.100000000000001" customHeight="1" x14ac:dyDescent="0.25">
      <c r="A183" s="40"/>
      <c r="B183" s="40"/>
      <c r="C183" s="540"/>
      <c r="D183" s="74" t="s">
        <v>664</v>
      </c>
      <c r="E183" s="542" t="s">
        <v>418</v>
      </c>
      <c r="F183" s="542"/>
      <c r="G183" s="542"/>
      <c r="H183" s="540"/>
      <c r="I183" s="235"/>
      <c r="J183" s="111"/>
      <c r="K183" s="111"/>
      <c r="L183" s="111"/>
      <c r="M183" s="111"/>
      <c r="N183" s="61"/>
      <c r="O183" s="61"/>
      <c r="P183" s="17">
        <f t="shared" si="169"/>
        <v>0</v>
      </c>
      <c r="Q183" s="61"/>
      <c r="R183" s="61"/>
      <c r="S183" s="17">
        <f t="shared" si="170"/>
        <v>0</v>
      </c>
      <c r="T183" s="61"/>
      <c r="U183" s="61"/>
      <c r="V183" s="359">
        <f t="shared" si="171"/>
        <v>0</v>
      </c>
      <c r="W183" s="391">
        <f t="shared" si="172"/>
        <v>0</v>
      </c>
      <c r="X183" s="17">
        <f t="shared" si="173"/>
        <v>0</v>
      </c>
      <c r="Y183" s="18">
        <f t="shared" si="174"/>
        <v>0</v>
      </c>
      <c r="Z183" s="19">
        <f t="shared" si="175"/>
        <v>0</v>
      </c>
      <c r="AA183" s="19"/>
      <c r="AB183" s="19"/>
      <c r="AC183" s="20"/>
      <c r="AE183" s="111"/>
      <c r="AF183" s="111"/>
      <c r="AG183" s="111"/>
      <c r="AH183" s="112"/>
      <c r="AI183" s="113"/>
      <c r="AK183" s="111"/>
      <c r="AL183" s="111"/>
      <c r="AM183" s="111"/>
      <c r="AN183" s="112"/>
      <c r="AO183" s="113"/>
      <c r="AQ183" s="17"/>
      <c r="AR183" s="17"/>
      <c r="AS183" s="17"/>
      <c r="AT183" s="18">
        <f t="shared" si="177"/>
        <v>0</v>
      </c>
      <c r="AU183" s="91">
        <f t="shared" si="178"/>
        <v>0</v>
      </c>
      <c r="AW183" s="17"/>
      <c r="AX183" s="17"/>
      <c r="AY183" s="17"/>
      <c r="AZ183" s="18">
        <f t="shared" si="176"/>
        <v>0</v>
      </c>
      <c r="BA183" s="91">
        <f t="shared" si="179"/>
        <v>0</v>
      </c>
    </row>
    <row r="184" spans="1:53" ht="17.100000000000001" customHeight="1" x14ac:dyDescent="0.25">
      <c r="A184" s="40"/>
      <c r="B184" s="40"/>
      <c r="C184" s="74" t="s">
        <v>141</v>
      </c>
      <c r="D184" s="57" t="s">
        <v>128</v>
      </c>
      <c r="E184" s="542"/>
      <c r="F184" s="542"/>
      <c r="G184" s="542"/>
      <c r="H184" s="540"/>
      <c r="I184" s="235"/>
      <c r="J184" s="111"/>
      <c r="K184" s="111"/>
      <c r="L184" s="111"/>
      <c r="M184" s="111"/>
      <c r="N184" s="111"/>
      <c r="O184" s="111"/>
      <c r="P184" s="111"/>
      <c r="Q184" s="111"/>
      <c r="R184" s="111"/>
      <c r="S184" s="111"/>
      <c r="T184" s="111"/>
      <c r="U184" s="111"/>
      <c r="V184" s="358"/>
      <c r="W184" s="380"/>
      <c r="X184" s="111"/>
      <c r="Y184" s="545"/>
      <c r="Z184" s="172"/>
      <c r="AA184" s="172"/>
      <c r="AB184" s="172"/>
      <c r="AC184" s="113"/>
      <c r="AE184" s="111"/>
      <c r="AF184" s="111"/>
      <c r="AG184" s="111"/>
      <c r="AH184" s="545"/>
      <c r="AI184" s="131"/>
      <c r="AK184" s="111"/>
      <c r="AL184" s="111"/>
      <c r="AM184" s="111"/>
      <c r="AN184" s="545"/>
      <c r="AO184" s="131"/>
      <c r="AQ184" s="111"/>
      <c r="AR184" s="111"/>
      <c r="AS184" s="111"/>
      <c r="AT184" s="545"/>
      <c r="AU184" s="131"/>
      <c r="AW184" s="111"/>
      <c r="AX184" s="111"/>
      <c r="AY184" s="111"/>
      <c r="AZ184" s="545">
        <f t="shared" si="176"/>
        <v>0</v>
      </c>
      <c r="BA184" s="131"/>
    </row>
    <row r="185" spans="1:53" ht="17.100000000000001" customHeight="1" x14ac:dyDescent="0.25">
      <c r="A185" s="40"/>
      <c r="B185" s="40"/>
      <c r="C185" s="540"/>
      <c r="D185" s="74" t="s">
        <v>142</v>
      </c>
      <c r="E185" s="542" t="s">
        <v>665</v>
      </c>
      <c r="F185" s="542"/>
      <c r="G185" s="542"/>
      <c r="H185" s="540"/>
      <c r="I185" s="235"/>
      <c r="J185" s="111"/>
      <c r="K185" s="111"/>
      <c r="L185" s="111"/>
      <c r="M185" s="111"/>
      <c r="N185" s="60"/>
      <c r="O185" s="60"/>
      <c r="P185" s="17">
        <f>SUM(N185:O185)</f>
        <v>0</v>
      </c>
      <c r="Q185" s="60"/>
      <c r="R185" s="60"/>
      <c r="S185" s="17">
        <f>SUM(Q185:R185)</f>
        <v>0</v>
      </c>
      <c r="T185" s="60"/>
      <c r="U185" s="60"/>
      <c r="V185" s="359">
        <f>SUM(T185:U185)</f>
        <v>0</v>
      </c>
      <c r="W185" s="391">
        <f t="shared" ref="W185:W186" si="180">J185+K185+N185+Q185+T185</f>
        <v>0</v>
      </c>
      <c r="X185" s="17">
        <f t="shared" ref="X185:X186" si="181">L185+O185+R185+U185</f>
        <v>0</v>
      </c>
      <c r="Y185" s="18">
        <f>SUM(W185:X185)</f>
        <v>0</v>
      </c>
      <c r="Z185" s="19">
        <f t="shared" ref="Z185:Z186" si="182">IF(Y$187=0,0,Y185/Y$187)</f>
        <v>0</v>
      </c>
      <c r="AA185" s="19"/>
      <c r="AB185" s="19"/>
      <c r="AC185" s="20"/>
      <c r="AE185" s="111"/>
      <c r="AF185" s="111"/>
      <c r="AG185" s="111"/>
      <c r="AH185" s="112"/>
      <c r="AI185" s="113"/>
      <c r="AK185" s="111"/>
      <c r="AL185" s="111"/>
      <c r="AM185" s="111"/>
      <c r="AN185" s="112"/>
      <c r="AO185" s="113"/>
      <c r="AQ185" s="17"/>
      <c r="AR185" s="17"/>
      <c r="AS185" s="17"/>
      <c r="AT185" s="18">
        <f t="shared" ref="AT185:AT186" si="183">W185</f>
        <v>0</v>
      </c>
      <c r="AU185" s="91">
        <f t="shared" si="178"/>
        <v>0</v>
      </c>
      <c r="AW185" s="17"/>
      <c r="AX185" s="17"/>
      <c r="AY185" s="17"/>
      <c r="AZ185" s="18">
        <f t="shared" si="176"/>
        <v>0</v>
      </c>
      <c r="BA185" s="91">
        <f t="shared" si="179"/>
        <v>0</v>
      </c>
    </row>
    <row r="186" spans="1:53" ht="17.100000000000001" customHeight="1" x14ac:dyDescent="0.25">
      <c r="A186" s="40"/>
      <c r="B186" s="40"/>
      <c r="C186" s="74" t="s">
        <v>144</v>
      </c>
      <c r="D186" s="120" t="s">
        <v>129</v>
      </c>
      <c r="E186" s="542"/>
      <c r="F186" s="542"/>
      <c r="G186" s="542"/>
      <c r="H186" s="540"/>
      <c r="I186" s="235"/>
      <c r="J186" s="111"/>
      <c r="K186" s="111"/>
      <c r="L186" s="111"/>
      <c r="M186" s="111"/>
      <c r="N186" s="61"/>
      <c r="O186" s="61"/>
      <c r="P186" s="17">
        <f>SUM(N186:O186)</f>
        <v>0</v>
      </c>
      <c r="Q186" s="61"/>
      <c r="R186" s="61"/>
      <c r="S186" s="17">
        <f>SUM(Q186:R186)</f>
        <v>0</v>
      </c>
      <c r="T186" s="61"/>
      <c r="U186" s="61"/>
      <c r="V186" s="359">
        <f>SUM(T186:U186)</f>
        <v>0</v>
      </c>
      <c r="W186" s="391">
        <f t="shared" si="180"/>
        <v>0</v>
      </c>
      <c r="X186" s="17">
        <f t="shared" si="181"/>
        <v>0</v>
      </c>
      <c r="Y186" s="18">
        <f>SUM(W186:X186)</f>
        <v>0</v>
      </c>
      <c r="Z186" s="221">
        <f t="shared" si="182"/>
        <v>0</v>
      </c>
      <c r="AA186" s="221"/>
      <c r="AB186" s="221"/>
      <c r="AC186" s="20"/>
      <c r="AE186" s="111"/>
      <c r="AF186" s="111"/>
      <c r="AG186" s="111"/>
      <c r="AH186" s="112"/>
      <c r="AI186" s="113"/>
      <c r="AK186" s="111"/>
      <c r="AL186" s="111"/>
      <c r="AM186" s="111"/>
      <c r="AN186" s="112"/>
      <c r="AO186" s="113"/>
      <c r="AQ186" s="17"/>
      <c r="AR186" s="17"/>
      <c r="AS186" s="17"/>
      <c r="AT186" s="18">
        <f t="shared" si="183"/>
        <v>0</v>
      </c>
      <c r="AU186" s="91">
        <f t="shared" si="178"/>
        <v>0</v>
      </c>
      <c r="AW186" s="17"/>
      <c r="AX186" s="17"/>
      <c r="AY186" s="17"/>
      <c r="AZ186" s="18">
        <f t="shared" si="176"/>
        <v>0</v>
      </c>
      <c r="BA186" s="91">
        <f t="shared" si="179"/>
        <v>0</v>
      </c>
    </row>
    <row r="187" spans="1:53" ht="17.100000000000001" customHeight="1" x14ac:dyDescent="0.25">
      <c r="A187" s="40"/>
      <c r="B187" s="40"/>
      <c r="C187" s="77"/>
      <c r="D187" s="144"/>
      <c r="E187" s="144"/>
      <c r="F187" s="145"/>
      <c r="G187" s="145"/>
      <c r="H187" s="119"/>
      <c r="I187" s="236"/>
      <c r="J187" s="80"/>
      <c r="K187" s="80"/>
      <c r="L187" s="81"/>
      <c r="M187" s="81"/>
      <c r="N187" s="81">
        <f>SUM(N178:N186)</f>
        <v>0</v>
      </c>
      <c r="O187" s="81">
        <f t="shared" ref="O187:Y187" si="184">SUM(O178:O186)</f>
        <v>9</v>
      </c>
      <c r="P187" s="81">
        <f t="shared" si="184"/>
        <v>9</v>
      </c>
      <c r="Q187" s="81">
        <f t="shared" si="184"/>
        <v>0</v>
      </c>
      <c r="R187" s="81">
        <f t="shared" si="184"/>
        <v>0</v>
      </c>
      <c r="S187" s="81">
        <f t="shared" si="184"/>
        <v>0</v>
      </c>
      <c r="T187" s="81">
        <f t="shared" si="184"/>
        <v>0</v>
      </c>
      <c r="U187" s="81">
        <f t="shared" si="184"/>
        <v>0</v>
      </c>
      <c r="V187" s="81">
        <f t="shared" si="184"/>
        <v>0</v>
      </c>
      <c r="W187" s="82">
        <f t="shared" si="184"/>
        <v>0</v>
      </c>
      <c r="X187" s="82">
        <f t="shared" si="184"/>
        <v>9</v>
      </c>
      <c r="Y187" s="82">
        <f t="shared" si="184"/>
        <v>9</v>
      </c>
      <c r="Z187" s="205">
        <f>IF(Y$187=0,0,Y187/Y$187)</f>
        <v>1</v>
      </c>
      <c r="AA187" s="205"/>
      <c r="AB187" s="205"/>
      <c r="AC187" s="83"/>
      <c r="AE187" s="80"/>
      <c r="AF187" s="80"/>
      <c r="AG187" s="81"/>
      <c r="AH187" s="82"/>
      <c r="AI187" s="66"/>
      <c r="AK187" s="80"/>
      <c r="AL187" s="80"/>
      <c r="AM187" s="81"/>
      <c r="AN187" s="82"/>
      <c r="AO187" s="66"/>
      <c r="AQ187" s="80"/>
      <c r="AR187" s="80"/>
      <c r="AS187" s="81"/>
      <c r="AT187" s="82">
        <f t="shared" ref="AT187" si="185">SUM(AT178:AT186)</f>
        <v>0</v>
      </c>
      <c r="AU187" s="66">
        <f t="shared" si="178"/>
        <v>0</v>
      </c>
      <c r="AW187" s="80"/>
      <c r="AX187" s="80"/>
      <c r="AY187" s="81"/>
      <c r="AZ187" s="82">
        <f t="shared" ref="AZ187" si="186">SUM(AZ178:AZ186)</f>
        <v>9</v>
      </c>
      <c r="BA187" s="66">
        <f t="shared" si="179"/>
        <v>1</v>
      </c>
    </row>
    <row r="188" spans="1:53" s="117" customFormat="1" ht="17.100000000000001" customHeight="1" x14ac:dyDescent="0.25">
      <c r="A188" s="68"/>
      <c r="B188" s="119"/>
      <c r="C188" s="540"/>
      <c r="D188" s="261"/>
      <c r="E188" s="261"/>
      <c r="F188" s="68"/>
      <c r="G188" s="68"/>
      <c r="H188" s="119"/>
      <c r="I188" s="138"/>
      <c r="J188" s="17"/>
      <c r="K188" s="17"/>
      <c r="L188" s="17"/>
      <c r="M188" s="17"/>
      <c r="N188" s="17" t="str">
        <f>IF(N187=N$20,"OK","NOK")</f>
        <v>OK</v>
      </c>
      <c r="O188" s="17" t="str">
        <f>IF(O187=O$20,"OK","NOK")</f>
        <v>OK</v>
      </c>
      <c r="P188" s="17"/>
      <c r="Q188" s="17" t="str">
        <f>IF(Q187=Q$20,"OK","NOK")</f>
        <v>OK</v>
      </c>
      <c r="R188" s="17" t="str">
        <f>IF(R187=R$20,"OK","NOK")</f>
        <v>OK</v>
      </c>
      <c r="S188" s="17"/>
      <c r="T188" s="17" t="str">
        <f>IF(T187=T$20,"OK","NOK")</f>
        <v>OK</v>
      </c>
      <c r="U188" s="17" t="str">
        <f>IF(U187=U$20,"OK","NOK")</f>
        <v>OK</v>
      </c>
      <c r="V188" s="359"/>
      <c r="W188" s="382"/>
      <c r="X188" s="539"/>
      <c r="Y188" s="539"/>
      <c r="Z188" s="201"/>
      <c r="AA188" s="201"/>
      <c r="AB188" s="201"/>
      <c r="AC188" s="84"/>
      <c r="AE188" s="46"/>
      <c r="AF188" s="46"/>
      <c r="AG188" s="17"/>
      <c r="AH188" s="539"/>
      <c r="AI188" s="91"/>
      <c r="AK188" s="46"/>
      <c r="AL188" s="46"/>
      <c r="AM188" s="17"/>
      <c r="AN188" s="539"/>
      <c r="AO188" s="91"/>
      <c r="AQ188" s="46"/>
      <c r="AR188" s="46"/>
      <c r="AS188" s="17"/>
      <c r="AT188" s="539"/>
      <c r="AU188" s="91"/>
      <c r="AW188" s="46"/>
      <c r="AX188" s="46"/>
      <c r="AY188" s="17"/>
      <c r="AZ188" s="539"/>
      <c r="BA188" s="91"/>
    </row>
    <row r="189" spans="1:53" ht="17.100000000000001" customHeight="1" x14ac:dyDescent="0.25">
      <c r="A189" s="40"/>
      <c r="B189" s="40"/>
      <c r="C189" s="74" t="s">
        <v>141</v>
      </c>
      <c r="D189" s="57" t="s">
        <v>128</v>
      </c>
      <c r="E189" s="542"/>
      <c r="F189" s="542"/>
      <c r="G189" s="542"/>
      <c r="H189" s="540"/>
      <c r="I189" s="235"/>
      <c r="J189" s="111"/>
      <c r="K189" s="111"/>
      <c r="L189" s="111"/>
      <c r="M189" s="111"/>
      <c r="N189" s="111"/>
      <c r="O189" s="111"/>
      <c r="P189" s="111"/>
      <c r="Q189" s="111"/>
      <c r="R189" s="111"/>
      <c r="S189" s="111"/>
      <c r="T189" s="111"/>
      <c r="U189" s="111"/>
      <c r="V189" s="358"/>
      <c r="W189" s="386"/>
      <c r="X189" s="113"/>
      <c r="Y189" s="178"/>
      <c r="Z189" s="172"/>
      <c r="AA189" s="545" t="s">
        <v>181</v>
      </c>
      <c r="AB189" s="545" t="s">
        <v>182</v>
      </c>
      <c r="AC189" s="545" t="s">
        <v>6</v>
      </c>
      <c r="AE189" s="111"/>
      <c r="AF189" s="111"/>
      <c r="AG189" s="111"/>
      <c r="AH189" s="545"/>
      <c r="AI189" s="131"/>
      <c r="AK189" s="111"/>
      <c r="AL189" s="111"/>
      <c r="AM189" s="111"/>
      <c r="AN189" s="545"/>
      <c r="AO189" s="131"/>
      <c r="AQ189" s="545" t="s">
        <v>181</v>
      </c>
      <c r="AR189" s="545" t="s">
        <v>182</v>
      </c>
      <c r="AS189" s="545" t="s">
        <v>6</v>
      </c>
      <c r="AT189" s="545"/>
      <c r="AU189" s="131"/>
      <c r="AW189" s="545" t="s">
        <v>181</v>
      </c>
      <c r="AX189" s="545" t="s">
        <v>182</v>
      </c>
      <c r="AY189" s="545" t="s">
        <v>6</v>
      </c>
      <c r="AZ189" s="545"/>
      <c r="BA189" s="131"/>
    </row>
    <row r="190" spans="1:53" s="117" customFormat="1" ht="17.100000000000001" customHeight="1" x14ac:dyDescent="0.25">
      <c r="A190" s="68"/>
      <c r="B190" s="119"/>
      <c r="C190" s="92"/>
      <c r="D190" s="74" t="s">
        <v>143</v>
      </c>
      <c r="E190" s="146" t="s">
        <v>667</v>
      </c>
      <c r="F190" s="149"/>
      <c r="G190" s="151"/>
      <c r="H190" s="119"/>
      <c r="I190" s="138"/>
      <c r="J190" s="17"/>
      <c r="K190" s="17"/>
      <c r="L190" s="17"/>
      <c r="M190" s="17"/>
      <c r="N190" s="336"/>
      <c r="O190" s="336"/>
      <c r="P190" s="341"/>
      <c r="Q190" s="336"/>
      <c r="R190" s="336"/>
      <c r="S190" s="341"/>
      <c r="T190" s="336"/>
      <c r="U190" s="336"/>
      <c r="V190" s="592"/>
      <c r="W190" s="386"/>
      <c r="X190" s="113"/>
      <c r="Y190" s="178"/>
      <c r="Z190" s="131"/>
      <c r="AA190" s="403">
        <f>MIN(N190:U190)</f>
        <v>0</v>
      </c>
      <c r="AB190" s="403">
        <f>MAX(N190:U190)</f>
        <v>0</v>
      </c>
      <c r="AC190" s="337">
        <f>IF(SUM(N190:U190)=0,0,AVERAGE(N190:U190))</f>
        <v>0</v>
      </c>
      <c r="AE190" s="152"/>
      <c r="AF190" s="152"/>
      <c r="AG190" s="111"/>
      <c r="AH190" s="545"/>
      <c r="AI190" s="131"/>
      <c r="AK190" s="152"/>
      <c r="AL190" s="152"/>
      <c r="AM190" s="111"/>
      <c r="AN190" s="545"/>
      <c r="AO190" s="131"/>
      <c r="AQ190" s="402">
        <f>MIN(N190,Q190,T190)</f>
        <v>0</v>
      </c>
      <c r="AR190" s="402">
        <f>MAX(N190,Q190,T190)</f>
        <v>0</v>
      </c>
      <c r="AS190" s="403">
        <f>IF(N190+Q190+Q190=0,0,AVERAGE(N190,Q190,T190))</f>
        <v>0</v>
      </c>
      <c r="AT190" s="539"/>
      <c r="AU190" s="91"/>
      <c r="AW190" s="402">
        <f>MIN(O190,R190,U190)</f>
        <v>0</v>
      </c>
      <c r="AX190" s="402">
        <f>MAX(O190,R190,U190)</f>
        <v>0</v>
      </c>
      <c r="AY190" s="403">
        <f>IF(O190+R190+U190=0,0,AVERAGE(O190,R190,U190))</f>
        <v>0</v>
      </c>
      <c r="AZ190" s="539"/>
      <c r="BA190" s="91"/>
    </row>
    <row r="191" spans="1:53" ht="17.100000000000001" customHeight="1" x14ac:dyDescent="0.25">
      <c r="A191" s="40"/>
      <c r="B191" s="40"/>
      <c r="C191" s="77"/>
      <c r="D191" s="144"/>
      <c r="E191" s="144"/>
      <c r="F191" s="145"/>
      <c r="G191" s="145"/>
      <c r="H191" s="119"/>
      <c r="I191" s="236"/>
      <c r="J191" s="80"/>
      <c r="K191" s="80"/>
      <c r="L191" s="81"/>
      <c r="M191" s="81"/>
      <c r="N191" s="81"/>
      <c r="O191" s="81"/>
      <c r="P191" s="82"/>
      <c r="Q191" s="81"/>
      <c r="R191" s="81"/>
      <c r="S191" s="82"/>
      <c r="T191" s="81"/>
      <c r="U191" s="81"/>
      <c r="V191" s="360"/>
      <c r="W191" s="381"/>
      <c r="X191" s="82"/>
      <c r="Y191" s="82"/>
      <c r="Z191" s="205"/>
      <c r="AA191" s="205"/>
      <c r="AB191" s="205"/>
      <c r="AC191" s="83"/>
      <c r="AE191" s="80"/>
      <c r="AF191" s="80"/>
      <c r="AG191" s="81"/>
      <c r="AH191" s="82"/>
      <c r="AI191" s="66"/>
      <c r="AK191" s="80"/>
      <c r="AL191" s="80"/>
      <c r="AM191" s="81"/>
      <c r="AN191" s="82"/>
      <c r="AO191" s="66"/>
      <c r="AQ191" s="80"/>
      <c r="AR191" s="80"/>
      <c r="AS191" s="81"/>
      <c r="AT191" s="82"/>
      <c r="AU191" s="66"/>
      <c r="AW191" s="80"/>
      <c r="AX191" s="80"/>
      <c r="AY191" s="81"/>
      <c r="AZ191" s="82"/>
      <c r="BA191" s="66"/>
    </row>
    <row r="192" spans="1:53" ht="17.100000000000001" customHeight="1" x14ac:dyDescent="0.25">
      <c r="A192" s="68"/>
      <c r="B192" s="41" t="s">
        <v>145</v>
      </c>
      <c r="C192" s="69" t="s">
        <v>419</v>
      </c>
      <c r="D192" s="50"/>
      <c r="E192" s="70"/>
      <c r="F192" s="70"/>
      <c r="G192" s="70"/>
      <c r="H192" s="119"/>
      <c r="J192" s="71"/>
      <c r="K192" s="71"/>
      <c r="L192" s="71"/>
      <c r="M192" s="71"/>
      <c r="N192" s="71"/>
      <c r="O192" s="71"/>
      <c r="P192" s="71"/>
      <c r="Q192" s="71"/>
      <c r="R192" s="71"/>
      <c r="S192" s="71"/>
      <c r="T192" s="71"/>
      <c r="U192" s="71"/>
      <c r="V192" s="355"/>
      <c r="W192" s="377"/>
      <c r="X192" s="71"/>
      <c r="Y192" s="72"/>
      <c r="Z192" s="73"/>
      <c r="AA192" s="73"/>
      <c r="AB192" s="73"/>
      <c r="AC192" s="73"/>
      <c r="AE192" s="71"/>
      <c r="AF192" s="71"/>
      <c r="AG192" s="71"/>
      <c r="AH192" s="72"/>
      <c r="AI192" s="73"/>
      <c r="AK192" s="71"/>
      <c r="AL192" s="71"/>
      <c r="AM192" s="71"/>
      <c r="AN192" s="72"/>
      <c r="AO192" s="73"/>
      <c r="AQ192" s="71"/>
      <c r="AR192" s="71"/>
      <c r="AS192" s="71"/>
      <c r="AT192" s="72"/>
      <c r="AU192" s="73"/>
      <c r="AW192" s="71"/>
      <c r="AX192" s="71"/>
      <c r="AY192" s="71"/>
      <c r="AZ192" s="72"/>
      <c r="BA192" s="73"/>
    </row>
    <row r="193" spans="1:53" ht="17.100000000000001" customHeight="1" x14ac:dyDescent="0.25">
      <c r="A193" s="40"/>
      <c r="B193" s="40"/>
      <c r="C193" s="56" t="s">
        <v>146</v>
      </c>
      <c r="D193" s="147" t="s">
        <v>358</v>
      </c>
      <c r="E193" s="147"/>
      <c r="F193" s="147"/>
      <c r="G193" s="147"/>
      <c r="H193" s="243">
        <v>30</v>
      </c>
      <c r="I193" s="237"/>
      <c r="J193" s="174"/>
      <c r="K193" s="174"/>
      <c r="L193" s="111"/>
      <c r="M193" s="111"/>
      <c r="N193" s="111"/>
      <c r="O193" s="111"/>
      <c r="P193" s="111"/>
      <c r="Q193" s="111"/>
      <c r="R193" s="111"/>
      <c r="S193" s="111"/>
      <c r="T193" s="111"/>
      <c r="U193" s="111"/>
      <c r="V193" s="358"/>
      <c r="W193" s="380"/>
      <c r="X193" s="111"/>
      <c r="Y193" s="545"/>
      <c r="Z193" s="131"/>
      <c r="AA193" s="131"/>
      <c r="AB193" s="131"/>
      <c r="AC193" s="113"/>
      <c r="AE193" s="111"/>
      <c r="AF193" s="111"/>
      <c r="AG193" s="111"/>
      <c r="AH193" s="545"/>
      <c r="AI193" s="131"/>
      <c r="AK193" s="111"/>
      <c r="AL193" s="111"/>
      <c r="AM193" s="111"/>
      <c r="AN193" s="545"/>
      <c r="AO193" s="131"/>
      <c r="AQ193" s="111"/>
      <c r="AR193" s="111"/>
      <c r="AS193" s="111"/>
      <c r="AT193" s="545"/>
      <c r="AU193" s="131"/>
      <c r="AW193" s="111"/>
      <c r="AX193" s="111"/>
      <c r="AY193" s="111"/>
      <c r="AZ193" s="545"/>
      <c r="BA193" s="131"/>
    </row>
    <row r="194" spans="1:53" ht="17.100000000000001" customHeight="1" x14ac:dyDescent="0.25">
      <c r="A194" s="40"/>
      <c r="B194" s="40"/>
      <c r="C194" s="182"/>
      <c r="D194" s="74" t="s">
        <v>537</v>
      </c>
      <c r="E194" s="147" t="s">
        <v>9</v>
      </c>
      <c r="F194" s="147"/>
      <c r="G194" s="147"/>
      <c r="H194" s="262"/>
      <c r="I194" s="237"/>
      <c r="J194" s="581"/>
      <c r="K194" s="581"/>
      <c r="L194" s="582"/>
      <c r="M194" s="17">
        <f t="shared" ref="M194:M195" si="187">SUM(J194:L194)</f>
        <v>0</v>
      </c>
      <c r="N194" s="111"/>
      <c r="O194" s="111"/>
      <c r="P194" s="111"/>
      <c r="Q194" s="111"/>
      <c r="R194" s="111"/>
      <c r="S194" s="111"/>
      <c r="T194" s="111"/>
      <c r="U194" s="111"/>
      <c r="V194" s="358"/>
      <c r="W194" s="391">
        <f t="shared" ref="W194:W195" si="188">J194+K194+N194+Q194+T194</f>
        <v>0</v>
      </c>
      <c r="X194" s="17">
        <f t="shared" ref="X194:X195" si="189">L194+O194+R194+U194</f>
        <v>0</v>
      </c>
      <c r="Y194" s="539">
        <f>SUM(W194:X194)</f>
        <v>0</v>
      </c>
      <c r="Z194" s="91">
        <f>IF(Y$197=0,0,Y194/Y$197)</f>
        <v>0</v>
      </c>
      <c r="AA194" s="91"/>
      <c r="AB194" s="91"/>
      <c r="AC194" s="20"/>
      <c r="AE194" s="17"/>
      <c r="AF194" s="17"/>
      <c r="AG194" s="17"/>
      <c r="AH194" s="18">
        <f t="shared" ref="AH194:AH195" si="190">J194</f>
        <v>0</v>
      </c>
      <c r="AI194" s="91">
        <f>IF(AH$197=0,0,AH194/AH$197)</f>
        <v>0</v>
      </c>
      <c r="AK194" s="17"/>
      <c r="AL194" s="17"/>
      <c r="AM194" s="17"/>
      <c r="AN194" s="18">
        <f t="shared" ref="AN194:AN195" si="191">K194</f>
        <v>0</v>
      </c>
      <c r="AO194" s="91">
        <f>IF(AN$197=0,0,AN194/AN$197)</f>
        <v>0</v>
      </c>
      <c r="AQ194" s="17"/>
      <c r="AR194" s="17"/>
      <c r="AS194" s="17"/>
      <c r="AT194" s="18">
        <f t="shared" ref="AT194:AT195" si="192">W194</f>
        <v>0</v>
      </c>
      <c r="AU194" s="91">
        <f>IF(AT$197=0,0,AT194/AT$197)</f>
        <v>0</v>
      </c>
      <c r="AW194" s="17"/>
      <c r="AX194" s="17"/>
      <c r="AY194" s="17"/>
      <c r="AZ194" s="18">
        <f t="shared" ref="AZ194:AZ195" si="193">X194</f>
        <v>0</v>
      </c>
      <c r="BA194" s="91">
        <f>IF(AZ$197=0,0,AZ194/AZ$197)</f>
        <v>0</v>
      </c>
    </row>
    <row r="195" spans="1:53" ht="17.100000000000001" customHeight="1" x14ac:dyDescent="0.25">
      <c r="A195" s="40"/>
      <c r="B195" s="40"/>
      <c r="C195" s="182"/>
      <c r="D195" s="74" t="s">
        <v>538</v>
      </c>
      <c r="E195" s="147" t="s">
        <v>11</v>
      </c>
      <c r="F195" s="147"/>
      <c r="G195" s="147"/>
      <c r="H195" s="262"/>
      <c r="I195" s="237"/>
      <c r="J195" s="583"/>
      <c r="K195" s="583"/>
      <c r="L195" s="584"/>
      <c r="M195" s="17">
        <f t="shared" si="187"/>
        <v>0</v>
      </c>
      <c r="N195" s="111"/>
      <c r="O195" s="111"/>
      <c r="P195" s="111"/>
      <c r="Q195" s="111"/>
      <c r="R195" s="111"/>
      <c r="S195" s="111"/>
      <c r="T195" s="111"/>
      <c r="U195" s="111"/>
      <c r="V195" s="358"/>
      <c r="W195" s="391">
        <f t="shared" si="188"/>
        <v>0</v>
      </c>
      <c r="X195" s="17">
        <f t="shared" si="189"/>
        <v>0</v>
      </c>
      <c r="Y195" s="539">
        <f>SUM(W195:X195)</f>
        <v>0</v>
      </c>
      <c r="Z195" s="91">
        <f>IF(Y$197=0,0,Y195/Y$197)</f>
        <v>0</v>
      </c>
      <c r="AA195" s="91"/>
      <c r="AB195" s="91"/>
      <c r="AC195" s="20"/>
      <c r="AE195" s="17"/>
      <c r="AF195" s="17"/>
      <c r="AG195" s="17"/>
      <c r="AH195" s="18">
        <f t="shared" si="190"/>
        <v>0</v>
      </c>
      <c r="AI195" s="91">
        <f>IF(AH$197=0,0,AH195/AH$197)</f>
        <v>0</v>
      </c>
      <c r="AK195" s="17"/>
      <c r="AL195" s="17"/>
      <c r="AM195" s="17"/>
      <c r="AN195" s="18">
        <f t="shared" si="191"/>
        <v>0</v>
      </c>
      <c r="AO195" s="91">
        <f>IF(AN$197=0,0,AN195/AN$197)</f>
        <v>0</v>
      </c>
      <c r="AQ195" s="17"/>
      <c r="AR195" s="17"/>
      <c r="AS195" s="17"/>
      <c r="AT195" s="18">
        <f t="shared" si="192"/>
        <v>0</v>
      </c>
      <c r="AU195" s="91">
        <f>IF(AT$197=0,0,AT195/AT$197)</f>
        <v>0</v>
      </c>
      <c r="AW195" s="17"/>
      <c r="AX195" s="17"/>
      <c r="AY195" s="17"/>
      <c r="AZ195" s="18">
        <f t="shared" si="193"/>
        <v>0</v>
      </c>
      <c r="BA195" s="91">
        <f>IF(AZ$197=0,0,AZ195/AZ$197)</f>
        <v>0</v>
      </c>
    </row>
    <row r="196" spans="1:53" ht="17.100000000000001" customHeight="1" x14ac:dyDescent="0.25">
      <c r="A196" s="40"/>
      <c r="B196" s="40"/>
      <c r="C196" s="182"/>
      <c r="D196" s="74" t="s">
        <v>1433</v>
      </c>
      <c r="E196" s="147" t="s">
        <v>1435</v>
      </c>
      <c r="F196" s="147"/>
      <c r="G196" s="147"/>
      <c r="H196" s="262"/>
      <c r="I196" s="237"/>
      <c r="J196" s="581"/>
      <c r="K196" s="581"/>
      <c r="L196" s="582"/>
      <c r="M196" s="17">
        <f t="shared" ref="M196" si="194">SUM(J196:L196)</f>
        <v>0</v>
      </c>
      <c r="N196" s="111"/>
      <c r="O196" s="111"/>
      <c r="P196" s="111"/>
      <c r="Q196" s="111"/>
      <c r="R196" s="111"/>
      <c r="S196" s="111"/>
      <c r="T196" s="111"/>
      <c r="U196" s="111"/>
      <c r="V196" s="358"/>
      <c r="W196" s="391">
        <f t="shared" ref="W196" si="195">J196+K196+N196+Q196+T196</f>
        <v>0</v>
      </c>
      <c r="X196" s="17">
        <f t="shared" ref="X196" si="196">L196+O196+R196+U196</f>
        <v>0</v>
      </c>
      <c r="Y196" s="921">
        <f>SUM(W196:X196)</f>
        <v>0</v>
      </c>
      <c r="Z196" s="91">
        <f>IF(Y$197=0,0,Y196/Y$197)</f>
        <v>0</v>
      </c>
      <c r="AA196" s="91"/>
      <c r="AB196" s="91"/>
      <c r="AC196" s="20"/>
      <c r="AE196" s="17"/>
      <c r="AF196" s="17"/>
      <c r="AG196" s="17"/>
      <c r="AH196" s="18">
        <f t="shared" ref="AH196" si="197">J196</f>
        <v>0</v>
      </c>
      <c r="AI196" s="91">
        <f>IF(AH$197=0,0,AH196/AH$197)</f>
        <v>0</v>
      </c>
      <c r="AK196" s="17"/>
      <c r="AL196" s="17"/>
      <c r="AM196" s="17"/>
      <c r="AN196" s="18">
        <f t="shared" ref="AN196" si="198">K196</f>
        <v>0</v>
      </c>
      <c r="AO196" s="91">
        <f>IF(AN$197=0,0,AN196/AN$197)</f>
        <v>0</v>
      </c>
      <c r="AQ196" s="17"/>
      <c r="AR196" s="17"/>
      <c r="AS196" s="17"/>
      <c r="AT196" s="18">
        <f t="shared" ref="AT196" si="199">W196</f>
        <v>0</v>
      </c>
      <c r="AU196" s="91">
        <f>IF(AT$197=0,0,AT196/AT$197)</f>
        <v>0</v>
      </c>
      <c r="AW196" s="17"/>
      <c r="AX196" s="17"/>
      <c r="AY196" s="17"/>
      <c r="AZ196" s="18">
        <f t="shared" ref="AZ196" si="200">X196</f>
        <v>0</v>
      </c>
      <c r="BA196" s="91">
        <f>IF(AZ$197=0,0,AZ196/AZ$197)</f>
        <v>0</v>
      </c>
    </row>
    <row r="197" spans="1:53" ht="17.100000000000001" customHeight="1" x14ac:dyDescent="0.25">
      <c r="A197" s="40"/>
      <c r="B197" s="40"/>
      <c r="C197" s="77"/>
      <c r="D197" s="144"/>
      <c r="E197" s="144"/>
      <c r="F197" s="145"/>
      <c r="G197" s="145"/>
      <c r="H197" s="119"/>
      <c r="I197" s="236"/>
      <c r="J197" s="80">
        <f>SUM(J194:J196)</f>
        <v>0</v>
      </c>
      <c r="K197" s="80">
        <f t="shared" ref="K197:M197" si="201">SUM(K194:K196)</f>
        <v>0</v>
      </c>
      <c r="L197" s="80">
        <f t="shared" si="201"/>
        <v>0</v>
      </c>
      <c r="M197" s="80">
        <f t="shared" si="201"/>
        <v>0</v>
      </c>
      <c r="N197" s="80"/>
      <c r="O197" s="80"/>
      <c r="P197" s="80"/>
      <c r="Q197" s="81"/>
      <c r="R197" s="81"/>
      <c r="S197" s="81"/>
      <c r="T197" s="81"/>
      <c r="U197" s="81"/>
      <c r="V197" s="356"/>
      <c r="W197" s="381">
        <f>SUM(W194:W196)</f>
        <v>0</v>
      </c>
      <c r="X197" s="82">
        <f t="shared" ref="X197:Y197" si="202">SUM(X194:X196)</f>
        <v>0</v>
      </c>
      <c r="Y197" s="82">
        <f t="shared" si="202"/>
        <v>0</v>
      </c>
      <c r="Z197" s="205">
        <f>IF(Y$197=0,0,Y197/Y$197)</f>
        <v>0</v>
      </c>
      <c r="AA197" s="205"/>
      <c r="AB197" s="205"/>
      <c r="AC197" s="83"/>
      <c r="AE197" s="80"/>
      <c r="AF197" s="80"/>
      <c r="AG197" s="81"/>
      <c r="AH197" s="82">
        <f>SUM(AH194:AH196)</f>
        <v>0</v>
      </c>
      <c r="AI197" s="66">
        <f>IF(AH$197=0,0,AH197/AH$197)</f>
        <v>0</v>
      </c>
      <c r="AK197" s="80"/>
      <c r="AL197" s="80"/>
      <c r="AM197" s="81"/>
      <c r="AN197" s="82">
        <f>SUM(AN194:AN196)</f>
        <v>0</v>
      </c>
      <c r="AO197" s="66">
        <f>IF(AN$197=0,0,AN197/AN$197)</f>
        <v>0</v>
      </c>
      <c r="AQ197" s="80"/>
      <c r="AR197" s="80"/>
      <c r="AS197" s="81"/>
      <c r="AT197" s="82">
        <f>SUM(AT194:AT196)</f>
        <v>0</v>
      </c>
      <c r="AU197" s="66">
        <f>IF(AT$197=0,0,AT197/AT$197)</f>
        <v>0</v>
      </c>
      <c r="AW197" s="80"/>
      <c r="AX197" s="80"/>
      <c r="AY197" s="81"/>
      <c r="AZ197" s="82">
        <f>SUM(AZ194:AZ196)</f>
        <v>0</v>
      </c>
      <c r="BA197" s="66">
        <f>IF(AZ$197=0,0,AZ197/AZ$197)</f>
        <v>0</v>
      </c>
    </row>
    <row r="198" spans="1:53" s="117" customFormat="1" ht="17.100000000000001" customHeight="1" x14ac:dyDescent="0.25">
      <c r="A198" s="68"/>
      <c r="B198" s="119"/>
      <c r="C198" s="540"/>
      <c r="D198" s="261"/>
      <c r="E198" s="261"/>
      <c r="F198" s="68"/>
      <c r="G198" s="68"/>
      <c r="H198" s="119"/>
      <c r="I198" s="138"/>
      <c r="J198" s="17" t="str">
        <f>IF(J197=J$15,"OK","NOK")</f>
        <v>OK</v>
      </c>
      <c r="K198" s="17" t="str">
        <f t="shared" ref="K198:L198" si="203">IF(K197=K$15,"OK","NOK")</f>
        <v>OK</v>
      </c>
      <c r="L198" s="17" t="str">
        <f t="shared" si="203"/>
        <v>OK</v>
      </c>
      <c r="M198" s="17"/>
      <c r="N198" s="17"/>
      <c r="O198" s="17"/>
      <c r="P198" s="17"/>
      <c r="Q198" s="17"/>
      <c r="R198" s="17"/>
      <c r="S198" s="17"/>
      <c r="T198" s="17"/>
      <c r="U198" s="17"/>
      <c r="V198" s="359"/>
      <c r="W198" s="382"/>
      <c r="X198" s="539"/>
      <c r="Y198" s="539"/>
      <c r="Z198" s="201"/>
      <c r="AA198" s="201"/>
      <c r="AB198" s="201"/>
      <c r="AC198" s="84"/>
      <c r="AE198" s="46"/>
      <c r="AF198" s="46"/>
      <c r="AG198" s="17"/>
      <c r="AH198" s="539"/>
      <c r="AI198" s="91"/>
      <c r="AK198" s="46"/>
      <c r="AL198" s="46"/>
      <c r="AM198" s="17"/>
      <c r="AN198" s="539"/>
      <c r="AO198" s="91"/>
      <c r="AQ198" s="46"/>
      <c r="AR198" s="46"/>
      <c r="AS198" s="17"/>
      <c r="AT198" s="539"/>
      <c r="AU198" s="91"/>
      <c r="AW198" s="46"/>
      <c r="AX198" s="46"/>
      <c r="AY198" s="17"/>
      <c r="AZ198" s="539"/>
      <c r="BA198" s="91"/>
    </row>
    <row r="199" spans="1:53" ht="17.100000000000001" customHeight="1" x14ac:dyDescent="0.25">
      <c r="A199" s="40"/>
      <c r="B199" s="40"/>
      <c r="C199" s="56" t="s">
        <v>147</v>
      </c>
      <c r="D199" s="147" t="s">
        <v>420</v>
      </c>
      <c r="E199" s="147"/>
      <c r="F199" s="147"/>
      <c r="G199" s="147"/>
      <c r="H199" s="243">
        <v>31</v>
      </c>
      <c r="I199" s="237"/>
      <c r="J199" s="174"/>
      <c r="K199" s="174"/>
      <c r="L199" s="111"/>
      <c r="M199" s="111"/>
      <c r="N199" s="111"/>
      <c r="O199" s="111"/>
      <c r="P199" s="111"/>
      <c r="Q199" s="111"/>
      <c r="R199" s="111"/>
      <c r="S199" s="111"/>
      <c r="T199" s="111"/>
      <c r="U199" s="111"/>
      <c r="V199" s="358"/>
      <c r="W199" s="380"/>
      <c r="X199" s="111"/>
      <c r="Y199" s="545"/>
      <c r="Z199" s="131"/>
      <c r="AA199" s="131"/>
      <c r="AB199" s="131"/>
      <c r="AC199" s="113"/>
      <c r="AE199" s="111"/>
      <c r="AF199" s="111"/>
      <c r="AG199" s="111"/>
      <c r="AH199" s="545"/>
      <c r="AI199" s="131"/>
      <c r="AK199" s="111"/>
      <c r="AL199" s="111"/>
      <c r="AM199" s="111"/>
      <c r="AN199" s="545"/>
      <c r="AO199" s="131"/>
      <c r="AQ199" s="111"/>
      <c r="AR199" s="111"/>
      <c r="AS199" s="111"/>
      <c r="AT199" s="545"/>
      <c r="AU199" s="131"/>
      <c r="AW199" s="111"/>
      <c r="AX199" s="111"/>
      <c r="AY199" s="111"/>
      <c r="AZ199" s="545"/>
      <c r="BA199" s="131"/>
    </row>
    <row r="200" spans="1:53" ht="17.100000000000001" customHeight="1" x14ac:dyDescent="0.25">
      <c r="A200" s="40"/>
      <c r="B200" s="40"/>
      <c r="C200" s="182"/>
      <c r="D200" s="74" t="s">
        <v>539</v>
      </c>
      <c r="E200" s="147" t="s">
        <v>9</v>
      </c>
      <c r="F200" s="147"/>
      <c r="G200" s="147"/>
      <c r="H200" s="262"/>
      <c r="I200" s="237"/>
      <c r="J200" s="581"/>
      <c r="K200" s="581"/>
      <c r="L200" s="582"/>
      <c r="M200" s="17">
        <f t="shared" ref="M200:M201" si="204">SUM(J200:L200)</f>
        <v>0</v>
      </c>
      <c r="N200" s="111"/>
      <c r="O200" s="111"/>
      <c r="P200" s="111"/>
      <c r="Q200" s="111"/>
      <c r="R200" s="111"/>
      <c r="S200" s="111"/>
      <c r="T200" s="111"/>
      <c r="U200" s="111"/>
      <c r="V200" s="358"/>
      <c r="W200" s="391">
        <f t="shared" ref="W200:W201" si="205">J200+K200+N200+Q200+T200</f>
        <v>0</v>
      </c>
      <c r="X200" s="17">
        <f t="shared" ref="X200:X201" si="206">L200+O200+R200+U200</f>
        <v>0</v>
      </c>
      <c r="Y200" s="539">
        <f>SUM(W200:X200)</f>
        <v>0</v>
      </c>
      <c r="Z200" s="91">
        <f>IF(Y$203=0,0,Y200/Y$203)</f>
        <v>0</v>
      </c>
      <c r="AA200" s="91"/>
      <c r="AB200" s="91"/>
      <c r="AC200" s="20"/>
      <c r="AE200" s="17"/>
      <c r="AF200" s="17"/>
      <c r="AG200" s="17"/>
      <c r="AH200" s="18">
        <f t="shared" ref="AH200:AH201" si="207">J200</f>
        <v>0</v>
      </c>
      <c r="AI200" s="91">
        <f>IF(AH$203=0,0,AH200/AH$203)</f>
        <v>0</v>
      </c>
      <c r="AK200" s="17"/>
      <c r="AL200" s="17"/>
      <c r="AM200" s="17"/>
      <c r="AN200" s="18">
        <f t="shared" ref="AN200:AN201" si="208">K200</f>
        <v>0</v>
      </c>
      <c r="AO200" s="91">
        <f>IF(AN$203=0,0,AN200/AN$203)</f>
        <v>0</v>
      </c>
      <c r="AQ200" s="17"/>
      <c r="AR200" s="17"/>
      <c r="AS200" s="17"/>
      <c r="AT200" s="18">
        <f t="shared" ref="AT200:AT201" si="209">W200</f>
        <v>0</v>
      </c>
      <c r="AU200" s="91">
        <f>IF(AT$203=0,0,AT200/AT$203)</f>
        <v>0</v>
      </c>
      <c r="AW200" s="17"/>
      <c r="AX200" s="17"/>
      <c r="AY200" s="17"/>
      <c r="AZ200" s="18">
        <f t="shared" ref="AZ200:AZ201" si="210">X200</f>
        <v>0</v>
      </c>
      <c r="BA200" s="91">
        <f>IF(AZ$203=0,0,AZ200/AZ$203)</f>
        <v>0</v>
      </c>
    </row>
    <row r="201" spans="1:53" ht="17.100000000000001" customHeight="1" x14ac:dyDescent="0.25">
      <c r="A201" s="40"/>
      <c r="B201" s="40"/>
      <c r="C201" s="182"/>
      <c r="D201" s="74" t="s">
        <v>540</v>
      </c>
      <c r="E201" s="147" t="s">
        <v>11</v>
      </c>
      <c r="F201" s="147"/>
      <c r="G201" s="147"/>
      <c r="H201" s="262"/>
      <c r="I201" s="237"/>
      <c r="J201" s="583"/>
      <c r="K201" s="583"/>
      <c r="L201" s="584"/>
      <c r="M201" s="17">
        <f t="shared" si="204"/>
        <v>0</v>
      </c>
      <c r="N201" s="111"/>
      <c r="O201" s="111"/>
      <c r="P201" s="111"/>
      <c r="Q201" s="111"/>
      <c r="R201" s="111"/>
      <c r="S201" s="111"/>
      <c r="T201" s="111"/>
      <c r="U201" s="111"/>
      <c r="V201" s="358"/>
      <c r="W201" s="391">
        <f t="shared" si="205"/>
        <v>0</v>
      </c>
      <c r="X201" s="17">
        <f t="shared" si="206"/>
        <v>0</v>
      </c>
      <c r="Y201" s="539">
        <f>SUM(W201:X201)</f>
        <v>0</v>
      </c>
      <c r="Z201" s="91">
        <f>IF(Y$203=0,0,Y201/Y$203)</f>
        <v>0</v>
      </c>
      <c r="AA201" s="91"/>
      <c r="AB201" s="91"/>
      <c r="AC201" s="20"/>
      <c r="AE201" s="17"/>
      <c r="AF201" s="17"/>
      <c r="AG201" s="17"/>
      <c r="AH201" s="18">
        <f t="shared" si="207"/>
        <v>0</v>
      </c>
      <c r="AI201" s="91">
        <f>IF(AH$203=0,0,AH201/AH$203)</f>
        <v>0</v>
      </c>
      <c r="AK201" s="17"/>
      <c r="AL201" s="17"/>
      <c r="AM201" s="17"/>
      <c r="AN201" s="18">
        <f t="shared" si="208"/>
        <v>0</v>
      </c>
      <c r="AO201" s="91">
        <f>IF(AN$203=0,0,AN201/AN$203)</f>
        <v>0</v>
      </c>
      <c r="AQ201" s="17"/>
      <c r="AR201" s="17"/>
      <c r="AS201" s="17"/>
      <c r="AT201" s="18">
        <f t="shared" si="209"/>
        <v>0</v>
      </c>
      <c r="AU201" s="91">
        <f>IF(AT$203=0,0,AT201/AT$203)</f>
        <v>0</v>
      </c>
      <c r="AW201" s="17"/>
      <c r="AX201" s="17"/>
      <c r="AY201" s="17"/>
      <c r="AZ201" s="18">
        <f t="shared" si="210"/>
        <v>0</v>
      </c>
      <c r="BA201" s="91">
        <f>IF(AZ$203=0,0,AZ201/AZ$203)</f>
        <v>0</v>
      </c>
    </row>
    <row r="202" spans="1:53" ht="17.100000000000001" customHeight="1" x14ac:dyDescent="0.25">
      <c r="A202" s="40"/>
      <c r="B202" s="40"/>
      <c r="C202" s="182"/>
      <c r="D202" s="74" t="s">
        <v>1434</v>
      </c>
      <c r="E202" s="147" t="s">
        <v>1435</v>
      </c>
      <c r="F202" s="147"/>
      <c r="G202" s="147"/>
      <c r="H202" s="262"/>
      <c r="I202" s="237"/>
      <c r="J202" s="581"/>
      <c r="K202" s="581"/>
      <c r="L202" s="582"/>
      <c r="M202" s="17">
        <f t="shared" ref="M202" si="211">SUM(J202:L202)</f>
        <v>0</v>
      </c>
      <c r="N202" s="111"/>
      <c r="O202" s="111"/>
      <c r="P202" s="111"/>
      <c r="Q202" s="111"/>
      <c r="R202" s="111"/>
      <c r="S202" s="111"/>
      <c r="T202" s="111"/>
      <c r="U202" s="111"/>
      <c r="V202" s="358"/>
      <c r="W202" s="391">
        <f t="shared" ref="W202" si="212">J202+K202+N202+Q202+T202</f>
        <v>0</v>
      </c>
      <c r="X202" s="17">
        <f t="shared" ref="X202" si="213">L202+O202+R202+U202</f>
        <v>0</v>
      </c>
      <c r="Y202" s="921">
        <f>SUM(W202:X202)</f>
        <v>0</v>
      </c>
      <c r="Z202" s="91">
        <f>IF(Y$203=0,0,Y202/Y$203)</f>
        <v>0</v>
      </c>
      <c r="AA202" s="91"/>
      <c r="AB202" s="91"/>
      <c r="AC202" s="20"/>
      <c r="AE202" s="17"/>
      <c r="AF202" s="17"/>
      <c r="AG202" s="17"/>
      <c r="AH202" s="18">
        <f t="shared" ref="AH202" si="214">J202</f>
        <v>0</v>
      </c>
      <c r="AI202" s="91">
        <f>IF(AH$203=0,0,AH202/AH$203)</f>
        <v>0</v>
      </c>
      <c r="AK202" s="17"/>
      <c r="AL202" s="17"/>
      <c r="AM202" s="17"/>
      <c r="AN202" s="18">
        <f t="shared" ref="AN202" si="215">K202</f>
        <v>0</v>
      </c>
      <c r="AO202" s="91">
        <f>IF(AN$203=0,0,AN202/AN$203)</f>
        <v>0</v>
      </c>
      <c r="AQ202" s="17"/>
      <c r="AR202" s="17"/>
      <c r="AS202" s="17"/>
      <c r="AT202" s="18">
        <f t="shared" ref="AT202" si="216">W202</f>
        <v>0</v>
      </c>
      <c r="AU202" s="91">
        <f>IF(AT$203=0,0,AT202/AT$203)</f>
        <v>0</v>
      </c>
      <c r="AW202" s="17"/>
      <c r="AX202" s="17"/>
      <c r="AY202" s="17"/>
      <c r="AZ202" s="18">
        <f t="shared" ref="AZ202" si="217">X202</f>
        <v>0</v>
      </c>
      <c r="BA202" s="91">
        <f>IF(AZ$203=0,0,AZ202/AZ$203)</f>
        <v>0</v>
      </c>
    </row>
    <row r="203" spans="1:53" ht="17.100000000000001" customHeight="1" x14ac:dyDescent="0.25">
      <c r="A203" s="40"/>
      <c r="B203" s="40"/>
      <c r="C203" s="77"/>
      <c r="D203" s="144"/>
      <c r="E203" s="144"/>
      <c r="F203" s="145"/>
      <c r="G203" s="145"/>
      <c r="H203" s="119"/>
      <c r="I203" s="236"/>
      <c r="J203" s="80">
        <f>SUM(J200:J202)</f>
        <v>0</v>
      </c>
      <c r="K203" s="80">
        <f t="shared" ref="K203" si="218">SUM(K200:K202)</f>
        <v>0</v>
      </c>
      <c r="L203" s="80">
        <f t="shared" ref="L203" si="219">SUM(L200:L202)</f>
        <v>0</v>
      </c>
      <c r="M203" s="80">
        <f t="shared" ref="M203" si="220">SUM(M200:M202)</f>
        <v>0</v>
      </c>
      <c r="N203" s="80"/>
      <c r="O203" s="80"/>
      <c r="P203" s="80"/>
      <c r="Q203" s="81"/>
      <c r="R203" s="81"/>
      <c r="S203" s="81"/>
      <c r="T203" s="81"/>
      <c r="U203" s="81"/>
      <c r="V203" s="356"/>
      <c r="W203" s="381">
        <f>SUM(W200:W202)</f>
        <v>0</v>
      </c>
      <c r="X203" s="82">
        <f t="shared" ref="X203" si="221">SUM(X200:X202)</f>
        <v>0</v>
      </c>
      <c r="Y203" s="82">
        <f t="shared" ref="Y203" si="222">SUM(Y200:Y202)</f>
        <v>0</v>
      </c>
      <c r="Z203" s="205">
        <f>IF(Y$203=0,0,Y203/Y$203)</f>
        <v>0</v>
      </c>
      <c r="AA203" s="205"/>
      <c r="AB203" s="205"/>
      <c r="AC203" s="83"/>
      <c r="AE203" s="80"/>
      <c r="AF203" s="80"/>
      <c r="AG203" s="81"/>
      <c r="AH203" s="82">
        <f>SUM(AH200:AH202)</f>
        <v>0</v>
      </c>
      <c r="AI203" s="66">
        <f>IF(AH$203=0,0,AH203/AH$203)</f>
        <v>0</v>
      </c>
      <c r="AK203" s="80"/>
      <c r="AL203" s="80"/>
      <c r="AM203" s="81"/>
      <c r="AN203" s="82">
        <f>SUM(AN200:AN202)</f>
        <v>0</v>
      </c>
      <c r="AO203" s="66">
        <f>IF(AN$203=0,0,AN203/AN$203)</f>
        <v>0</v>
      </c>
      <c r="AQ203" s="80"/>
      <c r="AR203" s="80"/>
      <c r="AS203" s="81"/>
      <c r="AT203" s="82">
        <f>SUM(AT200:AT202)</f>
        <v>0</v>
      </c>
      <c r="AU203" s="66">
        <f>IF(AT$203=0,0,AT203/AT$203)</f>
        <v>0</v>
      </c>
      <c r="AW203" s="80"/>
      <c r="AX203" s="80"/>
      <c r="AY203" s="81"/>
      <c r="AZ203" s="82">
        <f>SUM(AZ200:AZ202)</f>
        <v>0</v>
      </c>
      <c r="BA203" s="66">
        <f>IF(AZ$203=0,0,AZ203/AZ$203)</f>
        <v>0</v>
      </c>
    </row>
    <row r="204" spans="1:53" s="117" customFormat="1" ht="17.100000000000001" customHeight="1" x14ac:dyDescent="0.25">
      <c r="A204" s="68"/>
      <c r="B204" s="119"/>
      <c r="C204" s="540"/>
      <c r="D204" s="261"/>
      <c r="E204" s="261"/>
      <c r="F204" s="68"/>
      <c r="G204" s="68"/>
      <c r="H204" s="119"/>
      <c r="I204" s="138"/>
      <c r="J204" s="17" t="str">
        <f>IF(J203=J$15,"OK","NOK")</f>
        <v>OK</v>
      </c>
      <c r="K204" s="17" t="str">
        <f t="shared" ref="K204:L204" si="223">IF(K203=K$15,"OK","NOK")</f>
        <v>OK</v>
      </c>
      <c r="L204" s="17" t="str">
        <f t="shared" si="223"/>
        <v>OK</v>
      </c>
      <c r="M204" s="17"/>
      <c r="N204" s="17"/>
      <c r="O204" s="17"/>
      <c r="P204" s="17"/>
      <c r="Q204" s="17"/>
      <c r="R204" s="17"/>
      <c r="S204" s="17"/>
      <c r="T204" s="17"/>
      <c r="U204" s="17"/>
      <c r="V204" s="359"/>
      <c r="W204" s="382"/>
      <c r="X204" s="539"/>
      <c r="Y204" s="539"/>
      <c r="Z204" s="201"/>
      <c r="AA204" s="201"/>
      <c r="AB204" s="201"/>
      <c r="AC204" s="84"/>
      <c r="AE204" s="46"/>
      <c r="AF204" s="46"/>
      <c r="AG204" s="17"/>
      <c r="AH204" s="539"/>
      <c r="AI204" s="91"/>
      <c r="AK204" s="46"/>
      <c r="AL204" s="46"/>
      <c r="AM204" s="17"/>
      <c r="AN204" s="539"/>
      <c r="AO204" s="91"/>
      <c r="AQ204" s="46"/>
      <c r="AR204" s="46"/>
      <c r="AS204" s="17"/>
      <c r="AT204" s="539"/>
      <c r="AU204" s="91"/>
      <c r="AW204" s="46"/>
      <c r="AX204" s="46"/>
      <c r="AY204" s="17"/>
      <c r="AZ204" s="539"/>
      <c r="BA204" s="91"/>
    </row>
    <row r="205" spans="1:53" ht="17.100000000000001" customHeight="1" x14ac:dyDescent="0.25">
      <c r="A205" s="40"/>
      <c r="B205" s="40"/>
      <c r="C205" s="56" t="s">
        <v>519</v>
      </c>
      <c r="D205" s="147" t="s">
        <v>421</v>
      </c>
      <c r="E205" s="147"/>
      <c r="F205" s="147"/>
      <c r="G205" s="147"/>
      <c r="H205" s="182"/>
      <c r="I205" s="237"/>
      <c r="J205" s="111"/>
      <c r="K205" s="111"/>
      <c r="L205" s="111"/>
      <c r="M205" s="111"/>
      <c r="N205" s="111"/>
      <c r="O205" s="111"/>
      <c r="P205" s="111"/>
      <c r="Q205" s="111"/>
      <c r="R205" s="111"/>
      <c r="S205" s="111"/>
      <c r="T205" s="111"/>
      <c r="U205" s="111"/>
      <c r="V205" s="358"/>
      <c r="W205" s="380"/>
      <c r="X205" s="111"/>
      <c r="Y205" s="545"/>
      <c r="Z205" s="131"/>
      <c r="AA205" s="131"/>
      <c r="AB205" s="131"/>
      <c r="AC205" s="113"/>
      <c r="AE205" s="111"/>
      <c r="AF205" s="111"/>
      <c r="AG205" s="111"/>
      <c r="AH205" s="545"/>
      <c r="AI205" s="131"/>
      <c r="AK205" s="111"/>
      <c r="AL205" s="111"/>
      <c r="AM205" s="111"/>
      <c r="AN205" s="545"/>
      <c r="AO205" s="131"/>
      <c r="AQ205" s="111"/>
      <c r="AR205" s="111"/>
      <c r="AS205" s="111"/>
      <c r="AT205" s="545"/>
      <c r="AU205" s="131"/>
      <c r="AW205" s="111"/>
      <c r="AX205" s="111"/>
      <c r="AY205" s="111"/>
      <c r="AZ205" s="545"/>
      <c r="BA205" s="131"/>
    </row>
    <row r="206" spans="1:53" ht="17.100000000000001" customHeight="1" x14ac:dyDescent="0.25">
      <c r="A206" s="40"/>
      <c r="B206" s="40"/>
      <c r="C206" s="40"/>
      <c r="D206" s="56" t="s">
        <v>520</v>
      </c>
      <c r="E206" s="146" t="s">
        <v>423</v>
      </c>
      <c r="F206" s="149"/>
      <c r="G206" s="149"/>
      <c r="H206" s="244"/>
      <c r="I206" s="238"/>
      <c r="J206" s="111"/>
      <c r="K206" s="111"/>
      <c r="L206" s="111"/>
      <c r="M206" s="111"/>
      <c r="N206" s="61"/>
      <c r="O206" s="61">
        <v>9</v>
      </c>
      <c r="P206" s="17">
        <f>SUM(N206:O206)</f>
        <v>9</v>
      </c>
      <c r="Q206" s="61"/>
      <c r="R206" s="61"/>
      <c r="S206" s="17">
        <f>SUM(Q206:R206)</f>
        <v>0</v>
      </c>
      <c r="T206" s="61"/>
      <c r="U206" s="61"/>
      <c r="V206" s="17">
        <f>SUM(T206:U206)</f>
        <v>0</v>
      </c>
      <c r="W206" s="391">
        <f t="shared" ref="W206:W209" si="224">J206+K206+N206+Q206+T206</f>
        <v>0</v>
      </c>
      <c r="X206" s="17">
        <f t="shared" ref="X206:X209" si="225">L206+O206+R206+U206</f>
        <v>9</v>
      </c>
      <c r="Y206" s="18">
        <f>SUM(W206:X206)</f>
        <v>9</v>
      </c>
      <c r="Z206" s="19">
        <f>IF(Y$210=0,0,Y206/Y$210)</f>
        <v>1</v>
      </c>
      <c r="AA206" s="19"/>
      <c r="AB206" s="19"/>
      <c r="AC206" s="20"/>
      <c r="AE206" s="111"/>
      <c r="AF206" s="111"/>
      <c r="AG206" s="111"/>
      <c r="AH206" s="112"/>
      <c r="AI206" s="113"/>
      <c r="AK206" s="111"/>
      <c r="AL206" s="111"/>
      <c r="AM206" s="111"/>
      <c r="AN206" s="112"/>
      <c r="AO206" s="113"/>
      <c r="AQ206" s="17"/>
      <c r="AR206" s="17"/>
      <c r="AS206" s="17"/>
      <c r="AT206" s="18">
        <f t="shared" ref="AT206:AT209" si="226">W206</f>
        <v>0</v>
      </c>
      <c r="AU206" s="19">
        <f>IF(AT$210=0,0,AT206/AT$210)</f>
        <v>0</v>
      </c>
      <c r="AW206" s="17"/>
      <c r="AX206" s="17"/>
      <c r="AY206" s="17"/>
      <c r="AZ206" s="18">
        <f t="shared" ref="AZ206:AZ209" si="227">X206</f>
        <v>9</v>
      </c>
      <c r="BA206" s="19">
        <f>IF(AZ$210=0,0,AZ206/AZ$210)</f>
        <v>1</v>
      </c>
    </row>
    <row r="207" spans="1:53" ht="17.100000000000001" customHeight="1" x14ac:dyDescent="0.25">
      <c r="A207" s="40"/>
      <c r="B207" s="40"/>
      <c r="C207" s="40"/>
      <c r="D207" s="56" t="s">
        <v>521</v>
      </c>
      <c r="E207" s="147" t="s">
        <v>422</v>
      </c>
      <c r="F207" s="223"/>
      <c r="G207" s="223"/>
      <c r="H207" s="244"/>
      <c r="I207" s="238"/>
      <c r="J207" s="111"/>
      <c r="K207" s="111"/>
      <c r="L207" s="111"/>
      <c r="M207" s="111"/>
      <c r="N207" s="60"/>
      <c r="O207" s="60"/>
      <c r="P207" s="17">
        <f t="shared" ref="P207:P209" si="228">SUM(N207:O207)</f>
        <v>0</v>
      </c>
      <c r="Q207" s="60"/>
      <c r="R207" s="60"/>
      <c r="S207" s="17">
        <f t="shared" ref="S207:S209" si="229">SUM(Q207:R207)</f>
        <v>0</v>
      </c>
      <c r="T207" s="60"/>
      <c r="U207" s="60"/>
      <c r="V207" s="17">
        <f t="shared" ref="V207:V209" si="230">SUM(T207:U207)</f>
        <v>0</v>
      </c>
      <c r="W207" s="391">
        <f t="shared" si="224"/>
        <v>0</v>
      </c>
      <c r="X207" s="17">
        <f t="shared" si="225"/>
        <v>0</v>
      </c>
      <c r="Y207" s="18">
        <f>SUM(W207:X207)</f>
        <v>0</v>
      </c>
      <c r="Z207" s="19">
        <f>IF(Y$210=0,0,Y207/Y$210)</f>
        <v>0</v>
      </c>
      <c r="AA207" s="19"/>
      <c r="AB207" s="19"/>
      <c r="AC207" s="20"/>
      <c r="AE207" s="111"/>
      <c r="AF207" s="111"/>
      <c r="AG207" s="111"/>
      <c r="AH207" s="112"/>
      <c r="AI207" s="113"/>
      <c r="AK207" s="111"/>
      <c r="AL207" s="111"/>
      <c r="AM207" s="111"/>
      <c r="AN207" s="112"/>
      <c r="AO207" s="113"/>
      <c r="AQ207" s="17"/>
      <c r="AR207" s="17"/>
      <c r="AS207" s="17"/>
      <c r="AT207" s="18">
        <f t="shared" si="226"/>
        <v>0</v>
      </c>
      <c r="AU207" s="19">
        <f>IF(AT$210=0,0,AT207/AT$210)</f>
        <v>0</v>
      </c>
      <c r="AW207" s="17"/>
      <c r="AX207" s="17"/>
      <c r="AY207" s="17"/>
      <c r="AZ207" s="18">
        <f t="shared" si="227"/>
        <v>0</v>
      </c>
      <c r="BA207" s="19">
        <f>IF(AZ$210=0,0,AZ207/AZ$210)</f>
        <v>0</v>
      </c>
    </row>
    <row r="208" spans="1:53" ht="17.100000000000001" customHeight="1" x14ac:dyDescent="0.25">
      <c r="A208" s="40"/>
      <c r="B208" s="40"/>
      <c r="C208" s="40"/>
      <c r="D208" s="56" t="s">
        <v>522</v>
      </c>
      <c r="E208" s="147" t="s">
        <v>136</v>
      </c>
      <c r="F208" s="147"/>
      <c r="G208" s="147"/>
      <c r="H208" s="182"/>
      <c r="I208" s="237"/>
      <c r="J208" s="111"/>
      <c r="K208" s="111"/>
      <c r="L208" s="111"/>
      <c r="M208" s="111"/>
      <c r="N208" s="61"/>
      <c r="O208" s="61"/>
      <c r="P208" s="17">
        <f t="shared" si="228"/>
        <v>0</v>
      </c>
      <c r="Q208" s="61"/>
      <c r="R208" s="61"/>
      <c r="S208" s="17">
        <f t="shared" si="229"/>
        <v>0</v>
      </c>
      <c r="T208" s="61"/>
      <c r="U208" s="61"/>
      <c r="V208" s="17">
        <f t="shared" si="230"/>
        <v>0</v>
      </c>
      <c r="W208" s="391">
        <f t="shared" si="224"/>
        <v>0</v>
      </c>
      <c r="X208" s="17">
        <f t="shared" si="225"/>
        <v>0</v>
      </c>
      <c r="Y208" s="18">
        <f>SUM(W208:X208)</f>
        <v>0</v>
      </c>
      <c r="Z208" s="19">
        <f>IF(Y$210=0,0,Y208/Y$210)</f>
        <v>0</v>
      </c>
      <c r="AA208" s="19"/>
      <c r="AB208" s="19"/>
      <c r="AC208" s="20"/>
      <c r="AE208" s="111"/>
      <c r="AF208" s="111"/>
      <c r="AG208" s="111"/>
      <c r="AH208" s="112"/>
      <c r="AI208" s="113"/>
      <c r="AK208" s="111"/>
      <c r="AL208" s="111"/>
      <c r="AM208" s="111"/>
      <c r="AN208" s="112"/>
      <c r="AO208" s="113"/>
      <c r="AQ208" s="17"/>
      <c r="AR208" s="17"/>
      <c r="AS208" s="17"/>
      <c r="AT208" s="18">
        <f t="shared" si="226"/>
        <v>0</v>
      </c>
      <c r="AU208" s="19">
        <f>IF(AT$210=0,0,AT208/AT$210)</f>
        <v>0</v>
      </c>
      <c r="AW208" s="17"/>
      <c r="AX208" s="17"/>
      <c r="AY208" s="17"/>
      <c r="AZ208" s="18">
        <f t="shared" si="227"/>
        <v>0</v>
      </c>
      <c r="BA208" s="19">
        <f>IF(AZ$210=0,0,AZ208/AZ$210)</f>
        <v>0</v>
      </c>
    </row>
    <row r="209" spans="1:53" ht="17.100000000000001" customHeight="1" x14ac:dyDescent="0.25">
      <c r="A209" s="40"/>
      <c r="B209" s="40"/>
      <c r="C209" s="40"/>
      <c r="D209" s="56" t="s">
        <v>746</v>
      </c>
      <c r="E209" s="147" t="s">
        <v>747</v>
      </c>
      <c r="F209" s="223"/>
      <c r="G209" s="223"/>
      <c r="H209" s="244"/>
      <c r="I209" s="238"/>
      <c r="J209" s="111"/>
      <c r="K209" s="111"/>
      <c r="L209" s="111"/>
      <c r="M209" s="111"/>
      <c r="N209" s="60"/>
      <c r="O209" s="60"/>
      <c r="P209" s="17">
        <f t="shared" si="228"/>
        <v>0</v>
      </c>
      <c r="Q209" s="60"/>
      <c r="R209" s="60"/>
      <c r="S209" s="17">
        <f t="shared" si="229"/>
        <v>0</v>
      </c>
      <c r="T209" s="60"/>
      <c r="U209" s="60"/>
      <c r="V209" s="17">
        <f t="shared" si="230"/>
        <v>0</v>
      </c>
      <c r="W209" s="391">
        <f t="shared" si="224"/>
        <v>0</v>
      </c>
      <c r="X209" s="17">
        <f t="shared" si="225"/>
        <v>0</v>
      </c>
      <c r="Y209" s="18">
        <f>SUM(W209:X209)</f>
        <v>0</v>
      </c>
      <c r="Z209" s="19">
        <f>IF(Y$210=0,0,Y209/Y$210)</f>
        <v>0</v>
      </c>
      <c r="AA209" s="19"/>
      <c r="AB209" s="19"/>
      <c r="AC209" s="20"/>
      <c r="AE209" s="111"/>
      <c r="AF209" s="111"/>
      <c r="AG209" s="111"/>
      <c r="AH209" s="112"/>
      <c r="AI209" s="113"/>
      <c r="AK209" s="111"/>
      <c r="AL209" s="111"/>
      <c r="AM209" s="111"/>
      <c r="AN209" s="112"/>
      <c r="AO209" s="113"/>
      <c r="AQ209" s="17"/>
      <c r="AR209" s="17"/>
      <c r="AS209" s="17"/>
      <c r="AT209" s="18">
        <f t="shared" si="226"/>
        <v>0</v>
      </c>
      <c r="AU209" s="19">
        <f>IF(AT$210=0,0,AT209/AT$210)</f>
        <v>0</v>
      </c>
      <c r="AW209" s="17"/>
      <c r="AX209" s="17"/>
      <c r="AY209" s="17"/>
      <c r="AZ209" s="18">
        <f t="shared" si="227"/>
        <v>0</v>
      </c>
      <c r="BA209" s="19">
        <f>IF(AZ$210=0,0,AZ209/AZ$210)</f>
        <v>0</v>
      </c>
    </row>
    <row r="210" spans="1:53" ht="17.100000000000001" customHeight="1" x14ac:dyDescent="0.25">
      <c r="A210" s="40"/>
      <c r="B210" s="40"/>
      <c r="C210" s="77"/>
      <c r="D210" s="144"/>
      <c r="E210" s="144"/>
      <c r="F210" s="145"/>
      <c r="G210" s="145"/>
      <c r="H210" s="119"/>
      <c r="I210" s="236"/>
      <c r="J210" s="80"/>
      <c r="K210" s="80"/>
      <c r="L210" s="81"/>
      <c r="M210" s="81"/>
      <c r="N210" s="81">
        <f>SUM(N206:N209)</f>
        <v>0</v>
      </c>
      <c r="O210" s="81">
        <f t="shared" ref="O210:V210" si="231">SUM(O206:O209)</f>
        <v>9</v>
      </c>
      <c r="P210" s="81">
        <f t="shared" si="231"/>
        <v>9</v>
      </c>
      <c r="Q210" s="81">
        <f t="shared" si="231"/>
        <v>0</v>
      </c>
      <c r="R210" s="81">
        <f t="shared" si="231"/>
        <v>0</v>
      </c>
      <c r="S210" s="81">
        <f t="shared" si="231"/>
        <v>0</v>
      </c>
      <c r="T210" s="81">
        <f t="shared" si="231"/>
        <v>0</v>
      </c>
      <c r="U210" s="81">
        <f t="shared" si="231"/>
        <v>0</v>
      </c>
      <c r="V210" s="81">
        <f t="shared" si="231"/>
        <v>0</v>
      </c>
      <c r="W210" s="381">
        <f>SUM(W206:W209)</f>
        <v>0</v>
      </c>
      <c r="X210" s="82">
        <f>SUM(X206:X209)</f>
        <v>9</v>
      </c>
      <c r="Y210" s="82">
        <f>SUM(Y206:Y209)</f>
        <v>9</v>
      </c>
      <c r="Z210" s="205">
        <f>IF(Y$210=0,0,Y210/Y$210)</f>
        <v>1</v>
      </c>
      <c r="AA210" s="205"/>
      <c r="AB210" s="205"/>
      <c r="AC210" s="83"/>
      <c r="AE210" s="80"/>
      <c r="AF210" s="80"/>
      <c r="AG210" s="81"/>
      <c r="AH210" s="82"/>
      <c r="AI210" s="66"/>
      <c r="AK210" s="80"/>
      <c r="AL210" s="80"/>
      <c r="AM210" s="81"/>
      <c r="AN210" s="82"/>
      <c r="AO210" s="66"/>
      <c r="AQ210" s="80"/>
      <c r="AR210" s="80"/>
      <c r="AS210" s="81"/>
      <c r="AT210" s="82">
        <f>SUM(AT206:AT209)</f>
        <v>0</v>
      </c>
      <c r="AU210" s="66">
        <f>IF(AT$210=0,0,AT210/AT$210)</f>
        <v>0</v>
      </c>
      <c r="AW210" s="80"/>
      <c r="AX210" s="80"/>
      <c r="AY210" s="81"/>
      <c r="AZ210" s="82">
        <f>SUM(AZ206:AZ209)</f>
        <v>9</v>
      </c>
      <c r="BA210" s="66">
        <f>IF(AZ$210=0,0,AZ210/AZ$210)</f>
        <v>1</v>
      </c>
    </row>
    <row r="211" spans="1:53" s="117" customFormat="1" ht="17.100000000000001" customHeight="1" x14ac:dyDescent="0.25">
      <c r="A211" s="68"/>
      <c r="B211" s="119"/>
      <c r="C211" s="540"/>
      <c r="D211" s="261"/>
      <c r="E211" s="261"/>
      <c r="F211" s="68"/>
      <c r="G211" s="68"/>
      <c r="H211" s="119"/>
      <c r="I211" s="138"/>
      <c r="J211" s="17"/>
      <c r="K211" s="17"/>
      <c r="L211" s="17"/>
      <c r="M211" s="17"/>
      <c r="N211" s="17" t="str">
        <f>IF(N210=N$20,"OK","NOK")</f>
        <v>OK</v>
      </c>
      <c r="O211" s="17" t="str">
        <f>IF(O210=O$20,"OK","NOK")</f>
        <v>OK</v>
      </c>
      <c r="P211" s="17"/>
      <c r="Q211" s="17" t="str">
        <f>IF(Q210=Q$20,"OK","NOK")</f>
        <v>OK</v>
      </c>
      <c r="R211" s="17" t="str">
        <f>IF(R210=R$20,"OK","NOK")</f>
        <v>OK</v>
      </c>
      <c r="S211" s="17"/>
      <c r="T211" s="17" t="str">
        <f>IF(T210=T$20,"OK","NOK")</f>
        <v>OK</v>
      </c>
      <c r="U211" s="17" t="str">
        <f>IF(U210=U$20,"OK","NOK")</f>
        <v>OK</v>
      </c>
      <c r="V211" s="359"/>
      <c r="W211" s="382"/>
      <c r="X211" s="539"/>
      <c r="Y211" s="539"/>
      <c r="Z211" s="201"/>
      <c r="AA211" s="201"/>
      <c r="AB211" s="201"/>
      <c r="AC211" s="84"/>
      <c r="AE211" s="46"/>
      <c r="AF211" s="46"/>
      <c r="AG211" s="17"/>
      <c r="AH211" s="539"/>
      <c r="AI211" s="91"/>
      <c r="AK211" s="46"/>
      <c r="AL211" s="46"/>
      <c r="AM211" s="17"/>
      <c r="AN211" s="539"/>
      <c r="AO211" s="91"/>
      <c r="AQ211" s="46"/>
      <c r="AR211" s="46"/>
      <c r="AS211" s="17"/>
      <c r="AT211" s="539"/>
      <c r="AU211" s="91"/>
      <c r="AW211" s="46"/>
      <c r="AX211" s="46"/>
      <c r="AY211" s="17"/>
      <c r="AZ211" s="539"/>
      <c r="BA211" s="91"/>
    </row>
    <row r="212" spans="1:53" ht="17.100000000000001" customHeight="1" x14ac:dyDescent="0.25">
      <c r="A212" s="68"/>
      <c r="B212" s="41" t="s">
        <v>635</v>
      </c>
      <c r="C212" s="69" t="s">
        <v>138</v>
      </c>
      <c r="D212" s="50"/>
      <c r="E212" s="70"/>
      <c r="F212" s="70"/>
      <c r="G212" s="70"/>
      <c r="H212" s="119"/>
      <c r="J212" s="71"/>
      <c r="K212" s="71"/>
      <c r="L212" s="71"/>
      <c r="M212" s="71"/>
      <c r="N212" s="71"/>
      <c r="O212" s="71"/>
      <c r="P212" s="71"/>
      <c r="Q212" s="71"/>
      <c r="R212" s="71"/>
      <c r="S212" s="71"/>
      <c r="T212" s="71"/>
      <c r="U212" s="71"/>
      <c r="V212" s="355"/>
      <c r="W212" s="377"/>
      <c r="X212" s="71"/>
      <c r="Y212" s="72"/>
      <c r="Z212" s="73"/>
      <c r="AA212" s="73"/>
      <c r="AB212" s="73"/>
      <c r="AC212" s="73"/>
      <c r="AE212" s="71"/>
      <c r="AF212" s="71"/>
      <c r="AG212" s="71"/>
      <c r="AH212" s="72"/>
      <c r="AI212" s="73"/>
      <c r="AK212" s="71"/>
      <c r="AL212" s="71"/>
      <c r="AM212" s="71"/>
      <c r="AN212" s="72"/>
      <c r="AO212" s="73"/>
      <c r="AQ212" s="71"/>
      <c r="AR212" s="71"/>
      <c r="AS212" s="71"/>
      <c r="AT212" s="72"/>
      <c r="AU212" s="73"/>
      <c r="AW212" s="71"/>
      <c r="AX212" s="71"/>
      <c r="AY212" s="71"/>
      <c r="AZ212" s="72"/>
      <c r="BA212" s="73"/>
    </row>
    <row r="213" spans="1:53" ht="17.100000000000001" customHeight="1" x14ac:dyDescent="0.25">
      <c r="A213" s="40"/>
      <c r="B213" s="40"/>
      <c r="C213" s="74" t="s">
        <v>636</v>
      </c>
      <c r="D213" s="542" t="s">
        <v>424</v>
      </c>
      <c r="E213" s="542"/>
      <c r="F213" s="542"/>
      <c r="G213" s="542"/>
      <c r="H213" s="243">
        <v>26</v>
      </c>
      <c r="I213" s="235"/>
      <c r="J213" s="111"/>
      <c r="K213" s="111"/>
      <c r="L213" s="111"/>
      <c r="M213" s="111"/>
      <c r="N213" s="111"/>
      <c r="O213" s="111"/>
      <c r="P213" s="111"/>
      <c r="Q213" s="111"/>
      <c r="R213" s="111"/>
      <c r="S213" s="111"/>
      <c r="T213" s="111"/>
      <c r="U213" s="111"/>
      <c r="V213" s="358"/>
      <c r="W213" s="380"/>
      <c r="X213" s="111"/>
      <c r="Y213" s="112"/>
      <c r="Z213" s="113"/>
      <c r="AA213" s="113"/>
      <c r="AB213" s="113"/>
      <c r="AC213" s="113"/>
      <c r="AE213" s="111"/>
      <c r="AF213" s="111"/>
      <c r="AG213" s="148"/>
      <c r="AH213" s="112"/>
      <c r="AI213" s="113"/>
      <c r="AK213" s="111"/>
      <c r="AL213" s="111"/>
      <c r="AM213" s="148"/>
      <c r="AN213" s="112"/>
      <c r="AO213" s="113"/>
      <c r="AQ213" s="111"/>
      <c r="AR213" s="111"/>
      <c r="AS213" s="148"/>
      <c r="AT213" s="112"/>
      <c r="AU213" s="113"/>
      <c r="AW213" s="111"/>
      <c r="AX213" s="111"/>
      <c r="AY213" s="148"/>
      <c r="AZ213" s="112"/>
      <c r="BA213" s="113"/>
    </row>
    <row r="214" spans="1:53" ht="17.100000000000001" customHeight="1" x14ac:dyDescent="0.25">
      <c r="A214" s="40"/>
      <c r="B214" s="40"/>
      <c r="C214" s="40"/>
      <c r="D214" s="74" t="s">
        <v>637</v>
      </c>
      <c r="E214" s="542" t="s">
        <v>9</v>
      </c>
      <c r="F214" s="542"/>
      <c r="G214" s="542"/>
      <c r="H214" s="540"/>
      <c r="I214" s="235"/>
      <c r="J214" s="583"/>
      <c r="K214" s="583"/>
      <c r="L214" s="584"/>
      <c r="M214" s="17">
        <f t="shared" ref="M214:M215" si="232">SUM(J214:L214)</f>
        <v>0</v>
      </c>
      <c r="N214" s="111"/>
      <c r="O214" s="111"/>
      <c r="P214" s="111"/>
      <c r="Q214" s="111"/>
      <c r="R214" s="111"/>
      <c r="S214" s="111"/>
      <c r="T214" s="111"/>
      <c r="U214" s="111"/>
      <c r="V214" s="358"/>
      <c r="W214" s="391">
        <f t="shared" ref="W214:W215" si="233">J214+K214+N214+Q214+T214</f>
        <v>0</v>
      </c>
      <c r="X214" s="17">
        <f t="shared" ref="X214:X215" si="234">L214+O214+R214+U214</f>
        <v>0</v>
      </c>
      <c r="Y214" s="18">
        <f>SUM(W214:X214)</f>
        <v>0</v>
      </c>
      <c r="Z214" s="19">
        <f>IF(Y$217=0,0,Y214/Y$217)</f>
        <v>0</v>
      </c>
      <c r="AA214" s="19"/>
      <c r="AB214" s="19"/>
      <c r="AC214" s="20"/>
      <c r="AE214" s="17"/>
      <c r="AF214" s="17"/>
      <c r="AG214" s="17"/>
      <c r="AH214" s="18">
        <f t="shared" ref="AH214:AH215" si="235">J214</f>
        <v>0</v>
      </c>
      <c r="AI214" s="19">
        <f>IF(AH$217=0,0,AH214/AH$217)</f>
        <v>0</v>
      </c>
      <c r="AK214" s="17"/>
      <c r="AL214" s="17"/>
      <c r="AM214" s="17"/>
      <c r="AN214" s="18">
        <f t="shared" ref="AN214:AN215" si="236">K214</f>
        <v>0</v>
      </c>
      <c r="AO214" s="19">
        <f>IF(AN$217=0,0,AN214/AN$217)</f>
        <v>0</v>
      </c>
      <c r="AQ214" s="17"/>
      <c r="AR214" s="17"/>
      <c r="AS214" s="17"/>
      <c r="AT214" s="18">
        <f t="shared" ref="AT214:AT215" si="237">W214</f>
        <v>0</v>
      </c>
      <c r="AU214" s="19">
        <f>IF(AT$217=0,0,AT214/AT$217)</f>
        <v>0</v>
      </c>
      <c r="AW214" s="17"/>
      <c r="AX214" s="17"/>
      <c r="AY214" s="17"/>
      <c r="AZ214" s="18">
        <f t="shared" ref="AZ214:AZ215" si="238">X214</f>
        <v>0</v>
      </c>
      <c r="BA214" s="19">
        <f>IF(AZ$217=0,0,AZ214/AZ$217)</f>
        <v>0</v>
      </c>
    </row>
    <row r="215" spans="1:53" ht="17.100000000000001" customHeight="1" x14ac:dyDescent="0.25">
      <c r="A215" s="40"/>
      <c r="B215" s="40"/>
      <c r="C215" s="40"/>
      <c r="D215" s="74" t="s">
        <v>638</v>
      </c>
      <c r="E215" s="542" t="s">
        <v>11</v>
      </c>
      <c r="F215" s="542"/>
      <c r="G215" s="542"/>
      <c r="H215" s="540"/>
      <c r="I215" s="235"/>
      <c r="J215" s="581"/>
      <c r="K215" s="581"/>
      <c r="L215" s="582"/>
      <c r="M215" s="17">
        <f t="shared" si="232"/>
        <v>0</v>
      </c>
      <c r="N215" s="111"/>
      <c r="O215" s="111"/>
      <c r="P215" s="111"/>
      <c r="Q215" s="111"/>
      <c r="R215" s="111"/>
      <c r="S215" s="111"/>
      <c r="T215" s="111"/>
      <c r="U215" s="111"/>
      <c r="V215" s="358"/>
      <c r="W215" s="391">
        <f t="shared" si="233"/>
        <v>0</v>
      </c>
      <c r="X215" s="17">
        <f t="shared" si="234"/>
        <v>0</v>
      </c>
      <c r="Y215" s="18">
        <f>SUM(W215:X215)</f>
        <v>0</v>
      </c>
      <c r="Z215" s="19">
        <f>IF(Y$217=0,0,Y215/Y$217)</f>
        <v>0</v>
      </c>
      <c r="AA215" s="19"/>
      <c r="AB215" s="19"/>
      <c r="AC215" s="20"/>
      <c r="AE215" s="17"/>
      <c r="AF215" s="17"/>
      <c r="AG215" s="17"/>
      <c r="AH215" s="18">
        <f t="shared" si="235"/>
        <v>0</v>
      </c>
      <c r="AI215" s="19">
        <f>IF(AH$217=0,0,AH215/AH$217)</f>
        <v>0</v>
      </c>
      <c r="AK215" s="17"/>
      <c r="AL215" s="17"/>
      <c r="AM215" s="17"/>
      <c r="AN215" s="18">
        <f t="shared" si="236"/>
        <v>0</v>
      </c>
      <c r="AO215" s="19">
        <f>IF(AN$217=0,0,AN215/AN$217)</f>
        <v>0</v>
      </c>
      <c r="AQ215" s="17"/>
      <c r="AR215" s="17"/>
      <c r="AS215" s="17"/>
      <c r="AT215" s="18">
        <f t="shared" si="237"/>
        <v>0</v>
      </c>
      <c r="AU215" s="19">
        <f>IF(AT$217=0,0,AT215/AT$217)</f>
        <v>0</v>
      </c>
      <c r="AW215" s="17"/>
      <c r="AX215" s="17"/>
      <c r="AY215" s="17"/>
      <c r="AZ215" s="18">
        <f t="shared" si="238"/>
        <v>0</v>
      </c>
      <c r="BA215" s="19">
        <f>IF(AZ$217=0,0,AZ215/AZ$217)</f>
        <v>0</v>
      </c>
    </row>
    <row r="216" spans="1:53" ht="17.100000000000001" customHeight="1" x14ac:dyDescent="0.25">
      <c r="A216" s="40"/>
      <c r="B216" s="40"/>
      <c r="C216" s="40"/>
      <c r="D216" s="74" t="s">
        <v>1436</v>
      </c>
      <c r="E216" s="147" t="s">
        <v>1435</v>
      </c>
      <c r="F216" s="923"/>
      <c r="G216" s="923"/>
      <c r="H216" s="922"/>
      <c r="I216" s="235"/>
      <c r="J216" s="583"/>
      <c r="K216" s="583"/>
      <c r="L216" s="584"/>
      <c r="M216" s="17">
        <f t="shared" ref="M216" si="239">SUM(J216:L216)</f>
        <v>0</v>
      </c>
      <c r="N216" s="111"/>
      <c r="O216" s="111"/>
      <c r="P216" s="111"/>
      <c r="Q216" s="111"/>
      <c r="R216" s="111"/>
      <c r="S216" s="111"/>
      <c r="T216" s="111"/>
      <c r="U216" s="111"/>
      <c r="V216" s="358"/>
      <c r="W216" s="391">
        <f t="shared" ref="W216" si="240">J216+K216+N216+Q216+T216</f>
        <v>0</v>
      </c>
      <c r="X216" s="17">
        <f t="shared" ref="X216" si="241">L216+O216+R216+U216</f>
        <v>0</v>
      </c>
      <c r="Y216" s="18">
        <f>SUM(W216:X216)</f>
        <v>0</v>
      </c>
      <c r="Z216" s="19">
        <f>IF(Y$217=0,0,Y216/Y$217)</f>
        <v>0</v>
      </c>
      <c r="AA216" s="19"/>
      <c r="AB216" s="19"/>
      <c r="AC216" s="20"/>
      <c r="AE216" s="17"/>
      <c r="AF216" s="17"/>
      <c r="AG216" s="17"/>
      <c r="AH216" s="18">
        <f t="shared" ref="AH216" si="242">J216</f>
        <v>0</v>
      </c>
      <c r="AI216" s="19">
        <f>IF(AH$217=0,0,AH216/AH$217)</f>
        <v>0</v>
      </c>
      <c r="AK216" s="17"/>
      <c r="AL216" s="17"/>
      <c r="AM216" s="17"/>
      <c r="AN216" s="18">
        <f t="shared" ref="AN216" si="243">K216</f>
        <v>0</v>
      </c>
      <c r="AO216" s="19">
        <f>IF(AN$217=0,0,AN216/AN$217)</f>
        <v>0</v>
      </c>
      <c r="AQ216" s="17"/>
      <c r="AR216" s="17"/>
      <c r="AS216" s="17"/>
      <c r="AT216" s="18">
        <f t="shared" ref="AT216" si="244">W216</f>
        <v>0</v>
      </c>
      <c r="AU216" s="19">
        <f>IF(AT$217=0,0,AT216/AT$217)</f>
        <v>0</v>
      </c>
      <c r="AW216" s="17"/>
      <c r="AX216" s="17"/>
      <c r="AY216" s="17"/>
      <c r="AZ216" s="18">
        <f t="shared" ref="AZ216" si="245">X216</f>
        <v>0</v>
      </c>
      <c r="BA216" s="19">
        <f>IF(AZ$217=0,0,AZ216/AZ$217)</f>
        <v>0</v>
      </c>
    </row>
    <row r="217" spans="1:53" ht="17.100000000000001" customHeight="1" x14ac:dyDescent="0.25">
      <c r="A217" s="40"/>
      <c r="B217" s="40"/>
      <c r="C217" s="77"/>
      <c r="D217" s="144"/>
      <c r="E217" s="144"/>
      <c r="F217" s="145"/>
      <c r="G217" s="145"/>
      <c r="H217" s="119"/>
      <c r="I217" s="236"/>
      <c r="J217" s="80">
        <f>SUM(J214:J216)</f>
        <v>0</v>
      </c>
      <c r="K217" s="80">
        <f t="shared" ref="K217:L217" si="246">SUM(K214:K216)</f>
        <v>0</v>
      </c>
      <c r="L217" s="80">
        <f t="shared" si="246"/>
        <v>0</v>
      </c>
      <c r="M217" s="80">
        <f t="shared" ref="M217" si="247">SUM(M214:M215)</f>
        <v>0</v>
      </c>
      <c r="N217" s="81"/>
      <c r="O217" s="81"/>
      <c r="P217" s="81"/>
      <c r="Q217" s="81"/>
      <c r="R217" s="81"/>
      <c r="S217" s="81"/>
      <c r="T217" s="81"/>
      <c r="U217" s="81"/>
      <c r="V217" s="356"/>
      <c r="W217" s="381">
        <f>SUM(W214:W216)</f>
        <v>0</v>
      </c>
      <c r="X217" s="224">
        <f t="shared" ref="X217" si="248">SUM(X214:X216)</f>
        <v>0</v>
      </c>
      <c r="Y217" s="224">
        <f t="shared" ref="Y217" si="249">SUM(Y214:Y216)</f>
        <v>0</v>
      </c>
      <c r="Z217" s="205">
        <f>IF(Y$217=0,0,Y217/Y$217)</f>
        <v>0</v>
      </c>
      <c r="AA217" s="205"/>
      <c r="AB217" s="205"/>
      <c r="AC217" s="83"/>
      <c r="AE217" s="80"/>
      <c r="AF217" s="80"/>
      <c r="AG217" s="81"/>
      <c r="AH217" s="224">
        <f t="shared" ref="AH217" si="250">SUM(AH214:AH216)</f>
        <v>0</v>
      </c>
      <c r="AI217" s="66">
        <f>IF(AH$217=0,0,AH217/AH$217)</f>
        <v>0</v>
      </c>
      <c r="AK217" s="80"/>
      <c r="AL217" s="80"/>
      <c r="AM217" s="81"/>
      <c r="AN217" s="224">
        <f t="shared" ref="AN217" si="251">SUM(AN214:AN216)</f>
        <v>0</v>
      </c>
      <c r="AO217" s="66">
        <f>IF(AN$217=0,0,AN217/AN$217)</f>
        <v>0</v>
      </c>
      <c r="AQ217" s="80"/>
      <c r="AR217" s="80"/>
      <c r="AS217" s="81"/>
      <c r="AT217" s="224">
        <f t="shared" ref="AT217" si="252">SUM(AT214:AT216)</f>
        <v>0</v>
      </c>
      <c r="AU217" s="66">
        <f>IF(AT$217=0,0,AT217/AT$217)</f>
        <v>0</v>
      </c>
      <c r="AW217" s="80"/>
      <c r="AX217" s="80"/>
      <c r="AY217" s="81"/>
      <c r="AZ217" s="224">
        <f t="shared" ref="AZ217" si="253">SUM(AZ214:AZ216)</f>
        <v>0</v>
      </c>
      <c r="BA217" s="66">
        <f>IF(AZ$217=0,0,AZ217/AZ$217)</f>
        <v>0</v>
      </c>
    </row>
    <row r="218" spans="1:53" s="117" customFormat="1" ht="17.100000000000001" customHeight="1" x14ac:dyDescent="0.25">
      <c r="A218" s="68"/>
      <c r="B218" s="119"/>
      <c r="C218" s="540"/>
      <c r="D218" s="261"/>
      <c r="E218" s="261"/>
      <c r="F218" s="68"/>
      <c r="G218" s="68"/>
      <c r="H218" s="119"/>
      <c r="I218" s="138"/>
      <c r="J218" s="17" t="str">
        <f>IF(J217=J$15,"OK","NOK")</f>
        <v>OK</v>
      </c>
      <c r="K218" s="17" t="str">
        <f t="shared" ref="K218:L218" si="254">IF(K217=K$15,"OK","NOK")</f>
        <v>OK</v>
      </c>
      <c r="L218" s="17" t="str">
        <f t="shared" si="254"/>
        <v>OK</v>
      </c>
      <c r="M218" s="17"/>
      <c r="N218" s="17"/>
      <c r="O218" s="17"/>
      <c r="P218" s="17"/>
      <c r="Q218" s="17"/>
      <c r="R218" s="17"/>
      <c r="S218" s="17"/>
      <c r="T218" s="17"/>
      <c r="U218" s="17"/>
      <c r="V218" s="359"/>
      <c r="W218" s="382"/>
      <c r="X218" s="539"/>
      <c r="Y218" s="539"/>
      <c r="Z218" s="201"/>
      <c r="AA218" s="201"/>
      <c r="AB218" s="201"/>
      <c r="AC218" s="84"/>
      <c r="AE218" s="46"/>
      <c r="AF218" s="46"/>
      <c r="AG218" s="17"/>
      <c r="AH218" s="539"/>
      <c r="AI218" s="91"/>
      <c r="AK218" s="46"/>
      <c r="AL218" s="46"/>
      <c r="AM218" s="17"/>
      <c r="AN218" s="539"/>
      <c r="AO218" s="91"/>
      <c r="AQ218" s="46"/>
      <c r="AR218" s="46"/>
      <c r="AS218" s="17"/>
      <c r="AT218" s="539"/>
      <c r="AU218" s="91"/>
      <c r="AW218" s="46"/>
      <c r="AX218" s="46"/>
      <c r="AY218" s="17"/>
      <c r="AZ218" s="539"/>
      <c r="BA218" s="91"/>
    </row>
    <row r="219" spans="1:53" ht="17.100000000000001" customHeight="1" x14ac:dyDescent="0.25">
      <c r="A219" s="40"/>
      <c r="B219" s="40"/>
      <c r="C219" s="74" t="s">
        <v>639</v>
      </c>
      <c r="D219" s="542" t="s">
        <v>359</v>
      </c>
      <c r="E219" s="542"/>
      <c r="F219" s="542"/>
      <c r="G219" s="542"/>
      <c r="H219" s="243">
        <v>9</v>
      </c>
      <c r="I219" s="235"/>
      <c r="J219" s="111"/>
      <c r="K219" s="111"/>
      <c r="L219" s="111"/>
      <c r="M219" s="111"/>
      <c r="N219" s="111"/>
      <c r="O219" s="111"/>
      <c r="P219" s="111"/>
      <c r="Q219" s="111"/>
      <c r="R219" s="111"/>
      <c r="S219" s="111"/>
      <c r="T219" s="111"/>
      <c r="U219" s="111"/>
      <c r="V219" s="358"/>
      <c r="W219" s="380"/>
      <c r="X219" s="111"/>
      <c r="Y219" s="112"/>
      <c r="Z219" s="113"/>
      <c r="AA219" s="113"/>
      <c r="AB219" s="113"/>
      <c r="AC219" s="113"/>
      <c r="AE219" s="111"/>
      <c r="AF219" s="111"/>
      <c r="AG219" s="148"/>
      <c r="AH219" s="112"/>
      <c r="AI219" s="113"/>
      <c r="AK219" s="111"/>
      <c r="AL219" s="111"/>
      <c r="AM219" s="148"/>
      <c r="AN219" s="112"/>
      <c r="AO219" s="113"/>
      <c r="AQ219" s="111"/>
      <c r="AR219" s="111"/>
      <c r="AS219" s="148"/>
      <c r="AT219" s="112"/>
      <c r="AU219" s="113"/>
      <c r="AW219" s="111"/>
      <c r="AX219" s="111"/>
      <c r="AY219" s="148"/>
      <c r="AZ219" s="112"/>
      <c r="BA219" s="113"/>
    </row>
    <row r="220" spans="1:53" ht="17.100000000000001" customHeight="1" x14ac:dyDescent="0.25">
      <c r="A220" s="40"/>
      <c r="B220" s="40"/>
      <c r="C220" s="40"/>
      <c r="D220" s="74" t="s">
        <v>640</v>
      </c>
      <c r="E220" s="542" t="s">
        <v>11</v>
      </c>
      <c r="F220" s="542"/>
      <c r="G220" s="542"/>
      <c r="H220" s="540"/>
      <c r="I220" s="235"/>
      <c r="J220" s="581"/>
      <c r="K220" s="581"/>
      <c r="L220" s="582"/>
      <c r="M220" s="17">
        <f t="shared" ref="M220:M221" si="255">SUM(J220:L220)</f>
        <v>0</v>
      </c>
      <c r="N220" s="111"/>
      <c r="O220" s="111"/>
      <c r="P220" s="111"/>
      <c r="Q220" s="111"/>
      <c r="R220" s="111"/>
      <c r="S220" s="111"/>
      <c r="T220" s="111"/>
      <c r="U220" s="111"/>
      <c r="V220" s="358"/>
      <c r="W220" s="391">
        <f t="shared" ref="W220:W221" si="256">J220+K220+N220+Q220+T220</f>
        <v>0</v>
      </c>
      <c r="X220" s="17">
        <f t="shared" ref="X220:X221" si="257">L220+O220+R220+U220</f>
        <v>0</v>
      </c>
      <c r="Y220" s="18">
        <f>SUM(W220:X220)</f>
        <v>0</v>
      </c>
      <c r="Z220" s="19">
        <f>IF(Y$223=0,0,Y220/Y$223)</f>
        <v>0</v>
      </c>
      <c r="AA220" s="19"/>
      <c r="AB220" s="19"/>
      <c r="AC220" s="20"/>
      <c r="AE220" s="17"/>
      <c r="AF220" s="17"/>
      <c r="AG220" s="17"/>
      <c r="AH220" s="18">
        <f t="shared" ref="AH220:AH221" si="258">J220</f>
        <v>0</v>
      </c>
      <c r="AI220" s="19">
        <f>IF(AH$223=0,0,AH220/AH$223)</f>
        <v>0</v>
      </c>
      <c r="AK220" s="17"/>
      <c r="AL220" s="17"/>
      <c r="AM220" s="17"/>
      <c r="AN220" s="18">
        <f t="shared" ref="AN220:AN221" si="259">K220</f>
        <v>0</v>
      </c>
      <c r="AO220" s="19">
        <f>IF(AN$223=0,0,AN220/AN$223)</f>
        <v>0</v>
      </c>
      <c r="AQ220" s="17"/>
      <c r="AR220" s="17"/>
      <c r="AS220" s="17"/>
      <c r="AT220" s="18">
        <f t="shared" ref="AT220:AT221" si="260">W220</f>
        <v>0</v>
      </c>
      <c r="AU220" s="19">
        <f>IF(AT$223=0,0,AT220/AT$223)</f>
        <v>0</v>
      </c>
      <c r="AW220" s="17"/>
      <c r="AX220" s="17"/>
      <c r="AY220" s="17"/>
      <c r="AZ220" s="18">
        <f t="shared" ref="AZ220:AZ221" si="261">X220</f>
        <v>0</v>
      </c>
      <c r="BA220" s="19">
        <f>IF(AZ$223=0,0,AZ220/AZ$223)</f>
        <v>0</v>
      </c>
    </row>
    <row r="221" spans="1:53" ht="17.100000000000001" customHeight="1" x14ac:dyDescent="0.25">
      <c r="A221" s="40"/>
      <c r="B221" s="40"/>
      <c r="C221" s="40"/>
      <c r="D221" s="74" t="s">
        <v>641</v>
      </c>
      <c r="E221" s="542" t="s">
        <v>9</v>
      </c>
      <c r="F221" s="542"/>
      <c r="G221" s="542"/>
      <c r="H221" s="540"/>
      <c r="I221" s="235"/>
      <c r="J221" s="583"/>
      <c r="K221" s="583"/>
      <c r="L221" s="584"/>
      <c r="M221" s="17">
        <f t="shared" si="255"/>
        <v>0</v>
      </c>
      <c r="N221" s="111"/>
      <c r="O221" s="111"/>
      <c r="P221" s="111"/>
      <c r="Q221" s="111"/>
      <c r="R221" s="111"/>
      <c r="S221" s="111"/>
      <c r="T221" s="111"/>
      <c r="U221" s="111"/>
      <c r="V221" s="358"/>
      <c r="W221" s="391">
        <f t="shared" si="256"/>
        <v>0</v>
      </c>
      <c r="X221" s="17">
        <f t="shared" si="257"/>
        <v>0</v>
      </c>
      <c r="Y221" s="18">
        <f>SUM(W221:X221)</f>
        <v>0</v>
      </c>
      <c r="Z221" s="19">
        <f>IF(Y$223=0,0,Y221/Y$223)</f>
        <v>0</v>
      </c>
      <c r="AA221" s="19"/>
      <c r="AB221" s="19"/>
      <c r="AC221" s="20"/>
      <c r="AE221" s="17"/>
      <c r="AF221" s="17"/>
      <c r="AG221" s="17"/>
      <c r="AH221" s="18">
        <f t="shared" si="258"/>
        <v>0</v>
      </c>
      <c r="AI221" s="19">
        <f>IF(AH$223=0,0,AH221/AH$223)</f>
        <v>0</v>
      </c>
      <c r="AK221" s="17"/>
      <c r="AL221" s="17"/>
      <c r="AM221" s="17"/>
      <c r="AN221" s="18">
        <f t="shared" si="259"/>
        <v>0</v>
      </c>
      <c r="AO221" s="19">
        <f>IF(AN$223=0,0,AN221/AN$223)</f>
        <v>0</v>
      </c>
      <c r="AQ221" s="17"/>
      <c r="AR221" s="17"/>
      <c r="AS221" s="17"/>
      <c r="AT221" s="18">
        <f t="shared" si="260"/>
        <v>0</v>
      </c>
      <c r="AU221" s="19">
        <f>IF(AT$223=0,0,AT221/AT$223)</f>
        <v>0</v>
      </c>
      <c r="AW221" s="17"/>
      <c r="AX221" s="17"/>
      <c r="AY221" s="17"/>
      <c r="AZ221" s="18">
        <f t="shared" si="261"/>
        <v>0</v>
      </c>
      <c r="BA221" s="19">
        <f>IF(AZ$223=0,0,AZ221/AZ$223)</f>
        <v>0</v>
      </c>
    </row>
    <row r="222" spans="1:53" ht="17.100000000000001" customHeight="1" x14ac:dyDescent="0.25">
      <c r="A222" s="40"/>
      <c r="B222" s="40"/>
      <c r="C222" s="40"/>
      <c r="D222" s="74" t="s">
        <v>1437</v>
      </c>
      <c r="E222" s="147" t="s">
        <v>1435</v>
      </c>
      <c r="F222" s="923"/>
      <c r="G222" s="923"/>
      <c r="H222" s="922"/>
      <c r="I222" s="235"/>
      <c r="J222" s="581"/>
      <c r="K222" s="581"/>
      <c r="L222" s="582"/>
      <c r="M222" s="17">
        <f t="shared" ref="M222" si="262">SUM(J222:L222)</f>
        <v>0</v>
      </c>
      <c r="N222" s="111"/>
      <c r="O222" s="111"/>
      <c r="P222" s="111"/>
      <c r="Q222" s="111"/>
      <c r="R222" s="111"/>
      <c r="S222" s="111"/>
      <c r="T222" s="111"/>
      <c r="U222" s="111"/>
      <c r="V222" s="358"/>
      <c r="W222" s="391">
        <f t="shared" ref="W222" si="263">J222+K222+N222+Q222+T222</f>
        <v>0</v>
      </c>
      <c r="X222" s="17">
        <f t="shared" ref="X222" si="264">L222+O222+R222+U222</f>
        <v>0</v>
      </c>
      <c r="Y222" s="18">
        <f>SUM(W222:X222)</f>
        <v>0</v>
      </c>
      <c r="Z222" s="19">
        <f>IF(Y$223=0,0,Y222/Y$223)</f>
        <v>0</v>
      </c>
      <c r="AA222" s="19"/>
      <c r="AB222" s="19"/>
      <c r="AC222" s="20"/>
      <c r="AE222" s="17"/>
      <c r="AF222" s="17"/>
      <c r="AG222" s="17"/>
      <c r="AH222" s="18">
        <f t="shared" ref="AH222" si="265">J222</f>
        <v>0</v>
      </c>
      <c r="AI222" s="19">
        <f>IF(AH$223=0,0,AH222/AH$223)</f>
        <v>0</v>
      </c>
      <c r="AK222" s="17"/>
      <c r="AL222" s="17"/>
      <c r="AM222" s="17"/>
      <c r="AN222" s="18">
        <f t="shared" ref="AN222" si="266">K222</f>
        <v>0</v>
      </c>
      <c r="AO222" s="19">
        <f>IF(AN$223=0,0,AN222/AN$223)</f>
        <v>0</v>
      </c>
      <c r="AQ222" s="17"/>
      <c r="AR222" s="17"/>
      <c r="AS222" s="17"/>
      <c r="AT222" s="18">
        <f t="shared" ref="AT222" si="267">W222</f>
        <v>0</v>
      </c>
      <c r="AU222" s="19">
        <f>IF(AT$223=0,0,AT222/AT$223)</f>
        <v>0</v>
      </c>
      <c r="AW222" s="17"/>
      <c r="AX222" s="17"/>
      <c r="AY222" s="17"/>
      <c r="AZ222" s="18">
        <f t="shared" ref="AZ222" si="268">X222</f>
        <v>0</v>
      </c>
      <c r="BA222" s="19">
        <f>IF(AZ$223=0,0,AZ222/AZ$223)</f>
        <v>0</v>
      </c>
    </row>
    <row r="223" spans="1:53" ht="17.100000000000001" customHeight="1" x14ac:dyDescent="0.25">
      <c r="A223" s="40"/>
      <c r="B223" s="40"/>
      <c r="C223" s="77"/>
      <c r="D223" s="144"/>
      <c r="E223" s="144"/>
      <c r="F223" s="145"/>
      <c r="G223" s="145"/>
      <c r="H223" s="119"/>
      <c r="I223" s="236"/>
      <c r="J223" s="80">
        <f>SUM(J220:J222)</f>
        <v>0</v>
      </c>
      <c r="K223" s="80">
        <f t="shared" ref="K223" si="269">SUM(K220:K222)</f>
        <v>0</v>
      </c>
      <c r="L223" s="80">
        <f t="shared" ref="L223" si="270">SUM(L220:L222)</f>
        <v>0</v>
      </c>
      <c r="M223" s="80">
        <f t="shared" ref="M223" si="271">SUM(M220:M221)</f>
        <v>0</v>
      </c>
      <c r="N223" s="81"/>
      <c r="O223" s="81"/>
      <c r="P223" s="81"/>
      <c r="Q223" s="81"/>
      <c r="R223" s="81"/>
      <c r="S223" s="81"/>
      <c r="T223" s="81"/>
      <c r="U223" s="81"/>
      <c r="V223" s="356"/>
      <c r="W223" s="381">
        <f>SUM(W220:W222)</f>
        <v>0</v>
      </c>
      <c r="X223" s="224">
        <f t="shared" ref="X223" si="272">SUM(X220:X222)</f>
        <v>0</v>
      </c>
      <c r="Y223" s="224">
        <f t="shared" ref="Y223" si="273">SUM(Y220:Y222)</f>
        <v>0</v>
      </c>
      <c r="Z223" s="205">
        <f>IF(Y$223=0,0,Y223/Y$223)</f>
        <v>0</v>
      </c>
      <c r="AA223" s="205"/>
      <c r="AB223" s="205"/>
      <c r="AC223" s="83"/>
      <c r="AE223" s="80"/>
      <c r="AF223" s="80"/>
      <c r="AG223" s="81"/>
      <c r="AH223" s="224">
        <f t="shared" ref="AH223" si="274">SUM(AH220:AH222)</f>
        <v>0</v>
      </c>
      <c r="AI223" s="66">
        <f>IF(AH$223=0,0,AH223/AH$223)</f>
        <v>0</v>
      </c>
      <c r="AK223" s="80"/>
      <c r="AL223" s="80"/>
      <c r="AM223" s="81"/>
      <c r="AN223" s="224">
        <f t="shared" ref="AN223" si="275">SUM(AN220:AN222)</f>
        <v>0</v>
      </c>
      <c r="AO223" s="66">
        <f>IF(AN$223=0,0,AN223/AN$223)</f>
        <v>0</v>
      </c>
      <c r="AQ223" s="80"/>
      <c r="AR223" s="80"/>
      <c r="AS223" s="81"/>
      <c r="AT223" s="224">
        <f t="shared" ref="AT223" si="276">SUM(AT220:AT222)</f>
        <v>0</v>
      </c>
      <c r="AU223" s="66">
        <f>IF(AT$223=0,0,AT223/AT$223)</f>
        <v>0</v>
      </c>
      <c r="AW223" s="80"/>
      <c r="AX223" s="80"/>
      <c r="AY223" s="81"/>
      <c r="AZ223" s="224">
        <f t="shared" ref="AZ223" si="277">SUM(AZ220:AZ222)</f>
        <v>0</v>
      </c>
      <c r="BA223" s="66">
        <f>IF(AZ$223=0,0,AZ223/AZ$223)</f>
        <v>0</v>
      </c>
    </row>
    <row r="224" spans="1:53" s="117" customFormat="1" ht="17.100000000000001" customHeight="1" x14ac:dyDescent="0.25">
      <c r="A224" s="68"/>
      <c r="B224" s="119"/>
      <c r="C224" s="540"/>
      <c r="D224" s="261"/>
      <c r="E224" s="261"/>
      <c r="F224" s="68"/>
      <c r="G224" s="68"/>
      <c r="H224" s="119"/>
      <c r="I224" s="236"/>
      <c r="J224" s="17" t="str">
        <f>IF(J223=J$15,"OK","NOK")</f>
        <v>OK</v>
      </c>
      <c r="K224" s="17" t="str">
        <f t="shared" ref="K224:L224" si="278">IF(K223=K$15,"OK","NOK")</f>
        <v>OK</v>
      </c>
      <c r="L224" s="17" t="str">
        <f t="shared" si="278"/>
        <v>OK</v>
      </c>
      <c r="M224" s="17"/>
      <c r="N224" s="17"/>
      <c r="O224" s="17"/>
      <c r="P224" s="17"/>
      <c r="Q224" s="17"/>
      <c r="R224" s="17"/>
      <c r="S224" s="17"/>
      <c r="T224" s="17"/>
      <c r="U224" s="17"/>
      <c r="V224" s="359"/>
      <c r="W224" s="382"/>
      <c r="X224" s="539"/>
      <c r="Y224" s="539"/>
      <c r="Z224" s="201"/>
      <c r="AA224" s="201"/>
      <c r="AB224" s="201"/>
      <c r="AC224" s="84"/>
      <c r="AE224" s="46"/>
      <c r="AF224" s="46"/>
      <c r="AG224" s="17"/>
      <c r="AH224" s="539"/>
      <c r="AI224" s="91"/>
      <c r="AK224" s="46"/>
      <c r="AL224" s="46"/>
      <c r="AM224" s="17"/>
      <c r="AN224" s="539"/>
      <c r="AO224" s="91"/>
      <c r="AQ224" s="46"/>
      <c r="AR224" s="46"/>
      <c r="AS224" s="17"/>
      <c r="AT224" s="539"/>
      <c r="AU224" s="91"/>
      <c r="AW224" s="46"/>
      <c r="AX224" s="46"/>
      <c r="AY224" s="17"/>
      <c r="AZ224" s="539"/>
      <c r="BA224" s="91"/>
    </row>
    <row r="225" spans="1:53" ht="17.100000000000001" customHeight="1" x14ac:dyDescent="0.25">
      <c r="A225" s="333"/>
      <c r="B225" s="137"/>
      <c r="C225" s="74" t="s">
        <v>642</v>
      </c>
      <c r="D225" s="147" t="s">
        <v>425</v>
      </c>
      <c r="E225" s="105"/>
      <c r="F225" s="105"/>
      <c r="G225" s="105"/>
      <c r="H225" s="243">
        <v>15</v>
      </c>
      <c r="I225" s="236"/>
      <c r="J225" s="111"/>
      <c r="K225" s="111"/>
      <c r="L225" s="111"/>
      <c r="M225" s="111"/>
      <c r="N225" s="111"/>
      <c r="O225" s="111"/>
      <c r="P225" s="111"/>
      <c r="Q225" s="111"/>
      <c r="R225" s="111"/>
      <c r="S225" s="111"/>
      <c r="T225" s="111"/>
      <c r="U225" s="111"/>
      <c r="V225" s="358"/>
      <c r="W225" s="380"/>
      <c r="X225" s="111"/>
      <c r="Y225" s="112"/>
      <c r="Z225" s="113"/>
      <c r="AA225" s="113"/>
      <c r="AB225" s="113"/>
      <c r="AC225" s="113"/>
      <c r="AE225" s="71"/>
      <c r="AF225" s="71"/>
      <c r="AG225" s="71"/>
      <c r="AH225" s="72"/>
      <c r="AI225" s="73"/>
      <c r="AK225" s="71"/>
      <c r="AL225" s="71"/>
      <c r="AM225" s="71"/>
      <c r="AN225" s="72"/>
      <c r="AO225" s="73"/>
      <c r="AQ225" s="71"/>
      <c r="AR225" s="71"/>
      <c r="AS225" s="71"/>
      <c r="AT225" s="72"/>
      <c r="AU225" s="73"/>
      <c r="AW225" s="71"/>
      <c r="AX225" s="71"/>
      <c r="AY225" s="71"/>
      <c r="AZ225" s="72"/>
      <c r="BA225" s="73"/>
    </row>
    <row r="226" spans="1:53" ht="17.100000000000001" customHeight="1" x14ac:dyDescent="0.25">
      <c r="A226" s="137"/>
      <c r="B226" s="137"/>
      <c r="C226" s="40"/>
      <c r="D226" s="74" t="s">
        <v>643</v>
      </c>
      <c r="E226" s="542" t="s">
        <v>11</v>
      </c>
      <c r="F226" s="75"/>
      <c r="G226" s="75"/>
      <c r="H226" s="540"/>
      <c r="I226" s="236"/>
      <c r="J226" s="111"/>
      <c r="K226" s="111"/>
      <c r="L226" s="111"/>
      <c r="M226" s="111"/>
      <c r="N226" s="60"/>
      <c r="O226" s="60"/>
      <c r="P226" s="60"/>
      <c r="Q226" s="111"/>
      <c r="R226" s="111"/>
      <c r="S226" s="111"/>
      <c r="T226" s="111"/>
      <c r="U226" s="111"/>
      <c r="V226" s="358"/>
      <c r="W226" s="391">
        <f t="shared" ref="W226:W227" si="279">J226+K226+N226+Q226+T226</f>
        <v>0</v>
      </c>
      <c r="X226" s="17">
        <f t="shared" ref="X226:X227" si="280">L226+O226+R226+U226</f>
        <v>0</v>
      </c>
      <c r="Y226" s="18">
        <f>SUM(W226:X226)</f>
        <v>0</v>
      </c>
      <c r="Z226" s="19">
        <f>IF(Y$228=0,0,Y226/Y$228)</f>
        <v>0</v>
      </c>
      <c r="AA226" s="19"/>
      <c r="AB226" s="19"/>
      <c r="AC226" s="20"/>
      <c r="AE226" s="17"/>
      <c r="AF226" s="17"/>
      <c r="AG226" s="17"/>
      <c r="AH226" s="18">
        <f>W226</f>
        <v>0</v>
      </c>
      <c r="AI226" s="19">
        <f>IF(AH$228=0,0,AH226/AH$228)</f>
        <v>0</v>
      </c>
      <c r="AK226" s="17"/>
      <c r="AL226" s="17"/>
      <c r="AM226" s="17"/>
      <c r="AN226" s="18" t="e">
        <f>#REF!</f>
        <v>#REF!</v>
      </c>
      <c r="AO226" s="19" t="e">
        <f>IF(AN$228=0,0,AN226/AN$228)</f>
        <v>#REF!</v>
      </c>
      <c r="AQ226" s="17"/>
      <c r="AR226" s="17"/>
      <c r="AS226" s="17"/>
      <c r="AT226" s="18"/>
      <c r="AU226" s="19"/>
      <c r="AW226" s="17"/>
      <c r="AX226" s="17"/>
      <c r="AY226" s="17"/>
      <c r="AZ226" s="18">
        <f>X226</f>
        <v>0</v>
      </c>
      <c r="BA226" s="19">
        <f>IF(AZ$228=0,0,AZ226/AZ$228)</f>
        <v>0</v>
      </c>
    </row>
    <row r="227" spans="1:53" ht="17.100000000000001" customHeight="1" x14ac:dyDescent="0.25">
      <c r="A227" s="137"/>
      <c r="B227" s="137"/>
      <c r="C227" s="40"/>
      <c r="D227" s="74" t="s">
        <v>644</v>
      </c>
      <c r="E227" s="542" t="s">
        <v>9</v>
      </c>
      <c r="F227" s="75"/>
      <c r="G227" s="75"/>
      <c r="H227" s="540"/>
      <c r="I227" s="229"/>
      <c r="J227" s="111"/>
      <c r="K227" s="111"/>
      <c r="L227" s="111"/>
      <c r="M227" s="111"/>
      <c r="N227" s="61"/>
      <c r="O227" s="61"/>
      <c r="P227" s="61"/>
      <c r="Q227" s="111"/>
      <c r="R227" s="111"/>
      <c r="S227" s="111"/>
      <c r="T227" s="111"/>
      <c r="U227" s="111"/>
      <c r="V227" s="358"/>
      <c r="W227" s="391">
        <f t="shared" si="279"/>
        <v>0</v>
      </c>
      <c r="X227" s="17">
        <f t="shared" si="280"/>
        <v>0</v>
      </c>
      <c r="Y227" s="18">
        <f>SUM(W227:X227)</f>
        <v>0</v>
      </c>
      <c r="Z227" s="19">
        <f>IF(Y$228=0,0,Y227/Y$228)</f>
        <v>0</v>
      </c>
      <c r="AA227" s="19"/>
      <c r="AB227" s="19"/>
      <c r="AC227" s="20"/>
      <c r="AE227" s="17"/>
      <c r="AF227" s="17"/>
      <c r="AG227" s="17"/>
      <c r="AH227" s="18">
        <f>W227</f>
        <v>0</v>
      </c>
      <c r="AI227" s="19">
        <f>IF(AH$228=0,0,AH227/AH$228)</f>
        <v>0</v>
      </c>
      <c r="AK227" s="17"/>
      <c r="AL227" s="17"/>
      <c r="AM227" s="17"/>
      <c r="AN227" s="18" t="e">
        <f>#REF!</f>
        <v>#REF!</v>
      </c>
      <c r="AO227" s="19" t="e">
        <f>IF(AN$228=0,0,AN227/AN$228)</f>
        <v>#REF!</v>
      </c>
      <c r="AQ227" s="17"/>
      <c r="AR227" s="17"/>
      <c r="AS227" s="17"/>
      <c r="AT227" s="18"/>
      <c r="AU227" s="19"/>
      <c r="AW227" s="17"/>
      <c r="AX227" s="17"/>
      <c r="AY227" s="17"/>
      <c r="AZ227" s="18">
        <f>X227</f>
        <v>0</v>
      </c>
      <c r="BA227" s="19">
        <f>IF(AZ$228=0,0,AZ227/AZ$228)</f>
        <v>0</v>
      </c>
    </row>
    <row r="228" spans="1:53" ht="17.100000000000001" customHeight="1" x14ac:dyDescent="0.25">
      <c r="A228" s="137"/>
      <c r="B228" s="137"/>
      <c r="C228" s="77"/>
      <c r="D228" s="144"/>
      <c r="E228" s="144"/>
      <c r="F228" s="145"/>
      <c r="G228" s="145"/>
      <c r="H228" s="119"/>
      <c r="I228" s="236"/>
      <c r="J228" s="64"/>
      <c r="K228" s="80"/>
      <c r="L228" s="81"/>
      <c r="M228" s="81"/>
      <c r="N228" s="81"/>
      <c r="O228" s="81"/>
      <c r="P228" s="81"/>
      <c r="Q228" s="81"/>
      <c r="R228" s="81"/>
      <c r="S228" s="81"/>
      <c r="T228" s="81"/>
      <c r="U228" s="81"/>
      <c r="V228" s="356"/>
      <c r="W228" s="381">
        <f>SUM(W226:W227)</f>
        <v>0</v>
      </c>
      <c r="X228" s="82">
        <f t="shared" ref="X228:Y228" si="281">SUM(X226:X227)</f>
        <v>0</v>
      </c>
      <c r="Y228" s="82">
        <f t="shared" si="281"/>
        <v>0</v>
      </c>
      <c r="Z228" s="205">
        <f>IF(Y$228=0,0,Y228/Y$228)</f>
        <v>0</v>
      </c>
      <c r="AA228" s="205"/>
      <c r="AB228" s="205"/>
      <c r="AC228" s="83"/>
      <c r="AE228" s="80"/>
      <c r="AF228" s="80"/>
      <c r="AG228" s="81"/>
      <c r="AH228" s="82">
        <f>SUM(AH226:AH227)</f>
        <v>0</v>
      </c>
      <c r="AI228" s="66">
        <f>IF(AH$228=0,0,AH228/AH$228)</f>
        <v>0</v>
      </c>
      <c r="AK228" s="80"/>
      <c r="AL228" s="80"/>
      <c r="AM228" s="81"/>
      <c r="AN228" s="82" t="e">
        <f>SUM(AN226:AN227)</f>
        <v>#REF!</v>
      </c>
      <c r="AO228" s="66" t="e">
        <f>IF(AN$228=0,0,AN228/AN$228)</f>
        <v>#REF!</v>
      </c>
      <c r="AQ228" s="80"/>
      <c r="AR228" s="80"/>
      <c r="AS228" s="81"/>
      <c r="AT228" s="82"/>
      <c r="AU228" s="66"/>
      <c r="AW228" s="80"/>
      <c r="AX228" s="80"/>
      <c r="AY228" s="81"/>
      <c r="AZ228" s="82">
        <f>SUM(AZ226:AZ227)</f>
        <v>0</v>
      </c>
      <c r="BA228" s="66">
        <f>IF(AZ$228=0,0,AZ228/AZ$228)</f>
        <v>0</v>
      </c>
    </row>
    <row r="229" spans="1:53" s="117" customFormat="1" ht="17.100000000000001" customHeight="1" x14ac:dyDescent="0.25">
      <c r="A229" s="68"/>
      <c r="B229" s="119"/>
      <c r="C229" s="540"/>
      <c r="D229" s="261"/>
      <c r="E229" s="261"/>
      <c r="F229" s="68"/>
      <c r="G229" s="68"/>
      <c r="H229" s="119"/>
      <c r="I229" s="138"/>
      <c r="J229" s="17" t="str">
        <f>IF(J228=J$15,"OK","NOK")</f>
        <v>OK</v>
      </c>
      <c r="K229" s="17" t="str">
        <f t="shared" ref="K229:L229" si="282">IF(K228=K$15,"OK","NOK")</f>
        <v>OK</v>
      </c>
      <c r="L229" s="17" t="str">
        <f t="shared" si="282"/>
        <v>OK</v>
      </c>
      <c r="M229" s="17"/>
      <c r="N229" s="17"/>
      <c r="O229" s="17"/>
      <c r="P229" s="17"/>
      <c r="Q229" s="17"/>
      <c r="R229" s="17"/>
      <c r="S229" s="17"/>
      <c r="T229" s="17"/>
      <c r="U229" s="17"/>
      <c r="V229" s="359"/>
      <c r="W229" s="382"/>
      <c r="X229" s="539"/>
      <c r="Y229" s="539"/>
      <c r="Z229" s="201"/>
      <c r="AA229" s="201"/>
      <c r="AB229" s="201"/>
      <c r="AC229" s="84"/>
      <c r="AE229" s="46"/>
      <c r="AF229" s="46"/>
      <c r="AG229" s="17"/>
      <c r="AH229" s="539"/>
      <c r="AI229" s="91"/>
      <c r="AK229" s="46"/>
      <c r="AL229" s="46"/>
      <c r="AM229" s="17"/>
      <c r="AN229" s="539"/>
      <c r="AO229" s="91"/>
      <c r="AQ229" s="46"/>
      <c r="AR229" s="46"/>
      <c r="AS229" s="17"/>
      <c r="AT229" s="539"/>
      <c r="AU229" s="91"/>
      <c r="AW229" s="46"/>
      <c r="AX229" s="46"/>
      <c r="AY229" s="17"/>
      <c r="AZ229" s="539"/>
      <c r="BA229" s="91"/>
    </row>
    <row r="230" spans="1:53" ht="17.100000000000001" customHeight="1" x14ac:dyDescent="0.25">
      <c r="A230" s="68"/>
      <c r="B230" s="40"/>
      <c r="C230" s="74" t="s">
        <v>645</v>
      </c>
      <c r="D230" s="147" t="s">
        <v>524</v>
      </c>
      <c r="E230" s="105"/>
      <c r="F230" s="105"/>
      <c r="G230" s="105"/>
      <c r="H230" s="243">
        <v>136</v>
      </c>
      <c r="J230" s="111"/>
      <c r="K230" s="111"/>
      <c r="L230" s="111"/>
      <c r="M230" s="111"/>
      <c r="N230" s="111"/>
      <c r="O230" s="111"/>
      <c r="P230" s="111"/>
      <c r="Q230" s="111"/>
      <c r="R230" s="111"/>
      <c r="S230" s="111"/>
      <c r="T230" s="111"/>
      <c r="U230" s="111"/>
      <c r="V230" s="358"/>
      <c r="W230" s="380"/>
      <c r="X230" s="111"/>
      <c r="Y230" s="112"/>
      <c r="Z230" s="113"/>
      <c r="AA230" s="113"/>
      <c r="AB230" s="113"/>
      <c r="AC230" s="113"/>
      <c r="AE230" s="71"/>
      <c r="AF230" s="71"/>
      <c r="AG230" s="71"/>
      <c r="AH230" s="72"/>
      <c r="AI230" s="73"/>
      <c r="AK230" s="71"/>
      <c r="AL230" s="71"/>
      <c r="AM230" s="71"/>
      <c r="AN230" s="72"/>
      <c r="AO230" s="73"/>
      <c r="AQ230" s="71"/>
      <c r="AR230" s="71"/>
      <c r="AS230" s="71"/>
      <c r="AT230" s="72"/>
      <c r="AU230" s="73"/>
      <c r="AW230" s="71"/>
      <c r="AX230" s="71"/>
      <c r="AY230" s="71"/>
      <c r="AZ230" s="72"/>
      <c r="BA230" s="73"/>
    </row>
    <row r="231" spans="1:53" ht="17.100000000000001" customHeight="1" x14ac:dyDescent="0.25">
      <c r="A231" s="40"/>
      <c r="B231" s="40"/>
      <c r="C231" s="137"/>
      <c r="D231" s="74" t="s">
        <v>646</v>
      </c>
      <c r="E231" s="542" t="s">
        <v>523</v>
      </c>
      <c r="F231" s="75"/>
      <c r="G231" s="75"/>
      <c r="H231" s="540"/>
      <c r="I231" s="229"/>
      <c r="J231" s="581"/>
      <c r="K231" s="581"/>
      <c r="L231" s="582"/>
      <c r="M231" s="17">
        <f t="shared" ref="M231:M235" si="283">SUM(J231:L231)</f>
        <v>0</v>
      </c>
      <c r="N231" s="111"/>
      <c r="O231" s="111"/>
      <c r="P231" s="111"/>
      <c r="Q231" s="111"/>
      <c r="R231" s="111"/>
      <c r="S231" s="111"/>
      <c r="T231" s="111"/>
      <c r="U231" s="111"/>
      <c r="V231" s="358"/>
      <c r="W231" s="391">
        <f t="shared" ref="W231:W235" si="284">J231+K231+N231+Q231+T231</f>
        <v>0</v>
      </c>
      <c r="X231" s="17">
        <f t="shared" ref="X231:X235" si="285">L231+O231+R231+U231</f>
        <v>0</v>
      </c>
      <c r="Y231" s="18">
        <f>SUM(W231:X231)</f>
        <v>0</v>
      </c>
      <c r="Z231" s="19">
        <f>IF(Y$236=0,0,Y231/Y$236)</f>
        <v>0</v>
      </c>
      <c r="AA231" s="19"/>
      <c r="AB231" s="19"/>
      <c r="AC231" s="84"/>
      <c r="AE231" s="17"/>
      <c r="AF231" s="17"/>
      <c r="AG231" s="17"/>
      <c r="AH231" s="18">
        <f t="shared" ref="AH231:AH235" si="286">J231</f>
        <v>0</v>
      </c>
      <c r="AI231" s="19">
        <f>IF(AH$236=0,0,AH231/AH$236)</f>
        <v>0</v>
      </c>
      <c r="AK231" s="17"/>
      <c r="AL231" s="17"/>
      <c r="AM231" s="17"/>
      <c r="AN231" s="18">
        <f t="shared" ref="AN231:AN235" si="287">K231</f>
        <v>0</v>
      </c>
      <c r="AO231" s="19">
        <f>IF(AN$236=0,0,AN231/AN$236)</f>
        <v>0</v>
      </c>
      <c r="AQ231" s="17"/>
      <c r="AR231" s="17"/>
      <c r="AS231" s="17"/>
      <c r="AT231" s="18">
        <f t="shared" ref="AT231:AT235" si="288">W231</f>
        <v>0</v>
      </c>
      <c r="AU231" s="19">
        <f>IF(AT$236=0,0,AT231/AT$236)</f>
        <v>0</v>
      </c>
      <c r="AW231" s="17"/>
      <c r="AX231" s="17"/>
      <c r="AY231" s="17"/>
      <c r="AZ231" s="18">
        <f t="shared" ref="AZ231:AZ235" si="289">X231</f>
        <v>0</v>
      </c>
      <c r="BA231" s="19">
        <f>IF(AZ$236=0,0,AZ231/AZ$236)</f>
        <v>0</v>
      </c>
    </row>
    <row r="232" spans="1:53" ht="17.100000000000001" customHeight="1" x14ac:dyDescent="0.25">
      <c r="A232" s="40"/>
      <c r="B232" s="248"/>
      <c r="C232" s="251"/>
      <c r="D232" s="74" t="s">
        <v>647</v>
      </c>
      <c r="E232" s="542" t="s">
        <v>525</v>
      </c>
      <c r="F232" s="75"/>
      <c r="G232" s="75"/>
      <c r="H232" s="540"/>
      <c r="I232" s="229"/>
      <c r="J232" s="583"/>
      <c r="K232" s="583"/>
      <c r="L232" s="584"/>
      <c r="M232" s="17">
        <f t="shared" si="283"/>
        <v>0</v>
      </c>
      <c r="N232" s="111"/>
      <c r="O232" s="111"/>
      <c r="P232" s="111"/>
      <c r="Q232" s="111"/>
      <c r="R232" s="111"/>
      <c r="S232" s="111"/>
      <c r="T232" s="111"/>
      <c r="U232" s="111"/>
      <c r="V232" s="358"/>
      <c r="W232" s="391">
        <f t="shared" si="284"/>
        <v>0</v>
      </c>
      <c r="X232" s="17">
        <f t="shared" si="285"/>
        <v>0</v>
      </c>
      <c r="Y232" s="18">
        <f>SUM(W232:X232)</f>
        <v>0</v>
      </c>
      <c r="Z232" s="19">
        <f t="shared" ref="Z232:Z236" si="290">IF(Y$236=0,0,Y232/Y$236)</f>
        <v>0</v>
      </c>
      <c r="AA232" s="19"/>
      <c r="AB232" s="19"/>
      <c r="AC232" s="84"/>
      <c r="AE232" s="17"/>
      <c r="AF232" s="17"/>
      <c r="AG232" s="17"/>
      <c r="AH232" s="18">
        <f t="shared" si="286"/>
        <v>0</v>
      </c>
      <c r="AI232" s="19">
        <f t="shared" ref="AI232:AI236" si="291">IF(AH$236=0,0,AH232/AH$236)</f>
        <v>0</v>
      </c>
      <c r="AK232" s="17"/>
      <c r="AL232" s="17"/>
      <c r="AM232" s="17"/>
      <c r="AN232" s="18">
        <f t="shared" si="287"/>
        <v>0</v>
      </c>
      <c r="AO232" s="19">
        <f t="shared" ref="AO232:AO236" si="292">IF(AN$236=0,0,AN232/AN$236)</f>
        <v>0</v>
      </c>
      <c r="AQ232" s="17"/>
      <c r="AR232" s="17"/>
      <c r="AS232" s="17"/>
      <c r="AT232" s="18">
        <f t="shared" si="288"/>
        <v>0</v>
      </c>
      <c r="AU232" s="19">
        <f t="shared" ref="AU232:AU236" si="293">IF(AT$236=0,0,AT232/AT$236)</f>
        <v>0</v>
      </c>
      <c r="AW232" s="17"/>
      <c r="AX232" s="17"/>
      <c r="AY232" s="17"/>
      <c r="AZ232" s="18">
        <f t="shared" si="289"/>
        <v>0</v>
      </c>
      <c r="BA232" s="19">
        <f t="shared" ref="BA232:BA236" si="294">IF(AZ$236=0,0,AZ232/AZ$236)</f>
        <v>0</v>
      </c>
    </row>
    <row r="233" spans="1:53" ht="17.100000000000001" customHeight="1" x14ac:dyDescent="0.25">
      <c r="A233" s="175"/>
      <c r="B233" s="248"/>
      <c r="C233" s="222"/>
      <c r="D233" s="74" t="s">
        <v>648</v>
      </c>
      <c r="E233" s="542" t="s">
        <v>526</v>
      </c>
      <c r="F233" s="151"/>
      <c r="G233" s="151"/>
      <c r="H233" s="119"/>
      <c r="I233" s="138"/>
      <c r="J233" s="581"/>
      <c r="K233" s="581"/>
      <c r="L233" s="582"/>
      <c r="M233" s="17">
        <f t="shared" si="283"/>
        <v>0</v>
      </c>
      <c r="N233" s="111"/>
      <c r="O233" s="111"/>
      <c r="P233" s="111"/>
      <c r="Q233" s="111"/>
      <c r="R233" s="111"/>
      <c r="S233" s="111"/>
      <c r="T233" s="111"/>
      <c r="U233" s="111"/>
      <c r="V233" s="358"/>
      <c r="W233" s="391">
        <f t="shared" si="284"/>
        <v>0</v>
      </c>
      <c r="X233" s="17">
        <f t="shared" si="285"/>
        <v>0</v>
      </c>
      <c r="Y233" s="18">
        <f>SUM(W233:X233)</f>
        <v>0</v>
      </c>
      <c r="Z233" s="19">
        <f t="shared" si="290"/>
        <v>0</v>
      </c>
      <c r="AA233" s="19"/>
      <c r="AB233" s="19"/>
      <c r="AC233" s="84"/>
      <c r="AE233" s="17"/>
      <c r="AF233" s="17"/>
      <c r="AG233" s="17"/>
      <c r="AH233" s="18">
        <f t="shared" si="286"/>
        <v>0</v>
      </c>
      <c r="AI233" s="19">
        <f t="shared" si="291"/>
        <v>0</v>
      </c>
      <c r="AK233" s="17"/>
      <c r="AL233" s="17"/>
      <c r="AM233" s="17"/>
      <c r="AN233" s="18">
        <f t="shared" si="287"/>
        <v>0</v>
      </c>
      <c r="AO233" s="19">
        <f t="shared" si="292"/>
        <v>0</v>
      </c>
      <c r="AQ233" s="17"/>
      <c r="AR233" s="17"/>
      <c r="AS233" s="17"/>
      <c r="AT233" s="18">
        <f t="shared" si="288"/>
        <v>0</v>
      </c>
      <c r="AU233" s="19">
        <f t="shared" si="293"/>
        <v>0</v>
      </c>
      <c r="AW233" s="17"/>
      <c r="AX233" s="17"/>
      <c r="AY233" s="17"/>
      <c r="AZ233" s="18">
        <f t="shared" si="289"/>
        <v>0</v>
      </c>
      <c r="BA233" s="19">
        <f t="shared" si="294"/>
        <v>0</v>
      </c>
    </row>
    <row r="234" spans="1:53" ht="17.100000000000001" customHeight="1" x14ac:dyDescent="0.25">
      <c r="A234" s="68"/>
      <c r="B234" s="249"/>
      <c r="C234" s="157"/>
      <c r="D234" s="74" t="s">
        <v>649</v>
      </c>
      <c r="E234" s="542" t="s">
        <v>527</v>
      </c>
      <c r="F234" s="105"/>
      <c r="G234" s="105"/>
      <c r="H234" s="119"/>
      <c r="J234" s="583"/>
      <c r="K234" s="583"/>
      <c r="L234" s="584"/>
      <c r="M234" s="17">
        <f t="shared" si="283"/>
        <v>0</v>
      </c>
      <c r="N234" s="111"/>
      <c r="O234" s="111"/>
      <c r="P234" s="111"/>
      <c r="Q234" s="111"/>
      <c r="R234" s="111"/>
      <c r="S234" s="111"/>
      <c r="T234" s="111"/>
      <c r="U234" s="111"/>
      <c r="V234" s="358"/>
      <c r="W234" s="391">
        <f t="shared" si="284"/>
        <v>0</v>
      </c>
      <c r="X234" s="17">
        <f t="shared" si="285"/>
        <v>0</v>
      </c>
      <c r="Y234" s="18">
        <f>SUM(W234:X234)</f>
        <v>0</v>
      </c>
      <c r="Z234" s="19">
        <f t="shared" si="290"/>
        <v>0</v>
      </c>
      <c r="AA234" s="19"/>
      <c r="AB234" s="19"/>
      <c r="AC234" s="84"/>
      <c r="AE234" s="17"/>
      <c r="AF234" s="17"/>
      <c r="AG234" s="17"/>
      <c r="AH234" s="18">
        <f t="shared" si="286"/>
        <v>0</v>
      </c>
      <c r="AI234" s="19">
        <f t="shared" si="291"/>
        <v>0</v>
      </c>
      <c r="AK234" s="17"/>
      <c r="AL234" s="17"/>
      <c r="AM234" s="17"/>
      <c r="AN234" s="18">
        <f t="shared" si="287"/>
        <v>0</v>
      </c>
      <c r="AO234" s="19">
        <f t="shared" si="292"/>
        <v>0</v>
      </c>
      <c r="AQ234" s="17"/>
      <c r="AR234" s="17"/>
      <c r="AS234" s="17"/>
      <c r="AT234" s="18">
        <f t="shared" si="288"/>
        <v>0</v>
      </c>
      <c r="AU234" s="19">
        <f t="shared" si="293"/>
        <v>0</v>
      </c>
      <c r="AW234" s="17"/>
      <c r="AX234" s="17"/>
      <c r="AY234" s="17"/>
      <c r="AZ234" s="18">
        <f t="shared" si="289"/>
        <v>0</v>
      </c>
      <c r="BA234" s="19">
        <f t="shared" si="294"/>
        <v>0</v>
      </c>
    </row>
    <row r="235" spans="1:53" ht="17.100000000000001" customHeight="1" x14ac:dyDescent="0.25">
      <c r="A235" s="40"/>
      <c r="B235" s="248"/>
      <c r="C235" s="250"/>
      <c r="D235" s="74" t="s">
        <v>650</v>
      </c>
      <c r="E235" s="542" t="s">
        <v>528</v>
      </c>
      <c r="F235" s="75"/>
      <c r="G235" s="75"/>
      <c r="H235" s="540"/>
      <c r="I235" s="229"/>
      <c r="J235" s="581"/>
      <c r="K235" s="581"/>
      <c r="L235" s="582"/>
      <c r="M235" s="17">
        <f t="shared" si="283"/>
        <v>0</v>
      </c>
      <c r="N235" s="111"/>
      <c r="O235" s="111"/>
      <c r="P235" s="111"/>
      <c r="Q235" s="111"/>
      <c r="R235" s="111"/>
      <c r="S235" s="111"/>
      <c r="T235" s="111"/>
      <c r="U235" s="111"/>
      <c r="V235" s="358"/>
      <c r="W235" s="391">
        <f t="shared" si="284"/>
        <v>0</v>
      </c>
      <c r="X235" s="17">
        <f t="shared" si="285"/>
        <v>0</v>
      </c>
      <c r="Y235" s="18">
        <f>SUM(W235:X235)</f>
        <v>0</v>
      </c>
      <c r="Z235" s="19">
        <f t="shared" si="290"/>
        <v>0</v>
      </c>
      <c r="AA235" s="19"/>
      <c r="AB235" s="19"/>
      <c r="AC235" s="84"/>
      <c r="AE235" s="17"/>
      <c r="AF235" s="17"/>
      <c r="AG235" s="17"/>
      <c r="AH235" s="18">
        <f t="shared" si="286"/>
        <v>0</v>
      </c>
      <c r="AI235" s="19">
        <f t="shared" si="291"/>
        <v>0</v>
      </c>
      <c r="AK235" s="17"/>
      <c r="AL235" s="17"/>
      <c r="AM235" s="17"/>
      <c r="AN235" s="18">
        <f t="shared" si="287"/>
        <v>0</v>
      </c>
      <c r="AO235" s="19">
        <f t="shared" si="292"/>
        <v>0</v>
      </c>
      <c r="AQ235" s="17"/>
      <c r="AR235" s="17"/>
      <c r="AS235" s="17"/>
      <c r="AT235" s="18">
        <f t="shared" si="288"/>
        <v>0</v>
      </c>
      <c r="AU235" s="19">
        <f t="shared" si="293"/>
        <v>0</v>
      </c>
      <c r="AW235" s="17"/>
      <c r="AX235" s="17"/>
      <c r="AY235" s="17"/>
      <c r="AZ235" s="18">
        <f t="shared" si="289"/>
        <v>0</v>
      </c>
      <c r="BA235" s="19">
        <f t="shared" si="294"/>
        <v>0</v>
      </c>
    </row>
    <row r="236" spans="1:53" ht="17.100000000000001" customHeight="1" x14ac:dyDescent="0.25">
      <c r="A236" s="40"/>
      <c r="B236" s="40"/>
      <c r="C236" s="77"/>
      <c r="D236" s="144"/>
      <c r="E236" s="144"/>
      <c r="F236" s="145"/>
      <c r="G236" s="145"/>
      <c r="H236" s="119"/>
      <c r="I236" s="236"/>
      <c r="J236" s="64">
        <f>SUM(J231:J235)</f>
        <v>0</v>
      </c>
      <c r="K236" s="64">
        <f t="shared" ref="K236:M236" si="295">SUM(K231:K235)</f>
        <v>0</v>
      </c>
      <c r="L236" s="64">
        <f t="shared" si="295"/>
        <v>0</v>
      </c>
      <c r="M236" s="64">
        <f t="shared" si="295"/>
        <v>0</v>
      </c>
      <c r="N236" s="81"/>
      <c r="O236" s="81"/>
      <c r="P236" s="81"/>
      <c r="Q236" s="81"/>
      <c r="R236" s="81"/>
      <c r="S236" s="81"/>
      <c r="T236" s="81"/>
      <c r="U236" s="81"/>
      <c r="V236" s="356"/>
      <c r="W236" s="381">
        <f>SUM(W231:W235)</f>
        <v>0</v>
      </c>
      <c r="X236" s="82">
        <f t="shared" ref="X236:Y236" si="296">SUM(X231:X235)</f>
        <v>0</v>
      </c>
      <c r="Y236" s="82">
        <f t="shared" si="296"/>
        <v>0</v>
      </c>
      <c r="Z236" s="205">
        <f t="shared" si="290"/>
        <v>0</v>
      </c>
      <c r="AA236" s="205"/>
      <c r="AB236" s="205"/>
      <c r="AC236" s="83"/>
      <c r="AE236" s="80"/>
      <c r="AF236" s="80"/>
      <c r="AG236" s="81"/>
      <c r="AH236" s="82">
        <f>SUM(AH231:AH235)</f>
        <v>0</v>
      </c>
      <c r="AI236" s="66">
        <f t="shared" si="291"/>
        <v>0</v>
      </c>
      <c r="AK236" s="80"/>
      <c r="AL236" s="80"/>
      <c r="AM236" s="81"/>
      <c r="AN236" s="82">
        <f>SUM(AN231:AN235)</f>
        <v>0</v>
      </c>
      <c r="AO236" s="66">
        <f t="shared" si="292"/>
        <v>0</v>
      </c>
      <c r="AQ236" s="80"/>
      <c r="AR236" s="80"/>
      <c r="AS236" s="81"/>
      <c r="AT236" s="82">
        <f>SUM(AT231:AT235)</f>
        <v>0</v>
      </c>
      <c r="AU236" s="66">
        <f t="shared" si="293"/>
        <v>0</v>
      </c>
      <c r="AW236" s="80"/>
      <c r="AX236" s="80"/>
      <c r="AY236" s="81"/>
      <c r="AZ236" s="82">
        <f>SUM(AZ231:AZ235)</f>
        <v>0</v>
      </c>
      <c r="BA236" s="66">
        <f t="shared" si="294"/>
        <v>0</v>
      </c>
    </row>
    <row r="237" spans="1:53" s="117" customFormat="1" ht="17.100000000000001" customHeight="1" x14ac:dyDescent="0.25">
      <c r="A237" s="68"/>
      <c r="B237" s="119"/>
      <c r="C237" s="540"/>
      <c r="D237" s="261"/>
      <c r="E237" s="261"/>
      <c r="F237" s="68"/>
      <c r="G237" s="68"/>
      <c r="H237" s="119"/>
      <c r="I237" s="138"/>
      <c r="J237" s="17" t="str">
        <f>IF(J236=J$15,"OK","NOK")</f>
        <v>OK</v>
      </c>
      <c r="K237" s="17" t="str">
        <f t="shared" ref="K237:L237" si="297">IF(K236=K$15,"OK","NOK")</f>
        <v>OK</v>
      </c>
      <c r="L237" s="17" t="str">
        <f t="shared" si="297"/>
        <v>OK</v>
      </c>
      <c r="M237" s="17"/>
      <c r="N237" s="17"/>
      <c r="O237" s="17"/>
      <c r="P237" s="17"/>
      <c r="Q237" s="17"/>
      <c r="R237" s="17"/>
      <c r="S237" s="17"/>
      <c r="T237" s="17"/>
      <c r="U237" s="17"/>
      <c r="V237" s="359"/>
      <c r="W237" s="382"/>
      <c r="X237" s="539"/>
      <c r="Y237" s="539"/>
      <c r="Z237" s="201"/>
      <c r="AA237" s="201"/>
      <c r="AB237" s="201"/>
      <c r="AC237" s="84"/>
      <c r="AE237" s="46"/>
      <c r="AF237" s="46"/>
      <c r="AG237" s="17"/>
      <c r="AH237" s="539"/>
      <c r="AI237" s="91"/>
      <c r="AK237" s="46"/>
      <c r="AL237" s="46"/>
      <c r="AM237" s="17"/>
      <c r="AN237" s="539"/>
      <c r="AO237" s="91"/>
      <c r="AQ237" s="46"/>
      <c r="AR237" s="46"/>
      <c r="AS237" s="17"/>
      <c r="AT237" s="539"/>
      <c r="AU237" s="91"/>
      <c r="AW237" s="46"/>
      <c r="AX237" s="46"/>
      <c r="AY237" s="17"/>
      <c r="AZ237" s="539"/>
      <c r="BA237" s="91"/>
    </row>
    <row r="238" spans="1:53" ht="17.100000000000001" customHeight="1" x14ac:dyDescent="0.25">
      <c r="A238" s="68"/>
      <c r="B238" s="40"/>
      <c r="C238" s="74" t="s">
        <v>651</v>
      </c>
      <c r="D238" s="147" t="s">
        <v>529</v>
      </c>
      <c r="E238" s="105"/>
      <c r="F238" s="105"/>
      <c r="G238" s="105"/>
      <c r="H238" s="243">
        <v>145</v>
      </c>
      <c r="J238" s="111"/>
      <c r="K238" s="111"/>
      <c r="L238" s="111"/>
      <c r="M238" s="111"/>
      <c r="N238" s="111"/>
      <c r="O238" s="111"/>
      <c r="P238" s="111"/>
      <c r="Q238" s="111"/>
      <c r="R238" s="111"/>
      <c r="S238" s="111"/>
      <c r="T238" s="111"/>
      <c r="U238" s="111"/>
      <c r="V238" s="358"/>
      <c r="W238" s="380"/>
      <c r="X238" s="111"/>
      <c r="Y238" s="112"/>
      <c r="Z238" s="113"/>
      <c r="AA238" s="113"/>
      <c r="AB238" s="113"/>
      <c r="AC238" s="113"/>
      <c r="AE238" s="71"/>
      <c r="AF238" s="71"/>
      <c r="AG238" s="71"/>
      <c r="AH238" s="72"/>
      <c r="AI238" s="73"/>
      <c r="AK238" s="71"/>
      <c r="AL238" s="71"/>
      <c r="AM238" s="71"/>
      <c r="AN238" s="72"/>
      <c r="AO238" s="73"/>
      <c r="AQ238" s="71"/>
      <c r="AR238" s="71"/>
      <c r="AS238" s="71"/>
      <c r="AT238" s="72"/>
      <c r="AU238" s="73"/>
      <c r="AW238" s="71"/>
      <c r="AX238" s="71"/>
      <c r="AY238" s="71"/>
      <c r="AZ238" s="72"/>
      <c r="BA238" s="73"/>
    </row>
    <row r="239" spans="1:53" ht="17.100000000000001" customHeight="1" x14ac:dyDescent="0.25">
      <c r="A239" s="40"/>
      <c r="B239" s="40"/>
      <c r="C239" s="137"/>
      <c r="D239" s="74" t="s">
        <v>652</v>
      </c>
      <c r="E239" s="542" t="s">
        <v>523</v>
      </c>
      <c r="F239" s="75"/>
      <c r="G239" s="75"/>
      <c r="H239" s="540"/>
      <c r="I239" s="229"/>
      <c r="J239" s="581"/>
      <c r="K239" s="581"/>
      <c r="L239" s="582"/>
      <c r="M239" s="17">
        <f t="shared" ref="M239:M243" si="298">SUM(J239:L239)</f>
        <v>0</v>
      </c>
      <c r="N239" s="111"/>
      <c r="O239" s="111"/>
      <c r="P239" s="111"/>
      <c r="Q239" s="111"/>
      <c r="R239" s="111"/>
      <c r="S239" s="111"/>
      <c r="T239" s="111"/>
      <c r="U239" s="111"/>
      <c r="V239" s="358"/>
      <c r="W239" s="391">
        <f t="shared" ref="W239:W243" si="299">J239+K239+N239+Q239+T239</f>
        <v>0</v>
      </c>
      <c r="X239" s="17">
        <f t="shared" ref="X239:X243" si="300">L239+O239+R239+U239</f>
        <v>0</v>
      </c>
      <c r="Y239" s="18">
        <f>SUM(W239:X239)</f>
        <v>0</v>
      </c>
      <c r="Z239" s="19">
        <f>IF(Y$244=0,0,Y239/Y$244)</f>
        <v>0</v>
      </c>
      <c r="AA239" s="19"/>
      <c r="AB239" s="19"/>
      <c r="AC239" s="84"/>
      <c r="AE239" s="17"/>
      <c r="AF239" s="17"/>
      <c r="AG239" s="17"/>
      <c r="AH239" s="18">
        <f t="shared" ref="AH239:AH243" si="301">J239</f>
        <v>0</v>
      </c>
      <c r="AI239" s="19">
        <f>IF(AH$244=0,0,AH239/AH$244)</f>
        <v>0</v>
      </c>
      <c r="AK239" s="17"/>
      <c r="AL239" s="17"/>
      <c r="AM239" s="17"/>
      <c r="AN239" s="18">
        <f t="shared" ref="AN239:AN243" si="302">K239</f>
        <v>0</v>
      </c>
      <c r="AO239" s="19">
        <f>IF(AN$244=0,0,AN239/AN$244)</f>
        <v>0</v>
      </c>
      <c r="AQ239" s="17"/>
      <c r="AR239" s="17"/>
      <c r="AS239" s="17"/>
      <c r="AT239" s="18">
        <f t="shared" ref="AT239:AT243" si="303">W239</f>
        <v>0</v>
      </c>
      <c r="AU239" s="19">
        <f>IF(AT$244=0,0,AT239/AT$244)</f>
        <v>0</v>
      </c>
      <c r="AW239" s="17"/>
      <c r="AX239" s="17"/>
      <c r="AY239" s="17"/>
      <c r="AZ239" s="18">
        <f t="shared" ref="AZ239:AZ243" si="304">X239</f>
        <v>0</v>
      </c>
      <c r="BA239" s="19">
        <f>IF(AZ$244=0,0,AZ239/AZ$244)</f>
        <v>0</v>
      </c>
    </row>
    <row r="240" spans="1:53" ht="17.100000000000001" customHeight="1" x14ac:dyDescent="0.25">
      <c r="A240" s="40"/>
      <c r="B240" s="248"/>
      <c r="C240" s="251"/>
      <c r="D240" s="74" t="s">
        <v>653</v>
      </c>
      <c r="E240" s="542" t="s">
        <v>525</v>
      </c>
      <c r="F240" s="75"/>
      <c r="G240" s="75"/>
      <c r="H240" s="540"/>
      <c r="I240" s="229"/>
      <c r="J240" s="583"/>
      <c r="K240" s="583"/>
      <c r="L240" s="584"/>
      <c r="M240" s="17">
        <f t="shared" si="298"/>
        <v>0</v>
      </c>
      <c r="N240" s="111"/>
      <c r="O240" s="111"/>
      <c r="P240" s="111"/>
      <c r="Q240" s="111"/>
      <c r="R240" s="111"/>
      <c r="S240" s="111"/>
      <c r="T240" s="111"/>
      <c r="U240" s="111"/>
      <c r="V240" s="358"/>
      <c r="W240" s="391">
        <f t="shared" si="299"/>
        <v>0</v>
      </c>
      <c r="X240" s="17">
        <f t="shared" si="300"/>
        <v>0</v>
      </c>
      <c r="Y240" s="18">
        <f>SUM(W240:X240)</f>
        <v>0</v>
      </c>
      <c r="Z240" s="19">
        <f t="shared" ref="Z240:Z244" si="305">IF(Y$244=0,0,Y240/Y$244)</f>
        <v>0</v>
      </c>
      <c r="AA240" s="19"/>
      <c r="AB240" s="19"/>
      <c r="AC240" s="84"/>
      <c r="AE240" s="17"/>
      <c r="AF240" s="17"/>
      <c r="AG240" s="17"/>
      <c r="AH240" s="18">
        <f t="shared" si="301"/>
        <v>0</v>
      </c>
      <c r="AI240" s="19">
        <f t="shared" ref="AI240:AI244" si="306">IF(AH$244=0,0,AH240/AH$244)</f>
        <v>0</v>
      </c>
      <c r="AK240" s="17"/>
      <c r="AL240" s="17"/>
      <c r="AM240" s="17"/>
      <c r="AN240" s="18">
        <f t="shared" si="302"/>
        <v>0</v>
      </c>
      <c r="AO240" s="19">
        <f t="shared" ref="AO240:AO244" si="307">IF(AN$244=0,0,AN240/AN$244)</f>
        <v>0</v>
      </c>
      <c r="AQ240" s="17"/>
      <c r="AR240" s="17"/>
      <c r="AS240" s="17"/>
      <c r="AT240" s="18">
        <f t="shared" si="303"/>
        <v>0</v>
      </c>
      <c r="AU240" s="19">
        <f t="shared" ref="AU240:AU244" si="308">IF(AT$244=0,0,AT240/AT$244)</f>
        <v>0</v>
      </c>
      <c r="AW240" s="17"/>
      <c r="AX240" s="17"/>
      <c r="AY240" s="17"/>
      <c r="AZ240" s="18">
        <f t="shared" si="304"/>
        <v>0</v>
      </c>
      <c r="BA240" s="19">
        <f t="shared" ref="BA240:BA244" si="309">IF(AZ$244=0,0,AZ240/AZ$244)</f>
        <v>0</v>
      </c>
    </row>
    <row r="241" spans="1:53" ht="17.100000000000001" customHeight="1" x14ac:dyDescent="0.25">
      <c r="A241" s="175"/>
      <c r="B241" s="248"/>
      <c r="C241" s="222"/>
      <c r="D241" s="74" t="s">
        <v>654</v>
      </c>
      <c r="E241" s="542" t="s">
        <v>526</v>
      </c>
      <c r="F241" s="151"/>
      <c r="G241" s="151"/>
      <c r="H241" s="119"/>
      <c r="I241" s="138"/>
      <c r="J241" s="581"/>
      <c r="K241" s="581"/>
      <c r="L241" s="582"/>
      <c r="M241" s="17">
        <f t="shared" si="298"/>
        <v>0</v>
      </c>
      <c r="N241" s="111"/>
      <c r="O241" s="111"/>
      <c r="P241" s="111"/>
      <c r="Q241" s="111"/>
      <c r="R241" s="111"/>
      <c r="S241" s="111"/>
      <c r="T241" s="111"/>
      <c r="U241" s="111"/>
      <c r="V241" s="358"/>
      <c r="W241" s="391">
        <f t="shared" si="299"/>
        <v>0</v>
      </c>
      <c r="X241" s="17">
        <f t="shared" si="300"/>
        <v>0</v>
      </c>
      <c r="Y241" s="18">
        <f>SUM(W241:X241)</f>
        <v>0</v>
      </c>
      <c r="Z241" s="19">
        <f t="shared" si="305"/>
        <v>0</v>
      </c>
      <c r="AA241" s="19"/>
      <c r="AB241" s="19"/>
      <c r="AC241" s="84"/>
      <c r="AE241" s="17"/>
      <c r="AF241" s="17"/>
      <c r="AG241" s="17"/>
      <c r="AH241" s="18">
        <f t="shared" si="301"/>
        <v>0</v>
      </c>
      <c r="AI241" s="19">
        <f t="shared" si="306"/>
        <v>0</v>
      </c>
      <c r="AK241" s="17"/>
      <c r="AL241" s="17"/>
      <c r="AM241" s="17"/>
      <c r="AN241" s="18">
        <f t="shared" si="302"/>
        <v>0</v>
      </c>
      <c r="AO241" s="19">
        <f t="shared" si="307"/>
        <v>0</v>
      </c>
      <c r="AQ241" s="17"/>
      <c r="AR241" s="17"/>
      <c r="AS241" s="17"/>
      <c r="AT241" s="18">
        <f t="shared" si="303"/>
        <v>0</v>
      </c>
      <c r="AU241" s="19">
        <f t="shared" si="308"/>
        <v>0</v>
      </c>
      <c r="AW241" s="17"/>
      <c r="AX241" s="17"/>
      <c r="AY241" s="17"/>
      <c r="AZ241" s="18">
        <f t="shared" si="304"/>
        <v>0</v>
      </c>
      <c r="BA241" s="19">
        <f t="shared" si="309"/>
        <v>0</v>
      </c>
    </row>
    <row r="242" spans="1:53" ht="17.100000000000001" customHeight="1" x14ac:dyDescent="0.25">
      <c r="A242" s="68"/>
      <c r="B242" s="249"/>
      <c r="C242" s="157"/>
      <c r="D242" s="74" t="s">
        <v>655</v>
      </c>
      <c r="E242" s="542" t="s">
        <v>527</v>
      </c>
      <c r="F242" s="105"/>
      <c r="G242" s="105"/>
      <c r="H242" s="119"/>
      <c r="J242" s="583"/>
      <c r="K242" s="583"/>
      <c r="L242" s="584"/>
      <c r="M242" s="17">
        <f t="shared" si="298"/>
        <v>0</v>
      </c>
      <c r="N242" s="111"/>
      <c r="O242" s="111"/>
      <c r="P242" s="111"/>
      <c r="Q242" s="111"/>
      <c r="R242" s="111"/>
      <c r="S242" s="111"/>
      <c r="T242" s="111"/>
      <c r="U242" s="111"/>
      <c r="V242" s="358"/>
      <c r="W242" s="391">
        <f t="shared" si="299"/>
        <v>0</v>
      </c>
      <c r="X242" s="17">
        <f t="shared" si="300"/>
        <v>0</v>
      </c>
      <c r="Y242" s="18">
        <f>SUM(W242:X242)</f>
        <v>0</v>
      </c>
      <c r="Z242" s="19">
        <f t="shared" si="305"/>
        <v>0</v>
      </c>
      <c r="AA242" s="19"/>
      <c r="AB242" s="19"/>
      <c r="AC242" s="84"/>
      <c r="AE242" s="17"/>
      <c r="AF242" s="17"/>
      <c r="AG242" s="17"/>
      <c r="AH242" s="18">
        <f t="shared" si="301"/>
        <v>0</v>
      </c>
      <c r="AI242" s="19">
        <f t="shared" si="306"/>
        <v>0</v>
      </c>
      <c r="AK242" s="17"/>
      <c r="AL242" s="17"/>
      <c r="AM242" s="17"/>
      <c r="AN242" s="18">
        <f t="shared" si="302"/>
        <v>0</v>
      </c>
      <c r="AO242" s="19">
        <f t="shared" si="307"/>
        <v>0</v>
      </c>
      <c r="AQ242" s="17"/>
      <c r="AR242" s="17"/>
      <c r="AS242" s="17"/>
      <c r="AT242" s="18">
        <f t="shared" si="303"/>
        <v>0</v>
      </c>
      <c r="AU242" s="19">
        <f t="shared" si="308"/>
        <v>0</v>
      </c>
      <c r="AW242" s="17"/>
      <c r="AX242" s="17"/>
      <c r="AY242" s="17"/>
      <c r="AZ242" s="18">
        <f t="shared" si="304"/>
        <v>0</v>
      </c>
      <c r="BA242" s="19">
        <f t="shared" si="309"/>
        <v>0</v>
      </c>
    </row>
    <row r="243" spans="1:53" ht="17.100000000000001" customHeight="1" x14ac:dyDescent="0.25">
      <c r="A243" s="40"/>
      <c r="B243" s="248"/>
      <c r="C243" s="250"/>
      <c r="D243" s="74" t="s">
        <v>656</v>
      </c>
      <c r="E243" s="542" t="s">
        <v>528</v>
      </c>
      <c r="F243" s="75"/>
      <c r="G243" s="75"/>
      <c r="H243" s="540"/>
      <c r="I243" s="229"/>
      <c r="J243" s="581"/>
      <c r="K243" s="581"/>
      <c r="L243" s="582"/>
      <c r="M243" s="17">
        <f t="shared" si="298"/>
        <v>0</v>
      </c>
      <c r="N243" s="111"/>
      <c r="O243" s="111"/>
      <c r="P243" s="111"/>
      <c r="Q243" s="111"/>
      <c r="R243" s="111"/>
      <c r="S243" s="111"/>
      <c r="T243" s="111"/>
      <c r="U243" s="111"/>
      <c r="V243" s="358"/>
      <c r="W243" s="391">
        <f t="shared" si="299"/>
        <v>0</v>
      </c>
      <c r="X243" s="17">
        <f t="shared" si="300"/>
        <v>0</v>
      </c>
      <c r="Y243" s="18">
        <f>SUM(W243:X243)</f>
        <v>0</v>
      </c>
      <c r="Z243" s="19">
        <f t="shared" si="305"/>
        <v>0</v>
      </c>
      <c r="AA243" s="19"/>
      <c r="AB243" s="19"/>
      <c r="AC243" s="84"/>
      <c r="AE243" s="17"/>
      <c r="AF243" s="17"/>
      <c r="AG243" s="17"/>
      <c r="AH243" s="18">
        <f t="shared" si="301"/>
        <v>0</v>
      </c>
      <c r="AI243" s="19">
        <f t="shared" si="306"/>
        <v>0</v>
      </c>
      <c r="AK243" s="17"/>
      <c r="AL243" s="17"/>
      <c r="AM243" s="17"/>
      <c r="AN243" s="18">
        <f t="shared" si="302"/>
        <v>0</v>
      </c>
      <c r="AO243" s="19">
        <f t="shared" si="307"/>
        <v>0</v>
      </c>
      <c r="AQ243" s="17"/>
      <c r="AR243" s="17"/>
      <c r="AS243" s="17"/>
      <c r="AT243" s="18">
        <f t="shared" si="303"/>
        <v>0</v>
      </c>
      <c r="AU243" s="19">
        <f t="shared" si="308"/>
        <v>0</v>
      </c>
      <c r="AW243" s="17"/>
      <c r="AX243" s="17"/>
      <c r="AY243" s="17"/>
      <c r="AZ243" s="18">
        <f t="shared" si="304"/>
        <v>0</v>
      </c>
      <c r="BA243" s="19">
        <f t="shared" si="309"/>
        <v>0</v>
      </c>
    </row>
    <row r="244" spans="1:53" ht="17.100000000000001" customHeight="1" x14ac:dyDescent="0.25">
      <c r="A244" s="40"/>
      <c r="B244" s="40"/>
      <c r="C244" s="77"/>
      <c r="D244" s="144"/>
      <c r="E244" s="144"/>
      <c r="F244" s="145"/>
      <c r="G244" s="145"/>
      <c r="H244" s="119"/>
      <c r="I244" s="236"/>
      <c r="J244" s="64">
        <f>SUM(J239:J243)</f>
        <v>0</v>
      </c>
      <c r="K244" s="64">
        <f t="shared" ref="K244:M244" si="310">SUM(K239:K243)</f>
        <v>0</v>
      </c>
      <c r="L244" s="64">
        <f t="shared" si="310"/>
        <v>0</v>
      </c>
      <c r="M244" s="64">
        <f t="shared" si="310"/>
        <v>0</v>
      </c>
      <c r="N244" s="81"/>
      <c r="O244" s="81"/>
      <c r="P244" s="81"/>
      <c r="Q244" s="81"/>
      <c r="R244" s="81"/>
      <c r="S244" s="81"/>
      <c r="T244" s="81"/>
      <c r="U244" s="81"/>
      <c r="V244" s="356"/>
      <c r="W244" s="381">
        <f>SUM(W239:W243)</f>
        <v>0</v>
      </c>
      <c r="X244" s="82">
        <f t="shared" ref="X244:Y244" si="311">SUM(X239:X243)</f>
        <v>0</v>
      </c>
      <c r="Y244" s="82">
        <f t="shared" si="311"/>
        <v>0</v>
      </c>
      <c r="Z244" s="205">
        <f t="shared" si="305"/>
        <v>0</v>
      </c>
      <c r="AA244" s="205"/>
      <c r="AB244" s="205"/>
      <c r="AC244" s="83"/>
      <c r="AE244" s="80"/>
      <c r="AF244" s="80"/>
      <c r="AG244" s="81"/>
      <c r="AH244" s="82">
        <f>SUM(AH239:AH243)</f>
        <v>0</v>
      </c>
      <c r="AI244" s="66">
        <f t="shared" si="306"/>
        <v>0</v>
      </c>
      <c r="AK244" s="80"/>
      <c r="AL244" s="80"/>
      <c r="AM244" s="81"/>
      <c r="AN244" s="82">
        <f>SUM(AN239:AN243)</f>
        <v>0</v>
      </c>
      <c r="AO244" s="66">
        <f t="shared" si="307"/>
        <v>0</v>
      </c>
      <c r="AQ244" s="80"/>
      <c r="AR244" s="80"/>
      <c r="AS244" s="81"/>
      <c r="AT244" s="82">
        <f>SUM(AT239:AT243)</f>
        <v>0</v>
      </c>
      <c r="AU244" s="66">
        <f t="shared" si="308"/>
        <v>0</v>
      </c>
      <c r="AW244" s="80"/>
      <c r="AX244" s="80"/>
      <c r="AY244" s="81"/>
      <c r="AZ244" s="82">
        <f>SUM(AZ239:AZ243)</f>
        <v>0</v>
      </c>
      <c r="BA244" s="66">
        <f t="shared" si="309"/>
        <v>0</v>
      </c>
    </row>
    <row r="245" spans="1:53" s="117" customFormat="1" ht="17.100000000000001" customHeight="1" x14ac:dyDescent="0.25">
      <c r="A245" s="68"/>
      <c r="B245" s="119"/>
      <c r="C245" s="540"/>
      <c r="D245" s="261"/>
      <c r="E245" s="261"/>
      <c r="F245" s="68"/>
      <c r="G245" s="68"/>
      <c r="H245" s="119"/>
      <c r="I245" s="138"/>
      <c r="J245" s="17" t="str">
        <f>IF(J244=J$15,"OK","NOK")</f>
        <v>OK</v>
      </c>
      <c r="K245" s="17" t="str">
        <f t="shared" ref="K245:L245" si="312">IF(K244=K$15,"OK","NOK")</f>
        <v>OK</v>
      </c>
      <c r="L245" s="17" t="str">
        <f t="shared" si="312"/>
        <v>OK</v>
      </c>
      <c r="M245" s="17"/>
      <c r="N245" s="17"/>
      <c r="O245" s="17"/>
      <c r="P245" s="17"/>
      <c r="Q245" s="17"/>
      <c r="R245" s="17"/>
      <c r="S245" s="17"/>
      <c r="T245" s="17"/>
      <c r="U245" s="17"/>
      <c r="V245" s="359"/>
      <c r="W245" s="382"/>
      <c r="X245" s="539"/>
      <c r="Y245" s="539"/>
      <c r="Z245" s="201"/>
      <c r="AA245" s="201"/>
      <c r="AB245" s="201"/>
      <c r="AC245" s="84"/>
      <c r="AE245" s="46"/>
      <c r="AF245" s="46"/>
      <c r="AG245" s="17"/>
      <c r="AH245" s="539"/>
      <c r="AI245" s="91"/>
      <c r="AK245" s="46"/>
      <c r="AL245" s="46"/>
      <c r="AM245" s="17"/>
      <c r="AN245" s="539"/>
      <c r="AO245" s="91"/>
      <c r="AQ245" s="46"/>
      <c r="AR245" s="46"/>
      <c r="AS245" s="17"/>
      <c r="AT245" s="539"/>
      <c r="AU245" s="91"/>
      <c r="AW245" s="46"/>
      <c r="AX245" s="46"/>
      <c r="AY245" s="17"/>
      <c r="AZ245" s="539"/>
      <c r="BA245" s="91"/>
    </row>
    <row r="246" spans="1:53" ht="17.100000000000001" customHeight="1" x14ac:dyDescent="0.25">
      <c r="A246" s="68"/>
      <c r="B246" s="41" t="s">
        <v>956</v>
      </c>
      <c r="C246" s="69" t="s">
        <v>12</v>
      </c>
      <c r="D246" s="50"/>
      <c r="E246" s="70"/>
      <c r="F246" s="70"/>
      <c r="G246" s="70"/>
      <c r="H246" s="119"/>
      <c r="J246" s="71"/>
      <c r="K246" s="71"/>
      <c r="L246" s="71"/>
      <c r="M246" s="71"/>
      <c r="N246" s="71"/>
      <c r="O246" s="71"/>
      <c r="P246" s="71"/>
      <c r="Q246" s="71"/>
      <c r="R246" s="71"/>
      <c r="S246" s="71"/>
      <c r="T246" s="71"/>
      <c r="U246" s="71"/>
      <c r="V246" s="355"/>
      <c r="W246" s="377"/>
      <c r="X246" s="71"/>
      <c r="Y246" s="72"/>
      <c r="Z246" s="73"/>
      <c r="AA246" s="73"/>
      <c r="AB246" s="73"/>
      <c r="AC246" s="73"/>
      <c r="AE246" s="71"/>
      <c r="AF246" s="71"/>
      <c r="AG246" s="71"/>
      <c r="AH246" s="72"/>
      <c r="AI246" s="73"/>
      <c r="AK246" s="71"/>
      <c r="AL246" s="71"/>
      <c r="AM246" s="71"/>
      <c r="AN246" s="72"/>
      <c r="AO246" s="73"/>
      <c r="AQ246" s="71"/>
      <c r="AR246" s="71"/>
      <c r="AS246" s="71"/>
      <c r="AT246" s="72"/>
      <c r="AU246" s="73"/>
      <c r="AW246" s="71"/>
      <c r="AX246" s="71"/>
      <c r="AY246" s="71"/>
      <c r="AZ246" s="72"/>
      <c r="BA246" s="73"/>
    </row>
    <row r="247" spans="1:53" ht="17.100000000000001" customHeight="1" x14ac:dyDescent="0.25">
      <c r="A247" s="40"/>
      <c r="B247" s="40"/>
      <c r="C247" s="41" t="s">
        <v>957</v>
      </c>
      <c r="D247" s="476" t="s">
        <v>955</v>
      </c>
      <c r="E247" s="322"/>
      <c r="F247" s="301"/>
      <c r="G247" s="301"/>
      <c r="H247" s="119"/>
      <c r="I247" s="236"/>
      <c r="J247" s="87"/>
      <c r="K247" s="87"/>
      <c r="L247" s="71"/>
      <c r="M247" s="71"/>
      <c r="N247" s="71"/>
      <c r="O247" s="71"/>
      <c r="P247" s="71"/>
      <c r="Q247" s="71"/>
      <c r="R247" s="71"/>
      <c r="S247" s="71"/>
      <c r="T247" s="71"/>
      <c r="U247" s="71"/>
      <c r="V247" s="355"/>
      <c r="W247" s="377"/>
      <c r="X247" s="71"/>
      <c r="Y247" s="89"/>
      <c r="Z247" s="90"/>
      <c r="AA247" s="90"/>
      <c r="AB247" s="90"/>
      <c r="AC247" s="73"/>
      <c r="AE247" s="87"/>
      <c r="AF247" s="87"/>
      <c r="AG247" s="71"/>
      <c r="AH247" s="89"/>
      <c r="AI247" s="90"/>
      <c r="AK247" s="87"/>
      <c r="AL247" s="87"/>
      <c r="AM247" s="71"/>
      <c r="AN247" s="89"/>
      <c r="AO247" s="90"/>
      <c r="AQ247" s="87"/>
      <c r="AR247" s="87"/>
      <c r="AS247" s="71"/>
      <c r="AT247" s="89"/>
      <c r="AU247" s="90"/>
      <c r="AW247" s="87"/>
      <c r="AX247" s="87"/>
      <c r="AY247" s="71"/>
      <c r="AZ247" s="89"/>
      <c r="BA247" s="90"/>
    </row>
    <row r="248" spans="1:53" ht="17.100000000000001" customHeight="1" x14ac:dyDescent="0.25">
      <c r="A248" s="40"/>
      <c r="B248" s="40"/>
      <c r="C248" s="119"/>
      <c r="D248" s="153" t="s">
        <v>933</v>
      </c>
      <c r="E248" s="142"/>
      <c r="F248" s="143"/>
      <c r="G248" s="143"/>
      <c r="H248" s="119"/>
      <c r="I248" s="236"/>
      <c r="J248" s="527">
        <v>0.39285714285714202</v>
      </c>
      <c r="K248" s="527"/>
      <c r="L248" s="528"/>
      <c r="M248" s="154"/>
      <c r="N248" s="154"/>
      <c r="O248" s="154"/>
      <c r="P248" s="154"/>
      <c r="Q248" s="154"/>
      <c r="R248" s="154"/>
      <c r="S248" s="154"/>
      <c r="T248" s="154"/>
      <c r="U248" s="154"/>
      <c r="V248" s="159"/>
      <c r="W248" s="387"/>
      <c r="X248" s="154"/>
      <c r="Y248" s="129"/>
      <c r="Z248" s="130"/>
      <c r="AA248" s="130"/>
      <c r="AB248" s="130"/>
      <c r="AC248" s="125"/>
      <c r="AE248" s="154"/>
      <c r="AF248" s="154"/>
      <c r="AG248" s="154"/>
      <c r="AH248" s="129"/>
      <c r="AI248" s="130"/>
      <c r="AK248" s="154"/>
      <c r="AL248" s="154"/>
      <c r="AM248" s="154"/>
      <c r="AN248" s="129"/>
      <c r="AO248" s="130"/>
      <c r="AQ248" s="154"/>
      <c r="AR248" s="154"/>
      <c r="AS248" s="154"/>
      <c r="AT248" s="129"/>
      <c r="AU248" s="130"/>
      <c r="AW248" s="154"/>
      <c r="AX248" s="154"/>
      <c r="AY248" s="154"/>
      <c r="AZ248" s="129"/>
      <c r="BA248" s="130"/>
    </row>
    <row r="249" spans="1:53" ht="17.100000000000001" customHeight="1" x14ac:dyDescent="0.25">
      <c r="A249" s="40"/>
      <c r="B249" s="40"/>
      <c r="C249" s="119"/>
      <c r="D249" s="153" t="s">
        <v>934</v>
      </c>
      <c r="E249" s="142"/>
      <c r="F249" s="143"/>
      <c r="G249" s="143"/>
      <c r="H249" s="119"/>
      <c r="I249" s="236"/>
      <c r="J249" s="527">
        <f>J248/2</f>
        <v>0.19642857142857101</v>
      </c>
      <c r="K249" s="527"/>
      <c r="L249" s="154"/>
      <c r="M249" s="154"/>
      <c r="N249" s="154"/>
      <c r="O249" s="154"/>
      <c r="P249" s="154"/>
      <c r="Q249" s="154"/>
      <c r="R249" s="154"/>
      <c r="S249" s="154"/>
      <c r="T249" s="154"/>
      <c r="U249" s="154"/>
      <c r="V249" s="159"/>
      <c r="W249" s="387"/>
      <c r="X249" s="154"/>
      <c r="Y249" s="129"/>
      <c r="Z249" s="130"/>
      <c r="AA249" s="130"/>
      <c r="AB249" s="130"/>
      <c r="AC249" s="125"/>
      <c r="AE249" s="154"/>
      <c r="AF249" s="154"/>
      <c r="AG249" s="154"/>
      <c r="AH249" s="129"/>
      <c r="AI249" s="130"/>
      <c r="AK249" s="154"/>
      <c r="AL249" s="154"/>
      <c r="AM249" s="154"/>
      <c r="AN249" s="129"/>
      <c r="AO249" s="130"/>
      <c r="AQ249" s="154"/>
      <c r="AR249" s="154"/>
      <c r="AS249" s="154"/>
      <c r="AT249" s="129"/>
      <c r="AU249" s="130"/>
      <c r="AW249" s="154"/>
      <c r="AX249" s="154"/>
      <c r="AY249" s="154"/>
      <c r="AZ249" s="129"/>
      <c r="BA249" s="130"/>
    </row>
    <row r="250" spans="1:53" ht="17.100000000000001" customHeight="1" x14ac:dyDescent="0.25">
      <c r="A250" s="40"/>
      <c r="B250" s="40"/>
      <c r="C250" s="119"/>
      <c r="D250" s="153" t="s">
        <v>940</v>
      </c>
      <c r="E250" s="142"/>
      <c r="F250" s="143"/>
      <c r="G250" s="143"/>
      <c r="H250" s="119"/>
      <c r="I250" s="236"/>
      <c r="J250" s="527">
        <f>J248*0.75</f>
        <v>0.29464285714285654</v>
      </c>
      <c r="K250" s="527"/>
      <c r="L250" s="154"/>
      <c r="M250" s="154"/>
      <c r="N250" s="154"/>
      <c r="O250" s="154"/>
      <c r="P250" s="154"/>
      <c r="Q250" s="154"/>
      <c r="R250" s="154"/>
      <c r="S250" s="154"/>
      <c r="T250" s="154"/>
      <c r="U250" s="154"/>
      <c r="V250" s="159"/>
      <c r="W250" s="387"/>
      <c r="X250" s="154"/>
      <c r="Y250" s="129"/>
      <c r="Z250" s="130"/>
      <c r="AA250" s="130"/>
      <c r="AB250" s="130"/>
      <c r="AC250" s="125"/>
      <c r="AE250" s="154"/>
      <c r="AF250" s="154"/>
      <c r="AG250" s="154"/>
      <c r="AH250" s="129"/>
      <c r="AI250" s="130"/>
      <c r="AK250" s="154"/>
      <c r="AL250" s="154"/>
      <c r="AM250" s="154"/>
      <c r="AN250" s="129"/>
      <c r="AO250" s="130"/>
      <c r="AQ250" s="154"/>
      <c r="AR250" s="154"/>
      <c r="AS250" s="154"/>
      <c r="AT250" s="129"/>
      <c r="AU250" s="130"/>
      <c r="AW250" s="154"/>
      <c r="AX250" s="154"/>
      <c r="AY250" s="154"/>
      <c r="AZ250" s="129"/>
      <c r="BA250" s="130"/>
    </row>
    <row r="251" spans="1:53" ht="17.100000000000001" customHeight="1" x14ac:dyDescent="0.25">
      <c r="A251" s="40"/>
      <c r="B251" s="40"/>
      <c r="C251" s="119"/>
      <c r="D251" s="153" t="s">
        <v>941</v>
      </c>
      <c r="E251" s="142"/>
      <c r="F251" s="143"/>
      <c r="G251" s="143"/>
      <c r="H251" s="119"/>
      <c r="I251" s="236"/>
      <c r="J251" s="527">
        <f>J248</f>
        <v>0.39285714285714202</v>
      </c>
      <c r="K251" s="527"/>
      <c r="L251" s="154"/>
      <c r="M251" s="154"/>
      <c r="N251" s="154"/>
      <c r="O251" s="154"/>
      <c r="P251" s="154"/>
      <c r="Q251" s="154"/>
      <c r="R251" s="154"/>
      <c r="S251" s="154"/>
      <c r="T251" s="154"/>
      <c r="U251" s="154"/>
      <c r="V251" s="159"/>
      <c r="W251" s="387"/>
      <c r="X251" s="154"/>
      <c r="Y251" s="129"/>
      <c r="Z251" s="130"/>
      <c r="AA251" s="130"/>
      <c r="AB251" s="130"/>
      <c r="AC251" s="125"/>
      <c r="AE251" s="154"/>
      <c r="AF251" s="154"/>
      <c r="AG251" s="154"/>
      <c r="AH251" s="129"/>
      <c r="AI251" s="130"/>
      <c r="AK251" s="154"/>
      <c r="AL251" s="154"/>
      <c r="AM251" s="154"/>
      <c r="AN251" s="129"/>
      <c r="AO251" s="130"/>
      <c r="AQ251" s="154"/>
      <c r="AR251" s="154"/>
      <c r="AS251" s="154"/>
      <c r="AT251" s="129"/>
      <c r="AU251" s="130"/>
      <c r="AW251" s="154"/>
      <c r="AX251" s="154"/>
      <c r="AY251" s="154"/>
      <c r="AZ251" s="129"/>
      <c r="BA251" s="130"/>
    </row>
    <row r="252" spans="1:53" ht="17.100000000000001" customHeight="1" x14ac:dyDescent="0.25">
      <c r="A252" s="40"/>
      <c r="B252" s="40"/>
      <c r="C252" s="119"/>
      <c r="D252" s="153" t="s">
        <v>942</v>
      </c>
      <c r="E252" s="142"/>
      <c r="F252" s="143"/>
      <c r="G252" s="143"/>
      <c r="H252" s="119"/>
      <c r="I252" s="236"/>
      <c r="J252" s="527">
        <f>J249</f>
        <v>0.19642857142857101</v>
      </c>
      <c r="K252" s="527"/>
      <c r="L252" s="154"/>
      <c r="M252" s="154"/>
      <c r="N252" s="154"/>
      <c r="O252" s="154"/>
      <c r="P252" s="154"/>
      <c r="Q252" s="154"/>
      <c r="R252" s="154"/>
      <c r="S252" s="154"/>
      <c r="T252" s="154"/>
      <c r="U252" s="154"/>
      <c r="V252" s="159"/>
      <c r="W252" s="387"/>
      <c r="X252" s="154"/>
      <c r="Y252" s="129"/>
      <c r="Z252" s="130"/>
      <c r="AA252" s="130"/>
      <c r="AB252" s="130"/>
      <c r="AC252" s="125"/>
      <c r="AE252" s="154"/>
      <c r="AF252" s="154"/>
      <c r="AG252" s="154"/>
      <c r="AH252" s="129"/>
      <c r="AI252" s="130"/>
      <c r="AK252" s="154"/>
      <c r="AL252" s="154"/>
      <c r="AM252" s="154"/>
      <c r="AN252" s="129"/>
      <c r="AO252" s="130"/>
      <c r="AQ252" s="154"/>
      <c r="AR252" s="154"/>
      <c r="AS252" s="154"/>
      <c r="AT252" s="129"/>
      <c r="AU252" s="130"/>
      <c r="AW252" s="154"/>
      <c r="AX252" s="154"/>
      <c r="AY252" s="154"/>
      <c r="AZ252" s="129"/>
      <c r="BA252" s="130"/>
    </row>
    <row r="253" spans="1:53" ht="17.100000000000001" customHeight="1" x14ac:dyDescent="0.25">
      <c r="A253" s="40"/>
      <c r="B253" s="40"/>
      <c r="C253" s="119"/>
      <c r="D253" s="153" t="s">
        <v>943</v>
      </c>
      <c r="E253" s="142"/>
      <c r="F253" s="143"/>
      <c r="G253" s="143"/>
      <c r="H253" s="119"/>
      <c r="I253" s="236"/>
      <c r="J253" s="527">
        <f>J248</f>
        <v>0.39285714285714202</v>
      </c>
      <c r="K253" s="527"/>
      <c r="L253" s="154"/>
      <c r="M253" s="154"/>
      <c r="N253" s="154"/>
      <c r="O253" s="154"/>
      <c r="P253" s="154"/>
      <c r="Q253" s="154"/>
      <c r="R253" s="154"/>
      <c r="S253" s="154"/>
      <c r="T253" s="154"/>
      <c r="U253" s="154"/>
      <c r="V253" s="159"/>
      <c r="W253" s="387"/>
      <c r="X253" s="154"/>
      <c r="Y253" s="129"/>
      <c r="Z253" s="130"/>
      <c r="AA253" s="130"/>
      <c r="AB253" s="130"/>
      <c r="AC253" s="125"/>
      <c r="AE253" s="154"/>
      <c r="AF253" s="154"/>
      <c r="AG253" s="154"/>
      <c r="AH253" s="129"/>
      <c r="AI253" s="130"/>
      <c r="AK253" s="154"/>
      <c r="AL253" s="154"/>
      <c r="AM253" s="154"/>
      <c r="AN253" s="129"/>
      <c r="AO253" s="130"/>
      <c r="AQ253" s="154"/>
      <c r="AR253" s="154"/>
      <c r="AS253" s="154"/>
      <c r="AT253" s="129"/>
      <c r="AU253" s="130"/>
      <c r="AW253" s="154"/>
      <c r="AX253" s="154"/>
      <c r="AY253" s="154"/>
      <c r="AZ253" s="129"/>
      <c r="BA253" s="130"/>
    </row>
    <row r="254" spans="1:53" ht="17.100000000000001" customHeight="1" x14ac:dyDescent="0.25">
      <c r="A254" s="40"/>
      <c r="B254" s="40"/>
      <c r="C254" s="119"/>
      <c r="D254" s="153" t="s">
        <v>944</v>
      </c>
      <c r="E254" s="142"/>
      <c r="F254" s="143"/>
      <c r="G254" s="143"/>
      <c r="H254" s="119"/>
      <c r="I254" s="236"/>
      <c r="J254" s="527">
        <f>J249</f>
        <v>0.19642857142857101</v>
      </c>
      <c r="K254" s="527"/>
      <c r="L254" s="154"/>
      <c r="M254" s="154"/>
      <c r="N254" s="154"/>
      <c r="O254" s="154"/>
      <c r="P254" s="154"/>
      <c r="Q254" s="154"/>
      <c r="R254" s="154"/>
      <c r="S254" s="154"/>
      <c r="T254" s="154"/>
      <c r="U254" s="154"/>
      <c r="V254" s="159"/>
      <c r="W254" s="387"/>
      <c r="X254" s="154"/>
      <c r="Y254" s="129"/>
      <c r="Z254" s="130"/>
      <c r="AA254" s="130"/>
      <c r="AB254" s="130"/>
      <c r="AC254" s="125"/>
      <c r="AE254" s="154"/>
      <c r="AF254" s="154"/>
      <c r="AG254" s="154"/>
      <c r="AH254" s="129"/>
      <c r="AI254" s="130"/>
      <c r="AK254" s="154"/>
      <c r="AL254" s="154"/>
      <c r="AM254" s="154"/>
      <c r="AN254" s="129"/>
      <c r="AO254" s="130"/>
      <c r="AQ254" s="154"/>
      <c r="AR254" s="154"/>
      <c r="AS254" s="154"/>
      <c r="AT254" s="129"/>
      <c r="AU254" s="130"/>
      <c r="AW254" s="154"/>
      <c r="AX254" s="154"/>
      <c r="AY254" s="154"/>
      <c r="AZ254" s="129"/>
      <c r="BA254" s="130"/>
    </row>
    <row r="255" spans="1:53" ht="17.100000000000001" customHeight="1" x14ac:dyDescent="0.25">
      <c r="A255" s="40"/>
      <c r="B255" s="40"/>
      <c r="C255" s="68"/>
      <c r="D255" s="153" t="s">
        <v>945</v>
      </c>
      <c r="E255" s="142"/>
      <c r="F255" s="143"/>
      <c r="G255" s="143"/>
      <c r="H255" s="119"/>
      <c r="I255" s="236"/>
      <c r="J255" s="527">
        <f>J248</f>
        <v>0.39285714285714202</v>
      </c>
      <c r="K255" s="527"/>
      <c r="L255" s="154"/>
      <c r="M255" s="154"/>
      <c r="N255" s="154"/>
      <c r="O255" s="154"/>
      <c r="P255" s="154"/>
      <c r="Q255" s="154"/>
      <c r="R255" s="154"/>
      <c r="S255" s="154"/>
      <c r="T255" s="154"/>
      <c r="U255" s="154"/>
      <c r="V255" s="159"/>
      <c r="W255" s="387"/>
      <c r="X255" s="154"/>
      <c r="Y255" s="129"/>
      <c r="Z255" s="130"/>
      <c r="AA255" s="130"/>
      <c r="AB255" s="130"/>
      <c r="AC255" s="125"/>
      <c r="AE255" s="154"/>
      <c r="AF255" s="154"/>
      <c r="AG255" s="154"/>
      <c r="AH255" s="129"/>
      <c r="AI255" s="130"/>
      <c r="AK255" s="154"/>
      <c r="AL255" s="154"/>
      <c r="AM255" s="154"/>
      <c r="AN255" s="129"/>
      <c r="AO255" s="130"/>
      <c r="AQ255" s="154"/>
      <c r="AR255" s="154"/>
      <c r="AS255" s="154"/>
      <c r="AT255" s="129"/>
      <c r="AU255" s="130"/>
      <c r="AW255" s="154"/>
      <c r="AX255" s="154"/>
      <c r="AY255" s="154"/>
      <c r="AZ255" s="129"/>
      <c r="BA255" s="130"/>
    </row>
    <row r="256" spans="1:53" ht="17.100000000000001" customHeight="1" x14ac:dyDescent="0.25">
      <c r="A256" s="40"/>
      <c r="B256" s="40"/>
      <c r="C256" s="40"/>
      <c r="D256" s="69" t="s">
        <v>413</v>
      </c>
      <c r="E256" s="322"/>
      <c r="F256" s="301"/>
      <c r="G256" s="301"/>
      <c r="H256" s="421"/>
      <c r="I256" s="236"/>
      <c r="J256" s="529"/>
      <c r="K256" s="529"/>
      <c r="L256" s="87"/>
      <c r="M256" s="87"/>
      <c r="N256" s="87"/>
      <c r="O256" s="87"/>
      <c r="P256" s="87"/>
      <c r="Q256" s="87"/>
      <c r="R256" s="87"/>
      <c r="S256" s="87"/>
      <c r="T256" s="87"/>
      <c r="U256" s="87"/>
      <c r="V256" s="530"/>
      <c r="W256" s="531"/>
      <c r="X256" s="87"/>
      <c r="Y256" s="89"/>
      <c r="Z256" s="90"/>
      <c r="AA256" s="90"/>
      <c r="AB256" s="90"/>
      <c r="AC256" s="73"/>
      <c r="AE256" s="154"/>
      <c r="AF256" s="154"/>
      <c r="AG256" s="154"/>
      <c r="AH256" s="129"/>
      <c r="AI256" s="130"/>
      <c r="AK256" s="154"/>
      <c r="AL256" s="154"/>
      <c r="AM256" s="154"/>
      <c r="AN256" s="129"/>
      <c r="AO256" s="130"/>
      <c r="AQ256" s="154"/>
      <c r="AR256" s="154"/>
      <c r="AS256" s="154"/>
      <c r="AT256" s="129"/>
      <c r="AU256" s="130"/>
      <c r="AW256" s="154"/>
      <c r="AX256" s="154"/>
      <c r="AY256" s="154"/>
      <c r="AZ256" s="129"/>
      <c r="BA256" s="130"/>
    </row>
    <row r="257" spans="1:53" ht="17.100000000000001" customHeight="1" x14ac:dyDescent="0.25">
      <c r="A257" s="40"/>
      <c r="B257" s="40"/>
      <c r="C257" s="119"/>
      <c r="D257" s="293" t="s">
        <v>935</v>
      </c>
      <c r="E257" s="142"/>
      <c r="F257" s="143"/>
      <c r="G257" s="143"/>
      <c r="H257" s="119"/>
      <c r="I257" s="236"/>
      <c r="J257" s="532"/>
      <c r="K257" s="532"/>
      <c r="L257" s="533">
        <f>(1*J250+3*J251)</f>
        <v>1.4732142857142827</v>
      </c>
      <c r="M257" s="533">
        <f>L257*N257</f>
        <v>0</v>
      </c>
      <c r="N257" s="532">
        <f t="shared" ref="N257:O259" si="313">N170</f>
        <v>0</v>
      </c>
      <c r="O257" s="532">
        <f t="shared" si="313"/>
        <v>0</v>
      </c>
      <c r="P257" s="532"/>
      <c r="Q257" s="532">
        <f t="shared" ref="Q257:R259" si="314">Q170</f>
        <v>0</v>
      </c>
      <c r="R257" s="532">
        <f t="shared" si="314"/>
        <v>0</v>
      </c>
      <c r="S257" s="532"/>
      <c r="T257" s="532">
        <f t="shared" ref="T257:U259" si="315">T170</f>
        <v>0</v>
      </c>
      <c r="U257" s="532">
        <f t="shared" si="315"/>
        <v>0</v>
      </c>
      <c r="V257" s="159"/>
      <c r="W257" s="387"/>
      <c r="X257" s="154"/>
      <c r="Y257" s="129"/>
      <c r="Z257" s="130"/>
      <c r="AA257" s="130"/>
      <c r="AB257" s="130"/>
      <c r="AC257" s="125"/>
      <c r="AE257" s="154"/>
      <c r="AF257" s="154"/>
      <c r="AG257" s="154"/>
      <c r="AH257" s="129"/>
      <c r="AI257" s="130"/>
      <c r="AK257" s="154"/>
      <c r="AL257" s="154"/>
      <c r="AM257" s="154"/>
      <c r="AN257" s="129"/>
      <c r="AO257" s="130"/>
      <c r="AQ257" s="154"/>
      <c r="AR257" s="154"/>
      <c r="AS257" s="154"/>
      <c r="AT257" s="129"/>
      <c r="AU257" s="130"/>
      <c r="AW257" s="154"/>
      <c r="AX257" s="154"/>
      <c r="AY257" s="154"/>
      <c r="AZ257" s="129"/>
      <c r="BA257" s="130"/>
    </row>
    <row r="258" spans="1:53" ht="17.100000000000001" customHeight="1" x14ac:dyDescent="0.25">
      <c r="A258" s="40"/>
      <c r="B258" s="40"/>
      <c r="C258" s="119"/>
      <c r="D258" s="293" t="s">
        <v>927</v>
      </c>
      <c r="E258" s="142"/>
      <c r="F258" s="143"/>
      <c r="G258" s="143"/>
      <c r="H258" s="119"/>
      <c r="I258" s="236"/>
      <c r="J258" s="532"/>
      <c r="K258" s="532"/>
      <c r="L258" s="533">
        <f>(1*J252+3*J253)</f>
        <v>1.3749999999999971</v>
      </c>
      <c r="M258" s="533">
        <f t="shared" ref="M258:M259" si="316">L258*N258</f>
        <v>0</v>
      </c>
      <c r="N258" s="532">
        <f t="shared" si="313"/>
        <v>0</v>
      </c>
      <c r="O258" s="532">
        <f t="shared" si="313"/>
        <v>1</v>
      </c>
      <c r="P258" s="532"/>
      <c r="Q258" s="532">
        <f t="shared" si="314"/>
        <v>0</v>
      </c>
      <c r="R258" s="532">
        <f t="shared" si="314"/>
        <v>0</v>
      </c>
      <c r="S258" s="532"/>
      <c r="T258" s="532">
        <f t="shared" si="315"/>
        <v>0</v>
      </c>
      <c r="U258" s="532">
        <f t="shared" si="315"/>
        <v>0</v>
      </c>
      <c r="V258" s="159"/>
      <c r="W258" s="387"/>
      <c r="X258" s="154"/>
      <c r="Y258" s="129"/>
      <c r="Z258" s="130"/>
      <c r="AA258" s="130"/>
      <c r="AB258" s="130"/>
      <c r="AC258" s="125"/>
      <c r="AE258" s="154"/>
      <c r="AF258" s="154"/>
      <c r="AG258" s="154"/>
      <c r="AH258" s="129"/>
      <c r="AI258" s="130"/>
      <c r="AK258" s="154"/>
      <c r="AL258" s="154"/>
      <c r="AM258" s="154"/>
      <c r="AN258" s="129"/>
      <c r="AO258" s="130"/>
      <c r="AQ258" s="154"/>
      <c r="AR258" s="154"/>
      <c r="AS258" s="154"/>
      <c r="AT258" s="129"/>
      <c r="AU258" s="130"/>
      <c r="AW258" s="154"/>
      <c r="AX258" s="154"/>
      <c r="AY258" s="154"/>
      <c r="AZ258" s="129"/>
      <c r="BA258" s="130"/>
    </row>
    <row r="259" spans="1:53" ht="17.100000000000001" customHeight="1" x14ac:dyDescent="0.25">
      <c r="A259" s="40"/>
      <c r="B259" s="40"/>
      <c r="C259" s="119"/>
      <c r="D259" s="293" t="s">
        <v>936</v>
      </c>
      <c r="E259" s="142"/>
      <c r="F259" s="143"/>
      <c r="G259" s="143"/>
      <c r="H259" s="119"/>
      <c r="I259" s="236"/>
      <c r="J259" s="532"/>
      <c r="K259" s="532"/>
      <c r="L259" s="533">
        <f>(5*J255)</f>
        <v>1.96428571428571</v>
      </c>
      <c r="M259" s="533">
        <f t="shared" si="316"/>
        <v>0</v>
      </c>
      <c r="N259" s="532">
        <f t="shared" si="313"/>
        <v>0</v>
      </c>
      <c r="O259" s="532">
        <f t="shared" si="313"/>
        <v>8</v>
      </c>
      <c r="P259" s="532"/>
      <c r="Q259" s="532">
        <f t="shared" si="314"/>
        <v>0</v>
      </c>
      <c r="R259" s="532">
        <f t="shared" si="314"/>
        <v>0</v>
      </c>
      <c r="S259" s="532"/>
      <c r="T259" s="532">
        <f t="shared" si="315"/>
        <v>0</v>
      </c>
      <c r="U259" s="532">
        <f t="shared" si="315"/>
        <v>0</v>
      </c>
      <c r="V259" s="159"/>
      <c r="W259" s="387"/>
      <c r="X259" s="154"/>
      <c r="Y259" s="129"/>
      <c r="Z259" s="130"/>
      <c r="AA259" s="130"/>
      <c r="AB259" s="130"/>
      <c r="AC259" s="125"/>
      <c r="AE259" s="154"/>
      <c r="AF259" s="154"/>
      <c r="AG259" s="154"/>
      <c r="AH259" s="129"/>
      <c r="AI259" s="130"/>
      <c r="AK259" s="154"/>
      <c r="AL259" s="154"/>
      <c r="AM259" s="154"/>
      <c r="AN259" s="129"/>
      <c r="AO259" s="130"/>
      <c r="AQ259" s="154"/>
      <c r="AR259" s="154"/>
      <c r="AS259" s="154"/>
      <c r="AT259" s="129"/>
      <c r="AU259" s="130"/>
      <c r="AW259" s="154"/>
      <c r="AX259" s="154"/>
      <c r="AY259" s="154"/>
      <c r="AZ259" s="129"/>
      <c r="BA259" s="130"/>
    </row>
    <row r="260" spans="1:53" ht="17.100000000000001" customHeight="1" x14ac:dyDescent="0.25">
      <c r="A260" s="40"/>
      <c r="B260" s="40"/>
      <c r="C260" s="119"/>
      <c r="D260" s="293" t="s">
        <v>922</v>
      </c>
      <c r="E260" s="142"/>
      <c r="F260" s="143"/>
      <c r="G260" s="143"/>
      <c r="H260" s="119"/>
      <c r="I260" s="236"/>
      <c r="J260" s="532"/>
      <c r="K260" s="532"/>
      <c r="L260" s="532"/>
      <c r="M260" s="533">
        <f>SUM(M257:M259)</f>
        <v>0</v>
      </c>
      <c r="N260" s="532">
        <f>SUM(N257:N259)</f>
        <v>0</v>
      </c>
      <c r="O260" s="532"/>
      <c r="P260" s="532"/>
      <c r="Q260" s="532"/>
      <c r="R260" s="532"/>
      <c r="S260" s="532"/>
      <c r="T260" s="532"/>
      <c r="U260" s="532"/>
      <c r="V260" s="159"/>
      <c r="W260" s="387"/>
      <c r="X260" s="154"/>
      <c r="Y260" s="129"/>
      <c r="Z260" s="130"/>
      <c r="AA260" s="130"/>
      <c r="AB260" s="130"/>
      <c r="AC260" s="125"/>
      <c r="AE260" s="154"/>
      <c r="AF260" s="154"/>
      <c r="AG260" s="154"/>
      <c r="AH260" s="129"/>
      <c r="AI260" s="130"/>
      <c r="AK260" s="154"/>
      <c r="AL260" s="154"/>
      <c r="AM260" s="154"/>
      <c r="AN260" s="129"/>
      <c r="AO260" s="130"/>
      <c r="AQ260" s="154"/>
      <c r="AR260" s="154"/>
      <c r="AS260" s="154"/>
      <c r="AT260" s="129"/>
      <c r="AU260" s="130"/>
      <c r="AW260" s="154"/>
      <c r="AX260" s="154"/>
      <c r="AY260" s="154"/>
      <c r="AZ260" s="129"/>
      <c r="BA260" s="130"/>
    </row>
    <row r="261" spans="1:53" ht="17.100000000000001" customHeight="1" x14ac:dyDescent="0.25">
      <c r="A261" s="40"/>
      <c r="B261" s="40"/>
      <c r="C261" s="119"/>
      <c r="D261" s="69" t="s">
        <v>124</v>
      </c>
      <c r="E261" s="322"/>
      <c r="F261" s="301"/>
      <c r="G261" s="301"/>
      <c r="H261" s="421"/>
      <c r="I261" s="236"/>
      <c r="J261" s="529"/>
      <c r="K261" s="529"/>
      <c r="L261" s="87"/>
      <c r="M261" s="87"/>
      <c r="N261" s="87"/>
      <c r="O261" s="87"/>
      <c r="P261" s="87"/>
      <c r="Q261" s="87"/>
      <c r="R261" s="87"/>
      <c r="S261" s="87"/>
      <c r="T261" s="87"/>
      <c r="U261" s="87"/>
      <c r="V261" s="530"/>
      <c r="W261" s="531"/>
      <c r="X261" s="87"/>
      <c r="Y261" s="89"/>
      <c r="Z261" s="90"/>
      <c r="AA261" s="90"/>
      <c r="AB261" s="90"/>
      <c r="AC261" s="73"/>
      <c r="AE261" s="154"/>
      <c r="AF261" s="154"/>
      <c r="AG261" s="154"/>
      <c r="AH261" s="129"/>
      <c r="AI261" s="130"/>
      <c r="AK261" s="154"/>
      <c r="AL261" s="154"/>
      <c r="AM261" s="154"/>
      <c r="AN261" s="129"/>
      <c r="AO261" s="130"/>
      <c r="AQ261" s="154"/>
      <c r="AR261" s="154"/>
      <c r="AS261" s="154"/>
      <c r="AT261" s="129"/>
      <c r="AU261" s="130"/>
      <c r="AW261" s="154"/>
      <c r="AX261" s="154"/>
      <c r="AY261" s="154"/>
      <c r="AZ261" s="129"/>
      <c r="BA261" s="130"/>
    </row>
    <row r="262" spans="1:53" ht="17.100000000000001" customHeight="1" x14ac:dyDescent="0.25">
      <c r="A262" s="40"/>
      <c r="B262" s="40"/>
      <c r="C262" s="119"/>
      <c r="D262" s="931" t="s">
        <v>666</v>
      </c>
      <c r="E262" s="150"/>
      <c r="F262" s="151"/>
      <c r="G262" s="151"/>
      <c r="H262" s="119"/>
      <c r="I262" s="236"/>
      <c r="J262" s="152"/>
      <c r="K262" s="152"/>
      <c r="L262" s="111"/>
      <c r="M262" s="111"/>
      <c r="N262" s="111"/>
      <c r="O262" s="111"/>
      <c r="P262" s="111"/>
      <c r="Q262" s="111"/>
      <c r="R262" s="111"/>
      <c r="S262" s="111"/>
      <c r="T262" s="111"/>
      <c r="U262" s="111"/>
      <c r="V262" s="358"/>
      <c r="W262" s="380"/>
      <c r="X262" s="111"/>
      <c r="Y262" s="932"/>
      <c r="Z262" s="131"/>
      <c r="AA262" s="131"/>
      <c r="AB262" s="131"/>
      <c r="AC262" s="113"/>
      <c r="AE262" s="152"/>
      <c r="AF262" s="152"/>
      <c r="AG262" s="111"/>
      <c r="AH262" s="932"/>
      <c r="AI262" s="131"/>
      <c r="AK262" s="152"/>
      <c r="AL262" s="152"/>
      <c r="AM262" s="111"/>
      <c r="AN262" s="932"/>
      <c r="AO262" s="131"/>
      <c r="AQ262" s="152"/>
      <c r="AR262" s="152"/>
      <c r="AS262" s="111"/>
      <c r="AT262" s="932"/>
      <c r="AU262" s="131"/>
      <c r="AW262" s="152"/>
      <c r="AX262" s="152"/>
      <c r="AY262" s="111"/>
      <c r="AZ262" s="932"/>
      <c r="BA262" s="131"/>
    </row>
    <row r="263" spans="1:53" ht="17.100000000000001" customHeight="1" x14ac:dyDescent="0.25">
      <c r="A263" s="40"/>
      <c r="B263" s="40"/>
      <c r="C263" s="119"/>
      <c r="D263" s="293" t="s">
        <v>414</v>
      </c>
      <c r="E263" s="142"/>
      <c r="F263" s="143"/>
      <c r="G263" s="143"/>
      <c r="H263" s="245"/>
      <c r="I263" s="239"/>
      <c r="J263" s="154"/>
      <c r="K263" s="154"/>
      <c r="L263" s="154"/>
      <c r="M263" s="154"/>
      <c r="N263" s="154">
        <f t="shared" ref="N263:O268" si="317">N178</f>
        <v>0</v>
      </c>
      <c r="O263" s="154">
        <f t="shared" si="317"/>
        <v>0</v>
      </c>
      <c r="P263" s="154"/>
      <c r="Q263" s="154">
        <f>Q178</f>
        <v>0</v>
      </c>
      <c r="R263" s="154">
        <f>R178</f>
        <v>0</v>
      </c>
      <c r="S263" s="154"/>
      <c r="T263" s="154">
        <f>T178</f>
        <v>0</v>
      </c>
      <c r="U263" s="154">
        <f>U178</f>
        <v>0</v>
      </c>
      <c r="V263" s="159"/>
      <c r="W263" s="387"/>
      <c r="X263" s="154"/>
      <c r="Y263" s="129"/>
      <c r="Z263" s="130"/>
      <c r="AA263" s="130"/>
      <c r="AB263" s="130"/>
      <c r="AC263" s="125"/>
      <c r="AE263" s="154"/>
      <c r="AF263" s="154"/>
      <c r="AG263" s="154"/>
      <c r="AH263" s="129"/>
      <c r="AI263" s="130"/>
      <c r="AK263" s="154"/>
      <c r="AL263" s="154"/>
      <c r="AM263" s="154"/>
      <c r="AN263" s="129"/>
      <c r="AO263" s="130"/>
      <c r="AQ263" s="154"/>
      <c r="AR263" s="154"/>
      <c r="AS263" s="154"/>
      <c r="AT263" s="129"/>
      <c r="AU263" s="130"/>
      <c r="AW263" s="154"/>
      <c r="AX263" s="154"/>
      <c r="AY263" s="154"/>
      <c r="AZ263" s="129"/>
      <c r="BA263" s="130"/>
    </row>
    <row r="264" spans="1:53" ht="17.100000000000001" customHeight="1" x14ac:dyDescent="0.25">
      <c r="A264" s="40"/>
      <c r="B264" s="40"/>
      <c r="C264" s="119"/>
      <c r="D264" s="293" t="s">
        <v>415</v>
      </c>
      <c r="E264" s="142"/>
      <c r="F264" s="143"/>
      <c r="G264" s="143"/>
      <c r="H264" s="245"/>
      <c r="I264" s="239"/>
      <c r="J264" s="154"/>
      <c r="K264" s="154"/>
      <c r="L264" s="154"/>
      <c r="M264" s="154"/>
      <c r="N264" s="154">
        <f t="shared" si="317"/>
        <v>0</v>
      </c>
      <c r="O264" s="154">
        <f t="shared" si="317"/>
        <v>1</v>
      </c>
      <c r="P264" s="154"/>
      <c r="Q264" s="154">
        <f t="shared" ref="Q264:R268" si="318">Q179</f>
        <v>0</v>
      </c>
      <c r="R264" s="154">
        <f t="shared" si="318"/>
        <v>0</v>
      </c>
      <c r="S264" s="154"/>
      <c r="T264" s="154">
        <f t="shared" ref="T264:U268" si="319">T179</f>
        <v>0</v>
      </c>
      <c r="U264" s="154">
        <f t="shared" si="319"/>
        <v>0</v>
      </c>
      <c r="V264" s="159"/>
      <c r="W264" s="387"/>
      <c r="X264" s="154"/>
      <c r="Y264" s="129"/>
      <c r="Z264" s="130"/>
      <c r="AA264" s="130"/>
      <c r="AB264" s="130"/>
      <c r="AC264" s="125"/>
      <c r="AE264" s="154"/>
      <c r="AF264" s="154"/>
      <c r="AG264" s="154"/>
      <c r="AH264" s="129"/>
      <c r="AI264" s="130"/>
      <c r="AK264" s="154"/>
      <c r="AL264" s="154"/>
      <c r="AM264" s="154"/>
      <c r="AN264" s="129"/>
      <c r="AO264" s="130"/>
      <c r="AQ264" s="154"/>
      <c r="AR264" s="154"/>
      <c r="AS264" s="154"/>
      <c r="AT264" s="129"/>
      <c r="AU264" s="130"/>
      <c r="AW264" s="154"/>
      <c r="AX264" s="154"/>
      <c r="AY264" s="154"/>
      <c r="AZ264" s="129"/>
      <c r="BA264" s="130"/>
    </row>
    <row r="265" spans="1:53" ht="17.100000000000001" customHeight="1" x14ac:dyDescent="0.25">
      <c r="A265" s="40"/>
      <c r="B265" s="40"/>
      <c r="C265" s="119"/>
      <c r="D265" s="293" t="s">
        <v>416</v>
      </c>
      <c r="E265" s="142"/>
      <c r="F265" s="143"/>
      <c r="G265" s="143"/>
      <c r="H265" s="245"/>
      <c r="I265" s="239"/>
      <c r="J265" s="154"/>
      <c r="K265" s="154"/>
      <c r="L265" s="154"/>
      <c r="M265" s="154"/>
      <c r="N265" s="154">
        <f t="shared" si="317"/>
        <v>0</v>
      </c>
      <c r="O265" s="154">
        <f t="shared" si="317"/>
        <v>5</v>
      </c>
      <c r="P265" s="154"/>
      <c r="Q265" s="154">
        <f t="shared" si="318"/>
        <v>0</v>
      </c>
      <c r="R265" s="154">
        <f t="shared" si="318"/>
        <v>0</v>
      </c>
      <c r="S265" s="154"/>
      <c r="T265" s="154">
        <f t="shared" si="319"/>
        <v>0</v>
      </c>
      <c r="U265" s="154">
        <f t="shared" si="319"/>
        <v>0</v>
      </c>
      <c r="V265" s="159"/>
      <c r="W265" s="387"/>
      <c r="X265" s="154"/>
      <c r="Y265" s="129"/>
      <c r="Z265" s="130"/>
      <c r="AA265" s="130"/>
      <c r="AB265" s="130"/>
      <c r="AC265" s="125"/>
      <c r="AE265" s="154"/>
      <c r="AF265" s="154"/>
      <c r="AG265" s="154"/>
      <c r="AH265" s="129"/>
      <c r="AI265" s="130"/>
      <c r="AK265" s="154"/>
      <c r="AL265" s="154"/>
      <c r="AM265" s="154"/>
      <c r="AN265" s="129"/>
      <c r="AO265" s="130"/>
      <c r="AQ265" s="154"/>
      <c r="AR265" s="154"/>
      <c r="AS265" s="154"/>
      <c r="AT265" s="129"/>
      <c r="AU265" s="130"/>
      <c r="AW265" s="154"/>
      <c r="AX265" s="154"/>
      <c r="AY265" s="154"/>
      <c r="AZ265" s="129"/>
      <c r="BA265" s="130"/>
    </row>
    <row r="266" spans="1:53" ht="17.100000000000001" customHeight="1" x14ac:dyDescent="0.25">
      <c r="A266" s="40"/>
      <c r="B266" s="40"/>
      <c r="C266" s="119"/>
      <c r="D266" s="293" t="s">
        <v>127</v>
      </c>
      <c r="E266" s="142"/>
      <c r="F266" s="143"/>
      <c r="G266" s="143"/>
      <c r="H266" s="245"/>
      <c r="I266" s="239"/>
      <c r="J266" s="154"/>
      <c r="K266" s="154"/>
      <c r="L266" s="154"/>
      <c r="M266" s="154"/>
      <c r="N266" s="154">
        <f t="shared" si="317"/>
        <v>0</v>
      </c>
      <c r="O266" s="154">
        <f t="shared" si="317"/>
        <v>3</v>
      </c>
      <c r="P266" s="154"/>
      <c r="Q266" s="154">
        <f t="shared" si="318"/>
        <v>0</v>
      </c>
      <c r="R266" s="154">
        <f t="shared" si="318"/>
        <v>0</v>
      </c>
      <c r="S266" s="154"/>
      <c r="T266" s="154">
        <f t="shared" si="319"/>
        <v>0</v>
      </c>
      <c r="U266" s="154">
        <f t="shared" si="319"/>
        <v>0</v>
      </c>
      <c r="V266" s="159"/>
      <c r="W266" s="387"/>
      <c r="X266" s="154"/>
      <c r="Y266" s="129"/>
      <c r="Z266" s="130"/>
      <c r="AA266" s="130"/>
      <c r="AB266" s="130"/>
      <c r="AC266" s="125"/>
      <c r="AE266" s="154"/>
      <c r="AF266" s="154"/>
      <c r="AG266" s="154"/>
      <c r="AH266" s="129"/>
      <c r="AI266" s="130"/>
      <c r="AK266" s="154"/>
      <c r="AL266" s="154"/>
      <c r="AM266" s="154"/>
      <c r="AN266" s="129"/>
      <c r="AO266" s="130"/>
      <c r="AQ266" s="154"/>
      <c r="AR266" s="154"/>
      <c r="AS266" s="154"/>
      <c r="AT266" s="129"/>
      <c r="AU266" s="130"/>
      <c r="AW266" s="154"/>
      <c r="AX266" s="154"/>
      <c r="AY266" s="154"/>
      <c r="AZ266" s="129"/>
      <c r="BA266" s="130"/>
    </row>
    <row r="267" spans="1:53" ht="17.100000000000001" customHeight="1" x14ac:dyDescent="0.25">
      <c r="A267" s="40"/>
      <c r="B267" s="40"/>
      <c r="C267" s="119"/>
      <c r="D267" s="293" t="s">
        <v>417</v>
      </c>
      <c r="E267" s="142"/>
      <c r="F267" s="143"/>
      <c r="G267" s="143"/>
      <c r="H267" s="245"/>
      <c r="I267" s="239"/>
      <c r="J267" s="154"/>
      <c r="K267" s="154"/>
      <c r="L267" s="154"/>
      <c r="M267" s="154"/>
      <c r="N267" s="154">
        <f t="shared" si="317"/>
        <v>0</v>
      </c>
      <c r="O267" s="154">
        <f t="shared" si="317"/>
        <v>0</v>
      </c>
      <c r="P267" s="154"/>
      <c r="Q267" s="154">
        <f t="shared" si="318"/>
        <v>0</v>
      </c>
      <c r="R267" s="154">
        <f t="shared" si="318"/>
        <v>0</v>
      </c>
      <c r="S267" s="154"/>
      <c r="T267" s="154">
        <f t="shared" si="319"/>
        <v>0</v>
      </c>
      <c r="U267" s="154">
        <f t="shared" si="319"/>
        <v>0</v>
      </c>
      <c r="V267" s="159"/>
      <c r="W267" s="387"/>
      <c r="X267" s="154"/>
      <c r="Y267" s="129"/>
      <c r="Z267" s="130"/>
      <c r="AA267" s="130"/>
      <c r="AB267" s="130"/>
      <c r="AC267" s="125"/>
      <c r="AE267" s="154"/>
      <c r="AF267" s="154"/>
      <c r="AG267" s="154"/>
      <c r="AH267" s="129"/>
      <c r="AI267" s="130"/>
      <c r="AK267" s="154"/>
      <c r="AL267" s="154"/>
      <c r="AM267" s="154"/>
      <c r="AN267" s="129"/>
      <c r="AO267" s="130"/>
      <c r="AQ267" s="154"/>
      <c r="AR267" s="154"/>
      <c r="AS267" s="154"/>
      <c r="AT267" s="129"/>
      <c r="AU267" s="130"/>
      <c r="AW267" s="154"/>
      <c r="AX267" s="154"/>
      <c r="AY267" s="154"/>
      <c r="AZ267" s="129"/>
      <c r="BA267" s="130"/>
    </row>
    <row r="268" spans="1:53" ht="17.100000000000001" customHeight="1" x14ac:dyDescent="0.25">
      <c r="A268" s="40"/>
      <c r="B268" s="40"/>
      <c r="C268" s="119"/>
      <c r="D268" s="293" t="s">
        <v>418</v>
      </c>
      <c r="E268" s="142"/>
      <c r="F268" s="143"/>
      <c r="G268" s="143"/>
      <c r="H268" s="245"/>
      <c r="I268" s="239"/>
      <c r="J268" s="154"/>
      <c r="K268" s="154"/>
      <c r="L268" s="154"/>
      <c r="M268" s="154"/>
      <c r="N268" s="154">
        <f t="shared" si="317"/>
        <v>0</v>
      </c>
      <c r="O268" s="154">
        <f t="shared" si="317"/>
        <v>0</v>
      </c>
      <c r="P268" s="154"/>
      <c r="Q268" s="154">
        <f t="shared" si="318"/>
        <v>0</v>
      </c>
      <c r="R268" s="154">
        <f t="shared" si="318"/>
        <v>0</v>
      </c>
      <c r="S268" s="154"/>
      <c r="T268" s="154">
        <f t="shared" si="319"/>
        <v>0</v>
      </c>
      <c r="U268" s="154">
        <f t="shared" si="319"/>
        <v>0</v>
      </c>
      <c r="V268" s="159"/>
      <c r="W268" s="387"/>
      <c r="X268" s="154"/>
      <c r="Y268" s="129"/>
      <c r="Z268" s="130"/>
      <c r="AA268" s="130"/>
      <c r="AB268" s="130"/>
      <c r="AC268" s="125"/>
      <c r="AE268" s="154"/>
      <c r="AF268" s="154"/>
      <c r="AG268" s="154"/>
      <c r="AH268" s="129"/>
      <c r="AI268" s="130"/>
      <c r="AK268" s="154"/>
      <c r="AL268" s="154"/>
      <c r="AM268" s="154"/>
      <c r="AN268" s="129"/>
      <c r="AO268" s="130"/>
      <c r="AQ268" s="154"/>
      <c r="AR268" s="154"/>
      <c r="AS268" s="154"/>
      <c r="AT268" s="129"/>
      <c r="AU268" s="130"/>
      <c r="AW268" s="154"/>
      <c r="AX268" s="154"/>
      <c r="AY268" s="154"/>
      <c r="AZ268" s="129"/>
      <c r="BA268" s="130"/>
    </row>
    <row r="269" spans="1:53" s="158" customFormat="1" ht="17.100000000000001" customHeight="1" x14ac:dyDescent="0.25">
      <c r="A269" s="102"/>
      <c r="B269" s="102"/>
      <c r="C269" s="928"/>
      <c r="D269" s="944" t="s">
        <v>922</v>
      </c>
      <c r="E269" s="945"/>
      <c r="F269" s="946"/>
      <c r="G269" s="946"/>
      <c r="H269" s="242"/>
      <c r="I269" s="230"/>
      <c r="J269" s="160"/>
      <c r="K269" s="160"/>
      <c r="L269" s="160"/>
      <c r="M269" s="160"/>
      <c r="N269" s="160">
        <f>SUM(N263:N268)</f>
        <v>0</v>
      </c>
      <c r="O269" s="160">
        <f>SUM(O263:O268)</f>
        <v>9</v>
      </c>
      <c r="P269" s="160"/>
      <c r="Q269" s="160">
        <f>SUM(Q263:Q268)</f>
        <v>0</v>
      </c>
      <c r="R269" s="160">
        <f>SUM(R263:R268)</f>
        <v>0</v>
      </c>
      <c r="S269" s="160"/>
      <c r="T269" s="160">
        <f>SUM(T263:T268)</f>
        <v>0</v>
      </c>
      <c r="U269" s="160">
        <f>SUM(U263:U268)</f>
        <v>0</v>
      </c>
      <c r="V269" s="947"/>
      <c r="W269" s="948"/>
      <c r="X269" s="160"/>
      <c r="Y269" s="129"/>
      <c r="Z269" s="949"/>
      <c r="AA269" s="949"/>
      <c r="AB269" s="949"/>
      <c r="AC269" s="904"/>
      <c r="AE269" s="160"/>
      <c r="AF269" s="160"/>
      <c r="AG269" s="160"/>
      <c r="AH269" s="129"/>
      <c r="AI269" s="949"/>
      <c r="AJ269" s="409"/>
      <c r="AK269" s="160"/>
      <c r="AL269" s="160"/>
      <c r="AM269" s="160"/>
      <c r="AN269" s="129"/>
      <c r="AO269" s="949"/>
      <c r="AP269" s="409"/>
      <c r="AQ269" s="160"/>
      <c r="AR269" s="160"/>
      <c r="AS269" s="160"/>
      <c r="AT269" s="129"/>
      <c r="AU269" s="949"/>
      <c r="AV269" s="409"/>
      <c r="AW269" s="160"/>
      <c r="AX269" s="160"/>
      <c r="AY269" s="160"/>
      <c r="AZ269" s="129"/>
      <c r="BA269" s="949"/>
    </row>
    <row r="270" spans="1:53" ht="17.100000000000001" customHeight="1" x14ac:dyDescent="0.25">
      <c r="A270" s="40"/>
      <c r="B270" s="40"/>
      <c r="C270" s="119"/>
      <c r="D270" s="293" t="s">
        <v>938</v>
      </c>
      <c r="E270" s="142"/>
      <c r="F270" s="143"/>
      <c r="G270" s="143"/>
      <c r="H270" s="245"/>
      <c r="I270" s="239"/>
      <c r="J270" s="154"/>
      <c r="K270" s="154"/>
      <c r="L270" s="154"/>
      <c r="M270" s="154"/>
      <c r="N270" s="154"/>
      <c r="O270" s="154"/>
      <c r="P270" s="154"/>
      <c r="Q270" s="154"/>
      <c r="R270" s="154"/>
      <c r="S270" s="154"/>
      <c r="T270" s="154"/>
      <c r="U270" s="154"/>
      <c r="V270" s="159"/>
      <c r="W270" s="387"/>
      <c r="X270" s="154"/>
      <c r="Y270" s="129"/>
      <c r="Z270" s="130"/>
      <c r="AA270" s="130"/>
      <c r="AB270" s="130"/>
      <c r="AC270" s="125"/>
      <c r="AE270" s="154"/>
      <c r="AF270" s="154"/>
      <c r="AG270" s="154"/>
      <c r="AH270" s="129"/>
      <c r="AI270" s="130"/>
      <c r="AK270" s="154"/>
      <c r="AL270" s="154"/>
      <c r="AM270" s="154"/>
      <c r="AN270" s="129"/>
      <c r="AO270" s="130"/>
      <c r="AQ270" s="154"/>
      <c r="AR270" s="154"/>
      <c r="AS270" s="154"/>
      <c r="AT270" s="129"/>
      <c r="AU270" s="130"/>
      <c r="AW270" s="154"/>
      <c r="AX270" s="154"/>
      <c r="AY270" s="154"/>
      <c r="AZ270" s="129"/>
      <c r="BA270" s="130"/>
    </row>
    <row r="271" spans="1:53" ht="17.100000000000001" customHeight="1" x14ac:dyDescent="0.25">
      <c r="A271" s="40"/>
      <c r="B271" s="40"/>
      <c r="C271" s="119"/>
      <c r="D271" s="293" t="s">
        <v>414</v>
      </c>
      <c r="E271" s="142"/>
      <c r="F271" s="143"/>
      <c r="G271" s="143"/>
      <c r="H271" s="245"/>
      <c r="I271" s="239"/>
      <c r="J271" s="154"/>
      <c r="K271" s="154"/>
      <c r="L271" s="154"/>
      <c r="M271" s="154"/>
      <c r="N271" s="950">
        <f>IF(N263&gt;0,N263*2,0)</f>
        <v>0</v>
      </c>
      <c r="O271" s="950">
        <f>IF(O263&gt;0,O263*2,0)</f>
        <v>0</v>
      </c>
      <c r="P271" s="154"/>
      <c r="Q271" s="950">
        <f>IF(Q263&gt;0,Q263*2,0)</f>
        <v>0</v>
      </c>
      <c r="R271" s="950">
        <f>IF(R263&gt;0,R263*2,0)</f>
        <v>0</v>
      </c>
      <c r="S271" s="154"/>
      <c r="T271" s="950">
        <f>IF(T263&gt;0,T263*2,0)</f>
        <v>0</v>
      </c>
      <c r="U271" s="950">
        <f>IF(U263&gt;0,U263*2,0)</f>
        <v>0</v>
      </c>
      <c r="V271" s="159"/>
      <c r="W271" s="387"/>
      <c r="X271" s="154"/>
      <c r="Y271" s="129"/>
      <c r="Z271" s="130"/>
      <c r="AA271" s="130"/>
      <c r="AB271" s="130"/>
      <c r="AC271" s="125"/>
      <c r="AE271" s="154"/>
      <c r="AF271" s="154"/>
      <c r="AG271" s="154"/>
      <c r="AH271" s="129"/>
      <c r="AI271" s="130"/>
      <c r="AK271" s="154"/>
      <c r="AL271" s="154"/>
      <c r="AM271" s="154"/>
      <c r="AN271" s="129"/>
      <c r="AO271" s="130"/>
      <c r="AQ271" s="154"/>
      <c r="AR271" s="154"/>
      <c r="AS271" s="154"/>
      <c r="AT271" s="129"/>
      <c r="AU271" s="130"/>
      <c r="AW271" s="154"/>
      <c r="AX271" s="154"/>
      <c r="AY271" s="154"/>
      <c r="AZ271" s="129"/>
      <c r="BA271" s="130"/>
    </row>
    <row r="272" spans="1:53" ht="17.100000000000001" customHeight="1" x14ac:dyDescent="0.25">
      <c r="A272" s="40"/>
      <c r="B272" s="40"/>
      <c r="C272" s="119"/>
      <c r="D272" s="293" t="s">
        <v>415</v>
      </c>
      <c r="E272" s="142"/>
      <c r="F272" s="143"/>
      <c r="G272" s="143"/>
      <c r="H272" s="245"/>
      <c r="I272" s="239"/>
      <c r="J272" s="154"/>
      <c r="K272" s="154"/>
      <c r="L272" s="154"/>
      <c r="M272" s="154"/>
      <c r="N272" s="950">
        <f>IF(N264&gt;0,N264*3,0)</f>
        <v>0</v>
      </c>
      <c r="O272" s="950">
        <f>IF(O264&gt;0,O264*3,0)</f>
        <v>3</v>
      </c>
      <c r="P272" s="154"/>
      <c r="Q272" s="950">
        <f>IF(Q264&gt;0,Q264*3,0)</f>
        <v>0</v>
      </c>
      <c r="R272" s="950">
        <f>IF(R264&gt;0,R264*3,0)</f>
        <v>0</v>
      </c>
      <c r="S272" s="154"/>
      <c r="T272" s="950">
        <f>IF(T264&gt;0,T264*3,0)</f>
        <v>0</v>
      </c>
      <c r="U272" s="950">
        <f>IF(U264&gt;0,U264*3,0)</f>
        <v>0</v>
      </c>
      <c r="V272" s="159"/>
      <c r="W272" s="387"/>
      <c r="X272" s="154"/>
      <c r="Y272" s="129"/>
      <c r="Z272" s="130"/>
      <c r="AA272" s="130"/>
      <c r="AB272" s="130"/>
      <c r="AC272" s="125"/>
      <c r="AE272" s="154"/>
      <c r="AF272" s="154"/>
      <c r="AG272" s="154"/>
      <c r="AH272" s="129"/>
      <c r="AI272" s="130"/>
      <c r="AK272" s="154"/>
      <c r="AL272" s="154"/>
      <c r="AM272" s="154"/>
      <c r="AN272" s="129"/>
      <c r="AO272" s="130"/>
      <c r="AQ272" s="154"/>
      <c r="AR272" s="154"/>
      <c r="AS272" s="154"/>
      <c r="AT272" s="129"/>
      <c r="AU272" s="130"/>
      <c r="AW272" s="154"/>
      <c r="AX272" s="154"/>
      <c r="AY272" s="154"/>
      <c r="AZ272" s="129"/>
      <c r="BA272" s="130"/>
    </row>
    <row r="273" spans="1:53" ht="17.100000000000001" customHeight="1" x14ac:dyDescent="0.25">
      <c r="A273" s="40"/>
      <c r="B273" s="40"/>
      <c r="C273" s="119"/>
      <c r="D273" s="293" t="s">
        <v>416</v>
      </c>
      <c r="E273" s="142"/>
      <c r="F273" s="143"/>
      <c r="G273" s="143"/>
      <c r="H273" s="245"/>
      <c r="I273" s="239"/>
      <c r="J273" s="154"/>
      <c r="K273" s="154"/>
      <c r="L273" s="154"/>
      <c r="M273" s="154"/>
      <c r="N273" s="950">
        <f>IF(N265&gt;0,N265*4,0)</f>
        <v>0</v>
      </c>
      <c r="O273" s="950">
        <f>IF(O265&gt;0,O265*4,0)</f>
        <v>20</v>
      </c>
      <c r="P273" s="154"/>
      <c r="Q273" s="950">
        <f>IF(Q265&gt;0,Q265*4,0)</f>
        <v>0</v>
      </c>
      <c r="R273" s="950">
        <f>IF(R265&gt;0,R265*4,0)</f>
        <v>0</v>
      </c>
      <c r="S273" s="154"/>
      <c r="T273" s="950">
        <f>IF(T265&gt;0,T265*4,0)</f>
        <v>0</v>
      </c>
      <c r="U273" s="950">
        <f>IF(U265&gt;0,U265*4,0)</f>
        <v>0</v>
      </c>
      <c r="V273" s="159"/>
      <c r="W273" s="387"/>
      <c r="X273" s="154"/>
      <c r="Y273" s="129"/>
      <c r="Z273" s="130"/>
      <c r="AA273" s="130"/>
      <c r="AB273" s="130"/>
      <c r="AC273" s="125"/>
      <c r="AE273" s="154"/>
      <c r="AF273" s="154"/>
      <c r="AG273" s="154"/>
      <c r="AH273" s="129"/>
      <c r="AI273" s="130"/>
      <c r="AK273" s="154"/>
      <c r="AL273" s="154"/>
      <c r="AM273" s="154"/>
      <c r="AN273" s="129"/>
      <c r="AO273" s="130"/>
      <c r="AQ273" s="154"/>
      <c r="AR273" s="154"/>
      <c r="AS273" s="154"/>
      <c r="AT273" s="129"/>
      <c r="AU273" s="130"/>
      <c r="AW273" s="154"/>
      <c r="AX273" s="154"/>
      <c r="AY273" s="154"/>
      <c r="AZ273" s="129"/>
      <c r="BA273" s="130"/>
    </row>
    <row r="274" spans="1:53" ht="17.100000000000001" customHeight="1" x14ac:dyDescent="0.25">
      <c r="A274" s="40"/>
      <c r="B274" s="40"/>
      <c r="C274" s="119"/>
      <c r="D274" s="293" t="s">
        <v>127</v>
      </c>
      <c r="E274" s="142"/>
      <c r="F274" s="143"/>
      <c r="G274" s="143"/>
      <c r="H274" s="245"/>
      <c r="I274" s="239"/>
      <c r="J274" s="154"/>
      <c r="K274" s="154"/>
      <c r="L274" s="154"/>
      <c r="M274" s="154"/>
      <c r="N274" s="950">
        <f>IF(N266&gt;0,N266*5,0)</f>
        <v>0</v>
      </c>
      <c r="O274" s="950">
        <f>IF(O266&gt;0,O266*5,0)</f>
        <v>15</v>
      </c>
      <c r="P274" s="154"/>
      <c r="Q274" s="950">
        <f>IF(Q266&gt;0,Q266*5,0)</f>
        <v>0</v>
      </c>
      <c r="R274" s="950">
        <f>IF(R266&gt;0,R266*5,0)</f>
        <v>0</v>
      </c>
      <c r="S274" s="154"/>
      <c r="T274" s="950">
        <f>IF(T266&gt;0,T266*5,0)</f>
        <v>0</v>
      </c>
      <c r="U274" s="950">
        <f>IF(U266&gt;0,U266*5,0)</f>
        <v>0</v>
      </c>
      <c r="V274" s="159"/>
      <c r="W274" s="387"/>
      <c r="X274" s="154"/>
      <c r="Y274" s="129"/>
      <c r="Z274" s="130"/>
      <c r="AA274" s="130"/>
      <c r="AB274" s="130"/>
      <c r="AC274" s="125"/>
      <c r="AE274" s="154"/>
      <c r="AF274" s="154"/>
      <c r="AG274" s="154"/>
      <c r="AH274" s="129"/>
      <c r="AI274" s="130"/>
      <c r="AK274" s="154"/>
      <c r="AL274" s="154"/>
      <c r="AM274" s="154"/>
      <c r="AN274" s="129"/>
      <c r="AO274" s="130"/>
      <c r="AQ274" s="154"/>
      <c r="AR274" s="154"/>
      <c r="AS274" s="154"/>
      <c r="AT274" s="129"/>
      <c r="AU274" s="130"/>
      <c r="AW274" s="154"/>
      <c r="AX274" s="154"/>
      <c r="AY274" s="154"/>
      <c r="AZ274" s="129"/>
      <c r="BA274" s="130"/>
    </row>
    <row r="275" spans="1:53" ht="17.100000000000001" customHeight="1" x14ac:dyDescent="0.25">
      <c r="A275" s="40"/>
      <c r="B275" s="40"/>
      <c r="C275" s="119"/>
      <c r="D275" s="293" t="s">
        <v>417</v>
      </c>
      <c r="E275" s="142"/>
      <c r="F275" s="143"/>
      <c r="G275" s="143"/>
      <c r="H275" s="245"/>
      <c r="I275" s="239"/>
      <c r="J275" s="154"/>
      <c r="K275" s="154"/>
      <c r="L275" s="154"/>
      <c r="M275" s="154"/>
      <c r="N275" s="950">
        <f>IF(N267&gt;0,N267*6,0)</f>
        <v>0</v>
      </c>
      <c r="O275" s="950">
        <f>IF(O267&gt;0,O267*6,0)</f>
        <v>0</v>
      </c>
      <c r="P275" s="154"/>
      <c r="Q275" s="950">
        <f>IF(Q267&gt;0,Q267*6,0)</f>
        <v>0</v>
      </c>
      <c r="R275" s="950">
        <f>IF(R267&gt;0,R267*6,0)</f>
        <v>0</v>
      </c>
      <c r="S275" s="154"/>
      <c r="T275" s="950">
        <f>IF(T267&gt;0,T267*6,0)</f>
        <v>0</v>
      </c>
      <c r="U275" s="950">
        <f>IF(U267&gt;0,U267*6,0)</f>
        <v>0</v>
      </c>
      <c r="V275" s="159"/>
      <c r="W275" s="387"/>
      <c r="X275" s="154"/>
      <c r="Y275" s="129"/>
      <c r="Z275" s="130"/>
      <c r="AA275" s="130"/>
      <c r="AB275" s="130"/>
      <c r="AC275" s="125"/>
      <c r="AE275" s="154"/>
      <c r="AF275" s="154"/>
      <c r="AG275" s="154"/>
      <c r="AH275" s="129"/>
      <c r="AI275" s="130"/>
      <c r="AK275" s="154"/>
      <c r="AL275" s="154"/>
      <c r="AM275" s="154"/>
      <c r="AN275" s="129"/>
      <c r="AO275" s="130"/>
      <c r="AQ275" s="154"/>
      <c r="AR275" s="154"/>
      <c r="AS275" s="154"/>
      <c r="AT275" s="129"/>
      <c r="AU275" s="130"/>
      <c r="AW275" s="154"/>
      <c r="AX275" s="154"/>
      <c r="AY275" s="154"/>
      <c r="AZ275" s="129"/>
      <c r="BA275" s="130"/>
    </row>
    <row r="276" spans="1:53" ht="17.100000000000001" customHeight="1" x14ac:dyDescent="0.25">
      <c r="A276" s="951"/>
      <c r="B276" s="951"/>
      <c r="C276" s="119"/>
      <c r="D276" s="293" t="s">
        <v>418</v>
      </c>
      <c r="E276" s="142"/>
      <c r="F276" s="143"/>
      <c r="G276" s="143"/>
      <c r="H276" s="245"/>
      <c r="I276" s="239"/>
      <c r="J276" s="154"/>
      <c r="K276" s="154"/>
      <c r="L276" s="154"/>
      <c r="M276" s="154"/>
      <c r="N276" s="950">
        <f>IF(N268&gt;0,N268*7.5,0)</f>
        <v>0</v>
      </c>
      <c r="O276" s="950" t="str">
        <f>IF(O268&gt;0,O268*7.5,"")</f>
        <v/>
      </c>
      <c r="P276" s="154"/>
      <c r="Q276" s="950">
        <f>IF(Q268&gt;0,Q268*7.5,0)</f>
        <v>0</v>
      </c>
      <c r="R276" s="950" t="str">
        <f>IF(R268&gt;0,R268*7.5,"")</f>
        <v/>
      </c>
      <c r="S276" s="154"/>
      <c r="T276" s="950">
        <f>IF(T268&gt;0,T268*7.5,0)</f>
        <v>0</v>
      </c>
      <c r="U276" s="950" t="str">
        <f>IF(U268&gt;0,U268*7.5,"")</f>
        <v/>
      </c>
      <c r="V276" s="159"/>
      <c r="W276" s="387"/>
      <c r="X276" s="154"/>
      <c r="Y276" s="129"/>
      <c r="Z276" s="130"/>
      <c r="AA276" s="130"/>
      <c r="AB276" s="130"/>
      <c r="AC276" s="125"/>
      <c r="AE276" s="154"/>
      <c r="AF276" s="154"/>
      <c r="AG276" s="154"/>
      <c r="AH276" s="129"/>
      <c r="AI276" s="130"/>
      <c r="AK276" s="154"/>
      <c r="AL276" s="154"/>
      <c r="AM276" s="154"/>
      <c r="AN276" s="129"/>
      <c r="AO276" s="130"/>
      <c r="AQ276" s="154"/>
      <c r="AR276" s="154"/>
      <c r="AS276" s="154"/>
      <c r="AT276" s="129"/>
      <c r="AU276" s="130"/>
      <c r="AW276" s="154"/>
      <c r="AX276" s="154"/>
      <c r="AY276" s="154"/>
      <c r="AZ276" s="129"/>
      <c r="BA276" s="130"/>
    </row>
    <row r="277" spans="1:53" ht="17.100000000000001" customHeight="1" x14ac:dyDescent="0.25">
      <c r="A277" s="40"/>
      <c r="B277" s="40"/>
      <c r="C277" s="119"/>
      <c r="D277" s="293" t="s">
        <v>1441</v>
      </c>
      <c r="E277" s="142"/>
      <c r="F277" s="143"/>
      <c r="G277" s="143"/>
      <c r="H277" s="245"/>
      <c r="I277" s="239"/>
      <c r="J277" s="534"/>
      <c r="K277" s="154"/>
      <c r="L277" s="154"/>
      <c r="M277" s="154"/>
      <c r="N277" s="952">
        <f>SUM(N271:N276)</f>
        <v>0</v>
      </c>
      <c r="O277" s="952">
        <f>SUM(O271:O276)</f>
        <v>38</v>
      </c>
      <c r="P277" s="154"/>
      <c r="Q277" s="952">
        <f>SUM(Q271:Q276)</f>
        <v>0</v>
      </c>
      <c r="R277" s="952">
        <f>SUM(R271:R276)</f>
        <v>0</v>
      </c>
      <c r="S277" s="154"/>
      <c r="T277" s="952">
        <f>SUM(T271:T276)</f>
        <v>0</v>
      </c>
      <c r="U277" s="952">
        <f>SUM(U271:U276)</f>
        <v>0</v>
      </c>
      <c r="V277" s="159"/>
      <c r="W277" s="387"/>
      <c r="X277" s="154"/>
      <c r="Y277" s="129"/>
      <c r="Z277" s="130"/>
      <c r="AA277" s="130"/>
      <c r="AB277" s="130"/>
      <c r="AC277" s="125"/>
      <c r="AE277" s="154"/>
      <c r="AF277" s="154"/>
      <c r="AG277" s="154"/>
      <c r="AH277" s="129"/>
      <c r="AI277" s="130"/>
      <c r="AK277" s="154"/>
      <c r="AL277" s="154"/>
      <c r="AM277" s="154"/>
      <c r="AN277" s="129"/>
      <c r="AO277" s="130"/>
      <c r="AQ277" s="154"/>
      <c r="AR277" s="154"/>
      <c r="AS277" s="154"/>
      <c r="AT277" s="129"/>
      <c r="AU277" s="130"/>
      <c r="AW277" s="154"/>
      <c r="AX277" s="154"/>
      <c r="AY277" s="154"/>
      <c r="AZ277" s="129"/>
      <c r="BA277" s="130"/>
    </row>
    <row r="278" spans="1:53" s="409" customFormat="1" ht="17.100000000000001" customHeight="1" x14ac:dyDescent="0.25">
      <c r="A278" s="928"/>
      <c r="B278" s="928"/>
      <c r="C278" s="928"/>
      <c r="D278" s="559" t="s">
        <v>939</v>
      </c>
      <c r="E278" s="556"/>
      <c r="F278" s="92"/>
      <c r="G278" s="92"/>
      <c r="H278" s="242"/>
      <c r="I278" s="230"/>
      <c r="J278" s="536"/>
      <c r="K278" s="536"/>
      <c r="L278" s="155"/>
      <c r="M278" s="155"/>
      <c r="N278" s="536" t="str">
        <f>IF(N269=0,"",N277/N269)</f>
        <v/>
      </c>
      <c r="O278" s="536">
        <f>IF(O269=0,"",O277/O269)</f>
        <v>4.2222222222222223</v>
      </c>
      <c r="P278" s="155"/>
      <c r="Q278" s="536" t="str">
        <f>IF(Q269=0,"",Q277/Q269)</f>
        <v/>
      </c>
      <c r="R278" s="536" t="str">
        <f>IF(R269=0,"",R277/R269)</f>
        <v/>
      </c>
      <c r="S278" s="155"/>
      <c r="T278" s="536" t="str">
        <f>IF(T269=0,"",T277/T269)</f>
        <v/>
      </c>
      <c r="U278" s="536" t="str">
        <f>IF(U269=0,"",U277/U269)</f>
        <v/>
      </c>
      <c r="V278" s="366"/>
      <c r="W278" s="550">
        <f>AS278</f>
        <v>0</v>
      </c>
      <c r="X278" s="537">
        <f>AY278</f>
        <v>4.2222222222222223</v>
      </c>
      <c r="Y278" s="537">
        <f>AC278</f>
        <v>4.2222222222222223</v>
      </c>
      <c r="Z278" s="201"/>
      <c r="AA278" s="340">
        <f>MIN(N278:U278)</f>
        <v>4.2222222222222223</v>
      </c>
      <c r="AB278" s="340">
        <f>MAX(N278:U278)</f>
        <v>4.2222222222222223</v>
      </c>
      <c r="AC278" s="560">
        <f>IF(SUM(N278:U278)=0,0,AVERAGE(N278:U278))</f>
        <v>4.2222222222222223</v>
      </c>
      <c r="AE278" s="155"/>
      <c r="AF278" s="155"/>
      <c r="AG278" s="155"/>
      <c r="AH278" s="927"/>
      <c r="AI278" s="201"/>
      <c r="AK278" s="155"/>
      <c r="AL278" s="155"/>
      <c r="AM278" s="155"/>
      <c r="AN278" s="927"/>
      <c r="AO278" s="201"/>
      <c r="AQ278" s="537">
        <f>MIN(N278,Q278,T278)</f>
        <v>0</v>
      </c>
      <c r="AR278" s="537">
        <f>MAX(N278,Q278,T278)</f>
        <v>0</v>
      </c>
      <c r="AS278" s="537">
        <f>IF(N277+Q277+T277=0,0,AVERAGE(N278,Q278,T278))</f>
        <v>0</v>
      </c>
      <c r="AT278" s="560"/>
      <c r="AU278" s="340"/>
      <c r="AV278" s="561"/>
      <c r="AW278" s="537">
        <f>MIN(O278,R278,U278)</f>
        <v>4.2222222222222223</v>
      </c>
      <c r="AX278" s="537">
        <f>MAX(O278,R278,U278)</f>
        <v>4.2222222222222223</v>
      </c>
      <c r="AY278" s="537">
        <f>IF(O277+R277+U277=0,0,AVERAGE(O278,R278,U278))</f>
        <v>4.2222222222222223</v>
      </c>
      <c r="AZ278" s="927"/>
      <c r="BA278" s="201"/>
    </row>
    <row r="279" spans="1:53" s="964" customFormat="1" ht="17.100000000000001" customHeight="1" x14ac:dyDescent="0.25">
      <c r="A279" s="177"/>
      <c r="B279" s="177"/>
      <c r="C279" s="953"/>
      <c r="D279" s="954" t="s">
        <v>946</v>
      </c>
      <c r="E279" s="955"/>
      <c r="F279" s="956"/>
      <c r="G279" s="956"/>
      <c r="H279" s="957"/>
      <c r="I279" s="958"/>
      <c r="J279" s="950"/>
      <c r="K279" s="950"/>
      <c r="L279" s="950"/>
      <c r="M279" s="950"/>
      <c r="N279" s="952">
        <f>IF(N277=0,0,N278)</f>
        <v>0</v>
      </c>
      <c r="O279" s="952">
        <f>IF(O277=0,0,O278)</f>
        <v>4.2222222222222223</v>
      </c>
      <c r="P279" s="952"/>
      <c r="Q279" s="952">
        <f>IF(Q277=0,0,Q278)</f>
        <v>0</v>
      </c>
      <c r="R279" s="952">
        <f>IF(R277=0,0,R278)</f>
        <v>0</v>
      </c>
      <c r="S279" s="952"/>
      <c r="T279" s="952">
        <f>IF(T277=0,0,T278)</f>
        <v>0</v>
      </c>
      <c r="U279" s="952">
        <f>IF(U277=0,0,U278)</f>
        <v>0</v>
      </c>
      <c r="V279" s="959"/>
      <c r="W279" s="960"/>
      <c r="X279" s="950"/>
      <c r="Y279" s="961"/>
      <c r="Z279" s="962"/>
      <c r="AA279" s="962"/>
      <c r="AB279" s="962"/>
      <c r="AC279" s="963"/>
      <c r="AE279" s="950"/>
      <c r="AF279" s="950"/>
      <c r="AG279" s="950"/>
      <c r="AH279" s="961"/>
      <c r="AI279" s="962"/>
      <c r="AJ279" s="965"/>
      <c r="AK279" s="950"/>
      <c r="AL279" s="950"/>
      <c r="AM279" s="950"/>
      <c r="AN279" s="961"/>
      <c r="AO279" s="962"/>
      <c r="AP279" s="965"/>
      <c r="AQ279" s="950"/>
      <c r="AR279" s="950"/>
      <c r="AS279" s="950"/>
      <c r="AT279" s="961"/>
      <c r="AU279" s="962"/>
      <c r="AV279" s="965"/>
      <c r="AW279" s="950"/>
      <c r="AX279" s="950"/>
      <c r="AY279" s="950"/>
      <c r="AZ279" s="961"/>
      <c r="BA279" s="962"/>
    </row>
    <row r="280" spans="1:53" ht="17.100000000000001" customHeight="1" x14ac:dyDescent="0.25">
      <c r="A280" s="40"/>
      <c r="B280" s="40"/>
      <c r="C280" s="40"/>
      <c r="D280" s="930" t="s">
        <v>937</v>
      </c>
      <c r="E280" s="150"/>
      <c r="F280" s="151"/>
      <c r="G280" s="151"/>
      <c r="H280" s="119"/>
      <c r="I280" s="236"/>
      <c r="J280" s="152"/>
      <c r="K280" s="152"/>
      <c r="L280" s="111"/>
      <c r="M280" s="111"/>
      <c r="N280" s="111"/>
      <c r="O280" s="111"/>
      <c r="P280" s="111"/>
      <c r="Q280" s="111"/>
      <c r="R280" s="111"/>
      <c r="S280" s="111"/>
      <c r="T280" s="111"/>
      <c r="U280" s="111"/>
      <c r="V280" s="358"/>
      <c r="W280" s="380"/>
      <c r="X280" s="111"/>
      <c r="Y280" s="932"/>
      <c r="Z280" s="131"/>
      <c r="AA280" s="131"/>
      <c r="AB280" s="131"/>
      <c r="AC280" s="113"/>
      <c r="AE280" s="152"/>
      <c r="AF280" s="152"/>
      <c r="AG280" s="111"/>
      <c r="AH280" s="932"/>
      <c r="AI280" s="131"/>
      <c r="AK280" s="152"/>
      <c r="AL280" s="152"/>
      <c r="AM280" s="111"/>
      <c r="AN280" s="932"/>
      <c r="AO280" s="131"/>
      <c r="AQ280" s="152"/>
      <c r="AR280" s="152"/>
      <c r="AS280" s="111"/>
      <c r="AT280" s="932"/>
      <c r="AU280" s="131"/>
      <c r="AW280" s="152"/>
      <c r="AX280" s="152"/>
      <c r="AY280" s="111"/>
      <c r="AZ280" s="932"/>
      <c r="BA280" s="131"/>
    </row>
    <row r="281" spans="1:53" ht="17.100000000000001" customHeight="1" x14ac:dyDescent="0.25">
      <c r="A281" s="40"/>
      <c r="B281" s="40"/>
      <c r="C281" s="119"/>
      <c r="D281" s="535" t="s">
        <v>947</v>
      </c>
      <c r="E281" s="418"/>
      <c r="F281" s="418"/>
      <c r="G281" s="418"/>
      <c r="H281" s="245"/>
      <c r="I281" s="239"/>
      <c r="J281" s="154"/>
      <c r="K281" s="154"/>
      <c r="L281" s="154"/>
      <c r="M281" s="154"/>
      <c r="N281" s="533">
        <f>1*$J$250+((N279-1)*$J$251)</f>
        <v>-9.8214285714285476E-2</v>
      </c>
      <c r="O281" s="533">
        <f>1*$J$250+((O279-1)*$J$251)</f>
        <v>1.5605158730158697</v>
      </c>
      <c r="P281" s="534"/>
      <c r="Q281" s="533">
        <f>1*$J$250+((Q279-1)*$J$251)</f>
        <v>-9.8214285714285476E-2</v>
      </c>
      <c r="R281" s="533">
        <f>1*$J$250+((R279-1)*$J$251)</f>
        <v>-9.8214285714285476E-2</v>
      </c>
      <c r="S281" s="154"/>
      <c r="T281" s="533">
        <f>1*$J$250+((T279-1)*$J$251)</f>
        <v>-9.8214285714285476E-2</v>
      </c>
      <c r="U281" s="533">
        <f>1*$J$250+((U279-1)*$J$251)</f>
        <v>-9.8214285714285476E-2</v>
      </c>
      <c r="V281" s="159"/>
      <c r="W281" s="387"/>
      <c r="X281" s="154"/>
      <c r="Y281" s="129"/>
      <c r="Z281" s="130"/>
      <c r="AA281" s="130"/>
      <c r="AB281" s="130"/>
      <c r="AC281" s="125"/>
      <c r="AE281" s="154"/>
      <c r="AF281" s="154"/>
      <c r="AG281" s="154"/>
      <c r="AH281" s="129"/>
      <c r="AI281" s="130"/>
      <c r="AK281" s="154"/>
      <c r="AL281" s="154"/>
      <c r="AM281" s="154"/>
      <c r="AN281" s="129"/>
      <c r="AO281" s="130"/>
      <c r="AQ281" s="154"/>
      <c r="AR281" s="154"/>
      <c r="AS281" s="154"/>
      <c r="AT281" s="129"/>
      <c r="AU281" s="130"/>
      <c r="AW281" s="154"/>
      <c r="AX281" s="154"/>
      <c r="AY281" s="154"/>
      <c r="AZ281" s="129"/>
      <c r="BA281" s="130"/>
    </row>
    <row r="282" spans="1:53" ht="17.100000000000001" customHeight="1" x14ac:dyDescent="0.25">
      <c r="A282" s="40"/>
      <c r="B282" s="40"/>
      <c r="C282" s="119"/>
      <c r="D282" s="535" t="s">
        <v>948</v>
      </c>
      <c r="E282" s="418"/>
      <c r="F282" s="418"/>
      <c r="G282" s="418"/>
      <c r="H282" s="245"/>
      <c r="I282" s="239"/>
      <c r="J282" s="154"/>
      <c r="K282" s="154"/>
      <c r="L282" s="154"/>
      <c r="M282" s="154"/>
      <c r="N282" s="533">
        <f>1*$J$252+((N279-1)*$J$253)</f>
        <v>-0.19642857142857101</v>
      </c>
      <c r="O282" s="533">
        <f>1*$J$252+((O279-1)*$J$253)</f>
        <v>1.4623015873015841</v>
      </c>
      <c r="P282" s="534"/>
      <c r="Q282" s="533">
        <f>1*$J$252+((Q279-1)*$J$253)</f>
        <v>-0.19642857142857101</v>
      </c>
      <c r="R282" s="533">
        <f>1*$J$252+((R279-1)*$J$253)</f>
        <v>-0.19642857142857101</v>
      </c>
      <c r="S282" s="154"/>
      <c r="T282" s="533">
        <f>1*$J$252+((T279-1)*$J$253)</f>
        <v>-0.19642857142857101</v>
      </c>
      <c r="U282" s="533">
        <f>1*$J$252+((U279-1)*$J$253)</f>
        <v>-0.19642857142857101</v>
      </c>
      <c r="V282" s="159"/>
      <c r="W282" s="387"/>
      <c r="X282" s="154"/>
      <c r="Y282" s="129"/>
      <c r="Z282" s="130"/>
      <c r="AA282" s="130"/>
      <c r="AB282" s="130"/>
      <c r="AC282" s="125"/>
      <c r="AE282" s="154"/>
      <c r="AF282" s="154"/>
      <c r="AG282" s="154"/>
      <c r="AH282" s="129"/>
      <c r="AI282" s="130"/>
      <c r="AK282" s="154"/>
      <c r="AL282" s="154"/>
      <c r="AM282" s="154"/>
      <c r="AN282" s="129"/>
      <c r="AO282" s="130"/>
      <c r="AQ282" s="154"/>
      <c r="AR282" s="154"/>
      <c r="AS282" s="154"/>
      <c r="AT282" s="129"/>
      <c r="AU282" s="130"/>
      <c r="AW282" s="154"/>
      <c r="AX282" s="154"/>
      <c r="AY282" s="154"/>
      <c r="AZ282" s="129"/>
      <c r="BA282" s="130"/>
    </row>
    <row r="283" spans="1:53" ht="17.100000000000001" customHeight="1" x14ac:dyDescent="0.25">
      <c r="A283" s="40"/>
      <c r="B283" s="40"/>
      <c r="C283" s="119"/>
      <c r="D283" s="535" t="s">
        <v>949</v>
      </c>
      <c r="E283" s="418"/>
      <c r="F283" s="418"/>
      <c r="G283" s="418"/>
      <c r="H283" s="245"/>
      <c r="I283" s="239"/>
      <c r="J283" s="154"/>
      <c r="K283" s="154"/>
      <c r="L283" s="154"/>
      <c r="M283" s="154"/>
      <c r="N283" s="533">
        <f>(N279-1)*$J$255</f>
        <v>-0.39285714285714202</v>
      </c>
      <c r="O283" s="533">
        <f>(O279-1)*$J$255</f>
        <v>1.2658730158730132</v>
      </c>
      <c r="P283" s="534"/>
      <c r="Q283" s="533">
        <f>(Q279-1)*$J$255</f>
        <v>-0.39285714285714202</v>
      </c>
      <c r="R283" s="533">
        <f>(R279-1)*$J$255</f>
        <v>-0.39285714285714202</v>
      </c>
      <c r="S283" s="154"/>
      <c r="T283" s="533">
        <f>(T279-1)*$J$255</f>
        <v>-0.39285714285714202</v>
      </c>
      <c r="U283" s="533">
        <f>(U279-1)*$J$255</f>
        <v>-0.39285714285714202</v>
      </c>
      <c r="V283" s="159"/>
      <c r="W283" s="387"/>
      <c r="X283" s="154"/>
      <c r="Y283" s="129"/>
      <c r="Z283" s="130"/>
      <c r="AA283" s="130"/>
      <c r="AB283" s="130"/>
      <c r="AC283" s="125"/>
      <c r="AE283" s="154"/>
      <c r="AF283" s="154"/>
      <c r="AG283" s="154"/>
      <c r="AH283" s="129"/>
      <c r="AI283" s="130"/>
      <c r="AK283" s="154"/>
      <c r="AL283" s="154"/>
      <c r="AM283" s="154"/>
      <c r="AN283" s="129"/>
      <c r="AO283" s="130"/>
      <c r="AQ283" s="154"/>
      <c r="AR283" s="154"/>
      <c r="AS283" s="154"/>
      <c r="AT283" s="129"/>
      <c r="AU283" s="130"/>
      <c r="AW283" s="154"/>
      <c r="AX283" s="154"/>
      <c r="AY283" s="154"/>
      <c r="AZ283" s="129"/>
      <c r="BA283" s="130"/>
    </row>
    <row r="284" spans="1:53" ht="17.100000000000001" customHeight="1" x14ac:dyDescent="0.25">
      <c r="A284" s="40"/>
      <c r="B284" s="40"/>
      <c r="C284" s="119"/>
      <c r="D284" s="535" t="s">
        <v>950</v>
      </c>
      <c r="E284" s="418"/>
      <c r="F284" s="418"/>
      <c r="G284" s="418"/>
      <c r="H284" s="245"/>
      <c r="I284" s="239"/>
      <c r="J284" s="154"/>
      <c r="K284" s="154"/>
      <c r="L284" s="154"/>
      <c r="M284" s="154"/>
      <c r="N284" s="533">
        <f t="shared" ref="N284:O286" si="320">N257*N281</f>
        <v>0</v>
      </c>
      <c r="O284" s="533">
        <f t="shared" si="320"/>
        <v>0</v>
      </c>
      <c r="P284" s="534"/>
      <c r="Q284" s="533">
        <f t="shared" ref="Q284:R286" si="321">Q257*Q281</f>
        <v>0</v>
      </c>
      <c r="R284" s="533">
        <f t="shared" si="321"/>
        <v>0</v>
      </c>
      <c r="S284" s="154"/>
      <c r="T284" s="533">
        <f t="shared" ref="T284:U286" si="322">T257*T281</f>
        <v>0</v>
      </c>
      <c r="U284" s="533">
        <f t="shared" si="322"/>
        <v>0</v>
      </c>
      <c r="V284" s="159"/>
      <c r="W284" s="387"/>
      <c r="X284" s="154"/>
      <c r="Y284" s="129"/>
      <c r="Z284" s="130"/>
      <c r="AA284" s="130"/>
      <c r="AB284" s="130"/>
      <c r="AC284" s="125"/>
      <c r="AE284" s="154"/>
      <c r="AF284" s="154"/>
      <c r="AG284" s="154"/>
      <c r="AH284" s="129"/>
      <c r="AI284" s="130"/>
      <c r="AK284" s="154"/>
      <c r="AL284" s="154"/>
      <c r="AM284" s="154"/>
      <c r="AN284" s="129"/>
      <c r="AO284" s="130"/>
      <c r="AQ284" s="154"/>
      <c r="AR284" s="154"/>
      <c r="AS284" s="154"/>
      <c r="AT284" s="129"/>
      <c r="AU284" s="130"/>
      <c r="AW284" s="154"/>
      <c r="AX284" s="154"/>
      <c r="AY284" s="154"/>
      <c r="AZ284" s="129"/>
      <c r="BA284" s="130"/>
    </row>
    <row r="285" spans="1:53" ht="17.100000000000001" customHeight="1" x14ac:dyDescent="0.25">
      <c r="A285" s="40"/>
      <c r="B285" s="40"/>
      <c r="C285" s="119"/>
      <c r="D285" s="535" t="s">
        <v>951</v>
      </c>
      <c r="E285" s="418"/>
      <c r="F285" s="418"/>
      <c r="G285" s="418"/>
      <c r="H285" s="245"/>
      <c r="I285" s="239"/>
      <c r="J285" s="154"/>
      <c r="K285" s="154"/>
      <c r="L285" s="154"/>
      <c r="M285" s="154"/>
      <c r="N285" s="533">
        <f t="shared" si="320"/>
        <v>0</v>
      </c>
      <c r="O285" s="533">
        <f t="shared" si="320"/>
        <v>1.4623015873015841</v>
      </c>
      <c r="P285" s="534"/>
      <c r="Q285" s="533">
        <f t="shared" si="321"/>
        <v>0</v>
      </c>
      <c r="R285" s="533">
        <f t="shared" si="321"/>
        <v>0</v>
      </c>
      <c r="S285" s="154"/>
      <c r="T285" s="533">
        <f t="shared" si="322"/>
        <v>0</v>
      </c>
      <c r="U285" s="533">
        <f t="shared" si="322"/>
        <v>0</v>
      </c>
      <c r="V285" s="159"/>
      <c r="W285" s="387"/>
      <c r="X285" s="154"/>
      <c r="Y285" s="129"/>
      <c r="Z285" s="130"/>
      <c r="AA285" s="130"/>
      <c r="AB285" s="130"/>
      <c r="AC285" s="125"/>
      <c r="AE285" s="154"/>
      <c r="AF285" s="154"/>
      <c r="AG285" s="154"/>
      <c r="AH285" s="129"/>
      <c r="AI285" s="130"/>
      <c r="AK285" s="154"/>
      <c r="AL285" s="154"/>
      <c r="AM285" s="154"/>
      <c r="AN285" s="129"/>
      <c r="AO285" s="130"/>
      <c r="AQ285" s="154"/>
      <c r="AR285" s="154"/>
      <c r="AS285" s="154"/>
      <c r="AT285" s="129"/>
      <c r="AU285" s="130"/>
      <c r="AW285" s="154"/>
      <c r="AX285" s="154"/>
      <c r="AY285" s="154"/>
      <c r="AZ285" s="129"/>
      <c r="BA285" s="130"/>
    </row>
    <row r="286" spans="1:53" ht="17.100000000000001" customHeight="1" x14ac:dyDescent="0.25">
      <c r="A286" s="40"/>
      <c r="B286" s="40"/>
      <c r="C286" s="119"/>
      <c r="D286" s="535" t="s">
        <v>952</v>
      </c>
      <c r="E286" s="418"/>
      <c r="F286" s="418"/>
      <c r="G286" s="418"/>
      <c r="H286" s="245"/>
      <c r="I286" s="239"/>
      <c r="J286" s="154"/>
      <c r="K286" s="154"/>
      <c r="L286" s="154"/>
      <c r="M286" s="154"/>
      <c r="N286" s="533">
        <f t="shared" si="320"/>
        <v>0</v>
      </c>
      <c r="O286" s="533">
        <f t="shared" si="320"/>
        <v>10.126984126984105</v>
      </c>
      <c r="P286" s="534"/>
      <c r="Q286" s="533">
        <f t="shared" si="321"/>
        <v>0</v>
      </c>
      <c r="R286" s="533">
        <f t="shared" si="321"/>
        <v>0</v>
      </c>
      <c r="S286" s="154"/>
      <c r="T286" s="533">
        <f t="shared" si="322"/>
        <v>0</v>
      </c>
      <c r="U286" s="533">
        <f t="shared" si="322"/>
        <v>0</v>
      </c>
      <c r="V286" s="159"/>
      <c r="W286" s="387"/>
      <c r="X286" s="154"/>
      <c r="Y286" s="129"/>
      <c r="Z286" s="130"/>
      <c r="AA286" s="130"/>
      <c r="AB286" s="130"/>
      <c r="AC286" s="125"/>
      <c r="AE286" s="154"/>
      <c r="AF286" s="154"/>
      <c r="AG286" s="154"/>
      <c r="AH286" s="129"/>
      <c r="AI286" s="130"/>
      <c r="AK286" s="154"/>
      <c r="AL286" s="154"/>
      <c r="AM286" s="154"/>
      <c r="AN286" s="129"/>
      <c r="AO286" s="130"/>
      <c r="AQ286" s="154"/>
      <c r="AR286" s="154"/>
      <c r="AS286" s="154"/>
      <c r="AT286" s="129"/>
      <c r="AU286" s="130"/>
      <c r="AW286" s="154"/>
      <c r="AX286" s="154"/>
      <c r="AY286" s="154"/>
      <c r="AZ286" s="129"/>
      <c r="BA286" s="130"/>
    </row>
    <row r="287" spans="1:53" s="409" customFormat="1" ht="17.100000000000001" customHeight="1" x14ac:dyDescent="0.25">
      <c r="A287" s="928"/>
      <c r="B287" s="928"/>
      <c r="C287" s="928"/>
      <c r="D287" s="461" t="s">
        <v>953</v>
      </c>
      <c r="E287" s="212"/>
      <c r="F287" s="212"/>
      <c r="G287" s="212"/>
      <c r="H287" s="242"/>
      <c r="I287" s="230"/>
      <c r="J287" s="155"/>
      <c r="K287" s="155"/>
      <c r="L287" s="155"/>
      <c r="M287" s="155"/>
      <c r="N287" s="537">
        <f>SUM(N284:N286)</f>
        <v>0</v>
      </c>
      <c r="O287" s="537">
        <f>SUM(O284:O286)</f>
        <v>11.589285714285689</v>
      </c>
      <c r="P287" s="536"/>
      <c r="Q287" s="537">
        <f>SUM(Q284:Q286)</f>
        <v>0</v>
      </c>
      <c r="R287" s="537">
        <f>SUM(R284:R286)</f>
        <v>0</v>
      </c>
      <c r="S287" s="155"/>
      <c r="T287" s="537">
        <f>SUM(T284:T286)</f>
        <v>0</v>
      </c>
      <c r="U287" s="537">
        <f>SUM(U284:U286)</f>
        <v>0</v>
      </c>
      <c r="V287" s="366"/>
      <c r="W287" s="550">
        <f>N287+Q287+T287</f>
        <v>0</v>
      </c>
      <c r="X287" s="537">
        <f>O287+R287+U287</f>
        <v>11.589285714285689</v>
      </c>
      <c r="Y287" s="537">
        <f>SUM(W287:X287)</f>
        <v>11.589285714285689</v>
      </c>
      <c r="Z287" s="546"/>
      <c r="AA287" s="537"/>
      <c r="AB287" s="537"/>
      <c r="AC287" s="547"/>
      <c r="AE287" s="154"/>
      <c r="AF287" s="154"/>
      <c r="AG287" s="154"/>
      <c r="AH287" s="129"/>
      <c r="AI287" s="130"/>
      <c r="AJ287" s="117"/>
      <c r="AK287" s="154"/>
      <c r="AL287" s="154"/>
      <c r="AM287" s="154"/>
      <c r="AN287" s="129"/>
      <c r="AO287" s="130"/>
      <c r="AQ287" s="155"/>
      <c r="AR287" s="155"/>
      <c r="AS287" s="155"/>
      <c r="AT287" s="927"/>
      <c r="AU287" s="201"/>
      <c r="AW287" s="155"/>
      <c r="AX287" s="155"/>
      <c r="AY287" s="155"/>
      <c r="AZ287" s="927"/>
      <c r="BA287" s="201"/>
    </row>
    <row r="288" spans="1:53" s="409" customFormat="1" ht="17.100000000000001" customHeight="1" x14ac:dyDescent="0.25">
      <c r="A288" s="928"/>
      <c r="B288" s="928"/>
      <c r="C288" s="928"/>
      <c r="D288" s="461" t="s">
        <v>954</v>
      </c>
      <c r="E288" s="212"/>
      <c r="F288" s="212"/>
      <c r="G288" s="212"/>
      <c r="H288" s="242"/>
      <c r="I288" s="230"/>
      <c r="J288" s="155"/>
      <c r="K288" s="155"/>
      <c r="L288" s="155"/>
      <c r="M288" s="155"/>
      <c r="N288" s="537" t="str">
        <f>IF(N269=0,"",N287/N269)</f>
        <v/>
      </c>
      <c r="O288" s="537">
        <f>IF(O269=0,"",O287/O269)</f>
        <v>1.2876984126984099</v>
      </c>
      <c r="P288" s="536"/>
      <c r="Q288" s="537" t="str">
        <f>IF(Q269=0,"",Q287/Q269)</f>
        <v/>
      </c>
      <c r="R288" s="537" t="str">
        <f>IF(R269=0,"",R287/R269)</f>
        <v/>
      </c>
      <c r="S288" s="155"/>
      <c r="T288" s="537" t="str">
        <f>IF(T269=0,"",T287/T269)</f>
        <v/>
      </c>
      <c r="U288" s="537" t="str">
        <f>IF(U269=0,"",U287/U269)</f>
        <v/>
      </c>
      <c r="V288" s="366"/>
      <c r="W288" s="549"/>
      <c r="X288" s="536"/>
      <c r="Y288" s="164"/>
      <c r="Z288" s="546"/>
      <c r="AA288" s="537">
        <f>MIN(N288:U288)</f>
        <v>1.2876984126984099</v>
      </c>
      <c r="AB288" s="537">
        <f>MAX(N288:U288)</f>
        <v>1.2876984126984099</v>
      </c>
      <c r="AC288" s="548">
        <f>IF(SUM(N288:U288)=0,0,AVERAGE(N288:U288))</f>
        <v>1.2876984126984099</v>
      </c>
      <c r="AE288" s="154"/>
      <c r="AF288" s="154"/>
      <c r="AG288" s="154"/>
      <c r="AH288" s="129"/>
      <c r="AI288" s="130"/>
      <c r="AJ288" s="117"/>
      <c r="AK288" s="154"/>
      <c r="AL288" s="154"/>
      <c r="AM288" s="154"/>
      <c r="AN288" s="129"/>
      <c r="AO288" s="130"/>
      <c r="AQ288" s="966">
        <f>MIN(N288,Q288,T288)</f>
        <v>0</v>
      </c>
      <c r="AR288" s="966">
        <f>MAX(N288,Q288,T288)</f>
        <v>0</v>
      </c>
      <c r="AS288" s="966">
        <f>IF(N287+Q287+T287=0,0,AVERAGE(N288,Q288,T288))</f>
        <v>0</v>
      </c>
      <c r="AT288" s="927"/>
      <c r="AU288" s="201"/>
      <c r="AW288" s="537">
        <f>MIN(O288,R288,U288)</f>
        <v>1.2876984126984099</v>
      </c>
      <c r="AX288" s="537">
        <f>MAX(O288,R288,U288)</f>
        <v>1.2876984126984099</v>
      </c>
      <c r="AY288" s="537">
        <f>IF(O287+R287+U287=0,0,AVERAGE(O288,R288,U288))</f>
        <v>1.2876984126984099</v>
      </c>
      <c r="AZ288" s="927"/>
      <c r="BA288" s="201"/>
    </row>
    <row r="289" spans="1:53" ht="17.100000000000001" customHeight="1" x14ac:dyDescent="0.25">
      <c r="A289" s="40"/>
      <c r="B289" s="40"/>
      <c r="C289" s="41" t="s">
        <v>957</v>
      </c>
      <c r="D289" s="551" t="s">
        <v>958</v>
      </c>
      <c r="E289" s="43"/>
      <c r="F289" s="301"/>
      <c r="G289" s="301"/>
      <c r="H289" s="119"/>
      <c r="I289" s="236"/>
      <c r="J289" s="552"/>
      <c r="K289" s="552"/>
      <c r="L289" s="552"/>
      <c r="M289" s="552"/>
      <c r="N289" s="552"/>
      <c r="O289" s="552"/>
      <c r="P289" s="552"/>
      <c r="Q289" s="552"/>
      <c r="R289" s="552"/>
      <c r="S289" s="552"/>
      <c r="T289" s="552"/>
      <c r="U289" s="552"/>
      <c r="V289" s="553"/>
      <c r="W289" s="554"/>
      <c r="X289" s="552"/>
      <c r="Y289" s="89"/>
      <c r="Z289" s="90"/>
      <c r="AA289" s="90"/>
      <c r="AB289" s="90"/>
      <c r="AC289" s="73"/>
      <c r="AD289" s="117"/>
      <c r="AE289" s="552"/>
      <c r="AF289" s="552"/>
      <c r="AG289" s="552"/>
      <c r="AH289" s="89"/>
      <c r="AI289" s="90"/>
      <c r="AK289" s="552"/>
      <c r="AL289" s="552"/>
      <c r="AM289" s="552"/>
      <c r="AN289" s="89"/>
      <c r="AO289" s="90"/>
      <c r="AQ289" s="552"/>
      <c r="AR289" s="552"/>
      <c r="AS289" s="552"/>
      <c r="AT289" s="89"/>
      <c r="AU289" s="90"/>
      <c r="AW289" s="552"/>
      <c r="AX289" s="552"/>
      <c r="AY289" s="552"/>
      <c r="AZ289" s="89"/>
      <c r="BA289" s="90"/>
    </row>
    <row r="290" spans="1:53" ht="17.100000000000001" customHeight="1" x14ac:dyDescent="0.25">
      <c r="A290" s="40"/>
      <c r="B290" s="40"/>
      <c r="C290" s="119"/>
      <c r="D290" s="535" t="s">
        <v>428</v>
      </c>
      <c r="E290" s="142"/>
      <c r="F290" s="143"/>
      <c r="G290" s="143"/>
      <c r="H290" s="119"/>
      <c r="I290" s="236"/>
      <c r="J290" s="154">
        <f t="shared" ref="J290:L295" si="323">J155</f>
        <v>0</v>
      </c>
      <c r="K290" s="154">
        <f t="shared" si="323"/>
        <v>0</v>
      </c>
      <c r="L290" s="154">
        <f t="shared" si="323"/>
        <v>0</v>
      </c>
      <c r="M290" s="154"/>
      <c r="N290" s="154"/>
      <c r="O290" s="154"/>
      <c r="P290" s="154"/>
      <c r="Q290" s="154"/>
      <c r="R290" s="154"/>
      <c r="S290" s="154"/>
      <c r="T290" s="154"/>
      <c r="U290" s="154"/>
      <c r="V290" s="159"/>
      <c r="W290" s="387"/>
      <c r="X290" s="154"/>
      <c r="Y290" s="129"/>
      <c r="Z290" s="130"/>
      <c r="AA290" s="130"/>
      <c r="AB290" s="130"/>
      <c r="AC290" s="125"/>
      <c r="AE290" s="154"/>
      <c r="AF290" s="154"/>
      <c r="AG290" s="154"/>
      <c r="AH290" s="129"/>
      <c r="AI290" s="130"/>
      <c r="AK290" s="154"/>
      <c r="AL290" s="154"/>
      <c r="AM290" s="154"/>
      <c r="AN290" s="129"/>
      <c r="AO290" s="130"/>
      <c r="AQ290" s="557">
        <f>J290*0.75</f>
        <v>0</v>
      </c>
      <c r="AR290" s="154"/>
      <c r="AS290" s="154"/>
      <c r="AT290" s="129"/>
      <c r="AU290" s="130"/>
      <c r="AW290" s="154"/>
      <c r="AX290" s="154"/>
      <c r="AY290" s="154"/>
      <c r="AZ290" s="129"/>
      <c r="BA290" s="130"/>
    </row>
    <row r="291" spans="1:53" ht="17.100000000000001" customHeight="1" x14ac:dyDescent="0.25">
      <c r="A291" s="40"/>
      <c r="B291" s="40"/>
      <c r="C291" s="119"/>
      <c r="D291" s="535" t="s">
        <v>429</v>
      </c>
      <c r="E291" s="142"/>
      <c r="F291" s="143"/>
      <c r="G291" s="143"/>
      <c r="H291" s="119"/>
      <c r="I291" s="236"/>
      <c r="J291" s="154">
        <f t="shared" si="323"/>
        <v>0</v>
      </c>
      <c r="K291" s="154">
        <f>K156</f>
        <v>0</v>
      </c>
      <c r="L291" s="154">
        <f t="shared" si="323"/>
        <v>0</v>
      </c>
      <c r="M291" s="154"/>
      <c r="N291" s="154"/>
      <c r="O291" s="154"/>
      <c r="P291" s="154"/>
      <c r="Q291" s="154"/>
      <c r="R291" s="154"/>
      <c r="S291" s="154"/>
      <c r="T291" s="154"/>
      <c r="U291" s="154"/>
      <c r="V291" s="159"/>
      <c r="W291" s="387"/>
      <c r="X291" s="154"/>
      <c r="Y291" s="129"/>
      <c r="Z291" s="130"/>
      <c r="AA291" s="130"/>
      <c r="AB291" s="130"/>
      <c r="AC291" s="125"/>
      <c r="AD291" s="117"/>
      <c r="AE291" s="154"/>
      <c r="AF291" s="154"/>
      <c r="AG291" s="154"/>
      <c r="AH291" s="129"/>
      <c r="AI291" s="130"/>
      <c r="AK291" s="154"/>
      <c r="AL291" s="154"/>
      <c r="AM291" s="154"/>
      <c r="AN291" s="129"/>
      <c r="AO291" s="130"/>
      <c r="AQ291" s="154"/>
      <c r="AR291" s="154"/>
      <c r="AS291" s="154"/>
      <c r="AT291" s="129"/>
      <c r="AU291" s="130"/>
      <c r="AW291" s="154"/>
      <c r="AX291" s="154"/>
      <c r="AY291" s="154"/>
      <c r="AZ291" s="129"/>
      <c r="BA291" s="130"/>
    </row>
    <row r="292" spans="1:53" ht="17.100000000000001" customHeight="1" x14ac:dyDescent="0.25">
      <c r="A292" s="40"/>
      <c r="B292" s="40"/>
      <c r="C292" s="119"/>
      <c r="D292" s="535" t="s">
        <v>430</v>
      </c>
      <c r="E292" s="142"/>
      <c r="F292" s="143"/>
      <c r="G292" s="143"/>
      <c r="H292" s="119"/>
      <c r="I292" s="236"/>
      <c r="J292" s="154">
        <f t="shared" si="323"/>
        <v>0</v>
      </c>
      <c r="K292" s="154">
        <f>K157</f>
        <v>0</v>
      </c>
      <c r="L292" s="154">
        <f t="shared" si="323"/>
        <v>0</v>
      </c>
      <c r="M292" s="154"/>
      <c r="N292" s="154"/>
      <c r="O292" s="154"/>
      <c r="P292" s="154"/>
      <c r="Q292" s="154"/>
      <c r="R292" s="154"/>
      <c r="S292" s="154"/>
      <c r="T292" s="154"/>
      <c r="U292" s="154"/>
      <c r="V292" s="159"/>
      <c r="W292" s="387"/>
      <c r="X292" s="154"/>
      <c r="Y292" s="129"/>
      <c r="Z292" s="130"/>
      <c r="AA292" s="130"/>
      <c r="AB292" s="130"/>
      <c r="AC292" s="125"/>
      <c r="AE292" s="154"/>
      <c r="AF292" s="154"/>
      <c r="AG292" s="154"/>
      <c r="AH292" s="129"/>
      <c r="AI292" s="130"/>
      <c r="AK292" s="154"/>
      <c r="AL292" s="154"/>
      <c r="AM292" s="154"/>
      <c r="AN292" s="129"/>
      <c r="AO292" s="130"/>
      <c r="AQ292" s="154"/>
      <c r="AR292" s="154"/>
      <c r="AS292" s="154"/>
      <c r="AT292" s="129"/>
      <c r="AU292" s="130"/>
      <c r="AW292" s="154"/>
      <c r="AX292" s="154"/>
      <c r="AY292" s="154"/>
      <c r="AZ292" s="129"/>
      <c r="BA292" s="130"/>
    </row>
    <row r="293" spans="1:53" ht="17.100000000000001" customHeight="1" x14ac:dyDescent="0.25">
      <c r="A293" s="40"/>
      <c r="B293" s="40"/>
      <c r="C293" s="119"/>
      <c r="D293" s="535" t="s">
        <v>431</v>
      </c>
      <c r="E293" s="142"/>
      <c r="F293" s="143"/>
      <c r="G293" s="143"/>
      <c r="H293" s="119"/>
      <c r="I293" s="236"/>
      <c r="J293" s="154">
        <f t="shared" si="323"/>
        <v>0</v>
      </c>
      <c r="K293" s="154">
        <f>K158</f>
        <v>0</v>
      </c>
      <c r="L293" s="154">
        <f t="shared" si="323"/>
        <v>0</v>
      </c>
      <c r="M293" s="154"/>
      <c r="N293" s="154"/>
      <c r="O293" s="154"/>
      <c r="P293" s="154"/>
      <c r="Q293" s="154"/>
      <c r="R293" s="154"/>
      <c r="S293" s="154"/>
      <c r="T293" s="154"/>
      <c r="U293" s="154"/>
      <c r="V293" s="159"/>
      <c r="W293" s="387"/>
      <c r="X293" s="154"/>
      <c r="Y293" s="129"/>
      <c r="Z293" s="130"/>
      <c r="AA293" s="130"/>
      <c r="AB293" s="130"/>
      <c r="AC293" s="125"/>
      <c r="AE293" s="154"/>
      <c r="AF293" s="154"/>
      <c r="AG293" s="154"/>
      <c r="AH293" s="129"/>
      <c r="AI293" s="130"/>
      <c r="AK293" s="154"/>
      <c r="AL293" s="154"/>
      <c r="AM293" s="154"/>
      <c r="AN293" s="129"/>
      <c r="AO293" s="130"/>
      <c r="AQ293" s="154"/>
      <c r="AR293" s="154"/>
      <c r="AS293" s="154"/>
      <c r="AT293" s="129"/>
      <c r="AU293" s="130"/>
      <c r="AW293" s="154"/>
      <c r="AX293" s="154"/>
      <c r="AY293" s="154"/>
      <c r="AZ293" s="129"/>
      <c r="BA293" s="130"/>
    </row>
    <row r="294" spans="1:53" s="158" customFormat="1" ht="17.100000000000001" customHeight="1" x14ac:dyDescent="0.25">
      <c r="A294" s="102"/>
      <c r="B294" s="102"/>
      <c r="C294" s="119"/>
      <c r="D294" s="535" t="s">
        <v>432</v>
      </c>
      <c r="E294" s="142"/>
      <c r="F294" s="143"/>
      <c r="G294" s="143"/>
      <c r="H294" s="182"/>
      <c r="I294" s="240"/>
      <c r="J294" s="154">
        <f t="shared" si="323"/>
        <v>0</v>
      </c>
      <c r="K294" s="154">
        <f>K159</f>
        <v>0</v>
      </c>
      <c r="L294" s="154">
        <f t="shared" si="323"/>
        <v>0</v>
      </c>
      <c r="M294" s="154"/>
      <c r="N294" s="154"/>
      <c r="O294" s="154"/>
      <c r="P294" s="154"/>
      <c r="Q294" s="154"/>
      <c r="R294" s="154"/>
      <c r="S294" s="154"/>
      <c r="T294" s="154"/>
      <c r="U294" s="154"/>
      <c r="V294" s="159"/>
      <c r="W294" s="387"/>
      <c r="X294" s="154"/>
      <c r="Y294" s="129"/>
      <c r="Z294" s="130"/>
      <c r="AA294" s="130"/>
      <c r="AB294" s="130"/>
      <c r="AC294" s="125"/>
      <c r="AE294" s="154"/>
      <c r="AF294" s="154"/>
      <c r="AG294" s="154"/>
      <c r="AH294" s="129"/>
      <c r="AI294" s="130"/>
      <c r="AJ294" s="409"/>
      <c r="AK294" s="154"/>
      <c r="AL294" s="154"/>
      <c r="AM294" s="154"/>
      <c r="AN294" s="129"/>
      <c r="AO294" s="130"/>
      <c r="AP294" s="409"/>
      <c r="AQ294" s="557">
        <f>J294*0.75</f>
        <v>0</v>
      </c>
      <c r="AR294" s="154"/>
      <c r="AS294" s="154"/>
      <c r="AT294" s="129"/>
      <c r="AU294" s="130"/>
      <c r="AV294" s="409"/>
      <c r="AW294" s="154"/>
      <c r="AX294" s="154"/>
      <c r="AY294" s="154"/>
      <c r="AZ294" s="129"/>
      <c r="BA294" s="130"/>
    </row>
    <row r="295" spans="1:53" s="158" customFormat="1" ht="17.100000000000001" customHeight="1" x14ac:dyDescent="0.25">
      <c r="A295" s="102"/>
      <c r="B295" s="102"/>
      <c r="C295" s="119"/>
      <c r="D295" s="535" t="s">
        <v>129</v>
      </c>
      <c r="E295" s="142"/>
      <c r="F295" s="143"/>
      <c r="G295" s="143"/>
      <c r="H295" s="182"/>
      <c r="I295" s="240"/>
      <c r="J295" s="154">
        <f t="shared" si="323"/>
        <v>0</v>
      </c>
      <c r="K295" s="154">
        <f>K160</f>
        <v>0</v>
      </c>
      <c r="L295" s="154">
        <f t="shared" si="323"/>
        <v>0</v>
      </c>
      <c r="M295" s="154"/>
      <c r="N295" s="154"/>
      <c r="O295" s="154"/>
      <c r="P295" s="154"/>
      <c r="Q295" s="154"/>
      <c r="R295" s="154"/>
      <c r="S295" s="154"/>
      <c r="T295" s="154"/>
      <c r="U295" s="154"/>
      <c r="V295" s="159"/>
      <c r="W295" s="387"/>
      <c r="X295" s="154"/>
      <c r="Y295" s="129"/>
      <c r="Z295" s="130"/>
      <c r="AA295" s="130"/>
      <c r="AB295" s="130"/>
      <c r="AC295" s="125"/>
      <c r="AE295" s="154"/>
      <c r="AF295" s="154"/>
      <c r="AG295" s="154"/>
      <c r="AH295" s="129"/>
      <c r="AI295" s="130"/>
      <c r="AJ295" s="409"/>
      <c r="AK295" s="154"/>
      <c r="AL295" s="154"/>
      <c r="AM295" s="154"/>
      <c r="AN295" s="129"/>
      <c r="AO295" s="130"/>
      <c r="AP295" s="409"/>
      <c r="AQ295" s="154"/>
      <c r="AR295" s="154"/>
      <c r="AS295" s="154"/>
      <c r="AT295" s="129"/>
      <c r="AU295" s="130"/>
      <c r="AV295" s="409"/>
      <c r="AW295" s="154"/>
      <c r="AX295" s="154"/>
      <c r="AY295" s="154"/>
      <c r="AZ295" s="129"/>
      <c r="BA295" s="130"/>
    </row>
    <row r="296" spans="1:53" s="158" customFormat="1" ht="17.100000000000001" customHeight="1" x14ac:dyDescent="0.25">
      <c r="A296" s="102"/>
      <c r="B296" s="102"/>
      <c r="C296" s="119"/>
      <c r="D296" s="535" t="s">
        <v>965</v>
      </c>
      <c r="E296" s="142"/>
      <c r="F296" s="143"/>
      <c r="G296" s="143"/>
      <c r="H296" s="182"/>
      <c r="I296" s="240"/>
      <c r="J296" s="154">
        <f>SUM(J290:J294)</f>
        <v>0</v>
      </c>
      <c r="K296" s="154">
        <f t="shared" ref="K296:L296" si="324">SUM(K290:K294)</f>
        <v>0</v>
      </c>
      <c r="L296" s="154">
        <f t="shared" si="324"/>
        <v>0</v>
      </c>
      <c r="M296" s="154"/>
      <c r="N296" s="154"/>
      <c r="O296" s="154"/>
      <c r="P296" s="154"/>
      <c r="Q296" s="154"/>
      <c r="R296" s="154"/>
      <c r="S296" s="154"/>
      <c r="T296" s="154"/>
      <c r="U296" s="154"/>
      <c r="V296" s="159"/>
      <c r="W296" s="387"/>
      <c r="X296" s="154"/>
      <c r="Y296" s="129"/>
      <c r="Z296" s="130"/>
      <c r="AA296" s="130"/>
      <c r="AB296" s="130"/>
      <c r="AC296" s="125"/>
      <c r="AE296" s="154"/>
      <c r="AF296" s="154"/>
      <c r="AG296" s="154"/>
      <c r="AH296" s="129"/>
      <c r="AI296" s="130"/>
      <c r="AJ296" s="409"/>
      <c r="AK296" s="154"/>
      <c r="AL296" s="154"/>
      <c r="AM296" s="154"/>
      <c r="AN296" s="129"/>
      <c r="AO296" s="130"/>
      <c r="AP296" s="409"/>
      <c r="AQ296" s="154"/>
      <c r="AR296" s="154"/>
      <c r="AS296" s="154"/>
      <c r="AT296" s="129"/>
      <c r="AU296" s="130"/>
      <c r="AV296" s="409"/>
      <c r="AW296" s="154"/>
      <c r="AX296" s="154"/>
      <c r="AY296" s="154"/>
      <c r="AZ296" s="129"/>
      <c r="BA296" s="130"/>
    </row>
    <row r="297" spans="1:53" s="158" customFormat="1" ht="17.100000000000001" customHeight="1" x14ac:dyDescent="0.25">
      <c r="A297" s="102"/>
      <c r="B297" s="102"/>
      <c r="C297" s="119"/>
      <c r="D297" s="535" t="s">
        <v>981</v>
      </c>
      <c r="E297" s="142"/>
      <c r="F297" s="143"/>
      <c r="G297" s="143"/>
      <c r="H297" s="182"/>
      <c r="I297" s="240"/>
      <c r="J297" s="154"/>
      <c r="K297" s="154"/>
      <c r="L297" s="154"/>
      <c r="M297" s="154"/>
      <c r="N297" s="154"/>
      <c r="O297" s="154"/>
      <c r="P297" s="154"/>
      <c r="Q297" s="154"/>
      <c r="R297" s="154"/>
      <c r="S297" s="154"/>
      <c r="T297" s="154"/>
      <c r="U297" s="154"/>
      <c r="V297" s="159"/>
      <c r="W297" s="387"/>
      <c r="X297" s="154"/>
      <c r="Y297" s="129"/>
      <c r="Z297" s="130"/>
      <c r="AA297" s="130"/>
      <c r="AB297" s="130"/>
      <c r="AC297" s="125"/>
      <c r="AE297" s="154"/>
      <c r="AF297" s="154"/>
      <c r="AG297" s="154"/>
      <c r="AH297" s="129"/>
      <c r="AI297" s="130"/>
      <c r="AJ297" s="409"/>
      <c r="AK297" s="154"/>
      <c r="AL297" s="154"/>
      <c r="AM297" s="154"/>
      <c r="AN297" s="129"/>
      <c r="AO297" s="130"/>
      <c r="AP297" s="409"/>
      <c r="AQ297" s="154"/>
      <c r="AR297" s="154"/>
      <c r="AS297" s="154"/>
      <c r="AT297" s="129"/>
      <c r="AU297" s="130"/>
      <c r="AV297" s="409"/>
      <c r="AW297" s="154"/>
      <c r="AX297" s="154"/>
      <c r="AY297" s="154"/>
      <c r="AZ297" s="129"/>
      <c r="BA297" s="130"/>
    </row>
    <row r="298" spans="1:53" s="158" customFormat="1" ht="17.100000000000001" customHeight="1" x14ac:dyDescent="0.25">
      <c r="A298" s="967"/>
      <c r="B298" s="967"/>
      <c r="C298" s="119"/>
      <c r="D298" s="535" t="s">
        <v>1442</v>
      </c>
      <c r="E298" s="142"/>
      <c r="F298" s="143"/>
      <c r="G298" s="143"/>
      <c r="H298" s="182"/>
      <c r="I298" s="240"/>
      <c r="J298" s="527" t="str">
        <f>IF(J290&gt;0,0.75,"")</f>
        <v/>
      </c>
      <c r="K298" s="527" t="str">
        <f t="shared" ref="K298:L298" si="325">IF(K290&gt;0,0.75,"")</f>
        <v/>
      </c>
      <c r="L298" s="527" t="str">
        <f t="shared" si="325"/>
        <v/>
      </c>
      <c r="M298" s="154"/>
      <c r="N298" s="154"/>
      <c r="O298" s="154"/>
      <c r="P298" s="154"/>
      <c r="Q298" s="154"/>
      <c r="R298" s="154"/>
      <c r="S298" s="154"/>
      <c r="T298" s="154"/>
      <c r="U298" s="154"/>
      <c r="V298" s="159"/>
      <c r="W298" s="387"/>
      <c r="X298" s="154"/>
      <c r="Y298" s="129"/>
      <c r="Z298" s="130"/>
      <c r="AA298" s="130"/>
      <c r="AB298" s="130"/>
      <c r="AC298" s="125"/>
      <c r="AE298" s="154"/>
      <c r="AF298" s="154"/>
      <c r="AG298" s="154"/>
      <c r="AH298" s="129"/>
      <c r="AI298" s="130"/>
      <c r="AJ298" s="409"/>
      <c r="AK298" s="154"/>
      <c r="AL298" s="154"/>
      <c r="AM298" s="154"/>
      <c r="AN298" s="129"/>
      <c r="AO298" s="130"/>
      <c r="AP298" s="409"/>
      <c r="AQ298" s="154"/>
      <c r="AR298" s="154"/>
      <c r="AS298" s="154"/>
      <c r="AT298" s="129"/>
      <c r="AU298" s="130"/>
      <c r="AV298" s="409"/>
      <c r="AW298" s="154"/>
      <c r="AX298" s="154"/>
      <c r="AY298" s="154"/>
      <c r="AZ298" s="129"/>
      <c r="BA298" s="130"/>
    </row>
    <row r="299" spans="1:53" s="158" customFormat="1" ht="17.100000000000001" customHeight="1" x14ac:dyDescent="0.25">
      <c r="A299" s="967"/>
      <c r="B299" s="102"/>
      <c r="C299" s="119"/>
      <c r="D299" s="535" t="s">
        <v>429</v>
      </c>
      <c r="E299" s="142"/>
      <c r="F299" s="143"/>
      <c r="G299" s="143"/>
      <c r="H299" s="182"/>
      <c r="I299" s="240"/>
      <c r="J299" s="527" t="str">
        <f>IF(J291&gt;0,1.5,"")</f>
        <v/>
      </c>
      <c r="K299" s="527" t="str">
        <f t="shared" ref="K299:L299" si="326">IF(K291&gt;0,1.5,"")</f>
        <v/>
      </c>
      <c r="L299" s="527" t="str">
        <f t="shared" si="326"/>
        <v/>
      </c>
      <c r="M299" s="154"/>
      <c r="N299" s="154"/>
      <c r="O299" s="154"/>
      <c r="P299" s="154"/>
      <c r="Q299" s="154"/>
      <c r="R299" s="154"/>
      <c r="S299" s="154"/>
      <c r="T299" s="154"/>
      <c r="U299" s="154"/>
      <c r="V299" s="159"/>
      <c r="W299" s="387"/>
      <c r="X299" s="154"/>
      <c r="Y299" s="129"/>
      <c r="Z299" s="130"/>
      <c r="AA299" s="130"/>
      <c r="AB299" s="130"/>
      <c r="AC299" s="125"/>
      <c r="AE299" s="154"/>
      <c r="AF299" s="154"/>
      <c r="AG299" s="154"/>
      <c r="AH299" s="129"/>
      <c r="AI299" s="130"/>
      <c r="AJ299" s="409"/>
      <c r="AK299" s="154"/>
      <c r="AL299" s="154"/>
      <c r="AM299" s="154"/>
      <c r="AN299" s="129"/>
      <c r="AO299" s="130"/>
      <c r="AP299" s="409"/>
      <c r="AQ299" s="154"/>
      <c r="AR299" s="154"/>
      <c r="AS299" s="154"/>
      <c r="AT299" s="129"/>
      <c r="AU299" s="130"/>
      <c r="AV299" s="409"/>
      <c r="AW299" s="154"/>
      <c r="AX299" s="154"/>
      <c r="AY299" s="154"/>
      <c r="AZ299" s="129"/>
      <c r="BA299" s="130"/>
    </row>
    <row r="300" spans="1:53" s="158" customFormat="1" ht="17.100000000000001" customHeight="1" x14ac:dyDescent="0.25">
      <c r="A300" s="967"/>
      <c r="B300" s="102"/>
      <c r="C300" s="119"/>
      <c r="D300" s="535" t="s">
        <v>430</v>
      </c>
      <c r="E300" s="142"/>
      <c r="F300" s="143"/>
      <c r="G300" s="143"/>
      <c r="H300" s="182"/>
      <c r="I300" s="240"/>
      <c r="J300" s="527" t="str">
        <f>IF(J292&gt;0,3.5,"")</f>
        <v/>
      </c>
      <c r="K300" s="527" t="str">
        <f t="shared" ref="K300:L300" si="327">IF(K292&gt;0,3.5,"")</f>
        <v/>
      </c>
      <c r="L300" s="527" t="str">
        <f t="shared" si="327"/>
        <v/>
      </c>
      <c r="M300" s="154"/>
      <c r="N300" s="154"/>
      <c r="O300" s="154"/>
      <c r="P300" s="154"/>
      <c r="Q300" s="154"/>
      <c r="R300" s="154"/>
      <c r="S300" s="154"/>
      <c r="T300" s="154"/>
      <c r="U300" s="154"/>
      <c r="V300" s="159"/>
      <c r="W300" s="387"/>
      <c r="X300" s="154"/>
      <c r="Y300" s="129"/>
      <c r="Z300" s="130"/>
      <c r="AA300" s="130"/>
      <c r="AB300" s="130"/>
      <c r="AC300" s="125"/>
      <c r="AE300" s="154"/>
      <c r="AF300" s="154"/>
      <c r="AG300" s="154"/>
      <c r="AH300" s="129"/>
      <c r="AI300" s="130"/>
      <c r="AJ300" s="409"/>
      <c r="AK300" s="154"/>
      <c r="AL300" s="154"/>
      <c r="AM300" s="154"/>
      <c r="AN300" s="129"/>
      <c r="AO300" s="130"/>
      <c r="AP300" s="409"/>
      <c r="AQ300" s="154"/>
      <c r="AR300" s="154"/>
      <c r="AS300" s="154"/>
      <c r="AT300" s="129"/>
      <c r="AU300" s="130"/>
      <c r="AV300" s="409"/>
      <c r="AW300" s="154"/>
      <c r="AX300" s="154"/>
      <c r="AY300" s="154"/>
      <c r="AZ300" s="129"/>
      <c r="BA300" s="130"/>
    </row>
    <row r="301" spans="1:53" s="158" customFormat="1" ht="17.100000000000001" customHeight="1" x14ac:dyDescent="0.25">
      <c r="A301" s="967"/>
      <c r="B301" s="102"/>
      <c r="C301" s="119"/>
      <c r="D301" s="535" t="s">
        <v>431</v>
      </c>
      <c r="E301" s="142"/>
      <c r="F301" s="143"/>
      <c r="G301" s="143"/>
      <c r="H301" s="182"/>
      <c r="I301" s="240"/>
      <c r="J301" s="527" t="str">
        <f>IF(J293&gt;0,7.5,"")</f>
        <v/>
      </c>
      <c r="K301" s="527" t="str">
        <f t="shared" ref="K301:L301" si="328">IF(K293&gt;0,7.5,"")</f>
        <v/>
      </c>
      <c r="L301" s="527" t="str">
        <f t="shared" si="328"/>
        <v/>
      </c>
      <c r="M301" s="154"/>
      <c r="N301" s="154"/>
      <c r="O301" s="154"/>
      <c r="P301" s="154"/>
      <c r="Q301" s="154"/>
      <c r="R301" s="154"/>
      <c r="S301" s="154"/>
      <c r="T301" s="154"/>
      <c r="U301" s="154"/>
      <c r="V301" s="159"/>
      <c r="W301" s="387"/>
      <c r="X301" s="154"/>
      <c r="Y301" s="129"/>
      <c r="Z301" s="130"/>
      <c r="AA301" s="130"/>
      <c r="AB301" s="130"/>
      <c r="AC301" s="125"/>
      <c r="AE301" s="154"/>
      <c r="AF301" s="154"/>
      <c r="AG301" s="154"/>
      <c r="AH301" s="129"/>
      <c r="AI301" s="130"/>
      <c r="AJ301" s="409"/>
      <c r="AK301" s="154"/>
      <c r="AL301" s="154"/>
      <c r="AM301" s="154"/>
      <c r="AN301" s="129"/>
      <c r="AO301" s="130"/>
      <c r="AP301" s="409"/>
      <c r="AQ301" s="154"/>
      <c r="AR301" s="154"/>
      <c r="AS301" s="154"/>
      <c r="AT301" s="129"/>
      <c r="AU301" s="130"/>
      <c r="AV301" s="409"/>
      <c r="AW301" s="154"/>
      <c r="AX301" s="154"/>
      <c r="AY301" s="154"/>
      <c r="AZ301" s="129"/>
      <c r="BA301" s="130"/>
    </row>
    <row r="302" spans="1:53" s="158" customFormat="1" ht="17.100000000000001" customHeight="1" x14ac:dyDescent="0.25">
      <c r="A302" s="967"/>
      <c r="B302" s="102"/>
      <c r="C302" s="119"/>
      <c r="D302" s="535" t="s">
        <v>432</v>
      </c>
      <c r="E302" s="142"/>
      <c r="F302" s="143"/>
      <c r="G302" s="143"/>
      <c r="H302" s="182"/>
      <c r="I302" s="240"/>
      <c r="J302" s="527" t="str">
        <f>IF(J294&gt;0,12.5,"")</f>
        <v/>
      </c>
      <c r="K302" s="527" t="str">
        <f t="shared" ref="K302:L302" si="329">IF(K294&gt;0,12.5,"")</f>
        <v/>
      </c>
      <c r="L302" s="527" t="str">
        <f t="shared" si="329"/>
        <v/>
      </c>
      <c r="M302" s="154"/>
      <c r="N302" s="154"/>
      <c r="O302" s="154"/>
      <c r="P302" s="154"/>
      <c r="Q302" s="154"/>
      <c r="R302" s="154"/>
      <c r="S302" s="154"/>
      <c r="T302" s="154"/>
      <c r="U302" s="154"/>
      <c r="V302" s="159"/>
      <c r="W302" s="387"/>
      <c r="X302" s="154"/>
      <c r="Y302" s="129"/>
      <c r="Z302" s="130"/>
      <c r="AA302" s="130"/>
      <c r="AB302" s="130"/>
      <c r="AC302" s="125"/>
      <c r="AE302" s="154"/>
      <c r="AF302" s="154"/>
      <c r="AG302" s="154"/>
      <c r="AH302" s="129"/>
      <c r="AI302" s="130"/>
      <c r="AJ302" s="409"/>
      <c r="AK302" s="154"/>
      <c r="AL302" s="154"/>
      <c r="AM302" s="154"/>
      <c r="AN302" s="129"/>
      <c r="AO302" s="130"/>
      <c r="AP302" s="409"/>
      <c r="AQ302" s="154"/>
      <c r="AR302" s="154"/>
      <c r="AS302" s="154"/>
      <c r="AT302" s="129"/>
      <c r="AU302" s="130"/>
      <c r="AV302" s="409"/>
      <c r="AW302" s="154"/>
      <c r="AX302" s="154"/>
      <c r="AY302" s="154"/>
      <c r="AZ302" s="129"/>
      <c r="BA302" s="130"/>
    </row>
    <row r="303" spans="1:53" s="158" customFormat="1" ht="17.100000000000001" customHeight="1" x14ac:dyDescent="0.25">
      <c r="A303" s="967"/>
      <c r="B303" s="102"/>
      <c r="C303" s="119"/>
      <c r="D303" s="535" t="s">
        <v>959</v>
      </c>
      <c r="E303" s="142"/>
      <c r="F303" s="143"/>
      <c r="G303" s="143"/>
      <c r="H303" s="182"/>
      <c r="I303" s="240"/>
      <c r="J303" s="154"/>
      <c r="K303" s="154"/>
      <c r="L303" s="154"/>
      <c r="M303" s="154"/>
      <c r="N303" s="154"/>
      <c r="O303" s="154"/>
      <c r="P303" s="154"/>
      <c r="Q303" s="154"/>
      <c r="R303" s="154"/>
      <c r="S303" s="154"/>
      <c r="T303" s="154"/>
      <c r="U303" s="154"/>
      <c r="V303" s="159"/>
      <c r="W303" s="387"/>
      <c r="X303" s="154"/>
      <c r="Y303" s="129"/>
      <c r="Z303" s="130"/>
      <c r="AA303" s="130"/>
      <c r="AB303" s="130"/>
      <c r="AC303" s="125"/>
      <c r="AE303" s="154"/>
      <c r="AF303" s="154"/>
      <c r="AG303" s="154"/>
      <c r="AH303" s="129"/>
      <c r="AI303" s="130"/>
      <c r="AJ303" s="409"/>
      <c r="AK303" s="154"/>
      <c r="AL303" s="154"/>
      <c r="AM303" s="154"/>
      <c r="AN303" s="129"/>
      <c r="AO303" s="130"/>
      <c r="AP303" s="409"/>
      <c r="AQ303" s="154"/>
      <c r="AR303" s="154"/>
      <c r="AS303" s="154"/>
      <c r="AT303" s="129"/>
      <c r="AU303" s="130"/>
      <c r="AV303" s="409"/>
      <c r="AW303" s="154"/>
      <c r="AX303" s="154"/>
      <c r="AY303" s="154"/>
      <c r="AZ303" s="129"/>
      <c r="BA303" s="130"/>
    </row>
    <row r="304" spans="1:53" s="158" customFormat="1" ht="17.100000000000001" customHeight="1" x14ac:dyDescent="0.25">
      <c r="A304" s="967"/>
      <c r="B304" s="102"/>
      <c r="C304" s="119"/>
      <c r="D304" s="535" t="s">
        <v>961</v>
      </c>
      <c r="E304" s="142"/>
      <c r="F304" s="555"/>
      <c r="G304" s="555"/>
      <c r="H304" s="182"/>
      <c r="I304" s="240"/>
      <c r="J304" s="533">
        <f>J290*0.75</f>
        <v>0</v>
      </c>
      <c r="K304" s="533">
        <f>K290*0.75</f>
        <v>0</v>
      </c>
      <c r="L304" s="533">
        <f>L290*0.75</f>
        <v>0</v>
      </c>
      <c r="M304" s="154"/>
      <c r="N304" s="154"/>
      <c r="O304" s="154"/>
      <c r="P304" s="154"/>
      <c r="Q304" s="154"/>
      <c r="R304" s="154"/>
      <c r="S304" s="154"/>
      <c r="T304" s="154"/>
      <c r="U304" s="154"/>
      <c r="V304" s="159"/>
      <c r="W304" s="387"/>
      <c r="X304" s="154"/>
      <c r="Y304" s="129"/>
      <c r="Z304" s="130"/>
      <c r="AA304" s="130"/>
      <c r="AB304" s="130"/>
      <c r="AC304" s="125"/>
      <c r="AE304" s="154"/>
      <c r="AF304" s="154"/>
      <c r="AG304" s="154"/>
      <c r="AH304" s="129"/>
      <c r="AI304" s="130"/>
      <c r="AJ304" s="409"/>
      <c r="AK304" s="154"/>
      <c r="AL304" s="154"/>
      <c r="AM304" s="154"/>
      <c r="AN304" s="129"/>
      <c r="AO304" s="130"/>
      <c r="AP304" s="409"/>
      <c r="AQ304" s="154"/>
      <c r="AR304" s="154"/>
      <c r="AS304" s="154"/>
      <c r="AT304" s="129"/>
      <c r="AU304" s="130"/>
      <c r="AV304" s="409"/>
      <c r="AW304" s="154"/>
      <c r="AX304" s="154"/>
      <c r="AY304" s="154"/>
      <c r="AZ304" s="129"/>
      <c r="BA304" s="130"/>
    </row>
    <row r="305" spans="1:53" s="158" customFormat="1" ht="17.100000000000001" customHeight="1" x14ac:dyDescent="0.25">
      <c r="A305" s="967"/>
      <c r="B305" s="102"/>
      <c r="C305" s="119"/>
      <c r="D305" s="535" t="s">
        <v>960</v>
      </c>
      <c r="E305" s="142"/>
      <c r="F305" s="143"/>
      <c r="G305" s="143"/>
      <c r="H305" s="182"/>
      <c r="I305" s="240"/>
      <c r="J305" s="533">
        <f>J291*1.5</f>
        <v>0</v>
      </c>
      <c r="K305" s="533">
        <f>K291*1.5</f>
        <v>0</v>
      </c>
      <c r="L305" s="533">
        <f>L291*1.5</f>
        <v>0</v>
      </c>
      <c r="M305" s="154"/>
      <c r="N305" s="154"/>
      <c r="O305" s="154"/>
      <c r="P305" s="154"/>
      <c r="Q305" s="154"/>
      <c r="R305" s="154"/>
      <c r="S305" s="154"/>
      <c r="T305" s="154"/>
      <c r="U305" s="154"/>
      <c r="V305" s="154"/>
      <c r="W305" s="387"/>
      <c r="X305" s="154"/>
      <c r="Y305" s="129"/>
      <c r="Z305" s="130"/>
      <c r="AA305" s="130"/>
      <c r="AB305" s="130"/>
      <c r="AC305" s="125"/>
      <c r="AE305" s="154"/>
      <c r="AF305" s="154"/>
      <c r="AG305" s="154"/>
      <c r="AH305" s="129"/>
      <c r="AI305" s="130"/>
      <c r="AJ305" s="409"/>
      <c r="AK305" s="154"/>
      <c r="AL305" s="154"/>
      <c r="AM305" s="154"/>
      <c r="AN305" s="129"/>
      <c r="AO305" s="130"/>
      <c r="AP305" s="409"/>
      <c r="AQ305" s="154"/>
      <c r="AR305" s="154"/>
      <c r="AS305" s="154"/>
      <c r="AT305" s="129"/>
      <c r="AU305" s="130"/>
      <c r="AV305" s="409"/>
      <c r="AW305" s="154"/>
      <c r="AX305" s="154"/>
      <c r="AY305" s="154"/>
      <c r="AZ305" s="129"/>
      <c r="BA305" s="130"/>
    </row>
    <row r="306" spans="1:53" s="158" customFormat="1" ht="17.100000000000001" customHeight="1" x14ac:dyDescent="0.25">
      <c r="A306" s="967"/>
      <c r="B306" s="102"/>
      <c r="C306" s="119"/>
      <c r="D306" s="535" t="s">
        <v>962</v>
      </c>
      <c r="E306" s="142"/>
      <c r="F306" s="143"/>
      <c r="G306" s="143"/>
      <c r="H306" s="182"/>
      <c r="I306" s="240"/>
      <c r="J306" s="533">
        <f>J292*3.5</f>
        <v>0</v>
      </c>
      <c r="K306" s="533">
        <f>K292*3.5</f>
        <v>0</v>
      </c>
      <c r="L306" s="533">
        <f>L292*3.5</f>
        <v>0</v>
      </c>
      <c r="M306" s="154"/>
      <c r="N306" s="154"/>
      <c r="O306" s="154"/>
      <c r="P306" s="154"/>
      <c r="Q306" s="154"/>
      <c r="R306" s="154"/>
      <c r="S306" s="154"/>
      <c r="T306" s="154"/>
      <c r="U306" s="154"/>
      <c r="V306" s="154"/>
      <c r="W306" s="387"/>
      <c r="X306" s="154"/>
      <c r="Y306" s="129"/>
      <c r="Z306" s="130"/>
      <c r="AA306" s="130"/>
      <c r="AB306" s="130"/>
      <c r="AC306" s="125"/>
      <c r="AE306" s="154"/>
      <c r="AF306" s="154"/>
      <c r="AG306" s="154"/>
      <c r="AH306" s="129"/>
      <c r="AI306" s="130"/>
      <c r="AJ306" s="409"/>
      <c r="AK306" s="154"/>
      <c r="AL306" s="154"/>
      <c r="AM306" s="154"/>
      <c r="AN306" s="129"/>
      <c r="AO306" s="130"/>
      <c r="AP306" s="409"/>
      <c r="AQ306" s="154"/>
      <c r="AR306" s="154"/>
      <c r="AS306" s="154"/>
      <c r="AT306" s="129"/>
      <c r="AU306" s="130"/>
      <c r="AV306" s="409"/>
      <c r="AW306" s="154"/>
      <c r="AX306" s="154"/>
      <c r="AY306" s="154"/>
      <c r="AZ306" s="129"/>
      <c r="BA306" s="130"/>
    </row>
    <row r="307" spans="1:53" s="158" customFormat="1" ht="17.100000000000001" customHeight="1" x14ac:dyDescent="0.25">
      <c r="A307" s="967"/>
      <c r="B307" s="102"/>
      <c r="C307" s="119"/>
      <c r="D307" s="535" t="s">
        <v>963</v>
      </c>
      <c r="E307" s="142"/>
      <c r="F307" s="143"/>
      <c r="G307" s="143"/>
      <c r="H307" s="182"/>
      <c r="I307" s="240"/>
      <c r="J307" s="533">
        <f>J293*7.5</f>
        <v>0</v>
      </c>
      <c r="K307" s="533">
        <f>K293*7.5</f>
        <v>0</v>
      </c>
      <c r="L307" s="533">
        <f>L293*7.5</f>
        <v>0</v>
      </c>
      <c r="M307" s="154"/>
      <c r="N307" s="154"/>
      <c r="O307" s="154"/>
      <c r="P307" s="154"/>
      <c r="Q307" s="154"/>
      <c r="R307" s="154"/>
      <c r="S307" s="154"/>
      <c r="T307" s="154"/>
      <c r="U307" s="154"/>
      <c r="V307" s="154"/>
      <c r="W307" s="387"/>
      <c r="X307" s="154"/>
      <c r="Y307" s="129"/>
      <c r="Z307" s="130"/>
      <c r="AA307" s="130"/>
      <c r="AB307" s="130"/>
      <c r="AC307" s="125"/>
      <c r="AE307" s="154"/>
      <c r="AF307" s="154"/>
      <c r="AG307" s="154"/>
      <c r="AH307" s="129"/>
      <c r="AI307" s="130"/>
      <c r="AJ307" s="409"/>
      <c r="AK307" s="154"/>
      <c r="AL307" s="154"/>
      <c r="AM307" s="154"/>
      <c r="AN307" s="129"/>
      <c r="AO307" s="130"/>
      <c r="AP307" s="409"/>
      <c r="AQ307" s="154"/>
      <c r="AR307" s="154"/>
      <c r="AS307" s="154"/>
      <c r="AT307" s="129"/>
      <c r="AU307" s="130"/>
      <c r="AV307" s="409"/>
      <c r="AW307" s="154"/>
      <c r="AX307" s="154"/>
      <c r="AY307" s="154"/>
      <c r="AZ307" s="129"/>
      <c r="BA307" s="130"/>
    </row>
    <row r="308" spans="1:53" s="158" customFormat="1" ht="17.100000000000001" customHeight="1" x14ac:dyDescent="0.25">
      <c r="A308" s="967"/>
      <c r="B308" s="102"/>
      <c r="C308" s="119"/>
      <c r="D308" s="535" t="s">
        <v>964</v>
      </c>
      <c r="E308" s="142"/>
      <c r="F308" s="143"/>
      <c r="G308" s="143"/>
      <c r="H308" s="182"/>
      <c r="I308" s="240"/>
      <c r="J308" s="533">
        <f>J294*12.5</f>
        <v>0</v>
      </c>
      <c r="K308" s="533">
        <f>K294*12.5</f>
        <v>0</v>
      </c>
      <c r="L308" s="533">
        <f>L294*12.5</f>
        <v>0</v>
      </c>
      <c r="M308" s="154"/>
      <c r="N308" s="154"/>
      <c r="O308" s="154"/>
      <c r="P308" s="154"/>
      <c r="Q308" s="154"/>
      <c r="R308" s="154"/>
      <c r="S308" s="154"/>
      <c r="T308" s="154"/>
      <c r="U308" s="154"/>
      <c r="V308" s="154"/>
      <c r="W308" s="387"/>
      <c r="X308" s="154"/>
      <c r="Y308" s="129"/>
      <c r="Z308" s="130"/>
      <c r="AA308" s="130"/>
      <c r="AB308" s="130"/>
      <c r="AC308" s="125"/>
      <c r="AE308" s="154"/>
      <c r="AF308" s="154"/>
      <c r="AG308" s="154"/>
      <c r="AH308" s="129"/>
      <c r="AI308" s="130"/>
      <c r="AJ308" s="409"/>
      <c r="AK308" s="154"/>
      <c r="AL308" s="154"/>
      <c r="AM308" s="154"/>
      <c r="AN308" s="129"/>
      <c r="AO308" s="130"/>
      <c r="AP308" s="409"/>
      <c r="AQ308" s="154"/>
      <c r="AR308" s="154"/>
      <c r="AS308" s="154"/>
      <c r="AT308" s="129"/>
      <c r="AU308" s="130"/>
      <c r="AV308" s="409"/>
      <c r="AW308" s="154"/>
      <c r="AX308" s="154"/>
      <c r="AY308" s="154"/>
      <c r="AZ308" s="129"/>
      <c r="BA308" s="130"/>
    </row>
    <row r="309" spans="1:53" s="158" customFormat="1" ht="17.100000000000001" customHeight="1" x14ac:dyDescent="0.25">
      <c r="A309" s="967"/>
      <c r="B309" s="102"/>
      <c r="C309" s="119"/>
      <c r="D309" s="535" t="s">
        <v>922</v>
      </c>
      <c r="E309" s="142"/>
      <c r="F309" s="143"/>
      <c r="G309" s="143"/>
      <c r="H309" s="182"/>
      <c r="I309" s="240"/>
      <c r="J309" s="533">
        <f>SUM(J304:J308)</f>
        <v>0</v>
      </c>
      <c r="K309" s="533">
        <f t="shared" ref="K309:L309" si="330">SUM(K304:K308)</f>
        <v>0</v>
      </c>
      <c r="L309" s="533">
        <f t="shared" si="330"/>
        <v>0</v>
      </c>
      <c r="M309" s="154"/>
      <c r="N309" s="154"/>
      <c r="O309" s="154"/>
      <c r="P309" s="154"/>
      <c r="Q309" s="154"/>
      <c r="R309" s="154"/>
      <c r="S309" s="154"/>
      <c r="T309" s="154"/>
      <c r="U309" s="154"/>
      <c r="V309" s="154"/>
      <c r="W309" s="387"/>
      <c r="X309" s="154"/>
      <c r="Y309" s="129"/>
      <c r="Z309" s="130"/>
      <c r="AA309" s="130"/>
      <c r="AB309" s="130"/>
      <c r="AC309" s="125"/>
      <c r="AE309" s="154"/>
      <c r="AF309" s="154"/>
      <c r="AG309" s="154"/>
      <c r="AH309" s="129"/>
      <c r="AI309" s="130"/>
      <c r="AJ309" s="409"/>
      <c r="AK309" s="154"/>
      <c r="AL309" s="154"/>
      <c r="AM309" s="154"/>
      <c r="AN309" s="129"/>
      <c r="AO309" s="130"/>
      <c r="AP309" s="409"/>
      <c r="AQ309" s="154"/>
      <c r="AR309" s="154"/>
      <c r="AS309" s="154"/>
      <c r="AT309" s="129"/>
      <c r="AU309" s="130"/>
      <c r="AV309" s="409"/>
      <c r="AW309" s="154"/>
      <c r="AX309" s="154"/>
      <c r="AY309" s="154"/>
      <c r="AZ309" s="129"/>
      <c r="BA309" s="130"/>
    </row>
    <row r="310" spans="1:53" s="409" customFormat="1" ht="17.100000000000001" customHeight="1" x14ac:dyDescent="0.25">
      <c r="A310" s="967"/>
      <c r="B310" s="928"/>
      <c r="C310" s="928"/>
      <c r="D310" s="461" t="s">
        <v>980</v>
      </c>
      <c r="E310" s="556"/>
      <c r="F310" s="92"/>
      <c r="G310" s="92"/>
      <c r="H310" s="182"/>
      <c r="I310" s="240"/>
      <c r="J310" s="537" t="str">
        <f>IF(SUM(J298:J302)=0,"",MIN(J298:J302))</f>
        <v/>
      </c>
      <c r="K310" s="537" t="str">
        <f t="shared" ref="K310:L310" si="331">IF(SUM(K298:K302)=0,"",MIN(K298:K302))</f>
        <v/>
      </c>
      <c r="L310" s="537" t="str">
        <f t="shared" si="331"/>
        <v/>
      </c>
      <c r="M310" s="155"/>
      <c r="N310" s="155"/>
      <c r="O310" s="155"/>
      <c r="P310" s="155"/>
      <c r="Q310" s="155"/>
      <c r="R310" s="155"/>
      <c r="S310" s="155"/>
      <c r="T310" s="155"/>
      <c r="U310" s="155"/>
      <c r="V310" s="155"/>
      <c r="W310" s="388"/>
      <c r="X310" s="155"/>
      <c r="Y310" s="927"/>
      <c r="Z310" s="201"/>
      <c r="AA310" s="537">
        <f t="shared" ref="AA310:AA311" si="332">MIN(J310:L310)</f>
        <v>0</v>
      </c>
      <c r="AB310" s="537">
        <f t="shared" ref="AB310:AB311" si="333">MAX(J310:L310)</f>
        <v>0</v>
      </c>
      <c r="AC310" s="537">
        <f t="shared" ref="AC310:AC311" si="334">IF(SUM(J310:L310)=0,0,AVERAGE(J310:L310))</f>
        <v>0</v>
      </c>
      <c r="AE310" s="155"/>
      <c r="AF310" s="155"/>
      <c r="AG310" s="155"/>
      <c r="AH310" s="927"/>
      <c r="AI310" s="201"/>
      <c r="AK310" s="155"/>
      <c r="AL310" s="155"/>
      <c r="AM310" s="155"/>
      <c r="AN310" s="927"/>
      <c r="AO310" s="201"/>
      <c r="AQ310" s="968">
        <f t="shared" ref="AQ310:AQ311" si="335">MIN(J310,K310)</f>
        <v>0</v>
      </c>
      <c r="AR310" s="537">
        <f t="shared" ref="AR310:AR311" si="336">MAX(J310:K310)</f>
        <v>0</v>
      </c>
      <c r="AS310" s="537"/>
      <c r="AT310" s="927"/>
      <c r="AU310" s="201"/>
      <c r="AW310" s="968" t="str">
        <f t="shared" ref="AW310:AW311" si="337">L310</f>
        <v/>
      </c>
      <c r="AX310" s="537" t="str">
        <f t="shared" ref="AX310:AX311" si="338">L310</f>
        <v/>
      </c>
      <c r="AY310" s="537"/>
      <c r="AZ310" s="927"/>
      <c r="BA310" s="201"/>
    </row>
    <row r="311" spans="1:53" s="409" customFormat="1" ht="17.100000000000001" customHeight="1" x14ac:dyDescent="0.25">
      <c r="A311" s="967"/>
      <c r="B311" s="928"/>
      <c r="C311" s="928"/>
      <c r="D311" s="461" t="s">
        <v>979</v>
      </c>
      <c r="E311" s="556"/>
      <c r="F311" s="92"/>
      <c r="G311" s="92"/>
      <c r="H311" s="182"/>
      <c r="I311" s="240"/>
      <c r="J311" s="537" t="str">
        <f>IF(SUM(J298:J302)=0,"",MAX(J298:J302))</f>
        <v/>
      </c>
      <c r="K311" s="537" t="str">
        <f t="shared" ref="K311:L311" si="339">IF(SUM(K298:K302)=0,"",MAX(K298:K302))</f>
        <v/>
      </c>
      <c r="L311" s="537" t="str">
        <f t="shared" si="339"/>
        <v/>
      </c>
      <c r="M311" s="155"/>
      <c r="N311" s="155"/>
      <c r="O311" s="155"/>
      <c r="P311" s="155"/>
      <c r="Q311" s="155"/>
      <c r="R311" s="155"/>
      <c r="S311" s="155"/>
      <c r="T311" s="155"/>
      <c r="U311" s="155"/>
      <c r="V311" s="155"/>
      <c r="W311" s="388"/>
      <c r="X311" s="155"/>
      <c r="Y311" s="927"/>
      <c r="Z311" s="201"/>
      <c r="AA311" s="537">
        <f t="shared" si="332"/>
        <v>0</v>
      </c>
      <c r="AB311" s="537">
        <f t="shared" si="333"/>
        <v>0</v>
      </c>
      <c r="AC311" s="537">
        <f t="shared" si="334"/>
        <v>0</v>
      </c>
      <c r="AE311" s="155"/>
      <c r="AF311" s="155"/>
      <c r="AG311" s="155"/>
      <c r="AH311" s="927"/>
      <c r="AI311" s="201"/>
      <c r="AK311" s="155"/>
      <c r="AL311" s="155"/>
      <c r="AM311" s="155"/>
      <c r="AN311" s="927"/>
      <c r="AO311" s="201"/>
      <c r="AQ311" s="537">
        <f t="shared" si="335"/>
        <v>0</v>
      </c>
      <c r="AR311" s="968">
        <f t="shared" si="336"/>
        <v>0</v>
      </c>
      <c r="AS311" s="537"/>
      <c r="AT311" s="927"/>
      <c r="AU311" s="201"/>
      <c r="AW311" s="537" t="str">
        <f t="shared" si="337"/>
        <v/>
      </c>
      <c r="AX311" s="968" t="str">
        <f t="shared" si="338"/>
        <v/>
      </c>
      <c r="AY311" s="537"/>
      <c r="AZ311" s="927"/>
      <c r="BA311" s="201"/>
    </row>
    <row r="312" spans="1:53" s="409" customFormat="1" ht="17.100000000000001" customHeight="1" x14ac:dyDescent="0.25">
      <c r="A312" s="967"/>
      <c r="B312" s="928"/>
      <c r="C312" s="928"/>
      <c r="D312" s="461" t="s">
        <v>974</v>
      </c>
      <c r="E312" s="556"/>
      <c r="F312" s="92"/>
      <c r="G312" s="92"/>
      <c r="H312" s="182"/>
      <c r="I312" s="240"/>
      <c r="J312" s="537" t="str">
        <f>IF(J296=0,"",J309/J296)</f>
        <v/>
      </c>
      <c r="K312" s="537" t="str">
        <f t="shared" ref="K312:L312" si="340">IF(K296=0,"",K309/K296)</f>
        <v/>
      </c>
      <c r="L312" s="537" t="str">
        <f t="shared" si="340"/>
        <v/>
      </c>
      <c r="M312" s="155"/>
      <c r="N312" s="155"/>
      <c r="O312" s="155"/>
      <c r="P312" s="155"/>
      <c r="Q312" s="155"/>
      <c r="R312" s="155"/>
      <c r="S312" s="155"/>
      <c r="T312" s="155"/>
      <c r="U312" s="155"/>
      <c r="V312" s="155"/>
      <c r="W312" s="388"/>
      <c r="X312" s="155"/>
      <c r="Y312" s="927"/>
      <c r="Z312" s="201"/>
      <c r="AA312" s="537">
        <f>MIN(J312:L312)</f>
        <v>0</v>
      </c>
      <c r="AB312" s="537">
        <f>MAX(J312:L312)</f>
        <v>0</v>
      </c>
      <c r="AC312" s="537">
        <f>IF(SUM(J312:L312)=0,0,AVERAGE(J312:L312))</f>
        <v>0</v>
      </c>
      <c r="AE312" s="537" t="str">
        <f>J312</f>
        <v/>
      </c>
      <c r="AF312" s="537" t="str">
        <f>J312</f>
        <v/>
      </c>
      <c r="AG312" s="537" t="str">
        <f>J312</f>
        <v/>
      </c>
      <c r="AH312" s="927"/>
      <c r="AI312" s="201"/>
      <c r="AK312" s="537" t="str">
        <f>K312</f>
        <v/>
      </c>
      <c r="AL312" s="537" t="str">
        <f>K312</f>
        <v/>
      </c>
      <c r="AM312" s="537" t="str">
        <f>K312</f>
        <v/>
      </c>
      <c r="AN312" s="927"/>
      <c r="AO312" s="201"/>
      <c r="AQ312" s="537">
        <f>MIN(J312,K312)</f>
        <v>0</v>
      </c>
      <c r="AR312" s="537">
        <f>MAX(J312:K312)</f>
        <v>0</v>
      </c>
      <c r="AS312" s="968">
        <f>IF(SUM(J312:K312)=0,0,AVERAGE(J312:K312))</f>
        <v>0</v>
      </c>
      <c r="AT312" s="927"/>
      <c r="AU312" s="201"/>
      <c r="AW312" s="537" t="str">
        <f>L312</f>
        <v/>
      </c>
      <c r="AX312" s="537" t="str">
        <f>L312</f>
        <v/>
      </c>
      <c r="AY312" s="968" t="str">
        <f>L312</f>
        <v/>
      </c>
      <c r="AZ312" s="927"/>
      <c r="BA312" s="201"/>
    </row>
    <row r="313" spans="1:53" s="97" customFormat="1" ht="17.100000000000001" customHeight="1" x14ac:dyDescent="0.25">
      <c r="A313" s="68"/>
      <c r="B313" s="68"/>
      <c r="C313" s="165"/>
      <c r="D313" s="166"/>
      <c r="E313" s="166"/>
      <c r="F313" s="166"/>
      <c r="G313" s="166"/>
      <c r="H313" s="165"/>
      <c r="I313" s="12"/>
      <c r="J313" s="558"/>
      <c r="K313" s="94"/>
      <c r="L313" s="95"/>
      <c r="M313" s="95"/>
      <c r="N313" s="95"/>
      <c r="O313" s="95"/>
      <c r="P313" s="95"/>
      <c r="Q313" s="95"/>
      <c r="R313" s="95"/>
      <c r="S313" s="95"/>
      <c r="T313" s="95"/>
      <c r="U313" s="95"/>
      <c r="V313" s="95"/>
      <c r="W313" s="378"/>
      <c r="X313" s="95"/>
      <c r="Y313" s="96"/>
      <c r="AE313" s="109"/>
      <c r="AF313" s="109"/>
      <c r="AG313" s="109"/>
      <c r="AH313" s="96"/>
      <c r="AK313" s="109"/>
      <c r="AL313" s="109"/>
      <c r="AM313" s="109"/>
      <c r="AN313" s="96"/>
      <c r="AQ313" s="109"/>
      <c r="AR313" s="109"/>
      <c r="AS313" s="109"/>
      <c r="AT313" s="96"/>
      <c r="AW313" s="109"/>
      <c r="AX313" s="109"/>
      <c r="AY313" s="109"/>
      <c r="AZ313" s="96"/>
    </row>
    <row r="314" spans="1:53" s="32" customFormat="1" ht="16.5" thickBot="1" x14ac:dyDescent="0.3">
      <c r="A314" s="24" t="s">
        <v>150</v>
      </c>
      <c r="B314" s="25" t="s">
        <v>151</v>
      </c>
      <c r="C314" s="26"/>
      <c r="D314" s="27"/>
      <c r="E314" s="27"/>
      <c r="F314" s="27"/>
      <c r="G314" s="28"/>
      <c r="H314" s="215"/>
      <c r="I314" s="228"/>
      <c r="J314" s="101"/>
      <c r="K314" s="101"/>
      <c r="L314" s="101"/>
      <c r="M314" s="101"/>
      <c r="N314" s="101"/>
      <c r="O314" s="101"/>
      <c r="P314" s="101"/>
      <c r="Q314" s="101"/>
      <c r="R314" s="101"/>
      <c r="S314" s="101"/>
      <c r="T314" s="101"/>
      <c r="U314" s="101"/>
      <c r="V314" s="357"/>
      <c r="W314" s="379"/>
      <c r="X314" s="101"/>
      <c r="Y314" s="30" t="s">
        <v>4</v>
      </c>
      <c r="Z314" s="31" t="s">
        <v>5</v>
      </c>
      <c r="AA314" s="31" t="s">
        <v>181</v>
      </c>
      <c r="AB314" s="31" t="s">
        <v>182</v>
      </c>
      <c r="AC314" s="24" t="s">
        <v>6</v>
      </c>
      <c r="AE314" s="33" t="s">
        <v>181</v>
      </c>
      <c r="AF314" s="33" t="s">
        <v>182</v>
      </c>
      <c r="AG314" s="33" t="s">
        <v>6</v>
      </c>
      <c r="AH314" s="33" t="s">
        <v>4</v>
      </c>
      <c r="AI314" s="34" t="s">
        <v>5</v>
      </c>
      <c r="AJ314" s="408"/>
      <c r="AK314" s="36" t="s">
        <v>181</v>
      </c>
      <c r="AL314" s="36" t="s">
        <v>182</v>
      </c>
      <c r="AM314" s="36" t="s">
        <v>6</v>
      </c>
      <c r="AN314" s="36" t="s">
        <v>4</v>
      </c>
      <c r="AO314" s="37" t="s">
        <v>5</v>
      </c>
      <c r="AP314" s="408"/>
      <c r="AQ314" s="36"/>
      <c r="AR314" s="36"/>
      <c r="AS314" s="36"/>
      <c r="AT314" s="36"/>
      <c r="AU314" s="37"/>
      <c r="AV314" s="408"/>
      <c r="AW314" s="38" t="s">
        <v>181</v>
      </c>
      <c r="AX314" s="38" t="s">
        <v>182</v>
      </c>
      <c r="AY314" s="38" t="s">
        <v>6</v>
      </c>
      <c r="AZ314" s="38" t="s">
        <v>4</v>
      </c>
      <c r="BA314" s="39" t="s">
        <v>5</v>
      </c>
    </row>
    <row r="315" spans="1:53" ht="17.100000000000001" customHeight="1" x14ac:dyDescent="0.25">
      <c r="A315" s="68"/>
      <c r="B315" s="41" t="s">
        <v>152</v>
      </c>
      <c r="C315" s="69" t="s">
        <v>433</v>
      </c>
      <c r="D315" s="50"/>
      <c r="E315" s="70"/>
      <c r="F315" s="70"/>
      <c r="G315" s="70"/>
      <c r="H315" s="263">
        <v>38</v>
      </c>
      <c r="J315" s="71"/>
      <c r="K315" s="71"/>
      <c r="L315" s="71"/>
      <c r="M315" s="71"/>
      <c r="N315" s="71"/>
      <c r="O315" s="71"/>
      <c r="P315" s="71"/>
      <c r="Q315" s="71"/>
      <c r="R315" s="71"/>
      <c r="S315" s="71"/>
      <c r="T315" s="71"/>
      <c r="U315" s="71"/>
      <c r="V315" s="355"/>
      <c r="W315" s="377"/>
      <c r="X315" s="71"/>
      <c r="Y315" s="72"/>
      <c r="Z315" s="73"/>
      <c r="AA315" s="73"/>
      <c r="AB315" s="73"/>
      <c r="AC315" s="73"/>
      <c r="AE315" s="71"/>
      <c r="AF315" s="71"/>
      <c r="AG315" s="71"/>
      <c r="AH315" s="72"/>
      <c r="AI315" s="73"/>
      <c r="AK315" s="71"/>
      <c r="AL315" s="71"/>
      <c r="AM315" s="71"/>
      <c r="AN315" s="72"/>
      <c r="AO315" s="73"/>
      <c r="AQ315" s="71"/>
      <c r="AR315" s="71"/>
      <c r="AS315" s="71"/>
      <c r="AT315" s="72"/>
      <c r="AU315" s="73"/>
      <c r="AW315" s="71"/>
      <c r="AX315" s="71"/>
      <c r="AY315" s="71"/>
      <c r="AZ315" s="72"/>
      <c r="BA315" s="73"/>
    </row>
    <row r="316" spans="1:53" s="4" customFormat="1" ht="17.100000000000001" customHeight="1" x14ac:dyDescent="0.25">
      <c r="A316" s="40"/>
      <c r="B316" s="40"/>
      <c r="C316" s="74" t="s">
        <v>153</v>
      </c>
      <c r="D316" s="85" t="s">
        <v>173</v>
      </c>
      <c r="E316" s="105"/>
      <c r="F316" s="105"/>
      <c r="G316" s="105"/>
      <c r="H316" s="119"/>
      <c r="I316" s="231"/>
      <c r="J316" s="581"/>
      <c r="K316" s="581"/>
      <c r="L316" s="582"/>
      <c r="M316" s="593"/>
      <c r="N316" s="111"/>
      <c r="O316" s="111"/>
      <c r="P316" s="111"/>
      <c r="Q316" s="111"/>
      <c r="R316" s="111"/>
      <c r="S316" s="111"/>
      <c r="T316" s="111"/>
      <c r="U316" s="111"/>
      <c r="V316" s="358"/>
      <c r="W316" s="391">
        <f t="shared" ref="W316:W322" si="341">J316+K316+N316+Q316+T316</f>
        <v>0</v>
      </c>
      <c r="X316" s="17">
        <f t="shared" ref="X316:X322" si="342">L316+O316+R316+U316</f>
        <v>0</v>
      </c>
      <c r="Y316" s="18">
        <f>SUM(W316:X316)</f>
        <v>0</v>
      </c>
      <c r="Z316" s="19">
        <f>IF(Y$323=0,0,Y316/Y$323)</f>
        <v>0</v>
      </c>
      <c r="AA316" s="19"/>
      <c r="AB316" s="19"/>
      <c r="AC316" s="20"/>
      <c r="AE316" s="17"/>
      <c r="AF316" s="17"/>
      <c r="AG316" s="17"/>
      <c r="AH316" s="18">
        <f>J316</f>
        <v>0</v>
      </c>
      <c r="AI316" s="19">
        <f>IF(AH$323=0,0,AH316/AH$323)</f>
        <v>0</v>
      </c>
      <c r="AJ316" s="97"/>
      <c r="AK316" s="17"/>
      <c r="AL316" s="17"/>
      <c r="AM316" s="17"/>
      <c r="AN316" s="18">
        <f>K316</f>
        <v>0</v>
      </c>
      <c r="AO316" s="19">
        <f>IF(AN$323=0,0,AN316/AN$323)</f>
        <v>0</v>
      </c>
      <c r="AP316" s="97"/>
      <c r="AQ316" s="17"/>
      <c r="AR316" s="17"/>
      <c r="AS316" s="17"/>
      <c r="AT316" s="18">
        <f>W316</f>
        <v>0</v>
      </c>
      <c r="AU316" s="19">
        <f>IF(AT$323=0,0,AT316/AT$323)</f>
        <v>0</v>
      </c>
      <c r="AV316" s="97"/>
      <c r="AW316" s="17"/>
      <c r="AX316" s="17"/>
      <c r="AY316" s="17"/>
      <c r="AZ316" s="18">
        <f>X316</f>
        <v>0</v>
      </c>
      <c r="BA316" s="19">
        <f>IF(AZ$323=0,0,AZ316/AZ$323)</f>
        <v>0</v>
      </c>
    </row>
    <row r="317" spans="1:53" s="4" customFormat="1" ht="17.100000000000001" customHeight="1" x14ac:dyDescent="0.25">
      <c r="A317" s="40"/>
      <c r="B317" s="40"/>
      <c r="C317" s="74" t="s">
        <v>154</v>
      </c>
      <c r="D317" s="85" t="s">
        <v>544</v>
      </c>
      <c r="E317" s="105"/>
      <c r="F317" s="105"/>
      <c r="G317" s="105"/>
      <c r="H317" s="119"/>
      <c r="I317" s="231"/>
      <c r="J317" s="583"/>
      <c r="K317" s="583"/>
      <c r="L317" s="584"/>
      <c r="M317" s="593"/>
      <c r="N317" s="111"/>
      <c r="O317" s="111"/>
      <c r="P317" s="111"/>
      <c r="Q317" s="111"/>
      <c r="R317" s="111"/>
      <c r="S317" s="111"/>
      <c r="T317" s="111"/>
      <c r="U317" s="111"/>
      <c r="V317" s="358"/>
      <c r="W317" s="391">
        <f t="shared" si="341"/>
        <v>0</v>
      </c>
      <c r="X317" s="17">
        <f t="shared" si="342"/>
        <v>0</v>
      </c>
      <c r="Y317" s="18">
        <f>SUM(W317:X317)</f>
        <v>0</v>
      </c>
      <c r="Z317" s="19">
        <f>IF(Y$323=0,0,Y317/Y$323)</f>
        <v>0</v>
      </c>
      <c r="AA317" s="19"/>
      <c r="AB317" s="19"/>
      <c r="AC317" s="20"/>
      <c r="AE317" s="17"/>
      <c r="AF317" s="17"/>
      <c r="AG317" s="17"/>
      <c r="AH317" s="18">
        <f t="shared" ref="AH317:AH322" si="343">J317</f>
        <v>0</v>
      </c>
      <c r="AI317" s="19">
        <f>IF(AH$323=0,0,AH317/AH$323)</f>
        <v>0</v>
      </c>
      <c r="AJ317" s="97"/>
      <c r="AK317" s="17"/>
      <c r="AL317" s="17"/>
      <c r="AM317" s="17"/>
      <c r="AN317" s="18">
        <f t="shared" ref="AN317:AN322" si="344">K317</f>
        <v>0</v>
      </c>
      <c r="AO317" s="19">
        <f>IF(AN$323=0,0,AN317/AN$323)</f>
        <v>0</v>
      </c>
      <c r="AP317" s="97"/>
      <c r="AQ317" s="17"/>
      <c r="AR317" s="17"/>
      <c r="AS317" s="17"/>
      <c r="AT317" s="18">
        <f t="shared" ref="AT317:AT322" si="345">W317</f>
        <v>0</v>
      </c>
      <c r="AU317" s="19">
        <f>IF(AT$323=0,0,AT317/AT$323)</f>
        <v>0</v>
      </c>
      <c r="AV317" s="97"/>
      <c r="AW317" s="17"/>
      <c r="AX317" s="17"/>
      <c r="AY317" s="17"/>
      <c r="AZ317" s="18">
        <f>X317</f>
        <v>0</v>
      </c>
      <c r="BA317" s="19">
        <f>IF(AZ$323=0,0,AZ317/AZ$323)</f>
        <v>0</v>
      </c>
    </row>
    <row r="318" spans="1:53" s="4" customFormat="1" ht="17.100000000000001" customHeight="1" x14ac:dyDescent="0.25">
      <c r="A318" s="40"/>
      <c r="B318" s="40"/>
      <c r="C318" s="74" t="s">
        <v>155</v>
      </c>
      <c r="D318" s="146" t="s">
        <v>484</v>
      </c>
      <c r="E318" s="105"/>
      <c r="F318" s="105"/>
      <c r="G318" s="105"/>
      <c r="H318" s="119"/>
      <c r="I318" s="231"/>
      <c r="J318" s="581"/>
      <c r="K318" s="581"/>
      <c r="L318" s="582"/>
      <c r="M318" s="593"/>
      <c r="N318" s="111"/>
      <c r="O318" s="111"/>
      <c r="P318" s="111"/>
      <c r="Q318" s="111"/>
      <c r="R318" s="111"/>
      <c r="S318" s="111"/>
      <c r="T318" s="111"/>
      <c r="U318" s="111"/>
      <c r="V318" s="358"/>
      <c r="W318" s="391"/>
      <c r="X318" s="17">
        <f>L318</f>
        <v>0</v>
      </c>
      <c r="Y318" s="17">
        <f>M318</f>
        <v>0</v>
      </c>
      <c r="Z318" s="19"/>
      <c r="AA318" s="17">
        <f>MIN(J318:L318)</f>
        <v>0</v>
      </c>
      <c r="AB318" s="17"/>
      <c r="AC318" s="17"/>
      <c r="AE318" s="17">
        <f>J318</f>
        <v>0</v>
      </c>
      <c r="AF318" s="17"/>
      <c r="AG318" s="17"/>
      <c r="AH318" s="18"/>
      <c r="AI318" s="19"/>
      <c r="AJ318" s="97"/>
      <c r="AK318" s="17">
        <f>K318</f>
        <v>0</v>
      </c>
      <c r="AL318" s="17"/>
      <c r="AM318" s="17"/>
      <c r="AN318" s="18"/>
      <c r="AO318" s="19"/>
      <c r="AP318" s="97"/>
      <c r="AQ318" s="17">
        <f>W318</f>
        <v>0</v>
      </c>
      <c r="AR318" s="17"/>
      <c r="AS318" s="17"/>
      <c r="AT318" s="18"/>
      <c r="AU318" s="19"/>
      <c r="AV318" s="97"/>
      <c r="AW318" s="17">
        <f>L318</f>
        <v>0</v>
      </c>
      <c r="AX318" s="17"/>
      <c r="AY318" s="17"/>
      <c r="AZ318" s="18"/>
      <c r="BA318" s="19"/>
    </row>
    <row r="319" spans="1:53" s="4" customFormat="1" ht="17.100000000000001" customHeight="1" x14ac:dyDescent="0.25">
      <c r="A319" s="40"/>
      <c r="B319" s="40"/>
      <c r="C319" s="74" t="s">
        <v>156</v>
      </c>
      <c r="D319" s="146" t="s">
        <v>485</v>
      </c>
      <c r="E319" s="105"/>
      <c r="F319" s="105"/>
      <c r="G319" s="105"/>
      <c r="H319" s="119"/>
      <c r="I319" s="231"/>
      <c r="J319" s="583"/>
      <c r="K319" s="583"/>
      <c r="L319" s="584"/>
      <c r="M319" s="593"/>
      <c r="N319" s="111"/>
      <c r="O319" s="111"/>
      <c r="P319" s="111"/>
      <c r="Q319" s="111"/>
      <c r="R319" s="111"/>
      <c r="S319" s="111"/>
      <c r="T319" s="111"/>
      <c r="U319" s="111"/>
      <c r="V319" s="358"/>
      <c r="W319" s="391"/>
      <c r="X319" s="17">
        <f t="shared" ref="X319:Y320" si="346">L319</f>
        <v>0</v>
      </c>
      <c r="Y319" s="17">
        <f t="shared" si="346"/>
        <v>0</v>
      </c>
      <c r="Z319" s="19"/>
      <c r="AA319" s="17"/>
      <c r="AB319" s="17">
        <f>MAX(J319:L319)</f>
        <v>0</v>
      </c>
      <c r="AC319" s="17"/>
      <c r="AE319" s="17"/>
      <c r="AF319" s="17">
        <f>J319</f>
        <v>0</v>
      </c>
      <c r="AG319" s="17"/>
      <c r="AH319" s="18"/>
      <c r="AI319" s="19"/>
      <c r="AJ319" s="97"/>
      <c r="AK319" s="17"/>
      <c r="AL319" s="17">
        <f>K319</f>
        <v>0</v>
      </c>
      <c r="AM319" s="17"/>
      <c r="AN319" s="18"/>
      <c r="AO319" s="19"/>
      <c r="AP319" s="97"/>
      <c r="AQ319" s="17"/>
      <c r="AR319" s="17">
        <f>W319</f>
        <v>0</v>
      </c>
      <c r="AS319" s="17"/>
      <c r="AT319" s="18"/>
      <c r="AU319" s="19"/>
      <c r="AV319" s="97"/>
      <c r="AW319" s="17"/>
      <c r="AX319" s="17">
        <f>L319</f>
        <v>0</v>
      </c>
      <c r="AY319" s="17"/>
      <c r="AZ319" s="18"/>
      <c r="BA319" s="19"/>
    </row>
    <row r="320" spans="1:53" s="4" customFormat="1" ht="17.100000000000001" customHeight="1" x14ac:dyDescent="0.25">
      <c r="A320" s="40"/>
      <c r="B320" s="40"/>
      <c r="C320" s="74" t="s">
        <v>157</v>
      </c>
      <c r="D320" s="146" t="s">
        <v>543</v>
      </c>
      <c r="E320" s="105"/>
      <c r="F320" s="105"/>
      <c r="G320" s="105"/>
      <c r="H320" s="119"/>
      <c r="I320" s="231"/>
      <c r="J320" s="581"/>
      <c r="K320" s="581"/>
      <c r="L320" s="582"/>
      <c r="M320" s="593"/>
      <c r="N320" s="111"/>
      <c r="O320" s="111"/>
      <c r="P320" s="111"/>
      <c r="Q320" s="111"/>
      <c r="R320" s="111"/>
      <c r="S320" s="111"/>
      <c r="T320" s="111"/>
      <c r="U320" s="111"/>
      <c r="V320" s="358"/>
      <c r="W320" s="391"/>
      <c r="X320" s="17">
        <f t="shared" si="346"/>
        <v>0</v>
      </c>
      <c r="Y320" s="17">
        <f t="shared" si="346"/>
        <v>0</v>
      </c>
      <c r="Z320" s="19"/>
      <c r="AA320" s="17"/>
      <c r="AB320" s="17"/>
      <c r="AC320" s="17">
        <f>IF(SUM(J320:L320)=0,0,AVERAGE(J320:L320))</f>
        <v>0</v>
      </c>
      <c r="AE320" s="17"/>
      <c r="AF320" s="17"/>
      <c r="AG320" s="17">
        <f>J320</f>
        <v>0</v>
      </c>
      <c r="AH320" s="18"/>
      <c r="AI320" s="19"/>
      <c r="AJ320" s="97"/>
      <c r="AK320" s="17"/>
      <c r="AL320" s="17"/>
      <c r="AM320" s="17">
        <f>K320</f>
        <v>0</v>
      </c>
      <c r="AN320" s="18"/>
      <c r="AO320" s="19"/>
      <c r="AP320" s="97"/>
      <c r="AQ320" s="17"/>
      <c r="AR320" s="17"/>
      <c r="AS320" s="17">
        <f>W320</f>
        <v>0</v>
      </c>
      <c r="AT320" s="18"/>
      <c r="AU320" s="19"/>
      <c r="AV320" s="97"/>
      <c r="AW320" s="17"/>
      <c r="AX320" s="17"/>
      <c r="AY320" s="17">
        <f>L320</f>
        <v>0</v>
      </c>
      <c r="AZ320" s="18"/>
      <c r="BA320" s="19"/>
    </row>
    <row r="321" spans="1:53" s="4" customFormat="1" ht="17.100000000000001" customHeight="1" x14ac:dyDescent="0.25">
      <c r="A321" s="40"/>
      <c r="B321" s="40"/>
      <c r="C321" s="74" t="s">
        <v>158</v>
      </c>
      <c r="D321" s="75" t="s">
        <v>129</v>
      </c>
      <c r="E321" s="105"/>
      <c r="F321" s="105"/>
      <c r="G321" s="105"/>
      <c r="H321" s="119"/>
      <c r="I321" s="231"/>
      <c r="J321" s="583"/>
      <c r="K321" s="583"/>
      <c r="L321" s="584"/>
      <c r="M321" s="593"/>
      <c r="N321" s="111"/>
      <c r="O321" s="111"/>
      <c r="P321" s="111"/>
      <c r="Q321" s="111"/>
      <c r="R321" s="111"/>
      <c r="S321" s="111"/>
      <c r="T321" s="111"/>
      <c r="U321" s="111"/>
      <c r="V321" s="358"/>
      <c r="W321" s="391">
        <f t="shared" si="341"/>
        <v>0</v>
      </c>
      <c r="X321" s="17">
        <f t="shared" si="342"/>
        <v>0</v>
      </c>
      <c r="Y321" s="18">
        <f>SUM(W321:X321)</f>
        <v>0</v>
      </c>
      <c r="Z321" s="19">
        <f>IF(Y$323=0,0,Y321/Y$323)</f>
        <v>0</v>
      </c>
      <c r="AA321" s="19"/>
      <c r="AB321" s="19"/>
      <c r="AC321" s="20"/>
      <c r="AE321" s="17"/>
      <c r="AF321" s="17"/>
      <c r="AG321" s="17"/>
      <c r="AH321" s="18">
        <f t="shared" si="343"/>
        <v>0</v>
      </c>
      <c r="AI321" s="19">
        <f>IF(AH$323=0,0,AH321/AH$323)</f>
        <v>0</v>
      </c>
      <c r="AJ321" s="97"/>
      <c r="AK321" s="17"/>
      <c r="AL321" s="17"/>
      <c r="AM321" s="17"/>
      <c r="AN321" s="18">
        <f t="shared" si="344"/>
        <v>0</v>
      </c>
      <c r="AO321" s="19">
        <f>IF(AN$323=0,0,AN321/AN$323)</f>
        <v>0</v>
      </c>
      <c r="AP321" s="97"/>
      <c r="AQ321" s="17"/>
      <c r="AR321" s="17"/>
      <c r="AS321" s="17"/>
      <c r="AT321" s="18">
        <f t="shared" si="345"/>
        <v>0</v>
      </c>
      <c r="AU321" s="19">
        <f>IF(AT$323=0,0,AT321/AT$323)</f>
        <v>0</v>
      </c>
      <c r="AV321" s="97"/>
      <c r="AW321" s="17"/>
      <c r="AX321" s="17"/>
      <c r="AY321" s="17"/>
      <c r="AZ321" s="18">
        <f>X321</f>
        <v>0</v>
      </c>
      <c r="BA321" s="19">
        <f>IF(AZ$323=0,0,AZ321/AZ$323)</f>
        <v>0</v>
      </c>
    </row>
    <row r="322" spans="1:53" s="4" customFormat="1" ht="17.100000000000001" customHeight="1" x14ac:dyDescent="0.25">
      <c r="A322" s="40"/>
      <c r="B322" s="40"/>
      <c r="C322" s="74" t="s">
        <v>159</v>
      </c>
      <c r="D322" s="75" t="s">
        <v>530</v>
      </c>
      <c r="E322" s="75"/>
      <c r="F322" s="75"/>
      <c r="G322" s="75"/>
      <c r="H322" s="540"/>
      <c r="I322" s="229"/>
      <c r="J322" s="581"/>
      <c r="K322" s="581"/>
      <c r="L322" s="582"/>
      <c r="M322" s="593"/>
      <c r="N322" s="111"/>
      <c r="O322" s="111"/>
      <c r="P322" s="111"/>
      <c r="Q322" s="111"/>
      <c r="R322" s="111"/>
      <c r="S322" s="111"/>
      <c r="T322" s="111"/>
      <c r="U322" s="111"/>
      <c r="V322" s="358"/>
      <c r="W322" s="391">
        <f t="shared" si="341"/>
        <v>0</v>
      </c>
      <c r="X322" s="17">
        <f t="shared" si="342"/>
        <v>0</v>
      </c>
      <c r="Y322" s="18">
        <f>SUM(W322:X322)</f>
        <v>0</v>
      </c>
      <c r="Z322" s="19">
        <f>IF(Y$323=0,0,Y322/Y$323)</f>
        <v>0</v>
      </c>
      <c r="AA322" s="19"/>
      <c r="AB322" s="19"/>
      <c r="AC322" s="20"/>
      <c r="AE322" s="17"/>
      <c r="AF322" s="17"/>
      <c r="AG322" s="17"/>
      <c r="AH322" s="18">
        <f t="shared" si="343"/>
        <v>0</v>
      </c>
      <c r="AI322" s="19">
        <f>IF(AH$323=0,0,AH322/AH$323)</f>
        <v>0</v>
      </c>
      <c r="AJ322" s="97"/>
      <c r="AK322" s="17"/>
      <c r="AL322" s="17"/>
      <c r="AM322" s="17"/>
      <c r="AN322" s="18">
        <f t="shared" si="344"/>
        <v>0</v>
      </c>
      <c r="AO322" s="19">
        <f>IF(AN$323=0,0,AN322/AN$323)</f>
        <v>0</v>
      </c>
      <c r="AP322" s="97"/>
      <c r="AQ322" s="17"/>
      <c r="AR322" s="17"/>
      <c r="AS322" s="17"/>
      <c r="AT322" s="18">
        <f t="shared" si="345"/>
        <v>0</v>
      </c>
      <c r="AU322" s="19">
        <f>IF(AT$323=0,0,AT322/AT$323)</f>
        <v>0</v>
      </c>
      <c r="AV322" s="97"/>
      <c r="AW322" s="17"/>
      <c r="AX322" s="17"/>
      <c r="AY322" s="17"/>
      <c r="AZ322" s="18">
        <f>X322</f>
        <v>0</v>
      </c>
      <c r="BA322" s="19">
        <f>IF(AZ$323=0,0,AZ322/AZ$323)</f>
        <v>0</v>
      </c>
    </row>
    <row r="323" spans="1:53" s="4" customFormat="1" ht="17.100000000000001" customHeight="1" x14ac:dyDescent="0.25">
      <c r="A323" s="175"/>
      <c r="B323" s="40"/>
      <c r="C323" s="77"/>
      <c r="D323" s="134"/>
      <c r="E323" s="134"/>
      <c r="F323" s="134"/>
      <c r="G323" s="134"/>
      <c r="H323" s="540"/>
      <c r="I323" s="12"/>
      <c r="J323" s="80">
        <f>J316+J317+J321+J322</f>
        <v>0</v>
      </c>
      <c r="K323" s="80">
        <f t="shared" ref="K323:M323" si="347">K316+K317+K321+K322</f>
        <v>0</v>
      </c>
      <c r="L323" s="80">
        <f t="shared" si="347"/>
        <v>0</v>
      </c>
      <c r="M323" s="80">
        <f t="shared" si="347"/>
        <v>0</v>
      </c>
      <c r="N323" s="81"/>
      <c r="O323" s="81"/>
      <c r="P323" s="81"/>
      <c r="Q323" s="81"/>
      <c r="R323" s="81"/>
      <c r="S323" s="81"/>
      <c r="T323" s="81"/>
      <c r="U323" s="81"/>
      <c r="V323" s="356"/>
      <c r="W323" s="381">
        <f>W316+W317+W321+W322</f>
        <v>0</v>
      </c>
      <c r="X323" s="82">
        <f>X316+X317+X321+X322</f>
        <v>0</v>
      </c>
      <c r="Y323" s="82">
        <f t="shared" ref="Y323" si="348">SUM(Y316:Y322)</f>
        <v>0</v>
      </c>
      <c r="Z323" s="205">
        <f>IF(Y$323=0,0,Y323/Y$323)</f>
        <v>0</v>
      </c>
      <c r="AA323" s="205"/>
      <c r="AB323" s="205"/>
      <c r="AC323" s="83"/>
      <c r="AE323" s="80"/>
      <c r="AF323" s="80"/>
      <c r="AG323" s="81"/>
      <c r="AH323" s="82">
        <f>SUM(AH316:AH322)</f>
        <v>0</v>
      </c>
      <c r="AI323" s="66">
        <f>IF(AH$323=0,0,AH323/AH$323)</f>
        <v>0</v>
      </c>
      <c r="AJ323" s="97"/>
      <c r="AK323" s="80"/>
      <c r="AL323" s="80"/>
      <c r="AM323" s="81"/>
      <c r="AN323" s="82">
        <f>SUM(AN316:AN322)</f>
        <v>0</v>
      </c>
      <c r="AO323" s="66">
        <f>IF(AN$323=0,0,AN323/AN$323)</f>
        <v>0</v>
      </c>
      <c r="AP323" s="97"/>
      <c r="AQ323" s="80"/>
      <c r="AR323" s="80"/>
      <c r="AS323" s="81"/>
      <c r="AT323" s="82">
        <f>SUM(AT316:AT322)</f>
        <v>0</v>
      </c>
      <c r="AU323" s="66">
        <f>IF(AT$323=0,0,AT323/AT$323)</f>
        <v>0</v>
      </c>
      <c r="AV323" s="97"/>
      <c r="AW323" s="80"/>
      <c r="AX323" s="80"/>
      <c r="AY323" s="81"/>
      <c r="AZ323" s="82">
        <f>SUM(AZ316:AZ322)</f>
        <v>0</v>
      </c>
      <c r="BA323" s="66">
        <f>IF(AZ$323=0,0,AZ323/AZ$323)</f>
        <v>0</v>
      </c>
    </row>
    <row r="324" spans="1:53" s="117" customFormat="1" ht="17.100000000000001" customHeight="1" x14ac:dyDescent="0.25">
      <c r="A324" s="68"/>
      <c r="B324" s="119"/>
      <c r="C324" s="540"/>
      <c r="D324" s="261"/>
      <c r="E324" s="261"/>
      <c r="F324" s="68"/>
      <c r="G324" s="68"/>
      <c r="H324" s="119"/>
      <c r="I324" s="138"/>
      <c r="J324" s="17" t="str">
        <f>IF(J323=J$15,"OK","NOK")</f>
        <v>OK</v>
      </c>
      <c r="K324" s="17" t="str">
        <f t="shared" ref="K324:L324" si="349">IF(K323=K$15,"OK","NOK")</f>
        <v>OK</v>
      </c>
      <c r="L324" s="17" t="str">
        <f t="shared" si="349"/>
        <v>OK</v>
      </c>
      <c r="M324" s="17"/>
      <c r="N324" s="17"/>
      <c r="O324" s="17"/>
      <c r="P324" s="17"/>
      <c r="Q324" s="17"/>
      <c r="R324" s="17"/>
      <c r="S324" s="17"/>
      <c r="T324" s="17"/>
      <c r="U324" s="17"/>
      <c r="V324" s="359"/>
      <c r="W324" s="382"/>
      <c r="X324" s="539"/>
      <c r="Y324" s="539"/>
      <c r="Z324" s="201"/>
      <c r="AA324" s="201"/>
      <c r="AB324" s="201"/>
      <c r="AC324" s="84"/>
      <c r="AE324" s="46"/>
      <c r="AF324" s="46"/>
      <c r="AG324" s="17"/>
      <c r="AH324" s="539"/>
      <c r="AI324" s="91"/>
      <c r="AK324" s="46"/>
      <c r="AL324" s="46"/>
      <c r="AM324" s="17"/>
      <c r="AN324" s="539"/>
      <c r="AO324" s="91"/>
      <c r="AQ324" s="46"/>
      <c r="AR324" s="46"/>
      <c r="AS324" s="17"/>
      <c r="AT324" s="539"/>
      <c r="AU324" s="91"/>
      <c r="AW324" s="46"/>
      <c r="AX324" s="46"/>
      <c r="AY324" s="17"/>
      <c r="AZ324" s="539"/>
      <c r="BA324" s="91"/>
    </row>
    <row r="325" spans="1:53" ht="17.100000000000001" customHeight="1" x14ac:dyDescent="0.25">
      <c r="A325" s="68"/>
      <c r="B325" s="41" t="s">
        <v>160</v>
      </c>
      <c r="C325" s="69" t="s">
        <v>434</v>
      </c>
      <c r="D325" s="50"/>
      <c r="E325" s="70"/>
      <c r="F325" s="70"/>
      <c r="G325" s="70"/>
      <c r="H325" s="243">
        <v>40</v>
      </c>
      <c r="J325" s="71"/>
      <c r="K325" s="71"/>
      <c r="L325" s="71"/>
      <c r="M325" s="71"/>
      <c r="N325" s="71"/>
      <c r="O325" s="71"/>
      <c r="P325" s="71"/>
      <c r="Q325" s="71"/>
      <c r="R325" s="71"/>
      <c r="S325" s="71"/>
      <c r="T325" s="71"/>
      <c r="U325" s="71"/>
      <c r="V325" s="355"/>
      <c r="W325" s="377"/>
      <c r="X325" s="71"/>
      <c r="Y325" s="89"/>
      <c r="Z325" s="90"/>
      <c r="AA325" s="90"/>
      <c r="AB325" s="90"/>
      <c r="AC325" s="73"/>
      <c r="AE325" s="71"/>
      <c r="AF325" s="71"/>
      <c r="AG325" s="71"/>
      <c r="AH325" s="72"/>
      <c r="AI325" s="73"/>
      <c r="AK325" s="71"/>
      <c r="AL325" s="71"/>
      <c r="AM325" s="71"/>
      <c r="AN325" s="72"/>
      <c r="AO325" s="73"/>
      <c r="AQ325" s="71"/>
      <c r="AR325" s="71"/>
      <c r="AS325" s="71"/>
      <c r="AT325" s="72"/>
      <c r="AU325" s="73"/>
      <c r="AW325" s="71"/>
      <c r="AX325" s="71"/>
      <c r="AY325" s="71"/>
      <c r="AZ325" s="72"/>
      <c r="BA325" s="73"/>
    </row>
    <row r="326" spans="1:53" s="4" customFormat="1" ht="17.100000000000001" customHeight="1" x14ac:dyDescent="0.25">
      <c r="A326" s="40"/>
      <c r="B326" s="40"/>
      <c r="C326" s="74" t="s">
        <v>161</v>
      </c>
      <c r="D326" s="85" t="s">
        <v>173</v>
      </c>
      <c r="E326" s="105"/>
      <c r="F326" s="105"/>
      <c r="G326" s="105"/>
      <c r="H326" s="119"/>
      <c r="I326" s="231"/>
      <c r="J326" s="581"/>
      <c r="K326" s="581"/>
      <c r="L326" s="582"/>
      <c r="M326" s="593"/>
      <c r="N326" s="111"/>
      <c r="O326" s="111"/>
      <c r="P326" s="111"/>
      <c r="Q326" s="111"/>
      <c r="R326" s="111"/>
      <c r="S326" s="111"/>
      <c r="T326" s="111"/>
      <c r="U326" s="111"/>
      <c r="V326" s="358"/>
      <c r="W326" s="391">
        <f t="shared" ref="W326:W327" si="350">J326+K326+N326+Q326+T326</f>
        <v>0</v>
      </c>
      <c r="X326" s="17">
        <f t="shared" ref="X326:X327" si="351">L326+O326+R326+U326</f>
        <v>0</v>
      </c>
      <c r="Y326" s="18">
        <f>SUM(W326:X326)</f>
        <v>0</v>
      </c>
      <c r="Z326" s="19">
        <f>IF(Y$333=0,0,Y326/Y$333)</f>
        <v>0</v>
      </c>
      <c r="AA326" s="19"/>
      <c r="AB326" s="19"/>
      <c r="AC326" s="20"/>
      <c r="AE326" s="17"/>
      <c r="AF326" s="17"/>
      <c r="AG326" s="17"/>
      <c r="AH326" s="18">
        <f>J326</f>
        <v>0</v>
      </c>
      <c r="AI326" s="19">
        <f>IF(AH$333=0,0,AH326/AH$333)</f>
        <v>0</v>
      </c>
      <c r="AJ326" s="97"/>
      <c r="AK326" s="17"/>
      <c r="AL326" s="17"/>
      <c r="AM326" s="17"/>
      <c r="AN326" s="18">
        <f>K326</f>
        <v>0</v>
      </c>
      <c r="AO326" s="19">
        <f>IF(AN$333=0,0,AN326/AN$333)</f>
        <v>0</v>
      </c>
      <c r="AP326" s="97"/>
      <c r="AQ326" s="17"/>
      <c r="AR326" s="17"/>
      <c r="AS326" s="17"/>
      <c r="AT326" s="18">
        <f>W326</f>
        <v>0</v>
      </c>
      <c r="AU326" s="19">
        <f>IF(AT$333=0,0,AT326/AT$333)</f>
        <v>0</v>
      </c>
      <c r="AV326" s="97"/>
      <c r="AW326" s="17"/>
      <c r="AX326" s="17"/>
      <c r="AY326" s="17"/>
      <c r="AZ326" s="18">
        <f>X326</f>
        <v>0</v>
      </c>
      <c r="BA326" s="19">
        <f>IF(AZ$333=0,0,AZ326/AZ$333)</f>
        <v>0</v>
      </c>
    </row>
    <row r="327" spans="1:53" s="4" customFormat="1" ht="17.100000000000001" customHeight="1" x14ac:dyDescent="0.25">
      <c r="A327" s="40"/>
      <c r="B327" s="40"/>
      <c r="C327" s="74" t="s">
        <v>163</v>
      </c>
      <c r="D327" s="85" t="s">
        <v>544</v>
      </c>
      <c r="E327" s="105"/>
      <c r="F327" s="105"/>
      <c r="G327" s="105"/>
      <c r="H327" s="119"/>
      <c r="I327" s="231"/>
      <c r="J327" s="583"/>
      <c r="K327" s="583"/>
      <c r="L327" s="584"/>
      <c r="M327" s="593"/>
      <c r="N327" s="111"/>
      <c r="O327" s="111"/>
      <c r="P327" s="111"/>
      <c r="Q327" s="111"/>
      <c r="R327" s="111"/>
      <c r="S327" s="111"/>
      <c r="T327" s="111"/>
      <c r="U327" s="111"/>
      <c r="V327" s="358"/>
      <c r="W327" s="391">
        <f t="shared" si="350"/>
        <v>0</v>
      </c>
      <c r="X327" s="17">
        <f t="shared" si="351"/>
        <v>0</v>
      </c>
      <c r="Y327" s="18">
        <f>SUM(W327:X327)</f>
        <v>0</v>
      </c>
      <c r="Z327" s="19">
        <f>IF(Y$333=0,0,Y327/Y$333)</f>
        <v>0</v>
      </c>
      <c r="AA327" s="19"/>
      <c r="AB327" s="19"/>
      <c r="AC327" s="20"/>
      <c r="AE327" s="17"/>
      <c r="AF327" s="17"/>
      <c r="AG327" s="17"/>
      <c r="AH327" s="18">
        <f t="shared" ref="AH327" si="352">J327</f>
        <v>0</v>
      </c>
      <c r="AI327" s="19">
        <f>IF(AH$333=0,0,AH327/AH$333)</f>
        <v>0</v>
      </c>
      <c r="AJ327" s="97"/>
      <c r="AK327" s="17"/>
      <c r="AL327" s="17"/>
      <c r="AM327" s="17"/>
      <c r="AN327" s="18">
        <f t="shared" ref="AN327" si="353">K327</f>
        <v>0</v>
      </c>
      <c r="AO327" s="19">
        <f>IF(AN$333=0,0,AN327/AN$333)</f>
        <v>0</v>
      </c>
      <c r="AP327" s="97"/>
      <c r="AQ327" s="17"/>
      <c r="AR327" s="17"/>
      <c r="AS327" s="17"/>
      <c r="AT327" s="18">
        <f t="shared" ref="AT327" si="354">W327</f>
        <v>0</v>
      </c>
      <c r="AU327" s="19">
        <f>IF(AT$333=0,0,AT327/AT$333)</f>
        <v>0</v>
      </c>
      <c r="AV327" s="97"/>
      <c r="AW327" s="17"/>
      <c r="AX327" s="17"/>
      <c r="AY327" s="17"/>
      <c r="AZ327" s="18">
        <f>X327</f>
        <v>0</v>
      </c>
      <c r="BA327" s="19">
        <f>IF(AZ$333=0,0,AZ327/AZ$333)</f>
        <v>0</v>
      </c>
    </row>
    <row r="328" spans="1:53" s="4" customFormat="1" ht="17.100000000000001" customHeight="1" x14ac:dyDescent="0.25">
      <c r="A328" s="40"/>
      <c r="B328" s="40"/>
      <c r="C328" s="74" t="s">
        <v>164</v>
      </c>
      <c r="D328" s="146" t="s">
        <v>484</v>
      </c>
      <c r="E328" s="105"/>
      <c r="F328" s="105"/>
      <c r="G328" s="105"/>
      <c r="H328" s="119"/>
      <c r="I328" s="231"/>
      <c r="J328" s="581"/>
      <c r="K328" s="581"/>
      <c r="L328" s="582"/>
      <c r="M328" s="593"/>
      <c r="N328" s="111"/>
      <c r="O328" s="111"/>
      <c r="P328" s="111"/>
      <c r="Q328" s="111"/>
      <c r="R328" s="111"/>
      <c r="S328" s="111"/>
      <c r="T328" s="111"/>
      <c r="U328" s="111"/>
      <c r="V328" s="358"/>
      <c r="W328" s="391">
        <f>MIN(J328:K328)</f>
        <v>0</v>
      </c>
      <c r="X328" s="17">
        <f>L328</f>
        <v>0</v>
      </c>
      <c r="Y328" s="18"/>
      <c r="Z328" s="19"/>
      <c r="AA328" s="17">
        <f>MIN(J328:L328)</f>
        <v>0</v>
      </c>
      <c r="AB328" s="17"/>
      <c r="AC328" s="17"/>
      <c r="AE328" s="17">
        <f>J328</f>
        <v>0</v>
      </c>
      <c r="AF328" s="17"/>
      <c r="AG328" s="17"/>
      <c r="AH328" s="18"/>
      <c r="AI328" s="19"/>
      <c r="AJ328" s="97"/>
      <c r="AK328" s="17">
        <f>K328</f>
        <v>0</v>
      </c>
      <c r="AL328" s="17"/>
      <c r="AM328" s="17"/>
      <c r="AN328" s="18"/>
      <c r="AO328" s="19"/>
      <c r="AP328" s="97"/>
      <c r="AQ328" s="17">
        <f>W328</f>
        <v>0</v>
      </c>
      <c r="AR328" s="17"/>
      <c r="AS328" s="17"/>
      <c r="AT328" s="18"/>
      <c r="AU328" s="19"/>
      <c r="AV328" s="97"/>
      <c r="AW328" s="17">
        <f>L328</f>
        <v>0</v>
      </c>
      <c r="AX328" s="17"/>
      <c r="AY328" s="17"/>
      <c r="AZ328" s="18"/>
      <c r="BA328" s="19"/>
    </row>
    <row r="329" spans="1:53" s="4" customFormat="1" ht="17.100000000000001" customHeight="1" x14ac:dyDescent="0.25">
      <c r="A329" s="40"/>
      <c r="B329" s="40"/>
      <c r="C329" s="74" t="s">
        <v>166</v>
      </c>
      <c r="D329" s="146" t="s">
        <v>485</v>
      </c>
      <c r="E329" s="105"/>
      <c r="F329" s="105"/>
      <c r="G329" s="105"/>
      <c r="H329" s="119"/>
      <c r="I329" s="231"/>
      <c r="J329" s="583"/>
      <c r="K329" s="583"/>
      <c r="L329" s="584"/>
      <c r="M329" s="593"/>
      <c r="N329" s="111"/>
      <c r="O329" s="111"/>
      <c r="P329" s="111"/>
      <c r="Q329" s="111"/>
      <c r="R329" s="111"/>
      <c r="S329" s="111"/>
      <c r="T329" s="111"/>
      <c r="U329" s="111"/>
      <c r="V329" s="358"/>
      <c r="W329" s="391">
        <f>MAX(J329:K329)</f>
        <v>0</v>
      </c>
      <c r="X329" s="17">
        <f t="shared" ref="X329:X330" si="355">L329</f>
        <v>0</v>
      </c>
      <c r="Y329" s="18"/>
      <c r="Z329" s="19"/>
      <c r="AA329" s="17"/>
      <c r="AB329" s="17">
        <f>MAX(J329:L329)</f>
        <v>0</v>
      </c>
      <c r="AC329" s="17"/>
      <c r="AE329" s="17"/>
      <c r="AF329" s="17">
        <f>J329</f>
        <v>0</v>
      </c>
      <c r="AG329" s="17"/>
      <c r="AH329" s="18"/>
      <c r="AI329" s="19"/>
      <c r="AJ329" s="97"/>
      <c r="AK329" s="17"/>
      <c r="AL329" s="17">
        <f>K329</f>
        <v>0</v>
      </c>
      <c r="AM329" s="17"/>
      <c r="AN329" s="18"/>
      <c r="AO329" s="19"/>
      <c r="AP329" s="97"/>
      <c r="AQ329" s="17"/>
      <c r="AR329" s="17">
        <f>W329</f>
        <v>0</v>
      </c>
      <c r="AS329" s="17"/>
      <c r="AT329" s="18"/>
      <c r="AU329" s="19"/>
      <c r="AV329" s="97"/>
      <c r="AW329" s="17"/>
      <c r="AX329" s="17">
        <f>L329</f>
        <v>0</v>
      </c>
      <c r="AY329" s="17"/>
      <c r="AZ329" s="18"/>
      <c r="BA329" s="19"/>
    </row>
    <row r="330" spans="1:53" s="4" customFormat="1" ht="17.100000000000001" customHeight="1" x14ac:dyDescent="0.25">
      <c r="A330" s="40"/>
      <c r="B330" s="40"/>
      <c r="C330" s="74" t="s">
        <v>168</v>
      </c>
      <c r="D330" s="146" t="s">
        <v>543</v>
      </c>
      <c r="E330" s="105"/>
      <c r="F330" s="105"/>
      <c r="G330" s="105"/>
      <c r="H330" s="119"/>
      <c r="I330" s="231"/>
      <c r="J330" s="581"/>
      <c r="K330" s="581"/>
      <c r="L330" s="582"/>
      <c r="M330" s="593"/>
      <c r="N330" s="111"/>
      <c r="O330" s="111"/>
      <c r="P330" s="111"/>
      <c r="Q330" s="111"/>
      <c r="R330" s="111"/>
      <c r="S330" s="111"/>
      <c r="T330" s="111"/>
      <c r="U330" s="111"/>
      <c r="V330" s="358"/>
      <c r="W330" s="391">
        <f>IF(SUM(J330:K330)=0,0,AVERAGE(J330:K330))</f>
        <v>0</v>
      </c>
      <c r="X330" s="17">
        <f t="shared" si="355"/>
        <v>0</v>
      </c>
      <c r="Y330" s="18"/>
      <c r="Z330" s="19"/>
      <c r="AA330" s="17"/>
      <c r="AB330" s="17"/>
      <c r="AC330" s="17">
        <f>IF(SUM(J330:L330)=0,0,AVERAGE(J330:L330))</f>
        <v>0</v>
      </c>
      <c r="AE330" s="17"/>
      <c r="AF330" s="17"/>
      <c r="AG330" s="17">
        <f>J330</f>
        <v>0</v>
      </c>
      <c r="AH330" s="18"/>
      <c r="AI330" s="19"/>
      <c r="AJ330" s="97"/>
      <c r="AK330" s="17"/>
      <c r="AL330" s="17"/>
      <c r="AM330" s="17">
        <f>K330</f>
        <v>0</v>
      </c>
      <c r="AN330" s="18"/>
      <c r="AO330" s="19"/>
      <c r="AP330" s="97"/>
      <c r="AQ330" s="17"/>
      <c r="AR330" s="17"/>
      <c r="AS330" s="17">
        <f>W330</f>
        <v>0</v>
      </c>
      <c r="AT330" s="18"/>
      <c r="AU330" s="19"/>
      <c r="AV330" s="97"/>
      <c r="AW330" s="17"/>
      <c r="AX330" s="17"/>
      <c r="AY330" s="17">
        <f>L330</f>
        <v>0</v>
      </c>
      <c r="AZ330" s="18"/>
      <c r="BA330" s="19"/>
    </row>
    <row r="331" spans="1:53" s="4" customFormat="1" ht="17.100000000000001" customHeight="1" x14ac:dyDescent="0.25">
      <c r="A331" s="40"/>
      <c r="B331" s="40"/>
      <c r="C331" s="74" t="s">
        <v>169</v>
      </c>
      <c r="D331" s="75" t="s">
        <v>129</v>
      </c>
      <c r="E331" s="105"/>
      <c r="F331" s="105"/>
      <c r="G331" s="105"/>
      <c r="H331" s="119"/>
      <c r="I331" s="231"/>
      <c r="J331" s="583"/>
      <c r="K331" s="583"/>
      <c r="L331" s="584"/>
      <c r="M331" s="593"/>
      <c r="N331" s="111"/>
      <c r="O331" s="111"/>
      <c r="P331" s="111"/>
      <c r="Q331" s="111"/>
      <c r="R331" s="111"/>
      <c r="S331" s="111"/>
      <c r="T331" s="111"/>
      <c r="U331" s="111"/>
      <c r="V331" s="358"/>
      <c r="W331" s="391">
        <f t="shared" ref="W331:W332" si="356">J331+K331+N331+Q331+T331</f>
        <v>0</v>
      </c>
      <c r="X331" s="17">
        <f t="shared" ref="X331:X332" si="357">L331+O331+R331+U331</f>
        <v>0</v>
      </c>
      <c r="Y331" s="18">
        <f>SUM(W331:X331)</f>
        <v>0</v>
      </c>
      <c r="Z331" s="19">
        <f>IF(Y$333=0,0,Y331/Y$333)</f>
        <v>0</v>
      </c>
      <c r="AA331" s="19"/>
      <c r="AB331" s="19"/>
      <c r="AC331" s="20"/>
      <c r="AE331" s="17"/>
      <c r="AF331" s="17"/>
      <c r="AG331" s="17"/>
      <c r="AH331" s="18">
        <f t="shared" ref="AH331:AH332" si="358">J331</f>
        <v>0</v>
      </c>
      <c r="AI331" s="19">
        <f>IF(AH$333=0,0,AH331/AH$333)</f>
        <v>0</v>
      </c>
      <c r="AJ331" s="97"/>
      <c r="AK331" s="17"/>
      <c r="AL331" s="17"/>
      <c r="AM331" s="17"/>
      <c r="AN331" s="18">
        <f t="shared" ref="AN331:AN332" si="359">K331</f>
        <v>0</v>
      </c>
      <c r="AO331" s="19">
        <f>IF(AN$333=0,0,AN331/AN$333)</f>
        <v>0</v>
      </c>
      <c r="AP331" s="97"/>
      <c r="AQ331" s="17"/>
      <c r="AR331" s="17"/>
      <c r="AS331" s="17"/>
      <c r="AT331" s="18">
        <f t="shared" ref="AT331:AT332" si="360">W331</f>
        <v>0</v>
      </c>
      <c r="AU331" s="19">
        <f>IF(AT$333=0,0,AT331/AT$333)</f>
        <v>0</v>
      </c>
      <c r="AV331" s="97"/>
      <c r="AW331" s="17"/>
      <c r="AX331" s="17"/>
      <c r="AY331" s="17"/>
      <c r="AZ331" s="18">
        <f>X331</f>
        <v>0</v>
      </c>
      <c r="BA331" s="19">
        <f>IF(AZ$333=0,0,AZ331/AZ$333)</f>
        <v>0</v>
      </c>
    </row>
    <row r="332" spans="1:53" s="4" customFormat="1" ht="17.100000000000001" customHeight="1" x14ac:dyDescent="0.25">
      <c r="A332" s="40"/>
      <c r="B332" s="40"/>
      <c r="C332" s="74" t="s">
        <v>170</v>
      </c>
      <c r="D332" s="75" t="s">
        <v>530</v>
      </c>
      <c r="E332" s="75"/>
      <c r="F332" s="75"/>
      <c r="G332" s="75"/>
      <c r="H332" s="540"/>
      <c r="I332" s="229"/>
      <c r="J332" s="581"/>
      <c r="K332" s="581"/>
      <c r="L332" s="582"/>
      <c r="M332" s="593"/>
      <c r="N332" s="111"/>
      <c r="O332" s="111"/>
      <c r="P332" s="111"/>
      <c r="Q332" s="111"/>
      <c r="R332" s="111"/>
      <c r="S332" s="111"/>
      <c r="T332" s="111"/>
      <c r="U332" s="111"/>
      <c r="V332" s="358"/>
      <c r="W332" s="391">
        <f t="shared" si="356"/>
        <v>0</v>
      </c>
      <c r="X332" s="17">
        <f t="shared" si="357"/>
        <v>0</v>
      </c>
      <c r="Y332" s="18">
        <f>SUM(W332:X332)</f>
        <v>0</v>
      </c>
      <c r="Z332" s="19">
        <f>IF(Y$333=0,0,Y332/Y$333)</f>
        <v>0</v>
      </c>
      <c r="AA332" s="19"/>
      <c r="AB332" s="19"/>
      <c r="AC332" s="20"/>
      <c r="AE332" s="17"/>
      <c r="AF332" s="17"/>
      <c r="AG332" s="17"/>
      <c r="AH332" s="18">
        <f t="shared" si="358"/>
        <v>0</v>
      </c>
      <c r="AI332" s="19">
        <f>IF(AH$333=0,0,AH332/AH$333)</f>
        <v>0</v>
      </c>
      <c r="AJ332" s="97"/>
      <c r="AK332" s="17"/>
      <c r="AL332" s="17"/>
      <c r="AM332" s="17"/>
      <c r="AN332" s="18">
        <f t="shared" si="359"/>
        <v>0</v>
      </c>
      <c r="AO332" s="19">
        <f>IF(AN$333=0,0,AN332/AN$333)</f>
        <v>0</v>
      </c>
      <c r="AP332" s="97"/>
      <c r="AQ332" s="17"/>
      <c r="AR332" s="17"/>
      <c r="AS332" s="17"/>
      <c r="AT332" s="18">
        <f t="shared" si="360"/>
        <v>0</v>
      </c>
      <c r="AU332" s="19">
        <f>IF(AT$333=0,0,AT332/AT$333)</f>
        <v>0</v>
      </c>
      <c r="AV332" s="97"/>
      <c r="AW332" s="17"/>
      <c r="AX332" s="17"/>
      <c r="AY332" s="17"/>
      <c r="AZ332" s="18">
        <f>X332</f>
        <v>0</v>
      </c>
      <c r="BA332" s="19">
        <f>IF(AZ$333=0,0,AZ332/AZ$333)</f>
        <v>0</v>
      </c>
    </row>
    <row r="333" spans="1:53" s="4" customFormat="1" ht="17.100000000000001" customHeight="1" x14ac:dyDescent="0.25">
      <c r="A333" s="175"/>
      <c r="B333" s="40"/>
      <c r="C333" s="77"/>
      <c r="D333" s="134"/>
      <c r="E333" s="134"/>
      <c r="F333" s="134"/>
      <c r="G333" s="134"/>
      <c r="H333" s="540"/>
      <c r="I333" s="12"/>
      <c r="J333" s="80">
        <f>J326+J327+J331+J332</f>
        <v>0</v>
      </c>
      <c r="K333" s="80">
        <f t="shared" ref="K333:M333" si="361">K326+K327+K331+K332</f>
        <v>0</v>
      </c>
      <c r="L333" s="80">
        <f t="shared" si="361"/>
        <v>0</v>
      </c>
      <c r="M333" s="80">
        <f t="shared" si="361"/>
        <v>0</v>
      </c>
      <c r="N333" s="81"/>
      <c r="O333" s="81"/>
      <c r="P333" s="81"/>
      <c r="Q333" s="81"/>
      <c r="R333" s="81"/>
      <c r="S333" s="81"/>
      <c r="T333" s="81"/>
      <c r="U333" s="81"/>
      <c r="V333" s="356"/>
      <c r="W333" s="381">
        <f>W326+W327+W331+W332</f>
        <v>0</v>
      </c>
      <c r="X333" s="82">
        <f>X326+X327+X331+X332</f>
        <v>0</v>
      </c>
      <c r="Y333" s="82">
        <f t="shared" ref="Y333" si="362">SUM(Y326:Y332)</f>
        <v>0</v>
      </c>
      <c r="Z333" s="205">
        <f>IF(Y$333=0,0,Y333/Y$333)</f>
        <v>0</v>
      </c>
      <c r="AA333" s="205"/>
      <c r="AB333" s="205"/>
      <c r="AC333" s="83"/>
      <c r="AE333" s="80"/>
      <c r="AF333" s="80"/>
      <c r="AG333" s="81"/>
      <c r="AH333" s="82">
        <f>SUM(AH326:AH332)</f>
        <v>0</v>
      </c>
      <c r="AI333" s="66">
        <f>IF(AH$333=0,0,AH333/AH$333)</f>
        <v>0</v>
      </c>
      <c r="AJ333" s="97"/>
      <c r="AK333" s="80"/>
      <c r="AL333" s="80"/>
      <c r="AM333" s="81"/>
      <c r="AN333" s="82">
        <f>SUM(AN326:AN332)</f>
        <v>0</v>
      </c>
      <c r="AO333" s="66">
        <f>IF(AN$333=0,0,AN333/AN$333)</f>
        <v>0</v>
      </c>
      <c r="AP333" s="97"/>
      <c r="AQ333" s="80"/>
      <c r="AR333" s="80"/>
      <c r="AS333" s="81"/>
      <c r="AT333" s="82">
        <f>SUM(AT326:AT332)</f>
        <v>0</v>
      </c>
      <c r="AU333" s="66">
        <f>IF(AT$333=0,0,AT333/AT$333)</f>
        <v>0</v>
      </c>
      <c r="AV333" s="97"/>
      <c r="AW333" s="80"/>
      <c r="AX333" s="80"/>
      <c r="AY333" s="81"/>
      <c r="AZ333" s="82">
        <f>SUM(AZ326:AZ332)</f>
        <v>0</v>
      </c>
      <c r="BA333" s="66">
        <f>IF(AZ$333=0,0,AZ333/AZ$333)</f>
        <v>0</v>
      </c>
    </row>
    <row r="334" spans="1:53" s="117" customFormat="1" ht="17.100000000000001" customHeight="1" x14ac:dyDescent="0.25">
      <c r="A334" s="68"/>
      <c r="B334" s="119"/>
      <c r="C334" s="540"/>
      <c r="D334" s="261"/>
      <c r="E334" s="261"/>
      <c r="F334" s="68"/>
      <c r="G334" s="68"/>
      <c r="H334" s="119"/>
      <c r="I334" s="138"/>
      <c r="J334" s="17" t="str">
        <f>IF(J333=J$15,"OK","NOK")</f>
        <v>OK</v>
      </c>
      <c r="K334" s="17" t="str">
        <f t="shared" ref="K334:L334" si="363">IF(K333=K$15,"OK","NOK")</f>
        <v>OK</v>
      </c>
      <c r="L334" s="17" t="str">
        <f t="shared" si="363"/>
        <v>OK</v>
      </c>
      <c r="M334" s="17"/>
      <c r="N334" s="17"/>
      <c r="O334" s="17"/>
      <c r="P334" s="17"/>
      <c r="Q334" s="17"/>
      <c r="R334" s="17"/>
      <c r="S334" s="17"/>
      <c r="T334" s="17"/>
      <c r="U334" s="17"/>
      <c r="V334" s="359"/>
      <c r="W334" s="382"/>
      <c r="X334" s="539"/>
      <c r="Y334" s="539"/>
      <c r="Z334" s="201"/>
      <c r="AA334" s="201"/>
      <c r="AB334" s="201"/>
      <c r="AC334" s="84"/>
      <c r="AE334" s="46"/>
      <c r="AF334" s="46"/>
      <c r="AG334" s="17"/>
      <c r="AH334" s="539"/>
      <c r="AI334" s="91"/>
      <c r="AK334" s="46"/>
      <c r="AL334" s="46"/>
      <c r="AM334" s="17"/>
      <c r="AN334" s="539"/>
      <c r="AO334" s="91"/>
      <c r="AQ334" s="46"/>
      <c r="AR334" s="46"/>
      <c r="AS334" s="17"/>
      <c r="AT334" s="539"/>
      <c r="AU334" s="91"/>
      <c r="AW334" s="46"/>
      <c r="AX334" s="46"/>
      <c r="AY334" s="17"/>
      <c r="AZ334" s="539"/>
      <c r="BA334" s="91"/>
    </row>
    <row r="335" spans="1:53" ht="17.100000000000001" customHeight="1" x14ac:dyDescent="0.25">
      <c r="A335" s="68"/>
      <c r="B335" s="41" t="s">
        <v>171</v>
      </c>
      <c r="C335" s="69" t="s">
        <v>435</v>
      </c>
      <c r="D335" s="50"/>
      <c r="E335" s="70"/>
      <c r="F335" s="70"/>
      <c r="G335" s="70"/>
      <c r="H335" s="243">
        <v>42</v>
      </c>
      <c r="J335" s="71"/>
      <c r="K335" s="71"/>
      <c r="L335" s="71"/>
      <c r="M335" s="71"/>
      <c r="N335" s="71"/>
      <c r="O335" s="71"/>
      <c r="P335" s="71"/>
      <c r="Q335" s="71"/>
      <c r="R335" s="71"/>
      <c r="S335" s="71"/>
      <c r="T335" s="71"/>
      <c r="U335" s="71"/>
      <c r="V335" s="355"/>
      <c r="W335" s="377"/>
      <c r="X335" s="71"/>
      <c r="Y335" s="89"/>
      <c r="Z335" s="90"/>
      <c r="AA335" s="90"/>
      <c r="AB335" s="90"/>
      <c r="AC335" s="73"/>
      <c r="AE335" s="71"/>
      <c r="AF335" s="71"/>
      <c r="AG335" s="71"/>
      <c r="AH335" s="72"/>
      <c r="AI335" s="73"/>
      <c r="AK335" s="71"/>
      <c r="AL335" s="71"/>
      <c r="AM335" s="71"/>
      <c r="AN335" s="72"/>
      <c r="AO335" s="73"/>
      <c r="AQ335" s="71"/>
      <c r="AR335" s="71"/>
      <c r="AS335" s="71"/>
      <c r="AT335" s="72"/>
      <c r="AU335" s="73"/>
      <c r="AW335" s="71"/>
      <c r="AX335" s="71"/>
      <c r="AY335" s="71"/>
      <c r="AZ335" s="72"/>
      <c r="BA335" s="73"/>
    </row>
    <row r="336" spans="1:53" s="4" customFormat="1" ht="17.100000000000001" customHeight="1" x14ac:dyDescent="0.25">
      <c r="A336" s="40"/>
      <c r="B336" s="40"/>
      <c r="C336" s="74" t="s">
        <v>172</v>
      </c>
      <c r="D336" s="85" t="s">
        <v>173</v>
      </c>
      <c r="E336" s="105"/>
      <c r="F336" s="105"/>
      <c r="G336" s="105"/>
      <c r="H336" s="119"/>
      <c r="I336" s="231"/>
      <c r="J336" s="581"/>
      <c r="K336" s="581"/>
      <c r="L336" s="582"/>
      <c r="M336" s="593"/>
      <c r="N336" s="111"/>
      <c r="O336" s="111"/>
      <c r="P336" s="111"/>
      <c r="Q336" s="111"/>
      <c r="R336" s="111"/>
      <c r="S336" s="111"/>
      <c r="T336" s="111"/>
      <c r="U336" s="111"/>
      <c r="V336" s="358"/>
      <c r="W336" s="391">
        <f t="shared" ref="W336:W337" si="364">J336+K336+N336+Q336+T336</f>
        <v>0</v>
      </c>
      <c r="X336" s="17">
        <f t="shared" ref="X336:X337" si="365">L336+O336+R336+U336</f>
        <v>0</v>
      </c>
      <c r="Y336" s="18">
        <f>SUM(W336:X336)</f>
        <v>0</v>
      </c>
      <c r="Z336" s="19">
        <f>IF(Y$343=0,0,Y336/Y$343)</f>
        <v>0</v>
      </c>
      <c r="AA336" s="19"/>
      <c r="AB336" s="19"/>
      <c r="AC336" s="20"/>
      <c r="AE336" s="17"/>
      <c r="AF336" s="17"/>
      <c r="AG336" s="17"/>
      <c r="AH336" s="18">
        <f>J336</f>
        <v>0</v>
      </c>
      <c r="AI336" s="19">
        <f>IF(AH$343=0,0,AH336/AH$343)</f>
        <v>0</v>
      </c>
      <c r="AJ336" s="97"/>
      <c r="AK336" s="17"/>
      <c r="AL336" s="17"/>
      <c r="AM336" s="17"/>
      <c r="AN336" s="18">
        <f>K336</f>
        <v>0</v>
      </c>
      <c r="AO336" s="19">
        <f>IF(AN$343=0,0,AN336/AN$343)</f>
        <v>0</v>
      </c>
      <c r="AP336" s="97"/>
      <c r="AQ336" s="17"/>
      <c r="AR336" s="17"/>
      <c r="AS336" s="17"/>
      <c r="AT336" s="18">
        <f>W336</f>
        <v>0</v>
      </c>
      <c r="AU336" s="19">
        <f>IF(AT$343=0,0,AT336/AT$343)</f>
        <v>0</v>
      </c>
      <c r="AV336" s="97"/>
      <c r="AW336" s="17"/>
      <c r="AX336" s="17"/>
      <c r="AY336" s="17"/>
      <c r="AZ336" s="18">
        <f>X336</f>
        <v>0</v>
      </c>
      <c r="BA336" s="19">
        <f>IF(AZ$343=0,0,AZ336/AZ$343)</f>
        <v>0</v>
      </c>
    </row>
    <row r="337" spans="1:53" s="4" customFormat="1" ht="17.100000000000001" customHeight="1" x14ac:dyDescent="0.25">
      <c r="A337" s="40"/>
      <c r="B337" s="40"/>
      <c r="C337" s="74" t="s">
        <v>174</v>
      </c>
      <c r="D337" s="85" t="s">
        <v>544</v>
      </c>
      <c r="E337" s="105"/>
      <c r="F337" s="105"/>
      <c r="G337" s="105"/>
      <c r="H337" s="119"/>
      <c r="I337" s="231"/>
      <c r="J337" s="583"/>
      <c r="K337" s="583"/>
      <c r="L337" s="584"/>
      <c r="M337" s="593"/>
      <c r="N337" s="111"/>
      <c r="O337" s="111"/>
      <c r="P337" s="111"/>
      <c r="Q337" s="111"/>
      <c r="R337" s="111"/>
      <c r="S337" s="111"/>
      <c r="T337" s="111"/>
      <c r="U337" s="111"/>
      <c r="V337" s="358"/>
      <c r="W337" s="391">
        <f t="shared" si="364"/>
        <v>0</v>
      </c>
      <c r="X337" s="17">
        <f t="shared" si="365"/>
        <v>0</v>
      </c>
      <c r="Y337" s="18">
        <f>SUM(W337:X337)</f>
        <v>0</v>
      </c>
      <c r="Z337" s="19">
        <f>IF(Y$343=0,0,Y337/Y$343)</f>
        <v>0</v>
      </c>
      <c r="AA337" s="19"/>
      <c r="AB337" s="19"/>
      <c r="AC337" s="20"/>
      <c r="AE337" s="17"/>
      <c r="AF337" s="17"/>
      <c r="AG337" s="17"/>
      <c r="AH337" s="18">
        <f t="shared" ref="AH337" si="366">J337</f>
        <v>0</v>
      </c>
      <c r="AI337" s="19">
        <f>IF(AH$343=0,0,AH337/AH$343)</f>
        <v>0</v>
      </c>
      <c r="AJ337" s="97"/>
      <c r="AK337" s="17"/>
      <c r="AL337" s="17"/>
      <c r="AM337" s="17"/>
      <c r="AN337" s="18">
        <f t="shared" ref="AN337" si="367">K337</f>
        <v>0</v>
      </c>
      <c r="AO337" s="19">
        <f>IF(AN$343=0,0,AN337/AN$343)</f>
        <v>0</v>
      </c>
      <c r="AP337" s="97"/>
      <c r="AQ337" s="17"/>
      <c r="AR337" s="17"/>
      <c r="AS337" s="17"/>
      <c r="AT337" s="18">
        <f t="shared" ref="AT337" si="368">W337</f>
        <v>0</v>
      </c>
      <c r="AU337" s="19">
        <f>IF(AT$343=0,0,AT337/AT$343)</f>
        <v>0</v>
      </c>
      <c r="AV337" s="97"/>
      <c r="AW337" s="17"/>
      <c r="AX337" s="17"/>
      <c r="AY337" s="17"/>
      <c r="AZ337" s="18">
        <f>X337</f>
        <v>0</v>
      </c>
      <c r="BA337" s="19">
        <f>IF(AZ$343=0,0,AZ337/AZ$343)</f>
        <v>0</v>
      </c>
    </row>
    <row r="338" spans="1:53" s="4" customFormat="1" ht="17.100000000000001" customHeight="1" x14ac:dyDescent="0.25">
      <c r="A338" s="40"/>
      <c r="B338" s="40"/>
      <c r="C338" s="74" t="s">
        <v>175</v>
      </c>
      <c r="D338" s="146" t="s">
        <v>484</v>
      </c>
      <c r="E338" s="105"/>
      <c r="F338" s="105"/>
      <c r="G338" s="105"/>
      <c r="H338" s="119"/>
      <c r="I338" s="231"/>
      <c r="J338" s="581"/>
      <c r="K338" s="581"/>
      <c r="L338" s="582"/>
      <c r="M338" s="593"/>
      <c r="N338" s="111"/>
      <c r="O338" s="111"/>
      <c r="P338" s="111"/>
      <c r="Q338" s="111"/>
      <c r="R338" s="111"/>
      <c r="S338" s="111"/>
      <c r="T338" s="111"/>
      <c r="U338" s="111"/>
      <c r="V338" s="358"/>
      <c r="W338" s="391">
        <f>MIN(J338:K338)</f>
        <v>0</v>
      </c>
      <c r="X338" s="17">
        <f>L338</f>
        <v>0</v>
      </c>
      <c r="Y338" s="18"/>
      <c r="Z338" s="19"/>
      <c r="AA338" s="17">
        <f>MIN(J338:L338)</f>
        <v>0</v>
      </c>
      <c r="AB338" s="17"/>
      <c r="AC338" s="17"/>
      <c r="AE338" s="17">
        <f>J338</f>
        <v>0</v>
      </c>
      <c r="AF338" s="17"/>
      <c r="AG338" s="17"/>
      <c r="AH338" s="18"/>
      <c r="AI338" s="19"/>
      <c r="AJ338" s="97"/>
      <c r="AK338" s="17">
        <f>K338</f>
        <v>0</v>
      </c>
      <c r="AL338" s="17"/>
      <c r="AM338" s="17"/>
      <c r="AN338" s="18"/>
      <c r="AO338" s="19"/>
      <c r="AP338" s="97"/>
      <c r="AQ338" s="17">
        <f>W338</f>
        <v>0</v>
      </c>
      <c r="AR338" s="17"/>
      <c r="AS338" s="17"/>
      <c r="AT338" s="18"/>
      <c r="AU338" s="19"/>
      <c r="AV338" s="97"/>
      <c r="AW338" s="17">
        <f>L338</f>
        <v>0</v>
      </c>
      <c r="AX338" s="17"/>
      <c r="AY338" s="17"/>
      <c r="AZ338" s="18"/>
      <c r="BA338" s="19"/>
    </row>
    <row r="339" spans="1:53" s="4" customFormat="1" ht="17.100000000000001" customHeight="1" x14ac:dyDescent="0.25">
      <c r="A339" s="40"/>
      <c r="B339" s="40"/>
      <c r="C339" s="74" t="s">
        <v>176</v>
      </c>
      <c r="D339" s="146" t="s">
        <v>485</v>
      </c>
      <c r="E339" s="105"/>
      <c r="F339" s="105"/>
      <c r="G339" s="105"/>
      <c r="H339" s="119"/>
      <c r="I339" s="231"/>
      <c r="J339" s="583"/>
      <c r="K339" s="583"/>
      <c r="L339" s="584"/>
      <c r="M339" s="593"/>
      <c r="N339" s="111"/>
      <c r="O339" s="111"/>
      <c r="P339" s="111"/>
      <c r="Q339" s="111"/>
      <c r="R339" s="111"/>
      <c r="S339" s="111"/>
      <c r="T339" s="111"/>
      <c r="U339" s="111"/>
      <c r="V339" s="358"/>
      <c r="W339" s="391">
        <f>MAX(J339:K339)</f>
        <v>0</v>
      </c>
      <c r="X339" s="17">
        <f t="shared" ref="X339:X340" si="369">L339</f>
        <v>0</v>
      </c>
      <c r="Y339" s="18"/>
      <c r="Z339" s="19"/>
      <c r="AA339" s="17"/>
      <c r="AB339" s="17">
        <f>MAX(J339:L339)</f>
        <v>0</v>
      </c>
      <c r="AC339" s="17"/>
      <c r="AE339" s="17"/>
      <c r="AF339" s="17">
        <f>J339</f>
        <v>0</v>
      </c>
      <c r="AG339" s="17"/>
      <c r="AH339" s="18"/>
      <c r="AI339" s="19"/>
      <c r="AJ339" s="97"/>
      <c r="AK339" s="17"/>
      <c r="AL339" s="17">
        <f>K339</f>
        <v>0</v>
      </c>
      <c r="AM339" s="17"/>
      <c r="AN339" s="18"/>
      <c r="AO339" s="19"/>
      <c r="AP339" s="97"/>
      <c r="AQ339" s="17"/>
      <c r="AR339" s="17">
        <f>W339</f>
        <v>0</v>
      </c>
      <c r="AS339" s="17"/>
      <c r="AT339" s="18"/>
      <c r="AU339" s="19"/>
      <c r="AV339" s="97"/>
      <c r="AW339" s="17"/>
      <c r="AX339" s="17">
        <f>L339</f>
        <v>0</v>
      </c>
      <c r="AY339" s="17"/>
      <c r="AZ339" s="18"/>
      <c r="BA339" s="19"/>
    </row>
    <row r="340" spans="1:53" s="4" customFormat="1" ht="17.100000000000001" customHeight="1" x14ac:dyDescent="0.25">
      <c r="A340" s="40"/>
      <c r="B340" s="40"/>
      <c r="C340" s="74" t="s">
        <v>177</v>
      </c>
      <c r="D340" s="146" t="s">
        <v>543</v>
      </c>
      <c r="E340" s="105"/>
      <c r="F340" s="105"/>
      <c r="G340" s="105"/>
      <c r="H340" s="119"/>
      <c r="I340" s="231"/>
      <c r="J340" s="581"/>
      <c r="K340" s="581"/>
      <c r="L340" s="582"/>
      <c r="M340" s="593"/>
      <c r="N340" s="111"/>
      <c r="O340" s="111"/>
      <c r="P340" s="111"/>
      <c r="Q340" s="111"/>
      <c r="R340" s="111"/>
      <c r="S340" s="111"/>
      <c r="T340" s="111"/>
      <c r="U340" s="111"/>
      <c r="V340" s="358"/>
      <c r="W340" s="391">
        <f>IF(SUM(J340:K340)=0,0,AVERAGE(J340:K340))</f>
        <v>0</v>
      </c>
      <c r="X340" s="17">
        <f t="shared" si="369"/>
        <v>0</v>
      </c>
      <c r="Y340" s="18"/>
      <c r="Z340" s="19"/>
      <c r="AA340" s="17"/>
      <c r="AB340" s="17"/>
      <c r="AC340" s="17">
        <f>IF(SUM(J340:L340)=0,0,AVERAGE(J340:L340))</f>
        <v>0</v>
      </c>
      <c r="AE340" s="17"/>
      <c r="AF340" s="17"/>
      <c r="AG340" s="17">
        <f>J340</f>
        <v>0</v>
      </c>
      <c r="AH340" s="18"/>
      <c r="AI340" s="19"/>
      <c r="AJ340" s="97"/>
      <c r="AK340" s="17"/>
      <c r="AL340" s="17"/>
      <c r="AM340" s="17">
        <f>K340</f>
        <v>0</v>
      </c>
      <c r="AN340" s="18"/>
      <c r="AO340" s="19"/>
      <c r="AP340" s="97"/>
      <c r="AQ340" s="17"/>
      <c r="AR340" s="17"/>
      <c r="AS340" s="17">
        <f>W340</f>
        <v>0</v>
      </c>
      <c r="AT340" s="18"/>
      <c r="AU340" s="19"/>
      <c r="AV340" s="97"/>
      <c r="AW340" s="17"/>
      <c r="AX340" s="17"/>
      <c r="AY340" s="17">
        <f>L340</f>
        <v>0</v>
      </c>
      <c r="AZ340" s="18"/>
      <c r="BA340" s="19"/>
    </row>
    <row r="341" spans="1:53" s="4" customFormat="1" ht="17.100000000000001" customHeight="1" x14ac:dyDescent="0.25">
      <c r="A341" s="40"/>
      <c r="B341" s="40"/>
      <c r="C341" s="74" t="s">
        <v>178</v>
      </c>
      <c r="D341" s="75" t="s">
        <v>129</v>
      </c>
      <c r="E341" s="105"/>
      <c r="F341" s="105"/>
      <c r="G341" s="105"/>
      <c r="H341" s="119"/>
      <c r="I341" s="231"/>
      <c r="J341" s="583"/>
      <c r="K341" s="583"/>
      <c r="L341" s="584"/>
      <c r="M341" s="593"/>
      <c r="N341" s="111"/>
      <c r="O341" s="111"/>
      <c r="P341" s="111"/>
      <c r="Q341" s="111"/>
      <c r="R341" s="111"/>
      <c r="S341" s="111"/>
      <c r="T341" s="111"/>
      <c r="U341" s="111"/>
      <c r="V341" s="358"/>
      <c r="W341" s="391">
        <f t="shared" ref="W341:W342" si="370">J341+K341+N341+Q341+T341</f>
        <v>0</v>
      </c>
      <c r="X341" s="17">
        <f t="shared" ref="X341:X342" si="371">L341+O341+R341+U341</f>
        <v>0</v>
      </c>
      <c r="Y341" s="18">
        <f>SUM(W341:X341)</f>
        <v>0</v>
      </c>
      <c r="Z341" s="19">
        <f>IF(Y$343=0,0,Y341/Y$343)</f>
        <v>0</v>
      </c>
      <c r="AA341" s="19"/>
      <c r="AB341" s="19"/>
      <c r="AC341" s="20"/>
      <c r="AE341" s="17"/>
      <c r="AF341" s="17"/>
      <c r="AG341" s="17"/>
      <c r="AH341" s="18">
        <f t="shared" ref="AH341:AH342" si="372">J341</f>
        <v>0</v>
      </c>
      <c r="AI341" s="19">
        <f>IF(AH$343=0,0,AH341/AH$343)</f>
        <v>0</v>
      </c>
      <c r="AJ341" s="97"/>
      <c r="AK341" s="17"/>
      <c r="AL341" s="17"/>
      <c r="AM341" s="17"/>
      <c r="AN341" s="18">
        <f t="shared" ref="AN341:AN342" si="373">K341</f>
        <v>0</v>
      </c>
      <c r="AO341" s="19">
        <f>IF(AN$343=0,0,AN341/AN$343)</f>
        <v>0</v>
      </c>
      <c r="AP341" s="97"/>
      <c r="AQ341" s="17"/>
      <c r="AR341" s="17"/>
      <c r="AS341" s="17"/>
      <c r="AT341" s="18">
        <f t="shared" ref="AT341:AT342" si="374">W341</f>
        <v>0</v>
      </c>
      <c r="AU341" s="19">
        <f>IF(AT$343=0,0,AT341/AT$343)</f>
        <v>0</v>
      </c>
      <c r="AV341" s="97"/>
      <c r="AW341" s="17"/>
      <c r="AX341" s="17"/>
      <c r="AY341" s="17"/>
      <c r="AZ341" s="18">
        <f>X341</f>
        <v>0</v>
      </c>
      <c r="BA341" s="19">
        <f>IF(AZ$343=0,0,AZ341/AZ$343)</f>
        <v>0</v>
      </c>
    </row>
    <row r="342" spans="1:53" s="4" customFormat="1" ht="17.100000000000001" customHeight="1" x14ac:dyDescent="0.25">
      <c r="A342" s="40"/>
      <c r="B342" s="40"/>
      <c r="C342" s="74" t="s">
        <v>179</v>
      </c>
      <c r="D342" s="75" t="s">
        <v>530</v>
      </c>
      <c r="E342" s="75"/>
      <c r="F342" s="75"/>
      <c r="G342" s="75"/>
      <c r="H342" s="540"/>
      <c r="I342" s="229"/>
      <c r="J342" s="581"/>
      <c r="K342" s="581"/>
      <c r="L342" s="582"/>
      <c r="M342" s="593"/>
      <c r="N342" s="111"/>
      <c r="O342" s="111"/>
      <c r="P342" s="111"/>
      <c r="Q342" s="111"/>
      <c r="R342" s="111"/>
      <c r="S342" s="111"/>
      <c r="T342" s="111"/>
      <c r="U342" s="111"/>
      <c r="V342" s="358"/>
      <c r="W342" s="391">
        <f t="shared" si="370"/>
        <v>0</v>
      </c>
      <c r="X342" s="17">
        <f t="shared" si="371"/>
        <v>0</v>
      </c>
      <c r="Y342" s="18">
        <f>SUM(W342:X342)</f>
        <v>0</v>
      </c>
      <c r="Z342" s="19">
        <f>IF(Y$343=0,0,Y342/Y$343)</f>
        <v>0</v>
      </c>
      <c r="AA342" s="19"/>
      <c r="AB342" s="19"/>
      <c r="AC342" s="20"/>
      <c r="AE342" s="17"/>
      <c r="AF342" s="17"/>
      <c r="AG342" s="17"/>
      <c r="AH342" s="18">
        <f t="shared" si="372"/>
        <v>0</v>
      </c>
      <c r="AI342" s="19">
        <f>IF(AH$343=0,0,AH342/AH$343)</f>
        <v>0</v>
      </c>
      <c r="AJ342" s="97"/>
      <c r="AK342" s="17"/>
      <c r="AL342" s="17"/>
      <c r="AM342" s="17"/>
      <c r="AN342" s="18">
        <f t="shared" si="373"/>
        <v>0</v>
      </c>
      <c r="AO342" s="19">
        <f>IF(AN$343=0,0,AN342/AN$343)</f>
        <v>0</v>
      </c>
      <c r="AP342" s="97"/>
      <c r="AQ342" s="17"/>
      <c r="AR342" s="17"/>
      <c r="AS342" s="17"/>
      <c r="AT342" s="18">
        <f t="shared" si="374"/>
        <v>0</v>
      </c>
      <c r="AU342" s="19">
        <f>IF(AT$343=0,0,AT342/AT$343)</f>
        <v>0</v>
      </c>
      <c r="AV342" s="97"/>
      <c r="AW342" s="17"/>
      <c r="AX342" s="17"/>
      <c r="AY342" s="17"/>
      <c r="AZ342" s="18">
        <f>X342</f>
        <v>0</v>
      </c>
      <c r="BA342" s="19">
        <f>IF(AZ$343=0,0,AZ342/AZ$343)</f>
        <v>0</v>
      </c>
    </row>
    <row r="343" spans="1:53" s="4" customFormat="1" ht="17.100000000000001" customHeight="1" x14ac:dyDescent="0.25">
      <c r="A343" s="175"/>
      <c r="B343" s="40"/>
      <c r="C343" s="77"/>
      <c r="D343" s="134"/>
      <c r="E343" s="134"/>
      <c r="F343" s="134"/>
      <c r="G343" s="134"/>
      <c r="H343" s="540"/>
      <c r="I343" s="12"/>
      <c r="J343" s="80">
        <f>J336+J337+J341+J342</f>
        <v>0</v>
      </c>
      <c r="K343" s="80">
        <f t="shared" ref="K343:M343" si="375">K336+K337+K341+K342</f>
        <v>0</v>
      </c>
      <c r="L343" s="80">
        <f t="shared" si="375"/>
        <v>0</v>
      </c>
      <c r="M343" s="80">
        <f t="shared" si="375"/>
        <v>0</v>
      </c>
      <c r="N343" s="81"/>
      <c r="O343" s="81"/>
      <c r="P343" s="81"/>
      <c r="Q343" s="81"/>
      <c r="R343" s="81"/>
      <c r="S343" s="81"/>
      <c r="T343" s="81"/>
      <c r="U343" s="81"/>
      <c r="V343" s="356"/>
      <c r="W343" s="381">
        <f>W336+W337+W341+W342</f>
        <v>0</v>
      </c>
      <c r="X343" s="82">
        <f>X336+X337+X341+X342</f>
        <v>0</v>
      </c>
      <c r="Y343" s="82">
        <f t="shared" ref="Y343" si="376">SUM(Y336:Y342)</f>
        <v>0</v>
      </c>
      <c r="Z343" s="205">
        <f>IF(Y$343=0,0,Y343/Y$343)</f>
        <v>0</v>
      </c>
      <c r="AA343" s="205"/>
      <c r="AB343" s="205"/>
      <c r="AC343" s="83"/>
      <c r="AE343" s="80"/>
      <c r="AF343" s="80"/>
      <c r="AG343" s="81"/>
      <c r="AH343" s="82">
        <f>SUM(AH336:AH342)</f>
        <v>0</v>
      </c>
      <c r="AI343" s="66">
        <f>IF(AH$343=0,0,AH343/AH$343)</f>
        <v>0</v>
      </c>
      <c r="AJ343" s="97"/>
      <c r="AK343" s="80"/>
      <c r="AL343" s="80"/>
      <c r="AM343" s="81"/>
      <c r="AN343" s="82">
        <f>SUM(AN336:AN342)</f>
        <v>0</v>
      </c>
      <c r="AO343" s="66">
        <f>IF(AN$343=0,0,AN343/AN$343)</f>
        <v>0</v>
      </c>
      <c r="AP343" s="97"/>
      <c r="AQ343" s="80"/>
      <c r="AR343" s="80"/>
      <c r="AS343" s="81"/>
      <c r="AT343" s="82">
        <f>SUM(AT336:AT342)</f>
        <v>0</v>
      </c>
      <c r="AU343" s="66">
        <f>IF(AT$343=0,0,AT343/AT$343)</f>
        <v>0</v>
      </c>
      <c r="AV343" s="97"/>
      <c r="AW343" s="80"/>
      <c r="AX343" s="80"/>
      <c r="AY343" s="81"/>
      <c r="AZ343" s="82">
        <f>SUM(AZ336:AZ342)</f>
        <v>0</v>
      </c>
      <c r="BA343" s="66">
        <f>IF(AZ$343=0,0,AZ343/AZ$343)</f>
        <v>0</v>
      </c>
    </row>
    <row r="344" spans="1:53" s="117" customFormat="1" ht="17.100000000000001" customHeight="1" x14ac:dyDescent="0.25">
      <c r="A344" s="68"/>
      <c r="B344" s="119"/>
      <c r="C344" s="540"/>
      <c r="D344" s="261"/>
      <c r="E344" s="261"/>
      <c r="F344" s="68"/>
      <c r="G344" s="68"/>
      <c r="H344" s="119"/>
      <c r="I344" s="138"/>
      <c r="J344" s="17" t="str">
        <f>IF(J343=J$15,"OK","NOK")</f>
        <v>OK</v>
      </c>
      <c r="K344" s="17" t="str">
        <f t="shared" ref="K344:L344" si="377">IF(K343=K$15,"OK","NOK")</f>
        <v>OK</v>
      </c>
      <c r="L344" s="17" t="str">
        <f t="shared" si="377"/>
        <v>OK</v>
      </c>
      <c r="M344" s="17"/>
      <c r="N344" s="17"/>
      <c r="O344" s="17"/>
      <c r="P344" s="17"/>
      <c r="Q344" s="17"/>
      <c r="R344" s="17"/>
      <c r="S344" s="17"/>
      <c r="T344" s="17"/>
      <c r="U344" s="17"/>
      <c r="V344" s="359"/>
      <c r="W344" s="382"/>
      <c r="X344" s="539"/>
      <c r="Y344" s="539"/>
      <c r="Z344" s="201"/>
      <c r="AA344" s="201"/>
      <c r="AB344" s="201"/>
      <c r="AC344" s="84"/>
      <c r="AE344" s="46"/>
      <c r="AF344" s="46"/>
      <c r="AG344" s="17"/>
      <c r="AH344" s="539"/>
      <c r="AI344" s="91"/>
      <c r="AK344" s="46"/>
      <c r="AL344" s="46"/>
      <c r="AM344" s="17"/>
      <c r="AN344" s="539"/>
      <c r="AO344" s="91"/>
      <c r="AQ344" s="46"/>
      <c r="AR344" s="46"/>
      <c r="AS344" s="17"/>
      <c r="AT344" s="539"/>
      <c r="AU344" s="91"/>
      <c r="AW344" s="46"/>
      <c r="AX344" s="46"/>
      <c r="AY344" s="17"/>
      <c r="AZ344" s="539"/>
      <c r="BA344" s="91"/>
    </row>
    <row r="345" spans="1:53" ht="17.100000000000001" customHeight="1" x14ac:dyDescent="0.25">
      <c r="A345" s="68"/>
      <c r="B345" s="41" t="s">
        <v>180</v>
      </c>
      <c r="C345" s="69" t="s">
        <v>436</v>
      </c>
      <c r="D345" s="50"/>
      <c r="E345" s="70"/>
      <c r="F345" s="70"/>
      <c r="G345" s="70"/>
      <c r="H345" s="243">
        <v>43</v>
      </c>
      <c r="J345" s="71"/>
      <c r="K345" s="71"/>
      <c r="L345" s="71"/>
      <c r="M345" s="71"/>
      <c r="N345" s="71"/>
      <c r="O345" s="71"/>
      <c r="P345" s="71"/>
      <c r="Q345" s="71"/>
      <c r="R345" s="71"/>
      <c r="S345" s="71"/>
      <c r="T345" s="71"/>
      <c r="U345" s="71"/>
      <c r="V345" s="355"/>
      <c r="W345" s="377"/>
      <c r="X345" s="71"/>
      <c r="Y345" s="72"/>
      <c r="Z345" s="73"/>
      <c r="AA345" s="73"/>
      <c r="AB345" s="73"/>
      <c r="AC345" s="73"/>
      <c r="AE345" s="71"/>
      <c r="AF345" s="71"/>
      <c r="AG345" s="71"/>
      <c r="AH345" s="72"/>
      <c r="AI345" s="73"/>
      <c r="AK345" s="71"/>
      <c r="AL345" s="71"/>
      <c r="AM345" s="71"/>
      <c r="AN345" s="72"/>
      <c r="AO345" s="73"/>
      <c r="AQ345" s="71"/>
      <c r="AR345" s="71"/>
      <c r="AS345" s="71"/>
      <c r="AT345" s="72"/>
      <c r="AU345" s="73"/>
      <c r="AW345" s="71"/>
      <c r="AX345" s="71"/>
      <c r="AY345" s="71"/>
      <c r="AZ345" s="72"/>
      <c r="BA345" s="73"/>
    </row>
    <row r="346" spans="1:53" s="4" customFormat="1" ht="17.100000000000001" customHeight="1" x14ac:dyDescent="0.25">
      <c r="A346" s="40"/>
      <c r="B346" s="40"/>
      <c r="C346" s="74" t="s">
        <v>440</v>
      </c>
      <c r="D346" s="85" t="s">
        <v>162</v>
      </c>
      <c r="E346" s="75"/>
      <c r="F346" s="75"/>
      <c r="G346" s="75"/>
      <c r="H346" s="540"/>
      <c r="I346" s="229"/>
      <c r="J346" s="581"/>
      <c r="K346" s="581"/>
      <c r="L346" s="582"/>
      <c r="M346" s="593">
        <f t="shared" ref="M346:M353" si="378">SUM(J346:L346)</f>
        <v>0</v>
      </c>
      <c r="N346" s="111"/>
      <c r="O346" s="111"/>
      <c r="P346" s="111"/>
      <c r="Q346" s="111"/>
      <c r="R346" s="111"/>
      <c r="S346" s="111"/>
      <c r="T346" s="111"/>
      <c r="U346" s="111"/>
      <c r="V346" s="358"/>
      <c r="W346" s="391">
        <f t="shared" ref="W346:W353" si="379">J346+K346+N346+Q346+T346</f>
        <v>0</v>
      </c>
      <c r="X346" s="17">
        <f t="shared" ref="X346:X353" si="380">L346+O346+R346+U346</f>
        <v>0</v>
      </c>
      <c r="Y346" s="18">
        <f t="shared" ref="Y346:Y353" si="381">SUM(W346:X346)</f>
        <v>0</v>
      </c>
      <c r="Z346" s="19">
        <f t="shared" ref="Z346:Z353" si="382">IF(Y$354=0,0,Y346/Y$354)</f>
        <v>0</v>
      </c>
      <c r="AA346" s="19"/>
      <c r="AB346" s="19"/>
      <c r="AC346" s="20"/>
      <c r="AE346" s="17"/>
      <c r="AF346" s="17"/>
      <c r="AG346" s="17"/>
      <c r="AH346" s="18">
        <f t="shared" ref="AH346:AH353" si="383">J346</f>
        <v>0</v>
      </c>
      <c r="AI346" s="19">
        <f t="shared" ref="AI346:AI353" si="384">IF(AH$354=0,0,AH346/AH$354)</f>
        <v>0</v>
      </c>
      <c r="AJ346" s="97"/>
      <c r="AK346" s="17"/>
      <c r="AL346" s="17"/>
      <c r="AM346" s="17"/>
      <c r="AN346" s="18">
        <f t="shared" ref="AN346:AN353" si="385">K346</f>
        <v>0</v>
      </c>
      <c r="AO346" s="19">
        <f t="shared" ref="AO346:AO353" si="386">IF(AN$354=0,0,AN346/AN$354)</f>
        <v>0</v>
      </c>
      <c r="AP346" s="97"/>
      <c r="AQ346" s="17"/>
      <c r="AR346" s="17"/>
      <c r="AS346" s="17"/>
      <c r="AT346" s="18">
        <f t="shared" ref="AT346:AT353" si="387">W346</f>
        <v>0</v>
      </c>
      <c r="AU346" s="19">
        <f t="shared" ref="AU346:AU353" si="388">IF(AT$354=0,0,AT346/AT$354)</f>
        <v>0</v>
      </c>
      <c r="AV346" s="97"/>
      <c r="AW346" s="17"/>
      <c r="AX346" s="17"/>
      <c r="AY346" s="17"/>
      <c r="AZ346" s="18">
        <f t="shared" ref="AZ346:AZ353" si="389">X346</f>
        <v>0</v>
      </c>
      <c r="BA346" s="19">
        <f t="shared" ref="BA346:BA353" si="390">IF(AZ$354=0,0,AZ346/AZ$354)</f>
        <v>0</v>
      </c>
    </row>
    <row r="347" spans="1:53" s="4" customFormat="1" ht="17.100000000000001" customHeight="1" x14ac:dyDescent="0.25">
      <c r="A347" s="40"/>
      <c r="B347" s="40"/>
      <c r="C347" s="74" t="s">
        <v>441</v>
      </c>
      <c r="D347" s="85" t="s">
        <v>165</v>
      </c>
      <c r="E347" s="75"/>
      <c r="F347" s="75"/>
      <c r="G347" s="75"/>
      <c r="H347" s="540"/>
      <c r="I347" s="229"/>
      <c r="J347" s="583"/>
      <c r="K347" s="583"/>
      <c r="L347" s="584"/>
      <c r="M347" s="593">
        <f t="shared" si="378"/>
        <v>0</v>
      </c>
      <c r="N347" s="111"/>
      <c r="O347" s="111"/>
      <c r="P347" s="111"/>
      <c r="Q347" s="111"/>
      <c r="R347" s="111"/>
      <c r="S347" s="111"/>
      <c r="T347" s="111"/>
      <c r="U347" s="111"/>
      <c r="V347" s="358"/>
      <c r="W347" s="391">
        <f t="shared" si="379"/>
        <v>0</v>
      </c>
      <c r="X347" s="17">
        <f t="shared" si="380"/>
        <v>0</v>
      </c>
      <c r="Y347" s="18">
        <f t="shared" si="381"/>
        <v>0</v>
      </c>
      <c r="Z347" s="19">
        <f t="shared" si="382"/>
        <v>0</v>
      </c>
      <c r="AA347" s="19"/>
      <c r="AB347" s="19"/>
      <c r="AC347" s="20"/>
      <c r="AE347" s="17"/>
      <c r="AF347" s="17"/>
      <c r="AG347" s="17"/>
      <c r="AH347" s="18">
        <f t="shared" si="383"/>
        <v>0</v>
      </c>
      <c r="AI347" s="19">
        <f t="shared" si="384"/>
        <v>0</v>
      </c>
      <c r="AJ347" s="97"/>
      <c r="AK347" s="17"/>
      <c r="AL347" s="17"/>
      <c r="AM347" s="17"/>
      <c r="AN347" s="18">
        <f t="shared" si="385"/>
        <v>0</v>
      </c>
      <c r="AO347" s="19">
        <f t="shared" si="386"/>
        <v>0</v>
      </c>
      <c r="AP347" s="97"/>
      <c r="AQ347" s="17"/>
      <c r="AR347" s="17"/>
      <c r="AS347" s="17"/>
      <c r="AT347" s="18">
        <f t="shared" si="387"/>
        <v>0</v>
      </c>
      <c r="AU347" s="19">
        <f t="shared" si="388"/>
        <v>0</v>
      </c>
      <c r="AV347" s="97"/>
      <c r="AW347" s="17"/>
      <c r="AX347" s="17"/>
      <c r="AY347" s="17"/>
      <c r="AZ347" s="18">
        <f t="shared" si="389"/>
        <v>0</v>
      </c>
      <c r="BA347" s="19">
        <f t="shared" si="390"/>
        <v>0</v>
      </c>
    </row>
    <row r="348" spans="1:53" s="4" customFormat="1" ht="17.100000000000001" customHeight="1" x14ac:dyDescent="0.25">
      <c r="A348" s="40"/>
      <c r="B348" s="40"/>
      <c r="C348" s="74" t="s">
        <v>442</v>
      </c>
      <c r="D348" s="85" t="s">
        <v>167</v>
      </c>
      <c r="E348" s="75"/>
      <c r="F348" s="75"/>
      <c r="G348" s="75"/>
      <c r="H348" s="540"/>
      <c r="I348" s="229"/>
      <c r="J348" s="581"/>
      <c r="K348" s="581"/>
      <c r="L348" s="582"/>
      <c r="M348" s="593">
        <f t="shared" si="378"/>
        <v>0</v>
      </c>
      <c r="N348" s="111"/>
      <c r="O348" s="111"/>
      <c r="P348" s="111"/>
      <c r="Q348" s="111"/>
      <c r="R348" s="111"/>
      <c r="S348" s="111"/>
      <c r="T348" s="111"/>
      <c r="U348" s="111"/>
      <c r="V348" s="358"/>
      <c r="W348" s="391">
        <f t="shared" si="379"/>
        <v>0</v>
      </c>
      <c r="X348" s="17">
        <f t="shared" si="380"/>
        <v>0</v>
      </c>
      <c r="Y348" s="18">
        <f t="shared" si="381"/>
        <v>0</v>
      </c>
      <c r="Z348" s="19">
        <f t="shared" si="382"/>
        <v>0</v>
      </c>
      <c r="AA348" s="19"/>
      <c r="AB348" s="19"/>
      <c r="AC348" s="20"/>
      <c r="AE348" s="17"/>
      <c r="AF348" s="17"/>
      <c r="AG348" s="17"/>
      <c r="AH348" s="18">
        <f t="shared" si="383"/>
        <v>0</v>
      </c>
      <c r="AI348" s="19">
        <f t="shared" si="384"/>
        <v>0</v>
      </c>
      <c r="AJ348" s="97"/>
      <c r="AK348" s="17"/>
      <c r="AL348" s="17"/>
      <c r="AM348" s="17"/>
      <c r="AN348" s="18">
        <f t="shared" si="385"/>
        <v>0</v>
      </c>
      <c r="AO348" s="19">
        <f t="shared" si="386"/>
        <v>0</v>
      </c>
      <c r="AP348" s="97"/>
      <c r="AQ348" s="17"/>
      <c r="AR348" s="17"/>
      <c r="AS348" s="17"/>
      <c r="AT348" s="18">
        <f t="shared" si="387"/>
        <v>0</v>
      </c>
      <c r="AU348" s="19">
        <f t="shared" si="388"/>
        <v>0</v>
      </c>
      <c r="AV348" s="97"/>
      <c r="AW348" s="17"/>
      <c r="AX348" s="17"/>
      <c r="AY348" s="17"/>
      <c r="AZ348" s="18">
        <f t="shared" si="389"/>
        <v>0</v>
      </c>
      <c r="BA348" s="19">
        <f t="shared" si="390"/>
        <v>0</v>
      </c>
    </row>
    <row r="349" spans="1:53" s="4" customFormat="1" ht="17.100000000000001" customHeight="1" x14ac:dyDescent="0.25">
      <c r="A349" s="40"/>
      <c r="B349" s="40"/>
      <c r="C349" s="74" t="s">
        <v>443</v>
      </c>
      <c r="D349" s="85" t="s">
        <v>437</v>
      </c>
      <c r="E349" s="75"/>
      <c r="F349" s="75"/>
      <c r="G349" s="75"/>
      <c r="H349" s="540"/>
      <c r="I349" s="229"/>
      <c r="J349" s="583"/>
      <c r="K349" s="583"/>
      <c r="L349" s="584"/>
      <c r="M349" s="593">
        <f t="shared" si="378"/>
        <v>0</v>
      </c>
      <c r="N349" s="111"/>
      <c r="O349" s="111"/>
      <c r="P349" s="111"/>
      <c r="Q349" s="111"/>
      <c r="R349" s="111"/>
      <c r="S349" s="111"/>
      <c r="T349" s="111"/>
      <c r="U349" s="111"/>
      <c r="V349" s="358"/>
      <c r="W349" s="391">
        <f t="shared" si="379"/>
        <v>0</v>
      </c>
      <c r="X349" s="17">
        <f t="shared" si="380"/>
        <v>0</v>
      </c>
      <c r="Y349" s="18">
        <f t="shared" si="381"/>
        <v>0</v>
      </c>
      <c r="Z349" s="19">
        <f t="shared" si="382"/>
        <v>0</v>
      </c>
      <c r="AA349" s="19"/>
      <c r="AB349" s="19"/>
      <c r="AC349" s="20"/>
      <c r="AE349" s="17"/>
      <c r="AF349" s="17"/>
      <c r="AG349" s="17"/>
      <c r="AH349" s="18">
        <f t="shared" si="383"/>
        <v>0</v>
      </c>
      <c r="AI349" s="19">
        <f t="shared" si="384"/>
        <v>0</v>
      </c>
      <c r="AJ349" s="97"/>
      <c r="AK349" s="17"/>
      <c r="AL349" s="17"/>
      <c r="AM349" s="17"/>
      <c r="AN349" s="18">
        <f t="shared" si="385"/>
        <v>0</v>
      </c>
      <c r="AO349" s="19">
        <f t="shared" si="386"/>
        <v>0</v>
      </c>
      <c r="AP349" s="97"/>
      <c r="AQ349" s="17"/>
      <c r="AR349" s="17"/>
      <c r="AS349" s="17"/>
      <c r="AT349" s="18">
        <f t="shared" si="387"/>
        <v>0</v>
      </c>
      <c r="AU349" s="19">
        <f t="shared" si="388"/>
        <v>0</v>
      </c>
      <c r="AV349" s="97"/>
      <c r="AW349" s="17"/>
      <c r="AX349" s="17"/>
      <c r="AY349" s="17"/>
      <c r="AZ349" s="18">
        <f t="shared" si="389"/>
        <v>0</v>
      </c>
      <c r="BA349" s="19">
        <f t="shared" si="390"/>
        <v>0</v>
      </c>
    </row>
    <row r="350" spans="1:53" s="4" customFormat="1" ht="17.100000000000001" customHeight="1" x14ac:dyDescent="0.25">
      <c r="A350" s="40"/>
      <c r="B350" s="40"/>
      <c r="C350" s="74" t="s">
        <v>444</v>
      </c>
      <c r="D350" s="85" t="s">
        <v>438</v>
      </c>
      <c r="E350" s="542"/>
      <c r="F350" s="542"/>
      <c r="G350" s="542"/>
      <c r="H350" s="540"/>
      <c r="I350" s="235"/>
      <c r="J350" s="581"/>
      <c r="K350" s="581"/>
      <c r="L350" s="582"/>
      <c r="M350" s="593">
        <f t="shared" si="378"/>
        <v>0</v>
      </c>
      <c r="N350" s="111"/>
      <c r="O350" s="111"/>
      <c r="P350" s="111"/>
      <c r="Q350" s="111"/>
      <c r="R350" s="111"/>
      <c r="S350" s="111"/>
      <c r="T350" s="111"/>
      <c r="U350" s="111"/>
      <c r="V350" s="358"/>
      <c r="W350" s="391">
        <f t="shared" si="379"/>
        <v>0</v>
      </c>
      <c r="X350" s="17">
        <f t="shared" si="380"/>
        <v>0</v>
      </c>
      <c r="Y350" s="18">
        <f t="shared" si="381"/>
        <v>0</v>
      </c>
      <c r="Z350" s="19">
        <f t="shared" si="382"/>
        <v>0</v>
      </c>
      <c r="AA350" s="19"/>
      <c r="AB350" s="19"/>
      <c r="AC350" s="20"/>
      <c r="AE350" s="17"/>
      <c r="AF350" s="17"/>
      <c r="AG350" s="17"/>
      <c r="AH350" s="18">
        <f t="shared" si="383"/>
        <v>0</v>
      </c>
      <c r="AI350" s="19">
        <f t="shared" si="384"/>
        <v>0</v>
      </c>
      <c r="AJ350" s="97"/>
      <c r="AK350" s="17"/>
      <c r="AL350" s="17"/>
      <c r="AM350" s="17"/>
      <c r="AN350" s="18">
        <f t="shared" si="385"/>
        <v>0</v>
      </c>
      <c r="AO350" s="19">
        <f t="shared" si="386"/>
        <v>0</v>
      </c>
      <c r="AP350" s="97"/>
      <c r="AQ350" s="17"/>
      <c r="AR350" s="17"/>
      <c r="AS350" s="17"/>
      <c r="AT350" s="18">
        <f t="shared" si="387"/>
        <v>0</v>
      </c>
      <c r="AU350" s="19">
        <f t="shared" si="388"/>
        <v>0</v>
      </c>
      <c r="AV350" s="97"/>
      <c r="AW350" s="17"/>
      <c r="AX350" s="17"/>
      <c r="AY350" s="17"/>
      <c r="AZ350" s="18">
        <f t="shared" si="389"/>
        <v>0</v>
      </c>
      <c r="BA350" s="19">
        <f t="shared" si="390"/>
        <v>0</v>
      </c>
    </row>
    <row r="351" spans="1:53" s="4" customFormat="1" ht="17.100000000000001" customHeight="1" x14ac:dyDescent="0.25">
      <c r="A351" s="40"/>
      <c r="B351" s="40"/>
      <c r="C351" s="74" t="s">
        <v>445</v>
      </c>
      <c r="D351" s="85" t="s">
        <v>439</v>
      </c>
      <c r="E351" s="542"/>
      <c r="F351" s="542"/>
      <c r="G351" s="542"/>
      <c r="H351" s="540"/>
      <c r="I351" s="235"/>
      <c r="J351" s="583"/>
      <c r="K351" s="583"/>
      <c r="L351" s="584"/>
      <c r="M351" s="593">
        <f t="shared" si="378"/>
        <v>0</v>
      </c>
      <c r="N351" s="111"/>
      <c r="O351" s="111"/>
      <c r="P351" s="111"/>
      <c r="Q351" s="111"/>
      <c r="R351" s="111"/>
      <c r="S351" s="111"/>
      <c r="T351" s="111"/>
      <c r="U351" s="111"/>
      <c r="V351" s="358"/>
      <c r="W351" s="391">
        <f t="shared" si="379"/>
        <v>0</v>
      </c>
      <c r="X351" s="17">
        <f t="shared" si="380"/>
        <v>0</v>
      </c>
      <c r="Y351" s="18">
        <f t="shared" si="381"/>
        <v>0</v>
      </c>
      <c r="Z351" s="19">
        <f t="shared" si="382"/>
        <v>0</v>
      </c>
      <c r="AA351" s="19"/>
      <c r="AB351" s="19"/>
      <c r="AC351" s="20"/>
      <c r="AE351" s="17"/>
      <c r="AF351" s="17"/>
      <c r="AG351" s="17"/>
      <c r="AH351" s="18">
        <f t="shared" si="383"/>
        <v>0</v>
      </c>
      <c r="AI351" s="19">
        <f t="shared" si="384"/>
        <v>0</v>
      </c>
      <c r="AJ351" s="97"/>
      <c r="AK351" s="17"/>
      <c r="AL351" s="17"/>
      <c r="AM351" s="17"/>
      <c r="AN351" s="18">
        <f t="shared" si="385"/>
        <v>0</v>
      </c>
      <c r="AO351" s="19">
        <f t="shared" si="386"/>
        <v>0</v>
      </c>
      <c r="AP351" s="97"/>
      <c r="AQ351" s="17"/>
      <c r="AR351" s="17"/>
      <c r="AS351" s="17"/>
      <c r="AT351" s="18">
        <f t="shared" si="387"/>
        <v>0</v>
      </c>
      <c r="AU351" s="19">
        <f t="shared" si="388"/>
        <v>0</v>
      </c>
      <c r="AV351" s="97"/>
      <c r="AW351" s="17"/>
      <c r="AX351" s="17"/>
      <c r="AY351" s="17"/>
      <c r="AZ351" s="18">
        <f t="shared" si="389"/>
        <v>0</v>
      </c>
      <c r="BA351" s="19">
        <f t="shared" si="390"/>
        <v>0</v>
      </c>
    </row>
    <row r="352" spans="1:53" s="4" customFormat="1" ht="17.100000000000001" customHeight="1" x14ac:dyDescent="0.25">
      <c r="A352" s="40"/>
      <c r="B352" s="40"/>
      <c r="C352" s="74" t="s">
        <v>446</v>
      </c>
      <c r="D352" s="85" t="s">
        <v>129</v>
      </c>
      <c r="E352" s="542"/>
      <c r="F352" s="542"/>
      <c r="G352" s="542"/>
      <c r="H352" s="540"/>
      <c r="I352" s="235"/>
      <c r="J352" s="581"/>
      <c r="K352" s="581"/>
      <c r="L352" s="582"/>
      <c r="M352" s="593">
        <f t="shared" si="378"/>
        <v>0</v>
      </c>
      <c r="N352" s="111"/>
      <c r="O352" s="111"/>
      <c r="P352" s="111"/>
      <c r="Q352" s="111"/>
      <c r="R352" s="111"/>
      <c r="S352" s="111"/>
      <c r="T352" s="111"/>
      <c r="U352" s="111"/>
      <c r="V352" s="358"/>
      <c r="W352" s="391">
        <f t="shared" si="379"/>
        <v>0</v>
      </c>
      <c r="X352" s="17">
        <f t="shared" si="380"/>
        <v>0</v>
      </c>
      <c r="Y352" s="18">
        <f t="shared" si="381"/>
        <v>0</v>
      </c>
      <c r="Z352" s="19">
        <f t="shared" si="382"/>
        <v>0</v>
      </c>
      <c r="AA352" s="19"/>
      <c r="AB352" s="19"/>
      <c r="AC352" s="20"/>
      <c r="AE352" s="17"/>
      <c r="AF352" s="17"/>
      <c r="AG352" s="17"/>
      <c r="AH352" s="18">
        <f t="shared" si="383"/>
        <v>0</v>
      </c>
      <c r="AI352" s="19">
        <f t="shared" si="384"/>
        <v>0</v>
      </c>
      <c r="AJ352" s="97"/>
      <c r="AK352" s="17"/>
      <c r="AL352" s="17"/>
      <c r="AM352" s="17"/>
      <c r="AN352" s="18">
        <f t="shared" si="385"/>
        <v>0</v>
      </c>
      <c r="AO352" s="19">
        <f t="shared" si="386"/>
        <v>0</v>
      </c>
      <c r="AP352" s="97"/>
      <c r="AQ352" s="17"/>
      <c r="AR352" s="17"/>
      <c r="AS352" s="17"/>
      <c r="AT352" s="18">
        <f t="shared" si="387"/>
        <v>0</v>
      </c>
      <c r="AU352" s="19">
        <f t="shared" si="388"/>
        <v>0</v>
      </c>
      <c r="AV352" s="97"/>
      <c r="AW352" s="17"/>
      <c r="AX352" s="17"/>
      <c r="AY352" s="17"/>
      <c r="AZ352" s="18">
        <f t="shared" si="389"/>
        <v>0</v>
      </c>
      <c r="BA352" s="19">
        <f t="shared" si="390"/>
        <v>0</v>
      </c>
    </row>
    <row r="353" spans="1:53" s="4" customFormat="1" ht="17.100000000000001" customHeight="1" x14ac:dyDescent="0.25">
      <c r="A353" s="40"/>
      <c r="B353" s="40"/>
      <c r="C353" s="74" t="s">
        <v>545</v>
      </c>
      <c r="D353" s="85" t="s">
        <v>530</v>
      </c>
      <c r="E353" s="542"/>
      <c r="F353" s="542"/>
      <c r="G353" s="542"/>
      <c r="H353" s="540"/>
      <c r="I353" s="235"/>
      <c r="J353" s="583"/>
      <c r="K353" s="583"/>
      <c r="L353" s="584"/>
      <c r="M353" s="593">
        <f t="shared" si="378"/>
        <v>0</v>
      </c>
      <c r="N353" s="111"/>
      <c r="O353" s="111"/>
      <c r="P353" s="111"/>
      <c r="Q353" s="111"/>
      <c r="R353" s="111"/>
      <c r="S353" s="111"/>
      <c r="T353" s="111"/>
      <c r="U353" s="111"/>
      <c r="V353" s="358"/>
      <c r="W353" s="391">
        <f t="shared" si="379"/>
        <v>0</v>
      </c>
      <c r="X353" s="17">
        <f t="shared" si="380"/>
        <v>0</v>
      </c>
      <c r="Y353" s="18">
        <f t="shared" si="381"/>
        <v>0</v>
      </c>
      <c r="Z353" s="19">
        <f t="shared" si="382"/>
        <v>0</v>
      </c>
      <c r="AA353" s="19"/>
      <c r="AB353" s="19"/>
      <c r="AC353" s="20"/>
      <c r="AE353" s="17"/>
      <c r="AF353" s="17"/>
      <c r="AG353" s="17"/>
      <c r="AH353" s="18">
        <f t="shared" si="383"/>
        <v>0</v>
      </c>
      <c r="AI353" s="19">
        <f t="shared" si="384"/>
        <v>0</v>
      </c>
      <c r="AJ353" s="97"/>
      <c r="AK353" s="17"/>
      <c r="AL353" s="17"/>
      <c r="AM353" s="17"/>
      <c r="AN353" s="18">
        <f t="shared" si="385"/>
        <v>0</v>
      </c>
      <c r="AO353" s="19">
        <f t="shared" si="386"/>
        <v>0</v>
      </c>
      <c r="AP353" s="97"/>
      <c r="AQ353" s="17"/>
      <c r="AR353" s="17"/>
      <c r="AS353" s="17"/>
      <c r="AT353" s="18">
        <f t="shared" si="387"/>
        <v>0</v>
      </c>
      <c r="AU353" s="19">
        <f t="shared" si="388"/>
        <v>0</v>
      </c>
      <c r="AV353" s="97"/>
      <c r="AW353" s="17"/>
      <c r="AX353" s="17"/>
      <c r="AY353" s="17"/>
      <c r="AZ353" s="18">
        <f t="shared" si="389"/>
        <v>0</v>
      </c>
      <c r="BA353" s="19">
        <f t="shared" si="390"/>
        <v>0</v>
      </c>
    </row>
    <row r="354" spans="1:53" s="4" customFormat="1" ht="17.100000000000001" customHeight="1" x14ac:dyDescent="0.25">
      <c r="A354" s="40"/>
      <c r="B354" s="40"/>
      <c r="C354" s="77"/>
      <c r="D354" s="134"/>
      <c r="E354" s="134"/>
      <c r="F354" s="134"/>
      <c r="G354" s="134"/>
      <c r="H354" s="540"/>
      <c r="I354" s="229"/>
      <c r="J354" s="80">
        <f>SUM(J346:J353)</f>
        <v>0</v>
      </c>
      <c r="K354" s="80">
        <f t="shared" ref="K354:M354" si="391">SUM(K346:K353)</f>
        <v>0</v>
      </c>
      <c r="L354" s="80">
        <f t="shared" si="391"/>
        <v>0</v>
      </c>
      <c r="M354" s="80">
        <f t="shared" si="391"/>
        <v>0</v>
      </c>
      <c r="N354" s="81"/>
      <c r="O354" s="81"/>
      <c r="P354" s="81"/>
      <c r="Q354" s="81"/>
      <c r="R354" s="81"/>
      <c r="S354" s="81"/>
      <c r="T354" s="81"/>
      <c r="U354" s="81"/>
      <c r="V354" s="356"/>
      <c r="W354" s="381">
        <f>SUM(W346:W353)</f>
        <v>0</v>
      </c>
      <c r="X354" s="82">
        <f t="shared" ref="X354:Y354" si="392">SUM(X346:X353)</f>
        <v>0</v>
      </c>
      <c r="Y354" s="82">
        <f t="shared" si="392"/>
        <v>0</v>
      </c>
      <c r="Z354" s="205">
        <f>IF(Y$354=0,0,Y354/Y$354)</f>
        <v>0</v>
      </c>
      <c r="AA354" s="205"/>
      <c r="AB354" s="205"/>
      <c r="AC354" s="83"/>
      <c r="AE354" s="80"/>
      <c r="AF354" s="80"/>
      <c r="AG354" s="81"/>
      <c r="AH354" s="82">
        <f>SUM(AH346:AH353)</f>
        <v>0</v>
      </c>
      <c r="AI354" s="66">
        <f>IF(AH$354=0,0,AH354/AH$354)</f>
        <v>0</v>
      </c>
      <c r="AJ354" s="97"/>
      <c r="AK354" s="80"/>
      <c r="AL354" s="80"/>
      <c r="AM354" s="81"/>
      <c r="AN354" s="82">
        <f>SUM(AN346:AN353)</f>
        <v>0</v>
      </c>
      <c r="AO354" s="66">
        <f>IF(AN$354=0,0,AN354/AN$354)</f>
        <v>0</v>
      </c>
      <c r="AP354" s="97"/>
      <c r="AQ354" s="80"/>
      <c r="AR354" s="80"/>
      <c r="AS354" s="81"/>
      <c r="AT354" s="82">
        <f>SUM(AT346:AT353)</f>
        <v>0</v>
      </c>
      <c r="AU354" s="66">
        <f>IF(AT$354=0,0,AT354/AT$354)</f>
        <v>0</v>
      </c>
      <c r="AV354" s="97"/>
      <c r="AW354" s="80"/>
      <c r="AX354" s="80"/>
      <c r="AY354" s="81"/>
      <c r="AZ354" s="82">
        <f>SUM(AZ346:AZ353)</f>
        <v>0</v>
      </c>
      <c r="BA354" s="66">
        <f>IF(AZ$354=0,0,AZ354/AZ$354)</f>
        <v>0</v>
      </c>
    </row>
    <row r="355" spans="1:53" s="117" customFormat="1" ht="17.100000000000001" customHeight="1" x14ac:dyDescent="0.25">
      <c r="A355" s="68"/>
      <c r="B355" s="119"/>
      <c r="C355" s="540"/>
      <c r="D355" s="261"/>
      <c r="E355" s="261"/>
      <c r="F355" s="68"/>
      <c r="G355" s="68"/>
      <c r="H355" s="119"/>
      <c r="I355" s="138"/>
      <c r="J355" s="17" t="str">
        <f>IF(J354=J$15,"OK","NOK")</f>
        <v>OK</v>
      </c>
      <c r="K355" s="17" t="str">
        <f t="shared" ref="K355:L355" si="393">IF(K354=K$15,"OK","NOK")</f>
        <v>OK</v>
      </c>
      <c r="L355" s="17" t="str">
        <f t="shared" si="393"/>
        <v>OK</v>
      </c>
      <c r="M355" s="17"/>
      <c r="N355" s="17"/>
      <c r="O355" s="17"/>
      <c r="P355" s="17"/>
      <c r="Q355" s="17"/>
      <c r="R355" s="17"/>
      <c r="S355" s="17"/>
      <c r="T355" s="17"/>
      <c r="U355" s="17"/>
      <c r="V355" s="359"/>
      <c r="W355" s="382"/>
      <c r="X355" s="539"/>
      <c r="Y355" s="539"/>
      <c r="Z355" s="201"/>
      <c r="AA355" s="201"/>
      <c r="AB355" s="201"/>
      <c r="AC355" s="84"/>
      <c r="AE355" s="46"/>
      <c r="AF355" s="46"/>
      <c r="AG355" s="17"/>
      <c r="AH355" s="539"/>
      <c r="AI355" s="91"/>
      <c r="AK355" s="46"/>
      <c r="AL355" s="46"/>
      <c r="AM355" s="17"/>
      <c r="AN355" s="539"/>
      <c r="AO355" s="91"/>
      <c r="AQ355" s="46"/>
      <c r="AR355" s="46"/>
      <c r="AS355" s="17"/>
      <c r="AT355" s="539"/>
      <c r="AU355" s="91"/>
      <c r="AW355" s="46"/>
      <c r="AX355" s="46"/>
      <c r="AY355" s="17"/>
      <c r="AZ355" s="539"/>
      <c r="BA355" s="91"/>
    </row>
    <row r="356" spans="1:53" ht="17.100000000000001" customHeight="1" x14ac:dyDescent="0.25">
      <c r="A356" s="68"/>
      <c r="B356" s="41" t="s">
        <v>447</v>
      </c>
      <c r="C356" s="69" t="s">
        <v>448</v>
      </c>
      <c r="D356" s="50"/>
      <c r="E356" s="70"/>
      <c r="F356" s="70"/>
      <c r="G356" s="70"/>
      <c r="H356" s="243">
        <v>47</v>
      </c>
      <c r="J356" s="71"/>
      <c r="K356" s="71"/>
      <c r="L356" s="71"/>
      <c r="M356" s="71"/>
      <c r="N356" s="71"/>
      <c r="O356" s="71"/>
      <c r="P356" s="71"/>
      <c r="Q356" s="71"/>
      <c r="R356" s="71"/>
      <c r="S356" s="71"/>
      <c r="T356" s="71"/>
      <c r="U356" s="71"/>
      <c r="V356" s="355"/>
      <c r="W356" s="377"/>
      <c r="X356" s="71"/>
      <c r="Y356" s="72"/>
      <c r="Z356" s="73"/>
      <c r="AA356" s="73"/>
      <c r="AB356" s="73"/>
      <c r="AC356" s="73"/>
      <c r="AE356" s="71"/>
      <c r="AF356" s="71"/>
      <c r="AG356" s="71"/>
      <c r="AH356" s="72"/>
      <c r="AI356" s="73"/>
      <c r="AK356" s="71"/>
      <c r="AL356" s="71"/>
      <c r="AM356" s="71"/>
      <c r="AN356" s="72"/>
      <c r="AO356" s="73"/>
      <c r="AQ356" s="71"/>
      <c r="AR356" s="71"/>
      <c r="AS356" s="71"/>
      <c r="AT356" s="72"/>
      <c r="AU356" s="73"/>
      <c r="AW356" s="71"/>
      <c r="AX356" s="71"/>
      <c r="AY356" s="71"/>
      <c r="AZ356" s="72"/>
      <c r="BA356" s="73"/>
    </row>
    <row r="357" spans="1:53" s="4" customFormat="1" ht="17.100000000000001" customHeight="1" x14ac:dyDescent="0.25">
      <c r="A357" s="40"/>
      <c r="B357" s="40"/>
      <c r="C357" s="74" t="s">
        <v>449</v>
      </c>
      <c r="D357" s="85" t="s">
        <v>9</v>
      </c>
      <c r="E357" s="75"/>
      <c r="F357" s="75"/>
      <c r="G357" s="75"/>
      <c r="H357" s="540"/>
      <c r="I357" s="229"/>
      <c r="J357" s="581"/>
      <c r="K357" s="581"/>
      <c r="L357" s="582"/>
      <c r="M357" s="593">
        <f t="shared" ref="M357:M359" si="394">SUM(J357:L357)</f>
        <v>0</v>
      </c>
      <c r="N357" s="111"/>
      <c r="O357" s="111"/>
      <c r="P357" s="111"/>
      <c r="Q357" s="111"/>
      <c r="R357" s="111"/>
      <c r="S357" s="111"/>
      <c r="T357" s="111"/>
      <c r="U357" s="111"/>
      <c r="V357" s="358"/>
      <c r="W357" s="391">
        <f t="shared" ref="W357:W359" si="395">J357+K357+N357+Q357+T357</f>
        <v>0</v>
      </c>
      <c r="X357" s="17">
        <f t="shared" ref="X357:X359" si="396">L357+O357+R357+U357</f>
        <v>0</v>
      </c>
      <c r="Y357" s="18">
        <f>SUM(W357:X357)</f>
        <v>0</v>
      </c>
      <c r="Z357" s="19">
        <f>IF(Y$360=0,0,Y357/Y$360)</f>
        <v>0</v>
      </c>
      <c r="AA357" s="19"/>
      <c r="AB357" s="19"/>
      <c r="AC357" s="20"/>
      <c r="AE357" s="17"/>
      <c r="AF357" s="17"/>
      <c r="AG357" s="17"/>
      <c r="AH357" s="18">
        <f t="shared" ref="AH357:AH359" si="397">J357</f>
        <v>0</v>
      </c>
      <c r="AI357" s="19">
        <f>IF(AH$360=0,0,AH357/AH$360)</f>
        <v>0</v>
      </c>
      <c r="AJ357" s="97"/>
      <c r="AK357" s="17"/>
      <c r="AL357" s="17"/>
      <c r="AM357" s="17"/>
      <c r="AN357" s="18">
        <f t="shared" ref="AN357:AN359" si="398">K357</f>
        <v>0</v>
      </c>
      <c r="AO357" s="19">
        <f>IF(AN$360=0,0,AN357/AN$360)</f>
        <v>0</v>
      </c>
      <c r="AP357" s="97"/>
      <c r="AQ357" s="17"/>
      <c r="AR357" s="17"/>
      <c r="AS357" s="17"/>
      <c r="AT357" s="18">
        <f t="shared" ref="AT357:AT359" si="399">W357</f>
        <v>0</v>
      </c>
      <c r="AU357" s="19">
        <f>IF(AT$360=0,0,AT357/AT$360)</f>
        <v>0</v>
      </c>
      <c r="AV357" s="97"/>
      <c r="AW357" s="17"/>
      <c r="AX357" s="17"/>
      <c r="AY357" s="17"/>
      <c r="AZ357" s="18">
        <f t="shared" ref="AZ357:AZ359" si="400">X357</f>
        <v>0</v>
      </c>
      <c r="BA357" s="19">
        <f>IF(AZ$360=0,0,AZ357/AZ$360)</f>
        <v>0</v>
      </c>
    </row>
    <row r="358" spans="1:53" s="4" customFormat="1" ht="17.100000000000001" customHeight="1" x14ac:dyDescent="0.25">
      <c r="A358" s="40"/>
      <c r="B358" s="40"/>
      <c r="C358" s="74" t="s">
        <v>450</v>
      </c>
      <c r="D358" s="85" t="s">
        <v>10</v>
      </c>
      <c r="E358" s="75"/>
      <c r="F358" s="75"/>
      <c r="G358" s="75"/>
      <c r="H358" s="540"/>
      <c r="I358" s="229"/>
      <c r="J358" s="583"/>
      <c r="K358" s="583"/>
      <c r="L358" s="584"/>
      <c r="M358" s="593">
        <f t="shared" si="394"/>
        <v>0</v>
      </c>
      <c r="N358" s="111"/>
      <c r="O358" s="111"/>
      <c r="P358" s="111"/>
      <c r="Q358" s="111"/>
      <c r="R358" s="111"/>
      <c r="S358" s="111"/>
      <c r="T358" s="111"/>
      <c r="U358" s="111"/>
      <c r="V358" s="358"/>
      <c r="W358" s="391">
        <f t="shared" si="395"/>
        <v>0</v>
      </c>
      <c r="X358" s="17">
        <f t="shared" si="396"/>
        <v>0</v>
      </c>
      <c r="Y358" s="18">
        <f>SUM(W358:X358)</f>
        <v>0</v>
      </c>
      <c r="Z358" s="19">
        <f t="shared" ref="Z358:Z360" si="401">IF(Y$360=0,0,Y358/Y$360)</f>
        <v>0</v>
      </c>
      <c r="AA358" s="19"/>
      <c r="AB358" s="19"/>
      <c r="AC358" s="20"/>
      <c r="AE358" s="17"/>
      <c r="AF358" s="17"/>
      <c r="AG358" s="17"/>
      <c r="AH358" s="18">
        <f t="shared" si="397"/>
        <v>0</v>
      </c>
      <c r="AI358" s="19">
        <f t="shared" ref="AI358:AI360" si="402">IF(AH$360=0,0,AH358/AH$360)</f>
        <v>0</v>
      </c>
      <c r="AJ358" s="97"/>
      <c r="AK358" s="17"/>
      <c r="AL358" s="17"/>
      <c r="AM358" s="17"/>
      <c r="AN358" s="18">
        <f t="shared" si="398"/>
        <v>0</v>
      </c>
      <c r="AO358" s="19">
        <f t="shared" ref="AO358:AO360" si="403">IF(AN$360=0,0,AN358/AN$360)</f>
        <v>0</v>
      </c>
      <c r="AP358" s="97"/>
      <c r="AQ358" s="17"/>
      <c r="AR358" s="17"/>
      <c r="AS358" s="17"/>
      <c r="AT358" s="18">
        <f t="shared" si="399"/>
        <v>0</v>
      </c>
      <c r="AU358" s="19">
        <f t="shared" ref="AU358:AU360" si="404">IF(AT$360=0,0,AT358/AT$360)</f>
        <v>0</v>
      </c>
      <c r="AV358" s="97"/>
      <c r="AW358" s="17"/>
      <c r="AX358" s="17"/>
      <c r="AY358" s="17"/>
      <c r="AZ358" s="18">
        <f t="shared" si="400"/>
        <v>0</v>
      </c>
      <c r="BA358" s="19">
        <f t="shared" ref="BA358:BA360" si="405">IF(AZ$360=0,0,AZ358/AZ$360)</f>
        <v>0</v>
      </c>
    </row>
    <row r="359" spans="1:53" s="4" customFormat="1" ht="17.100000000000001" customHeight="1" x14ac:dyDescent="0.25">
      <c r="A359" s="40"/>
      <c r="B359" s="40"/>
      <c r="C359" s="74" t="s">
        <v>451</v>
      </c>
      <c r="D359" s="85" t="s">
        <v>129</v>
      </c>
      <c r="E359" s="75"/>
      <c r="F359" s="75"/>
      <c r="G359" s="75"/>
      <c r="H359" s="540"/>
      <c r="I359" s="229"/>
      <c r="J359" s="581"/>
      <c r="K359" s="581"/>
      <c r="L359" s="582"/>
      <c r="M359" s="593">
        <f t="shared" si="394"/>
        <v>0</v>
      </c>
      <c r="N359" s="111"/>
      <c r="O359" s="111"/>
      <c r="P359" s="111"/>
      <c r="Q359" s="111"/>
      <c r="R359" s="111"/>
      <c r="S359" s="111"/>
      <c r="T359" s="111"/>
      <c r="U359" s="111"/>
      <c r="V359" s="358"/>
      <c r="W359" s="391">
        <f t="shared" si="395"/>
        <v>0</v>
      </c>
      <c r="X359" s="17">
        <f t="shared" si="396"/>
        <v>0</v>
      </c>
      <c r="Y359" s="18">
        <f>SUM(W359:X359)</f>
        <v>0</v>
      </c>
      <c r="Z359" s="19">
        <f t="shared" si="401"/>
        <v>0</v>
      </c>
      <c r="AA359" s="19"/>
      <c r="AB359" s="19"/>
      <c r="AC359" s="20"/>
      <c r="AE359" s="17"/>
      <c r="AF359" s="17"/>
      <c r="AG359" s="17"/>
      <c r="AH359" s="18">
        <f t="shared" si="397"/>
        <v>0</v>
      </c>
      <c r="AI359" s="19">
        <f t="shared" si="402"/>
        <v>0</v>
      </c>
      <c r="AJ359" s="97"/>
      <c r="AK359" s="17"/>
      <c r="AL359" s="17"/>
      <c r="AM359" s="17"/>
      <c r="AN359" s="18">
        <f t="shared" si="398"/>
        <v>0</v>
      </c>
      <c r="AO359" s="19">
        <f t="shared" si="403"/>
        <v>0</v>
      </c>
      <c r="AP359" s="97"/>
      <c r="AQ359" s="17"/>
      <c r="AR359" s="17"/>
      <c r="AS359" s="17"/>
      <c r="AT359" s="18">
        <f t="shared" si="399"/>
        <v>0</v>
      </c>
      <c r="AU359" s="19">
        <f t="shared" si="404"/>
        <v>0</v>
      </c>
      <c r="AV359" s="97"/>
      <c r="AW359" s="17"/>
      <c r="AX359" s="17"/>
      <c r="AY359" s="17"/>
      <c r="AZ359" s="18">
        <f t="shared" si="400"/>
        <v>0</v>
      </c>
      <c r="BA359" s="19">
        <f t="shared" si="405"/>
        <v>0</v>
      </c>
    </row>
    <row r="360" spans="1:53" s="4" customFormat="1" ht="17.100000000000001" customHeight="1" x14ac:dyDescent="0.25">
      <c r="A360" s="40"/>
      <c r="B360" s="40"/>
      <c r="C360" s="77"/>
      <c r="D360" s="134"/>
      <c r="E360" s="134"/>
      <c r="F360" s="134"/>
      <c r="G360" s="134"/>
      <c r="H360" s="540"/>
      <c r="I360" s="229"/>
      <c r="J360" s="80">
        <f>SUM(J357:J359)</f>
        <v>0</v>
      </c>
      <c r="K360" s="80">
        <f t="shared" ref="K360:M360" si="406">SUM(K357:K359)</f>
        <v>0</v>
      </c>
      <c r="L360" s="80">
        <f t="shared" si="406"/>
        <v>0</v>
      </c>
      <c r="M360" s="80">
        <f t="shared" si="406"/>
        <v>0</v>
      </c>
      <c r="N360" s="81"/>
      <c r="O360" s="81"/>
      <c r="P360" s="81"/>
      <c r="Q360" s="81"/>
      <c r="R360" s="81"/>
      <c r="S360" s="81"/>
      <c r="T360" s="81"/>
      <c r="U360" s="81"/>
      <c r="V360" s="356"/>
      <c r="W360" s="381">
        <f>SUM(W357:W359)</f>
        <v>0</v>
      </c>
      <c r="X360" s="82">
        <f t="shared" ref="X360:Y360" si="407">SUM(X357:X359)</f>
        <v>0</v>
      </c>
      <c r="Y360" s="82">
        <f t="shared" si="407"/>
        <v>0</v>
      </c>
      <c r="Z360" s="205">
        <f t="shared" si="401"/>
        <v>0</v>
      </c>
      <c r="AA360" s="205"/>
      <c r="AB360" s="205"/>
      <c r="AC360" s="83"/>
      <c r="AE360" s="80"/>
      <c r="AF360" s="80"/>
      <c r="AG360" s="81"/>
      <c r="AH360" s="82">
        <f>SUM(AH357:AH359)</f>
        <v>0</v>
      </c>
      <c r="AI360" s="66">
        <f t="shared" si="402"/>
        <v>0</v>
      </c>
      <c r="AJ360" s="97"/>
      <c r="AK360" s="80"/>
      <c r="AL360" s="80"/>
      <c r="AM360" s="81"/>
      <c r="AN360" s="82">
        <f>SUM(AN357:AN359)</f>
        <v>0</v>
      </c>
      <c r="AO360" s="66">
        <f t="shared" si="403"/>
        <v>0</v>
      </c>
      <c r="AP360" s="97"/>
      <c r="AQ360" s="80"/>
      <c r="AR360" s="80"/>
      <c r="AS360" s="81"/>
      <c r="AT360" s="82">
        <f>SUM(AT357:AT359)</f>
        <v>0</v>
      </c>
      <c r="AU360" s="66">
        <f t="shared" si="404"/>
        <v>0</v>
      </c>
      <c r="AV360" s="97"/>
      <c r="AW360" s="80"/>
      <c r="AX360" s="80"/>
      <c r="AY360" s="81"/>
      <c r="AZ360" s="82">
        <f>SUM(AZ357:AZ359)</f>
        <v>0</v>
      </c>
      <c r="BA360" s="66">
        <f t="shared" si="405"/>
        <v>0</v>
      </c>
    </row>
    <row r="361" spans="1:53" s="117" customFormat="1" ht="17.100000000000001" customHeight="1" x14ac:dyDescent="0.25">
      <c r="A361" s="68"/>
      <c r="B361" s="119"/>
      <c r="C361" s="540"/>
      <c r="D361" s="261"/>
      <c r="E361" s="261"/>
      <c r="F361" s="68"/>
      <c r="G361" s="68"/>
      <c r="H361" s="119"/>
      <c r="I361" s="138"/>
      <c r="J361" s="17" t="str">
        <f>IF(J360=J$15,"OK","NOK")</f>
        <v>OK</v>
      </c>
      <c r="K361" s="17" t="str">
        <f t="shared" ref="K361:L361" si="408">IF(K360=K$15,"OK","NOK")</f>
        <v>OK</v>
      </c>
      <c r="L361" s="17" t="str">
        <f t="shared" si="408"/>
        <v>OK</v>
      </c>
      <c r="M361" s="17"/>
      <c r="N361" s="17"/>
      <c r="O361" s="17"/>
      <c r="P361" s="17"/>
      <c r="Q361" s="17"/>
      <c r="R361" s="17"/>
      <c r="S361" s="17"/>
      <c r="T361" s="17"/>
      <c r="U361" s="17"/>
      <c r="V361" s="359"/>
      <c r="W361" s="382"/>
      <c r="X361" s="539"/>
      <c r="Y361" s="539"/>
      <c r="Z361" s="201"/>
      <c r="AA361" s="201"/>
      <c r="AB361" s="201"/>
      <c r="AC361" s="84"/>
      <c r="AE361" s="46"/>
      <c r="AF361" s="46"/>
      <c r="AG361" s="17"/>
      <c r="AH361" s="539"/>
      <c r="AI361" s="91"/>
      <c r="AK361" s="46"/>
      <c r="AL361" s="46"/>
      <c r="AM361" s="17"/>
      <c r="AN361" s="539"/>
      <c r="AO361" s="91"/>
      <c r="AQ361" s="46"/>
      <c r="AR361" s="46"/>
      <c r="AS361" s="17"/>
      <c r="AT361" s="539"/>
      <c r="AU361" s="91"/>
      <c r="AW361" s="46"/>
      <c r="AX361" s="46"/>
      <c r="AY361" s="17"/>
      <c r="AZ361" s="539"/>
      <c r="BA361" s="91"/>
    </row>
    <row r="362" spans="1:53" ht="17.100000000000001" customHeight="1" x14ac:dyDescent="0.25">
      <c r="A362" s="68"/>
      <c r="B362" s="41" t="s">
        <v>452</v>
      </c>
      <c r="C362" s="69" t="s">
        <v>453</v>
      </c>
      <c r="D362" s="50"/>
      <c r="E362" s="70"/>
      <c r="F362" s="70"/>
      <c r="G362" s="70"/>
      <c r="H362" s="243">
        <v>48</v>
      </c>
      <c r="J362" s="71"/>
      <c r="K362" s="71"/>
      <c r="L362" s="71"/>
      <c r="M362" s="71"/>
      <c r="N362" s="71"/>
      <c r="O362" s="71"/>
      <c r="P362" s="71"/>
      <c r="Q362" s="71"/>
      <c r="R362" s="71"/>
      <c r="S362" s="71"/>
      <c r="T362" s="71"/>
      <c r="U362" s="71"/>
      <c r="V362" s="355"/>
      <c r="W362" s="377"/>
      <c r="X362" s="71"/>
      <c r="Y362" s="72"/>
      <c r="Z362" s="73"/>
      <c r="AA362" s="73"/>
      <c r="AB362" s="73"/>
      <c r="AC362" s="73"/>
      <c r="AE362" s="71"/>
      <c r="AF362" s="71"/>
      <c r="AG362" s="71"/>
      <c r="AH362" s="72"/>
      <c r="AI362" s="73"/>
      <c r="AK362" s="71"/>
      <c r="AL362" s="71"/>
      <c r="AM362" s="71"/>
      <c r="AN362" s="72"/>
      <c r="AO362" s="73"/>
      <c r="AQ362" s="71"/>
      <c r="AR362" s="71"/>
      <c r="AS362" s="71"/>
      <c r="AT362" s="72"/>
      <c r="AU362" s="73"/>
      <c r="AW362" s="71"/>
      <c r="AX362" s="71"/>
      <c r="AY362" s="71"/>
      <c r="AZ362" s="72"/>
      <c r="BA362" s="73"/>
    </row>
    <row r="363" spans="1:53" s="4" customFormat="1" ht="17.100000000000001" customHeight="1" x14ac:dyDescent="0.25">
      <c r="A363" s="40"/>
      <c r="B363" s="40"/>
      <c r="C363" s="74" t="s">
        <v>454</v>
      </c>
      <c r="D363" s="85" t="s">
        <v>173</v>
      </c>
      <c r="E363" s="542"/>
      <c r="F363" s="542"/>
      <c r="G363" s="542"/>
      <c r="H363" s="540"/>
      <c r="I363" s="235"/>
      <c r="J363" s="581"/>
      <c r="K363" s="581"/>
      <c r="L363" s="582"/>
      <c r="M363" s="593"/>
      <c r="N363" s="111"/>
      <c r="O363" s="111"/>
      <c r="P363" s="111"/>
      <c r="Q363" s="111"/>
      <c r="R363" s="111"/>
      <c r="S363" s="111"/>
      <c r="T363" s="111"/>
      <c r="U363" s="111"/>
      <c r="V363" s="358"/>
      <c r="W363" s="391">
        <f t="shared" ref="W363:W364" si="409">J363+K363+N363+Q363+T363</f>
        <v>0</v>
      </c>
      <c r="X363" s="17">
        <f t="shared" ref="X363:X364" si="410">L363+O363+R363+U363</f>
        <v>0</v>
      </c>
      <c r="Y363" s="18">
        <f>SUM(W363:X363)</f>
        <v>0</v>
      </c>
      <c r="Z363" s="19">
        <f>IF(Y$370=0,0,Y363/Y$370)</f>
        <v>0</v>
      </c>
      <c r="AA363" s="19"/>
      <c r="AB363" s="19"/>
      <c r="AC363" s="20"/>
      <c r="AE363" s="17"/>
      <c r="AF363" s="17"/>
      <c r="AG363" s="17"/>
      <c r="AH363" s="18">
        <f>J363</f>
        <v>0</v>
      </c>
      <c r="AI363" s="19">
        <f>IF(AH$370=0,0,AH363/AH$370)</f>
        <v>0</v>
      </c>
      <c r="AJ363" s="97"/>
      <c r="AK363" s="17"/>
      <c r="AL363" s="17"/>
      <c r="AM363" s="17"/>
      <c r="AN363" s="18">
        <f>K363</f>
        <v>0</v>
      </c>
      <c r="AO363" s="19">
        <f>IF(AN$370=0,0,AN363/AN$370)</f>
        <v>0</v>
      </c>
      <c r="AP363" s="97"/>
      <c r="AQ363" s="17"/>
      <c r="AR363" s="17"/>
      <c r="AS363" s="17"/>
      <c r="AT363" s="18">
        <f>W363</f>
        <v>0</v>
      </c>
      <c r="AU363" s="19">
        <f>IF(AT$370=0,0,AT363/AT$370)</f>
        <v>0</v>
      </c>
      <c r="AV363" s="97"/>
      <c r="AW363" s="17"/>
      <c r="AX363" s="17"/>
      <c r="AY363" s="17"/>
      <c r="AZ363" s="18">
        <f>X363</f>
        <v>0</v>
      </c>
      <c r="BA363" s="19">
        <f>IF(AZ$370=0,0,AZ363/AZ$370)</f>
        <v>0</v>
      </c>
    </row>
    <row r="364" spans="1:53" s="4" customFormat="1" ht="17.100000000000001" customHeight="1" x14ac:dyDescent="0.25">
      <c r="A364" s="40"/>
      <c r="B364" s="40"/>
      <c r="C364" s="74" t="s">
        <v>455</v>
      </c>
      <c r="D364" s="85" t="s">
        <v>544</v>
      </c>
      <c r="E364" s="542"/>
      <c r="F364" s="542"/>
      <c r="G364" s="542"/>
      <c r="H364" s="540"/>
      <c r="I364" s="235"/>
      <c r="J364" s="583"/>
      <c r="K364" s="583"/>
      <c r="L364" s="584"/>
      <c r="M364" s="593"/>
      <c r="N364" s="111"/>
      <c r="O364" s="111"/>
      <c r="P364" s="111"/>
      <c r="Q364" s="111"/>
      <c r="R364" s="111"/>
      <c r="S364" s="111"/>
      <c r="T364" s="111"/>
      <c r="U364" s="111"/>
      <c r="V364" s="358"/>
      <c r="W364" s="391">
        <f t="shared" si="409"/>
        <v>0</v>
      </c>
      <c r="X364" s="17">
        <f t="shared" si="410"/>
        <v>0</v>
      </c>
      <c r="Y364" s="18">
        <f>SUM(W364:X364)</f>
        <v>0</v>
      </c>
      <c r="Z364" s="19">
        <f>IF(Y$370=0,0,Y364/Y$370)</f>
        <v>0</v>
      </c>
      <c r="AA364" s="19"/>
      <c r="AB364" s="19"/>
      <c r="AC364" s="20"/>
      <c r="AE364" s="17"/>
      <c r="AF364" s="17"/>
      <c r="AG364" s="17"/>
      <c r="AH364" s="18">
        <f t="shared" ref="AH364" si="411">J364</f>
        <v>0</v>
      </c>
      <c r="AI364" s="19">
        <f>IF(AH$370=0,0,AH364/AH$370)</f>
        <v>0</v>
      </c>
      <c r="AJ364" s="97"/>
      <c r="AK364" s="17"/>
      <c r="AL364" s="17"/>
      <c r="AM364" s="17"/>
      <c r="AN364" s="18">
        <f t="shared" ref="AN364" si="412">K364</f>
        <v>0</v>
      </c>
      <c r="AO364" s="19">
        <f>IF(AN$370=0,0,AN364/AN$370)</f>
        <v>0</v>
      </c>
      <c r="AP364" s="97"/>
      <c r="AQ364" s="17"/>
      <c r="AR364" s="17"/>
      <c r="AS364" s="17"/>
      <c r="AT364" s="18">
        <f t="shared" ref="AT364" si="413">W364</f>
        <v>0</v>
      </c>
      <c r="AU364" s="19">
        <f>IF(AT$370=0,0,AT364/AT$370)</f>
        <v>0</v>
      </c>
      <c r="AV364" s="97"/>
      <c r="AW364" s="17"/>
      <c r="AX364" s="17"/>
      <c r="AY364" s="17"/>
      <c r="AZ364" s="18">
        <f>X364</f>
        <v>0</v>
      </c>
      <c r="BA364" s="19">
        <f>IF(AZ$370=0,0,AZ364/AZ$370)</f>
        <v>0</v>
      </c>
    </row>
    <row r="365" spans="1:53" s="4" customFormat="1" ht="17.100000000000001" customHeight="1" x14ac:dyDescent="0.25">
      <c r="A365" s="40"/>
      <c r="B365" s="40"/>
      <c r="C365" s="74" t="s">
        <v>456</v>
      </c>
      <c r="D365" s="146" t="s">
        <v>484</v>
      </c>
      <c r="E365" s="542"/>
      <c r="F365" s="542"/>
      <c r="G365" s="542"/>
      <c r="H365" s="540"/>
      <c r="I365" s="235"/>
      <c r="J365" s="581"/>
      <c r="K365" s="581"/>
      <c r="L365" s="582"/>
      <c r="M365" s="593"/>
      <c r="N365" s="111"/>
      <c r="O365" s="111"/>
      <c r="P365" s="111"/>
      <c r="Q365" s="111"/>
      <c r="R365" s="111"/>
      <c r="S365" s="111"/>
      <c r="T365" s="111"/>
      <c r="U365" s="111"/>
      <c r="V365" s="358"/>
      <c r="W365" s="391">
        <f>MIN(J365:K365)</f>
        <v>0</v>
      </c>
      <c r="X365" s="17">
        <f>L365</f>
        <v>0</v>
      </c>
      <c r="Y365" s="18"/>
      <c r="Z365" s="19"/>
      <c r="AA365" s="17">
        <f>MIN(J365:L365)</f>
        <v>0</v>
      </c>
      <c r="AB365" s="17"/>
      <c r="AC365" s="17"/>
      <c r="AE365" s="17">
        <f>J365</f>
        <v>0</v>
      </c>
      <c r="AF365" s="17"/>
      <c r="AG365" s="17"/>
      <c r="AH365" s="18"/>
      <c r="AI365" s="19"/>
      <c r="AJ365" s="97"/>
      <c r="AK365" s="17">
        <f>K365</f>
        <v>0</v>
      </c>
      <c r="AL365" s="17"/>
      <c r="AM365" s="17"/>
      <c r="AN365" s="18"/>
      <c r="AO365" s="19"/>
      <c r="AP365" s="97"/>
      <c r="AQ365" s="17">
        <f>W365</f>
        <v>0</v>
      </c>
      <c r="AR365" s="17"/>
      <c r="AS365" s="17"/>
      <c r="AT365" s="18"/>
      <c r="AU365" s="19"/>
      <c r="AV365" s="97"/>
      <c r="AW365" s="17">
        <f>L365</f>
        <v>0</v>
      </c>
      <c r="AX365" s="17"/>
      <c r="AY365" s="17"/>
      <c r="AZ365" s="18"/>
      <c r="BA365" s="19"/>
    </row>
    <row r="366" spans="1:53" s="4" customFormat="1" ht="17.100000000000001" customHeight="1" x14ac:dyDescent="0.25">
      <c r="A366" s="40"/>
      <c r="B366" s="40"/>
      <c r="C366" s="74" t="s">
        <v>546</v>
      </c>
      <c r="D366" s="146" t="s">
        <v>485</v>
      </c>
      <c r="E366" s="542"/>
      <c r="F366" s="542"/>
      <c r="G366" s="542"/>
      <c r="H366" s="540"/>
      <c r="I366" s="235"/>
      <c r="J366" s="583"/>
      <c r="K366" s="583"/>
      <c r="L366" s="584"/>
      <c r="M366" s="593"/>
      <c r="N366" s="111"/>
      <c r="O366" s="111"/>
      <c r="P366" s="111"/>
      <c r="Q366" s="111"/>
      <c r="R366" s="111"/>
      <c r="S366" s="111"/>
      <c r="T366" s="111"/>
      <c r="U366" s="111"/>
      <c r="V366" s="358"/>
      <c r="W366" s="391">
        <f>MAX(J366:K366)</f>
        <v>0</v>
      </c>
      <c r="X366" s="17">
        <f t="shared" ref="X366:X367" si="414">L366</f>
        <v>0</v>
      </c>
      <c r="Y366" s="18"/>
      <c r="Z366" s="19"/>
      <c r="AA366" s="17"/>
      <c r="AB366" s="17">
        <f>MAX(J366:L366)</f>
        <v>0</v>
      </c>
      <c r="AC366" s="17"/>
      <c r="AE366" s="17"/>
      <c r="AF366" s="17">
        <f>J366</f>
        <v>0</v>
      </c>
      <c r="AG366" s="17"/>
      <c r="AH366" s="18"/>
      <c r="AI366" s="19"/>
      <c r="AJ366" s="97"/>
      <c r="AK366" s="17"/>
      <c r="AL366" s="17">
        <f>K366</f>
        <v>0</v>
      </c>
      <c r="AM366" s="17"/>
      <c r="AN366" s="18"/>
      <c r="AO366" s="19"/>
      <c r="AP366" s="97"/>
      <c r="AQ366" s="17"/>
      <c r="AR366" s="17">
        <f>W366</f>
        <v>0</v>
      </c>
      <c r="AS366" s="17"/>
      <c r="AT366" s="18"/>
      <c r="AU366" s="19"/>
      <c r="AV366" s="97"/>
      <c r="AW366" s="17"/>
      <c r="AX366" s="17">
        <f>L366</f>
        <v>0</v>
      </c>
      <c r="AY366" s="17"/>
      <c r="AZ366" s="18"/>
      <c r="BA366" s="19"/>
    </row>
    <row r="367" spans="1:53" s="4" customFormat="1" ht="17.100000000000001" customHeight="1" x14ac:dyDescent="0.25">
      <c r="A367" s="40"/>
      <c r="B367" s="40"/>
      <c r="C367" s="74" t="s">
        <v>547</v>
      </c>
      <c r="D367" s="146" t="s">
        <v>543</v>
      </c>
      <c r="E367" s="542"/>
      <c r="F367" s="542"/>
      <c r="G367" s="542"/>
      <c r="H367" s="540"/>
      <c r="I367" s="235"/>
      <c r="J367" s="581"/>
      <c r="K367" s="581"/>
      <c r="L367" s="582"/>
      <c r="M367" s="593"/>
      <c r="N367" s="111"/>
      <c r="O367" s="111"/>
      <c r="P367" s="111"/>
      <c r="Q367" s="111"/>
      <c r="R367" s="111"/>
      <c r="S367" s="111"/>
      <c r="T367" s="111"/>
      <c r="U367" s="111"/>
      <c r="V367" s="358"/>
      <c r="W367" s="391">
        <f>IF(SUM(J367:K367)=0,0,AVERAGE(J367:K367))</f>
        <v>0</v>
      </c>
      <c r="X367" s="17">
        <f t="shared" si="414"/>
        <v>0</v>
      </c>
      <c r="Y367" s="18"/>
      <c r="Z367" s="19"/>
      <c r="AA367" s="17"/>
      <c r="AB367" s="17"/>
      <c r="AC367" s="17">
        <f>IF(SUM(J367:L367)=0,0,AVERAGE(J367:L367))</f>
        <v>0</v>
      </c>
      <c r="AE367" s="17"/>
      <c r="AF367" s="17"/>
      <c r="AG367" s="17">
        <f>J367</f>
        <v>0</v>
      </c>
      <c r="AH367" s="18"/>
      <c r="AI367" s="19"/>
      <c r="AJ367" s="97"/>
      <c r="AK367" s="17"/>
      <c r="AL367" s="17"/>
      <c r="AM367" s="17">
        <f>K367</f>
        <v>0</v>
      </c>
      <c r="AN367" s="18"/>
      <c r="AO367" s="19"/>
      <c r="AP367" s="97"/>
      <c r="AQ367" s="17"/>
      <c r="AR367" s="17"/>
      <c r="AS367" s="17">
        <f>W367</f>
        <v>0</v>
      </c>
      <c r="AT367" s="18"/>
      <c r="AU367" s="19"/>
      <c r="AV367" s="97"/>
      <c r="AW367" s="17"/>
      <c r="AX367" s="17"/>
      <c r="AY367" s="17">
        <f>L367</f>
        <v>0</v>
      </c>
      <c r="AZ367" s="18"/>
      <c r="BA367" s="19"/>
    </row>
    <row r="368" spans="1:53" s="4" customFormat="1" ht="17.100000000000001" customHeight="1" x14ac:dyDescent="0.25">
      <c r="A368" s="40"/>
      <c r="B368" s="40"/>
      <c r="C368" s="74" t="s">
        <v>548</v>
      </c>
      <c r="D368" s="75" t="s">
        <v>129</v>
      </c>
      <c r="E368" s="542"/>
      <c r="F368" s="542"/>
      <c r="G368" s="542"/>
      <c r="H368" s="540"/>
      <c r="I368" s="235"/>
      <c r="J368" s="583"/>
      <c r="K368" s="583"/>
      <c r="L368" s="584"/>
      <c r="M368" s="593"/>
      <c r="N368" s="111"/>
      <c r="O368" s="111"/>
      <c r="P368" s="111"/>
      <c r="Q368" s="111"/>
      <c r="R368" s="111"/>
      <c r="S368" s="111"/>
      <c r="T368" s="111"/>
      <c r="U368" s="111"/>
      <c r="V368" s="358"/>
      <c r="W368" s="391">
        <f t="shared" ref="W368:W369" si="415">J368+K368+N368+Q368+T368</f>
        <v>0</v>
      </c>
      <c r="X368" s="17">
        <f t="shared" ref="X368:X369" si="416">L368+O368+R368+U368</f>
        <v>0</v>
      </c>
      <c r="Y368" s="18">
        <f>SUM(W368:X368)</f>
        <v>0</v>
      </c>
      <c r="Z368" s="19">
        <f>IF(Y$370=0,0,Y368/Y$370)</f>
        <v>0</v>
      </c>
      <c r="AA368" s="19"/>
      <c r="AB368" s="19"/>
      <c r="AC368" s="20"/>
      <c r="AE368" s="17"/>
      <c r="AF368" s="17"/>
      <c r="AG368" s="17"/>
      <c r="AH368" s="18">
        <f t="shared" ref="AH368:AH369" si="417">J368</f>
        <v>0</v>
      </c>
      <c r="AI368" s="19">
        <f>IF(AH$370=0,0,AH368/AH$370)</f>
        <v>0</v>
      </c>
      <c r="AJ368" s="97"/>
      <c r="AK368" s="17"/>
      <c r="AL368" s="17"/>
      <c r="AM368" s="17"/>
      <c r="AN368" s="18">
        <f t="shared" ref="AN368:AN369" si="418">K368</f>
        <v>0</v>
      </c>
      <c r="AO368" s="19">
        <f>IF(AN$370=0,0,AN368/AN$370)</f>
        <v>0</v>
      </c>
      <c r="AP368" s="97"/>
      <c r="AQ368" s="17"/>
      <c r="AR368" s="17"/>
      <c r="AS368" s="17"/>
      <c r="AT368" s="18">
        <f t="shared" ref="AT368:AT369" si="419">W368</f>
        <v>0</v>
      </c>
      <c r="AU368" s="19">
        <f>IF(AT$370=0,0,AT368/AT$370)</f>
        <v>0</v>
      </c>
      <c r="AV368" s="97"/>
      <c r="AW368" s="17"/>
      <c r="AX368" s="17"/>
      <c r="AY368" s="17"/>
      <c r="AZ368" s="18">
        <f>X368</f>
        <v>0</v>
      </c>
      <c r="BA368" s="19">
        <f>IF(AZ$370=0,0,AZ368/AZ$370)</f>
        <v>0</v>
      </c>
    </row>
    <row r="369" spans="1:53" s="4" customFormat="1" ht="17.100000000000001" customHeight="1" x14ac:dyDescent="0.25">
      <c r="A369" s="40"/>
      <c r="B369" s="40"/>
      <c r="C369" s="74" t="s">
        <v>549</v>
      </c>
      <c r="D369" s="75" t="s">
        <v>530</v>
      </c>
      <c r="E369" s="542"/>
      <c r="F369" s="542"/>
      <c r="G369" s="542"/>
      <c r="H369" s="540"/>
      <c r="I369" s="235"/>
      <c r="J369" s="581"/>
      <c r="K369" s="581"/>
      <c r="L369" s="582"/>
      <c r="M369" s="593"/>
      <c r="N369" s="111"/>
      <c r="O369" s="111"/>
      <c r="P369" s="111"/>
      <c r="Q369" s="111"/>
      <c r="R369" s="111"/>
      <c r="S369" s="111"/>
      <c r="T369" s="111"/>
      <c r="U369" s="111"/>
      <c r="V369" s="358"/>
      <c r="W369" s="391">
        <f t="shared" si="415"/>
        <v>0</v>
      </c>
      <c r="X369" s="17">
        <f t="shared" si="416"/>
        <v>0</v>
      </c>
      <c r="Y369" s="18">
        <f>SUM(W369:X369)</f>
        <v>0</v>
      </c>
      <c r="Z369" s="19">
        <f>IF(Y$370=0,0,Y369/Y$370)</f>
        <v>0</v>
      </c>
      <c r="AA369" s="19"/>
      <c r="AB369" s="19"/>
      <c r="AC369" s="20"/>
      <c r="AE369" s="17"/>
      <c r="AF369" s="17"/>
      <c r="AG369" s="17"/>
      <c r="AH369" s="18">
        <f t="shared" si="417"/>
        <v>0</v>
      </c>
      <c r="AI369" s="19">
        <f>IF(AH$370=0,0,AH369/AH$370)</f>
        <v>0</v>
      </c>
      <c r="AJ369" s="97"/>
      <c r="AK369" s="17"/>
      <c r="AL369" s="17"/>
      <c r="AM369" s="17"/>
      <c r="AN369" s="18">
        <f t="shared" si="418"/>
        <v>0</v>
      </c>
      <c r="AO369" s="19">
        <f>IF(AN$370=0,0,AN369/AN$370)</f>
        <v>0</v>
      </c>
      <c r="AP369" s="97"/>
      <c r="AQ369" s="17"/>
      <c r="AR369" s="17"/>
      <c r="AS369" s="17"/>
      <c r="AT369" s="18">
        <f t="shared" si="419"/>
        <v>0</v>
      </c>
      <c r="AU369" s="19">
        <f>IF(AT$370=0,0,AT369/AT$370)</f>
        <v>0</v>
      </c>
      <c r="AV369" s="97"/>
      <c r="AW369" s="17"/>
      <c r="AX369" s="17"/>
      <c r="AY369" s="17"/>
      <c r="AZ369" s="18">
        <f>X369</f>
        <v>0</v>
      </c>
      <c r="BA369" s="19">
        <f>IF(AZ$370=0,0,AZ369/AZ$370)</f>
        <v>0</v>
      </c>
    </row>
    <row r="370" spans="1:53" s="4" customFormat="1" ht="17.100000000000001" customHeight="1" x14ac:dyDescent="0.25">
      <c r="A370" s="40"/>
      <c r="B370" s="40"/>
      <c r="C370" s="77"/>
      <c r="D370" s="134"/>
      <c r="E370" s="134"/>
      <c r="F370" s="134"/>
      <c r="G370" s="134"/>
      <c r="H370" s="540"/>
      <c r="I370" s="229"/>
      <c r="J370" s="80">
        <f>J363+J364+J368+J369</f>
        <v>0</v>
      </c>
      <c r="K370" s="80">
        <f t="shared" ref="K370:M370" si="420">K363+K364+K368+K369</f>
        <v>0</v>
      </c>
      <c r="L370" s="80">
        <f t="shared" si="420"/>
        <v>0</v>
      </c>
      <c r="M370" s="80">
        <f t="shared" si="420"/>
        <v>0</v>
      </c>
      <c r="N370" s="81"/>
      <c r="O370" s="81"/>
      <c r="P370" s="81"/>
      <c r="Q370" s="81"/>
      <c r="R370" s="81"/>
      <c r="S370" s="81"/>
      <c r="T370" s="81"/>
      <c r="U370" s="81"/>
      <c r="V370" s="356"/>
      <c r="W370" s="381">
        <f>W363+W364+W368+W369</f>
        <v>0</v>
      </c>
      <c r="X370" s="82">
        <f>X363+X364+X368+X369</f>
        <v>0</v>
      </c>
      <c r="Y370" s="82">
        <f t="shared" ref="Y370" si="421">SUM(Y363:Y369)</f>
        <v>0</v>
      </c>
      <c r="Z370" s="205">
        <f>IF(Y$370=0,0,Y370/Y$370)</f>
        <v>0</v>
      </c>
      <c r="AA370" s="205"/>
      <c r="AB370" s="205"/>
      <c r="AC370" s="83"/>
      <c r="AE370" s="80"/>
      <c r="AF370" s="80"/>
      <c r="AG370" s="81"/>
      <c r="AH370" s="82">
        <f>SUM(AH363:AH369)</f>
        <v>0</v>
      </c>
      <c r="AI370" s="66">
        <f>IF(AH$370=0,0,AH370/AH$370)</f>
        <v>0</v>
      </c>
      <c r="AJ370" s="97"/>
      <c r="AK370" s="80"/>
      <c r="AL370" s="80"/>
      <c r="AM370" s="81"/>
      <c r="AN370" s="82">
        <f>SUM(AN363:AN369)</f>
        <v>0</v>
      </c>
      <c r="AO370" s="66">
        <f>IF(AN$370=0,0,AN370/AN$370)</f>
        <v>0</v>
      </c>
      <c r="AP370" s="97"/>
      <c r="AQ370" s="80"/>
      <c r="AR370" s="80"/>
      <c r="AS370" s="81"/>
      <c r="AT370" s="82">
        <f>SUM(AT363:AT369)</f>
        <v>0</v>
      </c>
      <c r="AU370" s="66">
        <f>IF(AT$370=0,0,AT370/AT$370)</f>
        <v>0</v>
      </c>
      <c r="AV370" s="97"/>
      <c r="AW370" s="80"/>
      <c r="AX370" s="80"/>
      <c r="AY370" s="81"/>
      <c r="AZ370" s="82">
        <f>SUM(AZ363:AZ369)</f>
        <v>0</v>
      </c>
      <c r="BA370" s="66">
        <f>IF(AZ$370=0,0,AZ370/AZ$370)</f>
        <v>0</v>
      </c>
    </row>
    <row r="371" spans="1:53" s="117" customFormat="1" ht="17.100000000000001" customHeight="1" x14ac:dyDescent="0.25">
      <c r="A371" s="68"/>
      <c r="B371" s="119"/>
      <c r="C371" s="540"/>
      <c r="D371" s="261"/>
      <c r="E371" s="261"/>
      <c r="F371" s="68"/>
      <c r="G371" s="68"/>
      <c r="H371" s="119"/>
      <c r="I371" s="138"/>
      <c r="J371" s="17" t="str">
        <f>IF(J370=J$357,"OK","NOK")</f>
        <v>OK</v>
      </c>
      <c r="K371" s="17" t="str">
        <f t="shared" ref="K371:L371" si="422">IF(K370=K$357,"OK","NOK")</f>
        <v>OK</v>
      </c>
      <c r="L371" s="17" t="str">
        <f t="shared" si="422"/>
        <v>OK</v>
      </c>
      <c r="M371" s="17"/>
      <c r="N371" s="17"/>
      <c r="O371" s="17"/>
      <c r="P371" s="17"/>
      <c r="Q371" s="17"/>
      <c r="R371" s="17"/>
      <c r="S371" s="17"/>
      <c r="T371" s="17"/>
      <c r="U371" s="17"/>
      <c r="V371" s="359"/>
      <c r="W371" s="382"/>
      <c r="X371" s="539"/>
      <c r="Y371" s="539"/>
      <c r="Z371" s="19"/>
      <c r="AA371" s="201"/>
      <c r="AB371" s="201"/>
      <c r="AC371" s="84"/>
      <c r="AE371" s="46"/>
      <c r="AF371" s="46"/>
      <c r="AG371" s="17"/>
      <c r="AH371" s="539"/>
      <c r="AI371" s="91"/>
      <c r="AK371" s="46"/>
      <c r="AL371" s="46"/>
      <c r="AM371" s="17"/>
      <c r="AN371" s="539"/>
      <c r="AO371" s="91"/>
      <c r="AQ371" s="46"/>
      <c r="AR371" s="46"/>
      <c r="AS371" s="17"/>
      <c r="AT371" s="539"/>
      <c r="AU371" s="91"/>
      <c r="AW371" s="46"/>
      <c r="AX371" s="46"/>
      <c r="AY371" s="17"/>
      <c r="AZ371" s="539"/>
      <c r="BA371" s="91"/>
    </row>
    <row r="372" spans="1:53" ht="17.100000000000001" customHeight="1" x14ac:dyDescent="0.25">
      <c r="A372" s="68"/>
      <c r="B372" s="41" t="s">
        <v>1058</v>
      </c>
      <c r="C372" s="69" t="s">
        <v>12</v>
      </c>
      <c r="D372" s="50"/>
      <c r="E372" s="70"/>
      <c r="F372" s="70"/>
      <c r="G372" s="70"/>
      <c r="H372" s="119"/>
      <c r="J372" s="71"/>
      <c r="K372" s="71"/>
      <c r="L372" s="71"/>
      <c r="M372" s="71"/>
      <c r="N372" s="71"/>
      <c r="O372" s="71"/>
      <c r="P372" s="71"/>
      <c r="Q372" s="71"/>
      <c r="R372" s="71"/>
      <c r="S372" s="71"/>
      <c r="T372" s="71"/>
      <c r="U372" s="71"/>
      <c r="V372" s="355"/>
      <c r="W372" s="377"/>
      <c r="X372" s="71"/>
      <c r="Y372" s="72"/>
      <c r="Z372" s="73"/>
      <c r="AA372" s="73"/>
      <c r="AB372" s="73"/>
      <c r="AC372" s="73"/>
      <c r="AE372" s="71"/>
      <c r="AF372" s="71"/>
      <c r="AG372" s="71"/>
      <c r="AH372" s="72"/>
      <c r="AI372" s="73"/>
      <c r="AK372" s="71"/>
      <c r="AL372" s="71"/>
      <c r="AM372" s="71"/>
      <c r="AN372" s="72"/>
      <c r="AO372" s="73"/>
      <c r="AQ372" s="71"/>
      <c r="AR372" s="71"/>
      <c r="AS372" s="71"/>
      <c r="AT372" s="72"/>
      <c r="AU372" s="73"/>
      <c r="AW372" s="71"/>
      <c r="AX372" s="71"/>
      <c r="AY372" s="71"/>
      <c r="AZ372" s="72"/>
      <c r="BA372" s="73"/>
    </row>
    <row r="373" spans="1:53" s="97" customFormat="1" ht="17.100000000000001" customHeight="1" x14ac:dyDescent="0.25">
      <c r="A373" s="138"/>
      <c r="B373" s="138"/>
      <c r="C373" s="139"/>
      <c r="D373" s="12"/>
      <c r="E373" s="12"/>
      <c r="F373" s="93"/>
      <c r="G373" s="93"/>
      <c r="H373" s="92"/>
      <c r="I373" s="12"/>
      <c r="J373" s="95"/>
      <c r="K373" s="95"/>
      <c r="L373" s="95"/>
      <c r="M373" s="95"/>
      <c r="N373" s="95"/>
      <c r="O373" s="95"/>
      <c r="P373" s="95"/>
      <c r="Q373" s="95"/>
      <c r="R373" s="95"/>
      <c r="S373" s="95"/>
      <c r="T373" s="95"/>
      <c r="U373" s="95"/>
      <c r="V373" s="95"/>
      <c r="W373" s="378"/>
      <c r="X373" s="95"/>
      <c r="Y373" s="96"/>
      <c r="AE373" s="109"/>
      <c r="AF373" s="109"/>
      <c r="AG373" s="109"/>
      <c r="AH373" s="96"/>
      <c r="AK373" s="109"/>
      <c r="AL373" s="109"/>
      <c r="AM373" s="109"/>
      <c r="AN373" s="96"/>
      <c r="AQ373" s="109"/>
      <c r="AR373" s="109"/>
      <c r="AS373" s="109"/>
      <c r="AT373" s="96"/>
      <c r="AW373" s="109"/>
      <c r="AX373" s="109"/>
      <c r="AY373" s="109"/>
      <c r="AZ373" s="96"/>
    </row>
    <row r="374" spans="1:53" s="32" customFormat="1" ht="16.5" thickBot="1" x14ac:dyDescent="0.3">
      <c r="A374" s="24" t="s">
        <v>183</v>
      </c>
      <c r="B374" s="25" t="s">
        <v>184</v>
      </c>
      <c r="C374" s="26"/>
      <c r="D374" s="27"/>
      <c r="E374" s="27"/>
      <c r="F374" s="27"/>
      <c r="G374" s="27"/>
      <c r="H374" s="266"/>
      <c r="I374" s="228"/>
      <c r="J374" s="140"/>
      <c r="K374" s="140"/>
      <c r="L374" s="140"/>
      <c r="M374" s="140"/>
      <c r="N374" s="140"/>
      <c r="O374" s="140"/>
      <c r="P374" s="140"/>
      <c r="Q374" s="140"/>
      <c r="R374" s="140"/>
      <c r="S374" s="140"/>
      <c r="T374" s="140"/>
      <c r="U374" s="140"/>
      <c r="V374" s="365"/>
      <c r="W374" s="379"/>
      <c r="X374" s="140"/>
      <c r="Y374" s="30" t="s">
        <v>4</v>
      </c>
      <c r="Z374" s="30" t="s">
        <v>5</v>
      </c>
      <c r="AA374" s="30"/>
      <c r="AB374" s="30"/>
      <c r="AC374" s="29"/>
      <c r="AE374" s="33" t="s">
        <v>181</v>
      </c>
      <c r="AF374" s="33" t="s">
        <v>182</v>
      </c>
      <c r="AG374" s="33" t="s">
        <v>6</v>
      </c>
      <c r="AH374" s="33" t="s">
        <v>4</v>
      </c>
      <c r="AI374" s="34" t="s">
        <v>5</v>
      </c>
      <c r="AJ374" s="408"/>
      <c r="AK374" s="36" t="s">
        <v>181</v>
      </c>
      <c r="AL374" s="36" t="s">
        <v>182</v>
      </c>
      <c r="AM374" s="36" t="s">
        <v>6</v>
      </c>
      <c r="AN374" s="36" t="s">
        <v>4</v>
      </c>
      <c r="AO374" s="37" t="s">
        <v>5</v>
      </c>
      <c r="AP374" s="408"/>
      <c r="AQ374" s="36"/>
      <c r="AR374" s="36"/>
      <c r="AS374" s="36"/>
      <c r="AT374" s="36"/>
      <c r="AU374" s="37"/>
      <c r="AV374" s="408"/>
      <c r="AW374" s="38" t="s">
        <v>181</v>
      </c>
      <c r="AX374" s="38" t="s">
        <v>182</v>
      </c>
      <c r="AY374" s="38" t="s">
        <v>6</v>
      </c>
      <c r="AZ374" s="38" t="s">
        <v>4</v>
      </c>
      <c r="BA374" s="39" t="s">
        <v>5</v>
      </c>
    </row>
    <row r="375" spans="1:53" ht="17.100000000000001" customHeight="1" x14ac:dyDescent="0.25">
      <c r="A375" s="68"/>
      <c r="B375" s="41" t="s">
        <v>185</v>
      </c>
      <c r="C375" s="69" t="s">
        <v>186</v>
      </c>
      <c r="D375" s="50"/>
      <c r="E375" s="70"/>
      <c r="F375" s="265"/>
      <c r="G375" s="265"/>
      <c r="H375" s="253"/>
      <c r="J375" s="71"/>
      <c r="K375" s="71"/>
      <c r="L375" s="71"/>
      <c r="M375" s="71"/>
      <c r="N375" s="71"/>
      <c r="O375" s="71"/>
      <c r="P375" s="71"/>
      <c r="Q375" s="71"/>
      <c r="R375" s="71"/>
      <c r="S375" s="71"/>
      <c r="T375" s="71"/>
      <c r="U375" s="71"/>
      <c r="V375" s="355"/>
      <c r="W375" s="377"/>
      <c r="X375" s="71"/>
      <c r="Y375" s="72"/>
      <c r="Z375" s="73"/>
      <c r="AA375" s="73"/>
      <c r="AB375" s="73"/>
      <c r="AC375" s="73"/>
      <c r="AE375" s="71"/>
      <c r="AF375" s="71"/>
      <c r="AG375" s="71"/>
      <c r="AH375" s="72"/>
      <c r="AI375" s="73"/>
      <c r="AK375" s="71"/>
      <c r="AL375" s="71"/>
      <c r="AM375" s="71"/>
      <c r="AN375" s="72"/>
      <c r="AO375" s="73"/>
      <c r="AQ375" s="71"/>
      <c r="AR375" s="71"/>
      <c r="AS375" s="71"/>
      <c r="AT375" s="72"/>
      <c r="AU375" s="73"/>
      <c r="AW375" s="71"/>
      <c r="AX375" s="71"/>
      <c r="AY375" s="71"/>
      <c r="AZ375" s="72"/>
      <c r="BA375" s="73"/>
    </row>
    <row r="376" spans="1:53" ht="17.100000000000001" customHeight="1" x14ac:dyDescent="0.25">
      <c r="A376" s="40"/>
      <c r="B376" s="40"/>
      <c r="C376" s="74" t="s">
        <v>187</v>
      </c>
      <c r="D376" s="75" t="s">
        <v>129</v>
      </c>
      <c r="E376" s="105"/>
      <c r="F376" s="105"/>
      <c r="G376" s="105"/>
      <c r="H376" s="119"/>
      <c r="I376" s="231"/>
      <c r="J376" s="111"/>
      <c r="K376" s="111"/>
      <c r="L376" s="111"/>
      <c r="M376" s="111"/>
      <c r="N376" s="60"/>
      <c r="O376" s="60"/>
      <c r="P376" s="17">
        <f>SUM(N376:O376)</f>
        <v>0</v>
      </c>
      <c r="Q376" s="60"/>
      <c r="R376" s="60"/>
      <c r="S376" s="17">
        <f>SUM(Q376:R376)</f>
        <v>0</v>
      </c>
      <c r="T376" s="60"/>
      <c r="U376" s="60"/>
      <c r="V376" s="359">
        <f>SUM(T376:U376)</f>
        <v>0</v>
      </c>
      <c r="W376" s="391">
        <f t="shared" ref="W376:W378" si="423">J376+K376+N376+Q376+T376</f>
        <v>0</v>
      </c>
      <c r="X376" s="17">
        <f t="shared" ref="X376:X378" si="424">L376+O376+R376+U376</f>
        <v>0</v>
      </c>
      <c r="Y376" s="18">
        <f>SUM(W376:X376)</f>
        <v>0</v>
      </c>
      <c r="Z376" s="19">
        <f>IF(Y$379=0,0,Y376/Y$379)</f>
        <v>0</v>
      </c>
      <c r="AA376" s="19"/>
      <c r="AB376" s="19"/>
      <c r="AC376" s="17"/>
      <c r="AE376" s="111"/>
      <c r="AF376" s="111"/>
      <c r="AG376" s="111"/>
      <c r="AH376" s="112"/>
      <c r="AI376" s="113"/>
      <c r="AK376" s="111"/>
      <c r="AL376" s="111"/>
      <c r="AM376" s="111"/>
      <c r="AN376" s="112"/>
      <c r="AO376" s="113"/>
      <c r="AQ376" s="17"/>
      <c r="AR376" s="17"/>
      <c r="AS376" s="17"/>
      <c r="AT376" s="18">
        <f t="shared" ref="AT376:AT378" si="425">W376</f>
        <v>0</v>
      </c>
      <c r="AU376" s="19">
        <f>IF(AT$379=0,0,AT376/AT$379)</f>
        <v>0</v>
      </c>
      <c r="AW376" s="17"/>
      <c r="AX376" s="17"/>
      <c r="AY376" s="17"/>
      <c r="AZ376" s="18">
        <f t="shared" ref="AZ376:AZ378" si="426">X376</f>
        <v>0</v>
      </c>
      <c r="BA376" s="19">
        <f>IF(AZ$379=0,0,AZ376/AZ$379)</f>
        <v>0</v>
      </c>
    </row>
    <row r="377" spans="1:53" ht="17.100000000000001" customHeight="1" x14ac:dyDescent="0.25">
      <c r="A377" s="40"/>
      <c r="B377" s="40"/>
      <c r="C377" s="74" t="s">
        <v>188</v>
      </c>
      <c r="D377" s="85" t="s">
        <v>189</v>
      </c>
      <c r="E377" s="75"/>
      <c r="F377" s="75"/>
      <c r="G377" s="75"/>
      <c r="H377" s="540"/>
      <c r="I377" s="229"/>
      <c r="J377" s="111"/>
      <c r="K377" s="111"/>
      <c r="L377" s="111"/>
      <c r="M377" s="111"/>
      <c r="N377" s="61"/>
      <c r="O377" s="61">
        <v>9</v>
      </c>
      <c r="P377" s="17">
        <f t="shared" ref="P377:P378" si="427">SUM(N377:O377)</f>
        <v>9</v>
      </c>
      <c r="Q377" s="61"/>
      <c r="R377" s="61"/>
      <c r="S377" s="17">
        <f t="shared" ref="S377:S378" si="428">SUM(Q377:R377)</f>
        <v>0</v>
      </c>
      <c r="T377" s="61"/>
      <c r="U377" s="61"/>
      <c r="V377" s="359">
        <f t="shared" ref="V377:V378" si="429">SUM(T377:U377)</f>
        <v>0</v>
      </c>
      <c r="W377" s="391">
        <f t="shared" si="423"/>
        <v>0</v>
      </c>
      <c r="X377" s="17">
        <f t="shared" si="424"/>
        <v>9</v>
      </c>
      <c r="Y377" s="18">
        <f>SUM(W377:X377)</f>
        <v>9</v>
      </c>
      <c r="Z377" s="19">
        <f t="shared" ref="Z377:Z379" si="430">IF(Y$379=0,0,Y377/Y$379)</f>
        <v>1</v>
      </c>
      <c r="AA377" s="19"/>
      <c r="AB377" s="19"/>
      <c r="AC377" s="17"/>
      <c r="AE377" s="111"/>
      <c r="AF377" s="111"/>
      <c r="AG377" s="111"/>
      <c r="AH377" s="112"/>
      <c r="AI377" s="113"/>
      <c r="AK377" s="111"/>
      <c r="AL377" s="111"/>
      <c r="AM377" s="111"/>
      <c r="AN377" s="112"/>
      <c r="AO377" s="113"/>
      <c r="AQ377" s="17"/>
      <c r="AR377" s="17"/>
      <c r="AS377" s="17"/>
      <c r="AT377" s="18">
        <f t="shared" si="425"/>
        <v>0</v>
      </c>
      <c r="AU377" s="19">
        <f t="shared" ref="AU377:AU379" si="431">IF(AT$379=0,0,AT377/AT$379)</f>
        <v>0</v>
      </c>
      <c r="AW377" s="17"/>
      <c r="AX377" s="17"/>
      <c r="AY377" s="17"/>
      <c r="AZ377" s="18">
        <f t="shared" si="426"/>
        <v>9</v>
      </c>
      <c r="BA377" s="19">
        <f t="shared" ref="BA377:BA379" si="432">IF(AZ$379=0,0,AZ377/AZ$379)</f>
        <v>1</v>
      </c>
    </row>
    <row r="378" spans="1:53" ht="17.100000000000001" customHeight="1" x14ac:dyDescent="0.25">
      <c r="A378" s="40"/>
      <c r="B378" s="40"/>
      <c r="C378" s="74" t="s">
        <v>190</v>
      </c>
      <c r="D378" s="146" t="s">
        <v>494</v>
      </c>
      <c r="E378" s="75"/>
      <c r="F378" s="75"/>
      <c r="G378" s="75"/>
      <c r="H378" s="540"/>
      <c r="I378" s="229"/>
      <c r="J378" s="111"/>
      <c r="K378" s="111"/>
      <c r="L378" s="111"/>
      <c r="M378" s="111"/>
      <c r="N378" s="60"/>
      <c r="O378" s="60"/>
      <c r="P378" s="17">
        <f t="shared" si="427"/>
        <v>0</v>
      </c>
      <c r="Q378" s="60"/>
      <c r="R378" s="60"/>
      <c r="S378" s="17">
        <f t="shared" si="428"/>
        <v>0</v>
      </c>
      <c r="T378" s="60"/>
      <c r="U378" s="60"/>
      <c r="V378" s="359">
        <f t="shared" si="429"/>
        <v>0</v>
      </c>
      <c r="W378" s="391">
        <f t="shared" si="423"/>
        <v>0</v>
      </c>
      <c r="X378" s="17">
        <f t="shared" si="424"/>
        <v>0</v>
      </c>
      <c r="Y378" s="18">
        <f>SUM(W378:X378)</f>
        <v>0</v>
      </c>
      <c r="Z378" s="19">
        <f t="shared" si="430"/>
        <v>0</v>
      </c>
      <c r="AA378" s="19"/>
      <c r="AB378" s="19"/>
      <c r="AC378" s="17"/>
      <c r="AE378" s="111"/>
      <c r="AF378" s="111"/>
      <c r="AG378" s="111"/>
      <c r="AH378" s="112"/>
      <c r="AI378" s="113"/>
      <c r="AK378" s="111"/>
      <c r="AL378" s="111"/>
      <c r="AM378" s="111"/>
      <c r="AN378" s="112"/>
      <c r="AO378" s="113"/>
      <c r="AQ378" s="17"/>
      <c r="AR378" s="17"/>
      <c r="AS378" s="17"/>
      <c r="AT378" s="18">
        <f t="shared" si="425"/>
        <v>0</v>
      </c>
      <c r="AU378" s="19">
        <f t="shared" si="431"/>
        <v>0</v>
      </c>
      <c r="AW378" s="17"/>
      <c r="AX378" s="17"/>
      <c r="AY378" s="17"/>
      <c r="AZ378" s="18">
        <f t="shared" si="426"/>
        <v>0</v>
      </c>
      <c r="BA378" s="19">
        <f t="shared" si="432"/>
        <v>0</v>
      </c>
    </row>
    <row r="379" spans="1:53" ht="17.100000000000001" customHeight="1" x14ac:dyDescent="0.25">
      <c r="A379" s="40"/>
      <c r="B379" s="40"/>
      <c r="C379" s="77"/>
      <c r="D379" s="134"/>
      <c r="E379" s="134"/>
      <c r="F379" s="134"/>
      <c r="G379" s="134"/>
      <c r="H379" s="540"/>
      <c r="I379" s="229"/>
      <c r="J379" s="64"/>
      <c r="K379" s="64"/>
      <c r="L379" s="81"/>
      <c r="M379" s="81"/>
      <c r="N379" s="81">
        <f>SUM(N376:N378)</f>
        <v>0</v>
      </c>
      <c r="O379" s="81">
        <f t="shared" ref="O379:V379" si="433">SUM(O376:O378)</f>
        <v>9</v>
      </c>
      <c r="P379" s="81">
        <f t="shared" si="433"/>
        <v>9</v>
      </c>
      <c r="Q379" s="81">
        <f t="shared" si="433"/>
        <v>0</v>
      </c>
      <c r="R379" s="81">
        <f t="shared" si="433"/>
        <v>0</v>
      </c>
      <c r="S379" s="81">
        <f t="shared" si="433"/>
        <v>0</v>
      </c>
      <c r="T379" s="81">
        <f t="shared" si="433"/>
        <v>0</v>
      </c>
      <c r="U379" s="81">
        <f t="shared" si="433"/>
        <v>0</v>
      </c>
      <c r="V379" s="81">
        <f t="shared" si="433"/>
        <v>0</v>
      </c>
      <c r="W379" s="381">
        <f>SUM(W376:W378)</f>
        <v>0</v>
      </c>
      <c r="X379" s="82">
        <f t="shared" ref="X379:Y379" si="434">SUM(X376:X378)</f>
        <v>9</v>
      </c>
      <c r="Y379" s="82">
        <f t="shared" si="434"/>
        <v>9</v>
      </c>
      <c r="Z379" s="205">
        <f t="shared" si="430"/>
        <v>1</v>
      </c>
      <c r="AA379" s="205"/>
      <c r="AB379" s="205"/>
      <c r="AC379" s="83"/>
      <c r="AE379" s="80"/>
      <c r="AF379" s="80"/>
      <c r="AG379" s="81"/>
      <c r="AH379" s="82"/>
      <c r="AI379" s="66"/>
      <c r="AK379" s="80"/>
      <c r="AL379" s="80"/>
      <c r="AM379" s="81"/>
      <c r="AN379" s="82"/>
      <c r="AO379" s="66"/>
      <c r="AQ379" s="80"/>
      <c r="AR379" s="80"/>
      <c r="AS379" s="81"/>
      <c r="AT379" s="82">
        <f>SUM(AT376:AT378)</f>
        <v>0</v>
      </c>
      <c r="AU379" s="66">
        <f t="shared" si="431"/>
        <v>0</v>
      </c>
      <c r="AW379" s="80"/>
      <c r="AX379" s="80"/>
      <c r="AY379" s="81"/>
      <c r="AZ379" s="82">
        <f>SUM(AZ376:AZ378)</f>
        <v>9</v>
      </c>
      <c r="BA379" s="66">
        <f t="shared" si="432"/>
        <v>1</v>
      </c>
    </row>
    <row r="380" spans="1:53" s="117" customFormat="1" ht="17.100000000000001" customHeight="1" x14ac:dyDescent="0.25">
      <c r="A380" s="68"/>
      <c r="B380" s="119"/>
      <c r="C380" s="540"/>
      <c r="D380" s="261"/>
      <c r="E380" s="261"/>
      <c r="F380" s="68"/>
      <c r="G380" s="68"/>
      <c r="H380" s="119"/>
      <c r="I380" s="138"/>
      <c r="J380" s="17"/>
      <c r="K380" s="17"/>
      <c r="L380" s="17"/>
      <c r="M380" s="17"/>
      <c r="N380" s="17" t="str">
        <f>IF(N379=N$20,"OK","NOK")</f>
        <v>OK</v>
      </c>
      <c r="O380" s="17" t="str">
        <f>IF(O379=O$20,"OK","NOK")</f>
        <v>OK</v>
      </c>
      <c r="P380" s="17"/>
      <c r="Q380" s="17" t="str">
        <f>IF(Q379=Q$20,"OK","NOK")</f>
        <v>OK</v>
      </c>
      <c r="R380" s="17" t="str">
        <f>IF(R379=R$20,"OK","NOK")</f>
        <v>OK</v>
      </c>
      <c r="S380" s="17"/>
      <c r="T380" s="17" t="str">
        <f>IF(T379=T$20,"OK","NOK")</f>
        <v>OK</v>
      </c>
      <c r="U380" s="17" t="str">
        <f>IF(U379=U$20,"OK","NOK")</f>
        <v>OK</v>
      </c>
      <c r="V380" s="359"/>
      <c r="W380" s="382"/>
      <c r="X380" s="539"/>
      <c r="Y380" s="539"/>
      <c r="Z380" s="201"/>
      <c r="AA380" s="201"/>
      <c r="AB380" s="201"/>
      <c r="AC380" s="84"/>
      <c r="AE380" s="46"/>
      <c r="AF380" s="46"/>
      <c r="AG380" s="17"/>
      <c r="AH380" s="539"/>
      <c r="AI380" s="91"/>
      <c r="AK380" s="46"/>
      <c r="AL380" s="46"/>
      <c r="AM380" s="17"/>
      <c r="AN380" s="539"/>
      <c r="AO380" s="91"/>
      <c r="AQ380" s="46"/>
      <c r="AR380" s="46"/>
      <c r="AS380" s="17"/>
      <c r="AT380" s="539"/>
      <c r="AU380" s="91"/>
      <c r="AW380" s="46"/>
      <c r="AX380" s="46"/>
      <c r="AY380" s="17"/>
      <c r="AZ380" s="539"/>
      <c r="BA380" s="91"/>
    </row>
    <row r="381" spans="1:53" ht="17.100000000000001" customHeight="1" x14ac:dyDescent="0.25">
      <c r="A381" s="40"/>
      <c r="B381" s="40"/>
      <c r="C381" s="40"/>
      <c r="D381" s="146" t="s">
        <v>472</v>
      </c>
      <c r="E381" s="75"/>
      <c r="F381" s="75"/>
      <c r="G381" s="75"/>
      <c r="H381" s="74"/>
      <c r="I381" s="229"/>
      <c r="J381" s="174"/>
      <c r="K381" s="174"/>
      <c r="L381" s="111"/>
      <c r="M381" s="111"/>
      <c r="N381" s="111"/>
      <c r="O381" s="111"/>
      <c r="P381" s="111"/>
      <c r="Q381" s="111"/>
      <c r="R381" s="111"/>
      <c r="S381" s="111"/>
      <c r="T381" s="111"/>
      <c r="U381" s="111"/>
      <c r="V381" s="358"/>
      <c r="W381" s="385"/>
      <c r="X381" s="545"/>
      <c r="Y381" s="545"/>
      <c r="Z381" s="172"/>
      <c r="AA381" s="172"/>
      <c r="AB381" s="172"/>
      <c r="AC381" s="113"/>
      <c r="AE381" s="152"/>
      <c r="AF381" s="152"/>
      <c r="AG381" s="111"/>
      <c r="AH381" s="545"/>
      <c r="AI381" s="131"/>
      <c r="AK381" s="152"/>
      <c r="AL381" s="152"/>
      <c r="AM381" s="111"/>
      <c r="AN381" s="545"/>
      <c r="AO381" s="131"/>
      <c r="AQ381" s="152"/>
      <c r="AR381" s="152"/>
      <c r="AS381" s="111"/>
      <c r="AT381" s="545"/>
      <c r="AU381" s="131"/>
      <c r="AW381" s="152"/>
      <c r="AX381" s="152"/>
      <c r="AY381" s="111"/>
      <c r="AZ381" s="545"/>
      <c r="BA381" s="131"/>
    </row>
    <row r="382" spans="1:53" ht="17.100000000000001" customHeight="1" x14ac:dyDescent="0.25">
      <c r="A382" s="40"/>
      <c r="B382" s="40"/>
      <c r="C382" s="40"/>
      <c r="D382" s="74" t="s">
        <v>191</v>
      </c>
      <c r="E382" s="1398" t="s">
        <v>471</v>
      </c>
      <c r="F382" s="1399"/>
      <c r="G382" s="1399"/>
      <c r="H382" s="242"/>
      <c r="I382" s="230"/>
      <c r="J382" s="111"/>
      <c r="K382" s="111"/>
      <c r="L382" s="111"/>
      <c r="M382" s="111"/>
      <c r="N382" s="60"/>
      <c r="O382" s="60"/>
      <c r="P382" s="17">
        <f>SUM(N382:O382)</f>
        <v>0</v>
      </c>
      <c r="Q382" s="60"/>
      <c r="R382" s="60"/>
      <c r="S382" s="17">
        <f>SUM(Q382:R382)</f>
        <v>0</v>
      </c>
      <c r="T382" s="60"/>
      <c r="U382" s="60"/>
      <c r="V382" s="359">
        <f>SUM(T382:U382)</f>
        <v>0</v>
      </c>
      <c r="W382" s="391">
        <f t="shared" ref="W382:W395" si="435">J382+K382+N382+Q382+T382</f>
        <v>0</v>
      </c>
      <c r="X382" s="17">
        <f t="shared" ref="X382:X395" si="436">L382+O382+R382+U382</f>
        <v>0</v>
      </c>
      <c r="Y382" s="18">
        <f t="shared" ref="Y382:Y395" si="437">SUM(W382:X382)</f>
        <v>0</v>
      </c>
      <c r="Z382" s="19">
        <f t="shared" ref="Z382:Z395" si="438">IF(Y$400=0,0,Y382/Y$400)</f>
        <v>0</v>
      </c>
      <c r="AA382" s="19"/>
      <c r="AB382" s="19"/>
      <c r="AC382" s="20"/>
      <c r="AE382" s="111"/>
      <c r="AF382" s="111"/>
      <c r="AG382" s="111"/>
      <c r="AH382" s="112"/>
      <c r="AI382" s="113"/>
      <c r="AK382" s="111"/>
      <c r="AL382" s="111"/>
      <c r="AM382" s="111"/>
      <c r="AN382" s="112"/>
      <c r="AO382" s="113"/>
      <c r="AQ382" s="17"/>
      <c r="AR382" s="17"/>
      <c r="AS382" s="17"/>
      <c r="AT382" s="18">
        <f t="shared" ref="AT382:AT395" si="439">W382</f>
        <v>0</v>
      </c>
      <c r="AU382" s="19">
        <f t="shared" ref="AU382:AU395" si="440">IF(AT$400=0,0,AT382/AT$400)</f>
        <v>0</v>
      </c>
      <c r="AW382" s="17"/>
      <c r="AX382" s="17"/>
      <c r="AY382" s="17"/>
      <c r="AZ382" s="18">
        <f t="shared" ref="AZ382:AZ395" si="441">X382</f>
        <v>0</v>
      </c>
      <c r="BA382" s="19">
        <f t="shared" ref="BA382:BA395" si="442">IF(AZ$400=0,0,AZ382/AZ$400)</f>
        <v>0</v>
      </c>
    </row>
    <row r="383" spans="1:53" ht="17.100000000000001" customHeight="1" x14ac:dyDescent="0.25">
      <c r="A383" s="40"/>
      <c r="B383" s="40"/>
      <c r="C383" s="40"/>
      <c r="D383" s="74" t="s">
        <v>192</v>
      </c>
      <c r="E383" s="75" t="s">
        <v>462</v>
      </c>
      <c r="F383" s="75"/>
      <c r="G383" s="75"/>
      <c r="H383" s="540"/>
      <c r="I383" s="229"/>
      <c r="J383" s="111"/>
      <c r="K383" s="111"/>
      <c r="L383" s="111"/>
      <c r="M383" s="111"/>
      <c r="N383" s="61"/>
      <c r="O383" s="61"/>
      <c r="P383" s="17">
        <f t="shared" ref="P383:P395" si="443">SUM(N383:O383)</f>
        <v>0</v>
      </c>
      <c r="Q383" s="61"/>
      <c r="R383" s="61"/>
      <c r="S383" s="17">
        <f t="shared" ref="S383:S395" si="444">SUM(Q383:R383)</f>
        <v>0</v>
      </c>
      <c r="T383" s="61"/>
      <c r="U383" s="61"/>
      <c r="V383" s="359">
        <f t="shared" ref="V383:V395" si="445">SUM(T383:U383)</f>
        <v>0</v>
      </c>
      <c r="W383" s="391">
        <f t="shared" si="435"/>
        <v>0</v>
      </c>
      <c r="X383" s="17">
        <f t="shared" si="436"/>
        <v>0</v>
      </c>
      <c r="Y383" s="18">
        <f t="shared" si="437"/>
        <v>0</v>
      </c>
      <c r="Z383" s="19">
        <f t="shared" si="438"/>
        <v>0</v>
      </c>
      <c r="AA383" s="19"/>
      <c r="AB383" s="19"/>
      <c r="AC383" s="20"/>
      <c r="AE383" s="111"/>
      <c r="AF383" s="111"/>
      <c r="AG383" s="111"/>
      <c r="AH383" s="112"/>
      <c r="AI383" s="113"/>
      <c r="AK383" s="111"/>
      <c r="AL383" s="111"/>
      <c r="AM383" s="111"/>
      <c r="AN383" s="112"/>
      <c r="AO383" s="113"/>
      <c r="AQ383" s="17"/>
      <c r="AR383" s="17"/>
      <c r="AS383" s="17"/>
      <c r="AT383" s="18">
        <f t="shared" si="439"/>
        <v>0</v>
      </c>
      <c r="AU383" s="19">
        <f t="shared" si="440"/>
        <v>0</v>
      </c>
      <c r="AW383" s="17"/>
      <c r="AX383" s="17"/>
      <c r="AY383" s="17"/>
      <c r="AZ383" s="18">
        <f t="shared" si="441"/>
        <v>0</v>
      </c>
      <c r="BA383" s="19">
        <f t="shared" si="442"/>
        <v>0</v>
      </c>
    </row>
    <row r="384" spans="1:53" ht="17.100000000000001" customHeight="1" x14ac:dyDescent="0.25">
      <c r="A384" s="40"/>
      <c r="B384" s="40"/>
      <c r="C384" s="40"/>
      <c r="D384" s="74" t="s">
        <v>193</v>
      </c>
      <c r="E384" s="1398" t="s">
        <v>463</v>
      </c>
      <c r="F384" s="1399"/>
      <c r="G384" s="1399"/>
      <c r="H384" s="242"/>
      <c r="I384" s="230"/>
      <c r="J384" s="111"/>
      <c r="K384" s="111"/>
      <c r="L384" s="111"/>
      <c r="M384" s="111"/>
      <c r="N384" s="60"/>
      <c r="O384" s="60"/>
      <c r="P384" s="17">
        <f t="shared" si="443"/>
        <v>0</v>
      </c>
      <c r="Q384" s="60"/>
      <c r="R384" s="60"/>
      <c r="S384" s="17">
        <f t="shared" si="444"/>
        <v>0</v>
      </c>
      <c r="T384" s="60"/>
      <c r="U384" s="60"/>
      <c r="V384" s="359">
        <f t="shared" si="445"/>
        <v>0</v>
      </c>
      <c r="W384" s="391">
        <f t="shared" si="435"/>
        <v>0</v>
      </c>
      <c r="X384" s="17">
        <f t="shared" si="436"/>
        <v>0</v>
      </c>
      <c r="Y384" s="18">
        <f t="shared" si="437"/>
        <v>0</v>
      </c>
      <c r="Z384" s="19">
        <f t="shared" si="438"/>
        <v>0</v>
      </c>
      <c r="AA384" s="19"/>
      <c r="AB384" s="19"/>
      <c r="AC384" s="20"/>
      <c r="AE384" s="111"/>
      <c r="AF384" s="111"/>
      <c r="AG384" s="111"/>
      <c r="AH384" s="112"/>
      <c r="AI384" s="113"/>
      <c r="AK384" s="111"/>
      <c r="AL384" s="111"/>
      <c r="AM384" s="111"/>
      <c r="AN384" s="112"/>
      <c r="AO384" s="113"/>
      <c r="AQ384" s="17"/>
      <c r="AR384" s="17"/>
      <c r="AS384" s="17"/>
      <c r="AT384" s="18">
        <f t="shared" si="439"/>
        <v>0</v>
      </c>
      <c r="AU384" s="19">
        <f t="shared" si="440"/>
        <v>0</v>
      </c>
      <c r="AW384" s="17"/>
      <c r="AX384" s="17"/>
      <c r="AY384" s="17"/>
      <c r="AZ384" s="18">
        <f t="shared" si="441"/>
        <v>0</v>
      </c>
      <c r="BA384" s="19">
        <f t="shared" si="442"/>
        <v>0</v>
      </c>
    </row>
    <row r="385" spans="1:53" ht="17.100000000000001" customHeight="1" x14ac:dyDescent="0.25">
      <c r="A385" s="40"/>
      <c r="B385" s="40"/>
      <c r="C385" s="40"/>
      <c r="D385" s="74" t="s">
        <v>194</v>
      </c>
      <c r="E385" s="75" t="s">
        <v>464</v>
      </c>
      <c r="F385" s="75"/>
      <c r="G385" s="75"/>
      <c r="H385" s="540"/>
      <c r="I385" s="229"/>
      <c r="J385" s="111"/>
      <c r="K385" s="111"/>
      <c r="L385" s="111"/>
      <c r="M385" s="111"/>
      <c r="N385" s="61"/>
      <c r="O385" s="61"/>
      <c r="P385" s="17">
        <f t="shared" si="443"/>
        <v>0</v>
      </c>
      <c r="Q385" s="61"/>
      <c r="R385" s="61"/>
      <c r="S385" s="17">
        <f t="shared" si="444"/>
        <v>0</v>
      </c>
      <c r="T385" s="61"/>
      <c r="U385" s="61"/>
      <c r="V385" s="359">
        <f t="shared" si="445"/>
        <v>0</v>
      </c>
      <c r="W385" s="391">
        <f t="shared" si="435"/>
        <v>0</v>
      </c>
      <c r="X385" s="17">
        <f t="shared" si="436"/>
        <v>0</v>
      </c>
      <c r="Y385" s="18">
        <f t="shared" si="437"/>
        <v>0</v>
      </c>
      <c r="Z385" s="19">
        <f t="shared" si="438"/>
        <v>0</v>
      </c>
      <c r="AA385" s="19"/>
      <c r="AB385" s="19"/>
      <c r="AC385" s="20"/>
      <c r="AE385" s="111"/>
      <c r="AF385" s="111"/>
      <c r="AG385" s="111"/>
      <c r="AH385" s="112"/>
      <c r="AI385" s="113"/>
      <c r="AK385" s="111"/>
      <c r="AL385" s="111"/>
      <c r="AM385" s="111"/>
      <c r="AN385" s="112"/>
      <c r="AO385" s="113"/>
      <c r="AQ385" s="17"/>
      <c r="AR385" s="17"/>
      <c r="AS385" s="17"/>
      <c r="AT385" s="18">
        <f t="shared" si="439"/>
        <v>0</v>
      </c>
      <c r="AU385" s="19">
        <f t="shared" si="440"/>
        <v>0</v>
      </c>
      <c r="AW385" s="17"/>
      <c r="AX385" s="17"/>
      <c r="AY385" s="17"/>
      <c r="AZ385" s="18">
        <f t="shared" si="441"/>
        <v>0</v>
      </c>
      <c r="BA385" s="19">
        <f t="shared" si="442"/>
        <v>0</v>
      </c>
    </row>
    <row r="386" spans="1:53" ht="17.100000000000001" customHeight="1" x14ac:dyDescent="0.25">
      <c r="A386" s="40"/>
      <c r="B386" s="40"/>
      <c r="C386" s="40"/>
      <c r="D386" s="74" t="s">
        <v>195</v>
      </c>
      <c r="E386" s="75" t="s">
        <v>465</v>
      </c>
      <c r="F386" s="75"/>
      <c r="G386" s="75"/>
      <c r="H386" s="540"/>
      <c r="I386" s="229"/>
      <c r="J386" s="111"/>
      <c r="K386" s="111"/>
      <c r="L386" s="111"/>
      <c r="M386" s="111"/>
      <c r="N386" s="60"/>
      <c r="O386" s="60"/>
      <c r="P386" s="17">
        <f t="shared" si="443"/>
        <v>0</v>
      </c>
      <c r="Q386" s="60"/>
      <c r="R386" s="60"/>
      <c r="S386" s="17">
        <f t="shared" si="444"/>
        <v>0</v>
      </c>
      <c r="T386" s="60"/>
      <c r="U386" s="60"/>
      <c r="V386" s="359">
        <f t="shared" si="445"/>
        <v>0</v>
      </c>
      <c r="W386" s="391">
        <f t="shared" si="435"/>
        <v>0</v>
      </c>
      <c r="X386" s="17">
        <f t="shared" si="436"/>
        <v>0</v>
      </c>
      <c r="Y386" s="18">
        <f t="shared" si="437"/>
        <v>0</v>
      </c>
      <c r="Z386" s="19">
        <f t="shared" si="438"/>
        <v>0</v>
      </c>
      <c r="AA386" s="19"/>
      <c r="AB386" s="19"/>
      <c r="AC386" s="20"/>
      <c r="AE386" s="111"/>
      <c r="AF386" s="111"/>
      <c r="AG386" s="111"/>
      <c r="AH386" s="112"/>
      <c r="AI386" s="113"/>
      <c r="AK386" s="111"/>
      <c r="AL386" s="111"/>
      <c r="AM386" s="111"/>
      <c r="AN386" s="112"/>
      <c r="AO386" s="113"/>
      <c r="AQ386" s="17"/>
      <c r="AR386" s="17"/>
      <c r="AS386" s="17"/>
      <c r="AT386" s="18">
        <f t="shared" si="439"/>
        <v>0</v>
      </c>
      <c r="AU386" s="19">
        <f t="shared" si="440"/>
        <v>0</v>
      </c>
      <c r="AW386" s="17"/>
      <c r="AX386" s="17"/>
      <c r="AY386" s="17"/>
      <c r="AZ386" s="18">
        <f t="shared" si="441"/>
        <v>0</v>
      </c>
      <c r="BA386" s="19">
        <f t="shared" si="442"/>
        <v>0</v>
      </c>
    </row>
    <row r="387" spans="1:53" ht="17.100000000000001" customHeight="1" x14ac:dyDescent="0.25">
      <c r="A387" s="40"/>
      <c r="B387" s="40"/>
      <c r="C387" s="40"/>
      <c r="D387" s="74" t="s">
        <v>196</v>
      </c>
      <c r="E387" s="75" t="s">
        <v>466</v>
      </c>
      <c r="F387" s="75"/>
      <c r="G387" s="75"/>
      <c r="H387" s="540"/>
      <c r="I387" s="229"/>
      <c r="J387" s="111"/>
      <c r="K387" s="111"/>
      <c r="L387" s="111"/>
      <c r="M387" s="111"/>
      <c r="N387" s="61"/>
      <c r="O387" s="61"/>
      <c r="P387" s="17">
        <f t="shared" si="443"/>
        <v>0</v>
      </c>
      <c r="Q387" s="61"/>
      <c r="R387" s="61"/>
      <c r="S387" s="17">
        <f t="shared" si="444"/>
        <v>0</v>
      </c>
      <c r="T387" s="61"/>
      <c r="U387" s="61"/>
      <c r="V387" s="359">
        <f t="shared" si="445"/>
        <v>0</v>
      </c>
      <c r="W387" s="391">
        <f t="shared" si="435"/>
        <v>0</v>
      </c>
      <c r="X387" s="17">
        <f t="shared" si="436"/>
        <v>0</v>
      </c>
      <c r="Y387" s="18">
        <f t="shared" si="437"/>
        <v>0</v>
      </c>
      <c r="Z387" s="19">
        <f t="shared" si="438"/>
        <v>0</v>
      </c>
      <c r="AA387" s="19"/>
      <c r="AB387" s="19"/>
      <c r="AC387" s="20"/>
      <c r="AE387" s="111"/>
      <c r="AF387" s="111"/>
      <c r="AG387" s="111"/>
      <c r="AH387" s="112"/>
      <c r="AI387" s="113"/>
      <c r="AK387" s="111"/>
      <c r="AL387" s="111"/>
      <c r="AM387" s="111"/>
      <c r="AN387" s="112"/>
      <c r="AO387" s="113"/>
      <c r="AQ387" s="17"/>
      <c r="AR387" s="17"/>
      <c r="AS387" s="17"/>
      <c r="AT387" s="18">
        <f t="shared" si="439"/>
        <v>0</v>
      </c>
      <c r="AU387" s="19">
        <f t="shared" si="440"/>
        <v>0</v>
      </c>
      <c r="AW387" s="17"/>
      <c r="AX387" s="17"/>
      <c r="AY387" s="17"/>
      <c r="AZ387" s="18">
        <f t="shared" si="441"/>
        <v>0</v>
      </c>
      <c r="BA387" s="19">
        <f t="shared" si="442"/>
        <v>0</v>
      </c>
    </row>
    <row r="388" spans="1:53" ht="17.100000000000001" customHeight="1" x14ac:dyDescent="0.25">
      <c r="A388" s="40"/>
      <c r="B388" s="40"/>
      <c r="C388" s="40"/>
      <c r="D388" s="74" t="s">
        <v>197</v>
      </c>
      <c r="E388" s="75" t="s">
        <v>467</v>
      </c>
      <c r="F388" s="75"/>
      <c r="G388" s="75"/>
      <c r="H388" s="540"/>
      <c r="I388" s="229"/>
      <c r="J388" s="111"/>
      <c r="K388" s="111"/>
      <c r="L388" s="111"/>
      <c r="M388" s="111"/>
      <c r="N388" s="60"/>
      <c r="O388" s="60"/>
      <c r="P388" s="17">
        <f t="shared" si="443"/>
        <v>0</v>
      </c>
      <c r="Q388" s="60"/>
      <c r="R388" s="60"/>
      <c r="S388" s="17">
        <f t="shared" si="444"/>
        <v>0</v>
      </c>
      <c r="T388" s="60"/>
      <c r="U388" s="60"/>
      <c r="V388" s="359">
        <f t="shared" si="445"/>
        <v>0</v>
      </c>
      <c r="W388" s="391">
        <f t="shared" si="435"/>
        <v>0</v>
      </c>
      <c r="X388" s="17">
        <f t="shared" si="436"/>
        <v>0</v>
      </c>
      <c r="Y388" s="18">
        <f t="shared" si="437"/>
        <v>0</v>
      </c>
      <c r="Z388" s="19">
        <f t="shared" si="438"/>
        <v>0</v>
      </c>
      <c r="AA388" s="19"/>
      <c r="AB388" s="19"/>
      <c r="AC388" s="20"/>
      <c r="AE388" s="111"/>
      <c r="AF388" s="111"/>
      <c r="AG388" s="111"/>
      <c r="AH388" s="112"/>
      <c r="AI388" s="113"/>
      <c r="AK388" s="111"/>
      <c r="AL388" s="111"/>
      <c r="AM388" s="111"/>
      <c r="AN388" s="112"/>
      <c r="AO388" s="113"/>
      <c r="AQ388" s="17"/>
      <c r="AR388" s="17"/>
      <c r="AS388" s="17"/>
      <c r="AT388" s="18">
        <f t="shared" si="439"/>
        <v>0</v>
      </c>
      <c r="AU388" s="19">
        <f t="shared" si="440"/>
        <v>0</v>
      </c>
      <c r="AW388" s="17"/>
      <c r="AX388" s="17"/>
      <c r="AY388" s="17"/>
      <c r="AZ388" s="18">
        <f t="shared" si="441"/>
        <v>0</v>
      </c>
      <c r="BA388" s="19">
        <f t="shared" si="442"/>
        <v>0</v>
      </c>
    </row>
    <row r="389" spans="1:53" ht="17.100000000000001" customHeight="1" x14ac:dyDescent="0.25">
      <c r="A389" s="40"/>
      <c r="B389" s="40"/>
      <c r="C389" s="40"/>
      <c r="D389" s="74" t="s">
        <v>199</v>
      </c>
      <c r="E389" s="75" t="s">
        <v>749</v>
      </c>
      <c r="F389" s="75"/>
      <c r="G389" s="75"/>
      <c r="H389" s="540"/>
      <c r="I389" s="229"/>
      <c r="J389" s="111"/>
      <c r="K389" s="111"/>
      <c r="L389" s="111"/>
      <c r="M389" s="111"/>
      <c r="N389" s="61"/>
      <c r="O389" s="61"/>
      <c r="P389" s="17">
        <f t="shared" si="443"/>
        <v>0</v>
      </c>
      <c r="Q389" s="61"/>
      <c r="R389" s="61"/>
      <c r="S389" s="17">
        <f t="shared" si="444"/>
        <v>0</v>
      </c>
      <c r="T389" s="61"/>
      <c r="U389" s="61"/>
      <c r="V389" s="359">
        <f t="shared" si="445"/>
        <v>0</v>
      </c>
      <c r="W389" s="391">
        <f t="shared" si="435"/>
        <v>0</v>
      </c>
      <c r="X389" s="17">
        <f t="shared" si="436"/>
        <v>0</v>
      </c>
      <c r="Y389" s="18">
        <f t="shared" si="437"/>
        <v>0</v>
      </c>
      <c r="Z389" s="19">
        <f t="shared" si="438"/>
        <v>0</v>
      </c>
      <c r="AA389" s="19"/>
      <c r="AB389" s="19"/>
      <c r="AC389" s="20"/>
      <c r="AE389" s="111"/>
      <c r="AF389" s="111"/>
      <c r="AG389" s="111"/>
      <c r="AH389" s="112"/>
      <c r="AI389" s="113"/>
      <c r="AK389" s="111"/>
      <c r="AL389" s="111"/>
      <c r="AM389" s="111"/>
      <c r="AN389" s="112"/>
      <c r="AO389" s="113"/>
      <c r="AQ389" s="17"/>
      <c r="AR389" s="17"/>
      <c r="AS389" s="17"/>
      <c r="AT389" s="18">
        <f t="shared" si="439"/>
        <v>0</v>
      </c>
      <c r="AU389" s="19">
        <f t="shared" si="440"/>
        <v>0</v>
      </c>
      <c r="AW389" s="17"/>
      <c r="AX389" s="17"/>
      <c r="AY389" s="17"/>
      <c r="AZ389" s="18">
        <f t="shared" si="441"/>
        <v>0</v>
      </c>
      <c r="BA389" s="19">
        <f t="shared" si="442"/>
        <v>0</v>
      </c>
    </row>
    <row r="390" spans="1:53" ht="17.100000000000001" customHeight="1" x14ac:dyDescent="0.25">
      <c r="A390" s="40"/>
      <c r="B390" s="40"/>
      <c r="C390" s="40"/>
      <c r="D390" s="74" t="s">
        <v>200</v>
      </c>
      <c r="E390" s="75" t="s">
        <v>468</v>
      </c>
      <c r="F390" s="75"/>
      <c r="G390" s="75"/>
      <c r="H390" s="540"/>
      <c r="I390" s="229"/>
      <c r="J390" s="111"/>
      <c r="K390" s="111"/>
      <c r="L390" s="111"/>
      <c r="M390" s="111"/>
      <c r="N390" s="60"/>
      <c r="O390" s="60"/>
      <c r="P390" s="17">
        <f t="shared" si="443"/>
        <v>0</v>
      </c>
      <c r="Q390" s="60"/>
      <c r="R390" s="60"/>
      <c r="S390" s="17">
        <f t="shared" si="444"/>
        <v>0</v>
      </c>
      <c r="T390" s="60"/>
      <c r="U390" s="60"/>
      <c r="V390" s="359">
        <f t="shared" si="445"/>
        <v>0</v>
      </c>
      <c r="W390" s="391">
        <f t="shared" si="435"/>
        <v>0</v>
      </c>
      <c r="X390" s="17">
        <f t="shared" si="436"/>
        <v>0</v>
      </c>
      <c r="Y390" s="18">
        <f t="shared" si="437"/>
        <v>0</v>
      </c>
      <c r="Z390" s="19">
        <f t="shared" si="438"/>
        <v>0</v>
      </c>
      <c r="AA390" s="19"/>
      <c r="AB390" s="19"/>
      <c r="AC390" s="20"/>
      <c r="AE390" s="111"/>
      <c r="AF390" s="111"/>
      <c r="AG390" s="111"/>
      <c r="AH390" s="112"/>
      <c r="AI390" s="113"/>
      <c r="AK390" s="111"/>
      <c r="AL390" s="111"/>
      <c r="AM390" s="111"/>
      <c r="AN390" s="112"/>
      <c r="AO390" s="113"/>
      <c r="AQ390" s="17"/>
      <c r="AR390" s="17"/>
      <c r="AS390" s="17"/>
      <c r="AT390" s="18">
        <f t="shared" si="439"/>
        <v>0</v>
      </c>
      <c r="AU390" s="19">
        <f t="shared" si="440"/>
        <v>0</v>
      </c>
      <c r="AW390" s="17"/>
      <c r="AX390" s="17"/>
      <c r="AY390" s="17"/>
      <c r="AZ390" s="18">
        <f t="shared" si="441"/>
        <v>0</v>
      </c>
      <c r="BA390" s="19">
        <f t="shared" si="442"/>
        <v>0</v>
      </c>
    </row>
    <row r="391" spans="1:53" ht="17.100000000000001" customHeight="1" x14ac:dyDescent="0.25">
      <c r="A391" s="40"/>
      <c r="B391" s="40"/>
      <c r="C391" s="40"/>
      <c r="D391" s="74" t="s">
        <v>201</v>
      </c>
      <c r="E391" s="75" t="s">
        <v>469</v>
      </c>
      <c r="F391" s="75"/>
      <c r="G391" s="75"/>
      <c r="H391" s="540"/>
      <c r="I391" s="229"/>
      <c r="J391" s="111"/>
      <c r="K391" s="111"/>
      <c r="L391" s="111"/>
      <c r="M391" s="111"/>
      <c r="N391" s="61"/>
      <c r="O391" s="61"/>
      <c r="P391" s="17">
        <f t="shared" si="443"/>
        <v>0</v>
      </c>
      <c r="Q391" s="61"/>
      <c r="R391" s="61"/>
      <c r="S391" s="17">
        <f t="shared" si="444"/>
        <v>0</v>
      </c>
      <c r="T391" s="61"/>
      <c r="U391" s="61"/>
      <c r="V391" s="359">
        <f t="shared" si="445"/>
        <v>0</v>
      </c>
      <c r="W391" s="391">
        <f t="shared" si="435"/>
        <v>0</v>
      </c>
      <c r="X391" s="17">
        <f t="shared" si="436"/>
        <v>0</v>
      </c>
      <c r="Y391" s="18">
        <f t="shared" si="437"/>
        <v>0</v>
      </c>
      <c r="Z391" s="19">
        <f t="shared" si="438"/>
        <v>0</v>
      </c>
      <c r="AA391" s="19"/>
      <c r="AB391" s="19"/>
      <c r="AC391" s="20"/>
      <c r="AE391" s="111"/>
      <c r="AF391" s="111"/>
      <c r="AG391" s="111"/>
      <c r="AH391" s="112"/>
      <c r="AI391" s="113"/>
      <c r="AK391" s="111"/>
      <c r="AL391" s="111"/>
      <c r="AM391" s="111"/>
      <c r="AN391" s="112"/>
      <c r="AO391" s="113"/>
      <c r="AQ391" s="17"/>
      <c r="AR391" s="17"/>
      <c r="AS391" s="17"/>
      <c r="AT391" s="18">
        <f t="shared" si="439"/>
        <v>0</v>
      </c>
      <c r="AU391" s="19">
        <f t="shared" si="440"/>
        <v>0</v>
      </c>
      <c r="AW391" s="17"/>
      <c r="AX391" s="17"/>
      <c r="AY391" s="17"/>
      <c r="AZ391" s="18">
        <f t="shared" si="441"/>
        <v>0</v>
      </c>
      <c r="BA391" s="19">
        <f t="shared" si="442"/>
        <v>0</v>
      </c>
    </row>
    <row r="392" spans="1:53" ht="17.100000000000001" customHeight="1" x14ac:dyDescent="0.25">
      <c r="A392" s="40"/>
      <c r="B392" s="40"/>
      <c r="C392" s="40"/>
      <c r="D392" s="74" t="s">
        <v>202</v>
      </c>
      <c r="E392" s="75" t="s">
        <v>750</v>
      </c>
      <c r="F392" s="75"/>
      <c r="G392" s="75"/>
      <c r="H392" s="540"/>
      <c r="I392" s="229"/>
      <c r="J392" s="111"/>
      <c r="K392" s="111"/>
      <c r="L392" s="111"/>
      <c r="M392" s="111"/>
      <c r="N392" s="60"/>
      <c r="O392" s="60"/>
      <c r="P392" s="17">
        <f t="shared" si="443"/>
        <v>0</v>
      </c>
      <c r="Q392" s="60"/>
      <c r="R392" s="60"/>
      <c r="S392" s="17">
        <f t="shared" si="444"/>
        <v>0</v>
      </c>
      <c r="T392" s="60"/>
      <c r="U392" s="60"/>
      <c r="V392" s="359">
        <f t="shared" si="445"/>
        <v>0</v>
      </c>
      <c r="W392" s="391">
        <f t="shared" si="435"/>
        <v>0</v>
      </c>
      <c r="X392" s="17">
        <f t="shared" si="436"/>
        <v>0</v>
      </c>
      <c r="Y392" s="18">
        <f t="shared" si="437"/>
        <v>0</v>
      </c>
      <c r="Z392" s="19">
        <f t="shared" si="438"/>
        <v>0</v>
      </c>
      <c r="AA392" s="19"/>
      <c r="AB392" s="19"/>
      <c r="AC392" s="20"/>
      <c r="AE392" s="111"/>
      <c r="AF392" s="111"/>
      <c r="AG392" s="111"/>
      <c r="AH392" s="112"/>
      <c r="AI392" s="113"/>
      <c r="AK392" s="111"/>
      <c r="AL392" s="111"/>
      <c r="AM392" s="111"/>
      <c r="AN392" s="112"/>
      <c r="AO392" s="113"/>
      <c r="AQ392" s="17"/>
      <c r="AR392" s="17"/>
      <c r="AS392" s="17"/>
      <c r="AT392" s="18">
        <f t="shared" si="439"/>
        <v>0</v>
      </c>
      <c r="AU392" s="19">
        <f t="shared" si="440"/>
        <v>0</v>
      </c>
      <c r="AW392" s="17"/>
      <c r="AX392" s="17"/>
      <c r="AY392" s="17"/>
      <c r="AZ392" s="18">
        <f t="shared" si="441"/>
        <v>0</v>
      </c>
      <c r="BA392" s="19">
        <f t="shared" si="442"/>
        <v>0</v>
      </c>
    </row>
    <row r="393" spans="1:53" ht="17.100000000000001" customHeight="1" x14ac:dyDescent="0.25">
      <c r="A393" s="40"/>
      <c r="B393" s="40"/>
      <c r="C393" s="40"/>
      <c r="D393" s="74" t="s">
        <v>203</v>
      </c>
      <c r="E393" s="75" t="s">
        <v>198</v>
      </c>
      <c r="F393" s="75"/>
      <c r="G393" s="75"/>
      <c r="H393" s="540"/>
      <c r="I393" s="229"/>
      <c r="J393" s="111"/>
      <c r="K393" s="111"/>
      <c r="L393" s="111"/>
      <c r="M393" s="111"/>
      <c r="N393" s="61"/>
      <c r="O393" s="61"/>
      <c r="P393" s="17">
        <f t="shared" si="443"/>
        <v>0</v>
      </c>
      <c r="Q393" s="61"/>
      <c r="R393" s="61"/>
      <c r="S393" s="17">
        <f t="shared" si="444"/>
        <v>0</v>
      </c>
      <c r="T393" s="61"/>
      <c r="U393" s="61"/>
      <c r="V393" s="359">
        <f t="shared" si="445"/>
        <v>0</v>
      </c>
      <c r="W393" s="391">
        <f t="shared" si="435"/>
        <v>0</v>
      </c>
      <c r="X393" s="17">
        <f t="shared" si="436"/>
        <v>0</v>
      </c>
      <c r="Y393" s="18">
        <f t="shared" si="437"/>
        <v>0</v>
      </c>
      <c r="Z393" s="19">
        <f t="shared" si="438"/>
        <v>0</v>
      </c>
      <c r="AA393" s="19"/>
      <c r="AB393" s="19"/>
      <c r="AC393" s="20"/>
      <c r="AE393" s="111"/>
      <c r="AF393" s="111"/>
      <c r="AG393" s="111"/>
      <c r="AH393" s="112"/>
      <c r="AI393" s="113"/>
      <c r="AK393" s="111"/>
      <c r="AL393" s="111"/>
      <c r="AM393" s="111"/>
      <c r="AN393" s="112"/>
      <c r="AO393" s="113"/>
      <c r="AQ393" s="17"/>
      <c r="AR393" s="17"/>
      <c r="AS393" s="17"/>
      <c r="AT393" s="18">
        <f t="shared" si="439"/>
        <v>0</v>
      </c>
      <c r="AU393" s="19">
        <f t="shared" si="440"/>
        <v>0</v>
      </c>
      <c r="AW393" s="17"/>
      <c r="AX393" s="17"/>
      <c r="AY393" s="17"/>
      <c r="AZ393" s="18">
        <f t="shared" si="441"/>
        <v>0</v>
      </c>
      <c r="BA393" s="19">
        <f t="shared" si="442"/>
        <v>0</v>
      </c>
    </row>
    <row r="394" spans="1:53" ht="17.100000000000001" customHeight="1" x14ac:dyDescent="0.25">
      <c r="A394" s="40"/>
      <c r="B394" s="40"/>
      <c r="C394" s="40"/>
      <c r="D394" s="74" t="s">
        <v>204</v>
      </c>
      <c r="E394" s="75" t="s">
        <v>470</v>
      </c>
      <c r="F394" s="75"/>
      <c r="G394" s="75"/>
      <c r="H394" s="540"/>
      <c r="I394" s="229"/>
      <c r="J394" s="111"/>
      <c r="K394" s="111"/>
      <c r="L394" s="111"/>
      <c r="M394" s="111"/>
      <c r="N394" s="60"/>
      <c r="O394" s="60"/>
      <c r="P394" s="17">
        <f t="shared" si="443"/>
        <v>0</v>
      </c>
      <c r="Q394" s="61"/>
      <c r="R394" s="61"/>
      <c r="S394" s="17">
        <f t="shared" si="444"/>
        <v>0</v>
      </c>
      <c r="T394" s="61"/>
      <c r="U394" s="61"/>
      <c r="V394" s="359">
        <f t="shared" si="445"/>
        <v>0</v>
      </c>
      <c r="W394" s="391">
        <f t="shared" si="435"/>
        <v>0</v>
      </c>
      <c r="X394" s="17">
        <f t="shared" si="436"/>
        <v>0</v>
      </c>
      <c r="Y394" s="18">
        <f t="shared" si="437"/>
        <v>0</v>
      </c>
      <c r="Z394" s="19">
        <f t="shared" si="438"/>
        <v>0</v>
      </c>
      <c r="AA394" s="19"/>
      <c r="AB394" s="19"/>
      <c r="AC394" s="20"/>
      <c r="AE394" s="111"/>
      <c r="AF394" s="111"/>
      <c r="AG394" s="111"/>
      <c r="AH394" s="112"/>
      <c r="AI394" s="113"/>
      <c r="AK394" s="111"/>
      <c r="AL394" s="111"/>
      <c r="AM394" s="111"/>
      <c r="AN394" s="112"/>
      <c r="AO394" s="113"/>
      <c r="AQ394" s="17"/>
      <c r="AR394" s="17"/>
      <c r="AS394" s="17"/>
      <c r="AT394" s="18">
        <f t="shared" si="439"/>
        <v>0</v>
      </c>
      <c r="AU394" s="19">
        <f t="shared" si="440"/>
        <v>0</v>
      </c>
      <c r="AW394" s="17"/>
      <c r="AX394" s="17"/>
      <c r="AY394" s="17"/>
      <c r="AZ394" s="18">
        <f t="shared" si="441"/>
        <v>0</v>
      </c>
      <c r="BA394" s="19">
        <f t="shared" si="442"/>
        <v>0</v>
      </c>
    </row>
    <row r="395" spans="1:53" ht="17.100000000000001" customHeight="1" x14ac:dyDescent="0.25">
      <c r="A395" s="40"/>
      <c r="B395" s="40"/>
      <c r="C395" s="40"/>
      <c r="D395" s="74" t="s">
        <v>748</v>
      </c>
      <c r="E395" s="75" t="s">
        <v>205</v>
      </c>
      <c r="F395" s="75"/>
      <c r="G395" s="75"/>
      <c r="H395" s="540"/>
      <c r="I395" s="229"/>
      <c r="J395" s="111"/>
      <c r="K395" s="111"/>
      <c r="L395" s="111"/>
      <c r="M395" s="111"/>
      <c r="N395" s="111">
        <f>SUM(N396:N399)</f>
        <v>0</v>
      </c>
      <c r="O395" s="111">
        <f>SUM(O396:O399)</f>
        <v>0</v>
      </c>
      <c r="P395" s="111">
        <f t="shared" si="443"/>
        <v>0</v>
      </c>
      <c r="Q395" s="111">
        <f>SUM(Q396:Q399)</f>
        <v>0</v>
      </c>
      <c r="R395" s="111">
        <f>SUM(R396:R399)</f>
        <v>0</v>
      </c>
      <c r="S395" s="111">
        <f t="shared" si="444"/>
        <v>0</v>
      </c>
      <c r="T395" s="111">
        <f>SUM(T396:T399)</f>
        <v>0</v>
      </c>
      <c r="U395" s="111">
        <f>SUM(U396:U399)</f>
        <v>0</v>
      </c>
      <c r="V395" s="358">
        <f t="shared" si="445"/>
        <v>0</v>
      </c>
      <c r="W395" s="380">
        <f t="shared" si="435"/>
        <v>0</v>
      </c>
      <c r="X395" s="111">
        <f t="shared" si="436"/>
        <v>0</v>
      </c>
      <c r="Y395" s="545">
        <f t="shared" si="437"/>
        <v>0</v>
      </c>
      <c r="Z395" s="131">
        <f t="shared" si="438"/>
        <v>0</v>
      </c>
      <c r="AA395" s="131"/>
      <c r="AB395" s="131"/>
      <c r="AC395" s="113"/>
      <c r="AE395" s="111"/>
      <c r="AF395" s="111"/>
      <c r="AG395" s="111"/>
      <c r="AH395" s="545"/>
      <c r="AI395" s="131"/>
      <c r="AK395" s="111"/>
      <c r="AL395" s="111"/>
      <c r="AM395" s="111"/>
      <c r="AN395" s="545"/>
      <c r="AO395" s="131"/>
      <c r="AQ395" s="111"/>
      <c r="AR395" s="111"/>
      <c r="AS395" s="111"/>
      <c r="AT395" s="545">
        <f t="shared" si="439"/>
        <v>0</v>
      </c>
      <c r="AU395" s="131">
        <f t="shared" si="440"/>
        <v>0</v>
      </c>
      <c r="AW395" s="111"/>
      <c r="AX395" s="111"/>
      <c r="AY395" s="111"/>
      <c r="AZ395" s="545">
        <f t="shared" si="441"/>
        <v>0</v>
      </c>
      <c r="BA395" s="131">
        <f t="shared" si="442"/>
        <v>0</v>
      </c>
    </row>
    <row r="396" spans="1:53" ht="17.100000000000001" customHeight="1" x14ac:dyDescent="0.25">
      <c r="A396" s="40"/>
      <c r="B396" s="40"/>
      <c r="C396" s="40"/>
      <c r="D396" s="74"/>
      <c r="E396" s="168"/>
      <c r="F396" s="169"/>
      <c r="G396" s="169"/>
      <c r="H396" s="17"/>
      <c r="I396" s="594"/>
      <c r="J396" s="111"/>
      <c r="K396" s="111"/>
      <c r="L396" s="111"/>
      <c r="M396" s="111"/>
      <c r="N396" s="60"/>
      <c r="O396" s="60"/>
      <c r="P396" s="17"/>
      <c r="Q396" s="60"/>
      <c r="R396" s="60"/>
      <c r="S396" s="17"/>
      <c r="T396" s="60"/>
      <c r="U396" s="60"/>
      <c r="V396" s="359"/>
      <c r="W396" s="391"/>
      <c r="X396" s="17"/>
      <c r="Y396" s="539"/>
      <c r="Z396" s="17"/>
      <c r="AA396" s="17"/>
      <c r="AB396" s="17"/>
      <c r="AC396" s="17"/>
      <c r="AE396" s="111"/>
      <c r="AF396" s="111"/>
      <c r="AG396" s="111"/>
      <c r="AH396" s="112"/>
      <c r="AI396" s="113"/>
      <c r="AK396" s="111"/>
      <c r="AL396" s="111"/>
      <c r="AM396" s="111"/>
      <c r="AN396" s="112"/>
      <c r="AO396" s="113"/>
      <c r="AQ396" s="17"/>
      <c r="AR396" s="17"/>
      <c r="AS396" s="17"/>
      <c r="AT396" s="18"/>
      <c r="AU396" s="91"/>
      <c r="AW396" s="17"/>
      <c r="AX396" s="17"/>
      <c r="AY396" s="17"/>
      <c r="AZ396" s="18"/>
      <c r="BA396" s="91"/>
    </row>
    <row r="397" spans="1:53" ht="17.100000000000001" customHeight="1" x14ac:dyDescent="0.25">
      <c r="A397" s="40"/>
      <c r="B397" s="40"/>
      <c r="C397" s="40"/>
      <c r="D397" s="74"/>
      <c r="E397" s="170"/>
      <c r="F397" s="171"/>
      <c r="G397" s="171"/>
      <c r="H397" s="17"/>
      <c r="I397" s="594"/>
      <c r="J397" s="111"/>
      <c r="K397" s="111"/>
      <c r="L397" s="111"/>
      <c r="M397" s="111"/>
      <c r="N397" s="61"/>
      <c r="O397" s="61"/>
      <c r="P397" s="17"/>
      <c r="Q397" s="61"/>
      <c r="R397" s="61"/>
      <c r="S397" s="17"/>
      <c r="T397" s="61"/>
      <c r="U397" s="61"/>
      <c r="V397" s="359"/>
      <c r="W397" s="391"/>
      <c r="X397" s="17"/>
      <c r="Y397" s="539"/>
      <c r="Z397" s="17"/>
      <c r="AA397" s="17"/>
      <c r="AB397" s="17"/>
      <c r="AC397" s="17"/>
      <c r="AE397" s="111"/>
      <c r="AF397" s="111"/>
      <c r="AG397" s="111"/>
      <c r="AH397" s="112"/>
      <c r="AI397" s="113"/>
      <c r="AK397" s="111"/>
      <c r="AL397" s="111"/>
      <c r="AM397" s="111"/>
      <c r="AN397" s="112"/>
      <c r="AO397" s="113"/>
      <c r="AQ397" s="17"/>
      <c r="AR397" s="17"/>
      <c r="AS397" s="17"/>
      <c r="AT397" s="18"/>
      <c r="AU397" s="91"/>
      <c r="AW397" s="17"/>
      <c r="AX397" s="17"/>
      <c r="AY397" s="17"/>
      <c r="AZ397" s="18"/>
      <c r="BA397" s="91"/>
    </row>
    <row r="398" spans="1:53" ht="17.100000000000001" customHeight="1" x14ac:dyDescent="0.25">
      <c r="A398" s="40"/>
      <c r="B398" s="40"/>
      <c r="C398" s="40"/>
      <c r="D398" s="74"/>
      <c r="E398" s="168"/>
      <c r="F398" s="169"/>
      <c r="G398" s="169"/>
      <c r="H398" s="17"/>
      <c r="I398" s="594"/>
      <c r="J398" s="111"/>
      <c r="K398" s="111"/>
      <c r="L398" s="111"/>
      <c r="M398" s="111"/>
      <c r="N398" s="60"/>
      <c r="O398" s="60"/>
      <c r="P398" s="17"/>
      <c r="Q398" s="60"/>
      <c r="R398" s="60"/>
      <c r="S398" s="17"/>
      <c r="T398" s="60"/>
      <c r="U398" s="60"/>
      <c r="V398" s="359"/>
      <c r="W398" s="391"/>
      <c r="X398" s="17"/>
      <c r="Y398" s="539"/>
      <c r="Z398" s="17"/>
      <c r="AA398" s="17"/>
      <c r="AB398" s="17"/>
      <c r="AC398" s="17"/>
      <c r="AE398" s="111"/>
      <c r="AF398" s="111"/>
      <c r="AG398" s="111"/>
      <c r="AH398" s="112"/>
      <c r="AI398" s="113"/>
      <c r="AK398" s="111"/>
      <c r="AL398" s="111"/>
      <c r="AM398" s="111"/>
      <c r="AN398" s="112"/>
      <c r="AO398" s="113"/>
      <c r="AQ398" s="17"/>
      <c r="AR398" s="17"/>
      <c r="AS398" s="17"/>
      <c r="AT398" s="18"/>
      <c r="AU398" s="91"/>
      <c r="AW398" s="17"/>
      <c r="AX398" s="17"/>
      <c r="AY398" s="17"/>
      <c r="AZ398" s="18"/>
      <c r="BA398" s="91"/>
    </row>
    <row r="399" spans="1:53" ht="17.100000000000001" customHeight="1" x14ac:dyDescent="0.25">
      <c r="A399" s="40"/>
      <c r="B399" s="40"/>
      <c r="C399" s="40"/>
      <c r="D399" s="74"/>
      <c r="E399" s="170"/>
      <c r="F399" s="171"/>
      <c r="G399" s="171"/>
      <c r="H399" s="17"/>
      <c r="I399" s="594"/>
      <c r="J399" s="111"/>
      <c r="K399" s="111"/>
      <c r="L399" s="111"/>
      <c r="M399" s="111"/>
      <c r="N399" s="61"/>
      <c r="O399" s="61"/>
      <c r="P399" s="17"/>
      <c r="Q399" s="61"/>
      <c r="R399" s="61"/>
      <c r="S399" s="17"/>
      <c r="T399" s="61"/>
      <c r="U399" s="61"/>
      <c r="V399" s="359"/>
      <c r="W399" s="391"/>
      <c r="X399" s="17"/>
      <c r="Y399" s="539"/>
      <c r="Z399" s="17"/>
      <c r="AA399" s="17"/>
      <c r="AB399" s="17"/>
      <c r="AC399" s="17"/>
      <c r="AE399" s="111"/>
      <c r="AF399" s="111"/>
      <c r="AG399" s="111"/>
      <c r="AH399" s="112"/>
      <c r="AI399" s="113"/>
      <c r="AK399" s="111"/>
      <c r="AL399" s="111"/>
      <c r="AM399" s="111"/>
      <c r="AN399" s="112"/>
      <c r="AO399" s="113"/>
      <c r="AQ399" s="17"/>
      <c r="AR399" s="17"/>
      <c r="AS399" s="17"/>
      <c r="AT399" s="18"/>
      <c r="AU399" s="91"/>
      <c r="AW399" s="17"/>
      <c r="AX399" s="17"/>
      <c r="AY399" s="17"/>
      <c r="AZ399" s="18"/>
      <c r="BA399" s="91"/>
    </row>
    <row r="400" spans="1:53" ht="17.100000000000001" customHeight="1" x14ac:dyDescent="0.25">
      <c r="A400" s="40"/>
      <c r="B400" s="40"/>
      <c r="C400" s="77"/>
      <c r="D400" s="134"/>
      <c r="E400" s="134"/>
      <c r="F400" s="134"/>
      <c r="G400" s="134"/>
      <c r="H400" s="540"/>
      <c r="I400" s="229"/>
      <c r="J400" s="64"/>
      <c r="K400" s="64"/>
      <c r="L400" s="81"/>
      <c r="M400" s="81"/>
      <c r="N400" s="81">
        <f t="shared" ref="N400:V400" si="446">SUM(N382:N395)</f>
        <v>0</v>
      </c>
      <c r="O400" s="81">
        <f t="shared" si="446"/>
        <v>0</v>
      </c>
      <c r="P400" s="81">
        <f t="shared" si="446"/>
        <v>0</v>
      </c>
      <c r="Q400" s="81">
        <f t="shared" si="446"/>
        <v>0</v>
      </c>
      <c r="R400" s="81">
        <f t="shared" si="446"/>
        <v>0</v>
      </c>
      <c r="S400" s="81">
        <f t="shared" si="446"/>
        <v>0</v>
      </c>
      <c r="T400" s="81">
        <f t="shared" si="446"/>
        <v>0</v>
      </c>
      <c r="U400" s="81">
        <f t="shared" si="446"/>
        <v>0</v>
      </c>
      <c r="V400" s="81">
        <f t="shared" si="446"/>
        <v>0</v>
      </c>
      <c r="W400" s="381">
        <f>SUM(W382:W395)</f>
        <v>0</v>
      </c>
      <c r="X400" s="82">
        <f t="shared" ref="X400:Y400" si="447">SUM(X382:X395)</f>
        <v>0</v>
      </c>
      <c r="Y400" s="82">
        <f t="shared" si="447"/>
        <v>0</v>
      </c>
      <c r="Z400" s="205">
        <f t="shared" ref="Z400" si="448">IF(Y$400=0,0,Y400/Y$400)</f>
        <v>0</v>
      </c>
      <c r="AA400" s="205"/>
      <c r="AB400" s="205"/>
      <c r="AC400" s="83"/>
      <c r="AE400" s="80"/>
      <c r="AF400" s="80"/>
      <c r="AG400" s="81"/>
      <c r="AH400" s="82"/>
      <c r="AI400" s="66"/>
      <c r="AK400" s="80"/>
      <c r="AL400" s="80"/>
      <c r="AM400" s="81"/>
      <c r="AN400" s="82"/>
      <c r="AO400" s="66"/>
      <c r="AQ400" s="80"/>
      <c r="AR400" s="80"/>
      <c r="AS400" s="81"/>
      <c r="AT400" s="82">
        <f t="shared" ref="AT400" si="449">SUM(AT382:AT395)</f>
        <v>0</v>
      </c>
      <c r="AU400" s="66">
        <f>IF(AT$400=0,0,AT400/AT$400)</f>
        <v>0</v>
      </c>
      <c r="AW400" s="80"/>
      <c r="AX400" s="80"/>
      <c r="AY400" s="81"/>
      <c r="AZ400" s="82">
        <f t="shared" ref="AZ400" si="450">SUM(AZ382:AZ395)</f>
        <v>0</v>
      </c>
      <c r="BA400" s="66">
        <f>IF(AZ$400=0,0,AZ400/AZ$400)</f>
        <v>0</v>
      </c>
    </row>
    <row r="401" spans="1:53" ht="17.100000000000001" customHeight="1" x14ac:dyDescent="0.25">
      <c r="A401" s="175"/>
      <c r="B401" s="48" t="s">
        <v>206</v>
      </c>
      <c r="C401" s="49" t="s">
        <v>473</v>
      </c>
      <c r="D401" s="176"/>
      <c r="E401" s="43"/>
      <c r="F401" s="43"/>
      <c r="G401" s="43"/>
      <c r="H401" s="540"/>
      <c r="I401" s="12"/>
      <c r="J401" s="88"/>
      <c r="K401" s="88"/>
      <c r="L401" s="71"/>
      <c r="M401" s="71"/>
      <c r="N401" s="71"/>
      <c r="O401" s="71"/>
      <c r="P401" s="71"/>
      <c r="Q401" s="71"/>
      <c r="R401" s="71"/>
      <c r="S401" s="71"/>
      <c r="T401" s="71"/>
      <c r="U401" s="71"/>
      <c r="V401" s="355"/>
      <c r="W401" s="377"/>
      <c r="X401" s="71"/>
      <c r="Y401" s="89"/>
      <c r="Z401" s="90"/>
      <c r="AA401" s="90"/>
      <c r="AB401" s="90"/>
      <c r="AC401" s="73"/>
      <c r="AE401" s="87"/>
      <c r="AF401" s="87"/>
      <c r="AG401" s="71"/>
      <c r="AH401" s="89"/>
      <c r="AI401" s="90"/>
      <c r="AK401" s="87"/>
      <c r="AL401" s="87"/>
      <c r="AM401" s="71"/>
      <c r="AN401" s="89"/>
      <c r="AO401" s="90"/>
      <c r="AQ401" s="87"/>
      <c r="AR401" s="87"/>
      <c r="AS401" s="71"/>
      <c r="AT401" s="89"/>
      <c r="AU401" s="90"/>
      <c r="AW401" s="87"/>
      <c r="AX401" s="87"/>
      <c r="AY401" s="71"/>
      <c r="AZ401" s="89"/>
      <c r="BA401" s="90"/>
    </row>
    <row r="402" spans="1:53" ht="17.100000000000001" customHeight="1" x14ac:dyDescent="0.25">
      <c r="A402" s="175"/>
      <c r="B402" s="177"/>
      <c r="C402" s="56" t="s">
        <v>207</v>
      </c>
      <c r="D402" s="57" t="s">
        <v>173</v>
      </c>
      <c r="E402" s="75"/>
      <c r="F402" s="75"/>
      <c r="G402" s="75"/>
      <c r="H402" s="540"/>
      <c r="I402" s="12"/>
      <c r="J402" s="111"/>
      <c r="K402" s="111"/>
      <c r="L402" s="111"/>
      <c r="M402" s="111"/>
      <c r="N402" s="60"/>
      <c r="O402" s="60">
        <v>9</v>
      </c>
      <c r="P402" s="17">
        <f t="shared" ref="P402:P406" si="451">SUM(N402:O402)</f>
        <v>9</v>
      </c>
      <c r="Q402" s="60"/>
      <c r="R402" s="60"/>
      <c r="S402" s="17">
        <f t="shared" ref="S402:S406" si="452">SUM(Q402:R402)</f>
        <v>0</v>
      </c>
      <c r="T402" s="60"/>
      <c r="U402" s="60"/>
      <c r="V402" s="359">
        <f t="shared" ref="V402:V406" si="453">SUM(T402:U402)</f>
        <v>0</v>
      </c>
      <c r="W402" s="391">
        <f t="shared" ref="W402:W406" si="454">J402+K402+N402+Q402+T402</f>
        <v>0</v>
      </c>
      <c r="X402" s="17">
        <f t="shared" ref="X402:X406" si="455">L402+O402+R402+U402</f>
        <v>9</v>
      </c>
      <c r="Y402" s="18">
        <f>SUM(W402:X402)</f>
        <v>9</v>
      </c>
      <c r="Z402" s="19">
        <f>IF(Y$407=0,0,Y402/Y$407)</f>
        <v>1</v>
      </c>
      <c r="AA402" s="19"/>
      <c r="AB402" s="19"/>
      <c r="AC402" s="84"/>
      <c r="AE402" s="111"/>
      <c r="AF402" s="111"/>
      <c r="AG402" s="111"/>
      <c r="AH402" s="112"/>
      <c r="AI402" s="113"/>
      <c r="AK402" s="111"/>
      <c r="AL402" s="111"/>
      <c r="AM402" s="111"/>
      <c r="AN402" s="112"/>
      <c r="AO402" s="113"/>
      <c r="AQ402" s="17"/>
      <c r="AR402" s="17"/>
      <c r="AS402" s="17"/>
      <c r="AT402" s="18">
        <f t="shared" ref="AT402:AT406" si="456">W402</f>
        <v>0</v>
      </c>
      <c r="AU402" s="19">
        <f t="shared" ref="AU402:AU407" si="457">IF(AT$407=0,0,AT402/AT$407)</f>
        <v>0</v>
      </c>
      <c r="AW402" s="17"/>
      <c r="AX402" s="17"/>
      <c r="AY402" s="17"/>
      <c r="AZ402" s="18">
        <f t="shared" ref="AZ402:AZ406" si="458">X402</f>
        <v>9</v>
      </c>
      <c r="BA402" s="19">
        <f t="shared" ref="BA402:BA407" si="459">IF(AZ$407=0,0,AZ402/AZ$407)</f>
        <v>1</v>
      </c>
    </row>
    <row r="403" spans="1:53" ht="17.100000000000001" customHeight="1" x14ac:dyDescent="0.25">
      <c r="A403" s="175"/>
      <c r="B403" s="177"/>
      <c r="C403" s="56" t="s">
        <v>208</v>
      </c>
      <c r="D403" s="57" t="s">
        <v>209</v>
      </c>
      <c r="E403" s="75"/>
      <c r="F403" s="75"/>
      <c r="G403" s="75"/>
      <c r="H403" s="540"/>
      <c r="I403" s="12"/>
      <c r="J403" s="111"/>
      <c r="K403" s="111"/>
      <c r="L403" s="111"/>
      <c r="M403" s="111"/>
      <c r="N403" s="61"/>
      <c r="O403" s="61"/>
      <c r="P403" s="17">
        <f t="shared" si="451"/>
        <v>0</v>
      </c>
      <c r="Q403" s="61"/>
      <c r="R403" s="61"/>
      <c r="S403" s="17">
        <f t="shared" si="452"/>
        <v>0</v>
      </c>
      <c r="T403" s="61"/>
      <c r="U403" s="61"/>
      <c r="V403" s="359">
        <f t="shared" si="453"/>
        <v>0</v>
      </c>
      <c r="W403" s="391">
        <f t="shared" si="454"/>
        <v>0</v>
      </c>
      <c r="X403" s="17">
        <f t="shared" si="455"/>
        <v>0</v>
      </c>
      <c r="Y403" s="18">
        <f>SUM(W403:X403)</f>
        <v>0</v>
      </c>
      <c r="Z403" s="19">
        <f t="shared" ref="Z403:Z406" si="460">IF(Y$407=0,0,Y403/Y$407)</f>
        <v>0</v>
      </c>
      <c r="AA403" s="19"/>
      <c r="AB403" s="19"/>
      <c r="AC403" s="84"/>
      <c r="AE403" s="111"/>
      <c r="AF403" s="111"/>
      <c r="AG403" s="111"/>
      <c r="AH403" s="112"/>
      <c r="AI403" s="113"/>
      <c r="AK403" s="111"/>
      <c r="AL403" s="111"/>
      <c r="AM403" s="111"/>
      <c r="AN403" s="112"/>
      <c r="AO403" s="113"/>
      <c r="AQ403" s="17"/>
      <c r="AR403" s="17"/>
      <c r="AS403" s="17"/>
      <c r="AT403" s="18">
        <f t="shared" si="456"/>
        <v>0</v>
      </c>
      <c r="AU403" s="19">
        <f t="shared" si="457"/>
        <v>0</v>
      </c>
      <c r="AW403" s="17"/>
      <c r="AX403" s="17"/>
      <c r="AY403" s="17"/>
      <c r="AZ403" s="18">
        <f t="shared" si="458"/>
        <v>0</v>
      </c>
      <c r="BA403" s="19">
        <f t="shared" si="459"/>
        <v>0</v>
      </c>
    </row>
    <row r="404" spans="1:53" ht="17.100000000000001" customHeight="1" x14ac:dyDescent="0.25">
      <c r="A404" s="175"/>
      <c r="B404" s="177"/>
      <c r="C404" s="56" t="s">
        <v>210</v>
      </c>
      <c r="D404" s="57" t="s">
        <v>211</v>
      </c>
      <c r="E404" s="75"/>
      <c r="F404" s="75"/>
      <c r="G404" s="75"/>
      <c r="H404" s="540"/>
      <c r="I404" s="12"/>
      <c r="J404" s="111"/>
      <c r="K404" s="111"/>
      <c r="L404" s="111"/>
      <c r="M404" s="111"/>
      <c r="N404" s="60"/>
      <c r="O404" s="60"/>
      <c r="P404" s="17">
        <f t="shared" si="451"/>
        <v>0</v>
      </c>
      <c r="Q404" s="60"/>
      <c r="R404" s="60"/>
      <c r="S404" s="17">
        <f t="shared" si="452"/>
        <v>0</v>
      </c>
      <c r="T404" s="60"/>
      <c r="U404" s="60"/>
      <c r="V404" s="359">
        <f t="shared" si="453"/>
        <v>0</v>
      </c>
      <c r="W404" s="391">
        <f t="shared" si="454"/>
        <v>0</v>
      </c>
      <c r="X404" s="17">
        <f t="shared" si="455"/>
        <v>0</v>
      </c>
      <c r="Y404" s="18">
        <f>SUM(W404:X404)</f>
        <v>0</v>
      </c>
      <c r="Z404" s="19">
        <f t="shared" si="460"/>
        <v>0</v>
      </c>
      <c r="AA404" s="19"/>
      <c r="AB404" s="19"/>
      <c r="AC404" s="84"/>
      <c r="AE404" s="111"/>
      <c r="AF404" s="111"/>
      <c r="AG404" s="111"/>
      <c r="AH404" s="112"/>
      <c r="AI404" s="113"/>
      <c r="AK404" s="111"/>
      <c r="AL404" s="111"/>
      <c r="AM404" s="111"/>
      <c r="AN404" s="112"/>
      <c r="AO404" s="113"/>
      <c r="AQ404" s="17"/>
      <c r="AR404" s="17"/>
      <c r="AS404" s="17"/>
      <c r="AT404" s="18">
        <f t="shared" si="456"/>
        <v>0</v>
      </c>
      <c r="AU404" s="19">
        <f t="shared" si="457"/>
        <v>0</v>
      </c>
      <c r="AW404" s="17"/>
      <c r="AX404" s="17"/>
      <c r="AY404" s="17"/>
      <c r="AZ404" s="18">
        <f t="shared" si="458"/>
        <v>0</v>
      </c>
      <c r="BA404" s="19">
        <f t="shared" si="459"/>
        <v>0</v>
      </c>
    </row>
    <row r="405" spans="1:53" ht="17.100000000000001" customHeight="1" x14ac:dyDescent="0.25">
      <c r="A405" s="175"/>
      <c r="B405" s="177"/>
      <c r="C405" s="56" t="s">
        <v>212</v>
      </c>
      <c r="D405" s="57" t="s">
        <v>213</v>
      </c>
      <c r="E405" s="75"/>
      <c r="F405" s="75"/>
      <c r="G405" s="75"/>
      <c r="H405" s="540"/>
      <c r="I405" s="12"/>
      <c r="J405" s="111"/>
      <c r="K405" s="111"/>
      <c r="L405" s="111"/>
      <c r="M405" s="111"/>
      <c r="N405" s="61"/>
      <c r="O405" s="61"/>
      <c r="P405" s="17">
        <f t="shared" si="451"/>
        <v>0</v>
      </c>
      <c r="Q405" s="61"/>
      <c r="R405" s="61"/>
      <c r="S405" s="17">
        <f t="shared" si="452"/>
        <v>0</v>
      </c>
      <c r="T405" s="61"/>
      <c r="U405" s="61"/>
      <c r="V405" s="359">
        <f t="shared" si="453"/>
        <v>0</v>
      </c>
      <c r="W405" s="391">
        <f t="shared" si="454"/>
        <v>0</v>
      </c>
      <c r="X405" s="17">
        <f t="shared" si="455"/>
        <v>0</v>
      </c>
      <c r="Y405" s="18">
        <f>SUM(W405:X405)</f>
        <v>0</v>
      </c>
      <c r="Z405" s="19">
        <f t="shared" si="460"/>
        <v>0</v>
      </c>
      <c r="AA405" s="19"/>
      <c r="AB405" s="19"/>
      <c r="AC405" s="84"/>
      <c r="AE405" s="111"/>
      <c r="AF405" s="111"/>
      <c r="AG405" s="111"/>
      <c r="AH405" s="112"/>
      <c r="AI405" s="113"/>
      <c r="AK405" s="111"/>
      <c r="AL405" s="111"/>
      <c r="AM405" s="111"/>
      <c r="AN405" s="112"/>
      <c r="AO405" s="113"/>
      <c r="AQ405" s="17"/>
      <c r="AR405" s="17"/>
      <c r="AS405" s="17"/>
      <c r="AT405" s="18">
        <f t="shared" si="456"/>
        <v>0</v>
      </c>
      <c r="AU405" s="19">
        <f t="shared" si="457"/>
        <v>0</v>
      </c>
      <c r="AW405" s="17"/>
      <c r="AX405" s="17"/>
      <c r="AY405" s="17"/>
      <c r="AZ405" s="18">
        <f t="shared" si="458"/>
        <v>0</v>
      </c>
      <c r="BA405" s="19">
        <f t="shared" si="459"/>
        <v>0</v>
      </c>
    </row>
    <row r="406" spans="1:53" ht="17.100000000000001" customHeight="1" x14ac:dyDescent="0.25">
      <c r="A406" s="175"/>
      <c r="B406" s="177"/>
      <c r="C406" s="56" t="s">
        <v>214</v>
      </c>
      <c r="D406" s="147" t="s">
        <v>129</v>
      </c>
      <c r="E406" s="75"/>
      <c r="F406" s="75"/>
      <c r="G406" s="75"/>
      <c r="H406" s="540"/>
      <c r="I406" s="12"/>
      <c r="J406" s="111"/>
      <c r="K406" s="111"/>
      <c r="L406" s="111"/>
      <c r="M406" s="111"/>
      <c r="N406" s="60"/>
      <c r="O406" s="60"/>
      <c r="P406" s="17">
        <f t="shared" si="451"/>
        <v>0</v>
      </c>
      <c r="Q406" s="60"/>
      <c r="R406" s="60"/>
      <c r="S406" s="17">
        <f t="shared" si="452"/>
        <v>0</v>
      </c>
      <c r="T406" s="60"/>
      <c r="U406" s="60"/>
      <c r="V406" s="359">
        <f t="shared" si="453"/>
        <v>0</v>
      </c>
      <c r="W406" s="391">
        <f t="shared" si="454"/>
        <v>0</v>
      </c>
      <c r="X406" s="17">
        <f t="shared" si="455"/>
        <v>0</v>
      </c>
      <c r="Y406" s="18">
        <f>SUM(W406:X406)</f>
        <v>0</v>
      </c>
      <c r="Z406" s="19">
        <f t="shared" si="460"/>
        <v>0</v>
      </c>
      <c r="AA406" s="19"/>
      <c r="AB406" s="19"/>
      <c r="AC406" s="84"/>
      <c r="AE406" s="111"/>
      <c r="AF406" s="111"/>
      <c r="AG406" s="111"/>
      <c r="AH406" s="112"/>
      <c r="AI406" s="113"/>
      <c r="AK406" s="111"/>
      <c r="AL406" s="111"/>
      <c r="AM406" s="111"/>
      <c r="AN406" s="112"/>
      <c r="AO406" s="113"/>
      <c r="AQ406" s="17"/>
      <c r="AR406" s="17"/>
      <c r="AS406" s="17"/>
      <c r="AT406" s="18">
        <f t="shared" si="456"/>
        <v>0</v>
      </c>
      <c r="AU406" s="19">
        <f t="shared" si="457"/>
        <v>0</v>
      </c>
      <c r="AW406" s="17"/>
      <c r="AX406" s="17"/>
      <c r="AY406" s="17"/>
      <c r="AZ406" s="18">
        <f t="shared" si="458"/>
        <v>0</v>
      </c>
      <c r="BA406" s="19">
        <f t="shared" si="459"/>
        <v>0</v>
      </c>
    </row>
    <row r="407" spans="1:53" ht="17.100000000000001" customHeight="1" x14ac:dyDescent="0.25">
      <c r="A407" s="175"/>
      <c r="B407" s="40"/>
      <c r="C407" s="77"/>
      <c r="D407" s="134"/>
      <c r="E407" s="134"/>
      <c r="F407" s="134"/>
      <c r="G407" s="134"/>
      <c r="H407" s="540"/>
      <c r="I407" s="12"/>
      <c r="J407" s="64"/>
      <c r="K407" s="64"/>
      <c r="L407" s="64"/>
      <c r="M407" s="64"/>
      <c r="N407" s="64">
        <f>SUM(N402:N406)</f>
        <v>0</v>
      </c>
      <c r="O407" s="64">
        <f t="shared" ref="O407:V407" si="461">SUM(O402:O406)</f>
        <v>9</v>
      </c>
      <c r="P407" s="64">
        <f t="shared" si="461"/>
        <v>9</v>
      </c>
      <c r="Q407" s="64">
        <f t="shared" si="461"/>
        <v>0</v>
      </c>
      <c r="R407" s="64">
        <f t="shared" si="461"/>
        <v>0</v>
      </c>
      <c r="S407" s="64">
        <f t="shared" si="461"/>
        <v>0</v>
      </c>
      <c r="T407" s="64">
        <f t="shared" si="461"/>
        <v>0</v>
      </c>
      <c r="U407" s="64">
        <f t="shared" si="461"/>
        <v>0</v>
      </c>
      <c r="V407" s="64">
        <f t="shared" si="461"/>
        <v>0</v>
      </c>
      <c r="W407" s="390">
        <f>SUM(W402:W406)</f>
        <v>0</v>
      </c>
      <c r="X407" s="224">
        <f t="shared" ref="X407:Y407" si="462">SUM(X402:X406)</f>
        <v>9</v>
      </c>
      <c r="Y407" s="224">
        <f t="shared" si="462"/>
        <v>9</v>
      </c>
      <c r="Z407" s="66">
        <f>IF(Y$407=0,0,Y407/Y$407)</f>
        <v>1</v>
      </c>
      <c r="AA407" s="66"/>
      <c r="AB407" s="66"/>
      <c r="AC407" s="83"/>
      <c r="AE407" s="80"/>
      <c r="AF407" s="80"/>
      <c r="AG407" s="81"/>
      <c r="AH407" s="82"/>
      <c r="AI407" s="66"/>
      <c r="AK407" s="80"/>
      <c r="AL407" s="80"/>
      <c r="AM407" s="81"/>
      <c r="AN407" s="82"/>
      <c r="AO407" s="66"/>
      <c r="AQ407" s="80"/>
      <c r="AR407" s="80"/>
      <c r="AS407" s="81"/>
      <c r="AT407" s="82">
        <f>SUM(AT402:AT406)</f>
        <v>0</v>
      </c>
      <c r="AU407" s="66">
        <f t="shared" si="457"/>
        <v>0</v>
      </c>
      <c r="AW407" s="80"/>
      <c r="AX407" s="80"/>
      <c r="AY407" s="81"/>
      <c r="AZ407" s="82">
        <f>SUM(AZ402:AZ406)</f>
        <v>9</v>
      </c>
      <c r="BA407" s="66">
        <f t="shared" si="459"/>
        <v>1</v>
      </c>
    </row>
    <row r="408" spans="1:53" s="117" customFormat="1" ht="17.100000000000001" customHeight="1" x14ac:dyDescent="0.25">
      <c r="A408" s="68"/>
      <c r="B408" s="119"/>
      <c r="C408" s="540"/>
      <c r="D408" s="261"/>
      <c r="E408" s="261"/>
      <c r="F408" s="68"/>
      <c r="G408" s="68"/>
      <c r="H408" s="119"/>
      <c r="I408" s="138"/>
      <c r="J408" s="17"/>
      <c r="K408" s="17"/>
      <c r="L408" s="17"/>
      <c r="M408" s="17"/>
      <c r="N408" s="17" t="str">
        <f>IF(N407=N$20,"OK","NOK")</f>
        <v>OK</v>
      </c>
      <c r="O408" s="17" t="str">
        <f>IF(O407=O$20,"OK","NOK")</f>
        <v>OK</v>
      </c>
      <c r="P408" s="17"/>
      <c r="Q408" s="17" t="str">
        <f>IF(Q407=Q$20,"OK","NOK")</f>
        <v>OK</v>
      </c>
      <c r="R408" s="17" t="str">
        <f>IF(R407=R$20,"OK","NOK")</f>
        <v>OK</v>
      </c>
      <c r="S408" s="17"/>
      <c r="T408" s="17" t="str">
        <f>IF(T407=T$20,"OK","NOK")</f>
        <v>OK</v>
      </c>
      <c r="U408" s="17" t="str">
        <f>IF(U407=U$20,"OK","NOK")</f>
        <v>OK</v>
      </c>
      <c r="V408" s="359"/>
      <c r="W408" s="382"/>
      <c r="X408" s="539"/>
      <c r="Y408" s="539"/>
      <c r="Z408" s="201"/>
      <c r="AA408" s="201"/>
      <c r="AB408" s="201"/>
      <c r="AC408" s="84"/>
      <c r="AE408" s="46"/>
      <c r="AF408" s="46"/>
      <c r="AG408" s="17"/>
      <c r="AH408" s="539"/>
      <c r="AI408" s="91"/>
      <c r="AK408" s="46"/>
      <c r="AL408" s="46"/>
      <c r="AM408" s="17"/>
      <c r="AN408" s="539"/>
      <c r="AO408" s="91"/>
      <c r="AQ408" s="46"/>
      <c r="AR408" s="46"/>
      <c r="AS408" s="17"/>
      <c r="AT408" s="539"/>
      <c r="AU408" s="91"/>
      <c r="AW408" s="46"/>
      <c r="AX408" s="46"/>
      <c r="AY408" s="17"/>
      <c r="AZ408" s="539"/>
      <c r="BA408" s="91"/>
    </row>
    <row r="409" spans="1:53" ht="17.100000000000001" customHeight="1" x14ac:dyDescent="0.25">
      <c r="A409" s="68"/>
      <c r="B409" s="48" t="s">
        <v>215</v>
      </c>
      <c r="C409" s="49" t="s">
        <v>216</v>
      </c>
      <c r="D409" s="50"/>
      <c r="E409" s="70"/>
      <c r="F409" s="70"/>
      <c r="G409" s="70"/>
      <c r="H409" s="119"/>
      <c r="J409" s="71"/>
      <c r="K409" s="71"/>
      <c r="L409" s="71"/>
      <c r="M409" s="71"/>
      <c r="N409" s="71">
        <f t="shared" ref="N409:X409" si="463">N403</f>
        <v>0</v>
      </c>
      <c r="O409" s="71">
        <f t="shared" si="463"/>
        <v>0</v>
      </c>
      <c r="P409" s="71"/>
      <c r="Q409" s="71">
        <f t="shared" si="463"/>
        <v>0</v>
      </c>
      <c r="R409" s="71">
        <f t="shared" si="463"/>
        <v>0</v>
      </c>
      <c r="S409" s="71"/>
      <c r="T409" s="71">
        <f t="shared" si="463"/>
        <v>0</v>
      </c>
      <c r="U409" s="71">
        <f t="shared" si="463"/>
        <v>0</v>
      </c>
      <c r="V409" s="355"/>
      <c r="W409" s="377">
        <f t="shared" si="463"/>
        <v>0</v>
      </c>
      <c r="X409" s="71">
        <f t="shared" si="463"/>
        <v>0</v>
      </c>
      <c r="Y409" s="72"/>
      <c r="Z409" s="73"/>
      <c r="AA409" s="73"/>
      <c r="AB409" s="73"/>
      <c r="AC409" s="73"/>
      <c r="AE409" s="71"/>
      <c r="AF409" s="71"/>
      <c r="AG409" s="71"/>
      <c r="AH409" s="72"/>
      <c r="AI409" s="73"/>
      <c r="AK409" s="71"/>
      <c r="AL409" s="71"/>
      <c r="AM409" s="71"/>
      <c r="AN409" s="72"/>
      <c r="AO409" s="73"/>
      <c r="AQ409" s="71"/>
      <c r="AR409" s="71"/>
      <c r="AS409" s="71"/>
      <c r="AT409" s="72"/>
      <c r="AU409" s="73"/>
      <c r="AW409" s="71"/>
      <c r="AX409" s="71"/>
      <c r="AY409" s="71"/>
      <c r="AZ409" s="72"/>
      <c r="BA409" s="73"/>
    </row>
    <row r="410" spans="1:53" ht="17.100000000000001" customHeight="1" x14ac:dyDescent="0.25">
      <c r="A410" s="40"/>
      <c r="B410" s="40"/>
      <c r="C410" s="56" t="s">
        <v>217</v>
      </c>
      <c r="D410" s="149" t="s">
        <v>218</v>
      </c>
      <c r="E410" s="149"/>
      <c r="F410" s="75"/>
      <c r="G410" s="75"/>
      <c r="H410" s="540"/>
      <c r="I410" s="229"/>
      <c r="J410" s="111"/>
      <c r="K410" s="111"/>
      <c r="L410" s="111"/>
      <c r="M410" s="111"/>
      <c r="N410" s="111"/>
      <c r="O410" s="111"/>
      <c r="P410" s="111"/>
      <c r="Q410" s="111"/>
      <c r="R410" s="111"/>
      <c r="S410" s="111"/>
      <c r="T410" s="111"/>
      <c r="U410" s="111"/>
      <c r="V410" s="358"/>
      <c r="W410" s="380"/>
      <c r="X410" s="111"/>
      <c r="Y410" s="545"/>
      <c r="Z410" s="131"/>
      <c r="AA410" s="131"/>
      <c r="AB410" s="131"/>
      <c r="AC410" s="111"/>
      <c r="AE410" s="111"/>
      <c r="AF410" s="111"/>
      <c r="AG410" s="111"/>
      <c r="AH410" s="545"/>
      <c r="AI410" s="131"/>
      <c r="AK410" s="111"/>
      <c r="AL410" s="111"/>
      <c r="AM410" s="111"/>
      <c r="AN410" s="545"/>
      <c r="AO410" s="131"/>
      <c r="AQ410" s="111"/>
      <c r="AR410" s="111"/>
      <c r="AS410" s="111"/>
      <c r="AT410" s="545"/>
      <c r="AU410" s="131"/>
      <c r="AW410" s="111"/>
      <c r="AX410" s="111"/>
      <c r="AY410" s="111"/>
      <c r="AZ410" s="545"/>
      <c r="BA410" s="131"/>
    </row>
    <row r="411" spans="1:53" ht="17.100000000000001" customHeight="1" x14ac:dyDescent="0.25">
      <c r="A411" s="40"/>
      <c r="B411" s="40"/>
      <c r="C411" s="55"/>
      <c r="D411" s="56" t="s">
        <v>219</v>
      </c>
      <c r="E411" s="149" t="s">
        <v>474</v>
      </c>
      <c r="F411" s="75"/>
      <c r="G411" s="75"/>
      <c r="H411" s="540"/>
      <c r="I411" s="229"/>
      <c r="J411" s="111"/>
      <c r="K411" s="111"/>
      <c r="L411" s="111"/>
      <c r="M411" s="111"/>
      <c r="N411" s="60"/>
      <c r="O411" s="60"/>
      <c r="P411" s="17">
        <f t="shared" ref="P411:P415" si="464">SUM(N411:O411)</f>
        <v>0</v>
      </c>
      <c r="Q411" s="60"/>
      <c r="R411" s="60"/>
      <c r="S411" s="17">
        <f t="shared" ref="S411:S415" si="465">SUM(Q411:R411)</f>
        <v>0</v>
      </c>
      <c r="T411" s="60"/>
      <c r="U411" s="60"/>
      <c r="V411" s="359">
        <f t="shared" ref="V411:V415" si="466">SUM(T411:U411)</f>
        <v>0</v>
      </c>
      <c r="W411" s="391">
        <f t="shared" ref="W411:W416" si="467">J411+K411+N411+Q411+T411</f>
        <v>0</v>
      </c>
      <c r="X411" s="17">
        <f t="shared" ref="X411:X416" si="468">L411+O411+R411+U411</f>
        <v>0</v>
      </c>
      <c r="Y411" s="18">
        <f>SUM(W411:X411)</f>
        <v>0</v>
      </c>
      <c r="Z411" s="19">
        <f>IF(Y$421=0,0,Y411/Y$421)</f>
        <v>0</v>
      </c>
      <c r="AA411" s="19"/>
      <c r="AB411" s="19"/>
      <c r="AC411" s="17"/>
      <c r="AE411" s="111"/>
      <c r="AF411" s="111"/>
      <c r="AG411" s="111"/>
      <c r="AH411" s="112"/>
      <c r="AI411" s="113"/>
      <c r="AK411" s="111"/>
      <c r="AL411" s="111"/>
      <c r="AM411" s="111"/>
      <c r="AN411" s="112"/>
      <c r="AO411" s="113"/>
      <c r="AQ411" s="17"/>
      <c r="AR411" s="17"/>
      <c r="AS411" s="17"/>
      <c r="AT411" s="18">
        <f t="shared" ref="AT411:AT416" si="469">W411</f>
        <v>0</v>
      </c>
      <c r="AU411" s="19">
        <f>IF(AT$421=0,0,AT411/AT$421)</f>
        <v>0</v>
      </c>
      <c r="AW411" s="17"/>
      <c r="AX411" s="17"/>
      <c r="AY411" s="17"/>
      <c r="AZ411" s="18">
        <f t="shared" ref="AZ411:AZ416" si="470">X411</f>
        <v>0</v>
      </c>
      <c r="BA411" s="19">
        <f>IF(AZ$421=0,0,AZ411/AZ$421)</f>
        <v>0</v>
      </c>
    </row>
    <row r="412" spans="1:53" ht="17.100000000000001" customHeight="1" x14ac:dyDescent="0.25">
      <c r="A412" s="40"/>
      <c r="B412" s="40"/>
      <c r="C412" s="40"/>
      <c r="D412" s="56" t="s">
        <v>220</v>
      </c>
      <c r="E412" s="149" t="s">
        <v>221</v>
      </c>
      <c r="F412" s="75"/>
      <c r="G412" s="75"/>
      <c r="H412" s="540"/>
      <c r="I412" s="229"/>
      <c r="J412" s="111"/>
      <c r="K412" s="111"/>
      <c r="L412" s="111"/>
      <c r="M412" s="111"/>
      <c r="N412" s="61"/>
      <c r="O412" s="61"/>
      <c r="P412" s="17">
        <f t="shared" si="464"/>
        <v>0</v>
      </c>
      <c r="Q412" s="61"/>
      <c r="R412" s="61"/>
      <c r="S412" s="17">
        <f t="shared" si="465"/>
        <v>0</v>
      </c>
      <c r="T412" s="61"/>
      <c r="U412" s="61"/>
      <c r="V412" s="359">
        <f t="shared" si="466"/>
        <v>0</v>
      </c>
      <c r="W412" s="391">
        <f t="shared" si="467"/>
        <v>0</v>
      </c>
      <c r="X412" s="17">
        <f t="shared" si="468"/>
        <v>0</v>
      </c>
      <c r="Y412" s="18">
        <f>SUM(W412:X412)</f>
        <v>0</v>
      </c>
      <c r="Z412" s="19">
        <f t="shared" ref="Z412:Z415" si="471">IF(Y$421=0,0,Y412/Y$421)</f>
        <v>0</v>
      </c>
      <c r="AA412" s="19"/>
      <c r="AB412" s="19"/>
      <c r="AC412" s="17"/>
      <c r="AE412" s="111"/>
      <c r="AF412" s="111"/>
      <c r="AG412" s="111"/>
      <c r="AH412" s="112"/>
      <c r="AI412" s="113"/>
      <c r="AK412" s="111"/>
      <c r="AL412" s="111"/>
      <c r="AM412" s="111"/>
      <c r="AN412" s="112"/>
      <c r="AO412" s="113"/>
      <c r="AQ412" s="17"/>
      <c r="AR412" s="17"/>
      <c r="AS412" s="17"/>
      <c r="AT412" s="18">
        <f t="shared" si="469"/>
        <v>0</v>
      </c>
      <c r="AU412" s="19">
        <f t="shared" ref="AU412:AU421" si="472">IF(AT$421=0,0,AT412/AT$421)</f>
        <v>0</v>
      </c>
      <c r="AW412" s="17"/>
      <c r="AX412" s="17"/>
      <c r="AY412" s="17"/>
      <c r="AZ412" s="18">
        <f t="shared" si="470"/>
        <v>0</v>
      </c>
      <c r="BA412" s="19">
        <f t="shared" ref="BA412:BA421" si="473">IF(AZ$421=0,0,AZ412/AZ$421)</f>
        <v>0</v>
      </c>
    </row>
    <row r="413" spans="1:53" ht="17.100000000000001" customHeight="1" x14ac:dyDescent="0.25">
      <c r="A413" s="40"/>
      <c r="B413" s="40"/>
      <c r="C413" s="40"/>
      <c r="D413" s="56" t="s">
        <v>222</v>
      </c>
      <c r="E413" s="149" t="s">
        <v>223</v>
      </c>
      <c r="F413" s="75"/>
      <c r="G413" s="75"/>
      <c r="H413" s="540"/>
      <c r="I413" s="229"/>
      <c r="J413" s="111"/>
      <c r="K413" s="111"/>
      <c r="L413" s="111"/>
      <c r="M413" s="111"/>
      <c r="N413" s="60"/>
      <c r="O413" s="60"/>
      <c r="P413" s="17">
        <f t="shared" si="464"/>
        <v>0</v>
      </c>
      <c r="Q413" s="60"/>
      <c r="R413" s="60"/>
      <c r="S413" s="17">
        <f t="shared" si="465"/>
        <v>0</v>
      </c>
      <c r="T413" s="60"/>
      <c r="U413" s="60"/>
      <c r="V413" s="359">
        <f t="shared" si="466"/>
        <v>0</v>
      </c>
      <c r="W413" s="391">
        <f t="shared" si="467"/>
        <v>0</v>
      </c>
      <c r="X413" s="17">
        <f t="shared" si="468"/>
        <v>0</v>
      </c>
      <c r="Y413" s="18">
        <f>SUM(W413:X413)</f>
        <v>0</v>
      </c>
      <c r="Z413" s="19">
        <f t="shared" si="471"/>
        <v>0</v>
      </c>
      <c r="AA413" s="19"/>
      <c r="AB413" s="19"/>
      <c r="AC413" s="17"/>
      <c r="AE413" s="111"/>
      <c r="AF413" s="111"/>
      <c r="AG413" s="111"/>
      <c r="AH413" s="112"/>
      <c r="AI413" s="113"/>
      <c r="AK413" s="111"/>
      <c r="AL413" s="111"/>
      <c r="AM413" s="111"/>
      <c r="AN413" s="112"/>
      <c r="AO413" s="113"/>
      <c r="AQ413" s="17"/>
      <c r="AR413" s="17"/>
      <c r="AS413" s="17"/>
      <c r="AT413" s="18">
        <f t="shared" si="469"/>
        <v>0</v>
      </c>
      <c r="AU413" s="19">
        <f t="shared" si="472"/>
        <v>0</v>
      </c>
      <c r="AW413" s="17"/>
      <c r="AX413" s="17"/>
      <c r="AY413" s="17"/>
      <c r="AZ413" s="18">
        <f t="shared" si="470"/>
        <v>0</v>
      </c>
      <c r="BA413" s="19">
        <f t="shared" si="473"/>
        <v>0</v>
      </c>
    </row>
    <row r="414" spans="1:53" ht="17.100000000000001" customHeight="1" x14ac:dyDescent="0.25">
      <c r="A414" s="40"/>
      <c r="B414" s="40"/>
      <c r="C414" s="40"/>
      <c r="D414" s="56" t="s">
        <v>224</v>
      </c>
      <c r="E414" s="149" t="s">
        <v>225</v>
      </c>
      <c r="F414" s="75"/>
      <c r="G414" s="75"/>
      <c r="H414" s="540"/>
      <c r="I414" s="229"/>
      <c r="J414" s="111"/>
      <c r="K414" s="111"/>
      <c r="L414" s="111"/>
      <c r="M414" s="111"/>
      <c r="N414" s="61"/>
      <c r="O414" s="61"/>
      <c r="P414" s="17">
        <f t="shared" si="464"/>
        <v>0</v>
      </c>
      <c r="Q414" s="61"/>
      <c r="R414" s="61"/>
      <c r="S414" s="17">
        <f t="shared" si="465"/>
        <v>0</v>
      </c>
      <c r="T414" s="61"/>
      <c r="U414" s="61"/>
      <c r="V414" s="359">
        <f t="shared" si="466"/>
        <v>0</v>
      </c>
      <c r="W414" s="391">
        <f t="shared" si="467"/>
        <v>0</v>
      </c>
      <c r="X414" s="17">
        <f t="shared" si="468"/>
        <v>0</v>
      </c>
      <c r="Y414" s="18">
        <f>SUM(W414:X414)</f>
        <v>0</v>
      </c>
      <c r="Z414" s="19">
        <f t="shared" si="471"/>
        <v>0</v>
      </c>
      <c r="AA414" s="19"/>
      <c r="AB414" s="19"/>
      <c r="AC414" s="17"/>
      <c r="AE414" s="111"/>
      <c r="AF414" s="111"/>
      <c r="AG414" s="111"/>
      <c r="AH414" s="112"/>
      <c r="AI414" s="113"/>
      <c r="AK414" s="111"/>
      <c r="AL414" s="111"/>
      <c r="AM414" s="111"/>
      <c r="AN414" s="112"/>
      <c r="AO414" s="113"/>
      <c r="AQ414" s="17"/>
      <c r="AR414" s="17"/>
      <c r="AS414" s="17"/>
      <c r="AT414" s="18">
        <f t="shared" si="469"/>
        <v>0</v>
      </c>
      <c r="AU414" s="19">
        <f t="shared" si="472"/>
        <v>0</v>
      </c>
      <c r="AW414" s="17"/>
      <c r="AX414" s="17"/>
      <c r="AY414" s="17"/>
      <c r="AZ414" s="18">
        <f t="shared" si="470"/>
        <v>0</v>
      </c>
      <c r="BA414" s="19">
        <f t="shared" si="473"/>
        <v>0</v>
      </c>
    </row>
    <row r="415" spans="1:53" ht="17.100000000000001" customHeight="1" x14ac:dyDescent="0.25">
      <c r="A415" s="40"/>
      <c r="B415" s="40"/>
      <c r="C415" s="40"/>
      <c r="D415" s="56" t="s">
        <v>226</v>
      </c>
      <c r="E415" s="75" t="s">
        <v>227</v>
      </c>
      <c r="F415" s="75"/>
      <c r="G415" s="75"/>
      <c r="H415" s="540"/>
      <c r="I415" s="229"/>
      <c r="J415" s="111"/>
      <c r="K415" s="111"/>
      <c r="L415" s="111"/>
      <c r="M415" s="111"/>
      <c r="N415" s="60"/>
      <c r="O415" s="60"/>
      <c r="P415" s="17">
        <f t="shared" si="464"/>
        <v>0</v>
      </c>
      <c r="Q415" s="60"/>
      <c r="R415" s="60"/>
      <c r="S415" s="17">
        <f t="shared" si="465"/>
        <v>0</v>
      </c>
      <c r="T415" s="60"/>
      <c r="U415" s="60"/>
      <c r="V415" s="359">
        <f t="shared" si="466"/>
        <v>0</v>
      </c>
      <c r="W415" s="391">
        <f t="shared" si="467"/>
        <v>0</v>
      </c>
      <c r="X415" s="17">
        <f t="shared" si="468"/>
        <v>0</v>
      </c>
      <c r="Y415" s="18">
        <f>SUM(W415:X415)</f>
        <v>0</v>
      </c>
      <c r="Z415" s="19">
        <f t="shared" si="471"/>
        <v>0</v>
      </c>
      <c r="AA415" s="19"/>
      <c r="AB415" s="19"/>
      <c r="AC415" s="17"/>
      <c r="AE415" s="111"/>
      <c r="AF415" s="111"/>
      <c r="AG415" s="111"/>
      <c r="AH415" s="112"/>
      <c r="AI415" s="113"/>
      <c r="AK415" s="111"/>
      <c r="AL415" s="111"/>
      <c r="AM415" s="111"/>
      <c r="AN415" s="112"/>
      <c r="AO415" s="113"/>
      <c r="AQ415" s="17"/>
      <c r="AR415" s="17"/>
      <c r="AS415" s="17"/>
      <c r="AT415" s="18">
        <f t="shared" si="469"/>
        <v>0</v>
      </c>
      <c r="AU415" s="19">
        <f t="shared" si="472"/>
        <v>0</v>
      </c>
      <c r="AW415" s="17"/>
      <c r="AX415" s="17"/>
      <c r="AY415" s="17"/>
      <c r="AZ415" s="18">
        <f t="shared" si="470"/>
        <v>0</v>
      </c>
      <c r="BA415" s="19">
        <f t="shared" si="473"/>
        <v>0</v>
      </c>
    </row>
    <row r="416" spans="1:53" ht="17.100000000000001" customHeight="1" x14ac:dyDescent="0.25">
      <c r="A416" s="40"/>
      <c r="B416" s="40"/>
      <c r="C416" s="179"/>
      <c r="D416" s="56" t="s">
        <v>228</v>
      </c>
      <c r="E416" s="75" t="s">
        <v>229</v>
      </c>
      <c r="F416" s="75"/>
      <c r="G416" s="75"/>
      <c r="H416" s="540"/>
      <c r="I416" s="229"/>
      <c r="J416" s="111"/>
      <c r="K416" s="111"/>
      <c r="L416" s="111"/>
      <c r="M416" s="111"/>
      <c r="N416" s="111">
        <f t="shared" ref="N416:V416" si="474">SUM(N417:N420)</f>
        <v>0</v>
      </c>
      <c r="O416" s="111">
        <f t="shared" si="474"/>
        <v>0</v>
      </c>
      <c r="P416" s="111">
        <f t="shared" si="474"/>
        <v>0</v>
      </c>
      <c r="Q416" s="111">
        <f t="shared" si="474"/>
        <v>0</v>
      </c>
      <c r="R416" s="111">
        <f t="shared" si="474"/>
        <v>0</v>
      </c>
      <c r="S416" s="111">
        <f t="shared" si="474"/>
        <v>0</v>
      </c>
      <c r="T416" s="111">
        <f t="shared" si="474"/>
        <v>0</v>
      </c>
      <c r="U416" s="111">
        <f t="shared" si="474"/>
        <v>0</v>
      </c>
      <c r="V416" s="111">
        <f t="shared" si="474"/>
        <v>0</v>
      </c>
      <c r="W416" s="380">
        <f t="shared" si="467"/>
        <v>0</v>
      </c>
      <c r="X416" s="111">
        <f t="shared" si="468"/>
        <v>0</v>
      </c>
      <c r="Y416" s="545">
        <f>SUM(J416:X416)</f>
        <v>0</v>
      </c>
      <c r="Z416" s="131">
        <f>IF(Y$421=0,0,Y416/Y$421)</f>
        <v>0</v>
      </c>
      <c r="AA416" s="131"/>
      <c r="AB416" s="131"/>
      <c r="AC416" s="111"/>
      <c r="AE416" s="111"/>
      <c r="AF416" s="111"/>
      <c r="AG416" s="111"/>
      <c r="AH416" s="112"/>
      <c r="AI416" s="113"/>
      <c r="AK416" s="111"/>
      <c r="AL416" s="111"/>
      <c r="AM416" s="111"/>
      <c r="AN416" s="112"/>
      <c r="AO416" s="113"/>
      <c r="AQ416" s="111"/>
      <c r="AR416" s="111"/>
      <c r="AS416" s="111"/>
      <c r="AT416" s="545">
        <f t="shared" si="469"/>
        <v>0</v>
      </c>
      <c r="AU416" s="404">
        <f t="shared" si="472"/>
        <v>0</v>
      </c>
      <c r="AW416" s="174"/>
      <c r="AX416" s="174"/>
      <c r="AY416" s="174"/>
      <c r="AZ416" s="405">
        <f t="shared" si="470"/>
        <v>0</v>
      </c>
      <c r="BA416" s="404">
        <f t="shared" si="473"/>
        <v>0</v>
      </c>
    </row>
    <row r="417" spans="1:53" ht="17.100000000000001" customHeight="1" x14ac:dyDescent="0.25">
      <c r="A417" s="40"/>
      <c r="B417" s="40"/>
      <c r="C417" s="179"/>
      <c r="D417" s="74"/>
      <c r="E417" s="168"/>
      <c r="F417" s="169"/>
      <c r="G417" s="169"/>
      <c r="H417" s="17"/>
      <c r="I417" s="594"/>
      <c r="J417" s="111"/>
      <c r="K417" s="111"/>
      <c r="L417" s="111"/>
      <c r="M417" s="111"/>
      <c r="N417" s="60"/>
      <c r="O417" s="60"/>
      <c r="P417" s="17"/>
      <c r="Q417" s="60"/>
      <c r="R417" s="60"/>
      <c r="S417" s="17"/>
      <c r="T417" s="60"/>
      <c r="U417" s="60"/>
      <c r="V417" s="359"/>
      <c r="W417" s="391"/>
      <c r="X417" s="17"/>
      <c r="Y417" s="18"/>
      <c r="Z417" s="19"/>
      <c r="AA417" s="19"/>
      <c r="AB417" s="19"/>
      <c r="AC417" s="17"/>
      <c r="AE417" s="111"/>
      <c r="AF417" s="111"/>
      <c r="AG417" s="111"/>
      <c r="AH417" s="545"/>
      <c r="AI417" s="131"/>
      <c r="AK417" s="111"/>
      <c r="AL417" s="111"/>
      <c r="AM417" s="111"/>
      <c r="AN417" s="545"/>
      <c r="AO417" s="131"/>
      <c r="AQ417" s="17"/>
      <c r="AR417" s="17"/>
      <c r="AS417" s="17"/>
      <c r="AT417" s="18"/>
      <c r="AU417" s="19"/>
      <c r="AW417" s="17"/>
      <c r="AX417" s="17"/>
      <c r="AY417" s="17"/>
      <c r="AZ417" s="18"/>
      <c r="BA417" s="19"/>
    </row>
    <row r="418" spans="1:53" ht="17.100000000000001" customHeight="1" x14ac:dyDescent="0.25">
      <c r="A418" s="40"/>
      <c r="B418" s="40"/>
      <c r="C418" s="179"/>
      <c r="D418" s="74"/>
      <c r="E418" s="170"/>
      <c r="F418" s="171"/>
      <c r="G418" s="171"/>
      <c r="H418" s="17"/>
      <c r="I418" s="594"/>
      <c r="J418" s="111"/>
      <c r="K418" s="111"/>
      <c r="L418" s="111"/>
      <c r="M418" s="111"/>
      <c r="N418" s="61"/>
      <c r="O418" s="61"/>
      <c r="P418" s="17"/>
      <c r="Q418" s="61"/>
      <c r="R418" s="61"/>
      <c r="S418" s="17"/>
      <c r="T418" s="61"/>
      <c r="U418" s="61"/>
      <c r="V418" s="359"/>
      <c r="W418" s="391"/>
      <c r="X418" s="17"/>
      <c r="Y418" s="18"/>
      <c r="Z418" s="19"/>
      <c r="AA418" s="19"/>
      <c r="AB418" s="19"/>
      <c r="AC418" s="17"/>
      <c r="AE418" s="111"/>
      <c r="AF418" s="111"/>
      <c r="AG418" s="111"/>
      <c r="AH418" s="545"/>
      <c r="AI418" s="131"/>
      <c r="AK418" s="111"/>
      <c r="AL418" s="111"/>
      <c r="AM418" s="111"/>
      <c r="AN418" s="545"/>
      <c r="AO418" s="131"/>
      <c r="AQ418" s="17"/>
      <c r="AR418" s="17"/>
      <c r="AS418" s="17"/>
      <c r="AT418" s="18"/>
      <c r="AU418" s="19"/>
      <c r="AW418" s="17"/>
      <c r="AX418" s="17"/>
      <c r="AY418" s="17"/>
      <c r="AZ418" s="18"/>
      <c r="BA418" s="19"/>
    </row>
    <row r="419" spans="1:53" ht="17.100000000000001" customHeight="1" x14ac:dyDescent="0.25">
      <c r="A419" s="40"/>
      <c r="B419" s="40"/>
      <c r="C419" s="179"/>
      <c r="D419" s="74"/>
      <c r="E419" s="168"/>
      <c r="F419" s="169"/>
      <c r="G419" s="169"/>
      <c r="H419" s="17"/>
      <c r="I419" s="594"/>
      <c r="J419" s="111"/>
      <c r="K419" s="111"/>
      <c r="L419" s="111"/>
      <c r="M419" s="111"/>
      <c r="N419" s="60"/>
      <c r="O419" s="60"/>
      <c r="P419" s="17"/>
      <c r="Q419" s="60"/>
      <c r="R419" s="60"/>
      <c r="S419" s="17"/>
      <c r="T419" s="60"/>
      <c r="U419" s="60"/>
      <c r="V419" s="359"/>
      <c r="W419" s="391"/>
      <c r="X419" s="17"/>
      <c r="Y419" s="18"/>
      <c r="Z419" s="19"/>
      <c r="AA419" s="19"/>
      <c r="AB419" s="19"/>
      <c r="AC419" s="17"/>
      <c r="AE419" s="111"/>
      <c r="AF419" s="111"/>
      <c r="AG419" s="111"/>
      <c r="AH419" s="545"/>
      <c r="AI419" s="131"/>
      <c r="AK419" s="111"/>
      <c r="AL419" s="111"/>
      <c r="AM419" s="111"/>
      <c r="AN419" s="545"/>
      <c r="AO419" s="131"/>
      <c r="AQ419" s="17"/>
      <c r="AR419" s="17"/>
      <c r="AS419" s="17"/>
      <c r="AT419" s="18"/>
      <c r="AU419" s="19"/>
      <c r="AW419" s="17"/>
      <c r="AX419" s="17"/>
      <c r="AY419" s="17"/>
      <c r="AZ419" s="18"/>
      <c r="BA419" s="19"/>
    </row>
    <row r="420" spans="1:53" ht="17.100000000000001" customHeight="1" x14ac:dyDescent="0.25">
      <c r="A420" s="40"/>
      <c r="B420" s="40"/>
      <c r="C420" s="179"/>
      <c r="D420" s="74"/>
      <c r="E420" s="170"/>
      <c r="F420" s="171"/>
      <c r="G420" s="171"/>
      <c r="H420" s="17"/>
      <c r="I420" s="594"/>
      <c r="J420" s="111"/>
      <c r="K420" s="111"/>
      <c r="L420" s="111"/>
      <c r="M420" s="111"/>
      <c r="N420" s="61"/>
      <c r="O420" s="61"/>
      <c r="P420" s="17"/>
      <c r="Q420" s="61"/>
      <c r="R420" s="61"/>
      <c r="S420" s="17"/>
      <c r="T420" s="61"/>
      <c r="U420" s="61"/>
      <c r="V420" s="359"/>
      <c r="W420" s="391"/>
      <c r="X420" s="17"/>
      <c r="Y420" s="18"/>
      <c r="Z420" s="19"/>
      <c r="AA420" s="19"/>
      <c r="AB420" s="19"/>
      <c r="AC420" s="17"/>
      <c r="AE420" s="111"/>
      <c r="AF420" s="111"/>
      <c r="AG420" s="111"/>
      <c r="AH420" s="545"/>
      <c r="AI420" s="131"/>
      <c r="AK420" s="111"/>
      <c r="AL420" s="111"/>
      <c r="AM420" s="111"/>
      <c r="AN420" s="545"/>
      <c r="AO420" s="131"/>
      <c r="AQ420" s="17"/>
      <c r="AR420" s="17"/>
      <c r="AS420" s="17"/>
      <c r="AT420" s="18"/>
      <c r="AU420" s="19"/>
      <c r="AW420" s="17"/>
      <c r="AX420" s="17"/>
      <c r="AY420" s="17"/>
      <c r="AZ420" s="18"/>
      <c r="BA420" s="19"/>
    </row>
    <row r="421" spans="1:53" ht="17.100000000000001" customHeight="1" x14ac:dyDescent="0.25">
      <c r="A421" s="40"/>
      <c r="B421" s="40"/>
      <c r="C421" s="77"/>
      <c r="D421" s="134"/>
      <c r="E421" s="134"/>
      <c r="F421" s="134"/>
      <c r="G421" s="134"/>
      <c r="H421" s="540"/>
      <c r="I421" s="229"/>
      <c r="J421" s="80"/>
      <c r="K421" s="80"/>
      <c r="L421" s="81"/>
      <c r="M421" s="81"/>
      <c r="N421" s="81">
        <f>SUM(N411:N416)</f>
        <v>0</v>
      </c>
      <c r="O421" s="81">
        <f t="shared" ref="O421:V421" si="475">SUM(O411:O416)</f>
        <v>0</v>
      </c>
      <c r="P421" s="81">
        <f t="shared" si="475"/>
        <v>0</v>
      </c>
      <c r="Q421" s="81">
        <f t="shared" si="475"/>
        <v>0</v>
      </c>
      <c r="R421" s="81">
        <f t="shared" si="475"/>
        <v>0</v>
      </c>
      <c r="S421" s="81">
        <f t="shared" si="475"/>
        <v>0</v>
      </c>
      <c r="T421" s="81">
        <f t="shared" si="475"/>
        <v>0</v>
      </c>
      <c r="U421" s="81">
        <f t="shared" si="475"/>
        <v>0</v>
      </c>
      <c r="V421" s="81">
        <f t="shared" si="475"/>
        <v>0</v>
      </c>
      <c r="W421" s="381">
        <f>SUM(W411:W416)</f>
        <v>0</v>
      </c>
      <c r="X421" s="82">
        <f t="shared" ref="X421:Y421" si="476">SUM(X411:X416)</f>
        <v>0</v>
      </c>
      <c r="Y421" s="82">
        <f t="shared" si="476"/>
        <v>0</v>
      </c>
      <c r="Z421" s="205">
        <f t="shared" ref="Z421" si="477">IF(Y$421=0,0,Y421/Y$421)</f>
        <v>0</v>
      </c>
      <c r="AA421" s="205"/>
      <c r="AB421" s="205"/>
      <c r="AC421" s="83"/>
      <c r="AE421" s="80"/>
      <c r="AF421" s="80"/>
      <c r="AG421" s="81"/>
      <c r="AH421" s="82"/>
      <c r="AI421" s="66"/>
      <c r="AK421" s="80"/>
      <c r="AL421" s="80"/>
      <c r="AM421" s="81"/>
      <c r="AN421" s="82"/>
      <c r="AO421" s="66"/>
      <c r="AQ421" s="80"/>
      <c r="AR421" s="80"/>
      <c r="AS421" s="81"/>
      <c r="AT421" s="82">
        <f>SUM(AT411:AT416)</f>
        <v>0</v>
      </c>
      <c r="AU421" s="66">
        <f t="shared" si="472"/>
        <v>0</v>
      </c>
      <c r="AW421" s="80"/>
      <c r="AX421" s="80"/>
      <c r="AY421" s="81"/>
      <c r="AZ421" s="82">
        <f>SUM(AZ411:AZ416)</f>
        <v>0</v>
      </c>
      <c r="BA421" s="66">
        <f t="shared" si="473"/>
        <v>0</v>
      </c>
    </row>
    <row r="422" spans="1:53" s="117" customFormat="1" ht="17.100000000000001" customHeight="1" x14ac:dyDescent="0.25">
      <c r="A422" s="68"/>
      <c r="B422" s="119"/>
      <c r="C422" s="540"/>
      <c r="D422" s="261"/>
      <c r="E422" s="261"/>
      <c r="F422" s="68"/>
      <c r="G422" s="68"/>
      <c r="H422" s="119"/>
      <c r="I422" s="138"/>
      <c r="J422" s="17"/>
      <c r="K422" s="17"/>
      <c r="L422" s="17"/>
      <c r="M422" s="17"/>
      <c r="N422" s="17" t="str">
        <f>IF(N421&gt;=N$409,"OK","NOK")</f>
        <v>OK</v>
      </c>
      <c r="O422" s="17" t="str">
        <f t="shared" ref="O422:U422" si="478">IF(O421&gt;=O$409,"OK","NOK")</f>
        <v>OK</v>
      </c>
      <c r="P422" s="17"/>
      <c r="Q422" s="17" t="str">
        <f t="shared" si="478"/>
        <v>OK</v>
      </c>
      <c r="R422" s="17" t="str">
        <f t="shared" si="478"/>
        <v>OK</v>
      </c>
      <c r="S422" s="17"/>
      <c r="T422" s="17" t="str">
        <f t="shared" si="478"/>
        <v>OK</v>
      </c>
      <c r="U422" s="17" t="str">
        <f t="shared" si="478"/>
        <v>OK</v>
      </c>
      <c r="V422" s="17"/>
      <c r="W422" s="382"/>
      <c r="X422" s="539"/>
      <c r="Y422" s="539"/>
      <c r="Z422" s="201"/>
      <c r="AA422" s="201"/>
      <c r="AB422" s="201"/>
      <c r="AC422" s="84"/>
      <c r="AE422" s="46"/>
      <c r="AF422" s="46"/>
      <c r="AG422" s="17"/>
      <c r="AH422" s="539"/>
      <c r="AI422" s="91"/>
      <c r="AK422" s="46"/>
      <c r="AL422" s="46"/>
      <c r="AM422" s="17"/>
      <c r="AN422" s="539"/>
      <c r="AO422" s="91"/>
      <c r="AQ422" s="46"/>
      <c r="AR422" s="46"/>
      <c r="AS422" s="17"/>
      <c r="AT422" s="539"/>
      <c r="AU422" s="91"/>
      <c r="AW422" s="46"/>
      <c r="AX422" s="46"/>
      <c r="AY422" s="17"/>
      <c r="AZ422" s="539"/>
      <c r="BA422" s="91"/>
    </row>
    <row r="423" spans="1:53" ht="17.100000000000001" customHeight="1" x14ac:dyDescent="0.25">
      <c r="A423" s="175"/>
      <c r="B423" s="40"/>
      <c r="C423" s="56" t="s">
        <v>230</v>
      </c>
      <c r="D423" s="57" t="s">
        <v>231</v>
      </c>
      <c r="E423" s="149"/>
      <c r="F423" s="149"/>
      <c r="G423" s="149"/>
      <c r="H423" s="182"/>
      <c r="I423" s="241"/>
      <c r="J423" s="152"/>
      <c r="K423" s="152"/>
      <c r="L423" s="111"/>
      <c r="M423" s="111"/>
      <c r="N423" s="111"/>
      <c r="O423" s="111"/>
      <c r="P423" s="111"/>
      <c r="Q423" s="111"/>
      <c r="R423" s="111"/>
      <c r="S423" s="111"/>
      <c r="T423" s="111"/>
      <c r="U423" s="111"/>
      <c r="V423" s="358"/>
      <c r="W423" s="380"/>
      <c r="X423" s="111"/>
      <c r="Y423" s="545"/>
      <c r="Z423" s="131"/>
      <c r="AA423" s="131"/>
      <c r="AB423" s="131"/>
      <c r="AC423" s="113"/>
      <c r="AE423" s="152"/>
      <c r="AF423" s="152"/>
      <c r="AG423" s="111"/>
      <c r="AH423" s="545"/>
      <c r="AI423" s="131"/>
      <c r="AK423" s="152"/>
      <c r="AL423" s="152"/>
      <c r="AM423" s="111"/>
      <c r="AN423" s="545"/>
      <c r="AO423" s="131"/>
      <c r="AQ423" s="152"/>
      <c r="AR423" s="152"/>
      <c r="AS423" s="111"/>
      <c r="AT423" s="545"/>
      <c r="AU423" s="131"/>
      <c r="AW423" s="152"/>
      <c r="AX423" s="152"/>
      <c r="AY423" s="111"/>
      <c r="AZ423" s="545"/>
      <c r="BA423" s="131"/>
    </row>
    <row r="424" spans="1:53" ht="17.100000000000001" customHeight="1" x14ac:dyDescent="0.25">
      <c r="A424" s="175"/>
      <c r="B424" s="40"/>
      <c r="C424" s="55"/>
      <c r="D424" s="56" t="s">
        <v>232</v>
      </c>
      <c r="E424" s="85" t="s">
        <v>173</v>
      </c>
      <c r="F424" s="167"/>
      <c r="G424" s="149"/>
      <c r="H424" s="182"/>
      <c r="I424" s="241"/>
      <c r="J424" s="111"/>
      <c r="K424" s="111"/>
      <c r="L424" s="111"/>
      <c r="M424" s="111"/>
      <c r="N424" s="60"/>
      <c r="O424" s="60"/>
      <c r="P424" s="17">
        <f>SUM(N424:O424)</f>
        <v>0</v>
      </c>
      <c r="Q424" s="60"/>
      <c r="R424" s="60"/>
      <c r="S424" s="17">
        <f>SUM(Q424:R424)</f>
        <v>0</v>
      </c>
      <c r="T424" s="60"/>
      <c r="U424" s="60"/>
      <c r="V424" s="359">
        <f>SUM(T424:U424)</f>
        <v>0</v>
      </c>
      <c r="W424" s="391">
        <f t="shared" ref="W424:W425" si="479">J424+K424+N424+Q424+T424</f>
        <v>0</v>
      </c>
      <c r="X424" s="17">
        <f t="shared" ref="X424:X425" si="480">L424+O424+R424+U424</f>
        <v>0</v>
      </c>
      <c r="Y424" s="18">
        <f>SUM(W424:X424)</f>
        <v>0</v>
      </c>
      <c r="Z424" s="19">
        <f>IF(Y$370=0,0,Y424/Y$370)</f>
        <v>0</v>
      </c>
      <c r="AA424" s="19"/>
      <c r="AB424" s="19"/>
      <c r="AC424" s="20"/>
      <c r="AE424" s="111"/>
      <c r="AF424" s="111"/>
      <c r="AG424" s="111"/>
      <c r="AH424" s="112"/>
      <c r="AI424" s="113"/>
      <c r="AK424" s="111"/>
      <c r="AL424" s="111"/>
      <c r="AM424" s="111"/>
      <c r="AN424" s="112"/>
      <c r="AO424" s="113"/>
      <c r="AQ424" s="17"/>
      <c r="AR424" s="17"/>
      <c r="AS424" s="17"/>
      <c r="AT424" s="18">
        <f t="shared" ref="AT424:AT425" si="481">W424</f>
        <v>0</v>
      </c>
      <c r="AU424" s="19">
        <f>IF(AT$430=0,0,AT424/AT$430)</f>
        <v>0</v>
      </c>
      <c r="AW424" s="17"/>
      <c r="AX424" s="17"/>
      <c r="AY424" s="17"/>
      <c r="AZ424" s="18">
        <f t="shared" ref="AZ424:AZ425" si="482">X424</f>
        <v>0</v>
      </c>
      <c r="BA424" s="19">
        <f>IF(AZ$430=0,0,AZ424/AZ$430)</f>
        <v>0</v>
      </c>
    </row>
    <row r="425" spans="1:53" ht="17.100000000000001" customHeight="1" x14ac:dyDescent="0.25">
      <c r="A425" s="175"/>
      <c r="B425" s="40"/>
      <c r="C425" s="55"/>
      <c r="D425" s="56" t="s">
        <v>233</v>
      </c>
      <c r="E425" s="85" t="s">
        <v>544</v>
      </c>
      <c r="F425" s="167"/>
      <c r="G425" s="149"/>
      <c r="H425" s="182"/>
      <c r="I425" s="241"/>
      <c r="J425" s="111"/>
      <c r="K425" s="111"/>
      <c r="L425" s="111"/>
      <c r="M425" s="111"/>
      <c r="N425" s="61"/>
      <c r="O425" s="61"/>
      <c r="P425" s="17">
        <f t="shared" ref="P425:P429" si="483">SUM(N425:O425)</f>
        <v>0</v>
      </c>
      <c r="Q425" s="61"/>
      <c r="R425" s="61"/>
      <c r="S425" s="17">
        <f t="shared" ref="S425:S429" si="484">SUM(Q425:R425)</f>
        <v>0</v>
      </c>
      <c r="T425" s="61"/>
      <c r="U425" s="61"/>
      <c r="V425" s="359">
        <f t="shared" ref="V425:V429" si="485">SUM(T425:U425)</f>
        <v>0</v>
      </c>
      <c r="W425" s="391">
        <f t="shared" si="479"/>
        <v>0</v>
      </c>
      <c r="X425" s="17">
        <f t="shared" si="480"/>
        <v>0</v>
      </c>
      <c r="Y425" s="18">
        <f>SUM(W425:X425)</f>
        <v>0</v>
      </c>
      <c r="Z425" s="19">
        <f>IF(Y$370=0,0,Y425/Y$370)</f>
        <v>0</v>
      </c>
      <c r="AA425" s="19"/>
      <c r="AB425" s="19"/>
      <c r="AC425" s="20"/>
      <c r="AE425" s="111"/>
      <c r="AF425" s="111"/>
      <c r="AG425" s="111"/>
      <c r="AH425" s="112"/>
      <c r="AI425" s="113"/>
      <c r="AK425" s="111"/>
      <c r="AL425" s="111"/>
      <c r="AM425" s="111"/>
      <c r="AN425" s="112"/>
      <c r="AO425" s="113"/>
      <c r="AQ425" s="17"/>
      <c r="AR425" s="17"/>
      <c r="AS425" s="17"/>
      <c r="AT425" s="18">
        <f t="shared" si="481"/>
        <v>0</v>
      </c>
      <c r="AU425" s="19">
        <f>IF(AT$430=0,0,AT425/AT$430)</f>
        <v>0</v>
      </c>
      <c r="AW425" s="17"/>
      <c r="AX425" s="17"/>
      <c r="AY425" s="17"/>
      <c r="AZ425" s="18">
        <f t="shared" si="482"/>
        <v>0</v>
      </c>
      <c r="BA425" s="19">
        <f>IF(AZ$430=0,0,AZ425/AZ$430)</f>
        <v>0</v>
      </c>
    </row>
    <row r="426" spans="1:53" ht="17.100000000000001" customHeight="1" x14ac:dyDescent="0.25">
      <c r="A426" s="175"/>
      <c r="B426" s="40"/>
      <c r="C426" s="55"/>
      <c r="D426" s="56" t="s">
        <v>234</v>
      </c>
      <c r="E426" s="146" t="s">
        <v>484</v>
      </c>
      <c r="F426" s="149"/>
      <c r="G426" s="149"/>
      <c r="H426" s="182"/>
      <c r="I426" s="241"/>
      <c r="J426" s="111"/>
      <c r="K426" s="111"/>
      <c r="L426" s="111"/>
      <c r="M426" s="111"/>
      <c r="N426" s="60"/>
      <c r="O426" s="60"/>
      <c r="P426" s="17"/>
      <c r="Q426" s="60"/>
      <c r="R426" s="60"/>
      <c r="S426" s="17"/>
      <c r="T426" s="60"/>
      <c r="U426" s="60"/>
      <c r="V426" s="359"/>
      <c r="W426" s="391">
        <f>MIN(N426,Q426,T426)</f>
        <v>0</v>
      </c>
      <c r="X426" s="17">
        <f>MIN(O426,R426,U426)</f>
        <v>0</v>
      </c>
      <c r="Y426" s="18"/>
      <c r="Z426" s="19"/>
      <c r="AA426" s="17">
        <f>MIN(N426:U426)</f>
        <v>0</v>
      </c>
      <c r="AB426" s="17"/>
      <c r="AC426" s="17"/>
      <c r="AE426" s="111"/>
      <c r="AF426" s="111"/>
      <c r="AG426" s="111"/>
      <c r="AH426" s="545"/>
      <c r="AI426" s="131"/>
      <c r="AK426" s="111"/>
      <c r="AL426" s="111"/>
      <c r="AM426" s="111"/>
      <c r="AN426" s="545"/>
      <c r="AO426" s="131"/>
      <c r="AQ426" s="17">
        <f>W426</f>
        <v>0</v>
      </c>
      <c r="AR426" s="17"/>
      <c r="AS426" s="17"/>
      <c r="AT426" s="18"/>
      <c r="AU426" s="19"/>
      <c r="AW426" s="17">
        <f>X426</f>
        <v>0</v>
      </c>
      <c r="AX426" s="17"/>
      <c r="AY426" s="17"/>
      <c r="AZ426" s="18"/>
      <c r="BA426" s="19"/>
    </row>
    <row r="427" spans="1:53" ht="17.100000000000001" customHeight="1" x14ac:dyDescent="0.25">
      <c r="A427" s="175"/>
      <c r="B427" s="40"/>
      <c r="C427" s="55"/>
      <c r="D427" s="56" t="s">
        <v>235</v>
      </c>
      <c r="E427" s="146" t="s">
        <v>485</v>
      </c>
      <c r="F427" s="149"/>
      <c r="G427" s="149"/>
      <c r="H427" s="182"/>
      <c r="I427" s="241"/>
      <c r="J427" s="111"/>
      <c r="K427" s="111"/>
      <c r="L427" s="111"/>
      <c r="M427" s="111"/>
      <c r="N427" s="61"/>
      <c r="O427" s="61"/>
      <c r="P427" s="17"/>
      <c r="Q427" s="61"/>
      <c r="R427" s="61"/>
      <c r="S427" s="17"/>
      <c r="T427" s="61"/>
      <c r="U427" s="61"/>
      <c r="V427" s="359"/>
      <c r="W427" s="391">
        <f>MAX(N427,Q427,T427)</f>
        <v>0</v>
      </c>
      <c r="X427" s="17">
        <f>MAX(O427,R427,U427)</f>
        <v>0</v>
      </c>
      <c r="Y427" s="18"/>
      <c r="Z427" s="19"/>
      <c r="AA427" s="17"/>
      <c r="AB427" s="17">
        <f>MAX(N427:U427)</f>
        <v>0</v>
      </c>
      <c r="AC427" s="17"/>
      <c r="AE427" s="111"/>
      <c r="AF427" s="111"/>
      <c r="AG427" s="111"/>
      <c r="AH427" s="545"/>
      <c r="AI427" s="131"/>
      <c r="AK427" s="111"/>
      <c r="AL427" s="111"/>
      <c r="AM427" s="111"/>
      <c r="AN427" s="545"/>
      <c r="AO427" s="131"/>
      <c r="AQ427" s="17"/>
      <c r="AR427" s="17">
        <f>W427</f>
        <v>0</v>
      </c>
      <c r="AS427" s="17"/>
      <c r="AT427" s="18"/>
      <c r="AU427" s="19"/>
      <c r="AW427" s="17"/>
      <c r="AX427" s="17">
        <f>X427</f>
        <v>0</v>
      </c>
      <c r="AY427" s="17"/>
      <c r="AZ427" s="18"/>
      <c r="BA427" s="19"/>
    </row>
    <row r="428" spans="1:53" ht="17.100000000000001" customHeight="1" x14ac:dyDescent="0.25">
      <c r="A428" s="175"/>
      <c r="B428" s="40"/>
      <c r="C428" s="55"/>
      <c r="D428" s="56" t="s">
        <v>236</v>
      </c>
      <c r="E428" s="146" t="s">
        <v>543</v>
      </c>
      <c r="F428" s="149"/>
      <c r="G428" s="149"/>
      <c r="H428" s="182"/>
      <c r="I428" s="241"/>
      <c r="J428" s="111"/>
      <c r="K428" s="111"/>
      <c r="L428" s="111"/>
      <c r="M428" s="111"/>
      <c r="N428" s="60"/>
      <c r="O428" s="60"/>
      <c r="P428" s="17"/>
      <c r="Q428" s="60"/>
      <c r="R428" s="60"/>
      <c r="S428" s="17"/>
      <c r="T428" s="60"/>
      <c r="U428" s="60"/>
      <c r="V428" s="359"/>
      <c r="W428" s="391">
        <f>IF(N428+Q428+T428=0,0,AVERAGE(N428,Q428,T428))</f>
        <v>0</v>
      </c>
      <c r="X428" s="17">
        <f>IF(O428+R428+U428=0,0,AVERAGE(O428,R428,U428))</f>
        <v>0</v>
      </c>
      <c r="Y428" s="18"/>
      <c r="Z428" s="19"/>
      <c r="AA428" s="17"/>
      <c r="AB428" s="17"/>
      <c r="AC428" s="17">
        <f>IF(SUM(N428:U428)=0,0,AVERAGE(N428:U428))</f>
        <v>0</v>
      </c>
      <c r="AE428" s="111"/>
      <c r="AF428" s="111"/>
      <c r="AG428" s="111"/>
      <c r="AH428" s="545"/>
      <c r="AI428" s="131"/>
      <c r="AK428" s="111"/>
      <c r="AL428" s="111"/>
      <c r="AM428" s="111"/>
      <c r="AN428" s="545"/>
      <c r="AO428" s="131"/>
      <c r="AQ428" s="17"/>
      <c r="AR428" s="17"/>
      <c r="AS428" s="17">
        <f>W428</f>
        <v>0</v>
      </c>
      <c r="AT428" s="18"/>
      <c r="AU428" s="19"/>
      <c r="AW428" s="17"/>
      <c r="AX428" s="17"/>
      <c r="AY428" s="17">
        <f>X428</f>
        <v>0</v>
      </c>
      <c r="AZ428" s="18"/>
      <c r="BA428" s="19"/>
    </row>
    <row r="429" spans="1:53" ht="17.100000000000001" customHeight="1" x14ac:dyDescent="0.25">
      <c r="A429" s="175"/>
      <c r="B429" s="40"/>
      <c r="C429" s="55"/>
      <c r="D429" s="56" t="s">
        <v>237</v>
      </c>
      <c r="E429" s="85" t="s">
        <v>129</v>
      </c>
      <c r="F429" s="167"/>
      <c r="G429" s="149"/>
      <c r="H429" s="182"/>
      <c r="I429" s="241"/>
      <c r="J429" s="111"/>
      <c r="K429" s="111"/>
      <c r="L429" s="111"/>
      <c r="M429" s="111"/>
      <c r="N429" s="61"/>
      <c r="O429" s="61"/>
      <c r="P429" s="17">
        <f t="shared" si="483"/>
        <v>0</v>
      </c>
      <c r="Q429" s="61"/>
      <c r="R429" s="61"/>
      <c r="S429" s="17">
        <f t="shared" si="484"/>
        <v>0</v>
      </c>
      <c r="T429" s="61"/>
      <c r="U429" s="61"/>
      <c r="V429" s="359">
        <f t="shared" si="485"/>
        <v>0</v>
      </c>
      <c r="W429" s="391">
        <f t="shared" ref="W429" si="486">J429+K429+N429+Q429+T429</f>
        <v>0</v>
      </c>
      <c r="X429" s="17">
        <f t="shared" ref="X429" si="487">L429+O429+R429+U429</f>
        <v>0</v>
      </c>
      <c r="Y429" s="18">
        <f>SUM(W429:X429)</f>
        <v>0</v>
      </c>
      <c r="Z429" s="19">
        <f>IF(Y$370=0,0,Y429/Y$370)</f>
        <v>0</v>
      </c>
      <c r="AA429" s="19"/>
      <c r="AB429" s="19"/>
      <c r="AC429" s="20"/>
      <c r="AE429" s="111"/>
      <c r="AF429" s="111"/>
      <c r="AG429" s="111"/>
      <c r="AH429" s="112"/>
      <c r="AI429" s="113"/>
      <c r="AK429" s="111"/>
      <c r="AL429" s="111"/>
      <c r="AM429" s="111"/>
      <c r="AN429" s="112"/>
      <c r="AO429" s="113"/>
      <c r="AQ429" s="17"/>
      <c r="AR429" s="17"/>
      <c r="AS429" s="17"/>
      <c r="AT429" s="18">
        <f t="shared" ref="AT429" si="488">W429</f>
        <v>0</v>
      </c>
      <c r="AU429" s="19">
        <f>IF(AT$430=0,0,AT429/AT$430)</f>
        <v>0</v>
      </c>
      <c r="AW429" s="17"/>
      <c r="AX429" s="17"/>
      <c r="AY429" s="17"/>
      <c r="AZ429" s="18">
        <f t="shared" ref="AZ429" si="489">X429</f>
        <v>0</v>
      </c>
      <c r="BA429" s="19">
        <f>IF(AZ$430=0,0,AZ429/AZ$430)</f>
        <v>0</v>
      </c>
    </row>
    <row r="430" spans="1:53" ht="17.100000000000001" customHeight="1" x14ac:dyDescent="0.25">
      <c r="A430" s="40"/>
      <c r="B430" s="40"/>
      <c r="C430" s="77"/>
      <c r="D430" s="134"/>
      <c r="E430" s="134"/>
      <c r="F430" s="134"/>
      <c r="G430" s="134"/>
      <c r="H430" s="540"/>
      <c r="I430" s="229"/>
      <c r="J430" s="80"/>
      <c r="K430" s="80"/>
      <c r="L430" s="81"/>
      <c r="M430" s="81"/>
      <c r="N430" s="81">
        <f>N424+N425+N429</f>
        <v>0</v>
      </c>
      <c r="O430" s="81">
        <f t="shared" ref="O430:V430" si="490">O424+O425+O429</f>
        <v>0</v>
      </c>
      <c r="P430" s="81">
        <f t="shared" si="490"/>
        <v>0</v>
      </c>
      <c r="Q430" s="81">
        <f t="shared" si="490"/>
        <v>0</v>
      </c>
      <c r="R430" s="81">
        <f t="shared" si="490"/>
        <v>0</v>
      </c>
      <c r="S430" s="81">
        <f t="shared" si="490"/>
        <v>0</v>
      </c>
      <c r="T430" s="81">
        <f t="shared" si="490"/>
        <v>0</v>
      </c>
      <c r="U430" s="81">
        <f t="shared" si="490"/>
        <v>0</v>
      </c>
      <c r="V430" s="81">
        <f t="shared" si="490"/>
        <v>0</v>
      </c>
      <c r="W430" s="381">
        <f>W424+W425+W429</f>
        <v>0</v>
      </c>
      <c r="X430" s="82">
        <f t="shared" ref="X430:Y430" si="491">X424+X425+X429</f>
        <v>0</v>
      </c>
      <c r="Y430" s="338">
        <f t="shared" si="491"/>
        <v>0</v>
      </c>
      <c r="Z430" s="205">
        <f>IF(Y$430=0,0,Y430/Y$430)</f>
        <v>0</v>
      </c>
      <c r="AA430" s="205"/>
      <c r="AB430" s="205"/>
      <c r="AC430" s="83"/>
      <c r="AE430" s="80"/>
      <c r="AF430" s="80"/>
      <c r="AG430" s="81"/>
      <c r="AH430" s="82"/>
      <c r="AI430" s="66"/>
      <c r="AK430" s="80"/>
      <c r="AL430" s="80"/>
      <c r="AM430" s="81"/>
      <c r="AN430" s="82"/>
      <c r="AO430" s="66"/>
      <c r="AQ430" s="80"/>
      <c r="AR430" s="80"/>
      <c r="AS430" s="81"/>
      <c r="AT430" s="82">
        <f>SUM(AT424:AT429)</f>
        <v>0</v>
      </c>
      <c r="AU430" s="66">
        <f>IF(AT$430=0,0,AT430/AT$430)</f>
        <v>0</v>
      </c>
      <c r="AW430" s="80"/>
      <c r="AX430" s="80"/>
      <c r="AY430" s="81"/>
      <c r="AZ430" s="82">
        <f>SUM(AZ424:AZ429)</f>
        <v>0</v>
      </c>
      <c r="BA430" s="66">
        <f>IF(AZ$430=0,0,AZ430/AZ$430)</f>
        <v>0</v>
      </c>
    </row>
    <row r="431" spans="1:53" s="117" customFormat="1" ht="17.100000000000001" customHeight="1" x14ac:dyDescent="0.25">
      <c r="A431" s="68"/>
      <c r="B431" s="119"/>
      <c r="C431" s="540"/>
      <c r="D431" s="261"/>
      <c r="E431" s="261"/>
      <c r="F431" s="68"/>
      <c r="G431" s="68"/>
      <c r="H431" s="119"/>
      <c r="I431" s="138"/>
      <c r="J431" s="17"/>
      <c r="K431" s="17"/>
      <c r="L431" s="17"/>
      <c r="M431" s="17"/>
      <c r="N431" s="17" t="str">
        <f>IF(N430=N$403,"OK","NOK")</f>
        <v>OK</v>
      </c>
      <c r="O431" s="17" t="str">
        <f>IF(O430=O$403,"OK","NOK")</f>
        <v>OK</v>
      </c>
      <c r="P431" s="17"/>
      <c r="Q431" s="17" t="str">
        <f>IF(Q430=Q$403,"OK","NOK")</f>
        <v>OK</v>
      </c>
      <c r="R431" s="17" t="str">
        <f>IF(R430=R$403,"OK","NOK")</f>
        <v>OK</v>
      </c>
      <c r="S431" s="17"/>
      <c r="T431" s="17" t="str">
        <f>IF(T430=T$403,"OK","NOK")</f>
        <v>OK</v>
      </c>
      <c r="U431" s="17" t="str">
        <f>IF(U430=U$403,"OK","NOK")</f>
        <v>OK</v>
      </c>
      <c r="V431" s="359"/>
      <c r="W431" s="382"/>
      <c r="X431" s="539"/>
      <c r="Y431" s="539"/>
      <c r="Z431" s="201"/>
      <c r="AA431" s="201"/>
      <c r="AB431" s="201"/>
      <c r="AC431" s="84"/>
      <c r="AE431" s="46"/>
      <c r="AF431" s="46"/>
      <c r="AG431" s="17"/>
      <c r="AH431" s="539"/>
      <c r="AI431" s="91"/>
      <c r="AK431" s="46"/>
      <c r="AL431" s="46"/>
      <c r="AM431" s="17"/>
      <c r="AN431" s="539"/>
      <c r="AO431" s="91"/>
      <c r="AQ431" s="46"/>
      <c r="AR431" s="46"/>
      <c r="AS431" s="17"/>
      <c r="AT431" s="539"/>
      <c r="AU431" s="91"/>
      <c r="AW431" s="46"/>
      <c r="AX431" s="46"/>
      <c r="AY431" s="17"/>
      <c r="AZ431" s="539"/>
      <c r="BA431" s="91"/>
    </row>
    <row r="432" spans="1:53" ht="17.100000000000001" customHeight="1" x14ac:dyDescent="0.25">
      <c r="A432" s="175"/>
      <c r="B432" s="40"/>
      <c r="C432" s="56" t="s">
        <v>238</v>
      </c>
      <c r="D432" s="57" t="s">
        <v>477</v>
      </c>
      <c r="E432" s="149"/>
      <c r="F432" s="149"/>
      <c r="G432" s="149"/>
      <c r="H432" s="182"/>
      <c r="I432" s="241"/>
      <c r="J432" s="152"/>
      <c r="K432" s="152"/>
      <c r="L432" s="111"/>
      <c r="M432" s="111"/>
      <c r="N432" s="111"/>
      <c r="O432" s="111"/>
      <c r="P432" s="111"/>
      <c r="Q432" s="111"/>
      <c r="R432" s="111"/>
      <c r="S432" s="111"/>
      <c r="T432" s="111"/>
      <c r="U432" s="111"/>
      <c r="V432" s="358"/>
      <c r="W432" s="380"/>
      <c r="X432" s="111"/>
      <c r="Y432" s="545"/>
      <c r="Z432" s="131"/>
      <c r="AA432" s="131"/>
      <c r="AB432" s="131"/>
      <c r="AC432" s="113"/>
      <c r="AE432" s="152"/>
      <c r="AF432" s="152"/>
      <c r="AG432" s="111"/>
      <c r="AH432" s="545"/>
      <c r="AI432" s="131"/>
      <c r="AK432" s="152"/>
      <c r="AL432" s="152"/>
      <c r="AM432" s="111"/>
      <c r="AN432" s="545"/>
      <c r="AO432" s="131"/>
      <c r="AQ432" s="152"/>
      <c r="AR432" s="152"/>
      <c r="AS432" s="111"/>
      <c r="AT432" s="545"/>
      <c r="AU432" s="131"/>
      <c r="AW432" s="152"/>
      <c r="AX432" s="152"/>
      <c r="AY432" s="111"/>
      <c r="AZ432" s="545"/>
      <c r="BA432" s="131"/>
    </row>
    <row r="433" spans="1:53" ht="17.100000000000001" customHeight="1" x14ac:dyDescent="0.25">
      <c r="A433" s="175"/>
      <c r="B433" s="40"/>
      <c r="C433" s="55"/>
      <c r="D433" s="56" t="s">
        <v>239</v>
      </c>
      <c r="E433" s="85" t="s">
        <v>478</v>
      </c>
      <c r="F433" s="149"/>
      <c r="G433" s="149"/>
      <c r="H433" s="182"/>
      <c r="I433" s="241"/>
      <c r="J433" s="111"/>
      <c r="K433" s="111"/>
      <c r="L433" s="111"/>
      <c r="M433" s="111"/>
      <c r="N433" s="60"/>
      <c r="O433" s="60"/>
      <c r="P433" s="17">
        <f t="shared" ref="P433:P440" si="492">SUM(N433:O433)</f>
        <v>0</v>
      </c>
      <c r="Q433" s="60"/>
      <c r="R433" s="60"/>
      <c r="S433" s="17">
        <f t="shared" ref="S433:S440" si="493">SUM(Q433:R433)</f>
        <v>0</v>
      </c>
      <c r="T433" s="60"/>
      <c r="U433" s="60"/>
      <c r="V433" s="359">
        <f t="shared" ref="V433:V440" si="494">SUM(T433:U433)</f>
        <v>0</v>
      </c>
      <c r="W433" s="391">
        <f t="shared" ref="W433:W440" si="495">J433+K433+N433+Q433+T433</f>
        <v>0</v>
      </c>
      <c r="X433" s="17">
        <f t="shared" ref="X433:X440" si="496">L433+O433+R433+U433</f>
        <v>0</v>
      </c>
      <c r="Y433" s="18">
        <f t="shared" ref="Y433:Y440" si="497">SUM(W433:X433)</f>
        <v>0</v>
      </c>
      <c r="Z433" s="19">
        <f>IF(Y$441=0,0,Y433/Y$441)</f>
        <v>0</v>
      </c>
      <c r="AA433" s="19"/>
      <c r="AB433" s="19"/>
      <c r="AC433" s="84"/>
      <c r="AE433" s="111"/>
      <c r="AF433" s="111"/>
      <c r="AG433" s="111"/>
      <c r="AH433" s="112"/>
      <c r="AI433" s="113"/>
      <c r="AK433" s="111"/>
      <c r="AL433" s="111"/>
      <c r="AM433" s="111"/>
      <c r="AN433" s="112"/>
      <c r="AO433" s="113"/>
      <c r="AQ433" s="17"/>
      <c r="AR433" s="17"/>
      <c r="AS433" s="17"/>
      <c r="AT433" s="18">
        <f t="shared" ref="AT433:AT440" si="498">W433</f>
        <v>0</v>
      </c>
      <c r="AU433" s="19">
        <f>IF(AT$441=0,0,AT433/AT$441)</f>
        <v>0</v>
      </c>
      <c r="AW433" s="17"/>
      <c r="AX433" s="17"/>
      <c r="AY433" s="17"/>
      <c r="AZ433" s="18">
        <f t="shared" ref="AZ433:AZ440" si="499">X433</f>
        <v>0</v>
      </c>
      <c r="BA433" s="19">
        <f>IF(AZ$441=0,0,AZ433/AZ$441)</f>
        <v>0</v>
      </c>
    </row>
    <row r="434" spans="1:53" ht="17.100000000000001" customHeight="1" x14ac:dyDescent="0.25">
      <c r="A434" s="175"/>
      <c r="B434" s="40"/>
      <c r="C434" s="55"/>
      <c r="D434" s="56" t="s">
        <v>240</v>
      </c>
      <c r="E434" s="85" t="s">
        <v>165</v>
      </c>
      <c r="F434" s="149"/>
      <c r="G434" s="149"/>
      <c r="H434" s="182"/>
      <c r="I434" s="241"/>
      <c r="J434" s="111"/>
      <c r="K434" s="111"/>
      <c r="L434" s="111"/>
      <c r="M434" s="111"/>
      <c r="N434" s="61"/>
      <c r="O434" s="61"/>
      <c r="P434" s="17">
        <f t="shared" si="492"/>
        <v>0</v>
      </c>
      <c r="Q434" s="61"/>
      <c r="R434" s="61"/>
      <c r="S434" s="17">
        <f t="shared" si="493"/>
        <v>0</v>
      </c>
      <c r="T434" s="61"/>
      <c r="U434" s="61"/>
      <c r="V434" s="359">
        <f t="shared" si="494"/>
        <v>0</v>
      </c>
      <c r="W434" s="391">
        <f t="shared" si="495"/>
        <v>0</v>
      </c>
      <c r="X434" s="17">
        <f t="shared" si="496"/>
        <v>0</v>
      </c>
      <c r="Y434" s="18">
        <f t="shared" si="497"/>
        <v>0</v>
      </c>
      <c r="Z434" s="19">
        <f t="shared" ref="Z434:Z441" si="500">IF(Y$441=0,0,Y434/Y$441)</f>
        <v>0</v>
      </c>
      <c r="AA434" s="19"/>
      <c r="AB434" s="19"/>
      <c r="AC434" s="84"/>
      <c r="AE434" s="111"/>
      <c r="AF434" s="111"/>
      <c r="AG434" s="111"/>
      <c r="AH434" s="112"/>
      <c r="AI434" s="113"/>
      <c r="AK434" s="111"/>
      <c r="AL434" s="111"/>
      <c r="AM434" s="111"/>
      <c r="AN434" s="112"/>
      <c r="AO434" s="113"/>
      <c r="AQ434" s="17"/>
      <c r="AR434" s="17"/>
      <c r="AS434" s="17"/>
      <c r="AT434" s="18">
        <f t="shared" si="498"/>
        <v>0</v>
      </c>
      <c r="AU434" s="19">
        <f t="shared" ref="AU434:AU441" si="501">IF(AT$441=0,0,AT434/AT$441)</f>
        <v>0</v>
      </c>
      <c r="AW434" s="17"/>
      <c r="AX434" s="17"/>
      <c r="AY434" s="17"/>
      <c r="AZ434" s="18">
        <f t="shared" si="499"/>
        <v>0</v>
      </c>
      <c r="BA434" s="19">
        <f t="shared" ref="BA434:BA441" si="502">IF(AZ$441=0,0,AZ434/AZ$441)</f>
        <v>0</v>
      </c>
    </row>
    <row r="435" spans="1:53" ht="17.100000000000001" customHeight="1" x14ac:dyDescent="0.25">
      <c r="A435" s="175"/>
      <c r="B435" s="40"/>
      <c r="C435" s="55"/>
      <c r="D435" s="56" t="s">
        <v>241</v>
      </c>
      <c r="E435" s="85" t="s">
        <v>167</v>
      </c>
      <c r="F435" s="149"/>
      <c r="G435" s="149"/>
      <c r="H435" s="182"/>
      <c r="I435" s="241"/>
      <c r="J435" s="111"/>
      <c r="K435" s="111"/>
      <c r="L435" s="111"/>
      <c r="M435" s="111"/>
      <c r="N435" s="60"/>
      <c r="O435" s="60"/>
      <c r="P435" s="17">
        <f t="shared" si="492"/>
        <v>0</v>
      </c>
      <c r="Q435" s="60"/>
      <c r="R435" s="60"/>
      <c r="S435" s="17">
        <f t="shared" si="493"/>
        <v>0</v>
      </c>
      <c r="T435" s="60"/>
      <c r="U435" s="60"/>
      <c r="V435" s="359">
        <f t="shared" si="494"/>
        <v>0</v>
      </c>
      <c r="W435" s="391">
        <f t="shared" si="495"/>
        <v>0</v>
      </c>
      <c r="X435" s="17">
        <f t="shared" si="496"/>
        <v>0</v>
      </c>
      <c r="Y435" s="18">
        <f t="shared" si="497"/>
        <v>0</v>
      </c>
      <c r="Z435" s="19">
        <f t="shared" si="500"/>
        <v>0</v>
      </c>
      <c r="AA435" s="19"/>
      <c r="AB435" s="19"/>
      <c r="AC435" s="84"/>
      <c r="AE435" s="111"/>
      <c r="AF435" s="111"/>
      <c r="AG435" s="111"/>
      <c r="AH435" s="112"/>
      <c r="AI435" s="113"/>
      <c r="AK435" s="111"/>
      <c r="AL435" s="111"/>
      <c r="AM435" s="111"/>
      <c r="AN435" s="112"/>
      <c r="AO435" s="113"/>
      <c r="AQ435" s="17"/>
      <c r="AR435" s="17"/>
      <c r="AS435" s="17"/>
      <c r="AT435" s="18">
        <f t="shared" si="498"/>
        <v>0</v>
      </c>
      <c r="AU435" s="19">
        <f t="shared" si="501"/>
        <v>0</v>
      </c>
      <c r="AW435" s="17"/>
      <c r="AX435" s="17"/>
      <c r="AY435" s="17"/>
      <c r="AZ435" s="18">
        <f t="shared" si="499"/>
        <v>0</v>
      </c>
      <c r="BA435" s="19">
        <f t="shared" si="502"/>
        <v>0</v>
      </c>
    </row>
    <row r="436" spans="1:53" ht="17.100000000000001" customHeight="1" x14ac:dyDescent="0.25">
      <c r="A436" s="175"/>
      <c r="B436" s="40"/>
      <c r="C436" s="55"/>
      <c r="D436" s="56" t="s">
        <v>242</v>
      </c>
      <c r="E436" s="85" t="s">
        <v>991</v>
      </c>
      <c r="F436" s="149"/>
      <c r="G436" s="149"/>
      <c r="H436" s="182"/>
      <c r="I436" s="241"/>
      <c r="J436" s="111"/>
      <c r="K436" s="111"/>
      <c r="L436" s="111"/>
      <c r="M436" s="111"/>
      <c r="N436" s="61"/>
      <c r="O436" s="61"/>
      <c r="P436" s="17">
        <f t="shared" si="492"/>
        <v>0</v>
      </c>
      <c r="Q436" s="61"/>
      <c r="R436" s="61"/>
      <c r="S436" s="17">
        <f t="shared" si="493"/>
        <v>0</v>
      </c>
      <c r="T436" s="61"/>
      <c r="U436" s="61"/>
      <c r="V436" s="359">
        <f t="shared" si="494"/>
        <v>0</v>
      </c>
      <c r="W436" s="391">
        <f t="shared" si="495"/>
        <v>0</v>
      </c>
      <c r="X436" s="17">
        <f t="shared" si="496"/>
        <v>0</v>
      </c>
      <c r="Y436" s="18">
        <f t="shared" si="497"/>
        <v>0</v>
      </c>
      <c r="Z436" s="19">
        <f t="shared" si="500"/>
        <v>0</v>
      </c>
      <c r="AA436" s="19"/>
      <c r="AB436" s="19"/>
      <c r="AC436" s="84"/>
      <c r="AE436" s="111"/>
      <c r="AF436" s="111"/>
      <c r="AG436" s="111"/>
      <c r="AH436" s="112"/>
      <c r="AI436" s="113"/>
      <c r="AK436" s="111"/>
      <c r="AL436" s="111"/>
      <c r="AM436" s="111"/>
      <c r="AN436" s="112"/>
      <c r="AO436" s="113"/>
      <c r="AQ436" s="17"/>
      <c r="AR436" s="17"/>
      <c r="AS436" s="17"/>
      <c r="AT436" s="18">
        <f t="shared" si="498"/>
        <v>0</v>
      </c>
      <c r="AU436" s="19">
        <f t="shared" si="501"/>
        <v>0</v>
      </c>
      <c r="AW436" s="17"/>
      <c r="AX436" s="17"/>
      <c r="AY436" s="17"/>
      <c r="AZ436" s="18">
        <f t="shared" si="499"/>
        <v>0</v>
      </c>
      <c r="BA436" s="19">
        <f t="shared" si="502"/>
        <v>0</v>
      </c>
    </row>
    <row r="437" spans="1:53" ht="17.100000000000001" customHeight="1" x14ac:dyDescent="0.25">
      <c r="A437" s="175"/>
      <c r="B437" s="40"/>
      <c r="C437" s="55"/>
      <c r="D437" s="56" t="s">
        <v>243</v>
      </c>
      <c r="E437" s="85" t="s">
        <v>438</v>
      </c>
      <c r="F437" s="149"/>
      <c r="G437" s="149"/>
      <c r="H437" s="182"/>
      <c r="I437" s="241"/>
      <c r="J437" s="111"/>
      <c r="K437" s="111"/>
      <c r="L437" s="111"/>
      <c r="M437" s="111"/>
      <c r="N437" s="60"/>
      <c r="O437" s="60"/>
      <c r="P437" s="17">
        <f t="shared" si="492"/>
        <v>0</v>
      </c>
      <c r="Q437" s="60"/>
      <c r="R437" s="60"/>
      <c r="S437" s="17">
        <f t="shared" si="493"/>
        <v>0</v>
      </c>
      <c r="T437" s="60"/>
      <c r="U437" s="60"/>
      <c r="V437" s="359">
        <f t="shared" si="494"/>
        <v>0</v>
      </c>
      <c r="W437" s="391">
        <f t="shared" si="495"/>
        <v>0</v>
      </c>
      <c r="X437" s="17">
        <f t="shared" si="496"/>
        <v>0</v>
      </c>
      <c r="Y437" s="18">
        <f t="shared" si="497"/>
        <v>0</v>
      </c>
      <c r="Z437" s="19">
        <f t="shared" si="500"/>
        <v>0</v>
      </c>
      <c r="AA437" s="19"/>
      <c r="AB437" s="19"/>
      <c r="AC437" s="84"/>
      <c r="AE437" s="111"/>
      <c r="AF437" s="111"/>
      <c r="AG437" s="111"/>
      <c r="AH437" s="112"/>
      <c r="AI437" s="113"/>
      <c r="AK437" s="111"/>
      <c r="AL437" s="111"/>
      <c r="AM437" s="111"/>
      <c r="AN437" s="112"/>
      <c r="AO437" s="113"/>
      <c r="AQ437" s="17"/>
      <c r="AR437" s="17"/>
      <c r="AS437" s="17"/>
      <c r="AT437" s="18">
        <f t="shared" si="498"/>
        <v>0</v>
      </c>
      <c r="AU437" s="19">
        <f t="shared" si="501"/>
        <v>0</v>
      </c>
      <c r="AW437" s="17"/>
      <c r="AX437" s="17"/>
      <c r="AY437" s="17"/>
      <c r="AZ437" s="18">
        <f t="shared" si="499"/>
        <v>0</v>
      </c>
      <c r="BA437" s="19">
        <f t="shared" si="502"/>
        <v>0</v>
      </c>
    </row>
    <row r="438" spans="1:53" ht="17.100000000000001" customHeight="1" x14ac:dyDescent="0.25">
      <c r="A438" s="175"/>
      <c r="B438" s="40"/>
      <c r="C438" s="55"/>
      <c r="D438" s="56" t="s">
        <v>244</v>
      </c>
      <c r="E438" s="85" t="s">
        <v>439</v>
      </c>
      <c r="F438" s="595"/>
      <c r="G438" s="595"/>
      <c r="H438" s="17"/>
      <c r="I438" s="594"/>
      <c r="J438" s="111"/>
      <c r="K438" s="111"/>
      <c r="L438" s="111"/>
      <c r="M438" s="111"/>
      <c r="N438" s="61"/>
      <c r="O438" s="61"/>
      <c r="P438" s="17">
        <f t="shared" si="492"/>
        <v>0</v>
      </c>
      <c r="Q438" s="61"/>
      <c r="R438" s="61"/>
      <c r="S438" s="17">
        <f t="shared" si="493"/>
        <v>0</v>
      </c>
      <c r="T438" s="61"/>
      <c r="U438" s="61"/>
      <c r="V438" s="359">
        <f t="shared" si="494"/>
        <v>0</v>
      </c>
      <c r="W438" s="391">
        <f t="shared" si="495"/>
        <v>0</v>
      </c>
      <c r="X438" s="17">
        <f t="shared" si="496"/>
        <v>0</v>
      </c>
      <c r="Y438" s="18">
        <f t="shared" si="497"/>
        <v>0</v>
      </c>
      <c r="Z438" s="19">
        <f t="shared" si="500"/>
        <v>0</v>
      </c>
      <c r="AA438" s="19"/>
      <c r="AB438" s="19"/>
      <c r="AC438" s="84"/>
      <c r="AE438" s="111"/>
      <c r="AF438" s="111"/>
      <c r="AG438" s="111"/>
      <c r="AH438" s="112"/>
      <c r="AI438" s="113"/>
      <c r="AK438" s="111"/>
      <c r="AL438" s="111"/>
      <c r="AM438" s="111"/>
      <c r="AN438" s="112"/>
      <c r="AO438" s="113"/>
      <c r="AQ438" s="17"/>
      <c r="AR438" s="17"/>
      <c r="AS438" s="17"/>
      <c r="AT438" s="18">
        <f t="shared" si="498"/>
        <v>0</v>
      </c>
      <c r="AU438" s="19">
        <f t="shared" si="501"/>
        <v>0</v>
      </c>
      <c r="AW438" s="17"/>
      <c r="AX438" s="17"/>
      <c r="AY438" s="17"/>
      <c r="AZ438" s="18">
        <f t="shared" si="499"/>
        <v>0</v>
      </c>
      <c r="BA438" s="19">
        <f t="shared" si="502"/>
        <v>0</v>
      </c>
    </row>
    <row r="439" spans="1:53" ht="17.100000000000001" customHeight="1" x14ac:dyDescent="0.25">
      <c r="A439" s="175"/>
      <c r="B439" s="40"/>
      <c r="C439" s="55"/>
      <c r="D439" s="56" t="s">
        <v>475</v>
      </c>
      <c r="E439" s="85" t="s">
        <v>483</v>
      </c>
      <c r="F439" s="595"/>
      <c r="G439" s="595"/>
      <c r="H439" s="17"/>
      <c r="I439" s="594"/>
      <c r="J439" s="111"/>
      <c r="K439" s="111"/>
      <c r="L439" s="111"/>
      <c r="M439" s="111"/>
      <c r="N439" s="60"/>
      <c r="O439" s="60"/>
      <c r="P439" s="17">
        <f t="shared" si="492"/>
        <v>0</v>
      </c>
      <c r="Q439" s="60"/>
      <c r="R439" s="60"/>
      <c r="S439" s="17">
        <f t="shared" si="493"/>
        <v>0</v>
      </c>
      <c r="T439" s="60"/>
      <c r="U439" s="60"/>
      <c r="V439" s="359">
        <f t="shared" si="494"/>
        <v>0</v>
      </c>
      <c r="W439" s="391">
        <f t="shared" si="495"/>
        <v>0</v>
      </c>
      <c r="X439" s="17">
        <f t="shared" si="496"/>
        <v>0</v>
      </c>
      <c r="Y439" s="18">
        <f t="shared" si="497"/>
        <v>0</v>
      </c>
      <c r="Z439" s="19">
        <f t="shared" si="500"/>
        <v>0</v>
      </c>
      <c r="AA439" s="19"/>
      <c r="AB439" s="19"/>
      <c r="AC439" s="84"/>
      <c r="AE439" s="111"/>
      <c r="AF439" s="111"/>
      <c r="AG439" s="111"/>
      <c r="AH439" s="112"/>
      <c r="AI439" s="113"/>
      <c r="AK439" s="111"/>
      <c r="AL439" s="111"/>
      <c r="AM439" s="111"/>
      <c r="AN439" s="112"/>
      <c r="AO439" s="113"/>
      <c r="AQ439" s="17"/>
      <c r="AR439" s="17"/>
      <c r="AS439" s="17"/>
      <c r="AT439" s="18">
        <f t="shared" si="498"/>
        <v>0</v>
      </c>
      <c r="AU439" s="19">
        <f t="shared" si="501"/>
        <v>0</v>
      </c>
      <c r="AW439" s="17"/>
      <c r="AX439" s="17"/>
      <c r="AY439" s="17"/>
      <c r="AZ439" s="18">
        <f t="shared" si="499"/>
        <v>0</v>
      </c>
      <c r="BA439" s="19">
        <f t="shared" si="502"/>
        <v>0</v>
      </c>
    </row>
    <row r="440" spans="1:53" ht="17.100000000000001" customHeight="1" x14ac:dyDescent="0.25">
      <c r="A440" s="175"/>
      <c r="B440" s="40"/>
      <c r="C440" s="55"/>
      <c r="D440" s="56" t="s">
        <v>476</v>
      </c>
      <c r="E440" s="149" t="s">
        <v>129</v>
      </c>
      <c r="F440" s="149"/>
      <c r="G440" s="149"/>
      <c r="H440" s="182"/>
      <c r="I440" s="241"/>
      <c r="J440" s="111"/>
      <c r="K440" s="111"/>
      <c r="L440" s="111"/>
      <c r="M440" s="111"/>
      <c r="N440" s="61"/>
      <c r="O440" s="61"/>
      <c r="P440" s="17">
        <f t="shared" si="492"/>
        <v>0</v>
      </c>
      <c r="Q440" s="61"/>
      <c r="R440" s="61"/>
      <c r="S440" s="17">
        <f t="shared" si="493"/>
        <v>0</v>
      </c>
      <c r="T440" s="61"/>
      <c r="U440" s="61"/>
      <c r="V440" s="359">
        <f t="shared" si="494"/>
        <v>0</v>
      </c>
      <c r="W440" s="391">
        <f t="shared" si="495"/>
        <v>0</v>
      </c>
      <c r="X440" s="17">
        <f t="shared" si="496"/>
        <v>0</v>
      </c>
      <c r="Y440" s="18">
        <f t="shared" si="497"/>
        <v>0</v>
      </c>
      <c r="Z440" s="19">
        <f t="shared" si="500"/>
        <v>0</v>
      </c>
      <c r="AA440" s="19"/>
      <c r="AB440" s="19"/>
      <c r="AC440" s="84"/>
      <c r="AE440" s="111"/>
      <c r="AF440" s="111"/>
      <c r="AG440" s="111"/>
      <c r="AH440" s="112"/>
      <c r="AI440" s="113"/>
      <c r="AK440" s="111"/>
      <c r="AL440" s="111"/>
      <c r="AM440" s="111"/>
      <c r="AN440" s="112"/>
      <c r="AO440" s="113"/>
      <c r="AQ440" s="17"/>
      <c r="AR440" s="17"/>
      <c r="AS440" s="17"/>
      <c r="AT440" s="18">
        <f t="shared" si="498"/>
        <v>0</v>
      </c>
      <c r="AU440" s="19">
        <f t="shared" si="501"/>
        <v>0</v>
      </c>
      <c r="AW440" s="17"/>
      <c r="AX440" s="17"/>
      <c r="AY440" s="17"/>
      <c r="AZ440" s="18">
        <f t="shared" si="499"/>
        <v>0</v>
      </c>
      <c r="BA440" s="19">
        <f t="shared" si="502"/>
        <v>0</v>
      </c>
    </row>
    <row r="441" spans="1:53" ht="17.100000000000001" customHeight="1" x14ac:dyDescent="0.25">
      <c r="A441" s="175"/>
      <c r="B441" s="40"/>
      <c r="C441" s="77"/>
      <c r="D441" s="134"/>
      <c r="E441" s="134"/>
      <c r="F441" s="134"/>
      <c r="G441" s="134"/>
      <c r="H441" s="540"/>
      <c r="I441" s="12"/>
      <c r="J441" s="80"/>
      <c r="K441" s="80"/>
      <c r="L441" s="81"/>
      <c r="M441" s="81"/>
      <c r="N441" s="81">
        <f>SUM(N433:N440)</f>
        <v>0</v>
      </c>
      <c r="O441" s="81">
        <f t="shared" ref="O441:V441" si="503">SUM(O433:O440)</f>
        <v>0</v>
      </c>
      <c r="P441" s="81">
        <f t="shared" si="503"/>
        <v>0</v>
      </c>
      <c r="Q441" s="81">
        <f t="shared" si="503"/>
        <v>0</v>
      </c>
      <c r="R441" s="81">
        <f t="shared" si="503"/>
        <v>0</v>
      </c>
      <c r="S441" s="81">
        <f t="shared" si="503"/>
        <v>0</v>
      </c>
      <c r="T441" s="81">
        <f t="shared" si="503"/>
        <v>0</v>
      </c>
      <c r="U441" s="81">
        <f t="shared" si="503"/>
        <v>0</v>
      </c>
      <c r="V441" s="81">
        <f t="shared" si="503"/>
        <v>0</v>
      </c>
      <c r="W441" s="381">
        <f>SUM(W433:W440)</f>
        <v>0</v>
      </c>
      <c r="X441" s="82">
        <f t="shared" ref="X441:Y441" si="504">SUM(X433:X440)</f>
        <v>0</v>
      </c>
      <c r="Y441" s="82">
        <f t="shared" si="504"/>
        <v>0</v>
      </c>
      <c r="Z441" s="205">
        <f t="shared" si="500"/>
        <v>0</v>
      </c>
      <c r="AA441" s="205"/>
      <c r="AB441" s="205"/>
      <c r="AC441" s="83"/>
      <c r="AE441" s="80"/>
      <c r="AF441" s="80"/>
      <c r="AG441" s="81"/>
      <c r="AH441" s="82"/>
      <c r="AI441" s="66"/>
      <c r="AK441" s="80"/>
      <c r="AL441" s="80"/>
      <c r="AM441" s="81"/>
      <c r="AN441" s="82"/>
      <c r="AO441" s="66"/>
      <c r="AQ441" s="80"/>
      <c r="AR441" s="80"/>
      <c r="AS441" s="81"/>
      <c r="AT441" s="82">
        <f>SUM(AT433:AT440)</f>
        <v>0</v>
      </c>
      <c r="AU441" s="66">
        <f t="shared" si="501"/>
        <v>0</v>
      </c>
      <c r="AW441" s="80"/>
      <c r="AX441" s="80"/>
      <c r="AY441" s="81"/>
      <c r="AZ441" s="82">
        <f>SUM(AZ433:AZ440)</f>
        <v>0</v>
      </c>
      <c r="BA441" s="66">
        <f t="shared" si="502"/>
        <v>0</v>
      </c>
    </row>
    <row r="442" spans="1:53" s="117" customFormat="1" ht="17.100000000000001" customHeight="1" x14ac:dyDescent="0.25">
      <c r="A442" s="68"/>
      <c r="B442" s="119"/>
      <c r="C442" s="540"/>
      <c r="D442" s="261"/>
      <c r="E442" s="261"/>
      <c r="F442" s="68"/>
      <c r="G442" s="68"/>
      <c r="H442" s="119"/>
      <c r="I442" s="138"/>
      <c r="J442" s="17"/>
      <c r="K442" s="17"/>
      <c r="L442" s="17"/>
      <c r="M442" s="17"/>
      <c r="N442" s="17" t="str">
        <f>IF(N441=N$403,"OK","NOK")</f>
        <v>OK</v>
      </c>
      <c r="O442" s="17" t="str">
        <f>IF(O441=O$403,"OK","NOK")</f>
        <v>OK</v>
      </c>
      <c r="P442" s="17"/>
      <c r="Q442" s="17" t="str">
        <f>IF(Q441=Q$403,"OK","NOK")</f>
        <v>OK</v>
      </c>
      <c r="R442" s="17" t="str">
        <f>IF(R441=R$403,"OK","NOK")</f>
        <v>OK</v>
      </c>
      <c r="S442" s="17"/>
      <c r="T442" s="17" t="str">
        <f>IF(T441=T$403,"OK","NOK")</f>
        <v>OK</v>
      </c>
      <c r="U442" s="17" t="str">
        <f>IF(U441=U$403,"OK","NOK")</f>
        <v>OK</v>
      </c>
      <c r="V442" s="359"/>
      <c r="W442" s="382"/>
      <c r="X442" s="539"/>
      <c r="Y442" s="539"/>
      <c r="Z442" s="201"/>
      <c r="AA442" s="201"/>
      <c r="AB442" s="201"/>
      <c r="AC442" s="84"/>
      <c r="AE442" s="46"/>
      <c r="AF442" s="46"/>
      <c r="AG442" s="17"/>
      <c r="AH442" s="539"/>
      <c r="AI442" s="91"/>
      <c r="AK442" s="46"/>
      <c r="AL442" s="46"/>
      <c r="AM442" s="17"/>
      <c r="AN442" s="539"/>
      <c r="AO442" s="91"/>
      <c r="AQ442" s="46"/>
      <c r="AR442" s="46"/>
      <c r="AS442" s="17"/>
      <c r="AT442" s="539"/>
      <c r="AU442" s="91"/>
      <c r="AW442" s="46"/>
      <c r="AX442" s="46"/>
      <c r="AY442" s="17"/>
      <c r="AZ442" s="539"/>
      <c r="BA442" s="91"/>
    </row>
    <row r="443" spans="1:53" ht="17.100000000000001" customHeight="1" x14ac:dyDescent="0.25">
      <c r="A443" s="68"/>
      <c r="B443" s="48" t="s">
        <v>245</v>
      </c>
      <c r="C443" s="49" t="s">
        <v>246</v>
      </c>
      <c r="D443" s="176"/>
      <c r="E443" s="70"/>
      <c r="F443" s="70"/>
      <c r="G443" s="70"/>
      <c r="H443" s="119"/>
      <c r="J443" s="71"/>
      <c r="K443" s="71"/>
      <c r="L443" s="71"/>
      <c r="M443" s="71"/>
      <c r="N443" s="71">
        <f t="shared" ref="N443:X443" si="505">SUM(N404:N405)</f>
        <v>0</v>
      </c>
      <c r="O443" s="71">
        <f t="shared" si="505"/>
        <v>0</v>
      </c>
      <c r="P443" s="71"/>
      <c r="Q443" s="71">
        <f t="shared" si="505"/>
        <v>0</v>
      </c>
      <c r="R443" s="71">
        <f t="shared" si="505"/>
        <v>0</v>
      </c>
      <c r="S443" s="71"/>
      <c r="T443" s="71">
        <f t="shared" si="505"/>
        <v>0</v>
      </c>
      <c r="U443" s="71">
        <f t="shared" si="505"/>
        <v>0</v>
      </c>
      <c r="V443" s="355"/>
      <c r="W443" s="377">
        <f t="shared" si="505"/>
        <v>0</v>
      </c>
      <c r="X443" s="71">
        <f t="shared" si="505"/>
        <v>0</v>
      </c>
      <c r="Y443" s="72"/>
      <c r="Z443" s="73"/>
      <c r="AA443" s="73"/>
      <c r="AB443" s="73"/>
      <c r="AC443" s="73"/>
      <c r="AE443" s="71"/>
      <c r="AF443" s="71"/>
      <c r="AG443" s="71"/>
      <c r="AH443" s="72"/>
      <c r="AI443" s="73"/>
      <c r="AK443" s="71"/>
      <c r="AL443" s="71"/>
      <c r="AM443" s="71"/>
      <c r="AN443" s="72"/>
      <c r="AO443" s="73"/>
      <c r="AQ443" s="71"/>
      <c r="AR443" s="71"/>
      <c r="AS443" s="71"/>
      <c r="AT443" s="72"/>
      <c r="AU443" s="73"/>
      <c r="AW443" s="71"/>
      <c r="AX443" s="71"/>
      <c r="AY443" s="71"/>
      <c r="AZ443" s="72"/>
      <c r="BA443" s="73"/>
    </row>
    <row r="444" spans="1:53" ht="17.100000000000001" customHeight="1" x14ac:dyDescent="0.25">
      <c r="A444" s="40"/>
      <c r="B444" s="55"/>
      <c r="C444" s="56" t="s">
        <v>247</v>
      </c>
      <c r="D444" s="149" t="s">
        <v>248</v>
      </c>
      <c r="E444" s="75"/>
      <c r="F444" s="75"/>
      <c r="G444" s="75"/>
      <c r="H444" s="540"/>
      <c r="I444" s="229"/>
      <c r="J444" s="111"/>
      <c r="K444" s="111"/>
      <c r="L444" s="111"/>
      <c r="M444" s="111"/>
      <c r="N444" s="111"/>
      <c r="O444" s="111"/>
      <c r="P444" s="111"/>
      <c r="Q444" s="111"/>
      <c r="R444" s="111"/>
      <c r="S444" s="111"/>
      <c r="T444" s="111"/>
      <c r="U444" s="111"/>
      <c r="V444" s="358"/>
      <c r="W444" s="380"/>
      <c r="X444" s="111"/>
      <c r="Y444" s="545"/>
      <c r="Z444" s="131"/>
      <c r="AA444" s="131"/>
      <c r="AB444" s="131"/>
      <c r="AC444" s="111"/>
      <c r="AE444" s="111"/>
      <c r="AF444" s="111"/>
      <c r="AG444" s="111"/>
      <c r="AH444" s="545"/>
      <c r="AI444" s="131"/>
      <c r="AK444" s="111"/>
      <c r="AL444" s="111"/>
      <c r="AM444" s="111"/>
      <c r="AN444" s="545"/>
      <c r="AO444" s="131"/>
      <c r="AQ444" s="111"/>
      <c r="AR444" s="111"/>
      <c r="AS444" s="111"/>
      <c r="AT444" s="545"/>
      <c r="AU444" s="131"/>
      <c r="AW444" s="111"/>
      <c r="AX444" s="111"/>
      <c r="AY444" s="111"/>
      <c r="AZ444" s="545"/>
      <c r="BA444" s="131"/>
    </row>
    <row r="445" spans="1:53" ht="17.100000000000001" customHeight="1" x14ac:dyDescent="0.25">
      <c r="A445" s="40"/>
      <c r="B445" s="40"/>
      <c r="C445" s="40"/>
      <c r="D445" s="56" t="s">
        <v>249</v>
      </c>
      <c r="E445" s="541" t="s">
        <v>479</v>
      </c>
      <c r="F445" s="75"/>
      <c r="G445" s="75"/>
      <c r="H445" s="540"/>
      <c r="I445" s="229"/>
      <c r="J445" s="111"/>
      <c r="K445" s="111"/>
      <c r="L445" s="111"/>
      <c r="M445" s="111"/>
      <c r="N445" s="60"/>
      <c r="O445" s="60"/>
      <c r="P445" s="17">
        <f t="shared" ref="P445:P449" si="506">SUM(N445:O445)</f>
        <v>0</v>
      </c>
      <c r="Q445" s="60"/>
      <c r="R445" s="60"/>
      <c r="S445" s="17">
        <f t="shared" ref="S445:S449" si="507">SUM(Q445:R445)</f>
        <v>0</v>
      </c>
      <c r="T445" s="60"/>
      <c r="U445" s="60"/>
      <c r="V445" s="359">
        <f t="shared" ref="V445:V449" si="508">SUM(T445:U445)</f>
        <v>0</v>
      </c>
      <c r="W445" s="391">
        <f t="shared" ref="W445:W449" si="509">J445+K445+N445+Q445+T445</f>
        <v>0</v>
      </c>
      <c r="X445" s="17">
        <f t="shared" ref="X445:X449" si="510">L445+O445+R445+U445</f>
        <v>0</v>
      </c>
      <c r="Y445" s="18">
        <f>SUM(W445:X445)</f>
        <v>0</v>
      </c>
      <c r="Z445" s="19">
        <f>IF(Y$454=0,0,Y445/Y$454)</f>
        <v>0</v>
      </c>
      <c r="AA445" s="19"/>
      <c r="AB445" s="19"/>
      <c r="AC445" s="17"/>
      <c r="AE445" s="111"/>
      <c r="AF445" s="111"/>
      <c r="AG445" s="111"/>
      <c r="AH445" s="112"/>
      <c r="AI445" s="113"/>
      <c r="AK445" s="111"/>
      <c r="AL445" s="111"/>
      <c r="AM445" s="111"/>
      <c r="AN445" s="112"/>
      <c r="AO445" s="113"/>
      <c r="AQ445" s="17"/>
      <c r="AR445" s="17"/>
      <c r="AS445" s="17"/>
      <c r="AT445" s="18">
        <f t="shared" ref="AT445:AT449" si="511">W445</f>
        <v>0</v>
      </c>
      <c r="AU445" s="19">
        <f>IF(AT$454=0,0,AT445/AT$454)</f>
        <v>0</v>
      </c>
      <c r="AW445" s="17"/>
      <c r="AX445" s="17"/>
      <c r="AY445" s="17"/>
      <c r="AZ445" s="18">
        <f t="shared" ref="AZ445:AZ449" si="512">X445</f>
        <v>0</v>
      </c>
      <c r="BA445" s="19">
        <f>IF(AZ$454=0,0,AZ445/AZ$454)</f>
        <v>0</v>
      </c>
    </row>
    <row r="446" spans="1:53" ht="17.100000000000001" customHeight="1" x14ac:dyDescent="0.25">
      <c r="A446" s="40"/>
      <c r="B446" s="40"/>
      <c r="C446" s="40"/>
      <c r="D446" s="56" t="s">
        <v>250</v>
      </c>
      <c r="E446" s="1403" t="s">
        <v>405</v>
      </c>
      <c r="F446" s="1404"/>
      <c r="G446" s="1404"/>
      <c r="H446" s="242"/>
      <c r="I446" s="230"/>
      <c r="J446" s="111"/>
      <c r="K446" s="111"/>
      <c r="L446" s="111"/>
      <c r="M446" s="111"/>
      <c r="N446" s="61"/>
      <c r="O446" s="61"/>
      <c r="P446" s="17">
        <f t="shared" si="506"/>
        <v>0</v>
      </c>
      <c r="Q446" s="61"/>
      <c r="R446" s="61"/>
      <c r="S446" s="17">
        <f t="shared" si="507"/>
        <v>0</v>
      </c>
      <c r="T446" s="61"/>
      <c r="U446" s="61"/>
      <c r="V446" s="359">
        <f t="shared" si="508"/>
        <v>0</v>
      </c>
      <c r="W446" s="391">
        <f t="shared" si="509"/>
        <v>0</v>
      </c>
      <c r="X446" s="17">
        <f t="shared" si="510"/>
        <v>0</v>
      </c>
      <c r="Y446" s="18">
        <f>SUM(W446:X446)</f>
        <v>0</v>
      </c>
      <c r="Z446" s="19">
        <f>IF(Y$454=0,0,Y446/Y$454)</f>
        <v>0</v>
      </c>
      <c r="AA446" s="19"/>
      <c r="AB446" s="19"/>
      <c r="AC446" s="17"/>
      <c r="AE446" s="111"/>
      <c r="AF446" s="111"/>
      <c r="AG446" s="111"/>
      <c r="AH446" s="112"/>
      <c r="AI446" s="113"/>
      <c r="AK446" s="111"/>
      <c r="AL446" s="111"/>
      <c r="AM446" s="111"/>
      <c r="AN446" s="112"/>
      <c r="AO446" s="113"/>
      <c r="AQ446" s="17"/>
      <c r="AR446" s="17"/>
      <c r="AS446" s="17"/>
      <c r="AT446" s="18">
        <f t="shared" si="511"/>
        <v>0</v>
      </c>
      <c r="AU446" s="19">
        <f>IF(AT$454=0,0,AT446/AT$454)</f>
        <v>0</v>
      </c>
      <c r="AW446" s="17"/>
      <c r="AX446" s="17"/>
      <c r="AY446" s="17"/>
      <c r="AZ446" s="18">
        <f t="shared" si="512"/>
        <v>0</v>
      </c>
      <c r="BA446" s="19">
        <f>IF(AZ$454=0,0,AZ446/AZ$454)</f>
        <v>0</v>
      </c>
    </row>
    <row r="447" spans="1:53" ht="17.100000000000001" customHeight="1" x14ac:dyDescent="0.25">
      <c r="A447" s="40"/>
      <c r="B447" s="40"/>
      <c r="C447" s="40"/>
      <c r="D447" s="56" t="s">
        <v>251</v>
      </c>
      <c r="E447" s="1398" t="s">
        <v>480</v>
      </c>
      <c r="F447" s="1399"/>
      <c r="G447" s="1399"/>
      <c r="H447" s="540"/>
      <c r="I447" s="229"/>
      <c r="J447" s="111"/>
      <c r="K447" s="111"/>
      <c r="L447" s="111"/>
      <c r="M447" s="111"/>
      <c r="N447" s="60"/>
      <c r="O447" s="60"/>
      <c r="P447" s="17">
        <f t="shared" si="506"/>
        <v>0</v>
      </c>
      <c r="Q447" s="60"/>
      <c r="R447" s="60"/>
      <c r="S447" s="17">
        <f t="shared" si="507"/>
        <v>0</v>
      </c>
      <c r="T447" s="60"/>
      <c r="U447" s="60"/>
      <c r="V447" s="359">
        <f t="shared" si="508"/>
        <v>0</v>
      </c>
      <c r="W447" s="391">
        <f t="shared" si="509"/>
        <v>0</v>
      </c>
      <c r="X447" s="17">
        <f t="shared" si="510"/>
        <v>0</v>
      </c>
      <c r="Y447" s="18">
        <f>SUM(W447:X447)</f>
        <v>0</v>
      </c>
      <c r="Z447" s="19">
        <f>IF(Y$454=0,0,Y447/Y$454)</f>
        <v>0</v>
      </c>
      <c r="AA447" s="19"/>
      <c r="AB447" s="19"/>
      <c r="AC447" s="17"/>
      <c r="AE447" s="111"/>
      <c r="AF447" s="111"/>
      <c r="AG447" s="111"/>
      <c r="AH447" s="112"/>
      <c r="AI447" s="113"/>
      <c r="AK447" s="111"/>
      <c r="AL447" s="111"/>
      <c r="AM447" s="111"/>
      <c r="AN447" s="112"/>
      <c r="AO447" s="113"/>
      <c r="AQ447" s="17"/>
      <c r="AR447" s="17"/>
      <c r="AS447" s="17"/>
      <c r="AT447" s="18">
        <f t="shared" si="511"/>
        <v>0</v>
      </c>
      <c r="AU447" s="19">
        <f>IF(AT$454=0,0,AT447/AT$454)</f>
        <v>0</v>
      </c>
      <c r="AW447" s="17"/>
      <c r="AX447" s="17"/>
      <c r="AY447" s="17"/>
      <c r="AZ447" s="18">
        <f t="shared" si="512"/>
        <v>0</v>
      </c>
      <c r="BA447" s="19">
        <f>IF(AZ$454=0,0,AZ447/AZ$454)</f>
        <v>0</v>
      </c>
    </row>
    <row r="448" spans="1:53" ht="17.100000000000001" customHeight="1" x14ac:dyDescent="0.25">
      <c r="A448" s="40"/>
      <c r="B448" s="40"/>
      <c r="C448" s="40"/>
      <c r="D448" s="56" t="s">
        <v>252</v>
      </c>
      <c r="E448" s="541" t="s">
        <v>481</v>
      </c>
      <c r="F448" s="75"/>
      <c r="G448" s="75"/>
      <c r="H448" s="242"/>
      <c r="I448" s="230"/>
      <c r="J448" s="111"/>
      <c r="K448" s="111"/>
      <c r="L448" s="111"/>
      <c r="M448" s="111"/>
      <c r="N448" s="61"/>
      <c r="O448" s="61"/>
      <c r="P448" s="17">
        <f t="shared" si="506"/>
        <v>0</v>
      </c>
      <c r="Q448" s="61"/>
      <c r="R448" s="61"/>
      <c r="S448" s="17">
        <f t="shared" si="507"/>
        <v>0</v>
      </c>
      <c r="T448" s="61"/>
      <c r="U448" s="61"/>
      <c r="V448" s="359">
        <f t="shared" si="508"/>
        <v>0</v>
      </c>
      <c r="W448" s="391">
        <f t="shared" si="509"/>
        <v>0</v>
      </c>
      <c r="X448" s="17">
        <f t="shared" si="510"/>
        <v>0</v>
      </c>
      <c r="Y448" s="18">
        <f>SUM(W448:X448)</f>
        <v>0</v>
      </c>
      <c r="Z448" s="19">
        <f>IF(Y$454=0,0,Y448/Y$454)</f>
        <v>0</v>
      </c>
      <c r="AA448" s="19"/>
      <c r="AB448" s="19"/>
      <c r="AC448" s="17"/>
      <c r="AE448" s="111"/>
      <c r="AF448" s="111"/>
      <c r="AG448" s="111"/>
      <c r="AH448" s="112"/>
      <c r="AI448" s="113"/>
      <c r="AK448" s="111"/>
      <c r="AL448" s="111"/>
      <c r="AM448" s="111"/>
      <c r="AN448" s="112"/>
      <c r="AO448" s="113"/>
      <c r="AQ448" s="17"/>
      <c r="AR448" s="17"/>
      <c r="AS448" s="17"/>
      <c r="AT448" s="18">
        <f t="shared" si="511"/>
        <v>0</v>
      </c>
      <c r="AU448" s="19">
        <f>IF(AT$454=0,0,AT448/AT$454)</f>
        <v>0</v>
      </c>
      <c r="AW448" s="17"/>
      <c r="AX448" s="17"/>
      <c r="AY448" s="17"/>
      <c r="AZ448" s="18">
        <f t="shared" si="512"/>
        <v>0</v>
      </c>
      <c r="BA448" s="19">
        <f>IF(AZ$454=0,0,AZ448/AZ$454)</f>
        <v>0</v>
      </c>
    </row>
    <row r="449" spans="1:53" ht="17.100000000000001" customHeight="1" x14ac:dyDescent="0.25">
      <c r="A449" s="40"/>
      <c r="B449" s="40"/>
      <c r="C449" s="40"/>
      <c r="D449" s="56" t="s">
        <v>253</v>
      </c>
      <c r="E449" s="541" t="s">
        <v>109</v>
      </c>
      <c r="F449" s="543"/>
      <c r="G449" s="543"/>
      <c r="H449" s="540"/>
      <c r="I449" s="229"/>
      <c r="J449" s="111"/>
      <c r="K449" s="111"/>
      <c r="L449" s="111"/>
      <c r="M449" s="111"/>
      <c r="N449" s="111">
        <f>SUM(N450:N452)</f>
        <v>0</v>
      </c>
      <c r="O449" s="111">
        <f t="shared" ref="O449:U449" si="513">SUM(O450:O452)</f>
        <v>0</v>
      </c>
      <c r="P449" s="111">
        <f t="shared" si="506"/>
        <v>0</v>
      </c>
      <c r="Q449" s="111">
        <f t="shared" si="513"/>
        <v>0</v>
      </c>
      <c r="R449" s="111">
        <f t="shared" si="513"/>
        <v>0</v>
      </c>
      <c r="S449" s="111">
        <f t="shared" si="507"/>
        <v>0</v>
      </c>
      <c r="T449" s="111">
        <f t="shared" si="513"/>
        <v>0</v>
      </c>
      <c r="U449" s="111">
        <f t="shared" si="513"/>
        <v>0</v>
      </c>
      <c r="V449" s="358">
        <f t="shared" si="508"/>
        <v>0</v>
      </c>
      <c r="W449" s="380">
        <f t="shared" si="509"/>
        <v>0</v>
      </c>
      <c r="X449" s="111">
        <f t="shared" si="510"/>
        <v>0</v>
      </c>
      <c r="Y449" s="545">
        <f>SUM(W449:X449)</f>
        <v>0</v>
      </c>
      <c r="Z449" s="131">
        <f>IF(Y$454=0,0,Y449/Y$454)</f>
        <v>0</v>
      </c>
      <c r="AA449" s="131"/>
      <c r="AB449" s="131"/>
      <c r="AC449" s="111"/>
      <c r="AE449" s="111"/>
      <c r="AF449" s="111"/>
      <c r="AG449" s="111"/>
      <c r="AH449" s="112"/>
      <c r="AI449" s="113"/>
      <c r="AK449" s="111"/>
      <c r="AL449" s="111"/>
      <c r="AM449" s="111"/>
      <c r="AN449" s="112"/>
      <c r="AO449" s="113"/>
      <c r="AQ449" s="111"/>
      <c r="AR449" s="111"/>
      <c r="AS449" s="111"/>
      <c r="AT449" s="545">
        <f t="shared" si="511"/>
        <v>0</v>
      </c>
      <c r="AU449" s="131">
        <f>IF(AT$454=0,0,AT449/AT$454)</f>
        <v>0</v>
      </c>
      <c r="AW449" s="111"/>
      <c r="AX449" s="111"/>
      <c r="AY449" s="111"/>
      <c r="AZ449" s="545">
        <f t="shared" si="512"/>
        <v>0</v>
      </c>
      <c r="BA449" s="131">
        <f>IF(AZ$454=0,0,AZ449/AZ$454)</f>
        <v>0</v>
      </c>
    </row>
    <row r="450" spans="1:53" ht="17.100000000000001" customHeight="1" x14ac:dyDescent="0.25">
      <c r="A450" s="40"/>
      <c r="B450" s="40"/>
      <c r="C450" s="40"/>
      <c r="D450" s="74"/>
      <c r="E450" s="170"/>
      <c r="F450" s="171"/>
      <c r="G450" s="171"/>
      <c r="H450" s="17"/>
      <c r="I450" s="594"/>
      <c r="J450" s="111"/>
      <c r="K450" s="111"/>
      <c r="L450" s="111"/>
      <c r="M450" s="111"/>
      <c r="N450" s="61"/>
      <c r="O450" s="61"/>
      <c r="P450" s="17"/>
      <c r="Q450" s="61"/>
      <c r="R450" s="61"/>
      <c r="S450" s="17"/>
      <c r="T450" s="61"/>
      <c r="U450" s="61"/>
      <c r="V450" s="359"/>
      <c r="W450" s="391"/>
      <c r="X450" s="17"/>
      <c r="Y450" s="539"/>
      <c r="Z450" s="17"/>
      <c r="AA450" s="17"/>
      <c r="AB450" s="17"/>
      <c r="AC450" s="17"/>
      <c r="AE450" s="17"/>
      <c r="AF450" s="17"/>
      <c r="AG450" s="17"/>
      <c r="AH450" s="539"/>
      <c r="AI450" s="17"/>
      <c r="AK450" s="17"/>
      <c r="AL450" s="17"/>
      <c r="AM450" s="17"/>
      <c r="AN450" s="539"/>
      <c r="AO450" s="17"/>
      <c r="AQ450" s="17"/>
      <c r="AR450" s="17"/>
      <c r="AS450" s="17"/>
      <c r="AT450" s="539"/>
      <c r="AU450" s="17"/>
      <c r="AW450" s="17"/>
      <c r="AX450" s="17"/>
      <c r="AY450" s="17"/>
      <c r="AZ450" s="539"/>
      <c r="BA450" s="17"/>
    </row>
    <row r="451" spans="1:53" ht="17.100000000000001" customHeight="1" x14ac:dyDescent="0.25">
      <c r="A451" s="40"/>
      <c r="B451" s="40"/>
      <c r="C451" s="40"/>
      <c r="D451" s="74"/>
      <c r="E451" s="168"/>
      <c r="F451" s="169"/>
      <c r="G451" s="169"/>
      <c r="H451" s="17"/>
      <c r="I451" s="594"/>
      <c r="J451" s="111"/>
      <c r="K451" s="111"/>
      <c r="L451" s="111"/>
      <c r="M451" s="111"/>
      <c r="N451" s="60"/>
      <c r="O451" s="60"/>
      <c r="P451" s="17"/>
      <c r="Q451" s="60"/>
      <c r="R451" s="60"/>
      <c r="S451" s="17"/>
      <c r="T451" s="60"/>
      <c r="U451" s="60"/>
      <c r="V451" s="359"/>
      <c r="W451" s="391"/>
      <c r="X451" s="17"/>
      <c r="Y451" s="539"/>
      <c r="Z451" s="17"/>
      <c r="AA451" s="17"/>
      <c r="AB451" s="17"/>
      <c r="AC451" s="17"/>
      <c r="AE451" s="17"/>
      <c r="AF451" s="17"/>
      <c r="AG451" s="17"/>
      <c r="AH451" s="539"/>
      <c r="AI451" s="17"/>
      <c r="AK451" s="17"/>
      <c r="AL451" s="17"/>
      <c r="AM451" s="17"/>
      <c r="AN451" s="539"/>
      <c r="AO451" s="17"/>
      <c r="AQ451" s="17"/>
      <c r="AR451" s="17"/>
      <c r="AS451" s="17"/>
      <c r="AT451" s="539"/>
      <c r="AU451" s="17"/>
      <c r="AW451" s="17"/>
      <c r="AX451" s="17"/>
      <c r="AY451" s="17"/>
      <c r="AZ451" s="539"/>
      <c r="BA451" s="17"/>
    </row>
    <row r="452" spans="1:53" ht="17.100000000000001" customHeight="1" x14ac:dyDescent="0.25">
      <c r="A452" s="40"/>
      <c r="B452" s="40"/>
      <c r="C452" s="40"/>
      <c r="D452" s="74"/>
      <c r="E452" s="170"/>
      <c r="F452" s="171"/>
      <c r="G452" s="171"/>
      <c r="H452" s="17"/>
      <c r="I452" s="594"/>
      <c r="J452" s="111"/>
      <c r="K452" s="111"/>
      <c r="L452" s="111"/>
      <c r="M452" s="111"/>
      <c r="N452" s="61"/>
      <c r="O452" s="61"/>
      <c r="P452" s="17"/>
      <c r="Q452" s="61"/>
      <c r="R452" s="61"/>
      <c r="S452" s="17"/>
      <c r="T452" s="61"/>
      <c r="U452" s="61"/>
      <c r="V452" s="359"/>
      <c r="W452" s="391"/>
      <c r="X452" s="17"/>
      <c r="Y452" s="539"/>
      <c r="Z452" s="17"/>
      <c r="AA452" s="17"/>
      <c r="AB452" s="17"/>
      <c r="AC452" s="17"/>
      <c r="AE452" s="17"/>
      <c r="AF452" s="17"/>
      <c r="AG452" s="17"/>
      <c r="AH452" s="539"/>
      <c r="AI452" s="17"/>
      <c r="AK452" s="17"/>
      <c r="AL452" s="17"/>
      <c r="AM452" s="17"/>
      <c r="AN452" s="539"/>
      <c r="AO452" s="17"/>
      <c r="AQ452" s="17"/>
      <c r="AR452" s="17"/>
      <c r="AS452" s="17"/>
      <c r="AT452" s="539"/>
      <c r="AU452" s="17"/>
      <c r="AW452" s="17"/>
      <c r="AX452" s="17"/>
      <c r="AY452" s="17"/>
      <c r="AZ452" s="539"/>
      <c r="BA452" s="17"/>
    </row>
    <row r="453" spans="1:53" ht="17.100000000000001" customHeight="1" x14ac:dyDescent="0.25">
      <c r="A453" s="40"/>
      <c r="B453" s="40"/>
      <c r="C453" s="40"/>
      <c r="D453" s="56" t="s">
        <v>616</v>
      </c>
      <c r="E453" s="596" t="s">
        <v>598</v>
      </c>
      <c r="F453" s="597"/>
      <c r="G453" s="597"/>
      <c r="H453" s="17"/>
      <c r="I453" s="594"/>
      <c r="J453" s="111"/>
      <c r="K453" s="111"/>
      <c r="L453" s="111"/>
      <c r="M453" s="111"/>
      <c r="N453" s="60"/>
      <c r="O453" s="60"/>
      <c r="P453" s="17">
        <f t="shared" ref="P453" si="514">SUM(N453:O453)</f>
        <v>0</v>
      </c>
      <c r="Q453" s="60"/>
      <c r="R453" s="60"/>
      <c r="S453" s="17">
        <f t="shared" ref="S453" si="515">SUM(Q453:R453)</f>
        <v>0</v>
      </c>
      <c r="T453" s="60"/>
      <c r="U453" s="60"/>
      <c r="V453" s="359">
        <f t="shared" ref="V453" si="516">SUM(T453:U453)</f>
        <v>0</v>
      </c>
      <c r="W453" s="391">
        <f t="shared" ref="W453" si="517">J453+K453+N453+Q453+T453</f>
        <v>0</v>
      </c>
      <c r="X453" s="17">
        <f t="shared" ref="X453" si="518">L453+O453+R453+U453</f>
        <v>0</v>
      </c>
      <c r="Y453" s="18">
        <f>SUM(W453:X453)</f>
        <v>0</v>
      </c>
      <c r="Z453" s="19">
        <f>IF(Y$454=0,0,Y453/Y$454)</f>
        <v>0</v>
      </c>
      <c r="AA453" s="19"/>
      <c r="AB453" s="19"/>
      <c r="AC453" s="17"/>
      <c r="AE453" s="17"/>
      <c r="AF453" s="17"/>
      <c r="AG453" s="17"/>
      <c r="AH453" s="18"/>
      <c r="AI453" s="19"/>
      <c r="AK453" s="17"/>
      <c r="AL453" s="17"/>
      <c r="AM453" s="17"/>
      <c r="AN453" s="18"/>
      <c r="AO453" s="19"/>
      <c r="AQ453" s="17"/>
      <c r="AR453" s="17"/>
      <c r="AS453" s="17"/>
      <c r="AT453" s="18">
        <f t="shared" ref="AT453" si="519">W453</f>
        <v>0</v>
      </c>
      <c r="AU453" s="19">
        <f>IF(AT$454=0,0,AT453/AT$454)</f>
        <v>0</v>
      </c>
      <c r="AW453" s="17"/>
      <c r="AX453" s="17"/>
      <c r="AY453" s="17"/>
      <c r="AZ453" s="18">
        <f>X453</f>
        <v>0</v>
      </c>
      <c r="BA453" s="19">
        <f>IF(AZ$454=0,0,AZ453/AZ$454)</f>
        <v>0</v>
      </c>
    </row>
    <row r="454" spans="1:53" ht="17.100000000000001" customHeight="1" x14ac:dyDescent="0.25">
      <c r="A454" s="40"/>
      <c r="B454" s="40"/>
      <c r="C454" s="77"/>
      <c r="D454" s="134"/>
      <c r="E454" s="134"/>
      <c r="F454" s="134"/>
      <c r="G454" s="134"/>
      <c r="H454" s="540"/>
      <c r="I454" s="229"/>
      <c r="J454" s="80"/>
      <c r="K454" s="80"/>
      <c r="L454" s="81"/>
      <c r="M454" s="81"/>
      <c r="N454" s="81">
        <f t="shared" ref="N454:V454" si="520">SUM(N445:N449)+N453</f>
        <v>0</v>
      </c>
      <c r="O454" s="81">
        <f t="shared" si="520"/>
        <v>0</v>
      </c>
      <c r="P454" s="81">
        <f t="shared" si="520"/>
        <v>0</v>
      </c>
      <c r="Q454" s="81">
        <f t="shared" si="520"/>
        <v>0</v>
      </c>
      <c r="R454" s="81">
        <f t="shared" si="520"/>
        <v>0</v>
      </c>
      <c r="S454" s="81">
        <f t="shared" si="520"/>
        <v>0</v>
      </c>
      <c r="T454" s="81">
        <f t="shared" si="520"/>
        <v>0</v>
      </c>
      <c r="U454" s="81">
        <f t="shared" si="520"/>
        <v>0</v>
      </c>
      <c r="V454" s="81">
        <f t="shared" si="520"/>
        <v>0</v>
      </c>
      <c r="W454" s="381">
        <f t="shared" ref="W454:Y454" si="521">SUM(W445:W449)+W453</f>
        <v>0</v>
      </c>
      <c r="X454" s="82">
        <f t="shared" si="521"/>
        <v>0</v>
      </c>
      <c r="Y454" s="82">
        <f t="shared" si="521"/>
        <v>0</v>
      </c>
      <c r="Z454" s="205">
        <f t="shared" ref="Z454" si="522">IF(Y$454=0,0,Y454/Y$454)</f>
        <v>0</v>
      </c>
      <c r="AA454" s="205"/>
      <c r="AB454" s="205"/>
      <c r="AC454" s="83"/>
      <c r="AE454" s="80"/>
      <c r="AF454" s="80"/>
      <c r="AG454" s="81"/>
      <c r="AH454" s="82"/>
      <c r="AI454" s="66"/>
      <c r="AK454" s="80"/>
      <c r="AL454" s="80"/>
      <c r="AM454" s="81"/>
      <c r="AN454" s="82"/>
      <c r="AO454" s="66"/>
      <c r="AQ454" s="80"/>
      <c r="AR454" s="80"/>
      <c r="AS454" s="81"/>
      <c r="AT454" s="82">
        <f>SUM(AT445:AT453)</f>
        <v>0</v>
      </c>
      <c r="AU454" s="66">
        <f>IF(AT$454=0,0,AT454/AT$454)</f>
        <v>0</v>
      </c>
      <c r="AW454" s="80"/>
      <c r="AX454" s="80"/>
      <c r="AY454" s="81"/>
      <c r="AZ454" s="82">
        <f>SUM(AZ445:AZ453)</f>
        <v>0</v>
      </c>
      <c r="BA454" s="66">
        <f>IF(AZ$454=0,0,AZ454/AZ$454)</f>
        <v>0</v>
      </c>
    </row>
    <row r="455" spans="1:53" s="117" customFormat="1" ht="17.100000000000001" customHeight="1" x14ac:dyDescent="0.25">
      <c r="A455" s="68"/>
      <c r="B455" s="119"/>
      <c r="C455" s="540"/>
      <c r="D455" s="261"/>
      <c r="E455" s="261"/>
      <c r="F455" s="68"/>
      <c r="G455" s="68"/>
      <c r="H455" s="119"/>
      <c r="I455" s="138"/>
      <c r="J455" s="17"/>
      <c r="K455" s="17"/>
      <c r="L455" s="17"/>
      <c r="M455" s="17"/>
      <c r="N455" s="17" t="str">
        <f>IF(N454=N$443,"OK","NOK")</f>
        <v>OK</v>
      </c>
      <c r="O455" s="17" t="str">
        <f>IF(O454=O$443,"OK","NOK")</f>
        <v>OK</v>
      </c>
      <c r="P455" s="17"/>
      <c r="Q455" s="17" t="str">
        <f>IF(Q454=Q$443,"OK","NOK")</f>
        <v>OK</v>
      </c>
      <c r="R455" s="17" t="str">
        <f>IF(R454=R$443,"OK","NOK")</f>
        <v>OK</v>
      </c>
      <c r="S455" s="17"/>
      <c r="T455" s="17" t="str">
        <f>IF(T454=T$443,"OK","NOK")</f>
        <v>OK</v>
      </c>
      <c r="U455" s="17" t="str">
        <f>IF(U454=U$443,"OK","NOK")</f>
        <v>OK</v>
      </c>
      <c r="V455" s="359"/>
      <c r="W455" s="382"/>
      <c r="X455" s="539"/>
      <c r="Y455" s="539"/>
      <c r="Z455" s="201"/>
      <c r="AA455" s="201"/>
      <c r="AB455" s="201"/>
      <c r="AC455" s="84"/>
      <c r="AE455" s="46"/>
      <c r="AF455" s="46"/>
      <c r="AG455" s="17"/>
      <c r="AH455" s="539"/>
      <c r="AI455" s="91"/>
      <c r="AK455" s="46"/>
      <c r="AL455" s="46"/>
      <c r="AM455" s="17"/>
      <c r="AN455" s="539"/>
      <c r="AO455" s="91"/>
      <c r="AQ455" s="46"/>
      <c r="AR455" s="46"/>
      <c r="AS455" s="17"/>
      <c r="AT455" s="539"/>
      <c r="AU455" s="91"/>
      <c r="AW455" s="46"/>
      <c r="AX455" s="46"/>
      <c r="AY455" s="17"/>
      <c r="AZ455" s="539"/>
      <c r="BA455" s="91"/>
    </row>
    <row r="456" spans="1:53" ht="17.100000000000001" customHeight="1" x14ac:dyDescent="0.25">
      <c r="A456" s="40"/>
      <c r="B456" s="40"/>
      <c r="C456" s="56" t="s">
        <v>254</v>
      </c>
      <c r="D456" s="146" t="s">
        <v>255</v>
      </c>
      <c r="E456" s="149"/>
      <c r="F456" s="75"/>
      <c r="G456" s="75"/>
      <c r="H456" s="540"/>
      <c r="I456" s="229"/>
      <c r="J456" s="545"/>
      <c r="K456" s="545"/>
      <c r="L456" s="545"/>
      <c r="M456" s="545"/>
      <c r="N456" s="545"/>
      <c r="O456" s="545"/>
      <c r="P456" s="545"/>
      <c r="Q456" s="545"/>
      <c r="R456" s="545"/>
      <c r="S456" s="545"/>
      <c r="T456" s="545"/>
      <c r="U456" s="545"/>
      <c r="V456" s="364"/>
      <c r="W456" s="385"/>
      <c r="X456" s="545"/>
      <c r="Y456" s="545"/>
      <c r="Z456" s="545"/>
      <c r="AA456" s="545"/>
      <c r="AB456" s="545"/>
      <c r="AC456" s="545"/>
      <c r="AE456" s="545"/>
      <c r="AF456" s="545"/>
      <c r="AG456" s="545"/>
      <c r="AH456" s="545"/>
      <c r="AI456" s="545"/>
      <c r="AK456" s="545"/>
      <c r="AL456" s="545"/>
      <c r="AM456" s="545"/>
      <c r="AN456" s="545"/>
      <c r="AO456" s="545"/>
      <c r="AQ456" s="545"/>
      <c r="AR456" s="545"/>
      <c r="AS456" s="545"/>
      <c r="AT456" s="545"/>
      <c r="AU456" s="545"/>
      <c r="AW456" s="545"/>
      <c r="AX456" s="545"/>
      <c r="AY456" s="545"/>
      <c r="AZ456" s="545"/>
      <c r="BA456" s="545"/>
    </row>
    <row r="457" spans="1:53" ht="17.100000000000001" customHeight="1" x14ac:dyDescent="0.25">
      <c r="A457" s="40"/>
      <c r="B457" s="40"/>
      <c r="C457" s="55"/>
      <c r="D457" s="180" t="s">
        <v>256</v>
      </c>
      <c r="E457" s="146" t="s">
        <v>113</v>
      </c>
      <c r="F457" s="75"/>
      <c r="G457" s="75"/>
      <c r="H457" s="540"/>
      <c r="I457" s="229"/>
      <c r="J457" s="111"/>
      <c r="K457" s="111"/>
      <c r="L457" s="111"/>
      <c r="M457" s="111"/>
      <c r="N457" s="60"/>
      <c r="O457" s="60"/>
      <c r="P457" s="17">
        <f t="shared" ref="P457:P459" si="523">SUM(N457:O457)</f>
        <v>0</v>
      </c>
      <c r="Q457" s="60"/>
      <c r="R457" s="60"/>
      <c r="S457" s="17">
        <f t="shared" ref="S457:S459" si="524">SUM(Q457:R457)</f>
        <v>0</v>
      </c>
      <c r="T457" s="60"/>
      <c r="U457" s="60"/>
      <c r="V457" s="359">
        <f t="shared" ref="V457:V459" si="525">SUM(T457:U457)</f>
        <v>0</v>
      </c>
      <c r="W457" s="391">
        <f t="shared" ref="W457:W459" si="526">J457+K457+N457+Q457+T457</f>
        <v>0</v>
      </c>
      <c r="X457" s="17">
        <f t="shared" ref="X457:X459" si="527">L457+O457+R457+U457</f>
        <v>0</v>
      </c>
      <c r="Y457" s="18">
        <f>SUM(W457:X457)</f>
        <v>0</v>
      </c>
      <c r="Z457" s="19">
        <f>IF(Y$460=0,0,Y457/Y$460)</f>
        <v>0</v>
      </c>
      <c r="AA457" s="19"/>
      <c r="AB457" s="19"/>
      <c r="AC457" s="17"/>
      <c r="AE457" s="111"/>
      <c r="AF457" s="111"/>
      <c r="AG457" s="111"/>
      <c r="AH457" s="112"/>
      <c r="AI457" s="113"/>
      <c r="AK457" s="111"/>
      <c r="AL457" s="111"/>
      <c r="AM457" s="111"/>
      <c r="AN457" s="112"/>
      <c r="AO457" s="113"/>
      <c r="AQ457" s="17"/>
      <c r="AR457" s="17"/>
      <c r="AS457" s="17"/>
      <c r="AT457" s="18">
        <f t="shared" ref="AT457:AT459" si="528">W457</f>
        <v>0</v>
      </c>
      <c r="AU457" s="19">
        <f>IF(AT$460=0,0,AT457/AT$460)</f>
        <v>0</v>
      </c>
      <c r="AW457" s="17"/>
      <c r="AX457" s="17"/>
      <c r="AY457" s="17"/>
      <c r="AZ457" s="18">
        <f t="shared" ref="AZ457:AZ459" si="529">X457</f>
        <v>0</v>
      </c>
      <c r="BA457" s="19">
        <f>IF(AZ$460=0,0,AZ457/AZ$460)</f>
        <v>0</v>
      </c>
    </row>
    <row r="458" spans="1:53" ht="17.100000000000001" customHeight="1" x14ac:dyDescent="0.25">
      <c r="A458" s="40"/>
      <c r="B458" s="40"/>
      <c r="C458" s="55"/>
      <c r="D458" s="180" t="s">
        <v>257</v>
      </c>
      <c r="E458" s="146" t="s">
        <v>258</v>
      </c>
      <c r="F458" s="75"/>
      <c r="G458" s="75"/>
      <c r="H458" s="540"/>
      <c r="I458" s="229"/>
      <c r="J458" s="111"/>
      <c r="K458" s="111"/>
      <c r="L458" s="111"/>
      <c r="M458" s="111"/>
      <c r="N458" s="61"/>
      <c r="O458" s="61"/>
      <c r="P458" s="17">
        <f t="shared" si="523"/>
        <v>0</v>
      </c>
      <c r="Q458" s="61"/>
      <c r="R458" s="61"/>
      <c r="S458" s="17">
        <f t="shared" si="524"/>
        <v>0</v>
      </c>
      <c r="T458" s="61"/>
      <c r="U458" s="61"/>
      <c r="V458" s="359">
        <f t="shared" si="525"/>
        <v>0</v>
      </c>
      <c r="W458" s="391">
        <f t="shared" si="526"/>
        <v>0</v>
      </c>
      <c r="X458" s="17">
        <f t="shared" si="527"/>
        <v>0</v>
      </c>
      <c r="Y458" s="18">
        <f>SUM(W458:X458)</f>
        <v>0</v>
      </c>
      <c r="Z458" s="19">
        <f t="shared" ref="Z458:Z460" si="530">IF(Y$460=0,0,Y458/Y$460)</f>
        <v>0</v>
      </c>
      <c r="AA458" s="19"/>
      <c r="AB458" s="19"/>
      <c r="AC458" s="17"/>
      <c r="AE458" s="111"/>
      <c r="AF458" s="111"/>
      <c r="AG458" s="111"/>
      <c r="AH458" s="112"/>
      <c r="AI458" s="113"/>
      <c r="AK458" s="111"/>
      <c r="AL458" s="111"/>
      <c r="AM458" s="111"/>
      <c r="AN458" s="112"/>
      <c r="AO458" s="113"/>
      <c r="AQ458" s="17"/>
      <c r="AR458" s="17"/>
      <c r="AS458" s="17"/>
      <c r="AT458" s="18">
        <f t="shared" si="528"/>
        <v>0</v>
      </c>
      <c r="AU458" s="19">
        <f>IF(AT$460=0,0,AT458/AT$460)</f>
        <v>0</v>
      </c>
      <c r="AW458" s="17"/>
      <c r="AX458" s="17"/>
      <c r="AY458" s="17"/>
      <c r="AZ458" s="18">
        <f t="shared" si="529"/>
        <v>0</v>
      </c>
      <c r="BA458" s="19">
        <f>IF(AZ$460=0,0,AZ458/AZ$460)</f>
        <v>0</v>
      </c>
    </row>
    <row r="459" spans="1:53" ht="17.100000000000001" customHeight="1" x14ac:dyDescent="0.25">
      <c r="A459" s="40"/>
      <c r="B459" s="40"/>
      <c r="C459" s="55"/>
      <c r="D459" s="180" t="s">
        <v>259</v>
      </c>
      <c r="E459" s="596" t="s">
        <v>598</v>
      </c>
      <c r="F459" s="542"/>
      <c r="G459" s="542"/>
      <c r="H459" s="540"/>
      <c r="I459" s="235"/>
      <c r="J459" s="111"/>
      <c r="K459" s="111"/>
      <c r="L459" s="111"/>
      <c r="M459" s="111"/>
      <c r="N459" s="60"/>
      <c r="O459" s="60"/>
      <c r="P459" s="17">
        <f t="shared" si="523"/>
        <v>0</v>
      </c>
      <c r="Q459" s="60"/>
      <c r="R459" s="60"/>
      <c r="S459" s="17">
        <f t="shared" si="524"/>
        <v>0</v>
      </c>
      <c r="T459" s="60"/>
      <c r="U459" s="60"/>
      <c r="V459" s="359">
        <f t="shared" si="525"/>
        <v>0</v>
      </c>
      <c r="W459" s="391">
        <f t="shared" si="526"/>
        <v>0</v>
      </c>
      <c r="X459" s="17">
        <f t="shared" si="527"/>
        <v>0</v>
      </c>
      <c r="Y459" s="18">
        <f>SUM(W459:X459)</f>
        <v>0</v>
      </c>
      <c r="Z459" s="19">
        <f t="shared" si="530"/>
        <v>0</v>
      </c>
      <c r="AA459" s="19"/>
      <c r="AB459" s="19"/>
      <c r="AC459" s="17"/>
      <c r="AE459" s="111"/>
      <c r="AF459" s="111"/>
      <c r="AG459" s="111"/>
      <c r="AH459" s="112"/>
      <c r="AI459" s="113"/>
      <c r="AK459" s="111"/>
      <c r="AL459" s="111"/>
      <c r="AM459" s="111"/>
      <c r="AN459" s="112"/>
      <c r="AO459" s="113"/>
      <c r="AQ459" s="17"/>
      <c r="AR459" s="17"/>
      <c r="AS459" s="17"/>
      <c r="AT459" s="18">
        <f t="shared" si="528"/>
        <v>0</v>
      </c>
      <c r="AU459" s="19">
        <f>IF(AT$460=0,0,AT459/AT$460)</f>
        <v>0</v>
      </c>
      <c r="AW459" s="17"/>
      <c r="AX459" s="17"/>
      <c r="AY459" s="17"/>
      <c r="AZ459" s="18">
        <f t="shared" si="529"/>
        <v>0</v>
      </c>
      <c r="BA459" s="19">
        <f>IF(AZ$460=0,0,AZ459/AZ$460)</f>
        <v>0</v>
      </c>
    </row>
    <row r="460" spans="1:53" ht="17.100000000000001" customHeight="1" x14ac:dyDescent="0.25">
      <c r="A460" s="40"/>
      <c r="B460" s="40"/>
      <c r="C460" s="77"/>
      <c r="D460" s="134"/>
      <c r="E460" s="134"/>
      <c r="F460" s="134"/>
      <c r="G460" s="134"/>
      <c r="H460" s="540"/>
      <c r="I460" s="229"/>
      <c r="J460" s="80"/>
      <c r="K460" s="80"/>
      <c r="L460" s="81"/>
      <c r="M460" s="81"/>
      <c r="N460" s="81">
        <f>SUM(N457:N459)</f>
        <v>0</v>
      </c>
      <c r="O460" s="81">
        <f t="shared" ref="O460:V460" si="531">SUM(O457:O459)</f>
        <v>0</v>
      </c>
      <c r="P460" s="81">
        <f t="shared" si="531"/>
        <v>0</v>
      </c>
      <c r="Q460" s="81">
        <f t="shared" si="531"/>
        <v>0</v>
      </c>
      <c r="R460" s="81">
        <f t="shared" si="531"/>
        <v>0</v>
      </c>
      <c r="S460" s="81">
        <f t="shared" si="531"/>
        <v>0</v>
      </c>
      <c r="T460" s="81">
        <f t="shared" si="531"/>
        <v>0</v>
      </c>
      <c r="U460" s="81">
        <f t="shared" si="531"/>
        <v>0</v>
      </c>
      <c r="V460" s="81">
        <f t="shared" si="531"/>
        <v>0</v>
      </c>
      <c r="W460" s="381">
        <f>SUM(W457:W459)</f>
        <v>0</v>
      </c>
      <c r="X460" s="82">
        <f t="shared" ref="X460:Y460" si="532">SUM(X457:X459)</f>
        <v>0</v>
      </c>
      <c r="Y460" s="82">
        <f t="shared" si="532"/>
        <v>0</v>
      </c>
      <c r="Z460" s="205">
        <f t="shared" si="530"/>
        <v>0</v>
      </c>
      <c r="AA460" s="205"/>
      <c r="AB460" s="205"/>
      <c r="AC460" s="83"/>
      <c r="AE460" s="80"/>
      <c r="AF460" s="80"/>
      <c r="AG460" s="81"/>
      <c r="AH460" s="82"/>
      <c r="AI460" s="66"/>
      <c r="AK460" s="80"/>
      <c r="AL460" s="80"/>
      <c r="AM460" s="81"/>
      <c r="AN460" s="82"/>
      <c r="AO460" s="66"/>
      <c r="AQ460" s="80"/>
      <c r="AR460" s="80"/>
      <c r="AS460" s="81"/>
      <c r="AT460" s="82">
        <f>SUM(AT457:AT459)</f>
        <v>0</v>
      </c>
      <c r="AU460" s="66">
        <f>IF(AT$460=0,0,AT460/AT$460)</f>
        <v>0</v>
      </c>
      <c r="AW460" s="80"/>
      <c r="AX460" s="80"/>
      <c r="AY460" s="81"/>
      <c r="AZ460" s="82">
        <f>SUM(AZ457:AZ459)</f>
        <v>0</v>
      </c>
      <c r="BA460" s="66">
        <f>IF(AZ$460=0,0,AZ460/AZ$460)</f>
        <v>0</v>
      </c>
    </row>
    <row r="461" spans="1:53" s="117" customFormat="1" ht="17.100000000000001" customHeight="1" x14ac:dyDescent="0.25">
      <c r="A461" s="68"/>
      <c r="B461" s="119"/>
      <c r="C461" s="540"/>
      <c r="D461" s="261"/>
      <c r="E461" s="261"/>
      <c r="F461" s="68"/>
      <c r="G461" s="68"/>
      <c r="H461" s="119"/>
      <c r="I461" s="138"/>
      <c r="J461" s="17"/>
      <c r="K461" s="17"/>
      <c r="L461" s="17"/>
      <c r="M461" s="17"/>
      <c r="N461" s="17" t="str">
        <f>IF(N460=N$443,"OK","NOK")</f>
        <v>OK</v>
      </c>
      <c r="O461" s="17" t="str">
        <f>IF(O460=O$443,"OK","NOK")</f>
        <v>OK</v>
      </c>
      <c r="P461" s="17"/>
      <c r="Q461" s="17" t="str">
        <f>IF(Q460=Q$443,"OK","NOK")</f>
        <v>OK</v>
      </c>
      <c r="R461" s="17" t="str">
        <f>IF(R460=R$443,"OK","NOK")</f>
        <v>OK</v>
      </c>
      <c r="S461" s="17"/>
      <c r="T461" s="17" t="str">
        <f>IF(T460=T$443,"OK","NOK")</f>
        <v>OK</v>
      </c>
      <c r="U461" s="17" t="str">
        <f>IF(U460=U$443,"OK","NOK")</f>
        <v>OK</v>
      </c>
      <c r="V461" s="359"/>
      <c r="W461" s="382"/>
      <c r="X461" s="539"/>
      <c r="Y461" s="539"/>
      <c r="Z461" s="201"/>
      <c r="AA461" s="201"/>
      <c r="AB461" s="201"/>
      <c r="AC461" s="84"/>
      <c r="AE461" s="46"/>
      <c r="AF461" s="46"/>
      <c r="AG461" s="17"/>
      <c r="AH461" s="539"/>
      <c r="AI461" s="91"/>
      <c r="AK461" s="46"/>
      <c r="AL461" s="46"/>
      <c r="AM461" s="17"/>
      <c r="AN461" s="539"/>
      <c r="AO461" s="91"/>
      <c r="AQ461" s="46"/>
      <c r="AR461" s="46"/>
      <c r="AS461" s="17"/>
      <c r="AT461" s="539"/>
      <c r="AU461" s="91"/>
      <c r="AW461" s="46"/>
      <c r="AX461" s="46"/>
      <c r="AY461" s="17"/>
      <c r="AZ461" s="539"/>
      <c r="BA461" s="91"/>
    </row>
    <row r="462" spans="1:53" s="117" customFormat="1" ht="17.100000000000001" customHeight="1" x14ac:dyDescent="0.25">
      <c r="A462" s="68"/>
      <c r="B462" s="119"/>
      <c r="C462" s="56" t="s">
        <v>260</v>
      </c>
      <c r="D462" s="57" t="s">
        <v>275</v>
      </c>
      <c r="E462" s="149"/>
      <c r="F462" s="149"/>
      <c r="G462" s="149"/>
      <c r="H462" s="182"/>
      <c r="I462" s="241"/>
      <c r="J462" s="152"/>
      <c r="K462" s="152"/>
      <c r="L462" s="111"/>
      <c r="M462" s="111"/>
      <c r="N462" s="111"/>
      <c r="O462" s="111"/>
      <c r="P462" s="111"/>
      <c r="Q462" s="111"/>
      <c r="R462" s="111"/>
      <c r="S462" s="111"/>
      <c r="T462" s="111"/>
      <c r="U462" s="111"/>
      <c r="V462" s="358"/>
      <c r="W462" s="380"/>
      <c r="X462" s="111"/>
      <c r="Y462" s="545"/>
      <c r="Z462" s="131"/>
      <c r="AA462" s="131"/>
      <c r="AB462" s="131"/>
      <c r="AC462" s="113"/>
      <c r="AE462" s="152"/>
      <c r="AF462" s="152"/>
      <c r="AG462" s="111"/>
      <c r="AH462" s="545"/>
      <c r="AI462" s="131"/>
      <c r="AK462" s="152"/>
      <c r="AL462" s="152"/>
      <c r="AM462" s="111"/>
      <c r="AN462" s="545"/>
      <c r="AO462" s="131"/>
      <c r="AQ462" s="152"/>
      <c r="AR462" s="152"/>
      <c r="AS462" s="111"/>
      <c r="AT462" s="545"/>
      <c r="AU462" s="131"/>
      <c r="AW462" s="152"/>
      <c r="AX462" s="152"/>
      <c r="AY462" s="111"/>
      <c r="AZ462" s="545"/>
      <c r="BA462" s="131"/>
    </row>
    <row r="463" spans="1:53" ht="17.100000000000001" customHeight="1" x14ac:dyDescent="0.25">
      <c r="A463" s="175"/>
      <c r="B463" s="40"/>
      <c r="C463" s="55"/>
      <c r="D463" s="56" t="s">
        <v>261</v>
      </c>
      <c r="E463" s="85" t="s">
        <v>173</v>
      </c>
      <c r="F463" s="225"/>
      <c r="G463" s="149"/>
      <c r="H463" s="182"/>
      <c r="I463" s="241"/>
      <c r="J463" s="111"/>
      <c r="K463" s="111"/>
      <c r="L463" s="111"/>
      <c r="M463" s="111"/>
      <c r="N463" s="60"/>
      <c r="O463" s="60"/>
      <c r="P463" s="17">
        <f>SUM(N463:O463)</f>
        <v>0</v>
      </c>
      <c r="Q463" s="60"/>
      <c r="R463" s="60"/>
      <c r="S463" s="17">
        <f>SUM(Q463:R463)</f>
        <v>0</v>
      </c>
      <c r="T463" s="60"/>
      <c r="U463" s="60"/>
      <c r="V463" s="359">
        <f>SUM(T463:U463)</f>
        <v>0</v>
      </c>
      <c r="W463" s="391">
        <f t="shared" ref="W463:W464" si="533">J463+K463+N463+Q463+T463</f>
        <v>0</v>
      </c>
      <c r="X463" s="17">
        <f t="shared" ref="X463:X464" si="534">L463+O463+R463+U463</f>
        <v>0</v>
      </c>
      <c r="Y463" s="18">
        <f>SUM(W463:X463)</f>
        <v>0</v>
      </c>
      <c r="Z463" s="19">
        <f>IF(Y$370=0,0,Y463/Y$370)</f>
        <v>0</v>
      </c>
      <c r="AA463" s="19"/>
      <c r="AB463" s="19"/>
      <c r="AC463" s="20"/>
      <c r="AE463" s="111"/>
      <c r="AF463" s="111"/>
      <c r="AG463" s="111"/>
      <c r="AH463" s="112"/>
      <c r="AI463" s="113"/>
      <c r="AK463" s="111"/>
      <c r="AL463" s="111"/>
      <c r="AM463" s="111"/>
      <c r="AN463" s="112"/>
      <c r="AO463" s="113"/>
      <c r="AQ463" s="17"/>
      <c r="AR463" s="17"/>
      <c r="AS463" s="17"/>
      <c r="AT463" s="18">
        <f t="shared" ref="AT463:AT464" si="535">W463</f>
        <v>0</v>
      </c>
      <c r="AU463" s="19">
        <f>IF(AT$469=0,0,AT463/AT$469)</f>
        <v>0</v>
      </c>
      <c r="AW463" s="17"/>
      <c r="AX463" s="17"/>
      <c r="AY463" s="17"/>
      <c r="AZ463" s="18">
        <f t="shared" ref="AZ463:AZ464" si="536">X463</f>
        <v>0</v>
      </c>
      <c r="BA463" s="19">
        <f>IF(AZ$469=0,0,AZ463/AZ$469)</f>
        <v>0</v>
      </c>
    </row>
    <row r="464" spans="1:53" ht="17.100000000000001" customHeight="1" x14ac:dyDescent="0.25">
      <c r="A464" s="175"/>
      <c r="B464" s="40"/>
      <c r="C464" s="55"/>
      <c r="D464" s="56" t="s">
        <v>262</v>
      </c>
      <c r="E464" s="85" t="s">
        <v>544</v>
      </c>
      <c r="F464" s="225"/>
      <c r="G464" s="149"/>
      <c r="H464" s="182"/>
      <c r="I464" s="241"/>
      <c r="J464" s="111"/>
      <c r="K464" s="111"/>
      <c r="L464" s="111"/>
      <c r="M464" s="111"/>
      <c r="N464" s="61"/>
      <c r="O464" s="61"/>
      <c r="P464" s="17">
        <f t="shared" ref="P464" si="537">SUM(N464:O464)</f>
        <v>0</v>
      </c>
      <c r="Q464" s="61"/>
      <c r="R464" s="61"/>
      <c r="S464" s="17">
        <f t="shared" ref="S464" si="538">SUM(Q464:R464)</f>
        <v>0</v>
      </c>
      <c r="T464" s="61"/>
      <c r="U464" s="61"/>
      <c r="V464" s="359">
        <f t="shared" ref="V464" si="539">SUM(T464:U464)</f>
        <v>0</v>
      </c>
      <c r="W464" s="391">
        <f t="shared" si="533"/>
        <v>0</v>
      </c>
      <c r="X464" s="17">
        <f t="shared" si="534"/>
        <v>0</v>
      </c>
      <c r="Y464" s="18">
        <f>SUM(W464:X464)</f>
        <v>0</v>
      </c>
      <c r="Z464" s="19">
        <f>IF(Y$370=0,0,Y464/Y$370)</f>
        <v>0</v>
      </c>
      <c r="AA464" s="19"/>
      <c r="AB464" s="19"/>
      <c r="AC464" s="20"/>
      <c r="AE464" s="111"/>
      <c r="AF464" s="111"/>
      <c r="AG464" s="111"/>
      <c r="AH464" s="112"/>
      <c r="AI464" s="113"/>
      <c r="AK464" s="111"/>
      <c r="AL464" s="111"/>
      <c r="AM464" s="111"/>
      <c r="AN464" s="112"/>
      <c r="AO464" s="113"/>
      <c r="AQ464" s="17"/>
      <c r="AR464" s="17"/>
      <c r="AS464" s="17"/>
      <c r="AT464" s="18">
        <f t="shared" si="535"/>
        <v>0</v>
      </c>
      <c r="AU464" s="19">
        <f>IF(AT$469=0,0,AT464/AT$469)</f>
        <v>0</v>
      </c>
      <c r="AW464" s="17"/>
      <c r="AX464" s="17"/>
      <c r="AY464" s="17"/>
      <c r="AZ464" s="18">
        <f t="shared" si="536"/>
        <v>0</v>
      </c>
      <c r="BA464" s="19">
        <f>IF(AZ$469=0,0,AZ464/AZ$469)</f>
        <v>0</v>
      </c>
    </row>
    <row r="465" spans="1:53" ht="17.100000000000001" customHeight="1" x14ac:dyDescent="0.25">
      <c r="A465" s="175"/>
      <c r="B465" s="40"/>
      <c r="C465" s="55"/>
      <c r="D465" s="56" t="s">
        <v>263</v>
      </c>
      <c r="E465" s="146" t="s">
        <v>484</v>
      </c>
      <c r="F465" s="225"/>
      <c r="G465" s="149"/>
      <c r="H465" s="182"/>
      <c r="I465" s="241"/>
      <c r="J465" s="111"/>
      <c r="K465" s="111"/>
      <c r="L465" s="111"/>
      <c r="M465" s="111"/>
      <c r="N465" s="60"/>
      <c r="O465" s="60"/>
      <c r="P465" s="17"/>
      <c r="Q465" s="60"/>
      <c r="R465" s="60"/>
      <c r="S465" s="17"/>
      <c r="T465" s="60"/>
      <c r="U465" s="60"/>
      <c r="V465" s="359"/>
      <c r="W465" s="391">
        <f>MIN(N465,Q465,T465)</f>
        <v>0</v>
      </c>
      <c r="X465" s="17">
        <f>MIN(O465,R465,U465)</f>
        <v>0</v>
      </c>
      <c r="Y465" s="18"/>
      <c r="Z465" s="19"/>
      <c r="AA465" s="17">
        <f>MIN(N465:U465)</f>
        <v>0</v>
      </c>
      <c r="AB465" s="17"/>
      <c r="AC465" s="17"/>
      <c r="AE465" s="111"/>
      <c r="AF465" s="111"/>
      <c r="AG465" s="111"/>
      <c r="AH465" s="545"/>
      <c r="AI465" s="131"/>
      <c r="AK465" s="111"/>
      <c r="AL465" s="111"/>
      <c r="AM465" s="111"/>
      <c r="AN465" s="545"/>
      <c r="AO465" s="131"/>
      <c r="AQ465" s="17">
        <f>W465</f>
        <v>0</v>
      </c>
      <c r="AR465" s="17"/>
      <c r="AS465" s="17"/>
      <c r="AT465" s="18"/>
      <c r="AU465" s="19"/>
      <c r="AW465" s="17">
        <f>X465</f>
        <v>0</v>
      </c>
      <c r="AX465" s="17"/>
      <c r="AY465" s="17"/>
      <c r="AZ465" s="18"/>
      <c r="BA465" s="19"/>
    </row>
    <row r="466" spans="1:53" ht="17.100000000000001" customHeight="1" x14ac:dyDescent="0.25">
      <c r="A466" s="175"/>
      <c r="B466" s="40"/>
      <c r="C466" s="55"/>
      <c r="D466" s="56" t="s">
        <v>264</v>
      </c>
      <c r="E466" s="146" t="s">
        <v>485</v>
      </c>
      <c r="F466" s="225"/>
      <c r="G466" s="149"/>
      <c r="H466" s="182"/>
      <c r="I466" s="241"/>
      <c r="J466" s="111"/>
      <c r="K466" s="111"/>
      <c r="L466" s="111"/>
      <c r="M466" s="111"/>
      <c r="N466" s="61"/>
      <c r="O466" s="61"/>
      <c r="P466" s="17"/>
      <c r="Q466" s="61"/>
      <c r="R466" s="61"/>
      <c r="S466" s="17"/>
      <c r="T466" s="61"/>
      <c r="U466" s="61"/>
      <c r="V466" s="359"/>
      <c r="W466" s="391">
        <f>MAX(N466,Q466,T466)</f>
        <v>0</v>
      </c>
      <c r="X466" s="17">
        <f>MAX(O466,R466,U466)</f>
        <v>0</v>
      </c>
      <c r="Y466" s="18"/>
      <c r="Z466" s="19"/>
      <c r="AA466" s="17"/>
      <c r="AB466" s="17">
        <f>MAX(N466:U466)</f>
        <v>0</v>
      </c>
      <c r="AC466" s="17"/>
      <c r="AE466" s="111"/>
      <c r="AF466" s="111"/>
      <c r="AG466" s="111"/>
      <c r="AH466" s="545"/>
      <c r="AI466" s="131"/>
      <c r="AK466" s="111"/>
      <c r="AL466" s="111"/>
      <c r="AM466" s="111"/>
      <c r="AN466" s="545"/>
      <c r="AO466" s="131"/>
      <c r="AQ466" s="17"/>
      <c r="AR466" s="17">
        <f>W466</f>
        <v>0</v>
      </c>
      <c r="AS466" s="17"/>
      <c r="AT466" s="18"/>
      <c r="AU466" s="19"/>
      <c r="AW466" s="17"/>
      <c r="AX466" s="17">
        <f>X466</f>
        <v>0</v>
      </c>
      <c r="AY466" s="17"/>
      <c r="AZ466" s="18"/>
      <c r="BA466" s="19"/>
    </row>
    <row r="467" spans="1:53" ht="17.100000000000001" customHeight="1" x14ac:dyDescent="0.25">
      <c r="A467" s="175"/>
      <c r="B467" s="40"/>
      <c r="C467" s="55"/>
      <c r="D467" s="56" t="s">
        <v>265</v>
      </c>
      <c r="E467" s="146" t="s">
        <v>543</v>
      </c>
      <c r="F467" s="225"/>
      <c r="G467" s="149"/>
      <c r="H467" s="182"/>
      <c r="I467" s="241"/>
      <c r="J467" s="111"/>
      <c r="K467" s="111"/>
      <c r="L467" s="111"/>
      <c r="M467" s="111"/>
      <c r="N467" s="60"/>
      <c r="O467" s="60"/>
      <c r="P467" s="17"/>
      <c r="Q467" s="60"/>
      <c r="R467" s="60"/>
      <c r="S467" s="17"/>
      <c r="T467" s="60"/>
      <c r="U467" s="60"/>
      <c r="V467" s="359"/>
      <c r="W467" s="391">
        <f>IF(N467+Q467+T467=0,0,AVERAGE(N467,Q467,T467))</f>
        <v>0</v>
      </c>
      <c r="X467" s="17">
        <f>IF(O467+R467+U467=0,0,AVERAGE(O467,R467,U467))</f>
        <v>0</v>
      </c>
      <c r="Y467" s="18"/>
      <c r="Z467" s="19"/>
      <c r="AA467" s="17"/>
      <c r="AB467" s="17"/>
      <c r="AC467" s="17">
        <f>IF(SUM(N467:U467)=0,0,AVERAGE(N467:U467))</f>
        <v>0</v>
      </c>
      <c r="AE467" s="111"/>
      <c r="AF467" s="111"/>
      <c r="AG467" s="111"/>
      <c r="AH467" s="545"/>
      <c r="AI467" s="131"/>
      <c r="AK467" s="111"/>
      <c r="AL467" s="111"/>
      <c r="AM467" s="111"/>
      <c r="AN467" s="545"/>
      <c r="AO467" s="131"/>
      <c r="AQ467" s="17"/>
      <c r="AR467" s="17"/>
      <c r="AS467" s="17">
        <f>W467</f>
        <v>0</v>
      </c>
      <c r="AT467" s="18"/>
      <c r="AU467" s="19"/>
      <c r="AW467" s="17"/>
      <c r="AX467" s="17"/>
      <c r="AY467" s="17">
        <f>X467</f>
        <v>0</v>
      </c>
      <c r="AZ467" s="18"/>
      <c r="BA467" s="19"/>
    </row>
    <row r="468" spans="1:53" ht="17.100000000000001" customHeight="1" x14ac:dyDescent="0.25">
      <c r="A468" s="175"/>
      <c r="B468" s="40"/>
      <c r="C468" s="55"/>
      <c r="D468" s="56" t="s">
        <v>266</v>
      </c>
      <c r="E468" s="596" t="s">
        <v>598</v>
      </c>
      <c r="F468" s="225"/>
      <c r="G468" s="149"/>
      <c r="H468" s="182"/>
      <c r="I468" s="241"/>
      <c r="J468" s="111"/>
      <c r="K468" s="111"/>
      <c r="L468" s="111"/>
      <c r="M468" s="111"/>
      <c r="N468" s="61"/>
      <c r="O468" s="61"/>
      <c r="P468" s="17">
        <f t="shared" ref="P468" si="540">SUM(N468:O468)</f>
        <v>0</v>
      </c>
      <c r="Q468" s="61"/>
      <c r="R468" s="61"/>
      <c r="S468" s="17">
        <f t="shared" ref="S468" si="541">SUM(Q468:R468)</f>
        <v>0</v>
      </c>
      <c r="T468" s="61"/>
      <c r="U468" s="61"/>
      <c r="V468" s="359">
        <f t="shared" ref="V468" si="542">SUM(T468:U468)</f>
        <v>0</v>
      </c>
      <c r="W468" s="391">
        <f t="shared" ref="W468" si="543">J468+K468+N468+Q468+T468</f>
        <v>0</v>
      </c>
      <c r="X468" s="17">
        <f t="shared" ref="X468" si="544">L468+O468+R468+U468</f>
        <v>0</v>
      </c>
      <c r="Y468" s="18">
        <f>SUM(W468:X468)</f>
        <v>0</v>
      </c>
      <c r="Z468" s="19">
        <f>IF(Y$370=0,0,Y468/Y$370)</f>
        <v>0</v>
      </c>
      <c r="AA468" s="19"/>
      <c r="AB468" s="19"/>
      <c r="AC468" s="20"/>
      <c r="AE468" s="111"/>
      <c r="AF468" s="111"/>
      <c r="AG468" s="111"/>
      <c r="AH468" s="112"/>
      <c r="AI468" s="113"/>
      <c r="AK468" s="111"/>
      <c r="AL468" s="111"/>
      <c r="AM468" s="111"/>
      <c r="AN468" s="112"/>
      <c r="AO468" s="113"/>
      <c r="AQ468" s="17"/>
      <c r="AR468" s="17"/>
      <c r="AS468" s="17"/>
      <c r="AT468" s="18">
        <f t="shared" ref="AT468" si="545">W468</f>
        <v>0</v>
      </c>
      <c r="AU468" s="19">
        <f t="shared" ref="AU468:AU469" si="546">IF(AT$469=0,0,AT468/AT$469)</f>
        <v>0</v>
      </c>
      <c r="AW468" s="17"/>
      <c r="AX468" s="17"/>
      <c r="AY468" s="17"/>
      <c r="AZ468" s="18">
        <f t="shared" ref="AZ468" si="547">X468</f>
        <v>0</v>
      </c>
      <c r="BA468" s="19">
        <f t="shared" ref="BA468:BA469" si="548">IF(AZ$469=0,0,AZ468/AZ$469)</f>
        <v>0</v>
      </c>
    </row>
    <row r="469" spans="1:53" s="117" customFormat="1" ht="17.100000000000001" customHeight="1" x14ac:dyDescent="0.25">
      <c r="A469" s="68"/>
      <c r="B469" s="119"/>
      <c r="C469" s="77"/>
      <c r="D469" s="134"/>
      <c r="E469" s="134"/>
      <c r="F469" s="134"/>
      <c r="G469" s="134"/>
      <c r="H469" s="540"/>
      <c r="I469" s="229"/>
      <c r="J469" s="80"/>
      <c r="K469" s="80"/>
      <c r="L469" s="81"/>
      <c r="M469" s="81"/>
      <c r="N469" s="81">
        <f>N463+N464+N468</f>
        <v>0</v>
      </c>
      <c r="O469" s="81">
        <f t="shared" ref="O469:V469" si="549">O463+O464+O468</f>
        <v>0</v>
      </c>
      <c r="P469" s="81">
        <f t="shared" si="549"/>
        <v>0</v>
      </c>
      <c r="Q469" s="81">
        <f t="shared" si="549"/>
        <v>0</v>
      </c>
      <c r="R469" s="81">
        <f t="shared" si="549"/>
        <v>0</v>
      </c>
      <c r="S469" s="81">
        <f t="shared" si="549"/>
        <v>0</v>
      </c>
      <c r="T469" s="81">
        <f t="shared" si="549"/>
        <v>0</v>
      </c>
      <c r="U469" s="81">
        <f t="shared" si="549"/>
        <v>0</v>
      </c>
      <c r="V469" s="81">
        <f t="shared" si="549"/>
        <v>0</v>
      </c>
      <c r="W469" s="381">
        <f>W463+W464+W468</f>
        <v>0</v>
      </c>
      <c r="X469" s="82">
        <f t="shared" ref="X469:Y469" si="550">X463+X464+X468</f>
        <v>0</v>
      </c>
      <c r="Y469" s="338">
        <f t="shared" si="550"/>
        <v>0</v>
      </c>
      <c r="Z469" s="205">
        <f>IF(Y$430=0,0,Y469/Y$430)</f>
        <v>0</v>
      </c>
      <c r="AA469" s="205"/>
      <c r="AB469" s="205"/>
      <c r="AC469" s="83"/>
      <c r="AE469" s="80"/>
      <c r="AF469" s="80"/>
      <c r="AG469" s="81"/>
      <c r="AH469" s="82"/>
      <c r="AI469" s="66"/>
      <c r="AK469" s="80"/>
      <c r="AL469" s="80"/>
      <c r="AM469" s="81"/>
      <c r="AN469" s="82"/>
      <c r="AO469" s="66"/>
      <c r="AQ469" s="80"/>
      <c r="AR469" s="80"/>
      <c r="AS469" s="81"/>
      <c r="AT469" s="82">
        <f>SUM(AT463:AT468)</f>
        <v>0</v>
      </c>
      <c r="AU469" s="66">
        <f t="shared" si="546"/>
        <v>0</v>
      </c>
      <c r="AW469" s="80"/>
      <c r="AX469" s="80"/>
      <c r="AY469" s="81"/>
      <c r="AZ469" s="82">
        <f>SUM(AZ463:AZ468)</f>
        <v>0</v>
      </c>
      <c r="BA469" s="66">
        <f t="shared" si="548"/>
        <v>0</v>
      </c>
    </row>
    <row r="470" spans="1:53" s="117" customFormat="1" ht="17.100000000000001" customHeight="1" x14ac:dyDescent="0.25">
      <c r="A470" s="68"/>
      <c r="B470" s="119"/>
      <c r="C470" s="540"/>
      <c r="D470" s="261"/>
      <c r="E470" s="261"/>
      <c r="F470" s="68"/>
      <c r="G470" s="68"/>
      <c r="H470" s="119"/>
      <c r="I470" s="138"/>
      <c r="J470" s="17"/>
      <c r="K470" s="17"/>
      <c r="L470" s="17"/>
      <c r="M470" s="17"/>
      <c r="N470" s="17" t="str">
        <f>IF(N469=N$443,"OK","NOK")</f>
        <v>OK</v>
      </c>
      <c r="O470" s="17" t="str">
        <f>IF(O469=O$443,"OK","NOK")</f>
        <v>OK</v>
      </c>
      <c r="P470" s="17"/>
      <c r="Q470" s="17" t="str">
        <f>IF(Q469=Q$443,"OK","NOK")</f>
        <v>OK</v>
      </c>
      <c r="R470" s="17" t="str">
        <f>IF(R469=R$443,"OK","NOK")</f>
        <v>OK</v>
      </c>
      <c r="S470" s="17"/>
      <c r="T470" s="17" t="str">
        <f>IF(T469=T$443,"OK","NOK")</f>
        <v>OK</v>
      </c>
      <c r="U470" s="17" t="str">
        <f>IF(U469=U$443,"OK","NOK")</f>
        <v>OK</v>
      </c>
      <c r="V470" s="359"/>
      <c r="W470" s="382"/>
      <c r="X470" s="539"/>
      <c r="Y470" s="539"/>
      <c r="Z470" s="201"/>
      <c r="AA470" s="201"/>
      <c r="AB470" s="201"/>
      <c r="AC470" s="84"/>
      <c r="AE470" s="46"/>
      <c r="AF470" s="46"/>
      <c r="AG470" s="17"/>
      <c r="AH470" s="539"/>
      <c r="AI470" s="91"/>
      <c r="AK470" s="46"/>
      <c r="AL470" s="46"/>
      <c r="AM470" s="17"/>
      <c r="AN470" s="539"/>
      <c r="AO470" s="91"/>
      <c r="AQ470" s="46"/>
      <c r="AR470" s="46"/>
      <c r="AS470" s="17"/>
      <c r="AT470" s="539"/>
      <c r="AU470" s="91"/>
      <c r="AW470" s="46"/>
      <c r="AX470" s="46"/>
      <c r="AY470" s="17"/>
      <c r="AZ470" s="539"/>
      <c r="BA470" s="91"/>
    </row>
    <row r="471" spans="1:53" s="117" customFormat="1" ht="17.100000000000001" customHeight="1" x14ac:dyDescent="0.25">
      <c r="A471" s="68"/>
      <c r="B471" s="119"/>
      <c r="C471" s="56" t="s">
        <v>267</v>
      </c>
      <c r="D471" s="57" t="s">
        <v>276</v>
      </c>
      <c r="E471" s="149"/>
      <c r="F471" s="149"/>
      <c r="G471" s="149"/>
      <c r="H471" s="182"/>
      <c r="I471" s="241"/>
      <c r="J471" s="152"/>
      <c r="K471" s="152"/>
      <c r="L471" s="111"/>
      <c r="M471" s="111"/>
      <c r="N471" s="111"/>
      <c r="O471" s="111"/>
      <c r="P471" s="111"/>
      <c r="Q471" s="111"/>
      <c r="R471" s="111"/>
      <c r="S471" s="111"/>
      <c r="T471" s="111"/>
      <c r="U471" s="111"/>
      <c r="V471" s="358"/>
      <c r="W471" s="380"/>
      <c r="X471" s="111"/>
      <c r="Y471" s="545"/>
      <c r="Z471" s="131"/>
      <c r="AA471" s="131"/>
      <c r="AB471" s="131"/>
      <c r="AC471" s="113"/>
      <c r="AE471" s="152"/>
      <c r="AF471" s="152"/>
      <c r="AG471" s="111"/>
      <c r="AH471" s="545"/>
      <c r="AI471" s="131"/>
      <c r="AK471" s="152"/>
      <c r="AL471" s="152"/>
      <c r="AM471" s="111"/>
      <c r="AN471" s="545"/>
      <c r="AO471" s="131"/>
      <c r="AQ471" s="152"/>
      <c r="AR471" s="152"/>
      <c r="AS471" s="111"/>
      <c r="AT471" s="545"/>
      <c r="AU471" s="131"/>
      <c r="AW471" s="152"/>
      <c r="AX471" s="152"/>
      <c r="AY471" s="111"/>
      <c r="AZ471" s="545"/>
      <c r="BA471" s="131"/>
    </row>
    <row r="472" spans="1:53" s="117" customFormat="1" ht="17.100000000000001" customHeight="1" x14ac:dyDescent="0.25">
      <c r="A472" s="68"/>
      <c r="B472" s="119"/>
      <c r="C472" s="55"/>
      <c r="D472" s="56" t="s">
        <v>268</v>
      </c>
      <c r="E472" s="85" t="s">
        <v>478</v>
      </c>
      <c r="F472" s="149"/>
      <c r="G472" s="149"/>
      <c r="H472" s="182"/>
      <c r="I472" s="241"/>
      <c r="J472" s="111"/>
      <c r="K472" s="111"/>
      <c r="L472" s="111"/>
      <c r="M472" s="111"/>
      <c r="N472" s="60"/>
      <c r="O472" s="60"/>
      <c r="P472" s="17">
        <f t="shared" ref="P472:P479" si="551">SUM(N472:O472)</f>
        <v>0</v>
      </c>
      <c r="Q472" s="60"/>
      <c r="R472" s="60"/>
      <c r="S472" s="17">
        <f t="shared" ref="S472:S479" si="552">SUM(Q472:R472)</f>
        <v>0</v>
      </c>
      <c r="T472" s="60"/>
      <c r="U472" s="60"/>
      <c r="V472" s="359">
        <f t="shared" ref="V472:V479" si="553">SUM(T472:U472)</f>
        <v>0</v>
      </c>
      <c r="W472" s="391">
        <f t="shared" ref="W472:W479" si="554">J472+K472+N472+Q472+T472</f>
        <v>0</v>
      </c>
      <c r="X472" s="17">
        <f t="shared" ref="X472:X479" si="555">L472+O472+R472+U472</f>
        <v>0</v>
      </c>
      <c r="Y472" s="18">
        <f t="shared" ref="Y472:Y479" si="556">SUM(W472:X472)</f>
        <v>0</v>
      </c>
      <c r="Z472" s="19">
        <f>IF(Y$480=0,0,Y472/Y$480)</f>
        <v>0</v>
      </c>
      <c r="AA472" s="19"/>
      <c r="AB472" s="19"/>
      <c r="AC472" s="84"/>
      <c r="AE472" s="111"/>
      <c r="AF472" s="111"/>
      <c r="AG472" s="111"/>
      <c r="AH472" s="112"/>
      <c r="AI472" s="113"/>
      <c r="AK472" s="111"/>
      <c r="AL472" s="111"/>
      <c r="AM472" s="111"/>
      <c r="AN472" s="112"/>
      <c r="AO472" s="113"/>
      <c r="AQ472" s="17"/>
      <c r="AR472" s="17"/>
      <c r="AS472" s="17"/>
      <c r="AT472" s="18">
        <f t="shared" ref="AT472:AT479" si="557">W472</f>
        <v>0</v>
      </c>
      <c r="AU472" s="19">
        <f>IF(AT$480=0,0,AT472/AT$480)</f>
        <v>0</v>
      </c>
      <c r="AW472" s="17"/>
      <c r="AX472" s="17"/>
      <c r="AY472" s="17"/>
      <c r="AZ472" s="18">
        <f t="shared" ref="AZ472:AZ479" si="558">X472</f>
        <v>0</v>
      </c>
      <c r="BA472" s="19">
        <f>IF(AZ$480=0,0,AZ472/AZ$480)</f>
        <v>0</v>
      </c>
    </row>
    <row r="473" spans="1:53" s="117" customFormat="1" ht="17.100000000000001" customHeight="1" x14ac:dyDescent="0.25">
      <c r="A473" s="68"/>
      <c r="B473" s="119"/>
      <c r="C473" s="55"/>
      <c r="D473" s="56" t="s">
        <v>269</v>
      </c>
      <c r="E473" s="85" t="s">
        <v>165</v>
      </c>
      <c r="F473" s="149"/>
      <c r="G473" s="149"/>
      <c r="H473" s="182"/>
      <c r="I473" s="241"/>
      <c r="J473" s="111"/>
      <c r="K473" s="111"/>
      <c r="L473" s="111"/>
      <c r="M473" s="111"/>
      <c r="N473" s="61"/>
      <c r="O473" s="61"/>
      <c r="P473" s="17">
        <f t="shared" si="551"/>
        <v>0</v>
      </c>
      <c r="Q473" s="61"/>
      <c r="R473" s="61"/>
      <c r="S473" s="17">
        <f t="shared" si="552"/>
        <v>0</v>
      </c>
      <c r="T473" s="61"/>
      <c r="U473" s="61"/>
      <c r="V473" s="359">
        <f t="shared" si="553"/>
        <v>0</v>
      </c>
      <c r="W473" s="391">
        <f t="shared" si="554"/>
        <v>0</v>
      </c>
      <c r="X473" s="17">
        <f t="shared" si="555"/>
        <v>0</v>
      </c>
      <c r="Y473" s="18">
        <f t="shared" si="556"/>
        <v>0</v>
      </c>
      <c r="Z473" s="19">
        <f t="shared" ref="Z473:Z479" si="559">IF(Y$480=0,0,Y473/Y$480)</f>
        <v>0</v>
      </c>
      <c r="AA473" s="19"/>
      <c r="AB473" s="19"/>
      <c r="AC473" s="84"/>
      <c r="AE473" s="111"/>
      <c r="AF473" s="111"/>
      <c r="AG473" s="111"/>
      <c r="AH473" s="112"/>
      <c r="AI473" s="113"/>
      <c r="AK473" s="111"/>
      <c r="AL473" s="111"/>
      <c r="AM473" s="111"/>
      <c r="AN473" s="112"/>
      <c r="AO473" s="113"/>
      <c r="AQ473" s="17"/>
      <c r="AR473" s="17"/>
      <c r="AS473" s="17"/>
      <c r="AT473" s="18">
        <f t="shared" si="557"/>
        <v>0</v>
      </c>
      <c r="AU473" s="19">
        <f t="shared" ref="AU473:AU480" si="560">IF(AT$480=0,0,AT473/AT$480)</f>
        <v>0</v>
      </c>
      <c r="AW473" s="17"/>
      <c r="AX473" s="17"/>
      <c r="AY473" s="17"/>
      <c r="AZ473" s="18">
        <f t="shared" si="558"/>
        <v>0</v>
      </c>
      <c r="BA473" s="19">
        <f t="shared" ref="BA473:BA480" si="561">IF(AZ$480=0,0,AZ473/AZ$480)</f>
        <v>0</v>
      </c>
    </row>
    <row r="474" spans="1:53" s="117" customFormat="1" ht="17.100000000000001" customHeight="1" x14ac:dyDescent="0.25">
      <c r="A474" s="68"/>
      <c r="B474" s="119"/>
      <c r="C474" s="55"/>
      <c r="D474" s="56" t="s">
        <v>270</v>
      </c>
      <c r="E474" s="85" t="s">
        <v>167</v>
      </c>
      <c r="F474" s="149"/>
      <c r="G474" s="149"/>
      <c r="H474" s="182"/>
      <c r="I474" s="241"/>
      <c r="J474" s="111"/>
      <c r="K474" s="111"/>
      <c r="L474" s="111"/>
      <c r="M474" s="111"/>
      <c r="N474" s="60"/>
      <c r="O474" s="60"/>
      <c r="P474" s="17">
        <f t="shared" si="551"/>
        <v>0</v>
      </c>
      <c r="Q474" s="60"/>
      <c r="R474" s="60"/>
      <c r="S474" s="17">
        <f t="shared" si="552"/>
        <v>0</v>
      </c>
      <c r="T474" s="60"/>
      <c r="U474" s="60"/>
      <c r="V474" s="359">
        <f t="shared" si="553"/>
        <v>0</v>
      </c>
      <c r="W474" s="391">
        <f t="shared" si="554"/>
        <v>0</v>
      </c>
      <c r="X474" s="17">
        <f t="shared" si="555"/>
        <v>0</v>
      </c>
      <c r="Y474" s="18">
        <f t="shared" si="556"/>
        <v>0</v>
      </c>
      <c r="Z474" s="19">
        <f t="shared" si="559"/>
        <v>0</v>
      </c>
      <c r="AA474" s="19"/>
      <c r="AB474" s="19"/>
      <c r="AC474" s="84"/>
      <c r="AE474" s="111"/>
      <c r="AF474" s="111"/>
      <c r="AG474" s="111"/>
      <c r="AH474" s="112"/>
      <c r="AI474" s="113"/>
      <c r="AK474" s="111"/>
      <c r="AL474" s="111"/>
      <c r="AM474" s="111"/>
      <c r="AN474" s="112"/>
      <c r="AO474" s="113"/>
      <c r="AQ474" s="17"/>
      <c r="AR474" s="17"/>
      <c r="AS474" s="17"/>
      <c r="AT474" s="18">
        <f t="shared" si="557"/>
        <v>0</v>
      </c>
      <c r="AU474" s="19">
        <f t="shared" si="560"/>
        <v>0</v>
      </c>
      <c r="AW474" s="17"/>
      <c r="AX474" s="17"/>
      <c r="AY474" s="17"/>
      <c r="AZ474" s="18">
        <f t="shared" si="558"/>
        <v>0</v>
      </c>
      <c r="BA474" s="19">
        <f t="shared" si="561"/>
        <v>0</v>
      </c>
    </row>
    <row r="475" spans="1:53" s="117" customFormat="1" ht="17.100000000000001" customHeight="1" x14ac:dyDescent="0.25">
      <c r="A475" s="68"/>
      <c r="B475" s="119"/>
      <c r="C475" s="55"/>
      <c r="D475" s="56" t="s">
        <v>271</v>
      </c>
      <c r="E475" s="85" t="s">
        <v>437</v>
      </c>
      <c r="F475" s="149"/>
      <c r="G475" s="149"/>
      <c r="H475" s="182"/>
      <c r="I475" s="241"/>
      <c r="J475" s="111"/>
      <c r="K475" s="111"/>
      <c r="L475" s="111"/>
      <c r="M475" s="111"/>
      <c r="N475" s="61"/>
      <c r="O475" s="61"/>
      <c r="P475" s="17">
        <f t="shared" si="551"/>
        <v>0</v>
      </c>
      <c r="Q475" s="61"/>
      <c r="R475" s="61"/>
      <c r="S475" s="17">
        <f t="shared" si="552"/>
        <v>0</v>
      </c>
      <c r="T475" s="61"/>
      <c r="U475" s="61"/>
      <c r="V475" s="359">
        <f t="shared" si="553"/>
        <v>0</v>
      </c>
      <c r="W475" s="391">
        <f t="shared" si="554"/>
        <v>0</v>
      </c>
      <c r="X475" s="17">
        <f t="shared" si="555"/>
        <v>0</v>
      </c>
      <c r="Y475" s="18">
        <f t="shared" si="556"/>
        <v>0</v>
      </c>
      <c r="Z475" s="19">
        <f t="shared" si="559"/>
        <v>0</v>
      </c>
      <c r="AA475" s="19"/>
      <c r="AB475" s="19"/>
      <c r="AC475" s="84"/>
      <c r="AE475" s="111"/>
      <c r="AF475" s="111"/>
      <c r="AG475" s="111"/>
      <c r="AH475" s="112"/>
      <c r="AI475" s="113"/>
      <c r="AK475" s="111"/>
      <c r="AL475" s="111"/>
      <c r="AM475" s="111"/>
      <c r="AN475" s="112"/>
      <c r="AO475" s="113"/>
      <c r="AQ475" s="17"/>
      <c r="AR475" s="17"/>
      <c r="AS475" s="17"/>
      <c r="AT475" s="18">
        <f t="shared" si="557"/>
        <v>0</v>
      </c>
      <c r="AU475" s="19">
        <f t="shared" si="560"/>
        <v>0</v>
      </c>
      <c r="AW475" s="17"/>
      <c r="AX475" s="17"/>
      <c r="AY475" s="17"/>
      <c r="AZ475" s="18">
        <f t="shared" si="558"/>
        <v>0</v>
      </c>
      <c r="BA475" s="19">
        <f t="shared" si="561"/>
        <v>0</v>
      </c>
    </row>
    <row r="476" spans="1:53" s="117" customFormat="1" ht="17.100000000000001" customHeight="1" x14ac:dyDescent="0.25">
      <c r="A476" s="68"/>
      <c r="B476" s="119"/>
      <c r="C476" s="55"/>
      <c r="D476" s="56" t="s">
        <v>272</v>
      </c>
      <c r="E476" s="85" t="s">
        <v>438</v>
      </c>
      <c r="F476" s="149"/>
      <c r="G476" s="149"/>
      <c r="H476" s="182"/>
      <c r="I476" s="241"/>
      <c r="J476" s="111"/>
      <c r="K476" s="111"/>
      <c r="L476" s="111"/>
      <c r="M476" s="111"/>
      <c r="N476" s="60"/>
      <c r="O476" s="60"/>
      <c r="P476" s="17">
        <f t="shared" si="551"/>
        <v>0</v>
      </c>
      <c r="Q476" s="60"/>
      <c r="R476" s="60"/>
      <c r="S476" s="17">
        <f t="shared" si="552"/>
        <v>0</v>
      </c>
      <c r="T476" s="60"/>
      <c r="U476" s="60"/>
      <c r="V476" s="359">
        <f t="shared" si="553"/>
        <v>0</v>
      </c>
      <c r="W476" s="391">
        <f t="shared" si="554"/>
        <v>0</v>
      </c>
      <c r="X476" s="17">
        <f t="shared" si="555"/>
        <v>0</v>
      </c>
      <c r="Y476" s="18">
        <f t="shared" si="556"/>
        <v>0</v>
      </c>
      <c r="Z476" s="19">
        <f t="shared" si="559"/>
        <v>0</v>
      </c>
      <c r="AA476" s="19"/>
      <c r="AB476" s="19"/>
      <c r="AC476" s="84"/>
      <c r="AE476" s="111"/>
      <c r="AF476" s="111"/>
      <c r="AG476" s="111"/>
      <c r="AH476" s="112"/>
      <c r="AI476" s="113"/>
      <c r="AK476" s="111"/>
      <c r="AL476" s="111"/>
      <c r="AM476" s="111"/>
      <c r="AN476" s="112"/>
      <c r="AO476" s="113"/>
      <c r="AQ476" s="17"/>
      <c r="AR476" s="17"/>
      <c r="AS476" s="17"/>
      <c r="AT476" s="18">
        <f t="shared" si="557"/>
        <v>0</v>
      </c>
      <c r="AU476" s="19">
        <f t="shared" si="560"/>
        <v>0</v>
      </c>
      <c r="AW476" s="17"/>
      <c r="AX476" s="17"/>
      <c r="AY476" s="17"/>
      <c r="AZ476" s="18">
        <f t="shared" si="558"/>
        <v>0</v>
      </c>
      <c r="BA476" s="19">
        <f t="shared" si="561"/>
        <v>0</v>
      </c>
    </row>
    <row r="477" spans="1:53" s="117" customFormat="1" ht="17.100000000000001" customHeight="1" x14ac:dyDescent="0.25">
      <c r="A477" s="68"/>
      <c r="B477" s="119"/>
      <c r="C477" s="55"/>
      <c r="D477" s="56" t="s">
        <v>273</v>
      </c>
      <c r="E477" s="85" t="s">
        <v>439</v>
      </c>
      <c r="F477" s="595"/>
      <c r="G477" s="595"/>
      <c r="H477" s="17"/>
      <c r="I477" s="594"/>
      <c r="J477" s="111"/>
      <c r="K477" s="111"/>
      <c r="L477" s="111"/>
      <c r="M477" s="111"/>
      <c r="N477" s="61"/>
      <c r="O477" s="61"/>
      <c r="P477" s="17">
        <f t="shared" si="551"/>
        <v>0</v>
      </c>
      <c r="Q477" s="61"/>
      <c r="R477" s="61"/>
      <c r="S477" s="17">
        <f t="shared" si="552"/>
        <v>0</v>
      </c>
      <c r="T477" s="61"/>
      <c r="U477" s="61"/>
      <c r="V477" s="359">
        <f t="shared" si="553"/>
        <v>0</v>
      </c>
      <c r="W477" s="391">
        <f t="shared" si="554"/>
        <v>0</v>
      </c>
      <c r="X477" s="17">
        <f t="shared" si="555"/>
        <v>0</v>
      </c>
      <c r="Y477" s="18">
        <f t="shared" si="556"/>
        <v>0</v>
      </c>
      <c r="Z477" s="19">
        <f t="shared" si="559"/>
        <v>0</v>
      </c>
      <c r="AA477" s="19"/>
      <c r="AB477" s="19"/>
      <c r="AC477" s="84"/>
      <c r="AE477" s="111"/>
      <c r="AF477" s="111"/>
      <c r="AG477" s="111"/>
      <c r="AH477" s="112"/>
      <c r="AI477" s="113"/>
      <c r="AK477" s="111"/>
      <c r="AL477" s="111"/>
      <c r="AM477" s="111"/>
      <c r="AN477" s="112"/>
      <c r="AO477" s="113"/>
      <c r="AQ477" s="17"/>
      <c r="AR477" s="17"/>
      <c r="AS477" s="17"/>
      <c r="AT477" s="18">
        <f t="shared" si="557"/>
        <v>0</v>
      </c>
      <c r="AU477" s="19">
        <f t="shared" si="560"/>
        <v>0</v>
      </c>
      <c r="AW477" s="17"/>
      <c r="AX477" s="17"/>
      <c r="AY477" s="17"/>
      <c r="AZ477" s="18">
        <f t="shared" si="558"/>
        <v>0</v>
      </c>
      <c r="BA477" s="19">
        <f t="shared" si="561"/>
        <v>0</v>
      </c>
    </row>
    <row r="478" spans="1:53" s="117" customFormat="1" ht="17.100000000000001" customHeight="1" x14ac:dyDescent="0.25">
      <c r="A478" s="68"/>
      <c r="B478" s="119"/>
      <c r="C478" s="55"/>
      <c r="D478" s="56" t="s">
        <v>274</v>
      </c>
      <c r="E478" s="85" t="s">
        <v>483</v>
      </c>
      <c r="F478" s="595"/>
      <c r="G478" s="595"/>
      <c r="H478" s="17"/>
      <c r="I478" s="594"/>
      <c r="J478" s="111"/>
      <c r="K478" s="111"/>
      <c r="L478" s="111"/>
      <c r="M478" s="111"/>
      <c r="N478" s="60"/>
      <c r="O478" s="60"/>
      <c r="P478" s="17">
        <f t="shared" si="551"/>
        <v>0</v>
      </c>
      <c r="Q478" s="60"/>
      <c r="R478" s="60"/>
      <c r="S478" s="17">
        <f t="shared" si="552"/>
        <v>0</v>
      </c>
      <c r="T478" s="60"/>
      <c r="U478" s="60"/>
      <c r="V478" s="359">
        <f t="shared" si="553"/>
        <v>0</v>
      </c>
      <c r="W478" s="391">
        <f t="shared" si="554"/>
        <v>0</v>
      </c>
      <c r="X478" s="17">
        <f t="shared" si="555"/>
        <v>0</v>
      </c>
      <c r="Y478" s="18">
        <f t="shared" si="556"/>
        <v>0</v>
      </c>
      <c r="Z478" s="19">
        <f t="shared" si="559"/>
        <v>0</v>
      </c>
      <c r="AA478" s="19"/>
      <c r="AB478" s="19"/>
      <c r="AC478" s="84"/>
      <c r="AE478" s="111"/>
      <c r="AF478" s="111"/>
      <c r="AG478" s="111"/>
      <c r="AH478" s="112"/>
      <c r="AI478" s="113"/>
      <c r="AK478" s="111"/>
      <c r="AL478" s="111"/>
      <c r="AM478" s="111"/>
      <c r="AN478" s="112"/>
      <c r="AO478" s="113"/>
      <c r="AQ478" s="17"/>
      <c r="AR478" s="17"/>
      <c r="AS478" s="17"/>
      <c r="AT478" s="18">
        <f t="shared" si="557"/>
        <v>0</v>
      </c>
      <c r="AU478" s="19">
        <f t="shared" si="560"/>
        <v>0</v>
      </c>
      <c r="AW478" s="17"/>
      <c r="AX478" s="17"/>
      <c r="AY478" s="17"/>
      <c r="AZ478" s="18">
        <f t="shared" si="558"/>
        <v>0</v>
      </c>
      <c r="BA478" s="19">
        <f t="shared" si="561"/>
        <v>0</v>
      </c>
    </row>
    <row r="479" spans="1:53" s="117" customFormat="1" ht="17.100000000000001" customHeight="1" x14ac:dyDescent="0.25">
      <c r="A479" s="68"/>
      <c r="B479" s="119"/>
      <c r="C479" s="55"/>
      <c r="D479" s="56" t="s">
        <v>482</v>
      </c>
      <c r="E479" s="149" t="s">
        <v>129</v>
      </c>
      <c r="F479" s="149"/>
      <c r="G479" s="149"/>
      <c r="H479" s="182"/>
      <c r="I479" s="241"/>
      <c r="J479" s="111"/>
      <c r="K479" s="111"/>
      <c r="L479" s="111"/>
      <c r="M479" s="111"/>
      <c r="N479" s="61"/>
      <c r="O479" s="61"/>
      <c r="P479" s="17">
        <f t="shared" si="551"/>
        <v>0</v>
      </c>
      <c r="Q479" s="61"/>
      <c r="R479" s="61"/>
      <c r="S479" s="17">
        <f t="shared" si="552"/>
        <v>0</v>
      </c>
      <c r="T479" s="61"/>
      <c r="U479" s="61"/>
      <c r="V479" s="359">
        <f t="shared" si="553"/>
        <v>0</v>
      </c>
      <c r="W479" s="391">
        <f t="shared" si="554"/>
        <v>0</v>
      </c>
      <c r="X479" s="17">
        <f t="shared" si="555"/>
        <v>0</v>
      </c>
      <c r="Y479" s="18">
        <f t="shared" si="556"/>
        <v>0</v>
      </c>
      <c r="Z479" s="19">
        <f t="shared" si="559"/>
        <v>0</v>
      </c>
      <c r="AA479" s="19"/>
      <c r="AB479" s="19"/>
      <c r="AC479" s="84"/>
      <c r="AE479" s="111"/>
      <c r="AF479" s="111"/>
      <c r="AG479" s="111"/>
      <c r="AH479" s="112"/>
      <c r="AI479" s="113"/>
      <c r="AK479" s="111"/>
      <c r="AL479" s="111"/>
      <c r="AM479" s="111"/>
      <c r="AN479" s="112"/>
      <c r="AO479" s="113"/>
      <c r="AQ479" s="17"/>
      <c r="AR479" s="17"/>
      <c r="AS479" s="17"/>
      <c r="AT479" s="18">
        <f t="shared" si="557"/>
        <v>0</v>
      </c>
      <c r="AU479" s="19">
        <f t="shared" si="560"/>
        <v>0</v>
      </c>
      <c r="AW479" s="17"/>
      <c r="AX479" s="17"/>
      <c r="AY479" s="17"/>
      <c r="AZ479" s="18">
        <f t="shared" si="558"/>
        <v>0</v>
      </c>
      <c r="BA479" s="19">
        <f t="shared" si="561"/>
        <v>0</v>
      </c>
    </row>
    <row r="480" spans="1:53" s="117" customFormat="1" ht="17.100000000000001" customHeight="1" x14ac:dyDescent="0.25">
      <c r="A480" s="68"/>
      <c r="B480" s="119"/>
      <c r="C480" s="77"/>
      <c r="D480" s="134"/>
      <c r="E480" s="134"/>
      <c r="F480" s="134"/>
      <c r="G480" s="134"/>
      <c r="H480" s="540"/>
      <c r="I480" s="229"/>
      <c r="J480" s="80"/>
      <c r="K480" s="80"/>
      <c r="L480" s="81"/>
      <c r="M480" s="81"/>
      <c r="N480" s="81">
        <f>SUM(N472:N479)</f>
        <v>0</v>
      </c>
      <c r="O480" s="81">
        <f t="shared" ref="O480:V480" si="562">SUM(O472:O479)</f>
        <v>0</v>
      </c>
      <c r="P480" s="81">
        <f t="shared" si="562"/>
        <v>0</v>
      </c>
      <c r="Q480" s="81">
        <f t="shared" si="562"/>
        <v>0</v>
      </c>
      <c r="R480" s="81">
        <f t="shared" si="562"/>
        <v>0</v>
      </c>
      <c r="S480" s="81">
        <f t="shared" si="562"/>
        <v>0</v>
      </c>
      <c r="T480" s="81">
        <f t="shared" si="562"/>
        <v>0</v>
      </c>
      <c r="U480" s="81">
        <f t="shared" si="562"/>
        <v>0</v>
      </c>
      <c r="V480" s="81">
        <f t="shared" si="562"/>
        <v>0</v>
      </c>
      <c r="W480" s="381">
        <f>SUM(W472:W479)</f>
        <v>0</v>
      </c>
      <c r="X480" s="82">
        <f t="shared" ref="X480:Y480" si="563">SUM(X472:X479)</f>
        <v>0</v>
      </c>
      <c r="Y480" s="82">
        <f t="shared" si="563"/>
        <v>0</v>
      </c>
      <c r="Z480" s="205">
        <f>IF(Y$480=0,0,Y480/Y$480)</f>
        <v>0</v>
      </c>
      <c r="AA480" s="205"/>
      <c r="AB480" s="205"/>
      <c r="AC480" s="83"/>
      <c r="AE480" s="80"/>
      <c r="AF480" s="80"/>
      <c r="AG480" s="81"/>
      <c r="AH480" s="82"/>
      <c r="AI480" s="66"/>
      <c r="AK480" s="80"/>
      <c r="AL480" s="80"/>
      <c r="AM480" s="81"/>
      <c r="AN480" s="82"/>
      <c r="AO480" s="66"/>
      <c r="AQ480" s="80"/>
      <c r="AR480" s="80"/>
      <c r="AS480" s="81"/>
      <c r="AT480" s="82">
        <f>SUM(AT472:AT479)</f>
        <v>0</v>
      </c>
      <c r="AU480" s="66">
        <f t="shared" si="560"/>
        <v>0</v>
      </c>
      <c r="AW480" s="80"/>
      <c r="AX480" s="80"/>
      <c r="AY480" s="81"/>
      <c r="AZ480" s="82">
        <f>SUM(AZ472:AZ479)</f>
        <v>0</v>
      </c>
      <c r="BA480" s="66">
        <f t="shared" si="561"/>
        <v>0</v>
      </c>
    </row>
    <row r="481" spans="1:53" s="117" customFormat="1" ht="17.100000000000001" customHeight="1" x14ac:dyDescent="0.25">
      <c r="A481" s="68"/>
      <c r="B481" s="119"/>
      <c r="C481" s="540"/>
      <c r="D481" s="261"/>
      <c r="E481" s="261"/>
      <c r="F481" s="68"/>
      <c r="G481" s="68"/>
      <c r="H481" s="119"/>
      <c r="I481" s="138"/>
      <c r="J481" s="17"/>
      <c r="K481" s="17"/>
      <c r="L481" s="17"/>
      <c r="M481" s="17"/>
      <c r="N481" s="17" t="str">
        <f>IF(N480=N$443,"OK","NOK")</f>
        <v>OK</v>
      </c>
      <c r="O481" s="17" t="str">
        <f>IF(O480=O$443,"OK","NOK")</f>
        <v>OK</v>
      </c>
      <c r="P481" s="17"/>
      <c r="Q481" s="17" t="str">
        <f>IF(Q480=Q$443,"OK","NOK")</f>
        <v>OK</v>
      </c>
      <c r="R481" s="17" t="str">
        <f>IF(R480=R$443,"OK","NOK")</f>
        <v>OK</v>
      </c>
      <c r="S481" s="17"/>
      <c r="T481" s="17" t="str">
        <f>IF(T480=T$443,"OK","NOK")</f>
        <v>OK</v>
      </c>
      <c r="U481" s="17" t="str">
        <f>IF(U480=U$443,"OK","NOK")</f>
        <v>OK</v>
      </c>
      <c r="V481" s="359"/>
      <c r="W481" s="382"/>
      <c r="X481" s="539"/>
      <c r="Y481" s="539"/>
      <c r="Z481" s="201"/>
      <c r="AA481" s="201"/>
      <c r="AB481" s="201"/>
      <c r="AC481" s="84"/>
      <c r="AE481" s="46"/>
      <c r="AF481" s="46"/>
      <c r="AG481" s="17"/>
      <c r="AH481" s="539"/>
      <c r="AI481" s="91"/>
      <c r="AK481" s="46"/>
      <c r="AL481" s="46"/>
      <c r="AM481" s="17"/>
      <c r="AN481" s="539"/>
      <c r="AO481" s="91"/>
      <c r="AQ481" s="46"/>
      <c r="AR481" s="46"/>
      <c r="AS481" s="17"/>
      <c r="AT481" s="539"/>
      <c r="AU481" s="91"/>
      <c r="AW481" s="46"/>
      <c r="AX481" s="46"/>
      <c r="AY481" s="17"/>
      <c r="AZ481" s="539"/>
      <c r="BA481" s="91"/>
    </row>
    <row r="482" spans="1:53" s="117" customFormat="1" ht="17.100000000000001" customHeight="1" x14ac:dyDescent="0.25">
      <c r="A482" s="68"/>
      <c r="B482" s="119"/>
      <c r="C482" s="119"/>
      <c r="D482" s="56" t="s">
        <v>272</v>
      </c>
      <c r="E482" s="149" t="s">
        <v>751</v>
      </c>
      <c r="F482" s="149"/>
      <c r="G482" s="149"/>
      <c r="H482" s="182"/>
      <c r="I482" s="241"/>
      <c r="J482" s="152"/>
      <c r="K482" s="152"/>
      <c r="L482" s="111"/>
      <c r="M482" s="111"/>
      <c r="N482" s="111"/>
      <c r="O482" s="111"/>
      <c r="P482" s="111"/>
      <c r="Q482" s="111"/>
      <c r="R482" s="111"/>
      <c r="S482" s="111"/>
      <c r="T482" s="111"/>
      <c r="U482" s="111"/>
      <c r="V482" s="358"/>
      <c r="W482" s="380"/>
      <c r="X482" s="111"/>
      <c r="Y482" s="545"/>
      <c r="Z482" s="131"/>
      <c r="AA482" s="131"/>
      <c r="AB482" s="131"/>
      <c r="AC482" s="113"/>
      <c r="AE482" s="152"/>
      <c r="AF482" s="152"/>
      <c r="AG482" s="111"/>
      <c r="AH482" s="545"/>
      <c r="AI482" s="131"/>
      <c r="AK482" s="152"/>
      <c r="AL482" s="152"/>
      <c r="AM482" s="111"/>
      <c r="AN482" s="545"/>
      <c r="AO482" s="131"/>
      <c r="AQ482" s="152"/>
      <c r="AR482" s="152"/>
      <c r="AS482" s="111"/>
      <c r="AT482" s="545"/>
      <c r="AU482" s="131"/>
      <c r="AW482" s="152"/>
      <c r="AX482" s="152"/>
      <c r="AY482" s="111"/>
      <c r="AZ482" s="545"/>
      <c r="BA482" s="131"/>
    </row>
    <row r="483" spans="1:53" s="117" customFormat="1" ht="17.100000000000001" customHeight="1" x14ac:dyDescent="0.25">
      <c r="A483" s="68"/>
      <c r="B483" s="119"/>
      <c r="C483" s="55"/>
      <c r="D483" s="55"/>
      <c r="E483" s="74" t="s">
        <v>753</v>
      </c>
      <c r="F483" s="603" t="s">
        <v>752</v>
      </c>
      <c r="G483" s="603"/>
      <c r="H483" s="182"/>
      <c r="I483" s="241"/>
      <c r="J483" s="111"/>
      <c r="K483" s="152"/>
      <c r="L483" s="152"/>
      <c r="M483" s="152"/>
      <c r="N483" s="152"/>
      <c r="O483" s="111"/>
      <c r="P483" s="60"/>
      <c r="Q483" s="152"/>
      <c r="R483" s="111"/>
      <c r="S483" s="60"/>
      <c r="T483" s="152"/>
      <c r="U483" s="111"/>
      <c r="V483" s="361"/>
      <c r="W483" s="391"/>
      <c r="X483" s="17"/>
      <c r="Y483" s="18">
        <f t="shared" ref="Y483:Y485" si="564">M483+P483+S483+V483</f>
        <v>0</v>
      </c>
      <c r="Z483" s="19">
        <f>IF(Y$486=0,0,Y483/Y$486)</f>
        <v>0</v>
      </c>
      <c r="AA483" s="19"/>
      <c r="AB483" s="19"/>
      <c r="AC483" s="84"/>
      <c r="AE483" s="111"/>
      <c r="AF483" s="111"/>
      <c r="AG483" s="111"/>
      <c r="AH483" s="112"/>
      <c r="AI483" s="113"/>
      <c r="AK483" s="111"/>
      <c r="AL483" s="111"/>
      <c r="AM483" s="111"/>
      <c r="AN483" s="112"/>
      <c r="AO483" s="113"/>
      <c r="AQ483" s="111"/>
      <c r="AR483" s="111"/>
      <c r="AS483" s="111"/>
      <c r="AT483" s="545"/>
      <c r="AU483" s="131"/>
      <c r="AW483" s="111"/>
      <c r="AX483" s="111"/>
      <c r="AY483" s="111"/>
      <c r="AZ483" s="545"/>
      <c r="BA483" s="131"/>
    </row>
    <row r="484" spans="1:53" s="117" customFormat="1" ht="17.100000000000001" customHeight="1" x14ac:dyDescent="0.25">
      <c r="A484" s="68"/>
      <c r="B484" s="119"/>
      <c r="C484" s="55"/>
      <c r="D484" s="55"/>
      <c r="E484" s="74" t="s">
        <v>754</v>
      </c>
      <c r="F484" s="604"/>
      <c r="G484" s="604"/>
      <c r="H484" s="182"/>
      <c r="I484" s="241"/>
      <c r="J484" s="111"/>
      <c r="K484" s="152"/>
      <c r="L484" s="152"/>
      <c r="M484" s="152"/>
      <c r="N484" s="152"/>
      <c r="O484" s="111"/>
      <c r="P484" s="61"/>
      <c r="Q484" s="152"/>
      <c r="R484" s="111"/>
      <c r="S484" s="61"/>
      <c r="T484" s="152"/>
      <c r="U484" s="111"/>
      <c r="V484" s="362"/>
      <c r="W484" s="391"/>
      <c r="X484" s="17"/>
      <c r="Y484" s="18">
        <f t="shared" si="564"/>
        <v>0</v>
      </c>
      <c r="Z484" s="19">
        <f t="shared" ref="Z484:Z486" si="565">IF(Y$486=0,0,Y484/Y$486)</f>
        <v>0</v>
      </c>
      <c r="AA484" s="19"/>
      <c r="AB484" s="19"/>
      <c r="AC484" s="84"/>
      <c r="AE484" s="111"/>
      <c r="AF484" s="111"/>
      <c r="AG484" s="111"/>
      <c r="AH484" s="112"/>
      <c r="AI484" s="113"/>
      <c r="AK484" s="111"/>
      <c r="AL484" s="111"/>
      <c r="AM484" s="111"/>
      <c r="AN484" s="112"/>
      <c r="AO484" s="113"/>
      <c r="AQ484" s="111"/>
      <c r="AR484" s="111"/>
      <c r="AS484" s="111"/>
      <c r="AT484" s="545"/>
      <c r="AU484" s="131"/>
      <c r="AW484" s="111"/>
      <c r="AX484" s="111"/>
      <c r="AY484" s="111"/>
      <c r="AZ484" s="545"/>
      <c r="BA484" s="131"/>
    </row>
    <row r="485" spans="1:53" s="117" customFormat="1" ht="17.100000000000001" customHeight="1" x14ac:dyDescent="0.25">
      <c r="A485" s="68"/>
      <c r="B485" s="119"/>
      <c r="C485" s="55"/>
      <c r="D485" s="55"/>
      <c r="E485" s="74" t="s">
        <v>755</v>
      </c>
      <c r="F485" s="603"/>
      <c r="G485" s="603"/>
      <c r="H485" s="182"/>
      <c r="I485" s="241"/>
      <c r="J485" s="111"/>
      <c r="K485" s="152"/>
      <c r="L485" s="152"/>
      <c r="M485" s="152"/>
      <c r="N485" s="152"/>
      <c r="O485" s="111"/>
      <c r="P485" s="60"/>
      <c r="Q485" s="152"/>
      <c r="R485" s="111"/>
      <c r="S485" s="60"/>
      <c r="T485" s="152"/>
      <c r="U485" s="111"/>
      <c r="V485" s="361"/>
      <c r="W485" s="391"/>
      <c r="X485" s="17"/>
      <c r="Y485" s="18">
        <f t="shared" si="564"/>
        <v>0</v>
      </c>
      <c r="Z485" s="19">
        <f t="shared" si="565"/>
        <v>0</v>
      </c>
      <c r="AA485" s="19"/>
      <c r="AB485" s="19"/>
      <c r="AC485" s="84"/>
      <c r="AE485" s="111"/>
      <c r="AF485" s="111"/>
      <c r="AG485" s="111"/>
      <c r="AH485" s="112"/>
      <c r="AI485" s="113"/>
      <c r="AK485" s="111"/>
      <c r="AL485" s="111"/>
      <c r="AM485" s="111"/>
      <c r="AN485" s="112"/>
      <c r="AO485" s="113"/>
      <c r="AQ485" s="111"/>
      <c r="AR485" s="111"/>
      <c r="AS485" s="111"/>
      <c r="AT485" s="545"/>
      <c r="AU485" s="131"/>
      <c r="AW485" s="111"/>
      <c r="AX485" s="111"/>
      <c r="AY485" s="111"/>
      <c r="AZ485" s="545"/>
      <c r="BA485" s="131"/>
    </row>
    <row r="486" spans="1:53" s="117" customFormat="1" ht="17.100000000000001" customHeight="1" x14ac:dyDescent="0.25">
      <c r="A486" s="68"/>
      <c r="B486" s="119"/>
      <c r="C486" s="77"/>
      <c r="D486" s="134"/>
      <c r="E486" s="134"/>
      <c r="F486" s="134"/>
      <c r="G486" s="134"/>
      <c r="H486" s="540"/>
      <c r="I486" s="229"/>
      <c r="J486" s="80"/>
      <c r="K486" s="80"/>
      <c r="L486" s="81"/>
      <c r="M486" s="81"/>
      <c r="N486" s="81"/>
      <c r="O486" s="81"/>
      <c r="P486" s="81">
        <f>SUM(P483:P485)</f>
        <v>0</v>
      </c>
      <c r="Q486" s="81"/>
      <c r="R486" s="81"/>
      <c r="S486" s="81">
        <f>SUM(S483:S485)</f>
        <v>0</v>
      </c>
      <c r="T486" s="81"/>
      <c r="U486" s="81"/>
      <c r="V486" s="81">
        <f>SUM(V483:V485)</f>
        <v>0</v>
      </c>
      <c r="W486" s="381"/>
      <c r="X486" s="82"/>
      <c r="Y486" s="82">
        <f>SUM(Y483:Y485)</f>
        <v>0</v>
      </c>
      <c r="Z486" s="205">
        <f t="shared" si="565"/>
        <v>0</v>
      </c>
      <c r="AA486" s="205"/>
      <c r="AB486" s="205"/>
      <c r="AC486" s="83"/>
      <c r="AE486" s="80"/>
      <c r="AF486" s="80"/>
      <c r="AG486" s="81"/>
      <c r="AH486" s="82"/>
      <c r="AI486" s="66"/>
      <c r="AK486" s="80"/>
      <c r="AL486" s="80"/>
      <c r="AM486" s="81"/>
      <c r="AN486" s="82"/>
      <c r="AO486" s="66"/>
      <c r="AQ486" s="80"/>
      <c r="AR486" s="80"/>
      <c r="AS486" s="81"/>
      <c r="AT486" s="82"/>
      <c r="AU486" s="66"/>
      <c r="AW486" s="80"/>
      <c r="AX486" s="80"/>
      <c r="AY486" s="81"/>
      <c r="AZ486" s="82"/>
      <c r="BA486" s="66"/>
    </row>
    <row r="487" spans="1:53" s="117" customFormat="1" ht="17.100000000000001" customHeight="1" x14ac:dyDescent="0.25">
      <c r="A487" s="68"/>
      <c r="B487" s="119"/>
      <c r="C487" s="92"/>
      <c r="D487" s="93"/>
      <c r="E487" s="93"/>
      <c r="F487" s="93"/>
      <c r="G487" s="93"/>
      <c r="H487" s="540"/>
      <c r="I487" s="12"/>
      <c r="J487" s="46"/>
      <c r="K487" s="46"/>
      <c r="L487" s="17"/>
      <c r="M487" s="17"/>
      <c r="N487" s="17"/>
      <c r="O487" s="17"/>
      <c r="P487" s="17"/>
      <c r="Q487" s="17"/>
      <c r="R487" s="17"/>
      <c r="S487" s="17"/>
      <c r="T487" s="17"/>
      <c r="U487" s="17"/>
      <c r="V487" s="359"/>
      <c r="W487" s="382"/>
      <c r="X487" s="539"/>
      <c r="Y487" s="539"/>
      <c r="Z487" s="201"/>
      <c r="AA487" s="201"/>
      <c r="AB487" s="201"/>
      <c r="AC487" s="84"/>
      <c r="AE487" s="46"/>
      <c r="AF487" s="46"/>
      <c r="AG487" s="17"/>
      <c r="AH487" s="539"/>
      <c r="AI487" s="91"/>
      <c r="AK487" s="46"/>
      <c r="AL487" s="46"/>
      <c r="AM487" s="17"/>
      <c r="AN487" s="539"/>
      <c r="AO487" s="91"/>
      <c r="AQ487" s="46"/>
      <c r="AR487" s="46"/>
      <c r="AS487" s="17"/>
      <c r="AT487" s="539"/>
      <c r="AU487" s="91"/>
      <c r="AW487" s="46"/>
      <c r="AX487" s="46"/>
      <c r="AY487" s="17"/>
      <c r="AZ487" s="539"/>
      <c r="BA487" s="91"/>
    </row>
    <row r="488" spans="1:53" ht="17.100000000000001" customHeight="1" x14ac:dyDescent="0.25">
      <c r="A488" s="119"/>
      <c r="B488" s="41" t="s">
        <v>876</v>
      </c>
      <c r="C488" s="69" t="s">
        <v>12</v>
      </c>
      <c r="D488" s="50"/>
      <c r="E488" s="70"/>
      <c r="F488" s="70"/>
      <c r="G488" s="70"/>
      <c r="H488" s="119"/>
      <c r="J488" s="71"/>
      <c r="K488" s="71"/>
      <c r="L488" s="71"/>
      <c r="M488" s="71"/>
      <c r="N488" s="71"/>
      <c r="O488" s="71"/>
      <c r="P488" s="71"/>
      <c r="Q488" s="71"/>
      <c r="R488" s="71"/>
      <c r="S488" s="71"/>
      <c r="T488" s="71"/>
      <c r="U488" s="71"/>
      <c r="V488" s="355"/>
      <c r="W488" s="377"/>
      <c r="X488" s="71"/>
      <c r="Y488" s="72"/>
      <c r="Z488" s="73"/>
      <c r="AA488" s="73"/>
      <c r="AB488" s="73"/>
      <c r="AC488" s="73"/>
      <c r="AE488" s="71"/>
      <c r="AF488" s="71"/>
      <c r="AG488" s="71"/>
      <c r="AH488" s="72"/>
      <c r="AI488" s="73"/>
      <c r="AK488" s="71"/>
      <c r="AL488" s="71"/>
      <c r="AM488" s="71"/>
      <c r="AN488" s="72"/>
      <c r="AO488" s="73"/>
      <c r="AQ488" s="71"/>
      <c r="AR488" s="71"/>
      <c r="AS488" s="71"/>
      <c r="AT488" s="72"/>
      <c r="AU488" s="73"/>
      <c r="AW488" s="71"/>
      <c r="AX488" s="71"/>
      <c r="AY488" s="71"/>
      <c r="AZ488" s="72"/>
      <c r="BA488" s="73"/>
    </row>
    <row r="489" spans="1:53" s="173" customFormat="1" ht="17.100000000000001" customHeight="1" x14ac:dyDescent="0.25">
      <c r="A489" s="102"/>
      <c r="B489" s="102"/>
      <c r="C489" s="182"/>
      <c r="D489" s="127" t="s">
        <v>1006</v>
      </c>
      <c r="E489" s="128"/>
      <c r="F489" s="128"/>
      <c r="G489" s="128"/>
      <c r="H489" s="119"/>
      <c r="I489" s="231"/>
      <c r="J489" s="154"/>
      <c r="K489" s="154"/>
      <c r="L489" s="154"/>
      <c r="M489" s="154"/>
      <c r="N489" s="154">
        <f t="shared" ref="N489:O489" si="566">N174</f>
        <v>0</v>
      </c>
      <c r="O489" s="154">
        <f t="shared" si="566"/>
        <v>9</v>
      </c>
      <c r="P489" s="154">
        <f>SUM(N489:O489)</f>
        <v>9</v>
      </c>
      <c r="Q489" s="154">
        <f t="shared" ref="Q489:R489" si="567">Q174</f>
        <v>0</v>
      </c>
      <c r="R489" s="154">
        <f t="shared" si="567"/>
        <v>0</v>
      </c>
      <c r="S489" s="154">
        <f>SUM(Q489:R489)</f>
        <v>0</v>
      </c>
      <c r="T489" s="154">
        <f t="shared" ref="T489:U489" si="568">T174</f>
        <v>0</v>
      </c>
      <c r="U489" s="154">
        <f t="shared" si="568"/>
        <v>0</v>
      </c>
      <c r="V489" s="159">
        <f>SUM(T489:U489)</f>
        <v>0</v>
      </c>
      <c r="W489" s="387">
        <f t="shared" ref="W489:W490" si="569">J489+K489+N489+Q489+T489</f>
        <v>0</v>
      </c>
      <c r="X489" s="154">
        <f t="shared" ref="X489:X490" si="570">L489+O489+R489+U489</f>
        <v>9</v>
      </c>
      <c r="Y489" s="129">
        <f t="shared" ref="Y489:Y490" si="571">SUM(W489:X489)</f>
        <v>9</v>
      </c>
      <c r="Z489" s="130"/>
      <c r="AA489" s="130"/>
      <c r="AB489" s="130"/>
      <c r="AC489" s="125"/>
      <c r="AE489" s="154"/>
      <c r="AF489" s="154"/>
      <c r="AG489" s="154"/>
      <c r="AH489" s="129"/>
      <c r="AI489" s="130"/>
      <c r="AJ489" s="12"/>
      <c r="AK489" s="154"/>
      <c r="AL489" s="154"/>
      <c r="AM489" s="154"/>
      <c r="AN489" s="129"/>
      <c r="AO489" s="130"/>
      <c r="AP489" s="12"/>
      <c r="AQ489" s="154"/>
      <c r="AR489" s="154"/>
      <c r="AS489" s="154"/>
      <c r="AT489" s="129"/>
      <c r="AU489" s="130"/>
      <c r="AV489" s="12"/>
      <c r="AW489" s="154"/>
      <c r="AX489" s="154"/>
      <c r="AY489" s="154"/>
      <c r="AZ489" s="129"/>
      <c r="BA489" s="130"/>
    </row>
    <row r="490" spans="1:53" s="173" customFormat="1" ht="17.100000000000001" customHeight="1" x14ac:dyDescent="0.25">
      <c r="A490" s="102"/>
      <c r="B490" s="102"/>
      <c r="C490" s="182"/>
      <c r="D490" s="127" t="s">
        <v>278</v>
      </c>
      <c r="E490" s="128"/>
      <c r="F490" s="128"/>
      <c r="G490" s="128"/>
      <c r="H490" s="119"/>
      <c r="I490" s="231"/>
      <c r="J490" s="154"/>
      <c r="K490" s="154"/>
      <c r="L490" s="154"/>
      <c r="M490" s="154"/>
      <c r="N490" s="154">
        <f t="shared" ref="N490:O490" si="572">N377</f>
        <v>0</v>
      </c>
      <c r="O490" s="154">
        <f t="shared" si="572"/>
        <v>9</v>
      </c>
      <c r="P490" s="154">
        <f>SUM(N490:O490)</f>
        <v>9</v>
      </c>
      <c r="Q490" s="154">
        <f t="shared" ref="Q490:R490" si="573">Q377</f>
        <v>0</v>
      </c>
      <c r="R490" s="154">
        <f t="shared" si="573"/>
        <v>0</v>
      </c>
      <c r="S490" s="154">
        <f>SUM(Q490:R490)</f>
        <v>0</v>
      </c>
      <c r="T490" s="154">
        <f t="shared" ref="T490:U490" si="574">T377</f>
        <v>0</v>
      </c>
      <c r="U490" s="154">
        <f t="shared" si="574"/>
        <v>0</v>
      </c>
      <c r="V490" s="159">
        <f>SUM(T490:U490)</f>
        <v>0</v>
      </c>
      <c r="W490" s="387">
        <f t="shared" si="569"/>
        <v>0</v>
      </c>
      <c r="X490" s="154">
        <f t="shared" si="570"/>
        <v>9</v>
      </c>
      <c r="Y490" s="129">
        <f t="shared" si="571"/>
        <v>9</v>
      </c>
      <c r="Z490" s="130"/>
      <c r="AA490" s="130"/>
      <c r="AB490" s="130"/>
      <c r="AC490" s="125"/>
      <c r="AE490" s="154"/>
      <c r="AF490" s="154"/>
      <c r="AG490" s="154"/>
      <c r="AH490" s="129"/>
      <c r="AI490" s="130"/>
      <c r="AJ490" s="12"/>
      <c r="AK490" s="154"/>
      <c r="AL490" s="154"/>
      <c r="AM490" s="154"/>
      <c r="AN490" s="129"/>
      <c r="AO490" s="130"/>
      <c r="AP490" s="12"/>
      <c r="AQ490" s="154"/>
      <c r="AR490" s="154"/>
      <c r="AS490" s="154"/>
      <c r="AT490" s="129"/>
      <c r="AU490" s="130"/>
      <c r="AV490" s="12"/>
      <c r="AW490" s="154"/>
      <c r="AX490" s="154"/>
      <c r="AY490" s="154"/>
      <c r="AZ490" s="129"/>
      <c r="BA490" s="130"/>
    </row>
    <row r="491" spans="1:53" s="117" customFormat="1" ht="17.100000000000001" customHeight="1" x14ac:dyDescent="0.25">
      <c r="A491" s="119"/>
      <c r="B491" s="119"/>
      <c r="C491" s="56" t="s">
        <v>277</v>
      </c>
      <c r="D491" s="427" t="s">
        <v>1007</v>
      </c>
      <c r="E491" s="428"/>
      <c r="F491" s="428"/>
      <c r="G491" s="428"/>
      <c r="H491" s="119"/>
      <c r="I491" s="97"/>
      <c r="J491" s="17"/>
      <c r="K491" s="17"/>
      <c r="L491" s="17"/>
      <c r="M491" s="17"/>
      <c r="N491" s="91">
        <f>IF(N489=0,0,N490/N489)</f>
        <v>0</v>
      </c>
      <c r="O491" s="91">
        <f t="shared" ref="O491:P491" si="575">IF(O489=0,0,O490/O489)</f>
        <v>1</v>
      </c>
      <c r="P491" s="91">
        <f t="shared" si="575"/>
        <v>1</v>
      </c>
      <c r="Q491" s="91">
        <f>IF(Q489=0,0,Q490/Q489)</f>
        <v>0</v>
      </c>
      <c r="R491" s="91">
        <f t="shared" ref="R491:S491" si="576">IF(R489=0,0,R490/R489)</f>
        <v>0</v>
      </c>
      <c r="S491" s="91">
        <f t="shared" si="576"/>
        <v>0</v>
      </c>
      <c r="T491" s="91">
        <f>IF(T489=0,0,T490/T489)</f>
        <v>0</v>
      </c>
      <c r="U491" s="91">
        <f t="shared" ref="U491:V491" si="577">IF(U489=0,0,U490/U489)</f>
        <v>0</v>
      </c>
      <c r="V491" s="373">
        <f t="shared" si="577"/>
        <v>0</v>
      </c>
      <c r="W491" s="395">
        <f>IF(W489=0,0,W490/W489)</f>
        <v>0</v>
      </c>
      <c r="X491" s="91">
        <f t="shared" ref="X491:Y491" si="578">IF(X489=0,0,X490/X489)</f>
        <v>1</v>
      </c>
      <c r="Y491" s="91">
        <f t="shared" si="578"/>
        <v>1</v>
      </c>
      <c r="Z491" s="84"/>
      <c r="AA491" s="84"/>
      <c r="AB491" s="84"/>
      <c r="AC491" s="84"/>
      <c r="AE491" s="17"/>
      <c r="AF491" s="17"/>
      <c r="AG491" s="17"/>
      <c r="AH491" s="568"/>
      <c r="AI491" s="84"/>
      <c r="AK491" s="17"/>
      <c r="AL491" s="17"/>
      <c r="AM491" s="17"/>
      <c r="AN491" s="568"/>
      <c r="AO491" s="84"/>
      <c r="AQ491" s="17"/>
      <c r="AR491" s="17"/>
      <c r="AS491" s="17"/>
      <c r="AT491" s="568"/>
      <c r="AU491" s="84"/>
      <c r="AW491" s="17"/>
      <c r="AX491" s="17"/>
      <c r="AY491" s="17"/>
      <c r="AZ491" s="568"/>
      <c r="BA491" s="84"/>
    </row>
    <row r="492" spans="1:53" s="173" customFormat="1" ht="17.100000000000001" customHeight="1" x14ac:dyDescent="0.25">
      <c r="A492" s="102"/>
      <c r="B492" s="102"/>
      <c r="C492" s="56" t="s">
        <v>279</v>
      </c>
      <c r="D492" s="85" t="s">
        <v>280</v>
      </c>
      <c r="E492" s="75"/>
      <c r="F492" s="75"/>
      <c r="G492" s="75"/>
      <c r="H492" s="540"/>
      <c r="I492" s="229"/>
      <c r="J492" s="181"/>
      <c r="K492" s="181"/>
      <c r="L492" s="181"/>
      <c r="M492" s="181"/>
      <c r="N492" s="181"/>
      <c r="O492" s="181"/>
      <c r="P492" s="181"/>
      <c r="Q492" s="181"/>
      <c r="R492" s="181"/>
      <c r="S492" s="181"/>
      <c r="T492" s="181"/>
      <c r="U492" s="181"/>
      <c r="V492" s="367"/>
      <c r="W492" s="392"/>
      <c r="X492" s="181"/>
      <c r="Y492" s="545"/>
      <c r="Z492" s="172"/>
      <c r="AA492" s="172"/>
      <c r="AB492" s="172"/>
      <c r="AC492" s="178"/>
      <c r="AE492" s="181"/>
      <c r="AF492" s="181"/>
      <c r="AG492" s="181"/>
      <c r="AH492" s="545"/>
      <c r="AI492" s="172"/>
      <c r="AJ492" s="12"/>
      <c r="AK492" s="181"/>
      <c r="AL492" s="181"/>
      <c r="AM492" s="181"/>
      <c r="AN492" s="545"/>
      <c r="AO492" s="172"/>
      <c r="AP492" s="12"/>
      <c r="AQ492" s="181"/>
      <c r="AR492" s="181"/>
      <c r="AS492" s="181"/>
      <c r="AT492" s="545"/>
      <c r="AU492" s="172"/>
      <c r="AV492" s="12"/>
      <c r="AW492" s="181"/>
      <c r="AX492" s="181"/>
      <c r="AY492" s="181"/>
      <c r="AZ492" s="545"/>
      <c r="BA492" s="172"/>
    </row>
    <row r="493" spans="1:53" s="173" customFormat="1" ht="17.100000000000001" customHeight="1" x14ac:dyDescent="0.25">
      <c r="A493" s="102"/>
      <c r="B493" s="102"/>
      <c r="C493" s="182"/>
      <c r="D493" s="127" t="s">
        <v>281</v>
      </c>
      <c r="E493" s="128"/>
      <c r="F493" s="128"/>
      <c r="G493" s="128"/>
      <c r="H493" s="119"/>
      <c r="I493" s="231"/>
      <c r="J493" s="154"/>
      <c r="K493" s="154"/>
      <c r="L493" s="154"/>
      <c r="M493" s="154"/>
      <c r="N493" s="154">
        <f>N402</f>
        <v>0</v>
      </c>
      <c r="O493" s="154">
        <f>O402</f>
        <v>9</v>
      </c>
      <c r="P493" s="154">
        <f t="shared" ref="P493:P500" si="579">SUM(N493:O493)</f>
        <v>9</v>
      </c>
      <c r="Q493" s="154">
        <f t="shared" ref="Q493:U497" si="580">Q402</f>
        <v>0</v>
      </c>
      <c r="R493" s="154">
        <f t="shared" si="580"/>
        <v>0</v>
      </c>
      <c r="S493" s="154">
        <f t="shared" ref="S493:S497" si="581">SUM(Q493:R493)</f>
        <v>0</v>
      </c>
      <c r="T493" s="154">
        <f t="shared" si="580"/>
        <v>0</v>
      </c>
      <c r="U493" s="154">
        <f t="shared" si="580"/>
        <v>0</v>
      </c>
      <c r="V493" s="154">
        <f t="shared" ref="V493:V497" si="582">SUM(T493:U493)</f>
        <v>0</v>
      </c>
      <c r="W493" s="387">
        <f t="shared" ref="W493:W500" si="583">J493+K493+N493+Q493+T493</f>
        <v>0</v>
      </c>
      <c r="X493" s="154">
        <f t="shared" ref="X493:X500" si="584">L493+O493+R493+U493</f>
        <v>9</v>
      </c>
      <c r="Y493" s="129">
        <f t="shared" ref="Y493:Y497" si="585">SUM(W493:X493)</f>
        <v>9</v>
      </c>
      <c r="Z493" s="130">
        <f t="shared" ref="Z493:Z498" si="586">IF(Y$498=0,0,Y493/Y$498)</f>
        <v>1</v>
      </c>
      <c r="AA493" s="130"/>
      <c r="AB493" s="130"/>
      <c r="AC493" s="125"/>
      <c r="AE493" s="154">
        <f t="shared" ref="AE493:AG497" si="587">AE402</f>
        <v>0</v>
      </c>
      <c r="AF493" s="154">
        <f t="shared" si="587"/>
        <v>0</v>
      </c>
      <c r="AG493" s="154">
        <f t="shared" si="587"/>
        <v>0</v>
      </c>
      <c r="AH493" s="129">
        <f>SUM(AE493:AG493)</f>
        <v>0</v>
      </c>
      <c r="AI493" s="130">
        <f t="shared" ref="AI493:AI498" si="588">IF(AH$498=0,0,AH493/AH$498)</f>
        <v>0</v>
      </c>
      <c r="AJ493" s="12"/>
      <c r="AK493" s="154">
        <f t="shared" ref="AK493:AM497" si="589">AK402</f>
        <v>0</v>
      </c>
      <c r="AL493" s="154">
        <f t="shared" si="589"/>
        <v>0</v>
      </c>
      <c r="AM493" s="154">
        <f t="shared" si="589"/>
        <v>0</v>
      </c>
      <c r="AN493" s="129">
        <f>SUM(AK493:AM493)</f>
        <v>0</v>
      </c>
      <c r="AO493" s="130">
        <f t="shared" ref="AO493:AO498" si="590">IF(AN$498=0,0,AN493/AN$498)</f>
        <v>0</v>
      </c>
      <c r="AP493" s="12"/>
      <c r="AQ493" s="154"/>
      <c r="AR493" s="154"/>
      <c r="AS493" s="154"/>
      <c r="AT493" s="129"/>
      <c r="AU493" s="130"/>
      <c r="AV493" s="12"/>
      <c r="AW493" s="154">
        <f t="shared" ref="AW493:AY497" si="591">AW402</f>
        <v>0</v>
      </c>
      <c r="AX493" s="154">
        <f t="shared" si="591"/>
        <v>0</v>
      </c>
      <c r="AY493" s="154">
        <f t="shared" si="591"/>
        <v>0</v>
      </c>
      <c r="AZ493" s="129">
        <f>SUM(AW493:AY493)</f>
        <v>0</v>
      </c>
      <c r="BA493" s="130">
        <f t="shared" ref="BA493:BA498" si="592">IF(AZ$498=0,0,AZ493/AZ$498)</f>
        <v>0</v>
      </c>
    </row>
    <row r="494" spans="1:53" ht="17.100000000000001" customHeight="1" x14ac:dyDescent="0.25">
      <c r="A494" s="40"/>
      <c r="B494" s="40"/>
      <c r="C494" s="182"/>
      <c r="D494" s="127" t="s">
        <v>282</v>
      </c>
      <c r="E494" s="128"/>
      <c r="F494" s="128"/>
      <c r="G494" s="128"/>
      <c r="H494" s="119"/>
      <c r="I494" s="231"/>
      <c r="J494" s="154"/>
      <c r="K494" s="154"/>
      <c r="L494" s="154"/>
      <c r="M494" s="154"/>
      <c r="N494" s="154">
        <f t="shared" ref="N494:O497" si="593">N403</f>
        <v>0</v>
      </c>
      <c r="O494" s="154">
        <f t="shared" si="593"/>
        <v>0</v>
      </c>
      <c r="P494" s="154">
        <f t="shared" si="579"/>
        <v>0</v>
      </c>
      <c r="Q494" s="154">
        <f t="shared" si="580"/>
        <v>0</v>
      </c>
      <c r="R494" s="154">
        <f t="shared" si="580"/>
        <v>0</v>
      </c>
      <c r="S494" s="154">
        <f t="shared" si="581"/>
        <v>0</v>
      </c>
      <c r="T494" s="154">
        <f t="shared" si="580"/>
        <v>0</v>
      </c>
      <c r="U494" s="154">
        <f t="shared" si="580"/>
        <v>0</v>
      </c>
      <c r="V494" s="154">
        <f t="shared" si="582"/>
        <v>0</v>
      </c>
      <c r="W494" s="387">
        <f t="shared" si="583"/>
        <v>0</v>
      </c>
      <c r="X494" s="154">
        <f t="shared" si="584"/>
        <v>0</v>
      </c>
      <c r="Y494" s="129">
        <f t="shared" si="585"/>
        <v>0</v>
      </c>
      <c r="Z494" s="130">
        <f t="shared" si="586"/>
        <v>0</v>
      </c>
      <c r="AA494" s="130"/>
      <c r="AB494" s="130"/>
      <c r="AC494" s="125"/>
      <c r="AE494" s="154">
        <f t="shared" si="587"/>
        <v>0</v>
      </c>
      <c r="AF494" s="154">
        <f t="shared" si="587"/>
        <v>0</v>
      </c>
      <c r="AG494" s="154">
        <f t="shared" si="587"/>
        <v>0</v>
      </c>
      <c r="AH494" s="129">
        <f>SUM(AE494:AG494)</f>
        <v>0</v>
      </c>
      <c r="AI494" s="130">
        <f t="shared" si="588"/>
        <v>0</v>
      </c>
      <c r="AK494" s="154">
        <f t="shared" si="589"/>
        <v>0</v>
      </c>
      <c r="AL494" s="154">
        <f t="shared" si="589"/>
        <v>0</v>
      </c>
      <c r="AM494" s="154">
        <f t="shared" si="589"/>
        <v>0</v>
      </c>
      <c r="AN494" s="129">
        <f>SUM(AK494:AM494)</f>
        <v>0</v>
      </c>
      <c r="AO494" s="130">
        <f t="shared" si="590"/>
        <v>0</v>
      </c>
      <c r="AQ494" s="154"/>
      <c r="AR494" s="154"/>
      <c r="AS494" s="154"/>
      <c r="AT494" s="129"/>
      <c r="AU494" s="130"/>
      <c r="AW494" s="154">
        <f t="shared" si="591"/>
        <v>0</v>
      </c>
      <c r="AX494" s="154">
        <f t="shared" si="591"/>
        <v>0</v>
      </c>
      <c r="AY494" s="154">
        <f t="shared" si="591"/>
        <v>0</v>
      </c>
      <c r="AZ494" s="129">
        <f>SUM(AW494:AY494)</f>
        <v>0</v>
      </c>
      <c r="BA494" s="130">
        <f t="shared" si="592"/>
        <v>0</v>
      </c>
    </row>
    <row r="495" spans="1:53" ht="17.100000000000001" customHeight="1" x14ac:dyDescent="0.25">
      <c r="A495" s="40"/>
      <c r="B495" s="40"/>
      <c r="C495" s="182"/>
      <c r="D495" s="127" t="s">
        <v>283</v>
      </c>
      <c r="E495" s="128"/>
      <c r="F495" s="128"/>
      <c r="G495" s="128"/>
      <c r="H495" s="119"/>
      <c r="I495" s="231"/>
      <c r="J495" s="154"/>
      <c r="K495" s="154"/>
      <c r="L495" s="154"/>
      <c r="M495" s="154"/>
      <c r="N495" s="154">
        <f t="shared" si="593"/>
        <v>0</v>
      </c>
      <c r="O495" s="154">
        <f t="shared" si="593"/>
        <v>0</v>
      </c>
      <c r="P495" s="154">
        <f t="shared" si="579"/>
        <v>0</v>
      </c>
      <c r="Q495" s="154">
        <f t="shared" si="580"/>
        <v>0</v>
      </c>
      <c r="R495" s="154">
        <f t="shared" si="580"/>
        <v>0</v>
      </c>
      <c r="S495" s="154">
        <f t="shared" si="581"/>
        <v>0</v>
      </c>
      <c r="T495" s="154">
        <f t="shared" si="580"/>
        <v>0</v>
      </c>
      <c r="U495" s="154">
        <f t="shared" si="580"/>
        <v>0</v>
      </c>
      <c r="V495" s="154">
        <f t="shared" si="582"/>
        <v>0</v>
      </c>
      <c r="W495" s="387">
        <f t="shared" si="583"/>
        <v>0</v>
      </c>
      <c r="X495" s="154">
        <f t="shared" si="584"/>
        <v>0</v>
      </c>
      <c r="Y495" s="129">
        <f t="shared" si="585"/>
        <v>0</v>
      </c>
      <c r="Z495" s="130">
        <f t="shared" si="586"/>
        <v>0</v>
      </c>
      <c r="AA495" s="130"/>
      <c r="AB495" s="130"/>
      <c r="AC495" s="125"/>
      <c r="AE495" s="154">
        <f t="shared" si="587"/>
        <v>0</v>
      </c>
      <c r="AF495" s="154">
        <f t="shared" si="587"/>
        <v>0</v>
      </c>
      <c r="AG495" s="154">
        <f t="shared" si="587"/>
        <v>0</v>
      </c>
      <c r="AH495" s="129">
        <f>SUM(AE495:AG495)</f>
        <v>0</v>
      </c>
      <c r="AI495" s="130">
        <f t="shared" si="588"/>
        <v>0</v>
      </c>
      <c r="AK495" s="154">
        <f t="shared" si="589"/>
        <v>0</v>
      </c>
      <c r="AL495" s="154">
        <f t="shared" si="589"/>
        <v>0</v>
      </c>
      <c r="AM495" s="154">
        <f t="shared" si="589"/>
        <v>0</v>
      </c>
      <c r="AN495" s="129">
        <f>SUM(AK495:AM495)</f>
        <v>0</v>
      </c>
      <c r="AO495" s="130">
        <f t="shared" si="590"/>
        <v>0</v>
      </c>
      <c r="AQ495" s="154"/>
      <c r="AR495" s="154"/>
      <c r="AS495" s="154"/>
      <c r="AT495" s="129"/>
      <c r="AU495" s="130"/>
      <c r="AW495" s="154">
        <f t="shared" si="591"/>
        <v>0</v>
      </c>
      <c r="AX495" s="154">
        <f t="shared" si="591"/>
        <v>0</v>
      </c>
      <c r="AY495" s="154">
        <f t="shared" si="591"/>
        <v>0</v>
      </c>
      <c r="AZ495" s="129">
        <f>SUM(AW495:AY495)</f>
        <v>0</v>
      </c>
      <c r="BA495" s="130">
        <f t="shared" si="592"/>
        <v>0</v>
      </c>
    </row>
    <row r="496" spans="1:53" ht="17.100000000000001" customHeight="1" x14ac:dyDescent="0.25">
      <c r="A496" s="40"/>
      <c r="B496" s="40"/>
      <c r="C496" s="182"/>
      <c r="D496" s="127" t="s">
        <v>284</v>
      </c>
      <c r="E496" s="128"/>
      <c r="F496" s="128"/>
      <c r="G496" s="128"/>
      <c r="H496" s="119"/>
      <c r="I496" s="231"/>
      <c r="J496" s="154"/>
      <c r="K496" s="154"/>
      <c r="L496" s="154"/>
      <c r="M496" s="154"/>
      <c r="N496" s="154">
        <f t="shared" si="593"/>
        <v>0</v>
      </c>
      <c r="O496" s="154">
        <f t="shared" si="593"/>
        <v>0</v>
      </c>
      <c r="P496" s="154">
        <f t="shared" si="579"/>
        <v>0</v>
      </c>
      <c r="Q496" s="154">
        <f t="shared" si="580"/>
        <v>0</v>
      </c>
      <c r="R496" s="154">
        <f t="shared" si="580"/>
        <v>0</v>
      </c>
      <c r="S496" s="154">
        <f t="shared" si="581"/>
        <v>0</v>
      </c>
      <c r="T496" s="154">
        <f t="shared" si="580"/>
        <v>0</v>
      </c>
      <c r="U496" s="154">
        <f t="shared" si="580"/>
        <v>0</v>
      </c>
      <c r="V496" s="154">
        <f t="shared" si="582"/>
        <v>0</v>
      </c>
      <c r="W496" s="387">
        <f t="shared" si="583"/>
        <v>0</v>
      </c>
      <c r="X496" s="154">
        <f t="shared" si="584"/>
        <v>0</v>
      </c>
      <c r="Y496" s="129">
        <f t="shared" si="585"/>
        <v>0</v>
      </c>
      <c r="Z496" s="130">
        <f t="shared" si="586"/>
        <v>0</v>
      </c>
      <c r="AA496" s="130"/>
      <c r="AB496" s="130"/>
      <c r="AC496" s="125"/>
      <c r="AE496" s="154">
        <f t="shared" si="587"/>
        <v>0</v>
      </c>
      <c r="AF496" s="154">
        <f t="shared" si="587"/>
        <v>0</v>
      </c>
      <c r="AG496" s="154">
        <f t="shared" si="587"/>
        <v>0</v>
      </c>
      <c r="AH496" s="129">
        <f>SUM(AE496:AG496)</f>
        <v>0</v>
      </c>
      <c r="AI496" s="130">
        <f t="shared" si="588"/>
        <v>0</v>
      </c>
      <c r="AK496" s="154">
        <f t="shared" si="589"/>
        <v>0</v>
      </c>
      <c r="AL496" s="154">
        <f t="shared" si="589"/>
        <v>0</v>
      </c>
      <c r="AM496" s="154">
        <f t="shared" si="589"/>
        <v>0</v>
      </c>
      <c r="AN496" s="129">
        <f>SUM(AK496:AM496)</f>
        <v>0</v>
      </c>
      <c r="AO496" s="130">
        <f t="shared" si="590"/>
        <v>0</v>
      </c>
      <c r="AQ496" s="154"/>
      <c r="AR496" s="154"/>
      <c r="AS496" s="154"/>
      <c r="AT496" s="129"/>
      <c r="AU496" s="130"/>
      <c r="AW496" s="154">
        <f t="shared" si="591"/>
        <v>0</v>
      </c>
      <c r="AX496" s="154">
        <f t="shared" si="591"/>
        <v>0</v>
      </c>
      <c r="AY496" s="154">
        <f t="shared" si="591"/>
        <v>0</v>
      </c>
      <c r="AZ496" s="129">
        <f>SUM(AW496:AY496)</f>
        <v>0</v>
      </c>
      <c r="BA496" s="130">
        <f t="shared" si="592"/>
        <v>0</v>
      </c>
    </row>
    <row r="497" spans="1:53" ht="17.100000000000001" customHeight="1" x14ac:dyDescent="0.25">
      <c r="A497" s="40"/>
      <c r="B497" s="40"/>
      <c r="C497" s="182"/>
      <c r="D497" s="183" t="s">
        <v>129</v>
      </c>
      <c r="E497" s="128"/>
      <c r="F497" s="128"/>
      <c r="G497" s="128"/>
      <c r="H497" s="119"/>
      <c r="I497" s="231"/>
      <c r="J497" s="154"/>
      <c r="K497" s="154"/>
      <c r="L497" s="154"/>
      <c r="M497" s="154"/>
      <c r="N497" s="154">
        <f t="shared" si="593"/>
        <v>0</v>
      </c>
      <c r="O497" s="154">
        <f t="shared" si="593"/>
        <v>0</v>
      </c>
      <c r="P497" s="154">
        <f t="shared" si="579"/>
        <v>0</v>
      </c>
      <c r="Q497" s="154">
        <f t="shared" si="580"/>
        <v>0</v>
      </c>
      <c r="R497" s="154">
        <f t="shared" si="580"/>
        <v>0</v>
      </c>
      <c r="S497" s="154">
        <f t="shared" si="581"/>
        <v>0</v>
      </c>
      <c r="T497" s="154">
        <f t="shared" si="580"/>
        <v>0</v>
      </c>
      <c r="U497" s="154">
        <f t="shared" si="580"/>
        <v>0</v>
      </c>
      <c r="V497" s="154">
        <f t="shared" si="582"/>
        <v>0</v>
      </c>
      <c r="W497" s="387">
        <f t="shared" si="583"/>
        <v>0</v>
      </c>
      <c r="X497" s="154">
        <f t="shared" si="584"/>
        <v>0</v>
      </c>
      <c r="Y497" s="129">
        <f t="shared" si="585"/>
        <v>0</v>
      </c>
      <c r="Z497" s="130">
        <f t="shared" si="586"/>
        <v>0</v>
      </c>
      <c r="AA497" s="130"/>
      <c r="AB497" s="130"/>
      <c r="AC497" s="125"/>
      <c r="AE497" s="154">
        <f t="shared" si="587"/>
        <v>0</v>
      </c>
      <c r="AF497" s="154">
        <f t="shared" si="587"/>
        <v>0</v>
      </c>
      <c r="AG497" s="154">
        <f t="shared" si="587"/>
        <v>0</v>
      </c>
      <c r="AH497" s="129">
        <f>SUM(AE497:AG497)</f>
        <v>0</v>
      </c>
      <c r="AI497" s="130">
        <f t="shared" si="588"/>
        <v>0</v>
      </c>
      <c r="AK497" s="154">
        <f t="shared" si="589"/>
        <v>0</v>
      </c>
      <c r="AL497" s="154">
        <f t="shared" si="589"/>
        <v>0</v>
      </c>
      <c r="AM497" s="154">
        <f t="shared" si="589"/>
        <v>0</v>
      </c>
      <c r="AN497" s="129">
        <f>SUM(AK497:AM497)</f>
        <v>0</v>
      </c>
      <c r="AO497" s="130">
        <f t="shared" si="590"/>
        <v>0</v>
      </c>
      <c r="AQ497" s="154"/>
      <c r="AR497" s="154"/>
      <c r="AS497" s="154"/>
      <c r="AT497" s="129"/>
      <c r="AU497" s="130"/>
      <c r="AW497" s="154">
        <f t="shared" si="591"/>
        <v>0</v>
      </c>
      <c r="AX497" s="154">
        <f t="shared" si="591"/>
        <v>0</v>
      </c>
      <c r="AY497" s="154">
        <f t="shared" si="591"/>
        <v>0</v>
      </c>
      <c r="AZ497" s="129">
        <f>SUM(AW497:AY497)</f>
        <v>0</v>
      </c>
      <c r="BA497" s="130">
        <f t="shared" si="592"/>
        <v>0</v>
      </c>
    </row>
    <row r="498" spans="1:53" ht="17.100000000000001" customHeight="1" x14ac:dyDescent="0.25">
      <c r="A498" s="40"/>
      <c r="B498" s="40"/>
      <c r="C498" s="182"/>
      <c r="D498" s="127"/>
      <c r="E498" s="128"/>
      <c r="F498" s="128"/>
      <c r="G498" s="128"/>
      <c r="H498" s="119"/>
      <c r="I498" s="231"/>
      <c r="J498" s="154"/>
      <c r="K498" s="154"/>
      <c r="L498" s="154"/>
      <c r="M498" s="154"/>
      <c r="N498" s="154"/>
      <c r="O498" s="154"/>
      <c r="P498" s="154"/>
      <c r="Q498" s="154"/>
      <c r="R498" s="154"/>
      <c r="S498" s="154"/>
      <c r="T498" s="154"/>
      <c r="U498" s="154"/>
      <c r="V498" s="159"/>
      <c r="W498" s="387"/>
      <c r="X498" s="154"/>
      <c r="Y498" s="129">
        <f>SUM(Y493:Y497)</f>
        <v>9</v>
      </c>
      <c r="Z498" s="130">
        <f t="shared" si="586"/>
        <v>1</v>
      </c>
      <c r="AA498" s="130"/>
      <c r="AB498" s="130"/>
      <c r="AC498" s="125"/>
      <c r="AE498" s="160"/>
      <c r="AF498" s="160"/>
      <c r="AG498" s="160"/>
      <c r="AH498" s="129">
        <f>SUM(AH493:AH497)</f>
        <v>0</v>
      </c>
      <c r="AI498" s="130">
        <f t="shared" si="588"/>
        <v>0</v>
      </c>
      <c r="AK498" s="160"/>
      <c r="AL498" s="160"/>
      <c r="AM498" s="160"/>
      <c r="AN498" s="129">
        <f>SUM(AN493:AN497)</f>
        <v>0</v>
      </c>
      <c r="AO498" s="130">
        <f t="shared" si="590"/>
        <v>0</v>
      </c>
      <c r="AQ498" s="160"/>
      <c r="AR498" s="160"/>
      <c r="AS498" s="160"/>
      <c r="AT498" s="129"/>
      <c r="AU498" s="130"/>
      <c r="AW498" s="160"/>
      <c r="AX498" s="160"/>
      <c r="AY498" s="160"/>
      <c r="AZ498" s="129">
        <f>SUM(AZ493:AZ497)</f>
        <v>0</v>
      </c>
      <c r="BA498" s="130">
        <f t="shared" si="592"/>
        <v>0</v>
      </c>
    </row>
    <row r="499" spans="1:53" ht="17.100000000000001" customHeight="1" x14ac:dyDescent="0.25">
      <c r="A499" s="40"/>
      <c r="B499" s="40"/>
      <c r="C499" s="182"/>
      <c r="D499" s="127" t="s">
        <v>285</v>
      </c>
      <c r="E499" s="128"/>
      <c r="F499" s="128"/>
      <c r="G499" s="128"/>
      <c r="H499" s="119"/>
      <c r="I499" s="231"/>
      <c r="J499" s="154"/>
      <c r="K499" s="154"/>
      <c r="L499" s="154"/>
      <c r="M499" s="154"/>
      <c r="N499" s="154">
        <f>N493+N497</f>
        <v>0</v>
      </c>
      <c r="O499" s="154">
        <f>O493+O497</f>
        <v>9</v>
      </c>
      <c r="P499" s="154">
        <f t="shared" si="579"/>
        <v>9</v>
      </c>
      <c r="Q499" s="154">
        <f>Q493+Q497</f>
        <v>0</v>
      </c>
      <c r="R499" s="154">
        <f>R493+R497</f>
        <v>0</v>
      </c>
      <c r="S499" s="154">
        <f t="shared" ref="S499:S500" si="594">SUM(Q499:R499)</f>
        <v>0</v>
      </c>
      <c r="T499" s="154">
        <f>T493+T497</f>
        <v>0</v>
      </c>
      <c r="U499" s="154">
        <f>U493+U497</f>
        <v>0</v>
      </c>
      <c r="V499" s="154">
        <f t="shared" ref="V499:V500" si="595">SUM(T499:U499)</f>
        <v>0</v>
      </c>
      <c r="W499" s="387">
        <f t="shared" si="583"/>
        <v>0</v>
      </c>
      <c r="X499" s="154">
        <f t="shared" si="584"/>
        <v>9</v>
      </c>
      <c r="Y499" s="129">
        <f t="shared" ref="Y499:Y500" si="596">SUM(W499:X499)</f>
        <v>9</v>
      </c>
      <c r="Z499" s="130"/>
      <c r="AA499" s="130"/>
      <c r="AB499" s="130"/>
      <c r="AC499" s="125"/>
      <c r="AE499" s="160">
        <f>IF((AE493+AE497)&gt;0,1,0)</f>
        <v>0</v>
      </c>
      <c r="AF499" s="160">
        <f t="shared" ref="AF499:AG499" si="597">IF((AF493+AF497)&gt;0,1,0)</f>
        <v>0</v>
      </c>
      <c r="AG499" s="160">
        <f t="shared" si="597"/>
        <v>0</v>
      </c>
      <c r="AH499" s="129">
        <f>SUM(AE499:AG499)</f>
        <v>0</v>
      </c>
      <c r="AI499" s="130"/>
      <c r="AK499" s="160">
        <f>IF((AK493+AK497)&gt;0,1,0)</f>
        <v>0</v>
      </c>
      <c r="AL499" s="160">
        <f t="shared" ref="AL499:AM499" si="598">IF((AL493+AL497)&gt;0,1,0)</f>
        <v>0</v>
      </c>
      <c r="AM499" s="160">
        <f t="shared" si="598"/>
        <v>0</v>
      </c>
      <c r="AN499" s="129">
        <f>SUM(AK499:AM499)</f>
        <v>0</v>
      </c>
      <c r="AO499" s="130"/>
      <c r="AQ499" s="160"/>
      <c r="AR499" s="160"/>
      <c r="AS499" s="160"/>
      <c r="AT499" s="129"/>
      <c r="AU499" s="130"/>
      <c r="AW499" s="160">
        <f>IF((AW493+AW497)&gt;0,1,0)</f>
        <v>0</v>
      </c>
      <c r="AX499" s="160">
        <f t="shared" ref="AX499:AY499" si="599">IF((AX493+AX497)&gt;0,1,0)</f>
        <v>0</v>
      </c>
      <c r="AY499" s="160">
        <f t="shared" si="599"/>
        <v>0</v>
      </c>
      <c r="AZ499" s="129">
        <f>SUM(AW499:AY499)</f>
        <v>0</v>
      </c>
      <c r="BA499" s="130"/>
    </row>
    <row r="500" spans="1:53" s="409" customFormat="1" ht="17.100000000000001" customHeight="1" x14ac:dyDescent="0.25">
      <c r="A500" s="540"/>
      <c r="B500" s="540"/>
      <c r="C500" s="56" t="s">
        <v>279</v>
      </c>
      <c r="D500" s="427" t="s">
        <v>286</v>
      </c>
      <c r="E500" s="93"/>
      <c r="F500" s="93"/>
      <c r="G500" s="93"/>
      <c r="H500" s="540"/>
      <c r="I500" s="12"/>
      <c r="J500" s="539"/>
      <c r="K500" s="539"/>
      <c r="L500" s="539"/>
      <c r="M500" s="539"/>
      <c r="N500" s="353">
        <f>SUM(N494:N496)</f>
        <v>0</v>
      </c>
      <c r="O500" s="353">
        <f>SUM(O494:O496)</f>
        <v>0</v>
      </c>
      <c r="P500" s="155">
        <f t="shared" si="579"/>
        <v>0</v>
      </c>
      <c r="Q500" s="353">
        <f>SUM(Q494:Q496)</f>
        <v>0</v>
      </c>
      <c r="R500" s="353">
        <f>SUM(R494:R496)</f>
        <v>0</v>
      </c>
      <c r="S500" s="155">
        <f t="shared" si="594"/>
        <v>0</v>
      </c>
      <c r="T500" s="353">
        <f>SUM(T494:T496)</f>
        <v>0</v>
      </c>
      <c r="U500" s="353">
        <f>SUM(U494:U496)</f>
        <v>0</v>
      </c>
      <c r="V500" s="155">
        <f t="shared" si="595"/>
        <v>0</v>
      </c>
      <c r="W500" s="388">
        <f t="shared" si="583"/>
        <v>0</v>
      </c>
      <c r="X500" s="155">
        <f t="shared" si="584"/>
        <v>0</v>
      </c>
      <c r="Y500" s="539">
        <f t="shared" si="596"/>
        <v>0</v>
      </c>
      <c r="Z500" s="23"/>
      <c r="AA500" s="23"/>
      <c r="AB500" s="23"/>
      <c r="AC500" s="23"/>
      <c r="AE500" s="539">
        <f>IF(SUM(AE494:AE496)&gt;0,1,0)</f>
        <v>0</v>
      </c>
      <c r="AF500" s="539">
        <f t="shared" ref="AF500:AG500" si="600">IF(SUM(AF494:AF496)&gt;0,1,0)</f>
        <v>0</v>
      </c>
      <c r="AG500" s="539">
        <f t="shared" si="600"/>
        <v>0</v>
      </c>
      <c r="AH500" s="568">
        <f>SUM(AE500:AG500)</f>
        <v>0</v>
      </c>
      <c r="AI500" s="23"/>
      <c r="AK500" s="539">
        <f>IF(SUM(AK494:AK496)&gt;0,1,0)</f>
        <v>0</v>
      </c>
      <c r="AL500" s="539">
        <f t="shared" ref="AL500:AM500" si="601">IF(SUM(AL494:AL496)&gt;0,1,0)</f>
        <v>0</v>
      </c>
      <c r="AM500" s="539">
        <f t="shared" si="601"/>
        <v>0</v>
      </c>
      <c r="AN500" s="568">
        <f>SUM(AK500:AM500)</f>
        <v>0</v>
      </c>
      <c r="AO500" s="23"/>
      <c r="AQ500" s="539"/>
      <c r="AR500" s="539"/>
      <c r="AS500" s="539"/>
      <c r="AT500" s="568"/>
      <c r="AU500" s="23"/>
      <c r="AW500" s="539">
        <f>IF(SUM(AW494:AW496)&gt;0,1,0)</f>
        <v>0</v>
      </c>
      <c r="AX500" s="539">
        <f t="shared" ref="AX500:AY500" si="602">IF(SUM(AX494:AX496)&gt;0,1,0)</f>
        <v>0</v>
      </c>
      <c r="AY500" s="539">
        <f t="shared" si="602"/>
        <v>0</v>
      </c>
      <c r="AZ500" s="568">
        <f>SUM(AW500:AY500)</f>
        <v>0</v>
      </c>
      <c r="BA500" s="23"/>
    </row>
    <row r="501" spans="1:53" s="97" customFormat="1" ht="17.100000000000001" customHeight="1" x14ac:dyDescent="0.25">
      <c r="A501" s="68"/>
      <c r="B501" s="68"/>
      <c r="C501" s="186"/>
      <c r="D501" s="165"/>
      <c r="E501" s="187"/>
      <c r="F501" s="187"/>
      <c r="G501" s="187"/>
      <c r="H501" s="540"/>
      <c r="I501" s="207"/>
      <c r="J501" s="95"/>
      <c r="K501" s="95"/>
      <c r="L501" s="95"/>
      <c r="M501" s="95"/>
      <c r="N501" s="95"/>
      <c r="O501" s="95"/>
      <c r="P501" s="95"/>
      <c r="Q501" s="95"/>
      <c r="R501" s="95"/>
      <c r="S501" s="95"/>
      <c r="T501" s="95"/>
      <c r="U501" s="95"/>
      <c r="V501" s="95"/>
      <c r="W501" s="378"/>
      <c r="X501" s="95"/>
      <c r="Y501" s="96"/>
      <c r="AE501" s="109"/>
      <c r="AF501" s="109"/>
      <c r="AG501" s="109"/>
      <c r="AH501" s="96"/>
      <c r="AK501" s="109"/>
      <c r="AL501" s="109"/>
      <c r="AM501" s="109"/>
      <c r="AN501" s="96"/>
      <c r="AQ501" s="109"/>
      <c r="AR501" s="109"/>
      <c r="AS501" s="109"/>
      <c r="AT501" s="96"/>
      <c r="AW501" s="109"/>
      <c r="AX501" s="109"/>
      <c r="AY501" s="109"/>
      <c r="AZ501" s="96"/>
    </row>
    <row r="502" spans="1:53" s="32" customFormat="1" ht="16.5" thickBot="1" x14ac:dyDescent="0.3">
      <c r="A502" s="24" t="s">
        <v>287</v>
      </c>
      <c r="B502" s="25" t="s">
        <v>288</v>
      </c>
      <c r="C502" s="26"/>
      <c r="D502" s="27"/>
      <c r="E502" s="27"/>
      <c r="F502" s="27"/>
      <c r="G502" s="27"/>
      <c r="H502" s="264"/>
      <c r="I502" s="228"/>
      <c r="J502" s="140"/>
      <c r="K502" s="140"/>
      <c r="L502" s="140"/>
      <c r="M502" s="140"/>
      <c r="N502" s="140"/>
      <c r="O502" s="140"/>
      <c r="P502" s="140"/>
      <c r="Q502" s="140"/>
      <c r="R502" s="140"/>
      <c r="S502" s="140"/>
      <c r="T502" s="140"/>
      <c r="U502" s="140"/>
      <c r="V502" s="365"/>
      <c r="W502" s="379"/>
      <c r="X502" s="140"/>
      <c r="Y502" s="30" t="s">
        <v>4</v>
      </c>
      <c r="Z502" s="30" t="s">
        <v>5</v>
      </c>
      <c r="AA502" s="30"/>
      <c r="AB502" s="30"/>
      <c r="AC502" s="188"/>
      <c r="AE502" s="33" t="s">
        <v>181</v>
      </c>
      <c r="AF502" s="33" t="s">
        <v>182</v>
      </c>
      <c r="AG502" s="33" t="s">
        <v>6</v>
      </c>
      <c r="AH502" s="33" t="s">
        <v>4</v>
      </c>
      <c r="AI502" s="34" t="s">
        <v>5</v>
      </c>
      <c r="AJ502" s="408"/>
      <c r="AK502" s="36" t="s">
        <v>181</v>
      </c>
      <c r="AL502" s="36" t="s">
        <v>182</v>
      </c>
      <c r="AM502" s="36" t="s">
        <v>6</v>
      </c>
      <c r="AN502" s="36" t="s">
        <v>4</v>
      </c>
      <c r="AO502" s="37" t="s">
        <v>5</v>
      </c>
      <c r="AP502" s="408"/>
      <c r="AQ502" s="36"/>
      <c r="AR502" s="36"/>
      <c r="AS502" s="36"/>
      <c r="AT502" s="36"/>
      <c r="AU502" s="37"/>
      <c r="AV502" s="408"/>
      <c r="AW502" s="38" t="s">
        <v>181</v>
      </c>
      <c r="AX502" s="38" t="s">
        <v>182</v>
      </c>
      <c r="AY502" s="38" t="s">
        <v>6</v>
      </c>
      <c r="AZ502" s="38" t="s">
        <v>4</v>
      </c>
      <c r="BA502" s="39" t="s">
        <v>5</v>
      </c>
    </row>
    <row r="503" spans="1:53" ht="17.100000000000001" customHeight="1" x14ac:dyDescent="0.25">
      <c r="A503" s="68"/>
      <c r="B503" s="41" t="s">
        <v>289</v>
      </c>
      <c r="C503" s="69" t="s">
        <v>620</v>
      </c>
      <c r="D503" s="50"/>
      <c r="E503" s="70"/>
      <c r="F503" s="70"/>
      <c r="G503" s="70"/>
      <c r="H503" s="119"/>
      <c r="J503" s="71"/>
      <c r="K503" s="71"/>
      <c r="L503" s="71"/>
      <c r="M503" s="71"/>
      <c r="N503" s="71"/>
      <c r="O503" s="71"/>
      <c r="P503" s="71"/>
      <c r="Q503" s="71"/>
      <c r="R503" s="71"/>
      <c r="S503" s="71"/>
      <c r="T503" s="71"/>
      <c r="U503" s="71"/>
      <c r="V503" s="355"/>
      <c r="W503" s="377"/>
      <c r="X503" s="71"/>
      <c r="Y503" s="72"/>
      <c r="Z503" s="73"/>
      <c r="AA503" s="73"/>
      <c r="AB503" s="73"/>
      <c r="AC503" s="73"/>
      <c r="AE503" s="71"/>
      <c r="AF503" s="71"/>
      <c r="AG503" s="71"/>
      <c r="AH503" s="72"/>
      <c r="AI503" s="73"/>
      <c r="AK503" s="71"/>
      <c r="AL503" s="71"/>
      <c r="AM503" s="71"/>
      <c r="AN503" s="72"/>
      <c r="AO503" s="73"/>
      <c r="AQ503" s="71"/>
      <c r="AR503" s="71"/>
      <c r="AS503" s="71"/>
      <c r="AT503" s="72"/>
      <c r="AU503" s="73"/>
      <c r="AW503" s="71"/>
      <c r="AX503" s="71"/>
      <c r="AY503" s="71"/>
      <c r="AZ503" s="72"/>
      <c r="BA503" s="73"/>
    </row>
    <row r="504" spans="1:53" ht="17.100000000000001" customHeight="1" x14ac:dyDescent="0.25">
      <c r="A504" s="40"/>
      <c r="B504" s="40"/>
      <c r="C504" s="74" t="s">
        <v>291</v>
      </c>
      <c r="D504" s="75" t="s">
        <v>292</v>
      </c>
      <c r="E504" s="105"/>
      <c r="F504" s="75"/>
      <c r="G504" s="75"/>
      <c r="H504" s="540"/>
      <c r="I504" s="229"/>
      <c r="J504" s="111"/>
      <c r="K504" s="111"/>
      <c r="L504" s="111"/>
      <c r="M504" s="111"/>
      <c r="N504" s="60"/>
      <c r="O504" s="60"/>
      <c r="P504" s="17">
        <f t="shared" ref="P504:P507" si="603">SUM(N504:O504)</f>
        <v>0</v>
      </c>
      <c r="Q504" s="60"/>
      <c r="R504" s="60"/>
      <c r="S504" s="17">
        <f t="shared" ref="S504:S507" si="604">SUM(Q504:R504)</f>
        <v>0</v>
      </c>
      <c r="T504" s="60"/>
      <c r="U504" s="60"/>
      <c r="V504" s="359">
        <f t="shared" ref="V504:V507" si="605">SUM(T504:U504)</f>
        <v>0</v>
      </c>
      <c r="W504" s="391">
        <f t="shared" ref="W504:W507" si="606">J504+K504+N504+Q504+T504</f>
        <v>0</v>
      </c>
      <c r="X504" s="17">
        <f t="shared" ref="X504:X507" si="607">L504+O504+R504+U504</f>
        <v>0</v>
      </c>
      <c r="Y504" s="18">
        <f>SUM(W504:X504)</f>
        <v>0</v>
      </c>
      <c r="Z504" s="19">
        <f>IF(Y$508=0,0,Y504/Y$508)</f>
        <v>0</v>
      </c>
      <c r="AA504" s="19"/>
      <c r="AB504" s="19"/>
      <c r="AC504" s="20"/>
      <c r="AE504" s="111"/>
      <c r="AF504" s="111"/>
      <c r="AG504" s="111"/>
      <c r="AH504" s="112"/>
      <c r="AI504" s="113"/>
      <c r="AK504" s="111"/>
      <c r="AL504" s="111"/>
      <c r="AM504" s="111"/>
      <c r="AN504" s="112"/>
      <c r="AO504" s="113"/>
      <c r="AQ504" s="17"/>
      <c r="AR504" s="17"/>
      <c r="AS504" s="17"/>
      <c r="AT504" s="18">
        <f t="shared" ref="AT504:AT507" si="608">W504</f>
        <v>0</v>
      </c>
      <c r="AU504" s="19">
        <f>IF(AT$508=0,0,AT504/AT$508)</f>
        <v>0</v>
      </c>
      <c r="AW504" s="17"/>
      <c r="AX504" s="17"/>
      <c r="AY504" s="17"/>
      <c r="AZ504" s="18">
        <f t="shared" ref="AZ504:AZ507" si="609">X504</f>
        <v>0</v>
      </c>
      <c r="BA504" s="19">
        <f>IF(AZ$508=0,0,AZ504/AZ$508)</f>
        <v>0</v>
      </c>
    </row>
    <row r="505" spans="1:53" ht="17.100000000000001" customHeight="1" x14ac:dyDescent="0.25">
      <c r="A505" s="40"/>
      <c r="B505" s="40"/>
      <c r="C505" s="74" t="s">
        <v>293</v>
      </c>
      <c r="D505" s="75" t="s">
        <v>11</v>
      </c>
      <c r="E505" s="105"/>
      <c r="F505" s="75"/>
      <c r="G505" s="75"/>
      <c r="H505" s="540"/>
      <c r="I505" s="229"/>
      <c r="J505" s="111"/>
      <c r="K505" s="111"/>
      <c r="L505" s="111"/>
      <c r="M505" s="111"/>
      <c r="N505" s="61"/>
      <c r="O505" s="61"/>
      <c r="P505" s="17">
        <f t="shared" si="603"/>
        <v>0</v>
      </c>
      <c r="Q505" s="61"/>
      <c r="R505" s="61"/>
      <c r="S505" s="17">
        <f t="shared" si="604"/>
        <v>0</v>
      </c>
      <c r="T505" s="61"/>
      <c r="U505" s="61"/>
      <c r="V505" s="359">
        <f t="shared" si="605"/>
        <v>0</v>
      </c>
      <c r="W505" s="391">
        <f t="shared" si="606"/>
        <v>0</v>
      </c>
      <c r="X505" s="17">
        <f t="shared" si="607"/>
        <v>0</v>
      </c>
      <c r="Y505" s="18">
        <f>SUM(W505:X505)</f>
        <v>0</v>
      </c>
      <c r="Z505" s="19">
        <f t="shared" ref="Z505:Z508" si="610">IF(Y$508=0,0,Y505/Y$508)</f>
        <v>0</v>
      </c>
      <c r="AA505" s="19"/>
      <c r="AB505" s="19"/>
      <c r="AC505" s="20"/>
      <c r="AE505" s="111"/>
      <c r="AF505" s="111"/>
      <c r="AG505" s="111"/>
      <c r="AH505" s="112"/>
      <c r="AI505" s="113"/>
      <c r="AK505" s="111"/>
      <c r="AL505" s="111"/>
      <c r="AM505" s="111"/>
      <c r="AN505" s="112"/>
      <c r="AO505" s="113"/>
      <c r="AQ505" s="17"/>
      <c r="AR505" s="17"/>
      <c r="AS505" s="17"/>
      <c r="AT505" s="18">
        <f t="shared" si="608"/>
        <v>0</v>
      </c>
      <c r="AU505" s="19">
        <f>IF(AT$508=0,0,AT505/AT$508)</f>
        <v>0</v>
      </c>
      <c r="AW505" s="17"/>
      <c r="AX505" s="17"/>
      <c r="AY505" s="17"/>
      <c r="AZ505" s="18">
        <f t="shared" si="609"/>
        <v>0</v>
      </c>
      <c r="BA505" s="19">
        <f>IF(AZ$508=0,0,AZ505/AZ$508)</f>
        <v>0</v>
      </c>
    </row>
    <row r="506" spans="1:53" ht="17.100000000000001" customHeight="1" x14ac:dyDescent="0.25">
      <c r="A506" s="40"/>
      <c r="B506" s="40"/>
      <c r="C506" s="74" t="s">
        <v>294</v>
      </c>
      <c r="D506" s="75" t="s">
        <v>295</v>
      </c>
      <c r="E506" s="105"/>
      <c r="F506" s="75"/>
      <c r="G506" s="75"/>
      <c r="H506" s="540"/>
      <c r="I506" s="229"/>
      <c r="J506" s="111"/>
      <c r="K506" s="111"/>
      <c r="L506" s="111"/>
      <c r="M506" s="111"/>
      <c r="N506" s="60"/>
      <c r="O506" s="60"/>
      <c r="P506" s="17">
        <f t="shared" si="603"/>
        <v>0</v>
      </c>
      <c r="Q506" s="60"/>
      <c r="R506" s="60"/>
      <c r="S506" s="17">
        <f t="shared" si="604"/>
        <v>0</v>
      </c>
      <c r="T506" s="60"/>
      <c r="U506" s="60"/>
      <c r="V506" s="359">
        <f t="shared" si="605"/>
        <v>0</v>
      </c>
      <c r="W506" s="391">
        <f t="shared" si="606"/>
        <v>0</v>
      </c>
      <c r="X506" s="17">
        <f t="shared" si="607"/>
        <v>0</v>
      </c>
      <c r="Y506" s="18">
        <f>SUM(W506:X506)</f>
        <v>0</v>
      </c>
      <c r="Z506" s="19">
        <f t="shared" si="610"/>
        <v>0</v>
      </c>
      <c r="AA506" s="19"/>
      <c r="AB506" s="19"/>
      <c r="AC506" s="20"/>
      <c r="AE506" s="111"/>
      <c r="AF506" s="111"/>
      <c r="AG506" s="111"/>
      <c r="AH506" s="112"/>
      <c r="AI506" s="113"/>
      <c r="AK506" s="111"/>
      <c r="AL506" s="111"/>
      <c r="AM506" s="111"/>
      <c r="AN506" s="112"/>
      <c r="AO506" s="113"/>
      <c r="AQ506" s="17"/>
      <c r="AR506" s="17"/>
      <c r="AS506" s="17"/>
      <c r="AT506" s="18">
        <f t="shared" si="608"/>
        <v>0</v>
      </c>
      <c r="AU506" s="19">
        <f>IF(AT$508=0,0,AT506/AT$508)</f>
        <v>0</v>
      </c>
      <c r="AW506" s="17"/>
      <c r="AX506" s="17"/>
      <c r="AY506" s="17"/>
      <c r="AZ506" s="18">
        <f t="shared" si="609"/>
        <v>0</v>
      </c>
      <c r="BA506" s="19">
        <f>IF(AZ$508=0,0,AZ506/AZ$508)</f>
        <v>0</v>
      </c>
    </row>
    <row r="507" spans="1:53" ht="17.100000000000001" customHeight="1" x14ac:dyDescent="0.25">
      <c r="A507" s="40"/>
      <c r="B507" s="40"/>
      <c r="C507" s="74" t="s">
        <v>296</v>
      </c>
      <c r="D507" s="75" t="s">
        <v>9</v>
      </c>
      <c r="E507" s="105"/>
      <c r="F507" s="75"/>
      <c r="G507" s="75"/>
      <c r="H507" s="540"/>
      <c r="I507" s="229"/>
      <c r="J507" s="111"/>
      <c r="K507" s="111"/>
      <c r="L507" s="111"/>
      <c r="M507" s="111"/>
      <c r="N507" s="61"/>
      <c r="O507" s="61">
        <v>9</v>
      </c>
      <c r="P507" s="17">
        <f t="shared" si="603"/>
        <v>9</v>
      </c>
      <c r="Q507" s="61"/>
      <c r="R507" s="61"/>
      <c r="S507" s="17">
        <f t="shared" si="604"/>
        <v>0</v>
      </c>
      <c r="T507" s="61"/>
      <c r="U507" s="61"/>
      <c r="V507" s="359">
        <f t="shared" si="605"/>
        <v>0</v>
      </c>
      <c r="W507" s="391">
        <f t="shared" si="606"/>
        <v>0</v>
      </c>
      <c r="X507" s="17">
        <f t="shared" si="607"/>
        <v>9</v>
      </c>
      <c r="Y507" s="18">
        <f>SUM(W507:X507)</f>
        <v>9</v>
      </c>
      <c r="Z507" s="19">
        <f t="shared" si="610"/>
        <v>1</v>
      </c>
      <c r="AA507" s="19"/>
      <c r="AB507" s="19"/>
      <c r="AC507" s="20"/>
      <c r="AE507" s="111"/>
      <c r="AF507" s="111"/>
      <c r="AG507" s="111"/>
      <c r="AH507" s="112"/>
      <c r="AI507" s="113"/>
      <c r="AK507" s="111"/>
      <c r="AL507" s="111"/>
      <c r="AM507" s="111"/>
      <c r="AN507" s="112"/>
      <c r="AO507" s="113"/>
      <c r="AQ507" s="17"/>
      <c r="AR507" s="17"/>
      <c r="AS507" s="17"/>
      <c r="AT507" s="18">
        <f t="shared" si="608"/>
        <v>0</v>
      </c>
      <c r="AU507" s="19">
        <f>IF(AT$508=0,0,AT507/AT$508)</f>
        <v>0</v>
      </c>
      <c r="AW507" s="17"/>
      <c r="AX507" s="17"/>
      <c r="AY507" s="17"/>
      <c r="AZ507" s="18">
        <f t="shared" si="609"/>
        <v>9</v>
      </c>
      <c r="BA507" s="19">
        <f>IF(AZ$508=0,0,AZ507/AZ$508)</f>
        <v>1</v>
      </c>
    </row>
    <row r="508" spans="1:53" ht="17.100000000000001" customHeight="1" x14ac:dyDescent="0.25">
      <c r="A508" s="40"/>
      <c r="B508" s="40"/>
      <c r="C508" s="292"/>
      <c r="D508" s="134"/>
      <c r="E508" s="134"/>
      <c r="F508" s="134"/>
      <c r="G508" s="134"/>
      <c r="H508" s="540"/>
      <c r="I508" s="229"/>
      <c r="J508" s="80"/>
      <c r="K508" s="80"/>
      <c r="L508" s="81"/>
      <c r="M508" s="81"/>
      <c r="N508" s="81">
        <f>SUM(N504:N507)</f>
        <v>0</v>
      </c>
      <c r="O508" s="81">
        <f t="shared" ref="O508:V508" si="611">SUM(O504:O507)</f>
        <v>9</v>
      </c>
      <c r="P508" s="81">
        <f t="shared" si="611"/>
        <v>9</v>
      </c>
      <c r="Q508" s="81">
        <f t="shared" si="611"/>
        <v>0</v>
      </c>
      <c r="R508" s="81">
        <f t="shared" si="611"/>
        <v>0</v>
      </c>
      <c r="S508" s="81">
        <f t="shared" si="611"/>
        <v>0</v>
      </c>
      <c r="T508" s="81">
        <f t="shared" si="611"/>
        <v>0</v>
      </c>
      <c r="U508" s="81">
        <f t="shared" si="611"/>
        <v>0</v>
      </c>
      <c r="V508" s="81">
        <f t="shared" si="611"/>
        <v>0</v>
      </c>
      <c r="W508" s="381">
        <f>SUM(W504:W507)</f>
        <v>0</v>
      </c>
      <c r="X508" s="82">
        <f t="shared" ref="X508:Y508" si="612">SUM(X504:X507)</f>
        <v>9</v>
      </c>
      <c r="Y508" s="82">
        <f t="shared" si="612"/>
        <v>9</v>
      </c>
      <c r="Z508" s="205">
        <f t="shared" si="610"/>
        <v>1</v>
      </c>
      <c r="AA508" s="205"/>
      <c r="AB508" s="205"/>
      <c r="AC508" s="83"/>
      <c r="AE508" s="80"/>
      <c r="AF508" s="80"/>
      <c r="AG508" s="81"/>
      <c r="AH508" s="82"/>
      <c r="AI508" s="66"/>
      <c r="AK508" s="80"/>
      <c r="AL508" s="80"/>
      <c r="AM508" s="81"/>
      <c r="AN508" s="82"/>
      <c r="AO508" s="66"/>
      <c r="AQ508" s="80"/>
      <c r="AR508" s="80"/>
      <c r="AS508" s="81"/>
      <c r="AT508" s="82">
        <f>SUM(AT504:AT507)</f>
        <v>0</v>
      </c>
      <c r="AU508" s="66">
        <f>IF(AT$508=0,0,AT508/AT$508)</f>
        <v>0</v>
      </c>
      <c r="AW508" s="80"/>
      <c r="AX508" s="80"/>
      <c r="AY508" s="81"/>
      <c r="AZ508" s="82">
        <f>SUM(AZ504:AZ507)</f>
        <v>9</v>
      </c>
      <c r="BA508" s="66">
        <f>IF(AZ$508=0,0,AZ508/AZ$508)</f>
        <v>1</v>
      </c>
    </row>
    <row r="509" spans="1:53" s="117" customFormat="1" ht="17.100000000000001" customHeight="1" x14ac:dyDescent="0.25">
      <c r="A509" s="68"/>
      <c r="B509" s="119"/>
      <c r="C509" s="540"/>
      <c r="D509" s="261"/>
      <c r="E509" s="261"/>
      <c r="F509" s="68"/>
      <c r="G509" s="68"/>
      <c r="H509" s="119"/>
      <c r="I509" s="138"/>
      <c r="J509" s="17"/>
      <c r="K509" s="17"/>
      <c r="L509" s="17"/>
      <c r="M509" s="17"/>
      <c r="N509" s="17" t="str">
        <f>IF(N508=N$20,"OK","NOK")</f>
        <v>OK</v>
      </c>
      <c r="O509" s="17" t="str">
        <f>IF(O508=O$20,"OK","NOK")</f>
        <v>OK</v>
      </c>
      <c r="P509" s="17"/>
      <c r="Q509" s="17" t="str">
        <f>IF(Q508=Q$20,"OK","NOK")</f>
        <v>OK</v>
      </c>
      <c r="R509" s="17" t="str">
        <f>IF(R508=R$20,"OK","NOK")</f>
        <v>OK</v>
      </c>
      <c r="S509" s="17"/>
      <c r="T509" s="17" t="str">
        <f>IF(T508=T$20,"OK","NOK")</f>
        <v>OK</v>
      </c>
      <c r="U509" s="17" t="str">
        <f>IF(U508=U$20,"OK","NOK")</f>
        <v>OK</v>
      </c>
      <c r="V509" s="359"/>
      <c r="W509" s="382"/>
      <c r="X509" s="539"/>
      <c r="Y509" s="539"/>
      <c r="Z509" s="201"/>
      <c r="AA509" s="201"/>
      <c r="AB509" s="201"/>
      <c r="AC509" s="84"/>
      <c r="AE509" s="46"/>
      <c r="AF509" s="46"/>
      <c r="AG509" s="17"/>
      <c r="AH509" s="539"/>
      <c r="AI509" s="91"/>
      <c r="AK509" s="46"/>
      <c r="AL509" s="46"/>
      <c r="AM509" s="17"/>
      <c r="AN509" s="539"/>
      <c r="AO509" s="91"/>
      <c r="AQ509" s="46"/>
      <c r="AR509" s="46"/>
      <c r="AS509" s="17"/>
      <c r="AT509" s="539"/>
      <c r="AU509" s="91"/>
      <c r="AW509" s="46"/>
      <c r="AX509" s="46"/>
      <c r="AY509" s="17"/>
      <c r="AZ509" s="539"/>
      <c r="BA509" s="91"/>
    </row>
    <row r="510" spans="1:53" ht="17.100000000000001" customHeight="1" x14ac:dyDescent="0.25">
      <c r="A510" s="68"/>
      <c r="B510" s="41" t="s">
        <v>297</v>
      </c>
      <c r="C510" s="69" t="s">
        <v>290</v>
      </c>
      <c r="D510" s="50"/>
      <c r="E510" s="70"/>
      <c r="F510" s="70"/>
      <c r="G510" s="70"/>
      <c r="H510" s="119"/>
      <c r="J510" s="71"/>
      <c r="K510" s="71"/>
      <c r="L510" s="71"/>
      <c r="M510" s="71"/>
      <c r="N510" s="71"/>
      <c r="O510" s="71"/>
      <c r="P510" s="71"/>
      <c r="Q510" s="71"/>
      <c r="R510" s="71"/>
      <c r="S510" s="71"/>
      <c r="T510" s="71"/>
      <c r="U510" s="71"/>
      <c r="V510" s="355"/>
      <c r="W510" s="377"/>
      <c r="X510" s="71"/>
      <c r="Y510" s="72"/>
      <c r="Z510" s="73"/>
      <c r="AA510" s="73"/>
      <c r="AB510" s="73"/>
      <c r="AC510" s="73"/>
      <c r="AE510" s="71"/>
      <c r="AF510" s="71"/>
      <c r="AG510" s="71"/>
      <c r="AH510" s="72"/>
      <c r="AI510" s="73"/>
      <c r="AK510" s="71"/>
      <c r="AL510" s="71"/>
      <c r="AM510" s="71"/>
      <c r="AN510" s="72"/>
      <c r="AO510" s="73"/>
      <c r="AQ510" s="71"/>
      <c r="AR510" s="71"/>
      <c r="AS510" s="71"/>
      <c r="AT510" s="72"/>
      <c r="AU510" s="73"/>
      <c r="AW510" s="71"/>
      <c r="AX510" s="71"/>
      <c r="AY510" s="71"/>
      <c r="AZ510" s="72"/>
      <c r="BA510" s="73"/>
    </row>
    <row r="511" spans="1:53" ht="17.100000000000001" customHeight="1" x14ac:dyDescent="0.25">
      <c r="A511" s="40"/>
      <c r="B511" s="40"/>
      <c r="C511" s="74" t="s">
        <v>298</v>
      </c>
      <c r="D511" s="75" t="s">
        <v>292</v>
      </c>
      <c r="E511" s="105"/>
      <c r="F511" s="75"/>
      <c r="G511" s="75"/>
      <c r="H511" s="540"/>
      <c r="I511" s="229"/>
      <c r="J511" s="111"/>
      <c r="K511" s="111"/>
      <c r="L511" s="111"/>
      <c r="M511" s="111"/>
      <c r="N511" s="60"/>
      <c r="O511" s="60"/>
      <c r="P511" s="17">
        <f t="shared" ref="P511:P514" si="613">SUM(N511:O511)</f>
        <v>0</v>
      </c>
      <c r="Q511" s="60"/>
      <c r="R511" s="60"/>
      <c r="S511" s="17">
        <f t="shared" ref="S511:S514" si="614">SUM(Q511:R511)</f>
        <v>0</v>
      </c>
      <c r="T511" s="60"/>
      <c r="U511" s="60"/>
      <c r="V511" s="359">
        <f t="shared" ref="V511:V514" si="615">SUM(T511:U511)</f>
        <v>0</v>
      </c>
      <c r="W511" s="391">
        <f t="shared" ref="W511:W514" si="616">J511+K511+N511+Q511+T511</f>
        <v>0</v>
      </c>
      <c r="X511" s="17">
        <f t="shared" ref="X511:X514" si="617">L511+O511+R511+U511</f>
        <v>0</v>
      </c>
      <c r="Y511" s="18">
        <f>SUM(W511:X511)</f>
        <v>0</v>
      </c>
      <c r="Z511" s="19">
        <f>IF(Y$515=0,0,Y511/Y$515)</f>
        <v>0</v>
      </c>
      <c r="AA511" s="19"/>
      <c r="AB511" s="19"/>
      <c r="AC511" s="20"/>
      <c r="AE511" s="111"/>
      <c r="AF511" s="111"/>
      <c r="AG511" s="111"/>
      <c r="AH511" s="112"/>
      <c r="AI511" s="113"/>
      <c r="AK511" s="111"/>
      <c r="AL511" s="111"/>
      <c r="AM511" s="111"/>
      <c r="AN511" s="112"/>
      <c r="AO511" s="113"/>
      <c r="AQ511" s="17"/>
      <c r="AR511" s="17"/>
      <c r="AS511" s="17"/>
      <c r="AT511" s="18">
        <f t="shared" ref="AT511:AT514" si="618">W511</f>
        <v>0</v>
      </c>
      <c r="AU511" s="19">
        <f t="shared" ref="AU511:AU514" si="619">IF(AT$508=0,0,AT511/AT$508)</f>
        <v>0</v>
      </c>
      <c r="AW511" s="17"/>
      <c r="AX511" s="17"/>
      <c r="AY511" s="17"/>
      <c r="AZ511" s="18">
        <f t="shared" ref="AZ511:AZ514" si="620">X511</f>
        <v>0</v>
      </c>
      <c r="BA511" s="19">
        <f>IF(AZ$515=0,0,AZ511/AZ$515)</f>
        <v>0</v>
      </c>
    </row>
    <row r="512" spans="1:53" ht="17.100000000000001" customHeight="1" x14ac:dyDescent="0.25">
      <c r="A512" s="40"/>
      <c r="B512" s="40"/>
      <c r="C512" s="74" t="s">
        <v>299</v>
      </c>
      <c r="D512" s="75" t="s">
        <v>11</v>
      </c>
      <c r="E512" s="105"/>
      <c r="F512" s="75"/>
      <c r="G512" s="75"/>
      <c r="H512" s="540"/>
      <c r="I512" s="229"/>
      <c r="J512" s="111"/>
      <c r="K512" s="111"/>
      <c r="L512" s="111"/>
      <c r="M512" s="111"/>
      <c r="N512" s="61"/>
      <c r="O512" s="61"/>
      <c r="P512" s="17">
        <f t="shared" si="613"/>
        <v>0</v>
      </c>
      <c r="Q512" s="61"/>
      <c r="R512" s="61"/>
      <c r="S512" s="17">
        <f t="shared" si="614"/>
        <v>0</v>
      </c>
      <c r="T512" s="61"/>
      <c r="U512" s="61"/>
      <c r="V512" s="359">
        <f t="shared" si="615"/>
        <v>0</v>
      </c>
      <c r="W512" s="391">
        <f t="shared" si="616"/>
        <v>0</v>
      </c>
      <c r="X512" s="17">
        <f t="shared" si="617"/>
        <v>0</v>
      </c>
      <c r="Y512" s="18">
        <f>SUM(W512:X512)</f>
        <v>0</v>
      </c>
      <c r="Z512" s="19">
        <f t="shared" ref="Z512:Z515" si="621">IF(Y$515=0,0,Y512/Y$515)</f>
        <v>0</v>
      </c>
      <c r="AA512" s="19"/>
      <c r="AB512" s="19"/>
      <c r="AC512" s="20"/>
      <c r="AE512" s="111"/>
      <c r="AF512" s="111"/>
      <c r="AG512" s="111"/>
      <c r="AH512" s="112"/>
      <c r="AI512" s="113"/>
      <c r="AK512" s="111"/>
      <c r="AL512" s="111"/>
      <c r="AM512" s="111"/>
      <c r="AN512" s="112"/>
      <c r="AO512" s="113"/>
      <c r="AQ512" s="17"/>
      <c r="AR512" s="17"/>
      <c r="AS512" s="17"/>
      <c r="AT512" s="18">
        <f t="shared" si="618"/>
        <v>0</v>
      </c>
      <c r="AU512" s="19">
        <f t="shared" si="619"/>
        <v>0</v>
      </c>
      <c r="AW512" s="17"/>
      <c r="AX512" s="17"/>
      <c r="AY512" s="17"/>
      <c r="AZ512" s="18">
        <f t="shared" si="620"/>
        <v>0</v>
      </c>
      <c r="BA512" s="19">
        <f t="shared" ref="BA512:BA515" si="622">IF(AZ$515=0,0,AZ512/AZ$515)</f>
        <v>0</v>
      </c>
    </row>
    <row r="513" spans="1:53" ht="17.100000000000001" customHeight="1" x14ac:dyDescent="0.25">
      <c r="A513" s="40"/>
      <c r="B513" s="40"/>
      <c r="C513" s="74" t="s">
        <v>301</v>
      </c>
      <c r="D513" s="75" t="s">
        <v>295</v>
      </c>
      <c r="E513" s="105"/>
      <c r="F513" s="75"/>
      <c r="G513" s="75"/>
      <c r="H513" s="540"/>
      <c r="I513" s="229"/>
      <c r="J513" s="111"/>
      <c r="K513" s="111"/>
      <c r="L513" s="111"/>
      <c r="M513" s="111"/>
      <c r="N513" s="60"/>
      <c r="O513" s="60"/>
      <c r="P513" s="17">
        <f t="shared" si="613"/>
        <v>0</v>
      </c>
      <c r="Q513" s="60"/>
      <c r="R513" s="60"/>
      <c r="S513" s="17">
        <f t="shared" si="614"/>
        <v>0</v>
      </c>
      <c r="T513" s="60"/>
      <c r="U513" s="60"/>
      <c r="V513" s="359">
        <f t="shared" si="615"/>
        <v>0</v>
      </c>
      <c r="W513" s="391">
        <f t="shared" si="616"/>
        <v>0</v>
      </c>
      <c r="X513" s="17">
        <f t="shared" si="617"/>
        <v>0</v>
      </c>
      <c r="Y513" s="18">
        <f>SUM(W513:X513)</f>
        <v>0</v>
      </c>
      <c r="Z513" s="19">
        <f t="shared" si="621"/>
        <v>0</v>
      </c>
      <c r="AA513" s="19"/>
      <c r="AB513" s="19"/>
      <c r="AC513" s="20"/>
      <c r="AE513" s="111"/>
      <c r="AF513" s="111"/>
      <c r="AG513" s="111"/>
      <c r="AH513" s="112"/>
      <c r="AI513" s="113"/>
      <c r="AK513" s="111"/>
      <c r="AL513" s="111"/>
      <c r="AM513" s="111"/>
      <c r="AN513" s="112"/>
      <c r="AO513" s="113"/>
      <c r="AQ513" s="17"/>
      <c r="AR513" s="17"/>
      <c r="AS513" s="17"/>
      <c r="AT513" s="18">
        <f t="shared" si="618"/>
        <v>0</v>
      </c>
      <c r="AU513" s="19">
        <f t="shared" si="619"/>
        <v>0</v>
      </c>
      <c r="AW513" s="17"/>
      <c r="AX513" s="17"/>
      <c r="AY513" s="17"/>
      <c r="AZ513" s="18">
        <f t="shared" si="620"/>
        <v>0</v>
      </c>
      <c r="BA513" s="19">
        <f t="shared" si="622"/>
        <v>0</v>
      </c>
    </row>
    <row r="514" spans="1:53" ht="17.100000000000001" customHeight="1" x14ac:dyDescent="0.25">
      <c r="A514" s="40"/>
      <c r="B514" s="40"/>
      <c r="C514" s="74" t="s">
        <v>303</v>
      </c>
      <c r="D514" s="75" t="s">
        <v>9</v>
      </c>
      <c r="E514" s="105"/>
      <c r="F514" s="75"/>
      <c r="G514" s="75"/>
      <c r="H514" s="540"/>
      <c r="I514" s="229"/>
      <c r="J514" s="111"/>
      <c r="K514" s="111"/>
      <c r="L514" s="111"/>
      <c r="M514" s="111"/>
      <c r="N514" s="61"/>
      <c r="O514" s="61">
        <v>9</v>
      </c>
      <c r="P514" s="17">
        <f t="shared" si="613"/>
        <v>9</v>
      </c>
      <c r="Q514" s="61"/>
      <c r="R514" s="61"/>
      <c r="S514" s="17">
        <f t="shared" si="614"/>
        <v>0</v>
      </c>
      <c r="T514" s="61"/>
      <c r="U514" s="61"/>
      <c r="V514" s="359">
        <f t="shared" si="615"/>
        <v>0</v>
      </c>
      <c r="W514" s="391">
        <f t="shared" si="616"/>
        <v>0</v>
      </c>
      <c r="X514" s="17">
        <f t="shared" si="617"/>
        <v>9</v>
      </c>
      <c r="Y514" s="18">
        <f>SUM(W514:X514)</f>
        <v>9</v>
      </c>
      <c r="Z514" s="19">
        <f t="shared" si="621"/>
        <v>1</v>
      </c>
      <c r="AA514" s="19"/>
      <c r="AB514" s="19"/>
      <c r="AC514" s="20"/>
      <c r="AE514" s="111"/>
      <c r="AF514" s="111"/>
      <c r="AG514" s="111"/>
      <c r="AH514" s="112"/>
      <c r="AI514" s="113"/>
      <c r="AK514" s="111"/>
      <c r="AL514" s="111"/>
      <c r="AM514" s="111"/>
      <c r="AN514" s="112"/>
      <c r="AO514" s="113"/>
      <c r="AQ514" s="17"/>
      <c r="AR514" s="17"/>
      <c r="AS514" s="17"/>
      <c r="AT514" s="18">
        <f t="shared" si="618"/>
        <v>0</v>
      </c>
      <c r="AU514" s="19">
        <f t="shared" si="619"/>
        <v>0</v>
      </c>
      <c r="AW514" s="17"/>
      <c r="AX514" s="17"/>
      <c r="AY514" s="17"/>
      <c r="AZ514" s="18">
        <f t="shared" si="620"/>
        <v>9</v>
      </c>
      <c r="BA514" s="19">
        <f t="shared" si="622"/>
        <v>1</v>
      </c>
    </row>
    <row r="515" spans="1:53" ht="17.100000000000001" customHeight="1" x14ac:dyDescent="0.25">
      <c r="A515" s="175"/>
      <c r="B515" s="40"/>
      <c r="C515" s="163"/>
      <c r="D515" s="134"/>
      <c r="E515" s="134"/>
      <c r="F515" s="134"/>
      <c r="G515" s="134"/>
      <c r="H515" s="540"/>
      <c r="I515" s="12"/>
      <c r="J515" s="80"/>
      <c r="K515" s="80"/>
      <c r="L515" s="81"/>
      <c r="M515" s="81"/>
      <c r="N515" s="81">
        <f>SUM(N511:N514)</f>
        <v>0</v>
      </c>
      <c r="O515" s="81">
        <f t="shared" ref="O515:V515" si="623">SUM(O511:O514)</f>
        <v>9</v>
      </c>
      <c r="P515" s="81">
        <f t="shared" si="623"/>
        <v>9</v>
      </c>
      <c r="Q515" s="81">
        <f t="shared" si="623"/>
        <v>0</v>
      </c>
      <c r="R515" s="81">
        <f t="shared" si="623"/>
        <v>0</v>
      </c>
      <c r="S515" s="81">
        <f t="shared" si="623"/>
        <v>0</v>
      </c>
      <c r="T515" s="81">
        <f t="shared" si="623"/>
        <v>0</v>
      </c>
      <c r="U515" s="81">
        <f t="shared" si="623"/>
        <v>0</v>
      </c>
      <c r="V515" s="81">
        <f t="shared" si="623"/>
        <v>0</v>
      </c>
      <c r="W515" s="381">
        <f>SUM(W511:W514)</f>
        <v>0</v>
      </c>
      <c r="X515" s="82">
        <f t="shared" ref="X515:Y515" si="624">SUM(X511:X514)</f>
        <v>9</v>
      </c>
      <c r="Y515" s="82">
        <f t="shared" si="624"/>
        <v>9</v>
      </c>
      <c r="Z515" s="205">
        <f t="shared" si="621"/>
        <v>1</v>
      </c>
      <c r="AA515" s="205"/>
      <c r="AB515" s="205"/>
      <c r="AC515" s="83"/>
      <c r="AE515" s="80"/>
      <c r="AF515" s="80"/>
      <c r="AG515" s="81"/>
      <c r="AH515" s="82">
        <f>SUM(AH511:AH514)</f>
        <v>0</v>
      </c>
      <c r="AI515" s="66">
        <f t="shared" ref="AI515" si="625">IF(AH$515=0,0,AH515/AH$515)</f>
        <v>0</v>
      </c>
      <c r="AK515" s="80"/>
      <c r="AL515" s="80"/>
      <c r="AM515" s="81"/>
      <c r="AN515" s="82">
        <f>SUM(AN511:AN514)</f>
        <v>0</v>
      </c>
      <c r="AO515" s="66">
        <f t="shared" ref="AO515" si="626">IF(AN$515=0,0,AN515/AN$515)</f>
        <v>0</v>
      </c>
      <c r="AQ515" s="80"/>
      <c r="AR515" s="80"/>
      <c r="AS515" s="81"/>
      <c r="AT515" s="82"/>
      <c r="AU515" s="66"/>
      <c r="AW515" s="80"/>
      <c r="AX515" s="80"/>
      <c r="AY515" s="81"/>
      <c r="AZ515" s="82">
        <f>SUM(AZ511:AZ514)</f>
        <v>9</v>
      </c>
      <c r="BA515" s="66">
        <f t="shared" si="622"/>
        <v>1</v>
      </c>
    </row>
    <row r="516" spans="1:53" s="117" customFormat="1" ht="17.100000000000001" customHeight="1" x14ac:dyDescent="0.25">
      <c r="A516" s="68"/>
      <c r="B516" s="119"/>
      <c r="C516" s="540"/>
      <c r="D516" s="261"/>
      <c r="E516" s="261"/>
      <c r="F516" s="68"/>
      <c r="G516" s="68"/>
      <c r="H516" s="119"/>
      <c r="I516" s="138"/>
      <c r="J516" s="17"/>
      <c r="K516" s="17"/>
      <c r="L516" s="17"/>
      <c r="M516" s="17"/>
      <c r="N516" s="17" t="str">
        <f>IF(N515=N$20,"OK","NOK")</f>
        <v>OK</v>
      </c>
      <c r="O516" s="17" t="str">
        <f>IF(O515=O$20,"OK","NOK")</f>
        <v>OK</v>
      </c>
      <c r="P516" s="17"/>
      <c r="Q516" s="17" t="str">
        <f>IF(Q515=Q$20,"OK","NOK")</f>
        <v>OK</v>
      </c>
      <c r="R516" s="17" t="str">
        <f>IF(R515=R$20,"OK","NOK")</f>
        <v>OK</v>
      </c>
      <c r="S516" s="17"/>
      <c r="T516" s="17" t="str">
        <f>IF(T515=T$20,"OK","NOK")</f>
        <v>OK</v>
      </c>
      <c r="U516" s="17" t="str">
        <f>IF(U515=U$20,"OK","NOK")</f>
        <v>OK</v>
      </c>
      <c r="V516" s="359"/>
      <c r="W516" s="382"/>
      <c r="X516" s="539"/>
      <c r="Y516" s="539"/>
      <c r="Z516" s="201"/>
      <c r="AA516" s="201"/>
      <c r="AB516" s="201"/>
      <c r="AC516" s="84"/>
      <c r="AE516" s="46"/>
      <c r="AF516" s="46"/>
      <c r="AG516" s="17"/>
      <c r="AH516" s="539"/>
      <c r="AI516" s="91"/>
      <c r="AK516" s="46"/>
      <c r="AL516" s="46"/>
      <c r="AM516" s="17"/>
      <c r="AN516" s="539"/>
      <c r="AO516" s="91"/>
      <c r="AQ516" s="46"/>
      <c r="AR516" s="46"/>
      <c r="AS516" s="17"/>
      <c r="AT516" s="539"/>
      <c r="AU516" s="91"/>
      <c r="AW516" s="46"/>
      <c r="AX516" s="46"/>
      <c r="AY516" s="17"/>
      <c r="AZ516" s="539"/>
      <c r="BA516" s="91"/>
    </row>
    <row r="517" spans="1:53" ht="17.100000000000001" customHeight="1" x14ac:dyDescent="0.25">
      <c r="A517" s="68"/>
      <c r="B517" s="41" t="s">
        <v>306</v>
      </c>
      <c r="C517" s="69" t="s">
        <v>486</v>
      </c>
      <c r="D517" s="50"/>
      <c r="E517" s="70"/>
      <c r="F517" s="70"/>
      <c r="G517" s="70"/>
      <c r="H517" s="119"/>
      <c r="J517" s="71"/>
      <c r="K517" s="71"/>
      <c r="L517" s="71"/>
      <c r="M517" s="71"/>
      <c r="N517" s="71"/>
      <c r="O517" s="71"/>
      <c r="P517" s="71"/>
      <c r="Q517" s="71"/>
      <c r="R517" s="71"/>
      <c r="S517" s="71"/>
      <c r="T517" s="71"/>
      <c r="U517" s="71"/>
      <c r="V517" s="355"/>
      <c r="W517" s="377"/>
      <c r="X517" s="71"/>
      <c r="Y517" s="72"/>
      <c r="Z517" s="73"/>
      <c r="AA517" s="73"/>
      <c r="AB517" s="73"/>
      <c r="AC517" s="73"/>
      <c r="AE517" s="71"/>
      <c r="AF517" s="71"/>
      <c r="AG517" s="71"/>
      <c r="AH517" s="72"/>
      <c r="AI517" s="73"/>
      <c r="AK517" s="71"/>
      <c r="AL517" s="71"/>
      <c r="AM517" s="71"/>
      <c r="AN517" s="72"/>
      <c r="AO517" s="73"/>
      <c r="AQ517" s="71"/>
      <c r="AR517" s="71"/>
      <c r="AS517" s="71"/>
      <c r="AT517" s="72"/>
      <c r="AU517" s="73"/>
      <c r="AW517" s="71"/>
      <c r="AX517" s="71"/>
      <c r="AY517" s="71"/>
      <c r="AZ517" s="72"/>
      <c r="BA517" s="73"/>
    </row>
    <row r="518" spans="1:53" ht="17.100000000000001" customHeight="1" x14ac:dyDescent="0.25">
      <c r="A518" s="40"/>
      <c r="B518" s="40"/>
      <c r="C518" s="74" t="s">
        <v>308</v>
      </c>
      <c r="D518" s="85" t="s">
        <v>292</v>
      </c>
      <c r="E518" s="105"/>
      <c r="F518" s="105"/>
      <c r="G518" s="105"/>
      <c r="H518" s="119"/>
      <c r="I518" s="231"/>
      <c r="J518" s="111"/>
      <c r="K518" s="111"/>
      <c r="L518" s="111"/>
      <c r="M518" s="111"/>
      <c r="N518" s="60"/>
      <c r="O518" s="60"/>
      <c r="P518" s="17">
        <f t="shared" ref="P518:P528" si="627">SUM(N518:O518)</f>
        <v>0</v>
      </c>
      <c r="Q518" s="60"/>
      <c r="R518" s="60"/>
      <c r="S518" s="17">
        <f t="shared" ref="S518:S528" si="628">SUM(Q518:R518)</f>
        <v>0</v>
      </c>
      <c r="T518" s="60"/>
      <c r="U518" s="60"/>
      <c r="V518" s="359">
        <f t="shared" ref="V518:V528" si="629">SUM(T518:U518)</f>
        <v>0</v>
      </c>
      <c r="W518" s="391">
        <f t="shared" ref="W518:W528" si="630">J518+K518+N518+Q518+T518</f>
        <v>0</v>
      </c>
      <c r="X518" s="17">
        <f t="shared" ref="X518:X528" si="631">L518+O518+R518+U518</f>
        <v>0</v>
      </c>
      <c r="Y518" s="18">
        <f t="shared" ref="Y518:Y528" si="632">SUM(W518:X518)</f>
        <v>0</v>
      </c>
      <c r="Z518" s="19">
        <f t="shared" ref="Z518:Z528" si="633">IF(Y$533=0,0,Y518/Y$533)</f>
        <v>0</v>
      </c>
      <c r="AA518" s="19"/>
      <c r="AB518" s="19"/>
      <c r="AC518" s="20"/>
      <c r="AE518" s="111"/>
      <c r="AF518" s="111"/>
      <c r="AG518" s="111"/>
      <c r="AH518" s="112"/>
      <c r="AI518" s="113"/>
      <c r="AK518" s="111"/>
      <c r="AL518" s="111"/>
      <c r="AM518" s="111"/>
      <c r="AN518" s="112"/>
      <c r="AO518" s="113"/>
      <c r="AQ518" s="17"/>
      <c r="AR518" s="17"/>
      <c r="AS518" s="17"/>
      <c r="AT518" s="18">
        <f t="shared" ref="AT518:AT528" si="634">W518</f>
        <v>0</v>
      </c>
      <c r="AU518" s="19">
        <f t="shared" ref="AU518:AU526" si="635">IF(AT$533=0,0,AT518/AT$533)</f>
        <v>0</v>
      </c>
      <c r="AW518" s="17"/>
      <c r="AX518" s="17"/>
      <c r="AY518" s="17"/>
      <c r="AZ518" s="18">
        <f t="shared" ref="AZ518:AZ528" si="636">X518</f>
        <v>0</v>
      </c>
      <c r="BA518" s="19">
        <f t="shared" ref="BA518:BA526" si="637">IF(AZ$533=0,0,AZ518/AZ$533)</f>
        <v>0</v>
      </c>
    </row>
    <row r="519" spans="1:53" ht="17.100000000000001" customHeight="1" x14ac:dyDescent="0.25">
      <c r="A519" s="40"/>
      <c r="B519" s="40"/>
      <c r="C519" s="74" t="s">
        <v>309</v>
      </c>
      <c r="D519" s="146" t="s">
        <v>757</v>
      </c>
      <c r="E519" s="105"/>
      <c r="F519" s="105"/>
      <c r="G519" s="105"/>
      <c r="H519" s="119"/>
      <c r="I519" s="231"/>
      <c r="J519" s="111"/>
      <c r="K519" s="111"/>
      <c r="L519" s="111"/>
      <c r="M519" s="111"/>
      <c r="N519" s="61"/>
      <c r="O519" s="61"/>
      <c r="P519" s="17">
        <f t="shared" si="627"/>
        <v>0</v>
      </c>
      <c r="Q519" s="61"/>
      <c r="R519" s="61"/>
      <c r="S519" s="17">
        <f t="shared" si="628"/>
        <v>0</v>
      </c>
      <c r="T519" s="61"/>
      <c r="U519" s="61"/>
      <c r="V519" s="359">
        <f t="shared" si="629"/>
        <v>0</v>
      </c>
      <c r="W519" s="391">
        <f t="shared" si="630"/>
        <v>0</v>
      </c>
      <c r="X519" s="17">
        <f t="shared" si="631"/>
        <v>0</v>
      </c>
      <c r="Y519" s="18">
        <f t="shared" si="632"/>
        <v>0</v>
      </c>
      <c r="Z519" s="19">
        <f t="shared" si="633"/>
        <v>0</v>
      </c>
      <c r="AA519" s="19"/>
      <c r="AB519" s="19"/>
      <c r="AC519" s="20"/>
      <c r="AE519" s="111"/>
      <c r="AF519" s="111"/>
      <c r="AG519" s="111"/>
      <c r="AH519" s="112"/>
      <c r="AI519" s="113"/>
      <c r="AK519" s="111"/>
      <c r="AL519" s="111"/>
      <c r="AM519" s="111"/>
      <c r="AN519" s="112"/>
      <c r="AO519" s="113"/>
      <c r="AQ519" s="17"/>
      <c r="AR519" s="17"/>
      <c r="AS519" s="17"/>
      <c r="AT519" s="18">
        <f t="shared" si="634"/>
        <v>0</v>
      </c>
      <c r="AU519" s="19">
        <f t="shared" si="635"/>
        <v>0</v>
      </c>
      <c r="AW519" s="17"/>
      <c r="AX519" s="17"/>
      <c r="AY519" s="17"/>
      <c r="AZ519" s="18">
        <f t="shared" si="636"/>
        <v>0</v>
      </c>
      <c r="BA519" s="19">
        <f t="shared" si="637"/>
        <v>0</v>
      </c>
    </row>
    <row r="520" spans="1:53" ht="17.100000000000001" customHeight="1" x14ac:dyDescent="0.25">
      <c r="A520" s="40"/>
      <c r="B520" s="40"/>
      <c r="C520" s="74" t="s">
        <v>489</v>
      </c>
      <c r="D520" s="85" t="s">
        <v>300</v>
      </c>
      <c r="E520" s="105"/>
      <c r="F520" s="105"/>
      <c r="G520" s="105"/>
      <c r="H520" s="119"/>
      <c r="I520" s="231"/>
      <c r="J520" s="111"/>
      <c r="K520" s="111"/>
      <c r="L520" s="111"/>
      <c r="M520" s="111"/>
      <c r="N520" s="60"/>
      <c r="O520" s="60"/>
      <c r="P520" s="17">
        <f t="shared" ref="P520:P521" si="638">SUM(N520:O520)</f>
        <v>0</v>
      </c>
      <c r="Q520" s="60"/>
      <c r="R520" s="60"/>
      <c r="S520" s="17">
        <f t="shared" ref="S520:S521" si="639">SUM(Q520:R520)</f>
        <v>0</v>
      </c>
      <c r="T520" s="60"/>
      <c r="U520" s="60"/>
      <c r="V520" s="359">
        <f t="shared" ref="V520:V521" si="640">SUM(T520:U520)</f>
        <v>0</v>
      </c>
      <c r="W520" s="391">
        <f t="shared" si="630"/>
        <v>0</v>
      </c>
      <c r="X520" s="17">
        <f t="shared" si="631"/>
        <v>0</v>
      </c>
      <c r="Y520" s="18">
        <f t="shared" si="632"/>
        <v>0</v>
      </c>
      <c r="Z520" s="19">
        <f t="shared" si="633"/>
        <v>0</v>
      </c>
      <c r="AA520" s="19"/>
      <c r="AB520" s="19"/>
      <c r="AC520" s="20"/>
      <c r="AE520" s="111"/>
      <c r="AF520" s="111"/>
      <c r="AG520" s="111"/>
      <c r="AH520" s="112"/>
      <c r="AI520" s="113"/>
      <c r="AK520" s="111"/>
      <c r="AL520" s="111"/>
      <c r="AM520" s="111"/>
      <c r="AN520" s="112"/>
      <c r="AO520" s="113"/>
      <c r="AQ520" s="17"/>
      <c r="AR520" s="17"/>
      <c r="AS520" s="17"/>
      <c r="AT520" s="18">
        <f t="shared" si="634"/>
        <v>0</v>
      </c>
      <c r="AU520" s="19">
        <f t="shared" si="635"/>
        <v>0</v>
      </c>
      <c r="AW520" s="17"/>
      <c r="AX520" s="17"/>
      <c r="AY520" s="17"/>
      <c r="AZ520" s="18">
        <f t="shared" si="636"/>
        <v>0</v>
      </c>
      <c r="BA520" s="19">
        <f t="shared" si="637"/>
        <v>0</v>
      </c>
    </row>
    <row r="521" spans="1:53" ht="17.100000000000001" customHeight="1" x14ac:dyDescent="0.25">
      <c r="A521" s="40"/>
      <c r="B521" s="40"/>
      <c r="C521" s="74" t="s">
        <v>621</v>
      </c>
      <c r="D521" s="85" t="s">
        <v>670</v>
      </c>
      <c r="E521" s="105"/>
      <c r="F521" s="105"/>
      <c r="G521" s="105"/>
      <c r="H521" s="119"/>
      <c r="I521" s="231"/>
      <c r="J521" s="111"/>
      <c r="K521" s="111"/>
      <c r="L521" s="111"/>
      <c r="M521" s="111"/>
      <c r="N521" s="61"/>
      <c r="O521" s="61">
        <v>5</v>
      </c>
      <c r="P521" s="17">
        <f t="shared" si="638"/>
        <v>5</v>
      </c>
      <c r="Q521" s="61"/>
      <c r="R521" s="61"/>
      <c r="S521" s="17">
        <f t="shared" si="639"/>
        <v>0</v>
      </c>
      <c r="T521" s="61"/>
      <c r="U521" s="61"/>
      <c r="V521" s="359">
        <f t="shared" si="640"/>
        <v>0</v>
      </c>
      <c r="W521" s="391">
        <f t="shared" si="630"/>
        <v>0</v>
      </c>
      <c r="X521" s="17">
        <f t="shared" si="631"/>
        <v>5</v>
      </c>
      <c r="Y521" s="18">
        <f t="shared" si="632"/>
        <v>5</v>
      </c>
      <c r="Z521" s="19">
        <f t="shared" si="633"/>
        <v>0.55555555555555558</v>
      </c>
      <c r="AA521" s="19"/>
      <c r="AB521" s="19"/>
      <c r="AC521" s="20"/>
      <c r="AE521" s="111"/>
      <c r="AF521" s="111"/>
      <c r="AG521" s="111"/>
      <c r="AH521" s="112"/>
      <c r="AI521" s="113"/>
      <c r="AK521" s="111"/>
      <c r="AL521" s="111"/>
      <c r="AM521" s="111"/>
      <c r="AN521" s="112"/>
      <c r="AO521" s="113"/>
      <c r="AQ521" s="17"/>
      <c r="AR521" s="17"/>
      <c r="AS521" s="17"/>
      <c r="AT521" s="18">
        <f t="shared" si="634"/>
        <v>0</v>
      </c>
      <c r="AU521" s="19">
        <f t="shared" si="635"/>
        <v>0</v>
      </c>
      <c r="AW521" s="17"/>
      <c r="AX521" s="17"/>
      <c r="AY521" s="17"/>
      <c r="AZ521" s="18">
        <f t="shared" si="636"/>
        <v>5</v>
      </c>
      <c r="BA521" s="19">
        <f t="shared" si="637"/>
        <v>0.55555555555555558</v>
      </c>
    </row>
    <row r="522" spans="1:53" ht="17.100000000000001" customHeight="1" x14ac:dyDescent="0.25">
      <c r="A522" s="40"/>
      <c r="B522" s="40"/>
      <c r="C522" s="74" t="s">
        <v>622</v>
      </c>
      <c r="D522" s="85" t="s">
        <v>671</v>
      </c>
      <c r="E522" s="105"/>
      <c r="F522" s="105"/>
      <c r="G522" s="105"/>
      <c r="H522" s="119"/>
      <c r="I522" s="231"/>
      <c r="J522" s="111"/>
      <c r="K522" s="111"/>
      <c r="L522" s="111"/>
      <c r="M522" s="111"/>
      <c r="N522" s="60"/>
      <c r="O522" s="60"/>
      <c r="P522" s="17">
        <f t="shared" si="627"/>
        <v>0</v>
      </c>
      <c r="Q522" s="60"/>
      <c r="R522" s="60"/>
      <c r="S522" s="17">
        <f t="shared" si="628"/>
        <v>0</v>
      </c>
      <c r="T522" s="60"/>
      <c r="U522" s="60"/>
      <c r="V522" s="359">
        <f t="shared" si="629"/>
        <v>0</v>
      </c>
      <c r="W522" s="391">
        <f t="shared" si="630"/>
        <v>0</v>
      </c>
      <c r="X522" s="17">
        <f t="shared" si="631"/>
        <v>0</v>
      </c>
      <c r="Y522" s="18">
        <f t="shared" si="632"/>
        <v>0</v>
      </c>
      <c r="Z522" s="19">
        <f t="shared" si="633"/>
        <v>0</v>
      </c>
      <c r="AA522" s="19"/>
      <c r="AB522" s="19"/>
      <c r="AC522" s="20"/>
      <c r="AE522" s="111"/>
      <c r="AF522" s="111"/>
      <c r="AG522" s="111"/>
      <c r="AH522" s="112"/>
      <c r="AI522" s="113"/>
      <c r="AK522" s="111"/>
      <c r="AL522" s="111"/>
      <c r="AM522" s="111"/>
      <c r="AN522" s="112"/>
      <c r="AO522" s="113"/>
      <c r="AQ522" s="17"/>
      <c r="AR522" s="17"/>
      <c r="AS522" s="17"/>
      <c r="AT522" s="18">
        <f t="shared" si="634"/>
        <v>0</v>
      </c>
      <c r="AU522" s="19">
        <f t="shared" si="635"/>
        <v>0</v>
      </c>
      <c r="AW522" s="17"/>
      <c r="AX522" s="17"/>
      <c r="AY522" s="17"/>
      <c r="AZ522" s="18">
        <f t="shared" si="636"/>
        <v>0</v>
      </c>
      <c r="BA522" s="19">
        <f t="shared" si="637"/>
        <v>0</v>
      </c>
    </row>
    <row r="523" spans="1:53" ht="17.100000000000001" customHeight="1" x14ac:dyDescent="0.25">
      <c r="A523" s="40"/>
      <c r="B523" s="40"/>
      <c r="C523" s="74" t="s">
        <v>623</v>
      </c>
      <c r="D523" s="85" t="s">
        <v>302</v>
      </c>
      <c r="E523" s="105"/>
      <c r="F523" s="105"/>
      <c r="G523" s="105"/>
      <c r="H523" s="119"/>
      <c r="I523" s="231"/>
      <c r="J523" s="111"/>
      <c r="K523" s="111"/>
      <c r="L523" s="111"/>
      <c r="M523" s="111"/>
      <c r="N523" s="61"/>
      <c r="O523" s="61"/>
      <c r="P523" s="17">
        <f t="shared" si="627"/>
        <v>0</v>
      </c>
      <c r="Q523" s="61"/>
      <c r="R523" s="61"/>
      <c r="S523" s="17">
        <f t="shared" si="628"/>
        <v>0</v>
      </c>
      <c r="T523" s="61"/>
      <c r="U523" s="61"/>
      <c r="V523" s="359">
        <f t="shared" si="629"/>
        <v>0</v>
      </c>
      <c r="W523" s="391">
        <f t="shared" si="630"/>
        <v>0</v>
      </c>
      <c r="X523" s="17">
        <f t="shared" si="631"/>
        <v>0</v>
      </c>
      <c r="Y523" s="18">
        <f t="shared" si="632"/>
        <v>0</v>
      </c>
      <c r="Z523" s="19">
        <f t="shared" si="633"/>
        <v>0</v>
      </c>
      <c r="AA523" s="19"/>
      <c r="AB523" s="19"/>
      <c r="AC523" s="20"/>
      <c r="AE523" s="111"/>
      <c r="AF523" s="111"/>
      <c r="AG523" s="111"/>
      <c r="AH523" s="112"/>
      <c r="AI523" s="113"/>
      <c r="AK523" s="111"/>
      <c r="AL523" s="111"/>
      <c r="AM523" s="111"/>
      <c r="AN523" s="112"/>
      <c r="AO523" s="113"/>
      <c r="AQ523" s="17"/>
      <c r="AR523" s="17"/>
      <c r="AS523" s="17"/>
      <c r="AT523" s="18">
        <f t="shared" si="634"/>
        <v>0</v>
      </c>
      <c r="AU523" s="19">
        <f t="shared" si="635"/>
        <v>0</v>
      </c>
      <c r="AW523" s="17"/>
      <c r="AX523" s="17"/>
      <c r="AY523" s="17"/>
      <c r="AZ523" s="18">
        <f t="shared" si="636"/>
        <v>0</v>
      </c>
      <c r="BA523" s="19">
        <f t="shared" si="637"/>
        <v>0</v>
      </c>
    </row>
    <row r="524" spans="1:53" ht="17.100000000000001" customHeight="1" x14ac:dyDescent="0.25">
      <c r="A524" s="40"/>
      <c r="B524" s="40"/>
      <c r="C524" s="74" t="s">
        <v>624</v>
      </c>
      <c r="D524" s="85" t="s">
        <v>487</v>
      </c>
      <c r="E524" s="75"/>
      <c r="F524" s="75"/>
      <c r="G524" s="75"/>
      <c r="H524" s="540"/>
      <c r="I524" s="229"/>
      <c r="J524" s="111"/>
      <c r="K524" s="111"/>
      <c r="L524" s="111"/>
      <c r="M524" s="111"/>
      <c r="N524" s="60"/>
      <c r="O524" s="60">
        <v>4</v>
      </c>
      <c r="P524" s="17">
        <f t="shared" si="627"/>
        <v>4</v>
      </c>
      <c r="Q524" s="60"/>
      <c r="R524" s="60"/>
      <c r="S524" s="17">
        <f t="shared" si="628"/>
        <v>0</v>
      </c>
      <c r="T524" s="60"/>
      <c r="U524" s="60"/>
      <c r="V524" s="359">
        <f t="shared" si="629"/>
        <v>0</v>
      </c>
      <c r="W524" s="391">
        <f t="shared" si="630"/>
        <v>0</v>
      </c>
      <c r="X524" s="17">
        <f t="shared" si="631"/>
        <v>4</v>
      </c>
      <c r="Y524" s="18">
        <f t="shared" si="632"/>
        <v>4</v>
      </c>
      <c r="Z524" s="19">
        <f t="shared" si="633"/>
        <v>0.44444444444444442</v>
      </c>
      <c r="AA524" s="19"/>
      <c r="AB524" s="19"/>
      <c r="AC524" s="20"/>
      <c r="AE524" s="111"/>
      <c r="AF524" s="111"/>
      <c r="AG524" s="111"/>
      <c r="AH524" s="112"/>
      <c r="AI524" s="113"/>
      <c r="AK524" s="111"/>
      <c r="AL524" s="111"/>
      <c r="AM524" s="111"/>
      <c r="AN524" s="112"/>
      <c r="AO524" s="113"/>
      <c r="AQ524" s="17"/>
      <c r="AR524" s="17"/>
      <c r="AS524" s="17"/>
      <c r="AT524" s="18">
        <f t="shared" si="634"/>
        <v>0</v>
      </c>
      <c r="AU524" s="19">
        <f t="shared" si="635"/>
        <v>0</v>
      </c>
      <c r="AW524" s="17"/>
      <c r="AX524" s="17"/>
      <c r="AY524" s="17"/>
      <c r="AZ524" s="18">
        <f t="shared" si="636"/>
        <v>4</v>
      </c>
      <c r="BA524" s="19">
        <f t="shared" si="637"/>
        <v>0.44444444444444442</v>
      </c>
    </row>
    <row r="525" spans="1:53" ht="17.100000000000001" customHeight="1" x14ac:dyDescent="0.25">
      <c r="A525" s="40"/>
      <c r="B525" s="40"/>
      <c r="C525" s="74" t="s">
        <v>625</v>
      </c>
      <c r="D525" s="85" t="s">
        <v>488</v>
      </c>
      <c r="E525" s="542"/>
      <c r="F525" s="105"/>
      <c r="G525" s="105"/>
      <c r="H525" s="119"/>
      <c r="I525" s="231"/>
      <c r="J525" s="111"/>
      <c r="K525" s="111"/>
      <c r="L525" s="111"/>
      <c r="M525" s="111"/>
      <c r="N525" s="61"/>
      <c r="O525" s="61"/>
      <c r="P525" s="17">
        <f t="shared" si="627"/>
        <v>0</v>
      </c>
      <c r="Q525" s="61"/>
      <c r="R525" s="61"/>
      <c r="S525" s="17">
        <f t="shared" si="628"/>
        <v>0</v>
      </c>
      <c r="T525" s="61"/>
      <c r="U525" s="61"/>
      <c r="V525" s="359">
        <f t="shared" si="629"/>
        <v>0</v>
      </c>
      <c r="W525" s="391">
        <f t="shared" si="630"/>
        <v>0</v>
      </c>
      <c r="X525" s="17">
        <f t="shared" si="631"/>
        <v>0</v>
      </c>
      <c r="Y525" s="18">
        <f t="shared" si="632"/>
        <v>0</v>
      </c>
      <c r="Z525" s="19">
        <f t="shared" si="633"/>
        <v>0</v>
      </c>
      <c r="AA525" s="19"/>
      <c r="AB525" s="19"/>
      <c r="AC525" s="20"/>
      <c r="AE525" s="111"/>
      <c r="AF525" s="111"/>
      <c r="AG525" s="111"/>
      <c r="AH525" s="112"/>
      <c r="AI525" s="113"/>
      <c r="AK525" s="111"/>
      <c r="AL525" s="111"/>
      <c r="AM525" s="111"/>
      <c r="AN525" s="112"/>
      <c r="AO525" s="113"/>
      <c r="AQ525" s="17"/>
      <c r="AR525" s="17"/>
      <c r="AS525" s="17"/>
      <c r="AT525" s="18">
        <f t="shared" si="634"/>
        <v>0</v>
      </c>
      <c r="AU525" s="19">
        <f t="shared" si="635"/>
        <v>0</v>
      </c>
      <c r="AW525" s="17"/>
      <c r="AX525" s="17"/>
      <c r="AY525" s="17"/>
      <c r="AZ525" s="18">
        <f t="shared" si="636"/>
        <v>0</v>
      </c>
      <c r="BA525" s="19">
        <f t="shared" si="637"/>
        <v>0</v>
      </c>
    </row>
    <row r="526" spans="1:53" ht="17.100000000000001" customHeight="1" x14ac:dyDescent="0.25">
      <c r="A526" s="40"/>
      <c r="B526" s="40"/>
      <c r="C526" s="74" t="s">
        <v>668</v>
      </c>
      <c r="D526" s="85" t="s">
        <v>304</v>
      </c>
      <c r="E526" s="542"/>
      <c r="F526" s="105"/>
      <c r="G526" s="105"/>
      <c r="H526" s="119"/>
      <c r="I526" s="231"/>
      <c r="J526" s="111"/>
      <c r="K526" s="111"/>
      <c r="L526" s="111"/>
      <c r="M526" s="111"/>
      <c r="N526" s="60"/>
      <c r="O526" s="60"/>
      <c r="P526" s="17">
        <f t="shared" si="627"/>
        <v>0</v>
      </c>
      <c r="Q526" s="60"/>
      <c r="R526" s="60"/>
      <c r="S526" s="17">
        <f t="shared" si="628"/>
        <v>0</v>
      </c>
      <c r="T526" s="60"/>
      <c r="U526" s="60"/>
      <c r="V526" s="359">
        <f t="shared" si="629"/>
        <v>0</v>
      </c>
      <c r="W526" s="391">
        <f t="shared" si="630"/>
        <v>0</v>
      </c>
      <c r="X526" s="17">
        <f t="shared" si="631"/>
        <v>0</v>
      </c>
      <c r="Y526" s="18">
        <f t="shared" si="632"/>
        <v>0</v>
      </c>
      <c r="Z526" s="19">
        <f t="shared" si="633"/>
        <v>0</v>
      </c>
      <c r="AA526" s="19"/>
      <c r="AB526" s="19"/>
      <c r="AC526" s="20"/>
      <c r="AE526" s="111"/>
      <c r="AF526" s="111"/>
      <c r="AG526" s="111"/>
      <c r="AH526" s="112"/>
      <c r="AI526" s="113"/>
      <c r="AK526" s="111"/>
      <c r="AL526" s="111"/>
      <c r="AM526" s="111"/>
      <c r="AN526" s="112"/>
      <c r="AO526" s="113"/>
      <c r="AQ526" s="17"/>
      <c r="AR526" s="17"/>
      <c r="AS526" s="17"/>
      <c r="AT526" s="18">
        <f t="shared" si="634"/>
        <v>0</v>
      </c>
      <c r="AU526" s="19">
        <f t="shared" si="635"/>
        <v>0</v>
      </c>
      <c r="AW526" s="17"/>
      <c r="AX526" s="17"/>
      <c r="AY526" s="17"/>
      <c r="AZ526" s="18">
        <f t="shared" si="636"/>
        <v>0</v>
      </c>
      <c r="BA526" s="19">
        <f t="shared" si="637"/>
        <v>0</v>
      </c>
    </row>
    <row r="527" spans="1:53" ht="17.100000000000001" customHeight="1" x14ac:dyDescent="0.25">
      <c r="A527" s="40"/>
      <c r="B527" s="40"/>
      <c r="C527" s="74" t="s">
        <v>669</v>
      </c>
      <c r="D527" s="85" t="s">
        <v>758</v>
      </c>
      <c r="E527" s="542"/>
      <c r="F527" s="105"/>
      <c r="G527" s="105"/>
      <c r="H527" s="119"/>
      <c r="I527" s="231"/>
      <c r="J527" s="111"/>
      <c r="K527" s="111"/>
      <c r="L527" s="111"/>
      <c r="M527" s="111"/>
      <c r="N527" s="61"/>
      <c r="O527" s="61"/>
      <c r="P527" s="17">
        <f t="shared" ref="P527" si="641">SUM(N527:O527)</f>
        <v>0</v>
      </c>
      <c r="Q527" s="61"/>
      <c r="R527" s="61"/>
      <c r="S527" s="17">
        <f t="shared" ref="S527" si="642">SUM(Q527:R527)</f>
        <v>0</v>
      </c>
      <c r="T527" s="61"/>
      <c r="U527" s="61"/>
      <c r="V527" s="359">
        <f t="shared" ref="V527" si="643">SUM(T527:U527)</f>
        <v>0</v>
      </c>
      <c r="W527" s="391">
        <f t="shared" si="630"/>
        <v>0</v>
      </c>
      <c r="X527" s="17">
        <f t="shared" si="631"/>
        <v>0</v>
      </c>
      <c r="Y527" s="18">
        <f t="shared" si="632"/>
        <v>0</v>
      </c>
      <c r="Z527" s="19">
        <f t="shared" si="633"/>
        <v>0</v>
      </c>
      <c r="AA527" s="19"/>
      <c r="AB527" s="19"/>
      <c r="AC527" s="20"/>
      <c r="AE527" s="111"/>
      <c r="AF527" s="111"/>
      <c r="AG527" s="111"/>
      <c r="AH527" s="112"/>
      <c r="AI527" s="113"/>
      <c r="AK527" s="111"/>
      <c r="AL527" s="111"/>
      <c r="AM527" s="111"/>
      <c r="AN527" s="112"/>
      <c r="AO527" s="113"/>
      <c r="AQ527" s="17"/>
      <c r="AR527" s="17"/>
      <c r="AS527" s="17"/>
      <c r="AT527" s="18"/>
      <c r="AU527" s="19"/>
      <c r="AW527" s="17"/>
      <c r="AX527" s="17"/>
      <c r="AY527" s="17"/>
      <c r="AZ527" s="18"/>
      <c r="BA527" s="19"/>
    </row>
    <row r="528" spans="1:53" ht="17.100000000000001" customHeight="1" x14ac:dyDescent="0.25">
      <c r="A528" s="40"/>
      <c r="B528" s="40"/>
      <c r="C528" s="74" t="s">
        <v>756</v>
      </c>
      <c r="D528" s="85" t="s">
        <v>305</v>
      </c>
      <c r="E528" s="542"/>
      <c r="F528" s="105"/>
      <c r="G528" s="105"/>
      <c r="H528" s="119"/>
      <c r="I528" s="231"/>
      <c r="J528" s="111"/>
      <c r="K528" s="111"/>
      <c r="L528" s="111"/>
      <c r="M528" s="111"/>
      <c r="N528" s="111">
        <f t="shared" ref="N528:U528" si="644">SUM(N529:N532)</f>
        <v>0</v>
      </c>
      <c r="O528" s="111">
        <f t="shared" si="644"/>
        <v>0</v>
      </c>
      <c r="P528" s="111">
        <f t="shared" si="627"/>
        <v>0</v>
      </c>
      <c r="Q528" s="111">
        <f t="shared" si="644"/>
        <v>0</v>
      </c>
      <c r="R528" s="111">
        <f t="shared" si="644"/>
        <v>0</v>
      </c>
      <c r="S528" s="111">
        <f t="shared" si="628"/>
        <v>0</v>
      </c>
      <c r="T528" s="111">
        <f t="shared" si="644"/>
        <v>0</v>
      </c>
      <c r="U528" s="111">
        <f t="shared" si="644"/>
        <v>0</v>
      </c>
      <c r="V528" s="358">
        <f t="shared" si="629"/>
        <v>0</v>
      </c>
      <c r="W528" s="380">
        <f t="shared" si="630"/>
        <v>0</v>
      </c>
      <c r="X528" s="111">
        <f t="shared" si="631"/>
        <v>0</v>
      </c>
      <c r="Y528" s="545">
        <f t="shared" si="632"/>
        <v>0</v>
      </c>
      <c r="Z528" s="131">
        <f t="shared" si="633"/>
        <v>0</v>
      </c>
      <c r="AA528" s="131"/>
      <c r="AB528" s="131"/>
      <c r="AC528" s="113"/>
      <c r="AE528" s="111"/>
      <c r="AF528" s="111"/>
      <c r="AG528" s="111"/>
      <c r="AH528" s="112"/>
      <c r="AI528" s="113"/>
      <c r="AK528" s="111"/>
      <c r="AL528" s="111"/>
      <c r="AM528" s="111"/>
      <c r="AN528" s="112"/>
      <c r="AO528" s="113"/>
      <c r="AQ528" s="111"/>
      <c r="AR528" s="111"/>
      <c r="AS528" s="111"/>
      <c r="AT528" s="545">
        <f t="shared" si="634"/>
        <v>0</v>
      </c>
      <c r="AU528" s="131">
        <f>IF(AT$533=0,0,AT528/AT$533)</f>
        <v>0</v>
      </c>
      <c r="AW528" s="111"/>
      <c r="AX528" s="111"/>
      <c r="AY528" s="111"/>
      <c r="AZ528" s="545">
        <f t="shared" si="636"/>
        <v>0</v>
      </c>
      <c r="BA528" s="131">
        <f>IF(AZ$533=0,0,AZ528/AZ$533)</f>
        <v>0</v>
      </c>
    </row>
    <row r="529" spans="1:53" ht="17.100000000000001" customHeight="1" x14ac:dyDescent="0.25">
      <c r="A529" s="40"/>
      <c r="B529" s="40"/>
      <c r="C529" s="74"/>
      <c r="D529" s="168"/>
      <c r="E529" s="169"/>
      <c r="F529" s="169"/>
      <c r="G529" s="169"/>
      <c r="H529" s="17"/>
      <c r="I529" s="594"/>
      <c r="J529" s="111"/>
      <c r="K529" s="111"/>
      <c r="L529" s="111"/>
      <c r="M529" s="111"/>
      <c r="N529" s="60"/>
      <c r="O529" s="60"/>
      <c r="P529" s="17"/>
      <c r="Q529" s="60"/>
      <c r="R529" s="60"/>
      <c r="S529" s="17"/>
      <c r="T529" s="60"/>
      <c r="U529" s="60"/>
      <c r="V529" s="359"/>
      <c r="W529" s="391"/>
      <c r="X529" s="17"/>
      <c r="Y529" s="86"/>
      <c r="Z529" s="20"/>
      <c r="AA529" s="20"/>
      <c r="AB529" s="20"/>
      <c r="AC529" s="20"/>
      <c r="AE529" s="17"/>
      <c r="AF529" s="17"/>
      <c r="AG529" s="17"/>
      <c r="AH529" s="86"/>
      <c r="AI529" s="20"/>
      <c r="AK529" s="17"/>
      <c r="AL529" s="17"/>
      <c r="AM529" s="17"/>
      <c r="AN529" s="86"/>
      <c r="AO529" s="20"/>
      <c r="AQ529" s="17"/>
      <c r="AR529" s="17"/>
      <c r="AS529" s="17"/>
      <c r="AT529" s="86"/>
      <c r="AU529" s="20"/>
      <c r="AW529" s="17"/>
      <c r="AX529" s="17"/>
      <c r="AY529" s="17"/>
      <c r="AZ529" s="86"/>
      <c r="BA529" s="20"/>
    </row>
    <row r="530" spans="1:53" ht="17.100000000000001" customHeight="1" x14ac:dyDescent="0.25">
      <c r="A530" s="40"/>
      <c r="B530" s="40"/>
      <c r="C530" s="74"/>
      <c r="D530" s="170"/>
      <c r="E530" s="171"/>
      <c r="F530" s="171"/>
      <c r="G530" s="171"/>
      <c r="H530" s="17"/>
      <c r="I530" s="594"/>
      <c r="J530" s="111"/>
      <c r="K530" s="111"/>
      <c r="L530" s="111"/>
      <c r="M530" s="111"/>
      <c r="N530" s="61"/>
      <c r="O530" s="61"/>
      <c r="P530" s="17"/>
      <c r="Q530" s="61"/>
      <c r="R530" s="61"/>
      <c r="S530" s="17"/>
      <c r="T530" s="61"/>
      <c r="U530" s="61"/>
      <c r="V530" s="359"/>
      <c r="W530" s="391"/>
      <c r="X530" s="17"/>
      <c r="Y530" s="86"/>
      <c r="Z530" s="20"/>
      <c r="AA530" s="20"/>
      <c r="AB530" s="20"/>
      <c r="AC530" s="20"/>
      <c r="AE530" s="17"/>
      <c r="AF530" s="17"/>
      <c r="AG530" s="17"/>
      <c r="AH530" s="86"/>
      <c r="AI530" s="20"/>
      <c r="AK530" s="17"/>
      <c r="AL530" s="17"/>
      <c r="AM530" s="17"/>
      <c r="AN530" s="86"/>
      <c r="AO530" s="20"/>
      <c r="AQ530" s="17"/>
      <c r="AR530" s="17"/>
      <c r="AS530" s="17"/>
      <c r="AT530" s="86"/>
      <c r="AU530" s="20"/>
      <c r="AW530" s="17"/>
      <c r="AX530" s="17"/>
      <c r="AY530" s="17"/>
      <c r="AZ530" s="86"/>
      <c r="BA530" s="20"/>
    </row>
    <row r="531" spans="1:53" ht="17.100000000000001" customHeight="1" x14ac:dyDescent="0.25">
      <c r="A531" s="40"/>
      <c r="B531" s="40"/>
      <c r="C531" s="74"/>
      <c r="D531" s="168"/>
      <c r="E531" s="169"/>
      <c r="F531" s="169"/>
      <c r="G531" s="169"/>
      <c r="H531" s="17"/>
      <c r="I531" s="594"/>
      <c r="J531" s="111"/>
      <c r="K531" s="111"/>
      <c r="L531" s="111"/>
      <c r="M531" s="111"/>
      <c r="N531" s="60"/>
      <c r="O531" s="60"/>
      <c r="P531" s="17"/>
      <c r="Q531" s="60"/>
      <c r="R531" s="60"/>
      <c r="S531" s="17"/>
      <c r="T531" s="60"/>
      <c r="U531" s="60"/>
      <c r="V531" s="359"/>
      <c r="W531" s="391"/>
      <c r="X531" s="17"/>
      <c r="Y531" s="86"/>
      <c r="Z531" s="20"/>
      <c r="AA531" s="20"/>
      <c r="AB531" s="20"/>
      <c r="AC531" s="20"/>
      <c r="AE531" s="17"/>
      <c r="AF531" s="17"/>
      <c r="AG531" s="17"/>
      <c r="AH531" s="86"/>
      <c r="AI531" s="20"/>
      <c r="AK531" s="17"/>
      <c r="AL531" s="17"/>
      <c r="AM531" s="17"/>
      <c r="AN531" s="86"/>
      <c r="AO531" s="20"/>
      <c r="AQ531" s="17"/>
      <c r="AR531" s="17"/>
      <c r="AS531" s="17"/>
      <c r="AT531" s="86"/>
      <c r="AU531" s="20"/>
      <c r="AW531" s="17"/>
      <c r="AX531" s="17"/>
      <c r="AY531" s="17"/>
      <c r="AZ531" s="86"/>
      <c r="BA531" s="20"/>
    </row>
    <row r="532" spans="1:53" ht="17.100000000000001" customHeight="1" x14ac:dyDescent="0.25">
      <c r="A532" s="40"/>
      <c r="B532" s="40"/>
      <c r="C532" s="74"/>
      <c r="D532" s="170"/>
      <c r="E532" s="171"/>
      <c r="F532" s="171"/>
      <c r="G532" s="171"/>
      <c r="H532" s="17"/>
      <c r="I532" s="594"/>
      <c r="J532" s="111"/>
      <c r="K532" s="111"/>
      <c r="L532" s="111"/>
      <c r="M532" s="111"/>
      <c r="N532" s="61"/>
      <c r="O532" s="61"/>
      <c r="P532" s="17"/>
      <c r="Q532" s="61"/>
      <c r="R532" s="61"/>
      <c r="S532" s="17"/>
      <c r="T532" s="61"/>
      <c r="U532" s="61"/>
      <c r="V532" s="359"/>
      <c r="W532" s="391"/>
      <c r="X532" s="17"/>
      <c r="Y532" s="86"/>
      <c r="Z532" s="20"/>
      <c r="AA532" s="20"/>
      <c r="AB532" s="20"/>
      <c r="AC532" s="20"/>
      <c r="AE532" s="17"/>
      <c r="AF532" s="17"/>
      <c r="AG532" s="17"/>
      <c r="AH532" s="86"/>
      <c r="AI532" s="20"/>
      <c r="AK532" s="17"/>
      <c r="AL532" s="17"/>
      <c r="AM532" s="17"/>
      <c r="AN532" s="86"/>
      <c r="AO532" s="20"/>
      <c r="AQ532" s="17"/>
      <c r="AR532" s="17"/>
      <c r="AS532" s="17"/>
      <c r="AT532" s="86"/>
      <c r="AU532" s="20"/>
      <c r="AW532" s="17"/>
      <c r="AX532" s="17"/>
      <c r="AY532" s="17"/>
      <c r="AZ532" s="86"/>
      <c r="BA532" s="20"/>
    </row>
    <row r="533" spans="1:53" ht="17.100000000000001" customHeight="1" x14ac:dyDescent="0.25">
      <c r="A533" s="40"/>
      <c r="B533" s="40"/>
      <c r="C533" s="77"/>
      <c r="D533" s="134"/>
      <c r="E533" s="134"/>
      <c r="F533" s="134"/>
      <c r="G533" s="134"/>
      <c r="H533" s="540"/>
      <c r="I533" s="229"/>
      <c r="J533" s="80"/>
      <c r="K533" s="80"/>
      <c r="L533" s="81"/>
      <c r="M533" s="81"/>
      <c r="N533" s="81">
        <f>SUM(N518:N528)</f>
        <v>0</v>
      </c>
      <c r="O533" s="81">
        <f t="shared" ref="O533:V533" si="645">SUM(O518:O528)</f>
        <v>9</v>
      </c>
      <c r="P533" s="82">
        <f t="shared" si="645"/>
        <v>9</v>
      </c>
      <c r="Q533" s="81">
        <f>SUM(Q518:Q528)</f>
        <v>0</v>
      </c>
      <c r="R533" s="81">
        <f t="shared" si="645"/>
        <v>0</v>
      </c>
      <c r="S533" s="82">
        <f t="shared" si="645"/>
        <v>0</v>
      </c>
      <c r="T533" s="81">
        <f>SUM(T518:T528)</f>
        <v>0</v>
      </c>
      <c r="U533" s="81">
        <f t="shared" si="645"/>
        <v>0</v>
      </c>
      <c r="V533" s="360">
        <f t="shared" si="645"/>
        <v>0</v>
      </c>
      <c r="W533" s="381">
        <f>SUM(W518:W528)</f>
        <v>0</v>
      </c>
      <c r="X533" s="82">
        <f t="shared" ref="X533:Y533" si="646">SUM(X518:X528)</f>
        <v>9</v>
      </c>
      <c r="Y533" s="82">
        <f t="shared" si="646"/>
        <v>9</v>
      </c>
      <c r="Z533" s="205">
        <f t="shared" ref="Z533" si="647">IF(Y$533=0,0,Y533/Y$533)</f>
        <v>1</v>
      </c>
      <c r="AA533" s="205"/>
      <c r="AB533" s="205"/>
      <c r="AC533" s="83"/>
      <c r="AE533" s="80"/>
      <c r="AF533" s="80"/>
      <c r="AG533" s="81"/>
      <c r="AH533" s="82"/>
      <c r="AI533" s="66"/>
      <c r="AK533" s="80"/>
      <c r="AL533" s="80"/>
      <c r="AM533" s="81"/>
      <c r="AN533" s="82"/>
      <c r="AO533" s="66"/>
      <c r="AQ533" s="80"/>
      <c r="AR533" s="80"/>
      <c r="AS533" s="81"/>
      <c r="AT533" s="82">
        <f>SUM(AT518:AT528)</f>
        <v>0</v>
      </c>
      <c r="AU533" s="66">
        <f>IF(AT$533=0,0,AT533/AT$533)</f>
        <v>0</v>
      </c>
      <c r="AW533" s="80"/>
      <c r="AX533" s="80"/>
      <c r="AY533" s="81"/>
      <c r="AZ533" s="82">
        <f>SUM(AZ518:AZ528)</f>
        <v>9</v>
      </c>
      <c r="BA533" s="66">
        <f>IF(AZ$533=0,0,AZ533/AZ$533)</f>
        <v>1</v>
      </c>
    </row>
    <row r="534" spans="1:53" ht="17.100000000000001" customHeight="1" x14ac:dyDescent="0.25">
      <c r="A534" s="68"/>
      <c r="B534" s="41" t="s">
        <v>310</v>
      </c>
      <c r="C534" s="49" t="s">
        <v>307</v>
      </c>
      <c r="D534" s="50"/>
      <c r="E534" s="70"/>
      <c r="F534" s="70"/>
      <c r="G534" s="70"/>
      <c r="H534" s="119"/>
      <c r="J534" s="71"/>
      <c r="K534" s="71"/>
      <c r="L534" s="71"/>
      <c r="M534" s="71"/>
      <c r="N534" s="71"/>
      <c r="O534" s="71"/>
      <c r="P534" s="71"/>
      <c r="Q534" s="71"/>
      <c r="R534" s="71"/>
      <c r="S534" s="71"/>
      <c r="T534" s="71"/>
      <c r="U534" s="71"/>
      <c r="V534" s="355"/>
      <c r="W534" s="377"/>
      <c r="X534" s="71"/>
      <c r="Y534" s="72"/>
      <c r="Z534" s="73"/>
      <c r="AA534" s="73"/>
      <c r="AB534" s="73"/>
      <c r="AC534" s="73"/>
      <c r="AE534" s="71"/>
      <c r="AF534" s="71"/>
      <c r="AG534" s="71"/>
      <c r="AH534" s="72"/>
      <c r="AI534" s="73"/>
      <c r="AK534" s="71"/>
      <c r="AL534" s="71"/>
      <c r="AM534" s="71"/>
      <c r="AN534" s="72"/>
      <c r="AO534" s="73"/>
      <c r="AQ534" s="71"/>
      <c r="AR534" s="71"/>
      <c r="AS534" s="71"/>
      <c r="AT534" s="72"/>
      <c r="AU534" s="73"/>
      <c r="AW534" s="71"/>
      <c r="AX534" s="71"/>
      <c r="AY534" s="71"/>
      <c r="AZ534" s="72"/>
      <c r="BA534" s="73"/>
    </row>
    <row r="535" spans="1:53" ht="17.100000000000001" customHeight="1" x14ac:dyDescent="0.25">
      <c r="A535" s="119"/>
      <c r="B535" s="119"/>
      <c r="C535" s="56" t="s">
        <v>311</v>
      </c>
      <c r="D535" s="146" t="s">
        <v>9</v>
      </c>
      <c r="E535" s="105"/>
      <c r="F535" s="105"/>
      <c r="G535" s="105"/>
      <c r="H535" s="119"/>
      <c r="I535" s="231"/>
      <c r="J535" s="111"/>
      <c r="K535" s="111"/>
      <c r="L535" s="111"/>
      <c r="M535" s="111"/>
      <c r="N535" s="60"/>
      <c r="O535" s="60">
        <v>9</v>
      </c>
      <c r="P535" s="17">
        <f t="shared" ref="P535:P537" si="648">SUM(N535:O535)</f>
        <v>9</v>
      </c>
      <c r="Q535" s="60"/>
      <c r="R535" s="60"/>
      <c r="S535" s="17">
        <f t="shared" ref="S535:S537" si="649">SUM(Q535:R535)</f>
        <v>0</v>
      </c>
      <c r="T535" s="60"/>
      <c r="U535" s="60"/>
      <c r="V535" s="359">
        <f t="shared" ref="V535:V537" si="650">SUM(T535:U535)</f>
        <v>0</v>
      </c>
      <c r="W535" s="391">
        <f t="shared" ref="W535:W537" si="651">J535+K535+N535+Q535+T535</f>
        <v>0</v>
      </c>
      <c r="X535" s="17">
        <f t="shared" ref="X535:X537" si="652">L535+O535+R535+U535</f>
        <v>9</v>
      </c>
      <c r="Y535" s="18">
        <f>SUM(W535:X535)</f>
        <v>9</v>
      </c>
      <c r="Z535" s="19">
        <f>IF(Y$538=0,0,Y535/Y$538)</f>
        <v>1</v>
      </c>
      <c r="AA535" s="19"/>
      <c r="AB535" s="19"/>
      <c r="AC535" s="20"/>
      <c r="AE535" s="111"/>
      <c r="AF535" s="111"/>
      <c r="AG535" s="111"/>
      <c r="AH535" s="112"/>
      <c r="AI535" s="113"/>
      <c r="AK535" s="111"/>
      <c r="AL535" s="111"/>
      <c r="AM535" s="111"/>
      <c r="AN535" s="112"/>
      <c r="AO535" s="113"/>
      <c r="AQ535" s="17"/>
      <c r="AR535" s="17"/>
      <c r="AS535" s="17"/>
      <c r="AT535" s="18">
        <f t="shared" ref="AT535:AT537" si="653">W535</f>
        <v>0</v>
      </c>
      <c r="AU535" s="19">
        <f>IF(AT$538=0,0,AT535/AT$538)</f>
        <v>0</v>
      </c>
      <c r="AW535" s="17"/>
      <c r="AX535" s="17"/>
      <c r="AY535" s="17"/>
      <c r="AZ535" s="18">
        <f t="shared" ref="AZ535:AZ537" si="654">X535</f>
        <v>9</v>
      </c>
      <c r="BA535" s="19">
        <f>IF(AZ$538=0,0,AZ535/AZ$538)</f>
        <v>1</v>
      </c>
    </row>
    <row r="536" spans="1:53" ht="17.100000000000001" customHeight="1" x14ac:dyDescent="0.25">
      <c r="A536" s="119"/>
      <c r="B536" s="119"/>
      <c r="C536" s="56" t="s">
        <v>312</v>
      </c>
      <c r="D536" s="146" t="s">
        <v>11</v>
      </c>
      <c r="E536" s="105"/>
      <c r="F536" s="105"/>
      <c r="G536" s="105"/>
      <c r="H536" s="119"/>
      <c r="I536" s="231"/>
      <c r="J536" s="111"/>
      <c r="K536" s="111"/>
      <c r="L536" s="111"/>
      <c r="M536" s="111"/>
      <c r="N536" s="61"/>
      <c r="O536" s="61"/>
      <c r="P536" s="17">
        <f t="shared" si="648"/>
        <v>0</v>
      </c>
      <c r="Q536" s="61"/>
      <c r="R536" s="61"/>
      <c r="S536" s="17">
        <f t="shared" si="649"/>
        <v>0</v>
      </c>
      <c r="T536" s="61"/>
      <c r="U536" s="61"/>
      <c r="V536" s="359">
        <f t="shared" si="650"/>
        <v>0</v>
      </c>
      <c r="W536" s="391">
        <f t="shared" si="651"/>
        <v>0</v>
      </c>
      <c r="X536" s="17">
        <f t="shared" si="652"/>
        <v>0</v>
      </c>
      <c r="Y536" s="18">
        <f>SUM(W536:X536)</f>
        <v>0</v>
      </c>
      <c r="Z536" s="19">
        <f t="shared" ref="Z536:Z538" si="655">IF(Y$538=0,0,Y536/Y$538)</f>
        <v>0</v>
      </c>
      <c r="AA536" s="19"/>
      <c r="AB536" s="19"/>
      <c r="AC536" s="20"/>
      <c r="AE536" s="111"/>
      <c r="AF536" s="111"/>
      <c r="AG536" s="111"/>
      <c r="AH536" s="112"/>
      <c r="AI536" s="113"/>
      <c r="AK536" s="111"/>
      <c r="AL536" s="111"/>
      <c r="AM536" s="111"/>
      <c r="AN536" s="112"/>
      <c r="AO536" s="113"/>
      <c r="AQ536" s="17"/>
      <c r="AR536" s="17"/>
      <c r="AS536" s="17"/>
      <c r="AT536" s="18">
        <f t="shared" si="653"/>
        <v>0</v>
      </c>
      <c r="AU536" s="19">
        <f t="shared" ref="AU536:AU538" si="656">IF(AT$538=0,0,AT536/AT$538)</f>
        <v>0</v>
      </c>
      <c r="AW536" s="17"/>
      <c r="AX536" s="17"/>
      <c r="AY536" s="17"/>
      <c r="AZ536" s="18">
        <f t="shared" si="654"/>
        <v>0</v>
      </c>
      <c r="BA536" s="19">
        <f t="shared" ref="BA536:BA538" si="657">IF(AZ$538=0,0,AZ536/AZ$538)</f>
        <v>0</v>
      </c>
    </row>
    <row r="537" spans="1:53" ht="17.100000000000001" customHeight="1" x14ac:dyDescent="0.25">
      <c r="A537" s="119"/>
      <c r="B537" s="119"/>
      <c r="C537" s="56" t="s">
        <v>490</v>
      </c>
      <c r="D537" s="146" t="s">
        <v>617</v>
      </c>
      <c r="E537" s="105"/>
      <c r="F537" s="105"/>
      <c r="G537" s="105"/>
      <c r="H537" s="119"/>
      <c r="I537" s="231"/>
      <c r="J537" s="111"/>
      <c r="K537" s="111"/>
      <c r="L537" s="111"/>
      <c r="M537" s="111"/>
      <c r="N537" s="60"/>
      <c r="O537" s="60"/>
      <c r="P537" s="17">
        <f t="shared" si="648"/>
        <v>0</v>
      </c>
      <c r="Q537" s="60"/>
      <c r="R537" s="60"/>
      <c r="S537" s="17">
        <f t="shared" si="649"/>
        <v>0</v>
      </c>
      <c r="T537" s="60"/>
      <c r="U537" s="60"/>
      <c r="V537" s="359">
        <f t="shared" si="650"/>
        <v>0</v>
      </c>
      <c r="W537" s="391">
        <f t="shared" si="651"/>
        <v>0</v>
      </c>
      <c r="X537" s="17">
        <f t="shared" si="652"/>
        <v>0</v>
      </c>
      <c r="Y537" s="18">
        <f>SUM(W537:X537)</f>
        <v>0</v>
      </c>
      <c r="Z537" s="19">
        <f t="shared" si="655"/>
        <v>0</v>
      </c>
      <c r="AA537" s="19"/>
      <c r="AB537" s="19"/>
      <c r="AC537" s="20"/>
      <c r="AE537" s="111"/>
      <c r="AF537" s="111"/>
      <c r="AG537" s="111"/>
      <c r="AH537" s="112"/>
      <c r="AI537" s="113"/>
      <c r="AK537" s="111"/>
      <c r="AL537" s="111"/>
      <c r="AM537" s="111"/>
      <c r="AN537" s="112"/>
      <c r="AO537" s="113"/>
      <c r="AQ537" s="17"/>
      <c r="AR537" s="17"/>
      <c r="AS537" s="17"/>
      <c r="AT537" s="18">
        <f t="shared" si="653"/>
        <v>0</v>
      </c>
      <c r="AU537" s="19">
        <f t="shared" si="656"/>
        <v>0</v>
      </c>
      <c r="AW537" s="17"/>
      <c r="AX537" s="17"/>
      <c r="AY537" s="17"/>
      <c r="AZ537" s="18">
        <f t="shared" si="654"/>
        <v>0</v>
      </c>
      <c r="BA537" s="19">
        <f t="shared" si="657"/>
        <v>0</v>
      </c>
    </row>
    <row r="538" spans="1:53" ht="17.100000000000001" customHeight="1" x14ac:dyDescent="0.25">
      <c r="A538" s="40"/>
      <c r="B538" s="40"/>
      <c r="C538" s="77"/>
      <c r="D538" s="134"/>
      <c r="E538" s="134"/>
      <c r="F538" s="134"/>
      <c r="G538" s="134"/>
      <c r="H538" s="540"/>
      <c r="I538" s="229"/>
      <c r="J538" s="80"/>
      <c r="K538" s="80"/>
      <c r="L538" s="81"/>
      <c r="M538" s="81"/>
      <c r="N538" s="81">
        <f>SUM(N535:N537)</f>
        <v>0</v>
      </c>
      <c r="O538" s="81">
        <f t="shared" ref="O538:V538" si="658">SUM(O535:O537)</f>
        <v>9</v>
      </c>
      <c r="P538" s="81">
        <f t="shared" si="658"/>
        <v>9</v>
      </c>
      <c r="Q538" s="81">
        <f t="shared" si="658"/>
        <v>0</v>
      </c>
      <c r="R538" s="81">
        <f t="shared" si="658"/>
        <v>0</v>
      </c>
      <c r="S538" s="81">
        <f t="shared" si="658"/>
        <v>0</v>
      </c>
      <c r="T538" s="81">
        <f t="shared" si="658"/>
        <v>0</v>
      </c>
      <c r="U538" s="81">
        <f t="shared" si="658"/>
        <v>0</v>
      </c>
      <c r="V538" s="81">
        <f t="shared" si="658"/>
        <v>0</v>
      </c>
      <c r="W538" s="381">
        <f>SUM(W535:W537)</f>
        <v>0</v>
      </c>
      <c r="X538" s="82">
        <f t="shared" ref="X538:Y538" si="659">SUM(X535:X537)</f>
        <v>9</v>
      </c>
      <c r="Y538" s="82">
        <f t="shared" si="659"/>
        <v>9</v>
      </c>
      <c r="Z538" s="205">
        <f t="shared" si="655"/>
        <v>1</v>
      </c>
      <c r="AA538" s="205"/>
      <c r="AB538" s="205"/>
      <c r="AC538" s="83"/>
      <c r="AE538" s="80"/>
      <c r="AF538" s="80"/>
      <c r="AG538" s="81"/>
      <c r="AH538" s="82"/>
      <c r="AI538" s="66"/>
      <c r="AK538" s="80"/>
      <c r="AL538" s="80"/>
      <c r="AM538" s="81"/>
      <c r="AN538" s="82"/>
      <c r="AO538" s="66"/>
      <c r="AQ538" s="80"/>
      <c r="AR538" s="80"/>
      <c r="AS538" s="81"/>
      <c r="AT538" s="82">
        <f>SUM(AT535:AT537)</f>
        <v>0</v>
      </c>
      <c r="AU538" s="66">
        <f t="shared" si="656"/>
        <v>0</v>
      </c>
      <c r="AW538" s="80"/>
      <c r="AX538" s="80"/>
      <c r="AY538" s="81"/>
      <c r="AZ538" s="82">
        <f>SUM(AZ535:AZ537)</f>
        <v>9</v>
      </c>
      <c r="BA538" s="66">
        <f t="shared" si="657"/>
        <v>1</v>
      </c>
    </row>
    <row r="539" spans="1:53" s="117" customFormat="1" ht="17.100000000000001" customHeight="1" x14ac:dyDescent="0.25">
      <c r="A539" s="68"/>
      <c r="B539" s="119"/>
      <c r="C539" s="540"/>
      <c r="D539" s="261"/>
      <c r="E539" s="261"/>
      <c r="F539" s="68"/>
      <c r="G539" s="68"/>
      <c r="H539" s="119"/>
      <c r="I539" s="138"/>
      <c r="J539" s="17"/>
      <c r="K539" s="17"/>
      <c r="L539" s="17"/>
      <c r="M539" s="17"/>
      <c r="N539" s="17" t="str">
        <f>IF(N538=N$20,"OK","NOK")</f>
        <v>OK</v>
      </c>
      <c r="O539" s="17" t="str">
        <f>IF(O538=O$20,"OK","NOK")</f>
        <v>OK</v>
      </c>
      <c r="P539" s="17"/>
      <c r="Q539" s="17" t="str">
        <f>IF(Q538=Q$20,"OK","NOK")</f>
        <v>OK</v>
      </c>
      <c r="R539" s="17" t="str">
        <f>IF(R538=R$20,"OK","NOK")</f>
        <v>OK</v>
      </c>
      <c r="S539" s="17"/>
      <c r="T539" s="17" t="str">
        <f>IF(T538=T$20,"OK","NOK")</f>
        <v>OK</v>
      </c>
      <c r="U539" s="17" t="str">
        <f>IF(U538=U$20,"OK","NOK")</f>
        <v>OK</v>
      </c>
      <c r="V539" s="359"/>
      <c r="W539" s="382"/>
      <c r="X539" s="539"/>
      <c r="Y539" s="539"/>
      <c r="Z539" s="201"/>
      <c r="AA539" s="201"/>
      <c r="AB539" s="201"/>
      <c r="AC539" s="84"/>
      <c r="AE539" s="46"/>
      <c r="AF539" s="46"/>
      <c r="AG539" s="17"/>
      <c r="AH539" s="539"/>
      <c r="AI539" s="91"/>
      <c r="AK539" s="46"/>
      <c r="AL539" s="46"/>
      <c r="AM539" s="17"/>
      <c r="AN539" s="539"/>
      <c r="AO539" s="91"/>
      <c r="AQ539" s="46"/>
      <c r="AR539" s="46"/>
      <c r="AS539" s="17"/>
      <c r="AT539" s="539"/>
      <c r="AU539" s="91"/>
      <c r="AW539" s="46"/>
      <c r="AX539" s="46"/>
      <c r="AY539" s="17"/>
      <c r="AZ539" s="539"/>
      <c r="BA539" s="91"/>
    </row>
    <row r="540" spans="1:53" s="117" customFormat="1" ht="17.100000000000001" customHeight="1" x14ac:dyDescent="0.25">
      <c r="A540" s="68"/>
      <c r="B540" s="119"/>
      <c r="C540" s="56" t="s">
        <v>672</v>
      </c>
      <c r="D540" s="146" t="s">
        <v>673</v>
      </c>
      <c r="E540" s="149"/>
      <c r="F540" s="149"/>
      <c r="G540" s="151"/>
      <c r="H540" s="119"/>
      <c r="I540" s="138"/>
      <c r="J540" s="111"/>
      <c r="K540" s="111"/>
      <c r="L540" s="111"/>
      <c r="M540" s="111"/>
      <c r="N540" s="111"/>
      <c r="O540" s="111"/>
      <c r="P540" s="336">
        <v>0.5</v>
      </c>
      <c r="Q540" s="341"/>
      <c r="R540" s="341"/>
      <c r="S540" s="336"/>
      <c r="T540" s="341"/>
      <c r="U540" s="341"/>
      <c r="V540" s="368"/>
      <c r="W540" s="382"/>
      <c r="X540" s="539"/>
      <c r="Y540" s="539"/>
      <c r="Z540" s="201"/>
      <c r="AA540" s="340">
        <f>MIN(P540,S540,V540)</f>
        <v>0.5</v>
      </c>
      <c r="AB540" s="340">
        <f>MAX(P540,S540,V540)</f>
        <v>0.5</v>
      </c>
      <c r="AC540" s="340">
        <f>IF(P540+S540+V540=0,0,AVERAGE(P540,S540,V540))</f>
        <v>0.5</v>
      </c>
      <c r="AE540" s="152"/>
      <c r="AF540" s="152"/>
      <c r="AG540" s="111"/>
      <c r="AH540" s="545"/>
      <c r="AI540" s="131"/>
      <c r="AK540" s="152"/>
      <c r="AL540" s="152"/>
      <c r="AM540" s="111"/>
      <c r="AN540" s="545"/>
      <c r="AO540" s="131"/>
      <c r="AQ540" s="152"/>
      <c r="AR540" s="152"/>
      <c r="AS540" s="111"/>
      <c r="AT540" s="545"/>
      <c r="AU540" s="131"/>
      <c r="AW540" s="152"/>
      <c r="AX540" s="152"/>
      <c r="AY540" s="111"/>
      <c r="AZ540" s="545"/>
      <c r="BA540" s="131"/>
    </row>
    <row r="541" spans="1:53" s="117" customFormat="1" ht="17.100000000000001" customHeight="1" x14ac:dyDescent="0.25">
      <c r="A541" s="68"/>
      <c r="B541" s="119"/>
      <c r="C541" s="92"/>
      <c r="D541" s="261"/>
      <c r="E541" s="261"/>
      <c r="F541" s="68"/>
      <c r="G541" s="68"/>
      <c r="H541" s="119"/>
      <c r="I541" s="138"/>
      <c r="J541" s="17"/>
      <c r="K541" s="17"/>
      <c r="L541" s="17"/>
      <c r="M541" s="17"/>
      <c r="N541" s="17"/>
      <c r="O541" s="17"/>
      <c r="P541" s="17"/>
      <c r="Q541" s="17"/>
      <c r="R541" s="17"/>
      <c r="S541" s="17"/>
      <c r="T541" s="17"/>
      <c r="U541" s="17"/>
      <c r="V541" s="359"/>
      <c r="W541" s="382"/>
      <c r="X541" s="539"/>
      <c r="Y541" s="539"/>
      <c r="Z541" s="201"/>
      <c r="AA541" s="201"/>
      <c r="AB541" s="201"/>
      <c r="AC541" s="84"/>
      <c r="AE541" s="46"/>
      <c r="AF541" s="46"/>
      <c r="AG541" s="17"/>
      <c r="AH541" s="539"/>
      <c r="AI541" s="91"/>
      <c r="AK541" s="46"/>
      <c r="AL541" s="46"/>
      <c r="AM541" s="17"/>
      <c r="AN541" s="539"/>
      <c r="AO541" s="91"/>
      <c r="AQ541" s="46"/>
      <c r="AR541" s="46"/>
      <c r="AS541" s="17"/>
      <c r="AT541" s="539"/>
      <c r="AU541" s="91"/>
      <c r="AW541" s="46"/>
      <c r="AX541" s="46"/>
      <c r="AY541" s="17"/>
      <c r="AZ541" s="539"/>
      <c r="BA541" s="91"/>
    </row>
    <row r="542" spans="1:53" ht="17.100000000000001" customHeight="1" x14ac:dyDescent="0.25">
      <c r="A542" s="68"/>
      <c r="B542" s="41" t="s">
        <v>313</v>
      </c>
      <c r="C542" s="69" t="s">
        <v>492</v>
      </c>
      <c r="D542" s="50"/>
      <c r="E542" s="70"/>
      <c r="F542" s="70"/>
      <c r="G542" s="70"/>
      <c r="H542" s="119"/>
      <c r="J542" s="71"/>
      <c r="K542" s="71"/>
      <c r="L542" s="71"/>
      <c r="M542" s="71"/>
      <c r="N542" s="71"/>
      <c r="O542" s="71"/>
      <c r="P542" s="71"/>
      <c r="Q542" s="71"/>
      <c r="R542" s="71"/>
      <c r="S542" s="71"/>
      <c r="T542" s="71"/>
      <c r="U542" s="71"/>
      <c r="V542" s="355"/>
      <c r="W542" s="377"/>
      <c r="X542" s="71"/>
      <c r="Y542" s="72"/>
      <c r="Z542" s="73"/>
      <c r="AA542" s="73"/>
      <c r="AB542" s="73"/>
      <c r="AC542" s="73"/>
      <c r="AE542" s="71"/>
      <c r="AF542" s="71"/>
      <c r="AG542" s="71"/>
      <c r="AH542" s="72"/>
      <c r="AI542" s="73"/>
      <c r="AK542" s="71"/>
      <c r="AL542" s="71"/>
      <c r="AM542" s="71"/>
      <c r="AN542" s="72"/>
      <c r="AO542" s="73"/>
      <c r="AQ542" s="71"/>
      <c r="AR542" s="71"/>
      <c r="AS542" s="71"/>
      <c r="AT542" s="72"/>
      <c r="AU542" s="73"/>
      <c r="AW542" s="71"/>
      <c r="AX542" s="71"/>
      <c r="AY542" s="71"/>
      <c r="AZ542" s="72"/>
      <c r="BA542" s="73"/>
    </row>
    <row r="543" spans="1:53" ht="17.100000000000001" customHeight="1" x14ac:dyDescent="0.25">
      <c r="A543" s="119"/>
      <c r="B543" s="119"/>
      <c r="C543" s="56" t="s">
        <v>314</v>
      </c>
      <c r="D543" s="149" t="s">
        <v>129</v>
      </c>
      <c r="E543" s="105"/>
      <c r="F543" s="105"/>
      <c r="G543" s="105"/>
      <c r="H543" s="119"/>
      <c r="J543" s="111"/>
      <c r="K543" s="111"/>
      <c r="L543" s="111"/>
      <c r="M543" s="111"/>
      <c r="N543" s="598"/>
      <c r="O543" s="598"/>
      <c r="P543" s="327"/>
      <c r="Q543" s="598"/>
      <c r="R543" s="598"/>
      <c r="S543" s="327"/>
      <c r="T543" s="598"/>
      <c r="U543" s="598"/>
      <c r="V543" s="369"/>
      <c r="W543" s="391"/>
      <c r="X543" s="17"/>
      <c r="Y543" s="328">
        <f>P543+S543+V543</f>
        <v>0</v>
      </c>
      <c r="Z543" s="19">
        <f>IF(Y$546=0,0,Y543/Y$546)</f>
        <v>0</v>
      </c>
      <c r="AA543" s="19"/>
      <c r="AB543" s="19"/>
      <c r="AC543" s="20"/>
      <c r="AE543" s="111"/>
      <c r="AF543" s="111"/>
      <c r="AG543" s="111"/>
      <c r="AH543" s="545"/>
      <c r="AI543" s="131"/>
      <c r="AK543" s="111"/>
      <c r="AL543" s="111"/>
      <c r="AM543" s="111"/>
      <c r="AN543" s="545"/>
      <c r="AO543" s="131"/>
      <c r="AQ543" s="111"/>
      <c r="AR543" s="111"/>
      <c r="AS543" s="111"/>
      <c r="AT543" s="545"/>
      <c r="AU543" s="131"/>
      <c r="AW543" s="111"/>
      <c r="AX543" s="111"/>
      <c r="AY543" s="111"/>
      <c r="AZ543" s="545"/>
      <c r="BA543" s="131"/>
    </row>
    <row r="544" spans="1:53" ht="17.100000000000001" customHeight="1" x14ac:dyDescent="0.25">
      <c r="A544" s="119"/>
      <c r="B544" s="119"/>
      <c r="C544" s="56" t="s">
        <v>327</v>
      </c>
      <c r="D544" s="149" t="s">
        <v>491</v>
      </c>
      <c r="E544" s="105"/>
      <c r="F544" s="105"/>
      <c r="G544" s="105"/>
      <c r="H544" s="119"/>
      <c r="J544" s="599"/>
      <c r="K544" s="599"/>
      <c r="L544" s="599"/>
      <c r="M544" s="599"/>
      <c r="N544" s="598"/>
      <c r="O544" s="598"/>
      <c r="P544" s="329">
        <v>1</v>
      </c>
      <c r="Q544" s="598"/>
      <c r="R544" s="598"/>
      <c r="S544" s="329"/>
      <c r="T544" s="598"/>
      <c r="U544" s="598"/>
      <c r="V544" s="370"/>
      <c r="W544" s="391"/>
      <c r="X544" s="17"/>
      <c r="Y544" s="328">
        <f t="shared" ref="Y544:Y545" si="660">P544+S544+V544</f>
        <v>1</v>
      </c>
      <c r="Z544" s="19">
        <f>IF(Y$546=0,0,Y544/Y$546)</f>
        <v>1</v>
      </c>
      <c r="AA544" s="19"/>
      <c r="AB544" s="19"/>
      <c r="AC544" s="189"/>
      <c r="AE544" s="111"/>
      <c r="AF544" s="111"/>
      <c r="AG544" s="111"/>
      <c r="AH544" s="545"/>
      <c r="AI544" s="131"/>
      <c r="AK544" s="111"/>
      <c r="AL544" s="111"/>
      <c r="AM544" s="111"/>
      <c r="AN544" s="545"/>
      <c r="AO544" s="131"/>
      <c r="AQ544" s="111"/>
      <c r="AR544" s="111"/>
      <c r="AS544" s="111"/>
      <c r="AT544" s="545"/>
      <c r="AU544" s="131"/>
      <c r="AW544" s="111"/>
      <c r="AX544" s="111"/>
      <c r="AY544" s="111"/>
      <c r="AZ544" s="545"/>
      <c r="BA544" s="131"/>
    </row>
    <row r="545" spans="1:53" ht="17.100000000000001" customHeight="1" x14ac:dyDescent="0.25">
      <c r="A545" s="119"/>
      <c r="B545" s="119"/>
      <c r="C545" s="56" t="s">
        <v>328</v>
      </c>
      <c r="D545" s="149" t="s">
        <v>493</v>
      </c>
      <c r="E545" s="105"/>
      <c r="F545" s="105"/>
      <c r="G545" s="105"/>
      <c r="H545" s="119"/>
      <c r="J545" s="111"/>
      <c r="K545" s="111"/>
      <c r="L545" s="111"/>
      <c r="M545" s="111"/>
      <c r="N545" s="598"/>
      <c r="O545" s="598"/>
      <c r="P545" s="327"/>
      <c r="Q545" s="598"/>
      <c r="R545" s="598"/>
      <c r="S545" s="327"/>
      <c r="T545" s="598"/>
      <c r="U545" s="598"/>
      <c r="V545" s="369"/>
      <c r="W545" s="391"/>
      <c r="X545" s="17"/>
      <c r="Y545" s="328">
        <f t="shared" si="660"/>
        <v>0</v>
      </c>
      <c r="Z545" s="19">
        <f>IF(Y$546=0,0,Y545/Y$546)</f>
        <v>0</v>
      </c>
      <c r="AA545" s="19"/>
      <c r="AB545" s="19"/>
      <c r="AC545" s="20"/>
      <c r="AE545" s="111"/>
      <c r="AF545" s="111"/>
      <c r="AG545" s="111"/>
      <c r="AH545" s="545"/>
      <c r="AI545" s="131"/>
      <c r="AK545" s="111"/>
      <c r="AL545" s="111"/>
      <c r="AM545" s="111"/>
      <c r="AN545" s="545"/>
      <c r="AO545" s="131"/>
      <c r="AQ545" s="111"/>
      <c r="AR545" s="111"/>
      <c r="AS545" s="111"/>
      <c r="AT545" s="545"/>
      <c r="AU545" s="131"/>
      <c r="AW545" s="111"/>
      <c r="AX545" s="111"/>
      <c r="AY545" s="111"/>
      <c r="AZ545" s="545"/>
      <c r="BA545" s="131"/>
    </row>
    <row r="546" spans="1:53" ht="17.100000000000001" customHeight="1" x14ac:dyDescent="0.25">
      <c r="A546" s="119"/>
      <c r="B546" s="119"/>
      <c r="C546" s="325"/>
      <c r="D546" s="326"/>
      <c r="E546" s="184"/>
      <c r="F546" s="184"/>
      <c r="G546" s="184"/>
      <c r="H546" s="119"/>
      <c r="J546" s="600"/>
      <c r="K546" s="600"/>
      <c r="L546" s="600"/>
      <c r="M546" s="600"/>
      <c r="N546" s="600"/>
      <c r="O546" s="600"/>
      <c r="P546" s="601">
        <f>SUM(P543:P545)</f>
        <v>1</v>
      </c>
      <c r="Q546" s="600"/>
      <c r="R546" s="600"/>
      <c r="S546" s="601">
        <f>SUM(S543:S545)</f>
        <v>0</v>
      </c>
      <c r="T546" s="600"/>
      <c r="U546" s="600"/>
      <c r="V546" s="602">
        <f>SUM(V543:V545)</f>
        <v>0</v>
      </c>
      <c r="W546" s="381"/>
      <c r="X546" s="82"/>
      <c r="Y546" s="82">
        <f t="shared" ref="Y546" si="661">SUM(Y543:Y545)</f>
        <v>1</v>
      </c>
      <c r="Z546" s="205">
        <f>IF(Y$546=0,0,Y546/Y$546)</f>
        <v>1</v>
      </c>
      <c r="AA546" s="205"/>
      <c r="AB546" s="205"/>
      <c r="AC546" s="204"/>
      <c r="AE546" s="81"/>
      <c r="AF546" s="81"/>
      <c r="AG546" s="81"/>
      <c r="AH546" s="82"/>
      <c r="AI546" s="66"/>
      <c r="AK546" s="81"/>
      <c r="AL546" s="81"/>
      <c r="AM546" s="81"/>
      <c r="AN546" s="82"/>
      <c r="AO546" s="66"/>
      <c r="AQ546" s="81"/>
      <c r="AR546" s="81"/>
      <c r="AS546" s="81"/>
      <c r="AT546" s="82"/>
      <c r="AU546" s="66"/>
      <c r="AW546" s="81"/>
      <c r="AX546" s="81"/>
      <c r="AY546" s="81"/>
      <c r="AZ546" s="82"/>
      <c r="BA546" s="66"/>
    </row>
    <row r="547" spans="1:53" s="117" customFormat="1" ht="17.100000000000001" customHeight="1" x14ac:dyDescent="0.25">
      <c r="A547" s="68"/>
      <c r="B547" s="119"/>
      <c r="C547" s="540"/>
      <c r="D547" s="261"/>
      <c r="E547" s="261"/>
      <c r="F547" s="68"/>
      <c r="G547" s="68"/>
      <c r="H547" s="119"/>
      <c r="I547" s="138"/>
      <c r="J547" s="17"/>
      <c r="K547" s="17"/>
      <c r="L547" s="17"/>
      <c r="M547" s="17"/>
      <c r="N547" s="17"/>
      <c r="O547" s="17"/>
      <c r="P547" s="17" t="str">
        <f>IF(P546=1,"OK","NOK")</f>
        <v>OK</v>
      </c>
      <c r="Q547" s="17"/>
      <c r="R547" s="17"/>
      <c r="S547" s="17" t="str">
        <f>IF(S546=1,"OK","NOK")</f>
        <v>NOK</v>
      </c>
      <c r="T547" s="17"/>
      <c r="U547" s="17"/>
      <c r="V547" s="359" t="str">
        <f>IF(V546=1,"OK","NOK")</f>
        <v>NOK</v>
      </c>
      <c r="W547" s="382"/>
      <c r="X547" s="539"/>
      <c r="Y547" s="539"/>
      <c r="Z547" s="201"/>
      <c r="AA547" s="201"/>
      <c r="AB547" s="201"/>
      <c r="AC547" s="84"/>
      <c r="AE547" s="46"/>
      <c r="AF547" s="46"/>
      <c r="AG547" s="17"/>
      <c r="AH547" s="539"/>
      <c r="AI547" s="91"/>
      <c r="AK547" s="46"/>
      <c r="AL547" s="46"/>
      <c r="AM547" s="17"/>
      <c r="AN547" s="539"/>
      <c r="AO547" s="91"/>
      <c r="AQ547" s="46"/>
      <c r="AR547" s="46"/>
      <c r="AS547" s="17"/>
      <c r="AT547" s="539"/>
      <c r="AU547" s="91"/>
      <c r="AW547" s="46"/>
      <c r="AX547" s="46"/>
      <c r="AY547" s="17"/>
      <c r="AZ547" s="539"/>
      <c r="BA547" s="91"/>
    </row>
    <row r="548" spans="1:53" s="117" customFormat="1" ht="17.100000000000001" customHeight="1" x14ac:dyDescent="0.25">
      <c r="A548" s="68"/>
      <c r="B548" s="119"/>
      <c r="C548" s="92"/>
      <c r="D548" s="93"/>
      <c r="E548" s="93"/>
      <c r="F548" s="93"/>
      <c r="G548" s="93"/>
      <c r="H548" s="540"/>
      <c r="I548" s="12"/>
      <c r="J548" s="46"/>
      <c r="K548" s="46"/>
      <c r="L548" s="17"/>
      <c r="M548" s="17"/>
      <c r="N548" s="17"/>
      <c r="O548" s="17"/>
      <c r="P548" s="17"/>
      <c r="Q548" s="17"/>
      <c r="R548" s="17"/>
      <c r="S548" s="17"/>
      <c r="T548" s="17"/>
      <c r="U548" s="17"/>
      <c r="V548" s="359"/>
      <c r="W548" s="391"/>
      <c r="X548" s="17"/>
      <c r="Y548" s="539"/>
      <c r="Z548" s="91"/>
      <c r="AA548" s="91"/>
      <c r="AB548" s="91"/>
      <c r="AC548" s="84"/>
      <c r="AE548" s="46"/>
      <c r="AF548" s="46"/>
      <c r="AG548" s="17"/>
      <c r="AH548" s="539"/>
      <c r="AI548" s="91"/>
      <c r="AK548" s="46"/>
      <c r="AL548" s="46"/>
      <c r="AM548" s="17"/>
      <c r="AN548" s="539"/>
      <c r="AO548" s="91"/>
      <c r="AQ548" s="46"/>
      <c r="AR548" s="46"/>
      <c r="AS548" s="17"/>
      <c r="AT548" s="539"/>
      <c r="AU548" s="91"/>
      <c r="AW548" s="46"/>
      <c r="AX548" s="46"/>
      <c r="AY548" s="17"/>
      <c r="AZ548" s="539"/>
      <c r="BA548" s="91"/>
    </row>
    <row r="549" spans="1:53" ht="17.100000000000001" customHeight="1" x14ac:dyDescent="0.25">
      <c r="A549" s="68"/>
      <c r="B549" s="41" t="s">
        <v>1443</v>
      </c>
      <c r="C549" s="69" t="s">
        <v>12</v>
      </c>
      <c r="D549" s="50"/>
      <c r="E549" s="70"/>
      <c r="F549" s="70"/>
      <c r="G549" s="70"/>
      <c r="H549" s="119"/>
      <c r="J549" s="71"/>
      <c r="K549" s="71"/>
      <c r="L549" s="71"/>
      <c r="M549" s="71"/>
      <c r="N549" s="71"/>
      <c r="O549" s="71"/>
      <c r="P549" s="71"/>
      <c r="Q549" s="71"/>
      <c r="R549" s="71"/>
      <c r="S549" s="71"/>
      <c r="T549" s="71"/>
      <c r="U549" s="71"/>
      <c r="V549" s="355"/>
      <c r="W549" s="377"/>
      <c r="X549" s="71"/>
      <c r="Y549" s="72"/>
      <c r="Z549" s="73"/>
      <c r="AA549" s="73"/>
      <c r="AB549" s="73"/>
      <c r="AC549" s="73"/>
      <c r="AE549" s="71"/>
      <c r="AF549" s="71"/>
      <c r="AG549" s="71"/>
      <c r="AH549" s="72"/>
      <c r="AI549" s="73"/>
      <c r="AK549" s="71"/>
      <c r="AL549" s="71"/>
      <c r="AM549" s="71"/>
      <c r="AN549" s="72"/>
      <c r="AO549" s="73"/>
      <c r="AQ549" s="71"/>
      <c r="AR549" s="71"/>
      <c r="AS549" s="71"/>
      <c r="AT549" s="72"/>
      <c r="AU549" s="73"/>
      <c r="AW549" s="71"/>
      <c r="AX549" s="71"/>
      <c r="AY549" s="71"/>
      <c r="AZ549" s="72"/>
      <c r="BA549" s="73"/>
    </row>
    <row r="550" spans="1:53" ht="17.100000000000001" customHeight="1" x14ac:dyDescent="0.25">
      <c r="A550" s="40"/>
      <c r="B550" s="40"/>
      <c r="C550" s="74" t="s">
        <v>1444</v>
      </c>
      <c r="D550" s="931" t="s">
        <v>315</v>
      </c>
      <c r="E550" s="75"/>
      <c r="F550" s="75"/>
      <c r="G550" s="75"/>
      <c r="H550" s="928"/>
      <c r="I550" s="12"/>
      <c r="J550" s="152"/>
      <c r="K550" s="152"/>
      <c r="L550" s="152"/>
      <c r="M550" s="152"/>
      <c r="N550" s="152">
        <f>IF(N20&gt;0,1,0)</f>
        <v>0</v>
      </c>
      <c r="O550" s="152">
        <f>IF(O20&gt;0,1,0)</f>
        <v>1</v>
      </c>
      <c r="P550" s="152"/>
      <c r="Q550" s="152">
        <f>IF(Q20&gt;0,1,0)</f>
        <v>0</v>
      </c>
      <c r="R550" s="152">
        <f>IF(R20&gt;0,1,0)</f>
        <v>0</v>
      </c>
      <c r="S550" s="152"/>
      <c r="T550" s="152">
        <f>IF(T20&gt;0,1,0)</f>
        <v>0</v>
      </c>
      <c r="U550" s="152">
        <f>IF(U20&gt;0,1,0)</f>
        <v>0</v>
      </c>
      <c r="V550" s="152"/>
      <c r="W550" s="389"/>
      <c r="X550" s="152"/>
      <c r="Y550" s="932"/>
      <c r="Z550" s="131"/>
      <c r="AA550" s="131"/>
      <c r="AB550" s="131"/>
      <c r="AC550" s="113"/>
      <c r="AE550" s="152"/>
      <c r="AF550" s="152"/>
      <c r="AG550" s="152"/>
      <c r="AH550" s="932"/>
      <c r="AI550" s="131"/>
      <c r="AK550" s="152"/>
      <c r="AL550" s="152"/>
      <c r="AM550" s="152"/>
      <c r="AN550" s="932"/>
      <c r="AO550" s="131"/>
      <c r="AQ550" s="152"/>
      <c r="AR550" s="152"/>
      <c r="AS550" s="152"/>
      <c r="AT550" s="932"/>
      <c r="AU550" s="131"/>
      <c r="AW550" s="152"/>
      <c r="AX550" s="152"/>
      <c r="AY550" s="152"/>
      <c r="AZ550" s="932"/>
      <c r="BA550" s="131"/>
    </row>
    <row r="551" spans="1:53" ht="17.100000000000001" customHeight="1" x14ac:dyDescent="0.25">
      <c r="A551" s="119"/>
      <c r="B551" s="40"/>
      <c r="C551" s="40"/>
      <c r="D551" s="128" t="s">
        <v>1017</v>
      </c>
      <c r="E551" s="122"/>
      <c r="F551" s="122"/>
      <c r="G551" s="122"/>
      <c r="H551" s="928"/>
      <c r="I551" s="12"/>
      <c r="J551" s="190"/>
      <c r="K551" s="190"/>
      <c r="L551" s="190"/>
      <c r="M551" s="190"/>
      <c r="N551" s="570">
        <f>IF(N508=0,0,N506/N508)*0.5</f>
        <v>0</v>
      </c>
      <c r="O551" s="570">
        <f>IF(O508=0,0,O506/O508)*0.5</f>
        <v>0</v>
      </c>
      <c r="P551" s="190"/>
      <c r="Q551" s="570">
        <f>IF(Q508=0,0,Q506/Q508)*0.5</f>
        <v>0</v>
      </c>
      <c r="R551" s="570">
        <f>IF(R508=0,0,R506/R508)*0.5</f>
        <v>0</v>
      </c>
      <c r="S551" s="190"/>
      <c r="T551" s="570">
        <f>IF(T508=0,0,T506/T508)*0.5</f>
        <v>0</v>
      </c>
      <c r="U551" s="570">
        <f>IF(U508=0,0,U506/U508)*0.5</f>
        <v>0</v>
      </c>
      <c r="V551" s="371"/>
      <c r="W551" s="393"/>
      <c r="X551" s="190"/>
      <c r="Y551" s="129"/>
      <c r="Z551" s="130"/>
      <c r="AA551" s="130"/>
      <c r="AB551" s="130"/>
      <c r="AC551" s="125"/>
      <c r="AE551" s="190"/>
      <c r="AF551" s="190"/>
      <c r="AG551" s="190"/>
      <c r="AH551" s="129"/>
      <c r="AI551" s="130"/>
      <c r="AK551" s="190"/>
      <c r="AL551" s="190"/>
      <c r="AM551" s="190"/>
      <c r="AN551" s="129"/>
      <c r="AO551" s="130"/>
      <c r="AQ551" s="190"/>
      <c r="AR551" s="190"/>
      <c r="AS551" s="190"/>
      <c r="AT551" s="129"/>
      <c r="AU551" s="130"/>
      <c r="AW551" s="190"/>
      <c r="AX551" s="190"/>
      <c r="AY551" s="190"/>
      <c r="AZ551" s="129"/>
      <c r="BA551" s="130"/>
    </row>
    <row r="552" spans="1:53" ht="17.100000000000001" customHeight="1" x14ac:dyDescent="0.25">
      <c r="A552" s="119"/>
      <c r="B552" s="40"/>
      <c r="C552" s="40"/>
      <c r="D552" s="128" t="s">
        <v>1018</v>
      </c>
      <c r="E552" s="122"/>
      <c r="F552" s="122"/>
      <c r="G552" s="122"/>
      <c r="H552" s="928"/>
      <c r="I552" s="12"/>
      <c r="J552" s="190"/>
      <c r="K552" s="190"/>
      <c r="L552" s="190"/>
      <c r="M552" s="190"/>
      <c r="N552" s="570">
        <f>IF(N508=0,0,N507/N508)*1</f>
        <v>0</v>
      </c>
      <c r="O552" s="570">
        <f>IF(O508=0,0,O507/O508)*1</f>
        <v>1</v>
      </c>
      <c r="P552" s="190"/>
      <c r="Q552" s="570">
        <f>IF(Q508=0,0,Q507/Q508)*1</f>
        <v>0</v>
      </c>
      <c r="R552" s="570">
        <f>IF(R508=0,0,R507/R508)*1</f>
        <v>0</v>
      </c>
      <c r="S552" s="190"/>
      <c r="T552" s="570">
        <f>IF(T508=0,0,T507/T508)*1</f>
        <v>0</v>
      </c>
      <c r="U552" s="570">
        <f>IF(U508=0,0,U507/U508)*1</f>
        <v>0</v>
      </c>
      <c r="V552" s="371"/>
      <c r="W552" s="393"/>
      <c r="X552" s="190"/>
      <c r="Y552" s="129"/>
      <c r="Z552" s="130"/>
      <c r="AA552" s="130"/>
      <c r="AB552" s="130"/>
      <c r="AC552" s="125"/>
      <c r="AE552" s="190"/>
      <c r="AF552" s="190"/>
      <c r="AG552" s="190"/>
      <c r="AH552" s="129"/>
      <c r="AI552" s="130"/>
      <c r="AK552" s="190"/>
      <c r="AL552" s="190"/>
      <c r="AM552" s="190"/>
      <c r="AN552" s="129"/>
      <c r="AO552" s="130"/>
      <c r="AQ552" s="190"/>
      <c r="AR552" s="190"/>
      <c r="AS552" s="190"/>
      <c r="AT552" s="129"/>
      <c r="AU552" s="130"/>
      <c r="AW552" s="190"/>
      <c r="AX552" s="190"/>
      <c r="AY552" s="190"/>
      <c r="AZ552" s="129"/>
      <c r="BA552" s="130"/>
    </row>
    <row r="553" spans="1:53" ht="17.100000000000001" customHeight="1" x14ac:dyDescent="0.25">
      <c r="A553" s="119"/>
      <c r="B553" s="40"/>
      <c r="C553" s="40"/>
      <c r="D553" s="128" t="s">
        <v>316</v>
      </c>
      <c r="E553" s="122"/>
      <c r="F553" s="122"/>
      <c r="G553" s="122"/>
      <c r="H553" s="928"/>
      <c r="I553" s="12"/>
      <c r="J553" s="190"/>
      <c r="K553" s="190"/>
      <c r="L553" s="190"/>
      <c r="M553" s="190"/>
      <c r="N553" s="570">
        <f>IF(N515=0,0,N513/N515)*0.5</f>
        <v>0</v>
      </c>
      <c r="O553" s="570">
        <f>IF(O515=0,0,O513/O515)*0.5</f>
        <v>0</v>
      </c>
      <c r="P553" s="190"/>
      <c r="Q553" s="570">
        <f>IF(Q515=0,0,Q513/Q515)*0.5</f>
        <v>0</v>
      </c>
      <c r="R553" s="570">
        <f>IF(R515=0,0,R513/R515)*0.5</f>
        <v>0</v>
      </c>
      <c r="S553" s="190"/>
      <c r="T553" s="570">
        <f>IF(T515=0,0,T513/T515)*0.5</f>
        <v>0</v>
      </c>
      <c r="U553" s="570">
        <f>IF(U515=0,0,U513/U515)*0.5</f>
        <v>0</v>
      </c>
      <c r="V553" s="371"/>
      <c r="W553" s="393"/>
      <c r="X553" s="190"/>
      <c r="Y553" s="129"/>
      <c r="Z553" s="130"/>
      <c r="AA553" s="130"/>
      <c r="AB553" s="130"/>
      <c r="AC553" s="125"/>
      <c r="AE553" s="190"/>
      <c r="AF553" s="190"/>
      <c r="AG553" s="190"/>
      <c r="AH553" s="129"/>
      <c r="AI553" s="130"/>
      <c r="AK553" s="190"/>
      <c r="AL553" s="190"/>
      <c r="AM553" s="190"/>
      <c r="AN553" s="129"/>
      <c r="AO553" s="130"/>
      <c r="AQ553" s="190"/>
      <c r="AR553" s="190"/>
      <c r="AS553" s="190"/>
      <c r="AT553" s="129"/>
      <c r="AU553" s="130"/>
      <c r="AW553" s="190"/>
      <c r="AX553" s="190"/>
      <c r="AY553" s="190"/>
      <c r="AZ553" s="129"/>
      <c r="BA553" s="130"/>
    </row>
    <row r="554" spans="1:53" ht="17.100000000000001" customHeight="1" x14ac:dyDescent="0.25">
      <c r="A554" s="119"/>
      <c r="B554" s="40"/>
      <c r="C554" s="40"/>
      <c r="D554" s="128" t="s">
        <v>317</v>
      </c>
      <c r="E554" s="122"/>
      <c r="F554" s="122"/>
      <c r="G554" s="122"/>
      <c r="H554" s="928"/>
      <c r="I554" s="12"/>
      <c r="J554" s="190"/>
      <c r="K554" s="190"/>
      <c r="L554" s="190"/>
      <c r="M554" s="190"/>
      <c r="N554" s="570">
        <f>IF(N515=0,0,N514/N515)*1</f>
        <v>0</v>
      </c>
      <c r="O554" s="570">
        <f>IF(O515=0,0,O514/O515)*1</f>
        <v>1</v>
      </c>
      <c r="P554" s="190"/>
      <c r="Q554" s="570">
        <f>IF(Q515=0,0,Q514/Q515)*1</f>
        <v>0</v>
      </c>
      <c r="R554" s="570">
        <f>IF(R515=0,0,R514/R515)*1</f>
        <v>0</v>
      </c>
      <c r="S554" s="190"/>
      <c r="T554" s="570">
        <f>IF(T515=0,0,T514/T515)*1</f>
        <v>0</v>
      </c>
      <c r="U554" s="570">
        <f>IF(U515=0,0,U514/U515)*1</f>
        <v>0</v>
      </c>
      <c r="V554" s="371"/>
      <c r="W554" s="393"/>
      <c r="X554" s="190"/>
      <c r="Y554" s="129"/>
      <c r="Z554" s="130"/>
      <c r="AA554" s="130"/>
      <c r="AB554" s="130"/>
      <c r="AC554" s="125"/>
      <c r="AE554" s="190"/>
      <c r="AF554" s="190"/>
      <c r="AG554" s="190"/>
      <c r="AH554" s="129"/>
      <c r="AI554" s="130"/>
      <c r="AK554" s="190"/>
      <c r="AL554" s="190"/>
      <c r="AM554" s="190"/>
      <c r="AN554" s="129"/>
      <c r="AO554" s="130"/>
      <c r="AQ554" s="190"/>
      <c r="AR554" s="190"/>
      <c r="AS554" s="190"/>
      <c r="AT554" s="129"/>
      <c r="AU554" s="130"/>
      <c r="AW554" s="190"/>
      <c r="AX554" s="190"/>
      <c r="AY554" s="190"/>
      <c r="AZ554" s="129"/>
      <c r="BA554" s="130"/>
    </row>
    <row r="555" spans="1:53" ht="17.100000000000001" customHeight="1" x14ac:dyDescent="0.25">
      <c r="A555" s="137"/>
      <c r="B555" s="40"/>
      <c r="C555" s="40"/>
      <c r="D555" s="128" t="s">
        <v>1019</v>
      </c>
      <c r="E555" s="122"/>
      <c r="F555" s="122"/>
      <c r="G555" s="122"/>
      <c r="H555" s="928"/>
      <c r="I555" s="12"/>
      <c r="J555" s="190"/>
      <c r="K555" s="190"/>
      <c r="L555" s="190"/>
      <c r="M555" s="190"/>
      <c r="N555" s="570"/>
      <c r="O555" s="570"/>
      <c r="P555" s="190"/>
      <c r="Q555" s="570"/>
      <c r="R555" s="570"/>
      <c r="S555" s="190"/>
      <c r="T555" s="570"/>
      <c r="U555" s="570"/>
      <c r="V555" s="371"/>
      <c r="W555" s="393"/>
      <c r="X555" s="190"/>
      <c r="Y555" s="129"/>
      <c r="Z555" s="130"/>
      <c r="AA555" s="130"/>
      <c r="AB555" s="130"/>
      <c r="AC555" s="125"/>
      <c r="AE555" s="190"/>
      <c r="AF555" s="190"/>
      <c r="AG555" s="190"/>
      <c r="AH555" s="129"/>
      <c r="AI555" s="130"/>
      <c r="AK555" s="190"/>
      <c r="AL555" s="190"/>
      <c r="AM555" s="190"/>
      <c r="AN555" s="129"/>
      <c r="AO555" s="130"/>
      <c r="AQ555" s="190"/>
      <c r="AR555" s="190"/>
      <c r="AS555" s="190"/>
      <c r="AT555" s="129"/>
      <c r="AU555" s="130"/>
      <c r="AW555" s="190"/>
      <c r="AX555" s="190"/>
      <c r="AY555" s="190"/>
      <c r="AZ555" s="129"/>
      <c r="BA555" s="130"/>
    </row>
    <row r="556" spans="1:53" ht="17.100000000000001" customHeight="1" x14ac:dyDescent="0.25">
      <c r="A556" s="119"/>
      <c r="B556" s="40"/>
      <c r="C556" s="40"/>
      <c r="D556" s="128" t="s">
        <v>318</v>
      </c>
      <c r="E556" s="122"/>
      <c r="F556" s="122"/>
      <c r="G556" s="122"/>
      <c r="H556" s="928"/>
      <c r="I556" s="12"/>
      <c r="J556" s="190"/>
      <c r="K556" s="190"/>
      <c r="L556" s="190"/>
      <c r="M556" s="190"/>
      <c r="N556" s="570">
        <f>IF(N533=0,0,(SUM(N524:N525)+N522+N527)/N533)</f>
        <v>0</v>
      </c>
      <c r="O556" s="570">
        <f>IF(O533=0,0,(SUM(O524:O525)+O522+O527)/O533)</f>
        <v>0.44444444444444442</v>
      </c>
      <c r="P556" s="190"/>
      <c r="Q556" s="570">
        <f>IF(Q533=0,0,(SUM(Q524:Q525)+Q522+Q527)/Q533)</f>
        <v>0</v>
      </c>
      <c r="R556" s="570">
        <f>IF(R533=0,0,(SUM(R524:R525)+R522+R527)/R533)</f>
        <v>0</v>
      </c>
      <c r="S556" s="190"/>
      <c r="T556" s="570">
        <f>IF(T533=0,0,(SUM(T524:T525)+T522+T527)/T533)</f>
        <v>0</v>
      </c>
      <c r="U556" s="570">
        <f>IF(U533=0,0,(SUM(U524:U525)+U522+U527)/U533)</f>
        <v>0</v>
      </c>
      <c r="V556" s="371"/>
      <c r="W556" s="393"/>
      <c r="X556" s="190"/>
      <c r="Y556" s="129"/>
      <c r="Z556" s="130"/>
      <c r="AA556" s="130"/>
      <c r="AB556" s="130"/>
      <c r="AC556" s="125"/>
      <c r="AE556" s="190"/>
      <c r="AF556" s="190"/>
      <c r="AG556" s="190"/>
      <c r="AH556" s="129"/>
      <c r="AI556" s="130"/>
      <c r="AK556" s="190"/>
      <c r="AL556" s="190"/>
      <c r="AM556" s="190"/>
      <c r="AN556" s="129"/>
      <c r="AO556" s="130"/>
      <c r="AQ556" s="190"/>
      <c r="AR556" s="190"/>
      <c r="AS556" s="190"/>
      <c r="AT556" s="129"/>
      <c r="AU556" s="130"/>
      <c r="AW556" s="190"/>
      <c r="AX556" s="190"/>
      <c r="AY556" s="190"/>
      <c r="AZ556" s="129"/>
      <c r="BA556" s="130"/>
    </row>
    <row r="557" spans="1:53" ht="17.100000000000001" customHeight="1" x14ac:dyDescent="0.25">
      <c r="A557" s="137"/>
      <c r="B557" s="40"/>
      <c r="C557" s="40"/>
      <c r="D557" s="128" t="s">
        <v>319</v>
      </c>
      <c r="E557" s="122"/>
      <c r="F557" s="122"/>
      <c r="G557" s="122"/>
      <c r="H557" s="928"/>
      <c r="I557" s="12"/>
      <c r="J557" s="190"/>
      <c r="K557" s="190"/>
      <c r="L557" s="190"/>
      <c r="M557" s="190"/>
      <c r="N557" s="570">
        <f>IF(N538=0,0,(N535/N538)*0.5)</f>
        <v>0</v>
      </c>
      <c r="O557" s="570">
        <f>IF(O538=0,0,(O535/O538)*0.5)</f>
        <v>0.5</v>
      </c>
      <c r="P557" s="190"/>
      <c r="Q557" s="570">
        <f>IF(Q538=0,0,(Q535/Q538)*0.5)</f>
        <v>0</v>
      </c>
      <c r="R557" s="570">
        <f>IF(R538=0,0,(R535/R538)*0.5)</f>
        <v>0</v>
      </c>
      <c r="S557" s="190"/>
      <c r="T557" s="570">
        <f>IF(T538=0,0,(T535/T538)*0.5)</f>
        <v>0</v>
      </c>
      <c r="U557" s="570">
        <f>IF(U538=0,0,(U535/U538)*0.5)</f>
        <v>0</v>
      </c>
      <c r="V557" s="371"/>
      <c r="W557" s="393"/>
      <c r="X557" s="190"/>
      <c r="Y557" s="129"/>
      <c r="Z557" s="130"/>
      <c r="AA557" s="130"/>
      <c r="AB557" s="130"/>
      <c r="AC557" s="125"/>
      <c r="AE557" s="190"/>
      <c r="AF557" s="190"/>
      <c r="AG557" s="190"/>
      <c r="AH557" s="129"/>
      <c r="AI557" s="130"/>
      <c r="AK557" s="190"/>
      <c r="AL557" s="190"/>
      <c r="AM557" s="190"/>
      <c r="AN557" s="129"/>
      <c r="AO557" s="130"/>
      <c r="AQ557" s="190"/>
      <c r="AR557" s="190"/>
      <c r="AS557" s="190"/>
      <c r="AT557" s="129"/>
      <c r="AU557" s="130"/>
      <c r="AW557" s="190"/>
      <c r="AX557" s="190"/>
      <c r="AY557" s="190"/>
      <c r="AZ557" s="129"/>
      <c r="BA557" s="130"/>
    </row>
    <row r="558" spans="1:53" ht="17.100000000000001" customHeight="1" x14ac:dyDescent="0.25">
      <c r="A558" s="119"/>
      <c r="B558" s="40"/>
      <c r="C558" s="40"/>
      <c r="D558" s="128" t="s">
        <v>320</v>
      </c>
      <c r="E558" s="122"/>
      <c r="F558" s="122"/>
      <c r="G558" s="122"/>
      <c r="H558" s="928"/>
      <c r="I558" s="12"/>
      <c r="J558" s="190"/>
      <c r="K558" s="190"/>
      <c r="L558" s="190"/>
      <c r="M558" s="190"/>
      <c r="N558" s="570">
        <f>SUM(N551:N557)</f>
        <v>0</v>
      </c>
      <c r="O558" s="570">
        <f>SUM(O551:O557)</f>
        <v>2.9444444444444446</v>
      </c>
      <c r="P558" s="190"/>
      <c r="Q558" s="570">
        <f>SUM(Q551:Q557)</f>
        <v>0</v>
      </c>
      <c r="R558" s="570">
        <f>SUM(R551:R557)</f>
        <v>0</v>
      </c>
      <c r="S558" s="190"/>
      <c r="T558" s="570">
        <f>SUM(T551:T557)</f>
        <v>0</v>
      </c>
      <c r="U558" s="570">
        <f>SUM(U551:U557)</f>
        <v>0</v>
      </c>
      <c r="V558" s="371"/>
      <c r="W558" s="393"/>
      <c r="X558" s="190"/>
      <c r="Y558" s="129"/>
      <c r="Z558" s="130"/>
      <c r="AA558" s="130"/>
      <c r="AB558" s="130"/>
      <c r="AC558" s="125"/>
      <c r="AE558" s="190"/>
      <c r="AF558" s="190"/>
      <c r="AG558" s="190"/>
      <c r="AH558" s="129"/>
      <c r="AI558" s="130"/>
      <c r="AK558" s="190"/>
      <c r="AL558" s="190"/>
      <c r="AM558" s="190"/>
      <c r="AN558" s="129"/>
      <c r="AO558" s="130"/>
      <c r="AQ558" s="190"/>
      <c r="AR558" s="190"/>
      <c r="AS558" s="190"/>
      <c r="AT558" s="129"/>
      <c r="AU558" s="130"/>
      <c r="AW558" s="190"/>
      <c r="AX558" s="190"/>
      <c r="AY558" s="190"/>
      <c r="AZ558" s="129"/>
      <c r="BA558" s="130"/>
    </row>
    <row r="559" spans="1:53" ht="17.100000000000001" customHeight="1" x14ac:dyDescent="0.25">
      <c r="A559" s="119"/>
      <c r="B559" s="40"/>
      <c r="C559" s="40"/>
      <c r="D559" s="128" t="s">
        <v>321</v>
      </c>
      <c r="E559" s="122"/>
      <c r="F559" s="122"/>
      <c r="G559" s="122"/>
      <c r="H559" s="928"/>
      <c r="I559" s="12"/>
      <c r="J559" s="190"/>
      <c r="K559" s="190"/>
      <c r="L559" s="190"/>
      <c r="M559" s="190"/>
      <c r="N559" s="190">
        <v>3.5</v>
      </c>
      <c r="O559" s="190">
        <v>3.5</v>
      </c>
      <c r="P559" s="190"/>
      <c r="Q559" s="190">
        <v>3.5</v>
      </c>
      <c r="R559" s="190">
        <v>3.5</v>
      </c>
      <c r="S559" s="190"/>
      <c r="T559" s="190">
        <v>3.5</v>
      </c>
      <c r="U559" s="190">
        <v>3.5</v>
      </c>
      <c r="V559" s="371"/>
      <c r="W559" s="393"/>
      <c r="X559" s="190"/>
      <c r="Y559" s="129"/>
      <c r="Z559" s="130"/>
      <c r="AA559" s="130"/>
      <c r="AB559" s="130"/>
      <c r="AC559" s="125"/>
      <c r="AE559" s="190"/>
      <c r="AF559" s="190"/>
      <c r="AG559" s="190"/>
      <c r="AH559" s="129"/>
      <c r="AI559" s="130"/>
      <c r="AK559" s="190"/>
      <c r="AL559" s="190"/>
      <c r="AM559" s="190"/>
      <c r="AN559" s="129"/>
      <c r="AO559" s="130"/>
      <c r="AQ559" s="190"/>
      <c r="AR559" s="190"/>
      <c r="AS559" s="190"/>
      <c r="AT559" s="129"/>
      <c r="AU559" s="130"/>
      <c r="AW559" s="190"/>
      <c r="AX559" s="190"/>
      <c r="AY559" s="190"/>
      <c r="AZ559" s="129"/>
      <c r="BA559" s="130"/>
    </row>
    <row r="560" spans="1:53" ht="17.100000000000001" customHeight="1" x14ac:dyDescent="0.25">
      <c r="A560" s="119"/>
      <c r="B560" s="40"/>
      <c r="C560" s="40"/>
      <c r="D560" s="75" t="s">
        <v>322</v>
      </c>
      <c r="E560" s="75"/>
      <c r="F560" s="75"/>
      <c r="G560" s="75"/>
      <c r="H560" s="1322"/>
      <c r="I560" s="12"/>
      <c r="J560" s="191" t="str">
        <f>IF(J$502=0,"",J561)</f>
        <v/>
      </c>
      <c r="K560" s="191" t="str">
        <f>IF(K$502=0,"",K561)</f>
        <v/>
      </c>
      <c r="L560" s="191" t="str">
        <f>IF(L$502=0,"",L561)</f>
        <v/>
      </c>
      <c r="M560" s="191"/>
      <c r="N560" s="191" t="str">
        <f>IF(N550=0,"",IF(N561=0,0,N561))</f>
        <v/>
      </c>
      <c r="O560" s="191">
        <f>IF(O550=0,"",IF(O561=0,0,O561))</f>
        <v>0.84126984126984128</v>
      </c>
      <c r="P560" s="191"/>
      <c r="Q560" s="191" t="str">
        <f>IF(Q550=0,"",IF(Q561=0,0,Q561))</f>
        <v/>
      </c>
      <c r="R560" s="191" t="str">
        <f>IF(R550=0,"",IF(R561=0,0,R561))</f>
        <v/>
      </c>
      <c r="S560" s="191"/>
      <c r="T560" s="191" t="str">
        <f>IF(T550=0,"",IF(T561=0,0,T561))</f>
        <v/>
      </c>
      <c r="U560" s="191" t="str">
        <f>IF(U550=0,"",IF(U561=0,0,U561))</f>
        <v/>
      </c>
      <c r="V560" s="191"/>
      <c r="W560" s="394"/>
      <c r="X560" s="191"/>
      <c r="Y560" s="164"/>
      <c r="Z560" s="192"/>
      <c r="AA560" s="192"/>
      <c r="AB560" s="192"/>
      <c r="AC560" s="193">
        <f>IF(Y560=0,0,AVERAGE(J560:X560))</f>
        <v>0</v>
      </c>
      <c r="AE560" s="191"/>
      <c r="AF560" s="191"/>
      <c r="AG560" s="191"/>
      <c r="AH560" s="164"/>
      <c r="AI560" s="192"/>
      <c r="AK560" s="191"/>
      <c r="AL560" s="191"/>
      <c r="AM560" s="191"/>
      <c r="AN560" s="164"/>
      <c r="AO560" s="192"/>
      <c r="AQ560" s="191"/>
      <c r="AR560" s="191"/>
      <c r="AS560" s="191"/>
      <c r="AT560" s="164"/>
      <c r="AU560" s="192"/>
      <c r="AW560" s="191"/>
      <c r="AX560" s="191"/>
      <c r="AY560" s="191"/>
      <c r="AZ560" s="164"/>
      <c r="BA560" s="192"/>
    </row>
    <row r="561" spans="1:53" ht="17.100000000000001" customHeight="1" x14ac:dyDescent="0.25">
      <c r="A561" s="119"/>
      <c r="B561" s="40"/>
      <c r="C561" s="40"/>
      <c r="D561" s="128" t="s">
        <v>323</v>
      </c>
      <c r="E561" s="122"/>
      <c r="F561" s="122"/>
      <c r="G561" s="122"/>
      <c r="H561" s="1322"/>
      <c r="I561" s="12"/>
      <c r="J561" s="194"/>
      <c r="K561" s="194"/>
      <c r="L561" s="194"/>
      <c r="M561" s="194"/>
      <c r="N561" s="194">
        <f>N558/N559</f>
        <v>0</v>
      </c>
      <c r="O561" s="194">
        <f t="shared" ref="O561" si="662">O558/O559</f>
        <v>0.84126984126984128</v>
      </c>
      <c r="P561" s="194"/>
      <c r="Q561" s="194">
        <f>Q558/Q559</f>
        <v>0</v>
      </c>
      <c r="R561" s="194">
        <f t="shared" ref="R561" si="663">R558/R559</f>
        <v>0</v>
      </c>
      <c r="S561" s="194"/>
      <c r="T561" s="194">
        <f>T558/T559</f>
        <v>0</v>
      </c>
      <c r="U561" s="194">
        <f t="shared" ref="U561" si="664">U558/U559</f>
        <v>0</v>
      </c>
      <c r="V561" s="194"/>
      <c r="W561" s="969">
        <f>N561+Q561+T561</f>
        <v>0</v>
      </c>
      <c r="X561" s="504">
        <f>O561+R561+U561</f>
        <v>0.84126984126984128</v>
      </c>
      <c r="Y561" s="162"/>
      <c r="Z561" s="195"/>
      <c r="AA561" s="195"/>
      <c r="AB561" s="195"/>
      <c r="AC561" s="161"/>
      <c r="AE561" s="194"/>
      <c r="AF561" s="194"/>
      <c r="AG561" s="194"/>
      <c r="AH561" s="162"/>
      <c r="AI561" s="195"/>
      <c r="AK561" s="194"/>
      <c r="AL561" s="194"/>
      <c r="AM561" s="194"/>
      <c r="AN561" s="162"/>
      <c r="AO561" s="195"/>
      <c r="AQ561" s="194"/>
      <c r="AR561" s="194"/>
      <c r="AS561" s="194"/>
      <c r="AT561" s="162"/>
      <c r="AU561" s="195"/>
      <c r="AW561" s="194"/>
      <c r="AX561" s="194"/>
      <c r="AY561" s="194"/>
      <c r="AZ561" s="162"/>
      <c r="BA561" s="195"/>
    </row>
    <row r="562" spans="1:53" ht="17.100000000000001" customHeight="1" x14ac:dyDescent="0.25">
      <c r="A562" s="137"/>
      <c r="B562" s="137"/>
      <c r="C562" s="40"/>
      <c r="D562" s="128"/>
      <c r="E562" s="122"/>
      <c r="F562" s="122"/>
      <c r="G562" s="122"/>
      <c r="H562" s="1322"/>
      <c r="I562" s="12"/>
      <c r="J562" s="194"/>
      <c r="K562" s="194"/>
      <c r="L562" s="194"/>
      <c r="M562" s="194"/>
      <c r="N562" s="194" t="str">
        <f>IF(N550=0,"",N561)</f>
        <v/>
      </c>
      <c r="O562" s="194">
        <f>IF(O550=0,"",O561)</f>
        <v>0.84126984126984128</v>
      </c>
      <c r="P562" s="194"/>
      <c r="Q562" s="194" t="str">
        <f>IF(Q550=0,"",Q561)</f>
        <v/>
      </c>
      <c r="R562" s="194" t="str">
        <f>IF(R550=0,"",R561)</f>
        <v/>
      </c>
      <c r="S562" s="194"/>
      <c r="T562" s="194" t="str">
        <f>IF(T550=0,"",T561)</f>
        <v/>
      </c>
      <c r="U562" s="194" t="str">
        <f>IF(U550=0,"",U561)</f>
        <v/>
      </c>
      <c r="V562" s="194"/>
      <c r="W562" s="969" t="str">
        <f>IF(W561=0,"",AVERAGE(N562,Q562,T562))</f>
        <v/>
      </c>
      <c r="X562" s="504">
        <f>IF(X561=0,"",AVERAGE(O562,R562,U562))</f>
        <v>0.84126984126984128</v>
      </c>
      <c r="Y562" s="504">
        <f>AVERAGE(N562:U562)</f>
        <v>0.84126984126984128</v>
      </c>
      <c r="Z562" s="195"/>
      <c r="AA562" s="195"/>
      <c r="AB562" s="195"/>
      <c r="AC562" s="161"/>
      <c r="AE562" s="194"/>
      <c r="AF562" s="194"/>
      <c r="AG562" s="194"/>
      <c r="AH562" s="162"/>
      <c r="AI562" s="195"/>
      <c r="AK562" s="194"/>
      <c r="AL562" s="194"/>
      <c r="AM562" s="194"/>
      <c r="AN562" s="162"/>
      <c r="AO562" s="195"/>
      <c r="AQ562" s="194"/>
      <c r="AR562" s="194"/>
      <c r="AS562" s="194"/>
      <c r="AT562" s="162"/>
      <c r="AU562" s="195"/>
      <c r="AW562" s="194"/>
      <c r="AX562" s="194"/>
      <c r="AY562" s="194"/>
      <c r="AZ562" s="162"/>
      <c r="BA562" s="195"/>
    </row>
    <row r="563" spans="1:53" s="117" customFormat="1" ht="17.100000000000001" customHeight="1" x14ac:dyDescent="0.25">
      <c r="A563" s="119"/>
      <c r="B563" s="119"/>
      <c r="C563" s="196"/>
      <c r="D563" s="75" t="s">
        <v>324</v>
      </c>
      <c r="E563" s="75"/>
      <c r="F563" s="75"/>
      <c r="G563" s="75"/>
      <c r="H563" s="1322"/>
      <c r="I563" s="12"/>
      <c r="J563" s="55" t="str">
        <f>IF(J$502=0,"",IF(J560&gt;=0.75,1,0))</f>
        <v/>
      </c>
      <c r="K563" s="55" t="str">
        <f>IF(K$502=0,"",IF(K560&gt;=0.75,1,0))</f>
        <v/>
      </c>
      <c r="L563" s="55" t="str">
        <f>IF(L$502=0,"",IF(L560&gt;=0.75,1,0))</f>
        <v/>
      </c>
      <c r="M563" s="55"/>
      <c r="N563" s="55">
        <f>IF(N$550=0,0,IF(N$560&gt;=0.75,1,0))</f>
        <v>0</v>
      </c>
      <c r="O563" s="55">
        <f>IF(O$550=0,0,IF(O$560&gt;=0.75,1,0))</f>
        <v>1</v>
      </c>
      <c r="P563" s="55">
        <f>IF(SUM(N563:O563)=0,0,IF(SUM(N563:O563)=2,1,IF(AND(N$561=0,O563&gt;0),O563,SUM(N563:O563)/2)))</f>
        <v>1</v>
      </c>
      <c r="Q563" s="55">
        <f>IF(Q$550=0,0,IF(Q$560&gt;=0.75,1,0))</f>
        <v>0</v>
      </c>
      <c r="R563" s="55">
        <f>IF(R$550=0,0,IF(R$560&gt;=0.75,1,0))</f>
        <v>0</v>
      </c>
      <c r="S563" s="55">
        <f>IF(SUM(Q563:R563)=0,0,IF(SUM(Q563:R563)=2,1,IF(AND(Q$561=0,R563&gt;0),R563,SUM(Q563:R563)/2)))</f>
        <v>0</v>
      </c>
      <c r="T563" s="55">
        <f>IF(T$550=0,0,IF(T$560&gt;=0.75,1,0))</f>
        <v>0</v>
      </c>
      <c r="U563" s="55">
        <f>IF(U$550=0,0,IF(U$560&gt;=0.75,1,0))</f>
        <v>0</v>
      </c>
      <c r="V563" s="55">
        <f>IF(SUM(T563:U563)=0,0,IF(SUM(T563:U563)=2,1,IF(AND(T$561=0,U563&gt;0),U563,SUM(T563:U563)/2)))</f>
        <v>0</v>
      </c>
      <c r="W563" s="391">
        <f>N563+Q563+T563</f>
        <v>0</v>
      </c>
      <c r="X563" s="17">
        <f>O563+R563+U563</f>
        <v>1</v>
      </c>
      <c r="Y563" s="17">
        <f>P563+S563+V563</f>
        <v>1</v>
      </c>
      <c r="Z563" s="19">
        <f>IF(Y$566=0,0,Y563/Y$566)</f>
        <v>1</v>
      </c>
      <c r="AA563" s="197"/>
      <c r="AB563" s="197"/>
      <c r="AC563" s="198"/>
      <c r="AE563" s="55"/>
      <c r="AF563" s="55"/>
      <c r="AG563" s="55"/>
      <c r="AH563" s="164"/>
      <c r="AI563" s="197"/>
      <c r="AK563" s="55"/>
      <c r="AL563" s="55"/>
      <c r="AM563" s="55"/>
      <c r="AN563" s="164"/>
      <c r="AO563" s="197"/>
      <c r="AQ563" s="55"/>
      <c r="AR563" s="55"/>
      <c r="AS563" s="55"/>
      <c r="AT563" s="164"/>
      <c r="AU563" s="197"/>
      <c r="AW563" s="55"/>
      <c r="AX563" s="55"/>
      <c r="AY563" s="55"/>
      <c r="AZ563" s="164"/>
      <c r="BA563" s="197"/>
    </row>
    <row r="564" spans="1:53" s="117" customFormat="1" ht="17.100000000000001" customHeight="1" x14ac:dyDescent="0.25">
      <c r="A564" s="119"/>
      <c r="B564" s="119"/>
      <c r="C564" s="136"/>
      <c r="D564" s="75" t="s">
        <v>325</v>
      </c>
      <c r="E564" s="75"/>
      <c r="F564" s="75"/>
      <c r="G564" s="75"/>
      <c r="H564" s="1322"/>
      <c r="I564" s="12"/>
      <c r="J564" s="55" t="str">
        <f>IF(J$502=0,"",IF(AND(J561&gt;=0.5,J561&lt;0.75),1,0))</f>
        <v/>
      </c>
      <c r="K564" s="55" t="str">
        <f>IF(K$502=0,"",IF(AND(K561&gt;=0.5,K561&lt;0.75),1,0))</f>
        <v/>
      </c>
      <c r="L564" s="55" t="str">
        <f>IF(L$502=0,"",IF(AND(L561&gt;=0.5,L561&lt;0.75),1,0))</f>
        <v/>
      </c>
      <c r="M564" s="55"/>
      <c r="N564" s="55">
        <f>IF(N$550=0,0,IF(AND(N560&gt;=0.5,N560&lt;0.75),1,0))</f>
        <v>0</v>
      </c>
      <c r="O564" s="55">
        <f t="shared" ref="O564" si="665">IF(O$550=0,0,IF(AND(O560&gt;=0.5,O560&lt;0.75),1,0))</f>
        <v>0</v>
      </c>
      <c r="P564" s="55">
        <f t="shared" ref="P564:P565" si="666">IF(SUM(N564:O564)=0,0,IF(SUM(N564:O564)=2,1,IF(AND(N$561=0,O564&gt;0),O564,SUM(N564:O564)/2)))</f>
        <v>0</v>
      </c>
      <c r="Q564" s="55">
        <f>IF(Q$550=0,0,IF(AND(Q560&gt;=0.5,Q560&lt;0.75),1,0))</f>
        <v>0</v>
      </c>
      <c r="R564" s="55">
        <f t="shared" ref="R564" si="667">IF(R$550=0,0,IF(AND(R560&gt;=0.5,R560&lt;0.75),1,0))</f>
        <v>0</v>
      </c>
      <c r="S564" s="55">
        <f t="shared" ref="S564:S565" si="668">IF(SUM(Q564:R564)=0,0,IF(SUM(Q564:R564)=2,1,IF(AND(Q$561=0,R564&gt;0),R564,SUM(Q564:R564)/2)))</f>
        <v>0</v>
      </c>
      <c r="T564" s="55">
        <f>IF(T$550=0,0,IF(AND(T560&gt;=0.5,T560&lt;0.75),1,0))</f>
        <v>0</v>
      </c>
      <c r="U564" s="55">
        <f t="shared" ref="U564" si="669">IF(U$550=0,0,IF(AND(U560&gt;=0.5,U560&lt;0.75),1,0))</f>
        <v>0</v>
      </c>
      <c r="V564" s="55">
        <f t="shared" ref="V564:V565" si="670">IF(SUM(T564:U564)=0,0,IF(SUM(T564:U564)=2,1,IF(AND(T$561=0,U564&gt;0),U564,SUM(T564:U564)/2)))</f>
        <v>0</v>
      </c>
      <c r="W564" s="391">
        <f t="shared" ref="W564:Y565" si="671">N564+Q564+T564</f>
        <v>0</v>
      </c>
      <c r="X564" s="17">
        <f t="shared" si="671"/>
        <v>0</v>
      </c>
      <c r="Y564" s="17">
        <f t="shared" si="671"/>
        <v>0</v>
      </c>
      <c r="Z564" s="19">
        <f t="shared" ref="Z564:Z566" si="672">IF(Y$566=0,0,Y564/Y$566)</f>
        <v>0</v>
      </c>
      <c r="AA564" s="197"/>
      <c r="AB564" s="197"/>
      <c r="AC564" s="198"/>
      <c r="AE564" s="55"/>
      <c r="AF564" s="55"/>
      <c r="AG564" s="55"/>
      <c r="AH564" s="164"/>
      <c r="AI564" s="197"/>
      <c r="AK564" s="55"/>
      <c r="AL564" s="55"/>
      <c r="AM564" s="55"/>
      <c r="AN564" s="164"/>
      <c r="AO564" s="197"/>
      <c r="AQ564" s="55"/>
      <c r="AR564" s="55"/>
      <c r="AS564" s="55"/>
      <c r="AT564" s="164"/>
      <c r="AU564" s="197"/>
      <c r="AW564" s="55"/>
      <c r="AX564" s="55"/>
      <c r="AY564" s="55"/>
      <c r="AZ564" s="164"/>
      <c r="BA564" s="197"/>
    </row>
    <row r="565" spans="1:53" s="97" customFormat="1" ht="17.100000000000001" customHeight="1" x14ac:dyDescent="0.25">
      <c r="A565" s="119"/>
      <c r="B565" s="119"/>
      <c r="C565" s="137"/>
      <c r="D565" s="75" t="s">
        <v>326</v>
      </c>
      <c r="E565" s="75"/>
      <c r="F565" s="75"/>
      <c r="G565" s="75"/>
      <c r="H565" s="1322"/>
      <c r="I565" s="12"/>
      <c r="J565" s="55" t="str">
        <f>IF(J$502=0,"",IF(J561&lt;0.5,1,0))</f>
        <v/>
      </c>
      <c r="K565" s="55" t="str">
        <f>IF(K$502=0,"",IF(K561&lt;0.5,1,0))</f>
        <v/>
      </c>
      <c r="L565" s="55" t="str">
        <f>IF(L$502=0,"",IF(L561&lt;0.5,1,0))</f>
        <v/>
      </c>
      <c r="M565" s="55"/>
      <c r="N565" s="55">
        <f>IF(N$550=0,0,IF(N560&lt;0.5,1,0))</f>
        <v>0</v>
      </c>
      <c r="O565" s="55">
        <f t="shared" ref="O565" si="673">IF(O$550=0,0,IF(O560&lt;0.5,1,0))</f>
        <v>0</v>
      </c>
      <c r="P565" s="55">
        <f t="shared" si="666"/>
        <v>0</v>
      </c>
      <c r="Q565" s="55">
        <f>IF(Q$550=0,0,IF(Q560&lt;0.5,1,0))</f>
        <v>0</v>
      </c>
      <c r="R565" s="55">
        <f t="shared" ref="R565" si="674">IF(R$550=0,0,IF(R560&lt;0.5,1,0))</f>
        <v>0</v>
      </c>
      <c r="S565" s="55">
        <f t="shared" si="668"/>
        <v>0</v>
      </c>
      <c r="T565" s="55">
        <f>IF(T$550=0,0,IF(T560&lt;0.5,1,0))</f>
        <v>0</v>
      </c>
      <c r="U565" s="55">
        <f t="shared" ref="U565" si="675">IF(U$550=0,0,IF(U560&lt;0.5,1,0))</f>
        <v>0</v>
      </c>
      <c r="V565" s="55">
        <f t="shared" si="670"/>
        <v>0</v>
      </c>
      <c r="W565" s="391">
        <f t="shared" si="671"/>
        <v>0</v>
      </c>
      <c r="X565" s="17">
        <f t="shared" si="671"/>
        <v>0</v>
      </c>
      <c r="Y565" s="17">
        <f t="shared" si="671"/>
        <v>0</v>
      </c>
      <c r="Z565" s="19">
        <f t="shared" si="672"/>
        <v>0</v>
      </c>
      <c r="AA565" s="197"/>
      <c r="AB565" s="197"/>
      <c r="AC565" s="198"/>
      <c r="AE565" s="55"/>
      <c r="AF565" s="55"/>
      <c r="AG565" s="55"/>
      <c r="AH565" s="164"/>
      <c r="AI565" s="197"/>
      <c r="AK565" s="55"/>
      <c r="AL565" s="55"/>
      <c r="AM565" s="55"/>
      <c r="AN565" s="164"/>
      <c r="AO565" s="197"/>
      <c r="AQ565" s="55"/>
      <c r="AR565" s="55"/>
      <c r="AS565" s="55"/>
      <c r="AT565" s="164"/>
      <c r="AU565" s="197"/>
      <c r="AW565" s="55"/>
      <c r="AX565" s="55"/>
      <c r="AY565" s="55"/>
      <c r="AZ565" s="164"/>
      <c r="BA565" s="197"/>
    </row>
    <row r="566" spans="1:53" s="117" customFormat="1" ht="17.100000000000001" customHeight="1" x14ac:dyDescent="0.25">
      <c r="A566" s="119"/>
      <c r="B566" s="119"/>
      <c r="C566" s="119"/>
      <c r="D566" s="428"/>
      <c r="E566" s="93"/>
      <c r="F566" s="93"/>
      <c r="G566" s="93"/>
      <c r="H566" s="1322"/>
      <c r="I566" s="12"/>
      <c r="J566" s="191"/>
      <c r="K566" s="191"/>
      <c r="L566" s="191"/>
      <c r="M566" s="191"/>
      <c r="N566" s="191"/>
      <c r="O566" s="191"/>
      <c r="P566" s="191"/>
      <c r="Q566" s="191"/>
      <c r="R566" s="191"/>
      <c r="S566" s="191"/>
      <c r="T566" s="191"/>
      <c r="U566" s="191"/>
      <c r="V566" s="191"/>
      <c r="W566" s="394"/>
      <c r="X566" s="191"/>
      <c r="Y566" s="164">
        <f>SUM(Y563:Y565)</f>
        <v>1</v>
      </c>
      <c r="Z566" s="19">
        <f t="shared" si="672"/>
        <v>1</v>
      </c>
      <c r="AA566" s="192"/>
      <c r="AB566" s="192"/>
      <c r="AC566" s="198"/>
      <c r="AE566" s="191"/>
      <c r="AF566" s="191"/>
      <c r="AG566" s="191"/>
      <c r="AH566" s="164"/>
      <c r="AI566" s="192"/>
      <c r="AK566" s="191"/>
      <c r="AL566" s="191"/>
      <c r="AM566" s="191"/>
      <c r="AN566" s="164"/>
      <c r="AO566" s="192"/>
      <c r="AQ566" s="191"/>
      <c r="AR566" s="191"/>
      <c r="AS566" s="191"/>
      <c r="AT566" s="164"/>
      <c r="AU566" s="192"/>
      <c r="AW566" s="191"/>
      <c r="AX566" s="191"/>
      <c r="AY566" s="191"/>
      <c r="AZ566" s="164"/>
      <c r="BA566" s="192"/>
    </row>
    <row r="567" spans="1:53" s="97" customFormat="1" ht="17.100000000000001" customHeight="1" x14ac:dyDescent="0.25">
      <c r="A567" s="68"/>
      <c r="B567" s="68"/>
      <c r="C567" s="92"/>
      <c r="D567" s="93"/>
      <c r="E567" s="93"/>
      <c r="F567" s="93"/>
      <c r="G567" s="93"/>
      <c r="H567" s="165"/>
      <c r="I567" s="12"/>
      <c r="J567" s="94"/>
      <c r="K567" s="94"/>
      <c r="L567" s="95"/>
      <c r="M567" s="95"/>
      <c r="N567" s="95"/>
      <c r="O567" s="95"/>
      <c r="P567" s="95"/>
      <c r="Q567" s="95"/>
      <c r="R567" s="95"/>
      <c r="S567" s="95"/>
      <c r="T567" s="95"/>
      <c r="U567" s="95"/>
      <c r="V567" s="95"/>
      <c r="W567" s="378"/>
      <c r="X567" s="95"/>
      <c r="Y567" s="96"/>
      <c r="AE567" s="109"/>
      <c r="AF567" s="109"/>
      <c r="AG567" s="109"/>
      <c r="AH567" s="96"/>
      <c r="AK567" s="109"/>
      <c r="AL567" s="109"/>
      <c r="AM567" s="109"/>
      <c r="AN567" s="96"/>
      <c r="AQ567" s="109"/>
      <c r="AR567" s="109"/>
      <c r="AS567" s="109"/>
      <c r="AT567" s="96"/>
      <c r="AW567" s="109"/>
      <c r="AX567" s="109"/>
      <c r="AY567" s="109"/>
      <c r="AZ567" s="96"/>
    </row>
    <row r="568" spans="1:53" s="32" customFormat="1" ht="16.5" thickBot="1" x14ac:dyDescent="0.3">
      <c r="A568" s="24" t="s">
        <v>329</v>
      </c>
      <c r="B568" s="25" t="s">
        <v>330</v>
      </c>
      <c r="C568" s="26"/>
      <c r="D568" s="27"/>
      <c r="E568" s="27"/>
      <c r="F568" s="27"/>
      <c r="G568" s="28"/>
      <c r="H568" s="215"/>
      <c r="I568" s="228"/>
      <c r="J568" s="101"/>
      <c r="K568" s="101"/>
      <c r="L568" s="101"/>
      <c r="M568" s="101"/>
      <c r="N568" s="101"/>
      <c r="O568" s="101"/>
      <c r="P568" s="101"/>
      <c r="Q568" s="101"/>
      <c r="R568" s="101"/>
      <c r="S568" s="101"/>
      <c r="T568" s="101"/>
      <c r="U568" s="101"/>
      <c r="V568" s="357"/>
      <c r="W568" s="379"/>
      <c r="X568" s="101"/>
      <c r="Y568" s="30" t="s">
        <v>4</v>
      </c>
      <c r="Z568" s="30" t="s">
        <v>5</v>
      </c>
      <c r="AA568" s="30"/>
      <c r="AB568" s="30"/>
      <c r="AC568" s="30" t="s">
        <v>6</v>
      </c>
      <c r="AE568" s="33" t="s">
        <v>181</v>
      </c>
      <c r="AF568" s="33" t="s">
        <v>182</v>
      </c>
      <c r="AG568" s="33" t="s">
        <v>6</v>
      </c>
      <c r="AH568" s="33" t="s">
        <v>4</v>
      </c>
      <c r="AI568" s="34" t="s">
        <v>5</v>
      </c>
      <c r="AJ568" s="408"/>
      <c r="AK568" s="36" t="s">
        <v>181</v>
      </c>
      <c r="AL568" s="36" t="s">
        <v>182</v>
      </c>
      <c r="AM568" s="36" t="s">
        <v>6</v>
      </c>
      <c r="AN568" s="36" t="s">
        <v>4</v>
      </c>
      <c r="AO568" s="37" t="s">
        <v>5</v>
      </c>
      <c r="AP568" s="408"/>
      <c r="AQ568" s="36"/>
      <c r="AR568" s="36"/>
      <c r="AS568" s="36"/>
      <c r="AT568" s="36"/>
      <c r="AU568" s="37"/>
      <c r="AV568" s="408"/>
      <c r="AW568" s="38" t="s">
        <v>181</v>
      </c>
      <c r="AX568" s="38" t="s">
        <v>182</v>
      </c>
      <c r="AY568" s="38" t="s">
        <v>6</v>
      </c>
      <c r="AZ568" s="38" t="s">
        <v>4</v>
      </c>
      <c r="BA568" s="39" t="s">
        <v>5</v>
      </c>
    </row>
    <row r="569" spans="1:53" ht="17.100000000000001" customHeight="1" x14ac:dyDescent="0.25">
      <c r="A569" s="68"/>
      <c r="B569" s="41" t="s">
        <v>675</v>
      </c>
      <c r="C569" s="49" t="s">
        <v>674</v>
      </c>
      <c r="D569" s="50"/>
      <c r="E569" s="70"/>
      <c r="F569" s="70"/>
      <c r="G569" s="70"/>
      <c r="H569" s="119"/>
      <c r="J569" s="71"/>
      <c r="K569" s="71"/>
      <c r="L569" s="71"/>
      <c r="M569" s="71"/>
      <c r="N569" s="71"/>
      <c r="O569" s="71"/>
      <c r="P569" s="71"/>
      <c r="Q569" s="71"/>
      <c r="R569" s="71"/>
      <c r="S569" s="71"/>
      <c r="T569" s="71"/>
      <c r="U569" s="71"/>
      <c r="V569" s="355"/>
      <c r="W569" s="377"/>
      <c r="X569" s="71"/>
      <c r="Y569" s="72"/>
      <c r="Z569" s="73"/>
      <c r="AA569" s="73"/>
      <c r="AB569" s="73"/>
      <c r="AC569" s="73"/>
      <c r="AE569" s="71"/>
      <c r="AF569" s="71"/>
      <c r="AG569" s="71"/>
      <c r="AH569" s="72"/>
      <c r="AI569" s="73"/>
      <c r="AK569" s="71"/>
      <c r="AL569" s="71"/>
      <c r="AM569" s="71"/>
      <c r="AN569" s="72"/>
      <c r="AO569" s="73"/>
      <c r="AQ569" s="71"/>
      <c r="AR569" s="71"/>
      <c r="AS569" s="71"/>
      <c r="AT569" s="72"/>
      <c r="AU569" s="73"/>
      <c r="AW569" s="71"/>
      <c r="AX569" s="71"/>
      <c r="AY569" s="71"/>
      <c r="AZ569" s="72"/>
      <c r="BA569" s="73"/>
    </row>
    <row r="570" spans="1:53" ht="17.100000000000001" customHeight="1" x14ac:dyDescent="0.25">
      <c r="A570" s="119"/>
      <c r="B570" s="119"/>
      <c r="C570" s="56" t="s">
        <v>676</v>
      </c>
      <c r="D570" s="146" t="s">
        <v>9</v>
      </c>
      <c r="E570" s="105"/>
      <c r="F570" s="105"/>
      <c r="G570" s="105"/>
      <c r="H570" s="119"/>
      <c r="I570" s="231"/>
      <c r="J570" s="111"/>
      <c r="K570" s="111"/>
      <c r="L570" s="111"/>
      <c r="M570" s="111"/>
      <c r="N570" s="60"/>
      <c r="O570" s="60"/>
      <c r="P570" s="17">
        <f t="shared" ref="P570:P571" si="676">SUM(N570:O570)</f>
        <v>0</v>
      </c>
      <c r="Q570" s="60"/>
      <c r="R570" s="60"/>
      <c r="S570" s="17">
        <f t="shared" ref="S570:S571" si="677">SUM(Q570:R570)</f>
        <v>0</v>
      </c>
      <c r="T570" s="60"/>
      <c r="U570" s="60"/>
      <c r="V570" s="359">
        <f t="shared" ref="V570:V571" si="678">SUM(T570:U570)</f>
        <v>0</v>
      </c>
      <c r="W570" s="391">
        <f t="shared" ref="W570:W571" si="679">J570+K570+N570+Q570+T570</f>
        <v>0</v>
      </c>
      <c r="X570" s="17">
        <f t="shared" ref="X570:X571" si="680">L570+O570+R570+U570</f>
        <v>0</v>
      </c>
      <c r="Y570" s="18">
        <f>SUM(W570:X570)</f>
        <v>0</v>
      </c>
      <c r="Z570" s="19">
        <f>IF(Y$538=0,0,Y570/Y$538)</f>
        <v>0</v>
      </c>
      <c r="AA570" s="19"/>
      <c r="AB570" s="19"/>
      <c r="AC570" s="20"/>
      <c r="AE570" s="111"/>
      <c r="AF570" s="111"/>
      <c r="AG570" s="111"/>
      <c r="AH570" s="112"/>
      <c r="AI570" s="113"/>
      <c r="AK570" s="111"/>
      <c r="AL570" s="111"/>
      <c r="AM570" s="111"/>
      <c r="AN570" s="112"/>
      <c r="AO570" s="113"/>
      <c r="AQ570" s="17"/>
      <c r="AR570" s="17"/>
      <c r="AS570" s="17"/>
      <c r="AT570" s="18">
        <f t="shared" ref="AT570:AT571" si="681">W570</f>
        <v>0</v>
      </c>
      <c r="AU570" s="19">
        <f>IF(AT$538=0,0,AT570/AT$538)</f>
        <v>0</v>
      </c>
      <c r="AW570" s="17"/>
      <c r="AX570" s="17"/>
      <c r="AY570" s="17"/>
      <c r="AZ570" s="18">
        <f t="shared" ref="AZ570:AZ571" si="682">X570</f>
        <v>0</v>
      </c>
      <c r="BA570" s="19">
        <f>IF(AZ$538=0,0,AZ570/AZ$538)</f>
        <v>0</v>
      </c>
    </row>
    <row r="571" spans="1:53" ht="17.100000000000001" customHeight="1" x14ac:dyDescent="0.25">
      <c r="A571" s="119"/>
      <c r="B571" s="119"/>
      <c r="C571" s="56" t="s">
        <v>677</v>
      </c>
      <c r="D571" s="146" t="s">
        <v>11</v>
      </c>
      <c r="E571" s="105"/>
      <c r="F571" s="105"/>
      <c r="G571" s="105"/>
      <c r="H571" s="119"/>
      <c r="I571" s="231"/>
      <c r="J571" s="111"/>
      <c r="K571" s="111"/>
      <c r="L571" s="111"/>
      <c r="M571" s="111"/>
      <c r="N571" s="61"/>
      <c r="O571" s="61">
        <v>9</v>
      </c>
      <c r="P571" s="17">
        <f t="shared" si="676"/>
        <v>9</v>
      </c>
      <c r="Q571" s="61"/>
      <c r="R571" s="61"/>
      <c r="S571" s="17">
        <f t="shared" si="677"/>
        <v>0</v>
      </c>
      <c r="T571" s="61"/>
      <c r="U571" s="61"/>
      <c r="V571" s="359">
        <f t="shared" si="678"/>
        <v>0</v>
      </c>
      <c r="W571" s="391">
        <f t="shared" si="679"/>
        <v>0</v>
      </c>
      <c r="X571" s="17">
        <f t="shared" si="680"/>
        <v>9</v>
      </c>
      <c r="Y571" s="18">
        <f>SUM(W571:X571)</f>
        <v>9</v>
      </c>
      <c r="Z571" s="19">
        <f t="shared" ref="Z571:Z572" si="683">IF(Y$538=0,0,Y571/Y$538)</f>
        <v>1</v>
      </c>
      <c r="AA571" s="19"/>
      <c r="AB571" s="19"/>
      <c r="AC571" s="20"/>
      <c r="AE571" s="111"/>
      <c r="AF571" s="111"/>
      <c r="AG571" s="111"/>
      <c r="AH571" s="112"/>
      <c r="AI571" s="113"/>
      <c r="AK571" s="111"/>
      <c r="AL571" s="111"/>
      <c r="AM571" s="111"/>
      <c r="AN571" s="112"/>
      <c r="AO571" s="113"/>
      <c r="AQ571" s="17"/>
      <c r="AR571" s="17"/>
      <c r="AS571" s="17"/>
      <c r="AT571" s="18">
        <f t="shared" si="681"/>
        <v>0</v>
      </c>
      <c r="AU571" s="19">
        <f t="shared" ref="AU571:AU572" si="684">IF(AT$538=0,0,AT571/AT$538)</f>
        <v>0</v>
      </c>
      <c r="AW571" s="17"/>
      <c r="AX571" s="17"/>
      <c r="AY571" s="17"/>
      <c r="AZ571" s="18">
        <f t="shared" si="682"/>
        <v>9</v>
      </c>
      <c r="BA571" s="19">
        <f t="shared" ref="BA571:BA572" si="685">IF(AZ$538=0,0,AZ571/AZ$538)</f>
        <v>1</v>
      </c>
    </row>
    <row r="572" spans="1:53" ht="17.100000000000001" customHeight="1" x14ac:dyDescent="0.25">
      <c r="A572" s="40"/>
      <c r="B572" s="40"/>
      <c r="C572" s="77"/>
      <c r="D572" s="134"/>
      <c r="E572" s="134"/>
      <c r="F572" s="134"/>
      <c r="G572" s="134"/>
      <c r="H572" s="540"/>
      <c r="I572" s="229"/>
      <c r="J572" s="80"/>
      <c r="K572" s="80"/>
      <c r="L572" s="81"/>
      <c r="M572" s="81"/>
      <c r="N572" s="81">
        <f t="shared" ref="N572:Y572" si="686">SUM(N570:N571)</f>
        <v>0</v>
      </c>
      <c r="O572" s="81">
        <f t="shared" si="686"/>
        <v>9</v>
      </c>
      <c r="P572" s="81">
        <f t="shared" si="686"/>
        <v>9</v>
      </c>
      <c r="Q572" s="81">
        <f t="shared" si="686"/>
        <v>0</v>
      </c>
      <c r="R572" s="81">
        <f t="shared" si="686"/>
        <v>0</v>
      </c>
      <c r="S572" s="81">
        <f t="shared" si="686"/>
        <v>0</v>
      </c>
      <c r="T572" s="81">
        <f t="shared" si="686"/>
        <v>0</v>
      </c>
      <c r="U572" s="81">
        <f t="shared" si="686"/>
        <v>0</v>
      </c>
      <c r="V572" s="81">
        <f t="shared" si="686"/>
        <v>0</v>
      </c>
      <c r="W572" s="381">
        <f t="shared" si="686"/>
        <v>0</v>
      </c>
      <c r="X572" s="82">
        <f t="shared" si="686"/>
        <v>9</v>
      </c>
      <c r="Y572" s="82">
        <f t="shared" si="686"/>
        <v>9</v>
      </c>
      <c r="Z572" s="205">
        <f t="shared" si="683"/>
        <v>1</v>
      </c>
      <c r="AA572" s="205"/>
      <c r="AB572" s="205"/>
      <c r="AC572" s="83"/>
      <c r="AE572" s="80"/>
      <c r="AF572" s="80"/>
      <c r="AG572" s="81"/>
      <c r="AH572" s="82"/>
      <c r="AI572" s="66"/>
      <c r="AK572" s="80"/>
      <c r="AL572" s="80"/>
      <c r="AM572" s="81"/>
      <c r="AN572" s="82"/>
      <c r="AO572" s="66"/>
      <c r="AQ572" s="80"/>
      <c r="AR572" s="80"/>
      <c r="AS572" s="81"/>
      <c r="AT572" s="82">
        <f>SUM(AT570:AT571)</f>
        <v>0</v>
      </c>
      <c r="AU572" s="66">
        <f t="shared" si="684"/>
        <v>0</v>
      </c>
      <c r="AW572" s="80"/>
      <c r="AX572" s="80"/>
      <c r="AY572" s="81"/>
      <c r="AZ572" s="82">
        <f>SUM(AZ570:AZ571)</f>
        <v>9</v>
      </c>
      <c r="BA572" s="66">
        <f t="shared" si="685"/>
        <v>1</v>
      </c>
    </row>
    <row r="573" spans="1:53" s="117" customFormat="1" ht="17.100000000000001" customHeight="1" x14ac:dyDescent="0.25">
      <c r="A573" s="68"/>
      <c r="B573" s="119"/>
      <c r="C573" s="540"/>
      <c r="D573" s="261"/>
      <c r="E573" s="261"/>
      <c r="F573" s="68"/>
      <c r="G573" s="68"/>
      <c r="H573" s="119"/>
      <c r="I573" s="138"/>
      <c r="J573" s="17"/>
      <c r="K573" s="17"/>
      <c r="L573" s="17"/>
      <c r="M573" s="17"/>
      <c r="N573" s="17" t="str">
        <f>IF(N572=N$20,"OK","NOK")</f>
        <v>OK</v>
      </c>
      <c r="O573" s="17" t="str">
        <f>IF(O572=O$20,"OK","NOK")</f>
        <v>OK</v>
      </c>
      <c r="P573" s="17"/>
      <c r="Q573" s="17" t="str">
        <f>IF(Q572=Q$20,"OK","NOK")</f>
        <v>OK</v>
      </c>
      <c r="R573" s="17" t="str">
        <f>IF(R572=R$20,"OK","NOK")</f>
        <v>OK</v>
      </c>
      <c r="S573" s="17"/>
      <c r="T573" s="17" t="str">
        <f>IF(T572=T$20,"OK","NOK")</f>
        <v>OK</v>
      </c>
      <c r="U573" s="17" t="str">
        <f>IF(U572=U$20,"OK","NOK")</f>
        <v>OK</v>
      </c>
      <c r="V573" s="359"/>
      <c r="W573" s="382"/>
      <c r="X573" s="539"/>
      <c r="Y573" s="539"/>
      <c r="Z573" s="201"/>
      <c r="AA573" s="201"/>
      <c r="AB573" s="201"/>
      <c r="AC573" s="84"/>
      <c r="AE573" s="46"/>
      <c r="AF573" s="46"/>
      <c r="AG573" s="17"/>
      <c r="AH573" s="539"/>
      <c r="AI573" s="91"/>
      <c r="AK573" s="46"/>
      <c r="AL573" s="46"/>
      <c r="AM573" s="17"/>
      <c r="AN573" s="539"/>
      <c r="AO573" s="91"/>
      <c r="AQ573" s="46"/>
      <c r="AR573" s="46"/>
      <c r="AS573" s="17"/>
      <c r="AT573" s="539"/>
      <c r="AU573" s="91"/>
      <c r="AW573" s="46"/>
      <c r="AX573" s="46"/>
      <c r="AY573" s="17"/>
      <c r="AZ573" s="539"/>
      <c r="BA573" s="91"/>
    </row>
    <row r="574" spans="1:53" s="32" customFormat="1" ht="16.5" thickBot="1" x14ac:dyDescent="0.3">
      <c r="A574" s="342"/>
      <c r="B574" s="330"/>
      <c r="C574" s="331"/>
      <c r="D574" s="343"/>
      <c r="E574" s="343"/>
      <c r="F574" s="343"/>
      <c r="G574" s="343"/>
      <c r="H574" s="344"/>
      <c r="I574" s="14"/>
      <c r="J574" s="345"/>
      <c r="K574" s="345"/>
      <c r="L574" s="345"/>
      <c r="M574" s="345"/>
      <c r="N574" s="345"/>
      <c r="O574" s="345"/>
      <c r="P574" s="345"/>
      <c r="Q574" s="345"/>
      <c r="R574" s="345"/>
      <c r="S574" s="345"/>
      <c r="T574" s="345"/>
      <c r="U574" s="345"/>
      <c r="V574" s="374"/>
      <c r="W574" s="396"/>
      <c r="X574" s="345"/>
      <c r="Y574" s="346"/>
      <c r="Z574" s="346"/>
      <c r="AA574" s="346"/>
      <c r="AB574" s="346"/>
      <c r="AC574" s="346"/>
      <c r="AE574" s="347"/>
      <c r="AF574" s="347"/>
      <c r="AG574" s="347"/>
      <c r="AH574" s="347"/>
      <c r="AI574" s="348"/>
      <c r="AJ574" s="408"/>
      <c r="AK574" s="349"/>
      <c r="AL574" s="349"/>
      <c r="AM574" s="349"/>
      <c r="AN574" s="349"/>
      <c r="AO574" s="350"/>
      <c r="AP574" s="408"/>
      <c r="AQ574" s="349"/>
      <c r="AR574" s="349"/>
      <c r="AS574" s="349"/>
      <c r="AT574" s="349"/>
      <c r="AU574" s="350"/>
      <c r="AV574" s="408"/>
      <c r="AW574" s="351"/>
      <c r="AX574" s="351"/>
      <c r="AY574" s="351"/>
      <c r="AZ574" s="351"/>
      <c r="BA574" s="352"/>
    </row>
    <row r="575" spans="1:53" ht="17.100000000000001" customHeight="1" x14ac:dyDescent="0.25">
      <c r="A575" s="68"/>
      <c r="B575" s="41" t="s">
        <v>331</v>
      </c>
      <c r="C575" s="69" t="s">
        <v>332</v>
      </c>
      <c r="D575" s="50"/>
      <c r="E575" s="70"/>
      <c r="F575" s="70"/>
      <c r="G575" s="70"/>
      <c r="H575" s="263">
        <v>17</v>
      </c>
      <c r="J575" s="71"/>
      <c r="K575" s="71"/>
      <c r="L575" s="71"/>
      <c r="M575" s="71"/>
      <c r="N575" s="71"/>
      <c r="O575" s="71"/>
      <c r="P575" s="71"/>
      <c r="Q575" s="71"/>
      <c r="R575" s="71"/>
      <c r="S575" s="71"/>
      <c r="T575" s="71"/>
      <c r="U575" s="71"/>
      <c r="V575" s="355"/>
      <c r="W575" s="377"/>
      <c r="X575" s="71"/>
      <c r="Y575" s="72"/>
      <c r="Z575" s="73"/>
      <c r="AA575" s="73"/>
      <c r="AB575" s="73"/>
      <c r="AC575" s="73"/>
      <c r="AE575" s="71"/>
      <c r="AF575" s="71"/>
      <c r="AG575" s="71"/>
      <c r="AH575" s="72"/>
      <c r="AI575" s="73"/>
      <c r="AK575" s="71"/>
      <c r="AL575" s="71"/>
      <c r="AM575" s="71"/>
      <c r="AN575" s="72"/>
      <c r="AO575" s="73"/>
      <c r="AQ575" s="71"/>
      <c r="AR575" s="71"/>
      <c r="AS575" s="71"/>
      <c r="AT575" s="72"/>
      <c r="AU575" s="73"/>
      <c r="AW575" s="71"/>
      <c r="AX575" s="71"/>
      <c r="AY575" s="71"/>
      <c r="AZ575" s="72"/>
      <c r="BA575" s="73"/>
    </row>
    <row r="576" spans="1:53" ht="17.100000000000001" customHeight="1" x14ac:dyDescent="0.25">
      <c r="A576" s="40"/>
      <c r="B576" s="40"/>
      <c r="C576" s="74" t="s">
        <v>333</v>
      </c>
      <c r="D576" s="85" t="s">
        <v>9</v>
      </c>
      <c r="E576" s="105"/>
      <c r="F576" s="105"/>
      <c r="G576" s="105"/>
      <c r="H576" s="119"/>
      <c r="I576" s="231"/>
      <c r="J576" s="581"/>
      <c r="K576" s="581"/>
      <c r="L576" s="582"/>
      <c r="M576" s="593">
        <f>SUM(J576:L576)</f>
        <v>0</v>
      </c>
      <c r="N576" s="111"/>
      <c r="O576" s="111"/>
      <c r="P576" s="111"/>
      <c r="Q576" s="111"/>
      <c r="R576" s="111"/>
      <c r="S576" s="111"/>
      <c r="T576" s="111"/>
      <c r="U576" s="111"/>
      <c r="V576" s="358"/>
      <c r="W576" s="391">
        <f t="shared" ref="W576:W579" si="687">J576+K576+N576+Q576+T576</f>
        <v>0</v>
      </c>
      <c r="X576" s="17">
        <f t="shared" ref="X576:X579" si="688">L576+O576+R576+U576</f>
        <v>0</v>
      </c>
      <c r="Y576" s="18">
        <f>SUM(W576:X576)</f>
        <v>0</v>
      </c>
      <c r="Z576" s="19">
        <f>IF(Y$580=0,0,Y576/Y$580)</f>
        <v>0</v>
      </c>
      <c r="AA576" s="19"/>
      <c r="AB576" s="19"/>
      <c r="AC576" s="17"/>
      <c r="AE576" s="17"/>
      <c r="AF576" s="17"/>
      <c r="AG576" s="17"/>
      <c r="AH576" s="18">
        <f t="shared" ref="AH576:AH579" si="689">J576</f>
        <v>0</v>
      </c>
      <c r="AI576" s="19">
        <f>IF(AH$580=0,0,AH576/AH$580)</f>
        <v>0</v>
      </c>
      <c r="AJ576" s="97"/>
      <c r="AK576" s="17"/>
      <c r="AL576" s="17"/>
      <c r="AM576" s="17"/>
      <c r="AN576" s="18">
        <f t="shared" ref="AN576:AN579" si="690">K576</f>
        <v>0</v>
      </c>
      <c r="AO576" s="19">
        <f>IF(AN$580=0,0,AN576/AN$580)</f>
        <v>0</v>
      </c>
      <c r="AP576" s="97"/>
      <c r="AQ576" s="17"/>
      <c r="AR576" s="17"/>
      <c r="AS576" s="17"/>
      <c r="AT576" s="18">
        <f t="shared" ref="AT576:AT579" si="691">W576</f>
        <v>0</v>
      </c>
      <c r="AU576" s="19">
        <f>IF(AT$580=0,0,AT576/AT$580)</f>
        <v>0</v>
      </c>
      <c r="AV576" s="97"/>
      <c r="AW576" s="17"/>
      <c r="AX576" s="17"/>
      <c r="AY576" s="17"/>
      <c r="AZ576" s="18">
        <f t="shared" ref="AZ576:AZ579" si="692">X576</f>
        <v>0</v>
      </c>
      <c r="BA576" s="19">
        <f>IF(AZ$580=0,0,AZ576/AZ$580)</f>
        <v>0</v>
      </c>
    </row>
    <row r="577" spans="1:53" ht="17.100000000000001" customHeight="1" x14ac:dyDescent="0.25">
      <c r="A577" s="40"/>
      <c r="B577" s="40"/>
      <c r="C577" s="74" t="s">
        <v>334</v>
      </c>
      <c r="D577" s="85" t="s">
        <v>335</v>
      </c>
      <c r="E577" s="105"/>
      <c r="F577" s="105"/>
      <c r="G577" s="105"/>
      <c r="H577" s="119"/>
      <c r="I577" s="231"/>
      <c r="J577" s="583"/>
      <c r="K577" s="583"/>
      <c r="L577" s="584"/>
      <c r="M577" s="593">
        <f t="shared" ref="M577:M579" si="693">SUM(J577:L577)</f>
        <v>0</v>
      </c>
      <c r="N577" s="111"/>
      <c r="O577" s="111"/>
      <c r="P577" s="111"/>
      <c r="Q577" s="111"/>
      <c r="R577" s="111"/>
      <c r="S577" s="111"/>
      <c r="T577" s="111"/>
      <c r="U577" s="111"/>
      <c r="V577" s="358"/>
      <c r="W577" s="391">
        <f t="shared" si="687"/>
        <v>0</v>
      </c>
      <c r="X577" s="17">
        <f t="shared" si="688"/>
        <v>0</v>
      </c>
      <c r="Y577" s="18">
        <f>SUM(W577:X577)</f>
        <v>0</v>
      </c>
      <c r="Z577" s="19">
        <f t="shared" ref="Z577:Z579" si="694">IF(Y$580=0,0,Y577/Y$580)</f>
        <v>0</v>
      </c>
      <c r="AA577" s="19"/>
      <c r="AB577" s="19"/>
      <c r="AC577" s="17"/>
      <c r="AE577" s="17"/>
      <c r="AF577" s="17"/>
      <c r="AG577" s="17"/>
      <c r="AH577" s="18">
        <f t="shared" si="689"/>
        <v>0</v>
      </c>
      <c r="AI577" s="19">
        <f t="shared" ref="AI577:AI580" si="695">IF(AH$580=0,0,AH577/AH$580)</f>
        <v>0</v>
      </c>
      <c r="AJ577" s="97"/>
      <c r="AK577" s="17"/>
      <c r="AL577" s="17"/>
      <c r="AM577" s="17"/>
      <c r="AN577" s="18">
        <f t="shared" si="690"/>
        <v>0</v>
      </c>
      <c r="AO577" s="19">
        <f t="shared" ref="AO577:AO580" si="696">IF(AN$580=0,0,AN577/AN$580)</f>
        <v>0</v>
      </c>
      <c r="AP577" s="97"/>
      <c r="AQ577" s="17"/>
      <c r="AR577" s="17"/>
      <c r="AS577" s="17"/>
      <c r="AT577" s="18">
        <f t="shared" si="691"/>
        <v>0</v>
      </c>
      <c r="AU577" s="19">
        <f t="shared" ref="AU577:AU580" si="697">IF(AT$580=0,0,AT577/AT$580)</f>
        <v>0</v>
      </c>
      <c r="AV577" s="97"/>
      <c r="AW577" s="17"/>
      <c r="AX577" s="17"/>
      <c r="AY577" s="17"/>
      <c r="AZ577" s="18">
        <f t="shared" si="692"/>
        <v>0</v>
      </c>
      <c r="BA577" s="19">
        <f t="shared" ref="BA577:BA580" si="698">IF(AZ$580=0,0,AZ577/AZ$580)</f>
        <v>0</v>
      </c>
    </row>
    <row r="578" spans="1:53" ht="17.100000000000001" customHeight="1" x14ac:dyDescent="0.25">
      <c r="A578" s="40"/>
      <c r="B578" s="40"/>
      <c r="C578" s="74" t="s">
        <v>336</v>
      </c>
      <c r="D578" s="85" t="s">
        <v>129</v>
      </c>
      <c r="E578" s="105"/>
      <c r="F578" s="105"/>
      <c r="G578" s="105"/>
      <c r="H578" s="119"/>
      <c r="I578" s="231"/>
      <c r="J578" s="581"/>
      <c r="K578" s="581"/>
      <c r="L578" s="582"/>
      <c r="M578" s="593">
        <f t="shared" si="693"/>
        <v>0</v>
      </c>
      <c r="N578" s="111"/>
      <c r="O578" s="111"/>
      <c r="P578" s="111"/>
      <c r="Q578" s="111"/>
      <c r="R578" s="111"/>
      <c r="S578" s="111"/>
      <c r="T578" s="111"/>
      <c r="U578" s="111"/>
      <c r="V578" s="358"/>
      <c r="W578" s="391">
        <f t="shared" si="687"/>
        <v>0</v>
      </c>
      <c r="X578" s="17">
        <f t="shared" si="688"/>
        <v>0</v>
      </c>
      <c r="Y578" s="18">
        <f>SUM(W578:X578)</f>
        <v>0</v>
      </c>
      <c r="Z578" s="19">
        <f t="shared" si="694"/>
        <v>0</v>
      </c>
      <c r="AA578" s="19"/>
      <c r="AB578" s="19"/>
      <c r="AC578" s="17"/>
      <c r="AE578" s="17"/>
      <c r="AF578" s="17"/>
      <c r="AG578" s="17"/>
      <c r="AH578" s="18">
        <f t="shared" si="689"/>
        <v>0</v>
      </c>
      <c r="AI578" s="19">
        <f t="shared" si="695"/>
        <v>0</v>
      </c>
      <c r="AJ578" s="97"/>
      <c r="AK578" s="17"/>
      <c r="AL578" s="17"/>
      <c r="AM578" s="17"/>
      <c r="AN578" s="18">
        <f t="shared" si="690"/>
        <v>0</v>
      </c>
      <c r="AO578" s="19">
        <f t="shared" si="696"/>
        <v>0</v>
      </c>
      <c r="AP578" s="97"/>
      <c r="AQ578" s="17"/>
      <c r="AR578" s="17"/>
      <c r="AS578" s="17"/>
      <c r="AT578" s="18">
        <f t="shared" si="691"/>
        <v>0</v>
      </c>
      <c r="AU578" s="19">
        <f t="shared" si="697"/>
        <v>0</v>
      </c>
      <c r="AV578" s="97"/>
      <c r="AW578" s="17"/>
      <c r="AX578" s="17"/>
      <c r="AY578" s="17"/>
      <c r="AZ578" s="18">
        <f t="shared" si="692"/>
        <v>0</v>
      </c>
      <c r="BA578" s="19">
        <f t="shared" si="698"/>
        <v>0</v>
      </c>
    </row>
    <row r="579" spans="1:53" ht="17.100000000000001" customHeight="1" x14ac:dyDescent="0.25">
      <c r="A579" s="40"/>
      <c r="B579" s="40"/>
      <c r="C579" s="74" t="s">
        <v>554</v>
      </c>
      <c r="D579" s="85" t="s">
        <v>530</v>
      </c>
      <c r="E579" s="105"/>
      <c r="F579" s="105"/>
      <c r="G579" s="105"/>
      <c r="H579" s="119"/>
      <c r="I579" s="231"/>
      <c r="J579" s="583"/>
      <c r="K579" s="583"/>
      <c r="L579" s="584"/>
      <c r="M579" s="593">
        <f t="shared" si="693"/>
        <v>0</v>
      </c>
      <c r="N579" s="111"/>
      <c r="O579" s="111"/>
      <c r="P579" s="111"/>
      <c r="Q579" s="111"/>
      <c r="R579" s="111"/>
      <c r="S579" s="111"/>
      <c r="T579" s="111"/>
      <c r="U579" s="111"/>
      <c r="V579" s="358"/>
      <c r="W579" s="391">
        <f t="shared" si="687"/>
        <v>0</v>
      </c>
      <c r="X579" s="17">
        <f t="shared" si="688"/>
        <v>0</v>
      </c>
      <c r="Y579" s="18">
        <f>SUM(W579:X579)</f>
        <v>0</v>
      </c>
      <c r="Z579" s="19">
        <f t="shared" si="694"/>
        <v>0</v>
      </c>
      <c r="AA579" s="19"/>
      <c r="AB579" s="19"/>
      <c r="AC579" s="17"/>
      <c r="AE579" s="17"/>
      <c r="AF579" s="17"/>
      <c r="AG579" s="17"/>
      <c r="AH579" s="18">
        <f t="shared" si="689"/>
        <v>0</v>
      </c>
      <c r="AI579" s="19">
        <f t="shared" si="695"/>
        <v>0</v>
      </c>
      <c r="AJ579" s="97"/>
      <c r="AK579" s="17"/>
      <c r="AL579" s="17"/>
      <c r="AM579" s="17"/>
      <c r="AN579" s="18">
        <f t="shared" si="690"/>
        <v>0</v>
      </c>
      <c r="AO579" s="19">
        <f t="shared" si="696"/>
        <v>0</v>
      </c>
      <c r="AP579" s="97"/>
      <c r="AQ579" s="17"/>
      <c r="AR579" s="17"/>
      <c r="AS579" s="17"/>
      <c r="AT579" s="18">
        <f t="shared" si="691"/>
        <v>0</v>
      </c>
      <c r="AU579" s="19">
        <f t="shared" si="697"/>
        <v>0</v>
      </c>
      <c r="AV579" s="97"/>
      <c r="AW579" s="17"/>
      <c r="AX579" s="17"/>
      <c r="AY579" s="17"/>
      <c r="AZ579" s="18">
        <f t="shared" si="692"/>
        <v>0</v>
      </c>
      <c r="BA579" s="19">
        <f t="shared" si="698"/>
        <v>0</v>
      </c>
    </row>
    <row r="580" spans="1:53" ht="17.100000000000001" customHeight="1" x14ac:dyDescent="0.25">
      <c r="A580" s="40"/>
      <c r="B580" s="40"/>
      <c r="C580" s="77"/>
      <c r="D580" s="134"/>
      <c r="E580" s="134"/>
      <c r="F580" s="134"/>
      <c r="G580" s="134"/>
      <c r="H580" s="540"/>
      <c r="I580" s="229"/>
      <c r="J580" s="80">
        <f>SUM(J576:J579)</f>
        <v>0</v>
      </c>
      <c r="K580" s="80">
        <f t="shared" ref="K580:M580" si="699">SUM(K576:K579)</f>
        <v>0</v>
      </c>
      <c r="L580" s="80">
        <f t="shared" si="699"/>
        <v>0</v>
      </c>
      <c r="M580" s="80">
        <f t="shared" si="699"/>
        <v>0</v>
      </c>
      <c r="N580" s="81"/>
      <c r="O580" s="81"/>
      <c r="P580" s="81"/>
      <c r="Q580" s="81"/>
      <c r="R580" s="81"/>
      <c r="S580" s="81"/>
      <c r="T580" s="81"/>
      <c r="U580" s="81"/>
      <c r="V580" s="356"/>
      <c r="W580" s="381">
        <f t="shared" ref="W580:X580" si="700">SUM(W576:W579)</f>
        <v>0</v>
      </c>
      <c r="X580" s="82">
        <f t="shared" si="700"/>
        <v>0</v>
      </c>
      <c r="Y580" s="82">
        <f>SUM(Y576:Y579)</f>
        <v>0</v>
      </c>
      <c r="Z580" s="205">
        <f>IF(Y$580=0,0,Y580/Y$580)</f>
        <v>0</v>
      </c>
      <c r="AA580" s="205"/>
      <c r="AB580" s="205"/>
      <c r="AC580" s="83"/>
      <c r="AE580" s="80"/>
      <c r="AF580" s="80"/>
      <c r="AG580" s="81"/>
      <c r="AH580" s="82">
        <f>SUM(AH576:AH579)</f>
        <v>0</v>
      </c>
      <c r="AI580" s="66">
        <f t="shared" si="695"/>
        <v>0</v>
      </c>
      <c r="AK580" s="80"/>
      <c r="AL580" s="80"/>
      <c r="AM580" s="81"/>
      <c r="AN580" s="82">
        <f>SUM(AN576:AN579)</f>
        <v>0</v>
      </c>
      <c r="AO580" s="66">
        <f t="shared" si="696"/>
        <v>0</v>
      </c>
      <c r="AQ580" s="80"/>
      <c r="AR580" s="80"/>
      <c r="AS580" s="81"/>
      <c r="AT580" s="82">
        <f>SUM(AT576:AT579)</f>
        <v>0</v>
      </c>
      <c r="AU580" s="66">
        <f t="shared" si="697"/>
        <v>0</v>
      </c>
      <c r="AW580" s="80"/>
      <c r="AX580" s="80"/>
      <c r="AY580" s="81"/>
      <c r="AZ580" s="82">
        <f>SUM(AZ576:AZ579)</f>
        <v>0</v>
      </c>
      <c r="BA580" s="66">
        <f t="shared" si="698"/>
        <v>0</v>
      </c>
    </row>
    <row r="581" spans="1:53" s="117" customFormat="1" ht="17.100000000000001" customHeight="1" x14ac:dyDescent="0.25">
      <c r="A581" s="68"/>
      <c r="B581" s="119"/>
      <c r="C581" s="540"/>
      <c r="D581" s="261"/>
      <c r="E581" s="261"/>
      <c r="F581" s="68"/>
      <c r="G581" s="68"/>
      <c r="H581" s="119"/>
      <c r="I581" s="138"/>
      <c r="J581" s="17" t="str">
        <f>IF(J580=J$15,"OK","NOK")</f>
        <v>OK</v>
      </c>
      <c r="K581" s="17" t="str">
        <f t="shared" ref="K581:L581" si="701">IF(K580=K$15,"OK","NOK")</f>
        <v>OK</v>
      </c>
      <c r="L581" s="17" t="str">
        <f t="shared" si="701"/>
        <v>OK</v>
      </c>
      <c r="M581" s="17"/>
      <c r="N581" s="17"/>
      <c r="O581" s="17"/>
      <c r="P581" s="17"/>
      <c r="Q581" s="17"/>
      <c r="R581" s="17"/>
      <c r="S581" s="17"/>
      <c r="T581" s="17"/>
      <c r="U581" s="17"/>
      <c r="V581" s="359"/>
      <c r="W581" s="382"/>
      <c r="X581" s="539"/>
      <c r="Y581" s="539"/>
      <c r="Z581" s="201"/>
      <c r="AA581" s="201"/>
      <c r="AB581" s="201"/>
      <c r="AC581" s="84"/>
      <c r="AE581" s="46"/>
      <c r="AF581" s="46"/>
      <c r="AG581" s="17"/>
      <c r="AH581" s="539"/>
      <c r="AI581" s="91"/>
      <c r="AK581" s="46"/>
      <c r="AL581" s="46"/>
      <c r="AM581" s="17"/>
      <c r="AN581" s="539"/>
      <c r="AO581" s="91"/>
      <c r="AQ581" s="46"/>
      <c r="AR581" s="46"/>
      <c r="AS581" s="17"/>
      <c r="AT581" s="539"/>
      <c r="AU581" s="91"/>
      <c r="AW581" s="46"/>
      <c r="AX581" s="46"/>
      <c r="AY581" s="17"/>
      <c r="AZ581" s="539"/>
      <c r="BA581" s="91"/>
    </row>
    <row r="582" spans="1:53" ht="17.100000000000001" customHeight="1" x14ac:dyDescent="0.25">
      <c r="A582" s="40"/>
      <c r="B582" s="41" t="s">
        <v>337</v>
      </c>
      <c r="C582" s="69" t="s">
        <v>361</v>
      </c>
      <c r="D582" s="50"/>
      <c r="E582" s="70"/>
      <c r="F582" s="70"/>
      <c r="G582" s="70"/>
      <c r="H582" s="247">
        <v>21</v>
      </c>
      <c r="J582" s="71"/>
      <c r="K582" s="71"/>
      <c r="L582" s="71"/>
      <c r="M582" s="71"/>
      <c r="N582" s="71"/>
      <c r="O582" s="71"/>
      <c r="P582" s="71"/>
      <c r="Q582" s="71"/>
      <c r="R582" s="71"/>
      <c r="S582" s="71"/>
      <c r="T582" s="71"/>
      <c r="U582" s="71"/>
      <c r="V582" s="355"/>
      <c r="W582" s="377"/>
      <c r="X582" s="71"/>
      <c r="Y582" s="89"/>
      <c r="Z582" s="90"/>
      <c r="AA582" s="90"/>
      <c r="AB582" s="90"/>
      <c r="AC582" s="227"/>
      <c r="AE582" s="71"/>
      <c r="AF582" s="71"/>
      <c r="AG582" s="71"/>
      <c r="AH582" s="89"/>
      <c r="AI582" s="71"/>
      <c r="AK582" s="71"/>
      <c r="AL582" s="71"/>
      <c r="AM582" s="71"/>
      <c r="AN582" s="89"/>
      <c r="AO582" s="71"/>
      <c r="AQ582" s="71"/>
      <c r="AR582" s="71"/>
      <c r="AS582" s="71"/>
      <c r="AT582" s="89"/>
      <c r="AU582" s="71"/>
      <c r="AW582" s="71"/>
      <c r="AX582" s="71"/>
      <c r="AY582" s="71"/>
      <c r="AZ582" s="89"/>
      <c r="BA582" s="71"/>
    </row>
    <row r="583" spans="1:53" ht="17.100000000000001" customHeight="1" x14ac:dyDescent="0.25">
      <c r="A583" s="40"/>
      <c r="B583" s="40"/>
      <c r="C583" s="74" t="s">
        <v>499</v>
      </c>
      <c r="D583" s="85" t="s">
        <v>495</v>
      </c>
      <c r="E583" s="105"/>
      <c r="F583" s="105"/>
      <c r="G583" s="105"/>
      <c r="H583" s="119"/>
      <c r="I583" s="231"/>
      <c r="J583" s="581"/>
      <c r="K583" s="581"/>
      <c r="L583" s="582"/>
      <c r="M583" s="593">
        <f t="shared" ref="M583:M588" si="702">SUM(J583:L583)</f>
        <v>0</v>
      </c>
      <c r="N583" s="111"/>
      <c r="O583" s="111"/>
      <c r="P583" s="111"/>
      <c r="Q583" s="111"/>
      <c r="R583" s="111"/>
      <c r="S583" s="111"/>
      <c r="T583" s="111"/>
      <c r="U583" s="111"/>
      <c r="V583" s="358"/>
      <c r="W583" s="391">
        <f t="shared" ref="W583:W588" si="703">J583+K583+N583+Q583+T583</f>
        <v>0</v>
      </c>
      <c r="X583" s="17">
        <f t="shared" ref="X583:X588" si="704">L583+O583+R583+U583</f>
        <v>0</v>
      </c>
      <c r="Y583" s="18">
        <f t="shared" ref="Y583:Y588" si="705">SUM(W583:X583)</f>
        <v>0</v>
      </c>
      <c r="Z583" s="19">
        <f>IF(Y$589=0,0,Y583/Y$589)</f>
        <v>0</v>
      </c>
      <c r="AA583" s="19"/>
      <c r="AB583" s="19"/>
      <c r="AC583" s="17"/>
      <c r="AE583" s="17"/>
      <c r="AF583" s="17"/>
      <c r="AG583" s="17"/>
      <c r="AH583" s="18">
        <f t="shared" ref="AH583:AH588" si="706">J583</f>
        <v>0</v>
      </c>
      <c r="AI583" s="19">
        <f>IF(AH$589=0,0,AH583/AH$589)</f>
        <v>0</v>
      </c>
      <c r="AJ583" s="97"/>
      <c r="AK583" s="17"/>
      <c r="AL583" s="17"/>
      <c r="AM583" s="17"/>
      <c r="AN583" s="18">
        <f t="shared" ref="AN583:AN588" si="707">K583</f>
        <v>0</v>
      </c>
      <c r="AO583" s="19">
        <f>IF(AN$589=0,0,AN583/AN$589)</f>
        <v>0</v>
      </c>
      <c r="AP583" s="97"/>
      <c r="AQ583" s="17"/>
      <c r="AR583" s="17"/>
      <c r="AS583" s="17"/>
      <c r="AT583" s="18">
        <f t="shared" ref="AT583:AT588" si="708">W583</f>
        <v>0</v>
      </c>
      <c r="AU583" s="19">
        <f>IF(AT$589=0,0,AT583/AT$589)</f>
        <v>0</v>
      </c>
      <c r="AV583" s="97"/>
      <c r="AW583" s="17"/>
      <c r="AX583" s="17"/>
      <c r="AY583" s="17"/>
      <c r="AZ583" s="18">
        <f t="shared" ref="AZ583:AZ588" si="709">X583</f>
        <v>0</v>
      </c>
      <c r="BA583" s="19">
        <f>IF(AZ$589=0,0,AZ583/AZ$589)</f>
        <v>0</v>
      </c>
    </row>
    <row r="584" spans="1:53" ht="17.100000000000001" customHeight="1" x14ac:dyDescent="0.25">
      <c r="A584" s="40"/>
      <c r="B584" s="40"/>
      <c r="C584" s="74" t="s">
        <v>500</v>
      </c>
      <c r="D584" s="85" t="s">
        <v>496</v>
      </c>
      <c r="E584" s="105"/>
      <c r="F584" s="105"/>
      <c r="G584" s="105"/>
      <c r="H584" s="119"/>
      <c r="I584" s="231"/>
      <c r="J584" s="583"/>
      <c r="K584" s="583"/>
      <c r="L584" s="584"/>
      <c r="M584" s="593">
        <f t="shared" si="702"/>
        <v>0</v>
      </c>
      <c r="N584" s="111"/>
      <c r="O584" s="111"/>
      <c r="P584" s="111"/>
      <c r="Q584" s="111"/>
      <c r="R584" s="111"/>
      <c r="S584" s="111"/>
      <c r="T584" s="111"/>
      <c r="U584" s="111"/>
      <c r="V584" s="358"/>
      <c r="W584" s="391">
        <f t="shared" si="703"/>
        <v>0</v>
      </c>
      <c r="X584" s="17">
        <f t="shared" si="704"/>
        <v>0</v>
      </c>
      <c r="Y584" s="18">
        <f t="shared" si="705"/>
        <v>0</v>
      </c>
      <c r="Z584" s="19">
        <f t="shared" ref="Z584:Z588" si="710">IF(Y$589=0,0,Y584/Y$589)</f>
        <v>0</v>
      </c>
      <c r="AA584" s="19"/>
      <c r="AB584" s="19"/>
      <c r="AC584" s="17"/>
      <c r="AE584" s="17"/>
      <c r="AF584" s="17"/>
      <c r="AG584" s="17"/>
      <c r="AH584" s="18">
        <f t="shared" si="706"/>
        <v>0</v>
      </c>
      <c r="AI584" s="19">
        <f t="shared" ref="AI584:AI589" si="711">IF(AH$589=0,0,AH584/AH$589)</f>
        <v>0</v>
      </c>
      <c r="AJ584" s="97"/>
      <c r="AK584" s="17"/>
      <c r="AL584" s="17"/>
      <c r="AM584" s="17"/>
      <c r="AN584" s="18">
        <f t="shared" si="707"/>
        <v>0</v>
      </c>
      <c r="AO584" s="19">
        <f t="shared" ref="AO584:AO589" si="712">IF(AN$589=0,0,AN584/AN$589)</f>
        <v>0</v>
      </c>
      <c r="AP584" s="97"/>
      <c r="AQ584" s="17"/>
      <c r="AR584" s="17"/>
      <c r="AS584" s="17"/>
      <c r="AT584" s="18">
        <f t="shared" si="708"/>
        <v>0</v>
      </c>
      <c r="AU584" s="19">
        <f t="shared" ref="AU584:AU589" si="713">IF(AT$589=0,0,AT584/AT$589)</f>
        <v>0</v>
      </c>
      <c r="AV584" s="97"/>
      <c r="AW584" s="17"/>
      <c r="AX584" s="17"/>
      <c r="AY584" s="17"/>
      <c r="AZ584" s="18">
        <f t="shared" si="709"/>
        <v>0</v>
      </c>
      <c r="BA584" s="19">
        <f t="shared" ref="BA584:BA589" si="714">IF(AZ$589=0,0,AZ584/AZ$589)</f>
        <v>0</v>
      </c>
    </row>
    <row r="585" spans="1:53" ht="17.100000000000001" customHeight="1" x14ac:dyDescent="0.25">
      <c r="A585" s="40"/>
      <c r="B585" s="40"/>
      <c r="C585" s="74" t="s">
        <v>501</v>
      </c>
      <c r="D585" s="85" t="s">
        <v>497</v>
      </c>
      <c r="E585" s="105"/>
      <c r="F585" s="105"/>
      <c r="G585" s="105"/>
      <c r="H585" s="119"/>
      <c r="I585" s="231"/>
      <c r="J585" s="581"/>
      <c r="K585" s="581"/>
      <c r="L585" s="582"/>
      <c r="M585" s="593">
        <f t="shared" si="702"/>
        <v>0</v>
      </c>
      <c r="N585" s="111"/>
      <c r="O585" s="111"/>
      <c r="P585" s="111"/>
      <c r="Q585" s="111"/>
      <c r="R585" s="111"/>
      <c r="S585" s="111"/>
      <c r="T585" s="111"/>
      <c r="U585" s="111"/>
      <c r="V585" s="358"/>
      <c r="W585" s="391">
        <f t="shared" si="703"/>
        <v>0</v>
      </c>
      <c r="X585" s="17">
        <f t="shared" si="704"/>
        <v>0</v>
      </c>
      <c r="Y585" s="18">
        <f t="shared" si="705"/>
        <v>0</v>
      </c>
      <c r="Z585" s="19">
        <f t="shared" si="710"/>
        <v>0</v>
      </c>
      <c r="AA585" s="19"/>
      <c r="AB585" s="19"/>
      <c r="AC585" s="17"/>
      <c r="AE585" s="17"/>
      <c r="AF585" s="17"/>
      <c r="AG585" s="17"/>
      <c r="AH585" s="18">
        <f t="shared" si="706"/>
        <v>0</v>
      </c>
      <c r="AI585" s="19">
        <f t="shared" si="711"/>
        <v>0</v>
      </c>
      <c r="AJ585" s="97"/>
      <c r="AK585" s="17"/>
      <c r="AL585" s="17"/>
      <c r="AM585" s="17"/>
      <c r="AN585" s="18">
        <f t="shared" si="707"/>
        <v>0</v>
      </c>
      <c r="AO585" s="19">
        <f t="shared" si="712"/>
        <v>0</v>
      </c>
      <c r="AP585" s="97"/>
      <c r="AQ585" s="17"/>
      <c r="AR585" s="17"/>
      <c r="AS585" s="17"/>
      <c r="AT585" s="18">
        <f t="shared" si="708"/>
        <v>0</v>
      </c>
      <c r="AU585" s="19">
        <f t="shared" si="713"/>
        <v>0</v>
      </c>
      <c r="AV585" s="97"/>
      <c r="AW585" s="17"/>
      <c r="AX585" s="17"/>
      <c r="AY585" s="17"/>
      <c r="AZ585" s="18">
        <f t="shared" si="709"/>
        <v>0</v>
      </c>
      <c r="BA585" s="19">
        <f t="shared" si="714"/>
        <v>0</v>
      </c>
    </row>
    <row r="586" spans="1:53" ht="17.100000000000001" customHeight="1" x14ac:dyDescent="0.25">
      <c r="A586" s="40"/>
      <c r="B586" s="40"/>
      <c r="C586" s="74" t="s">
        <v>502</v>
      </c>
      <c r="D586" s="85" t="s">
        <v>498</v>
      </c>
      <c r="E586" s="105"/>
      <c r="F586" s="105"/>
      <c r="G586" s="105"/>
      <c r="H586" s="119"/>
      <c r="I586" s="231"/>
      <c r="J586" s="583"/>
      <c r="K586" s="583"/>
      <c r="L586" s="584"/>
      <c r="M586" s="593">
        <f t="shared" si="702"/>
        <v>0</v>
      </c>
      <c r="N586" s="111"/>
      <c r="O586" s="111"/>
      <c r="P586" s="111"/>
      <c r="Q586" s="111"/>
      <c r="R586" s="111"/>
      <c r="S586" s="111"/>
      <c r="T586" s="111"/>
      <c r="U586" s="111"/>
      <c r="V586" s="358"/>
      <c r="W586" s="391">
        <f t="shared" si="703"/>
        <v>0</v>
      </c>
      <c r="X586" s="17">
        <f t="shared" si="704"/>
        <v>0</v>
      </c>
      <c r="Y586" s="18">
        <f t="shared" si="705"/>
        <v>0</v>
      </c>
      <c r="Z586" s="19">
        <f t="shared" si="710"/>
        <v>0</v>
      </c>
      <c r="AA586" s="19"/>
      <c r="AB586" s="19"/>
      <c r="AC586" s="17"/>
      <c r="AE586" s="17"/>
      <c r="AF586" s="17"/>
      <c r="AG586" s="17"/>
      <c r="AH586" s="18">
        <f t="shared" si="706"/>
        <v>0</v>
      </c>
      <c r="AI586" s="19">
        <f t="shared" si="711"/>
        <v>0</v>
      </c>
      <c r="AJ586" s="97"/>
      <c r="AK586" s="17"/>
      <c r="AL586" s="17"/>
      <c r="AM586" s="17"/>
      <c r="AN586" s="18">
        <f t="shared" si="707"/>
        <v>0</v>
      </c>
      <c r="AO586" s="19">
        <f t="shared" si="712"/>
        <v>0</v>
      </c>
      <c r="AP586" s="97"/>
      <c r="AQ586" s="17"/>
      <c r="AR586" s="17"/>
      <c r="AS586" s="17"/>
      <c r="AT586" s="18">
        <f t="shared" si="708"/>
        <v>0</v>
      </c>
      <c r="AU586" s="19">
        <f t="shared" si="713"/>
        <v>0</v>
      </c>
      <c r="AV586" s="97"/>
      <c r="AW586" s="17"/>
      <c r="AX586" s="17"/>
      <c r="AY586" s="17"/>
      <c r="AZ586" s="18">
        <f t="shared" si="709"/>
        <v>0</v>
      </c>
      <c r="BA586" s="19">
        <f t="shared" si="714"/>
        <v>0</v>
      </c>
    </row>
    <row r="587" spans="1:53" ht="17.100000000000001" customHeight="1" x14ac:dyDescent="0.25">
      <c r="A587" s="40"/>
      <c r="B587" s="40"/>
      <c r="C587" s="74" t="s">
        <v>503</v>
      </c>
      <c r="D587" s="85" t="s">
        <v>129</v>
      </c>
      <c r="E587" s="105"/>
      <c r="F587" s="105"/>
      <c r="G587" s="105"/>
      <c r="H587" s="119"/>
      <c r="I587" s="231"/>
      <c r="J587" s="581"/>
      <c r="K587" s="581"/>
      <c r="L587" s="582"/>
      <c r="M587" s="593">
        <f t="shared" si="702"/>
        <v>0</v>
      </c>
      <c r="N587" s="111"/>
      <c r="O587" s="111"/>
      <c r="P587" s="111"/>
      <c r="Q587" s="111"/>
      <c r="R587" s="111"/>
      <c r="S587" s="111"/>
      <c r="T587" s="111"/>
      <c r="U587" s="111"/>
      <c r="V587" s="358"/>
      <c r="W587" s="391">
        <f t="shared" si="703"/>
        <v>0</v>
      </c>
      <c r="X587" s="17">
        <f t="shared" si="704"/>
        <v>0</v>
      </c>
      <c r="Y587" s="18">
        <f t="shared" si="705"/>
        <v>0</v>
      </c>
      <c r="Z587" s="19">
        <f t="shared" si="710"/>
        <v>0</v>
      </c>
      <c r="AA587" s="19"/>
      <c r="AB587" s="19"/>
      <c r="AC587" s="17"/>
      <c r="AE587" s="17"/>
      <c r="AF587" s="17"/>
      <c r="AG587" s="17"/>
      <c r="AH587" s="18">
        <f t="shared" si="706"/>
        <v>0</v>
      </c>
      <c r="AI587" s="19">
        <f t="shared" si="711"/>
        <v>0</v>
      </c>
      <c r="AJ587" s="97"/>
      <c r="AK587" s="17"/>
      <c r="AL587" s="17"/>
      <c r="AM587" s="17"/>
      <c r="AN587" s="18">
        <f t="shared" si="707"/>
        <v>0</v>
      </c>
      <c r="AO587" s="19">
        <f t="shared" si="712"/>
        <v>0</v>
      </c>
      <c r="AP587" s="97"/>
      <c r="AQ587" s="17"/>
      <c r="AR587" s="17"/>
      <c r="AS587" s="17"/>
      <c r="AT587" s="18">
        <f t="shared" si="708"/>
        <v>0</v>
      </c>
      <c r="AU587" s="19">
        <f t="shared" si="713"/>
        <v>0</v>
      </c>
      <c r="AV587" s="97"/>
      <c r="AW587" s="17"/>
      <c r="AX587" s="17"/>
      <c r="AY587" s="17"/>
      <c r="AZ587" s="18">
        <f t="shared" si="709"/>
        <v>0</v>
      </c>
      <c r="BA587" s="19">
        <f t="shared" si="714"/>
        <v>0</v>
      </c>
    </row>
    <row r="588" spans="1:53" ht="17.100000000000001" customHeight="1" x14ac:dyDescent="0.25">
      <c r="A588" s="40"/>
      <c r="B588" s="40"/>
      <c r="C588" s="74" t="s">
        <v>551</v>
      </c>
      <c r="D588" s="85" t="s">
        <v>550</v>
      </c>
      <c r="E588" s="105"/>
      <c r="F588" s="105"/>
      <c r="G588" s="105"/>
      <c r="H588" s="119"/>
      <c r="I588" s="231"/>
      <c r="J588" s="583"/>
      <c r="K588" s="583"/>
      <c r="L588" s="584"/>
      <c r="M588" s="593">
        <f t="shared" si="702"/>
        <v>0</v>
      </c>
      <c r="N588" s="111"/>
      <c r="O588" s="111"/>
      <c r="P588" s="111"/>
      <c r="Q588" s="111"/>
      <c r="R588" s="111"/>
      <c r="S588" s="111"/>
      <c r="T588" s="111"/>
      <c r="U588" s="111"/>
      <c r="V588" s="358"/>
      <c r="W588" s="391">
        <f t="shared" si="703"/>
        <v>0</v>
      </c>
      <c r="X588" s="17">
        <f t="shared" si="704"/>
        <v>0</v>
      </c>
      <c r="Y588" s="18">
        <f t="shared" si="705"/>
        <v>0</v>
      </c>
      <c r="Z588" s="19">
        <f t="shared" si="710"/>
        <v>0</v>
      </c>
      <c r="AA588" s="19"/>
      <c r="AB588" s="19"/>
      <c r="AC588" s="17"/>
      <c r="AE588" s="17"/>
      <c r="AF588" s="17"/>
      <c r="AG588" s="17"/>
      <c r="AH588" s="18">
        <f t="shared" si="706"/>
        <v>0</v>
      </c>
      <c r="AI588" s="19">
        <f t="shared" si="711"/>
        <v>0</v>
      </c>
      <c r="AJ588" s="97"/>
      <c r="AK588" s="17"/>
      <c r="AL588" s="17"/>
      <c r="AM588" s="17"/>
      <c r="AN588" s="18">
        <f t="shared" si="707"/>
        <v>0</v>
      </c>
      <c r="AO588" s="19">
        <f t="shared" si="712"/>
        <v>0</v>
      </c>
      <c r="AP588" s="97"/>
      <c r="AQ588" s="17"/>
      <c r="AR588" s="17"/>
      <c r="AS588" s="17"/>
      <c r="AT588" s="18">
        <f t="shared" si="708"/>
        <v>0</v>
      </c>
      <c r="AU588" s="19">
        <f t="shared" si="713"/>
        <v>0</v>
      </c>
      <c r="AV588" s="97"/>
      <c r="AW588" s="17"/>
      <c r="AX588" s="17"/>
      <c r="AY588" s="17"/>
      <c r="AZ588" s="18">
        <f t="shared" si="709"/>
        <v>0</v>
      </c>
      <c r="BA588" s="19">
        <f t="shared" si="714"/>
        <v>0</v>
      </c>
    </row>
    <row r="589" spans="1:53" ht="17.100000000000001" customHeight="1" x14ac:dyDescent="0.25">
      <c r="A589" s="40"/>
      <c r="B589" s="40"/>
      <c r="C589" s="77"/>
      <c r="D589" s="134"/>
      <c r="E589" s="134"/>
      <c r="F589" s="134"/>
      <c r="G589" s="134"/>
      <c r="H589" s="540"/>
      <c r="I589" s="229"/>
      <c r="J589" s="80">
        <f>SUM(J583:J588)</f>
        <v>0</v>
      </c>
      <c r="K589" s="80">
        <f t="shared" ref="K589:M589" si="715">SUM(K583:K588)</f>
        <v>0</v>
      </c>
      <c r="L589" s="80">
        <f t="shared" si="715"/>
        <v>0</v>
      </c>
      <c r="M589" s="80">
        <f t="shared" si="715"/>
        <v>0</v>
      </c>
      <c r="N589" s="81"/>
      <c r="O589" s="81"/>
      <c r="P589" s="81"/>
      <c r="Q589" s="81"/>
      <c r="R589" s="81"/>
      <c r="S589" s="81"/>
      <c r="T589" s="81"/>
      <c r="U589" s="81"/>
      <c r="V589" s="356"/>
      <c r="W589" s="381">
        <f t="shared" ref="W589:X589" si="716">SUM(W583:W588)</f>
        <v>0</v>
      </c>
      <c r="X589" s="82">
        <f t="shared" si="716"/>
        <v>0</v>
      </c>
      <c r="Y589" s="82">
        <f>SUM(Y583:Y588)</f>
        <v>0</v>
      </c>
      <c r="Z589" s="205">
        <f>IF(Y$589=0,0,Y589/Y$589)</f>
        <v>0</v>
      </c>
      <c r="AA589" s="205"/>
      <c r="AB589" s="205"/>
      <c r="AC589" s="83"/>
      <c r="AE589" s="80"/>
      <c r="AF589" s="80"/>
      <c r="AG589" s="81"/>
      <c r="AH589" s="82">
        <f>SUM(AH583:AH588)</f>
        <v>0</v>
      </c>
      <c r="AI589" s="66">
        <f t="shared" si="711"/>
        <v>0</v>
      </c>
      <c r="AK589" s="80"/>
      <c r="AL589" s="80"/>
      <c r="AM589" s="81"/>
      <c r="AN589" s="82">
        <f>SUM(AN583:AN588)</f>
        <v>0</v>
      </c>
      <c r="AO589" s="66">
        <f t="shared" si="712"/>
        <v>0</v>
      </c>
      <c r="AQ589" s="80"/>
      <c r="AR589" s="80"/>
      <c r="AS589" s="81"/>
      <c r="AT589" s="82">
        <f>SUM(AT583:AT588)</f>
        <v>0</v>
      </c>
      <c r="AU589" s="66">
        <f t="shared" si="713"/>
        <v>0</v>
      </c>
      <c r="AW589" s="80"/>
      <c r="AX589" s="80"/>
      <c r="AY589" s="81"/>
      <c r="AZ589" s="82">
        <f>SUM(AZ583:AZ588)</f>
        <v>0</v>
      </c>
      <c r="BA589" s="66">
        <f t="shared" si="714"/>
        <v>0</v>
      </c>
    </row>
    <row r="590" spans="1:53" s="117" customFormat="1" ht="17.100000000000001" customHeight="1" x14ac:dyDescent="0.25">
      <c r="A590" s="68"/>
      <c r="B590" s="119"/>
      <c r="C590" s="540"/>
      <c r="D590" s="261"/>
      <c r="E590" s="261"/>
      <c r="F590" s="68"/>
      <c r="G590" s="68"/>
      <c r="H590" s="119"/>
      <c r="I590" s="138"/>
      <c r="J590" s="17" t="str">
        <f t="shared" ref="J590:L590" si="717">IF(J589=J$576,"OK","NOK")</f>
        <v>OK</v>
      </c>
      <c r="K590" s="17" t="str">
        <f t="shared" si="717"/>
        <v>OK</v>
      </c>
      <c r="L590" s="17" t="str">
        <f t="shared" si="717"/>
        <v>OK</v>
      </c>
      <c r="M590" s="17"/>
      <c r="N590" s="17"/>
      <c r="O590" s="17"/>
      <c r="P590" s="17"/>
      <c r="Q590" s="17"/>
      <c r="R590" s="17"/>
      <c r="S590" s="17"/>
      <c r="T590" s="17"/>
      <c r="U590" s="17"/>
      <c r="V590" s="359"/>
      <c r="W590" s="382"/>
      <c r="X590" s="539"/>
      <c r="Y590" s="539"/>
      <c r="Z590" s="201"/>
      <c r="AA590" s="201"/>
      <c r="AB590" s="201"/>
      <c r="AC590" s="84"/>
      <c r="AE590" s="46"/>
      <c r="AF590" s="46"/>
      <c r="AG590" s="17"/>
      <c r="AH590" s="539"/>
      <c r="AI590" s="91"/>
      <c r="AK590" s="46"/>
      <c r="AL590" s="46"/>
      <c r="AM590" s="17"/>
      <c r="AN590" s="539"/>
      <c r="AO590" s="91"/>
      <c r="AQ590" s="46"/>
      <c r="AR590" s="46"/>
      <c r="AS590" s="17"/>
      <c r="AT590" s="539"/>
      <c r="AU590" s="91"/>
      <c r="AW590" s="46"/>
      <c r="AX590" s="46"/>
      <c r="AY590" s="17"/>
      <c r="AZ590" s="539"/>
      <c r="BA590" s="91"/>
    </row>
    <row r="591" spans="1:53" ht="17.100000000000001" customHeight="1" x14ac:dyDescent="0.25">
      <c r="A591" s="68"/>
      <c r="B591" s="41" t="s">
        <v>338</v>
      </c>
      <c r="C591" s="69" t="s">
        <v>360</v>
      </c>
      <c r="D591" s="50"/>
      <c r="E591" s="70"/>
      <c r="F591" s="70"/>
      <c r="G591" s="70"/>
      <c r="H591" s="243">
        <v>18</v>
      </c>
      <c r="J591" s="71"/>
      <c r="K591" s="71"/>
      <c r="L591" s="71"/>
      <c r="M591" s="71"/>
      <c r="N591" s="71"/>
      <c r="O591" s="71"/>
      <c r="P591" s="71"/>
      <c r="Q591" s="71"/>
      <c r="R591" s="71"/>
      <c r="S591" s="71"/>
      <c r="T591" s="71"/>
      <c r="U591" s="71"/>
      <c r="V591" s="355"/>
      <c r="W591" s="377"/>
      <c r="X591" s="71"/>
      <c r="Y591" s="72"/>
      <c r="Z591" s="73"/>
      <c r="AA591" s="73"/>
      <c r="AB591" s="73"/>
      <c r="AC591" s="73"/>
      <c r="AE591" s="71"/>
      <c r="AF591" s="71"/>
      <c r="AG591" s="71"/>
      <c r="AH591" s="72"/>
      <c r="AI591" s="73"/>
      <c r="AK591" s="71"/>
      <c r="AL591" s="71"/>
      <c r="AM591" s="71"/>
      <c r="AN591" s="72"/>
      <c r="AO591" s="73"/>
      <c r="AQ591" s="71"/>
      <c r="AR591" s="71"/>
      <c r="AS591" s="71"/>
      <c r="AT591" s="72"/>
      <c r="AU591" s="73"/>
      <c r="AW591" s="71"/>
      <c r="AX591" s="71"/>
      <c r="AY591" s="71"/>
      <c r="AZ591" s="72"/>
      <c r="BA591" s="73"/>
    </row>
    <row r="592" spans="1:53" ht="17.100000000000001" customHeight="1" x14ac:dyDescent="0.25">
      <c r="A592" s="40"/>
      <c r="B592" s="40"/>
      <c r="C592" s="74" t="s">
        <v>339</v>
      </c>
      <c r="D592" s="85" t="s">
        <v>504</v>
      </c>
      <c r="E592" s="105"/>
      <c r="F592" s="105"/>
      <c r="G592" s="105"/>
      <c r="H592" s="119"/>
      <c r="I592" s="231"/>
      <c r="J592" s="581"/>
      <c r="K592" s="581"/>
      <c r="L592" s="582"/>
      <c r="M592" s="593">
        <f t="shared" ref="M592:M596" si="718">SUM(J592:L592)</f>
        <v>0</v>
      </c>
      <c r="N592" s="111"/>
      <c r="O592" s="111"/>
      <c r="P592" s="111"/>
      <c r="Q592" s="111"/>
      <c r="R592" s="111"/>
      <c r="S592" s="111"/>
      <c r="T592" s="111"/>
      <c r="U592" s="111"/>
      <c r="V592" s="358"/>
      <c r="W592" s="391">
        <f t="shared" ref="W592:W596" si="719">J592+K592+N592+Q592+T592</f>
        <v>0</v>
      </c>
      <c r="X592" s="17">
        <f t="shared" ref="X592:X596" si="720">L592+O592+R592+U592</f>
        <v>0</v>
      </c>
      <c r="Y592" s="18">
        <f>SUM(W592:X592)</f>
        <v>0</v>
      </c>
      <c r="Z592" s="19">
        <f>IF(Y$597=0,0,Y592/Y$597)</f>
        <v>0</v>
      </c>
      <c r="AA592" s="19"/>
      <c r="AB592" s="19"/>
      <c r="AC592" s="17"/>
      <c r="AE592" s="17"/>
      <c r="AF592" s="17"/>
      <c r="AG592" s="17"/>
      <c r="AH592" s="18">
        <f t="shared" ref="AH592:AH596" si="721">J592</f>
        <v>0</v>
      </c>
      <c r="AI592" s="19">
        <f>IF(AH$597=0,0,AH592/AH$597)</f>
        <v>0</v>
      </c>
      <c r="AJ592" s="97"/>
      <c r="AK592" s="17"/>
      <c r="AL592" s="17"/>
      <c r="AM592" s="17"/>
      <c r="AN592" s="18">
        <f t="shared" ref="AN592:AN596" si="722">K592</f>
        <v>0</v>
      </c>
      <c r="AO592" s="19">
        <f>IF(AN$597=0,0,AN592/AN$597)</f>
        <v>0</v>
      </c>
      <c r="AP592" s="97"/>
      <c r="AQ592" s="17"/>
      <c r="AR592" s="17"/>
      <c r="AS592" s="17"/>
      <c r="AT592" s="18">
        <f t="shared" ref="AT592:AT596" si="723">W592</f>
        <v>0</v>
      </c>
      <c r="AU592" s="19">
        <f>IF(AT$597=0,0,AT592/AT$597)</f>
        <v>0</v>
      </c>
      <c r="AV592" s="97"/>
      <c r="AW592" s="17"/>
      <c r="AX592" s="17"/>
      <c r="AY592" s="17"/>
      <c r="AZ592" s="18">
        <f t="shared" ref="AZ592:AZ596" si="724">X592</f>
        <v>0</v>
      </c>
      <c r="BA592" s="19">
        <f>IF(AZ$597=0,0,AZ592/AZ$597)</f>
        <v>0</v>
      </c>
    </row>
    <row r="593" spans="1:53" ht="17.100000000000001" customHeight="1" x14ac:dyDescent="0.25">
      <c r="A593" s="40"/>
      <c r="B593" s="40"/>
      <c r="C593" s="74" t="s">
        <v>340</v>
      </c>
      <c r="D593" s="85" t="s">
        <v>505</v>
      </c>
      <c r="E593" s="105"/>
      <c r="F593" s="105"/>
      <c r="G593" s="105"/>
      <c r="H593" s="119"/>
      <c r="I593" s="231"/>
      <c r="J593" s="583"/>
      <c r="K593" s="583"/>
      <c r="L593" s="584"/>
      <c r="M593" s="593">
        <f t="shared" si="718"/>
        <v>0</v>
      </c>
      <c r="N593" s="111"/>
      <c r="O593" s="111"/>
      <c r="P593" s="111"/>
      <c r="Q593" s="111"/>
      <c r="R593" s="111"/>
      <c r="S593" s="111"/>
      <c r="T593" s="111"/>
      <c r="U593" s="111"/>
      <c r="V593" s="358"/>
      <c r="W593" s="391">
        <f t="shared" si="719"/>
        <v>0</v>
      </c>
      <c r="X593" s="17">
        <f t="shared" si="720"/>
        <v>0</v>
      </c>
      <c r="Y593" s="18">
        <f>SUM(W593:X593)</f>
        <v>0</v>
      </c>
      <c r="Z593" s="19">
        <f t="shared" ref="Z593:Z596" si="725">IF(Y$597=0,0,Y593/Y$597)</f>
        <v>0</v>
      </c>
      <c r="AA593" s="19"/>
      <c r="AB593" s="19"/>
      <c r="AC593" s="17"/>
      <c r="AE593" s="17"/>
      <c r="AF593" s="17"/>
      <c r="AG593" s="17"/>
      <c r="AH593" s="18">
        <f t="shared" si="721"/>
        <v>0</v>
      </c>
      <c r="AI593" s="19">
        <f t="shared" ref="AI593:AI597" si="726">IF(AH$597=0,0,AH593/AH$597)</f>
        <v>0</v>
      </c>
      <c r="AJ593" s="97"/>
      <c r="AK593" s="17"/>
      <c r="AL593" s="17"/>
      <c r="AM593" s="17"/>
      <c r="AN593" s="18">
        <f t="shared" si="722"/>
        <v>0</v>
      </c>
      <c r="AO593" s="19">
        <f t="shared" ref="AO593:AO597" si="727">IF(AN$597=0,0,AN593/AN$597)</f>
        <v>0</v>
      </c>
      <c r="AP593" s="97"/>
      <c r="AQ593" s="17"/>
      <c r="AR593" s="17"/>
      <c r="AS593" s="17"/>
      <c r="AT593" s="18">
        <f t="shared" si="723"/>
        <v>0</v>
      </c>
      <c r="AU593" s="19">
        <f t="shared" ref="AU593:AU597" si="728">IF(AT$597=0,0,AT593/AT$597)</f>
        <v>0</v>
      </c>
      <c r="AV593" s="97"/>
      <c r="AW593" s="17"/>
      <c r="AX593" s="17"/>
      <c r="AY593" s="17"/>
      <c r="AZ593" s="18">
        <f t="shared" si="724"/>
        <v>0</v>
      </c>
      <c r="BA593" s="19">
        <f t="shared" ref="BA593:BA597" si="729">IF(AZ$597=0,0,AZ593/AZ$597)</f>
        <v>0</v>
      </c>
    </row>
    <row r="594" spans="1:53" ht="17.100000000000001" customHeight="1" x14ac:dyDescent="0.25">
      <c r="A594" s="40"/>
      <c r="B594" s="40"/>
      <c r="C594" s="74" t="s">
        <v>341</v>
      </c>
      <c r="D594" s="85" t="s">
        <v>506</v>
      </c>
      <c r="E594" s="105"/>
      <c r="F594" s="105"/>
      <c r="G594" s="105"/>
      <c r="H594" s="119"/>
      <c r="I594" s="231"/>
      <c r="J594" s="581"/>
      <c r="K594" s="581"/>
      <c r="L594" s="582"/>
      <c r="M594" s="593">
        <f t="shared" si="718"/>
        <v>0</v>
      </c>
      <c r="N594" s="111"/>
      <c r="O594" s="111"/>
      <c r="P594" s="111"/>
      <c r="Q594" s="111"/>
      <c r="R594" s="111"/>
      <c r="S594" s="111"/>
      <c r="T594" s="111"/>
      <c r="U594" s="111"/>
      <c r="V594" s="358"/>
      <c r="W594" s="391">
        <f t="shared" si="719"/>
        <v>0</v>
      </c>
      <c r="X594" s="17">
        <f t="shared" si="720"/>
        <v>0</v>
      </c>
      <c r="Y594" s="18">
        <f>SUM(W594:X594)</f>
        <v>0</v>
      </c>
      <c r="Z594" s="19">
        <f t="shared" si="725"/>
        <v>0</v>
      </c>
      <c r="AA594" s="19"/>
      <c r="AB594" s="19"/>
      <c r="AC594" s="17"/>
      <c r="AE594" s="17"/>
      <c r="AF594" s="17"/>
      <c r="AG594" s="17"/>
      <c r="AH594" s="18">
        <f t="shared" si="721"/>
        <v>0</v>
      </c>
      <c r="AI594" s="19">
        <f t="shared" si="726"/>
        <v>0</v>
      </c>
      <c r="AJ594" s="97"/>
      <c r="AK594" s="17"/>
      <c r="AL594" s="17"/>
      <c r="AM594" s="17"/>
      <c r="AN594" s="18">
        <f t="shared" si="722"/>
        <v>0</v>
      </c>
      <c r="AO594" s="19">
        <f t="shared" si="727"/>
        <v>0</v>
      </c>
      <c r="AP594" s="97"/>
      <c r="AQ594" s="17"/>
      <c r="AR594" s="17"/>
      <c r="AS594" s="17"/>
      <c r="AT594" s="18">
        <f t="shared" si="723"/>
        <v>0</v>
      </c>
      <c r="AU594" s="19">
        <f t="shared" si="728"/>
        <v>0</v>
      </c>
      <c r="AV594" s="97"/>
      <c r="AW594" s="17"/>
      <c r="AX594" s="17"/>
      <c r="AY594" s="17"/>
      <c r="AZ594" s="18">
        <f t="shared" si="724"/>
        <v>0</v>
      </c>
      <c r="BA594" s="19">
        <f t="shared" si="729"/>
        <v>0</v>
      </c>
    </row>
    <row r="595" spans="1:53" ht="17.100000000000001" customHeight="1" x14ac:dyDescent="0.25">
      <c r="A595" s="40"/>
      <c r="B595" s="40"/>
      <c r="C595" s="74" t="s">
        <v>342</v>
      </c>
      <c r="D595" s="85" t="s">
        <v>129</v>
      </c>
      <c r="E595" s="105"/>
      <c r="F595" s="105"/>
      <c r="G595" s="105"/>
      <c r="H595" s="119"/>
      <c r="I595" s="231"/>
      <c r="J595" s="583"/>
      <c r="K595" s="583"/>
      <c r="L595" s="584"/>
      <c r="M595" s="593">
        <f t="shared" si="718"/>
        <v>0</v>
      </c>
      <c r="N595" s="111"/>
      <c r="O595" s="111"/>
      <c r="P595" s="111"/>
      <c r="Q595" s="111"/>
      <c r="R595" s="111"/>
      <c r="S595" s="111"/>
      <c r="T595" s="111"/>
      <c r="U595" s="111"/>
      <c r="V595" s="358"/>
      <c r="W595" s="391">
        <f t="shared" si="719"/>
        <v>0</v>
      </c>
      <c r="X595" s="17">
        <f t="shared" si="720"/>
        <v>0</v>
      </c>
      <c r="Y595" s="18">
        <f>SUM(W595:X595)</f>
        <v>0</v>
      </c>
      <c r="Z595" s="19">
        <f t="shared" si="725"/>
        <v>0</v>
      </c>
      <c r="AA595" s="19"/>
      <c r="AB595" s="19"/>
      <c r="AC595" s="17"/>
      <c r="AE595" s="17"/>
      <c r="AF595" s="17"/>
      <c r="AG595" s="17"/>
      <c r="AH595" s="18">
        <f t="shared" si="721"/>
        <v>0</v>
      </c>
      <c r="AI595" s="19">
        <f t="shared" si="726"/>
        <v>0</v>
      </c>
      <c r="AJ595" s="97"/>
      <c r="AK595" s="17"/>
      <c r="AL595" s="17"/>
      <c r="AM595" s="17"/>
      <c r="AN595" s="18">
        <f t="shared" si="722"/>
        <v>0</v>
      </c>
      <c r="AO595" s="19">
        <f t="shared" si="727"/>
        <v>0</v>
      </c>
      <c r="AP595" s="97"/>
      <c r="AQ595" s="17"/>
      <c r="AR595" s="17"/>
      <c r="AS595" s="17"/>
      <c r="AT595" s="18">
        <f t="shared" si="723"/>
        <v>0</v>
      </c>
      <c r="AU595" s="19">
        <f t="shared" si="728"/>
        <v>0</v>
      </c>
      <c r="AV595" s="97"/>
      <c r="AW595" s="17"/>
      <c r="AX595" s="17"/>
      <c r="AY595" s="17"/>
      <c r="AZ595" s="18">
        <f t="shared" si="724"/>
        <v>0</v>
      </c>
      <c r="BA595" s="19">
        <f t="shared" si="729"/>
        <v>0</v>
      </c>
    </row>
    <row r="596" spans="1:53" ht="17.100000000000001" customHeight="1" x14ac:dyDescent="0.25">
      <c r="A596" s="40"/>
      <c r="B596" s="40"/>
      <c r="C596" s="74" t="s">
        <v>553</v>
      </c>
      <c r="D596" s="85" t="s">
        <v>530</v>
      </c>
      <c r="E596" s="105"/>
      <c r="F596" s="105"/>
      <c r="G596" s="105"/>
      <c r="H596" s="119"/>
      <c r="I596" s="231"/>
      <c r="J596" s="581"/>
      <c r="K596" s="581"/>
      <c r="L596" s="582"/>
      <c r="M596" s="593">
        <f t="shared" si="718"/>
        <v>0</v>
      </c>
      <c r="N596" s="111"/>
      <c r="O596" s="111"/>
      <c r="P596" s="111"/>
      <c r="Q596" s="111"/>
      <c r="R596" s="111"/>
      <c r="S596" s="111"/>
      <c r="T596" s="111"/>
      <c r="U596" s="111"/>
      <c r="V596" s="358"/>
      <c r="W596" s="391">
        <f t="shared" si="719"/>
        <v>0</v>
      </c>
      <c r="X596" s="17">
        <f t="shared" si="720"/>
        <v>0</v>
      </c>
      <c r="Y596" s="18">
        <f>SUM(W596:X596)</f>
        <v>0</v>
      </c>
      <c r="Z596" s="19">
        <f t="shared" si="725"/>
        <v>0</v>
      </c>
      <c r="AA596" s="19"/>
      <c r="AB596" s="19"/>
      <c r="AC596" s="17"/>
      <c r="AE596" s="17"/>
      <c r="AF596" s="17"/>
      <c r="AG596" s="17"/>
      <c r="AH596" s="18">
        <f t="shared" si="721"/>
        <v>0</v>
      </c>
      <c r="AI596" s="19">
        <f t="shared" si="726"/>
        <v>0</v>
      </c>
      <c r="AJ596" s="97"/>
      <c r="AK596" s="17"/>
      <c r="AL596" s="17"/>
      <c r="AM596" s="17"/>
      <c r="AN596" s="18">
        <f t="shared" si="722"/>
        <v>0</v>
      </c>
      <c r="AO596" s="19">
        <f t="shared" si="727"/>
        <v>0</v>
      </c>
      <c r="AP596" s="97"/>
      <c r="AQ596" s="17"/>
      <c r="AR596" s="17"/>
      <c r="AS596" s="17"/>
      <c r="AT596" s="18">
        <f t="shared" si="723"/>
        <v>0</v>
      </c>
      <c r="AU596" s="19">
        <f t="shared" si="728"/>
        <v>0</v>
      </c>
      <c r="AV596" s="97"/>
      <c r="AW596" s="17"/>
      <c r="AX596" s="17"/>
      <c r="AY596" s="17"/>
      <c r="AZ596" s="18">
        <f t="shared" si="724"/>
        <v>0</v>
      </c>
      <c r="BA596" s="19">
        <f t="shared" si="729"/>
        <v>0</v>
      </c>
    </row>
    <row r="597" spans="1:53" ht="17.100000000000001" customHeight="1" x14ac:dyDescent="0.25">
      <c r="A597" s="40"/>
      <c r="B597" s="40"/>
      <c r="C597" s="77"/>
      <c r="D597" s="134"/>
      <c r="E597" s="134"/>
      <c r="F597" s="134"/>
      <c r="G597" s="134"/>
      <c r="H597" s="540"/>
      <c r="I597" s="229"/>
      <c r="J597" s="80">
        <f>SUM(J592:J596)</f>
        <v>0</v>
      </c>
      <c r="K597" s="80">
        <f t="shared" ref="K597:M597" si="730">SUM(K592:K596)</f>
        <v>0</v>
      </c>
      <c r="L597" s="80">
        <f t="shared" si="730"/>
        <v>0</v>
      </c>
      <c r="M597" s="80">
        <f t="shared" si="730"/>
        <v>0</v>
      </c>
      <c r="N597" s="81"/>
      <c r="O597" s="81"/>
      <c r="P597" s="81"/>
      <c r="Q597" s="81"/>
      <c r="R597" s="81"/>
      <c r="S597" s="81"/>
      <c r="T597" s="81"/>
      <c r="U597" s="81"/>
      <c r="V597" s="356"/>
      <c r="W597" s="381">
        <f>SUM(W592:W596)</f>
        <v>0</v>
      </c>
      <c r="X597" s="82">
        <f t="shared" ref="X597:Y597" si="731">SUM(X592:X596)</f>
        <v>0</v>
      </c>
      <c r="Y597" s="82">
        <f t="shared" si="731"/>
        <v>0</v>
      </c>
      <c r="Z597" s="205">
        <f>IF(Y$597=0,0,Y597/Y$597)</f>
        <v>0</v>
      </c>
      <c r="AA597" s="205"/>
      <c r="AB597" s="205"/>
      <c r="AC597" s="83"/>
      <c r="AE597" s="80"/>
      <c r="AF597" s="80"/>
      <c r="AG597" s="81"/>
      <c r="AH597" s="82">
        <f>SUM(AH592:AH596)</f>
        <v>0</v>
      </c>
      <c r="AI597" s="66">
        <f t="shared" si="726"/>
        <v>0</v>
      </c>
      <c r="AK597" s="80"/>
      <c r="AL597" s="80"/>
      <c r="AM597" s="81"/>
      <c r="AN597" s="82">
        <f>SUM(AN592:AN596)</f>
        <v>0</v>
      </c>
      <c r="AO597" s="66">
        <f t="shared" si="727"/>
        <v>0</v>
      </c>
      <c r="AQ597" s="80"/>
      <c r="AR597" s="80"/>
      <c r="AS597" s="81"/>
      <c r="AT597" s="82">
        <f>SUM(AT592:AT596)</f>
        <v>0</v>
      </c>
      <c r="AU597" s="66">
        <f t="shared" si="728"/>
        <v>0</v>
      </c>
      <c r="AW597" s="80"/>
      <c r="AX597" s="80"/>
      <c r="AY597" s="81"/>
      <c r="AZ597" s="82">
        <f>SUM(AZ592:AZ596)</f>
        <v>0</v>
      </c>
      <c r="BA597" s="66">
        <f t="shared" si="729"/>
        <v>0</v>
      </c>
    </row>
    <row r="598" spans="1:53" s="117" customFormat="1" ht="17.100000000000001" customHeight="1" x14ac:dyDescent="0.25">
      <c r="A598" s="68"/>
      <c r="B598" s="119"/>
      <c r="C598" s="540"/>
      <c r="D598" s="261"/>
      <c r="E598" s="261"/>
      <c r="F598" s="68"/>
      <c r="G598" s="68"/>
      <c r="H598" s="119"/>
      <c r="I598" s="138"/>
      <c r="J598" s="17" t="str">
        <f t="shared" ref="J598:L598" si="732">IF(J597=J$576,"OK","NOK")</f>
        <v>OK</v>
      </c>
      <c r="K598" s="17" t="str">
        <f t="shared" si="732"/>
        <v>OK</v>
      </c>
      <c r="L598" s="17" t="str">
        <f t="shared" si="732"/>
        <v>OK</v>
      </c>
      <c r="M598" s="17"/>
      <c r="N598" s="17"/>
      <c r="O598" s="17"/>
      <c r="P598" s="17"/>
      <c r="Q598" s="17"/>
      <c r="R598" s="17"/>
      <c r="S598" s="17"/>
      <c r="T598" s="17"/>
      <c r="U598" s="17"/>
      <c r="V598" s="359"/>
      <c r="W598" s="382"/>
      <c r="X598" s="539"/>
      <c r="Y598" s="539"/>
      <c r="Z598" s="201"/>
      <c r="AA598" s="201"/>
      <c r="AB598" s="201"/>
      <c r="AC598" s="84"/>
      <c r="AE598" s="46"/>
      <c r="AF598" s="46"/>
      <c r="AG598" s="17"/>
      <c r="AH598" s="539"/>
      <c r="AI598" s="91"/>
      <c r="AK598" s="46"/>
      <c r="AL598" s="46"/>
      <c r="AM598" s="17"/>
      <c r="AN598" s="539"/>
      <c r="AO598" s="91"/>
      <c r="AQ598" s="46"/>
      <c r="AR598" s="46"/>
      <c r="AS598" s="17"/>
      <c r="AT598" s="539"/>
      <c r="AU598" s="91"/>
      <c r="AW598" s="46"/>
      <c r="AX598" s="46"/>
      <c r="AY598" s="17"/>
      <c r="AZ598" s="539"/>
      <c r="BA598" s="91"/>
    </row>
    <row r="599" spans="1:53" ht="17.100000000000001" customHeight="1" x14ac:dyDescent="0.25">
      <c r="A599" s="68"/>
      <c r="B599" s="41" t="s">
        <v>343</v>
      </c>
      <c r="C599" s="69" t="s">
        <v>507</v>
      </c>
      <c r="D599" s="50"/>
      <c r="E599" s="70"/>
      <c r="F599" s="70"/>
      <c r="G599" s="70"/>
      <c r="H599" s="243">
        <v>19</v>
      </c>
      <c r="J599" s="71"/>
      <c r="K599" s="71"/>
      <c r="L599" s="71"/>
      <c r="M599" s="71"/>
      <c r="N599" s="71"/>
      <c r="O599" s="71"/>
      <c r="P599" s="71"/>
      <c r="Q599" s="71"/>
      <c r="R599" s="71"/>
      <c r="S599" s="71"/>
      <c r="T599" s="71"/>
      <c r="U599" s="71"/>
      <c r="V599" s="355"/>
      <c r="W599" s="377"/>
      <c r="X599" s="71"/>
      <c r="Y599" s="72"/>
      <c r="Z599" s="73"/>
      <c r="AA599" s="73"/>
      <c r="AB599" s="73"/>
      <c r="AC599" s="73"/>
      <c r="AE599" s="71"/>
      <c r="AF599" s="71"/>
      <c r="AG599" s="71"/>
      <c r="AH599" s="72"/>
      <c r="AI599" s="73"/>
      <c r="AK599" s="71"/>
      <c r="AL599" s="71"/>
      <c r="AM599" s="71"/>
      <c r="AN599" s="72"/>
      <c r="AO599" s="73"/>
      <c r="AQ599" s="71"/>
      <c r="AR599" s="71"/>
      <c r="AS599" s="71"/>
      <c r="AT599" s="72"/>
      <c r="AU599" s="73"/>
      <c r="AW599" s="71"/>
      <c r="AX599" s="71"/>
      <c r="AY599" s="71"/>
      <c r="AZ599" s="72"/>
      <c r="BA599" s="73"/>
    </row>
    <row r="600" spans="1:53" ht="17.100000000000001" customHeight="1" x14ac:dyDescent="0.25">
      <c r="A600" s="40"/>
      <c r="B600" s="40"/>
      <c r="C600" s="74" t="s">
        <v>344</v>
      </c>
      <c r="D600" s="85" t="s">
        <v>173</v>
      </c>
      <c r="E600" s="105"/>
      <c r="F600" s="105"/>
      <c r="G600" s="105"/>
      <c r="H600" s="119"/>
      <c r="I600" s="231"/>
      <c r="J600" s="581"/>
      <c r="K600" s="581"/>
      <c r="L600" s="582"/>
      <c r="M600" s="593">
        <f t="shared" ref="M600:M606" si="733">SUM(J600:L600)</f>
        <v>0</v>
      </c>
      <c r="N600" s="111"/>
      <c r="O600" s="111"/>
      <c r="P600" s="111"/>
      <c r="Q600" s="111"/>
      <c r="R600" s="111"/>
      <c r="S600" s="111"/>
      <c r="T600" s="111"/>
      <c r="U600" s="111"/>
      <c r="V600" s="358"/>
      <c r="W600" s="391">
        <f t="shared" ref="W600:W601" si="734">J600+K600+N600+Q600+T600</f>
        <v>0</v>
      </c>
      <c r="X600" s="17">
        <f t="shared" ref="X600:X601" si="735">L600+O600+R600+U600</f>
        <v>0</v>
      </c>
      <c r="Y600" s="18">
        <f>SUM(W600:X600)</f>
        <v>0</v>
      </c>
      <c r="Z600" s="19">
        <f>IF(Y$607=0,0,Y600/Y$607)</f>
        <v>0</v>
      </c>
      <c r="AA600" s="19"/>
      <c r="AB600" s="19"/>
      <c r="AC600" s="17"/>
      <c r="AE600" s="17"/>
      <c r="AF600" s="17"/>
      <c r="AG600" s="17"/>
      <c r="AH600" s="18">
        <f t="shared" ref="AH600:AH601" si="736">J600</f>
        <v>0</v>
      </c>
      <c r="AI600" s="19">
        <f>IF(AH$607=0,0,AH600/AH$607)</f>
        <v>0</v>
      </c>
      <c r="AJ600" s="97"/>
      <c r="AK600" s="17"/>
      <c r="AL600" s="17"/>
      <c r="AM600" s="17"/>
      <c r="AN600" s="18">
        <f t="shared" ref="AN600:AN601" si="737">K600</f>
        <v>0</v>
      </c>
      <c r="AO600" s="19">
        <f>IF(AN$607=0,0,AN600/AN$607)</f>
        <v>0</v>
      </c>
      <c r="AP600" s="97"/>
      <c r="AQ600" s="17"/>
      <c r="AR600" s="17"/>
      <c r="AS600" s="17"/>
      <c r="AT600" s="18">
        <f t="shared" ref="AT600:AT601" si="738">W600</f>
        <v>0</v>
      </c>
      <c r="AU600" s="19">
        <f>IF(AT$607=0,0,AT600/AT$607)</f>
        <v>0</v>
      </c>
      <c r="AV600" s="97"/>
      <c r="AW600" s="17"/>
      <c r="AX600" s="17"/>
      <c r="AY600" s="17"/>
      <c r="AZ600" s="18">
        <f t="shared" ref="AZ600:AZ601" si="739">X600</f>
        <v>0</v>
      </c>
      <c r="BA600" s="19">
        <f>IF(AZ$607=0,0,AZ600/AZ$607)</f>
        <v>0</v>
      </c>
    </row>
    <row r="601" spans="1:53" ht="17.100000000000001" customHeight="1" x14ac:dyDescent="0.25">
      <c r="A601" s="40"/>
      <c r="B601" s="40"/>
      <c r="C601" s="74" t="s">
        <v>345</v>
      </c>
      <c r="D601" s="85" t="s">
        <v>544</v>
      </c>
      <c r="E601" s="105"/>
      <c r="F601" s="105"/>
      <c r="G601" s="105"/>
      <c r="H601" s="119"/>
      <c r="I601" s="231"/>
      <c r="J601" s="583"/>
      <c r="K601" s="583"/>
      <c r="L601" s="584"/>
      <c r="M601" s="593">
        <f t="shared" si="733"/>
        <v>0</v>
      </c>
      <c r="N601" s="111"/>
      <c r="O601" s="111"/>
      <c r="P601" s="111"/>
      <c r="Q601" s="111"/>
      <c r="R601" s="111"/>
      <c r="S601" s="111"/>
      <c r="T601" s="111"/>
      <c r="U601" s="111"/>
      <c r="V601" s="358"/>
      <c r="W601" s="391">
        <f t="shared" si="734"/>
        <v>0</v>
      </c>
      <c r="X601" s="17">
        <f t="shared" si="735"/>
        <v>0</v>
      </c>
      <c r="Y601" s="18">
        <f>SUM(W601:X601)</f>
        <v>0</v>
      </c>
      <c r="Z601" s="19">
        <f t="shared" ref="Z601:Z606" si="740">IF(Y$607=0,0,Y601/Y$607)</f>
        <v>0</v>
      </c>
      <c r="AA601" s="19"/>
      <c r="AB601" s="19"/>
      <c r="AC601" s="17"/>
      <c r="AE601" s="17"/>
      <c r="AF601" s="17"/>
      <c r="AG601" s="17"/>
      <c r="AH601" s="18">
        <f t="shared" si="736"/>
        <v>0</v>
      </c>
      <c r="AI601" s="19">
        <f>IF(AH$607=0,0,AH601/AH$607)</f>
        <v>0</v>
      </c>
      <c r="AJ601" s="97"/>
      <c r="AK601" s="17"/>
      <c r="AL601" s="17"/>
      <c r="AM601" s="17"/>
      <c r="AN601" s="18">
        <f t="shared" si="737"/>
        <v>0</v>
      </c>
      <c r="AO601" s="19">
        <f>IF(AN$607=0,0,AN601/AN$607)</f>
        <v>0</v>
      </c>
      <c r="AP601" s="97"/>
      <c r="AQ601" s="17"/>
      <c r="AR601" s="17"/>
      <c r="AS601" s="17"/>
      <c r="AT601" s="18">
        <f t="shared" si="738"/>
        <v>0</v>
      </c>
      <c r="AU601" s="19">
        <f>IF(AT$607=0,0,AT601/AT$607)</f>
        <v>0</v>
      </c>
      <c r="AV601" s="97"/>
      <c r="AW601" s="17"/>
      <c r="AX601" s="17"/>
      <c r="AY601" s="17"/>
      <c r="AZ601" s="18">
        <f t="shared" si="739"/>
        <v>0</v>
      </c>
      <c r="BA601" s="19">
        <f>IF(AZ$607=0,0,AZ601/AZ$607)</f>
        <v>0</v>
      </c>
    </row>
    <row r="602" spans="1:53" ht="17.100000000000001" customHeight="1" x14ac:dyDescent="0.25">
      <c r="A602" s="40"/>
      <c r="B602" s="40"/>
      <c r="C602" s="74" t="s">
        <v>346</v>
      </c>
      <c r="D602" s="146" t="s">
        <v>484</v>
      </c>
      <c r="E602" s="75"/>
      <c r="F602" s="105"/>
      <c r="G602" s="105"/>
      <c r="H602" s="119"/>
      <c r="I602" s="231"/>
      <c r="J602" s="581"/>
      <c r="K602" s="581"/>
      <c r="L602" s="582"/>
      <c r="M602" s="593"/>
      <c r="N602" s="111"/>
      <c r="O602" s="111"/>
      <c r="P602" s="111"/>
      <c r="Q602" s="111"/>
      <c r="R602" s="111"/>
      <c r="S602" s="111"/>
      <c r="T602" s="111"/>
      <c r="U602" s="111"/>
      <c r="V602" s="358"/>
      <c r="W602" s="391">
        <f>MIN(J602:K602)</f>
        <v>0</v>
      </c>
      <c r="X602" s="17">
        <f>L602</f>
        <v>0</v>
      </c>
      <c r="Y602" s="18"/>
      <c r="Z602" s="19"/>
      <c r="AA602" s="17">
        <f>MIN(J602:L602)</f>
        <v>0</v>
      </c>
      <c r="AB602" s="17"/>
      <c r="AC602" s="17"/>
      <c r="AE602" s="17">
        <f>J602</f>
        <v>0</v>
      </c>
      <c r="AF602" s="17"/>
      <c r="AG602" s="17"/>
      <c r="AH602" s="18"/>
      <c r="AI602" s="19"/>
      <c r="AJ602" s="97"/>
      <c r="AK602" s="17">
        <f>K602</f>
        <v>0</v>
      </c>
      <c r="AL602" s="17"/>
      <c r="AM602" s="17"/>
      <c r="AN602" s="18"/>
      <c r="AO602" s="19"/>
      <c r="AP602" s="97"/>
      <c r="AQ602" s="17">
        <f>W602</f>
        <v>0</v>
      </c>
      <c r="AR602" s="17"/>
      <c r="AS602" s="17"/>
      <c r="AT602" s="18"/>
      <c r="AU602" s="19"/>
      <c r="AV602" s="97"/>
      <c r="AW602" s="17">
        <f>L602</f>
        <v>0</v>
      </c>
      <c r="AX602" s="17"/>
      <c r="AY602" s="17"/>
      <c r="AZ602" s="18"/>
      <c r="BA602" s="19"/>
    </row>
    <row r="603" spans="1:53" ht="17.100000000000001" customHeight="1" x14ac:dyDescent="0.25">
      <c r="A603" s="40"/>
      <c r="B603" s="40"/>
      <c r="C603" s="74" t="s">
        <v>347</v>
      </c>
      <c r="D603" s="146" t="s">
        <v>485</v>
      </c>
      <c r="E603" s="75"/>
      <c r="F603" s="105"/>
      <c r="G603" s="105"/>
      <c r="H603" s="119"/>
      <c r="I603" s="231"/>
      <c r="J603" s="583"/>
      <c r="K603" s="583"/>
      <c r="L603" s="584"/>
      <c r="M603" s="593"/>
      <c r="N603" s="111"/>
      <c r="O603" s="111"/>
      <c r="P603" s="111"/>
      <c r="Q603" s="111"/>
      <c r="R603" s="111"/>
      <c r="S603" s="111"/>
      <c r="T603" s="111"/>
      <c r="U603" s="111"/>
      <c r="V603" s="358"/>
      <c r="W603" s="391">
        <f>MAX(J603:K603)</f>
        <v>0</v>
      </c>
      <c r="X603" s="17">
        <f t="shared" ref="X603:X604" si="741">L603</f>
        <v>0</v>
      </c>
      <c r="Y603" s="18"/>
      <c r="Z603" s="19"/>
      <c r="AA603" s="17"/>
      <c r="AB603" s="17">
        <f>MAX(J603:L603)</f>
        <v>0</v>
      </c>
      <c r="AC603" s="17"/>
      <c r="AE603" s="17"/>
      <c r="AF603" s="17">
        <f>J603</f>
        <v>0</v>
      </c>
      <c r="AG603" s="17"/>
      <c r="AH603" s="18"/>
      <c r="AI603" s="19"/>
      <c r="AJ603" s="97"/>
      <c r="AK603" s="17"/>
      <c r="AL603" s="17">
        <f>K603</f>
        <v>0</v>
      </c>
      <c r="AM603" s="17"/>
      <c r="AN603" s="18"/>
      <c r="AO603" s="19"/>
      <c r="AP603" s="97"/>
      <c r="AQ603" s="17"/>
      <c r="AR603" s="17">
        <f>W603</f>
        <v>0</v>
      </c>
      <c r="AS603" s="17"/>
      <c r="AT603" s="18"/>
      <c r="AU603" s="19"/>
      <c r="AV603" s="97"/>
      <c r="AW603" s="17"/>
      <c r="AX603" s="17">
        <f>L603</f>
        <v>0</v>
      </c>
      <c r="AY603" s="17"/>
      <c r="AZ603" s="18"/>
      <c r="BA603" s="19"/>
    </row>
    <row r="604" spans="1:53" ht="17.100000000000001" customHeight="1" x14ac:dyDescent="0.25">
      <c r="A604" s="40"/>
      <c r="B604" s="40"/>
      <c r="C604" s="74" t="s">
        <v>348</v>
      </c>
      <c r="D604" s="146" t="s">
        <v>543</v>
      </c>
      <c r="E604" s="75"/>
      <c r="F604" s="105"/>
      <c r="G604" s="105"/>
      <c r="H604" s="119"/>
      <c r="I604" s="231"/>
      <c r="J604" s="581"/>
      <c r="K604" s="581"/>
      <c r="L604" s="582"/>
      <c r="M604" s="593"/>
      <c r="N604" s="111"/>
      <c r="O604" s="111"/>
      <c r="P604" s="111"/>
      <c r="Q604" s="111"/>
      <c r="R604" s="111"/>
      <c r="S604" s="111"/>
      <c r="T604" s="111"/>
      <c r="U604" s="111"/>
      <c r="V604" s="358"/>
      <c r="W604" s="391">
        <f>IF(SUM(J604:K604)=0,0,AVERAGE(J604:K604))</f>
        <v>0</v>
      </c>
      <c r="X604" s="17">
        <f t="shared" si="741"/>
        <v>0</v>
      </c>
      <c r="Y604" s="18"/>
      <c r="Z604" s="19"/>
      <c r="AA604" s="17"/>
      <c r="AB604" s="17"/>
      <c r="AC604" s="17">
        <f>IF(SUM(J604:L604)=0,0,AVERAGE(J604:L604))</f>
        <v>0</v>
      </c>
      <c r="AE604" s="17"/>
      <c r="AF604" s="17"/>
      <c r="AG604" s="17">
        <f>J604</f>
        <v>0</v>
      </c>
      <c r="AH604" s="18"/>
      <c r="AI604" s="19"/>
      <c r="AJ604" s="97"/>
      <c r="AK604" s="17"/>
      <c r="AL604" s="17"/>
      <c r="AM604" s="17">
        <f>K604</f>
        <v>0</v>
      </c>
      <c r="AN604" s="18"/>
      <c r="AO604" s="19"/>
      <c r="AP604" s="97"/>
      <c r="AQ604" s="17"/>
      <c r="AR604" s="17"/>
      <c r="AS604" s="17">
        <f>W604</f>
        <v>0</v>
      </c>
      <c r="AT604" s="18"/>
      <c r="AU604" s="19"/>
      <c r="AV604" s="97"/>
      <c r="AW604" s="17"/>
      <c r="AX604" s="17"/>
      <c r="AY604" s="17">
        <f>L604</f>
        <v>0</v>
      </c>
      <c r="AZ604" s="18"/>
      <c r="BA604" s="19"/>
    </row>
    <row r="605" spans="1:53" ht="17.100000000000001" customHeight="1" x14ac:dyDescent="0.25">
      <c r="A605" s="40"/>
      <c r="B605" s="40"/>
      <c r="C605" s="74" t="s">
        <v>349</v>
      </c>
      <c r="D605" s="75" t="s">
        <v>129</v>
      </c>
      <c r="E605" s="75"/>
      <c r="F605" s="105"/>
      <c r="G605" s="105"/>
      <c r="H605" s="119"/>
      <c r="I605" s="231"/>
      <c r="J605" s="583"/>
      <c r="K605" s="583"/>
      <c r="L605" s="584"/>
      <c r="M605" s="593">
        <f t="shared" si="733"/>
        <v>0</v>
      </c>
      <c r="N605" s="111"/>
      <c r="O605" s="111"/>
      <c r="P605" s="111"/>
      <c r="Q605" s="111"/>
      <c r="R605" s="111"/>
      <c r="S605" s="111"/>
      <c r="T605" s="111"/>
      <c r="U605" s="111"/>
      <c r="V605" s="358"/>
      <c r="W605" s="391">
        <f t="shared" ref="W605:W606" si="742">J605+K605+N605+Q605+T605</f>
        <v>0</v>
      </c>
      <c r="X605" s="17">
        <f t="shared" ref="X605:X606" si="743">L605+O605+R605+U605</f>
        <v>0</v>
      </c>
      <c r="Y605" s="18">
        <f>SUM(W605:X605)</f>
        <v>0</v>
      </c>
      <c r="Z605" s="19">
        <f t="shared" si="740"/>
        <v>0</v>
      </c>
      <c r="AA605" s="19"/>
      <c r="AB605" s="19"/>
      <c r="AC605" s="17"/>
      <c r="AE605" s="17"/>
      <c r="AF605" s="17"/>
      <c r="AG605" s="17"/>
      <c r="AH605" s="18">
        <f t="shared" ref="AH605:AH606" si="744">J605</f>
        <v>0</v>
      </c>
      <c r="AI605" s="19">
        <f>IF(AH$607=0,0,AH605/AH$607)</f>
        <v>0</v>
      </c>
      <c r="AJ605" s="97"/>
      <c r="AK605" s="17"/>
      <c r="AL605" s="17"/>
      <c r="AM605" s="17"/>
      <c r="AN605" s="18">
        <f t="shared" ref="AN605:AN606" si="745">K605</f>
        <v>0</v>
      </c>
      <c r="AO605" s="19">
        <f>IF(AN$607=0,0,AN605/AN$607)</f>
        <v>0</v>
      </c>
      <c r="AP605" s="97"/>
      <c r="AQ605" s="17"/>
      <c r="AR605" s="17"/>
      <c r="AS605" s="17"/>
      <c r="AT605" s="18">
        <f t="shared" ref="AT605:AT606" si="746">W605</f>
        <v>0</v>
      </c>
      <c r="AU605" s="19">
        <f>IF(AT$607=0,0,AT605/AT$607)</f>
        <v>0</v>
      </c>
      <c r="AV605" s="97"/>
      <c r="AW605" s="17"/>
      <c r="AX605" s="17"/>
      <c r="AY605" s="17"/>
      <c r="AZ605" s="18">
        <f t="shared" ref="AZ605:AZ606" si="747">X605</f>
        <v>0</v>
      </c>
      <c r="BA605" s="19">
        <f>IF(AZ$607=0,0,AZ605/AZ$607)</f>
        <v>0</v>
      </c>
    </row>
    <row r="606" spans="1:53" ht="17.100000000000001" customHeight="1" x14ac:dyDescent="0.25">
      <c r="A606" s="40"/>
      <c r="B606" s="40"/>
      <c r="C606" s="74" t="s">
        <v>552</v>
      </c>
      <c r="D606" s="75" t="s">
        <v>530</v>
      </c>
      <c r="E606" s="105"/>
      <c r="F606" s="105"/>
      <c r="G606" s="105"/>
      <c r="H606" s="119"/>
      <c r="I606" s="231"/>
      <c r="J606" s="581"/>
      <c r="K606" s="581"/>
      <c r="L606" s="582"/>
      <c r="M606" s="593">
        <f t="shared" si="733"/>
        <v>0</v>
      </c>
      <c r="N606" s="111"/>
      <c r="O606" s="111"/>
      <c r="P606" s="111"/>
      <c r="Q606" s="111"/>
      <c r="R606" s="111"/>
      <c r="S606" s="111"/>
      <c r="T606" s="111"/>
      <c r="U606" s="111"/>
      <c r="V606" s="358"/>
      <c r="W606" s="391">
        <f t="shared" si="742"/>
        <v>0</v>
      </c>
      <c r="X606" s="17">
        <f t="shared" si="743"/>
        <v>0</v>
      </c>
      <c r="Y606" s="18">
        <f>SUM(W606:X606)</f>
        <v>0</v>
      </c>
      <c r="Z606" s="19">
        <f t="shared" si="740"/>
        <v>0</v>
      </c>
      <c r="AA606" s="19"/>
      <c r="AB606" s="19"/>
      <c r="AC606" s="17"/>
      <c r="AE606" s="17"/>
      <c r="AF606" s="17"/>
      <c r="AG606" s="17"/>
      <c r="AH606" s="18">
        <f t="shared" si="744"/>
        <v>0</v>
      </c>
      <c r="AI606" s="19">
        <f>IF(AH$607=0,0,AH606/AH$607)</f>
        <v>0</v>
      </c>
      <c r="AJ606" s="97"/>
      <c r="AK606" s="17"/>
      <c r="AL606" s="17"/>
      <c r="AM606" s="17"/>
      <c r="AN606" s="18">
        <f t="shared" si="745"/>
        <v>0</v>
      </c>
      <c r="AO606" s="19">
        <f>IF(AN$607=0,0,AN606/AN$607)</f>
        <v>0</v>
      </c>
      <c r="AP606" s="97"/>
      <c r="AQ606" s="17"/>
      <c r="AR606" s="17"/>
      <c r="AS606" s="17"/>
      <c r="AT606" s="18">
        <f t="shared" si="746"/>
        <v>0</v>
      </c>
      <c r="AU606" s="19">
        <f>IF(AT$607=0,0,AT606/AT$607)</f>
        <v>0</v>
      </c>
      <c r="AV606" s="97"/>
      <c r="AW606" s="17"/>
      <c r="AX606" s="17"/>
      <c r="AY606" s="17"/>
      <c r="AZ606" s="18">
        <f t="shared" si="747"/>
        <v>0</v>
      </c>
      <c r="BA606" s="19">
        <f>IF(AZ$607=0,0,AZ606/AZ$607)</f>
        <v>0</v>
      </c>
    </row>
    <row r="607" spans="1:53" ht="17.100000000000001" customHeight="1" x14ac:dyDescent="0.25">
      <c r="A607" s="40"/>
      <c r="B607" s="40"/>
      <c r="C607" s="77"/>
      <c r="D607" s="134"/>
      <c r="E607" s="134"/>
      <c r="F607" s="134"/>
      <c r="G607" s="134"/>
      <c r="H607" s="540"/>
      <c r="I607" s="229"/>
      <c r="J607" s="80">
        <f>J600+J601+J605+J606</f>
        <v>0</v>
      </c>
      <c r="K607" s="80">
        <f t="shared" ref="K607:M607" si="748">K600+K601+K605+K606</f>
        <v>0</v>
      </c>
      <c r="L607" s="80">
        <f t="shared" si="748"/>
        <v>0</v>
      </c>
      <c r="M607" s="80">
        <f t="shared" si="748"/>
        <v>0</v>
      </c>
      <c r="N607" s="81"/>
      <c r="O607" s="81"/>
      <c r="P607" s="81"/>
      <c r="Q607" s="81"/>
      <c r="R607" s="81"/>
      <c r="S607" s="81"/>
      <c r="T607" s="81"/>
      <c r="U607" s="81"/>
      <c r="V607" s="356"/>
      <c r="W607" s="381">
        <f>W600+W601+W605+W606</f>
        <v>0</v>
      </c>
      <c r="X607" s="82">
        <f t="shared" ref="X607:Y607" si="749">X600+X601+X605+X606</f>
        <v>0</v>
      </c>
      <c r="Y607" s="82">
        <f t="shared" si="749"/>
        <v>0</v>
      </c>
      <c r="Z607" s="205">
        <f>IF(Y$607=0,0,Y607/Y$607)</f>
        <v>0</v>
      </c>
      <c r="AA607" s="205"/>
      <c r="AB607" s="205"/>
      <c r="AC607" s="83"/>
      <c r="AE607" s="80"/>
      <c r="AF607" s="80"/>
      <c r="AG607" s="81"/>
      <c r="AH607" s="82">
        <f>SUM(AH600:AH606)</f>
        <v>0</v>
      </c>
      <c r="AI607" s="66">
        <f>IF(AH$607=0,0,AH607/AH$607)</f>
        <v>0</v>
      </c>
      <c r="AK607" s="80"/>
      <c r="AL607" s="80"/>
      <c r="AM607" s="81"/>
      <c r="AN607" s="82">
        <f>SUM(AN600:AN606)</f>
        <v>0</v>
      </c>
      <c r="AO607" s="66">
        <f>IF(AN$607=0,0,AN607/AN$607)</f>
        <v>0</v>
      </c>
      <c r="AQ607" s="80"/>
      <c r="AR607" s="80"/>
      <c r="AS607" s="81"/>
      <c r="AT607" s="82">
        <f>SUM(AT600:AT606)</f>
        <v>0</v>
      </c>
      <c r="AU607" s="66">
        <f>IF(AT$607=0,0,AT607/AT$607)</f>
        <v>0</v>
      </c>
      <c r="AW607" s="80"/>
      <c r="AX607" s="80"/>
      <c r="AY607" s="81"/>
      <c r="AZ607" s="82">
        <f>SUM(AZ600:AZ606)</f>
        <v>0</v>
      </c>
      <c r="BA607" s="66">
        <f>IF(AZ$607=0,0,AZ607/AZ$607)</f>
        <v>0</v>
      </c>
    </row>
    <row r="608" spans="1:53" s="117" customFormat="1" ht="17.100000000000001" customHeight="1" x14ac:dyDescent="0.25">
      <c r="A608" s="68"/>
      <c r="B608" s="119"/>
      <c r="C608" s="540"/>
      <c r="D608" s="261"/>
      <c r="E608" s="261"/>
      <c r="F608" s="68"/>
      <c r="G608" s="68"/>
      <c r="H608" s="119"/>
      <c r="I608" s="138"/>
      <c r="J608" s="17" t="str">
        <f>IF(J607=J$576,"OK","NOK")</f>
        <v>OK</v>
      </c>
      <c r="K608" s="17" t="str">
        <f t="shared" ref="K608:L608" si="750">IF(K607=K$576,"OK","NOK")</f>
        <v>OK</v>
      </c>
      <c r="L608" s="17" t="str">
        <f t="shared" si="750"/>
        <v>OK</v>
      </c>
      <c r="M608" s="17"/>
      <c r="N608" s="17"/>
      <c r="O608" s="17"/>
      <c r="P608" s="17"/>
      <c r="Q608" s="17"/>
      <c r="R608" s="17"/>
      <c r="S608" s="17"/>
      <c r="T608" s="17"/>
      <c r="U608" s="17"/>
      <c r="V608" s="359"/>
      <c r="W608" s="382"/>
      <c r="X608" s="539"/>
      <c r="Y608" s="539"/>
      <c r="Z608" s="201"/>
      <c r="AA608" s="201"/>
      <c r="AB608" s="201"/>
      <c r="AC608" s="84"/>
      <c r="AE608" s="46"/>
      <c r="AF608" s="46"/>
      <c r="AG608" s="17"/>
      <c r="AH608" s="539"/>
      <c r="AI608" s="91"/>
      <c r="AK608" s="46"/>
      <c r="AL608" s="46"/>
      <c r="AM608" s="17"/>
      <c r="AN608" s="539"/>
      <c r="AO608" s="91"/>
      <c r="AQ608" s="46"/>
      <c r="AR608" s="46"/>
      <c r="AS608" s="17"/>
      <c r="AT608" s="539"/>
      <c r="AU608" s="91"/>
      <c r="AW608" s="46"/>
      <c r="AX608" s="46"/>
      <c r="AY608" s="17"/>
      <c r="AZ608" s="539"/>
      <c r="BA608" s="91"/>
    </row>
    <row r="609" spans="1:53" ht="17.100000000000001" customHeight="1" x14ac:dyDescent="0.25">
      <c r="A609" s="68"/>
      <c r="B609" s="41" t="s">
        <v>350</v>
      </c>
      <c r="C609" s="69" t="s">
        <v>362</v>
      </c>
      <c r="D609" s="50"/>
      <c r="E609" s="70"/>
      <c r="F609" s="70"/>
      <c r="G609" s="70"/>
      <c r="H609" s="243">
        <v>22</v>
      </c>
      <c r="J609" s="71"/>
      <c r="K609" s="71"/>
      <c r="L609" s="71"/>
      <c r="M609" s="71"/>
      <c r="N609" s="71"/>
      <c r="O609" s="71"/>
      <c r="P609" s="71"/>
      <c r="Q609" s="71"/>
      <c r="R609" s="71"/>
      <c r="S609" s="71"/>
      <c r="T609" s="71"/>
      <c r="U609" s="71"/>
      <c r="V609" s="355"/>
      <c r="W609" s="377"/>
      <c r="X609" s="71"/>
      <c r="Y609" s="72"/>
      <c r="Z609" s="73"/>
      <c r="AA609" s="73"/>
      <c r="AB609" s="73"/>
      <c r="AC609" s="73"/>
      <c r="AE609" s="71"/>
      <c r="AF609" s="71"/>
      <c r="AG609" s="71"/>
      <c r="AH609" s="72"/>
      <c r="AI609" s="73"/>
      <c r="AK609" s="71"/>
      <c r="AL609" s="71"/>
      <c r="AM609" s="71"/>
      <c r="AN609" s="72"/>
      <c r="AO609" s="73"/>
      <c r="AQ609" s="71"/>
      <c r="AR609" s="71"/>
      <c r="AS609" s="71"/>
      <c r="AT609" s="72"/>
      <c r="AU609" s="73"/>
      <c r="AW609" s="71"/>
      <c r="AX609" s="71"/>
      <c r="AY609" s="71"/>
      <c r="AZ609" s="72"/>
      <c r="BA609" s="73"/>
    </row>
    <row r="610" spans="1:53" ht="17.100000000000001" customHeight="1" x14ac:dyDescent="0.25">
      <c r="A610" s="40"/>
      <c r="B610" s="40"/>
      <c r="C610" s="74" t="s">
        <v>351</v>
      </c>
      <c r="D610" s="57" t="s">
        <v>1025</v>
      </c>
      <c r="E610" s="105"/>
      <c r="F610" s="105"/>
      <c r="G610" s="105"/>
      <c r="H610" s="119"/>
      <c r="I610" s="231"/>
      <c r="J610" s="111"/>
      <c r="K610" s="111"/>
      <c r="L610" s="111"/>
      <c r="M610" s="111"/>
      <c r="N610" s="111"/>
      <c r="O610" s="111"/>
      <c r="P610" s="111"/>
      <c r="Q610" s="111"/>
      <c r="R610" s="111"/>
      <c r="S610" s="111"/>
      <c r="T610" s="111"/>
      <c r="U610" s="111"/>
      <c r="V610" s="358"/>
      <c r="W610" s="380"/>
      <c r="X610" s="111"/>
      <c r="Y610" s="545"/>
      <c r="Z610" s="111"/>
      <c r="AA610" s="111"/>
      <c r="AB610" s="111"/>
      <c r="AC610" s="111"/>
      <c r="AE610" s="111"/>
      <c r="AF610" s="111"/>
      <c r="AG610" s="111"/>
      <c r="AH610" s="545"/>
      <c r="AI610" s="111"/>
      <c r="AK610" s="111"/>
      <c r="AL610" s="111"/>
      <c r="AM610" s="111"/>
      <c r="AN610" s="545"/>
      <c r="AO610" s="111"/>
      <c r="AQ610" s="111"/>
      <c r="AR610" s="111"/>
      <c r="AS610" s="111"/>
      <c r="AT610" s="545"/>
      <c r="AU610" s="111"/>
      <c r="AW610" s="111"/>
      <c r="AX610" s="111"/>
      <c r="AY610" s="111"/>
      <c r="AZ610" s="545"/>
      <c r="BA610" s="111"/>
    </row>
    <row r="611" spans="1:53" ht="17.100000000000001" customHeight="1" x14ac:dyDescent="0.25">
      <c r="A611" s="40"/>
      <c r="B611" s="40"/>
      <c r="C611" s="119"/>
      <c r="D611" s="180" t="s">
        <v>352</v>
      </c>
      <c r="E611" s="85" t="s">
        <v>512</v>
      </c>
      <c r="F611" s="105"/>
      <c r="G611" s="105"/>
      <c r="H611" s="119"/>
      <c r="I611" s="231"/>
      <c r="J611" s="581"/>
      <c r="K611" s="581"/>
      <c r="L611" s="582"/>
      <c r="M611" s="593">
        <f t="shared" ref="M611:M619" si="751">SUM(J611:L611)</f>
        <v>0</v>
      </c>
      <c r="N611" s="111"/>
      <c r="O611" s="111"/>
      <c r="P611" s="111"/>
      <c r="Q611" s="111"/>
      <c r="R611" s="111"/>
      <c r="S611" s="111"/>
      <c r="T611" s="111"/>
      <c r="U611" s="111"/>
      <c r="V611" s="358"/>
      <c r="W611" s="391">
        <f t="shared" ref="W611:W619" si="752">J611+K611+N611+Q611+T611</f>
        <v>0</v>
      </c>
      <c r="X611" s="17">
        <f t="shared" ref="X611:X619" si="753">L611+O611+R611+U611</f>
        <v>0</v>
      </c>
      <c r="Y611" s="18">
        <f t="shared" ref="Y611:Y619" si="754">SUM(W611:X611)</f>
        <v>0</v>
      </c>
      <c r="Z611" s="19">
        <f>IF(Y$620=0,0,Y611/Y$620)</f>
        <v>0</v>
      </c>
      <c r="AA611" s="19"/>
      <c r="AB611" s="19"/>
      <c r="AC611" s="17"/>
      <c r="AE611" s="17"/>
      <c r="AF611" s="17"/>
      <c r="AG611" s="17"/>
      <c r="AH611" s="18">
        <f t="shared" ref="AH611:AH619" si="755">J611</f>
        <v>0</v>
      </c>
      <c r="AI611" s="19">
        <f>IF(AH$620=0,0,AH611/AH$620)</f>
        <v>0</v>
      </c>
      <c r="AJ611" s="97"/>
      <c r="AK611" s="17"/>
      <c r="AL611" s="17"/>
      <c r="AM611" s="17"/>
      <c r="AN611" s="18">
        <f t="shared" ref="AN611:AN619" si="756">K611</f>
        <v>0</v>
      </c>
      <c r="AO611" s="19">
        <f>IF(AN$620=0,0,AN611/AN$620)</f>
        <v>0</v>
      </c>
      <c r="AP611" s="97"/>
      <c r="AQ611" s="17"/>
      <c r="AR611" s="17"/>
      <c r="AS611" s="17"/>
      <c r="AT611" s="18">
        <f t="shared" ref="AT611:AT619" si="757">W611</f>
        <v>0</v>
      </c>
      <c r="AU611" s="19">
        <f>IF(AT$620=0,0,AT611/AT$620)</f>
        <v>0</v>
      </c>
      <c r="AV611" s="97"/>
      <c r="AW611" s="17"/>
      <c r="AX611" s="17"/>
      <c r="AY611" s="17"/>
      <c r="AZ611" s="18">
        <f t="shared" ref="AZ611:AZ619" si="758">X611</f>
        <v>0</v>
      </c>
      <c r="BA611" s="19">
        <f>IF(AZ$620=0,0,AZ611/AZ$620)</f>
        <v>0</v>
      </c>
    </row>
    <row r="612" spans="1:53" ht="17.100000000000001" customHeight="1" x14ac:dyDescent="0.25">
      <c r="A612" s="40"/>
      <c r="B612" s="40"/>
      <c r="C612" s="119"/>
      <c r="D612" s="180" t="s">
        <v>353</v>
      </c>
      <c r="E612" s="85" t="s">
        <v>513</v>
      </c>
      <c r="F612" s="105"/>
      <c r="G612" s="105"/>
      <c r="H612" s="119"/>
      <c r="I612" s="231"/>
      <c r="J612" s="583"/>
      <c r="K612" s="583"/>
      <c r="L612" s="584"/>
      <c r="M612" s="593">
        <f t="shared" si="751"/>
        <v>0</v>
      </c>
      <c r="N612" s="111"/>
      <c r="O612" s="111"/>
      <c r="P612" s="111"/>
      <c r="Q612" s="111"/>
      <c r="R612" s="111"/>
      <c r="S612" s="111"/>
      <c r="T612" s="111"/>
      <c r="U612" s="111"/>
      <c r="V612" s="358"/>
      <c r="W612" s="391">
        <f t="shared" si="752"/>
        <v>0</v>
      </c>
      <c r="X612" s="17">
        <f t="shared" si="753"/>
        <v>0</v>
      </c>
      <c r="Y612" s="18">
        <f t="shared" si="754"/>
        <v>0</v>
      </c>
      <c r="Z612" s="19">
        <f t="shared" ref="Z612:Z620" si="759">IF(Y$620=0,0,Y612/Y$620)</f>
        <v>0</v>
      </c>
      <c r="AA612" s="19"/>
      <c r="AB612" s="19"/>
      <c r="AC612" s="17"/>
      <c r="AE612" s="17"/>
      <c r="AF612" s="17"/>
      <c r="AG612" s="17"/>
      <c r="AH612" s="18">
        <f t="shared" si="755"/>
        <v>0</v>
      </c>
      <c r="AI612" s="19">
        <f t="shared" ref="AI612:AI619" si="760">IF(AH$620=0,0,AH612/AH$620)</f>
        <v>0</v>
      </c>
      <c r="AJ612" s="97"/>
      <c r="AK612" s="17"/>
      <c r="AL612" s="17"/>
      <c r="AM612" s="17"/>
      <c r="AN612" s="18">
        <f t="shared" si="756"/>
        <v>0</v>
      </c>
      <c r="AO612" s="19">
        <f t="shared" ref="AO612:AO619" si="761">IF(AN$620=0,0,AN612/AN$620)</f>
        <v>0</v>
      </c>
      <c r="AP612" s="97"/>
      <c r="AQ612" s="17"/>
      <c r="AR612" s="17"/>
      <c r="AS612" s="17"/>
      <c r="AT612" s="18">
        <f t="shared" si="757"/>
        <v>0</v>
      </c>
      <c r="AU612" s="19">
        <f t="shared" ref="AU612:AU619" si="762">IF(AT$620=0,0,AT612/AT$620)</f>
        <v>0</v>
      </c>
      <c r="AV612" s="97"/>
      <c r="AW612" s="17"/>
      <c r="AX612" s="17"/>
      <c r="AY612" s="17"/>
      <c r="AZ612" s="18">
        <f t="shared" si="758"/>
        <v>0</v>
      </c>
      <c r="BA612" s="19">
        <f t="shared" ref="BA612:BA619" si="763">IF(AZ$620=0,0,AZ612/AZ$620)</f>
        <v>0</v>
      </c>
    </row>
    <row r="613" spans="1:53" ht="17.100000000000001" customHeight="1" x14ac:dyDescent="0.25">
      <c r="A613" s="40"/>
      <c r="B613" s="40"/>
      <c r="C613" s="119"/>
      <c r="D613" s="180" t="s">
        <v>354</v>
      </c>
      <c r="E613" s="85" t="s">
        <v>514</v>
      </c>
      <c r="F613" s="105"/>
      <c r="G613" s="105"/>
      <c r="H613" s="119"/>
      <c r="I613" s="231"/>
      <c r="J613" s="581"/>
      <c r="K613" s="581"/>
      <c r="L613" s="582"/>
      <c r="M613" s="593">
        <f t="shared" si="751"/>
        <v>0</v>
      </c>
      <c r="N613" s="111"/>
      <c r="O613" s="111"/>
      <c r="P613" s="111"/>
      <c r="Q613" s="111"/>
      <c r="R613" s="111"/>
      <c r="S613" s="111"/>
      <c r="T613" s="111"/>
      <c r="U613" s="111"/>
      <c r="V613" s="358"/>
      <c r="W613" s="391">
        <f t="shared" si="752"/>
        <v>0</v>
      </c>
      <c r="X613" s="17">
        <f t="shared" si="753"/>
        <v>0</v>
      </c>
      <c r="Y613" s="18">
        <f t="shared" si="754"/>
        <v>0</v>
      </c>
      <c r="Z613" s="19">
        <f t="shared" si="759"/>
        <v>0</v>
      </c>
      <c r="AA613" s="19"/>
      <c r="AB613" s="19"/>
      <c r="AC613" s="17"/>
      <c r="AE613" s="17"/>
      <c r="AF613" s="17"/>
      <c r="AG613" s="17"/>
      <c r="AH613" s="18">
        <f t="shared" si="755"/>
        <v>0</v>
      </c>
      <c r="AI613" s="19">
        <f t="shared" si="760"/>
        <v>0</v>
      </c>
      <c r="AJ613" s="97"/>
      <c r="AK613" s="17"/>
      <c r="AL613" s="17"/>
      <c r="AM613" s="17"/>
      <c r="AN613" s="18">
        <f t="shared" si="756"/>
        <v>0</v>
      </c>
      <c r="AO613" s="19">
        <f t="shared" si="761"/>
        <v>0</v>
      </c>
      <c r="AP613" s="97"/>
      <c r="AQ613" s="17"/>
      <c r="AR613" s="17"/>
      <c r="AS613" s="17"/>
      <c r="AT613" s="18">
        <f t="shared" si="757"/>
        <v>0</v>
      </c>
      <c r="AU613" s="19">
        <f t="shared" si="762"/>
        <v>0</v>
      </c>
      <c r="AV613" s="97"/>
      <c r="AW613" s="17"/>
      <c r="AX613" s="17"/>
      <c r="AY613" s="17"/>
      <c r="AZ613" s="18">
        <f t="shared" si="758"/>
        <v>0</v>
      </c>
      <c r="BA613" s="19">
        <f t="shared" si="763"/>
        <v>0</v>
      </c>
    </row>
    <row r="614" spans="1:53" ht="17.100000000000001" customHeight="1" x14ac:dyDescent="0.25">
      <c r="A614" s="40"/>
      <c r="B614" s="40"/>
      <c r="C614" s="119"/>
      <c r="D614" s="180" t="s">
        <v>355</v>
      </c>
      <c r="E614" s="85" t="s">
        <v>357</v>
      </c>
      <c r="F614" s="105"/>
      <c r="G614" s="105"/>
      <c r="H614" s="119"/>
      <c r="I614" s="231"/>
      <c r="J614" s="583"/>
      <c r="K614" s="583"/>
      <c r="L614" s="584"/>
      <c r="M614" s="593">
        <f t="shared" si="751"/>
        <v>0</v>
      </c>
      <c r="N614" s="111"/>
      <c r="O614" s="111"/>
      <c r="P614" s="111"/>
      <c r="Q614" s="111"/>
      <c r="R614" s="111"/>
      <c r="S614" s="111"/>
      <c r="T614" s="111"/>
      <c r="U614" s="111"/>
      <c r="V614" s="358"/>
      <c r="W614" s="391">
        <f t="shared" si="752"/>
        <v>0</v>
      </c>
      <c r="X614" s="17">
        <f t="shared" si="753"/>
        <v>0</v>
      </c>
      <c r="Y614" s="18">
        <f t="shared" si="754"/>
        <v>0</v>
      </c>
      <c r="Z614" s="19">
        <f t="shared" si="759"/>
        <v>0</v>
      </c>
      <c r="AA614" s="19"/>
      <c r="AB614" s="19"/>
      <c r="AC614" s="17"/>
      <c r="AE614" s="17"/>
      <c r="AF614" s="17"/>
      <c r="AG614" s="17"/>
      <c r="AH614" s="18">
        <f t="shared" si="755"/>
        <v>0</v>
      </c>
      <c r="AI614" s="19">
        <f t="shared" si="760"/>
        <v>0</v>
      </c>
      <c r="AJ614" s="97"/>
      <c r="AK614" s="17"/>
      <c r="AL614" s="17"/>
      <c r="AM614" s="17"/>
      <c r="AN614" s="18">
        <f t="shared" si="756"/>
        <v>0</v>
      </c>
      <c r="AO614" s="19">
        <f t="shared" si="761"/>
        <v>0</v>
      </c>
      <c r="AP614" s="97"/>
      <c r="AQ614" s="17"/>
      <c r="AR614" s="17"/>
      <c r="AS614" s="17"/>
      <c r="AT614" s="18">
        <f t="shared" si="757"/>
        <v>0</v>
      </c>
      <c r="AU614" s="19">
        <f t="shared" si="762"/>
        <v>0</v>
      </c>
      <c r="AV614" s="97"/>
      <c r="AW614" s="17"/>
      <c r="AX614" s="17"/>
      <c r="AY614" s="17"/>
      <c r="AZ614" s="18">
        <f t="shared" si="758"/>
        <v>0</v>
      </c>
      <c r="BA614" s="19">
        <f t="shared" si="763"/>
        <v>0</v>
      </c>
    </row>
    <row r="615" spans="1:53" ht="17.100000000000001" customHeight="1" x14ac:dyDescent="0.25">
      <c r="A615" s="40"/>
      <c r="B615" s="40"/>
      <c r="C615" s="119"/>
      <c r="D615" s="180" t="s">
        <v>356</v>
      </c>
      <c r="E615" s="85" t="s">
        <v>515</v>
      </c>
      <c r="F615" s="105"/>
      <c r="G615" s="105"/>
      <c r="H615" s="119"/>
      <c r="I615" s="231"/>
      <c r="J615" s="581"/>
      <c r="K615" s="581"/>
      <c r="L615" s="582"/>
      <c r="M615" s="593">
        <f t="shared" si="751"/>
        <v>0</v>
      </c>
      <c r="N615" s="111"/>
      <c r="O615" s="111"/>
      <c r="P615" s="111"/>
      <c r="Q615" s="111"/>
      <c r="R615" s="111"/>
      <c r="S615" s="111"/>
      <c r="T615" s="111"/>
      <c r="U615" s="111"/>
      <c r="V615" s="358"/>
      <c r="W615" s="391">
        <f t="shared" si="752"/>
        <v>0</v>
      </c>
      <c r="X615" s="17">
        <f t="shared" si="753"/>
        <v>0</v>
      </c>
      <c r="Y615" s="18">
        <f t="shared" si="754"/>
        <v>0</v>
      </c>
      <c r="Z615" s="19">
        <f t="shared" si="759"/>
        <v>0</v>
      </c>
      <c r="AA615" s="19"/>
      <c r="AB615" s="19"/>
      <c r="AC615" s="17"/>
      <c r="AE615" s="17"/>
      <c r="AF615" s="17"/>
      <c r="AG615" s="17"/>
      <c r="AH615" s="18">
        <f t="shared" si="755"/>
        <v>0</v>
      </c>
      <c r="AI615" s="19">
        <f t="shared" si="760"/>
        <v>0</v>
      </c>
      <c r="AJ615" s="97"/>
      <c r="AK615" s="17"/>
      <c r="AL615" s="17"/>
      <c r="AM615" s="17"/>
      <c r="AN615" s="18">
        <f t="shared" si="756"/>
        <v>0</v>
      </c>
      <c r="AO615" s="19">
        <f t="shared" si="761"/>
        <v>0</v>
      </c>
      <c r="AP615" s="97"/>
      <c r="AQ615" s="17"/>
      <c r="AR615" s="17"/>
      <c r="AS615" s="17"/>
      <c r="AT615" s="18">
        <f t="shared" si="757"/>
        <v>0</v>
      </c>
      <c r="AU615" s="19">
        <f t="shared" si="762"/>
        <v>0</v>
      </c>
      <c r="AV615" s="97"/>
      <c r="AW615" s="17"/>
      <c r="AX615" s="17"/>
      <c r="AY615" s="17"/>
      <c r="AZ615" s="18">
        <f t="shared" si="758"/>
        <v>0</v>
      </c>
      <c r="BA615" s="19">
        <f t="shared" si="763"/>
        <v>0</v>
      </c>
    </row>
    <row r="616" spans="1:53" ht="17.100000000000001" customHeight="1" x14ac:dyDescent="0.25">
      <c r="A616" s="40"/>
      <c r="B616" s="40"/>
      <c r="C616" s="119"/>
      <c r="D616" s="180" t="s">
        <v>508</v>
      </c>
      <c r="E616" s="85" t="s">
        <v>516</v>
      </c>
      <c r="F616" s="105"/>
      <c r="G616" s="105"/>
      <c r="H616" s="119"/>
      <c r="I616" s="231"/>
      <c r="J616" s="583"/>
      <c r="K616" s="583"/>
      <c r="L616" s="584"/>
      <c r="M616" s="593">
        <f t="shared" si="751"/>
        <v>0</v>
      </c>
      <c r="N616" s="111"/>
      <c r="O616" s="111"/>
      <c r="P616" s="111"/>
      <c r="Q616" s="111"/>
      <c r="R616" s="111"/>
      <c r="S616" s="111"/>
      <c r="T616" s="111"/>
      <c r="U616" s="111"/>
      <c r="V616" s="358"/>
      <c r="W616" s="391">
        <f t="shared" si="752"/>
        <v>0</v>
      </c>
      <c r="X616" s="17">
        <f t="shared" si="753"/>
        <v>0</v>
      </c>
      <c r="Y616" s="18">
        <f t="shared" si="754"/>
        <v>0</v>
      </c>
      <c r="Z616" s="19">
        <f t="shared" si="759"/>
        <v>0</v>
      </c>
      <c r="AA616" s="19"/>
      <c r="AB616" s="19"/>
      <c r="AC616" s="17"/>
      <c r="AE616" s="17"/>
      <c r="AF616" s="17"/>
      <c r="AG616" s="17"/>
      <c r="AH616" s="18">
        <f t="shared" si="755"/>
        <v>0</v>
      </c>
      <c r="AI616" s="19">
        <f t="shared" si="760"/>
        <v>0</v>
      </c>
      <c r="AJ616" s="97"/>
      <c r="AK616" s="17"/>
      <c r="AL616" s="17"/>
      <c r="AM616" s="17"/>
      <c r="AN616" s="18">
        <f t="shared" si="756"/>
        <v>0</v>
      </c>
      <c r="AO616" s="19">
        <f t="shared" si="761"/>
        <v>0</v>
      </c>
      <c r="AP616" s="97"/>
      <c r="AQ616" s="17"/>
      <c r="AR616" s="17"/>
      <c r="AS616" s="17"/>
      <c r="AT616" s="18">
        <f t="shared" si="757"/>
        <v>0</v>
      </c>
      <c r="AU616" s="19">
        <f t="shared" si="762"/>
        <v>0</v>
      </c>
      <c r="AV616" s="97"/>
      <c r="AW616" s="17"/>
      <c r="AX616" s="17"/>
      <c r="AY616" s="17"/>
      <c r="AZ616" s="18">
        <f t="shared" si="758"/>
        <v>0</v>
      </c>
      <c r="BA616" s="19">
        <f t="shared" si="763"/>
        <v>0</v>
      </c>
    </row>
    <row r="617" spans="1:53" ht="17.100000000000001" customHeight="1" x14ac:dyDescent="0.25">
      <c r="A617" s="40"/>
      <c r="B617" s="40"/>
      <c r="C617" s="119"/>
      <c r="D617" s="180" t="s">
        <v>509</v>
      </c>
      <c r="E617" s="85" t="s">
        <v>517</v>
      </c>
      <c r="F617" s="105"/>
      <c r="G617" s="105"/>
      <c r="H617" s="119"/>
      <c r="I617" s="231"/>
      <c r="J617" s="581"/>
      <c r="K617" s="581"/>
      <c r="L617" s="582"/>
      <c r="M617" s="593">
        <f t="shared" si="751"/>
        <v>0</v>
      </c>
      <c r="N617" s="111"/>
      <c r="O617" s="111"/>
      <c r="P617" s="111"/>
      <c r="Q617" s="111"/>
      <c r="R617" s="111"/>
      <c r="S617" s="111"/>
      <c r="T617" s="111"/>
      <c r="U617" s="111"/>
      <c r="V617" s="358"/>
      <c r="W617" s="391">
        <f t="shared" si="752"/>
        <v>0</v>
      </c>
      <c r="X617" s="17">
        <f t="shared" si="753"/>
        <v>0</v>
      </c>
      <c r="Y617" s="18">
        <f t="shared" si="754"/>
        <v>0</v>
      </c>
      <c r="Z617" s="19">
        <f t="shared" si="759"/>
        <v>0</v>
      </c>
      <c r="AA617" s="19"/>
      <c r="AB617" s="19"/>
      <c r="AC617" s="17"/>
      <c r="AE617" s="17"/>
      <c r="AF617" s="17"/>
      <c r="AG617" s="17"/>
      <c r="AH617" s="18">
        <f t="shared" si="755"/>
        <v>0</v>
      </c>
      <c r="AI617" s="19">
        <f t="shared" si="760"/>
        <v>0</v>
      </c>
      <c r="AJ617" s="97"/>
      <c r="AK617" s="17"/>
      <c r="AL617" s="17"/>
      <c r="AM617" s="17"/>
      <c r="AN617" s="18">
        <f t="shared" si="756"/>
        <v>0</v>
      </c>
      <c r="AO617" s="19">
        <f t="shared" si="761"/>
        <v>0</v>
      </c>
      <c r="AP617" s="97"/>
      <c r="AQ617" s="17"/>
      <c r="AR617" s="17"/>
      <c r="AS617" s="17"/>
      <c r="AT617" s="18">
        <f t="shared" si="757"/>
        <v>0</v>
      </c>
      <c r="AU617" s="19">
        <f t="shared" si="762"/>
        <v>0</v>
      </c>
      <c r="AV617" s="97"/>
      <c r="AW617" s="17"/>
      <c r="AX617" s="17"/>
      <c r="AY617" s="17"/>
      <c r="AZ617" s="18">
        <f t="shared" si="758"/>
        <v>0</v>
      </c>
      <c r="BA617" s="19">
        <f t="shared" si="763"/>
        <v>0</v>
      </c>
    </row>
    <row r="618" spans="1:53" ht="17.100000000000001" customHeight="1" x14ac:dyDescent="0.25">
      <c r="A618" s="40"/>
      <c r="B618" s="40"/>
      <c r="C618" s="119"/>
      <c r="D618" s="180" t="s">
        <v>510</v>
      </c>
      <c r="E618" s="85" t="s">
        <v>518</v>
      </c>
      <c r="F618" s="105"/>
      <c r="G618" s="105"/>
      <c r="H618" s="119"/>
      <c r="I618" s="231"/>
      <c r="J618" s="583"/>
      <c r="K618" s="583"/>
      <c r="L618" s="584"/>
      <c r="M618" s="593">
        <f t="shared" si="751"/>
        <v>0</v>
      </c>
      <c r="N618" s="111"/>
      <c r="O618" s="111"/>
      <c r="P618" s="111"/>
      <c r="Q618" s="111"/>
      <c r="R618" s="111"/>
      <c r="S618" s="111"/>
      <c r="T618" s="111"/>
      <c r="U618" s="111"/>
      <c r="V618" s="358"/>
      <c r="W618" s="391">
        <f t="shared" si="752"/>
        <v>0</v>
      </c>
      <c r="X618" s="17">
        <f t="shared" si="753"/>
        <v>0</v>
      </c>
      <c r="Y618" s="18">
        <f t="shared" si="754"/>
        <v>0</v>
      </c>
      <c r="Z618" s="19">
        <f t="shared" si="759"/>
        <v>0</v>
      </c>
      <c r="AA618" s="19"/>
      <c r="AB618" s="19"/>
      <c r="AC618" s="17"/>
      <c r="AE618" s="17"/>
      <c r="AF618" s="17"/>
      <c r="AG618" s="17"/>
      <c r="AH618" s="18">
        <f t="shared" si="755"/>
        <v>0</v>
      </c>
      <c r="AI618" s="19">
        <f t="shared" si="760"/>
        <v>0</v>
      </c>
      <c r="AJ618" s="97"/>
      <c r="AK618" s="17"/>
      <c r="AL618" s="17"/>
      <c r="AM618" s="17"/>
      <c r="AN618" s="18">
        <f t="shared" si="756"/>
        <v>0</v>
      </c>
      <c r="AO618" s="19">
        <f t="shared" si="761"/>
        <v>0</v>
      </c>
      <c r="AP618" s="97"/>
      <c r="AQ618" s="17"/>
      <c r="AR618" s="17"/>
      <c r="AS618" s="17"/>
      <c r="AT618" s="18">
        <f t="shared" si="757"/>
        <v>0</v>
      </c>
      <c r="AU618" s="19">
        <f t="shared" si="762"/>
        <v>0</v>
      </c>
      <c r="AV618" s="97"/>
      <c r="AW618" s="17"/>
      <c r="AX618" s="17"/>
      <c r="AY618" s="17"/>
      <c r="AZ618" s="18">
        <f t="shared" si="758"/>
        <v>0</v>
      </c>
      <c r="BA618" s="19">
        <f t="shared" si="763"/>
        <v>0</v>
      </c>
    </row>
    <row r="619" spans="1:53" ht="17.100000000000001" customHeight="1" x14ac:dyDescent="0.25">
      <c r="A619" s="40"/>
      <c r="B619" s="40"/>
      <c r="C619" s="119"/>
      <c r="D619" s="180" t="s">
        <v>511</v>
      </c>
      <c r="E619" s="85" t="s">
        <v>129</v>
      </c>
      <c r="F619" s="105"/>
      <c r="G619" s="105"/>
      <c r="H619" s="119"/>
      <c r="I619" s="231"/>
      <c r="J619" s="581"/>
      <c r="K619" s="581"/>
      <c r="L619" s="582"/>
      <c r="M619" s="593">
        <f t="shared" si="751"/>
        <v>0</v>
      </c>
      <c r="N619" s="111"/>
      <c r="O619" s="111"/>
      <c r="P619" s="111"/>
      <c r="Q619" s="111"/>
      <c r="R619" s="111"/>
      <c r="S619" s="111"/>
      <c r="T619" s="111"/>
      <c r="U619" s="111"/>
      <c r="V619" s="358"/>
      <c r="W619" s="391">
        <f t="shared" si="752"/>
        <v>0</v>
      </c>
      <c r="X619" s="17">
        <f t="shared" si="753"/>
        <v>0</v>
      </c>
      <c r="Y619" s="18">
        <f t="shared" si="754"/>
        <v>0</v>
      </c>
      <c r="Z619" s="19">
        <f t="shared" si="759"/>
        <v>0</v>
      </c>
      <c r="AA619" s="19"/>
      <c r="AB619" s="19"/>
      <c r="AC619" s="17"/>
      <c r="AE619" s="17"/>
      <c r="AF619" s="17"/>
      <c r="AG619" s="17"/>
      <c r="AH619" s="18">
        <f t="shared" si="755"/>
        <v>0</v>
      </c>
      <c r="AI619" s="19">
        <f t="shared" si="760"/>
        <v>0</v>
      </c>
      <c r="AJ619" s="97"/>
      <c r="AK619" s="17"/>
      <c r="AL619" s="17"/>
      <c r="AM619" s="17"/>
      <c r="AN619" s="18">
        <f t="shared" si="756"/>
        <v>0</v>
      </c>
      <c r="AO619" s="19">
        <f t="shared" si="761"/>
        <v>0</v>
      </c>
      <c r="AP619" s="97"/>
      <c r="AQ619" s="17"/>
      <c r="AR619" s="17"/>
      <c r="AS619" s="17"/>
      <c r="AT619" s="18">
        <f t="shared" si="757"/>
        <v>0</v>
      </c>
      <c r="AU619" s="19">
        <f t="shared" si="762"/>
        <v>0</v>
      </c>
      <c r="AV619" s="97"/>
      <c r="AW619" s="17"/>
      <c r="AX619" s="17"/>
      <c r="AY619" s="17"/>
      <c r="AZ619" s="18">
        <f t="shared" si="758"/>
        <v>0</v>
      </c>
      <c r="BA619" s="19">
        <f t="shared" si="763"/>
        <v>0</v>
      </c>
    </row>
    <row r="620" spans="1:53" ht="17.100000000000001" customHeight="1" x14ac:dyDescent="0.25">
      <c r="A620" s="40"/>
      <c r="B620" s="40"/>
      <c r="C620" s="77"/>
      <c r="D620" s="134"/>
      <c r="E620" s="134"/>
      <c r="F620" s="134"/>
      <c r="G620" s="134"/>
      <c r="H620" s="540"/>
      <c r="I620" s="229"/>
      <c r="J620" s="80">
        <f>SUM(J611:J619)</f>
        <v>0</v>
      </c>
      <c r="K620" s="80">
        <f t="shared" ref="K620:M620" si="764">SUM(K611:K619)</f>
        <v>0</v>
      </c>
      <c r="L620" s="80">
        <f t="shared" si="764"/>
        <v>0</v>
      </c>
      <c r="M620" s="80">
        <f t="shared" si="764"/>
        <v>0</v>
      </c>
      <c r="N620" s="81"/>
      <c r="O620" s="81"/>
      <c r="P620" s="81"/>
      <c r="Q620" s="81"/>
      <c r="R620" s="81"/>
      <c r="S620" s="81"/>
      <c r="T620" s="81"/>
      <c r="U620" s="81"/>
      <c r="V620" s="356"/>
      <c r="W620" s="381">
        <f>SUM(W611:W619)</f>
        <v>0</v>
      </c>
      <c r="X620" s="82">
        <f t="shared" ref="X620:Y620" si="765">SUM(X611:X619)</f>
        <v>0</v>
      </c>
      <c r="Y620" s="82">
        <f t="shared" si="765"/>
        <v>0</v>
      </c>
      <c r="Z620" s="205">
        <f t="shared" si="759"/>
        <v>0</v>
      </c>
      <c r="AA620" s="205"/>
      <c r="AB620" s="205"/>
      <c r="AC620" s="83"/>
      <c r="AE620" s="80"/>
      <c r="AF620" s="80"/>
      <c r="AG620" s="81"/>
      <c r="AH620" s="82">
        <f>SUM(AH611:AH619)</f>
        <v>0</v>
      </c>
      <c r="AI620" s="66">
        <f>IF(AH$620=0,0,AH620/AH$620)</f>
        <v>0</v>
      </c>
      <c r="AK620" s="80"/>
      <c r="AL620" s="80"/>
      <c r="AM620" s="81"/>
      <c r="AN620" s="82">
        <f>SUM(AN611:AN619)</f>
        <v>0</v>
      </c>
      <c r="AO620" s="66">
        <f>IF(AN$620=0,0,AN620/AN$620)</f>
        <v>0</v>
      </c>
      <c r="AQ620" s="80"/>
      <c r="AR620" s="80"/>
      <c r="AS620" s="81"/>
      <c r="AT620" s="82">
        <f>SUM(AT611:AT619)</f>
        <v>0</v>
      </c>
      <c r="AU620" s="66">
        <f>IF(AT$620=0,0,AT620/AT$620)</f>
        <v>0</v>
      </c>
      <c r="AW620" s="80"/>
      <c r="AX620" s="80"/>
      <c r="AY620" s="81"/>
      <c r="AZ620" s="82">
        <f>SUM(AZ611:AZ619)</f>
        <v>0</v>
      </c>
      <c r="BA620" s="66">
        <f>IF(AZ$620=0,0,AZ620/AZ$620)</f>
        <v>0</v>
      </c>
    </row>
    <row r="621" spans="1:53" s="117" customFormat="1" ht="17.100000000000001" customHeight="1" x14ac:dyDescent="0.25">
      <c r="A621" s="68"/>
      <c r="B621" s="119"/>
      <c r="C621" s="540"/>
      <c r="D621" s="261"/>
      <c r="E621" s="261"/>
      <c r="F621" s="68"/>
      <c r="G621" s="68"/>
      <c r="H621" s="119"/>
      <c r="I621" s="138"/>
      <c r="J621" s="17" t="str">
        <f>IF(J620=J$576,"OK","NOK")</f>
        <v>OK</v>
      </c>
      <c r="K621" s="17" t="str">
        <f t="shared" ref="K621:L621" si="766">IF(K620=K$576,"OK","NOK")</f>
        <v>OK</v>
      </c>
      <c r="L621" s="17" t="str">
        <f t="shared" si="766"/>
        <v>OK</v>
      </c>
      <c r="M621" s="17"/>
      <c r="N621" s="17"/>
      <c r="O621" s="17"/>
      <c r="P621" s="17"/>
      <c r="Q621" s="17"/>
      <c r="R621" s="17"/>
      <c r="S621" s="17"/>
      <c r="T621" s="17"/>
      <c r="U621" s="17"/>
      <c r="V621" s="359"/>
      <c r="W621" s="382"/>
      <c r="X621" s="539"/>
      <c r="Y621" s="539"/>
      <c r="Z621" s="201"/>
      <c r="AA621" s="201"/>
      <c r="AB621" s="201"/>
      <c r="AC621" s="84"/>
      <c r="AE621" s="46"/>
      <c r="AF621" s="46"/>
      <c r="AG621" s="17"/>
      <c r="AH621" s="539"/>
      <c r="AI621" s="91"/>
      <c r="AK621" s="46"/>
      <c r="AL621" s="46"/>
      <c r="AM621" s="17"/>
      <c r="AN621" s="539"/>
      <c r="AO621" s="91"/>
      <c r="AQ621" s="46"/>
      <c r="AR621" s="46"/>
      <c r="AS621" s="17"/>
      <c r="AT621" s="539"/>
      <c r="AU621" s="91"/>
      <c r="AW621" s="46"/>
      <c r="AX621" s="46"/>
      <c r="AY621" s="17"/>
      <c r="AZ621" s="539"/>
      <c r="BA621" s="91"/>
    </row>
    <row r="622" spans="1:53" ht="17.100000000000001" customHeight="1" x14ac:dyDescent="0.25">
      <c r="A622" s="68"/>
      <c r="B622" s="48" t="s">
        <v>678</v>
      </c>
      <c r="C622" s="50" t="s">
        <v>679</v>
      </c>
      <c r="D622" s="50"/>
      <c r="E622" s="70"/>
      <c r="F622" s="70"/>
      <c r="G622" s="70"/>
      <c r="H622" s="119"/>
      <c r="J622" s="71"/>
      <c r="K622" s="71"/>
      <c r="L622" s="71"/>
      <c r="M622" s="71"/>
      <c r="N622" s="71"/>
      <c r="O622" s="71"/>
      <c r="P622" s="71"/>
      <c r="Q622" s="71"/>
      <c r="R622" s="71"/>
      <c r="S622" s="71"/>
      <c r="T622" s="71"/>
      <c r="U622" s="71"/>
      <c r="V622" s="355"/>
      <c r="W622" s="377"/>
      <c r="X622" s="71"/>
      <c r="Y622" s="72"/>
      <c r="Z622" s="73"/>
      <c r="AA622" s="73"/>
      <c r="AB622" s="73"/>
      <c r="AC622" s="73"/>
      <c r="AE622" s="71"/>
      <c r="AF622" s="71"/>
      <c r="AG622" s="71"/>
      <c r="AH622" s="72"/>
      <c r="AI622" s="73"/>
      <c r="AK622" s="71"/>
      <c r="AL622" s="71"/>
      <c r="AM622" s="71"/>
      <c r="AN622" s="72"/>
      <c r="AO622" s="73"/>
      <c r="AQ622" s="71"/>
      <c r="AR622" s="71"/>
      <c r="AS622" s="71"/>
      <c r="AT622" s="72"/>
      <c r="AU622" s="73"/>
      <c r="AW622" s="71"/>
      <c r="AX622" s="71"/>
      <c r="AY622" s="71"/>
      <c r="AZ622" s="72"/>
      <c r="BA622" s="73"/>
    </row>
    <row r="623" spans="1:53" s="117" customFormat="1" ht="17.100000000000001" customHeight="1" x14ac:dyDescent="0.25">
      <c r="A623" s="68"/>
      <c r="B623" s="119"/>
      <c r="C623" s="74" t="s">
        <v>680</v>
      </c>
      <c r="D623" s="85" t="s">
        <v>504</v>
      </c>
      <c r="E623" s="75"/>
      <c r="F623" s="151"/>
      <c r="G623" s="318"/>
      <c r="H623" s="119"/>
      <c r="I623" s="138"/>
      <c r="J623" s="111"/>
      <c r="K623" s="111"/>
      <c r="L623" s="111"/>
      <c r="M623" s="111"/>
      <c r="N623" s="111"/>
      <c r="O623" s="111"/>
      <c r="P623" s="327">
        <v>1</v>
      </c>
      <c r="Q623" s="111"/>
      <c r="R623" s="111"/>
      <c r="S623" s="327"/>
      <c r="T623" s="111"/>
      <c r="U623" s="111"/>
      <c r="V623" s="369"/>
      <c r="W623" s="391"/>
      <c r="X623" s="17"/>
      <c r="Y623" s="328">
        <f t="shared" ref="Y623:Y624" si="767">P623+S623+V623</f>
        <v>1</v>
      </c>
      <c r="Z623" s="19">
        <f>IF(Y$628=0,0,Y623/Y$628)</f>
        <v>1</v>
      </c>
      <c r="AA623" s="201"/>
      <c r="AB623" s="201"/>
      <c r="AC623" s="84"/>
      <c r="AE623" s="111"/>
      <c r="AF623" s="111"/>
      <c r="AG623" s="111"/>
      <c r="AH623" s="545"/>
      <c r="AI623" s="131"/>
      <c r="AK623" s="111"/>
      <c r="AL623" s="111"/>
      <c r="AM623" s="111"/>
      <c r="AN623" s="545"/>
      <c r="AO623" s="131"/>
      <c r="AQ623" s="111"/>
      <c r="AR623" s="111"/>
      <c r="AS623" s="111"/>
      <c r="AT623" s="545"/>
      <c r="AU623" s="131"/>
      <c r="AW623" s="111"/>
      <c r="AX623" s="111"/>
      <c r="AY623" s="111"/>
      <c r="AZ623" s="545"/>
      <c r="BA623" s="131"/>
    </row>
    <row r="624" spans="1:53" s="117" customFormat="1" ht="17.100000000000001" customHeight="1" x14ac:dyDescent="0.25">
      <c r="A624" s="68"/>
      <c r="B624" s="119"/>
      <c r="C624" s="74" t="s">
        <v>681</v>
      </c>
      <c r="D624" s="85" t="s">
        <v>505</v>
      </c>
      <c r="E624" s="75"/>
      <c r="F624" s="151"/>
      <c r="G624" s="318"/>
      <c r="H624" s="119"/>
      <c r="I624" s="138"/>
      <c r="J624" s="111"/>
      <c r="K624" s="111"/>
      <c r="L624" s="111"/>
      <c r="M624" s="111"/>
      <c r="N624" s="111"/>
      <c r="O624" s="111"/>
      <c r="P624" s="329"/>
      <c r="Q624" s="111"/>
      <c r="R624" s="111"/>
      <c r="S624" s="329"/>
      <c r="T624" s="111"/>
      <c r="U624" s="111"/>
      <c r="V624" s="370"/>
      <c r="W624" s="391"/>
      <c r="X624" s="17"/>
      <c r="Y624" s="328">
        <f t="shared" si="767"/>
        <v>0</v>
      </c>
      <c r="Z624" s="19">
        <f t="shared" ref="Z624:Z628" si="768">IF(Y$628=0,0,Y624/Y$628)</f>
        <v>0</v>
      </c>
      <c r="AA624" s="201"/>
      <c r="AB624" s="201"/>
      <c r="AC624" s="84"/>
      <c r="AE624" s="111"/>
      <c r="AF624" s="111"/>
      <c r="AG624" s="111"/>
      <c r="AH624" s="545"/>
      <c r="AI624" s="131"/>
      <c r="AK624" s="111"/>
      <c r="AL624" s="111"/>
      <c r="AM624" s="111"/>
      <c r="AN624" s="545"/>
      <c r="AO624" s="131"/>
      <c r="AQ624" s="111"/>
      <c r="AR624" s="111"/>
      <c r="AS624" s="111"/>
      <c r="AT624" s="545"/>
      <c r="AU624" s="131"/>
      <c r="AW624" s="111"/>
      <c r="AX624" s="111"/>
      <c r="AY624" s="111"/>
      <c r="AZ624" s="545"/>
      <c r="BA624" s="131"/>
    </row>
    <row r="625" spans="1:53" s="117" customFormat="1" ht="17.100000000000001" customHeight="1" x14ac:dyDescent="0.25">
      <c r="A625" s="68"/>
      <c r="B625" s="119"/>
      <c r="C625" s="74" t="s">
        <v>682</v>
      </c>
      <c r="D625" s="85" t="s">
        <v>683</v>
      </c>
      <c r="E625" s="75"/>
      <c r="F625" s="151"/>
      <c r="G625" s="318"/>
      <c r="H625" s="119"/>
      <c r="I625" s="138"/>
      <c r="J625" s="111"/>
      <c r="K625" s="111"/>
      <c r="L625" s="111"/>
      <c r="M625" s="111"/>
      <c r="N625" s="111"/>
      <c r="O625" s="111"/>
      <c r="P625" s="327"/>
      <c r="Q625" s="111"/>
      <c r="R625" s="111"/>
      <c r="S625" s="327"/>
      <c r="T625" s="111"/>
      <c r="U625" s="111"/>
      <c r="V625" s="369"/>
      <c r="W625" s="391"/>
      <c r="X625" s="17"/>
      <c r="Y625" s="328">
        <f>P625+S625+V625</f>
        <v>0</v>
      </c>
      <c r="Z625" s="19">
        <f t="shared" si="768"/>
        <v>0</v>
      </c>
      <c r="AA625" s="201"/>
      <c r="AB625" s="201"/>
      <c r="AC625" s="84"/>
      <c r="AE625" s="111"/>
      <c r="AF625" s="111"/>
      <c r="AG625" s="111"/>
      <c r="AH625" s="545"/>
      <c r="AI625" s="131"/>
      <c r="AK625" s="111"/>
      <c r="AL625" s="111"/>
      <c r="AM625" s="111"/>
      <c r="AN625" s="545"/>
      <c r="AO625" s="131"/>
      <c r="AQ625" s="111"/>
      <c r="AR625" s="111"/>
      <c r="AS625" s="111"/>
      <c r="AT625" s="545"/>
      <c r="AU625" s="131"/>
      <c r="AW625" s="111"/>
      <c r="AX625" s="111"/>
      <c r="AY625" s="111"/>
      <c r="AZ625" s="545"/>
      <c r="BA625" s="131"/>
    </row>
    <row r="626" spans="1:53" s="117" customFormat="1" ht="17.100000000000001" customHeight="1" x14ac:dyDescent="0.25">
      <c r="A626" s="68"/>
      <c r="B626" s="119"/>
      <c r="C626" s="74" t="s">
        <v>684</v>
      </c>
      <c r="D626" s="85" t="s">
        <v>685</v>
      </c>
      <c r="E626" s="75"/>
      <c r="F626" s="151"/>
      <c r="G626" s="318"/>
      <c r="H626" s="119"/>
      <c r="I626" s="138"/>
      <c r="J626" s="111"/>
      <c r="K626" s="111"/>
      <c r="L626" s="111"/>
      <c r="M626" s="111"/>
      <c r="N626" s="111"/>
      <c r="O626" s="111"/>
      <c r="P626" s="329"/>
      <c r="Q626" s="111"/>
      <c r="R626" s="111"/>
      <c r="S626" s="329"/>
      <c r="T626" s="111"/>
      <c r="U626" s="111"/>
      <c r="V626" s="370"/>
      <c r="W626" s="391"/>
      <c r="X626" s="17"/>
      <c r="Y626" s="328">
        <f t="shared" ref="Y626:Y627" si="769">P626+S626+V626</f>
        <v>0</v>
      </c>
      <c r="Z626" s="19">
        <f t="shared" si="768"/>
        <v>0</v>
      </c>
      <c r="AA626" s="201"/>
      <c r="AB626" s="201"/>
      <c r="AC626" s="84"/>
      <c r="AE626" s="111"/>
      <c r="AF626" s="111"/>
      <c r="AG626" s="111"/>
      <c r="AH626" s="545"/>
      <c r="AI626" s="131"/>
      <c r="AK626" s="111"/>
      <c r="AL626" s="111"/>
      <c r="AM626" s="111"/>
      <c r="AN626" s="545"/>
      <c r="AO626" s="131"/>
      <c r="AQ626" s="111"/>
      <c r="AR626" s="111"/>
      <c r="AS626" s="111"/>
      <c r="AT626" s="545"/>
      <c r="AU626" s="131"/>
      <c r="AW626" s="111"/>
      <c r="AX626" s="111"/>
      <c r="AY626" s="111"/>
      <c r="AZ626" s="545"/>
      <c r="BA626" s="131"/>
    </row>
    <row r="627" spans="1:53" s="117" customFormat="1" ht="17.100000000000001" customHeight="1" x14ac:dyDescent="0.25">
      <c r="A627" s="68"/>
      <c r="B627" s="119"/>
      <c r="C627" s="74" t="s">
        <v>686</v>
      </c>
      <c r="D627" s="85" t="s">
        <v>129</v>
      </c>
      <c r="E627" s="75"/>
      <c r="F627" s="151"/>
      <c r="G627" s="318"/>
      <c r="H627" s="119"/>
      <c r="I627" s="138"/>
      <c r="J627" s="111"/>
      <c r="K627" s="111"/>
      <c r="L627" s="111"/>
      <c r="M627" s="111"/>
      <c r="N627" s="111"/>
      <c r="O627" s="111"/>
      <c r="P627" s="327"/>
      <c r="Q627" s="111"/>
      <c r="R627" s="111"/>
      <c r="S627" s="327"/>
      <c r="T627" s="111"/>
      <c r="U627" s="111"/>
      <c r="V627" s="369"/>
      <c r="W627" s="391"/>
      <c r="X627" s="17"/>
      <c r="Y627" s="328">
        <f t="shared" si="769"/>
        <v>0</v>
      </c>
      <c r="Z627" s="19">
        <f t="shared" si="768"/>
        <v>0</v>
      </c>
      <c r="AA627" s="201"/>
      <c r="AB627" s="201"/>
      <c r="AC627" s="84"/>
      <c r="AE627" s="111"/>
      <c r="AF627" s="111"/>
      <c r="AG627" s="111"/>
      <c r="AH627" s="545"/>
      <c r="AI627" s="131"/>
      <c r="AK627" s="111"/>
      <c r="AL627" s="111"/>
      <c r="AM627" s="111"/>
      <c r="AN627" s="545"/>
      <c r="AO627" s="131"/>
      <c r="AQ627" s="111"/>
      <c r="AR627" s="111"/>
      <c r="AS627" s="111"/>
      <c r="AT627" s="545"/>
      <c r="AU627" s="131"/>
      <c r="AW627" s="111"/>
      <c r="AX627" s="111"/>
      <c r="AY627" s="111"/>
      <c r="AZ627" s="545"/>
      <c r="BA627" s="131"/>
    </row>
    <row r="628" spans="1:53" ht="17.100000000000001" customHeight="1" x14ac:dyDescent="0.25">
      <c r="A628" s="40"/>
      <c r="B628" s="40"/>
      <c r="C628" s="77"/>
      <c r="D628" s="134"/>
      <c r="E628" s="134"/>
      <c r="F628" s="134"/>
      <c r="G628" s="134"/>
      <c r="H628" s="540"/>
      <c r="I628" s="229"/>
      <c r="J628" s="80"/>
      <c r="K628" s="80"/>
      <c r="L628" s="80"/>
      <c r="M628" s="80"/>
      <c r="N628" s="81"/>
      <c r="O628" s="81"/>
      <c r="P628" s="82">
        <f>SUM(P623:P627)</f>
        <v>1</v>
      </c>
      <c r="Q628" s="81"/>
      <c r="R628" s="81"/>
      <c r="S628" s="82">
        <f>SUM(S623:S627)</f>
        <v>0</v>
      </c>
      <c r="T628" s="81"/>
      <c r="U628" s="81"/>
      <c r="V628" s="360">
        <f>SUM(V623:V627)</f>
        <v>0</v>
      </c>
      <c r="W628" s="381"/>
      <c r="X628" s="82"/>
      <c r="Y628" s="82">
        <f>SUM(Y623:Y627)</f>
        <v>1</v>
      </c>
      <c r="Z628" s="205">
        <f t="shared" si="768"/>
        <v>1</v>
      </c>
      <c r="AA628" s="205"/>
      <c r="AB628" s="205"/>
      <c r="AC628" s="83"/>
      <c r="AE628" s="80"/>
      <c r="AF628" s="80"/>
      <c r="AG628" s="81"/>
      <c r="AH628" s="82"/>
      <c r="AI628" s="66"/>
      <c r="AK628" s="80"/>
      <c r="AL628" s="80"/>
      <c r="AM628" s="81"/>
      <c r="AN628" s="82"/>
      <c r="AO628" s="66"/>
      <c r="AQ628" s="80"/>
      <c r="AR628" s="80"/>
      <c r="AS628" s="81"/>
      <c r="AT628" s="82"/>
      <c r="AU628" s="66"/>
      <c r="AW628" s="80"/>
      <c r="AX628" s="80"/>
      <c r="AY628" s="81"/>
      <c r="AZ628" s="82"/>
      <c r="BA628" s="66"/>
    </row>
    <row r="629" spans="1:53" s="117" customFormat="1" ht="17.100000000000001" customHeight="1" x14ac:dyDescent="0.25">
      <c r="A629" s="68"/>
      <c r="B629" s="119"/>
      <c r="C629" s="540"/>
      <c r="D629" s="261"/>
      <c r="E629" s="261"/>
      <c r="F629" s="68"/>
      <c r="G629" s="68"/>
      <c r="H629" s="119"/>
      <c r="I629" s="138"/>
      <c r="J629" s="17"/>
      <c r="K629" s="17"/>
      <c r="L629" s="17"/>
      <c r="M629" s="17"/>
      <c r="N629" s="17"/>
      <c r="O629" s="17"/>
      <c r="P629" s="17" t="str">
        <f>IF(P628=1,"OK","NOK")</f>
        <v>OK</v>
      </c>
      <c r="Q629" s="17"/>
      <c r="R629" s="17"/>
      <c r="S629" s="17" t="str">
        <f>IF(S628=1,"OK","NOK")</f>
        <v>NOK</v>
      </c>
      <c r="T629" s="17"/>
      <c r="U629" s="17"/>
      <c r="V629" s="359" t="str">
        <f>IF(V628=1,"OK","NOK")</f>
        <v>NOK</v>
      </c>
      <c r="W629" s="382"/>
      <c r="X629" s="539"/>
      <c r="Y629" s="539"/>
      <c r="Z629" s="201"/>
      <c r="AA629" s="201"/>
      <c r="AB629" s="201"/>
      <c r="AC629" s="84"/>
      <c r="AE629" s="46"/>
      <c r="AF629" s="46"/>
      <c r="AG629" s="17"/>
      <c r="AH629" s="539"/>
      <c r="AI629" s="91"/>
      <c r="AK629" s="46"/>
      <c r="AL629" s="46"/>
      <c r="AM629" s="17"/>
      <c r="AN629" s="539"/>
      <c r="AO629" s="91"/>
      <c r="AQ629" s="46"/>
      <c r="AR629" s="46"/>
      <c r="AS629" s="17"/>
      <c r="AT629" s="539"/>
      <c r="AU629" s="91"/>
      <c r="AW629" s="46"/>
      <c r="AX629" s="46"/>
      <c r="AY629" s="17"/>
      <c r="AZ629" s="539"/>
      <c r="BA629" s="91"/>
    </row>
    <row r="630" spans="1:53" ht="17.100000000000001" customHeight="1" x14ac:dyDescent="0.25">
      <c r="A630" s="119"/>
      <c r="B630" s="48" t="s">
        <v>687</v>
      </c>
      <c r="C630" s="50" t="s">
        <v>688</v>
      </c>
      <c r="D630" s="50"/>
      <c r="E630" s="70"/>
      <c r="F630" s="70"/>
      <c r="G630" s="70"/>
      <c r="H630" s="119"/>
      <c r="J630" s="71"/>
      <c r="K630" s="71"/>
      <c r="L630" s="71"/>
      <c r="M630" s="71"/>
      <c r="N630" s="71"/>
      <c r="O630" s="71"/>
      <c r="P630" s="71"/>
      <c r="Q630" s="71"/>
      <c r="R630" s="71"/>
      <c r="S630" s="71"/>
      <c r="T630" s="71"/>
      <c r="U630" s="71"/>
      <c r="V630" s="355"/>
      <c r="W630" s="377"/>
      <c r="X630" s="71"/>
      <c r="Y630" s="72"/>
      <c r="Z630" s="73"/>
      <c r="AA630" s="73"/>
      <c r="AB630" s="73"/>
      <c r="AC630" s="73"/>
      <c r="AE630" s="71"/>
      <c r="AF630" s="71"/>
      <c r="AG630" s="71"/>
      <c r="AH630" s="72"/>
      <c r="AI630" s="73"/>
      <c r="AK630" s="71"/>
      <c r="AL630" s="71"/>
      <c r="AM630" s="71"/>
      <c r="AN630" s="72"/>
      <c r="AO630" s="73"/>
      <c r="AQ630" s="71"/>
      <c r="AR630" s="71"/>
      <c r="AS630" s="71"/>
      <c r="AT630" s="72"/>
      <c r="AU630" s="73"/>
      <c r="AW630" s="71"/>
      <c r="AX630" s="71"/>
      <c r="AY630" s="71"/>
      <c r="AZ630" s="72"/>
      <c r="BA630" s="73"/>
    </row>
    <row r="631" spans="1:53" ht="17.100000000000001" customHeight="1" x14ac:dyDescent="0.25">
      <c r="A631" s="119"/>
      <c r="B631" s="119"/>
      <c r="C631" s="48" t="s">
        <v>689</v>
      </c>
      <c r="D631" s="50" t="s">
        <v>690</v>
      </c>
      <c r="E631" s="70"/>
      <c r="F631" s="70"/>
      <c r="G631" s="70"/>
      <c r="H631" s="119"/>
      <c r="J631" s="71"/>
      <c r="K631" s="71"/>
      <c r="L631" s="71"/>
      <c r="M631" s="71"/>
      <c r="N631" s="71"/>
      <c r="O631" s="71"/>
      <c r="P631" s="71"/>
      <c r="Q631" s="71"/>
      <c r="R631" s="71"/>
      <c r="S631" s="71"/>
      <c r="T631" s="71"/>
      <c r="U631" s="71"/>
      <c r="V631" s="355"/>
      <c r="W631" s="377"/>
      <c r="X631" s="71"/>
      <c r="Y631" s="72"/>
      <c r="Z631" s="73"/>
      <c r="AA631" s="73"/>
      <c r="AB631" s="73"/>
      <c r="AC631" s="73"/>
      <c r="AE631" s="71"/>
      <c r="AF631" s="71"/>
      <c r="AG631" s="71"/>
      <c r="AH631" s="72"/>
      <c r="AI631" s="73"/>
      <c r="AK631" s="71"/>
      <c r="AL631" s="71"/>
      <c r="AM631" s="71"/>
      <c r="AN631" s="72"/>
      <c r="AO631" s="73"/>
      <c r="AQ631" s="71"/>
      <c r="AR631" s="71"/>
      <c r="AS631" s="71"/>
      <c r="AT631" s="72"/>
      <c r="AU631" s="73"/>
      <c r="AW631" s="71"/>
      <c r="AX631" s="71"/>
      <c r="AY631" s="71"/>
      <c r="AZ631" s="72"/>
      <c r="BA631" s="73"/>
    </row>
    <row r="632" spans="1:53" s="117" customFormat="1" ht="17.100000000000001" customHeight="1" x14ac:dyDescent="0.25">
      <c r="A632" s="119"/>
      <c r="B632" s="40"/>
      <c r="C632" s="40"/>
      <c r="D632" s="74" t="s">
        <v>691</v>
      </c>
      <c r="E632" s="75" t="s">
        <v>692</v>
      </c>
      <c r="F632" s="105"/>
      <c r="G632" s="151"/>
      <c r="H632" s="119"/>
      <c r="I632" s="138"/>
      <c r="J632" s="111"/>
      <c r="K632" s="111"/>
      <c r="L632" s="111"/>
      <c r="M632" s="111"/>
      <c r="N632" s="111"/>
      <c r="O632" s="111"/>
      <c r="P632" s="327">
        <v>1</v>
      </c>
      <c r="Q632" s="111"/>
      <c r="R632" s="111"/>
      <c r="S632" s="327"/>
      <c r="T632" s="111"/>
      <c r="U632" s="111"/>
      <c r="V632" s="369"/>
      <c r="W632" s="391"/>
      <c r="X632" s="17"/>
      <c r="Y632" s="328">
        <f t="shared" ref="Y632" si="770">P632+S632+V632</f>
        <v>1</v>
      </c>
      <c r="Z632" s="19">
        <f>IF(Y$636=0,0,Y632/Y$636)</f>
        <v>1</v>
      </c>
      <c r="AA632" s="201"/>
      <c r="AB632" s="201"/>
      <c r="AC632" s="84"/>
      <c r="AE632" s="111"/>
      <c r="AF632" s="111"/>
      <c r="AG632" s="111"/>
      <c r="AH632" s="545"/>
      <c r="AI632" s="131"/>
      <c r="AK632" s="111"/>
      <c r="AL632" s="111"/>
      <c r="AM632" s="111"/>
      <c r="AN632" s="545"/>
      <c r="AO632" s="131"/>
      <c r="AQ632" s="111"/>
      <c r="AR632" s="111"/>
      <c r="AS632" s="111"/>
      <c r="AT632" s="545"/>
      <c r="AU632" s="131"/>
      <c r="AW632" s="111"/>
      <c r="AX632" s="111"/>
      <c r="AY632" s="111"/>
      <c r="AZ632" s="545"/>
      <c r="BA632" s="131"/>
    </row>
    <row r="633" spans="1:53" s="117" customFormat="1" ht="17.100000000000001" customHeight="1" x14ac:dyDescent="0.25">
      <c r="A633" s="68"/>
      <c r="B633" s="40"/>
      <c r="C633" s="40"/>
      <c r="D633" s="74" t="s">
        <v>704</v>
      </c>
      <c r="E633" s="85" t="s">
        <v>694</v>
      </c>
      <c r="F633" s="75"/>
      <c r="G633" s="151"/>
      <c r="H633" s="119"/>
      <c r="I633" s="138"/>
      <c r="J633" s="111"/>
      <c r="K633" s="111"/>
      <c r="L633" s="111"/>
      <c r="M633" s="111"/>
      <c r="N633" s="111"/>
      <c r="O633" s="111"/>
      <c r="P633" s="329"/>
      <c r="Q633" s="111"/>
      <c r="R633" s="111"/>
      <c r="S633" s="329"/>
      <c r="T633" s="111"/>
      <c r="U633" s="111"/>
      <c r="V633" s="370"/>
      <c r="W633" s="382"/>
      <c r="X633" s="539"/>
      <c r="Y633" s="539"/>
      <c r="Z633" s="201"/>
      <c r="AA633" s="353">
        <f>MIN(P633,S633,V633)</f>
        <v>0</v>
      </c>
      <c r="AB633" s="353">
        <f>MAX(P633,S633,V633)</f>
        <v>0</v>
      </c>
      <c r="AC633" s="353">
        <f>IF(P633+S633+V633=0,0,AVERAGE(P633,S633,V633))</f>
        <v>0</v>
      </c>
      <c r="AE633" s="111"/>
      <c r="AF633" s="111"/>
      <c r="AG633" s="111"/>
      <c r="AH633" s="545"/>
      <c r="AI633" s="131"/>
      <c r="AK633" s="111"/>
      <c r="AL633" s="111"/>
      <c r="AM633" s="111"/>
      <c r="AN633" s="545"/>
      <c r="AO633" s="131"/>
      <c r="AQ633" s="111"/>
      <c r="AR633" s="111"/>
      <c r="AS633" s="111"/>
      <c r="AT633" s="545"/>
      <c r="AU633" s="131"/>
      <c r="AW633" s="111"/>
      <c r="AX633" s="111"/>
      <c r="AY633" s="111"/>
      <c r="AZ633" s="545"/>
      <c r="BA633" s="131"/>
    </row>
    <row r="634" spans="1:53" ht="17.100000000000001" customHeight="1" x14ac:dyDescent="0.25">
      <c r="A634" s="40"/>
      <c r="B634" s="40"/>
      <c r="C634" s="40"/>
      <c r="D634" s="77" t="s">
        <v>704</v>
      </c>
      <c r="E634" s="134" t="s">
        <v>697</v>
      </c>
      <c r="F634" s="134"/>
      <c r="G634" s="134"/>
      <c r="H634" s="540"/>
      <c r="I634" s="229"/>
      <c r="J634" s="80"/>
      <c r="K634" s="80"/>
      <c r="L634" s="80"/>
      <c r="M634" s="80"/>
      <c r="N634" s="81"/>
      <c r="O634" s="81"/>
      <c r="P634" s="81">
        <f>IF(P633&gt;0,1,0)</f>
        <v>0</v>
      </c>
      <c r="Q634" s="81"/>
      <c r="R634" s="81"/>
      <c r="S634" s="81">
        <f>IF(S633&gt;0,1,0)</f>
        <v>0</v>
      </c>
      <c r="T634" s="81"/>
      <c r="U634" s="81"/>
      <c r="V634" s="356">
        <f>IF(V633&gt;0,1,0)</f>
        <v>0</v>
      </c>
      <c r="W634" s="382"/>
      <c r="X634" s="539"/>
      <c r="Y634" s="328">
        <f t="shared" ref="Y634:Y635" si="771">P634+S634+V634</f>
        <v>0</v>
      </c>
      <c r="Z634" s="19">
        <f t="shared" ref="Z634:Z636" si="772">IF(Y$636=0,0,Y634/Y$636)</f>
        <v>0</v>
      </c>
      <c r="AA634" s="201"/>
      <c r="AB634" s="201"/>
      <c r="AC634" s="84"/>
      <c r="AE634" s="80"/>
      <c r="AF634" s="80"/>
      <c r="AG634" s="81"/>
      <c r="AH634" s="82"/>
      <c r="AI634" s="66"/>
      <c r="AK634" s="80"/>
      <c r="AL634" s="80"/>
      <c r="AM634" s="81"/>
      <c r="AN634" s="82"/>
      <c r="AO634" s="66"/>
      <c r="AQ634" s="80"/>
      <c r="AR634" s="80"/>
      <c r="AS634" s="81"/>
      <c r="AT634" s="82"/>
      <c r="AU634" s="66"/>
      <c r="AW634" s="80"/>
      <c r="AX634" s="80"/>
      <c r="AY634" s="81"/>
      <c r="AZ634" s="82"/>
      <c r="BA634" s="66"/>
    </row>
    <row r="635" spans="1:53" s="117" customFormat="1" ht="17.100000000000001" customHeight="1" x14ac:dyDescent="0.25">
      <c r="A635" s="68"/>
      <c r="B635" s="40"/>
      <c r="C635" s="40"/>
      <c r="D635" s="74" t="s">
        <v>695</v>
      </c>
      <c r="E635" s="85" t="s">
        <v>696</v>
      </c>
      <c r="F635" s="105"/>
      <c r="G635" s="151"/>
      <c r="H635" s="119"/>
      <c r="I635" s="138"/>
      <c r="J635" s="111"/>
      <c r="K635" s="111"/>
      <c r="L635" s="111"/>
      <c r="M635" s="111"/>
      <c r="N635" s="111"/>
      <c r="O635" s="111"/>
      <c r="P635" s="327"/>
      <c r="Q635" s="111"/>
      <c r="R635" s="111"/>
      <c r="S635" s="327"/>
      <c r="T635" s="111"/>
      <c r="U635" s="111"/>
      <c r="V635" s="369"/>
      <c r="W635" s="391"/>
      <c r="X635" s="17"/>
      <c r="Y635" s="328">
        <f t="shared" si="771"/>
        <v>0</v>
      </c>
      <c r="Z635" s="19">
        <f t="shared" si="772"/>
        <v>0</v>
      </c>
      <c r="AA635" s="201"/>
      <c r="AB635" s="201"/>
      <c r="AC635" s="84"/>
      <c r="AE635" s="111"/>
      <c r="AF635" s="111"/>
      <c r="AG635" s="111"/>
      <c r="AH635" s="545"/>
      <c r="AI635" s="131"/>
      <c r="AK635" s="111"/>
      <c r="AL635" s="111"/>
      <c r="AM635" s="111"/>
      <c r="AN635" s="545"/>
      <c r="AO635" s="131"/>
      <c r="AQ635" s="111"/>
      <c r="AR635" s="111"/>
      <c r="AS635" s="111"/>
      <c r="AT635" s="545"/>
      <c r="AU635" s="131"/>
      <c r="AW635" s="111"/>
      <c r="AX635" s="111"/>
      <c r="AY635" s="111"/>
      <c r="AZ635" s="545"/>
      <c r="BA635" s="131"/>
    </row>
    <row r="636" spans="1:53" ht="17.100000000000001" customHeight="1" x14ac:dyDescent="0.25">
      <c r="A636" s="40"/>
      <c r="B636" s="40"/>
      <c r="C636" s="77"/>
      <c r="D636" s="134"/>
      <c r="E636" s="134"/>
      <c r="F636" s="134"/>
      <c r="G636" s="134"/>
      <c r="H636" s="540"/>
      <c r="I636" s="229"/>
      <c r="J636" s="80"/>
      <c r="K636" s="80"/>
      <c r="L636" s="80"/>
      <c r="M636" s="80"/>
      <c r="N636" s="81"/>
      <c r="O636" s="81"/>
      <c r="P636" s="82">
        <f>P632+P634+P635</f>
        <v>1</v>
      </c>
      <c r="Q636" s="81"/>
      <c r="R636" s="81"/>
      <c r="S636" s="82">
        <f>S632+S634+S635</f>
        <v>0</v>
      </c>
      <c r="T636" s="81"/>
      <c r="U636" s="81"/>
      <c r="V636" s="360">
        <f>V632+V634+V635</f>
        <v>0</v>
      </c>
      <c r="W636" s="381"/>
      <c r="X636" s="82"/>
      <c r="Y636" s="82">
        <f>SUM(Y630:Y635)</f>
        <v>1</v>
      </c>
      <c r="Z636" s="205">
        <f t="shared" si="772"/>
        <v>1</v>
      </c>
      <c r="AA636" s="205"/>
      <c r="AB636" s="205"/>
      <c r="AC636" s="83"/>
      <c r="AE636" s="80"/>
      <c r="AF636" s="80"/>
      <c r="AG636" s="81"/>
      <c r="AH636" s="82"/>
      <c r="AI636" s="66"/>
      <c r="AK636" s="80"/>
      <c r="AL636" s="80"/>
      <c r="AM636" s="81"/>
      <c r="AN636" s="82"/>
      <c r="AO636" s="66"/>
      <c r="AQ636" s="80"/>
      <c r="AR636" s="80"/>
      <c r="AS636" s="81"/>
      <c r="AT636" s="82"/>
      <c r="AU636" s="66"/>
      <c r="AW636" s="80"/>
      <c r="AX636" s="80"/>
      <c r="AY636" s="81"/>
      <c r="AZ636" s="82"/>
      <c r="BA636" s="66"/>
    </row>
    <row r="637" spans="1:53" s="117" customFormat="1" ht="17.100000000000001" customHeight="1" x14ac:dyDescent="0.25">
      <c r="A637" s="68"/>
      <c r="B637" s="119"/>
      <c r="C637" s="540"/>
      <c r="D637" s="261"/>
      <c r="E637" s="261"/>
      <c r="F637" s="68"/>
      <c r="G637" s="68"/>
      <c r="H637" s="119"/>
      <c r="I637" s="138"/>
      <c r="J637" s="17"/>
      <c r="K637" s="17"/>
      <c r="L637" s="17"/>
      <c r="M637" s="17"/>
      <c r="N637" s="17"/>
      <c r="O637" s="17"/>
      <c r="P637" s="17" t="str">
        <f>IF(P636=1,"OK","NOK")</f>
        <v>OK</v>
      </c>
      <c r="Q637" s="17"/>
      <c r="R637" s="17"/>
      <c r="S637" s="17" t="str">
        <f>IF(S636=1,"OK","NOK")</f>
        <v>NOK</v>
      </c>
      <c r="T637" s="17"/>
      <c r="U637" s="17"/>
      <c r="V637" s="359" t="str">
        <f>IF(V636=1,"OK","NOK")</f>
        <v>NOK</v>
      </c>
      <c r="W637" s="382"/>
      <c r="X637" s="539"/>
      <c r="Y637" s="539"/>
      <c r="Z637" s="201"/>
      <c r="AA637" s="201"/>
      <c r="AB637" s="201"/>
      <c r="AC637" s="84"/>
      <c r="AE637" s="46"/>
      <c r="AF637" s="46"/>
      <c r="AG637" s="17"/>
      <c r="AH637" s="539"/>
      <c r="AI637" s="91"/>
      <c r="AK637" s="46"/>
      <c r="AL637" s="46"/>
      <c r="AM637" s="17"/>
      <c r="AN637" s="539"/>
      <c r="AO637" s="91"/>
      <c r="AQ637" s="46"/>
      <c r="AR637" s="46"/>
      <c r="AS637" s="17"/>
      <c r="AT637" s="539"/>
      <c r="AU637" s="91"/>
      <c r="AW637" s="46"/>
      <c r="AX637" s="46"/>
      <c r="AY637" s="17"/>
      <c r="AZ637" s="539"/>
      <c r="BA637" s="91"/>
    </row>
    <row r="638" spans="1:53" ht="17.100000000000001" customHeight="1" x14ac:dyDescent="0.25">
      <c r="A638" s="119"/>
      <c r="B638" s="119"/>
      <c r="C638" s="48" t="s">
        <v>698</v>
      </c>
      <c r="D638" s="551" t="s">
        <v>699</v>
      </c>
      <c r="E638" s="70"/>
      <c r="F638" s="70"/>
      <c r="G638" s="70"/>
      <c r="H638" s="119"/>
      <c r="J638" s="71"/>
      <c r="K638" s="71"/>
      <c r="L638" s="71"/>
      <c r="M638" s="71"/>
      <c r="N638" s="71"/>
      <c r="O638" s="71"/>
      <c r="P638" s="71"/>
      <c r="Q638" s="71"/>
      <c r="R638" s="71"/>
      <c r="S638" s="71"/>
      <c r="T638" s="71"/>
      <c r="U638" s="71"/>
      <c r="V638" s="355"/>
      <c r="W638" s="377"/>
      <c r="X638" s="71"/>
      <c r="Y638" s="72"/>
      <c r="Z638" s="73"/>
      <c r="AA638" s="73"/>
      <c r="AB638" s="73"/>
      <c r="AC638" s="73"/>
      <c r="AE638" s="71"/>
      <c r="AF638" s="71"/>
      <c r="AG638" s="71"/>
      <c r="AH638" s="72"/>
      <c r="AI638" s="73"/>
      <c r="AK638" s="71"/>
      <c r="AL638" s="71"/>
      <c r="AM638" s="71"/>
      <c r="AN638" s="72"/>
      <c r="AO638" s="73"/>
      <c r="AQ638" s="71"/>
      <c r="AR638" s="71"/>
      <c r="AS638" s="71"/>
      <c r="AT638" s="72"/>
      <c r="AU638" s="73"/>
      <c r="AW638" s="71"/>
      <c r="AX638" s="71"/>
      <c r="AY638" s="71"/>
      <c r="AZ638" s="72"/>
      <c r="BA638" s="73"/>
    </row>
    <row r="639" spans="1:53" s="117" customFormat="1" ht="17.100000000000001" customHeight="1" x14ac:dyDescent="0.25">
      <c r="A639" s="119"/>
      <c r="B639" s="40"/>
      <c r="C639" s="40"/>
      <c r="D639" s="74" t="s">
        <v>702</v>
      </c>
      <c r="E639" s="75" t="s">
        <v>692</v>
      </c>
      <c r="F639" s="105"/>
      <c r="G639" s="151"/>
      <c r="H639" s="119"/>
      <c r="I639" s="138"/>
      <c r="J639" s="111"/>
      <c r="K639" s="111"/>
      <c r="L639" s="111"/>
      <c r="M639" s="111"/>
      <c r="N639" s="111"/>
      <c r="O639" s="111"/>
      <c r="P639" s="327">
        <v>1</v>
      </c>
      <c r="Q639" s="111"/>
      <c r="R639" s="111"/>
      <c r="S639" s="327"/>
      <c r="T639" s="111"/>
      <c r="U639" s="111"/>
      <c r="V639" s="369"/>
      <c r="W639" s="391"/>
      <c r="X639" s="17"/>
      <c r="Y639" s="328">
        <f t="shared" ref="Y639" si="773">P639+S639+V639</f>
        <v>1</v>
      </c>
      <c r="Z639" s="19">
        <f>IF(Y$643=0,0,Y639/Y$643)</f>
        <v>1</v>
      </c>
      <c r="AA639" s="201"/>
      <c r="AB639" s="201"/>
      <c r="AC639" s="84"/>
      <c r="AE639" s="111"/>
      <c r="AF639" s="111"/>
      <c r="AG639" s="111"/>
      <c r="AH639" s="545"/>
      <c r="AI639" s="131"/>
      <c r="AK639" s="111"/>
      <c r="AL639" s="111"/>
      <c r="AM639" s="111"/>
      <c r="AN639" s="545"/>
      <c r="AO639" s="131"/>
      <c r="AQ639" s="111"/>
      <c r="AR639" s="111"/>
      <c r="AS639" s="111"/>
      <c r="AT639" s="545"/>
      <c r="AU639" s="131"/>
      <c r="AW639" s="111"/>
      <c r="AX639" s="111"/>
      <c r="AY639" s="111"/>
      <c r="AZ639" s="545"/>
      <c r="BA639" s="131"/>
    </row>
    <row r="640" spans="1:53" s="117" customFormat="1" ht="17.100000000000001" customHeight="1" x14ac:dyDescent="0.25">
      <c r="A640" s="68"/>
      <c r="B640" s="40"/>
      <c r="C640" s="40"/>
      <c r="D640" s="74" t="s">
        <v>693</v>
      </c>
      <c r="E640" s="85" t="s">
        <v>694</v>
      </c>
      <c r="F640" s="75"/>
      <c r="G640" s="151"/>
      <c r="H640" s="119"/>
      <c r="I640" s="138"/>
      <c r="J640" s="111"/>
      <c r="K640" s="111"/>
      <c r="L640" s="111"/>
      <c r="M640" s="111"/>
      <c r="N640" s="111"/>
      <c r="O640" s="111"/>
      <c r="P640" s="329"/>
      <c r="Q640" s="111"/>
      <c r="R640" s="111"/>
      <c r="S640" s="329"/>
      <c r="T640" s="111"/>
      <c r="U640" s="111"/>
      <c r="V640" s="370"/>
      <c r="W640" s="382"/>
      <c r="X640" s="539"/>
      <c r="Y640" s="539"/>
      <c r="Z640" s="19"/>
      <c r="AA640" s="353">
        <f>MIN(P640,S640,V640)</f>
        <v>0</v>
      </c>
      <c r="AB640" s="353">
        <f>MAX(P640,S640,V640)</f>
        <v>0</v>
      </c>
      <c r="AC640" s="353">
        <f>IF(P640+S640+V640=0,0,AVERAGE(P640,S640,V640))</f>
        <v>0</v>
      </c>
      <c r="AE640" s="111"/>
      <c r="AF640" s="111"/>
      <c r="AG640" s="111"/>
      <c r="AH640" s="545"/>
      <c r="AI640" s="131"/>
      <c r="AK640" s="111"/>
      <c r="AL640" s="111"/>
      <c r="AM640" s="111"/>
      <c r="AN640" s="545"/>
      <c r="AO640" s="131"/>
      <c r="AQ640" s="111"/>
      <c r="AR640" s="111"/>
      <c r="AS640" s="111"/>
      <c r="AT640" s="545"/>
      <c r="AU640" s="131"/>
      <c r="AW640" s="111"/>
      <c r="AX640" s="111"/>
      <c r="AY640" s="111"/>
      <c r="AZ640" s="545"/>
      <c r="BA640" s="131"/>
    </row>
    <row r="641" spans="1:53" ht="17.100000000000001" customHeight="1" x14ac:dyDescent="0.25">
      <c r="A641" s="40"/>
      <c r="B641" s="40"/>
      <c r="C641" s="40"/>
      <c r="D641" s="77" t="s">
        <v>693</v>
      </c>
      <c r="E641" s="134" t="s">
        <v>697</v>
      </c>
      <c r="F641" s="134"/>
      <c r="G641" s="134"/>
      <c r="H641" s="540"/>
      <c r="I641" s="229"/>
      <c r="J641" s="80"/>
      <c r="K641" s="80"/>
      <c r="L641" s="80"/>
      <c r="M641" s="80"/>
      <c r="N641" s="81"/>
      <c r="O641" s="81"/>
      <c r="P641" s="81">
        <f>IF(P640&gt;0,1,0)</f>
        <v>0</v>
      </c>
      <c r="Q641" s="81"/>
      <c r="R641" s="81"/>
      <c r="S641" s="81">
        <f>IF(S640&gt;0,1,0)</f>
        <v>0</v>
      </c>
      <c r="T641" s="81"/>
      <c r="U641" s="81"/>
      <c r="V641" s="356">
        <f>IF(V640&gt;0,1,0)</f>
        <v>0</v>
      </c>
      <c r="W641" s="382"/>
      <c r="X641" s="539"/>
      <c r="Y641" s="328">
        <f t="shared" ref="Y641:Y642" si="774">P641+S641+V641</f>
        <v>0</v>
      </c>
      <c r="Z641" s="19">
        <f t="shared" ref="Z641:Z643" si="775">IF(Y$643=0,0,Y641/Y$643)</f>
        <v>0</v>
      </c>
      <c r="AA641" s="201"/>
      <c r="AB641" s="201"/>
      <c r="AC641" s="84"/>
      <c r="AE641" s="80"/>
      <c r="AF641" s="80"/>
      <c r="AG641" s="81"/>
      <c r="AH641" s="82"/>
      <c r="AI641" s="66"/>
      <c r="AK641" s="80"/>
      <c r="AL641" s="80"/>
      <c r="AM641" s="81"/>
      <c r="AN641" s="82"/>
      <c r="AO641" s="66"/>
      <c r="AQ641" s="80"/>
      <c r="AR641" s="80"/>
      <c r="AS641" s="81"/>
      <c r="AT641" s="82"/>
      <c r="AU641" s="66"/>
      <c r="AW641" s="80"/>
      <c r="AX641" s="80"/>
      <c r="AY641" s="81"/>
      <c r="AZ641" s="82"/>
      <c r="BA641" s="66"/>
    </row>
    <row r="642" spans="1:53" s="117" customFormat="1" ht="17.100000000000001" customHeight="1" x14ac:dyDescent="0.25">
      <c r="A642" s="68"/>
      <c r="B642" s="40"/>
      <c r="C642" s="40"/>
      <c r="D642" s="74" t="s">
        <v>703</v>
      </c>
      <c r="E642" s="85" t="s">
        <v>696</v>
      </c>
      <c r="F642" s="105"/>
      <c r="G642" s="151"/>
      <c r="H642" s="119"/>
      <c r="I642" s="138"/>
      <c r="J642" s="111"/>
      <c r="K642" s="111"/>
      <c r="L642" s="111"/>
      <c r="M642" s="111"/>
      <c r="N642" s="111"/>
      <c r="O642" s="111"/>
      <c r="P642" s="327"/>
      <c r="Q642" s="111"/>
      <c r="R642" s="111"/>
      <c r="S642" s="327"/>
      <c r="T642" s="111"/>
      <c r="U642" s="111"/>
      <c r="V642" s="369"/>
      <c r="W642" s="391"/>
      <c r="X642" s="17"/>
      <c r="Y642" s="328">
        <f t="shared" si="774"/>
        <v>0</v>
      </c>
      <c r="Z642" s="19">
        <f t="shared" si="775"/>
        <v>0</v>
      </c>
      <c r="AA642" s="201"/>
      <c r="AB642" s="201"/>
      <c r="AC642" s="84"/>
      <c r="AE642" s="111"/>
      <c r="AF642" s="111"/>
      <c r="AG642" s="111"/>
      <c r="AH642" s="545"/>
      <c r="AI642" s="131"/>
      <c r="AK642" s="111"/>
      <c r="AL642" s="111"/>
      <c r="AM642" s="111"/>
      <c r="AN642" s="545"/>
      <c r="AO642" s="131"/>
      <c r="AQ642" s="111"/>
      <c r="AR642" s="111"/>
      <c r="AS642" s="111"/>
      <c r="AT642" s="545"/>
      <c r="AU642" s="131"/>
      <c r="AW642" s="111"/>
      <c r="AX642" s="111"/>
      <c r="AY642" s="111"/>
      <c r="AZ642" s="545"/>
      <c r="BA642" s="131"/>
    </row>
    <row r="643" spans="1:53" ht="17.100000000000001" customHeight="1" x14ac:dyDescent="0.25">
      <c r="A643" s="40"/>
      <c r="B643" s="40"/>
      <c r="C643" s="77"/>
      <c r="D643" s="134"/>
      <c r="E643" s="134"/>
      <c r="F643" s="134"/>
      <c r="G643" s="134"/>
      <c r="H643" s="540"/>
      <c r="I643" s="229"/>
      <c r="J643" s="80"/>
      <c r="K643" s="80"/>
      <c r="L643" s="80"/>
      <c r="M643" s="80"/>
      <c r="N643" s="81"/>
      <c r="O643" s="81"/>
      <c r="P643" s="82">
        <f>P639+P641+P642</f>
        <v>1</v>
      </c>
      <c r="Q643" s="81"/>
      <c r="R643" s="81"/>
      <c r="S643" s="82">
        <f>S639+S641+S642</f>
        <v>0</v>
      </c>
      <c r="T643" s="81"/>
      <c r="U643" s="81"/>
      <c r="V643" s="360">
        <f>V639+V641+V642</f>
        <v>0</v>
      </c>
      <c r="W643" s="381"/>
      <c r="X643" s="82"/>
      <c r="Y643" s="82">
        <f>SUM(Y637:Y642)</f>
        <v>1</v>
      </c>
      <c r="Z643" s="205">
        <f t="shared" si="775"/>
        <v>1</v>
      </c>
      <c r="AA643" s="205"/>
      <c r="AB643" s="205"/>
      <c r="AC643" s="83"/>
      <c r="AE643" s="80"/>
      <c r="AF643" s="80"/>
      <c r="AG643" s="81"/>
      <c r="AH643" s="82"/>
      <c r="AI643" s="66"/>
      <c r="AK643" s="80"/>
      <c r="AL643" s="80"/>
      <c r="AM643" s="81"/>
      <c r="AN643" s="82"/>
      <c r="AO643" s="66"/>
      <c r="AQ643" s="80"/>
      <c r="AR643" s="80"/>
      <c r="AS643" s="81"/>
      <c r="AT643" s="82"/>
      <c r="AU643" s="66"/>
      <c r="AW643" s="80"/>
      <c r="AX643" s="80"/>
      <c r="AY643" s="81"/>
      <c r="AZ643" s="82"/>
      <c r="BA643" s="66"/>
    </row>
    <row r="644" spans="1:53" s="117" customFormat="1" ht="17.100000000000001" customHeight="1" x14ac:dyDescent="0.25">
      <c r="A644" s="68"/>
      <c r="B644" s="119"/>
      <c r="C644" s="540"/>
      <c r="D644" s="261"/>
      <c r="E644" s="261"/>
      <c r="F644" s="68"/>
      <c r="G644" s="68"/>
      <c r="H644" s="119"/>
      <c r="I644" s="138"/>
      <c r="J644" s="17"/>
      <c r="K644" s="17"/>
      <c r="L644" s="17"/>
      <c r="M644" s="17"/>
      <c r="N644" s="17"/>
      <c r="O644" s="17"/>
      <c r="P644" s="17" t="str">
        <f>IF(P643=1,"OK","NOK")</f>
        <v>OK</v>
      </c>
      <c r="Q644" s="17"/>
      <c r="R644" s="17"/>
      <c r="S644" s="17" t="str">
        <f>IF(S643=1,"OK","NOK")</f>
        <v>NOK</v>
      </c>
      <c r="T644" s="17"/>
      <c r="U644" s="17"/>
      <c r="V644" s="359" t="str">
        <f>IF(V643=1,"OK","NOK")</f>
        <v>NOK</v>
      </c>
      <c r="W644" s="382"/>
      <c r="X644" s="539"/>
      <c r="Y644" s="539"/>
      <c r="Z644" s="201"/>
      <c r="AA644" s="201"/>
      <c r="AB644" s="201"/>
      <c r="AC644" s="84"/>
      <c r="AE644" s="46"/>
      <c r="AF644" s="46"/>
      <c r="AG644" s="17"/>
      <c r="AH644" s="539"/>
      <c r="AI644" s="91"/>
      <c r="AK644" s="46"/>
      <c r="AL644" s="46"/>
      <c r="AM644" s="17"/>
      <c r="AN644" s="539"/>
      <c r="AO644" s="91"/>
      <c r="AQ644" s="46"/>
      <c r="AR644" s="46"/>
      <c r="AS644" s="17"/>
      <c r="AT644" s="539"/>
      <c r="AU644" s="91"/>
      <c r="AW644" s="46"/>
      <c r="AX644" s="46"/>
      <c r="AY644" s="17"/>
      <c r="AZ644" s="539"/>
      <c r="BA644" s="91"/>
    </row>
    <row r="645" spans="1:53" ht="17.100000000000001" customHeight="1" x14ac:dyDescent="0.25">
      <c r="A645" s="119"/>
      <c r="B645" s="119"/>
      <c r="C645" s="48" t="s">
        <v>700</v>
      </c>
      <c r="D645" s="551" t="s">
        <v>701</v>
      </c>
      <c r="E645" s="43"/>
      <c r="F645" s="43"/>
      <c r="G645" s="43"/>
      <c r="H645" s="43"/>
      <c r="I645" s="43"/>
      <c r="J645" s="44"/>
      <c r="K645" s="71"/>
      <c r="L645" s="71"/>
      <c r="M645" s="71"/>
      <c r="N645" s="71"/>
      <c r="O645" s="71"/>
      <c r="P645" s="71"/>
      <c r="Q645" s="71"/>
      <c r="R645" s="71"/>
      <c r="S645" s="71"/>
      <c r="T645" s="71"/>
      <c r="U645" s="71"/>
      <c r="V645" s="355"/>
      <c r="W645" s="377"/>
      <c r="X645" s="71"/>
      <c r="Y645" s="72"/>
      <c r="Z645" s="73"/>
      <c r="AA645" s="73"/>
      <c r="AB645" s="73"/>
      <c r="AC645" s="73"/>
      <c r="AE645" s="71"/>
      <c r="AF645" s="71"/>
      <c r="AG645" s="71"/>
      <c r="AH645" s="72"/>
      <c r="AI645" s="73"/>
      <c r="AK645" s="71"/>
      <c r="AL645" s="71"/>
      <c r="AM645" s="71"/>
      <c r="AN645" s="72"/>
      <c r="AO645" s="73"/>
      <c r="AQ645" s="71"/>
      <c r="AR645" s="71"/>
      <c r="AS645" s="71"/>
      <c r="AT645" s="72"/>
      <c r="AU645" s="73"/>
      <c r="AW645" s="71"/>
      <c r="AX645" s="71"/>
      <c r="AY645" s="71"/>
      <c r="AZ645" s="72"/>
      <c r="BA645" s="73"/>
    </row>
    <row r="646" spans="1:53" s="117" customFormat="1" ht="17.100000000000001" customHeight="1" x14ac:dyDescent="0.25">
      <c r="A646" s="119"/>
      <c r="B646" s="40"/>
      <c r="C646" s="40"/>
      <c r="D646" s="74" t="s">
        <v>705</v>
      </c>
      <c r="E646" s="75" t="s">
        <v>692</v>
      </c>
      <c r="F646" s="105"/>
      <c r="G646" s="151"/>
      <c r="H646" s="119"/>
      <c r="I646" s="138"/>
      <c r="J646" s="111"/>
      <c r="K646" s="111"/>
      <c r="L646" s="111"/>
      <c r="M646" s="111"/>
      <c r="N646" s="111"/>
      <c r="O646" s="111"/>
      <c r="P646" s="327">
        <v>1</v>
      </c>
      <c r="Q646" s="111"/>
      <c r="R646" s="111"/>
      <c r="S646" s="327"/>
      <c r="T646" s="111"/>
      <c r="U646" s="111"/>
      <c r="V646" s="369"/>
      <c r="W646" s="391"/>
      <c r="X646" s="17"/>
      <c r="Y646" s="328">
        <f t="shared" ref="Y646" si="776">P646+S646+V646</f>
        <v>1</v>
      </c>
      <c r="Z646" s="19">
        <f>IF(Y$650=0,0,Y646/Y$650)</f>
        <v>1</v>
      </c>
      <c r="AA646" s="201"/>
      <c r="AB646" s="201"/>
      <c r="AC646" s="84"/>
      <c r="AE646" s="111"/>
      <c r="AF646" s="111"/>
      <c r="AG646" s="111"/>
      <c r="AH646" s="545"/>
      <c r="AI646" s="131"/>
      <c r="AK646" s="111"/>
      <c r="AL646" s="111"/>
      <c r="AM646" s="111"/>
      <c r="AN646" s="545"/>
      <c r="AO646" s="131"/>
      <c r="AQ646" s="111"/>
      <c r="AR646" s="111"/>
      <c r="AS646" s="111"/>
      <c r="AT646" s="545"/>
      <c r="AU646" s="131"/>
      <c r="AW646" s="111"/>
      <c r="AX646" s="111"/>
      <c r="AY646" s="111"/>
      <c r="AZ646" s="545"/>
      <c r="BA646" s="131"/>
    </row>
    <row r="647" spans="1:53" s="117" customFormat="1" ht="17.100000000000001" customHeight="1" x14ac:dyDescent="0.25">
      <c r="A647" s="68"/>
      <c r="B647" s="40"/>
      <c r="C647" s="40"/>
      <c r="D647" s="74" t="s">
        <v>706</v>
      </c>
      <c r="E647" s="85" t="s">
        <v>694</v>
      </c>
      <c r="F647" s="75"/>
      <c r="G647" s="151"/>
      <c r="H647" s="119"/>
      <c r="I647" s="138"/>
      <c r="J647" s="111"/>
      <c r="K647" s="111"/>
      <c r="L647" s="111"/>
      <c r="M647" s="111"/>
      <c r="N647" s="111"/>
      <c r="O647" s="111"/>
      <c r="P647" s="329"/>
      <c r="Q647" s="111"/>
      <c r="R647" s="111"/>
      <c r="S647" s="329"/>
      <c r="T647" s="111"/>
      <c r="U647" s="111"/>
      <c r="V647" s="370"/>
      <c r="W647" s="382"/>
      <c r="X647" s="539"/>
      <c r="Y647" s="539"/>
      <c r="Z647" s="201"/>
      <c r="AA647" s="353">
        <f>MIN(P647,S647,V647)</f>
        <v>0</v>
      </c>
      <c r="AB647" s="353">
        <f>MAX(P647,S647,V647)</f>
        <v>0</v>
      </c>
      <c r="AC647" s="353">
        <f>IF(P647+S647+V647=0,0,AVERAGE(P647,S647,V647))</f>
        <v>0</v>
      </c>
      <c r="AE647" s="111"/>
      <c r="AF647" s="111"/>
      <c r="AG647" s="111"/>
      <c r="AH647" s="545"/>
      <c r="AI647" s="131"/>
      <c r="AK647" s="111"/>
      <c r="AL647" s="111"/>
      <c r="AM647" s="111"/>
      <c r="AN647" s="545"/>
      <c r="AO647" s="131"/>
      <c r="AQ647" s="111"/>
      <c r="AR647" s="111"/>
      <c r="AS647" s="111"/>
      <c r="AT647" s="545"/>
      <c r="AU647" s="131"/>
      <c r="AW647" s="111"/>
      <c r="AX647" s="111"/>
      <c r="AY647" s="111"/>
      <c r="AZ647" s="545"/>
      <c r="BA647" s="131"/>
    </row>
    <row r="648" spans="1:53" ht="17.100000000000001" customHeight="1" x14ac:dyDescent="0.25">
      <c r="A648" s="40"/>
      <c r="B648" s="40"/>
      <c r="C648" s="40"/>
      <c r="D648" s="77" t="s">
        <v>706</v>
      </c>
      <c r="E648" s="134" t="s">
        <v>697</v>
      </c>
      <c r="F648" s="134"/>
      <c r="G648" s="134"/>
      <c r="H648" s="540"/>
      <c r="I648" s="229"/>
      <c r="J648" s="80"/>
      <c r="K648" s="80"/>
      <c r="L648" s="80"/>
      <c r="M648" s="80"/>
      <c r="N648" s="81"/>
      <c r="O648" s="81"/>
      <c r="P648" s="81">
        <f>IF(P647&gt;0,1,0)</f>
        <v>0</v>
      </c>
      <c r="Q648" s="81"/>
      <c r="R648" s="81"/>
      <c r="S648" s="81">
        <f>IF(S647&gt;0,1,0)</f>
        <v>0</v>
      </c>
      <c r="T648" s="81"/>
      <c r="U648" s="81"/>
      <c r="V648" s="356">
        <f>IF(V647&gt;0,1,0)</f>
        <v>0</v>
      </c>
      <c r="W648" s="382"/>
      <c r="X648" s="539"/>
      <c r="Y648" s="328">
        <f t="shared" ref="Y648:Y649" si="777">P648+S648+V648</f>
        <v>0</v>
      </c>
      <c r="Z648" s="19">
        <f t="shared" ref="Z648:Z650" si="778">IF(Y$650=0,0,Y648/Y$650)</f>
        <v>0</v>
      </c>
      <c r="AA648" s="201"/>
      <c r="AB648" s="201"/>
      <c r="AC648" s="84"/>
      <c r="AE648" s="80"/>
      <c r="AF648" s="80"/>
      <c r="AG648" s="81"/>
      <c r="AH648" s="82"/>
      <c r="AI648" s="66"/>
      <c r="AK648" s="80"/>
      <c r="AL648" s="80"/>
      <c r="AM648" s="81"/>
      <c r="AN648" s="82"/>
      <c r="AO648" s="66"/>
      <c r="AQ648" s="80"/>
      <c r="AR648" s="80"/>
      <c r="AS648" s="81"/>
      <c r="AT648" s="82"/>
      <c r="AU648" s="66"/>
      <c r="AW648" s="80"/>
      <c r="AX648" s="80"/>
      <c r="AY648" s="81"/>
      <c r="AZ648" s="82"/>
      <c r="BA648" s="66"/>
    </row>
    <row r="649" spans="1:53" s="117" customFormat="1" ht="17.100000000000001" customHeight="1" x14ac:dyDescent="0.25">
      <c r="A649" s="68"/>
      <c r="B649" s="40"/>
      <c r="C649" s="40"/>
      <c r="D649" s="74" t="s">
        <v>707</v>
      </c>
      <c r="E649" s="85" t="s">
        <v>696</v>
      </c>
      <c r="F649" s="105"/>
      <c r="G649" s="151"/>
      <c r="H649" s="119"/>
      <c r="I649" s="138"/>
      <c r="J649" s="111"/>
      <c r="K649" s="111"/>
      <c r="L649" s="111"/>
      <c r="M649" s="111"/>
      <c r="N649" s="111"/>
      <c r="O649" s="111"/>
      <c r="P649" s="327"/>
      <c r="Q649" s="111"/>
      <c r="R649" s="111"/>
      <c r="S649" s="327"/>
      <c r="T649" s="111"/>
      <c r="U649" s="111"/>
      <c r="V649" s="369"/>
      <c r="W649" s="391"/>
      <c r="X649" s="17"/>
      <c r="Y649" s="328">
        <f t="shared" si="777"/>
        <v>0</v>
      </c>
      <c r="Z649" s="19">
        <f t="shared" si="778"/>
        <v>0</v>
      </c>
      <c r="AA649" s="201"/>
      <c r="AB649" s="201"/>
      <c r="AC649" s="84"/>
      <c r="AE649" s="111"/>
      <c r="AF649" s="111"/>
      <c r="AG649" s="111"/>
      <c r="AH649" s="545"/>
      <c r="AI649" s="131"/>
      <c r="AK649" s="111"/>
      <c r="AL649" s="111"/>
      <c r="AM649" s="111"/>
      <c r="AN649" s="545"/>
      <c r="AO649" s="131"/>
      <c r="AQ649" s="111"/>
      <c r="AR649" s="111"/>
      <c r="AS649" s="111"/>
      <c r="AT649" s="545"/>
      <c r="AU649" s="131"/>
      <c r="AW649" s="111"/>
      <c r="AX649" s="111"/>
      <c r="AY649" s="111"/>
      <c r="AZ649" s="545"/>
      <c r="BA649" s="131"/>
    </row>
    <row r="650" spans="1:53" ht="17.100000000000001" customHeight="1" x14ac:dyDescent="0.25">
      <c r="A650" s="40"/>
      <c r="B650" s="40"/>
      <c r="C650" s="77"/>
      <c r="D650" s="134"/>
      <c r="E650" s="134"/>
      <c r="F650" s="134"/>
      <c r="G650" s="134"/>
      <c r="H650" s="540"/>
      <c r="I650" s="229"/>
      <c r="J650" s="80"/>
      <c r="K650" s="80"/>
      <c r="L650" s="80"/>
      <c r="M650" s="80"/>
      <c r="N650" s="81"/>
      <c r="O650" s="81"/>
      <c r="P650" s="82">
        <f>P646+P648+P649</f>
        <v>1</v>
      </c>
      <c r="Q650" s="81"/>
      <c r="R650" s="81"/>
      <c r="S650" s="82">
        <f>S646+S648+S649</f>
        <v>0</v>
      </c>
      <c r="T650" s="81"/>
      <c r="U650" s="81"/>
      <c r="V650" s="360">
        <f>V646+V648+V649</f>
        <v>0</v>
      </c>
      <c r="W650" s="381"/>
      <c r="X650" s="82"/>
      <c r="Y650" s="82">
        <f>SUM(Y644:Y649)</f>
        <v>1</v>
      </c>
      <c r="Z650" s="205">
        <f t="shared" si="778"/>
        <v>1</v>
      </c>
      <c r="AA650" s="205"/>
      <c r="AB650" s="205"/>
      <c r="AC650" s="83"/>
      <c r="AE650" s="80"/>
      <c r="AF650" s="80"/>
      <c r="AG650" s="81"/>
      <c r="AH650" s="82"/>
      <c r="AI650" s="66"/>
      <c r="AK650" s="80"/>
      <c r="AL650" s="80"/>
      <c r="AM650" s="81"/>
      <c r="AN650" s="82"/>
      <c r="AO650" s="66"/>
      <c r="AQ650" s="80"/>
      <c r="AR650" s="80"/>
      <c r="AS650" s="81"/>
      <c r="AT650" s="82"/>
      <c r="AU650" s="66"/>
      <c r="AW650" s="80"/>
      <c r="AX650" s="80"/>
      <c r="AY650" s="81"/>
      <c r="AZ650" s="82"/>
      <c r="BA650" s="66"/>
    </row>
    <row r="651" spans="1:53" s="117" customFormat="1" ht="17.100000000000001" customHeight="1" x14ac:dyDescent="0.25">
      <c r="A651" s="68"/>
      <c r="B651" s="119"/>
      <c r="C651" s="540"/>
      <c r="D651" s="261"/>
      <c r="E651" s="261"/>
      <c r="F651" s="68"/>
      <c r="G651" s="68"/>
      <c r="H651" s="119"/>
      <c r="I651" s="138"/>
      <c r="J651" s="17"/>
      <c r="K651" s="17"/>
      <c r="L651" s="17"/>
      <c r="M651" s="17"/>
      <c r="N651" s="17"/>
      <c r="O651" s="17"/>
      <c r="P651" s="17" t="str">
        <f>IF(P650=1,"OK","NOK")</f>
        <v>OK</v>
      </c>
      <c r="Q651" s="17"/>
      <c r="R651" s="17"/>
      <c r="S651" s="17" t="str">
        <f>IF(S650=1,"OK","NOK")</f>
        <v>NOK</v>
      </c>
      <c r="T651" s="17"/>
      <c r="U651" s="17"/>
      <c r="V651" s="359" t="str">
        <f>IF(V650=1,"OK","NOK")</f>
        <v>NOK</v>
      </c>
      <c r="W651" s="382"/>
      <c r="X651" s="539"/>
      <c r="Y651" s="539"/>
      <c r="Z651" s="201"/>
      <c r="AA651" s="201"/>
      <c r="AB651" s="201"/>
      <c r="AC651" s="84"/>
      <c r="AE651" s="46"/>
      <c r="AF651" s="46"/>
      <c r="AG651" s="17"/>
      <c r="AH651" s="539"/>
      <c r="AI651" s="91"/>
      <c r="AK651" s="46"/>
      <c r="AL651" s="46"/>
      <c r="AM651" s="17"/>
      <c r="AN651" s="539"/>
      <c r="AO651" s="91"/>
      <c r="AQ651" s="46"/>
      <c r="AR651" s="46"/>
      <c r="AS651" s="17"/>
      <c r="AT651" s="539"/>
      <c r="AU651" s="91"/>
      <c r="AW651" s="46"/>
      <c r="AX651" s="46"/>
      <c r="AY651" s="17"/>
      <c r="AZ651" s="539"/>
      <c r="BA651" s="91"/>
    </row>
    <row r="652" spans="1:53" ht="17.100000000000001" customHeight="1" x14ac:dyDescent="0.25">
      <c r="A652" s="119"/>
      <c r="B652" s="48" t="s">
        <v>708</v>
      </c>
      <c r="C652" s="50" t="s">
        <v>709</v>
      </c>
      <c r="D652" s="50"/>
      <c r="E652" s="70"/>
      <c r="F652" s="70"/>
      <c r="G652" s="70"/>
      <c r="H652" s="119"/>
      <c r="J652" s="71"/>
      <c r="K652" s="71"/>
      <c r="L652" s="71"/>
      <c r="M652" s="71"/>
      <c r="N652" s="71"/>
      <c r="O652" s="71"/>
      <c r="P652" s="71"/>
      <c r="Q652" s="71"/>
      <c r="R652" s="71"/>
      <c r="S652" s="71"/>
      <c r="T652" s="71"/>
      <c r="U652" s="71"/>
      <c r="V652" s="355"/>
      <c r="W652" s="377"/>
      <c r="X652" s="71"/>
      <c r="Y652" s="72"/>
      <c r="Z652" s="73"/>
      <c r="AA652" s="73"/>
      <c r="AB652" s="73"/>
      <c r="AC652" s="73"/>
      <c r="AE652" s="71"/>
      <c r="AF652" s="71"/>
      <c r="AG652" s="71"/>
      <c r="AH652" s="72"/>
      <c r="AI652" s="73"/>
      <c r="AK652" s="71"/>
      <c r="AL652" s="71"/>
      <c r="AM652" s="71"/>
      <c r="AN652" s="72"/>
      <c r="AO652" s="73"/>
      <c r="AQ652" s="71"/>
      <c r="AR652" s="71"/>
      <c r="AS652" s="71"/>
      <c r="AT652" s="72"/>
      <c r="AU652" s="73"/>
      <c r="AW652" s="71"/>
      <c r="AX652" s="71"/>
      <c r="AY652" s="71"/>
      <c r="AZ652" s="72"/>
      <c r="BA652" s="73"/>
    </row>
    <row r="653" spans="1:53" ht="17.100000000000001" customHeight="1" x14ac:dyDescent="0.25">
      <c r="A653" s="119"/>
      <c r="B653" s="119"/>
      <c r="C653" s="48" t="s">
        <v>710</v>
      </c>
      <c r="D653" s="50" t="s">
        <v>711</v>
      </c>
      <c r="E653" s="70"/>
      <c r="F653" s="70"/>
      <c r="G653" s="70"/>
      <c r="H653" s="119"/>
      <c r="J653" s="71"/>
      <c r="K653" s="71"/>
      <c r="L653" s="71"/>
      <c r="M653" s="71"/>
      <c r="N653" s="71"/>
      <c r="O653" s="71"/>
      <c r="P653" s="71"/>
      <c r="Q653" s="71"/>
      <c r="R653" s="71"/>
      <c r="S653" s="71"/>
      <c r="T653" s="71"/>
      <c r="U653" s="71"/>
      <c r="V653" s="355"/>
      <c r="W653" s="377"/>
      <c r="X653" s="71"/>
      <c r="Y653" s="72"/>
      <c r="Z653" s="73"/>
      <c r="AA653" s="73"/>
      <c r="AB653" s="73"/>
      <c r="AC653" s="73"/>
      <c r="AE653" s="71"/>
      <c r="AF653" s="71"/>
      <c r="AG653" s="71"/>
      <c r="AH653" s="72"/>
      <c r="AI653" s="73"/>
      <c r="AK653" s="71"/>
      <c r="AL653" s="71"/>
      <c r="AM653" s="71"/>
      <c r="AN653" s="72"/>
      <c r="AO653" s="73"/>
      <c r="AQ653" s="71"/>
      <c r="AR653" s="71"/>
      <c r="AS653" s="71"/>
      <c r="AT653" s="72"/>
      <c r="AU653" s="73"/>
      <c r="AW653" s="71"/>
      <c r="AX653" s="71"/>
      <c r="AY653" s="71"/>
      <c r="AZ653" s="72"/>
      <c r="BA653" s="73"/>
    </row>
    <row r="654" spans="1:53" s="117" customFormat="1" ht="17.100000000000001" customHeight="1" x14ac:dyDescent="0.25">
      <c r="A654" s="68"/>
      <c r="B654" s="119"/>
      <c r="C654" s="92"/>
      <c r="D654" s="180" t="s">
        <v>712</v>
      </c>
      <c r="E654" s="85" t="s">
        <v>692</v>
      </c>
      <c r="F654" s="75"/>
      <c r="G654" s="151"/>
      <c r="H654" s="119"/>
      <c r="I654" s="138"/>
      <c r="J654" s="111"/>
      <c r="K654" s="111"/>
      <c r="L654" s="111"/>
      <c r="M654" s="111"/>
      <c r="N654" s="111"/>
      <c r="O654" s="111"/>
      <c r="P654" s="327"/>
      <c r="Q654" s="111"/>
      <c r="R654" s="111"/>
      <c r="S654" s="327"/>
      <c r="T654" s="111"/>
      <c r="U654" s="111"/>
      <c r="V654" s="369"/>
      <c r="W654" s="382"/>
      <c r="X654" s="539"/>
      <c r="Y654" s="328">
        <f t="shared" ref="Y654:Y662" si="779">P654+S654+V654</f>
        <v>0</v>
      </c>
      <c r="Z654" s="19">
        <f>IF(Y$663=0,0,Y654/Y$663)</f>
        <v>0</v>
      </c>
      <c r="AA654" s="201"/>
      <c r="AB654" s="201"/>
      <c r="AC654" s="84"/>
      <c r="AE654" s="111"/>
      <c r="AF654" s="111"/>
      <c r="AG654" s="111"/>
      <c r="AH654" s="545"/>
      <c r="AI654" s="131"/>
      <c r="AK654" s="111"/>
      <c r="AL654" s="111"/>
      <c r="AM654" s="111"/>
      <c r="AN654" s="545"/>
      <c r="AO654" s="131"/>
      <c r="AQ654" s="111"/>
      <c r="AR654" s="111"/>
      <c r="AS654" s="111"/>
      <c r="AT654" s="545"/>
      <c r="AU654" s="131"/>
      <c r="AW654" s="111"/>
      <c r="AX654" s="111"/>
      <c r="AY654" s="111"/>
      <c r="AZ654" s="545"/>
      <c r="BA654" s="131"/>
    </row>
    <row r="655" spans="1:53" s="117" customFormat="1" ht="17.100000000000001" customHeight="1" x14ac:dyDescent="0.25">
      <c r="A655" s="68"/>
      <c r="B655" s="119"/>
      <c r="C655" s="92"/>
      <c r="D655" s="180" t="s">
        <v>713</v>
      </c>
      <c r="E655" s="85" t="s">
        <v>512</v>
      </c>
      <c r="F655" s="75"/>
      <c r="G655" s="151"/>
      <c r="H655" s="119"/>
      <c r="I655" s="138"/>
      <c r="J655" s="111"/>
      <c r="K655" s="111"/>
      <c r="L655" s="111"/>
      <c r="M655" s="111"/>
      <c r="N655" s="111"/>
      <c r="O655" s="111"/>
      <c r="P655" s="329"/>
      <c r="Q655" s="111"/>
      <c r="R655" s="111"/>
      <c r="S655" s="329"/>
      <c r="T655" s="111"/>
      <c r="U655" s="111"/>
      <c r="V655" s="370"/>
      <c r="W655" s="382"/>
      <c r="X655" s="539"/>
      <c r="Y655" s="328">
        <f t="shared" si="779"/>
        <v>0</v>
      </c>
      <c r="Z655" s="19">
        <f t="shared" ref="Z655:Z663" si="780">IF(Y$663=0,0,Y655/Y$663)</f>
        <v>0</v>
      </c>
      <c r="AA655" s="201"/>
      <c r="AB655" s="201"/>
      <c r="AC655" s="84"/>
      <c r="AE655" s="111"/>
      <c r="AF655" s="111"/>
      <c r="AG655" s="111"/>
      <c r="AH655" s="545"/>
      <c r="AI655" s="131"/>
      <c r="AK655" s="111"/>
      <c r="AL655" s="111"/>
      <c r="AM655" s="111"/>
      <c r="AN655" s="545"/>
      <c r="AO655" s="131"/>
      <c r="AQ655" s="111"/>
      <c r="AR655" s="111"/>
      <c r="AS655" s="111"/>
      <c r="AT655" s="545"/>
      <c r="AU655" s="131"/>
      <c r="AW655" s="111"/>
      <c r="AX655" s="111"/>
      <c r="AY655" s="111"/>
      <c r="AZ655" s="545"/>
      <c r="BA655" s="131"/>
    </row>
    <row r="656" spans="1:53" s="117" customFormat="1" ht="17.100000000000001" customHeight="1" x14ac:dyDescent="0.25">
      <c r="A656" s="68"/>
      <c r="B656" s="119"/>
      <c r="C656" s="92"/>
      <c r="D656" s="180" t="s">
        <v>714</v>
      </c>
      <c r="E656" s="85" t="s">
        <v>513</v>
      </c>
      <c r="F656" s="75"/>
      <c r="G656" s="151"/>
      <c r="H656" s="119"/>
      <c r="I656" s="138"/>
      <c r="J656" s="111"/>
      <c r="K656" s="111"/>
      <c r="L656" s="111"/>
      <c r="M656" s="111"/>
      <c r="N656" s="111"/>
      <c r="O656" s="111"/>
      <c r="P656" s="327"/>
      <c r="Q656" s="111"/>
      <c r="R656" s="111"/>
      <c r="S656" s="327"/>
      <c r="T656" s="111"/>
      <c r="U656" s="111"/>
      <c r="V656" s="369"/>
      <c r="W656" s="382"/>
      <c r="X656" s="539"/>
      <c r="Y656" s="328">
        <f t="shared" si="779"/>
        <v>0</v>
      </c>
      <c r="Z656" s="19">
        <f t="shared" si="780"/>
        <v>0</v>
      </c>
      <c r="AA656" s="201"/>
      <c r="AB656" s="201"/>
      <c r="AC656" s="84"/>
      <c r="AE656" s="111"/>
      <c r="AF656" s="111"/>
      <c r="AG656" s="111"/>
      <c r="AH656" s="545"/>
      <c r="AI656" s="131"/>
      <c r="AK656" s="111"/>
      <c r="AL656" s="111"/>
      <c r="AM656" s="111"/>
      <c r="AN656" s="545"/>
      <c r="AO656" s="131"/>
      <c r="AQ656" s="111"/>
      <c r="AR656" s="111"/>
      <c r="AS656" s="111"/>
      <c r="AT656" s="545"/>
      <c r="AU656" s="131"/>
      <c r="AW656" s="111"/>
      <c r="AX656" s="111"/>
      <c r="AY656" s="111"/>
      <c r="AZ656" s="545"/>
      <c r="BA656" s="131"/>
    </row>
    <row r="657" spans="1:53" s="117" customFormat="1" ht="17.100000000000001" customHeight="1" x14ac:dyDescent="0.25">
      <c r="A657" s="68"/>
      <c r="B657" s="119"/>
      <c r="C657" s="92"/>
      <c r="D657" s="180" t="s">
        <v>715</v>
      </c>
      <c r="E657" s="85" t="s">
        <v>514</v>
      </c>
      <c r="F657" s="75"/>
      <c r="G657" s="151"/>
      <c r="H657" s="119"/>
      <c r="I657" s="138"/>
      <c r="J657" s="111"/>
      <c r="K657" s="111"/>
      <c r="L657" s="111"/>
      <c r="M657" s="111"/>
      <c r="N657" s="111"/>
      <c r="O657" s="111"/>
      <c r="P657" s="329"/>
      <c r="Q657" s="111"/>
      <c r="R657" s="111"/>
      <c r="S657" s="329"/>
      <c r="T657" s="111"/>
      <c r="U657" s="111"/>
      <c r="V657" s="370"/>
      <c r="W657" s="382"/>
      <c r="X657" s="539"/>
      <c r="Y657" s="328">
        <f t="shared" si="779"/>
        <v>0</v>
      </c>
      <c r="Z657" s="19">
        <f t="shared" si="780"/>
        <v>0</v>
      </c>
      <c r="AA657" s="201"/>
      <c r="AB657" s="201"/>
      <c r="AC657" s="84"/>
      <c r="AE657" s="111"/>
      <c r="AF657" s="111"/>
      <c r="AG657" s="111"/>
      <c r="AH657" s="545"/>
      <c r="AI657" s="131"/>
      <c r="AK657" s="111"/>
      <c r="AL657" s="111"/>
      <c r="AM657" s="111"/>
      <c r="AN657" s="545"/>
      <c r="AO657" s="131"/>
      <c r="AQ657" s="111"/>
      <c r="AR657" s="111"/>
      <c r="AS657" s="111"/>
      <c r="AT657" s="545"/>
      <c r="AU657" s="131"/>
      <c r="AW657" s="111"/>
      <c r="AX657" s="111"/>
      <c r="AY657" s="111"/>
      <c r="AZ657" s="545"/>
      <c r="BA657" s="131"/>
    </row>
    <row r="658" spans="1:53" s="117" customFormat="1" ht="17.100000000000001" customHeight="1" x14ac:dyDescent="0.25">
      <c r="A658" s="68"/>
      <c r="B658" s="119"/>
      <c r="C658" s="92"/>
      <c r="D658" s="180" t="s">
        <v>716</v>
      </c>
      <c r="E658" s="85" t="s">
        <v>357</v>
      </c>
      <c r="F658" s="75"/>
      <c r="G658" s="151"/>
      <c r="H658" s="119"/>
      <c r="I658" s="138"/>
      <c r="J658" s="111"/>
      <c r="K658" s="111"/>
      <c r="L658" s="111"/>
      <c r="M658" s="111"/>
      <c r="N658" s="111"/>
      <c r="O658" s="111"/>
      <c r="P658" s="327"/>
      <c r="Q658" s="111"/>
      <c r="R658" s="111"/>
      <c r="S658" s="327"/>
      <c r="T658" s="111"/>
      <c r="U658" s="111"/>
      <c r="V658" s="369"/>
      <c r="W658" s="382"/>
      <c r="X658" s="539"/>
      <c r="Y658" s="328">
        <f t="shared" si="779"/>
        <v>0</v>
      </c>
      <c r="Z658" s="19">
        <f t="shared" si="780"/>
        <v>0</v>
      </c>
      <c r="AA658" s="201"/>
      <c r="AB658" s="201"/>
      <c r="AC658" s="84"/>
      <c r="AE658" s="111"/>
      <c r="AF658" s="111"/>
      <c r="AG658" s="111"/>
      <c r="AH658" s="545"/>
      <c r="AI658" s="131"/>
      <c r="AK658" s="111"/>
      <c r="AL658" s="111"/>
      <c r="AM658" s="111"/>
      <c r="AN658" s="545"/>
      <c r="AO658" s="131"/>
      <c r="AQ658" s="111"/>
      <c r="AR658" s="111"/>
      <c r="AS658" s="111"/>
      <c r="AT658" s="545"/>
      <c r="AU658" s="131"/>
      <c r="AW658" s="111"/>
      <c r="AX658" s="111"/>
      <c r="AY658" s="111"/>
      <c r="AZ658" s="545"/>
      <c r="BA658" s="131"/>
    </row>
    <row r="659" spans="1:53" s="117" customFormat="1" ht="17.100000000000001" customHeight="1" x14ac:dyDescent="0.25">
      <c r="A659" s="68"/>
      <c r="B659" s="119"/>
      <c r="C659" s="92"/>
      <c r="D659" s="180" t="s">
        <v>717</v>
      </c>
      <c r="E659" s="85" t="s">
        <v>515</v>
      </c>
      <c r="F659" s="75"/>
      <c r="G659" s="151"/>
      <c r="H659" s="119"/>
      <c r="I659" s="138"/>
      <c r="J659" s="111"/>
      <c r="K659" s="111"/>
      <c r="L659" s="111"/>
      <c r="M659" s="111"/>
      <c r="N659" s="111"/>
      <c r="O659" s="111"/>
      <c r="P659" s="329">
        <v>1</v>
      </c>
      <c r="Q659" s="111"/>
      <c r="R659" s="111"/>
      <c r="S659" s="329"/>
      <c r="T659" s="111"/>
      <c r="U659" s="111"/>
      <c r="V659" s="370"/>
      <c r="W659" s="382"/>
      <c r="X659" s="539"/>
      <c r="Y659" s="328">
        <f t="shared" si="779"/>
        <v>1</v>
      </c>
      <c r="Z659" s="19">
        <f t="shared" si="780"/>
        <v>1</v>
      </c>
      <c r="AA659" s="201"/>
      <c r="AB659" s="201"/>
      <c r="AC659" s="84"/>
      <c r="AE659" s="111"/>
      <c r="AF659" s="111"/>
      <c r="AG659" s="111"/>
      <c r="AH659" s="545"/>
      <c r="AI659" s="131"/>
      <c r="AK659" s="111"/>
      <c r="AL659" s="111"/>
      <c r="AM659" s="111"/>
      <c r="AN659" s="545"/>
      <c r="AO659" s="131"/>
      <c r="AQ659" s="111"/>
      <c r="AR659" s="111"/>
      <c r="AS659" s="111"/>
      <c r="AT659" s="545"/>
      <c r="AU659" s="131"/>
      <c r="AW659" s="111"/>
      <c r="AX659" s="111"/>
      <c r="AY659" s="111"/>
      <c r="AZ659" s="545"/>
      <c r="BA659" s="131"/>
    </row>
    <row r="660" spans="1:53" s="117" customFormat="1" ht="17.100000000000001" customHeight="1" x14ac:dyDescent="0.25">
      <c r="A660" s="68"/>
      <c r="B660" s="119"/>
      <c r="C660" s="92"/>
      <c r="D660" s="180" t="s">
        <v>718</v>
      </c>
      <c r="E660" s="85" t="s">
        <v>516</v>
      </c>
      <c r="F660" s="75"/>
      <c r="G660" s="151"/>
      <c r="H660" s="119"/>
      <c r="I660" s="138"/>
      <c r="J660" s="111"/>
      <c r="K660" s="111"/>
      <c r="L660" s="111"/>
      <c r="M660" s="111"/>
      <c r="N660" s="111"/>
      <c r="O660" s="111"/>
      <c r="P660" s="327"/>
      <c r="Q660" s="111"/>
      <c r="R660" s="111"/>
      <c r="S660" s="327"/>
      <c r="T660" s="111"/>
      <c r="U660" s="111"/>
      <c r="V660" s="369"/>
      <c r="W660" s="382"/>
      <c r="X660" s="539"/>
      <c r="Y660" s="328">
        <f t="shared" si="779"/>
        <v>0</v>
      </c>
      <c r="Z660" s="19">
        <f t="shared" si="780"/>
        <v>0</v>
      </c>
      <c r="AA660" s="201"/>
      <c r="AB660" s="201"/>
      <c r="AC660" s="84"/>
      <c r="AE660" s="111"/>
      <c r="AF660" s="111"/>
      <c r="AG660" s="111"/>
      <c r="AH660" s="545"/>
      <c r="AI660" s="131"/>
      <c r="AK660" s="111"/>
      <c r="AL660" s="111"/>
      <c r="AM660" s="111"/>
      <c r="AN660" s="545"/>
      <c r="AO660" s="131"/>
      <c r="AQ660" s="111"/>
      <c r="AR660" s="111"/>
      <c r="AS660" s="111"/>
      <c r="AT660" s="545"/>
      <c r="AU660" s="131"/>
      <c r="AW660" s="111"/>
      <c r="AX660" s="111"/>
      <c r="AY660" s="111"/>
      <c r="AZ660" s="545"/>
      <c r="BA660" s="131"/>
    </row>
    <row r="661" spans="1:53" s="117" customFormat="1" ht="17.100000000000001" customHeight="1" x14ac:dyDescent="0.25">
      <c r="A661" s="68"/>
      <c r="B661" s="119"/>
      <c r="C661" s="92"/>
      <c r="D661" s="180" t="s">
        <v>719</v>
      </c>
      <c r="E661" s="85" t="s">
        <v>517</v>
      </c>
      <c r="F661" s="75"/>
      <c r="G661" s="151"/>
      <c r="H661" s="119"/>
      <c r="I661" s="138"/>
      <c r="J661" s="111"/>
      <c r="K661" s="111"/>
      <c r="L661" s="111"/>
      <c r="M661" s="111"/>
      <c r="N661" s="111"/>
      <c r="O661" s="111"/>
      <c r="P661" s="329"/>
      <c r="Q661" s="111"/>
      <c r="R661" s="111"/>
      <c r="S661" s="329"/>
      <c r="T661" s="111"/>
      <c r="U661" s="111"/>
      <c r="V661" s="370"/>
      <c r="W661" s="382"/>
      <c r="X661" s="539"/>
      <c r="Y661" s="328">
        <f t="shared" si="779"/>
        <v>0</v>
      </c>
      <c r="Z661" s="19">
        <f t="shared" si="780"/>
        <v>0</v>
      </c>
      <c r="AA661" s="201"/>
      <c r="AB661" s="201"/>
      <c r="AC661" s="84"/>
      <c r="AE661" s="111"/>
      <c r="AF661" s="111"/>
      <c r="AG661" s="111"/>
      <c r="AH661" s="545"/>
      <c r="AI661" s="131"/>
      <c r="AK661" s="111"/>
      <c r="AL661" s="111"/>
      <c r="AM661" s="111"/>
      <c r="AN661" s="545"/>
      <c r="AO661" s="131"/>
      <c r="AQ661" s="111"/>
      <c r="AR661" s="111"/>
      <c r="AS661" s="111"/>
      <c r="AT661" s="545"/>
      <c r="AU661" s="131"/>
      <c r="AW661" s="111"/>
      <c r="AX661" s="111"/>
      <c r="AY661" s="111"/>
      <c r="AZ661" s="545"/>
      <c r="BA661" s="131"/>
    </row>
    <row r="662" spans="1:53" s="117" customFormat="1" ht="17.100000000000001" customHeight="1" x14ac:dyDescent="0.25">
      <c r="A662" s="68"/>
      <c r="B662" s="119"/>
      <c r="C662" s="92"/>
      <c r="D662" s="180" t="s">
        <v>720</v>
      </c>
      <c r="E662" s="85" t="s">
        <v>129</v>
      </c>
      <c r="F662" s="75"/>
      <c r="G662" s="151"/>
      <c r="H662" s="119"/>
      <c r="I662" s="138"/>
      <c r="J662" s="111"/>
      <c r="K662" s="111"/>
      <c r="L662" s="111"/>
      <c r="M662" s="111"/>
      <c r="N662" s="111"/>
      <c r="O662" s="111"/>
      <c r="P662" s="327"/>
      <c r="Q662" s="111"/>
      <c r="R662" s="111"/>
      <c r="S662" s="327"/>
      <c r="T662" s="111"/>
      <c r="U662" s="111"/>
      <c r="V662" s="369"/>
      <c r="W662" s="382"/>
      <c r="X662" s="539"/>
      <c r="Y662" s="328">
        <f t="shared" si="779"/>
        <v>0</v>
      </c>
      <c r="Z662" s="19">
        <f t="shared" si="780"/>
        <v>0</v>
      </c>
      <c r="AA662" s="201"/>
      <c r="AB662" s="201"/>
      <c r="AC662" s="84"/>
      <c r="AE662" s="111"/>
      <c r="AF662" s="111"/>
      <c r="AG662" s="111"/>
      <c r="AH662" s="545"/>
      <c r="AI662" s="131"/>
      <c r="AK662" s="111"/>
      <c r="AL662" s="111"/>
      <c r="AM662" s="111"/>
      <c r="AN662" s="545"/>
      <c r="AO662" s="131"/>
      <c r="AQ662" s="111"/>
      <c r="AR662" s="111"/>
      <c r="AS662" s="111"/>
      <c r="AT662" s="545"/>
      <c r="AU662" s="131"/>
      <c r="AW662" s="111"/>
      <c r="AX662" s="111"/>
      <c r="AY662" s="111"/>
      <c r="AZ662" s="545"/>
      <c r="BA662" s="131"/>
    </row>
    <row r="663" spans="1:53" ht="17.100000000000001" customHeight="1" x14ac:dyDescent="0.25">
      <c r="A663" s="40"/>
      <c r="B663" s="40"/>
      <c r="C663" s="77"/>
      <c r="D663" s="134"/>
      <c r="E663" s="134"/>
      <c r="F663" s="134"/>
      <c r="G663" s="134"/>
      <c r="H663" s="540"/>
      <c r="I663" s="229"/>
      <c r="J663" s="80"/>
      <c r="K663" s="80"/>
      <c r="L663" s="80"/>
      <c r="M663" s="80"/>
      <c r="N663" s="81"/>
      <c r="O663" s="81"/>
      <c r="P663" s="82">
        <f>SUM(P654:P662)</f>
        <v>1</v>
      </c>
      <c r="Q663" s="81"/>
      <c r="R663" s="81"/>
      <c r="S663" s="82">
        <f>SUM(S654:S662)</f>
        <v>0</v>
      </c>
      <c r="T663" s="81"/>
      <c r="U663" s="81"/>
      <c r="V663" s="360">
        <f>SUM(V654:V662)</f>
        <v>0</v>
      </c>
      <c r="W663" s="381"/>
      <c r="X663" s="82"/>
      <c r="Y663" s="82">
        <f>SUM(Y654:Y662)</f>
        <v>1</v>
      </c>
      <c r="Z663" s="205">
        <f t="shared" si="780"/>
        <v>1</v>
      </c>
      <c r="AA663" s="205"/>
      <c r="AB663" s="205"/>
      <c r="AC663" s="83"/>
      <c r="AE663" s="80"/>
      <c r="AF663" s="80"/>
      <c r="AG663" s="81"/>
      <c r="AH663" s="82"/>
      <c r="AI663" s="66"/>
      <c r="AK663" s="80"/>
      <c r="AL663" s="80"/>
      <c r="AM663" s="81"/>
      <c r="AN663" s="82"/>
      <c r="AO663" s="66"/>
      <c r="AQ663" s="80"/>
      <c r="AR663" s="80"/>
      <c r="AS663" s="81"/>
      <c r="AT663" s="82"/>
      <c r="AU663" s="66"/>
      <c r="AW663" s="80"/>
      <c r="AX663" s="80"/>
      <c r="AY663" s="81"/>
      <c r="AZ663" s="82"/>
      <c r="BA663" s="66"/>
    </row>
    <row r="664" spans="1:53" ht="17.100000000000001" customHeight="1" x14ac:dyDescent="0.25">
      <c r="A664" s="119"/>
      <c r="B664" s="119"/>
      <c r="C664" s="48" t="s">
        <v>721</v>
      </c>
      <c r="D664" s="50" t="s">
        <v>722</v>
      </c>
      <c r="E664" s="70"/>
      <c r="F664" s="70"/>
      <c r="G664" s="70"/>
      <c r="H664" s="119"/>
      <c r="J664" s="71"/>
      <c r="K664" s="71"/>
      <c r="L664" s="71"/>
      <c r="M664" s="71"/>
      <c r="N664" s="71"/>
      <c r="O664" s="71"/>
      <c r="P664" s="71"/>
      <c r="Q664" s="71"/>
      <c r="R664" s="71"/>
      <c r="S664" s="71"/>
      <c r="T664" s="71"/>
      <c r="U664" s="71"/>
      <c r="V664" s="355"/>
      <c r="W664" s="377"/>
      <c r="X664" s="71"/>
      <c r="Y664" s="72"/>
      <c r="Z664" s="73"/>
      <c r="AA664" s="73"/>
      <c r="AB664" s="73"/>
      <c r="AC664" s="73"/>
      <c r="AE664" s="71"/>
      <c r="AF664" s="71"/>
      <c r="AG664" s="71"/>
      <c r="AH664" s="72"/>
      <c r="AI664" s="73"/>
      <c r="AK664" s="71"/>
      <c r="AL664" s="71"/>
      <c r="AM664" s="71"/>
      <c r="AN664" s="72"/>
      <c r="AO664" s="73"/>
      <c r="AQ664" s="71"/>
      <c r="AR664" s="71"/>
      <c r="AS664" s="71"/>
      <c r="AT664" s="72"/>
      <c r="AU664" s="73"/>
      <c r="AW664" s="71"/>
      <c r="AX664" s="71"/>
      <c r="AY664" s="71"/>
      <c r="AZ664" s="72"/>
      <c r="BA664" s="73"/>
    </row>
    <row r="665" spans="1:53" s="117" customFormat="1" ht="17.100000000000001" customHeight="1" x14ac:dyDescent="0.25">
      <c r="A665" s="68"/>
      <c r="B665" s="119"/>
      <c r="C665" s="92"/>
      <c r="D665" s="56" t="s">
        <v>723</v>
      </c>
      <c r="E665" s="85" t="s">
        <v>692</v>
      </c>
      <c r="F665" s="75"/>
      <c r="G665" s="151"/>
      <c r="H665" s="119"/>
      <c r="I665" s="138"/>
      <c r="J665" s="111"/>
      <c r="K665" s="111"/>
      <c r="L665" s="111"/>
      <c r="M665" s="111"/>
      <c r="N665" s="111"/>
      <c r="O665" s="111"/>
      <c r="P665" s="327"/>
      <c r="Q665" s="111"/>
      <c r="R665" s="111"/>
      <c r="S665" s="327"/>
      <c r="T665" s="111"/>
      <c r="U665" s="111"/>
      <c r="V665" s="369"/>
      <c r="W665" s="382"/>
      <c r="X665" s="539"/>
      <c r="Y665" s="328">
        <f t="shared" ref="Y665:Y669" si="781">P665+S665+V665</f>
        <v>0</v>
      </c>
      <c r="Z665" s="19">
        <f>IF(Y$670=0,0,Y665/Y$670)</f>
        <v>0</v>
      </c>
      <c r="AA665" s="201"/>
      <c r="AB665" s="201"/>
      <c r="AC665" s="84"/>
      <c r="AE665" s="111"/>
      <c r="AF665" s="111"/>
      <c r="AG665" s="111"/>
      <c r="AH665" s="545"/>
      <c r="AI665" s="131"/>
      <c r="AK665" s="111"/>
      <c r="AL665" s="111"/>
      <c r="AM665" s="111"/>
      <c r="AN665" s="545"/>
      <c r="AO665" s="131"/>
      <c r="AQ665" s="111"/>
      <c r="AR665" s="111"/>
      <c r="AS665" s="111"/>
      <c r="AT665" s="545"/>
      <c r="AU665" s="131"/>
      <c r="AW665" s="111"/>
      <c r="AX665" s="111"/>
      <c r="AY665" s="111"/>
      <c r="AZ665" s="545"/>
      <c r="BA665" s="131"/>
    </row>
    <row r="666" spans="1:53" s="117" customFormat="1" ht="17.100000000000001" customHeight="1" x14ac:dyDescent="0.25">
      <c r="A666" s="68"/>
      <c r="B666" s="119"/>
      <c r="C666" s="92"/>
      <c r="D666" s="56" t="s">
        <v>724</v>
      </c>
      <c r="E666" s="85" t="s">
        <v>725</v>
      </c>
      <c r="F666" s="75"/>
      <c r="G666" s="151"/>
      <c r="H666" s="119"/>
      <c r="I666" s="138"/>
      <c r="J666" s="111"/>
      <c r="K666" s="111"/>
      <c r="L666" s="111"/>
      <c r="M666" s="111"/>
      <c r="N666" s="111"/>
      <c r="O666" s="111"/>
      <c r="P666" s="329"/>
      <c r="Q666" s="111"/>
      <c r="R666" s="111"/>
      <c r="S666" s="329"/>
      <c r="T666" s="111"/>
      <c r="U666" s="111"/>
      <c r="V666" s="370"/>
      <c r="W666" s="382"/>
      <c r="X666" s="539"/>
      <c r="Y666" s="328">
        <f t="shared" si="781"/>
        <v>0</v>
      </c>
      <c r="Z666" s="19">
        <f t="shared" ref="Z666:Z670" si="782">IF(Y$670=0,0,Y666/Y$670)</f>
        <v>0</v>
      </c>
      <c r="AA666" s="201"/>
      <c r="AB666" s="201"/>
      <c r="AC666" s="84"/>
      <c r="AE666" s="111"/>
      <c r="AF666" s="111"/>
      <c r="AG666" s="111"/>
      <c r="AH666" s="545"/>
      <c r="AI666" s="131"/>
      <c r="AK666" s="111"/>
      <c r="AL666" s="111"/>
      <c r="AM666" s="111"/>
      <c r="AN666" s="545"/>
      <c r="AO666" s="131"/>
      <c r="AQ666" s="111"/>
      <c r="AR666" s="111"/>
      <c r="AS666" s="111"/>
      <c r="AT666" s="545"/>
      <c r="AU666" s="131"/>
      <c r="AW666" s="111"/>
      <c r="AX666" s="111"/>
      <c r="AY666" s="111"/>
      <c r="AZ666" s="545"/>
      <c r="BA666" s="131"/>
    </row>
    <row r="667" spans="1:53" s="117" customFormat="1" ht="17.100000000000001" customHeight="1" x14ac:dyDescent="0.25">
      <c r="A667" s="68"/>
      <c r="B667" s="119"/>
      <c r="C667" s="92"/>
      <c r="D667" s="56" t="s">
        <v>726</v>
      </c>
      <c r="E667" s="85" t="s">
        <v>727</v>
      </c>
      <c r="F667" s="75"/>
      <c r="G667" s="151"/>
      <c r="H667" s="119"/>
      <c r="I667" s="138"/>
      <c r="J667" s="111"/>
      <c r="K667" s="111"/>
      <c r="L667" s="111"/>
      <c r="M667" s="111"/>
      <c r="N667" s="111"/>
      <c r="O667" s="111"/>
      <c r="P667" s="327"/>
      <c r="Q667" s="111"/>
      <c r="R667" s="111"/>
      <c r="S667" s="327"/>
      <c r="T667" s="111"/>
      <c r="U667" s="111"/>
      <c r="V667" s="369"/>
      <c r="W667" s="382"/>
      <c r="X667" s="539"/>
      <c r="Y667" s="328">
        <f t="shared" si="781"/>
        <v>0</v>
      </c>
      <c r="Z667" s="19">
        <f t="shared" si="782"/>
        <v>0</v>
      </c>
      <c r="AA667" s="201"/>
      <c r="AB667" s="201"/>
      <c r="AC667" s="84"/>
      <c r="AE667" s="111"/>
      <c r="AF667" s="111"/>
      <c r="AG667" s="111"/>
      <c r="AH667" s="545"/>
      <c r="AI667" s="131"/>
      <c r="AK667" s="111"/>
      <c r="AL667" s="111"/>
      <c r="AM667" s="111"/>
      <c r="AN667" s="545"/>
      <c r="AO667" s="131"/>
      <c r="AQ667" s="111"/>
      <c r="AR667" s="111"/>
      <c r="AS667" s="111"/>
      <c r="AT667" s="545"/>
      <c r="AU667" s="131"/>
      <c r="AW667" s="111"/>
      <c r="AX667" s="111"/>
      <c r="AY667" s="111"/>
      <c r="AZ667" s="545"/>
      <c r="BA667" s="131"/>
    </row>
    <row r="668" spans="1:53" s="117" customFormat="1" ht="17.100000000000001" customHeight="1" x14ac:dyDescent="0.25">
      <c r="A668" s="68"/>
      <c r="B668" s="119"/>
      <c r="C668" s="92"/>
      <c r="D668" s="56" t="s">
        <v>728</v>
      </c>
      <c r="E668" s="85" t="s">
        <v>729</v>
      </c>
      <c r="F668" s="75"/>
      <c r="G668" s="151"/>
      <c r="H668" s="119"/>
      <c r="I668" s="138"/>
      <c r="J668" s="111"/>
      <c r="K668" s="111"/>
      <c r="L668" s="111"/>
      <c r="M668" s="111"/>
      <c r="N668" s="111"/>
      <c r="O668" s="111"/>
      <c r="P668" s="329"/>
      <c r="Q668" s="111"/>
      <c r="R668" s="111"/>
      <c r="S668" s="329"/>
      <c r="T668" s="111"/>
      <c r="U668" s="111"/>
      <c r="V668" s="370"/>
      <c r="W668" s="382"/>
      <c r="X668" s="539"/>
      <c r="Y668" s="328">
        <f t="shared" si="781"/>
        <v>0</v>
      </c>
      <c r="Z668" s="19">
        <f t="shared" si="782"/>
        <v>0</v>
      </c>
      <c r="AA668" s="201"/>
      <c r="AB668" s="201"/>
      <c r="AC668" s="84"/>
      <c r="AE668" s="111"/>
      <c r="AF668" s="111"/>
      <c r="AG668" s="111"/>
      <c r="AH668" s="545"/>
      <c r="AI668" s="131"/>
      <c r="AK668" s="111"/>
      <c r="AL668" s="111"/>
      <c r="AM668" s="111"/>
      <c r="AN668" s="545"/>
      <c r="AO668" s="131"/>
      <c r="AQ668" s="111"/>
      <c r="AR668" s="111"/>
      <c r="AS668" s="111"/>
      <c r="AT668" s="545"/>
      <c r="AU668" s="131"/>
      <c r="AW668" s="111"/>
      <c r="AX668" s="111"/>
      <c r="AY668" s="111"/>
      <c r="AZ668" s="545"/>
      <c r="BA668" s="131"/>
    </row>
    <row r="669" spans="1:53" s="117" customFormat="1" ht="17.100000000000001" customHeight="1" x14ac:dyDescent="0.25">
      <c r="A669" s="68"/>
      <c r="B669" s="119"/>
      <c r="C669" s="92"/>
      <c r="D669" s="56" t="s">
        <v>730</v>
      </c>
      <c r="E669" s="85" t="s">
        <v>129</v>
      </c>
      <c r="F669" s="75"/>
      <c r="G669" s="151"/>
      <c r="H669" s="119"/>
      <c r="I669" s="138"/>
      <c r="J669" s="111"/>
      <c r="K669" s="111"/>
      <c r="L669" s="111"/>
      <c r="M669" s="111"/>
      <c r="N669" s="111"/>
      <c r="O669" s="111"/>
      <c r="P669" s="327">
        <v>1</v>
      </c>
      <c r="Q669" s="111"/>
      <c r="R669" s="111"/>
      <c r="S669" s="327"/>
      <c r="T669" s="111"/>
      <c r="U669" s="111"/>
      <c r="V669" s="369"/>
      <c r="W669" s="382"/>
      <c r="X669" s="539"/>
      <c r="Y669" s="328">
        <f t="shared" si="781"/>
        <v>1</v>
      </c>
      <c r="Z669" s="19">
        <f t="shared" si="782"/>
        <v>1</v>
      </c>
      <c r="AA669" s="201"/>
      <c r="AB669" s="201"/>
      <c r="AC669" s="84"/>
      <c r="AE669" s="111"/>
      <c r="AF669" s="111"/>
      <c r="AG669" s="111"/>
      <c r="AH669" s="545"/>
      <c r="AI669" s="131"/>
      <c r="AK669" s="111"/>
      <c r="AL669" s="111"/>
      <c r="AM669" s="111"/>
      <c r="AN669" s="545"/>
      <c r="AO669" s="131"/>
      <c r="AQ669" s="111"/>
      <c r="AR669" s="111"/>
      <c r="AS669" s="111"/>
      <c r="AT669" s="545"/>
      <c r="AU669" s="131"/>
      <c r="AW669" s="111"/>
      <c r="AX669" s="111"/>
      <c r="AY669" s="111"/>
      <c r="AZ669" s="545"/>
      <c r="BA669" s="131"/>
    </row>
    <row r="670" spans="1:53" ht="17.100000000000001" customHeight="1" x14ac:dyDescent="0.25">
      <c r="A670" s="40"/>
      <c r="B670" s="40"/>
      <c r="C670" s="77"/>
      <c r="D670" s="134"/>
      <c r="E670" s="134"/>
      <c r="F670" s="134"/>
      <c r="G670" s="134"/>
      <c r="H670" s="540"/>
      <c r="I670" s="229"/>
      <c r="J670" s="80"/>
      <c r="K670" s="80"/>
      <c r="L670" s="80"/>
      <c r="M670" s="80"/>
      <c r="N670" s="81"/>
      <c r="O670" s="81"/>
      <c r="P670" s="82">
        <f>SUM(P665:P669)</f>
        <v>1</v>
      </c>
      <c r="Q670" s="81"/>
      <c r="R670" s="81"/>
      <c r="S670" s="82">
        <f>SUM(S665:S669)</f>
        <v>0</v>
      </c>
      <c r="T670" s="81"/>
      <c r="U670" s="81"/>
      <c r="V670" s="360">
        <f>SUM(V665:V669)</f>
        <v>0</v>
      </c>
      <c r="W670" s="381"/>
      <c r="X670" s="82"/>
      <c r="Y670" s="82">
        <f>SUM(Y665:Y669)</f>
        <v>1</v>
      </c>
      <c r="Z670" s="205">
        <f t="shared" si="782"/>
        <v>1</v>
      </c>
      <c r="AA670" s="205"/>
      <c r="AB670" s="205"/>
      <c r="AC670" s="83"/>
      <c r="AE670" s="80"/>
      <c r="AF670" s="80"/>
      <c r="AG670" s="81"/>
      <c r="AH670" s="82"/>
      <c r="AI670" s="66"/>
      <c r="AK670" s="80"/>
      <c r="AL670" s="80"/>
      <c r="AM670" s="81"/>
      <c r="AN670" s="82"/>
      <c r="AO670" s="66"/>
      <c r="AQ670" s="80"/>
      <c r="AR670" s="80"/>
      <c r="AS670" s="81"/>
      <c r="AT670" s="82"/>
      <c r="AU670" s="66"/>
      <c r="AW670" s="80"/>
      <c r="AX670" s="80"/>
      <c r="AY670" s="81"/>
      <c r="AZ670" s="82"/>
      <c r="BA670" s="66"/>
    </row>
    <row r="671" spans="1:53" s="117" customFormat="1" ht="17.100000000000001" customHeight="1" x14ac:dyDescent="0.25">
      <c r="A671" s="68"/>
      <c r="B671" s="119"/>
      <c r="C671" s="92"/>
      <c r="D671" s="261"/>
      <c r="E671" s="261"/>
      <c r="F671" s="68"/>
      <c r="G671" s="68"/>
      <c r="H671" s="119"/>
      <c r="I671" s="138"/>
      <c r="J671" s="17"/>
      <c r="K671" s="17"/>
      <c r="L671" s="17"/>
      <c r="M671" s="17"/>
      <c r="N671" s="17"/>
      <c r="O671" s="17"/>
      <c r="P671" s="17"/>
      <c r="Q671" s="17"/>
      <c r="R671" s="17"/>
      <c r="S671" s="17"/>
      <c r="T671" s="17"/>
      <c r="U671" s="17"/>
      <c r="V671" s="359"/>
      <c r="W671" s="382"/>
      <c r="X671" s="539"/>
      <c r="Y671" s="539"/>
      <c r="Z671" s="201"/>
      <c r="AA671" s="201"/>
      <c r="AB671" s="201"/>
      <c r="AC671" s="84"/>
      <c r="AE671" s="46"/>
      <c r="AF671" s="46"/>
      <c r="AG671" s="17"/>
      <c r="AH671" s="539"/>
      <c r="AI671" s="91"/>
      <c r="AK671" s="46"/>
      <c r="AL671" s="46"/>
      <c r="AM671" s="17"/>
      <c r="AN671" s="539"/>
      <c r="AO671" s="91"/>
      <c r="AQ671" s="46"/>
      <c r="AR671" s="46"/>
      <c r="AS671" s="17"/>
      <c r="AT671" s="539"/>
      <c r="AU671" s="91"/>
      <c r="AW671" s="46"/>
      <c r="AX671" s="46"/>
      <c r="AY671" s="17"/>
      <c r="AZ671" s="539"/>
      <c r="BA671" s="91"/>
    </row>
    <row r="672" spans="1:53" ht="17.100000000000001" customHeight="1" x14ac:dyDescent="0.25">
      <c r="A672" s="68"/>
      <c r="B672" s="41" t="s">
        <v>1445</v>
      </c>
      <c r="C672" s="69" t="s">
        <v>12</v>
      </c>
      <c r="D672" s="50"/>
      <c r="E672" s="70"/>
      <c r="F672" s="70"/>
      <c r="G672" s="70"/>
      <c r="H672" s="119"/>
      <c r="J672" s="71"/>
      <c r="K672" s="71"/>
      <c r="L672" s="71"/>
      <c r="M672" s="71"/>
      <c r="N672" s="71"/>
      <c r="O672" s="71"/>
      <c r="P672" s="71"/>
      <c r="Q672" s="71"/>
      <c r="R672" s="71"/>
      <c r="S672" s="71"/>
      <c r="T672" s="71"/>
      <c r="U672" s="71"/>
      <c r="V672" s="355"/>
      <c r="W672" s="377"/>
      <c r="X672" s="71"/>
      <c r="Y672" s="72"/>
      <c r="Z672" s="73"/>
      <c r="AA672" s="73"/>
      <c r="AB672" s="73"/>
      <c r="AC672" s="73"/>
      <c r="AE672" s="71"/>
      <c r="AF672" s="71"/>
      <c r="AG672" s="71"/>
      <c r="AH672" s="72"/>
      <c r="AI672" s="73"/>
      <c r="AK672" s="71"/>
      <c r="AL672" s="71"/>
      <c r="AM672" s="71"/>
      <c r="AN672" s="72"/>
      <c r="AO672" s="73"/>
      <c r="AQ672" s="71"/>
      <c r="AR672" s="71"/>
      <c r="AS672" s="71"/>
      <c r="AT672" s="72"/>
      <c r="AU672" s="73"/>
      <c r="AW672" s="71"/>
      <c r="AX672" s="71"/>
      <c r="AY672" s="71"/>
      <c r="AZ672" s="72" t="s">
        <v>4</v>
      </c>
      <c r="BA672" s="73"/>
    </row>
    <row r="686" spans="4:52" s="2" customFormat="1" ht="17.100000000000001" customHeight="1" x14ac:dyDescent="0.25">
      <c r="D686" s="3"/>
      <c r="E686" s="3"/>
      <c r="F686" s="4"/>
      <c r="G686" s="4"/>
      <c r="H686" s="138"/>
      <c r="I686" s="97"/>
      <c r="J686" s="6"/>
      <c r="K686" s="6"/>
      <c r="L686" s="6"/>
      <c r="M686" s="6"/>
      <c r="N686" s="6"/>
      <c r="O686" s="6"/>
      <c r="P686" s="6"/>
      <c r="Q686" s="6"/>
      <c r="R686" s="6"/>
      <c r="S686" s="6"/>
      <c r="T686" s="6"/>
      <c r="U686" s="6"/>
      <c r="V686" s="339"/>
      <c r="W686" s="339"/>
      <c r="X686" s="6"/>
      <c r="Y686" s="206"/>
      <c r="AE686" s="6"/>
      <c r="AF686" s="6"/>
      <c r="AG686" s="6"/>
      <c r="AH686" s="206"/>
      <c r="AJ686" s="213"/>
      <c r="AK686" s="6"/>
      <c r="AL686" s="6"/>
      <c r="AM686" s="6"/>
      <c r="AN686" s="206"/>
      <c r="AP686" s="213"/>
      <c r="AQ686" s="6"/>
      <c r="AR686" s="6"/>
      <c r="AS686" s="6"/>
      <c r="AT686" s="206"/>
      <c r="AV686" s="213"/>
      <c r="AW686" s="6"/>
      <c r="AX686" s="6"/>
      <c r="AY686" s="6"/>
      <c r="AZ686" s="206"/>
    </row>
    <row r="687" spans="4:52" s="2" customFormat="1" ht="17.100000000000001" customHeight="1" x14ac:dyDescent="0.25">
      <c r="D687" s="3"/>
      <c r="E687" s="3"/>
      <c r="F687" s="4"/>
      <c r="G687" s="4"/>
      <c r="H687" s="138"/>
      <c r="I687" s="97"/>
      <c r="J687" s="6"/>
      <c r="K687" s="6"/>
      <c r="L687" s="6"/>
      <c r="M687" s="6"/>
      <c r="N687" s="6"/>
      <c r="O687" s="6"/>
      <c r="P687" s="6"/>
      <c r="Q687" s="6"/>
      <c r="R687" s="6"/>
      <c r="S687" s="6"/>
      <c r="T687" s="6"/>
      <c r="U687" s="6"/>
      <c r="V687" s="339"/>
      <c r="W687" s="339"/>
      <c r="X687" s="6"/>
      <c r="Y687" s="206"/>
      <c r="AE687" s="6"/>
      <c r="AF687" s="6"/>
      <c r="AG687" s="6"/>
      <c r="AH687" s="206"/>
      <c r="AJ687" s="213"/>
      <c r="AK687" s="6"/>
      <c r="AL687" s="6"/>
      <c r="AM687" s="6"/>
      <c r="AN687" s="206"/>
      <c r="AP687" s="213"/>
      <c r="AQ687" s="6"/>
      <c r="AR687" s="6"/>
      <c r="AS687" s="6"/>
      <c r="AT687" s="206"/>
      <c r="AV687" s="213"/>
      <c r="AW687" s="6"/>
      <c r="AX687" s="6"/>
      <c r="AY687" s="6"/>
      <c r="AZ687" s="206"/>
    </row>
    <row r="688" spans="4:52" s="2" customFormat="1" ht="17.100000000000001" customHeight="1" x14ac:dyDescent="0.25">
      <c r="D688" s="3"/>
      <c r="E688" s="3"/>
      <c r="F688" s="4"/>
      <c r="G688" s="4"/>
      <c r="H688" s="138"/>
      <c r="I688" s="97"/>
      <c r="J688" s="6"/>
      <c r="K688" s="6"/>
      <c r="L688" s="6"/>
      <c r="M688" s="6"/>
      <c r="N688" s="6"/>
      <c r="O688" s="6"/>
      <c r="P688" s="6"/>
      <c r="Q688" s="6"/>
      <c r="R688" s="6"/>
      <c r="S688" s="6"/>
      <c r="T688" s="6"/>
      <c r="U688" s="6"/>
      <c r="V688" s="339"/>
      <c r="W688" s="339"/>
      <c r="X688" s="6"/>
      <c r="Y688" s="206"/>
      <c r="AE688" s="6"/>
      <c r="AF688" s="6"/>
      <c r="AG688" s="6"/>
      <c r="AH688" s="206"/>
      <c r="AJ688" s="213"/>
      <c r="AK688" s="6"/>
      <c r="AL688" s="6"/>
      <c r="AM688" s="6"/>
      <c r="AN688" s="206"/>
      <c r="AP688" s="213"/>
      <c r="AQ688" s="6"/>
      <c r="AR688" s="6"/>
      <c r="AS688" s="6"/>
      <c r="AT688" s="206"/>
      <c r="AV688" s="213"/>
      <c r="AW688" s="6"/>
      <c r="AX688" s="6"/>
      <c r="AY688" s="6"/>
      <c r="AZ688" s="206"/>
    </row>
    <row r="689" spans="4:52" s="2" customFormat="1" ht="17.100000000000001" customHeight="1" x14ac:dyDescent="0.25">
      <c r="D689" s="3"/>
      <c r="E689" s="3"/>
      <c r="F689" s="4"/>
      <c r="G689" s="4"/>
      <c r="H689" s="138"/>
      <c r="I689" s="97"/>
      <c r="J689" s="6"/>
      <c r="K689" s="6"/>
      <c r="L689" s="6"/>
      <c r="M689" s="6"/>
      <c r="N689" s="6"/>
      <c r="O689" s="6"/>
      <c r="P689" s="6"/>
      <c r="Q689" s="6"/>
      <c r="R689" s="6"/>
      <c r="S689" s="6"/>
      <c r="T689" s="6"/>
      <c r="U689" s="6"/>
      <c r="V689" s="339"/>
      <c r="W689" s="339"/>
      <c r="X689" s="6"/>
      <c r="Y689" s="206"/>
      <c r="AE689" s="6"/>
      <c r="AF689" s="6"/>
      <c r="AG689" s="6"/>
      <c r="AH689" s="206"/>
      <c r="AJ689" s="213"/>
      <c r="AK689" s="6"/>
      <c r="AL689" s="6"/>
      <c r="AM689" s="6"/>
      <c r="AN689" s="206"/>
      <c r="AP689" s="213"/>
      <c r="AQ689" s="6"/>
      <c r="AR689" s="6"/>
      <c r="AS689" s="6"/>
      <c r="AT689" s="206"/>
      <c r="AV689" s="213"/>
      <c r="AW689" s="6"/>
      <c r="AX689" s="6"/>
      <c r="AY689" s="6"/>
      <c r="AZ689" s="206"/>
    </row>
    <row r="690" spans="4:52" s="2" customFormat="1" ht="17.100000000000001" customHeight="1" x14ac:dyDescent="0.25">
      <c r="D690" s="3"/>
      <c r="E690" s="3"/>
      <c r="F690" s="4"/>
      <c r="G690" s="4"/>
      <c r="H690" s="138"/>
      <c r="I690" s="97"/>
      <c r="J690" s="6"/>
      <c r="K690" s="6"/>
      <c r="L690" s="6"/>
      <c r="M690" s="6"/>
      <c r="N690" s="6"/>
      <c r="O690" s="6"/>
      <c r="P690" s="6"/>
      <c r="Q690" s="6"/>
      <c r="R690" s="6"/>
      <c r="S690" s="6"/>
      <c r="T690" s="6"/>
      <c r="U690" s="6"/>
      <c r="V690" s="339"/>
      <c r="W690" s="339"/>
      <c r="X690" s="6"/>
      <c r="Y690" s="206"/>
      <c r="AE690" s="6"/>
      <c r="AF690" s="6"/>
      <c r="AG690" s="6"/>
      <c r="AH690" s="206"/>
      <c r="AJ690" s="213"/>
      <c r="AK690" s="6"/>
      <c r="AL690" s="6"/>
      <c r="AM690" s="6"/>
      <c r="AN690" s="206"/>
      <c r="AP690" s="213"/>
      <c r="AQ690" s="6"/>
      <c r="AR690" s="6"/>
      <c r="AS690" s="6"/>
      <c r="AT690" s="206"/>
      <c r="AV690" s="213"/>
      <c r="AW690" s="6"/>
      <c r="AX690" s="6"/>
      <c r="AY690" s="6"/>
      <c r="AZ690" s="206"/>
    </row>
    <row r="691" spans="4:52" s="2" customFormat="1" ht="17.100000000000001" customHeight="1" x14ac:dyDescent="0.25">
      <c r="D691" s="3"/>
      <c r="E691" s="3"/>
      <c r="F691" s="4"/>
      <c r="G691" s="4"/>
      <c r="H691" s="138"/>
      <c r="I691" s="97"/>
      <c r="J691" s="6"/>
      <c r="K691" s="6"/>
      <c r="L691" s="6"/>
      <c r="M691" s="6"/>
      <c r="N691" s="6"/>
      <c r="O691" s="6"/>
      <c r="P691" s="6"/>
      <c r="Q691" s="6"/>
      <c r="R691" s="6"/>
      <c r="S691" s="6"/>
      <c r="T691" s="6"/>
      <c r="U691" s="6"/>
      <c r="V691" s="339"/>
      <c r="W691" s="339"/>
      <c r="X691" s="6"/>
      <c r="Y691" s="206"/>
      <c r="AE691" s="6"/>
      <c r="AF691" s="6"/>
      <c r="AG691" s="6"/>
      <c r="AH691" s="206"/>
      <c r="AJ691" s="213"/>
      <c r="AK691" s="6"/>
      <c r="AL691" s="6"/>
      <c r="AM691" s="6"/>
      <c r="AN691" s="206"/>
      <c r="AP691" s="213"/>
      <c r="AQ691" s="6"/>
      <c r="AR691" s="6"/>
      <c r="AS691" s="6"/>
      <c r="AT691" s="206"/>
      <c r="AV691" s="213"/>
      <c r="AW691" s="6"/>
      <c r="AX691" s="6"/>
      <c r="AY691" s="6"/>
      <c r="AZ691" s="206"/>
    </row>
    <row r="692" spans="4:52" s="2" customFormat="1" ht="17.100000000000001" customHeight="1" x14ac:dyDescent="0.25">
      <c r="D692" s="3"/>
      <c r="E692" s="3"/>
      <c r="F692" s="4"/>
      <c r="G692" s="4"/>
      <c r="H692" s="138"/>
      <c r="I692" s="97"/>
      <c r="J692" s="6"/>
      <c r="K692" s="6"/>
      <c r="L692" s="6"/>
      <c r="M692" s="6"/>
      <c r="N692" s="6"/>
      <c r="O692" s="6"/>
      <c r="P692" s="6"/>
      <c r="Q692" s="6"/>
      <c r="R692" s="6"/>
      <c r="S692" s="6"/>
      <c r="T692" s="6"/>
      <c r="U692" s="6"/>
      <c r="V692" s="339"/>
      <c r="W692" s="339"/>
      <c r="X692" s="6"/>
      <c r="Y692" s="206"/>
      <c r="AE692" s="6"/>
      <c r="AF692" s="6"/>
      <c r="AG692" s="6"/>
      <c r="AH692" s="206"/>
      <c r="AJ692" s="213"/>
      <c r="AK692" s="6"/>
      <c r="AL692" s="6"/>
      <c r="AM692" s="6"/>
      <c r="AN692" s="206"/>
      <c r="AP692" s="213"/>
      <c r="AQ692" s="6"/>
      <c r="AR692" s="6"/>
      <c r="AS692" s="6"/>
      <c r="AT692" s="206"/>
      <c r="AV692" s="213"/>
      <c r="AW692" s="6"/>
      <c r="AX692" s="6"/>
      <c r="AY692" s="6"/>
      <c r="AZ692" s="206"/>
    </row>
    <row r="693" spans="4:52" s="2" customFormat="1" ht="17.100000000000001" customHeight="1" x14ac:dyDescent="0.25">
      <c r="D693" s="3"/>
      <c r="E693" s="3"/>
      <c r="F693" s="4"/>
      <c r="G693" s="4"/>
      <c r="H693" s="138"/>
      <c r="I693" s="97"/>
      <c r="J693" s="6"/>
      <c r="K693" s="6"/>
      <c r="L693" s="6"/>
      <c r="M693" s="6"/>
      <c r="N693" s="6"/>
      <c r="O693" s="6"/>
      <c r="P693" s="6"/>
      <c r="Q693" s="6"/>
      <c r="R693" s="6"/>
      <c r="S693" s="6"/>
      <c r="T693" s="6"/>
      <c r="U693" s="6"/>
      <c r="V693" s="339"/>
      <c r="W693" s="339"/>
      <c r="X693" s="6"/>
      <c r="Y693" s="206"/>
      <c r="AE693" s="6"/>
      <c r="AF693" s="6"/>
      <c r="AG693" s="6"/>
      <c r="AH693" s="206"/>
      <c r="AJ693" s="213"/>
      <c r="AK693" s="6"/>
      <c r="AL693" s="6"/>
      <c r="AM693" s="6"/>
      <c r="AN693" s="206"/>
      <c r="AP693" s="213"/>
      <c r="AQ693" s="6"/>
      <c r="AR693" s="6"/>
      <c r="AS693" s="6"/>
      <c r="AT693" s="206"/>
      <c r="AV693" s="213"/>
      <c r="AW693" s="6"/>
      <c r="AX693" s="6"/>
      <c r="AY693" s="6"/>
      <c r="AZ693" s="206"/>
    </row>
    <row r="694" spans="4:52" s="2" customFormat="1" ht="17.100000000000001" customHeight="1" x14ac:dyDescent="0.25">
      <c r="D694" s="3"/>
      <c r="E694" s="3"/>
      <c r="F694" s="4"/>
      <c r="G694" s="4"/>
      <c r="H694" s="138"/>
      <c r="I694" s="97"/>
      <c r="J694" s="6"/>
      <c r="K694" s="6"/>
      <c r="L694" s="6"/>
      <c r="M694" s="6"/>
      <c r="N694" s="6"/>
      <c r="O694" s="6"/>
      <c r="P694" s="6"/>
      <c r="Q694" s="6"/>
      <c r="R694" s="6"/>
      <c r="S694" s="6"/>
      <c r="T694" s="6"/>
      <c r="U694" s="6"/>
      <c r="V694" s="339"/>
      <c r="W694" s="339"/>
      <c r="X694" s="6"/>
      <c r="Y694" s="206"/>
      <c r="AE694" s="6"/>
      <c r="AF694" s="6"/>
      <c r="AG694" s="6"/>
      <c r="AH694" s="206"/>
      <c r="AJ694" s="213"/>
      <c r="AK694" s="6"/>
      <c r="AL694" s="6"/>
      <c r="AM694" s="6"/>
      <c r="AN694" s="206"/>
      <c r="AP694" s="213"/>
      <c r="AQ694" s="6"/>
      <c r="AR694" s="6"/>
      <c r="AS694" s="6"/>
      <c r="AT694" s="206"/>
      <c r="AV694" s="213"/>
      <c r="AW694" s="6"/>
      <c r="AX694" s="6"/>
      <c r="AY694" s="6"/>
      <c r="AZ694" s="206"/>
    </row>
    <row r="695" spans="4:52" s="2" customFormat="1" ht="17.100000000000001" customHeight="1" x14ac:dyDescent="0.25">
      <c r="D695" s="3"/>
      <c r="E695" s="3"/>
      <c r="F695" s="4"/>
      <c r="G695" s="4"/>
      <c r="H695" s="138"/>
      <c r="I695" s="97"/>
      <c r="J695" s="6"/>
      <c r="K695" s="6"/>
      <c r="L695" s="6"/>
      <c r="M695" s="6"/>
      <c r="N695" s="6"/>
      <c r="O695" s="6"/>
      <c r="P695" s="6"/>
      <c r="Q695" s="6"/>
      <c r="R695" s="6"/>
      <c r="S695" s="6"/>
      <c r="T695" s="6"/>
      <c r="U695" s="6"/>
      <c r="V695" s="339"/>
      <c r="W695" s="339"/>
      <c r="X695" s="6"/>
      <c r="Y695" s="206"/>
      <c r="AE695" s="6"/>
      <c r="AF695" s="6"/>
      <c r="AG695" s="6"/>
      <c r="AH695" s="206"/>
      <c r="AJ695" s="213"/>
      <c r="AK695" s="6"/>
      <c r="AL695" s="6"/>
      <c r="AM695" s="6"/>
      <c r="AN695" s="206"/>
      <c r="AP695" s="213"/>
      <c r="AQ695" s="6"/>
      <c r="AR695" s="6"/>
      <c r="AS695" s="6"/>
      <c r="AT695" s="206"/>
      <c r="AV695" s="213"/>
      <c r="AW695" s="6"/>
      <c r="AX695" s="6"/>
      <c r="AY695" s="6"/>
      <c r="AZ695" s="206"/>
    </row>
    <row r="696" spans="4:52" s="2" customFormat="1" ht="17.100000000000001" customHeight="1" x14ac:dyDescent="0.25">
      <c r="D696" s="3"/>
      <c r="E696" s="3"/>
      <c r="F696" s="4"/>
      <c r="G696" s="4"/>
      <c r="H696" s="138"/>
      <c r="I696" s="97"/>
      <c r="J696" s="6"/>
      <c r="K696" s="6"/>
      <c r="L696" s="6"/>
      <c r="M696" s="6"/>
      <c r="N696" s="6"/>
      <c r="O696" s="6"/>
      <c r="P696" s="6"/>
      <c r="Q696" s="6"/>
      <c r="R696" s="6"/>
      <c r="S696" s="6"/>
      <c r="T696" s="6"/>
      <c r="U696" s="6"/>
      <c r="V696" s="339"/>
      <c r="W696" s="339"/>
      <c r="X696" s="6"/>
      <c r="Y696" s="206"/>
      <c r="AE696" s="6"/>
      <c r="AF696" s="6"/>
      <c r="AG696" s="6"/>
      <c r="AH696" s="206"/>
      <c r="AJ696" s="213"/>
      <c r="AK696" s="6"/>
      <c r="AL696" s="6"/>
      <c r="AM696" s="6"/>
      <c r="AN696" s="206"/>
      <c r="AP696" s="213"/>
      <c r="AQ696" s="6"/>
      <c r="AR696" s="6"/>
      <c r="AS696" s="6"/>
      <c r="AT696" s="206"/>
      <c r="AV696" s="213"/>
      <c r="AW696" s="6"/>
      <c r="AX696" s="6"/>
      <c r="AY696" s="6"/>
      <c r="AZ696" s="206"/>
    </row>
    <row r="697" spans="4:52" s="2" customFormat="1" ht="17.100000000000001" customHeight="1" x14ac:dyDescent="0.25">
      <c r="D697" s="3"/>
      <c r="E697" s="3"/>
      <c r="F697" s="4"/>
      <c r="G697" s="4"/>
      <c r="H697" s="138"/>
      <c r="I697" s="97"/>
      <c r="J697" s="6"/>
      <c r="K697" s="6"/>
      <c r="L697" s="6"/>
      <c r="M697" s="6"/>
      <c r="N697" s="6"/>
      <c r="O697" s="6"/>
      <c r="P697" s="6"/>
      <c r="Q697" s="6"/>
      <c r="R697" s="6"/>
      <c r="S697" s="6"/>
      <c r="T697" s="6"/>
      <c r="U697" s="6"/>
      <c r="V697" s="339"/>
      <c r="W697" s="339"/>
      <c r="X697" s="6"/>
      <c r="Y697" s="206"/>
      <c r="AE697" s="6"/>
      <c r="AF697" s="6"/>
      <c r="AG697" s="6"/>
      <c r="AH697" s="206"/>
      <c r="AJ697" s="213"/>
      <c r="AK697" s="6"/>
      <c r="AL697" s="6"/>
      <c r="AM697" s="6"/>
      <c r="AN697" s="206"/>
      <c r="AP697" s="213"/>
      <c r="AQ697" s="6"/>
      <c r="AR697" s="6"/>
      <c r="AS697" s="6"/>
      <c r="AT697" s="206"/>
      <c r="AV697" s="213"/>
      <c r="AW697" s="6"/>
      <c r="AX697" s="6"/>
      <c r="AY697" s="6"/>
      <c r="AZ697" s="206"/>
    </row>
    <row r="698" spans="4:52" s="2" customFormat="1" ht="17.100000000000001" customHeight="1" x14ac:dyDescent="0.25">
      <c r="D698" s="3"/>
      <c r="E698" s="3"/>
      <c r="F698" s="4"/>
      <c r="G698" s="4"/>
      <c r="H698" s="138"/>
      <c r="I698" s="97"/>
      <c r="J698" s="6"/>
      <c r="K698" s="6"/>
      <c r="L698" s="6"/>
      <c r="M698" s="6"/>
      <c r="N698" s="6"/>
      <c r="O698" s="6"/>
      <c r="P698" s="6"/>
      <c r="Q698" s="6"/>
      <c r="R698" s="6"/>
      <c r="S698" s="6"/>
      <c r="T698" s="6"/>
      <c r="U698" s="6"/>
      <c r="V698" s="339"/>
      <c r="W698" s="339"/>
      <c r="X698" s="6"/>
      <c r="Y698" s="206"/>
      <c r="AE698" s="6"/>
      <c r="AF698" s="6"/>
      <c r="AG698" s="6"/>
      <c r="AH698" s="206"/>
      <c r="AJ698" s="213"/>
      <c r="AK698" s="6"/>
      <c r="AL698" s="6"/>
      <c r="AM698" s="6"/>
      <c r="AN698" s="206"/>
      <c r="AP698" s="213"/>
      <c r="AQ698" s="6"/>
      <c r="AR698" s="6"/>
      <c r="AS698" s="6"/>
      <c r="AT698" s="206"/>
      <c r="AV698" s="213"/>
      <c r="AW698" s="6"/>
      <c r="AX698" s="6"/>
      <c r="AY698" s="6"/>
      <c r="AZ698" s="206"/>
    </row>
    <row r="699" spans="4:52" s="2" customFormat="1" ht="17.100000000000001" customHeight="1" x14ac:dyDescent="0.25">
      <c r="D699" s="3"/>
      <c r="E699" s="3"/>
      <c r="F699" s="4"/>
      <c r="G699" s="4"/>
      <c r="H699" s="138"/>
      <c r="I699" s="97"/>
      <c r="J699" s="6"/>
      <c r="K699" s="6"/>
      <c r="L699" s="6"/>
      <c r="M699" s="6"/>
      <c r="N699" s="6"/>
      <c r="O699" s="6"/>
      <c r="P699" s="6"/>
      <c r="Q699" s="6"/>
      <c r="R699" s="6"/>
      <c r="S699" s="6"/>
      <c r="T699" s="6"/>
      <c r="U699" s="6"/>
      <c r="V699" s="339"/>
      <c r="W699" s="339"/>
      <c r="X699" s="6"/>
      <c r="Y699" s="206"/>
      <c r="AE699" s="6"/>
      <c r="AF699" s="6"/>
      <c r="AG699" s="6"/>
      <c r="AH699" s="206"/>
      <c r="AJ699" s="213"/>
      <c r="AK699" s="6"/>
      <c r="AL699" s="6"/>
      <c r="AM699" s="6"/>
      <c r="AN699" s="206"/>
      <c r="AP699" s="213"/>
      <c r="AQ699" s="6"/>
      <c r="AR699" s="6"/>
      <c r="AS699" s="6"/>
      <c r="AT699" s="206"/>
      <c r="AV699" s="213"/>
      <c r="AW699" s="6"/>
      <c r="AX699" s="6"/>
      <c r="AY699" s="6"/>
      <c r="AZ699" s="206"/>
    </row>
    <row r="700" spans="4:52" s="2" customFormat="1" ht="17.100000000000001" customHeight="1" x14ac:dyDescent="0.25">
      <c r="D700" s="3"/>
      <c r="E700" s="3"/>
      <c r="F700" s="4"/>
      <c r="G700" s="4"/>
      <c r="H700" s="138"/>
      <c r="I700" s="97"/>
      <c r="J700" s="6"/>
      <c r="K700" s="6"/>
      <c r="L700" s="6"/>
      <c r="M700" s="6"/>
      <c r="N700" s="6"/>
      <c r="O700" s="6"/>
      <c r="P700" s="6"/>
      <c r="Q700" s="6"/>
      <c r="R700" s="6"/>
      <c r="S700" s="6"/>
      <c r="T700" s="6"/>
      <c r="U700" s="6"/>
      <c r="V700" s="339"/>
      <c r="W700" s="339"/>
      <c r="X700" s="6"/>
      <c r="Y700" s="206"/>
      <c r="AE700" s="6"/>
      <c r="AF700" s="6"/>
      <c r="AG700" s="6"/>
      <c r="AH700" s="206"/>
      <c r="AJ700" s="213"/>
      <c r="AK700" s="6"/>
      <c r="AL700" s="6"/>
      <c r="AM700" s="6"/>
      <c r="AN700" s="206"/>
      <c r="AP700" s="213"/>
      <c r="AQ700" s="6"/>
      <c r="AR700" s="6"/>
      <c r="AS700" s="6"/>
      <c r="AT700" s="206"/>
      <c r="AV700" s="213"/>
      <c r="AW700" s="6"/>
      <c r="AX700" s="6"/>
      <c r="AY700" s="6"/>
      <c r="AZ700" s="206"/>
    </row>
    <row r="701" spans="4:52" s="2" customFormat="1" ht="17.100000000000001" customHeight="1" x14ac:dyDescent="0.25">
      <c r="D701" s="3"/>
      <c r="E701" s="3"/>
      <c r="F701" s="4"/>
      <c r="G701" s="4"/>
      <c r="H701" s="138"/>
      <c r="I701" s="97"/>
      <c r="J701" s="6"/>
      <c r="K701" s="6"/>
      <c r="L701" s="6"/>
      <c r="M701" s="6"/>
      <c r="N701" s="6"/>
      <c r="O701" s="6"/>
      <c r="P701" s="6"/>
      <c r="Q701" s="6"/>
      <c r="R701" s="6"/>
      <c r="S701" s="6"/>
      <c r="T701" s="6"/>
      <c r="U701" s="6"/>
      <c r="V701" s="339"/>
      <c r="W701" s="339"/>
      <c r="X701" s="6"/>
      <c r="Y701" s="206"/>
      <c r="AE701" s="6"/>
      <c r="AF701" s="6"/>
      <c r="AG701" s="6"/>
      <c r="AH701" s="206"/>
      <c r="AJ701" s="213"/>
      <c r="AK701" s="6"/>
      <c r="AL701" s="6"/>
      <c r="AM701" s="6"/>
      <c r="AN701" s="206"/>
      <c r="AP701" s="213"/>
      <c r="AQ701" s="6"/>
      <c r="AR701" s="6"/>
      <c r="AS701" s="6"/>
      <c r="AT701" s="206"/>
      <c r="AV701" s="213"/>
      <c r="AW701" s="6"/>
      <c r="AX701" s="6"/>
      <c r="AY701" s="6"/>
      <c r="AZ701" s="206"/>
    </row>
    <row r="702" spans="4:52" s="2" customFormat="1" ht="17.100000000000001" customHeight="1" x14ac:dyDescent="0.25">
      <c r="D702" s="3"/>
      <c r="E702" s="3"/>
      <c r="F702" s="4"/>
      <c r="G702" s="4"/>
      <c r="H702" s="138"/>
      <c r="I702" s="97"/>
      <c r="J702" s="6"/>
      <c r="K702" s="6"/>
      <c r="L702" s="6"/>
      <c r="M702" s="6"/>
      <c r="N702" s="6"/>
      <c r="O702" s="6"/>
      <c r="P702" s="6"/>
      <c r="Q702" s="6"/>
      <c r="R702" s="6"/>
      <c r="S702" s="6"/>
      <c r="T702" s="6"/>
      <c r="U702" s="6"/>
      <c r="V702" s="339"/>
      <c r="W702" s="339"/>
      <c r="X702" s="6"/>
      <c r="Y702" s="206"/>
      <c r="AE702" s="6"/>
      <c r="AF702" s="6"/>
      <c r="AG702" s="6"/>
      <c r="AH702" s="206"/>
      <c r="AJ702" s="213"/>
      <c r="AK702" s="6"/>
      <c r="AL702" s="6"/>
      <c r="AM702" s="6"/>
      <c r="AN702" s="206"/>
      <c r="AP702" s="213"/>
      <c r="AQ702" s="6"/>
      <c r="AR702" s="6"/>
      <c r="AS702" s="6"/>
      <c r="AT702" s="206"/>
      <c r="AV702" s="213"/>
      <c r="AW702" s="6"/>
      <c r="AX702" s="6"/>
      <c r="AY702" s="6"/>
      <c r="AZ702" s="206"/>
    </row>
    <row r="703" spans="4:52" s="2" customFormat="1" ht="17.100000000000001" customHeight="1" x14ac:dyDescent="0.25">
      <c r="D703" s="3"/>
      <c r="E703" s="3"/>
      <c r="F703" s="4"/>
      <c r="G703" s="4"/>
      <c r="H703" s="138"/>
      <c r="I703" s="97"/>
      <c r="J703" s="6"/>
      <c r="K703" s="6"/>
      <c r="L703" s="6"/>
      <c r="M703" s="6"/>
      <c r="N703" s="6"/>
      <c r="O703" s="6"/>
      <c r="P703" s="6"/>
      <c r="Q703" s="6"/>
      <c r="R703" s="6"/>
      <c r="S703" s="6"/>
      <c r="T703" s="6"/>
      <c r="U703" s="6"/>
      <c r="V703" s="339"/>
      <c r="W703" s="339"/>
      <c r="X703" s="6"/>
      <c r="Y703" s="206"/>
      <c r="AE703" s="6"/>
      <c r="AF703" s="6"/>
      <c r="AG703" s="6"/>
      <c r="AH703" s="206"/>
      <c r="AJ703" s="213"/>
      <c r="AK703" s="6"/>
      <c r="AL703" s="6"/>
      <c r="AM703" s="6"/>
      <c r="AN703" s="206"/>
      <c r="AP703" s="213"/>
      <c r="AQ703" s="6"/>
      <c r="AR703" s="6"/>
      <c r="AS703" s="6"/>
      <c r="AT703" s="206"/>
      <c r="AV703" s="213"/>
      <c r="AW703" s="6"/>
      <c r="AX703" s="6"/>
      <c r="AY703" s="6"/>
      <c r="AZ703" s="206"/>
    </row>
    <row r="704" spans="4:52" s="2" customFormat="1" ht="17.100000000000001" customHeight="1" x14ac:dyDescent="0.25">
      <c r="D704" s="3"/>
      <c r="E704" s="3"/>
      <c r="F704" s="4"/>
      <c r="G704" s="4"/>
      <c r="H704" s="138"/>
      <c r="I704" s="97"/>
      <c r="J704" s="6"/>
      <c r="K704" s="6"/>
      <c r="L704" s="6"/>
      <c r="M704" s="6"/>
      <c r="N704" s="6"/>
      <c r="O704" s="6"/>
      <c r="P704" s="6"/>
      <c r="Q704" s="6"/>
      <c r="R704" s="6"/>
      <c r="S704" s="6"/>
      <c r="T704" s="6"/>
      <c r="U704" s="6"/>
      <c r="V704" s="339"/>
      <c r="W704" s="339"/>
      <c r="X704" s="6"/>
      <c r="Y704" s="206"/>
      <c r="AE704" s="6"/>
      <c r="AF704" s="6"/>
      <c r="AG704" s="6"/>
      <c r="AH704" s="206"/>
      <c r="AJ704" s="213"/>
      <c r="AK704" s="6"/>
      <c r="AL704" s="6"/>
      <c r="AM704" s="6"/>
      <c r="AN704" s="206"/>
      <c r="AP704" s="213"/>
      <c r="AQ704" s="6"/>
      <c r="AR704" s="6"/>
      <c r="AS704" s="6"/>
      <c r="AT704" s="206"/>
      <c r="AV704" s="213"/>
      <c r="AW704" s="6"/>
      <c r="AX704" s="6"/>
      <c r="AY704" s="6"/>
      <c r="AZ704" s="206"/>
    </row>
    <row r="705" spans="4:52" s="2" customFormat="1" ht="17.100000000000001" customHeight="1" x14ac:dyDescent="0.25">
      <c r="D705" s="3"/>
      <c r="E705" s="3"/>
      <c r="F705" s="4"/>
      <c r="G705" s="4"/>
      <c r="H705" s="138"/>
      <c r="I705" s="97"/>
      <c r="J705" s="6"/>
      <c r="K705" s="6"/>
      <c r="L705" s="6"/>
      <c r="M705" s="6"/>
      <c r="N705" s="6"/>
      <c r="O705" s="6"/>
      <c r="P705" s="6"/>
      <c r="Q705" s="6"/>
      <c r="R705" s="6"/>
      <c r="S705" s="6"/>
      <c r="T705" s="6"/>
      <c r="U705" s="6"/>
      <c r="V705" s="339"/>
      <c r="W705" s="339"/>
      <c r="X705" s="6"/>
      <c r="Y705" s="206"/>
      <c r="AE705" s="6"/>
      <c r="AF705" s="6"/>
      <c r="AG705" s="6"/>
      <c r="AH705" s="206"/>
      <c r="AJ705" s="213"/>
      <c r="AK705" s="6"/>
      <c r="AL705" s="6"/>
      <c r="AM705" s="6"/>
      <c r="AN705" s="206"/>
      <c r="AP705" s="213"/>
      <c r="AQ705" s="6"/>
      <c r="AR705" s="6"/>
      <c r="AS705" s="6"/>
      <c r="AT705" s="206"/>
      <c r="AV705" s="213"/>
      <c r="AW705" s="6"/>
      <c r="AX705" s="6"/>
      <c r="AY705" s="6"/>
      <c r="AZ705" s="206"/>
    </row>
    <row r="706" spans="4:52" s="2" customFormat="1" ht="17.100000000000001" customHeight="1" x14ac:dyDescent="0.25">
      <c r="D706" s="3"/>
      <c r="E706" s="3"/>
      <c r="F706" s="4"/>
      <c r="G706" s="4"/>
      <c r="H706" s="138"/>
      <c r="I706" s="97"/>
      <c r="J706" s="6"/>
      <c r="K706" s="6"/>
      <c r="L706" s="6"/>
      <c r="M706" s="6"/>
      <c r="N706" s="6"/>
      <c r="O706" s="6"/>
      <c r="P706" s="6"/>
      <c r="Q706" s="6"/>
      <c r="R706" s="6"/>
      <c r="S706" s="6"/>
      <c r="T706" s="6"/>
      <c r="U706" s="6"/>
      <c r="V706" s="339"/>
      <c r="W706" s="339"/>
      <c r="X706" s="6"/>
      <c r="Y706" s="206"/>
      <c r="AE706" s="6"/>
      <c r="AF706" s="6"/>
      <c r="AG706" s="6"/>
      <c r="AH706" s="206"/>
      <c r="AJ706" s="213"/>
      <c r="AK706" s="6"/>
      <c r="AL706" s="6"/>
      <c r="AM706" s="6"/>
      <c r="AN706" s="206"/>
      <c r="AP706" s="213"/>
      <c r="AQ706" s="6"/>
      <c r="AR706" s="6"/>
      <c r="AS706" s="6"/>
      <c r="AT706" s="206"/>
      <c r="AV706" s="213"/>
      <c r="AW706" s="6"/>
      <c r="AX706" s="6"/>
      <c r="AY706" s="6"/>
      <c r="AZ706" s="206"/>
    </row>
    <row r="707" spans="4:52" s="2" customFormat="1" ht="17.100000000000001" customHeight="1" x14ac:dyDescent="0.25">
      <c r="D707" s="3"/>
      <c r="E707" s="3"/>
      <c r="F707" s="4"/>
      <c r="G707" s="4"/>
      <c r="H707" s="138"/>
      <c r="I707" s="97"/>
      <c r="J707" s="6"/>
      <c r="K707" s="6"/>
      <c r="L707" s="6"/>
      <c r="M707" s="6"/>
      <c r="N707" s="6"/>
      <c r="O707" s="6"/>
      <c r="P707" s="6"/>
      <c r="Q707" s="6"/>
      <c r="R707" s="6"/>
      <c r="S707" s="6"/>
      <c r="T707" s="6"/>
      <c r="U707" s="6"/>
      <c r="V707" s="339"/>
      <c r="W707" s="339"/>
      <c r="X707" s="6"/>
      <c r="Y707" s="206"/>
      <c r="AE707" s="6"/>
      <c r="AF707" s="6"/>
      <c r="AG707" s="6"/>
      <c r="AH707" s="206"/>
      <c r="AJ707" s="213"/>
      <c r="AK707" s="6"/>
      <c r="AL707" s="6"/>
      <c r="AM707" s="6"/>
      <c r="AN707" s="206"/>
      <c r="AP707" s="213"/>
      <c r="AQ707" s="6"/>
      <c r="AR707" s="6"/>
      <c r="AS707" s="6"/>
      <c r="AT707" s="206"/>
      <c r="AV707" s="213"/>
      <c r="AW707" s="6"/>
      <c r="AX707" s="6"/>
      <c r="AY707" s="6"/>
      <c r="AZ707" s="206"/>
    </row>
    <row r="708" spans="4:52" s="2" customFormat="1" ht="17.100000000000001" customHeight="1" x14ac:dyDescent="0.25">
      <c r="D708" s="3"/>
      <c r="E708" s="3"/>
      <c r="F708" s="4"/>
      <c r="G708" s="4"/>
      <c r="H708" s="138"/>
      <c r="I708" s="97"/>
      <c r="J708" s="6"/>
      <c r="K708" s="6"/>
      <c r="L708" s="6"/>
      <c r="M708" s="6"/>
      <c r="N708" s="6"/>
      <c r="O708" s="6"/>
      <c r="P708" s="6"/>
      <c r="Q708" s="6"/>
      <c r="R708" s="6"/>
      <c r="S708" s="6"/>
      <c r="T708" s="6"/>
      <c r="U708" s="6"/>
      <c r="V708" s="339"/>
      <c r="W708" s="339"/>
      <c r="X708" s="6"/>
      <c r="Y708" s="206"/>
      <c r="AE708" s="6"/>
      <c r="AF708" s="6"/>
      <c r="AG708" s="6"/>
      <c r="AH708" s="206"/>
      <c r="AJ708" s="213"/>
      <c r="AK708" s="6"/>
      <c r="AL708" s="6"/>
      <c r="AM708" s="6"/>
      <c r="AN708" s="206"/>
      <c r="AP708" s="213"/>
      <c r="AQ708" s="6"/>
      <c r="AR708" s="6"/>
      <c r="AS708" s="6"/>
      <c r="AT708" s="206"/>
      <c r="AV708" s="213"/>
      <c r="AW708" s="6"/>
      <c r="AX708" s="6"/>
      <c r="AY708" s="6"/>
      <c r="AZ708" s="206"/>
    </row>
    <row r="709" spans="4:52" s="2" customFormat="1" ht="17.100000000000001" customHeight="1" x14ac:dyDescent="0.25">
      <c r="D709" s="3"/>
      <c r="E709" s="3"/>
      <c r="F709" s="4"/>
      <c r="G709" s="4"/>
      <c r="H709" s="138"/>
      <c r="I709" s="97"/>
      <c r="J709" s="6"/>
      <c r="K709" s="6"/>
      <c r="L709" s="6"/>
      <c r="M709" s="6"/>
      <c r="N709" s="6"/>
      <c r="O709" s="6"/>
      <c r="P709" s="6"/>
      <c r="Q709" s="6"/>
      <c r="R709" s="6"/>
      <c r="S709" s="6"/>
      <c r="T709" s="6"/>
      <c r="U709" s="6"/>
      <c r="V709" s="339"/>
      <c r="W709" s="339"/>
      <c r="X709" s="6"/>
      <c r="Y709" s="206"/>
      <c r="AE709" s="6"/>
      <c r="AF709" s="6"/>
      <c r="AG709" s="6"/>
      <c r="AH709" s="206"/>
      <c r="AJ709" s="213"/>
      <c r="AK709" s="6"/>
      <c r="AL709" s="6"/>
      <c r="AM709" s="6"/>
      <c r="AN709" s="206"/>
      <c r="AP709" s="213"/>
      <c r="AQ709" s="6"/>
      <c r="AR709" s="6"/>
      <c r="AS709" s="6"/>
      <c r="AT709" s="206"/>
      <c r="AV709" s="213"/>
      <c r="AW709" s="6"/>
      <c r="AX709" s="6"/>
      <c r="AY709" s="6"/>
      <c r="AZ709" s="206"/>
    </row>
    <row r="710" spans="4:52" s="2" customFormat="1" ht="17.100000000000001" customHeight="1" x14ac:dyDescent="0.25">
      <c r="D710" s="3"/>
      <c r="E710" s="3"/>
      <c r="F710" s="4"/>
      <c r="G710" s="4"/>
      <c r="H710" s="138"/>
      <c r="I710" s="97"/>
      <c r="J710" s="6"/>
      <c r="K710" s="6"/>
      <c r="L710" s="6"/>
      <c r="M710" s="6"/>
      <c r="N710" s="6"/>
      <c r="O710" s="6"/>
      <c r="P710" s="6"/>
      <c r="Q710" s="6"/>
      <c r="R710" s="6"/>
      <c r="S710" s="6"/>
      <c r="T710" s="6"/>
      <c r="U710" s="6"/>
      <c r="V710" s="339"/>
      <c r="W710" s="339"/>
      <c r="X710" s="6"/>
      <c r="Y710" s="206"/>
      <c r="AE710" s="6"/>
      <c r="AF710" s="6"/>
      <c r="AG710" s="6"/>
      <c r="AH710" s="206"/>
      <c r="AJ710" s="213"/>
      <c r="AK710" s="6"/>
      <c r="AL710" s="6"/>
      <c r="AM710" s="6"/>
      <c r="AN710" s="206"/>
      <c r="AP710" s="213"/>
      <c r="AQ710" s="6"/>
      <c r="AR710" s="6"/>
      <c r="AS710" s="6"/>
      <c r="AT710" s="206"/>
      <c r="AV710" s="213"/>
      <c r="AW710" s="6"/>
      <c r="AX710" s="6"/>
      <c r="AY710" s="6"/>
      <c r="AZ710" s="206"/>
    </row>
    <row r="711" spans="4:52" s="2" customFormat="1" ht="17.100000000000001" customHeight="1" x14ac:dyDescent="0.25">
      <c r="D711" s="3"/>
      <c r="E711" s="3"/>
      <c r="F711" s="4"/>
      <c r="G711" s="4"/>
      <c r="H711" s="138"/>
      <c r="I711" s="97"/>
      <c r="J711" s="6"/>
      <c r="K711" s="6"/>
      <c r="L711" s="6"/>
      <c r="M711" s="6"/>
      <c r="N711" s="6"/>
      <c r="O711" s="6"/>
      <c r="P711" s="6"/>
      <c r="Q711" s="6"/>
      <c r="R711" s="6"/>
      <c r="S711" s="6"/>
      <c r="T711" s="6"/>
      <c r="U711" s="6"/>
      <c r="V711" s="339"/>
      <c r="W711" s="339"/>
      <c r="X711" s="6"/>
      <c r="Y711" s="206"/>
      <c r="AE711" s="6"/>
      <c r="AF711" s="6"/>
      <c r="AG711" s="6"/>
      <c r="AH711" s="206"/>
      <c r="AJ711" s="213"/>
      <c r="AK711" s="6"/>
      <c r="AL711" s="6"/>
      <c r="AM711" s="6"/>
      <c r="AN711" s="206"/>
      <c r="AP711" s="213"/>
      <c r="AQ711" s="6"/>
      <c r="AR711" s="6"/>
      <c r="AS711" s="6"/>
      <c r="AT711" s="206"/>
      <c r="AV711" s="213"/>
      <c r="AW711" s="6"/>
      <c r="AX711" s="6"/>
      <c r="AY711" s="6"/>
      <c r="AZ711" s="206"/>
    </row>
    <row r="712" spans="4:52" s="2" customFormat="1" ht="17.100000000000001" customHeight="1" x14ac:dyDescent="0.25">
      <c r="D712" s="3"/>
      <c r="E712" s="3"/>
      <c r="F712" s="4"/>
      <c r="G712" s="4"/>
      <c r="H712" s="138"/>
      <c r="I712" s="97"/>
      <c r="J712" s="6"/>
      <c r="K712" s="6"/>
      <c r="L712" s="6"/>
      <c r="M712" s="6"/>
      <c r="N712" s="6"/>
      <c r="O712" s="6"/>
      <c r="P712" s="6"/>
      <c r="Q712" s="6"/>
      <c r="R712" s="6"/>
      <c r="S712" s="6"/>
      <c r="T712" s="6"/>
      <c r="U712" s="6"/>
      <c r="V712" s="339"/>
      <c r="W712" s="339"/>
      <c r="X712" s="6"/>
      <c r="Y712" s="206"/>
      <c r="AE712" s="6"/>
      <c r="AF712" s="6"/>
      <c r="AG712" s="6"/>
      <c r="AH712" s="206"/>
      <c r="AJ712" s="213"/>
      <c r="AK712" s="6"/>
      <c r="AL712" s="6"/>
      <c r="AM712" s="6"/>
      <c r="AN712" s="206"/>
      <c r="AP712" s="213"/>
      <c r="AQ712" s="6"/>
      <c r="AR712" s="6"/>
      <c r="AS712" s="6"/>
      <c r="AT712" s="206"/>
      <c r="AV712" s="213"/>
      <c r="AW712" s="6"/>
      <c r="AX712" s="6"/>
      <c r="AY712" s="6"/>
      <c r="AZ712" s="206"/>
    </row>
    <row r="713" spans="4:52" s="2" customFormat="1" ht="17.100000000000001" customHeight="1" x14ac:dyDescent="0.25">
      <c r="D713" s="3"/>
      <c r="E713" s="3"/>
      <c r="F713" s="4"/>
      <c r="G713" s="4"/>
      <c r="H713" s="138"/>
      <c r="I713" s="97"/>
      <c r="J713" s="6"/>
      <c r="K713" s="6"/>
      <c r="L713" s="6"/>
      <c r="M713" s="6"/>
      <c r="N713" s="6"/>
      <c r="O713" s="6"/>
      <c r="P713" s="6"/>
      <c r="Q713" s="6"/>
      <c r="R713" s="6"/>
      <c r="S713" s="6"/>
      <c r="T713" s="6"/>
      <c r="U713" s="6"/>
      <c r="V713" s="339"/>
      <c r="W713" s="339"/>
      <c r="X713" s="6"/>
      <c r="Y713" s="206"/>
      <c r="AE713" s="6"/>
      <c r="AF713" s="6"/>
      <c r="AG713" s="6"/>
      <c r="AH713" s="206"/>
      <c r="AJ713" s="213"/>
      <c r="AK713" s="6"/>
      <c r="AL713" s="6"/>
      <c r="AM713" s="6"/>
      <c r="AN713" s="206"/>
      <c r="AP713" s="213"/>
      <c r="AQ713" s="6"/>
      <c r="AR713" s="6"/>
      <c r="AS713" s="6"/>
      <c r="AT713" s="206"/>
      <c r="AV713" s="213"/>
      <c r="AW713" s="6"/>
      <c r="AX713" s="6"/>
      <c r="AY713" s="6"/>
      <c r="AZ713" s="206"/>
    </row>
    <row r="714" spans="4:52" s="2" customFormat="1" ht="17.100000000000001" customHeight="1" x14ac:dyDescent="0.25">
      <c r="D714" s="3"/>
      <c r="E714" s="3"/>
      <c r="F714" s="4"/>
      <c r="G714" s="4"/>
      <c r="H714" s="138"/>
      <c r="I714" s="97"/>
      <c r="J714" s="6"/>
      <c r="K714" s="6"/>
      <c r="L714" s="6"/>
      <c r="M714" s="6"/>
      <c r="N714" s="6"/>
      <c r="O714" s="6"/>
      <c r="P714" s="6"/>
      <c r="Q714" s="6"/>
      <c r="R714" s="6"/>
      <c r="S714" s="6"/>
      <c r="T714" s="6"/>
      <c r="U714" s="6"/>
      <c r="V714" s="339"/>
      <c r="W714" s="339"/>
      <c r="X714" s="6"/>
      <c r="Y714" s="206"/>
      <c r="AE714" s="6"/>
      <c r="AF714" s="6"/>
      <c r="AG714" s="6"/>
      <c r="AH714" s="206"/>
      <c r="AJ714" s="213"/>
      <c r="AK714" s="6"/>
      <c r="AL714" s="6"/>
      <c r="AM714" s="6"/>
      <c r="AN714" s="206"/>
      <c r="AP714" s="213"/>
      <c r="AQ714" s="6"/>
      <c r="AR714" s="6"/>
      <c r="AS714" s="6"/>
      <c r="AT714" s="206"/>
      <c r="AV714" s="213"/>
      <c r="AW714" s="6"/>
      <c r="AX714" s="6"/>
      <c r="AY714" s="6"/>
      <c r="AZ714" s="206"/>
    </row>
    <row r="715" spans="4:52" s="2" customFormat="1" ht="17.100000000000001" customHeight="1" x14ac:dyDescent="0.25">
      <c r="D715" s="3"/>
      <c r="E715" s="3"/>
      <c r="F715" s="4"/>
      <c r="G715" s="4"/>
      <c r="H715" s="138"/>
      <c r="I715" s="97"/>
      <c r="J715" s="6"/>
      <c r="K715" s="6"/>
      <c r="L715" s="6"/>
      <c r="M715" s="6"/>
      <c r="N715" s="6"/>
      <c r="O715" s="6"/>
      <c r="P715" s="6"/>
      <c r="Q715" s="6"/>
      <c r="R715" s="6"/>
      <c r="S715" s="6"/>
      <c r="T715" s="6"/>
      <c r="U715" s="6"/>
      <c r="V715" s="339"/>
      <c r="W715" s="339"/>
      <c r="X715" s="6"/>
      <c r="Y715" s="206"/>
      <c r="AE715" s="6"/>
      <c r="AF715" s="6"/>
      <c r="AG715" s="6"/>
      <c r="AH715" s="206"/>
      <c r="AJ715" s="213"/>
      <c r="AK715" s="6"/>
      <c r="AL715" s="6"/>
      <c r="AM715" s="6"/>
      <c r="AN715" s="206"/>
      <c r="AP715" s="213"/>
      <c r="AQ715" s="6"/>
      <c r="AR715" s="6"/>
      <c r="AS715" s="6"/>
      <c r="AT715" s="206"/>
      <c r="AV715" s="213"/>
      <c r="AW715" s="6"/>
      <c r="AX715" s="6"/>
      <c r="AY715" s="6"/>
      <c r="AZ715" s="206"/>
    </row>
    <row r="716" spans="4:52" s="2" customFormat="1" ht="17.100000000000001" customHeight="1" x14ac:dyDescent="0.25">
      <c r="D716" s="3"/>
      <c r="E716" s="3"/>
      <c r="F716" s="4"/>
      <c r="G716" s="4"/>
      <c r="H716" s="138"/>
      <c r="I716" s="97"/>
      <c r="J716" s="6"/>
      <c r="K716" s="6"/>
      <c r="L716" s="6"/>
      <c r="M716" s="6"/>
      <c r="N716" s="6"/>
      <c r="O716" s="6"/>
      <c r="P716" s="6"/>
      <c r="Q716" s="6"/>
      <c r="R716" s="6"/>
      <c r="S716" s="6"/>
      <c r="T716" s="6"/>
      <c r="U716" s="6"/>
      <c r="V716" s="339"/>
      <c r="W716" s="339"/>
      <c r="X716" s="6"/>
      <c r="Y716" s="206"/>
      <c r="AE716" s="6"/>
      <c r="AF716" s="6"/>
      <c r="AG716" s="6"/>
      <c r="AH716" s="206"/>
      <c r="AJ716" s="213"/>
      <c r="AK716" s="6"/>
      <c r="AL716" s="6"/>
      <c r="AM716" s="6"/>
      <c r="AN716" s="206"/>
      <c r="AP716" s="213"/>
      <c r="AQ716" s="6"/>
      <c r="AR716" s="6"/>
      <c r="AS716" s="6"/>
      <c r="AT716" s="206"/>
      <c r="AV716" s="213"/>
      <c r="AW716" s="6"/>
      <c r="AX716" s="6"/>
      <c r="AY716" s="6"/>
      <c r="AZ716" s="206"/>
    </row>
    <row r="717" spans="4:52" s="2" customFormat="1" ht="17.100000000000001" customHeight="1" x14ac:dyDescent="0.25">
      <c r="D717" s="3"/>
      <c r="E717" s="3"/>
      <c r="F717" s="4"/>
      <c r="G717" s="4"/>
      <c r="H717" s="138"/>
      <c r="I717" s="97"/>
      <c r="J717" s="6"/>
      <c r="K717" s="6"/>
      <c r="L717" s="6"/>
      <c r="M717" s="6"/>
      <c r="N717" s="6"/>
      <c r="O717" s="6"/>
      <c r="P717" s="6"/>
      <c r="Q717" s="6"/>
      <c r="R717" s="6"/>
      <c r="S717" s="6"/>
      <c r="T717" s="6"/>
      <c r="U717" s="6"/>
      <c r="V717" s="339"/>
      <c r="W717" s="339"/>
      <c r="X717" s="6"/>
      <c r="Y717" s="206"/>
      <c r="AE717" s="6"/>
      <c r="AF717" s="6"/>
      <c r="AG717" s="6"/>
      <c r="AH717" s="206"/>
      <c r="AJ717" s="213"/>
      <c r="AK717" s="6"/>
      <c r="AL717" s="6"/>
      <c r="AM717" s="6"/>
      <c r="AN717" s="206"/>
      <c r="AP717" s="213"/>
      <c r="AQ717" s="6"/>
      <c r="AR717" s="6"/>
      <c r="AS717" s="6"/>
      <c r="AT717" s="206"/>
      <c r="AV717" s="213"/>
      <c r="AW717" s="6"/>
      <c r="AX717" s="6"/>
      <c r="AY717" s="6"/>
      <c r="AZ717" s="206"/>
    </row>
    <row r="718" spans="4:52" s="2" customFormat="1" ht="17.100000000000001" customHeight="1" x14ac:dyDescent="0.25">
      <c r="D718" s="3"/>
      <c r="E718" s="3"/>
      <c r="F718" s="4"/>
      <c r="G718" s="4"/>
      <c r="H718" s="138"/>
      <c r="I718" s="97"/>
      <c r="J718" s="6"/>
      <c r="K718" s="6"/>
      <c r="L718" s="6"/>
      <c r="M718" s="6"/>
      <c r="N718" s="6"/>
      <c r="O718" s="6"/>
      <c r="P718" s="6"/>
      <c r="Q718" s="6"/>
      <c r="R718" s="6"/>
      <c r="S718" s="6"/>
      <c r="T718" s="6"/>
      <c r="U718" s="6"/>
      <c r="V718" s="339"/>
      <c r="W718" s="339"/>
      <c r="X718" s="6"/>
      <c r="Y718" s="206"/>
      <c r="AE718" s="6"/>
      <c r="AF718" s="6"/>
      <c r="AG718" s="6"/>
      <c r="AH718" s="206"/>
      <c r="AJ718" s="213"/>
      <c r="AK718" s="6"/>
      <c r="AL718" s="6"/>
      <c r="AM718" s="6"/>
      <c r="AN718" s="206"/>
      <c r="AP718" s="213"/>
      <c r="AQ718" s="6"/>
      <c r="AR718" s="6"/>
      <c r="AS718" s="6"/>
      <c r="AT718" s="206"/>
      <c r="AV718" s="213"/>
      <c r="AW718" s="6"/>
      <c r="AX718" s="6"/>
      <c r="AY718" s="6"/>
      <c r="AZ718" s="206"/>
    </row>
    <row r="719" spans="4:52" s="2" customFormat="1" ht="17.100000000000001" customHeight="1" x14ac:dyDescent="0.25">
      <c r="D719" s="3"/>
      <c r="E719" s="3"/>
      <c r="F719" s="4"/>
      <c r="G719" s="4"/>
      <c r="H719" s="138"/>
      <c r="I719" s="97"/>
      <c r="J719" s="6"/>
      <c r="K719" s="6"/>
      <c r="L719" s="6"/>
      <c r="M719" s="6"/>
      <c r="N719" s="6"/>
      <c r="O719" s="6"/>
      <c r="P719" s="6"/>
      <c r="Q719" s="6"/>
      <c r="R719" s="6"/>
      <c r="S719" s="6"/>
      <c r="T719" s="6"/>
      <c r="U719" s="6"/>
      <c r="V719" s="339"/>
      <c r="W719" s="339"/>
      <c r="X719" s="6"/>
      <c r="Y719" s="206"/>
      <c r="AE719" s="6"/>
      <c r="AF719" s="6"/>
      <c r="AG719" s="6"/>
      <c r="AH719" s="206"/>
      <c r="AJ719" s="213"/>
      <c r="AK719" s="6"/>
      <c r="AL719" s="6"/>
      <c r="AM719" s="6"/>
      <c r="AN719" s="206"/>
      <c r="AP719" s="213"/>
      <c r="AQ719" s="6"/>
      <c r="AR719" s="6"/>
      <c r="AS719" s="6"/>
      <c r="AT719" s="206"/>
      <c r="AV719" s="213"/>
      <c r="AW719" s="6"/>
      <c r="AX719" s="6"/>
      <c r="AY719" s="6"/>
      <c r="AZ719" s="206"/>
    </row>
    <row r="720" spans="4:52" s="2" customFormat="1" ht="17.100000000000001" customHeight="1" x14ac:dyDescent="0.25">
      <c r="D720" s="3"/>
      <c r="E720" s="3"/>
      <c r="F720" s="4"/>
      <c r="G720" s="4"/>
      <c r="H720" s="138"/>
      <c r="I720" s="97"/>
      <c r="J720" s="6"/>
      <c r="K720" s="6"/>
      <c r="L720" s="6"/>
      <c r="M720" s="6"/>
      <c r="N720" s="6"/>
      <c r="O720" s="6"/>
      <c r="P720" s="6"/>
      <c r="Q720" s="6"/>
      <c r="R720" s="6"/>
      <c r="S720" s="6"/>
      <c r="T720" s="6"/>
      <c r="U720" s="6"/>
      <c r="V720" s="339"/>
      <c r="W720" s="339"/>
      <c r="X720" s="6"/>
      <c r="Y720" s="206"/>
      <c r="AE720" s="6"/>
      <c r="AF720" s="6"/>
      <c r="AG720" s="6"/>
      <c r="AH720" s="206"/>
      <c r="AJ720" s="213"/>
      <c r="AK720" s="6"/>
      <c r="AL720" s="6"/>
      <c r="AM720" s="6"/>
      <c r="AN720" s="206"/>
      <c r="AP720" s="213"/>
      <c r="AQ720" s="6"/>
      <c r="AR720" s="6"/>
      <c r="AS720" s="6"/>
      <c r="AT720" s="206"/>
      <c r="AV720" s="213"/>
      <c r="AW720" s="6"/>
      <c r="AX720" s="6"/>
      <c r="AY720" s="6"/>
      <c r="AZ720" s="206"/>
    </row>
    <row r="721" spans="4:52" s="2" customFormat="1" ht="17.100000000000001" customHeight="1" x14ac:dyDescent="0.25">
      <c r="D721" s="3"/>
      <c r="E721" s="3"/>
      <c r="F721" s="4"/>
      <c r="G721" s="4"/>
      <c r="H721" s="138"/>
      <c r="I721" s="97"/>
      <c r="J721" s="6"/>
      <c r="K721" s="6"/>
      <c r="L721" s="6"/>
      <c r="M721" s="6"/>
      <c r="N721" s="6"/>
      <c r="O721" s="6"/>
      <c r="P721" s="6"/>
      <c r="Q721" s="6"/>
      <c r="R721" s="6"/>
      <c r="S721" s="6"/>
      <c r="T721" s="6"/>
      <c r="U721" s="6"/>
      <c r="V721" s="339"/>
      <c r="W721" s="339"/>
      <c r="X721" s="6"/>
      <c r="Y721" s="206"/>
      <c r="AE721" s="6"/>
      <c r="AF721" s="6"/>
      <c r="AG721" s="6"/>
      <c r="AH721" s="206"/>
      <c r="AJ721" s="213"/>
      <c r="AK721" s="6"/>
      <c r="AL721" s="6"/>
      <c r="AM721" s="6"/>
      <c r="AN721" s="206"/>
      <c r="AP721" s="213"/>
      <c r="AQ721" s="6"/>
      <c r="AR721" s="6"/>
      <c r="AS721" s="6"/>
      <c r="AT721" s="206"/>
      <c r="AV721" s="213"/>
      <c r="AW721" s="6"/>
      <c r="AX721" s="6"/>
      <c r="AY721" s="6"/>
      <c r="AZ721" s="206"/>
    </row>
    <row r="722" spans="4:52" s="2" customFormat="1" ht="17.100000000000001" customHeight="1" x14ac:dyDescent="0.25">
      <c r="D722" s="3"/>
      <c r="E722" s="3"/>
      <c r="F722" s="4"/>
      <c r="G722" s="4"/>
      <c r="H722" s="138"/>
      <c r="I722" s="97"/>
      <c r="J722" s="6"/>
      <c r="K722" s="6"/>
      <c r="L722" s="6"/>
      <c r="M722" s="6"/>
      <c r="N722" s="6"/>
      <c r="O722" s="6"/>
      <c r="P722" s="6"/>
      <c r="Q722" s="6"/>
      <c r="R722" s="6"/>
      <c r="S722" s="6"/>
      <c r="T722" s="6"/>
      <c r="U722" s="6"/>
      <c r="V722" s="339"/>
      <c r="W722" s="339"/>
      <c r="X722" s="6"/>
      <c r="Y722" s="206"/>
      <c r="AE722" s="6"/>
      <c r="AF722" s="6"/>
      <c r="AG722" s="6"/>
      <c r="AH722" s="206"/>
      <c r="AJ722" s="213"/>
      <c r="AK722" s="6"/>
      <c r="AL722" s="6"/>
      <c r="AM722" s="6"/>
      <c r="AN722" s="206"/>
      <c r="AP722" s="213"/>
      <c r="AQ722" s="6"/>
      <c r="AR722" s="6"/>
      <c r="AS722" s="6"/>
      <c r="AT722" s="206"/>
      <c r="AV722" s="213"/>
      <c r="AW722" s="6"/>
      <c r="AX722" s="6"/>
      <c r="AY722" s="6"/>
      <c r="AZ722" s="206"/>
    </row>
    <row r="723" spans="4:52" s="2" customFormat="1" ht="17.100000000000001" customHeight="1" x14ac:dyDescent="0.25">
      <c r="D723" s="3"/>
      <c r="E723" s="3"/>
      <c r="F723" s="4"/>
      <c r="G723" s="4"/>
      <c r="H723" s="138"/>
      <c r="I723" s="97"/>
      <c r="J723" s="6"/>
      <c r="K723" s="6"/>
      <c r="L723" s="6"/>
      <c r="M723" s="6"/>
      <c r="N723" s="6"/>
      <c r="O723" s="6"/>
      <c r="P723" s="6"/>
      <c r="Q723" s="6"/>
      <c r="R723" s="6"/>
      <c r="S723" s="6"/>
      <c r="T723" s="6"/>
      <c r="U723" s="6"/>
      <c r="V723" s="339"/>
      <c r="W723" s="339"/>
      <c r="X723" s="6"/>
      <c r="Y723" s="206"/>
      <c r="AE723" s="6"/>
      <c r="AF723" s="6"/>
      <c r="AG723" s="6"/>
      <c r="AH723" s="206"/>
      <c r="AJ723" s="213"/>
      <c r="AK723" s="6"/>
      <c r="AL723" s="6"/>
      <c r="AM723" s="6"/>
      <c r="AN723" s="206"/>
      <c r="AP723" s="213"/>
      <c r="AQ723" s="6"/>
      <c r="AR723" s="6"/>
      <c r="AS723" s="6"/>
      <c r="AT723" s="206"/>
      <c r="AV723" s="213"/>
      <c r="AW723" s="6"/>
      <c r="AX723" s="6"/>
      <c r="AY723" s="6"/>
      <c r="AZ723" s="206"/>
    </row>
    <row r="724" spans="4:52" s="2" customFormat="1" ht="17.100000000000001" customHeight="1" x14ac:dyDescent="0.25">
      <c r="D724" s="3"/>
      <c r="E724" s="3"/>
      <c r="F724" s="4"/>
      <c r="G724" s="4"/>
      <c r="H724" s="138"/>
      <c r="I724" s="97"/>
      <c r="J724" s="6"/>
      <c r="K724" s="6"/>
      <c r="L724" s="6"/>
      <c r="M724" s="6"/>
      <c r="N724" s="6"/>
      <c r="O724" s="6"/>
      <c r="P724" s="6"/>
      <c r="Q724" s="6"/>
      <c r="R724" s="6"/>
      <c r="S724" s="6"/>
      <c r="T724" s="6"/>
      <c r="U724" s="6"/>
      <c r="V724" s="339"/>
      <c r="W724" s="339"/>
      <c r="X724" s="6"/>
      <c r="Y724" s="206"/>
      <c r="AE724" s="6"/>
      <c r="AF724" s="6"/>
      <c r="AG724" s="6"/>
      <c r="AH724" s="206"/>
      <c r="AJ724" s="213"/>
      <c r="AK724" s="6"/>
      <c r="AL724" s="6"/>
      <c r="AM724" s="6"/>
      <c r="AN724" s="206"/>
      <c r="AP724" s="213"/>
      <c r="AQ724" s="6"/>
      <c r="AR724" s="6"/>
      <c r="AS724" s="6"/>
      <c r="AT724" s="206"/>
      <c r="AV724" s="213"/>
      <c r="AW724" s="6"/>
      <c r="AX724" s="6"/>
      <c r="AY724" s="6"/>
      <c r="AZ724" s="206"/>
    </row>
    <row r="725" spans="4:52" s="2" customFormat="1" ht="17.100000000000001" customHeight="1" x14ac:dyDescent="0.25">
      <c r="D725" s="3"/>
      <c r="E725" s="3"/>
      <c r="F725" s="4"/>
      <c r="G725" s="4"/>
      <c r="H725" s="138"/>
      <c r="I725" s="97"/>
      <c r="J725" s="6"/>
      <c r="K725" s="6"/>
      <c r="L725" s="6"/>
      <c r="M725" s="6"/>
      <c r="N725" s="6"/>
      <c r="O725" s="6"/>
      <c r="P725" s="6"/>
      <c r="Q725" s="6"/>
      <c r="R725" s="6"/>
      <c r="S725" s="6"/>
      <c r="T725" s="6"/>
      <c r="U725" s="6"/>
      <c r="V725" s="339"/>
      <c r="W725" s="339"/>
      <c r="X725" s="6"/>
      <c r="Y725" s="206"/>
      <c r="AE725" s="6"/>
      <c r="AF725" s="6"/>
      <c r="AG725" s="6"/>
      <c r="AH725" s="206"/>
      <c r="AJ725" s="213"/>
      <c r="AK725" s="6"/>
      <c r="AL725" s="6"/>
      <c r="AM725" s="6"/>
      <c r="AN725" s="206"/>
      <c r="AP725" s="213"/>
      <c r="AQ725" s="6"/>
      <c r="AR725" s="6"/>
      <c r="AS725" s="6"/>
      <c r="AT725" s="206"/>
      <c r="AV725" s="213"/>
      <c r="AW725" s="6"/>
      <c r="AX725" s="6"/>
      <c r="AY725" s="6"/>
      <c r="AZ725" s="206"/>
    </row>
    <row r="726" spans="4:52" s="2" customFormat="1" ht="17.100000000000001" customHeight="1" x14ac:dyDescent="0.25">
      <c r="D726" s="3"/>
      <c r="E726" s="3"/>
      <c r="F726" s="4"/>
      <c r="G726" s="4"/>
      <c r="H726" s="138"/>
      <c r="I726" s="97"/>
      <c r="J726" s="6"/>
      <c r="K726" s="6"/>
      <c r="L726" s="6"/>
      <c r="M726" s="6"/>
      <c r="N726" s="6"/>
      <c r="O726" s="6"/>
      <c r="P726" s="6"/>
      <c r="Q726" s="6"/>
      <c r="R726" s="6"/>
      <c r="S726" s="6"/>
      <c r="T726" s="6"/>
      <c r="U726" s="6"/>
      <c r="V726" s="339"/>
      <c r="W726" s="339"/>
      <c r="X726" s="6"/>
      <c r="Y726" s="206"/>
      <c r="AE726" s="6"/>
      <c r="AF726" s="6"/>
      <c r="AG726" s="6"/>
      <c r="AH726" s="206"/>
      <c r="AJ726" s="213"/>
      <c r="AK726" s="6"/>
      <c r="AL726" s="6"/>
      <c r="AM726" s="6"/>
      <c r="AN726" s="206"/>
      <c r="AP726" s="213"/>
      <c r="AQ726" s="6"/>
      <c r="AR726" s="6"/>
      <c r="AS726" s="6"/>
      <c r="AT726" s="206"/>
      <c r="AV726" s="213"/>
      <c r="AW726" s="6"/>
      <c r="AX726" s="6"/>
      <c r="AY726" s="6"/>
      <c r="AZ726" s="206"/>
    </row>
    <row r="727" spans="4:52" s="2" customFormat="1" ht="17.100000000000001" customHeight="1" x14ac:dyDescent="0.25">
      <c r="D727" s="3"/>
      <c r="E727" s="3"/>
      <c r="F727" s="4"/>
      <c r="G727" s="4"/>
      <c r="H727" s="138"/>
      <c r="I727" s="97"/>
      <c r="J727" s="6"/>
      <c r="K727" s="6"/>
      <c r="L727" s="6"/>
      <c r="M727" s="6"/>
      <c r="N727" s="6"/>
      <c r="O727" s="6"/>
      <c r="P727" s="6"/>
      <c r="Q727" s="6"/>
      <c r="R727" s="6"/>
      <c r="S727" s="6"/>
      <c r="T727" s="6"/>
      <c r="U727" s="6"/>
      <c r="V727" s="339"/>
      <c r="W727" s="339"/>
      <c r="X727" s="6"/>
      <c r="Y727" s="206"/>
      <c r="AE727" s="6"/>
      <c r="AF727" s="6"/>
      <c r="AG727" s="6"/>
      <c r="AH727" s="206"/>
      <c r="AJ727" s="213"/>
      <c r="AK727" s="6"/>
      <c r="AL727" s="6"/>
      <c r="AM727" s="6"/>
      <c r="AN727" s="206"/>
      <c r="AP727" s="213"/>
      <c r="AQ727" s="6"/>
      <c r="AR727" s="6"/>
      <c r="AS727" s="6"/>
      <c r="AT727" s="206"/>
      <c r="AV727" s="213"/>
      <c r="AW727" s="6"/>
      <c r="AX727" s="6"/>
      <c r="AY727" s="6"/>
      <c r="AZ727" s="206"/>
    </row>
    <row r="728" spans="4:52" s="2" customFormat="1" ht="17.100000000000001" customHeight="1" x14ac:dyDescent="0.25">
      <c r="D728" s="3"/>
      <c r="E728" s="3"/>
      <c r="F728" s="4"/>
      <c r="G728" s="4"/>
      <c r="H728" s="138"/>
      <c r="I728" s="97"/>
      <c r="J728" s="6"/>
      <c r="K728" s="6"/>
      <c r="L728" s="6"/>
      <c r="M728" s="6"/>
      <c r="N728" s="6"/>
      <c r="O728" s="6"/>
      <c r="P728" s="6"/>
      <c r="Q728" s="6"/>
      <c r="R728" s="6"/>
      <c r="S728" s="6"/>
      <c r="T728" s="6"/>
      <c r="U728" s="6"/>
      <c r="V728" s="339"/>
      <c r="W728" s="339"/>
      <c r="X728" s="6"/>
      <c r="Y728" s="206"/>
      <c r="AE728" s="6"/>
      <c r="AF728" s="6"/>
      <c r="AG728" s="6"/>
      <c r="AH728" s="206"/>
      <c r="AJ728" s="213"/>
      <c r="AK728" s="6"/>
      <c r="AL728" s="6"/>
      <c r="AM728" s="6"/>
      <c r="AN728" s="206"/>
      <c r="AP728" s="213"/>
      <c r="AQ728" s="6"/>
      <c r="AR728" s="6"/>
      <c r="AS728" s="6"/>
      <c r="AT728" s="206"/>
      <c r="AV728" s="213"/>
      <c r="AW728" s="6"/>
      <c r="AX728" s="6"/>
      <c r="AY728" s="6"/>
      <c r="AZ728" s="206"/>
    </row>
    <row r="729" spans="4:52" s="2" customFormat="1" ht="17.100000000000001" customHeight="1" x14ac:dyDescent="0.25">
      <c r="D729" s="3"/>
      <c r="E729" s="3"/>
      <c r="F729" s="4"/>
      <c r="G729" s="4"/>
      <c r="H729" s="138"/>
      <c r="I729" s="97"/>
      <c r="J729" s="6"/>
      <c r="K729" s="6"/>
      <c r="L729" s="6"/>
      <c r="M729" s="6"/>
      <c r="N729" s="6"/>
      <c r="O729" s="6"/>
      <c r="P729" s="6"/>
      <c r="Q729" s="6"/>
      <c r="R729" s="6"/>
      <c r="S729" s="6"/>
      <c r="T729" s="6"/>
      <c r="U729" s="6"/>
      <c r="V729" s="339"/>
      <c r="W729" s="339"/>
      <c r="X729" s="6"/>
      <c r="Y729" s="206"/>
      <c r="AE729" s="6"/>
      <c r="AF729" s="6"/>
      <c r="AG729" s="6"/>
      <c r="AH729" s="206"/>
      <c r="AJ729" s="213"/>
      <c r="AK729" s="6"/>
      <c r="AL729" s="6"/>
      <c r="AM729" s="6"/>
      <c r="AN729" s="206"/>
      <c r="AP729" s="213"/>
      <c r="AQ729" s="6"/>
      <c r="AR729" s="6"/>
      <c r="AS729" s="6"/>
      <c r="AT729" s="206"/>
      <c r="AV729" s="213"/>
      <c r="AW729" s="6"/>
      <c r="AX729" s="6"/>
      <c r="AY729" s="6"/>
      <c r="AZ729" s="206"/>
    </row>
    <row r="730" spans="4:52" s="2" customFormat="1" ht="17.100000000000001" customHeight="1" x14ac:dyDescent="0.25">
      <c r="D730" s="3"/>
      <c r="E730" s="3"/>
      <c r="F730" s="4"/>
      <c r="G730" s="4"/>
      <c r="H730" s="138"/>
      <c r="I730" s="97"/>
      <c r="J730" s="6"/>
      <c r="K730" s="6"/>
      <c r="L730" s="6"/>
      <c r="M730" s="6"/>
      <c r="N730" s="6"/>
      <c r="O730" s="6"/>
      <c r="P730" s="6"/>
      <c r="Q730" s="6"/>
      <c r="R730" s="6"/>
      <c r="S730" s="6"/>
      <c r="T730" s="6"/>
      <c r="U730" s="6"/>
      <c r="V730" s="339"/>
      <c r="W730" s="339"/>
      <c r="X730" s="6"/>
      <c r="Y730" s="206"/>
      <c r="AE730" s="6"/>
      <c r="AF730" s="6"/>
      <c r="AG730" s="6"/>
      <c r="AH730" s="206"/>
      <c r="AJ730" s="213"/>
      <c r="AK730" s="6"/>
      <c r="AL730" s="6"/>
      <c r="AM730" s="6"/>
      <c r="AN730" s="206"/>
      <c r="AP730" s="213"/>
      <c r="AQ730" s="6"/>
      <c r="AR730" s="6"/>
      <c r="AS730" s="6"/>
      <c r="AT730" s="206"/>
      <c r="AV730" s="213"/>
      <c r="AW730" s="6"/>
      <c r="AX730" s="6"/>
      <c r="AY730" s="6"/>
      <c r="AZ730" s="206"/>
    </row>
    <row r="731" spans="4:52" s="2" customFormat="1" ht="17.100000000000001" customHeight="1" x14ac:dyDescent="0.25">
      <c r="D731" s="3"/>
      <c r="E731" s="3"/>
      <c r="F731" s="4"/>
      <c r="G731" s="4"/>
      <c r="H731" s="138"/>
      <c r="I731" s="97"/>
      <c r="J731" s="6"/>
      <c r="K731" s="6"/>
      <c r="L731" s="6"/>
      <c r="M731" s="6"/>
      <c r="N731" s="6"/>
      <c r="O731" s="6"/>
      <c r="P731" s="6"/>
      <c r="Q731" s="6"/>
      <c r="R731" s="6"/>
      <c r="S731" s="6"/>
      <c r="T731" s="6"/>
      <c r="U731" s="6"/>
      <c r="V731" s="339"/>
      <c r="W731" s="339"/>
      <c r="X731" s="6"/>
      <c r="Y731" s="206"/>
      <c r="AE731" s="6"/>
      <c r="AF731" s="6"/>
      <c r="AG731" s="6"/>
      <c r="AH731" s="206"/>
      <c r="AJ731" s="213"/>
      <c r="AK731" s="6"/>
      <c r="AL731" s="6"/>
      <c r="AM731" s="6"/>
      <c r="AN731" s="206"/>
      <c r="AP731" s="213"/>
      <c r="AQ731" s="6"/>
      <c r="AR731" s="6"/>
      <c r="AS731" s="6"/>
      <c r="AT731" s="206"/>
      <c r="AV731" s="213"/>
      <c r="AW731" s="6"/>
      <c r="AX731" s="6"/>
      <c r="AY731" s="6"/>
      <c r="AZ731" s="206"/>
    </row>
    <row r="732" spans="4:52" s="2" customFormat="1" ht="17.100000000000001" customHeight="1" x14ac:dyDescent="0.25">
      <c r="D732" s="3"/>
      <c r="E732" s="3"/>
      <c r="F732" s="4"/>
      <c r="G732" s="4"/>
      <c r="H732" s="138"/>
      <c r="I732" s="97"/>
      <c r="J732" s="6"/>
      <c r="K732" s="6"/>
      <c r="L732" s="6"/>
      <c r="M732" s="6"/>
      <c r="N732" s="6"/>
      <c r="O732" s="6"/>
      <c r="P732" s="6"/>
      <c r="Q732" s="6"/>
      <c r="R732" s="6"/>
      <c r="S732" s="6"/>
      <c r="T732" s="6"/>
      <c r="U732" s="6"/>
      <c r="V732" s="339"/>
      <c r="W732" s="339"/>
      <c r="X732" s="6"/>
      <c r="Y732" s="206"/>
      <c r="AE732" s="6"/>
      <c r="AF732" s="6"/>
      <c r="AG732" s="6"/>
      <c r="AH732" s="206"/>
      <c r="AJ732" s="213"/>
      <c r="AK732" s="6"/>
      <c r="AL732" s="6"/>
      <c r="AM732" s="6"/>
      <c r="AN732" s="206"/>
      <c r="AP732" s="213"/>
      <c r="AQ732" s="6"/>
      <c r="AR732" s="6"/>
      <c r="AS732" s="6"/>
      <c r="AT732" s="206"/>
      <c r="AV732" s="213"/>
      <c r="AW732" s="6"/>
      <c r="AX732" s="6"/>
      <c r="AY732" s="6"/>
      <c r="AZ732" s="206"/>
    </row>
    <row r="733" spans="4:52" s="2" customFormat="1" ht="17.100000000000001" customHeight="1" x14ac:dyDescent="0.25">
      <c r="D733" s="3"/>
      <c r="E733" s="3"/>
      <c r="F733" s="4"/>
      <c r="G733" s="4"/>
      <c r="H733" s="138"/>
      <c r="I733" s="97"/>
      <c r="J733" s="6"/>
      <c r="K733" s="6"/>
      <c r="L733" s="6"/>
      <c r="M733" s="6"/>
      <c r="N733" s="6"/>
      <c r="O733" s="6"/>
      <c r="P733" s="6"/>
      <c r="Q733" s="6"/>
      <c r="R733" s="6"/>
      <c r="S733" s="6"/>
      <c r="T733" s="6"/>
      <c r="U733" s="6"/>
      <c r="V733" s="339"/>
      <c r="W733" s="339"/>
      <c r="X733" s="6"/>
      <c r="Y733" s="206"/>
      <c r="AE733" s="6"/>
      <c r="AF733" s="6"/>
      <c r="AG733" s="6"/>
      <c r="AH733" s="206"/>
      <c r="AJ733" s="213"/>
      <c r="AK733" s="6"/>
      <c r="AL733" s="6"/>
      <c r="AM733" s="6"/>
      <c r="AN733" s="206"/>
      <c r="AP733" s="213"/>
      <c r="AQ733" s="6"/>
      <c r="AR733" s="6"/>
      <c r="AS733" s="6"/>
      <c r="AT733" s="206"/>
      <c r="AV733" s="213"/>
      <c r="AW733" s="6"/>
      <c r="AX733" s="6"/>
      <c r="AY733" s="6"/>
      <c r="AZ733" s="206"/>
    </row>
    <row r="734" spans="4:52" s="2" customFormat="1" ht="17.100000000000001" customHeight="1" x14ac:dyDescent="0.25">
      <c r="D734" s="3"/>
      <c r="E734" s="3"/>
      <c r="F734" s="4"/>
      <c r="G734" s="4"/>
      <c r="H734" s="138"/>
      <c r="I734" s="97"/>
      <c r="J734" s="6"/>
      <c r="K734" s="6"/>
      <c r="L734" s="6"/>
      <c r="M734" s="6"/>
      <c r="N734" s="6"/>
      <c r="O734" s="6"/>
      <c r="P734" s="6"/>
      <c r="Q734" s="6"/>
      <c r="R734" s="6"/>
      <c r="S734" s="6"/>
      <c r="T734" s="6"/>
      <c r="U734" s="6"/>
      <c r="V734" s="339"/>
      <c r="W734" s="339"/>
      <c r="X734" s="6"/>
      <c r="Y734" s="206"/>
      <c r="AE734" s="6"/>
      <c r="AF734" s="6"/>
      <c r="AG734" s="6"/>
      <c r="AH734" s="206"/>
      <c r="AJ734" s="213"/>
      <c r="AK734" s="6"/>
      <c r="AL734" s="6"/>
      <c r="AM734" s="6"/>
      <c r="AN734" s="206"/>
      <c r="AP734" s="213"/>
      <c r="AQ734" s="6"/>
      <c r="AR734" s="6"/>
      <c r="AS734" s="6"/>
      <c r="AT734" s="206"/>
      <c r="AV734" s="213"/>
      <c r="AW734" s="6"/>
      <c r="AX734" s="6"/>
      <c r="AY734" s="6"/>
      <c r="AZ734" s="206"/>
    </row>
    <row r="735" spans="4:52" s="2" customFormat="1" ht="17.100000000000001" customHeight="1" x14ac:dyDescent="0.25">
      <c r="D735" s="3"/>
      <c r="E735" s="3"/>
      <c r="F735" s="4"/>
      <c r="G735" s="4"/>
      <c r="H735" s="138"/>
      <c r="I735" s="97"/>
      <c r="J735" s="6"/>
      <c r="K735" s="6"/>
      <c r="L735" s="6"/>
      <c r="M735" s="6"/>
      <c r="N735" s="6"/>
      <c r="O735" s="6"/>
      <c r="P735" s="6"/>
      <c r="Q735" s="6"/>
      <c r="R735" s="6"/>
      <c r="S735" s="6"/>
      <c r="T735" s="6"/>
      <c r="U735" s="6"/>
      <c r="V735" s="339"/>
      <c r="W735" s="339"/>
      <c r="X735" s="6"/>
      <c r="Y735" s="206"/>
      <c r="AE735" s="6"/>
      <c r="AF735" s="6"/>
      <c r="AG735" s="6"/>
      <c r="AH735" s="206"/>
      <c r="AJ735" s="213"/>
      <c r="AK735" s="6"/>
      <c r="AL735" s="6"/>
      <c r="AM735" s="6"/>
      <c r="AN735" s="206"/>
      <c r="AP735" s="213"/>
      <c r="AQ735" s="6"/>
      <c r="AR735" s="6"/>
      <c r="AS735" s="6"/>
      <c r="AT735" s="206"/>
      <c r="AV735" s="213"/>
      <c r="AW735" s="6"/>
      <c r="AX735" s="6"/>
      <c r="AY735" s="6"/>
      <c r="AZ735" s="206"/>
    </row>
    <row r="736" spans="4:52" s="2" customFormat="1" ht="17.100000000000001" customHeight="1" x14ac:dyDescent="0.25">
      <c r="D736" s="3"/>
      <c r="E736" s="3"/>
      <c r="F736" s="4"/>
      <c r="G736" s="4"/>
      <c r="H736" s="138"/>
      <c r="I736" s="97"/>
      <c r="J736" s="6"/>
      <c r="K736" s="6"/>
      <c r="L736" s="6"/>
      <c r="M736" s="6"/>
      <c r="N736" s="6"/>
      <c r="O736" s="6"/>
      <c r="P736" s="6"/>
      <c r="Q736" s="6"/>
      <c r="R736" s="6"/>
      <c r="S736" s="6"/>
      <c r="T736" s="6"/>
      <c r="U736" s="6"/>
      <c r="V736" s="339"/>
      <c r="W736" s="339"/>
      <c r="X736" s="6"/>
      <c r="Y736" s="206"/>
      <c r="AE736" s="6"/>
      <c r="AF736" s="6"/>
      <c r="AG736" s="6"/>
      <c r="AH736" s="206"/>
      <c r="AJ736" s="213"/>
      <c r="AK736" s="6"/>
      <c r="AL736" s="6"/>
      <c r="AM736" s="6"/>
      <c r="AN736" s="206"/>
      <c r="AP736" s="213"/>
      <c r="AQ736" s="6"/>
      <c r="AR736" s="6"/>
      <c r="AS736" s="6"/>
      <c r="AT736" s="206"/>
      <c r="AV736" s="213"/>
      <c r="AW736" s="6"/>
      <c r="AX736" s="6"/>
      <c r="AY736" s="6"/>
      <c r="AZ736" s="206"/>
    </row>
    <row r="737" spans="4:52" s="2" customFormat="1" ht="17.100000000000001" customHeight="1" x14ac:dyDescent="0.25">
      <c r="D737" s="3"/>
      <c r="E737" s="3"/>
      <c r="F737" s="4"/>
      <c r="G737" s="4"/>
      <c r="H737" s="138"/>
      <c r="I737" s="97"/>
      <c r="J737" s="6"/>
      <c r="K737" s="6"/>
      <c r="L737" s="6"/>
      <c r="M737" s="6"/>
      <c r="N737" s="6"/>
      <c r="O737" s="6"/>
      <c r="P737" s="6"/>
      <c r="Q737" s="6"/>
      <c r="R737" s="6"/>
      <c r="S737" s="6"/>
      <c r="T737" s="6"/>
      <c r="U737" s="6"/>
      <c r="V737" s="339"/>
      <c r="W737" s="339"/>
      <c r="X737" s="6"/>
      <c r="Y737" s="206"/>
      <c r="AE737" s="6"/>
      <c r="AF737" s="6"/>
      <c r="AG737" s="6"/>
      <c r="AH737" s="206"/>
      <c r="AJ737" s="213"/>
      <c r="AK737" s="6"/>
      <c r="AL737" s="6"/>
      <c r="AM737" s="6"/>
      <c r="AN737" s="206"/>
      <c r="AP737" s="213"/>
      <c r="AQ737" s="6"/>
      <c r="AR737" s="6"/>
      <c r="AS737" s="6"/>
      <c r="AT737" s="206"/>
      <c r="AV737" s="213"/>
      <c r="AW737" s="6"/>
      <c r="AX737" s="6"/>
      <c r="AY737" s="6"/>
      <c r="AZ737" s="206"/>
    </row>
    <row r="738" spans="4:52" s="2" customFormat="1" ht="17.100000000000001" customHeight="1" x14ac:dyDescent="0.25">
      <c r="D738" s="3"/>
      <c r="E738" s="3"/>
      <c r="F738" s="4"/>
      <c r="G738" s="4"/>
      <c r="H738" s="138"/>
      <c r="I738" s="97"/>
      <c r="J738" s="6"/>
      <c r="K738" s="6"/>
      <c r="L738" s="6"/>
      <c r="M738" s="6"/>
      <c r="N738" s="6"/>
      <c r="O738" s="6"/>
      <c r="P738" s="6"/>
      <c r="Q738" s="6"/>
      <c r="R738" s="6"/>
      <c r="S738" s="6"/>
      <c r="T738" s="6"/>
      <c r="U738" s="6"/>
      <c r="V738" s="339"/>
      <c r="W738" s="339"/>
      <c r="X738" s="6"/>
      <c r="Y738" s="206"/>
      <c r="AE738" s="6"/>
      <c r="AF738" s="6"/>
      <c r="AG738" s="6"/>
      <c r="AH738" s="206"/>
      <c r="AJ738" s="213"/>
      <c r="AK738" s="6"/>
      <c r="AL738" s="6"/>
      <c r="AM738" s="6"/>
      <c r="AN738" s="206"/>
      <c r="AP738" s="213"/>
      <c r="AQ738" s="6"/>
      <c r="AR738" s="6"/>
      <c r="AS738" s="6"/>
      <c r="AT738" s="206"/>
      <c r="AV738" s="213"/>
      <c r="AW738" s="6"/>
      <c r="AX738" s="6"/>
      <c r="AY738" s="6"/>
      <c r="AZ738" s="206"/>
    </row>
    <row r="739" spans="4:52" s="2" customFormat="1" ht="17.100000000000001" customHeight="1" x14ac:dyDescent="0.25">
      <c r="D739" s="3"/>
      <c r="E739" s="3"/>
      <c r="F739" s="4"/>
      <c r="G739" s="4"/>
      <c r="H739" s="138"/>
      <c r="I739" s="97"/>
      <c r="J739" s="6"/>
      <c r="K739" s="6"/>
      <c r="L739" s="6"/>
      <c r="M739" s="6"/>
      <c r="N739" s="6"/>
      <c r="O739" s="6"/>
      <c r="P739" s="6"/>
      <c r="Q739" s="6"/>
      <c r="R739" s="6"/>
      <c r="S739" s="6"/>
      <c r="T739" s="6"/>
      <c r="U739" s="6"/>
      <c r="V739" s="339"/>
      <c r="W739" s="339"/>
      <c r="X739" s="6"/>
      <c r="Y739" s="206"/>
      <c r="AE739" s="6"/>
      <c r="AF739" s="6"/>
      <c r="AG739" s="6"/>
      <c r="AH739" s="206"/>
      <c r="AJ739" s="213"/>
      <c r="AK739" s="6"/>
      <c r="AL739" s="6"/>
      <c r="AM739" s="6"/>
      <c r="AN739" s="206"/>
      <c r="AP739" s="213"/>
      <c r="AQ739" s="6"/>
      <c r="AR739" s="6"/>
      <c r="AS739" s="6"/>
      <c r="AT739" s="206"/>
      <c r="AV739" s="213"/>
      <c r="AW739" s="6"/>
      <c r="AX739" s="6"/>
      <c r="AY739" s="6"/>
      <c r="AZ739" s="206"/>
    </row>
    <row r="740" spans="4:52" s="2" customFormat="1" ht="17.100000000000001" customHeight="1" x14ac:dyDescent="0.25">
      <c r="D740" s="3"/>
      <c r="E740" s="3"/>
      <c r="F740" s="4"/>
      <c r="G740" s="4"/>
      <c r="H740" s="138"/>
      <c r="I740" s="97"/>
      <c r="J740" s="6"/>
      <c r="K740" s="6"/>
      <c r="L740" s="6"/>
      <c r="M740" s="6"/>
      <c r="N740" s="6"/>
      <c r="O740" s="6"/>
      <c r="P740" s="6"/>
      <c r="Q740" s="6"/>
      <c r="R740" s="6"/>
      <c r="S740" s="6"/>
      <c r="T740" s="6"/>
      <c r="U740" s="6"/>
      <c r="V740" s="339"/>
      <c r="W740" s="339"/>
      <c r="X740" s="6"/>
      <c r="Y740" s="206"/>
      <c r="AE740" s="6"/>
      <c r="AF740" s="6"/>
      <c r="AG740" s="6"/>
      <c r="AH740" s="206"/>
      <c r="AJ740" s="213"/>
      <c r="AK740" s="6"/>
      <c r="AL740" s="6"/>
      <c r="AM740" s="6"/>
      <c r="AN740" s="206"/>
      <c r="AP740" s="213"/>
      <c r="AQ740" s="6"/>
      <c r="AR740" s="6"/>
      <c r="AS740" s="6"/>
      <c r="AT740" s="206"/>
      <c r="AV740" s="213"/>
      <c r="AW740" s="6"/>
      <c r="AX740" s="6"/>
      <c r="AY740" s="6"/>
      <c r="AZ740" s="206"/>
    </row>
    <row r="741" spans="4:52" s="2" customFormat="1" ht="17.100000000000001" customHeight="1" x14ac:dyDescent="0.25">
      <c r="D741" s="3"/>
      <c r="E741" s="3"/>
      <c r="F741" s="4"/>
      <c r="G741" s="4"/>
      <c r="H741" s="138"/>
      <c r="I741" s="97"/>
      <c r="J741" s="6"/>
      <c r="K741" s="6"/>
      <c r="L741" s="6"/>
      <c r="M741" s="6"/>
      <c r="N741" s="6"/>
      <c r="O741" s="6"/>
      <c r="P741" s="6"/>
      <c r="Q741" s="6"/>
      <c r="R741" s="6"/>
      <c r="S741" s="6"/>
      <c r="T741" s="6"/>
      <c r="U741" s="6"/>
      <c r="V741" s="339"/>
      <c r="W741" s="339"/>
      <c r="X741" s="6"/>
      <c r="Y741" s="206"/>
      <c r="AE741" s="6"/>
      <c r="AF741" s="6"/>
      <c r="AG741" s="6"/>
      <c r="AH741" s="206"/>
      <c r="AJ741" s="213"/>
      <c r="AK741" s="6"/>
      <c r="AL741" s="6"/>
      <c r="AM741" s="6"/>
      <c r="AN741" s="206"/>
      <c r="AP741" s="213"/>
      <c r="AQ741" s="6"/>
      <c r="AR741" s="6"/>
      <c r="AS741" s="6"/>
      <c r="AT741" s="206"/>
      <c r="AV741" s="213"/>
      <c r="AW741" s="6"/>
      <c r="AX741" s="6"/>
      <c r="AY741" s="6"/>
      <c r="AZ741" s="206"/>
    </row>
    <row r="742" spans="4:52" s="2" customFormat="1" ht="17.100000000000001" customHeight="1" x14ac:dyDescent="0.25">
      <c r="D742" s="3"/>
      <c r="E742" s="3"/>
      <c r="F742" s="4"/>
      <c r="G742" s="4"/>
      <c r="H742" s="138"/>
      <c r="I742" s="97"/>
      <c r="J742" s="6"/>
      <c r="K742" s="6"/>
      <c r="L742" s="6"/>
      <c r="M742" s="6"/>
      <c r="N742" s="6"/>
      <c r="O742" s="6"/>
      <c r="P742" s="6"/>
      <c r="Q742" s="6"/>
      <c r="R742" s="6"/>
      <c r="S742" s="6"/>
      <c r="T742" s="6"/>
      <c r="U742" s="6"/>
      <c r="V742" s="339"/>
      <c r="W742" s="339"/>
      <c r="X742" s="6"/>
      <c r="Y742" s="206"/>
      <c r="AE742" s="6"/>
      <c r="AF742" s="6"/>
      <c r="AG742" s="6"/>
      <c r="AH742" s="206"/>
      <c r="AJ742" s="213"/>
      <c r="AK742" s="6"/>
      <c r="AL742" s="6"/>
      <c r="AM742" s="6"/>
      <c r="AN742" s="206"/>
      <c r="AP742" s="213"/>
      <c r="AQ742" s="6"/>
      <c r="AR742" s="6"/>
      <c r="AS742" s="6"/>
      <c r="AT742" s="206"/>
      <c r="AV742" s="213"/>
      <c r="AW742" s="6"/>
      <c r="AX742" s="6"/>
      <c r="AY742" s="6"/>
      <c r="AZ742" s="206"/>
    </row>
    <row r="743" spans="4:52" s="2" customFormat="1" ht="17.100000000000001" customHeight="1" x14ac:dyDescent="0.25">
      <c r="D743" s="3"/>
      <c r="E743" s="3"/>
      <c r="F743" s="4"/>
      <c r="G743" s="4"/>
      <c r="H743" s="138"/>
      <c r="I743" s="97"/>
      <c r="J743" s="6"/>
      <c r="K743" s="6"/>
      <c r="L743" s="6"/>
      <c r="M743" s="6"/>
      <c r="N743" s="6"/>
      <c r="O743" s="6"/>
      <c r="P743" s="6"/>
      <c r="Q743" s="6"/>
      <c r="R743" s="6"/>
      <c r="S743" s="6"/>
      <c r="T743" s="6"/>
      <c r="U743" s="6"/>
      <c r="V743" s="339"/>
      <c r="W743" s="339"/>
      <c r="X743" s="6"/>
      <c r="Y743" s="206"/>
      <c r="AE743" s="6"/>
      <c r="AF743" s="6"/>
      <c r="AG743" s="6"/>
      <c r="AH743" s="206"/>
      <c r="AJ743" s="213"/>
      <c r="AK743" s="6"/>
      <c r="AL743" s="6"/>
      <c r="AM743" s="6"/>
      <c r="AN743" s="206"/>
      <c r="AP743" s="213"/>
      <c r="AQ743" s="6"/>
      <c r="AR743" s="6"/>
      <c r="AS743" s="6"/>
      <c r="AT743" s="206"/>
      <c r="AV743" s="213"/>
      <c r="AW743" s="6"/>
      <c r="AX743" s="6"/>
      <c r="AY743" s="6"/>
      <c r="AZ743" s="206"/>
    </row>
    <row r="744" spans="4:52" s="2" customFormat="1" ht="17.100000000000001" customHeight="1" x14ac:dyDescent="0.25">
      <c r="D744" s="3"/>
      <c r="E744" s="3"/>
      <c r="F744" s="4"/>
      <c r="G744" s="4"/>
      <c r="H744" s="138"/>
      <c r="I744" s="97"/>
      <c r="J744" s="6"/>
      <c r="K744" s="6"/>
      <c r="L744" s="6"/>
      <c r="M744" s="6"/>
      <c r="N744" s="6"/>
      <c r="O744" s="6"/>
      <c r="P744" s="6"/>
      <c r="Q744" s="6"/>
      <c r="R744" s="6"/>
      <c r="S744" s="6"/>
      <c r="T744" s="6"/>
      <c r="U744" s="6"/>
      <c r="V744" s="339"/>
      <c r="W744" s="339"/>
      <c r="X744" s="6"/>
      <c r="Y744" s="206"/>
      <c r="AE744" s="6"/>
      <c r="AF744" s="6"/>
      <c r="AG744" s="6"/>
      <c r="AH744" s="206"/>
      <c r="AJ744" s="213"/>
      <c r="AK744" s="6"/>
      <c r="AL744" s="6"/>
      <c r="AM744" s="6"/>
      <c r="AN744" s="206"/>
      <c r="AP744" s="213"/>
      <c r="AQ744" s="6"/>
      <c r="AR744" s="6"/>
      <c r="AS744" s="6"/>
      <c r="AT744" s="206"/>
      <c r="AV744" s="213"/>
      <c r="AW744" s="6"/>
      <c r="AX744" s="6"/>
      <c r="AY744" s="6"/>
      <c r="AZ744" s="206"/>
    </row>
    <row r="745" spans="4:52" s="2" customFormat="1" ht="17.100000000000001" customHeight="1" x14ac:dyDescent="0.25">
      <c r="D745" s="3"/>
      <c r="E745" s="3"/>
      <c r="F745" s="4"/>
      <c r="G745" s="4"/>
      <c r="H745" s="138"/>
      <c r="I745" s="97"/>
      <c r="J745" s="6"/>
      <c r="K745" s="6"/>
      <c r="L745" s="6"/>
      <c r="M745" s="6"/>
      <c r="N745" s="6"/>
      <c r="O745" s="6"/>
      <c r="P745" s="6"/>
      <c r="Q745" s="6"/>
      <c r="R745" s="6"/>
      <c r="S745" s="6"/>
      <c r="T745" s="6"/>
      <c r="U745" s="6"/>
      <c r="V745" s="339"/>
      <c r="W745" s="339"/>
      <c r="X745" s="6"/>
      <c r="Y745" s="206"/>
      <c r="AE745" s="6"/>
      <c r="AF745" s="6"/>
      <c r="AG745" s="6"/>
      <c r="AH745" s="206"/>
      <c r="AJ745" s="213"/>
      <c r="AK745" s="6"/>
      <c r="AL745" s="6"/>
      <c r="AM745" s="6"/>
      <c r="AN745" s="206"/>
      <c r="AP745" s="213"/>
      <c r="AQ745" s="6"/>
      <c r="AR745" s="6"/>
      <c r="AS745" s="6"/>
      <c r="AT745" s="206"/>
      <c r="AV745" s="213"/>
      <c r="AW745" s="6"/>
      <c r="AX745" s="6"/>
      <c r="AY745" s="6"/>
      <c r="AZ745" s="206"/>
    </row>
    <row r="746" spans="4:52" s="2" customFormat="1" ht="17.100000000000001" customHeight="1" x14ac:dyDescent="0.25">
      <c r="D746" s="3"/>
      <c r="E746" s="3"/>
      <c r="F746" s="4"/>
      <c r="G746" s="4"/>
      <c r="H746" s="138"/>
      <c r="I746" s="97"/>
      <c r="J746" s="6"/>
      <c r="K746" s="6"/>
      <c r="L746" s="6"/>
      <c r="M746" s="6"/>
      <c r="N746" s="6"/>
      <c r="O746" s="6"/>
      <c r="P746" s="6"/>
      <c r="Q746" s="6"/>
      <c r="R746" s="6"/>
      <c r="S746" s="6"/>
      <c r="T746" s="6"/>
      <c r="U746" s="6"/>
      <c r="V746" s="339"/>
      <c r="W746" s="339"/>
      <c r="X746" s="6"/>
      <c r="Y746" s="206"/>
      <c r="AE746" s="6"/>
      <c r="AF746" s="6"/>
      <c r="AG746" s="6"/>
      <c r="AH746" s="206"/>
      <c r="AJ746" s="213"/>
      <c r="AK746" s="6"/>
      <c r="AL746" s="6"/>
      <c r="AM746" s="6"/>
      <c r="AN746" s="206"/>
      <c r="AP746" s="213"/>
      <c r="AQ746" s="6"/>
      <c r="AR746" s="6"/>
      <c r="AS746" s="6"/>
      <c r="AT746" s="206"/>
      <c r="AV746" s="213"/>
      <c r="AW746" s="6"/>
      <c r="AX746" s="6"/>
      <c r="AY746" s="6"/>
      <c r="AZ746" s="206"/>
    </row>
    <row r="747" spans="4:52" s="2" customFormat="1" ht="17.100000000000001" customHeight="1" x14ac:dyDescent="0.25">
      <c r="D747" s="3"/>
      <c r="E747" s="3"/>
      <c r="F747" s="4"/>
      <c r="G747" s="4"/>
      <c r="H747" s="138"/>
      <c r="I747" s="97"/>
      <c r="J747" s="6"/>
      <c r="K747" s="6"/>
      <c r="L747" s="6"/>
      <c r="M747" s="6"/>
      <c r="N747" s="6"/>
      <c r="O747" s="6"/>
      <c r="P747" s="6"/>
      <c r="Q747" s="6"/>
      <c r="R747" s="6"/>
      <c r="S747" s="6"/>
      <c r="T747" s="6"/>
      <c r="U747" s="6"/>
      <c r="V747" s="339"/>
      <c r="W747" s="339"/>
      <c r="X747" s="6"/>
      <c r="Y747" s="206"/>
      <c r="AE747" s="6"/>
      <c r="AF747" s="6"/>
      <c r="AG747" s="6"/>
      <c r="AH747" s="206"/>
      <c r="AJ747" s="213"/>
      <c r="AK747" s="6"/>
      <c r="AL747" s="6"/>
      <c r="AM747" s="6"/>
      <c r="AN747" s="206"/>
      <c r="AP747" s="213"/>
      <c r="AQ747" s="6"/>
      <c r="AR747" s="6"/>
      <c r="AS747" s="6"/>
      <c r="AT747" s="206"/>
      <c r="AV747" s="213"/>
      <c r="AW747" s="6"/>
      <c r="AX747" s="6"/>
      <c r="AY747" s="6"/>
      <c r="AZ747" s="206"/>
    </row>
    <row r="748" spans="4:52" s="2" customFormat="1" ht="17.100000000000001" customHeight="1" x14ac:dyDescent="0.25">
      <c r="D748" s="3"/>
      <c r="E748" s="3"/>
      <c r="F748" s="4"/>
      <c r="G748" s="4"/>
      <c r="H748" s="138"/>
      <c r="I748" s="97"/>
      <c r="J748" s="6"/>
      <c r="K748" s="6"/>
      <c r="L748" s="6"/>
      <c r="M748" s="6"/>
      <c r="N748" s="6"/>
      <c r="O748" s="6"/>
      <c r="P748" s="6"/>
      <c r="Q748" s="6"/>
      <c r="R748" s="6"/>
      <c r="S748" s="6"/>
      <c r="T748" s="6"/>
      <c r="U748" s="6"/>
      <c r="V748" s="339"/>
      <c r="W748" s="339"/>
      <c r="X748" s="6"/>
      <c r="Y748" s="206"/>
      <c r="AE748" s="6"/>
      <c r="AF748" s="6"/>
      <c r="AG748" s="6"/>
      <c r="AH748" s="206"/>
      <c r="AJ748" s="213"/>
      <c r="AK748" s="6"/>
      <c r="AL748" s="6"/>
      <c r="AM748" s="6"/>
      <c r="AN748" s="206"/>
      <c r="AP748" s="213"/>
      <c r="AQ748" s="6"/>
      <c r="AR748" s="6"/>
      <c r="AS748" s="6"/>
      <c r="AT748" s="206"/>
      <c r="AV748" s="213"/>
      <c r="AW748" s="6"/>
      <c r="AX748" s="6"/>
      <c r="AY748" s="6"/>
      <c r="AZ748" s="206"/>
    </row>
    <row r="749" spans="4:52" s="2" customFormat="1" ht="17.100000000000001" customHeight="1" x14ac:dyDescent="0.25">
      <c r="D749" s="3"/>
      <c r="E749" s="3"/>
      <c r="F749" s="4"/>
      <c r="G749" s="4"/>
      <c r="H749" s="138"/>
      <c r="I749" s="97"/>
      <c r="J749" s="6"/>
      <c r="K749" s="6"/>
      <c r="L749" s="6"/>
      <c r="M749" s="6"/>
      <c r="N749" s="6"/>
      <c r="O749" s="6"/>
      <c r="P749" s="6"/>
      <c r="Q749" s="6"/>
      <c r="R749" s="6"/>
      <c r="S749" s="6"/>
      <c r="T749" s="6"/>
      <c r="U749" s="6"/>
      <c r="V749" s="339"/>
      <c r="W749" s="339"/>
      <c r="X749" s="6"/>
      <c r="Y749" s="206"/>
      <c r="AE749" s="6"/>
      <c r="AF749" s="6"/>
      <c r="AG749" s="6"/>
      <c r="AH749" s="206"/>
      <c r="AJ749" s="213"/>
      <c r="AK749" s="6"/>
      <c r="AL749" s="6"/>
      <c r="AM749" s="6"/>
      <c r="AN749" s="206"/>
      <c r="AP749" s="213"/>
      <c r="AQ749" s="6"/>
      <c r="AR749" s="6"/>
      <c r="AS749" s="6"/>
      <c r="AT749" s="206"/>
      <c r="AV749" s="213"/>
      <c r="AW749" s="6"/>
      <c r="AX749" s="6"/>
      <c r="AY749" s="6"/>
      <c r="AZ749" s="206"/>
    </row>
    <row r="750" spans="4:52" s="2" customFormat="1" ht="17.100000000000001" customHeight="1" x14ac:dyDescent="0.25">
      <c r="D750" s="3"/>
      <c r="E750" s="3"/>
      <c r="F750" s="4"/>
      <c r="G750" s="4"/>
      <c r="H750" s="138"/>
      <c r="I750" s="97"/>
      <c r="J750" s="6"/>
      <c r="K750" s="6"/>
      <c r="L750" s="6"/>
      <c r="M750" s="6"/>
      <c r="N750" s="6"/>
      <c r="O750" s="6"/>
      <c r="P750" s="6"/>
      <c r="Q750" s="6"/>
      <c r="R750" s="6"/>
      <c r="S750" s="6"/>
      <c r="T750" s="6"/>
      <c r="U750" s="6"/>
      <c r="V750" s="339"/>
      <c r="W750" s="339"/>
      <c r="X750" s="6"/>
      <c r="Y750" s="206"/>
      <c r="AE750" s="6"/>
      <c r="AF750" s="6"/>
      <c r="AG750" s="6"/>
      <c r="AH750" s="206"/>
      <c r="AJ750" s="213"/>
      <c r="AK750" s="6"/>
      <c r="AL750" s="6"/>
      <c r="AM750" s="6"/>
      <c r="AN750" s="206"/>
      <c r="AP750" s="213"/>
      <c r="AQ750" s="6"/>
      <c r="AR750" s="6"/>
      <c r="AS750" s="6"/>
      <c r="AT750" s="206"/>
      <c r="AV750" s="213"/>
      <c r="AW750" s="6"/>
      <c r="AX750" s="6"/>
      <c r="AY750" s="6"/>
      <c r="AZ750" s="206"/>
    </row>
    <row r="751" spans="4:52" s="2" customFormat="1" ht="17.100000000000001" customHeight="1" x14ac:dyDescent="0.25">
      <c r="D751" s="3"/>
      <c r="E751" s="3"/>
      <c r="F751" s="4"/>
      <c r="G751" s="4"/>
      <c r="H751" s="138"/>
      <c r="I751" s="97"/>
      <c r="J751" s="6"/>
      <c r="K751" s="6"/>
      <c r="L751" s="6"/>
      <c r="M751" s="6"/>
      <c r="N751" s="6"/>
      <c r="O751" s="6"/>
      <c r="P751" s="6"/>
      <c r="Q751" s="6"/>
      <c r="R751" s="6"/>
      <c r="S751" s="6"/>
      <c r="T751" s="6"/>
      <c r="U751" s="6"/>
      <c r="V751" s="339"/>
      <c r="W751" s="339"/>
      <c r="X751" s="6"/>
      <c r="Y751" s="206"/>
      <c r="AE751" s="6"/>
      <c r="AF751" s="6"/>
      <c r="AG751" s="6"/>
      <c r="AH751" s="206"/>
      <c r="AJ751" s="213"/>
      <c r="AK751" s="6"/>
      <c r="AL751" s="6"/>
      <c r="AM751" s="6"/>
      <c r="AN751" s="206"/>
      <c r="AP751" s="213"/>
      <c r="AQ751" s="6"/>
      <c r="AR751" s="6"/>
      <c r="AS751" s="6"/>
      <c r="AT751" s="206"/>
      <c r="AV751" s="213"/>
      <c r="AW751" s="6"/>
      <c r="AX751" s="6"/>
      <c r="AY751" s="6"/>
      <c r="AZ751" s="206"/>
    </row>
    <row r="752" spans="4:52" s="2" customFormat="1" ht="17.100000000000001" customHeight="1" x14ac:dyDescent="0.25">
      <c r="D752" s="3"/>
      <c r="E752" s="3"/>
      <c r="F752" s="4"/>
      <c r="G752" s="4"/>
      <c r="H752" s="138"/>
      <c r="I752" s="97"/>
      <c r="J752" s="6"/>
      <c r="K752" s="6"/>
      <c r="L752" s="6"/>
      <c r="M752" s="6"/>
      <c r="N752" s="6"/>
      <c r="O752" s="6"/>
      <c r="P752" s="6"/>
      <c r="Q752" s="6"/>
      <c r="R752" s="6"/>
      <c r="S752" s="6"/>
      <c r="T752" s="6"/>
      <c r="U752" s="6"/>
      <c r="V752" s="339"/>
      <c r="W752" s="339"/>
      <c r="X752" s="6"/>
      <c r="Y752" s="206"/>
      <c r="AE752" s="6"/>
      <c r="AF752" s="6"/>
      <c r="AG752" s="6"/>
      <c r="AH752" s="206"/>
      <c r="AJ752" s="213"/>
      <c r="AK752" s="6"/>
      <c r="AL752" s="6"/>
      <c r="AM752" s="6"/>
      <c r="AN752" s="206"/>
      <c r="AP752" s="213"/>
      <c r="AQ752" s="6"/>
      <c r="AR752" s="6"/>
      <c r="AS752" s="6"/>
      <c r="AT752" s="206"/>
      <c r="AV752" s="213"/>
      <c r="AW752" s="6"/>
      <c r="AX752" s="6"/>
      <c r="AY752" s="6"/>
      <c r="AZ752" s="206"/>
    </row>
    <row r="753" spans="4:52" s="2" customFormat="1" ht="17.100000000000001" customHeight="1" x14ac:dyDescent="0.25">
      <c r="D753" s="3"/>
      <c r="E753" s="3"/>
      <c r="F753" s="4"/>
      <c r="G753" s="4"/>
      <c r="H753" s="138"/>
      <c r="I753" s="97"/>
      <c r="J753" s="6"/>
      <c r="K753" s="6"/>
      <c r="L753" s="6"/>
      <c r="M753" s="6"/>
      <c r="N753" s="6"/>
      <c r="O753" s="6"/>
      <c r="P753" s="6"/>
      <c r="Q753" s="6"/>
      <c r="R753" s="6"/>
      <c r="S753" s="6"/>
      <c r="T753" s="6"/>
      <c r="U753" s="6"/>
      <c r="V753" s="339"/>
      <c r="W753" s="339"/>
      <c r="X753" s="6"/>
      <c r="Y753" s="206"/>
      <c r="AE753" s="6"/>
      <c r="AF753" s="6"/>
      <c r="AG753" s="6"/>
      <c r="AH753" s="206"/>
      <c r="AJ753" s="213"/>
      <c r="AK753" s="6"/>
      <c r="AL753" s="6"/>
      <c r="AM753" s="6"/>
      <c r="AN753" s="206"/>
      <c r="AP753" s="213"/>
      <c r="AQ753" s="6"/>
      <c r="AR753" s="6"/>
      <c r="AS753" s="6"/>
      <c r="AT753" s="206"/>
      <c r="AV753" s="213"/>
      <c r="AW753" s="6"/>
      <c r="AX753" s="6"/>
      <c r="AY753" s="6"/>
      <c r="AZ753" s="206"/>
    </row>
    <row r="754" spans="4:52" s="2" customFormat="1" ht="17.100000000000001" customHeight="1" x14ac:dyDescent="0.25">
      <c r="D754" s="3"/>
      <c r="E754" s="3"/>
      <c r="F754" s="4"/>
      <c r="G754" s="4"/>
      <c r="H754" s="138"/>
      <c r="I754" s="97"/>
      <c r="J754" s="6"/>
      <c r="K754" s="6"/>
      <c r="L754" s="6"/>
      <c r="M754" s="6"/>
      <c r="N754" s="6"/>
      <c r="O754" s="6"/>
      <c r="P754" s="6"/>
      <c r="Q754" s="6"/>
      <c r="R754" s="6"/>
      <c r="S754" s="6"/>
      <c r="T754" s="6"/>
      <c r="U754" s="6"/>
      <c r="V754" s="339"/>
      <c r="W754" s="339"/>
      <c r="X754" s="6"/>
      <c r="Y754" s="206"/>
      <c r="AE754" s="6"/>
      <c r="AF754" s="6"/>
      <c r="AG754" s="6"/>
      <c r="AH754" s="206"/>
      <c r="AJ754" s="213"/>
      <c r="AK754" s="6"/>
      <c r="AL754" s="6"/>
      <c r="AM754" s="6"/>
      <c r="AN754" s="206"/>
      <c r="AP754" s="213"/>
      <c r="AQ754" s="6"/>
      <c r="AR754" s="6"/>
      <c r="AS754" s="6"/>
      <c r="AT754" s="206"/>
      <c r="AV754" s="213"/>
      <c r="AW754" s="6"/>
      <c r="AX754" s="6"/>
      <c r="AY754" s="6"/>
      <c r="AZ754" s="206"/>
    </row>
    <row r="755" spans="4:52" s="2" customFormat="1" ht="17.100000000000001" customHeight="1" x14ac:dyDescent="0.25">
      <c r="D755" s="3"/>
      <c r="E755" s="3"/>
      <c r="F755" s="4"/>
      <c r="G755" s="4"/>
      <c r="H755" s="138"/>
      <c r="I755" s="97"/>
      <c r="J755" s="6"/>
      <c r="K755" s="6"/>
      <c r="L755" s="6"/>
      <c r="M755" s="6"/>
      <c r="N755" s="6"/>
      <c r="O755" s="6"/>
      <c r="P755" s="6"/>
      <c r="Q755" s="6"/>
      <c r="R755" s="6"/>
      <c r="S755" s="6"/>
      <c r="T755" s="6"/>
      <c r="U755" s="6"/>
      <c r="V755" s="339"/>
      <c r="W755" s="339"/>
      <c r="X755" s="6"/>
      <c r="Y755" s="206"/>
      <c r="AE755" s="6"/>
      <c r="AF755" s="6"/>
      <c r="AG755" s="6"/>
      <c r="AH755" s="206"/>
      <c r="AJ755" s="213"/>
      <c r="AK755" s="6"/>
      <c r="AL755" s="6"/>
      <c r="AM755" s="6"/>
      <c r="AN755" s="206"/>
      <c r="AP755" s="213"/>
      <c r="AQ755" s="6"/>
      <c r="AR755" s="6"/>
      <c r="AS755" s="6"/>
      <c r="AT755" s="206"/>
      <c r="AV755" s="213"/>
      <c r="AW755" s="6"/>
      <c r="AX755" s="6"/>
      <c r="AY755" s="6"/>
      <c r="AZ755" s="206"/>
    </row>
    <row r="756" spans="4:52" s="2" customFormat="1" ht="17.100000000000001" customHeight="1" x14ac:dyDescent="0.25">
      <c r="D756" s="3"/>
      <c r="E756" s="3"/>
      <c r="F756" s="4"/>
      <c r="G756" s="4"/>
      <c r="H756" s="138"/>
      <c r="I756" s="97"/>
      <c r="J756" s="6"/>
      <c r="K756" s="6"/>
      <c r="L756" s="6"/>
      <c r="M756" s="6"/>
      <c r="N756" s="6"/>
      <c r="O756" s="6"/>
      <c r="P756" s="6"/>
      <c r="Q756" s="6"/>
      <c r="R756" s="6"/>
      <c r="S756" s="6"/>
      <c r="T756" s="6"/>
      <c r="U756" s="6"/>
      <c r="V756" s="339"/>
      <c r="W756" s="339"/>
      <c r="X756" s="6"/>
      <c r="Y756" s="206"/>
      <c r="AE756" s="6"/>
      <c r="AF756" s="6"/>
      <c r="AG756" s="6"/>
      <c r="AH756" s="206"/>
      <c r="AJ756" s="213"/>
      <c r="AK756" s="6"/>
      <c r="AL756" s="6"/>
      <c r="AM756" s="6"/>
      <c r="AN756" s="206"/>
      <c r="AP756" s="213"/>
      <c r="AQ756" s="6"/>
      <c r="AR756" s="6"/>
      <c r="AS756" s="6"/>
      <c r="AT756" s="206"/>
      <c r="AV756" s="213"/>
      <c r="AW756" s="6"/>
      <c r="AX756" s="6"/>
      <c r="AY756" s="6"/>
      <c r="AZ756" s="206"/>
    </row>
    <row r="757" spans="4:52" s="2" customFormat="1" ht="17.100000000000001" customHeight="1" x14ac:dyDescent="0.25">
      <c r="D757" s="3"/>
      <c r="E757" s="3"/>
      <c r="F757" s="4"/>
      <c r="G757" s="4"/>
      <c r="H757" s="138"/>
      <c r="I757" s="97"/>
      <c r="J757" s="6"/>
      <c r="K757" s="6"/>
      <c r="L757" s="6"/>
      <c r="M757" s="6"/>
      <c r="N757" s="6"/>
      <c r="O757" s="6"/>
      <c r="P757" s="6"/>
      <c r="Q757" s="6"/>
      <c r="R757" s="6"/>
      <c r="S757" s="6"/>
      <c r="T757" s="6"/>
      <c r="U757" s="6"/>
      <c r="V757" s="339"/>
      <c r="W757" s="339"/>
      <c r="X757" s="6"/>
      <c r="Y757" s="206"/>
      <c r="AE757" s="6"/>
      <c r="AF757" s="6"/>
      <c r="AG757" s="6"/>
      <c r="AH757" s="206"/>
      <c r="AJ757" s="213"/>
      <c r="AK757" s="6"/>
      <c r="AL757" s="6"/>
      <c r="AM757" s="6"/>
      <c r="AN757" s="206"/>
      <c r="AP757" s="213"/>
      <c r="AQ757" s="6"/>
      <c r="AR757" s="6"/>
      <c r="AS757" s="6"/>
      <c r="AT757" s="206"/>
      <c r="AV757" s="213"/>
      <c r="AW757" s="6"/>
      <c r="AX757" s="6"/>
      <c r="AY757" s="6"/>
      <c r="AZ757" s="206"/>
    </row>
    <row r="758" spans="4:52" s="2" customFormat="1" ht="17.100000000000001" customHeight="1" x14ac:dyDescent="0.25">
      <c r="D758" s="3"/>
      <c r="E758" s="3"/>
      <c r="F758" s="4"/>
      <c r="G758" s="4"/>
      <c r="H758" s="138"/>
      <c r="I758" s="97"/>
      <c r="J758" s="6"/>
      <c r="K758" s="6"/>
      <c r="L758" s="6"/>
      <c r="M758" s="6"/>
      <c r="N758" s="6"/>
      <c r="O758" s="6"/>
      <c r="P758" s="6"/>
      <c r="Q758" s="6"/>
      <c r="R758" s="6"/>
      <c r="S758" s="6"/>
      <c r="T758" s="6"/>
      <c r="U758" s="6"/>
      <c r="V758" s="339"/>
      <c r="W758" s="339"/>
      <c r="X758" s="6"/>
      <c r="Y758" s="206"/>
      <c r="AE758" s="6"/>
      <c r="AF758" s="6"/>
      <c r="AG758" s="6"/>
      <c r="AH758" s="206"/>
      <c r="AJ758" s="213"/>
      <c r="AK758" s="6"/>
      <c r="AL758" s="6"/>
      <c r="AM758" s="6"/>
      <c r="AN758" s="206"/>
      <c r="AP758" s="213"/>
      <c r="AQ758" s="6"/>
      <c r="AR758" s="6"/>
      <c r="AS758" s="6"/>
      <c r="AT758" s="206"/>
      <c r="AV758" s="213"/>
      <c r="AW758" s="6"/>
      <c r="AX758" s="6"/>
      <c r="AY758" s="6"/>
      <c r="AZ758" s="206"/>
    </row>
    <row r="759" spans="4:52" s="2" customFormat="1" ht="17.100000000000001" customHeight="1" x14ac:dyDescent="0.25">
      <c r="D759" s="3"/>
      <c r="E759" s="3"/>
      <c r="F759" s="4"/>
      <c r="G759" s="4"/>
      <c r="H759" s="138"/>
      <c r="I759" s="97"/>
      <c r="J759" s="6"/>
      <c r="K759" s="6"/>
      <c r="L759" s="6"/>
      <c r="M759" s="6"/>
      <c r="N759" s="6"/>
      <c r="O759" s="6"/>
      <c r="P759" s="6"/>
      <c r="Q759" s="6"/>
      <c r="R759" s="6"/>
      <c r="S759" s="6"/>
      <c r="T759" s="6"/>
      <c r="U759" s="6"/>
      <c r="V759" s="339"/>
      <c r="W759" s="339"/>
      <c r="X759" s="6"/>
      <c r="Y759" s="206"/>
      <c r="AE759" s="6"/>
      <c r="AF759" s="6"/>
      <c r="AG759" s="6"/>
      <c r="AH759" s="206"/>
      <c r="AJ759" s="213"/>
      <c r="AK759" s="6"/>
      <c r="AL759" s="6"/>
      <c r="AM759" s="6"/>
      <c r="AN759" s="206"/>
      <c r="AP759" s="213"/>
      <c r="AQ759" s="6"/>
      <c r="AR759" s="6"/>
      <c r="AS759" s="6"/>
      <c r="AT759" s="206"/>
      <c r="AV759" s="213"/>
      <c r="AW759" s="6"/>
      <c r="AX759" s="6"/>
      <c r="AY759" s="6"/>
      <c r="AZ759" s="206"/>
    </row>
    <row r="760" spans="4:52" s="2" customFormat="1" ht="17.100000000000001" customHeight="1" x14ac:dyDescent="0.25">
      <c r="D760" s="3"/>
      <c r="E760" s="3"/>
      <c r="F760" s="4"/>
      <c r="G760" s="4"/>
      <c r="H760" s="138"/>
      <c r="I760" s="97"/>
      <c r="J760" s="6"/>
      <c r="K760" s="6"/>
      <c r="L760" s="6"/>
      <c r="M760" s="6"/>
      <c r="N760" s="6"/>
      <c r="O760" s="6"/>
      <c r="P760" s="6"/>
      <c r="Q760" s="6"/>
      <c r="R760" s="6"/>
      <c r="S760" s="6"/>
      <c r="T760" s="6"/>
      <c r="U760" s="6"/>
      <c r="V760" s="339"/>
      <c r="W760" s="339"/>
      <c r="X760" s="6"/>
      <c r="Y760" s="206"/>
      <c r="AE760" s="6"/>
      <c r="AF760" s="6"/>
      <c r="AG760" s="6"/>
      <c r="AH760" s="206"/>
      <c r="AJ760" s="213"/>
      <c r="AK760" s="6"/>
      <c r="AL760" s="6"/>
      <c r="AM760" s="6"/>
      <c r="AN760" s="206"/>
      <c r="AP760" s="213"/>
      <c r="AQ760" s="6"/>
      <c r="AR760" s="6"/>
      <c r="AS760" s="6"/>
      <c r="AT760" s="206"/>
      <c r="AV760" s="213"/>
      <c r="AW760" s="6"/>
      <c r="AX760" s="6"/>
      <c r="AY760" s="6"/>
      <c r="AZ760" s="206"/>
    </row>
    <row r="761" spans="4:52" s="2" customFormat="1" ht="17.100000000000001" customHeight="1" x14ac:dyDescent="0.25">
      <c r="D761" s="3"/>
      <c r="E761" s="3"/>
      <c r="F761" s="4"/>
      <c r="G761" s="4"/>
      <c r="H761" s="138"/>
      <c r="I761" s="97"/>
      <c r="J761" s="6"/>
      <c r="K761" s="6"/>
      <c r="L761" s="6"/>
      <c r="M761" s="6"/>
      <c r="N761" s="6"/>
      <c r="O761" s="6"/>
      <c r="P761" s="6"/>
      <c r="Q761" s="6"/>
      <c r="R761" s="6"/>
      <c r="S761" s="6"/>
      <c r="T761" s="6"/>
      <c r="U761" s="6"/>
      <c r="V761" s="339"/>
      <c r="W761" s="339"/>
      <c r="X761" s="6"/>
      <c r="Y761" s="206"/>
      <c r="AE761" s="6"/>
      <c r="AF761" s="6"/>
      <c r="AG761" s="6"/>
      <c r="AH761" s="206"/>
      <c r="AJ761" s="213"/>
      <c r="AK761" s="6"/>
      <c r="AL761" s="6"/>
      <c r="AM761" s="6"/>
      <c r="AN761" s="206"/>
      <c r="AP761" s="213"/>
      <c r="AQ761" s="6"/>
      <c r="AR761" s="6"/>
      <c r="AS761" s="6"/>
      <c r="AT761" s="206"/>
      <c r="AV761" s="213"/>
      <c r="AW761" s="6"/>
      <c r="AX761" s="6"/>
      <c r="AY761" s="6"/>
      <c r="AZ761" s="206"/>
    </row>
    <row r="762" spans="4:52" s="2" customFormat="1" ht="17.100000000000001" customHeight="1" x14ac:dyDescent="0.25">
      <c r="D762" s="3"/>
      <c r="E762" s="3"/>
      <c r="F762" s="4"/>
      <c r="G762" s="4"/>
      <c r="H762" s="138"/>
      <c r="I762" s="97"/>
      <c r="J762" s="6"/>
      <c r="K762" s="6"/>
      <c r="L762" s="6"/>
      <c r="M762" s="6"/>
      <c r="N762" s="6"/>
      <c r="O762" s="6"/>
      <c r="P762" s="6"/>
      <c r="Q762" s="6"/>
      <c r="R762" s="6"/>
      <c r="S762" s="6"/>
      <c r="T762" s="6"/>
      <c r="U762" s="6"/>
      <c r="V762" s="339"/>
      <c r="W762" s="339"/>
      <c r="X762" s="6"/>
      <c r="Y762" s="206"/>
      <c r="AE762" s="6"/>
      <c r="AF762" s="6"/>
      <c r="AG762" s="6"/>
      <c r="AH762" s="206"/>
      <c r="AJ762" s="213"/>
      <c r="AK762" s="6"/>
      <c r="AL762" s="6"/>
      <c r="AM762" s="6"/>
      <c r="AN762" s="206"/>
      <c r="AP762" s="213"/>
      <c r="AQ762" s="6"/>
      <c r="AR762" s="6"/>
      <c r="AS762" s="6"/>
      <c r="AT762" s="206"/>
      <c r="AV762" s="213"/>
      <c r="AW762" s="6"/>
      <c r="AX762" s="6"/>
      <c r="AY762" s="6"/>
      <c r="AZ762" s="206"/>
    </row>
    <row r="763" spans="4:52" s="2" customFormat="1" ht="17.100000000000001" customHeight="1" x14ac:dyDescent="0.25">
      <c r="D763" s="3"/>
      <c r="E763" s="3"/>
      <c r="F763" s="4"/>
      <c r="G763" s="4"/>
      <c r="H763" s="138"/>
      <c r="I763" s="97"/>
      <c r="J763" s="6"/>
      <c r="K763" s="6"/>
      <c r="L763" s="6"/>
      <c r="M763" s="6"/>
      <c r="N763" s="6"/>
      <c r="O763" s="6"/>
      <c r="P763" s="6"/>
      <c r="Q763" s="6"/>
      <c r="R763" s="6"/>
      <c r="S763" s="6"/>
      <c r="T763" s="6"/>
      <c r="U763" s="6"/>
      <c r="V763" s="339"/>
      <c r="W763" s="339"/>
      <c r="X763" s="6"/>
      <c r="Y763" s="206"/>
      <c r="AE763" s="6"/>
      <c r="AF763" s="6"/>
      <c r="AG763" s="6"/>
      <c r="AH763" s="206"/>
      <c r="AJ763" s="213"/>
      <c r="AK763" s="6"/>
      <c r="AL763" s="6"/>
      <c r="AM763" s="6"/>
      <c r="AN763" s="206"/>
      <c r="AP763" s="213"/>
      <c r="AQ763" s="6"/>
      <c r="AR763" s="6"/>
      <c r="AS763" s="6"/>
      <c r="AT763" s="206"/>
      <c r="AV763" s="213"/>
      <c r="AW763" s="6"/>
      <c r="AX763" s="6"/>
      <c r="AY763" s="6"/>
      <c r="AZ763" s="206"/>
    </row>
    <row r="764" spans="4:52" s="2" customFormat="1" ht="17.100000000000001" customHeight="1" x14ac:dyDescent="0.25">
      <c r="D764" s="3"/>
      <c r="E764" s="3"/>
      <c r="F764" s="4"/>
      <c r="G764" s="4"/>
      <c r="H764" s="138"/>
      <c r="I764" s="97"/>
      <c r="J764" s="6"/>
      <c r="K764" s="6"/>
      <c r="L764" s="6"/>
      <c r="M764" s="6"/>
      <c r="N764" s="6"/>
      <c r="O764" s="6"/>
      <c r="P764" s="6"/>
      <c r="Q764" s="6"/>
      <c r="R764" s="6"/>
      <c r="S764" s="6"/>
      <c r="T764" s="6"/>
      <c r="U764" s="6"/>
      <c r="V764" s="339"/>
      <c r="W764" s="339"/>
      <c r="X764" s="6"/>
      <c r="Y764" s="206"/>
      <c r="AE764" s="6"/>
      <c r="AF764" s="6"/>
      <c r="AG764" s="6"/>
      <c r="AH764" s="206"/>
      <c r="AJ764" s="213"/>
      <c r="AK764" s="6"/>
      <c r="AL764" s="6"/>
      <c r="AM764" s="6"/>
      <c r="AN764" s="206"/>
      <c r="AP764" s="213"/>
      <c r="AQ764" s="6"/>
      <c r="AR764" s="6"/>
      <c r="AS764" s="6"/>
      <c r="AT764" s="206"/>
      <c r="AV764" s="213"/>
      <c r="AW764" s="6"/>
      <c r="AX764" s="6"/>
      <c r="AY764" s="6"/>
      <c r="AZ764" s="206"/>
    </row>
    <row r="765" spans="4:52" s="2" customFormat="1" ht="17.100000000000001" customHeight="1" x14ac:dyDescent="0.25">
      <c r="D765" s="3"/>
      <c r="E765" s="3"/>
      <c r="F765" s="4"/>
      <c r="G765" s="4"/>
      <c r="H765" s="138"/>
      <c r="I765" s="97"/>
      <c r="J765" s="6"/>
      <c r="K765" s="6"/>
      <c r="L765" s="6"/>
      <c r="M765" s="6"/>
      <c r="N765" s="6"/>
      <c r="O765" s="6"/>
      <c r="P765" s="6"/>
      <c r="Q765" s="6"/>
      <c r="R765" s="6"/>
      <c r="S765" s="6"/>
      <c r="T765" s="6"/>
      <c r="U765" s="6"/>
      <c r="V765" s="339"/>
      <c r="W765" s="339"/>
      <c r="X765" s="6"/>
      <c r="Y765" s="206"/>
      <c r="AE765" s="6"/>
      <c r="AF765" s="6"/>
      <c r="AG765" s="6"/>
      <c r="AH765" s="206"/>
      <c r="AJ765" s="213"/>
      <c r="AK765" s="6"/>
      <c r="AL765" s="6"/>
      <c r="AM765" s="6"/>
      <c r="AN765" s="206"/>
      <c r="AP765" s="213"/>
      <c r="AQ765" s="6"/>
      <c r="AR765" s="6"/>
      <c r="AS765" s="6"/>
      <c r="AT765" s="206"/>
      <c r="AV765" s="213"/>
      <c r="AW765" s="6"/>
      <c r="AX765" s="6"/>
      <c r="AY765" s="6"/>
      <c r="AZ765" s="206"/>
    </row>
    <row r="766" spans="4:52" s="2" customFormat="1" ht="17.100000000000001" customHeight="1" x14ac:dyDescent="0.25">
      <c r="D766" s="3"/>
      <c r="E766" s="3"/>
      <c r="F766" s="4"/>
      <c r="G766" s="4"/>
      <c r="H766" s="138"/>
      <c r="I766" s="97"/>
      <c r="J766" s="6"/>
      <c r="K766" s="6"/>
      <c r="L766" s="6"/>
      <c r="M766" s="6"/>
      <c r="N766" s="6"/>
      <c r="O766" s="6"/>
      <c r="P766" s="6"/>
      <c r="Q766" s="6"/>
      <c r="R766" s="6"/>
      <c r="S766" s="6"/>
      <c r="T766" s="6"/>
      <c r="U766" s="6"/>
      <c r="V766" s="339"/>
      <c r="W766" s="339"/>
      <c r="X766" s="6"/>
      <c r="Y766" s="206"/>
      <c r="AE766" s="6"/>
      <c r="AF766" s="6"/>
      <c r="AG766" s="6"/>
      <c r="AH766" s="206"/>
      <c r="AJ766" s="213"/>
      <c r="AK766" s="6"/>
      <c r="AL766" s="6"/>
      <c r="AM766" s="6"/>
      <c r="AN766" s="206"/>
      <c r="AP766" s="213"/>
      <c r="AQ766" s="6"/>
      <c r="AR766" s="6"/>
      <c r="AS766" s="6"/>
      <c r="AT766" s="206"/>
      <c r="AV766" s="213"/>
      <c r="AW766" s="6"/>
      <c r="AX766" s="6"/>
      <c r="AY766" s="6"/>
      <c r="AZ766" s="206"/>
    </row>
    <row r="767" spans="4:52" s="2" customFormat="1" ht="17.100000000000001" customHeight="1" x14ac:dyDescent="0.25">
      <c r="D767" s="3"/>
      <c r="E767" s="3"/>
      <c r="F767" s="4"/>
      <c r="G767" s="4"/>
      <c r="H767" s="138"/>
      <c r="I767" s="97"/>
      <c r="J767" s="6"/>
      <c r="K767" s="6"/>
      <c r="L767" s="6"/>
      <c r="M767" s="6"/>
      <c r="N767" s="6"/>
      <c r="O767" s="6"/>
      <c r="P767" s="6"/>
      <c r="Q767" s="6"/>
      <c r="R767" s="6"/>
      <c r="S767" s="6"/>
      <c r="T767" s="6"/>
      <c r="U767" s="6"/>
      <c r="V767" s="339"/>
      <c r="W767" s="339"/>
      <c r="X767" s="6"/>
      <c r="Y767" s="206"/>
      <c r="AE767" s="6"/>
      <c r="AF767" s="6"/>
      <c r="AG767" s="6"/>
      <c r="AH767" s="206"/>
      <c r="AJ767" s="213"/>
      <c r="AK767" s="6"/>
      <c r="AL767" s="6"/>
      <c r="AM767" s="6"/>
      <c r="AN767" s="206"/>
      <c r="AP767" s="213"/>
      <c r="AQ767" s="6"/>
      <c r="AR767" s="6"/>
      <c r="AS767" s="6"/>
      <c r="AT767" s="206"/>
      <c r="AV767" s="213"/>
      <c r="AW767" s="6"/>
      <c r="AX767" s="6"/>
      <c r="AY767" s="6"/>
      <c r="AZ767" s="206"/>
    </row>
    <row r="768" spans="4:52" s="2" customFormat="1" ht="17.100000000000001" customHeight="1" x14ac:dyDescent="0.25">
      <c r="D768" s="3"/>
      <c r="E768" s="3"/>
      <c r="F768" s="4"/>
      <c r="G768" s="4"/>
      <c r="H768" s="138"/>
      <c r="I768" s="97"/>
      <c r="J768" s="6"/>
      <c r="K768" s="6"/>
      <c r="L768" s="6"/>
      <c r="M768" s="6"/>
      <c r="N768" s="6"/>
      <c r="O768" s="6"/>
      <c r="P768" s="6"/>
      <c r="Q768" s="6"/>
      <c r="R768" s="6"/>
      <c r="S768" s="6"/>
      <c r="T768" s="6"/>
      <c r="U768" s="6"/>
      <c r="V768" s="339"/>
      <c r="W768" s="339"/>
      <c r="X768" s="6"/>
      <c r="Y768" s="206"/>
      <c r="AE768" s="6"/>
      <c r="AF768" s="6"/>
      <c r="AG768" s="6"/>
      <c r="AH768" s="206"/>
      <c r="AJ768" s="213"/>
      <c r="AK768" s="6"/>
      <c r="AL768" s="6"/>
      <c r="AM768" s="6"/>
      <c r="AN768" s="206"/>
      <c r="AP768" s="213"/>
      <c r="AQ768" s="6"/>
      <c r="AR768" s="6"/>
      <c r="AS768" s="6"/>
      <c r="AT768" s="206"/>
      <c r="AV768" s="213"/>
      <c r="AW768" s="6"/>
      <c r="AX768" s="6"/>
      <c r="AY768" s="6"/>
      <c r="AZ768" s="206"/>
    </row>
    <row r="769" spans="4:52" s="2" customFormat="1" ht="17.100000000000001" customHeight="1" x14ac:dyDescent="0.25">
      <c r="D769" s="3"/>
      <c r="E769" s="3"/>
      <c r="F769" s="4"/>
      <c r="G769" s="4"/>
      <c r="H769" s="138"/>
      <c r="I769" s="97"/>
      <c r="J769" s="6"/>
      <c r="K769" s="6"/>
      <c r="L769" s="6"/>
      <c r="M769" s="6"/>
      <c r="N769" s="6"/>
      <c r="O769" s="6"/>
      <c r="P769" s="6"/>
      <c r="Q769" s="6"/>
      <c r="R769" s="6"/>
      <c r="S769" s="6"/>
      <c r="T769" s="6"/>
      <c r="U769" s="6"/>
      <c r="V769" s="339"/>
      <c r="W769" s="339"/>
      <c r="X769" s="6"/>
      <c r="Y769" s="206"/>
      <c r="AE769" s="6"/>
      <c r="AF769" s="6"/>
      <c r="AG769" s="6"/>
      <c r="AH769" s="206"/>
      <c r="AJ769" s="213"/>
      <c r="AK769" s="6"/>
      <c r="AL769" s="6"/>
      <c r="AM769" s="6"/>
      <c r="AN769" s="206"/>
      <c r="AP769" s="213"/>
      <c r="AQ769" s="6"/>
      <c r="AR769" s="6"/>
      <c r="AS769" s="6"/>
      <c r="AT769" s="206"/>
      <c r="AV769" s="213"/>
      <c r="AW769" s="6"/>
      <c r="AX769" s="6"/>
      <c r="AY769" s="6"/>
      <c r="AZ769" s="206"/>
    </row>
    <row r="770" spans="4:52" s="2" customFormat="1" ht="17.100000000000001" customHeight="1" x14ac:dyDescent="0.25">
      <c r="D770" s="3"/>
      <c r="E770" s="3"/>
      <c r="F770" s="4"/>
      <c r="G770" s="4"/>
      <c r="H770" s="138"/>
      <c r="I770" s="97"/>
      <c r="J770" s="6"/>
      <c r="K770" s="6"/>
      <c r="L770" s="6"/>
      <c r="M770" s="6"/>
      <c r="N770" s="6"/>
      <c r="O770" s="6"/>
      <c r="P770" s="6"/>
      <c r="Q770" s="6"/>
      <c r="R770" s="6"/>
      <c r="S770" s="6"/>
      <c r="T770" s="6"/>
      <c r="U770" s="6"/>
      <c r="V770" s="339"/>
      <c r="W770" s="339"/>
      <c r="X770" s="6"/>
      <c r="Y770" s="206"/>
      <c r="AE770" s="6"/>
      <c r="AF770" s="6"/>
      <c r="AG770" s="6"/>
      <c r="AH770" s="206"/>
      <c r="AJ770" s="213"/>
      <c r="AK770" s="6"/>
      <c r="AL770" s="6"/>
      <c r="AM770" s="6"/>
      <c r="AN770" s="206"/>
      <c r="AP770" s="213"/>
      <c r="AQ770" s="6"/>
      <c r="AR770" s="6"/>
      <c r="AS770" s="6"/>
      <c r="AT770" s="206"/>
      <c r="AV770" s="213"/>
      <c r="AW770" s="6"/>
      <c r="AX770" s="6"/>
      <c r="AY770" s="6"/>
      <c r="AZ770" s="206"/>
    </row>
    <row r="771" spans="4:52" s="2" customFormat="1" ht="17.100000000000001" customHeight="1" x14ac:dyDescent="0.25">
      <c r="D771" s="3"/>
      <c r="E771" s="3"/>
      <c r="F771" s="4"/>
      <c r="G771" s="4"/>
      <c r="H771" s="138"/>
      <c r="I771" s="97"/>
      <c r="J771" s="6"/>
      <c r="K771" s="6"/>
      <c r="L771" s="6"/>
      <c r="M771" s="6"/>
      <c r="N771" s="6"/>
      <c r="O771" s="6"/>
      <c r="P771" s="6"/>
      <c r="Q771" s="6"/>
      <c r="R771" s="6"/>
      <c r="S771" s="6"/>
      <c r="T771" s="6"/>
      <c r="U771" s="6"/>
      <c r="V771" s="339"/>
      <c r="W771" s="339"/>
      <c r="X771" s="6"/>
      <c r="Y771" s="206"/>
      <c r="AE771" s="6"/>
      <c r="AF771" s="6"/>
      <c r="AG771" s="6"/>
      <c r="AH771" s="206"/>
      <c r="AJ771" s="213"/>
      <c r="AK771" s="6"/>
      <c r="AL771" s="6"/>
      <c r="AM771" s="6"/>
      <c r="AN771" s="206"/>
      <c r="AP771" s="213"/>
      <c r="AQ771" s="6"/>
      <c r="AR771" s="6"/>
      <c r="AS771" s="6"/>
      <c r="AT771" s="206"/>
      <c r="AV771" s="213"/>
      <c r="AW771" s="6"/>
      <c r="AX771" s="6"/>
      <c r="AY771" s="6"/>
      <c r="AZ771" s="206"/>
    </row>
    <row r="772" spans="4:52" s="2" customFormat="1" ht="17.100000000000001" customHeight="1" x14ac:dyDescent="0.25">
      <c r="D772" s="3"/>
      <c r="E772" s="3"/>
      <c r="F772" s="4"/>
      <c r="G772" s="4"/>
      <c r="H772" s="138"/>
      <c r="I772" s="97"/>
      <c r="J772" s="6"/>
      <c r="K772" s="6"/>
      <c r="L772" s="6"/>
      <c r="M772" s="6"/>
      <c r="N772" s="6"/>
      <c r="O772" s="6"/>
      <c r="P772" s="6"/>
      <c r="Q772" s="6"/>
      <c r="R772" s="6"/>
      <c r="S772" s="6"/>
      <c r="T772" s="6"/>
      <c r="U772" s="6"/>
      <c r="V772" s="339"/>
      <c r="W772" s="339"/>
      <c r="X772" s="6"/>
      <c r="Y772" s="206"/>
      <c r="AE772" s="6"/>
      <c r="AF772" s="6"/>
      <c r="AG772" s="6"/>
      <c r="AH772" s="206"/>
      <c r="AJ772" s="213"/>
      <c r="AK772" s="6"/>
      <c r="AL772" s="6"/>
      <c r="AM772" s="6"/>
      <c r="AN772" s="206"/>
      <c r="AP772" s="213"/>
      <c r="AQ772" s="6"/>
      <c r="AR772" s="6"/>
      <c r="AS772" s="6"/>
      <c r="AT772" s="206"/>
      <c r="AV772" s="213"/>
      <c r="AW772" s="6"/>
      <c r="AX772" s="6"/>
      <c r="AY772" s="6"/>
      <c r="AZ772" s="206"/>
    </row>
    <row r="773" spans="4:52" s="2" customFormat="1" ht="17.100000000000001" customHeight="1" x14ac:dyDescent="0.25">
      <c r="D773" s="3"/>
      <c r="E773" s="3"/>
      <c r="F773" s="4"/>
      <c r="G773" s="4"/>
      <c r="H773" s="138"/>
      <c r="I773" s="97"/>
      <c r="J773" s="6"/>
      <c r="K773" s="6"/>
      <c r="L773" s="6"/>
      <c r="M773" s="6"/>
      <c r="N773" s="6"/>
      <c r="O773" s="6"/>
      <c r="P773" s="6"/>
      <c r="Q773" s="6"/>
      <c r="R773" s="6"/>
      <c r="S773" s="6"/>
      <c r="T773" s="6"/>
      <c r="U773" s="6"/>
      <c r="V773" s="339"/>
      <c r="W773" s="339"/>
      <c r="X773" s="6"/>
      <c r="Y773" s="206"/>
      <c r="AE773" s="6"/>
      <c r="AF773" s="6"/>
      <c r="AG773" s="6"/>
      <c r="AH773" s="206"/>
      <c r="AJ773" s="213"/>
      <c r="AK773" s="6"/>
      <c r="AL773" s="6"/>
      <c r="AM773" s="6"/>
      <c r="AN773" s="206"/>
      <c r="AP773" s="213"/>
      <c r="AQ773" s="6"/>
      <c r="AR773" s="6"/>
      <c r="AS773" s="6"/>
      <c r="AT773" s="206"/>
      <c r="AV773" s="213"/>
      <c r="AW773" s="6"/>
      <c r="AX773" s="6"/>
      <c r="AY773" s="6"/>
      <c r="AZ773" s="206"/>
    </row>
    <row r="774" spans="4:52" s="2" customFormat="1" ht="17.100000000000001" customHeight="1" x14ac:dyDescent="0.25">
      <c r="D774" s="3"/>
      <c r="E774" s="3"/>
      <c r="F774" s="4"/>
      <c r="G774" s="4"/>
      <c r="H774" s="138"/>
      <c r="I774" s="97"/>
      <c r="J774" s="6"/>
      <c r="K774" s="6"/>
      <c r="L774" s="6"/>
      <c r="M774" s="6"/>
      <c r="N774" s="6"/>
      <c r="O774" s="6"/>
      <c r="P774" s="6"/>
      <c r="Q774" s="6"/>
      <c r="R774" s="6"/>
      <c r="S774" s="6"/>
      <c r="T774" s="6"/>
      <c r="U774" s="6"/>
      <c r="V774" s="339"/>
      <c r="W774" s="339"/>
      <c r="X774" s="6"/>
      <c r="Y774" s="206"/>
      <c r="AE774" s="6"/>
      <c r="AF774" s="6"/>
      <c r="AG774" s="6"/>
      <c r="AH774" s="206"/>
      <c r="AJ774" s="213"/>
      <c r="AK774" s="6"/>
      <c r="AL774" s="6"/>
      <c r="AM774" s="6"/>
      <c r="AN774" s="206"/>
      <c r="AP774" s="213"/>
      <c r="AQ774" s="6"/>
      <c r="AR774" s="6"/>
      <c r="AS774" s="6"/>
      <c r="AT774" s="206"/>
      <c r="AV774" s="213"/>
      <c r="AW774" s="6"/>
      <c r="AX774" s="6"/>
      <c r="AY774" s="6"/>
      <c r="AZ774" s="206"/>
    </row>
    <row r="775" spans="4:52" s="2" customFormat="1" ht="17.100000000000001" customHeight="1" x14ac:dyDescent="0.25">
      <c r="D775" s="3"/>
      <c r="E775" s="3"/>
      <c r="F775" s="4"/>
      <c r="G775" s="4"/>
      <c r="H775" s="138"/>
      <c r="I775" s="97"/>
      <c r="J775" s="6"/>
      <c r="K775" s="6"/>
      <c r="L775" s="6"/>
      <c r="M775" s="6"/>
      <c r="N775" s="6"/>
      <c r="O775" s="6"/>
      <c r="P775" s="6"/>
      <c r="Q775" s="6"/>
      <c r="R775" s="6"/>
      <c r="S775" s="6"/>
      <c r="T775" s="6"/>
      <c r="U775" s="6"/>
      <c r="V775" s="339"/>
      <c r="W775" s="339"/>
      <c r="X775" s="6"/>
      <c r="Y775" s="206"/>
      <c r="AE775" s="6"/>
      <c r="AF775" s="6"/>
      <c r="AG775" s="6"/>
      <c r="AH775" s="206"/>
      <c r="AJ775" s="213"/>
      <c r="AK775" s="6"/>
      <c r="AL775" s="6"/>
      <c r="AM775" s="6"/>
      <c r="AN775" s="206"/>
      <c r="AP775" s="213"/>
      <c r="AQ775" s="6"/>
      <c r="AR775" s="6"/>
      <c r="AS775" s="6"/>
      <c r="AT775" s="206"/>
      <c r="AV775" s="213"/>
      <c r="AW775" s="6"/>
      <c r="AX775" s="6"/>
      <c r="AY775" s="6"/>
      <c r="AZ775" s="206"/>
    </row>
    <row r="776" spans="4:52" s="2" customFormat="1" ht="17.100000000000001" customHeight="1" x14ac:dyDescent="0.25">
      <c r="D776" s="3"/>
      <c r="E776" s="3"/>
      <c r="F776" s="4"/>
      <c r="G776" s="4"/>
      <c r="H776" s="138"/>
      <c r="I776" s="97"/>
      <c r="J776" s="6"/>
      <c r="K776" s="6"/>
      <c r="L776" s="6"/>
      <c r="M776" s="6"/>
      <c r="N776" s="6"/>
      <c r="O776" s="6"/>
      <c r="P776" s="6"/>
      <c r="Q776" s="6"/>
      <c r="R776" s="6"/>
      <c r="S776" s="6"/>
      <c r="T776" s="6"/>
      <c r="U776" s="6"/>
      <c r="V776" s="339"/>
      <c r="W776" s="339"/>
      <c r="X776" s="6"/>
      <c r="Y776" s="206"/>
      <c r="AE776" s="6"/>
      <c r="AF776" s="6"/>
      <c r="AG776" s="6"/>
      <c r="AH776" s="206"/>
      <c r="AJ776" s="213"/>
      <c r="AK776" s="6"/>
      <c r="AL776" s="6"/>
      <c r="AM776" s="6"/>
      <c r="AN776" s="206"/>
      <c r="AP776" s="213"/>
      <c r="AQ776" s="6"/>
      <c r="AR776" s="6"/>
      <c r="AS776" s="6"/>
      <c r="AT776" s="206"/>
      <c r="AV776" s="213"/>
      <c r="AW776" s="6"/>
      <c r="AX776" s="6"/>
      <c r="AY776" s="6"/>
      <c r="AZ776" s="206"/>
    </row>
    <row r="777" spans="4:52" s="2" customFormat="1" ht="17.100000000000001" customHeight="1" x14ac:dyDescent="0.25">
      <c r="D777" s="3"/>
      <c r="E777" s="3"/>
      <c r="F777" s="4"/>
      <c r="G777" s="4"/>
      <c r="H777" s="138"/>
      <c r="I777" s="97"/>
      <c r="J777" s="6"/>
      <c r="K777" s="6"/>
      <c r="L777" s="6"/>
      <c r="M777" s="6"/>
      <c r="N777" s="6"/>
      <c r="O777" s="6"/>
      <c r="P777" s="6"/>
      <c r="Q777" s="6"/>
      <c r="R777" s="6"/>
      <c r="S777" s="6"/>
      <c r="T777" s="6"/>
      <c r="U777" s="6"/>
      <c r="V777" s="339"/>
      <c r="W777" s="339"/>
      <c r="X777" s="6"/>
      <c r="Y777" s="206"/>
      <c r="AE777" s="6"/>
      <c r="AF777" s="6"/>
      <c r="AG777" s="6"/>
      <c r="AH777" s="206"/>
      <c r="AJ777" s="213"/>
      <c r="AK777" s="6"/>
      <c r="AL777" s="6"/>
      <c r="AM777" s="6"/>
      <c r="AN777" s="206"/>
      <c r="AP777" s="213"/>
      <c r="AQ777" s="6"/>
      <c r="AR777" s="6"/>
      <c r="AS777" s="6"/>
      <c r="AT777" s="206"/>
      <c r="AV777" s="213"/>
      <c r="AW777" s="6"/>
      <c r="AX777" s="6"/>
      <c r="AY777" s="6"/>
      <c r="AZ777" s="206"/>
    </row>
    <row r="778" spans="4:52" s="2" customFormat="1" ht="17.100000000000001" customHeight="1" x14ac:dyDescent="0.25">
      <c r="D778" s="3"/>
      <c r="E778" s="3"/>
      <c r="F778" s="4"/>
      <c r="G778" s="4"/>
      <c r="H778" s="138"/>
      <c r="I778" s="97"/>
      <c r="J778" s="6"/>
      <c r="K778" s="6"/>
      <c r="L778" s="6"/>
      <c r="M778" s="6"/>
      <c r="N778" s="6"/>
      <c r="O778" s="6"/>
      <c r="P778" s="6"/>
      <c r="Q778" s="6"/>
      <c r="R778" s="6"/>
      <c r="S778" s="6"/>
      <c r="T778" s="6"/>
      <c r="U778" s="6"/>
      <c r="V778" s="339"/>
      <c r="W778" s="339"/>
      <c r="X778" s="6"/>
      <c r="Y778" s="206"/>
      <c r="AE778" s="6"/>
      <c r="AF778" s="6"/>
      <c r="AG778" s="6"/>
      <c r="AH778" s="206"/>
      <c r="AJ778" s="213"/>
      <c r="AK778" s="6"/>
      <c r="AL778" s="6"/>
      <c r="AM778" s="6"/>
      <c r="AN778" s="206"/>
      <c r="AP778" s="213"/>
      <c r="AQ778" s="6"/>
      <c r="AR778" s="6"/>
      <c r="AS778" s="6"/>
      <c r="AT778" s="206"/>
      <c r="AV778" s="213"/>
      <c r="AW778" s="6"/>
      <c r="AX778" s="6"/>
      <c r="AY778" s="6"/>
      <c r="AZ778" s="206"/>
    </row>
    <row r="779" spans="4:52" s="2" customFormat="1" ht="17.100000000000001" customHeight="1" x14ac:dyDescent="0.25">
      <c r="D779" s="3"/>
      <c r="E779" s="3"/>
      <c r="F779" s="4"/>
      <c r="G779" s="4"/>
      <c r="H779" s="138"/>
      <c r="I779" s="97"/>
      <c r="J779" s="6"/>
      <c r="K779" s="6"/>
      <c r="L779" s="6"/>
      <c r="M779" s="6"/>
      <c r="N779" s="6"/>
      <c r="O779" s="6"/>
      <c r="P779" s="6"/>
      <c r="Q779" s="6"/>
      <c r="R779" s="6"/>
      <c r="S779" s="6"/>
      <c r="T779" s="6"/>
      <c r="U779" s="6"/>
      <c r="V779" s="339"/>
      <c r="W779" s="339"/>
      <c r="X779" s="6"/>
      <c r="Y779" s="206"/>
      <c r="AE779" s="6"/>
      <c r="AF779" s="6"/>
      <c r="AG779" s="6"/>
      <c r="AH779" s="206"/>
      <c r="AJ779" s="213"/>
      <c r="AK779" s="6"/>
      <c r="AL779" s="6"/>
      <c r="AM779" s="6"/>
      <c r="AN779" s="206"/>
      <c r="AP779" s="213"/>
      <c r="AQ779" s="6"/>
      <c r="AR779" s="6"/>
      <c r="AS779" s="6"/>
      <c r="AT779" s="206"/>
      <c r="AV779" s="213"/>
      <c r="AW779" s="6"/>
      <c r="AX779" s="6"/>
      <c r="AY779" s="6"/>
      <c r="AZ779" s="206"/>
    </row>
    <row r="780" spans="4:52" s="2" customFormat="1" ht="17.100000000000001" customHeight="1" x14ac:dyDescent="0.25">
      <c r="D780" s="3"/>
      <c r="E780" s="3"/>
      <c r="F780" s="4"/>
      <c r="G780" s="4"/>
      <c r="H780" s="138"/>
      <c r="I780" s="97"/>
      <c r="J780" s="6"/>
      <c r="K780" s="6"/>
      <c r="L780" s="6"/>
      <c r="M780" s="6"/>
      <c r="N780" s="6"/>
      <c r="O780" s="6"/>
      <c r="P780" s="6"/>
      <c r="Q780" s="6"/>
      <c r="R780" s="6"/>
      <c r="S780" s="6"/>
      <c r="T780" s="6"/>
      <c r="U780" s="6"/>
      <c r="V780" s="339"/>
      <c r="W780" s="339"/>
      <c r="X780" s="6"/>
      <c r="Y780" s="206"/>
      <c r="AE780" s="6"/>
      <c r="AF780" s="6"/>
      <c r="AG780" s="6"/>
      <c r="AH780" s="206"/>
      <c r="AJ780" s="213"/>
      <c r="AK780" s="6"/>
      <c r="AL780" s="6"/>
      <c r="AM780" s="6"/>
      <c r="AN780" s="206"/>
      <c r="AP780" s="213"/>
      <c r="AQ780" s="6"/>
      <c r="AR780" s="6"/>
      <c r="AS780" s="6"/>
      <c r="AT780" s="206"/>
      <c r="AV780" s="213"/>
      <c r="AW780" s="6"/>
      <c r="AX780" s="6"/>
      <c r="AY780" s="6"/>
      <c r="AZ780" s="206"/>
    </row>
    <row r="781" spans="4:52" s="2" customFormat="1" ht="17.100000000000001" customHeight="1" x14ac:dyDescent="0.25">
      <c r="D781" s="3"/>
      <c r="E781" s="3"/>
      <c r="F781" s="4"/>
      <c r="G781" s="4"/>
      <c r="H781" s="138"/>
      <c r="I781" s="97"/>
      <c r="J781" s="6"/>
      <c r="K781" s="6"/>
      <c r="L781" s="6"/>
      <c r="M781" s="6"/>
      <c r="N781" s="6"/>
      <c r="O781" s="6"/>
      <c r="P781" s="6"/>
      <c r="Q781" s="6"/>
      <c r="R781" s="6"/>
      <c r="S781" s="6"/>
      <c r="T781" s="6"/>
      <c r="U781" s="6"/>
      <c r="V781" s="339"/>
      <c r="W781" s="339"/>
      <c r="X781" s="6"/>
      <c r="Y781" s="206"/>
      <c r="AE781" s="6"/>
      <c r="AF781" s="6"/>
      <c r="AG781" s="6"/>
      <c r="AH781" s="206"/>
      <c r="AJ781" s="213"/>
      <c r="AK781" s="6"/>
      <c r="AL781" s="6"/>
      <c r="AM781" s="6"/>
      <c r="AN781" s="206"/>
      <c r="AP781" s="213"/>
      <c r="AQ781" s="6"/>
      <c r="AR781" s="6"/>
      <c r="AS781" s="6"/>
      <c r="AT781" s="206"/>
      <c r="AV781" s="213"/>
      <c r="AW781" s="6"/>
      <c r="AX781" s="6"/>
      <c r="AY781" s="6"/>
      <c r="AZ781" s="206"/>
    </row>
    <row r="782" spans="4:52" s="2" customFormat="1" ht="17.100000000000001" customHeight="1" x14ac:dyDescent="0.25">
      <c r="D782" s="3"/>
      <c r="E782" s="3"/>
      <c r="F782" s="4"/>
      <c r="G782" s="4"/>
      <c r="H782" s="138"/>
      <c r="I782" s="97"/>
      <c r="J782" s="6"/>
      <c r="K782" s="6"/>
      <c r="L782" s="6"/>
      <c r="M782" s="6"/>
      <c r="N782" s="6"/>
      <c r="O782" s="6"/>
      <c r="P782" s="6"/>
      <c r="Q782" s="6"/>
      <c r="R782" s="6"/>
      <c r="S782" s="6"/>
      <c r="T782" s="6"/>
      <c r="U782" s="6"/>
      <c r="V782" s="339"/>
      <c r="W782" s="339"/>
      <c r="X782" s="6"/>
      <c r="Y782" s="206"/>
      <c r="AE782" s="6"/>
      <c r="AF782" s="6"/>
      <c r="AG782" s="6"/>
      <c r="AH782" s="206"/>
      <c r="AJ782" s="213"/>
      <c r="AK782" s="6"/>
      <c r="AL782" s="6"/>
      <c r="AM782" s="6"/>
      <c r="AN782" s="206"/>
      <c r="AP782" s="213"/>
      <c r="AQ782" s="6"/>
      <c r="AR782" s="6"/>
      <c r="AS782" s="6"/>
      <c r="AT782" s="206"/>
      <c r="AV782" s="213"/>
      <c r="AW782" s="6"/>
      <c r="AX782" s="6"/>
      <c r="AY782" s="6"/>
      <c r="AZ782" s="206"/>
    </row>
    <row r="783" spans="4:52" s="2" customFormat="1" ht="17.100000000000001" customHeight="1" x14ac:dyDescent="0.25">
      <c r="D783" s="3"/>
      <c r="E783" s="3"/>
      <c r="F783" s="4"/>
      <c r="G783" s="4"/>
      <c r="H783" s="138"/>
      <c r="I783" s="97"/>
      <c r="J783" s="6"/>
      <c r="K783" s="6"/>
      <c r="L783" s="6"/>
      <c r="M783" s="6"/>
      <c r="N783" s="6"/>
      <c r="O783" s="6"/>
      <c r="P783" s="6"/>
      <c r="Q783" s="6"/>
      <c r="R783" s="6"/>
      <c r="S783" s="6"/>
      <c r="T783" s="6"/>
      <c r="U783" s="6"/>
      <c r="V783" s="339"/>
      <c r="W783" s="339"/>
      <c r="X783" s="6"/>
      <c r="Y783" s="206"/>
      <c r="AE783" s="6"/>
      <c r="AF783" s="6"/>
      <c r="AG783" s="6"/>
      <c r="AH783" s="206"/>
      <c r="AJ783" s="213"/>
      <c r="AK783" s="6"/>
      <c r="AL783" s="6"/>
      <c r="AM783" s="6"/>
      <c r="AN783" s="206"/>
      <c r="AP783" s="213"/>
      <c r="AQ783" s="6"/>
      <c r="AR783" s="6"/>
      <c r="AS783" s="6"/>
      <c r="AT783" s="206"/>
      <c r="AV783" s="213"/>
      <c r="AW783" s="6"/>
      <c r="AX783" s="6"/>
      <c r="AY783" s="6"/>
      <c r="AZ783" s="206"/>
    </row>
    <row r="784" spans="4:52" s="2" customFormat="1" ht="17.100000000000001" customHeight="1" x14ac:dyDescent="0.25">
      <c r="D784" s="3"/>
      <c r="E784" s="3"/>
      <c r="F784" s="4"/>
      <c r="G784" s="4"/>
      <c r="H784" s="138"/>
      <c r="I784" s="97"/>
      <c r="J784" s="6"/>
      <c r="K784" s="6"/>
      <c r="L784" s="6"/>
      <c r="M784" s="6"/>
      <c r="N784" s="6"/>
      <c r="O784" s="6"/>
      <c r="P784" s="6"/>
      <c r="Q784" s="6"/>
      <c r="R784" s="6"/>
      <c r="S784" s="6"/>
      <c r="T784" s="6"/>
      <c r="U784" s="6"/>
      <c r="V784" s="339"/>
      <c r="W784" s="339"/>
      <c r="X784" s="6"/>
      <c r="Y784" s="206"/>
      <c r="AE784" s="6"/>
      <c r="AF784" s="6"/>
      <c r="AG784" s="6"/>
      <c r="AH784" s="206"/>
      <c r="AJ784" s="213"/>
      <c r="AK784" s="6"/>
      <c r="AL784" s="6"/>
      <c r="AM784" s="6"/>
      <c r="AN784" s="206"/>
      <c r="AP784" s="213"/>
      <c r="AQ784" s="6"/>
      <c r="AR784" s="6"/>
      <c r="AS784" s="6"/>
      <c r="AT784" s="206"/>
      <c r="AV784" s="213"/>
      <c r="AW784" s="6"/>
      <c r="AX784" s="6"/>
      <c r="AY784" s="6"/>
      <c r="AZ784" s="206"/>
    </row>
    <row r="785" spans="4:52" s="2" customFormat="1" ht="17.100000000000001" customHeight="1" x14ac:dyDescent="0.25">
      <c r="D785" s="3"/>
      <c r="E785" s="3"/>
      <c r="F785" s="4"/>
      <c r="G785" s="4"/>
      <c r="H785" s="138"/>
      <c r="I785" s="97"/>
      <c r="J785" s="6"/>
      <c r="K785" s="6"/>
      <c r="L785" s="6"/>
      <c r="M785" s="6"/>
      <c r="N785" s="6"/>
      <c r="O785" s="6"/>
      <c r="P785" s="6"/>
      <c r="Q785" s="6"/>
      <c r="R785" s="6"/>
      <c r="S785" s="6"/>
      <c r="T785" s="6"/>
      <c r="U785" s="6"/>
      <c r="V785" s="339"/>
      <c r="W785" s="339"/>
      <c r="X785" s="6"/>
      <c r="Y785" s="206"/>
      <c r="AE785" s="6"/>
      <c r="AF785" s="6"/>
      <c r="AG785" s="6"/>
      <c r="AH785" s="206"/>
      <c r="AJ785" s="213"/>
      <c r="AK785" s="6"/>
      <c r="AL785" s="6"/>
      <c r="AM785" s="6"/>
      <c r="AN785" s="206"/>
      <c r="AP785" s="213"/>
      <c r="AQ785" s="6"/>
      <c r="AR785" s="6"/>
      <c r="AS785" s="6"/>
      <c r="AT785" s="206"/>
      <c r="AV785" s="213"/>
      <c r="AW785" s="6"/>
      <c r="AX785" s="6"/>
      <c r="AY785" s="6"/>
      <c r="AZ785" s="206"/>
    </row>
    <row r="786" spans="4:52" s="2" customFormat="1" ht="17.100000000000001" customHeight="1" x14ac:dyDescent="0.25">
      <c r="D786" s="3"/>
      <c r="E786" s="3"/>
      <c r="F786" s="4"/>
      <c r="G786" s="4"/>
      <c r="H786" s="138"/>
      <c r="I786" s="97"/>
      <c r="J786" s="6"/>
      <c r="K786" s="6"/>
      <c r="L786" s="6"/>
      <c r="M786" s="6"/>
      <c r="N786" s="6"/>
      <c r="O786" s="6"/>
      <c r="P786" s="6"/>
      <c r="Q786" s="6"/>
      <c r="R786" s="6"/>
      <c r="S786" s="6"/>
      <c r="T786" s="6"/>
      <c r="U786" s="6"/>
      <c r="V786" s="339"/>
      <c r="W786" s="339"/>
      <c r="X786" s="6"/>
      <c r="Y786" s="206"/>
      <c r="AE786" s="6"/>
      <c r="AF786" s="6"/>
      <c r="AG786" s="6"/>
      <c r="AH786" s="206"/>
      <c r="AJ786" s="213"/>
      <c r="AK786" s="6"/>
      <c r="AL786" s="6"/>
      <c r="AM786" s="6"/>
      <c r="AN786" s="206"/>
      <c r="AP786" s="213"/>
      <c r="AQ786" s="6"/>
      <c r="AR786" s="6"/>
      <c r="AS786" s="6"/>
      <c r="AT786" s="206"/>
      <c r="AV786" s="213"/>
      <c r="AW786" s="6"/>
      <c r="AX786" s="6"/>
      <c r="AY786" s="6"/>
      <c r="AZ786" s="206"/>
    </row>
    <row r="787" spans="4:52" s="2" customFormat="1" ht="17.100000000000001" customHeight="1" x14ac:dyDescent="0.25">
      <c r="D787" s="3"/>
      <c r="E787" s="3"/>
      <c r="F787" s="4"/>
      <c r="G787" s="4"/>
      <c r="H787" s="138"/>
      <c r="I787" s="97"/>
      <c r="J787" s="6"/>
      <c r="K787" s="6"/>
      <c r="L787" s="6"/>
      <c r="M787" s="6"/>
      <c r="N787" s="6"/>
      <c r="O787" s="6"/>
      <c r="P787" s="6"/>
      <c r="Q787" s="6"/>
      <c r="R787" s="6"/>
      <c r="S787" s="6"/>
      <c r="T787" s="6"/>
      <c r="U787" s="6"/>
      <c r="V787" s="339"/>
      <c r="W787" s="339"/>
      <c r="X787" s="6"/>
      <c r="Y787" s="206"/>
      <c r="AE787" s="6"/>
      <c r="AF787" s="6"/>
      <c r="AG787" s="6"/>
      <c r="AH787" s="206"/>
      <c r="AJ787" s="213"/>
      <c r="AK787" s="6"/>
      <c r="AL787" s="6"/>
      <c r="AM787" s="6"/>
      <c r="AN787" s="206"/>
      <c r="AP787" s="213"/>
      <c r="AQ787" s="6"/>
      <c r="AR787" s="6"/>
      <c r="AS787" s="6"/>
      <c r="AT787" s="206"/>
      <c r="AV787" s="213"/>
      <c r="AW787" s="6"/>
      <c r="AX787" s="6"/>
      <c r="AY787" s="6"/>
      <c r="AZ787" s="206"/>
    </row>
    <row r="788" spans="4:52" s="2" customFormat="1" ht="17.100000000000001" customHeight="1" x14ac:dyDescent="0.25">
      <c r="D788" s="3"/>
      <c r="E788" s="3"/>
      <c r="F788" s="4"/>
      <c r="G788" s="4"/>
      <c r="H788" s="138"/>
      <c r="I788" s="97"/>
      <c r="J788" s="6"/>
      <c r="K788" s="6"/>
      <c r="L788" s="6"/>
      <c r="M788" s="6"/>
      <c r="N788" s="6"/>
      <c r="O788" s="6"/>
      <c r="P788" s="6"/>
      <c r="Q788" s="6"/>
      <c r="R788" s="6"/>
      <c r="S788" s="6"/>
      <c r="T788" s="6"/>
      <c r="U788" s="6"/>
      <c r="V788" s="339"/>
      <c r="W788" s="339"/>
      <c r="X788" s="6"/>
      <c r="Y788" s="206"/>
      <c r="AE788" s="6"/>
      <c r="AF788" s="6"/>
      <c r="AG788" s="6"/>
      <c r="AH788" s="206"/>
      <c r="AJ788" s="213"/>
      <c r="AK788" s="6"/>
      <c r="AL788" s="6"/>
      <c r="AM788" s="6"/>
      <c r="AN788" s="206"/>
      <c r="AP788" s="213"/>
      <c r="AQ788" s="6"/>
      <c r="AR788" s="6"/>
      <c r="AS788" s="6"/>
      <c r="AT788" s="206"/>
      <c r="AV788" s="213"/>
      <c r="AW788" s="6"/>
      <c r="AX788" s="6"/>
      <c r="AY788" s="6"/>
      <c r="AZ788" s="206"/>
    </row>
    <row r="789" spans="4:52" s="2" customFormat="1" ht="17.100000000000001" customHeight="1" x14ac:dyDescent="0.25">
      <c r="D789" s="3"/>
      <c r="E789" s="3"/>
      <c r="F789" s="4"/>
      <c r="G789" s="4"/>
      <c r="H789" s="138"/>
      <c r="I789" s="97"/>
      <c r="J789" s="6"/>
      <c r="K789" s="6"/>
      <c r="L789" s="6"/>
      <c r="M789" s="6"/>
      <c r="N789" s="6"/>
      <c r="O789" s="6"/>
      <c r="P789" s="6"/>
      <c r="Q789" s="6"/>
      <c r="R789" s="6"/>
      <c r="S789" s="6"/>
      <c r="T789" s="6"/>
      <c r="U789" s="6"/>
      <c r="V789" s="339"/>
      <c r="W789" s="339"/>
      <c r="X789" s="6"/>
      <c r="Y789" s="206"/>
      <c r="AE789" s="6"/>
      <c r="AF789" s="6"/>
      <c r="AG789" s="6"/>
      <c r="AH789" s="206"/>
      <c r="AJ789" s="213"/>
      <c r="AK789" s="6"/>
      <c r="AL789" s="6"/>
      <c r="AM789" s="6"/>
      <c r="AN789" s="206"/>
      <c r="AP789" s="213"/>
      <c r="AQ789" s="6"/>
      <c r="AR789" s="6"/>
      <c r="AS789" s="6"/>
      <c r="AT789" s="206"/>
      <c r="AV789" s="213"/>
      <c r="AW789" s="6"/>
      <c r="AX789" s="6"/>
      <c r="AY789" s="6"/>
      <c r="AZ789" s="206"/>
    </row>
    <row r="790" spans="4:52" s="2" customFormat="1" ht="17.100000000000001" customHeight="1" x14ac:dyDescent="0.25">
      <c r="D790" s="3"/>
      <c r="E790" s="3"/>
      <c r="F790" s="4"/>
      <c r="G790" s="4"/>
      <c r="H790" s="138"/>
      <c r="I790" s="97"/>
      <c r="J790" s="6"/>
      <c r="K790" s="6"/>
      <c r="L790" s="6"/>
      <c r="M790" s="6"/>
      <c r="N790" s="6"/>
      <c r="O790" s="6"/>
      <c r="P790" s="6"/>
      <c r="Q790" s="6"/>
      <c r="R790" s="6"/>
      <c r="S790" s="6"/>
      <c r="T790" s="6"/>
      <c r="U790" s="6"/>
      <c r="V790" s="339"/>
      <c r="W790" s="339"/>
      <c r="X790" s="6"/>
      <c r="Y790" s="206"/>
      <c r="AE790" s="6"/>
      <c r="AF790" s="6"/>
      <c r="AG790" s="6"/>
      <c r="AH790" s="206"/>
      <c r="AJ790" s="213"/>
      <c r="AK790" s="6"/>
      <c r="AL790" s="6"/>
      <c r="AM790" s="6"/>
      <c r="AN790" s="206"/>
      <c r="AP790" s="213"/>
      <c r="AQ790" s="6"/>
      <c r="AR790" s="6"/>
      <c r="AS790" s="6"/>
      <c r="AT790" s="206"/>
      <c r="AV790" s="213"/>
      <c r="AW790" s="6"/>
      <c r="AX790" s="6"/>
      <c r="AY790" s="6"/>
      <c r="AZ790" s="206"/>
    </row>
    <row r="791" spans="4:52" s="2" customFormat="1" ht="17.100000000000001" customHeight="1" x14ac:dyDescent="0.25">
      <c r="D791" s="3"/>
      <c r="E791" s="3"/>
      <c r="F791" s="4"/>
      <c r="G791" s="4"/>
      <c r="H791" s="138"/>
      <c r="I791" s="97"/>
      <c r="J791" s="6"/>
      <c r="K791" s="6"/>
      <c r="L791" s="6"/>
      <c r="M791" s="6"/>
      <c r="N791" s="6"/>
      <c r="O791" s="6"/>
      <c r="P791" s="6"/>
      <c r="Q791" s="6"/>
      <c r="R791" s="6"/>
      <c r="S791" s="6"/>
      <c r="T791" s="6"/>
      <c r="U791" s="6"/>
      <c r="V791" s="339"/>
      <c r="W791" s="339"/>
      <c r="X791" s="6"/>
      <c r="Y791" s="206"/>
      <c r="AE791" s="6"/>
      <c r="AF791" s="6"/>
      <c r="AG791" s="6"/>
      <c r="AH791" s="206"/>
      <c r="AJ791" s="213"/>
      <c r="AK791" s="6"/>
      <c r="AL791" s="6"/>
      <c r="AM791" s="6"/>
      <c r="AN791" s="206"/>
      <c r="AP791" s="213"/>
      <c r="AQ791" s="6"/>
      <c r="AR791" s="6"/>
      <c r="AS791" s="6"/>
      <c r="AT791" s="206"/>
      <c r="AV791" s="213"/>
      <c r="AW791" s="6"/>
      <c r="AX791" s="6"/>
      <c r="AY791" s="6"/>
      <c r="AZ791" s="206"/>
    </row>
    <row r="792" spans="4:52" s="2" customFormat="1" ht="17.100000000000001" customHeight="1" x14ac:dyDescent="0.25">
      <c r="D792" s="3"/>
      <c r="E792" s="3"/>
      <c r="F792" s="4"/>
      <c r="G792" s="4"/>
      <c r="H792" s="138"/>
      <c r="I792" s="97"/>
      <c r="J792" s="6"/>
      <c r="K792" s="6"/>
      <c r="L792" s="6"/>
      <c r="M792" s="6"/>
      <c r="N792" s="6"/>
      <c r="O792" s="6"/>
      <c r="P792" s="6"/>
      <c r="Q792" s="6"/>
      <c r="R792" s="6"/>
      <c r="S792" s="6"/>
      <c r="T792" s="6"/>
      <c r="U792" s="6"/>
      <c r="V792" s="339"/>
      <c r="W792" s="339"/>
      <c r="X792" s="6"/>
      <c r="Y792" s="206"/>
      <c r="AE792" s="6"/>
      <c r="AF792" s="6"/>
      <c r="AG792" s="6"/>
      <c r="AH792" s="206"/>
      <c r="AJ792" s="213"/>
      <c r="AK792" s="6"/>
      <c r="AL792" s="6"/>
      <c r="AM792" s="6"/>
      <c r="AN792" s="206"/>
      <c r="AP792" s="213"/>
      <c r="AQ792" s="6"/>
      <c r="AR792" s="6"/>
      <c r="AS792" s="6"/>
      <c r="AT792" s="206"/>
      <c r="AV792" s="213"/>
      <c r="AW792" s="6"/>
      <c r="AX792" s="6"/>
      <c r="AY792" s="6"/>
      <c r="AZ792" s="206"/>
    </row>
    <row r="793" spans="4:52" s="2" customFormat="1" ht="17.100000000000001" customHeight="1" x14ac:dyDescent="0.25">
      <c r="D793" s="3"/>
      <c r="E793" s="3"/>
      <c r="F793" s="4"/>
      <c r="G793" s="4"/>
      <c r="H793" s="138"/>
      <c r="I793" s="97"/>
      <c r="J793" s="6"/>
      <c r="K793" s="6"/>
      <c r="L793" s="6"/>
      <c r="M793" s="6"/>
      <c r="N793" s="6"/>
      <c r="O793" s="6"/>
      <c r="P793" s="6"/>
      <c r="Q793" s="6"/>
      <c r="R793" s="6"/>
      <c r="S793" s="6"/>
      <c r="T793" s="6"/>
      <c r="U793" s="6"/>
      <c r="V793" s="339"/>
      <c r="W793" s="339"/>
      <c r="X793" s="6"/>
      <c r="Y793" s="206"/>
      <c r="AE793" s="6"/>
      <c r="AF793" s="6"/>
      <c r="AG793" s="6"/>
      <c r="AH793" s="206"/>
      <c r="AJ793" s="213"/>
      <c r="AK793" s="6"/>
      <c r="AL793" s="6"/>
      <c r="AM793" s="6"/>
      <c r="AN793" s="206"/>
      <c r="AP793" s="213"/>
      <c r="AQ793" s="6"/>
      <c r="AR793" s="6"/>
      <c r="AS793" s="6"/>
      <c r="AT793" s="206"/>
      <c r="AV793" s="213"/>
      <c r="AW793" s="6"/>
      <c r="AX793" s="6"/>
      <c r="AY793" s="6"/>
      <c r="AZ793" s="206"/>
    </row>
    <row r="794" spans="4:52" s="2" customFormat="1" ht="17.100000000000001" customHeight="1" x14ac:dyDescent="0.25">
      <c r="D794" s="3"/>
      <c r="E794" s="3"/>
      <c r="F794" s="4"/>
      <c r="G794" s="4"/>
      <c r="H794" s="138"/>
      <c r="I794" s="97"/>
      <c r="J794" s="6"/>
      <c r="K794" s="6"/>
      <c r="L794" s="6"/>
      <c r="M794" s="6"/>
      <c r="N794" s="6"/>
      <c r="O794" s="6"/>
      <c r="P794" s="6"/>
      <c r="Q794" s="6"/>
      <c r="R794" s="6"/>
      <c r="S794" s="6"/>
      <c r="T794" s="6"/>
      <c r="U794" s="6"/>
      <c r="V794" s="339"/>
      <c r="W794" s="339"/>
      <c r="X794" s="6"/>
      <c r="Y794" s="206"/>
      <c r="AE794" s="6"/>
      <c r="AF794" s="6"/>
      <c r="AG794" s="6"/>
      <c r="AH794" s="206"/>
      <c r="AJ794" s="213"/>
      <c r="AK794" s="6"/>
      <c r="AL794" s="6"/>
      <c r="AM794" s="6"/>
      <c r="AN794" s="206"/>
      <c r="AP794" s="213"/>
      <c r="AQ794" s="6"/>
      <c r="AR794" s="6"/>
      <c r="AS794" s="6"/>
      <c r="AT794" s="206"/>
      <c r="AV794" s="213"/>
      <c r="AW794" s="6"/>
      <c r="AX794" s="6"/>
      <c r="AY794" s="6"/>
      <c r="AZ794" s="206"/>
    </row>
    <row r="795" spans="4:52" s="2" customFormat="1" ht="17.100000000000001" customHeight="1" x14ac:dyDescent="0.25">
      <c r="D795" s="3"/>
      <c r="E795" s="3"/>
      <c r="F795" s="4"/>
      <c r="G795" s="4"/>
      <c r="H795" s="138"/>
      <c r="I795" s="97"/>
      <c r="J795" s="6"/>
      <c r="K795" s="6"/>
      <c r="L795" s="6"/>
      <c r="M795" s="6"/>
      <c r="N795" s="6"/>
      <c r="O795" s="6"/>
      <c r="P795" s="6"/>
      <c r="Q795" s="6"/>
      <c r="R795" s="6"/>
      <c r="S795" s="6"/>
      <c r="T795" s="6"/>
      <c r="U795" s="6"/>
      <c r="V795" s="339"/>
      <c r="W795" s="339"/>
      <c r="X795" s="6"/>
      <c r="Y795" s="206"/>
      <c r="AE795" s="6"/>
      <c r="AF795" s="6"/>
      <c r="AG795" s="6"/>
      <c r="AH795" s="206"/>
      <c r="AJ795" s="213"/>
      <c r="AK795" s="6"/>
      <c r="AL795" s="6"/>
      <c r="AM795" s="6"/>
      <c r="AN795" s="206"/>
      <c r="AP795" s="213"/>
      <c r="AQ795" s="6"/>
      <c r="AR795" s="6"/>
      <c r="AS795" s="6"/>
      <c r="AT795" s="206"/>
      <c r="AV795" s="213"/>
      <c r="AW795" s="6"/>
      <c r="AX795" s="6"/>
      <c r="AY795" s="6"/>
      <c r="AZ795" s="206"/>
    </row>
    <row r="796" spans="4:52" s="2" customFormat="1" ht="17.100000000000001" customHeight="1" x14ac:dyDescent="0.25">
      <c r="D796" s="3"/>
      <c r="E796" s="3"/>
      <c r="F796" s="4"/>
      <c r="G796" s="4"/>
      <c r="H796" s="138"/>
      <c r="I796" s="97"/>
      <c r="J796" s="6"/>
      <c r="K796" s="6"/>
      <c r="L796" s="6"/>
      <c r="M796" s="6"/>
      <c r="N796" s="6"/>
      <c r="O796" s="6"/>
      <c r="P796" s="6"/>
      <c r="Q796" s="6"/>
      <c r="R796" s="6"/>
      <c r="S796" s="6"/>
      <c r="T796" s="6"/>
      <c r="U796" s="6"/>
      <c r="V796" s="339"/>
      <c r="W796" s="339"/>
      <c r="X796" s="6"/>
      <c r="Y796" s="206"/>
      <c r="AE796" s="6"/>
      <c r="AF796" s="6"/>
      <c r="AG796" s="6"/>
      <c r="AH796" s="206"/>
      <c r="AJ796" s="213"/>
      <c r="AK796" s="6"/>
      <c r="AL796" s="6"/>
      <c r="AM796" s="6"/>
      <c r="AN796" s="206"/>
      <c r="AP796" s="213"/>
      <c r="AQ796" s="6"/>
      <c r="AR796" s="6"/>
      <c r="AS796" s="6"/>
      <c r="AT796" s="206"/>
      <c r="AV796" s="213"/>
      <c r="AW796" s="6"/>
      <c r="AX796" s="6"/>
      <c r="AY796" s="6"/>
      <c r="AZ796" s="206"/>
    </row>
    <row r="797" spans="4:52" s="2" customFormat="1" ht="17.100000000000001" customHeight="1" x14ac:dyDescent="0.25">
      <c r="D797" s="3"/>
      <c r="E797" s="3"/>
      <c r="F797" s="4"/>
      <c r="G797" s="4"/>
      <c r="H797" s="138"/>
      <c r="I797" s="97"/>
      <c r="J797" s="6"/>
      <c r="K797" s="6"/>
      <c r="L797" s="6"/>
      <c r="M797" s="6"/>
      <c r="N797" s="6"/>
      <c r="O797" s="6"/>
      <c r="P797" s="6"/>
      <c r="Q797" s="6"/>
      <c r="R797" s="6"/>
      <c r="S797" s="6"/>
      <c r="T797" s="6"/>
      <c r="U797" s="6"/>
      <c r="V797" s="339"/>
      <c r="W797" s="339"/>
      <c r="X797" s="6"/>
      <c r="Y797" s="206"/>
      <c r="AE797" s="6"/>
      <c r="AF797" s="6"/>
      <c r="AG797" s="6"/>
      <c r="AH797" s="206"/>
      <c r="AJ797" s="213"/>
      <c r="AK797" s="6"/>
      <c r="AL797" s="6"/>
      <c r="AM797" s="6"/>
      <c r="AN797" s="206"/>
      <c r="AP797" s="213"/>
      <c r="AQ797" s="6"/>
      <c r="AR797" s="6"/>
      <c r="AS797" s="6"/>
      <c r="AT797" s="206"/>
      <c r="AV797" s="213"/>
      <c r="AW797" s="6"/>
      <c r="AX797" s="6"/>
      <c r="AY797" s="6"/>
      <c r="AZ797" s="206"/>
    </row>
    <row r="798" spans="4:52" s="2" customFormat="1" ht="17.100000000000001" customHeight="1" x14ac:dyDescent="0.25">
      <c r="D798" s="3"/>
      <c r="E798" s="3"/>
      <c r="F798" s="4"/>
      <c r="G798" s="4"/>
      <c r="H798" s="138"/>
      <c r="I798" s="97"/>
      <c r="J798" s="6"/>
      <c r="K798" s="6"/>
      <c r="L798" s="6"/>
      <c r="M798" s="6"/>
      <c r="N798" s="6"/>
      <c r="O798" s="6"/>
      <c r="P798" s="6"/>
      <c r="Q798" s="6"/>
      <c r="R798" s="6"/>
      <c r="S798" s="6"/>
      <c r="T798" s="6"/>
      <c r="U798" s="6"/>
      <c r="V798" s="339"/>
      <c r="W798" s="339"/>
      <c r="X798" s="6"/>
      <c r="Y798" s="206"/>
      <c r="AE798" s="6"/>
      <c r="AF798" s="6"/>
      <c r="AG798" s="6"/>
      <c r="AH798" s="206"/>
      <c r="AJ798" s="213"/>
      <c r="AK798" s="6"/>
      <c r="AL798" s="6"/>
      <c r="AM798" s="6"/>
      <c r="AN798" s="206"/>
      <c r="AP798" s="213"/>
      <c r="AQ798" s="6"/>
      <c r="AR798" s="6"/>
      <c r="AS798" s="6"/>
      <c r="AT798" s="206"/>
      <c r="AV798" s="213"/>
      <c r="AW798" s="6"/>
      <c r="AX798" s="6"/>
      <c r="AY798" s="6"/>
      <c r="AZ798" s="206"/>
    </row>
    <row r="799" spans="4:52" s="2" customFormat="1" ht="17.100000000000001" customHeight="1" x14ac:dyDescent="0.25">
      <c r="D799" s="3"/>
      <c r="E799" s="3"/>
      <c r="F799" s="4"/>
      <c r="G799" s="4"/>
      <c r="H799" s="138"/>
      <c r="I799" s="97"/>
      <c r="J799" s="6"/>
      <c r="K799" s="6"/>
      <c r="L799" s="6"/>
      <c r="M799" s="6"/>
      <c r="N799" s="6"/>
      <c r="O799" s="6"/>
      <c r="P799" s="6"/>
      <c r="Q799" s="6"/>
      <c r="R799" s="6"/>
      <c r="S799" s="6"/>
      <c r="T799" s="6"/>
      <c r="U799" s="6"/>
      <c r="V799" s="339"/>
      <c r="W799" s="339"/>
      <c r="X799" s="6"/>
      <c r="Y799" s="206"/>
      <c r="AE799" s="6"/>
      <c r="AF799" s="6"/>
      <c r="AG799" s="6"/>
      <c r="AH799" s="206"/>
      <c r="AJ799" s="213"/>
      <c r="AK799" s="6"/>
      <c r="AL799" s="6"/>
      <c r="AM799" s="6"/>
      <c r="AN799" s="206"/>
      <c r="AP799" s="213"/>
      <c r="AQ799" s="6"/>
      <c r="AR799" s="6"/>
      <c r="AS799" s="6"/>
      <c r="AT799" s="206"/>
      <c r="AV799" s="213"/>
      <c r="AW799" s="6"/>
      <c r="AX799" s="6"/>
      <c r="AY799" s="6"/>
      <c r="AZ799" s="206"/>
    </row>
    <row r="800" spans="4:52" s="2" customFormat="1" ht="17.100000000000001" customHeight="1" x14ac:dyDescent="0.25">
      <c r="D800" s="3"/>
      <c r="E800" s="3"/>
      <c r="F800" s="4"/>
      <c r="G800" s="4"/>
      <c r="H800" s="138"/>
      <c r="I800" s="97"/>
      <c r="J800" s="6"/>
      <c r="K800" s="6"/>
      <c r="L800" s="6"/>
      <c r="M800" s="6"/>
      <c r="N800" s="6"/>
      <c r="O800" s="6"/>
      <c r="P800" s="6"/>
      <c r="Q800" s="6"/>
      <c r="R800" s="6"/>
      <c r="S800" s="6"/>
      <c r="T800" s="6"/>
      <c r="U800" s="6"/>
      <c r="V800" s="339"/>
      <c r="W800" s="339"/>
      <c r="X800" s="6"/>
      <c r="Y800" s="206"/>
      <c r="AE800" s="6"/>
      <c r="AF800" s="6"/>
      <c r="AG800" s="6"/>
      <c r="AH800" s="206"/>
      <c r="AJ800" s="213"/>
      <c r="AK800" s="6"/>
      <c r="AL800" s="6"/>
      <c r="AM800" s="6"/>
      <c r="AN800" s="206"/>
      <c r="AP800" s="213"/>
      <c r="AQ800" s="6"/>
      <c r="AR800" s="6"/>
      <c r="AS800" s="6"/>
      <c r="AT800" s="206"/>
      <c r="AV800" s="213"/>
      <c r="AW800" s="6"/>
      <c r="AX800" s="6"/>
      <c r="AY800" s="6"/>
      <c r="AZ800" s="206"/>
    </row>
    <row r="801" spans="4:52" s="2" customFormat="1" ht="17.100000000000001" customHeight="1" x14ac:dyDescent="0.25">
      <c r="D801" s="3"/>
      <c r="E801" s="3"/>
      <c r="F801" s="4"/>
      <c r="G801" s="4"/>
      <c r="H801" s="138"/>
      <c r="I801" s="97"/>
      <c r="J801" s="6"/>
      <c r="K801" s="6"/>
      <c r="L801" s="6"/>
      <c r="M801" s="6"/>
      <c r="N801" s="6"/>
      <c r="O801" s="6"/>
      <c r="P801" s="6"/>
      <c r="Q801" s="6"/>
      <c r="R801" s="6"/>
      <c r="S801" s="6"/>
      <c r="T801" s="6"/>
      <c r="U801" s="6"/>
      <c r="V801" s="339"/>
      <c r="W801" s="339"/>
      <c r="X801" s="6"/>
      <c r="Y801" s="206"/>
      <c r="AE801" s="6"/>
      <c r="AF801" s="6"/>
      <c r="AG801" s="6"/>
      <c r="AH801" s="206"/>
      <c r="AJ801" s="213"/>
      <c r="AK801" s="6"/>
      <c r="AL801" s="6"/>
      <c r="AM801" s="6"/>
      <c r="AN801" s="206"/>
      <c r="AP801" s="213"/>
      <c r="AQ801" s="6"/>
      <c r="AR801" s="6"/>
      <c r="AS801" s="6"/>
      <c r="AT801" s="206"/>
      <c r="AV801" s="213"/>
      <c r="AW801" s="6"/>
      <c r="AX801" s="6"/>
      <c r="AY801" s="6"/>
      <c r="AZ801" s="206"/>
    </row>
    <row r="802" spans="4:52" s="2" customFormat="1" ht="17.100000000000001" customHeight="1" x14ac:dyDescent="0.25">
      <c r="D802" s="3"/>
      <c r="E802" s="3"/>
      <c r="F802" s="4"/>
      <c r="G802" s="4"/>
      <c r="H802" s="138"/>
      <c r="I802" s="97"/>
      <c r="J802" s="6"/>
      <c r="K802" s="6"/>
      <c r="L802" s="6"/>
      <c r="M802" s="6"/>
      <c r="N802" s="6"/>
      <c r="O802" s="6"/>
      <c r="P802" s="6"/>
      <c r="Q802" s="6"/>
      <c r="R802" s="6"/>
      <c r="S802" s="6"/>
      <c r="T802" s="6"/>
      <c r="U802" s="6"/>
      <c r="V802" s="339"/>
      <c r="W802" s="339"/>
      <c r="X802" s="6"/>
      <c r="Y802" s="206"/>
      <c r="AE802" s="6"/>
      <c r="AF802" s="6"/>
      <c r="AG802" s="6"/>
      <c r="AH802" s="206"/>
      <c r="AJ802" s="213"/>
      <c r="AK802" s="6"/>
      <c r="AL802" s="6"/>
      <c r="AM802" s="6"/>
      <c r="AN802" s="206"/>
      <c r="AP802" s="213"/>
      <c r="AQ802" s="6"/>
      <c r="AR802" s="6"/>
      <c r="AS802" s="6"/>
      <c r="AT802" s="206"/>
      <c r="AV802" s="213"/>
      <c r="AW802" s="6"/>
      <c r="AX802" s="6"/>
      <c r="AY802" s="6"/>
      <c r="AZ802" s="206"/>
    </row>
    <row r="803" spans="4:52" s="2" customFormat="1" ht="17.100000000000001" customHeight="1" x14ac:dyDescent="0.25">
      <c r="D803" s="3"/>
      <c r="E803" s="3"/>
      <c r="F803" s="4"/>
      <c r="G803" s="4"/>
      <c r="H803" s="138"/>
      <c r="I803" s="97"/>
      <c r="J803" s="6"/>
      <c r="K803" s="6"/>
      <c r="L803" s="6"/>
      <c r="M803" s="6"/>
      <c r="N803" s="6"/>
      <c r="O803" s="6"/>
      <c r="P803" s="6"/>
      <c r="Q803" s="6"/>
      <c r="R803" s="6"/>
      <c r="S803" s="6"/>
      <c r="T803" s="6"/>
      <c r="U803" s="6"/>
      <c r="V803" s="339"/>
      <c r="W803" s="339"/>
      <c r="X803" s="6"/>
      <c r="Y803" s="206"/>
      <c r="AE803" s="6"/>
      <c r="AF803" s="6"/>
      <c r="AG803" s="6"/>
      <c r="AH803" s="206"/>
      <c r="AJ803" s="213"/>
      <c r="AK803" s="6"/>
      <c r="AL803" s="6"/>
      <c r="AM803" s="6"/>
      <c r="AN803" s="206"/>
      <c r="AP803" s="213"/>
      <c r="AQ803" s="6"/>
      <c r="AR803" s="6"/>
      <c r="AS803" s="6"/>
      <c r="AT803" s="206"/>
      <c r="AV803" s="213"/>
      <c r="AW803" s="6"/>
      <c r="AX803" s="6"/>
      <c r="AY803" s="6"/>
      <c r="AZ803" s="206"/>
    </row>
    <row r="804" spans="4:52" s="2" customFormat="1" ht="17.100000000000001" customHeight="1" x14ac:dyDescent="0.25">
      <c r="D804" s="3"/>
      <c r="E804" s="3"/>
      <c r="F804" s="4"/>
      <c r="G804" s="4"/>
      <c r="H804" s="138"/>
      <c r="I804" s="97"/>
      <c r="J804" s="6"/>
      <c r="K804" s="6"/>
      <c r="L804" s="6"/>
      <c r="M804" s="6"/>
      <c r="N804" s="6"/>
      <c r="O804" s="6"/>
      <c r="P804" s="6"/>
      <c r="Q804" s="6"/>
      <c r="R804" s="6"/>
      <c r="S804" s="6"/>
      <c r="T804" s="6"/>
      <c r="U804" s="6"/>
      <c r="V804" s="339"/>
      <c r="W804" s="339"/>
      <c r="X804" s="6"/>
      <c r="Y804" s="206"/>
      <c r="AE804" s="6"/>
      <c r="AF804" s="6"/>
      <c r="AG804" s="6"/>
      <c r="AH804" s="206"/>
      <c r="AJ804" s="213"/>
      <c r="AK804" s="6"/>
      <c r="AL804" s="6"/>
      <c r="AM804" s="6"/>
      <c r="AN804" s="206"/>
      <c r="AP804" s="213"/>
      <c r="AQ804" s="6"/>
      <c r="AR804" s="6"/>
      <c r="AS804" s="6"/>
      <c r="AT804" s="206"/>
      <c r="AV804" s="213"/>
      <c r="AW804" s="6"/>
      <c r="AX804" s="6"/>
      <c r="AY804" s="6"/>
      <c r="AZ804" s="206"/>
    </row>
    <row r="805" spans="4:52" s="2" customFormat="1" ht="17.100000000000001" customHeight="1" x14ac:dyDescent="0.25">
      <c r="D805" s="3"/>
      <c r="E805" s="3"/>
      <c r="F805" s="4"/>
      <c r="G805" s="4"/>
      <c r="H805" s="138"/>
      <c r="I805" s="97"/>
      <c r="J805" s="6"/>
      <c r="K805" s="6"/>
      <c r="L805" s="6"/>
      <c r="M805" s="6"/>
      <c r="N805" s="6"/>
      <c r="O805" s="6"/>
      <c r="P805" s="6"/>
      <c r="Q805" s="6"/>
      <c r="R805" s="6"/>
      <c r="S805" s="6"/>
      <c r="T805" s="6"/>
      <c r="U805" s="6"/>
      <c r="V805" s="339"/>
      <c r="W805" s="339"/>
      <c r="X805" s="6"/>
      <c r="Y805" s="206"/>
      <c r="AE805" s="6"/>
      <c r="AF805" s="6"/>
      <c r="AG805" s="6"/>
      <c r="AH805" s="206"/>
      <c r="AJ805" s="213"/>
      <c r="AK805" s="6"/>
      <c r="AL805" s="6"/>
      <c r="AM805" s="6"/>
      <c r="AN805" s="206"/>
      <c r="AP805" s="213"/>
      <c r="AQ805" s="6"/>
      <c r="AR805" s="6"/>
      <c r="AS805" s="6"/>
      <c r="AT805" s="206"/>
      <c r="AV805" s="213"/>
      <c r="AW805" s="6"/>
      <c r="AX805" s="6"/>
      <c r="AY805" s="6"/>
      <c r="AZ805" s="206"/>
    </row>
    <row r="806" spans="4:52" s="2" customFormat="1" ht="17.100000000000001" customHeight="1" x14ac:dyDescent="0.25">
      <c r="D806" s="3"/>
      <c r="E806" s="3"/>
      <c r="F806" s="4"/>
      <c r="G806" s="4"/>
      <c r="H806" s="138"/>
      <c r="I806" s="97"/>
      <c r="J806" s="6"/>
      <c r="K806" s="6"/>
      <c r="L806" s="6"/>
      <c r="M806" s="6"/>
      <c r="N806" s="6"/>
      <c r="O806" s="6"/>
      <c r="P806" s="6"/>
      <c r="Q806" s="6"/>
      <c r="R806" s="6"/>
      <c r="S806" s="6"/>
      <c r="T806" s="6"/>
      <c r="U806" s="6"/>
      <c r="V806" s="339"/>
      <c r="W806" s="339"/>
      <c r="X806" s="6"/>
      <c r="Y806" s="206"/>
      <c r="AE806" s="6"/>
      <c r="AF806" s="6"/>
      <c r="AG806" s="6"/>
      <c r="AH806" s="206"/>
      <c r="AJ806" s="213"/>
      <c r="AK806" s="6"/>
      <c r="AL806" s="6"/>
      <c r="AM806" s="6"/>
      <c r="AN806" s="206"/>
      <c r="AP806" s="213"/>
      <c r="AQ806" s="6"/>
      <c r="AR806" s="6"/>
      <c r="AS806" s="6"/>
      <c r="AT806" s="206"/>
      <c r="AV806" s="213"/>
      <c r="AW806" s="6"/>
      <c r="AX806" s="6"/>
      <c r="AY806" s="6"/>
      <c r="AZ806" s="206"/>
    </row>
    <row r="807" spans="4:52" s="2" customFormat="1" ht="17.100000000000001" customHeight="1" x14ac:dyDescent="0.25">
      <c r="D807" s="3"/>
      <c r="E807" s="3"/>
      <c r="F807" s="4"/>
      <c r="G807" s="4"/>
      <c r="H807" s="138"/>
      <c r="I807" s="97"/>
      <c r="J807" s="6"/>
      <c r="K807" s="6"/>
      <c r="L807" s="6"/>
      <c r="M807" s="6"/>
      <c r="N807" s="6"/>
      <c r="O807" s="6"/>
      <c r="P807" s="6"/>
      <c r="Q807" s="6"/>
      <c r="R807" s="6"/>
      <c r="S807" s="6"/>
      <c r="T807" s="6"/>
      <c r="U807" s="6"/>
      <c r="V807" s="339"/>
      <c r="W807" s="339"/>
      <c r="X807" s="6"/>
      <c r="Y807" s="206"/>
      <c r="AE807" s="6"/>
      <c r="AF807" s="6"/>
      <c r="AG807" s="6"/>
      <c r="AH807" s="206"/>
      <c r="AJ807" s="213"/>
      <c r="AK807" s="6"/>
      <c r="AL807" s="6"/>
      <c r="AM807" s="6"/>
      <c r="AN807" s="206"/>
      <c r="AP807" s="213"/>
      <c r="AQ807" s="6"/>
      <c r="AR807" s="6"/>
      <c r="AS807" s="6"/>
      <c r="AT807" s="206"/>
      <c r="AV807" s="213"/>
      <c r="AW807" s="6"/>
      <c r="AX807" s="6"/>
      <c r="AY807" s="6"/>
      <c r="AZ807" s="206"/>
    </row>
    <row r="808" spans="4:52" s="2" customFormat="1" ht="17.100000000000001" customHeight="1" x14ac:dyDescent="0.25">
      <c r="D808" s="3"/>
      <c r="E808" s="3"/>
      <c r="F808" s="4"/>
      <c r="G808" s="4"/>
      <c r="H808" s="138"/>
      <c r="I808" s="97"/>
      <c r="J808" s="6"/>
      <c r="K808" s="6"/>
      <c r="L808" s="6"/>
      <c r="M808" s="6"/>
      <c r="N808" s="6"/>
      <c r="O808" s="6"/>
      <c r="P808" s="6"/>
      <c r="Q808" s="6"/>
      <c r="R808" s="6"/>
      <c r="S808" s="6"/>
      <c r="T808" s="6"/>
      <c r="U808" s="6"/>
      <c r="V808" s="339"/>
      <c r="W808" s="339"/>
      <c r="X808" s="6"/>
      <c r="Y808" s="206"/>
      <c r="AE808" s="6"/>
      <c r="AF808" s="6"/>
      <c r="AG808" s="6"/>
      <c r="AH808" s="206"/>
      <c r="AJ808" s="213"/>
      <c r="AK808" s="6"/>
      <c r="AL808" s="6"/>
      <c r="AM808" s="6"/>
      <c r="AN808" s="206"/>
      <c r="AP808" s="213"/>
      <c r="AQ808" s="6"/>
      <c r="AR808" s="6"/>
      <c r="AS808" s="6"/>
      <c r="AT808" s="206"/>
      <c r="AV808" s="213"/>
      <c r="AW808" s="6"/>
      <c r="AX808" s="6"/>
      <c r="AY808" s="6"/>
      <c r="AZ808" s="206"/>
    </row>
    <row r="809" spans="4:52" s="2" customFormat="1" ht="17.100000000000001" customHeight="1" x14ac:dyDescent="0.25">
      <c r="D809" s="3"/>
      <c r="E809" s="3"/>
      <c r="F809" s="4"/>
      <c r="G809" s="4"/>
      <c r="H809" s="138"/>
      <c r="I809" s="97"/>
      <c r="J809" s="6"/>
      <c r="K809" s="6"/>
      <c r="L809" s="6"/>
      <c r="M809" s="6"/>
      <c r="N809" s="6"/>
      <c r="O809" s="6"/>
      <c r="P809" s="6"/>
      <c r="Q809" s="6"/>
      <c r="R809" s="6"/>
      <c r="S809" s="6"/>
      <c r="T809" s="6"/>
      <c r="U809" s="6"/>
      <c r="V809" s="339"/>
      <c r="W809" s="339"/>
      <c r="X809" s="6"/>
      <c r="Y809" s="206"/>
      <c r="AE809" s="6"/>
      <c r="AF809" s="6"/>
      <c r="AG809" s="6"/>
      <c r="AH809" s="206"/>
      <c r="AJ809" s="213"/>
      <c r="AK809" s="6"/>
      <c r="AL809" s="6"/>
      <c r="AM809" s="6"/>
      <c r="AN809" s="206"/>
      <c r="AP809" s="213"/>
      <c r="AQ809" s="6"/>
      <c r="AR809" s="6"/>
      <c r="AS809" s="6"/>
      <c r="AT809" s="206"/>
      <c r="AV809" s="213"/>
      <c r="AW809" s="6"/>
      <c r="AX809" s="6"/>
      <c r="AY809" s="6"/>
      <c r="AZ809" s="206"/>
    </row>
    <row r="810" spans="4:52" s="2" customFormat="1" ht="17.100000000000001" customHeight="1" x14ac:dyDescent="0.25">
      <c r="D810" s="3"/>
      <c r="E810" s="3"/>
      <c r="F810" s="4"/>
      <c r="G810" s="4"/>
      <c r="H810" s="138"/>
      <c r="I810" s="97"/>
      <c r="J810" s="6"/>
      <c r="K810" s="6"/>
      <c r="L810" s="6"/>
      <c r="M810" s="6"/>
      <c r="N810" s="6"/>
      <c r="O810" s="6"/>
      <c r="P810" s="6"/>
      <c r="Q810" s="6"/>
      <c r="R810" s="6"/>
      <c r="S810" s="6"/>
      <c r="T810" s="6"/>
      <c r="U810" s="6"/>
      <c r="V810" s="339"/>
      <c r="W810" s="339"/>
      <c r="X810" s="6"/>
      <c r="Y810" s="206"/>
      <c r="AE810" s="6"/>
      <c r="AF810" s="6"/>
      <c r="AG810" s="6"/>
      <c r="AH810" s="206"/>
      <c r="AJ810" s="213"/>
      <c r="AK810" s="6"/>
      <c r="AL810" s="6"/>
      <c r="AM810" s="6"/>
      <c r="AN810" s="206"/>
      <c r="AP810" s="213"/>
      <c r="AQ810" s="6"/>
      <c r="AR810" s="6"/>
      <c r="AS810" s="6"/>
      <c r="AT810" s="206"/>
      <c r="AV810" s="213"/>
      <c r="AW810" s="6"/>
      <c r="AX810" s="6"/>
      <c r="AY810" s="6"/>
      <c r="AZ810" s="206"/>
    </row>
    <row r="811" spans="4:52" s="2" customFormat="1" ht="17.100000000000001" customHeight="1" x14ac:dyDescent="0.25">
      <c r="D811" s="3"/>
      <c r="E811" s="3"/>
      <c r="F811" s="4"/>
      <c r="G811" s="4"/>
      <c r="H811" s="138"/>
      <c r="I811" s="97"/>
      <c r="J811" s="6"/>
      <c r="K811" s="6"/>
      <c r="L811" s="6"/>
      <c r="M811" s="6"/>
      <c r="N811" s="6"/>
      <c r="O811" s="6"/>
      <c r="P811" s="6"/>
      <c r="Q811" s="6"/>
      <c r="R811" s="6"/>
      <c r="S811" s="6"/>
      <c r="T811" s="6"/>
      <c r="U811" s="6"/>
      <c r="V811" s="339"/>
      <c r="W811" s="339"/>
      <c r="X811" s="6"/>
      <c r="Y811" s="206"/>
      <c r="AE811" s="6"/>
      <c r="AF811" s="6"/>
      <c r="AG811" s="6"/>
      <c r="AH811" s="206"/>
      <c r="AJ811" s="213"/>
      <c r="AK811" s="6"/>
      <c r="AL811" s="6"/>
      <c r="AM811" s="6"/>
      <c r="AN811" s="206"/>
      <c r="AP811" s="213"/>
      <c r="AQ811" s="6"/>
      <c r="AR811" s="6"/>
      <c r="AS811" s="6"/>
      <c r="AT811" s="206"/>
      <c r="AV811" s="213"/>
      <c r="AW811" s="6"/>
      <c r="AX811" s="6"/>
      <c r="AY811" s="6"/>
      <c r="AZ811" s="206"/>
    </row>
    <row r="812" spans="4:52" s="2" customFormat="1" ht="17.100000000000001" customHeight="1" x14ac:dyDescent="0.25">
      <c r="D812" s="3"/>
      <c r="E812" s="3"/>
      <c r="F812" s="4"/>
      <c r="G812" s="4"/>
      <c r="H812" s="138"/>
      <c r="I812" s="97"/>
      <c r="J812" s="6"/>
      <c r="K812" s="6"/>
      <c r="L812" s="6"/>
      <c r="M812" s="6"/>
      <c r="N812" s="6"/>
      <c r="O812" s="6"/>
      <c r="P812" s="6"/>
      <c r="Q812" s="6"/>
      <c r="R812" s="6"/>
      <c r="S812" s="6"/>
      <c r="T812" s="6"/>
      <c r="U812" s="6"/>
      <c r="V812" s="339"/>
      <c r="W812" s="339"/>
      <c r="X812" s="6"/>
      <c r="Y812" s="206"/>
      <c r="AE812" s="6"/>
      <c r="AF812" s="6"/>
      <c r="AG812" s="6"/>
      <c r="AH812" s="206"/>
      <c r="AJ812" s="213"/>
      <c r="AK812" s="6"/>
      <c r="AL812" s="6"/>
      <c r="AM812" s="6"/>
      <c r="AN812" s="206"/>
      <c r="AP812" s="213"/>
      <c r="AQ812" s="6"/>
      <c r="AR812" s="6"/>
      <c r="AS812" s="6"/>
      <c r="AT812" s="206"/>
      <c r="AV812" s="213"/>
      <c r="AW812" s="6"/>
      <c r="AX812" s="6"/>
      <c r="AY812" s="6"/>
      <c r="AZ812" s="206"/>
    </row>
    <row r="813" spans="4:52" s="2" customFormat="1" ht="17.100000000000001" customHeight="1" x14ac:dyDescent="0.25">
      <c r="D813" s="3"/>
      <c r="E813" s="3"/>
      <c r="F813" s="4"/>
      <c r="G813" s="4"/>
      <c r="H813" s="138"/>
      <c r="I813" s="97"/>
      <c r="J813" s="6"/>
      <c r="K813" s="6"/>
      <c r="L813" s="6"/>
      <c r="M813" s="6"/>
      <c r="N813" s="6"/>
      <c r="O813" s="6"/>
      <c r="P813" s="6"/>
      <c r="Q813" s="6"/>
      <c r="R813" s="6"/>
      <c r="S813" s="6"/>
      <c r="T813" s="6"/>
      <c r="U813" s="6"/>
      <c r="V813" s="339"/>
      <c r="W813" s="339"/>
      <c r="X813" s="6"/>
      <c r="Y813" s="206"/>
      <c r="AE813" s="6"/>
      <c r="AF813" s="6"/>
      <c r="AG813" s="6"/>
      <c r="AH813" s="206"/>
      <c r="AJ813" s="213"/>
      <c r="AK813" s="6"/>
      <c r="AL813" s="6"/>
      <c r="AM813" s="6"/>
      <c r="AN813" s="206"/>
      <c r="AP813" s="213"/>
      <c r="AQ813" s="6"/>
      <c r="AR813" s="6"/>
      <c r="AS813" s="6"/>
      <c r="AT813" s="206"/>
      <c r="AV813" s="213"/>
      <c r="AW813" s="6"/>
      <c r="AX813" s="6"/>
      <c r="AY813" s="6"/>
      <c r="AZ813" s="206"/>
    </row>
    <row r="814" spans="4:52" s="2" customFormat="1" ht="17.100000000000001" customHeight="1" x14ac:dyDescent="0.25">
      <c r="D814" s="3"/>
      <c r="E814" s="3"/>
      <c r="F814" s="4"/>
      <c r="G814" s="4"/>
      <c r="H814" s="138"/>
      <c r="I814" s="97"/>
      <c r="J814" s="6"/>
      <c r="K814" s="6"/>
      <c r="L814" s="6"/>
      <c r="M814" s="6"/>
      <c r="N814" s="6"/>
      <c r="O814" s="6"/>
      <c r="P814" s="6"/>
      <c r="Q814" s="6"/>
      <c r="R814" s="6"/>
      <c r="S814" s="6"/>
      <c r="T814" s="6"/>
      <c r="U814" s="6"/>
      <c r="V814" s="339"/>
      <c r="W814" s="339"/>
      <c r="X814" s="6"/>
      <c r="Y814" s="206"/>
      <c r="AE814" s="6"/>
      <c r="AF814" s="6"/>
      <c r="AG814" s="6"/>
      <c r="AH814" s="206"/>
      <c r="AJ814" s="213"/>
      <c r="AK814" s="6"/>
      <c r="AL814" s="6"/>
      <c r="AM814" s="6"/>
      <c r="AN814" s="206"/>
      <c r="AP814" s="213"/>
      <c r="AQ814" s="6"/>
      <c r="AR814" s="6"/>
      <c r="AS814" s="6"/>
      <c r="AT814" s="206"/>
      <c r="AV814" s="213"/>
      <c r="AW814" s="6"/>
      <c r="AX814" s="6"/>
      <c r="AY814" s="6"/>
      <c r="AZ814" s="206"/>
    </row>
    <row r="815" spans="4:52" s="2" customFormat="1" ht="17.100000000000001" customHeight="1" x14ac:dyDescent="0.25">
      <c r="D815" s="3"/>
      <c r="E815" s="3"/>
      <c r="F815" s="4"/>
      <c r="G815" s="4"/>
      <c r="H815" s="138"/>
      <c r="I815" s="97"/>
      <c r="J815" s="6"/>
      <c r="K815" s="6"/>
      <c r="L815" s="6"/>
      <c r="M815" s="6"/>
      <c r="N815" s="6"/>
      <c r="O815" s="6"/>
      <c r="P815" s="6"/>
      <c r="Q815" s="6"/>
      <c r="R815" s="6"/>
      <c r="S815" s="6"/>
      <c r="T815" s="6"/>
      <c r="U815" s="6"/>
      <c r="V815" s="339"/>
      <c r="W815" s="339"/>
      <c r="X815" s="6"/>
      <c r="Y815" s="206"/>
      <c r="AE815" s="6"/>
      <c r="AF815" s="6"/>
      <c r="AG815" s="6"/>
      <c r="AH815" s="206"/>
      <c r="AJ815" s="213"/>
      <c r="AK815" s="6"/>
      <c r="AL815" s="6"/>
      <c r="AM815" s="6"/>
      <c r="AN815" s="206"/>
      <c r="AP815" s="213"/>
      <c r="AQ815" s="6"/>
      <c r="AR815" s="6"/>
      <c r="AS815" s="6"/>
      <c r="AT815" s="206"/>
      <c r="AV815" s="213"/>
      <c r="AW815" s="6"/>
      <c r="AX815" s="6"/>
      <c r="AY815" s="6"/>
      <c r="AZ815" s="206"/>
    </row>
    <row r="816" spans="4:52" s="2" customFormat="1" ht="17.100000000000001" customHeight="1" x14ac:dyDescent="0.25">
      <c r="D816" s="3"/>
      <c r="E816" s="3"/>
      <c r="F816" s="4"/>
      <c r="G816" s="4"/>
      <c r="H816" s="138"/>
      <c r="I816" s="97"/>
      <c r="J816" s="6"/>
      <c r="K816" s="6"/>
      <c r="L816" s="6"/>
      <c r="M816" s="6"/>
      <c r="N816" s="6"/>
      <c r="O816" s="6"/>
      <c r="P816" s="6"/>
      <c r="Q816" s="6"/>
      <c r="R816" s="6"/>
      <c r="S816" s="6"/>
      <c r="T816" s="6"/>
      <c r="U816" s="6"/>
      <c r="V816" s="339"/>
      <c r="W816" s="339"/>
      <c r="X816" s="6"/>
      <c r="Y816" s="206"/>
      <c r="AE816" s="6"/>
      <c r="AF816" s="6"/>
      <c r="AG816" s="6"/>
      <c r="AH816" s="206"/>
      <c r="AJ816" s="213"/>
      <c r="AK816" s="6"/>
      <c r="AL816" s="6"/>
      <c r="AM816" s="6"/>
      <c r="AN816" s="206"/>
      <c r="AP816" s="213"/>
      <c r="AQ816" s="6"/>
      <c r="AR816" s="6"/>
      <c r="AS816" s="6"/>
      <c r="AT816" s="206"/>
      <c r="AV816" s="213"/>
      <c r="AW816" s="6"/>
      <c r="AX816" s="6"/>
      <c r="AY816" s="6"/>
      <c r="AZ816" s="206"/>
    </row>
    <row r="817" spans="4:52" s="2" customFormat="1" ht="17.100000000000001" customHeight="1" x14ac:dyDescent="0.25">
      <c r="D817" s="3"/>
      <c r="E817" s="3"/>
      <c r="F817" s="4"/>
      <c r="G817" s="4"/>
      <c r="H817" s="138"/>
      <c r="I817" s="97"/>
      <c r="J817" s="6"/>
      <c r="K817" s="6"/>
      <c r="L817" s="6"/>
      <c r="M817" s="6"/>
      <c r="N817" s="6"/>
      <c r="O817" s="6"/>
      <c r="P817" s="6"/>
      <c r="Q817" s="6"/>
      <c r="R817" s="6"/>
      <c r="S817" s="6"/>
      <c r="T817" s="6"/>
      <c r="U817" s="6"/>
      <c r="V817" s="339"/>
      <c r="W817" s="339"/>
      <c r="X817" s="6"/>
      <c r="Y817" s="206"/>
      <c r="AE817" s="6"/>
      <c r="AF817" s="6"/>
      <c r="AG817" s="6"/>
      <c r="AH817" s="206"/>
      <c r="AJ817" s="213"/>
      <c r="AK817" s="6"/>
      <c r="AL817" s="6"/>
      <c r="AM817" s="6"/>
      <c r="AN817" s="206"/>
      <c r="AP817" s="213"/>
      <c r="AQ817" s="6"/>
      <c r="AR817" s="6"/>
      <c r="AS817" s="6"/>
      <c r="AT817" s="206"/>
      <c r="AV817" s="213"/>
      <c r="AW817" s="6"/>
      <c r="AX817" s="6"/>
      <c r="AY817" s="6"/>
      <c r="AZ817" s="206"/>
    </row>
    <row r="818" spans="4:52" s="2" customFormat="1" ht="17.100000000000001" customHeight="1" x14ac:dyDescent="0.25">
      <c r="D818" s="3"/>
      <c r="E818" s="3"/>
      <c r="F818" s="4"/>
      <c r="G818" s="4"/>
      <c r="H818" s="138"/>
      <c r="I818" s="97"/>
      <c r="J818" s="6"/>
      <c r="K818" s="6"/>
      <c r="L818" s="6"/>
      <c r="M818" s="6"/>
      <c r="N818" s="6"/>
      <c r="O818" s="6"/>
      <c r="P818" s="6"/>
      <c r="Q818" s="6"/>
      <c r="R818" s="6"/>
      <c r="S818" s="6"/>
      <c r="T818" s="6"/>
      <c r="U818" s="6"/>
      <c r="V818" s="339"/>
      <c r="W818" s="339"/>
      <c r="X818" s="6"/>
      <c r="Y818" s="206"/>
      <c r="AE818" s="6"/>
      <c r="AF818" s="6"/>
      <c r="AG818" s="6"/>
      <c r="AH818" s="206"/>
      <c r="AJ818" s="213"/>
      <c r="AK818" s="6"/>
      <c r="AL818" s="6"/>
      <c r="AM818" s="6"/>
      <c r="AN818" s="206"/>
      <c r="AP818" s="213"/>
      <c r="AQ818" s="6"/>
      <c r="AR818" s="6"/>
      <c r="AS818" s="6"/>
      <c r="AT818" s="206"/>
      <c r="AV818" s="213"/>
      <c r="AW818" s="6"/>
      <c r="AX818" s="6"/>
      <c r="AY818" s="6"/>
      <c r="AZ818" s="206"/>
    </row>
    <row r="819" spans="4:52" s="2" customFormat="1" ht="17.100000000000001" customHeight="1" x14ac:dyDescent="0.25">
      <c r="D819" s="3"/>
      <c r="E819" s="3"/>
      <c r="F819" s="4"/>
      <c r="G819" s="4"/>
      <c r="H819" s="138"/>
      <c r="I819" s="97"/>
      <c r="J819" s="6"/>
      <c r="K819" s="6"/>
      <c r="L819" s="6"/>
      <c r="M819" s="6"/>
      <c r="N819" s="6"/>
      <c r="O819" s="6"/>
      <c r="P819" s="6"/>
      <c r="Q819" s="6"/>
      <c r="R819" s="6"/>
      <c r="S819" s="6"/>
      <c r="T819" s="6"/>
      <c r="U819" s="6"/>
      <c r="V819" s="339"/>
      <c r="W819" s="339"/>
      <c r="X819" s="6"/>
      <c r="Y819" s="206"/>
      <c r="AE819" s="6"/>
      <c r="AF819" s="6"/>
      <c r="AG819" s="6"/>
      <c r="AH819" s="206"/>
      <c r="AJ819" s="213"/>
      <c r="AK819" s="6"/>
      <c r="AL819" s="6"/>
      <c r="AM819" s="6"/>
      <c r="AN819" s="206"/>
      <c r="AP819" s="213"/>
      <c r="AQ819" s="6"/>
      <c r="AR819" s="6"/>
      <c r="AS819" s="6"/>
      <c r="AT819" s="206"/>
      <c r="AV819" s="213"/>
      <c r="AW819" s="6"/>
      <c r="AX819" s="6"/>
      <c r="AY819" s="6"/>
      <c r="AZ819" s="206"/>
    </row>
    <row r="820" spans="4:52" s="2" customFormat="1" ht="17.100000000000001" customHeight="1" x14ac:dyDescent="0.25">
      <c r="D820" s="3"/>
      <c r="E820" s="3"/>
      <c r="F820" s="4"/>
      <c r="G820" s="4"/>
      <c r="H820" s="138"/>
      <c r="I820" s="97"/>
      <c r="J820" s="6"/>
      <c r="K820" s="6"/>
      <c r="L820" s="6"/>
      <c r="M820" s="6"/>
      <c r="N820" s="6"/>
      <c r="O820" s="6"/>
      <c r="P820" s="6"/>
      <c r="Q820" s="6"/>
      <c r="R820" s="6"/>
      <c r="S820" s="6"/>
      <c r="T820" s="6"/>
      <c r="U820" s="6"/>
      <c r="V820" s="339"/>
      <c r="W820" s="339"/>
      <c r="X820" s="6"/>
      <c r="Y820" s="206"/>
      <c r="AE820" s="6"/>
      <c r="AF820" s="6"/>
      <c r="AG820" s="6"/>
      <c r="AH820" s="206"/>
      <c r="AJ820" s="213"/>
      <c r="AK820" s="6"/>
      <c r="AL820" s="6"/>
      <c r="AM820" s="6"/>
      <c r="AN820" s="206"/>
      <c r="AP820" s="213"/>
      <c r="AQ820" s="6"/>
      <c r="AR820" s="6"/>
      <c r="AS820" s="6"/>
      <c r="AT820" s="206"/>
      <c r="AV820" s="213"/>
      <c r="AW820" s="6"/>
      <c r="AX820" s="6"/>
      <c r="AY820" s="6"/>
      <c r="AZ820" s="206"/>
    </row>
    <row r="821" spans="4:52" s="2" customFormat="1" ht="17.100000000000001" customHeight="1" x14ac:dyDescent="0.25">
      <c r="D821" s="3"/>
      <c r="E821" s="3"/>
      <c r="F821" s="4"/>
      <c r="G821" s="4"/>
      <c r="H821" s="138"/>
      <c r="I821" s="97"/>
      <c r="J821" s="6"/>
      <c r="K821" s="6"/>
      <c r="L821" s="6"/>
      <c r="M821" s="6"/>
      <c r="N821" s="6"/>
      <c r="O821" s="6"/>
      <c r="P821" s="6"/>
      <c r="Q821" s="6"/>
      <c r="R821" s="6"/>
      <c r="S821" s="6"/>
      <c r="T821" s="6"/>
      <c r="U821" s="6"/>
      <c r="V821" s="339"/>
      <c r="W821" s="339"/>
      <c r="X821" s="6"/>
      <c r="Y821" s="206"/>
      <c r="AE821" s="6"/>
      <c r="AF821" s="6"/>
      <c r="AG821" s="6"/>
      <c r="AH821" s="206"/>
      <c r="AJ821" s="213"/>
      <c r="AK821" s="6"/>
      <c r="AL821" s="6"/>
      <c r="AM821" s="6"/>
      <c r="AN821" s="206"/>
      <c r="AP821" s="213"/>
      <c r="AQ821" s="6"/>
      <c r="AR821" s="6"/>
      <c r="AS821" s="6"/>
      <c r="AT821" s="206"/>
      <c r="AV821" s="213"/>
      <c r="AW821" s="6"/>
      <c r="AX821" s="6"/>
      <c r="AY821" s="6"/>
      <c r="AZ821" s="206"/>
    </row>
    <row r="822" spans="4:52" s="2" customFormat="1" ht="17.100000000000001" customHeight="1" x14ac:dyDescent="0.25">
      <c r="D822" s="3"/>
      <c r="E822" s="3"/>
      <c r="F822" s="4"/>
      <c r="G822" s="4"/>
      <c r="H822" s="138"/>
      <c r="I822" s="97"/>
      <c r="J822" s="6"/>
      <c r="K822" s="6"/>
      <c r="L822" s="6"/>
      <c r="M822" s="6"/>
      <c r="N822" s="6"/>
      <c r="O822" s="6"/>
      <c r="P822" s="6"/>
      <c r="Q822" s="6"/>
      <c r="R822" s="6"/>
      <c r="S822" s="6"/>
      <c r="T822" s="6"/>
      <c r="U822" s="6"/>
      <c r="V822" s="339"/>
      <c r="W822" s="339"/>
      <c r="X822" s="6"/>
      <c r="Y822" s="206"/>
      <c r="AE822" s="6"/>
      <c r="AF822" s="6"/>
      <c r="AG822" s="6"/>
      <c r="AH822" s="206"/>
      <c r="AJ822" s="213"/>
      <c r="AK822" s="6"/>
      <c r="AL822" s="6"/>
      <c r="AM822" s="6"/>
      <c r="AN822" s="206"/>
      <c r="AP822" s="213"/>
      <c r="AQ822" s="6"/>
      <c r="AR822" s="6"/>
      <c r="AS822" s="6"/>
      <c r="AT822" s="206"/>
      <c r="AV822" s="213"/>
      <c r="AW822" s="6"/>
      <c r="AX822" s="6"/>
      <c r="AY822" s="6"/>
      <c r="AZ822" s="206"/>
    </row>
    <row r="823" spans="4:52" s="2" customFormat="1" ht="17.100000000000001" customHeight="1" x14ac:dyDescent="0.25">
      <c r="D823" s="3"/>
      <c r="E823" s="3"/>
      <c r="F823" s="4"/>
      <c r="G823" s="4"/>
      <c r="H823" s="138"/>
      <c r="I823" s="97"/>
      <c r="J823" s="6"/>
      <c r="K823" s="6"/>
      <c r="L823" s="6"/>
      <c r="M823" s="6"/>
      <c r="N823" s="6"/>
      <c r="O823" s="6"/>
      <c r="P823" s="6"/>
      <c r="Q823" s="6"/>
      <c r="R823" s="6"/>
      <c r="S823" s="6"/>
      <c r="T823" s="6"/>
      <c r="U823" s="6"/>
      <c r="V823" s="339"/>
      <c r="W823" s="339"/>
      <c r="X823" s="6"/>
      <c r="Y823" s="206"/>
      <c r="AE823" s="6"/>
      <c r="AF823" s="6"/>
      <c r="AG823" s="6"/>
      <c r="AH823" s="206"/>
      <c r="AJ823" s="213"/>
      <c r="AK823" s="6"/>
      <c r="AL823" s="6"/>
      <c r="AM823" s="6"/>
      <c r="AN823" s="206"/>
      <c r="AP823" s="213"/>
      <c r="AQ823" s="6"/>
      <c r="AR823" s="6"/>
      <c r="AS823" s="6"/>
      <c r="AT823" s="206"/>
      <c r="AV823" s="213"/>
      <c r="AW823" s="6"/>
      <c r="AX823" s="6"/>
      <c r="AY823" s="6"/>
      <c r="AZ823" s="206"/>
    </row>
    <row r="824" spans="4:52" s="2" customFormat="1" ht="17.100000000000001" customHeight="1" x14ac:dyDescent="0.25">
      <c r="D824" s="3"/>
      <c r="E824" s="3"/>
      <c r="F824" s="4"/>
      <c r="G824" s="4"/>
      <c r="H824" s="138"/>
      <c r="I824" s="97"/>
      <c r="J824" s="6"/>
      <c r="K824" s="6"/>
      <c r="L824" s="6"/>
      <c r="M824" s="6"/>
      <c r="N824" s="6"/>
      <c r="O824" s="6"/>
      <c r="P824" s="6"/>
      <c r="Q824" s="6"/>
      <c r="R824" s="6"/>
      <c r="S824" s="6"/>
      <c r="T824" s="6"/>
      <c r="U824" s="6"/>
      <c r="V824" s="339"/>
      <c r="W824" s="339"/>
      <c r="X824" s="6"/>
      <c r="Y824" s="206"/>
      <c r="AE824" s="6"/>
      <c r="AF824" s="6"/>
      <c r="AG824" s="6"/>
      <c r="AH824" s="206"/>
      <c r="AJ824" s="213"/>
      <c r="AK824" s="6"/>
      <c r="AL824" s="6"/>
      <c r="AM824" s="6"/>
      <c r="AN824" s="206"/>
      <c r="AP824" s="213"/>
      <c r="AQ824" s="6"/>
      <c r="AR824" s="6"/>
      <c r="AS824" s="6"/>
      <c r="AT824" s="206"/>
      <c r="AV824" s="213"/>
      <c r="AW824" s="6"/>
      <c r="AX824" s="6"/>
      <c r="AY824" s="6"/>
      <c r="AZ824" s="206"/>
    </row>
    <row r="825" spans="4:52" s="2" customFormat="1" ht="17.100000000000001" customHeight="1" x14ac:dyDescent="0.25">
      <c r="D825" s="3"/>
      <c r="E825" s="3"/>
      <c r="F825" s="4"/>
      <c r="G825" s="4"/>
      <c r="H825" s="138"/>
      <c r="I825" s="97"/>
      <c r="J825" s="6"/>
      <c r="K825" s="6"/>
      <c r="L825" s="6"/>
      <c r="M825" s="6"/>
      <c r="N825" s="6"/>
      <c r="O825" s="6"/>
      <c r="P825" s="6"/>
      <c r="Q825" s="6"/>
      <c r="R825" s="6"/>
      <c r="S825" s="6"/>
      <c r="T825" s="6"/>
      <c r="U825" s="6"/>
      <c r="V825" s="339"/>
      <c r="W825" s="339"/>
      <c r="X825" s="6"/>
      <c r="Y825" s="206"/>
      <c r="AE825" s="6"/>
      <c r="AF825" s="6"/>
      <c r="AG825" s="6"/>
      <c r="AH825" s="206"/>
      <c r="AJ825" s="213"/>
      <c r="AK825" s="6"/>
      <c r="AL825" s="6"/>
      <c r="AM825" s="6"/>
      <c r="AN825" s="206"/>
      <c r="AP825" s="213"/>
      <c r="AQ825" s="6"/>
      <c r="AR825" s="6"/>
      <c r="AS825" s="6"/>
      <c r="AT825" s="206"/>
      <c r="AV825" s="213"/>
      <c r="AW825" s="6"/>
      <c r="AX825" s="6"/>
      <c r="AY825" s="6"/>
      <c r="AZ825" s="206"/>
    </row>
    <row r="826" spans="4:52" s="2" customFormat="1" ht="17.100000000000001" customHeight="1" x14ac:dyDescent="0.25">
      <c r="D826" s="3"/>
      <c r="E826" s="3"/>
      <c r="F826" s="4"/>
      <c r="G826" s="4"/>
      <c r="H826" s="138"/>
      <c r="I826" s="97"/>
      <c r="J826" s="6"/>
      <c r="K826" s="6"/>
      <c r="L826" s="6"/>
      <c r="M826" s="6"/>
      <c r="N826" s="6"/>
      <c r="O826" s="6"/>
      <c r="P826" s="6"/>
      <c r="Q826" s="6"/>
      <c r="R826" s="6"/>
      <c r="S826" s="6"/>
      <c r="T826" s="6"/>
      <c r="U826" s="6"/>
      <c r="V826" s="339"/>
      <c r="W826" s="339"/>
      <c r="X826" s="6"/>
      <c r="Y826" s="206"/>
      <c r="AE826" s="6"/>
      <c r="AF826" s="6"/>
      <c r="AG826" s="6"/>
      <c r="AH826" s="206"/>
      <c r="AJ826" s="213"/>
      <c r="AK826" s="6"/>
      <c r="AL826" s="6"/>
      <c r="AM826" s="6"/>
      <c r="AN826" s="206"/>
      <c r="AP826" s="213"/>
      <c r="AQ826" s="6"/>
      <c r="AR826" s="6"/>
      <c r="AS826" s="6"/>
      <c r="AT826" s="206"/>
      <c r="AV826" s="213"/>
      <c r="AW826" s="6"/>
      <c r="AX826" s="6"/>
      <c r="AY826" s="6"/>
      <c r="AZ826" s="206"/>
    </row>
    <row r="827" spans="4:52" s="2" customFormat="1" ht="17.100000000000001" customHeight="1" x14ac:dyDescent="0.25">
      <c r="D827" s="3"/>
      <c r="E827" s="3"/>
      <c r="F827" s="4"/>
      <c r="G827" s="4"/>
      <c r="H827" s="138"/>
      <c r="I827" s="97"/>
      <c r="J827" s="6"/>
      <c r="K827" s="6"/>
      <c r="L827" s="6"/>
      <c r="M827" s="6"/>
      <c r="N827" s="6"/>
      <c r="O827" s="6"/>
      <c r="P827" s="6"/>
      <c r="Q827" s="6"/>
      <c r="R827" s="6"/>
      <c r="S827" s="6"/>
      <c r="T827" s="6"/>
      <c r="U827" s="6"/>
      <c r="V827" s="339"/>
      <c r="W827" s="339"/>
      <c r="X827" s="6"/>
      <c r="Y827" s="206"/>
      <c r="AE827" s="6"/>
      <c r="AF827" s="6"/>
      <c r="AG827" s="6"/>
      <c r="AH827" s="206"/>
      <c r="AJ827" s="213"/>
      <c r="AK827" s="6"/>
      <c r="AL827" s="6"/>
      <c r="AM827" s="6"/>
      <c r="AN827" s="206"/>
      <c r="AP827" s="213"/>
      <c r="AQ827" s="6"/>
      <c r="AR827" s="6"/>
      <c r="AS827" s="6"/>
      <c r="AT827" s="206"/>
      <c r="AV827" s="213"/>
      <c r="AW827" s="6"/>
      <c r="AX827" s="6"/>
      <c r="AY827" s="6"/>
      <c r="AZ827" s="206"/>
    </row>
    <row r="828" spans="4:52" s="2" customFormat="1" ht="17.100000000000001" customHeight="1" x14ac:dyDescent="0.25">
      <c r="D828" s="3"/>
      <c r="E828" s="3"/>
      <c r="F828" s="4"/>
      <c r="G828" s="4"/>
      <c r="H828" s="138"/>
      <c r="I828" s="97"/>
      <c r="J828" s="6"/>
      <c r="K828" s="6"/>
      <c r="L828" s="6"/>
      <c r="M828" s="6"/>
      <c r="N828" s="6"/>
      <c r="O828" s="6"/>
      <c r="P828" s="6"/>
      <c r="Q828" s="6"/>
      <c r="R828" s="6"/>
      <c r="S828" s="6"/>
      <c r="T828" s="6"/>
      <c r="U828" s="6"/>
      <c r="V828" s="339"/>
      <c r="W828" s="339"/>
      <c r="X828" s="6"/>
      <c r="Y828" s="206"/>
      <c r="AE828" s="6"/>
      <c r="AF828" s="6"/>
      <c r="AG828" s="6"/>
      <c r="AH828" s="206"/>
      <c r="AJ828" s="213"/>
      <c r="AK828" s="6"/>
      <c r="AL828" s="6"/>
      <c r="AM828" s="6"/>
      <c r="AN828" s="206"/>
      <c r="AP828" s="213"/>
      <c r="AQ828" s="6"/>
      <c r="AR828" s="6"/>
      <c r="AS828" s="6"/>
      <c r="AT828" s="206"/>
      <c r="AV828" s="213"/>
      <c r="AW828" s="6"/>
      <c r="AX828" s="6"/>
      <c r="AY828" s="6"/>
      <c r="AZ828" s="206"/>
    </row>
    <row r="829" spans="4:52" s="2" customFormat="1" ht="17.100000000000001" customHeight="1" x14ac:dyDescent="0.25">
      <c r="D829" s="3"/>
      <c r="E829" s="3"/>
      <c r="F829" s="4"/>
      <c r="G829" s="4"/>
      <c r="H829" s="138"/>
      <c r="I829" s="97"/>
      <c r="J829" s="6"/>
      <c r="K829" s="6"/>
      <c r="L829" s="6"/>
      <c r="M829" s="6"/>
      <c r="N829" s="6"/>
      <c r="O829" s="6"/>
      <c r="P829" s="6"/>
      <c r="Q829" s="6"/>
      <c r="R829" s="6"/>
      <c r="S829" s="6"/>
      <c r="T829" s="6"/>
      <c r="U829" s="6"/>
      <c r="V829" s="339"/>
      <c r="W829" s="339"/>
      <c r="X829" s="6"/>
      <c r="Y829" s="206"/>
      <c r="AE829" s="6"/>
      <c r="AF829" s="6"/>
      <c r="AG829" s="6"/>
      <c r="AH829" s="206"/>
      <c r="AJ829" s="213"/>
      <c r="AK829" s="6"/>
      <c r="AL829" s="6"/>
      <c r="AM829" s="6"/>
      <c r="AN829" s="206"/>
      <c r="AP829" s="213"/>
      <c r="AQ829" s="6"/>
      <c r="AR829" s="6"/>
      <c r="AS829" s="6"/>
      <c r="AT829" s="206"/>
      <c r="AV829" s="213"/>
      <c r="AW829" s="6"/>
      <c r="AX829" s="6"/>
      <c r="AY829" s="6"/>
      <c r="AZ829" s="206"/>
    </row>
    <row r="830" spans="4:52" s="2" customFormat="1" ht="17.100000000000001" customHeight="1" x14ac:dyDescent="0.25">
      <c r="D830" s="3"/>
      <c r="E830" s="3"/>
      <c r="F830" s="4"/>
      <c r="G830" s="4"/>
      <c r="H830" s="138"/>
      <c r="I830" s="97"/>
      <c r="J830" s="6"/>
      <c r="K830" s="6"/>
      <c r="L830" s="6"/>
      <c r="M830" s="6"/>
      <c r="N830" s="6"/>
      <c r="O830" s="6"/>
      <c r="P830" s="6"/>
      <c r="Q830" s="6"/>
      <c r="R830" s="6"/>
      <c r="S830" s="6"/>
      <c r="T830" s="6"/>
      <c r="U830" s="6"/>
      <c r="V830" s="339"/>
      <c r="W830" s="339"/>
      <c r="X830" s="6"/>
      <c r="Y830" s="206"/>
      <c r="AE830" s="6"/>
      <c r="AF830" s="6"/>
      <c r="AG830" s="6"/>
      <c r="AH830" s="206"/>
      <c r="AJ830" s="213"/>
      <c r="AK830" s="6"/>
      <c r="AL830" s="6"/>
      <c r="AM830" s="6"/>
      <c r="AN830" s="206"/>
      <c r="AP830" s="213"/>
      <c r="AQ830" s="6"/>
      <c r="AR830" s="6"/>
      <c r="AS830" s="6"/>
      <c r="AT830" s="206"/>
      <c r="AV830" s="213"/>
      <c r="AW830" s="6"/>
      <c r="AX830" s="6"/>
      <c r="AY830" s="6"/>
      <c r="AZ830" s="206"/>
    </row>
    <row r="831" spans="4:52" s="2" customFormat="1" ht="17.100000000000001" customHeight="1" x14ac:dyDescent="0.25">
      <c r="D831" s="3"/>
      <c r="E831" s="3"/>
      <c r="F831" s="4"/>
      <c r="G831" s="4"/>
      <c r="H831" s="138"/>
      <c r="I831" s="97"/>
      <c r="J831" s="6"/>
      <c r="K831" s="6"/>
      <c r="L831" s="6"/>
      <c r="M831" s="6"/>
      <c r="N831" s="6"/>
      <c r="O831" s="6"/>
      <c r="P831" s="6"/>
      <c r="Q831" s="6"/>
      <c r="R831" s="6"/>
      <c r="S831" s="6"/>
      <c r="T831" s="6"/>
      <c r="U831" s="6"/>
      <c r="V831" s="339"/>
      <c r="W831" s="339"/>
      <c r="X831" s="6"/>
      <c r="Y831" s="206"/>
      <c r="AE831" s="6"/>
      <c r="AF831" s="6"/>
      <c r="AG831" s="6"/>
      <c r="AH831" s="206"/>
      <c r="AJ831" s="213"/>
      <c r="AK831" s="6"/>
      <c r="AL831" s="6"/>
      <c r="AM831" s="6"/>
      <c r="AN831" s="206"/>
      <c r="AP831" s="213"/>
      <c r="AQ831" s="6"/>
      <c r="AR831" s="6"/>
      <c r="AS831" s="6"/>
      <c r="AT831" s="206"/>
      <c r="AV831" s="213"/>
      <c r="AW831" s="6"/>
      <c r="AX831" s="6"/>
      <c r="AY831" s="6"/>
      <c r="AZ831" s="206"/>
    </row>
    <row r="832" spans="4:52" s="2" customFormat="1" ht="17.100000000000001" customHeight="1" x14ac:dyDescent="0.25">
      <c r="D832" s="3"/>
      <c r="E832" s="3"/>
      <c r="F832" s="4"/>
      <c r="G832" s="4"/>
      <c r="H832" s="138"/>
      <c r="I832" s="97"/>
      <c r="J832" s="6"/>
      <c r="K832" s="6"/>
      <c r="L832" s="6"/>
      <c r="M832" s="6"/>
      <c r="N832" s="6"/>
      <c r="O832" s="6"/>
      <c r="P832" s="6"/>
      <c r="Q832" s="6"/>
      <c r="R832" s="6"/>
      <c r="S832" s="6"/>
      <c r="T832" s="6"/>
      <c r="U832" s="6"/>
      <c r="V832" s="339"/>
      <c r="W832" s="339"/>
      <c r="X832" s="6"/>
      <c r="Y832" s="206"/>
      <c r="AE832" s="6"/>
      <c r="AF832" s="6"/>
      <c r="AG832" s="6"/>
      <c r="AH832" s="206"/>
      <c r="AJ832" s="213"/>
      <c r="AK832" s="6"/>
      <c r="AL832" s="6"/>
      <c r="AM832" s="6"/>
      <c r="AN832" s="206"/>
      <c r="AP832" s="213"/>
      <c r="AQ832" s="6"/>
      <c r="AR832" s="6"/>
      <c r="AS832" s="6"/>
      <c r="AT832" s="206"/>
      <c r="AV832" s="213"/>
      <c r="AW832" s="6"/>
      <c r="AX832" s="6"/>
      <c r="AY832" s="6"/>
      <c r="AZ832" s="206"/>
    </row>
    <row r="833" spans="4:52" s="2" customFormat="1" ht="17.100000000000001" customHeight="1" x14ac:dyDescent="0.25">
      <c r="D833" s="3"/>
      <c r="E833" s="3"/>
      <c r="F833" s="4"/>
      <c r="G833" s="4"/>
      <c r="H833" s="138"/>
      <c r="I833" s="97"/>
      <c r="J833" s="6"/>
      <c r="K833" s="6"/>
      <c r="L833" s="6"/>
      <c r="M833" s="6"/>
      <c r="N833" s="6"/>
      <c r="O833" s="6"/>
      <c r="P833" s="6"/>
      <c r="Q833" s="6"/>
      <c r="R833" s="6"/>
      <c r="S833" s="6"/>
      <c r="T833" s="6"/>
      <c r="U833" s="6"/>
      <c r="V833" s="339"/>
      <c r="W833" s="339"/>
      <c r="X833" s="6"/>
      <c r="Y833" s="206"/>
      <c r="AE833" s="6"/>
      <c r="AF833" s="6"/>
      <c r="AG833" s="6"/>
      <c r="AH833" s="206"/>
      <c r="AJ833" s="213"/>
      <c r="AK833" s="6"/>
      <c r="AL833" s="6"/>
      <c r="AM833" s="6"/>
      <c r="AN833" s="206"/>
      <c r="AP833" s="213"/>
      <c r="AQ833" s="6"/>
      <c r="AR833" s="6"/>
      <c r="AS833" s="6"/>
      <c r="AT833" s="206"/>
      <c r="AV833" s="213"/>
      <c r="AW833" s="6"/>
      <c r="AX833" s="6"/>
      <c r="AY833" s="6"/>
      <c r="AZ833" s="206"/>
    </row>
    <row r="834" spans="4:52" s="2" customFormat="1" ht="17.100000000000001" customHeight="1" x14ac:dyDescent="0.25">
      <c r="D834" s="3"/>
      <c r="E834" s="3"/>
      <c r="F834" s="4"/>
      <c r="G834" s="4"/>
      <c r="H834" s="138"/>
      <c r="I834" s="97"/>
      <c r="J834" s="6"/>
      <c r="K834" s="6"/>
      <c r="L834" s="6"/>
      <c r="M834" s="6"/>
      <c r="N834" s="6"/>
      <c r="O834" s="6"/>
      <c r="P834" s="6"/>
      <c r="Q834" s="6"/>
      <c r="R834" s="6"/>
      <c r="S834" s="6"/>
      <c r="T834" s="6"/>
      <c r="U834" s="6"/>
      <c r="V834" s="339"/>
      <c r="W834" s="339"/>
      <c r="X834" s="6"/>
      <c r="Y834" s="206"/>
      <c r="AE834" s="6"/>
      <c r="AF834" s="6"/>
      <c r="AG834" s="6"/>
      <c r="AH834" s="206"/>
      <c r="AJ834" s="213"/>
      <c r="AK834" s="6"/>
      <c r="AL834" s="6"/>
      <c r="AM834" s="6"/>
      <c r="AN834" s="206"/>
      <c r="AP834" s="213"/>
      <c r="AQ834" s="6"/>
      <c r="AR834" s="6"/>
      <c r="AS834" s="6"/>
      <c r="AT834" s="206"/>
      <c r="AV834" s="213"/>
      <c r="AW834" s="6"/>
      <c r="AX834" s="6"/>
      <c r="AY834" s="6"/>
      <c r="AZ834" s="206"/>
    </row>
    <row r="835" spans="4:52" s="2" customFormat="1" ht="17.100000000000001" customHeight="1" x14ac:dyDescent="0.25">
      <c r="D835" s="3"/>
      <c r="E835" s="3"/>
      <c r="F835" s="4"/>
      <c r="G835" s="4"/>
      <c r="H835" s="138"/>
      <c r="I835" s="97"/>
      <c r="J835" s="6"/>
      <c r="K835" s="6"/>
      <c r="L835" s="6"/>
      <c r="M835" s="6"/>
      <c r="N835" s="6"/>
      <c r="O835" s="6"/>
      <c r="P835" s="6"/>
      <c r="Q835" s="6"/>
      <c r="R835" s="6"/>
      <c r="S835" s="6"/>
      <c r="T835" s="6"/>
      <c r="U835" s="6"/>
      <c r="V835" s="339"/>
      <c r="W835" s="339"/>
      <c r="X835" s="6"/>
      <c r="Y835" s="206"/>
      <c r="AE835" s="6"/>
      <c r="AF835" s="6"/>
      <c r="AG835" s="6"/>
      <c r="AH835" s="206"/>
      <c r="AJ835" s="213"/>
      <c r="AK835" s="6"/>
      <c r="AL835" s="6"/>
      <c r="AM835" s="6"/>
      <c r="AN835" s="206"/>
      <c r="AP835" s="213"/>
      <c r="AQ835" s="6"/>
      <c r="AR835" s="6"/>
      <c r="AS835" s="6"/>
      <c r="AT835" s="206"/>
      <c r="AV835" s="213"/>
      <c r="AW835" s="6"/>
      <c r="AX835" s="6"/>
      <c r="AY835" s="6"/>
      <c r="AZ835" s="206"/>
    </row>
    <row r="836" spans="4:52" s="2" customFormat="1" ht="17.100000000000001" customHeight="1" x14ac:dyDescent="0.25">
      <c r="D836" s="3"/>
      <c r="E836" s="3"/>
      <c r="F836" s="4"/>
      <c r="G836" s="4"/>
      <c r="H836" s="138"/>
      <c r="I836" s="97"/>
      <c r="J836" s="6"/>
      <c r="K836" s="6"/>
      <c r="L836" s="6"/>
      <c r="M836" s="6"/>
      <c r="N836" s="6"/>
      <c r="O836" s="6"/>
      <c r="P836" s="6"/>
      <c r="Q836" s="6"/>
      <c r="R836" s="6"/>
      <c r="S836" s="6"/>
      <c r="T836" s="6"/>
      <c r="U836" s="6"/>
      <c r="V836" s="339"/>
      <c r="W836" s="339"/>
      <c r="X836" s="6"/>
      <c r="Y836" s="206"/>
      <c r="AE836" s="6"/>
      <c r="AF836" s="6"/>
      <c r="AG836" s="6"/>
      <c r="AH836" s="206"/>
      <c r="AJ836" s="213"/>
      <c r="AK836" s="6"/>
      <c r="AL836" s="6"/>
      <c r="AM836" s="6"/>
      <c r="AN836" s="206"/>
      <c r="AP836" s="213"/>
      <c r="AQ836" s="6"/>
      <c r="AR836" s="6"/>
      <c r="AS836" s="6"/>
      <c r="AT836" s="206"/>
      <c r="AV836" s="213"/>
      <c r="AW836" s="6"/>
      <c r="AX836" s="6"/>
      <c r="AY836" s="6"/>
      <c r="AZ836" s="206"/>
    </row>
    <row r="837" spans="4:52" s="2" customFormat="1" ht="17.100000000000001" customHeight="1" x14ac:dyDescent="0.25">
      <c r="D837" s="3"/>
      <c r="E837" s="3"/>
      <c r="F837" s="4"/>
      <c r="G837" s="4"/>
      <c r="H837" s="138"/>
      <c r="I837" s="97"/>
      <c r="J837" s="6"/>
      <c r="K837" s="6"/>
      <c r="L837" s="6"/>
      <c r="M837" s="6"/>
      <c r="N837" s="6"/>
      <c r="O837" s="6"/>
      <c r="P837" s="6"/>
      <c r="Q837" s="6"/>
      <c r="R837" s="6"/>
      <c r="S837" s="6"/>
      <c r="T837" s="6"/>
      <c r="U837" s="6"/>
      <c r="V837" s="339"/>
      <c r="W837" s="339"/>
      <c r="X837" s="6"/>
      <c r="Y837" s="206"/>
      <c r="AE837" s="6"/>
      <c r="AF837" s="6"/>
      <c r="AG837" s="6"/>
      <c r="AH837" s="206"/>
      <c r="AJ837" s="213"/>
      <c r="AK837" s="6"/>
      <c r="AL837" s="6"/>
      <c r="AM837" s="6"/>
      <c r="AN837" s="206"/>
      <c r="AP837" s="213"/>
      <c r="AQ837" s="6"/>
      <c r="AR837" s="6"/>
      <c r="AS837" s="6"/>
      <c r="AT837" s="206"/>
      <c r="AV837" s="213"/>
      <c r="AW837" s="6"/>
      <c r="AX837" s="6"/>
      <c r="AY837" s="6"/>
      <c r="AZ837" s="206"/>
    </row>
    <row r="838" spans="4:52" s="2" customFormat="1" ht="17.100000000000001" customHeight="1" x14ac:dyDescent="0.25">
      <c r="D838" s="3"/>
      <c r="E838" s="3"/>
      <c r="F838" s="4"/>
      <c r="G838" s="4"/>
      <c r="H838" s="138"/>
      <c r="I838" s="97"/>
      <c r="J838" s="6"/>
      <c r="K838" s="6"/>
      <c r="L838" s="6"/>
      <c r="M838" s="6"/>
      <c r="N838" s="6"/>
      <c r="O838" s="6"/>
      <c r="P838" s="6"/>
      <c r="Q838" s="6"/>
      <c r="R838" s="6"/>
      <c r="S838" s="6"/>
      <c r="T838" s="6"/>
      <c r="U838" s="6"/>
      <c r="V838" s="339"/>
      <c r="W838" s="339"/>
      <c r="X838" s="6"/>
      <c r="Y838" s="206"/>
      <c r="AE838" s="6"/>
      <c r="AF838" s="6"/>
      <c r="AG838" s="6"/>
      <c r="AH838" s="206"/>
      <c r="AJ838" s="213"/>
      <c r="AK838" s="6"/>
      <c r="AL838" s="6"/>
      <c r="AM838" s="6"/>
      <c r="AN838" s="206"/>
      <c r="AP838" s="213"/>
      <c r="AQ838" s="6"/>
      <c r="AR838" s="6"/>
      <c r="AS838" s="6"/>
      <c r="AT838" s="206"/>
      <c r="AV838" s="213"/>
      <c r="AW838" s="6"/>
      <c r="AX838" s="6"/>
      <c r="AY838" s="6"/>
      <c r="AZ838" s="206"/>
    </row>
    <row r="839" spans="4:52" s="2" customFormat="1" ht="17.100000000000001" customHeight="1" x14ac:dyDescent="0.25">
      <c r="D839" s="3"/>
      <c r="E839" s="3"/>
      <c r="F839" s="4"/>
      <c r="G839" s="4"/>
      <c r="H839" s="138"/>
      <c r="I839" s="97"/>
      <c r="J839" s="6"/>
      <c r="K839" s="6"/>
      <c r="L839" s="6"/>
      <c r="M839" s="6"/>
      <c r="N839" s="6"/>
      <c r="O839" s="6"/>
      <c r="P839" s="6"/>
      <c r="Q839" s="6"/>
      <c r="R839" s="6"/>
      <c r="S839" s="6"/>
      <c r="T839" s="6"/>
      <c r="U839" s="6"/>
      <c r="V839" s="339"/>
      <c r="W839" s="339"/>
      <c r="X839" s="6"/>
      <c r="Y839" s="206"/>
      <c r="AE839" s="6"/>
      <c r="AF839" s="6"/>
      <c r="AG839" s="6"/>
      <c r="AH839" s="206"/>
      <c r="AJ839" s="213"/>
      <c r="AK839" s="6"/>
      <c r="AL839" s="6"/>
      <c r="AM839" s="6"/>
      <c r="AN839" s="206"/>
      <c r="AP839" s="213"/>
      <c r="AQ839" s="6"/>
      <c r="AR839" s="6"/>
      <c r="AS839" s="6"/>
      <c r="AT839" s="206"/>
      <c r="AV839" s="213"/>
      <c r="AW839" s="6"/>
      <c r="AX839" s="6"/>
      <c r="AY839" s="6"/>
      <c r="AZ839" s="206"/>
    </row>
    <row r="840" spans="4:52" s="2" customFormat="1" ht="17.100000000000001" customHeight="1" x14ac:dyDescent="0.25">
      <c r="D840" s="3"/>
      <c r="E840" s="3"/>
      <c r="F840" s="4"/>
      <c r="G840" s="4"/>
      <c r="H840" s="138"/>
      <c r="I840" s="97"/>
      <c r="J840" s="6"/>
      <c r="K840" s="6"/>
      <c r="L840" s="6"/>
      <c r="M840" s="6"/>
      <c r="N840" s="6"/>
      <c r="O840" s="6"/>
      <c r="P840" s="6"/>
      <c r="Q840" s="6"/>
      <c r="R840" s="6"/>
      <c r="S840" s="6"/>
      <c r="T840" s="6"/>
      <c r="U840" s="6"/>
      <c r="V840" s="339"/>
      <c r="W840" s="339"/>
      <c r="X840" s="6"/>
      <c r="Y840" s="206"/>
      <c r="AE840" s="6"/>
      <c r="AF840" s="6"/>
      <c r="AG840" s="6"/>
      <c r="AH840" s="206"/>
      <c r="AJ840" s="213"/>
      <c r="AK840" s="6"/>
      <c r="AL840" s="6"/>
      <c r="AM840" s="6"/>
      <c r="AN840" s="206"/>
      <c r="AP840" s="213"/>
      <c r="AQ840" s="6"/>
      <c r="AR840" s="6"/>
      <c r="AS840" s="6"/>
      <c r="AT840" s="206"/>
      <c r="AV840" s="213"/>
      <c r="AW840" s="6"/>
      <c r="AX840" s="6"/>
      <c r="AY840" s="6"/>
      <c r="AZ840" s="206"/>
    </row>
  </sheetData>
  <dataConsolidate/>
  <mergeCells count="19">
    <mergeCell ref="AQ10:AU10"/>
    <mergeCell ref="AW10:BA10"/>
    <mergeCell ref="E382:G382"/>
    <mergeCell ref="E384:G384"/>
    <mergeCell ref="E446:G446"/>
    <mergeCell ref="E447:G447"/>
    <mergeCell ref="AE8:AO8"/>
    <mergeCell ref="J9:M9"/>
    <mergeCell ref="N9:P9"/>
    <mergeCell ref="Q9:S9"/>
    <mergeCell ref="T9:V9"/>
    <mergeCell ref="AE10:AI10"/>
    <mergeCell ref="AK10:AO10"/>
    <mergeCell ref="W8:Y9"/>
    <mergeCell ref="L6:M6"/>
    <mergeCell ref="J8:M8"/>
    <mergeCell ref="N8:P8"/>
    <mergeCell ref="Q8:S8"/>
    <mergeCell ref="T8:V8"/>
  </mergeCells>
  <pageMargins left="0.7" right="0.7" top="0.75" bottom="0.75" header="0.3" footer="0.3"/>
  <pageSetup paperSize="9" scale="70" fitToHeight="5" orientation="portrait" r:id="rId1"/>
  <headerFooter>
    <oddFooter>&amp;L&amp;10SANITATION DEMAND AND SUPPLY STUDY&amp;C&amp;10&amp;P&amp;R&amp;10HOUSEHOLDS WITH TOILET</oddFooter>
  </headerFooter>
  <rowBreaks count="4" manualBreakCount="4">
    <brk id="89" max="10" man="1"/>
    <brk id="212" max="10" man="1"/>
    <brk id="373" max="10" man="1"/>
    <brk id="567" max="10" man="1"/>
  </rowBreaks>
  <ignoredErrors>
    <ignoredError sqref="AA318:AC320" formulaRange="1"/>
    <ignoredError sqref="P101:S107"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BH840"/>
  <sheetViews>
    <sheetView zoomScale="80" zoomScaleNormal="80" workbookViewId="0">
      <pane xSplit="7" ySplit="11" topLeftCell="H12" activePane="bottomRight" state="frozen"/>
      <selection activeCell="W396" sqref="W396:X399"/>
      <selection pane="topRight" activeCell="W396" sqref="W396:X399"/>
      <selection pane="bottomLeft" activeCell="W396" sqref="W396:X399"/>
      <selection pane="bottomRight" activeCell="O5" sqref="O5"/>
    </sheetView>
  </sheetViews>
  <sheetFormatPr defaultRowHeight="17.100000000000001" customHeight="1" x14ac:dyDescent="0.25"/>
  <cols>
    <col min="1" max="2" width="4.7109375" style="2" customWidth="1"/>
    <col min="3" max="3" width="6.7109375" style="2" customWidth="1"/>
    <col min="4" max="4" width="7.7109375" style="3" customWidth="1"/>
    <col min="5" max="5" width="4.7109375" style="3" customWidth="1"/>
    <col min="6" max="6" width="30.7109375" style="4" customWidth="1"/>
    <col min="7" max="7" width="3.7109375" style="4" customWidth="1"/>
    <col min="8" max="8" width="4.42578125" style="138" customWidth="1"/>
    <col min="9" max="9" width="3.7109375" style="97" customWidth="1"/>
    <col min="10" max="21" width="10.7109375" style="6" customWidth="1"/>
    <col min="22" max="23" width="10.7109375" style="339" customWidth="1"/>
    <col min="24" max="24" width="10.7109375" style="6" customWidth="1"/>
    <col min="25" max="25" width="10.7109375" style="7" customWidth="1"/>
    <col min="26" max="29" width="10.7109375" style="3" customWidth="1"/>
    <col min="30" max="30" width="8.7109375" style="3" customWidth="1"/>
    <col min="31" max="33" width="9.7109375" style="8" customWidth="1"/>
    <col min="34" max="34" width="9.7109375" style="7" customWidth="1"/>
    <col min="35" max="35" width="9.7109375" style="3" customWidth="1"/>
    <col min="36" max="36" width="8.7109375" style="117" customWidth="1"/>
    <col min="37" max="39" width="9.7109375" style="8" customWidth="1"/>
    <col min="40" max="40" width="9.7109375" style="7" customWidth="1"/>
    <col min="41" max="41" width="9.7109375" style="3" customWidth="1"/>
    <col min="42" max="42" width="8.7109375" style="117" customWidth="1"/>
    <col min="43" max="45" width="9.7109375" style="8" customWidth="1"/>
    <col min="46" max="46" width="9.7109375" style="7" customWidth="1"/>
    <col min="47" max="47" width="9.7109375" style="3" customWidth="1"/>
    <col min="48" max="48" width="8.7109375" style="117" customWidth="1"/>
    <col min="49" max="51" width="9.7109375" style="8" customWidth="1"/>
    <col min="52" max="52" width="9.7109375" style="7" customWidth="1"/>
    <col min="53" max="53" width="9.7109375" style="3" customWidth="1"/>
    <col min="54" max="16384" width="9.140625" style="3"/>
  </cols>
  <sheetData>
    <row r="1" spans="1:53" ht="17.100000000000001" customHeight="1" x14ac:dyDescent="0.25">
      <c r="A1" s="1" t="s">
        <v>363</v>
      </c>
      <c r="J1" s="5" t="s">
        <v>883</v>
      </c>
      <c r="V1" s="6"/>
      <c r="W1" s="6"/>
    </row>
    <row r="2" spans="1:53" ht="17.100000000000001" customHeight="1" x14ac:dyDescent="0.25">
      <c r="A2" s="1" t="str">
        <f>'STUDY VILLAGES'!U7</f>
        <v>KAMPOT PROVINCE</v>
      </c>
      <c r="J2" s="5"/>
      <c r="V2" s="6"/>
      <c r="W2" s="6"/>
    </row>
    <row r="3" spans="1:53" ht="17.100000000000001" customHeight="1" x14ac:dyDescent="0.25">
      <c r="A3" s="1" t="str">
        <f>'STUDY VILLAGES'!U8</f>
        <v>BANTEAY MEAS DISTRICT</v>
      </c>
      <c r="J3" s="268" t="s">
        <v>555</v>
      </c>
      <c r="K3" s="95"/>
      <c r="L3" s="267" t="str">
        <f>'STUDY VILLAGES'!B13</f>
        <v>T M KHANG KAEUT</v>
      </c>
      <c r="M3" s="267"/>
      <c r="V3" s="6"/>
      <c r="W3" s="6"/>
    </row>
    <row r="4" spans="1:53" ht="12.75" x14ac:dyDescent="0.25">
      <c r="A4" s="3"/>
      <c r="B4" s="3"/>
      <c r="C4" s="3"/>
      <c r="F4" s="3"/>
      <c r="G4" s="3"/>
      <c r="H4" s="213"/>
      <c r="J4" s="3"/>
      <c r="K4" s="3"/>
      <c r="L4" s="3"/>
      <c r="M4" s="3"/>
      <c r="N4" s="3"/>
      <c r="O4" s="3"/>
      <c r="P4" s="3"/>
      <c r="V4" s="6"/>
      <c r="W4" s="6"/>
    </row>
    <row r="5" spans="1:53" ht="21" x14ac:dyDescent="0.25">
      <c r="A5" s="1" t="s">
        <v>743</v>
      </c>
      <c r="J5" s="9" t="s">
        <v>1</v>
      </c>
      <c r="K5" s="10"/>
      <c r="L5" s="653"/>
      <c r="M5" s="397"/>
      <c r="N5" s="3"/>
      <c r="O5" s="519" t="s">
        <v>1071</v>
      </c>
      <c r="P5" s="3"/>
      <c r="V5" s="6"/>
      <c r="W5" s="6"/>
    </row>
    <row r="6" spans="1:53" ht="21" customHeight="1" x14ac:dyDescent="0.25">
      <c r="A6" s="444" t="s">
        <v>618</v>
      </c>
      <c r="J6" s="11" t="s">
        <v>2</v>
      </c>
      <c r="K6" s="10"/>
      <c r="L6" s="1379"/>
      <c r="M6" s="1379"/>
      <c r="N6" s="3"/>
      <c r="O6" s="3"/>
      <c r="P6" s="3"/>
      <c r="V6" s="6"/>
      <c r="W6" s="6"/>
    </row>
    <row r="7" spans="1:53" ht="9.9499999999999993" customHeight="1" x14ac:dyDescent="0.25">
      <c r="A7" s="12"/>
      <c r="B7" s="13"/>
      <c r="C7" s="14"/>
      <c r="D7" s="15"/>
      <c r="E7" s="16"/>
      <c r="F7" s="16"/>
      <c r="G7" s="16"/>
      <c r="H7" s="214"/>
      <c r="I7" s="16"/>
      <c r="V7" s="6"/>
      <c r="W7" s="6"/>
    </row>
    <row r="8" spans="1:53" ht="17.100000000000001" customHeight="1" x14ac:dyDescent="0.25">
      <c r="D8" s="2"/>
      <c r="E8" s="2"/>
      <c r="F8" s="21"/>
      <c r="G8" s="21"/>
      <c r="H8" s="12"/>
      <c r="I8" s="138"/>
      <c r="J8" s="1384" t="s">
        <v>541</v>
      </c>
      <c r="K8" s="1385"/>
      <c r="L8" s="1385"/>
      <c r="M8" s="1386"/>
      <c r="N8" s="1384" t="s">
        <v>364</v>
      </c>
      <c r="O8" s="1385"/>
      <c r="P8" s="1386"/>
      <c r="Q8" s="1384" t="s">
        <v>365</v>
      </c>
      <c r="R8" s="1385"/>
      <c r="S8" s="1386"/>
      <c r="T8" s="1384" t="s">
        <v>366</v>
      </c>
      <c r="U8" s="1385"/>
      <c r="V8" s="1385"/>
      <c r="W8" s="1396" t="s">
        <v>4</v>
      </c>
      <c r="X8" s="1397"/>
      <c r="Y8" s="1397"/>
      <c r="AE8" s="1383" t="s">
        <v>731</v>
      </c>
      <c r="AF8" s="1383"/>
      <c r="AG8" s="1383"/>
      <c r="AH8" s="1383"/>
      <c r="AI8" s="1383"/>
      <c r="AJ8" s="1383"/>
      <c r="AK8" s="1383"/>
      <c r="AL8" s="1383"/>
      <c r="AM8" s="1383"/>
      <c r="AN8" s="1383"/>
      <c r="AO8" s="1383"/>
      <c r="AP8" s="3"/>
      <c r="AV8" s="3"/>
    </row>
    <row r="9" spans="1:53" ht="17.100000000000001" customHeight="1" x14ac:dyDescent="0.25">
      <c r="D9" s="2"/>
      <c r="E9" s="2"/>
      <c r="F9" s="21"/>
      <c r="G9" s="21"/>
      <c r="H9" s="12"/>
      <c r="I9" s="138"/>
      <c r="J9" s="1384" t="s">
        <v>542</v>
      </c>
      <c r="K9" s="1385"/>
      <c r="L9" s="1385"/>
      <c r="M9" s="1386"/>
      <c r="N9" s="1387" t="str">
        <f>'STUDY VILLAGES'!C13</f>
        <v>Angk Mli</v>
      </c>
      <c r="O9" s="1388"/>
      <c r="P9" s="1389"/>
      <c r="Q9" s="1387" t="str">
        <f>'STUDY VILLAGES'!F13</f>
        <v>Chrak Sdau</v>
      </c>
      <c r="R9" s="1388"/>
      <c r="S9" s="1389"/>
      <c r="T9" s="1387">
        <f>'STUDY VILLAGES'!I13</f>
        <v>0</v>
      </c>
      <c r="U9" s="1388"/>
      <c r="V9" s="1389"/>
      <c r="W9" s="1396"/>
      <c r="X9" s="1397"/>
      <c r="Y9" s="1397"/>
      <c r="AB9" s="513" t="s">
        <v>900</v>
      </c>
      <c r="AC9" s="514">
        <f>SUM(AA10:AC10)</f>
        <v>2</v>
      </c>
    </row>
    <row r="10" spans="1:53" ht="17.100000000000001" customHeight="1" x14ac:dyDescent="0.25">
      <c r="A10" s="21"/>
      <c r="B10" s="21"/>
      <c r="C10" s="21"/>
      <c r="D10" s="4"/>
      <c r="E10" s="4"/>
      <c r="G10" s="22"/>
      <c r="H10" s="166"/>
      <c r="I10" s="208"/>
      <c r="J10" s="334" t="s">
        <v>733</v>
      </c>
      <c r="K10" s="334" t="s">
        <v>734</v>
      </c>
      <c r="L10" s="334" t="s">
        <v>657</v>
      </c>
      <c r="M10" s="334" t="s">
        <v>320</v>
      </c>
      <c r="N10" s="334" t="s">
        <v>735</v>
      </c>
      <c r="O10" s="334" t="s">
        <v>657</v>
      </c>
      <c r="P10" s="334" t="s">
        <v>320</v>
      </c>
      <c r="Q10" s="334" t="s">
        <v>735</v>
      </c>
      <c r="R10" s="334" t="s">
        <v>657</v>
      </c>
      <c r="S10" s="334" t="s">
        <v>320</v>
      </c>
      <c r="T10" s="334" t="s">
        <v>735</v>
      </c>
      <c r="U10" s="334" t="s">
        <v>657</v>
      </c>
      <c r="V10" s="544" t="s">
        <v>320</v>
      </c>
      <c r="W10" s="375" t="s">
        <v>735</v>
      </c>
      <c r="X10" s="335" t="s">
        <v>657</v>
      </c>
      <c r="Y10" s="410" t="s">
        <v>4</v>
      </c>
      <c r="AA10" s="2">
        <f>IF(P20&gt;0,1,0)</f>
        <v>1</v>
      </c>
      <c r="AB10" s="2">
        <f>IF(S20&gt;0,1,0)</f>
        <v>1</v>
      </c>
      <c r="AC10" s="2">
        <f>IF(V20&gt;0,1,0)</f>
        <v>0</v>
      </c>
      <c r="AE10" s="1400" t="s">
        <v>733</v>
      </c>
      <c r="AF10" s="1401"/>
      <c r="AG10" s="1401"/>
      <c r="AH10" s="1401"/>
      <c r="AI10" s="1402"/>
      <c r="AK10" s="1390" t="s">
        <v>734</v>
      </c>
      <c r="AL10" s="1391"/>
      <c r="AM10" s="1391"/>
      <c r="AN10" s="1391"/>
      <c r="AO10" s="1392"/>
      <c r="AQ10" s="1380" t="s">
        <v>732</v>
      </c>
      <c r="AR10" s="1381"/>
      <c r="AS10" s="1381"/>
      <c r="AT10" s="1381"/>
      <c r="AU10" s="1382"/>
      <c r="AW10" s="1393" t="s">
        <v>556</v>
      </c>
      <c r="AX10" s="1394"/>
      <c r="AY10" s="1394"/>
      <c r="AZ10" s="1394"/>
      <c r="BA10" s="1395"/>
    </row>
    <row r="11" spans="1:53" s="32" customFormat="1" ht="17.100000000000001" customHeight="1" thickBot="1" x14ac:dyDescent="0.3">
      <c r="A11" s="24">
        <v>0</v>
      </c>
      <c r="B11" s="25" t="s">
        <v>3</v>
      </c>
      <c r="C11" s="26"/>
      <c r="D11" s="27"/>
      <c r="E11" s="27"/>
      <c r="F11" s="27"/>
      <c r="G11" s="28"/>
      <c r="H11" s="215"/>
      <c r="I11" s="228"/>
      <c r="J11" s="29"/>
      <c r="K11" s="29"/>
      <c r="L11" s="29"/>
      <c r="M11" s="29"/>
      <c r="N11" s="29"/>
      <c r="O11" s="29"/>
      <c r="P11" s="29"/>
      <c r="Q11" s="29"/>
      <c r="R11" s="29"/>
      <c r="S11" s="29"/>
      <c r="T11" s="29"/>
      <c r="U11" s="29"/>
      <c r="V11" s="354"/>
      <c r="W11" s="376"/>
      <c r="X11" s="29"/>
      <c r="Y11" s="30"/>
      <c r="Z11" s="31" t="s">
        <v>5</v>
      </c>
      <c r="AA11" s="31" t="s">
        <v>181</v>
      </c>
      <c r="AB11" s="31" t="s">
        <v>182</v>
      </c>
      <c r="AC11" s="31" t="s">
        <v>6</v>
      </c>
      <c r="AE11" s="33" t="s">
        <v>181</v>
      </c>
      <c r="AF11" s="33" t="s">
        <v>182</v>
      </c>
      <c r="AG11" s="33" t="s">
        <v>6</v>
      </c>
      <c r="AH11" s="33" t="s">
        <v>4</v>
      </c>
      <c r="AI11" s="34" t="s">
        <v>5</v>
      </c>
      <c r="AJ11" s="406"/>
      <c r="AK11" s="36" t="s">
        <v>181</v>
      </c>
      <c r="AL11" s="36" t="s">
        <v>182</v>
      </c>
      <c r="AM11" s="36" t="s">
        <v>6</v>
      </c>
      <c r="AN11" s="36" t="s">
        <v>4</v>
      </c>
      <c r="AO11" s="37" t="s">
        <v>5</v>
      </c>
      <c r="AP11" s="406"/>
      <c r="AQ11" s="398" t="s">
        <v>181</v>
      </c>
      <c r="AR11" s="398" t="s">
        <v>182</v>
      </c>
      <c r="AS11" s="398" t="s">
        <v>6</v>
      </c>
      <c r="AT11" s="398" t="s">
        <v>4</v>
      </c>
      <c r="AU11" s="399" t="s">
        <v>5</v>
      </c>
      <c r="AV11" s="406"/>
      <c r="AW11" s="400" t="s">
        <v>181</v>
      </c>
      <c r="AX11" s="400" t="s">
        <v>182</v>
      </c>
      <c r="AY11" s="400" t="s">
        <v>6</v>
      </c>
      <c r="AZ11" s="400" t="s">
        <v>4</v>
      </c>
      <c r="BA11" s="401" t="s">
        <v>5</v>
      </c>
    </row>
    <row r="12" spans="1:53" ht="17.100000000000001" customHeight="1" x14ac:dyDescent="0.25">
      <c r="A12" s="40"/>
      <c r="B12" s="414">
        <v>0</v>
      </c>
      <c r="C12" s="42" t="s">
        <v>367</v>
      </c>
      <c r="D12" s="43"/>
      <c r="E12" s="43"/>
      <c r="F12" s="43"/>
      <c r="G12" s="44"/>
      <c r="H12" s="219"/>
      <c r="I12" s="229"/>
      <c r="J12" s="577"/>
      <c r="K12" s="577"/>
      <c r="L12" s="578"/>
      <c r="M12" s="578"/>
      <c r="N12" s="578"/>
      <c r="O12" s="578"/>
      <c r="P12" s="578"/>
      <c r="Q12" s="578"/>
      <c r="R12" s="578"/>
      <c r="S12" s="578"/>
      <c r="T12" s="578"/>
      <c r="U12" s="578"/>
      <c r="V12" s="579"/>
      <c r="W12" s="580"/>
      <c r="X12" s="578"/>
      <c r="Y12" s="220"/>
      <c r="Z12" s="51"/>
      <c r="AA12" s="51"/>
      <c r="AB12" s="51"/>
      <c r="AC12" s="51"/>
      <c r="AE12" s="52"/>
      <c r="AF12" s="52"/>
      <c r="AG12" s="52"/>
      <c r="AH12" s="53"/>
      <c r="AI12" s="54"/>
      <c r="AK12" s="52"/>
      <c r="AL12" s="52"/>
      <c r="AM12" s="52"/>
      <c r="AN12" s="53"/>
      <c r="AO12" s="54"/>
      <c r="AQ12" s="52"/>
      <c r="AR12" s="52"/>
      <c r="AS12" s="52"/>
      <c r="AT12" s="53"/>
      <c r="AU12" s="54"/>
      <c r="AW12" s="52"/>
      <c r="AX12" s="52"/>
      <c r="AY12" s="52"/>
      <c r="AZ12" s="53"/>
      <c r="BA12" s="54"/>
    </row>
    <row r="13" spans="1:53" ht="17.100000000000001" customHeight="1" x14ac:dyDescent="0.25">
      <c r="A13" s="47"/>
      <c r="B13" s="55"/>
      <c r="C13" s="56" t="s">
        <v>626</v>
      </c>
      <c r="D13" s="57" t="s">
        <v>368</v>
      </c>
      <c r="E13" s="58"/>
      <c r="F13" s="58"/>
      <c r="G13" s="59"/>
      <c r="H13" s="218">
        <v>1</v>
      </c>
      <c r="I13" s="229"/>
      <c r="J13" s="581"/>
      <c r="K13" s="581"/>
      <c r="L13" s="582"/>
      <c r="M13" s="17">
        <f>SUM(J13:L13)</f>
        <v>0</v>
      </c>
      <c r="N13" s="111"/>
      <c r="O13" s="111"/>
      <c r="P13" s="111"/>
      <c r="Q13" s="111"/>
      <c r="R13" s="111"/>
      <c r="S13" s="111"/>
      <c r="T13" s="111"/>
      <c r="U13" s="111"/>
      <c r="V13" s="358"/>
      <c r="W13" s="391">
        <f>J13+K13+N13+Q13+T13</f>
        <v>0</v>
      </c>
      <c r="X13" s="17">
        <f>L13+O13+R13+U13</f>
        <v>0</v>
      </c>
      <c r="Y13" s="18">
        <f>SUM(W13:X13)</f>
        <v>0</v>
      </c>
      <c r="Z13" s="19">
        <f>IF(Y$15=0,0,Y13/Y$15)</f>
        <v>0</v>
      </c>
      <c r="AA13" s="19"/>
      <c r="AB13" s="19"/>
      <c r="AC13" s="20"/>
      <c r="AE13" s="17"/>
      <c r="AF13" s="17"/>
      <c r="AG13" s="17"/>
      <c r="AH13" s="18">
        <f>J13</f>
        <v>0</v>
      </c>
      <c r="AI13" s="19">
        <f>IF(AH$15=0,0,AH13/AH$15)</f>
        <v>0</v>
      </c>
      <c r="AK13" s="17"/>
      <c r="AL13" s="17"/>
      <c r="AM13" s="17"/>
      <c r="AN13" s="18">
        <f>K13</f>
        <v>0</v>
      </c>
      <c r="AO13" s="19">
        <f>IF(AN$15=0,0,AN13/AN$15)</f>
        <v>0</v>
      </c>
      <c r="AQ13" s="17"/>
      <c r="AR13" s="17"/>
      <c r="AS13" s="17"/>
      <c r="AT13" s="18">
        <f>W13</f>
        <v>0</v>
      </c>
      <c r="AU13" s="19">
        <f>IF(AT$15=0,0,AT13/AT$15)</f>
        <v>0</v>
      </c>
      <c r="AW13" s="17"/>
      <c r="AX13" s="17"/>
      <c r="AY13" s="17"/>
      <c r="AZ13" s="18">
        <f>X13</f>
        <v>0</v>
      </c>
      <c r="BA13" s="19">
        <f>IF(AZ$15=0,0,AZ13/AZ$15)</f>
        <v>0</v>
      </c>
    </row>
    <row r="14" spans="1:53" ht="17.100000000000001" customHeight="1" x14ac:dyDescent="0.25">
      <c r="A14" s="47"/>
      <c r="B14" s="55"/>
      <c r="C14" s="56" t="s">
        <v>627</v>
      </c>
      <c r="D14" s="57" t="s">
        <v>369</v>
      </c>
      <c r="E14" s="58"/>
      <c r="F14" s="58"/>
      <c r="G14" s="59"/>
      <c r="H14" s="218">
        <v>1</v>
      </c>
      <c r="I14" s="229"/>
      <c r="J14" s="583"/>
      <c r="K14" s="583"/>
      <c r="L14" s="584"/>
      <c r="M14" s="17">
        <f>SUM(J14:L14)</f>
        <v>0</v>
      </c>
      <c r="N14" s="111"/>
      <c r="O14" s="111"/>
      <c r="P14" s="111"/>
      <c r="Q14" s="111"/>
      <c r="R14" s="111"/>
      <c r="S14" s="111"/>
      <c r="T14" s="111"/>
      <c r="U14" s="111"/>
      <c r="V14" s="358"/>
      <c r="W14" s="391">
        <f>J14+K14+N14+Q14+T14</f>
        <v>0</v>
      </c>
      <c r="X14" s="17">
        <f>L14+O14+R14+U14</f>
        <v>0</v>
      </c>
      <c r="Y14" s="18">
        <f>SUM(W14:X14)</f>
        <v>0</v>
      </c>
      <c r="Z14" s="19">
        <f>IF(Y$15=0,0,Y14/Y$15)</f>
        <v>0</v>
      </c>
      <c r="AA14" s="19"/>
      <c r="AB14" s="19"/>
      <c r="AC14" s="20"/>
      <c r="AE14" s="17"/>
      <c r="AF14" s="17"/>
      <c r="AG14" s="17"/>
      <c r="AH14" s="18">
        <f>J14</f>
        <v>0</v>
      </c>
      <c r="AI14" s="19">
        <f>IF(AH$15=0,0,AH14/AH$15)</f>
        <v>0</v>
      </c>
      <c r="AK14" s="17"/>
      <c r="AL14" s="17"/>
      <c r="AM14" s="17"/>
      <c r="AN14" s="18">
        <f>K14</f>
        <v>0</v>
      </c>
      <c r="AO14" s="19">
        <f>IF(AN$15=0,0,AN14/AN$15)</f>
        <v>0</v>
      </c>
      <c r="AQ14" s="17"/>
      <c r="AR14" s="17"/>
      <c r="AS14" s="17"/>
      <c r="AT14" s="18">
        <f>W14</f>
        <v>0</v>
      </c>
      <c r="AU14" s="19">
        <f>IF(AT$15=0,0,AT14/AT$15)</f>
        <v>0</v>
      </c>
      <c r="AW14" s="17"/>
      <c r="AX14" s="17"/>
      <c r="AY14" s="17"/>
      <c r="AZ14" s="18">
        <f>X14</f>
        <v>0</v>
      </c>
      <c r="BA14" s="19">
        <f>IF(AZ$15=0,0,AZ14/AZ$15)</f>
        <v>0</v>
      </c>
    </row>
    <row r="15" spans="1:53" ht="17.100000000000001" customHeight="1" x14ac:dyDescent="0.25">
      <c r="A15" s="47"/>
      <c r="B15" s="47"/>
      <c r="C15" s="252"/>
      <c r="D15" s="62"/>
      <c r="E15" s="62"/>
      <c r="F15" s="62"/>
      <c r="G15" s="63"/>
      <c r="H15" s="216"/>
      <c r="I15" s="229"/>
      <c r="J15" s="64">
        <f>SUM(J13:J14)</f>
        <v>0</v>
      </c>
      <c r="K15" s="64">
        <f t="shared" ref="K15:M15" si="0">SUM(K13:K14)</f>
        <v>0</v>
      </c>
      <c r="L15" s="64">
        <f t="shared" si="0"/>
        <v>0</v>
      </c>
      <c r="M15" s="64">
        <f t="shared" si="0"/>
        <v>0</v>
      </c>
      <c r="N15" s="64"/>
      <c r="O15" s="64"/>
      <c r="P15" s="64"/>
      <c r="Q15" s="81"/>
      <c r="R15" s="81"/>
      <c r="S15" s="81"/>
      <c r="T15" s="81"/>
      <c r="U15" s="81"/>
      <c r="V15" s="356"/>
      <c r="W15" s="381">
        <f>SUM(W13:W14)</f>
        <v>0</v>
      </c>
      <c r="X15" s="82">
        <f t="shared" ref="X15:Y15" si="1">SUM(X13:X14)</f>
        <v>0</v>
      </c>
      <c r="Y15" s="82">
        <f t="shared" si="1"/>
        <v>0</v>
      </c>
      <c r="Z15" s="205">
        <f>IF(Y$15=0,0,Y15/Y$15)</f>
        <v>0</v>
      </c>
      <c r="AA15" s="205"/>
      <c r="AB15" s="205"/>
      <c r="AC15" s="83"/>
      <c r="AE15" s="67"/>
      <c r="AF15" s="67"/>
      <c r="AG15" s="67"/>
      <c r="AH15" s="65">
        <f>SUM(AH13:AH14)</f>
        <v>0</v>
      </c>
      <c r="AI15" s="66">
        <f>IF(AH$15=0,0,AH15/AH$15)</f>
        <v>0</v>
      </c>
      <c r="AK15" s="67"/>
      <c r="AL15" s="67"/>
      <c r="AM15" s="67"/>
      <c r="AN15" s="65">
        <f>SUM(AN13:AN14)</f>
        <v>0</v>
      </c>
      <c r="AO15" s="66">
        <f>IF(AN$15=0,0,AN15/AN$15)</f>
        <v>0</v>
      </c>
      <c r="AQ15" s="67"/>
      <c r="AR15" s="67"/>
      <c r="AS15" s="67"/>
      <c r="AT15" s="65">
        <f>SUM(AT13:AT14)</f>
        <v>0</v>
      </c>
      <c r="AU15" s="66">
        <f>IF(AT$15=0,0,AT15/AT$15)</f>
        <v>0</v>
      </c>
      <c r="AW15" s="67"/>
      <c r="AX15" s="67"/>
      <c r="AY15" s="67"/>
      <c r="AZ15" s="65">
        <f>SUM(AZ13:AZ14)</f>
        <v>0</v>
      </c>
      <c r="BA15" s="66">
        <f>IF(AZ$15=0,0,AZ15/AZ$15)</f>
        <v>0</v>
      </c>
    </row>
    <row r="16" spans="1:53" s="117" customFormat="1" ht="17.100000000000001" customHeight="1" x14ac:dyDescent="0.25">
      <c r="A16" s="186"/>
      <c r="B16" s="253"/>
      <c r="C16" s="254"/>
      <c r="D16" s="255"/>
      <c r="E16" s="93"/>
      <c r="F16" s="93"/>
      <c r="G16" s="209"/>
      <c r="H16" s="540"/>
      <c r="I16" s="12"/>
      <c r="J16" s="198"/>
      <c r="K16" s="585"/>
      <c r="L16" s="17"/>
      <c r="M16" s="17"/>
      <c r="N16" s="17"/>
      <c r="O16" s="17"/>
      <c r="P16" s="17"/>
      <c r="Q16" s="17"/>
      <c r="R16" s="17"/>
      <c r="S16" s="17"/>
      <c r="T16" s="17"/>
      <c r="U16" s="17"/>
      <c r="V16" s="359"/>
      <c r="W16" s="395">
        <f>IF($Y$15=0,0,W15/$Y$15)</f>
        <v>0</v>
      </c>
      <c r="X16" s="91">
        <f>IF($Y$15=0,0,X15/$Y$15)</f>
        <v>0</v>
      </c>
      <c r="Y16" s="201">
        <f>IF($Y$15=0,0,Y15/$Y$15)</f>
        <v>0</v>
      </c>
      <c r="Z16" s="201"/>
      <c r="AA16" s="201"/>
      <c r="AB16" s="201"/>
      <c r="AC16" s="84"/>
      <c r="AE16" s="256"/>
      <c r="AF16" s="256"/>
      <c r="AG16" s="256"/>
      <c r="AH16" s="257"/>
      <c r="AI16" s="91"/>
      <c r="AK16" s="256"/>
      <c r="AL16" s="256"/>
      <c r="AM16" s="256"/>
      <c r="AN16" s="257"/>
      <c r="AO16" s="91"/>
      <c r="AQ16" s="256"/>
      <c r="AR16" s="256"/>
      <c r="AS16" s="256"/>
      <c r="AT16" s="257"/>
      <c r="AU16" s="91"/>
      <c r="AW16" s="256"/>
      <c r="AX16" s="256"/>
      <c r="AY16" s="256"/>
      <c r="AZ16" s="257"/>
      <c r="BA16" s="91"/>
    </row>
    <row r="17" spans="1:60" ht="17.100000000000001" customHeight="1" x14ac:dyDescent="0.25">
      <c r="A17" s="40"/>
      <c r="B17" s="41">
        <v>0.1</v>
      </c>
      <c r="C17" s="42" t="s">
        <v>628</v>
      </c>
      <c r="D17" s="43"/>
      <c r="E17" s="43"/>
      <c r="F17" s="43"/>
      <c r="G17" s="44"/>
      <c r="H17" s="219"/>
      <c r="I17" s="229"/>
      <c r="J17" s="586"/>
      <c r="K17" s="586"/>
      <c r="L17" s="71"/>
      <c r="M17" s="71"/>
      <c r="N17" s="71"/>
      <c r="O17" s="71"/>
      <c r="P17" s="71"/>
      <c r="Q17" s="71"/>
      <c r="R17" s="71"/>
      <c r="S17" s="71"/>
      <c r="T17" s="71"/>
      <c r="U17" s="71"/>
      <c r="V17" s="355"/>
      <c r="W17" s="377"/>
      <c r="X17" s="71"/>
      <c r="Y17" s="72"/>
      <c r="Z17" s="73"/>
      <c r="AA17" s="73"/>
      <c r="AB17" s="73"/>
      <c r="AC17" s="73"/>
      <c r="AE17" s="52"/>
      <c r="AF17" s="52"/>
      <c r="AG17" s="52"/>
      <c r="AH17" s="53"/>
      <c r="AI17" s="54"/>
      <c r="AK17" s="52"/>
      <c r="AL17" s="52"/>
      <c r="AM17" s="52"/>
      <c r="AN17" s="53"/>
      <c r="AO17" s="54"/>
      <c r="AQ17" s="52"/>
      <c r="AR17" s="52"/>
      <c r="AS17" s="52"/>
      <c r="AT17" s="53"/>
      <c r="AU17" s="54"/>
      <c r="AW17" s="52"/>
      <c r="AX17" s="52"/>
      <c r="AY17" s="52"/>
      <c r="AZ17" s="53"/>
      <c r="BA17" s="54"/>
    </row>
    <row r="18" spans="1:60" ht="17.100000000000001" customHeight="1" x14ac:dyDescent="0.25">
      <c r="A18" s="47"/>
      <c r="B18" s="55"/>
      <c r="C18" s="56" t="s">
        <v>371</v>
      </c>
      <c r="D18" s="120" t="s">
        <v>629</v>
      </c>
      <c r="E18" s="58"/>
      <c r="F18" s="58"/>
      <c r="G18" s="59"/>
      <c r="H18" s="216"/>
      <c r="I18" s="229"/>
      <c r="J18" s="174"/>
      <c r="K18" s="174"/>
      <c r="L18" s="111"/>
      <c r="M18" s="111"/>
      <c r="N18" s="60"/>
      <c r="O18" s="60">
        <v>4</v>
      </c>
      <c r="P18" s="17">
        <f>SUM(N18:O18)</f>
        <v>4</v>
      </c>
      <c r="Q18" s="60"/>
      <c r="R18" s="60"/>
      <c r="S18" s="17">
        <f>SUM(Q18:R18)</f>
        <v>0</v>
      </c>
      <c r="T18" s="60"/>
      <c r="U18" s="60"/>
      <c r="V18" s="359">
        <f>SUM(T18:U18)</f>
        <v>0</v>
      </c>
      <c r="W18" s="391">
        <f t="shared" ref="W18:W19" si="2">J18+K18+N18+Q18+T18</f>
        <v>0</v>
      </c>
      <c r="X18" s="17">
        <f t="shared" ref="X18:X19" si="3">L18+O18+R18+U18</f>
        <v>4</v>
      </c>
      <c r="Y18" s="18">
        <f>SUM(W18:X18)</f>
        <v>4</v>
      </c>
      <c r="Z18" s="19">
        <f>IF(Y$20=0,0,Y18/Y$20)</f>
        <v>0.25</v>
      </c>
      <c r="AA18" s="19"/>
      <c r="AB18" s="19"/>
      <c r="AC18" s="20"/>
      <c r="AE18" s="17"/>
      <c r="AF18" s="17"/>
      <c r="AG18" s="17"/>
      <c r="AH18" s="18">
        <f>J18</f>
        <v>0</v>
      </c>
      <c r="AI18" s="19">
        <f>IF(AH$15=0,0,AH18/AH$15)</f>
        <v>0</v>
      </c>
      <c r="AK18" s="17"/>
      <c r="AL18" s="17"/>
      <c r="AM18" s="17"/>
      <c r="AN18" s="18">
        <f>K18</f>
        <v>0</v>
      </c>
      <c r="AO18" s="19">
        <f>IF(AN$20=0,0,AN18/AN$20)</f>
        <v>0</v>
      </c>
      <c r="AQ18" s="17"/>
      <c r="AR18" s="17"/>
      <c r="AS18" s="17"/>
      <c r="AT18" s="18">
        <f>W18</f>
        <v>0</v>
      </c>
      <c r="AU18" s="19">
        <f>IF(AT$20=0,0,AT18/AT$20)</f>
        <v>0</v>
      </c>
      <c r="AW18" s="17"/>
      <c r="AX18" s="17"/>
      <c r="AY18" s="17"/>
      <c r="AZ18" s="18">
        <f>X18</f>
        <v>4</v>
      </c>
      <c r="BA18" s="19">
        <f>IF(AZ$20=0,0,AZ18/AZ$20)</f>
        <v>0.26666666666666666</v>
      </c>
    </row>
    <row r="19" spans="1:60" ht="17.100000000000001" customHeight="1" x14ac:dyDescent="0.25">
      <c r="A19" s="47"/>
      <c r="B19" s="55"/>
      <c r="C19" s="56" t="s">
        <v>372</v>
      </c>
      <c r="D19" s="120" t="s">
        <v>630</v>
      </c>
      <c r="E19" s="58"/>
      <c r="F19" s="58"/>
      <c r="G19" s="59"/>
      <c r="H19" s="216"/>
      <c r="I19" s="229"/>
      <c r="J19" s="174"/>
      <c r="K19" s="174"/>
      <c r="L19" s="111"/>
      <c r="M19" s="111"/>
      <c r="N19" s="61"/>
      <c r="O19" s="61">
        <v>4</v>
      </c>
      <c r="P19" s="17">
        <f>SUM(N19:O19)</f>
        <v>4</v>
      </c>
      <c r="Q19" s="61">
        <v>1</v>
      </c>
      <c r="R19" s="61">
        <v>7</v>
      </c>
      <c r="S19" s="17">
        <f>SUM(Q19:R19)</f>
        <v>8</v>
      </c>
      <c r="T19" s="61"/>
      <c r="U19" s="61"/>
      <c r="V19" s="359">
        <f>SUM(T19:U19)</f>
        <v>0</v>
      </c>
      <c r="W19" s="391">
        <f t="shared" si="2"/>
        <v>1</v>
      </c>
      <c r="X19" s="17">
        <f t="shared" si="3"/>
        <v>11</v>
      </c>
      <c r="Y19" s="18">
        <f>SUM(W19:X19)</f>
        <v>12</v>
      </c>
      <c r="Z19" s="19">
        <f t="shared" ref="Z19:Z20" si="4">IF(Y$20=0,0,Y19/Y$20)</f>
        <v>0.75</v>
      </c>
      <c r="AA19" s="19"/>
      <c r="AB19" s="19"/>
      <c r="AC19" s="20"/>
      <c r="AE19" s="17"/>
      <c r="AF19" s="17"/>
      <c r="AG19" s="17"/>
      <c r="AH19" s="18">
        <f>J19</f>
        <v>0</v>
      </c>
      <c r="AI19" s="19">
        <f>IF(AH$15=0,0,AH19/AH$15)</f>
        <v>0</v>
      </c>
      <c r="AK19" s="17"/>
      <c r="AL19" s="17"/>
      <c r="AM19" s="17"/>
      <c r="AN19" s="18">
        <f>K19</f>
        <v>0</v>
      </c>
      <c r="AO19" s="19">
        <f t="shared" ref="AO19:AO20" si="5">IF(AN$20=0,0,AN19/AN$20)</f>
        <v>0</v>
      </c>
      <c r="AQ19" s="17"/>
      <c r="AR19" s="17"/>
      <c r="AS19" s="17"/>
      <c r="AT19" s="18">
        <f>W19</f>
        <v>1</v>
      </c>
      <c r="AU19" s="19">
        <f t="shared" ref="AU19:AU20" si="6">IF(AT$20=0,0,AT19/AT$20)</f>
        <v>1</v>
      </c>
      <c r="AW19" s="17"/>
      <c r="AX19" s="17"/>
      <c r="AY19" s="17"/>
      <c r="AZ19" s="18">
        <f>X19</f>
        <v>11</v>
      </c>
      <c r="BA19" s="19">
        <f t="shared" ref="BA19:BA20" si="7">IF(AZ$20=0,0,AZ19/AZ$20)</f>
        <v>0.73333333333333328</v>
      </c>
    </row>
    <row r="20" spans="1:60" ht="17.100000000000001" customHeight="1" x14ac:dyDescent="0.25">
      <c r="A20" s="47"/>
      <c r="B20" s="47"/>
      <c r="C20" s="252"/>
      <c r="D20" s="62"/>
      <c r="E20" s="62"/>
      <c r="F20" s="62"/>
      <c r="G20" s="63"/>
      <c r="H20" s="216"/>
      <c r="I20" s="229"/>
      <c r="J20" s="64"/>
      <c r="K20" s="64"/>
      <c r="L20" s="64"/>
      <c r="M20" s="64"/>
      <c r="N20" s="64">
        <f>SUM(N18:N19)</f>
        <v>0</v>
      </c>
      <c r="O20" s="64">
        <f t="shared" ref="O20:V20" si="8">SUM(O18:O19)</f>
        <v>8</v>
      </c>
      <c r="P20" s="64">
        <f t="shared" si="8"/>
        <v>8</v>
      </c>
      <c r="Q20" s="64">
        <f t="shared" si="8"/>
        <v>1</v>
      </c>
      <c r="R20" s="64">
        <f t="shared" si="8"/>
        <v>7</v>
      </c>
      <c r="S20" s="64">
        <f t="shared" si="8"/>
        <v>8</v>
      </c>
      <c r="T20" s="64">
        <f t="shared" si="8"/>
        <v>0</v>
      </c>
      <c r="U20" s="64">
        <f t="shared" si="8"/>
        <v>0</v>
      </c>
      <c r="V20" s="64">
        <f t="shared" si="8"/>
        <v>0</v>
      </c>
      <c r="W20" s="381">
        <f>SUM(W18:W19)</f>
        <v>1</v>
      </c>
      <c r="X20" s="82">
        <f t="shared" ref="X20:Y20" si="9">SUM(X18:X19)</f>
        <v>15</v>
      </c>
      <c r="Y20" s="82">
        <f t="shared" si="9"/>
        <v>16</v>
      </c>
      <c r="Z20" s="205">
        <f t="shared" si="4"/>
        <v>1</v>
      </c>
      <c r="AA20" s="205"/>
      <c r="AB20" s="205"/>
      <c r="AC20" s="83"/>
      <c r="AE20" s="67"/>
      <c r="AF20" s="67"/>
      <c r="AG20" s="67"/>
      <c r="AH20" s="65">
        <f>SUM(AH18:AH19)</f>
        <v>0</v>
      </c>
      <c r="AI20" s="66">
        <f>IF(AH$15=0,0,AH20/AH$15)</f>
        <v>0</v>
      </c>
      <c r="AK20" s="67"/>
      <c r="AL20" s="67"/>
      <c r="AM20" s="67"/>
      <c r="AN20" s="65">
        <f>SUM(AN18:AN19)</f>
        <v>0</v>
      </c>
      <c r="AO20" s="66">
        <f t="shared" si="5"/>
        <v>0</v>
      </c>
      <c r="AQ20" s="67"/>
      <c r="AR20" s="67"/>
      <c r="AS20" s="67"/>
      <c r="AT20" s="65">
        <f>SUM(AT18:AT19)</f>
        <v>1</v>
      </c>
      <c r="AU20" s="66">
        <f t="shared" si="6"/>
        <v>1</v>
      </c>
      <c r="AW20" s="67"/>
      <c r="AX20" s="67"/>
      <c r="AY20" s="67"/>
      <c r="AZ20" s="65">
        <f>SUM(AZ18:AZ19)</f>
        <v>15</v>
      </c>
      <c r="BA20" s="66">
        <f t="shared" si="7"/>
        <v>1</v>
      </c>
    </row>
    <row r="21" spans="1:60" s="117" customFormat="1" ht="17.100000000000001" customHeight="1" x14ac:dyDescent="0.25">
      <c r="A21" s="186"/>
      <c r="B21" s="253"/>
      <c r="C21" s="254"/>
      <c r="D21" s="255"/>
      <c r="E21" s="93"/>
      <c r="F21" s="93"/>
      <c r="G21" s="209"/>
      <c r="H21" s="540"/>
      <c r="I21" s="12"/>
      <c r="J21" s="198"/>
      <c r="K21" s="585"/>
      <c r="L21" s="17"/>
      <c r="M21" s="17"/>
      <c r="N21" s="17"/>
      <c r="O21" s="17"/>
      <c r="P21" s="17"/>
      <c r="Q21" s="17"/>
      <c r="R21" s="17"/>
      <c r="S21" s="17"/>
      <c r="T21" s="17"/>
      <c r="U21" s="17"/>
      <c r="V21" s="359"/>
      <c r="W21" s="395">
        <f>IF($Y$20=0,0,W20/$Y$20)</f>
        <v>6.25E-2</v>
      </c>
      <c r="X21" s="91">
        <f>IF($Y$20=0,0,X20/$Y$20)</f>
        <v>0.9375</v>
      </c>
      <c r="Y21" s="201">
        <f>IF($Y$20=0,0,Y20/$Y$20)</f>
        <v>1</v>
      </c>
      <c r="Z21" s="201"/>
      <c r="AA21" s="201"/>
      <c r="AB21" s="201"/>
      <c r="AC21" s="84"/>
      <c r="AE21" s="256"/>
      <c r="AF21" s="256"/>
      <c r="AG21" s="256"/>
      <c r="AH21" s="257"/>
      <c r="AI21" s="91"/>
      <c r="AK21" s="256"/>
      <c r="AL21" s="256"/>
      <c r="AM21" s="256"/>
      <c r="AN21" s="257"/>
      <c r="AO21" s="91"/>
      <c r="AQ21" s="256"/>
      <c r="AR21" s="256"/>
      <c r="AS21" s="256"/>
      <c r="AT21" s="257"/>
      <c r="AU21" s="91"/>
      <c r="AW21" s="256"/>
      <c r="AX21" s="256"/>
      <c r="AY21" s="256"/>
      <c r="AZ21" s="257"/>
      <c r="BA21" s="91"/>
      <c r="BC21" s="3"/>
      <c r="BD21" s="3"/>
      <c r="BE21" s="3"/>
      <c r="BF21" s="3"/>
      <c r="BG21" s="3"/>
      <c r="BH21" s="3"/>
    </row>
    <row r="22" spans="1:60" ht="17.100000000000001" customHeight="1" x14ac:dyDescent="0.25">
      <c r="A22" s="68"/>
      <c r="B22" s="41">
        <v>0.2</v>
      </c>
      <c r="C22" s="69" t="s">
        <v>370</v>
      </c>
      <c r="D22" s="50"/>
      <c r="E22" s="70"/>
      <c r="F22" s="70"/>
      <c r="G22" s="70"/>
      <c r="H22" s="119"/>
      <c r="J22" s="71"/>
      <c r="K22" s="71"/>
      <c r="L22" s="71"/>
      <c r="M22" s="71"/>
      <c r="N22" s="71"/>
      <c r="O22" s="71"/>
      <c r="P22" s="71"/>
      <c r="Q22" s="71"/>
      <c r="R22" s="71"/>
      <c r="S22" s="71"/>
      <c r="T22" s="71"/>
      <c r="U22" s="71"/>
      <c r="V22" s="355"/>
      <c r="W22" s="377"/>
      <c r="X22" s="71"/>
      <c r="Y22" s="72"/>
      <c r="Z22" s="73"/>
      <c r="AA22" s="73"/>
      <c r="AB22" s="73"/>
      <c r="AC22" s="73"/>
      <c r="AE22" s="71"/>
      <c r="AF22" s="71"/>
      <c r="AG22" s="71"/>
      <c r="AH22" s="72"/>
      <c r="AI22" s="73"/>
      <c r="AK22" s="71"/>
      <c r="AL22" s="71"/>
      <c r="AM22" s="71"/>
      <c r="AN22" s="72"/>
      <c r="AO22" s="73"/>
      <c r="AQ22" s="71"/>
      <c r="AR22" s="71"/>
      <c r="AS22" s="71"/>
      <c r="AT22" s="72"/>
      <c r="AU22" s="73"/>
      <c r="AW22" s="71"/>
      <c r="AX22" s="71"/>
      <c r="AY22" s="71"/>
      <c r="AZ22" s="72"/>
      <c r="BA22" s="73"/>
    </row>
    <row r="23" spans="1:60" ht="17.100000000000001" customHeight="1" x14ac:dyDescent="0.25">
      <c r="A23" s="40"/>
      <c r="B23" s="40"/>
      <c r="C23" s="74" t="s">
        <v>7</v>
      </c>
      <c r="D23" s="542" t="s">
        <v>9</v>
      </c>
      <c r="E23" s="75"/>
      <c r="F23" s="75"/>
      <c r="G23" s="76"/>
      <c r="H23" s="589">
        <v>5</v>
      </c>
      <c r="I23" s="229"/>
      <c r="J23" s="581"/>
      <c r="K23" s="581"/>
      <c r="L23" s="582"/>
      <c r="M23" s="17">
        <f t="shared" ref="M23:M25" si="10">SUM(J23:L23)</f>
        <v>0</v>
      </c>
      <c r="N23" s="111"/>
      <c r="O23" s="111"/>
      <c r="P23" s="111"/>
      <c r="Q23" s="111"/>
      <c r="R23" s="111"/>
      <c r="S23" s="111"/>
      <c r="T23" s="111"/>
      <c r="U23" s="111"/>
      <c r="V23" s="358"/>
      <c r="W23" s="391">
        <f t="shared" ref="W23:W25" si="11">J23+K23+N23+Q23+T23</f>
        <v>0</v>
      </c>
      <c r="X23" s="17">
        <f t="shared" ref="X23:X25" si="12">L23+O23+R23+U23</f>
        <v>0</v>
      </c>
      <c r="Y23" s="18">
        <f>SUM(W23:X23)</f>
        <v>0</v>
      </c>
      <c r="Z23" s="19">
        <f>IF(Y$26=0,0,Y23/Y$26)</f>
        <v>0</v>
      </c>
      <c r="AA23" s="19"/>
      <c r="AB23" s="19"/>
      <c r="AC23" s="20"/>
      <c r="AE23" s="17"/>
      <c r="AF23" s="17"/>
      <c r="AG23" s="17"/>
      <c r="AH23" s="18">
        <f>J23</f>
        <v>0</v>
      </c>
      <c r="AI23" s="19">
        <f>IF(AH$26=0,0,AH23/AH$26)</f>
        <v>0</v>
      </c>
      <c r="AK23" s="17"/>
      <c r="AL23" s="17"/>
      <c r="AM23" s="17"/>
      <c r="AN23" s="18">
        <f>K23</f>
        <v>0</v>
      </c>
      <c r="AO23" s="19">
        <f>IF(AN$26=0,0,AN23/AN$26)</f>
        <v>0</v>
      </c>
      <c r="AQ23" s="17"/>
      <c r="AR23" s="17"/>
      <c r="AS23" s="17"/>
      <c r="AT23" s="18">
        <f>W23</f>
        <v>0</v>
      </c>
      <c r="AU23" s="19">
        <f>IF(AT$26=0,0,AT23/AT$26)</f>
        <v>0</v>
      </c>
      <c r="AW23" s="17"/>
      <c r="AX23" s="17"/>
      <c r="AY23" s="17"/>
      <c r="AZ23" s="18">
        <f>X23</f>
        <v>0</v>
      </c>
      <c r="BA23" s="19">
        <f>IF(AZ$26=0,0,AZ23/AZ$26)</f>
        <v>0</v>
      </c>
    </row>
    <row r="24" spans="1:60" ht="17.100000000000001" customHeight="1" x14ac:dyDescent="0.25">
      <c r="A24" s="40"/>
      <c r="B24" s="40"/>
      <c r="C24" s="74" t="s">
        <v>8</v>
      </c>
      <c r="D24" s="542" t="s">
        <v>10</v>
      </c>
      <c r="E24" s="75"/>
      <c r="F24" s="75"/>
      <c r="G24" s="76"/>
      <c r="H24" s="211"/>
      <c r="I24" s="229"/>
      <c r="J24" s="583"/>
      <c r="K24" s="583"/>
      <c r="L24" s="584"/>
      <c r="M24" s="17">
        <f t="shared" si="10"/>
        <v>0</v>
      </c>
      <c r="N24" s="111"/>
      <c r="O24" s="111"/>
      <c r="P24" s="111"/>
      <c r="Q24" s="111"/>
      <c r="R24" s="111"/>
      <c r="S24" s="111"/>
      <c r="T24" s="111"/>
      <c r="U24" s="111"/>
      <c r="V24" s="358"/>
      <c r="W24" s="391">
        <f t="shared" si="11"/>
        <v>0</v>
      </c>
      <c r="X24" s="17">
        <f t="shared" si="12"/>
        <v>0</v>
      </c>
      <c r="Y24" s="18">
        <f>SUM(W24:X24)</f>
        <v>0</v>
      </c>
      <c r="Z24" s="19">
        <f t="shared" ref="Z24:Z25" si="13">IF(Y$26=0,0,Y24/Y$26)</f>
        <v>0</v>
      </c>
      <c r="AA24" s="19"/>
      <c r="AB24" s="19"/>
      <c r="AC24" s="20"/>
      <c r="AE24" s="17"/>
      <c r="AF24" s="17"/>
      <c r="AG24" s="17"/>
      <c r="AH24" s="18">
        <f t="shared" ref="AH24:AH25" si="14">J24</f>
        <v>0</v>
      </c>
      <c r="AI24" s="19">
        <f t="shared" ref="AI24:AI26" si="15">IF(AH$26=0,0,AH24/AH$26)</f>
        <v>0</v>
      </c>
      <c r="AK24" s="17"/>
      <c r="AL24" s="17"/>
      <c r="AM24" s="17"/>
      <c r="AN24" s="18">
        <f t="shared" ref="AN24:AN25" si="16">K24</f>
        <v>0</v>
      </c>
      <c r="AO24" s="19">
        <f t="shared" ref="AO24:AO26" si="17">IF(AN$26=0,0,AN24/AN$26)</f>
        <v>0</v>
      </c>
      <c r="AQ24" s="17"/>
      <c r="AR24" s="17"/>
      <c r="AS24" s="17"/>
      <c r="AT24" s="18">
        <f t="shared" ref="AT24:AT25" si="18">W24</f>
        <v>0</v>
      </c>
      <c r="AU24" s="19">
        <f t="shared" ref="AU24:AU26" si="19">IF(AT$26=0,0,AT24/AT$26)</f>
        <v>0</v>
      </c>
      <c r="AW24" s="17"/>
      <c r="AX24" s="17"/>
      <c r="AY24" s="17"/>
      <c r="AZ24" s="18">
        <f t="shared" ref="AZ24:AZ25" si="20">X24</f>
        <v>0</v>
      </c>
      <c r="BA24" s="19">
        <f t="shared" ref="BA24:BA26" si="21">IF(AZ$26=0,0,AZ24/AZ$26)</f>
        <v>0</v>
      </c>
    </row>
    <row r="25" spans="1:60" ht="17.100000000000001" customHeight="1" x14ac:dyDescent="0.25">
      <c r="A25" s="40"/>
      <c r="B25" s="40"/>
      <c r="C25" s="74" t="s">
        <v>531</v>
      </c>
      <c r="D25" s="542" t="s">
        <v>530</v>
      </c>
      <c r="E25" s="75"/>
      <c r="F25" s="75"/>
      <c r="G25" s="76"/>
      <c r="H25" s="211"/>
      <c r="I25" s="229"/>
      <c r="J25" s="581"/>
      <c r="K25" s="581"/>
      <c r="L25" s="582"/>
      <c r="M25" s="17">
        <f t="shared" si="10"/>
        <v>0</v>
      </c>
      <c r="N25" s="111"/>
      <c r="O25" s="111"/>
      <c r="P25" s="111"/>
      <c r="Q25" s="111"/>
      <c r="R25" s="111"/>
      <c r="S25" s="111"/>
      <c r="T25" s="111"/>
      <c r="U25" s="111"/>
      <c r="V25" s="358"/>
      <c r="W25" s="391">
        <f t="shared" si="11"/>
        <v>0</v>
      </c>
      <c r="X25" s="17">
        <f t="shared" si="12"/>
        <v>0</v>
      </c>
      <c r="Y25" s="18">
        <f>SUM(W25:X25)</f>
        <v>0</v>
      </c>
      <c r="Z25" s="19">
        <f t="shared" si="13"/>
        <v>0</v>
      </c>
      <c r="AA25" s="19"/>
      <c r="AB25" s="19"/>
      <c r="AC25" s="20"/>
      <c r="AE25" s="17"/>
      <c r="AF25" s="17"/>
      <c r="AG25" s="17"/>
      <c r="AH25" s="18">
        <f t="shared" si="14"/>
        <v>0</v>
      </c>
      <c r="AI25" s="19">
        <f t="shared" si="15"/>
        <v>0</v>
      </c>
      <c r="AK25" s="17"/>
      <c r="AL25" s="17"/>
      <c r="AM25" s="17"/>
      <c r="AN25" s="18">
        <f t="shared" si="16"/>
        <v>0</v>
      </c>
      <c r="AO25" s="19">
        <f t="shared" si="17"/>
        <v>0</v>
      </c>
      <c r="AQ25" s="17"/>
      <c r="AR25" s="17"/>
      <c r="AS25" s="17"/>
      <c r="AT25" s="18">
        <f t="shared" si="18"/>
        <v>0</v>
      </c>
      <c r="AU25" s="19">
        <f t="shared" si="19"/>
        <v>0</v>
      </c>
      <c r="AW25" s="17"/>
      <c r="AX25" s="17"/>
      <c r="AY25" s="17"/>
      <c r="AZ25" s="18">
        <f t="shared" si="20"/>
        <v>0</v>
      </c>
      <c r="BA25" s="19">
        <f t="shared" si="21"/>
        <v>0</v>
      </c>
    </row>
    <row r="26" spans="1:60" ht="17.100000000000001" customHeight="1" x14ac:dyDescent="0.25">
      <c r="A26" s="40"/>
      <c r="B26" s="40"/>
      <c r="C26" s="77"/>
      <c r="D26" s="78"/>
      <c r="E26" s="78"/>
      <c r="F26" s="78"/>
      <c r="G26" s="79"/>
      <c r="H26" s="211"/>
      <c r="I26" s="230"/>
      <c r="J26" s="80">
        <f>SUM(J23:J25)</f>
        <v>0</v>
      </c>
      <c r="K26" s="80">
        <f t="shared" ref="K26:M26" si="22">SUM(K23:K25)</f>
        <v>0</v>
      </c>
      <c r="L26" s="80">
        <f t="shared" si="22"/>
        <v>0</v>
      </c>
      <c r="M26" s="80">
        <f t="shared" si="22"/>
        <v>0</v>
      </c>
      <c r="N26" s="80"/>
      <c r="O26" s="80"/>
      <c r="P26" s="80"/>
      <c r="Q26" s="81"/>
      <c r="R26" s="81"/>
      <c r="S26" s="81"/>
      <c r="T26" s="81"/>
      <c r="U26" s="81"/>
      <c r="V26" s="356"/>
      <c r="W26" s="381">
        <f>SUM(W23:W25)</f>
        <v>0</v>
      </c>
      <c r="X26" s="82">
        <f t="shared" ref="X26:Y26" si="23">SUM(X23:X25)</f>
        <v>0</v>
      </c>
      <c r="Y26" s="82">
        <f t="shared" si="23"/>
        <v>0</v>
      </c>
      <c r="Z26" s="205">
        <f>IF(Y$26=0,0,Y26/Y$26)</f>
        <v>0</v>
      </c>
      <c r="AA26" s="205"/>
      <c r="AB26" s="205"/>
      <c r="AC26" s="83"/>
      <c r="AE26" s="67"/>
      <c r="AF26" s="67"/>
      <c r="AG26" s="67"/>
      <c r="AH26" s="65">
        <f>SUM(AH23:AH25)</f>
        <v>0</v>
      </c>
      <c r="AI26" s="66">
        <f t="shared" si="15"/>
        <v>0</v>
      </c>
      <c r="AK26" s="67"/>
      <c r="AL26" s="67"/>
      <c r="AM26" s="67"/>
      <c r="AN26" s="65">
        <f>SUM(AN23:AN25)</f>
        <v>0</v>
      </c>
      <c r="AO26" s="66">
        <f t="shared" si="17"/>
        <v>0</v>
      </c>
      <c r="AQ26" s="67"/>
      <c r="AR26" s="67"/>
      <c r="AS26" s="67"/>
      <c r="AT26" s="65">
        <f>SUM(AT23:AT25)</f>
        <v>0</v>
      </c>
      <c r="AU26" s="66">
        <f t="shared" si="19"/>
        <v>0</v>
      </c>
      <c r="AW26" s="67"/>
      <c r="AX26" s="67"/>
      <c r="AY26" s="67"/>
      <c r="AZ26" s="65">
        <f>SUM(AZ23:AZ25)</f>
        <v>0</v>
      </c>
      <c r="BA26" s="66">
        <f t="shared" si="21"/>
        <v>0</v>
      </c>
    </row>
    <row r="27" spans="1:60" s="97" customFormat="1" ht="17.100000000000001" customHeight="1" x14ac:dyDescent="0.25">
      <c r="A27" s="68"/>
      <c r="B27" s="68"/>
      <c r="C27" s="92"/>
      <c r="D27" s="93"/>
      <c r="E27" s="93"/>
      <c r="F27" s="93"/>
      <c r="G27" s="93"/>
      <c r="H27" s="165"/>
      <c r="I27" s="12"/>
      <c r="J27" s="94" t="str">
        <f>IF(J26=J$15,"OK","NOK")</f>
        <v>OK</v>
      </c>
      <c r="K27" s="94" t="str">
        <f t="shared" ref="K27:L27" si="24">IF(K26=K$15,"OK","NOK")</f>
        <v>OK</v>
      </c>
      <c r="L27" s="94" t="str">
        <f t="shared" si="24"/>
        <v>OK</v>
      </c>
      <c r="M27" s="95"/>
      <c r="N27" s="95"/>
      <c r="O27" s="95"/>
      <c r="P27" s="95"/>
      <c r="Q27" s="95"/>
      <c r="R27" s="95"/>
      <c r="S27" s="95"/>
      <c r="T27" s="95"/>
      <c r="U27" s="95"/>
      <c r="V27" s="95"/>
      <c r="W27" s="378"/>
      <c r="X27" s="95"/>
      <c r="Y27" s="96"/>
      <c r="AE27" s="98"/>
      <c r="AF27" s="98"/>
      <c r="AG27" s="98"/>
      <c r="AH27" s="99"/>
      <c r="AI27" s="100"/>
      <c r="AJ27" s="407"/>
      <c r="AK27" s="98"/>
      <c r="AL27" s="98"/>
      <c r="AM27" s="98"/>
      <c r="AN27" s="99"/>
      <c r="AO27" s="100"/>
      <c r="AP27" s="407"/>
      <c r="AQ27" s="98"/>
      <c r="AR27" s="98"/>
      <c r="AS27" s="98"/>
      <c r="AT27" s="99"/>
      <c r="AU27" s="100"/>
      <c r="AV27" s="407"/>
      <c r="AW27" s="98"/>
      <c r="AX27" s="98"/>
      <c r="AY27" s="98"/>
      <c r="AZ27" s="99"/>
      <c r="BA27" s="100"/>
      <c r="BC27" s="3"/>
      <c r="BD27" s="3"/>
      <c r="BE27" s="3"/>
      <c r="BF27" s="3"/>
      <c r="BG27" s="3"/>
      <c r="BH27" s="3"/>
    </row>
    <row r="28" spans="1:60" s="32" customFormat="1" ht="16.5" thickBot="1" x14ac:dyDescent="0.3">
      <c r="A28" s="24" t="s">
        <v>13</v>
      </c>
      <c r="B28" s="25" t="s">
        <v>14</v>
      </c>
      <c r="C28" s="26"/>
      <c r="D28" s="27"/>
      <c r="E28" s="27"/>
      <c r="F28" s="27"/>
      <c r="G28" s="28"/>
      <c r="H28" s="215"/>
      <c r="I28" s="228"/>
      <c r="J28" s="101"/>
      <c r="K28" s="101"/>
      <c r="L28" s="101"/>
      <c r="M28" s="101"/>
      <c r="N28" s="101"/>
      <c r="O28" s="101"/>
      <c r="P28" s="101"/>
      <c r="Q28" s="101"/>
      <c r="R28" s="101"/>
      <c r="S28" s="101"/>
      <c r="T28" s="101"/>
      <c r="U28" s="101"/>
      <c r="V28" s="357"/>
      <c r="W28" s="379"/>
      <c r="X28" s="101"/>
      <c r="Y28" s="30" t="s">
        <v>4</v>
      </c>
      <c r="Z28" s="31" t="s">
        <v>5</v>
      </c>
      <c r="AA28" s="31"/>
      <c r="AB28" s="31"/>
      <c r="AC28" s="31"/>
      <c r="AE28" s="33" t="s">
        <v>181</v>
      </c>
      <c r="AF28" s="33" t="s">
        <v>182</v>
      </c>
      <c r="AG28" s="33" t="s">
        <v>6</v>
      </c>
      <c r="AH28" s="33" t="s">
        <v>4</v>
      </c>
      <c r="AI28" s="34" t="s">
        <v>5</v>
      </c>
      <c r="AJ28" s="408"/>
      <c r="AK28" s="36" t="s">
        <v>181</v>
      </c>
      <c r="AL28" s="36" t="s">
        <v>182</v>
      </c>
      <c r="AM28" s="36" t="s">
        <v>6</v>
      </c>
      <c r="AN28" s="36" t="s">
        <v>4</v>
      </c>
      <c r="AO28" s="37" t="s">
        <v>5</v>
      </c>
      <c r="AP28" s="408"/>
      <c r="AQ28" s="398"/>
      <c r="AR28" s="398"/>
      <c r="AS28" s="398"/>
      <c r="AT28" s="398"/>
      <c r="AU28" s="399"/>
      <c r="AV28" s="408"/>
      <c r="AW28" s="400" t="s">
        <v>181</v>
      </c>
      <c r="AX28" s="400" t="s">
        <v>182</v>
      </c>
      <c r="AY28" s="400" t="s">
        <v>6</v>
      </c>
      <c r="AZ28" s="400" t="s">
        <v>4</v>
      </c>
      <c r="BA28" s="401" t="s">
        <v>5</v>
      </c>
      <c r="BC28" s="3"/>
      <c r="BD28" s="3"/>
      <c r="BE28" s="3"/>
      <c r="BF28" s="3"/>
      <c r="BG28" s="3"/>
      <c r="BH28" s="3"/>
    </row>
    <row r="29" spans="1:60" ht="17.100000000000001" customHeight="1" x14ac:dyDescent="0.25">
      <c r="A29" s="68"/>
      <c r="B29" s="41" t="s">
        <v>15</v>
      </c>
      <c r="C29" s="69" t="s">
        <v>16</v>
      </c>
      <c r="D29" s="50"/>
      <c r="E29" s="70"/>
      <c r="F29" s="70"/>
      <c r="G29" s="70"/>
      <c r="H29" s="589">
        <v>8</v>
      </c>
      <c r="J29" s="71"/>
      <c r="K29" s="71"/>
      <c r="L29" s="71"/>
      <c r="M29" s="71"/>
      <c r="N29" s="71"/>
      <c r="O29" s="71"/>
      <c r="P29" s="71"/>
      <c r="Q29" s="71"/>
      <c r="R29" s="71"/>
      <c r="S29" s="71"/>
      <c r="T29" s="71"/>
      <c r="U29" s="71"/>
      <c r="V29" s="355"/>
      <c r="W29" s="377"/>
      <c r="X29" s="71"/>
      <c r="Y29" s="72"/>
      <c r="Z29" s="73"/>
      <c r="AA29" s="73"/>
      <c r="AB29" s="73"/>
      <c r="AC29" s="73"/>
      <c r="AE29" s="71"/>
      <c r="AF29" s="71"/>
      <c r="AG29" s="71"/>
      <c r="AH29" s="72"/>
      <c r="AI29" s="73"/>
      <c r="AK29" s="71"/>
      <c r="AL29" s="71"/>
      <c r="AM29" s="71"/>
      <c r="AN29" s="72"/>
      <c r="AO29" s="73"/>
      <c r="AQ29" s="71"/>
      <c r="AR29" s="71"/>
      <c r="AS29" s="71"/>
      <c r="AT29" s="72"/>
      <c r="AU29" s="73"/>
      <c r="AW29" s="71"/>
      <c r="AX29" s="71"/>
      <c r="AY29" s="71"/>
      <c r="AZ29" s="72"/>
      <c r="BA29" s="73"/>
    </row>
    <row r="30" spans="1:60" ht="17.100000000000001" customHeight="1" x14ac:dyDescent="0.25">
      <c r="A30" s="102"/>
      <c r="B30" s="102"/>
      <c r="C30" s="103" t="s">
        <v>17</v>
      </c>
      <c r="D30" s="104" t="s">
        <v>609</v>
      </c>
      <c r="E30" s="105"/>
      <c r="F30" s="105"/>
      <c r="G30" s="106"/>
      <c r="H30" s="210"/>
      <c r="I30" s="231"/>
      <c r="J30" s="198">
        <f>J15</f>
        <v>0</v>
      </c>
      <c r="K30" s="198"/>
      <c r="L30" s="17"/>
      <c r="M30" s="17">
        <f t="shared" ref="M30:M32" si="25">SUM(J30:L30)</f>
        <v>0</v>
      </c>
      <c r="N30" s="111"/>
      <c r="O30" s="111"/>
      <c r="P30" s="111"/>
      <c r="Q30" s="111"/>
      <c r="R30" s="111"/>
      <c r="S30" s="111"/>
      <c r="T30" s="111"/>
      <c r="U30" s="111"/>
      <c r="V30" s="358"/>
      <c r="W30" s="391">
        <f t="shared" ref="W30:W32" si="26">J30+K30+N30+Q30+T30</f>
        <v>0</v>
      </c>
      <c r="X30" s="17">
        <f t="shared" ref="X30:X32" si="27">L30+O30+R30+U30</f>
        <v>0</v>
      </c>
      <c r="Y30" s="18">
        <f>SUM(W30:X30)</f>
        <v>0</v>
      </c>
      <c r="Z30" s="19">
        <f>IF(Y$33=0,0,Y30/Y$33)</f>
        <v>0</v>
      </c>
      <c r="AA30" s="19"/>
      <c r="AB30" s="19"/>
      <c r="AC30" s="20"/>
      <c r="AE30" s="17"/>
      <c r="AF30" s="17"/>
      <c r="AG30" s="17"/>
      <c r="AH30" s="18">
        <f t="shared" ref="AH30:AH32" si="28">J30</f>
        <v>0</v>
      </c>
      <c r="AI30" s="19">
        <f>IF(AH$33=0,0,AH30/AH$33)</f>
        <v>0</v>
      </c>
      <c r="AK30" s="17"/>
      <c r="AL30" s="17"/>
      <c r="AM30" s="17"/>
      <c r="AN30" s="18">
        <f t="shared" ref="AN30:AN32" si="29">K30</f>
        <v>0</v>
      </c>
      <c r="AO30" s="19">
        <f>IF(AN$33=0,0,AN30/AN$33)</f>
        <v>0</v>
      </c>
      <c r="AQ30" s="17"/>
      <c r="AR30" s="17"/>
      <c r="AS30" s="17"/>
      <c r="AT30" s="18">
        <f t="shared" ref="AT30:AT32" si="30">W30</f>
        <v>0</v>
      </c>
      <c r="AU30" s="19">
        <f>IF(AT$33=0,0,AT30/AT$33)</f>
        <v>0</v>
      </c>
      <c r="AW30" s="17"/>
      <c r="AX30" s="17"/>
      <c r="AY30" s="17"/>
      <c r="AZ30" s="18">
        <f t="shared" ref="AZ30:AZ32" si="31">X30</f>
        <v>0</v>
      </c>
      <c r="BA30" s="19">
        <f>IF(AZ$33=0,0,AZ30/AZ$33)</f>
        <v>0</v>
      </c>
    </row>
    <row r="31" spans="1:60" ht="17.100000000000001" customHeight="1" x14ac:dyDescent="0.25">
      <c r="A31" s="102"/>
      <c r="B31" s="102"/>
      <c r="C31" s="103" t="s">
        <v>18</v>
      </c>
      <c r="D31" s="104" t="s">
        <v>610</v>
      </c>
      <c r="E31" s="105"/>
      <c r="F31" s="105"/>
      <c r="G31" s="106"/>
      <c r="H31" s="210"/>
      <c r="I31" s="231"/>
      <c r="J31" s="198"/>
      <c r="K31" s="198">
        <f>K15</f>
        <v>0</v>
      </c>
      <c r="L31" s="17"/>
      <c r="M31" s="17">
        <f t="shared" si="25"/>
        <v>0</v>
      </c>
      <c r="N31" s="111"/>
      <c r="O31" s="111"/>
      <c r="P31" s="111"/>
      <c r="Q31" s="111"/>
      <c r="R31" s="111"/>
      <c r="S31" s="111"/>
      <c r="T31" s="111"/>
      <c r="U31" s="111"/>
      <c r="V31" s="358"/>
      <c r="W31" s="391">
        <f t="shared" si="26"/>
        <v>0</v>
      </c>
      <c r="X31" s="17">
        <f t="shared" si="27"/>
        <v>0</v>
      </c>
      <c r="Y31" s="18">
        <f>SUM(W31:X31)</f>
        <v>0</v>
      </c>
      <c r="Z31" s="19">
        <f t="shared" ref="Z31:Z33" si="32">IF(Y$33=0,0,Y31/Y$33)</f>
        <v>0</v>
      </c>
      <c r="AA31" s="19"/>
      <c r="AB31" s="19"/>
      <c r="AC31" s="20"/>
      <c r="AE31" s="17"/>
      <c r="AF31" s="17"/>
      <c r="AG31" s="17"/>
      <c r="AH31" s="18">
        <f t="shared" si="28"/>
        <v>0</v>
      </c>
      <c r="AI31" s="19">
        <f>IF(AH$33=0,0,AH31/AH$33)</f>
        <v>0</v>
      </c>
      <c r="AK31" s="17"/>
      <c r="AL31" s="17"/>
      <c r="AM31" s="17"/>
      <c r="AN31" s="18">
        <f t="shared" si="29"/>
        <v>0</v>
      </c>
      <c r="AO31" s="19">
        <f>IF(AN$33=0,0,AN31/AN$33)</f>
        <v>0</v>
      </c>
      <c r="AQ31" s="17"/>
      <c r="AR31" s="17"/>
      <c r="AS31" s="17"/>
      <c r="AT31" s="18">
        <f t="shared" si="30"/>
        <v>0</v>
      </c>
      <c r="AU31" s="19">
        <f>IF(AT$33=0,0,AT31/AT$33)</f>
        <v>0</v>
      </c>
      <c r="AW31" s="17"/>
      <c r="AX31" s="17"/>
      <c r="AY31" s="17"/>
      <c r="AZ31" s="18">
        <f t="shared" si="31"/>
        <v>0</v>
      </c>
      <c r="BA31" s="19">
        <f>IF(AZ$33=0,0,AZ31/AZ$33)</f>
        <v>0</v>
      </c>
    </row>
    <row r="32" spans="1:60" ht="17.100000000000001" customHeight="1" x14ac:dyDescent="0.25">
      <c r="A32" s="102"/>
      <c r="B32" s="102"/>
      <c r="C32" s="103" t="s">
        <v>19</v>
      </c>
      <c r="D32" s="104" t="s">
        <v>611</v>
      </c>
      <c r="E32" s="105"/>
      <c r="F32" s="105"/>
      <c r="G32" s="106"/>
      <c r="H32" s="210"/>
      <c r="I32" s="231"/>
      <c r="J32" s="198"/>
      <c r="K32" s="198"/>
      <c r="L32" s="17">
        <f>L15</f>
        <v>0</v>
      </c>
      <c r="M32" s="17">
        <f t="shared" si="25"/>
        <v>0</v>
      </c>
      <c r="N32" s="111"/>
      <c r="O32" s="111"/>
      <c r="P32" s="111"/>
      <c r="Q32" s="111"/>
      <c r="R32" s="111"/>
      <c r="S32" s="111"/>
      <c r="T32" s="111"/>
      <c r="U32" s="111"/>
      <c r="V32" s="358"/>
      <c r="W32" s="391">
        <f t="shared" si="26"/>
        <v>0</v>
      </c>
      <c r="X32" s="17">
        <f t="shared" si="27"/>
        <v>0</v>
      </c>
      <c r="Y32" s="18">
        <f>SUM(W32:X32)</f>
        <v>0</v>
      </c>
      <c r="Z32" s="19">
        <f t="shared" si="32"/>
        <v>0</v>
      </c>
      <c r="AA32" s="19"/>
      <c r="AB32" s="19"/>
      <c r="AC32" s="20"/>
      <c r="AE32" s="17"/>
      <c r="AF32" s="17"/>
      <c r="AG32" s="17"/>
      <c r="AH32" s="18">
        <f t="shared" si="28"/>
        <v>0</v>
      </c>
      <c r="AI32" s="19">
        <f>IF(AH$33=0,0,AH32/AH$33)</f>
        <v>0</v>
      </c>
      <c r="AK32" s="17"/>
      <c r="AL32" s="17"/>
      <c r="AM32" s="17"/>
      <c r="AN32" s="18">
        <f t="shared" si="29"/>
        <v>0</v>
      </c>
      <c r="AO32" s="19">
        <f>IF(AN$33=0,0,AN32/AN$33)</f>
        <v>0</v>
      </c>
      <c r="AQ32" s="17"/>
      <c r="AR32" s="17"/>
      <c r="AS32" s="17"/>
      <c r="AT32" s="18">
        <f t="shared" si="30"/>
        <v>0</v>
      </c>
      <c r="AU32" s="19">
        <f>IF(AT$33=0,0,AT32/AT$33)</f>
        <v>0</v>
      </c>
      <c r="AW32" s="17"/>
      <c r="AX32" s="17"/>
      <c r="AY32" s="17"/>
      <c r="AZ32" s="18">
        <f t="shared" si="31"/>
        <v>0</v>
      </c>
      <c r="BA32" s="19">
        <f>IF(AZ$33=0,0,AZ32/AZ$33)</f>
        <v>0</v>
      </c>
    </row>
    <row r="33" spans="1:53" ht="17.100000000000001" customHeight="1" x14ac:dyDescent="0.25">
      <c r="A33" s="40"/>
      <c r="B33" s="40"/>
      <c r="C33" s="77"/>
      <c r="D33" s="78"/>
      <c r="E33" s="78"/>
      <c r="F33" s="78"/>
      <c r="G33" s="79"/>
      <c r="H33" s="217"/>
      <c r="I33" s="230"/>
      <c r="J33" s="80">
        <f>SUM(J30:J32)</f>
        <v>0</v>
      </c>
      <c r="K33" s="80">
        <f t="shared" ref="K33:M33" si="33">SUM(K30:K32)</f>
        <v>0</v>
      </c>
      <c r="L33" s="80">
        <f t="shared" si="33"/>
        <v>0</v>
      </c>
      <c r="M33" s="80">
        <f t="shared" si="33"/>
        <v>0</v>
      </c>
      <c r="N33" s="81"/>
      <c r="O33" s="81"/>
      <c r="P33" s="81"/>
      <c r="Q33" s="81"/>
      <c r="R33" s="81"/>
      <c r="S33" s="81"/>
      <c r="T33" s="81"/>
      <c r="U33" s="81"/>
      <c r="V33" s="356"/>
      <c r="W33" s="381">
        <f>SUM(W30:W32)</f>
        <v>0</v>
      </c>
      <c r="X33" s="82">
        <f t="shared" ref="X33:Y33" si="34">SUM(X30:X32)</f>
        <v>0</v>
      </c>
      <c r="Y33" s="82">
        <f t="shared" si="34"/>
        <v>0</v>
      </c>
      <c r="Z33" s="205">
        <f t="shared" si="32"/>
        <v>0</v>
      </c>
      <c r="AA33" s="205"/>
      <c r="AB33" s="205"/>
      <c r="AC33" s="83"/>
      <c r="AE33" s="107"/>
      <c r="AF33" s="107"/>
      <c r="AG33" s="107"/>
      <c r="AH33" s="82">
        <f>SUM(AH30:AH32)</f>
        <v>0</v>
      </c>
      <c r="AI33" s="66">
        <f>IF(AH$33=0,0,AH33/AH$33)</f>
        <v>0</v>
      </c>
      <c r="AK33" s="107"/>
      <c r="AL33" s="107"/>
      <c r="AM33" s="107"/>
      <c r="AN33" s="82">
        <f>SUM(AN30:AN32)</f>
        <v>0</v>
      </c>
      <c r="AO33" s="66">
        <f>IF(AN$33=0,0,AN33/AN$33)</f>
        <v>0</v>
      </c>
      <c r="AQ33" s="107"/>
      <c r="AR33" s="107"/>
      <c r="AS33" s="107"/>
      <c r="AT33" s="82">
        <f>SUM(AT30:AT32)</f>
        <v>0</v>
      </c>
      <c r="AU33" s="66">
        <f>IF(AT$33=0,0,AT33/AT$33)</f>
        <v>0</v>
      </c>
      <c r="AW33" s="107"/>
      <c r="AX33" s="107"/>
      <c r="AY33" s="107"/>
      <c r="AZ33" s="82">
        <f>SUM(AZ30:AZ32)</f>
        <v>0</v>
      </c>
      <c r="BA33" s="66">
        <f>IF(AZ$33=0,0,AZ33/AZ$33)</f>
        <v>0</v>
      </c>
    </row>
    <row r="34" spans="1:53" s="97" customFormat="1" ht="17.100000000000001" customHeight="1" x14ac:dyDescent="0.25">
      <c r="A34" s="68"/>
      <c r="B34" s="68"/>
      <c r="C34" s="92"/>
      <c r="D34" s="93"/>
      <c r="E34" s="93"/>
      <c r="F34" s="93"/>
      <c r="G34" s="93"/>
      <c r="H34" s="92"/>
      <c r="I34" s="12"/>
      <c r="J34" s="94"/>
      <c r="K34" s="94"/>
      <c r="L34" s="94"/>
      <c r="M34" s="95"/>
      <c r="N34" s="95"/>
      <c r="O34" s="95"/>
      <c r="P34" s="95"/>
      <c r="Q34" s="95"/>
      <c r="R34" s="95"/>
      <c r="S34" s="95"/>
      <c r="T34" s="95"/>
      <c r="U34" s="95"/>
      <c r="V34" s="95"/>
      <c r="W34" s="378"/>
      <c r="X34" s="95"/>
      <c r="Y34" s="96"/>
      <c r="AE34" s="109"/>
      <c r="AF34" s="109"/>
      <c r="AG34" s="109"/>
      <c r="AH34" s="96"/>
      <c r="AK34" s="109"/>
      <c r="AL34" s="109"/>
      <c r="AM34" s="109"/>
      <c r="AN34" s="96"/>
      <c r="AQ34" s="109"/>
      <c r="AR34" s="109"/>
      <c r="AS34" s="109"/>
      <c r="AT34" s="96"/>
      <c r="AW34" s="109"/>
      <c r="AX34" s="109"/>
      <c r="AY34" s="109"/>
      <c r="AZ34" s="96"/>
    </row>
    <row r="35" spans="1:53" s="32" customFormat="1" ht="16.5" thickBot="1" x14ac:dyDescent="0.3">
      <c r="A35" s="24" t="s">
        <v>20</v>
      </c>
      <c r="B35" s="25" t="s">
        <v>21</v>
      </c>
      <c r="C35" s="26"/>
      <c r="D35" s="27"/>
      <c r="E35" s="27"/>
      <c r="F35" s="27"/>
      <c r="G35" s="28"/>
      <c r="H35" s="215"/>
      <c r="I35" s="228"/>
      <c r="J35" s="101"/>
      <c r="K35" s="101"/>
      <c r="L35" s="101"/>
      <c r="M35" s="101"/>
      <c r="N35" s="101"/>
      <c r="O35" s="101"/>
      <c r="P35" s="101"/>
      <c r="Q35" s="101"/>
      <c r="R35" s="101"/>
      <c r="S35" s="101"/>
      <c r="T35" s="101"/>
      <c r="U35" s="101"/>
      <c r="V35" s="357"/>
      <c r="W35" s="379"/>
      <c r="X35" s="101"/>
      <c r="Y35" s="30" t="s">
        <v>4</v>
      </c>
      <c r="Z35" s="31" t="s">
        <v>5</v>
      </c>
      <c r="AA35" s="31" t="s">
        <v>181</v>
      </c>
      <c r="AB35" s="31" t="s">
        <v>182</v>
      </c>
      <c r="AC35" s="31" t="s">
        <v>6</v>
      </c>
      <c r="AE35" s="33" t="s">
        <v>181</v>
      </c>
      <c r="AF35" s="33" t="s">
        <v>182</v>
      </c>
      <c r="AG35" s="33" t="s">
        <v>6</v>
      </c>
      <c r="AH35" s="33" t="s">
        <v>4</v>
      </c>
      <c r="AI35" s="34" t="s">
        <v>5</v>
      </c>
      <c r="AJ35" s="408"/>
      <c r="AK35" s="36" t="s">
        <v>181</v>
      </c>
      <c r="AL35" s="36" t="s">
        <v>182</v>
      </c>
      <c r="AM35" s="36" t="s">
        <v>6</v>
      </c>
      <c r="AN35" s="36" t="s">
        <v>4</v>
      </c>
      <c r="AO35" s="37" t="s">
        <v>5</v>
      </c>
      <c r="AP35" s="408"/>
      <c r="AQ35" s="36"/>
      <c r="AR35" s="36"/>
      <c r="AS35" s="36"/>
      <c r="AT35" s="36"/>
      <c r="AU35" s="37"/>
      <c r="AV35" s="408"/>
      <c r="AW35" s="38" t="s">
        <v>181</v>
      </c>
      <c r="AX35" s="38" t="s">
        <v>182</v>
      </c>
      <c r="AY35" s="38" t="s">
        <v>6</v>
      </c>
      <c r="AZ35" s="38" t="s">
        <v>4</v>
      </c>
      <c r="BA35" s="39" t="s">
        <v>5</v>
      </c>
    </row>
    <row r="36" spans="1:53" ht="17.100000000000001" customHeight="1" x14ac:dyDescent="0.25">
      <c r="A36" s="119"/>
      <c r="B36" s="41" t="s">
        <v>22</v>
      </c>
      <c r="C36" s="332" t="s">
        <v>23</v>
      </c>
      <c r="D36" s="50"/>
      <c r="E36" s="70"/>
      <c r="F36" s="70"/>
      <c r="G36" s="70"/>
      <c r="H36" s="589">
        <v>9</v>
      </c>
      <c r="J36" s="71"/>
      <c r="K36" s="71"/>
      <c r="L36" s="71"/>
      <c r="M36" s="71"/>
      <c r="N36" s="71"/>
      <c r="O36" s="71"/>
      <c r="P36" s="71"/>
      <c r="Q36" s="71"/>
      <c r="R36" s="71"/>
      <c r="S36" s="71"/>
      <c r="T36" s="71"/>
      <c r="U36" s="71"/>
      <c r="V36" s="355"/>
      <c r="W36" s="377"/>
      <c r="X36" s="71"/>
      <c r="Y36" s="72"/>
      <c r="Z36" s="73"/>
      <c r="AA36" s="73"/>
      <c r="AB36" s="73"/>
      <c r="AC36" s="73"/>
      <c r="AE36" s="71"/>
      <c r="AF36" s="71"/>
      <c r="AG36" s="71"/>
      <c r="AH36" s="72"/>
      <c r="AI36" s="73"/>
      <c r="AK36" s="71"/>
      <c r="AL36" s="71"/>
      <c r="AM36" s="71"/>
      <c r="AN36" s="72"/>
      <c r="AO36" s="73"/>
      <c r="AQ36" s="71"/>
      <c r="AR36" s="71"/>
      <c r="AS36" s="71"/>
      <c r="AT36" s="72"/>
      <c r="AU36" s="73"/>
      <c r="AW36" s="71"/>
      <c r="AX36" s="71"/>
      <c r="AY36" s="71"/>
      <c r="AZ36" s="72"/>
      <c r="BA36" s="73"/>
    </row>
    <row r="37" spans="1:53" ht="17.100000000000001" customHeight="1" x14ac:dyDescent="0.25">
      <c r="A37" s="119"/>
      <c r="B37" s="540"/>
      <c r="C37" s="103" t="s">
        <v>631</v>
      </c>
      <c r="D37" s="313" t="s">
        <v>658</v>
      </c>
      <c r="E37" s="108"/>
      <c r="F37" s="108"/>
      <c r="G37" s="108"/>
      <c r="H37" s="119"/>
      <c r="J37" s="111"/>
      <c r="K37" s="111"/>
      <c r="L37" s="111"/>
      <c r="M37" s="111"/>
      <c r="N37" s="111"/>
      <c r="O37" s="111"/>
      <c r="P37" s="111"/>
      <c r="Q37" s="111"/>
      <c r="R37" s="111"/>
      <c r="S37" s="111"/>
      <c r="T37" s="111"/>
      <c r="U37" s="111"/>
      <c r="V37" s="358"/>
      <c r="W37" s="380"/>
      <c r="X37" s="111"/>
      <c r="Y37" s="112"/>
      <c r="Z37" s="113"/>
      <c r="AA37" s="113"/>
      <c r="AB37" s="113"/>
      <c r="AC37" s="113"/>
      <c r="AE37" s="111"/>
      <c r="AF37" s="111"/>
      <c r="AG37" s="111"/>
      <c r="AH37" s="112"/>
      <c r="AI37" s="113"/>
      <c r="AK37" s="111"/>
      <c r="AL37" s="111"/>
      <c r="AM37" s="111"/>
      <c r="AN37" s="112"/>
      <c r="AO37" s="113"/>
      <c r="AQ37" s="111"/>
      <c r="AR37" s="111"/>
      <c r="AS37" s="111"/>
      <c r="AT37" s="112"/>
      <c r="AU37" s="113"/>
      <c r="AW37" s="111"/>
      <c r="AX37" s="111"/>
      <c r="AY37" s="111"/>
      <c r="AZ37" s="112"/>
      <c r="BA37" s="113"/>
    </row>
    <row r="38" spans="1:53" ht="17.100000000000001" customHeight="1" x14ac:dyDescent="0.25">
      <c r="A38" s="47"/>
      <c r="B38" s="55"/>
      <c r="C38" s="56"/>
      <c r="D38" s="120" t="s">
        <v>632</v>
      </c>
      <c r="E38" s="58" t="s">
        <v>659</v>
      </c>
      <c r="F38" s="58"/>
      <c r="G38" s="59"/>
      <c r="H38" s="216"/>
      <c r="I38" s="229"/>
      <c r="J38" s="174"/>
      <c r="K38" s="174"/>
      <c r="L38" s="111"/>
      <c r="M38" s="111"/>
      <c r="N38" s="60"/>
      <c r="O38" s="60">
        <v>8</v>
      </c>
      <c r="P38" s="17">
        <f>SUM(N38:O38)</f>
        <v>8</v>
      </c>
      <c r="Q38" s="60">
        <v>1</v>
      </c>
      <c r="R38" s="60">
        <v>7</v>
      </c>
      <c r="S38" s="17">
        <f>SUM(Q38:R38)</f>
        <v>8</v>
      </c>
      <c r="T38" s="60"/>
      <c r="U38" s="60"/>
      <c r="V38" s="17">
        <f>SUM(T38:U38)</f>
        <v>0</v>
      </c>
      <c r="W38" s="391">
        <f t="shared" ref="W38:W40" si="35">J38+K38+N38+Q38+T38</f>
        <v>1</v>
      </c>
      <c r="X38" s="17">
        <f t="shared" ref="X38:X40" si="36">L38+O38+R38+U38</f>
        <v>15</v>
      </c>
      <c r="Y38" s="18">
        <f>SUM(W38:X38)</f>
        <v>16</v>
      </c>
      <c r="Z38" s="19">
        <f>IF(Y$41=0,0,Y38/Y$41)</f>
        <v>1</v>
      </c>
      <c r="AA38" s="19"/>
      <c r="AB38" s="19"/>
      <c r="AC38" s="20"/>
      <c r="AE38" s="111"/>
      <c r="AF38" s="111"/>
      <c r="AG38" s="111"/>
      <c r="AH38" s="545"/>
      <c r="AI38" s="131"/>
      <c r="AK38" s="111"/>
      <c r="AL38" s="111"/>
      <c r="AM38" s="111"/>
      <c r="AN38" s="545"/>
      <c r="AO38" s="131"/>
      <c r="AQ38" s="17"/>
      <c r="AR38" s="17"/>
      <c r="AS38" s="17"/>
      <c r="AT38" s="18">
        <f>W38</f>
        <v>1</v>
      </c>
      <c r="AU38" s="19">
        <f>IF(AT$41=0,0,AT38/AT$41)</f>
        <v>1</v>
      </c>
      <c r="AW38" s="17"/>
      <c r="AX38" s="17"/>
      <c r="AY38" s="17"/>
      <c r="AZ38" s="18">
        <f>X38</f>
        <v>15</v>
      </c>
      <c r="BA38" s="19">
        <f>IF(AZ$41=0,0,AZ38/AZ$41)</f>
        <v>1</v>
      </c>
    </row>
    <row r="39" spans="1:53" ht="17.100000000000001" customHeight="1" x14ac:dyDescent="0.25">
      <c r="A39" s="47"/>
      <c r="B39" s="55"/>
      <c r="C39" s="56"/>
      <c r="D39" s="120" t="s">
        <v>633</v>
      </c>
      <c r="E39" s="58" t="s">
        <v>634</v>
      </c>
      <c r="F39" s="58"/>
      <c r="G39" s="59"/>
      <c r="H39" s="216"/>
      <c r="I39" s="229"/>
      <c r="J39" s="174"/>
      <c r="K39" s="174"/>
      <c r="L39" s="111"/>
      <c r="M39" s="111"/>
      <c r="N39" s="61"/>
      <c r="O39" s="61"/>
      <c r="P39" s="17">
        <f t="shared" ref="P39:P40" si="37">SUM(N39:O39)</f>
        <v>0</v>
      </c>
      <c r="Q39" s="61"/>
      <c r="R39" s="61"/>
      <c r="S39" s="17">
        <f t="shared" ref="S39:S40" si="38">SUM(Q39:R39)</f>
        <v>0</v>
      </c>
      <c r="T39" s="61"/>
      <c r="U39" s="61"/>
      <c r="V39" s="17">
        <f t="shared" ref="V39:V40" si="39">SUM(T39:U39)</f>
        <v>0</v>
      </c>
      <c r="W39" s="391">
        <f t="shared" si="35"/>
        <v>0</v>
      </c>
      <c r="X39" s="17">
        <f t="shared" si="36"/>
        <v>0</v>
      </c>
      <c r="Y39" s="18">
        <f>SUM(W39:X39)</f>
        <v>0</v>
      </c>
      <c r="Z39" s="19">
        <f>IF(Y$41=0,0,Y39/Y$41)</f>
        <v>0</v>
      </c>
      <c r="AA39" s="19"/>
      <c r="AB39" s="19"/>
      <c r="AC39" s="20"/>
      <c r="AE39" s="111"/>
      <c r="AF39" s="111"/>
      <c r="AG39" s="111"/>
      <c r="AH39" s="545"/>
      <c r="AI39" s="131"/>
      <c r="AK39" s="111"/>
      <c r="AL39" s="111"/>
      <c r="AM39" s="111"/>
      <c r="AN39" s="545"/>
      <c r="AO39" s="131"/>
      <c r="AQ39" s="17"/>
      <c r="AR39" s="17"/>
      <c r="AS39" s="17"/>
      <c r="AT39" s="18">
        <f>W39</f>
        <v>0</v>
      </c>
      <c r="AU39" s="19">
        <f>IF(AT$41=0,0,AT39/AT$41)</f>
        <v>0</v>
      </c>
      <c r="AW39" s="17"/>
      <c r="AX39" s="17"/>
      <c r="AY39" s="17"/>
      <c r="AZ39" s="18">
        <f>X39</f>
        <v>0</v>
      </c>
      <c r="BA39" s="19">
        <f>IF(AZ$41=0,0,AZ39/AZ$41)</f>
        <v>0</v>
      </c>
    </row>
    <row r="40" spans="1:53" ht="17.100000000000001" customHeight="1" x14ac:dyDescent="0.25">
      <c r="A40" s="47"/>
      <c r="B40" s="55"/>
      <c r="C40" s="56"/>
      <c r="D40" s="120" t="s">
        <v>744</v>
      </c>
      <c r="E40" s="58" t="s">
        <v>745</v>
      </c>
      <c r="F40" s="58"/>
      <c r="G40" s="59"/>
      <c r="H40" s="216"/>
      <c r="I40" s="229"/>
      <c r="J40" s="174"/>
      <c r="K40" s="174"/>
      <c r="L40" s="111"/>
      <c r="M40" s="111"/>
      <c r="N40" s="60"/>
      <c r="O40" s="60"/>
      <c r="P40" s="17">
        <f t="shared" si="37"/>
        <v>0</v>
      </c>
      <c r="Q40" s="60"/>
      <c r="R40" s="60"/>
      <c r="S40" s="17">
        <f t="shared" si="38"/>
        <v>0</v>
      </c>
      <c r="T40" s="60"/>
      <c r="U40" s="60"/>
      <c r="V40" s="17">
        <f t="shared" si="39"/>
        <v>0</v>
      </c>
      <c r="W40" s="391">
        <f t="shared" si="35"/>
        <v>0</v>
      </c>
      <c r="X40" s="17">
        <f t="shared" si="36"/>
        <v>0</v>
      </c>
      <c r="Y40" s="18">
        <f>SUM(W40:X40)</f>
        <v>0</v>
      </c>
      <c r="Z40" s="19">
        <f>IF(Y$41=0,0,Y40/Y$41)</f>
        <v>0</v>
      </c>
      <c r="AA40" s="19"/>
      <c r="AB40" s="19"/>
      <c r="AC40" s="20"/>
      <c r="AE40" s="111"/>
      <c r="AF40" s="111"/>
      <c r="AG40" s="111"/>
      <c r="AH40" s="545"/>
      <c r="AI40" s="131"/>
      <c r="AK40" s="111"/>
      <c r="AL40" s="111"/>
      <c r="AM40" s="111"/>
      <c r="AN40" s="545"/>
      <c r="AO40" s="131"/>
      <c r="AQ40" s="17"/>
      <c r="AR40" s="17"/>
      <c r="AS40" s="17"/>
      <c r="AT40" s="18">
        <f>W40</f>
        <v>0</v>
      </c>
      <c r="AU40" s="19">
        <f>IF(AT$41=0,0,AT40/AT$41)</f>
        <v>0</v>
      </c>
      <c r="AW40" s="17"/>
      <c r="AX40" s="17"/>
      <c r="AY40" s="17"/>
      <c r="AZ40" s="18">
        <f>X40</f>
        <v>0</v>
      </c>
      <c r="BA40" s="19">
        <f>IF(AZ$41=0,0,AZ40/AZ$41)</f>
        <v>0</v>
      </c>
    </row>
    <row r="41" spans="1:53" ht="17.100000000000001" customHeight="1" x14ac:dyDescent="0.25">
      <c r="A41" s="40"/>
      <c r="B41" s="40"/>
      <c r="C41" s="77"/>
      <c r="D41" s="78"/>
      <c r="E41" s="78"/>
      <c r="F41" s="78"/>
      <c r="G41" s="78"/>
      <c r="H41" s="242"/>
      <c r="I41" s="230"/>
      <c r="J41" s="80"/>
      <c r="K41" s="80"/>
      <c r="L41" s="80"/>
      <c r="M41" s="80"/>
      <c r="N41" s="64">
        <f>SUM(N38:N40)</f>
        <v>0</v>
      </c>
      <c r="O41" s="64">
        <f t="shared" ref="O41:V41" si="40">SUM(O38:O40)</f>
        <v>8</v>
      </c>
      <c r="P41" s="64">
        <f t="shared" si="40"/>
        <v>8</v>
      </c>
      <c r="Q41" s="64">
        <f t="shared" si="40"/>
        <v>1</v>
      </c>
      <c r="R41" s="64">
        <f t="shared" si="40"/>
        <v>7</v>
      </c>
      <c r="S41" s="64">
        <f t="shared" si="40"/>
        <v>8</v>
      </c>
      <c r="T41" s="64">
        <f t="shared" si="40"/>
        <v>0</v>
      </c>
      <c r="U41" s="64">
        <f t="shared" si="40"/>
        <v>0</v>
      </c>
      <c r="V41" s="64">
        <f t="shared" si="40"/>
        <v>0</v>
      </c>
      <c r="W41" s="381">
        <f>SUM(W38:W40)</f>
        <v>1</v>
      </c>
      <c r="X41" s="82">
        <f t="shared" ref="X41:Y41" si="41">SUM(X38:X40)</f>
        <v>15</v>
      </c>
      <c r="Y41" s="82">
        <f t="shared" si="41"/>
        <v>16</v>
      </c>
      <c r="Z41" s="205">
        <f>IF(Y$41=0,0,Y41/Y$41)</f>
        <v>1</v>
      </c>
      <c r="AA41" s="205"/>
      <c r="AB41" s="205"/>
      <c r="AC41" s="83"/>
      <c r="AE41" s="81"/>
      <c r="AF41" s="81"/>
      <c r="AG41" s="81"/>
      <c r="AH41" s="82"/>
      <c r="AI41" s="66"/>
      <c r="AK41" s="81"/>
      <c r="AL41" s="81"/>
      <c r="AM41" s="81"/>
      <c r="AN41" s="82"/>
      <c r="AO41" s="66"/>
      <c r="AQ41" s="81"/>
      <c r="AR41" s="81"/>
      <c r="AS41" s="81"/>
      <c r="AT41" s="82">
        <f>SUM(AT38:AT40)</f>
        <v>1</v>
      </c>
      <c r="AU41" s="66">
        <f>IF(AT$41=0,0,AT41/AT$41)</f>
        <v>1</v>
      </c>
      <c r="AW41" s="81"/>
      <c r="AX41" s="81"/>
      <c r="AY41" s="81"/>
      <c r="AZ41" s="82">
        <f>SUM(AZ38:AZ40)</f>
        <v>15</v>
      </c>
      <c r="BA41" s="66">
        <f>IF(AZ$41=0,0,AZ41/AZ$41)</f>
        <v>1</v>
      </c>
    </row>
    <row r="42" spans="1:53" s="117" customFormat="1" ht="17.100000000000001" customHeight="1" x14ac:dyDescent="0.25">
      <c r="A42" s="119"/>
      <c r="B42" s="119"/>
      <c r="C42" s="540"/>
      <c r="D42" s="212"/>
      <c r="E42" s="212"/>
      <c r="F42" s="212"/>
      <c r="G42" s="212"/>
      <c r="H42" s="242"/>
      <c r="I42" s="230"/>
      <c r="J42" s="17"/>
      <c r="K42" s="17"/>
      <c r="L42" s="17"/>
      <c r="M42" s="17"/>
      <c r="N42" s="17" t="str">
        <f>IF(N41=N$20,"OK","NOK")</f>
        <v>OK</v>
      </c>
      <c r="O42" s="17" t="str">
        <f>IF(O41=O$20,"OK","NOK")</f>
        <v>OK</v>
      </c>
      <c r="P42" s="17"/>
      <c r="Q42" s="17" t="str">
        <f>IF(Q41=Q$20,"OK","NOK")</f>
        <v>OK</v>
      </c>
      <c r="R42" s="17" t="str">
        <f>IF(R41=R$20,"OK","NOK")</f>
        <v>OK</v>
      </c>
      <c r="S42" s="17"/>
      <c r="T42" s="17" t="str">
        <f>IF(T41=T$20,"OK","NOK")</f>
        <v>OK</v>
      </c>
      <c r="U42" s="17" t="str">
        <f>IF(U41=U$20,"OK","NOK")</f>
        <v>OK</v>
      </c>
      <c r="V42" s="359"/>
      <c r="W42" s="395">
        <f>IF($Y$41=0,0,W41/$Y$41)</f>
        <v>6.25E-2</v>
      </c>
      <c r="X42" s="91">
        <f>IF($Y$41=0,0,X41/$Y$41)</f>
        <v>0.9375</v>
      </c>
      <c r="Y42" s="201">
        <f>IF($Y$41=0,0,Y41/$Y$41)</f>
        <v>1</v>
      </c>
      <c r="Z42" s="201"/>
      <c r="AA42" s="201"/>
      <c r="AB42" s="201"/>
      <c r="AC42" s="84"/>
      <c r="AE42" s="17"/>
      <c r="AF42" s="17"/>
      <c r="AG42" s="17"/>
      <c r="AH42" s="539"/>
      <c r="AI42" s="91"/>
      <c r="AK42" s="17"/>
      <c r="AL42" s="17"/>
      <c r="AM42" s="17"/>
      <c r="AN42" s="539"/>
      <c r="AO42" s="91"/>
      <c r="AQ42" s="17"/>
      <c r="AR42" s="17"/>
      <c r="AS42" s="17"/>
      <c r="AT42" s="539"/>
      <c r="AU42" s="91"/>
      <c r="AW42" s="17"/>
      <c r="AX42" s="17"/>
      <c r="AY42" s="17"/>
      <c r="AZ42" s="539"/>
      <c r="BA42" s="91"/>
    </row>
    <row r="43" spans="1:53" ht="17.100000000000001" customHeight="1" x14ac:dyDescent="0.25">
      <c r="A43" s="68"/>
      <c r="B43" s="540"/>
      <c r="C43" s="103" t="s">
        <v>24</v>
      </c>
      <c r="D43" s="110" t="s">
        <v>373</v>
      </c>
      <c r="E43" s="108"/>
      <c r="F43" s="108"/>
      <c r="G43" s="108"/>
      <c r="H43" s="589">
        <v>9</v>
      </c>
      <c r="J43" s="111"/>
      <c r="K43" s="111"/>
      <c r="L43" s="111"/>
      <c r="M43" s="111"/>
      <c r="N43" s="111"/>
      <c r="O43" s="111"/>
      <c r="P43" s="111"/>
      <c r="Q43" s="111"/>
      <c r="R43" s="111"/>
      <c r="S43" s="111"/>
      <c r="T43" s="111"/>
      <c r="U43" s="111"/>
      <c r="V43" s="358"/>
      <c r="W43" s="380"/>
      <c r="X43" s="111"/>
      <c r="Y43" s="112"/>
      <c r="Z43" s="113"/>
      <c r="AA43" s="113"/>
      <c r="AB43" s="113"/>
      <c r="AC43" s="113"/>
      <c r="AE43" s="111"/>
      <c r="AF43" s="111"/>
      <c r="AG43" s="111"/>
      <c r="AH43" s="112"/>
      <c r="AI43" s="113"/>
      <c r="AK43" s="111"/>
      <c r="AL43" s="111"/>
      <c r="AM43" s="111"/>
      <c r="AN43" s="112"/>
      <c r="AO43" s="113"/>
      <c r="AQ43" s="111"/>
      <c r="AR43" s="111"/>
      <c r="AS43" s="111"/>
      <c r="AT43" s="112"/>
      <c r="AU43" s="113"/>
      <c r="AW43" s="111"/>
      <c r="AX43" s="111"/>
      <c r="AY43" s="111"/>
      <c r="AZ43" s="112"/>
      <c r="BA43" s="113"/>
    </row>
    <row r="44" spans="1:53" ht="17.100000000000001" customHeight="1" x14ac:dyDescent="0.25">
      <c r="A44" s="68"/>
      <c r="B44" s="540"/>
      <c r="C44" s="23"/>
      <c r="D44" s="202" t="s">
        <v>25</v>
      </c>
      <c r="E44" s="85" t="s">
        <v>384</v>
      </c>
      <c r="F44" s="75"/>
      <c r="G44" s="75"/>
      <c r="H44" s="119"/>
      <c r="J44" s="581"/>
      <c r="K44" s="581"/>
      <c r="L44" s="582"/>
      <c r="M44" s="17">
        <f t="shared" ref="M44:M57" si="42">SUM(J44:L44)</f>
        <v>0</v>
      </c>
      <c r="N44" s="111"/>
      <c r="O44" s="111"/>
      <c r="P44" s="111"/>
      <c r="Q44" s="111"/>
      <c r="R44" s="111"/>
      <c r="S44" s="111"/>
      <c r="T44" s="111"/>
      <c r="U44" s="111"/>
      <c r="V44" s="358"/>
      <c r="W44" s="391">
        <f t="shared" ref="W44:W57" si="43">J44+K44+N44+Q44+T44</f>
        <v>0</v>
      </c>
      <c r="X44" s="17">
        <f t="shared" ref="X44:X57" si="44">L44+O44+R44+U44</f>
        <v>0</v>
      </c>
      <c r="Y44" s="18">
        <f t="shared" ref="Y44:Y57" si="45">SUM(W44:X44)</f>
        <v>0</v>
      </c>
      <c r="Z44" s="19">
        <f>IF(Y$58=0,0,Y44/Y$58)</f>
        <v>0</v>
      </c>
      <c r="AA44" s="19"/>
      <c r="AB44" s="19"/>
      <c r="AC44" s="84"/>
      <c r="AE44" s="17"/>
      <c r="AF44" s="17"/>
      <c r="AG44" s="17"/>
      <c r="AH44" s="18">
        <f t="shared" ref="AH44:AH57" si="46">J44</f>
        <v>0</v>
      </c>
      <c r="AI44" s="19">
        <f>IF(AH$58=0,0,AH44/AH$58)</f>
        <v>0</v>
      </c>
      <c r="AK44" s="17"/>
      <c r="AL44" s="17"/>
      <c r="AM44" s="17"/>
      <c r="AN44" s="18">
        <f t="shared" ref="AN44:AN57" si="47">K44</f>
        <v>0</v>
      </c>
      <c r="AO44" s="19">
        <f>IF(AN$58=0,0,AN44/AN$58)</f>
        <v>0</v>
      </c>
      <c r="AQ44" s="17"/>
      <c r="AR44" s="17"/>
      <c r="AS44" s="17"/>
      <c r="AT44" s="18">
        <f t="shared" ref="AT44:AT57" si="48">W44</f>
        <v>0</v>
      </c>
      <c r="AU44" s="19">
        <f>IF(AT$58=0,0,AT44/AT$58)</f>
        <v>0</v>
      </c>
      <c r="AW44" s="17"/>
      <c r="AX44" s="17"/>
      <c r="AY44" s="17"/>
      <c r="AZ44" s="18">
        <f t="shared" ref="AZ44:AZ57" si="49">X44</f>
        <v>0</v>
      </c>
      <c r="BA44" s="19">
        <f>IF(AZ$58=0,0,AZ44/AZ$58)</f>
        <v>0</v>
      </c>
    </row>
    <row r="45" spans="1:53" ht="17.100000000000001" customHeight="1" x14ac:dyDescent="0.25">
      <c r="A45" s="68"/>
      <c r="B45" s="540"/>
      <c r="C45" s="23"/>
      <c r="D45" s="202" t="s">
        <v>27</v>
      </c>
      <c r="E45" s="85" t="s">
        <v>385</v>
      </c>
      <c r="F45" s="75"/>
      <c r="G45" s="75"/>
      <c r="H45" s="119"/>
      <c r="J45" s="583"/>
      <c r="K45" s="583"/>
      <c r="L45" s="584"/>
      <c r="M45" s="17">
        <f t="shared" si="42"/>
        <v>0</v>
      </c>
      <c r="N45" s="111"/>
      <c r="O45" s="111"/>
      <c r="P45" s="111"/>
      <c r="Q45" s="111"/>
      <c r="R45" s="111"/>
      <c r="S45" s="111"/>
      <c r="T45" s="111"/>
      <c r="U45" s="111"/>
      <c r="V45" s="358"/>
      <c r="W45" s="391">
        <f t="shared" si="43"/>
        <v>0</v>
      </c>
      <c r="X45" s="17">
        <f t="shared" si="44"/>
        <v>0</v>
      </c>
      <c r="Y45" s="18">
        <f t="shared" si="45"/>
        <v>0</v>
      </c>
      <c r="Z45" s="19">
        <f t="shared" ref="Z45:Z58" si="50">IF(Y$58=0,0,Y45/Y$58)</f>
        <v>0</v>
      </c>
      <c r="AA45" s="19"/>
      <c r="AB45" s="19"/>
      <c r="AC45" s="84"/>
      <c r="AE45" s="17"/>
      <c r="AF45" s="17"/>
      <c r="AG45" s="17"/>
      <c r="AH45" s="18">
        <f t="shared" si="46"/>
        <v>0</v>
      </c>
      <c r="AI45" s="19">
        <f t="shared" ref="AI45:AI58" si="51">IF(AH$58=0,0,AH45/AH$58)</f>
        <v>0</v>
      </c>
      <c r="AK45" s="17"/>
      <c r="AL45" s="17"/>
      <c r="AM45" s="17"/>
      <c r="AN45" s="18">
        <f t="shared" si="47"/>
        <v>0</v>
      </c>
      <c r="AO45" s="19">
        <f t="shared" ref="AO45:AO58" si="52">IF(AN$58=0,0,AN45/AN$58)</f>
        <v>0</v>
      </c>
      <c r="AQ45" s="17"/>
      <c r="AR45" s="17"/>
      <c r="AS45" s="17"/>
      <c r="AT45" s="18">
        <f t="shared" si="48"/>
        <v>0</v>
      </c>
      <c r="AU45" s="19">
        <f t="shared" ref="AU45:AU58" si="53">IF(AT$58=0,0,AT45/AT$58)</f>
        <v>0</v>
      </c>
      <c r="AW45" s="17"/>
      <c r="AX45" s="17"/>
      <c r="AY45" s="17"/>
      <c r="AZ45" s="18">
        <f t="shared" si="49"/>
        <v>0</v>
      </c>
      <c r="BA45" s="19">
        <f t="shared" ref="BA45:BA58" si="54">IF(AZ$58=0,0,AZ45/AZ$58)</f>
        <v>0</v>
      </c>
    </row>
    <row r="46" spans="1:53" ht="17.100000000000001" customHeight="1" x14ac:dyDescent="0.25">
      <c r="A46" s="68"/>
      <c r="B46" s="540"/>
      <c r="C46" s="23"/>
      <c r="D46" s="202" t="s">
        <v>29</v>
      </c>
      <c r="E46" s="85" t="s">
        <v>386</v>
      </c>
      <c r="F46" s="75"/>
      <c r="G46" s="75"/>
      <c r="H46" s="119"/>
      <c r="J46" s="581"/>
      <c r="K46" s="581"/>
      <c r="L46" s="582"/>
      <c r="M46" s="17">
        <f t="shared" si="42"/>
        <v>0</v>
      </c>
      <c r="N46" s="111"/>
      <c r="O46" s="111"/>
      <c r="P46" s="111"/>
      <c r="Q46" s="111"/>
      <c r="R46" s="111"/>
      <c r="S46" s="111"/>
      <c r="T46" s="111"/>
      <c r="U46" s="111"/>
      <c r="V46" s="358"/>
      <c r="W46" s="391">
        <f t="shared" si="43"/>
        <v>0</v>
      </c>
      <c r="X46" s="17">
        <f t="shared" si="44"/>
        <v>0</v>
      </c>
      <c r="Y46" s="18">
        <f t="shared" si="45"/>
        <v>0</v>
      </c>
      <c r="Z46" s="19">
        <f t="shared" si="50"/>
        <v>0</v>
      </c>
      <c r="AA46" s="19"/>
      <c r="AB46" s="19"/>
      <c r="AC46" s="84"/>
      <c r="AE46" s="17"/>
      <c r="AF46" s="17"/>
      <c r="AG46" s="17"/>
      <c r="AH46" s="18">
        <f t="shared" si="46"/>
        <v>0</v>
      </c>
      <c r="AI46" s="19">
        <f t="shared" si="51"/>
        <v>0</v>
      </c>
      <c r="AK46" s="17"/>
      <c r="AL46" s="17"/>
      <c r="AM46" s="17"/>
      <c r="AN46" s="18">
        <f t="shared" si="47"/>
        <v>0</v>
      </c>
      <c r="AO46" s="19">
        <f t="shared" si="52"/>
        <v>0</v>
      </c>
      <c r="AQ46" s="17"/>
      <c r="AR46" s="17"/>
      <c r="AS46" s="17"/>
      <c r="AT46" s="18">
        <f t="shared" si="48"/>
        <v>0</v>
      </c>
      <c r="AU46" s="19">
        <f t="shared" si="53"/>
        <v>0</v>
      </c>
      <c r="AW46" s="17"/>
      <c r="AX46" s="17"/>
      <c r="AY46" s="17"/>
      <c r="AZ46" s="18">
        <f t="shared" si="49"/>
        <v>0</v>
      </c>
      <c r="BA46" s="19">
        <f t="shared" si="54"/>
        <v>0</v>
      </c>
    </row>
    <row r="47" spans="1:53" ht="17.100000000000001" customHeight="1" x14ac:dyDescent="0.25">
      <c r="A47" s="68"/>
      <c r="B47" s="540"/>
      <c r="C47" s="23"/>
      <c r="D47" s="202" t="s">
        <v>31</v>
      </c>
      <c r="E47" s="85" t="s">
        <v>533</v>
      </c>
      <c r="F47" s="75"/>
      <c r="G47" s="75"/>
      <c r="H47" s="119"/>
      <c r="J47" s="583"/>
      <c r="K47" s="583"/>
      <c r="L47" s="584"/>
      <c r="M47" s="17">
        <f t="shared" si="42"/>
        <v>0</v>
      </c>
      <c r="N47" s="111"/>
      <c r="O47" s="111"/>
      <c r="P47" s="111"/>
      <c r="Q47" s="111"/>
      <c r="R47" s="111"/>
      <c r="S47" s="111"/>
      <c r="T47" s="111"/>
      <c r="U47" s="111"/>
      <c r="V47" s="358"/>
      <c r="W47" s="391">
        <f t="shared" si="43"/>
        <v>0</v>
      </c>
      <c r="X47" s="17">
        <f t="shared" si="44"/>
        <v>0</v>
      </c>
      <c r="Y47" s="18">
        <f t="shared" si="45"/>
        <v>0</v>
      </c>
      <c r="Z47" s="19">
        <f t="shared" si="50"/>
        <v>0</v>
      </c>
      <c r="AA47" s="19"/>
      <c r="AB47" s="19"/>
      <c r="AC47" s="84"/>
      <c r="AE47" s="17"/>
      <c r="AF47" s="17"/>
      <c r="AG47" s="17"/>
      <c r="AH47" s="18">
        <f t="shared" si="46"/>
        <v>0</v>
      </c>
      <c r="AI47" s="19">
        <f t="shared" si="51"/>
        <v>0</v>
      </c>
      <c r="AK47" s="17"/>
      <c r="AL47" s="17"/>
      <c r="AM47" s="17"/>
      <c r="AN47" s="18">
        <f t="shared" si="47"/>
        <v>0</v>
      </c>
      <c r="AO47" s="19">
        <f t="shared" si="52"/>
        <v>0</v>
      </c>
      <c r="AQ47" s="17"/>
      <c r="AR47" s="17"/>
      <c r="AS47" s="17"/>
      <c r="AT47" s="18">
        <f t="shared" si="48"/>
        <v>0</v>
      </c>
      <c r="AU47" s="19">
        <f t="shared" si="53"/>
        <v>0</v>
      </c>
      <c r="AW47" s="17"/>
      <c r="AX47" s="17"/>
      <c r="AY47" s="17"/>
      <c r="AZ47" s="18">
        <f t="shared" si="49"/>
        <v>0</v>
      </c>
      <c r="BA47" s="19">
        <f t="shared" si="54"/>
        <v>0</v>
      </c>
    </row>
    <row r="48" spans="1:53" ht="17.100000000000001" customHeight="1" x14ac:dyDescent="0.25">
      <c r="A48" s="68"/>
      <c r="B48" s="540"/>
      <c r="C48" s="93"/>
      <c r="D48" s="202" t="s">
        <v>374</v>
      </c>
      <c r="E48" s="85" t="s">
        <v>534</v>
      </c>
      <c r="F48" s="75"/>
      <c r="G48" s="75"/>
      <c r="H48" s="119"/>
      <c r="J48" s="581"/>
      <c r="K48" s="581"/>
      <c r="L48" s="582"/>
      <c r="M48" s="17">
        <f t="shared" si="42"/>
        <v>0</v>
      </c>
      <c r="N48" s="111"/>
      <c r="O48" s="111"/>
      <c r="P48" s="111"/>
      <c r="Q48" s="111"/>
      <c r="R48" s="111"/>
      <c r="S48" s="111"/>
      <c r="T48" s="111"/>
      <c r="U48" s="111"/>
      <c r="V48" s="358"/>
      <c r="W48" s="391">
        <f t="shared" si="43"/>
        <v>0</v>
      </c>
      <c r="X48" s="17">
        <f t="shared" si="44"/>
        <v>0</v>
      </c>
      <c r="Y48" s="18">
        <f t="shared" si="45"/>
        <v>0</v>
      </c>
      <c r="Z48" s="19">
        <f t="shared" si="50"/>
        <v>0</v>
      </c>
      <c r="AA48" s="19"/>
      <c r="AB48" s="19"/>
      <c r="AC48" s="84"/>
      <c r="AE48" s="17"/>
      <c r="AF48" s="17"/>
      <c r="AG48" s="17"/>
      <c r="AH48" s="18">
        <f t="shared" si="46"/>
        <v>0</v>
      </c>
      <c r="AI48" s="19">
        <f t="shared" si="51"/>
        <v>0</v>
      </c>
      <c r="AK48" s="17"/>
      <c r="AL48" s="17"/>
      <c r="AM48" s="17"/>
      <c r="AN48" s="18">
        <f t="shared" si="47"/>
        <v>0</v>
      </c>
      <c r="AO48" s="19">
        <f t="shared" si="52"/>
        <v>0</v>
      </c>
      <c r="AQ48" s="17"/>
      <c r="AR48" s="17"/>
      <c r="AS48" s="17"/>
      <c r="AT48" s="18">
        <f t="shared" si="48"/>
        <v>0</v>
      </c>
      <c r="AU48" s="19">
        <f t="shared" si="53"/>
        <v>0</v>
      </c>
      <c r="AW48" s="17"/>
      <c r="AX48" s="17"/>
      <c r="AY48" s="17"/>
      <c r="AZ48" s="18">
        <f t="shared" si="49"/>
        <v>0</v>
      </c>
      <c r="BA48" s="19">
        <f t="shared" si="54"/>
        <v>0</v>
      </c>
    </row>
    <row r="49" spans="1:53" ht="17.100000000000001" customHeight="1" x14ac:dyDescent="0.25">
      <c r="A49" s="68"/>
      <c r="B49" s="540"/>
      <c r="C49" s="93"/>
      <c r="D49" s="202" t="s">
        <v>375</v>
      </c>
      <c r="E49" s="85" t="s">
        <v>535</v>
      </c>
      <c r="F49" s="75"/>
      <c r="G49" s="75"/>
      <c r="H49" s="119"/>
      <c r="J49" s="583"/>
      <c r="K49" s="583"/>
      <c r="L49" s="584"/>
      <c r="M49" s="17">
        <f t="shared" si="42"/>
        <v>0</v>
      </c>
      <c r="N49" s="111"/>
      <c r="O49" s="111"/>
      <c r="P49" s="111"/>
      <c r="Q49" s="111"/>
      <c r="R49" s="111"/>
      <c r="S49" s="111"/>
      <c r="T49" s="111"/>
      <c r="U49" s="111"/>
      <c r="V49" s="358"/>
      <c r="W49" s="391">
        <f t="shared" si="43"/>
        <v>0</v>
      </c>
      <c r="X49" s="17">
        <f t="shared" si="44"/>
        <v>0</v>
      </c>
      <c r="Y49" s="18">
        <f t="shared" si="45"/>
        <v>0</v>
      </c>
      <c r="Z49" s="19">
        <f t="shared" si="50"/>
        <v>0</v>
      </c>
      <c r="AA49" s="19"/>
      <c r="AB49" s="19"/>
      <c r="AC49" s="84"/>
      <c r="AE49" s="17"/>
      <c r="AF49" s="17"/>
      <c r="AG49" s="17"/>
      <c r="AH49" s="18">
        <f t="shared" si="46"/>
        <v>0</v>
      </c>
      <c r="AI49" s="19">
        <f t="shared" si="51"/>
        <v>0</v>
      </c>
      <c r="AK49" s="17"/>
      <c r="AL49" s="17"/>
      <c r="AM49" s="17"/>
      <c r="AN49" s="18">
        <f t="shared" si="47"/>
        <v>0</v>
      </c>
      <c r="AO49" s="19">
        <f t="shared" si="52"/>
        <v>0</v>
      </c>
      <c r="AQ49" s="17"/>
      <c r="AR49" s="17"/>
      <c r="AS49" s="17"/>
      <c r="AT49" s="18">
        <f t="shared" si="48"/>
        <v>0</v>
      </c>
      <c r="AU49" s="19">
        <f t="shared" si="53"/>
        <v>0</v>
      </c>
      <c r="AW49" s="17"/>
      <c r="AX49" s="17"/>
      <c r="AY49" s="17"/>
      <c r="AZ49" s="18">
        <f t="shared" si="49"/>
        <v>0</v>
      </c>
      <c r="BA49" s="19">
        <f t="shared" si="54"/>
        <v>0</v>
      </c>
    </row>
    <row r="50" spans="1:53" ht="17.100000000000001" customHeight="1" x14ac:dyDescent="0.25">
      <c r="A50" s="68"/>
      <c r="B50" s="540"/>
      <c r="C50" s="93"/>
      <c r="D50" s="202" t="s">
        <v>376</v>
      </c>
      <c r="E50" s="85" t="s">
        <v>387</v>
      </c>
      <c r="F50" s="75"/>
      <c r="G50" s="75"/>
      <c r="H50" s="119"/>
      <c r="J50" s="581"/>
      <c r="K50" s="581"/>
      <c r="L50" s="582"/>
      <c r="M50" s="17">
        <f t="shared" si="42"/>
        <v>0</v>
      </c>
      <c r="N50" s="111"/>
      <c r="O50" s="111"/>
      <c r="P50" s="111"/>
      <c r="Q50" s="111"/>
      <c r="R50" s="111"/>
      <c r="S50" s="111"/>
      <c r="T50" s="111"/>
      <c r="U50" s="111"/>
      <c r="V50" s="358"/>
      <c r="W50" s="391">
        <f t="shared" si="43"/>
        <v>0</v>
      </c>
      <c r="X50" s="17">
        <f t="shared" si="44"/>
        <v>0</v>
      </c>
      <c r="Y50" s="18">
        <f t="shared" si="45"/>
        <v>0</v>
      </c>
      <c r="Z50" s="19">
        <f t="shared" si="50"/>
        <v>0</v>
      </c>
      <c r="AA50" s="19"/>
      <c r="AB50" s="19"/>
      <c r="AC50" s="84"/>
      <c r="AE50" s="17"/>
      <c r="AF50" s="17"/>
      <c r="AG50" s="17"/>
      <c r="AH50" s="18">
        <f t="shared" si="46"/>
        <v>0</v>
      </c>
      <c r="AI50" s="19">
        <f t="shared" si="51"/>
        <v>0</v>
      </c>
      <c r="AK50" s="17"/>
      <c r="AL50" s="17"/>
      <c r="AM50" s="17"/>
      <c r="AN50" s="18">
        <f t="shared" si="47"/>
        <v>0</v>
      </c>
      <c r="AO50" s="19">
        <f t="shared" si="52"/>
        <v>0</v>
      </c>
      <c r="AQ50" s="17"/>
      <c r="AR50" s="17"/>
      <c r="AS50" s="17"/>
      <c r="AT50" s="18">
        <f t="shared" si="48"/>
        <v>0</v>
      </c>
      <c r="AU50" s="19">
        <f t="shared" si="53"/>
        <v>0</v>
      </c>
      <c r="AW50" s="17"/>
      <c r="AX50" s="17"/>
      <c r="AY50" s="17"/>
      <c r="AZ50" s="18">
        <f t="shared" si="49"/>
        <v>0</v>
      </c>
      <c r="BA50" s="19">
        <f t="shared" si="54"/>
        <v>0</v>
      </c>
    </row>
    <row r="51" spans="1:53" ht="17.100000000000001" customHeight="1" x14ac:dyDescent="0.25">
      <c r="A51" s="68"/>
      <c r="B51" s="540"/>
      <c r="C51" s="93"/>
      <c r="D51" s="202" t="s">
        <v>377</v>
      </c>
      <c r="E51" s="85" t="s">
        <v>388</v>
      </c>
      <c r="F51" s="75"/>
      <c r="G51" s="75"/>
      <c r="H51" s="119"/>
      <c r="J51" s="583"/>
      <c r="K51" s="583"/>
      <c r="L51" s="584"/>
      <c r="M51" s="17">
        <f t="shared" si="42"/>
        <v>0</v>
      </c>
      <c r="N51" s="111"/>
      <c r="O51" s="111"/>
      <c r="P51" s="111"/>
      <c r="Q51" s="111"/>
      <c r="R51" s="111"/>
      <c r="S51" s="111"/>
      <c r="T51" s="111"/>
      <c r="U51" s="111"/>
      <c r="V51" s="358"/>
      <c r="W51" s="391">
        <f t="shared" si="43"/>
        <v>0</v>
      </c>
      <c r="X51" s="17">
        <f t="shared" si="44"/>
        <v>0</v>
      </c>
      <c r="Y51" s="18">
        <f t="shared" si="45"/>
        <v>0</v>
      </c>
      <c r="Z51" s="19">
        <f t="shared" si="50"/>
        <v>0</v>
      </c>
      <c r="AA51" s="19"/>
      <c r="AB51" s="19"/>
      <c r="AC51" s="84"/>
      <c r="AE51" s="17"/>
      <c r="AF51" s="17"/>
      <c r="AG51" s="17"/>
      <c r="AH51" s="18">
        <f t="shared" si="46"/>
        <v>0</v>
      </c>
      <c r="AI51" s="19">
        <f t="shared" si="51"/>
        <v>0</v>
      </c>
      <c r="AK51" s="17"/>
      <c r="AL51" s="17"/>
      <c r="AM51" s="17"/>
      <c r="AN51" s="18">
        <f t="shared" si="47"/>
        <v>0</v>
      </c>
      <c r="AO51" s="19">
        <f t="shared" si="52"/>
        <v>0</v>
      </c>
      <c r="AQ51" s="17"/>
      <c r="AR51" s="17"/>
      <c r="AS51" s="17"/>
      <c r="AT51" s="18">
        <f t="shared" si="48"/>
        <v>0</v>
      </c>
      <c r="AU51" s="19">
        <f t="shared" si="53"/>
        <v>0</v>
      </c>
      <c r="AW51" s="17"/>
      <c r="AX51" s="17"/>
      <c r="AY51" s="17"/>
      <c r="AZ51" s="18">
        <f t="shared" si="49"/>
        <v>0</v>
      </c>
      <c r="BA51" s="19">
        <f t="shared" si="54"/>
        <v>0</v>
      </c>
    </row>
    <row r="52" spans="1:53" ht="17.100000000000001" customHeight="1" x14ac:dyDescent="0.25">
      <c r="A52" s="68"/>
      <c r="B52" s="540"/>
      <c r="C52" s="93"/>
      <c r="D52" s="202" t="s">
        <v>378</v>
      </c>
      <c r="E52" s="85" t="s">
        <v>532</v>
      </c>
      <c r="F52" s="75"/>
      <c r="G52" s="75"/>
      <c r="H52" s="119"/>
      <c r="J52" s="581"/>
      <c r="K52" s="581"/>
      <c r="L52" s="582"/>
      <c r="M52" s="17">
        <f t="shared" si="42"/>
        <v>0</v>
      </c>
      <c r="N52" s="111"/>
      <c r="O52" s="111"/>
      <c r="P52" s="111"/>
      <c r="Q52" s="111"/>
      <c r="R52" s="111"/>
      <c r="S52" s="111"/>
      <c r="T52" s="111"/>
      <c r="U52" s="111"/>
      <c r="V52" s="358"/>
      <c r="W52" s="391">
        <f t="shared" si="43"/>
        <v>0</v>
      </c>
      <c r="X52" s="17">
        <f t="shared" si="44"/>
        <v>0</v>
      </c>
      <c r="Y52" s="18">
        <f t="shared" si="45"/>
        <v>0</v>
      </c>
      <c r="Z52" s="19">
        <f t="shared" si="50"/>
        <v>0</v>
      </c>
      <c r="AA52" s="19"/>
      <c r="AB52" s="19"/>
      <c r="AC52" s="84"/>
      <c r="AE52" s="17"/>
      <c r="AF52" s="17"/>
      <c r="AG52" s="17"/>
      <c r="AH52" s="18">
        <f t="shared" si="46"/>
        <v>0</v>
      </c>
      <c r="AI52" s="19">
        <f t="shared" si="51"/>
        <v>0</v>
      </c>
      <c r="AK52" s="17"/>
      <c r="AL52" s="17"/>
      <c r="AM52" s="17"/>
      <c r="AN52" s="18">
        <f t="shared" si="47"/>
        <v>0</v>
      </c>
      <c r="AO52" s="19">
        <f t="shared" si="52"/>
        <v>0</v>
      </c>
      <c r="AQ52" s="17"/>
      <c r="AR52" s="17"/>
      <c r="AS52" s="17"/>
      <c r="AT52" s="18">
        <f t="shared" si="48"/>
        <v>0</v>
      </c>
      <c r="AU52" s="19">
        <f t="shared" si="53"/>
        <v>0</v>
      </c>
      <c r="AW52" s="17"/>
      <c r="AX52" s="17"/>
      <c r="AY52" s="17"/>
      <c r="AZ52" s="18">
        <f t="shared" si="49"/>
        <v>0</v>
      </c>
      <c r="BA52" s="19">
        <f t="shared" si="54"/>
        <v>0</v>
      </c>
    </row>
    <row r="53" spans="1:53" ht="17.100000000000001" customHeight="1" x14ac:dyDescent="0.25">
      <c r="A53" s="68"/>
      <c r="B53" s="540"/>
      <c r="C53" s="93"/>
      <c r="D53" s="202" t="s">
        <v>379</v>
      </c>
      <c r="E53" s="85" t="s">
        <v>389</v>
      </c>
      <c r="F53" s="75"/>
      <c r="G53" s="105"/>
      <c r="H53" s="119"/>
      <c r="J53" s="583"/>
      <c r="K53" s="583"/>
      <c r="L53" s="584"/>
      <c r="M53" s="17">
        <f t="shared" si="42"/>
        <v>0</v>
      </c>
      <c r="N53" s="111"/>
      <c r="O53" s="111"/>
      <c r="P53" s="111"/>
      <c r="Q53" s="111"/>
      <c r="R53" s="111"/>
      <c r="S53" s="111"/>
      <c r="T53" s="111"/>
      <c r="U53" s="111"/>
      <c r="V53" s="358"/>
      <c r="W53" s="391">
        <f t="shared" si="43"/>
        <v>0</v>
      </c>
      <c r="X53" s="17">
        <f t="shared" si="44"/>
        <v>0</v>
      </c>
      <c r="Y53" s="18">
        <f t="shared" si="45"/>
        <v>0</v>
      </c>
      <c r="Z53" s="19">
        <f t="shared" si="50"/>
        <v>0</v>
      </c>
      <c r="AA53" s="19"/>
      <c r="AB53" s="19"/>
      <c r="AC53" s="84"/>
      <c r="AE53" s="17"/>
      <c r="AF53" s="17"/>
      <c r="AG53" s="17"/>
      <c r="AH53" s="18">
        <f t="shared" si="46"/>
        <v>0</v>
      </c>
      <c r="AI53" s="19">
        <f t="shared" si="51"/>
        <v>0</v>
      </c>
      <c r="AK53" s="17"/>
      <c r="AL53" s="17"/>
      <c r="AM53" s="17"/>
      <c r="AN53" s="18">
        <f t="shared" si="47"/>
        <v>0</v>
      </c>
      <c r="AO53" s="19">
        <f t="shared" si="52"/>
        <v>0</v>
      </c>
      <c r="AQ53" s="17"/>
      <c r="AR53" s="17"/>
      <c r="AS53" s="17"/>
      <c r="AT53" s="18">
        <f t="shared" si="48"/>
        <v>0</v>
      </c>
      <c r="AU53" s="19">
        <f t="shared" si="53"/>
        <v>0</v>
      </c>
      <c r="AW53" s="17"/>
      <c r="AX53" s="17"/>
      <c r="AY53" s="17"/>
      <c r="AZ53" s="18">
        <f t="shared" si="49"/>
        <v>0</v>
      </c>
      <c r="BA53" s="19">
        <f t="shared" si="54"/>
        <v>0</v>
      </c>
    </row>
    <row r="54" spans="1:53" ht="17.100000000000001" customHeight="1" x14ac:dyDescent="0.25">
      <c r="A54" s="68"/>
      <c r="B54" s="540"/>
      <c r="C54" s="93"/>
      <c r="D54" s="202" t="s">
        <v>380</v>
      </c>
      <c r="E54" s="85" t="s">
        <v>390</v>
      </c>
      <c r="F54" s="75"/>
      <c r="G54" s="105"/>
      <c r="H54" s="119"/>
      <c r="J54" s="581"/>
      <c r="K54" s="581"/>
      <c r="L54" s="582"/>
      <c r="M54" s="17">
        <f t="shared" si="42"/>
        <v>0</v>
      </c>
      <c r="N54" s="111"/>
      <c r="O54" s="111"/>
      <c r="P54" s="111"/>
      <c r="Q54" s="111"/>
      <c r="R54" s="111"/>
      <c r="S54" s="111"/>
      <c r="T54" s="111"/>
      <c r="U54" s="111"/>
      <c r="V54" s="358"/>
      <c r="W54" s="391">
        <f t="shared" si="43"/>
        <v>0</v>
      </c>
      <c r="X54" s="17">
        <f t="shared" si="44"/>
        <v>0</v>
      </c>
      <c r="Y54" s="18">
        <f t="shared" si="45"/>
        <v>0</v>
      </c>
      <c r="Z54" s="19">
        <f t="shared" si="50"/>
        <v>0</v>
      </c>
      <c r="AA54" s="19"/>
      <c r="AB54" s="19"/>
      <c r="AC54" s="84"/>
      <c r="AE54" s="17"/>
      <c r="AF54" s="17"/>
      <c r="AG54" s="17"/>
      <c r="AH54" s="18">
        <f t="shared" si="46"/>
        <v>0</v>
      </c>
      <c r="AI54" s="19">
        <f t="shared" si="51"/>
        <v>0</v>
      </c>
      <c r="AK54" s="17"/>
      <c r="AL54" s="17"/>
      <c r="AM54" s="17"/>
      <c r="AN54" s="18">
        <f t="shared" si="47"/>
        <v>0</v>
      </c>
      <c r="AO54" s="19">
        <f t="shared" si="52"/>
        <v>0</v>
      </c>
      <c r="AQ54" s="17"/>
      <c r="AR54" s="17"/>
      <c r="AS54" s="17"/>
      <c r="AT54" s="18">
        <f t="shared" si="48"/>
        <v>0</v>
      </c>
      <c r="AU54" s="19">
        <f t="shared" si="53"/>
        <v>0</v>
      </c>
      <c r="AW54" s="17"/>
      <c r="AX54" s="17"/>
      <c r="AY54" s="17"/>
      <c r="AZ54" s="18">
        <f t="shared" si="49"/>
        <v>0</v>
      </c>
      <c r="BA54" s="19">
        <f t="shared" si="54"/>
        <v>0</v>
      </c>
    </row>
    <row r="55" spans="1:53" ht="17.100000000000001" customHeight="1" x14ac:dyDescent="0.25">
      <c r="A55" s="68"/>
      <c r="B55" s="540"/>
      <c r="C55" s="93"/>
      <c r="D55" s="202" t="s">
        <v>381</v>
      </c>
      <c r="E55" s="85" t="s">
        <v>536</v>
      </c>
      <c r="F55" s="75"/>
      <c r="G55" s="105"/>
      <c r="H55" s="119"/>
      <c r="J55" s="583"/>
      <c r="K55" s="583"/>
      <c r="L55" s="584"/>
      <c r="M55" s="17">
        <f t="shared" si="42"/>
        <v>0</v>
      </c>
      <c r="N55" s="111"/>
      <c r="O55" s="111"/>
      <c r="P55" s="111"/>
      <c r="Q55" s="111"/>
      <c r="R55" s="111"/>
      <c r="S55" s="111"/>
      <c r="T55" s="111"/>
      <c r="U55" s="111"/>
      <c r="V55" s="358"/>
      <c r="W55" s="391">
        <f t="shared" si="43"/>
        <v>0</v>
      </c>
      <c r="X55" s="17">
        <f t="shared" si="44"/>
        <v>0</v>
      </c>
      <c r="Y55" s="18">
        <f t="shared" si="45"/>
        <v>0</v>
      </c>
      <c r="Z55" s="19">
        <f t="shared" si="50"/>
        <v>0</v>
      </c>
      <c r="AA55" s="19"/>
      <c r="AB55" s="19"/>
      <c r="AC55" s="84"/>
      <c r="AE55" s="17"/>
      <c r="AF55" s="17"/>
      <c r="AG55" s="17"/>
      <c r="AH55" s="18">
        <f t="shared" si="46"/>
        <v>0</v>
      </c>
      <c r="AI55" s="19">
        <f t="shared" si="51"/>
        <v>0</v>
      </c>
      <c r="AK55" s="17"/>
      <c r="AL55" s="17"/>
      <c r="AM55" s="17"/>
      <c r="AN55" s="18">
        <f t="shared" si="47"/>
        <v>0</v>
      </c>
      <c r="AO55" s="19">
        <f t="shared" si="52"/>
        <v>0</v>
      </c>
      <c r="AQ55" s="17"/>
      <c r="AR55" s="17"/>
      <c r="AS55" s="17"/>
      <c r="AT55" s="18">
        <f t="shared" si="48"/>
        <v>0</v>
      </c>
      <c r="AU55" s="19">
        <f t="shared" si="53"/>
        <v>0</v>
      </c>
      <c r="AW55" s="17"/>
      <c r="AX55" s="17"/>
      <c r="AY55" s="17"/>
      <c r="AZ55" s="18">
        <f t="shared" si="49"/>
        <v>0</v>
      </c>
      <c r="BA55" s="19">
        <f t="shared" si="54"/>
        <v>0</v>
      </c>
    </row>
    <row r="56" spans="1:53" ht="17.100000000000001" customHeight="1" x14ac:dyDescent="0.25">
      <c r="A56" s="68"/>
      <c r="B56" s="540"/>
      <c r="C56" s="93"/>
      <c r="D56" s="202" t="s">
        <v>382</v>
      </c>
      <c r="E56" s="85" t="s">
        <v>391</v>
      </c>
      <c r="F56" s="75"/>
      <c r="G56" s="105"/>
      <c r="H56" s="119"/>
      <c r="J56" s="581"/>
      <c r="K56" s="581"/>
      <c r="L56" s="582"/>
      <c r="M56" s="17">
        <f t="shared" si="42"/>
        <v>0</v>
      </c>
      <c r="N56" s="111"/>
      <c r="O56" s="111"/>
      <c r="P56" s="111"/>
      <c r="Q56" s="111"/>
      <c r="R56" s="111"/>
      <c r="S56" s="111"/>
      <c r="T56" s="111"/>
      <c r="U56" s="111"/>
      <c r="V56" s="358"/>
      <c r="W56" s="391">
        <f t="shared" si="43"/>
        <v>0</v>
      </c>
      <c r="X56" s="17">
        <f t="shared" si="44"/>
        <v>0</v>
      </c>
      <c r="Y56" s="18">
        <f t="shared" si="45"/>
        <v>0</v>
      </c>
      <c r="Z56" s="19">
        <f t="shared" si="50"/>
        <v>0</v>
      </c>
      <c r="AA56" s="19"/>
      <c r="AB56" s="19"/>
      <c r="AC56" s="84"/>
      <c r="AE56" s="17"/>
      <c r="AF56" s="17"/>
      <c r="AG56" s="17"/>
      <c r="AH56" s="18">
        <f t="shared" si="46"/>
        <v>0</v>
      </c>
      <c r="AI56" s="19">
        <f t="shared" si="51"/>
        <v>0</v>
      </c>
      <c r="AK56" s="17"/>
      <c r="AL56" s="17"/>
      <c r="AM56" s="17"/>
      <c r="AN56" s="18">
        <f t="shared" si="47"/>
        <v>0</v>
      </c>
      <c r="AO56" s="19">
        <f t="shared" si="52"/>
        <v>0</v>
      </c>
      <c r="AQ56" s="17"/>
      <c r="AR56" s="17"/>
      <c r="AS56" s="17"/>
      <c r="AT56" s="18">
        <f t="shared" si="48"/>
        <v>0</v>
      </c>
      <c r="AU56" s="19">
        <f t="shared" si="53"/>
        <v>0</v>
      </c>
      <c r="AW56" s="17"/>
      <c r="AX56" s="17"/>
      <c r="AY56" s="17"/>
      <c r="AZ56" s="18">
        <f t="shared" si="49"/>
        <v>0</v>
      </c>
      <c r="BA56" s="19">
        <f t="shared" si="54"/>
        <v>0</v>
      </c>
    </row>
    <row r="57" spans="1:53" ht="17.100000000000001" customHeight="1" x14ac:dyDescent="0.25">
      <c r="A57" s="68"/>
      <c r="B57" s="540"/>
      <c r="C57" s="93"/>
      <c r="D57" s="202" t="s">
        <v>383</v>
      </c>
      <c r="E57" s="85" t="s">
        <v>392</v>
      </c>
      <c r="F57" s="75"/>
      <c r="G57" s="105"/>
      <c r="H57" s="119"/>
      <c r="J57" s="583"/>
      <c r="K57" s="583"/>
      <c r="L57" s="584"/>
      <c r="M57" s="17">
        <f t="shared" si="42"/>
        <v>0</v>
      </c>
      <c r="N57" s="111"/>
      <c r="O57" s="111"/>
      <c r="P57" s="111"/>
      <c r="Q57" s="111"/>
      <c r="R57" s="111"/>
      <c r="S57" s="111"/>
      <c r="T57" s="111"/>
      <c r="U57" s="111"/>
      <c r="V57" s="358"/>
      <c r="W57" s="391">
        <f t="shared" si="43"/>
        <v>0</v>
      </c>
      <c r="X57" s="17">
        <f t="shared" si="44"/>
        <v>0</v>
      </c>
      <c r="Y57" s="18">
        <f t="shared" si="45"/>
        <v>0</v>
      </c>
      <c r="Z57" s="19">
        <f t="shared" si="50"/>
        <v>0</v>
      </c>
      <c r="AA57" s="19"/>
      <c r="AB57" s="19"/>
      <c r="AC57" s="84"/>
      <c r="AE57" s="17"/>
      <c r="AF57" s="17"/>
      <c r="AG57" s="17"/>
      <c r="AH57" s="18">
        <f t="shared" si="46"/>
        <v>0</v>
      </c>
      <c r="AI57" s="19">
        <f t="shared" si="51"/>
        <v>0</v>
      </c>
      <c r="AK57" s="17"/>
      <c r="AL57" s="17"/>
      <c r="AM57" s="17"/>
      <c r="AN57" s="18">
        <f t="shared" si="47"/>
        <v>0</v>
      </c>
      <c r="AO57" s="19">
        <f t="shared" si="52"/>
        <v>0</v>
      </c>
      <c r="AQ57" s="17"/>
      <c r="AR57" s="17"/>
      <c r="AS57" s="17"/>
      <c r="AT57" s="18">
        <f t="shared" si="48"/>
        <v>0</v>
      </c>
      <c r="AU57" s="19">
        <f t="shared" si="53"/>
        <v>0</v>
      </c>
      <c r="AW57" s="17"/>
      <c r="AX57" s="17"/>
      <c r="AY57" s="17"/>
      <c r="AZ57" s="18">
        <f t="shared" si="49"/>
        <v>0</v>
      </c>
      <c r="BA57" s="19">
        <f t="shared" si="54"/>
        <v>0</v>
      </c>
    </row>
    <row r="58" spans="1:53" ht="17.100000000000001" customHeight="1" x14ac:dyDescent="0.25">
      <c r="A58" s="40"/>
      <c r="B58" s="40"/>
      <c r="C58" s="77"/>
      <c r="D58" s="78"/>
      <c r="E58" s="78"/>
      <c r="F58" s="78"/>
      <c r="G58" s="78"/>
      <c r="H58" s="242"/>
      <c r="I58" s="230"/>
      <c r="J58" s="80">
        <f>SUM(J44:J57)</f>
        <v>0</v>
      </c>
      <c r="K58" s="80">
        <f t="shared" ref="K58:M58" si="55">SUM(K44:K57)</f>
        <v>0</v>
      </c>
      <c r="L58" s="80">
        <f t="shared" si="55"/>
        <v>0</v>
      </c>
      <c r="M58" s="80">
        <f t="shared" si="55"/>
        <v>0</v>
      </c>
      <c r="N58" s="80"/>
      <c r="O58" s="80"/>
      <c r="P58" s="80"/>
      <c r="Q58" s="81"/>
      <c r="R58" s="81"/>
      <c r="S58" s="81"/>
      <c r="T58" s="81"/>
      <c r="U58" s="81"/>
      <c r="V58" s="356"/>
      <c r="W58" s="381">
        <f>SUM(W44:W57)</f>
        <v>0</v>
      </c>
      <c r="X58" s="82">
        <f t="shared" ref="X58:Y58" si="56">SUM(X44:X57)</f>
        <v>0</v>
      </c>
      <c r="Y58" s="82">
        <f t="shared" si="56"/>
        <v>0</v>
      </c>
      <c r="Z58" s="205">
        <f t="shared" si="50"/>
        <v>0</v>
      </c>
      <c r="AA58" s="205"/>
      <c r="AB58" s="205"/>
      <c r="AC58" s="83"/>
      <c r="AE58" s="81"/>
      <c r="AF58" s="81"/>
      <c r="AG58" s="81"/>
      <c r="AH58" s="82">
        <f>SUM(AH44:AH57)</f>
        <v>0</v>
      </c>
      <c r="AI58" s="66">
        <f t="shared" si="51"/>
        <v>0</v>
      </c>
      <c r="AK58" s="81"/>
      <c r="AL58" s="81"/>
      <c r="AM58" s="81"/>
      <c r="AN58" s="82">
        <f>SUM(AN44:AN57)</f>
        <v>0</v>
      </c>
      <c r="AO58" s="66">
        <f t="shared" si="52"/>
        <v>0</v>
      </c>
      <c r="AQ58" s="81"/>
      <c r="AR58" s="81"/>
      <c r="AS58" s="81"/>
      <c r="AT58" s="82">
        <f>SUM(AT44:AT57)</f>
        <v>0</v>
      </c>
      <c r="AU58" s="66">
        <f t="shared" si="53"/>
        <v>0</v>
      </c>
      <c r="AW58" s="81"/>
      <c r="AX58" s="81"/>
      <c r="AY58" s="81"/>
      <c r="AZ58" s="82">
        <f>SUM(AZ44:AZ57)</f>
        <v>0</v>
      </c>
      <c r="BA58" s="66">
        <f t="shared" si="54"/>
        <v>0</v>
      </c>
    </row>
    <row r="59" spans="1:53" s="117" customFormat="1" ht="17.100000000000001" customHeight="1" x14ac:dyDescent="0.25">
      <c r="A59" s="119"/>
      <c r="B59" s="119"/>
      <c r="C59" s="540"/>
      <c r="D59" s="212"/>
      <c r="E59" s="212"/>
      <c r="F59" s="212"/>
      <c r="G59" s="212"/>
      <c r="H59" s="242"/>
      <c r="I59" s="230"/>
      <c r="J59" s="17" t="str">
        <f>IF(J58=J$15,"OK","NOK")</f>
        <v>OK</v>
      </c>
      <c r="K59" s="17" t="str">
        <f t="shared" ref="K59:L59" si="57">IF(K58=K$15,"OK","NOK")</f>
        <v>OK</v>
      </c>
      <c r="L59" s="17" t="str">
        <f t="shared" si="57"/>
        <v>OK</v>
      </c>
      <c r="M59" s="17"/>
      <c r="N59" s="17"/>
      <c r="O59" s="17"/>
      <c r="P59" s="17"/>
      <c r="Q59" s="17"/>
      <c r="R59" s="17"/>
      <c r="S59" s="17"/>
      <c r="T59" s="17"/>
      <c r="U59" s="17"/>
      <c r="V59" s="359"/>
      <c r="W59" s="382"/>
      <c r="X59" s="539"/>
      <c r="Y59" s="539"/>
      <c r="Z59" s="201"/>
      <c r="AA59" s="201"/>
      <c r="AB59" s="201"/>
      <c r="AC59" s="84"/>
      <c r="AE59" s="17"/>
      <c r="AF59" s="17"/>
      <c r="AG59" s="17"/>
      <c r="AH59" s="539"/>
      <c r="AI59" s="91"/>
      <c r="AK59" s="17"/>
      <c r="AL59" s="17"/>
      <c r="AM59" s="17"/>
      <c r="AN59" s="539"/>
      <c r="AO59" s="91"/>
      <c r="AQ59" s="17"/>
      <c r="AR59" s="17"/>
      <c r="AS59" s="17"/>
      <c r="AT59" s="539"/>
      <c r="AU59" s="91"/>
      <c r="AW59" s="17"/>
      <c r="AX59" s="17"/>
      <c r="AY59" s="17"/>
      <c r="AZ59" s="539"/>
      <c r="BA59" s="91"/>
    </row>
    <row r="60" spans="1:53" ht="17.100000000000001" customHeight="1" x14ac:dyDescent="0.25">
      <c r="A60" s="102"/>
      <c r="B60" s="102"/>
      <c r="C60" s="103" t="s">
        <v>33</v>
      </c>
      <c r="D60" s="110" t="s">
        <v>736</v>
      </c>
      <c r="E60" s="108"/>
      <c r="F60" s="108"/>
      <c r="G60" s="108"/>
      <c r="H60" s="258"/>
      <c r="I60" s="232"/>
      <c r="J60" s="111"/>
      <c r="K60" s="111"/>
      <c r="L60" s="111"/>
      <c r="M60" s="111"/>
      <c r="N60" s="111"/>
      <c r="O60" s="111"/>
      <c r="P60" s="111"/>
      <c r="Q60" s="111"/>
      <c r="R60" s="111"/>
      <c r="S60" s="111"/>
      <c r="T60" s="111"/>
      <c r="U60" s="111"/>
      <c r="V60" s="358"/>
      <c r="W60" s="380"/>
      <c r="X60" s="111"/>
      <c r="Y60" s="112"/>
      <c r="Z60" s="113"/>
      <c r="AA60" s="113"/>
      <c r="AB60" s="113"/>
      <c r="AC60" s="113"/>
      <c r="AE60" s="114"/>
      <c r="AF60" s="114"/>
      <c r="AG60" s="114"/>
      <c r="AH60" s="112"/>
      <c r="AI60" s="113"/>
      <c r="AK60" s="114"/>
      <c r="AL60" s="114"/>
      <c r="AM60" s="114"/>
      <c r="AN60" s="112"/>
      <c r="AO60" s="113"/>
      <c r="AQ60" s="114"/>
      <c r="AR60" s="114"/>
      <c r="AS60" s="114"/>
      <c r="AT60" s="112"/>
      <c r="AU60" s="113"/>
      <c r="AW60" s="114"/>
      <c r="AX60" s="114"/>
      <c r="AY60" s="114"/>
      <c r="AZ60" s="112"/>
      <c r="BA60" s="113"/>
    </row>
    <row r="61" spans="1:53" s="117" customFormat="1" ht="17.100000000000001" customHeight="1" x14ac:dyDescent="0.25">
      <c r="A61" s="540"/>
      <c r="B61" s="23"/>
      <c r="C61" s="23"/>
      <c r="D61" s="74" t="s">
        <v>34</v>
      </c>
      <c r="E61" s="75" t="s">
        <v>26</v>
      </c>
      <c r="F61" s="75"/>
      <c r="G61" s="75"/>
      <c r="H61" s="540"/>
      <c r="I61" s="229"/>
      <c r="J61" s="152"/>
      <c r="K61" s="152"/>
      <c r="L61" s="111"/>
      <c r="M61" s="111"/>
      <c r="N61" s="60"/>
      <c r="O61" s="60">
        <v>8</v>
      </c>
      <c r="P61" s="17">
        <f>SUM(N61:O61)</f>
        <v>8</v>
      </c>
      <c r="Q61" s="60"/>
      <c r="R61" s="60">
        <v>1</v>
      </c>
      <c r="S61" s="17">
        <f>SUM(Q61:R61)</f>
        <v>1</v>
      </c>
      <c r="T61" s="60"/>
      <c r="U61" s="60"/>
      <c r="V61" s="359">
        <f>SUM(T61:U61)</f>
        <v>0</v>
      </c>
      <c r="W61" s="391">
        <f t="shared" ref="W61:W64" si="58">J61+K61+N61+Q61+T61</f>
        <v>0</v>
      </c>
      <c r="X61" s="17">
        <f t="shared" ref="X61:X64" si="59">L61+O61+R61+U61</f>
        <v>9</v>
      </c>
      <c r="Y61" s="18">
        <f>SUM(W61:X61)</f>
        <v>9</v>
      </c>
      <c r="Z61" s="19">
        <f>IF(Y$65=0,0,Y61/Y$65)</f>
        <v>0.5625</v>
      </c>
      <c r="AA61" s="19"/>
      <c r="AB61" s="19"/>
      <c r="AC61" s="84"/>
      <c r="AE61" s="111"/>
      <c r="AF61" s="111"/>
      <c r="AG61" s="111"/>
      <c r="AH61" s="112"/>
      <c r="AI61" s="113"/>
      <c r="AK61" s="111"/>
      <c r="AL61" s="111"/>
      <c r="AM61" s="111"/>
      <c r="AN61" s="112"/>
      <c r="AO61" s="113"/>
      <c r="AQ61" s="17"/>
      <c r="AR61" s="17"/>
      <c r="AS61" s="17"/>
      <c r="AT61" s="18">
        <f>W61</f>
        <v>0</v>
      </c>
      <c r="AU61" s="19">
        <f>IF(AT$65=0,0,AT61/AT$65)</f>
        <v>0</v>
      </c>
      <c r="AW61" s="17"/>
      <c r="AX61" s="17"/>
      <c r="AY61" s="17"/>
      <c r="AZ61" s="18">
        <f>X61</f>
        <v>9</v>
      </c>
      <c r="BA61" s="19">
        <f>IF(AZ$65=0,0,AZ61/AZ$65)</f>
        <v>0.6</v>
      </c>
    </row>
    <row r="62" spans="1:53" s="117" customFormat="1" ht="17.100000000000001" customHeight="1" x14ac:dyDescent="0.25">
      <c r="A62" s="540"/>
      <c r="B62" s="23"/>
      <c r="C62" s="23"/>
      <c r="D62" s="74" t="s">
        <v>36</v>
      </c>
      <c r="E62" s="75" t="s">
        <v>28</v>
      </c>
      <c r="F62" s="75"/>
      <c r="G62" s="75"/>
      <c r="H62" s="540"/>
      <c r="I62" s="229"/>
      <c r="J62" s="152"/>
      <c r="K62" s="152"/>
      <c r="L62" s="111"/>
      <c r="M62" s="111"/>
      <c r="N62" s="61"/>
      <c r="O62" s="61"/>
      <c r="P62" s="17">
        <f>SUM(N62:O62)</f>
        <v>0</v>
      </c>
      <c r="Q62" s="61">
        <v>1</v>
      </c>
      <c r="R62" s="61">
        <v>6</v>
      </c>
      <c r="S62" s="17">
        <f>SUM(Q62:R62)</f>
        <v>7</v>
      </c>
      <c r="T62" s="61"/>
      <c r="U62" s="61"/>
      <c r="V62" s="359">
        <f>SUM(T62:U62)</f>
        <v>0</v>
      </c>
      <c r="W62" s="391">
        <f t="shared" si="58"/>
        <v>1</v>
      </c>
      <c r="X62" s="17">
        <f t="shared" si="59"/>
        <v>6</v>
      </c>
      <c r="Y62" s="18">
        <f>SUM(W62:X62)</f>
        <v>7</v>
      </c>
      <c r="Z62" s="19">
        <f t="shared" ref="Z62:Z65" si="60">IF(Y$65=0,0,Y62/Y$65)</f>
        <v>0.4375</v>
      </c>
      <c r="AA62" s="19"/>
      <c r="AB62" s="19"/>
      <c r="AC62" s="84"/>
      <c r="AE62" s="111"/>
      <c r="AF62" s="111"/>
      <c r="AG62" s="111"/>
      <c r="AH62" s="112"/>
      <c r="AI62" s="113"/>
      <c r="AK62" s="111"/>
      <c r="AL62" s="111"/>
      <c r="AM62" s="111"/>
      <c r="AN62" s="112"/>
      <c r="AO62" s="113"/>
      <c r="AQ62" s="17"/>
      <c r="AR62" s="17"/>
      <c r="AS62" s="17"/>
      <c r="AT62" s="18">
        <f t="shared" ref="AT62:AT64" si="61">W62</f>
        <v>1</v>
      </c>
      <c r="AU62" s="19">
        <f t="shared" ref="AU62:AU65" si="62">IF(AT$65=0,0,AT62/AT$65)</f>
        <v>1</v>
      </c>
      <c r="AW62" s="17"/>
      <c r="AX62" s="17"/>
      <c r="AY62" s="17"/>
      <c r="AZ62" s="18">
        <f t="shared" ref="AZ62:AZ64" si="63">X62</f>
        <v>6</v>
      </c>
      <c r="BA62" s="19">
        <f t="shared" ref="BA62:BA65" si="64">IF(AZ$65=0,0,AZ62/AZ$65)</f>
        <v>0.4</v>
      </c>
    </row>
    <row r="63" spans="1:53" s="117" customFormat="1" ht="17.100000000000001" customHeight="1" x14ac:dyDescent="0.25">
      <c r="A63" s="540"/>
      <c r="B63" s="23"/>
      <c r="C63" s="23"/>
      <c r="D63" s="74" t="s">
        <v>38</v>
      </c>
      <c r="E63" s="75" t="s">
        <v>30</v>
      </c>
      <c r="F63" s="75"/>
      <c r="G63" s="75"/>
      <c r="H63" s="540"/>
      <c r="I63" s="229"/>
      <c r="J63" s="152"/>
      <c r="K63" s="152"/>
      <c r="L63" s="111"/>
      <c r="M63" s="111"/>
      <c r="N63" s="60"/>
      <c r="O63" s="60"/>
      <c r="P63" s="17">
        <f>SUM(N63:O63)</f>
        <v>0</v>
      </c>
      <c r="Q63" s="60"/>
      <c r="R63" s="60"/>
      <c r="S63" s="17">
        <f>SUM(Q63:R63)</f>
        <v>0</v>
      </c>
      <c r="T63" s="60"/>
      <c r="U63" s="60"/>
      <c r="V63" s="359">
        <f>SUM(T63:U63)</f>
        <v>0</v>
      </c>
      <c r="W63" s="391">
        <f t="shared" si="58"/>
        <v>0</v>
      </c>
      <c r="X63" s="17">
        <f t="shared" si="59"/>
        <v>0</v>
      </c>
      <c r="Y63" s="18">
        <f>SUM(W63:X63)</f>
        <v>0</v>
      </c>
      <c r="Z63" s="19">
        <f t="shared" si="60"/>
        <v>0</v>
      </c>
      <c r="AA63" s="19"/>
      <c r="AB63" s="19"/>
      <c r="AC63" s="84"/>
      <c r="AE63" s="111"/>
      <c r="AF63" s="111"/>
      <c r="AG63" s="111"/>
      <c r="AH63" s="112"/>
      <c r="AI63" s="113"/>
      <c r="AK63" s="111"/>
      <c r="AL63" s="111"/>
      <c r="AM63" s="111"/>
      <c r="AN63" s="112"/>
      <c r="AO63" s="113"/>
      <c r="AQ63" s="17"/>
      <c r="AR63" s="17"/>
      <c r="AS63" s="17"/>
      <c r="AT63" s="18">
        <f t="shared" si="61"/>
        <v>0</v>
      </c>
      <c r="AU63" s="19">
        <f t="shared" si="62"/>
        <v>0</v>
      </c>
      <c r="AW63" s="17"/>
      <c r="AX63" s="17"/>
      <c r="AY63" s="17"/>
      <c r="AZ63" s="18">
        <f t="shared" si="63"/>
        <v>0</v>
      </c>
      <c r="BA63" s="19">
        <f t="shared" si="64"/>
        <v>0</v>
      </c>
    </row>
    <row r="64" spans="1:53" s="117" customFormat="1" ht="17.100000000000001" customHeight="1" x14ac:dyDescent="0.25">
      <c r="A64" s="540"/>
      <c r="B64" s="23"/>
      <c r="C64" s="23"/>
      <c r="D64" s="74" t="s">
        <v>40</v>
      </c>
      <c r="E64" s="75" t="s">
        <v>32</v>
      </c>
      <c r="F64" s="75"/>
      <c r="G64" s="75"/>
      <c r="H64" s="540"/>
      <c r="I64" s="229"/>
      <c r="J64" s="152"/>
      <c r="K64" s="152"/>
      <c r="L64" s="111"/>
      <c r="M64" s="111"/>
      <c r="N64" s="61"/>
      <c r="O64" s="61"/>
      <c r="P64" s="17">
        <f>SUM(N64:O64)</f>
        <v>0</v>
      </c>
      <c r="Q64" s="61"/>
      <c r="R64" s="61"/>
      <c r="S64" s="17">
        <f>SUM(Q64:R64)</f>
        <v>0</v>
      </c>
      <c r="T64" s="61"/>
      <c r="U64" s="61"/>
      <c r="V64" s="359">
        <f>SUM(T64:U64)</f>
        <v>0</v>
      </c>
      <c r="W64" s="391">
        <f t="shared" si="58"/>
        <v>0</v>
      </c>
      <c r="X64" s="17">
        <f t="shared" si="59"/>
        <v>0</v>
      </c>
      <c r="Y64" s="18">
        <f>SUM(W64:X64)</f>
        <v>0</v>
      </c>
      <c r="Z64" s="19">
        <f t="shared" si="60"/>
        <v>0</v>
      </c>
      <c r="AA64" s="19"/>
      <c r="AB64" s="19"/>
      <c r="AC64" s="84"/>
      <c r="AE64" s="111"/>
      <c r="AF64" s="111"/>
      <c r="AG64" s="111"/>
      <c r="AH64" s="112"/>
      <c r="AI64" s="113"/>
      <c r="AK64" s="111"/>
      <c r="AL64" s="111"/>
      <c r="AM64" s="111"/>
      <c r="AN64" s="112"/>
      <c r="AO64" s="113"/>
      <c r="AQ64" s="17"/>
      <c r="AR64" s="17"/>
      <c r="AS64" s="17"/>
      <c r="AT64" s="18">
        <f t="shared" si="61"/>
        <v>0</v>
      </c>
      <c r="AU64" s="19">
        <f t="shared" si="62"/>
        <v>0</v>
      </c>
      <c r="AW64" s="17"/>
      <c r="AX64" s="17"/>
      <c r="AY64" s="17"/>
      <c r="AZ64" s="18">
        <f t="shared" si="63"/>
        <v>0</v>
      </c>
      <c r="BA64" s="19">
        <f t="shared" si="64"/>
        <v>0</v>
      </c>
    </row>
    <row r="65" spans="1:53" ht="17.100000000000001" customHeight="1" x14ac:dyDescent="0.25">
      <c r="A65" s="40"/>
      <c r="B65" s="40"/>
      <c r="C65" s="77"/>
      <c r="D65" s="78"/>
      <c r="E65" s="78"/>
      <c r="F65" s="78"/>
      <c r="G65" s="78"/>
      <c r="H65" s="242"/>
      <c r="I65" s="230"/>
      <c r="J65" s="80"/>
      <c r="K65" s="80"/>
      <c r="L65" s="81"/>
      <c r="M65" s="81"/>
      <c r="N65" s="81">
        <f t="shared" ref="N65:Y65" si="65">SUM(N61:N64)</f>
        <v>0</v>
      </c>
      <c r="O65" s="81">
        <f t="shared" si="65"/>
        <v>8</v>
      </c>
      <c r="P65" s="81">
        <f t="shared" si="65"/>
        <v>8</v>
      </c>
      <c r="Q65" s="81">
        <f t="shared" si="65"/>
        <v>1</v>
      </c>
      <c r="R65" s="81">
        <f t="shared" si="65"/>
        <v>7</v>
      </c>
      <c r="S65" s="81">
        <f t="shared" si="65"/>
        <v>8</v>
      </c>
      <c r="T65" s="81">
        <f t="shared" si="65"/>
        <v>0</v>
      </c>
      <c r="U65" s="81">
        <f t="shared" si="65"/>
        <v>0</v>
      </c>
      <c r="V65" s="81">
        <f t="shared" si="65"/>
        <v>0</v>
      </c>
      <c r="W65" s="381">
        <f t="shared" si="65"/>
        <v>1</v>
      </c>
      <c r="X65" s="82">
        <f t="shared" si="65"/>
        <v>15</v>
      </c>
      <c r="Y65" s="82">
        <f t="shared" si="65"/>
        <v>16</v>
      </c>
      <c r="Z65" s="205">
        <f t="shared" si="60"/>
        <v>1</v>
      </c>
      <c r="AA65" s="205"/>
      <c r="AB65" s="205"/>
      <c r="AC65" s="83"/>
      <c r="AE65" s="81"/>
      <c r="AF65" s="81"/>
      <c r="AG65" s="81"/>
      <c r="AH65" s="82"/>
      <c r="AI65" s="66"/>
      <c r="AK65" s="81"/>
      <c r="AL65" s="81"/>
      <c r="AM65" s="81"/>
      <c r="AN65" s="82"/>
      <c r="AO65" s="66"/>
      <c r="AQ65" s="81"/>
      <c r="AR65" s="81"/>
      <c r="AS65" s="81"/>
      <c r="AT65" s="82">
        <f>SUM(AT61:AT64)</f>
        <v>1</v>
      </c>
      <c r="AU65" s="66">
        <f t="shared" si="62"/>
        <v>1</v>
      </c>
      <c r="AW65" s="81"/>
      <c r="AX65" s="81"/>
      <c r="AY65" s="81"/>
      <c r="AZ65" s="82">
        <f>SUM(AZ61:AZ64)</f>
        <v>15</v>
      </c>
      <c r="BA65" s="66">
        <f t="shared" si="64"/>
        <v>1</v>
      </c>
    </row>
    <row r="66" spans="1:53" s="117" customFormat="1" ht="17.100000000000001" customHeight="1" x14ac:dyDescent="0.25">
      <c r="A66" s="119"/>
      <c r="B66" s="119"/>
      <c r="C66" s="540"/>
      <c r="D66" s="212"/>
      <c r="E66" s="212"/>
      <c r="F66" s="212"/>
      <c r="G66" s="212"/>
      <c r="H66" s="242"/>
      <c r="I66" s="230"/>
      <c r="J66" s="17"/>
      <c r="K66" s="17"/>
      <c r="L66" s="17"/>
      <c r="M66" s="17"/>
      <c r="N66" s="17" t="str">
        <f>IF(N65=N$20,"OK","NOK")</f>
        <v>OK</v>
      </c>
      <c r="O66" s="17" t="str">
        <f>IF(O65=O$20,"OK","NOK")</f>
        <v>OK</v>
      </c>
      <c r="P66" s="17"/>
      <c r="Q66" s="17" t="str">
        <f>IF(Q65=Q$20,"OK","NOK")</f>
        <v>OK</v>
      </c>
      <c r="R66" s="17" t="str">
        <f>IF(R65=R$20,"OK","NOK")</f>
        <v>OK</v>
      </c>
      <c r="S66" s="17"/>
      <c r="T66" s="17" t="str">
        <f>IF(T65=T$20,"OK","NOK")</f>
        <v>OK</v>
      </c>
      <c r="U66" s="17" t="str">
        <f>IF(U65=U$20,"OK","NOK")</f>
        <v>OK</v>
      </c>
      <c r="V66" s="359"/>
      <c r="W66" s="382"/>
      <c r="X66" s="539"/>
      <c r="Y66" s="539"/>
      <c r="Z66" s="201"/>
      <c r="AA66" s="201"/>
      <c r="AB66" s="201"/>
      <c r="AC66" s="84"/>
      <c r="AE66" s="17"/>
      <c r="AF66" s="17"/>
      <c r="AG66" s="17"/>
      <c r="AH66" s="539"/>
      <c r="AI66" s="91"/>
      <c r="AK66" s="17"/>
      <c r="AL66" s="17"/>
      <c r="AM66" s="17"/>
      <c r="AN66" s="539"/>
      <c r="AO66" s="91"/>
      <c r="AQ66" s="17"/>
      <c r="AR66" s="17"/>
      <c r="AS66" s="17"/>
      <c r="AT66" s="539"/>
      <c r="AU66" s="91"/>
      <c r="AW66" s="17"/>
      <c r="AX66" s="17"/>
      <c r="AY66" s="17"/>
      <c r="AZ66" s="539"/>
      <c r="BA66" s="91"/>
    </row>
    <row r="67" spans="1:53" ht="17.100000000000001" customHeight="1" x14ac:dyDescent="0.25">
      <c r="A67" s="102"/>
      <c r="B67" s="23"/>
      <c r="C67" s="103" t="s">
        <v>393</v>
      </c>
      <c r="D67" s="110" t="s">
        <v>737</v>
      </c>
      <c r="E67" s="313"/>
      <c r="F67" s="313"/>
      <c r="G67" s="313"/>
      <c r="H67" s="313"/>
      <c r="I67" s="313"/>
      <c r="J67" s="314"/>
      <c r="K67" s="111"/>
      <c r="L67" s="111"/>
      <c r="M67" s="111"/>
      <c r="N67" s="111"/>
      <c r="O67" s="111"/>
      <c r="P67" s="111"/>
      <c r="Q67" s="111"/>
      <c r="R67" s="111"/>
      <c r="S67" s="111"/>
      <c r="T67" s="111"/>
      <c r="U67" s="111"/>
      <c r="V67" s="358"/>
      <c r="W67" s="380"/>
      <c r="X67" s="111"/>
      <c r="Y67" s="112"/>
      <c r="Z67" s="113"/>
      <c r="AA67" s="113"/>
      <c r="AB67" s="113"/>
      <c r="AC67" s="113"/>
      <c r="AE67" s="114"/>
      <c r="AF67" s="114"/>
      <c r="AG67" s="114"/>
      <c r="AH67" s="112"/>
      <c r="AI67" s="113"/>
      <c r="AK67" s="114"/>
      <c r="AL67" s="114"/>
      <c r="AM67" s="114"/>
      <c r="AN67" s="112"/>
      <c r="AO67" s="113"/>
      <c r="AQ67" s="114"/>
      <c r="AR67" s="114"/>
      <c r="AS67" s="114"/>
      <c r="AT67" s="112"/>
      <c r="AU67" s="113"/>
      <c r="AW67" s="114"/>
      <c r="AX67" s="114"/>
      <c r="AY67" s="114"/>
      <c r="AZ67" s="112"/>
      <c r="BA67" s="113"/>
    </row>
    <row r="68" spans="1:53" ht="17.100000000000001" customHeight="1" x14ac:dyDescent="0.25">
      <c r="A68" s="102"/>
      <c r="B68" s="118"/>
      <c r="C68" s="118"/>
      <c r="D68" s="103" t="s">
        <v>394</v>
      </c>
      <c r="E68" s="108" t="s">
        <v>35</v>
      </c>
      <c r="F68" s="108"/>
      <c r="G68" s="108"/>
      <c r="H68" s="258"/>
      <c r="I68" s="232"/>
      <c r="J68" s="152"/>
      <c r="K68" s="152"/>
      <c r="L68" s="111"/>
      <c r="M68" s="111"/>
      <c r="N68" s="60"/>
      <c r="O68" s="60">
        <v>8</v>
      </c>
      <c r="P68" s="17">
        <f>SUM(N68:O68)</f>
        <v>8</v>
      </c>
      <c r="Q68" s="60">
        <v>1</v>
      </c>
      <c r="R68" s="60">
        <v>7</v>
      </c>
      <c r="S68" s="17">
        <f>SUM(Q68:R68)</f>
        <v>8</v>
      </c>
      <c r="T68" s="60"/>
      <c r="U68" s="60"/>
      <c r="V68" s="359">
        <f>SUM(T68:U68)</f>
        <v>0</v>
      </c>
      <c r="W68" s="391">
        <f t="shared" ref="W68:W72" si="66">J68+K68+N68+Q68+T68</f>
        <v>1</v>
      </c>
      <c r="X68" s="17">
        <f t="shared" ref="X68:X72" si="67">L68+O68+R68+U68</f>
        <v>15</v>
      </c>
      <c r="Y68" s="18">
        <f>SUM(W68:X68)</f>
        <v>16</v>
      </c>
      <c r="Z68" s="19">
        <f>IF(Y$73=0,0,Y68/Y$73)</f>
        <v>1</v>
      </c>
      <c r="AA68" s="19"/>
      <c r="AB68" s="19"/>
      <c r="AC68" s="20"/>
      <c r="AE68" s="111"/>
      <c r="AF68" s="111"/>
      <c r="AG68" s="111"/>
      <c r="AH68" s="112"/>
      <c r="AI68" s="113"/>
      <c r="AK68" s="111"/>
      <c r="AL68" s="111"/>
      <c r="AM68" s="111"/>
      <c r="AN68" s="112"/>
      <c r="AO68" s="113"/>
      <c r="AQ68" s="17"/>
      <c r="AR68" s="17"/>
      <c r="AS68" s="17"/>
      <c r="AT68" s="18">
        <f t="shared" ref="AT68:AT72" si="68">W68</f>
        <v>1</v>
      </c>
      <c r="AU68" s="19">
        <f>IF(AT$73=0,0,AT68/AT$73)</f>
        <v>1</v>
      </c>
      <c r="AW68" s="17"/>
      <c r="AX68" s="17"/>
      <c r="AY68" s="17"/>
      <c r="AZ68" s="18">
        <f t="shared" ref="AZ68:AZ72" si="69">X68</f>
        <v>15</v>
      </c>
      <c r="BA68" s="19">
        <f>IF(AZ$73=0,0,AZ68/AZ$73)</f>
        <v>1</v>
      </c>
    </row>
    <row r="69" spans="1:53" ht="17.100000000000001" customHeight="1" x14ac:dyDescent="0.25">
      <c r="A69" s="102"/>
      <c r="B69" s="118"/>
      <c r="C69" s="118"/>
      <c r="D69" s="103" t="s">
        <v>395</v>
      </c>
      <c r="E69" s="108" t="s">
        <v>37</v>
      </c>
      <c r="F69" s="108"/>
      <c r="G69" s="108"/>
      <c r="H69" s="258"/>
      <c r="I69" s="232"/>
      <c r="J69" s="152"/>
      <c r="K69" s="152"/>
      <c r="L69" s="111"/>
      <c r="M69" s="111"/>
      <c r="N69" s="61"/>
      <c r="O69" s="61"/>
      <c r="P69" s="17">
        <f>SUM(N69:O69)</f>
        <v>0</v>
      </c>
      <c r="Q69" s="61"/>
      <c r="R69" s="61"/>
      <c r="S69" s="17">
        <f>SUM(Q69:R69)</f>
        <v>0</v>
      </c>
      <c r="T69" s="61"/>
      <c r="U69" s="61"/>
      <c r="V69" s="359">
        <f>SUM(T69:U69)</f>
        <v>0</v>
      </c>
      <c r="W69" s="391">
        <f t="shared" si="66"/>
        <v>0</v>
      </c>
      <c r="X69" s="17">
        <f t="shared" si="67"/>
        <v>0</v>
      </c>
      <c r="Y69" s="18">
        <f>SUM(W69:X69)</f>
        <v>0</v>
      </c>
      <c r="Z69" s="19">
        <f t="shared" ref="Z69:Z73" si="70">IF(Y$73=0,0,Y69/Y$73)</f>
        <v>0</v>
      </c>
      <c r="AA69" s="19"/>
      <c r="AB69" s="19"/>
      <c r="AC69" s="20"/>
      <c r="AE69" s="111"/>
      <c r="AF69" s="111"/>
      <c r="AG69" s="111"/>
      <c r="AH69" s="112"/>
      <c r="AI69" s="113"/>
      <c r="AK69" s="111"/>
      <c r="AL69" s="111"/>
      <c r="AM69" s="111"/>
      <c r="AN69" s="112"/>
      <c r="AO69" s="113"/>
      <c r="AQ69" s="17"/>
      <c r="AR69" s="17"/>
      <c r="AS69" s="17"/>
      <c r="AT69" s="18">
        <f t="shared" si="68"/>
        <v>0</v>
      </c>
      <c r="AU69" s="19">
        <f t="shared" ref="AU69:AU73" si="71">IF(AT$73=0,0,AT69/AT$73)</f>
        <v>0</v>
      </c>
      <c r="AW69" s="17"/>
      <c r="AX69" s="17"/>
      <c r="AY69" s="17"/>
      <c r="AZ69" s="18">
        <f t="shared" si="69"/>
        <v>0</v>
      </c>
      <c r="BA69" s="19">
        <f t="shared" ref="BA69:BA72" si="72">IF(AZ$65=0,0,AZ69/AZ$65)</f>
        <v>0</v>
      </c>
    </row>
    <row r="70" spans="1:53" ht="17.100000000000001" customHeight="1" x14ac:dyDescent="0.25">
      <c r="A70" s="102"/>
      <c r="B70" s="118"/>
      <c r="C70" s="118"/>
      <c r="D70" s="103" t="s">
        <v>396</v>
      </c>
      <c r="E70" s="108" t="s">
        <v>39</v>
      </c>
      <c r="F70" s="108"/>
      <c r="G70" s="108"/>
      <c r="H70" s="258"/>
      <c r="I70" s="232"/>
      <c r="J70" s="152"/>
      <c r="K70" s="152"/>
      <c r="L70" s="111"/>
      <c r="M70" s="111"/>
      <c r="N70" s="60"/>
      <c r="O70" s="60"/>
      <c r="P70" s="17">
        <f>SUM(N70:O70)</f>
        <v>0</v>
      </c>
      <c r="Q70" s="60"/>
      <c r="R70" s="60"/>
      <c r="S70" s="17">
        <f>SUM(Q70:R70)</f>
        <v>0</v>
      </c>
      <c r="T70" s="60"/>
      <c r="U70" s="60"/>
      <c r="V70" s="359">
        <f>SUM(T70:U70)</f>
        <v>0</v>
      </c>
      <c r="W70" s="391">
        <f t="shared" si="66"/>
        <v>0</v>
      </c>
      <c r="X70" s="17">
        <f t="shared" si="67"/>
        <v>0</v>
      </c>
      <c r="Y70" s="18">
        <f>SUM(W70:X70)</f>
        <v>0</v>
      </c>
      <c r="Z70" s="19">
        <f t="shared" si="70"/>
        <v>0</v>
      </c>
      <c r="AA70" s="19"/>
      <c r="AB70" s="19"/>
      <c r="AC70" s="20"/>
      <c r="AE70" s="111"/>
      <c r="AF70" s="111"/>
      <c r="AG70" s="111"/>
      <c r="AH70" s="112"/>
      <c r="AI70" s="113"/>
      <c r="AK70" s="111"/>
      <c r="AL70" s="111"/>
      <c r="AM70" s="111"/>
      <c r="AN70" s="112"/>
      <c r="AO70" s="113"/>
      <c r="AQ70" s="17"/>
      <c r="AR70" s="17"/>
      <c r="AS70" s="17"/>
      <c r="AT70" s="18">
        <f t="shared" si="68"/>
        <v>0</v>
      </c>
      <c r="AU70" s="19">
        <f t="shared" si="71"/>
        <v>0</v>
      </c>
      <c r="AW70" s="17"/>
      <c r="AX70" s="17"/>
      <c r="AY70" s="17"/>
      <c r="AZ70" s="18">
        <f t="shared" si="69"/>
        <v>0</v>
      </c>
      <c r="BA70" s="19">
        <f t="shared" si="72"/>
        <v>0</v>
      </c>
    </row>
    <row r="71" spans="1:53" ht="17.100000000000001" customHeight="1" x14ac:dyDescent="0.25">
      <c r="A71" s="102"/>
      <c r="B71" s="118"/>
      <c r="C71" s="118"/>
      <c r="D71" s="103" t="s">
        <v>397</v>
      </c>
      <c r="E71" s="108" t="s">
        <v>41</v>
      </c>
      <c r="F71" s="108"/>
      <c r="G71" s="108"/>
      <c r="H71" s="258"/>
      <c r="I71" s="232"/>
      <c r="J71" s="152"/>
      <c r="K71" s="152"/>
      <c r="L71" s="111"/>
      <c r="M71" s="111"/>
      <c r="N71" s="61"/>
      <c r="O71" s="61"/>
      <c r="P71" s="17">
        <f>SUM(N71:O71)</f>
        <v>0</v>
      </c>
      <c r="Q71" s="61"/>
      <c r="R71" s="61"/>
      <c r="S71" s="17">
        <f>SUM(Q71:R71)</f>
        <v>0</v>
      </c>
      <c r="T71" s="61"/>
      <c r="U71" s="61"/>
      <c r="V71" s="359">
        <f>SUM(T71:U71)</f>
        <v>0</v>
      </c>
      <c r="W71" s="391">
        <f t="shared" si="66"/>
        <v>0</v>
      </c>
      <c r="X71" s="17">
        <f t="shared" si="67"/>
        <v>0</v>
      </c>
      <c r="Y71" s="18">
        <f>SUM(W71:X71)</f>
        <v>0</v>
      </c>
      <c r="Z71" s="19">
        <f t="shared" si="70"/>
        <v>0</v>
      </c>
      <c r="AA71" s="19"/>
      <c r="AB71" s="19"/>
      <c r="AC71" s="20"/>
      <c r="AE71" s="111"/>
      <c r="AF71" s="111"/>
      <c r="AG71" s="111"/>
      <c r="AH71" s="112"/>
      <c r="AI71" s="113"/>
      <c r="AK71" s="111"/>
      <c r="AL71" s="111"/>
      <c r="AM71" s="111"/>
      <c r="AN71" s="112"/>
      <c r="AO71" s="113"/>
      <c r="AQ71" s="17"/>
      <c r="AR71" s="17"/>
      <c r="AS71" s="17"/>
      <c r="AT71" s="18">
        <f t="shared" si="68"/>
        <v>0</v>
      </c>
      <c r="AU71" s="19">
        <f t="shared" si="71"/>
        <v>0</v>
      </c>
      <c r="AW71" s="17"/>
      <c r="AX71" s="17"/>
      <c r="AY71" s="17"/>
      <c r="AZ71" s="18">
        <f t="shared" si="69"/>
        <v>0</v>
      </c>
      <c r="BA71" s="19">
        <f t="shared" si="72"/>
        <v>0</v>
      </c>
    </row>
    <row r="72" spans="1:53" ht="17.100000000000001" customHeight="1" x14ac:dyDescent="0.25">
      <c r="A72" s="102"/>
      <c r="B72" s="118"/>
      <c r="C72" s="118"/>
      <c r="D72" s="103" t="s">
        <v>398</v>
      </c>
      <c r="E72" s="108" t="s">
        <v>42</v>
      </c>
      <c r="F72" s="108"/>
      <c r="G72" s="108"/>
      <c r="H72" s="258"/>
      <c r="I72" s="232"/>
      <c r="J72" s="152"/>
      <c r="K72" s="152"/>
      <c r="L72" s="111"/>
      <c r="M72" s="111"/>
      <c r="N72" s="60"/>
      <c r="O72" s="60"/>
      <c r="P72" s="17">
        <f>SUM(N72:O72)</f>
        <v>0</v>
      </c>
      <c r="Q72" s="60"/>
      <c r="R72" s="60"/>
      <c r="S72" s="17">
        <f>SUM(Q72:R72)</f>
        <v>0</v>
      </c>
      <c r="T72" s="60"/>
      <c r="U72" s="60"/>
      <c r="V72" s="359">
        <f>SUM(T72:U72)</f>
        <v>0</v>
      </c>
      <c r="W72" s="391">
        <f t="shared" si="66"/>
        <v>0</v>
      </c>
      <c r="X72" s="17">
        <f t="shared" si="67"/>
        <v>0</v>
      </c>
      <c r="Y72" s="18">
        <f>SUM(W72:X72)</f>
        <v>0</v>
      </c>
      <c r="Z72" s="19">
        <f t="shared" si="70"/>
        <v>0</v>
      </c>
      <c r="AA72" s="19"/>
      <c r="AB72" s="19"/>
      <c r="AC72" s="20"/>
      <c r="AE72" s="111"/>
      <c r="AF72" s="111"/>
      <c r="AG72" s="111"/>
      <c r="AH72" s="112"/>
      <c r="AI72" s="113"/>
      <c r="AK72" s="111"/>
      <c r="AL72" s="111"/>
      <c r="AM72" s="111"/>
      <c r="AN72" s="112"/>
      <c r="AO72" s="113"/>
      <c r="AQ72" s="17"/>
      <c r="AR72" s="17"/>
      <c r="AS72" s="17"/>
      <c r="AT72" s="18">
        <f t="shared" si="68"/>
        <v>0</v>
      </c>
      <c r="AU72" s="19">
        <f t="shared" si="71"/>
        <v>0</v>
      </c>
      <c r="AW72" s="17"/>
      <c r="AX72" s="17"/>
      <c r="AY72" s="17"/>
      <c r="AZ72" s="18">
        <f t="shared" si="69"/>
        <v>0</v>
      </c>
      <c r="BA72" s="19">
        <f t="shared" si="72"/>
        <v>0</v>
      </c>
    </row>
    <row r="73" spans="1:53" ht="17.100000000000001" customHeight="1" x14ac:dyDescent="0.25">
      <c r="A73" s="40"/>
      <c r="B73" s="40"/>
      <c r="C73" s="77"/>
      <c r="D73" s="78"/>
      <c r="E73" s="78"/>
      <c r="F73" s="78"/>
      <c r="G73" s="78"/>
      <c r="H73" s="242"/>
      <c r="I73" s="230"/>
      <c r="J73" s="80"/>
      <c r="K73" s="80"/>
      <c r="L73" s="81"/>
      <c r="M73" s="81"/>
      <c r="N73" s="81">
        <f t="shared" ref="N73:X73" si="73">SUM(N68:N72)</f>
        <v>0</v>
      </c>
      <c r="O73" s="81">
        <f t="shared" si="73"/>
        <v>8</v>
      </c>
      <c r="P73" s="81">
        <f t="shared" si="73"/>
        <v>8</v>
      </c>
      <c r="Q73" s="81">
        <f t="shared" si="73"/>
        <v>1</v>
      </c>
      <c r="R73" s="81">
        <f t="shared" si="73"/>
        <v>7</v>
      </c>
      <c r="S73" s="81">
        <f t="shared" si="73"/>
        <v>8</v>
      </c>
      <c r="T73" s="81">
        <f t="shared" si="73"/>
        <v>0</v>
      </c>
      <c r="U73" s="81">
        <f t="shared" si="73"/>
        <v>0</v>
      </c>
      <c r="V73" s="81">
        <f t="shared" si="73"/>
        <v>0</v>
      </c>
      <c r="W73" s="381">
        <f t="shared" si="73"/>
        <v>1</v>
      </c>
      <c r="X73" s="82">
        <f t="shared" si="73"/>
        <v>15</v>
      </c>
      <c r="Y73" s="82">
        <f>SUM(Y68:Y72)</f>
        <v>16</v>
      </c>
      <c r="Z73" s="205">
        <f t="shared" si="70"/>
        <v>1</v>
      </c>
      <c r="AA73" s="205"/>
      <c r="AB73" s="205"/>
      <c r="AC73" s="83"/>
      <c r="AE73" s="81"/>
      <c r="AF73" s="81"/>
      <c r="AG73" s="81"/>
      <c r="AH73" s="82"/>
      <c r="AI73" s="66"/>
      <c r="AK73" s="81"/>
      <c r="AL73" s="81"/>
      <c r="AM73" s="81"/>
      <c r="AN73" s="82"/>
      <c r="AO73" s="66"/>
      <c r="AQ73" s="81"/>
      <c r="AR73" s="81"/>
      <c r="AS73" s="81"/>
      <c r="AT73" s="82">
        <f>SUM(AT68:AT72)</f>
        <v>1</v>
      </c>
      <c r="AU73" s="66">
        <f t="shared" si="71"/>
        <v>1</v>
      </c>
      <c r="AW73" s="81"/>
      <c r="AX73" s="81"/>
      <c r="AY73" s="81"/>
      <c r="AZ73" s="82">
        <f>SUM(AZ68:AZ72)</f>
        <v>15</v>
      </c>
      <c r="BA73" s="66">
        <f t="shared" ref="BA73" si="74">IF(AZ$73=0,0,AZ73/AZ$73)</f>
        <v>1</v>
      </c>
    </row>
    <row r="74" spans="1:53" s="117" customFormat="1" ht="17.100000000000001" customHeight="1" x14ac:dyDescent="0.25">
      <c r="A74" s="119"/>
      <c r="B74" s="119"/>
      <c r="C74" s="540"/>
      <c r="D74" s="212"/>
      <c r="E74" s="212"/>
      <c r="F74" s="212"/>
      <c r="G74" s="212"/>
      <c r="H74" s="242"/>
      <c r="I74" s="230"/>
      <c r="J74" s="17"/>
      <c r="K74" s="17"/>
      <c r="L74" s="17"/>
      <c r="M74" s="17"/>
      <c r="N74" s="17" t="str">
        <f>IF(N73=N$20,"OK","NOK")</f>
        <v>OK</v>
      </c>
      <c r="O74" s="17" t="str">
        <f>IF(O73=O$20,"OK","NOK")</f>
        <v>OK</v>
      </c>
      <c r="P74" s="17"/>
      <c r="Q74" s="17" t="str">
        <f>IF(Q73=Q$20,"OK","NOK")</f>
        <v>OK</v>
      </c>
      <c r="R74" s="17" t="str">
        <f>IF(R73=R$20,"OK","NOK")</f>
        <v>OK</v>
      </c>
      <c r="S74" s="17"/>
      <c r="T74" s="17" t="str">
        <f>IF(T73=T$20,"OK","NOK")</f>
        <v>OK</v>
      </c>
      <c r="U74" s="17" t="str">
        <f>IF(U73=U$20,"OK","NOK")</f>
        <v>OK</v>
      </c>
      <c r="V74" s="359"/>
      <c r="W74" s="382"/>
      <c r="X74" s="539"/>
      <c r="Y74" s="539"/>
      <c r="Z74" s="201"/>
      <c r="AA74" s="201"/>
      <c r="AB74" s="201"/>
      <c r="AC74" s="84"/>
      <c r="AE74" s="17"/>
      <c r="AF74" s="17"/>
      <c r="AG74" s="17"/>
      <c r="AH74" s="539"/>
      <c r="AI74" s="91"/>
      <c r="AK74" s="17"/>
      <c r="AL74" s="17"/>
      <c r="AM74" s="17"/>
      <c r="AN74" s="539"/>
      <c r="AO74" s="91"/>
      <c r="AQ74" s="17"/>
      <c r="AR74" s="17"/>
      <c r="AS74" s="17"/>
      <c r="AT74" s="539"/>
      <c r="AU74" s="91"/>
      <c r="AW74" s="17"/>
      <c r="AX74" s="17"/>
      <c r="AY74" s="17"/>
      <c r="AZ74" s="539"/>
      <c r="BA74" s="91"/>
    </row>
    <row r="75" spans="1:53" ht="17.100000000000001" customHeight="1" x14ac:dyDescent="0.25">
      <c r="A75" s="68"/>
      <c r="B75" s="41" t="s">
        <v>43</v>
      </c>
      <c r="C75" s="69" t="s">
        <v>44</v>
      </c>
      <c r="D75" s="50"/>
      <c r="E75" s="70"/>
      <c r="F75" s="70"/>
      <c r="G75" s="70"/>
      <c r="H75" s="119"/>
      <c r="J75" s="71"/>
      <c r="K75" s="71"/>
      <c r="L75" s="71"/>
      <c r="M75" s="71"/>
      <c r="N75" s="71"/>
      <c r="O75" s="71"/>
      <c r="P75" s="71"/>
      <c r="Q75" s="71"/>
      <c r="R75" s="71"/>
      <c r="S75" s="71"/>
      <c r="T75" s="71"/>
      <c r="U75" s="71"/>
      <c r="V75" s="355"/>
      <c r="W75" s="377"/>
      <c r="X75" s="71"/>
      <c r="Y75" s="72"/>
      <c r="Z75" s="73"/>
      <c r="AA75" s="73"/>
      <c r="AB75" s="73"/>
      <c r="AC75" s="73"/>
      <c r="AE75" s="71"/>
      <c r="AF75" s="71"/>
      <c r="AG75" s="71"/>
      <c r="AH75" s="72"/>
      <c r="AI75" s="73"/>
      <c r="AK75" s="71"/>
      <c r="AL75" s="71"/>
      <c r="AM75" s="71"/>
      <c r="AN75" s="72"/>
      <c r="AO75" s="73"/>
      <c r="AQ75" s="71"/>
      <c r="AR75" s="71"/>
      <c r="AS75" s="71"/>
      <c r="AT75" s="72"/>
      <c r="AU75" s="73"/>
      <c r="AW75" s="71"/>
      <c r="AX75" s="71"/>
      <c r="AY75" s="71"/>
      <c r="AZ75" s="72"/>
      <c r="BA75" s="73"/>
    </row>
    <row r="76" spans="1:53" ht="17.100000000000001" customHeight="1" x14ac:dyDescent="0.25">
      <c r="A76" s="102"/>
      <c r="B76" s="102"/>
      <c r="C76" s="103" t="s">
        <v>45</v>
      </c>
      <c r="D76" s="108" t="s">
        <v>46</v>
      </c>
      <c r="E76" s="108"/>
      <c r="F76" s="108"/>
      <c r="G76" s="108"/>
      <c r="H76" s="258"/>
      <c r="I76" s="232"/>
      <c r="J76" s="111"/>
      <c r="K76" s="111"/>
      <c r="L76" s="111"/>
      <c r="M76" s="111"/>
      <c r="N76" s="111"/>
      <c r="O76" s="111"/>
      <c r="P76" s="111"/>
      <c r="Q76" s="111"/>
      <c r="R76" s="111"/>
      <c r="S76" s="111"/>
      <c r="T76" s="111"/>
      <c r="U76" s="111"/>
      <c r="V76" s="358"/>
      <c r="W76" s="380"/>
      <c r="X76" s="111"/>
      <c r="Y76" s="112"/>
      <c r="Z76" s="113"/>
      <c r="AA76" s="113"/>
      <c r="AB76" s="113"/>
      <c r="AC76" s="113"/>
      <c r="AE76" s="114"/>
      <c r="AF76" s="114"/>
      <c r="AG76" s="114"/>
      <c r="AH76" s="112"/>
      <c r="AI76" s="113"/>
      <c r="AK76" s="114"/>
      <c r="AL76" s="114"/>
      <c r="AM76" s="114"/>
      <c r="AN76" s="112"/>
      <c r="AO76" s="113"/>
      <c r="AQ76" s="114"/>
      <c r="AR76" s="114"/>
      <c r="AS76" s="114"/>
      <c r="AT76" s="112"/>
      <c r="AU76" s="113"/>
      <c r="AW76" s="114"/>
      <c r="AX76" s="114"/>
      <c r="AY76" s="114"/>
      <c r="AZ76" s="112"/>
      <c r="BA76" s="113"/>
    </row>
    <row r="77" spans="1:53" ht="17.100000000000001" customHeight="1" x14ac:dyDescent="0.25">
      <c r="A77" s="102"/>
      <c r="B77" s="102"/>
      <c r="C77" s="102"/>
      <c r="D77" s="103" t="s">
        <v>47</v>
      </c>
      <c r="E77" s="108" t="s">
        <v>35</v>
      </c>
      <c r="F77" s="108"/>
      <c r="G77" s="108"/>
      <c r="H77" s="258"/>
      <c r="I77" s="232"/>
      <c r="J77" s="152"/>
      <c r="K77" s="152"/>
      <c r="L77" s="111"/>
      <c r="M77" s="111"/>
      <c r="N77" s="152"/>
      <c r="O77" s="111"/>
      <c r="P77" s="60">
        <v>1</v>
      </c>
      <c r="Q77" s="152"/>
      <c r="R77" s="111"/>
      <c r="S77" s="60">
        <v>1</v>
      </c>
      <c r="T77" s="152"/>
      <c r="U77" s="111"/>
      <c r="V77" s="361"/>
      <c r="W77" s="391"/>
      <c r="X77" s="17"/>
      <c r="Y77" s="18">
        <f>M77+P77+S77+V77</f>
        <v>2</v>
      </c>
      <c r="Z77" s="19">
        <f>IF(Y$81=0,0,Y77/Y$81)</f>
        <v>1</v>
      </c>
      <c r="AA77" s="19"/>
      <c r="AB77" s="19"/>
      <c r="AC77" s="20"/>
      <c r="AE77" s="111"/>
      <c r="AF77" s="111"/>
      <c r="AG77" s="111"/>
      <c r="AH77" s="545"/>
      <c r="AI77" s="131"/>
      <c r="AK77" s="111"/>
      <c r="AL77" s="111"/>
      <c r="AM77" s="111"/>
      <c r="AN77" s="545"/>
      <c r="AO77" s="131"/>
      <c r="AQ77" s="111"/>
      <c r="AR77" s="111"/>
      <c r="AS77" s="111"/>
      <c r="AT77" s="545"/>
      <c r="AU77" s="131"/>
      <c r="AW77" s="111"/>
      <c r="AX77" s="111"/>
      <c r="AY77" s="111"/>
      <c r="AZ77" s="545"/>
      <c r="BA77" s="131"/>
    </row>
    <row r="78" spans="1:53" ht="17.100000000000001" customHeight="1" x14ac:dyDescent="0.25">
      <c r="A78" s="102"/>
      <c r="B78" s="102"/>
      <c r="C78" s="102"/>
      <c r="D78" s="103" t="s">
        <v>48</v>
      </c>
      <c r="E78" s="108" t="s">
        <v>49</v>
      </c>
      <c r="F78" s="108"/>
      <c r="G78" s="108"/>
      <c r="H78" s="258"/>
      <c r="I78" s="232"/>
      <c r="J78" s="152"/>
      <c r="K78" s="152"/>
      <c r="L78" s="111"/>
      <c r="M78" s="111"/>
      <c r="N78" s="152"/>
      <c r="O78" s="111"/>
      <c r="P78" s="61"/>
      <c r="Q78" s="152"/>
      <c r="R78" s="111"/>
      <c r="S78" s="61"/>
      <c r="T78" s="152"/>
      <c r="U78" s="111"/>
      <c r="V78" s="362"/>
      <c r="W78" s="391"/>
      <c r="X78" s="17"/>
      <c r="Y78" s="18">
        <f t="shared" ref="Y78:Y80" si="75">M78+P78+S78+V78</f>
        <v>0</v>
      </c>
      <c r="Z78" s="19">
        <f t="shared" ref="Z78:Z81" si="76">IF(Y$81=0,0,Y78/Y$81)</f>
        <v>0</v>
      </c>
      <c r="AA78" s="19"/>
      <c r="AB78" s="19"/>
      <c r="AC78" s="20"/>
      <c r="AE78" s="111"/>
      <c r="AF78" s="111"/>
      <c r="AG78" s="111"/>
      <c r="AH78" s="545"/>
      <c r="AI78" s="131"/>
      <c r="AK78" s="111"/>
      <c r="AL78" s="111"/>
      <c r="AM78" s="111"/>
      <c r="AN78" s="545"/>
      <c r="AO78" s="131"/>
      <c r="AQ78" s="111"/>
      <c r="AR78" s="111"/>
      <c r="AS78" s="111"/>
      <c r="AT78" s="545"/>
      <c r="AU78" s="131"/>
      <c r="AW78" s="111"/>
      <c r="AX78" s="111"/>
      <c r="AY78" s="111"/>
      <c r="AZ78" s="545"/>
      <c r="BA78" s="131"/>
    </row>
    <row r="79" spans="1:53" ht="17.100000000000001" customHeight="1" x14ac:dyDescent="0.25">
      <c r="A79" s="102"/>
      <c r="B79" s="102"/>
      <c r="C79" s="102"/>
      <c r="D79" s="103" t="s">
        <v>50</v>
      </c>
      <c r="E79" s="108" t="s">
        <v>51</v>
      </c>
      <c r="F79" s="108"/>
      <c r="G79" s="108"/>
      <c r="H79" s="258"/>
      <c r="I79" s="232"/>
      <c r="J79" s="152"/>
      <c r="K79" s="152"/>
      <c r="L79" s="111"/>
      <c r="M79" s="111"/>
      <c r="N79" s="152"/>
      <c r="O79" s="111"/>
      <c r="P79" s="60"/>
      <c r="Q79" s="152"/>
      <c r="R79" s="111"/>
      <c r="S79" s="60"/>
      <c r="T79" s="152"/>
      <c r="U79" s="111"/>
      <c r="V79" s="361"/>
      <c r="W79" s="391"/>
      <c r="X79" s="17"/>
      <c r="Y79" s="18">
        <f t="shared" si="75"/>
        <v>0</v>
      </c>
      <c r="Z79" s="19">
        <f t="shared" si="76"/>
        <v>0</v>
      </c>
      <c r="AA79" s="19"/>
      <c r="AB79" s="19"/>
      <c r="AC79" s="20"/>
      <c r="AE79" s="111"/>
      <c r="AF79" s="111"/>
      <c r="AG79" s="111"/>
      <c r="AH79" s="545"/>
      <c r="AI79" s="131"/>
      <c r="AK79" s="111"/>
      <c r="AL79" s="111"/>
      <c r="AM79" s="111"/>
      <c r="AN79" s="545"/>
      <c r="AO79" s="131"/>
      <c r="AQ79" s="111"/>
      <c r="AR79" s="111"/>
      <c r="AS79" s="111"/>
      <c r="AT79" s="545"/>
      <c r="AU79" s="131"/>
      <c r="AW79" s="111"/>
      <c r="AX79" s="111"/>
      <c r="AY79" s="111"/>
      <c r="AZ79" s="545"/>
      <c r="BA79" s="131"/>
    </row>
    <row r="80" spans="1:53" ht="17.100000000000001" customHeight="1" x14ac:dyDescent="0.25">
      <c r="A80" s="102"/>
      <c r="B80" s="102"/>
      <c r="C80" s="102"/>
      <c r="D80" s="103" t="s">
        <v>52</v>
      </c>
      <c r="E80" s="108" t="s">
        <v>53</v>
      </c>
      <c r="F80" s="108"/>
      <c r="G80" s="108"/>
      <c r="H80" s="258"/>
      <c r="I80" s="232"/>
      <c r="J80" s="152"/>
      <c r="K80" s="152"/>
      <c r="L80" s="111"/>
      <c r="M80" s="111"/>
      <c r="N80" s="152"/>
      <c r="O80" s="111"/>
      <c r="P80" s="61"/>
      <c r="Q80" s="152"/>
      <c r="R80" s="111"/>
      <c r="S80" s="61"/>
      <c r="T80" s="152"/>
      <c r="U80" s="111"/>
      <c r="V80" s="362"/>
      <c r="W80" s="391"/>
      <c r="X80" s="17"/>
      <c r="Y80" s="18">
        <f t="shared" si="75"/>
        <v>0</v>
      </c>
      <c r="Z80" s="19">
        <f t="shared" si="76"/>
        <v>0</v>
      </c>
      <c r="AA80" s="19"/>
      <c r="AB80" s="19"/>
      <c r="AC80" s="20"/>
      <c r="AE80" s="111"/>
      <c r="AF80" s="111"/>
      <c r="AG80" s="111"/>
      <c r="AH80" s="545"/>
      <c r="AI80" s="131"/>
      <c r="AK80" s="111"/>
      <c r="AL80" s="111"/>
      <c r="AM80" s="111"/>
      <c r="AN80" s="545"/>
      <c r="AO80" s="131"/>
      <c r="AQ80" s="111"/>
      <c r="AR80" s="111"/>
      <c r="AS80" s="111"/>
      <c r="AT80" s="545"/>
      <c r="AU80" s="131"/>
      <c r="AW80" s="111"/>
      <c r="AX80" s="111"/>
      <c r="AY80" s="111"/>
      <c r="AZ80" s="545"/>
      <c r="BA80" s="131"/>
    </row>
    <row r="81" spans="1:53" ht="17.100000000000001" customHeight="1" x14ac:dyDescent="0.25">
      <c r="A81" s="40"/>
      <c r="B81" s="40"/>
      <c r="C81" s="77"/>
      <c r="D81" s="78"/>
      <c r="E81" s="78"/>
      <c r="F81" s="78"/>
      <c r="G81" s="78"/>
      <c r="H81" s="242"/>
      <c r="I81" s="230"/>
      <c r="J81" s="80"/>
      <c r="K81" s="80"/>
      <c r="L81" s="81"/>
      <c r="M81" s="81"/>
      <c r="N81" s="81"/>
      <c r="O81" s="81"/>
      <c r="P81" s="82">
        <f>SUM(P77:P80)</f>
        <v>1</v>
      </c>
      <c r="Q81" s="81"/>
      <c r="R81" s="81"/>
      <c r="S81" s="82">
        <f>SUM(S77:S80)</f>
        <v>1</v>
      </c>
      <c r="T81" s="81"/>
      <c r="U81" s="81"/>
      <c r="V81" s="360">
        <f>SUM(V77:V80)</f>
        <v>0</v>
      </c>
      <c r="W81" s="381"/>
      <c r="X81" s="82"/>
      <c r="Y81" s="82">
        <f t="shared" ref="Y81" si="77">SUM(Y77:Y80)</f>
        <v>2</v>
      </c>
      <c r="Z81" s="205">
        <f t="shared" si="76"/>
        <v>1</v>
      </c>
      <c r="AA81" s="205"/>
      <c r="AB81" s="205"/>
      <c r="AC81" s="83"/>
      <c r="AE81" s="81"/>
      <c r="AF81" s="81"/>
      <c r="AG81" s="81"/>
      <c r="AH81" s="82"/>
      <c r="AI81" s="66"/>
      <c r="AK81" s="81"/>
      <c r="AL81" s="81"/>
      <c r="AM81" s="81"/>
      <c r="AN81" s="82"/>
      <c r="AO81" s="66"/>
      <c r="AQ81" s="81"/>
      <c r="AR81" s="81"/>
      <c r="AS81" s="81"/>
      <c r="AT81" s="82"/>
      <c r="AU81" s="66"/>
      <c r="AW81" s="81"/>
      <c r="AX81" s="81"/>
      <c r="AY81" s="81"/>
      <c r="AZ81" s="82"/>
      <c r="BA81" s="66"/>
    </row>
    <row r="82" spans="1:53" s="117" customFormat="1" ht="17.100000000000001" customHeight="1" x14ac:dyDescent="0.25">
      <c r="A82" s="119"/>
      <c r="B82" s="119"/>
      <c r="C82" s="540"/>
      <c r="D82" s="212"/>
      <c r="E82" s="212"/>
      <c r="F82" s="212"/>
      <c r="G82" s="212"/>
      <c r="H82" s="242"/>
      <c r="I82" s="230"/>
      <c r="J82" s="17"/>
      <c r="K82" s="17"/>
      <c r="L82" s="17"/>
      <c r="M82" s="17"/>
      <c r="N82" s="17"/>
      <c r="O82" s="17"/>
      <c r="P82" s="359" t="str">
        <f>IF(P$20=0,"",IF(P81=1,"OK","NOK"))</f>
        <v>OK</v>
      </c>
      <c r="Q82" s="17"/>
      <c r="R82" s="17"/>
      <c r="S82" s="359" t="str">
        <f>IF(S$20=0,"",IF(S81=1,"OK","NOK"))</f>
        <v>OK</v>
      </c>
      <c r="T82" s="17"/>
      <c r="U82" s="17"/>
      <c r="V82" s="359" t="str">
        <f>IF(V$20=0,"",IF(V81=1,"OK","NOK"))</f>
        <v/>
      </c>
      <c r="W82" s="382"/>
      <c r="X82" s="539"/>
      <c r="Y82" s="539"/>
      <c r="Z82" s="201"/>
      <c r="AA82" s="201"/>
      <c r="AB82" s="201"/>
      <c r="AC82" s="84"/>
      <c r="AE82" s="17"/>
      <c r="AF82" s="17"/>
      <c r="AG82" s="17"/>
      <c r="AH82" s="539"/>
      <c r="AI82" s="91"/>
      <c r="AK82" s="17"/>
      <c r="AL82" s="17"/>
      <c r="AM82" s="17"/>
      <c r="AN82" s="539"/>
      <c r="AO82" s="91"/>
      <c r="AQ82" s="17"/>
      <c r="AR82" s="17"/>
      <c r="AS82" s="17"/>
      <c r="AT82" s="539"/>
      <c r="AU82" s="91"/>
      <c r="AW82" s="17"/>
      <c r="AX82" s="17"/>
      <c r="AY82" s="17"/>
      <c r="AZ82" s="539"/>
      <c r="BA82" s="91"/>
    </row>
    <row r="83" spans="1:53" ht="17.100000000000001" customHeight="1" x14ac:dyDescent="0.25">
      <c r="A83" s="102"/>
      <c r="B83" s="102"/>
      <c r="C83" s="103" t="s">
        <v>54</v>
      </c>
      <c r="D83" s="108" t="s">
        <v>55</v>
      </c>
      <c r="E83" s="108"/>
      <c r="F83" s="108"/>
      <c r="G83" s="108"/>
      <c r="H83" s="258"/>
      <c r="I83" s="232"/>
      <c r="J83" s="111"/>
      <c r="K83" s="111"/>
      <c r="L83" s="111"/>
      <c r="M83" s="111"/>
      <c r="N83" s="111"/>
      <c r="O83" s="111"/>
      <c r="P83" s="111"/>
      <c r="Q83" s="111"/>
      <c r="R83" s="111"/>
      <c r="S83" s="111"/>
      <c r="T83" s="111"/>
      <c r="U83" s="111"/>
      <c r="V83" s="358"/>
      <c r="W83" s="380"/>
      <c r="X83" s="111"/>
      <c r="Y83" s="112"/>
      <c r="Z83" s="113"/>
      <c r="AA83" s="113"/>
      <c r="AB83" s="113"/>
      <c r="AC83" s="113"/>
      <c r="AE83" s="114"/>
      <c r="AF83" s="114"/>
      <c r="AG83" s="114"/>
      <c r="AH83" s="112"/>
      <c r="AI83" s="113"/>
      <c r="AK83" s="114"/>
      <c r="AL83" s="114"/>
      <c r="AM83" s="114"/>
      <c r="AN83" s="112"/>
      <c r="AO83" s="113"/>
      <c r="AQ83" s="114"/>
      <c r="AR83" s="114"/>
      <c r="AS83" s="114"/>
      <c r="AT83" s="112"/>
      <c r="AU83" s="113"/>
      <c r="AW83" s="114"/>
      <c r="AX83" s="114"/>
      <c r="AY83" s="114"/>
      <c r="AZ83" s="112"/>
      <c r="BA83" s="113"/>
    </row>
    <row r="84" spans="1:53" ht="17.100000000000001" customHeight="1" x14ac:dyDescent="0.25">
      <c r="A84" s="102"/>
      <c r="B84" s="118"/>
      <c r="C84" s="118"/>
      <c r="D84" s="103" t="s">
        <v>56</v>
      </c>
      <c r="E84" s="108" t="s">
        <v>35</v>
      </c>
      <c r="F84" s="108"/>
      <c r="G84" s="108"/>
      <c r="H84" s="258"/>
      <c r="I84" s="232"/>
      <c r="J84" s="152"/>
      <c r="K84" s="152"/>
      <c r="L84" s="111"/>
      <c r="M84" s="111"/>
      <c r="N84" s="152"/>
      <c r="O84" s="111"/>
      <c r="P84" s="60">
        <v>1</v>
      </c>
      <c r="Q84" s="152"/>
      <c r="R84" s="111"/>
      <c r="S84" s="60">
        <v>1</v>
      </c>
      <c r="T84" s="152"/>
      <c r="U84" s="111"/>
      <c r="V84" s="361"/>
      <c r="W84" s="391"/>
      <c r="X84" s="17"/>
      <c r="Y84" s="18">
        <f>M84+P84+S84+V84</f>
        <v>2</v>
      </c>
      <c r="Z84" s="19">
        <f>IF(Y$88=0,0,Y84/Y$88)</f>
        <v>1</v>
      </c>
      <c r="AA84" s="19"/>
      <c r="AB84" s="19"/>
      <c r="AC84" s="20"/>
      <c r="AE84" s="111"/>
      <c r="AF84" s="111"/>
      <c r="AG84" s="111"/>
      <c r="AH84" s="545"/>
      <c r="AI84" s="131"/>
      <c r="AK84" s="111"/>
      <c r="AL84" s="111"/>
      <c r="AM84" s="111"/>
      <c r="AN84" s="545"/>
      <c r="AO84" s="131"/>
      <c r="AQ84" s="111"/>
      <c r="AR84" s="111"/>
      <c r="AS84" s="111"/>
      <c r="AT84" s="545"/>
      <c r="AU84" s="131"/>
      <c r="AW84" s="111"/>
      <c r="AX84" s="111"/>
      <c r="AY84" s="111"/>
      <c r="AZ84" s="545"/>
      <c r="BA84" s="131"/>
    </row>
    <row r="85" spans="1:53" ht="17.100000000000001" customHeight="1" x14ac:dyDescent="0.25">
      <c r="A85" s="102"/>
      <c r="B85" s="118"/>
      <c r="C85" s="118"/>
      <c r="D85" s="103" t="s">
        <v>57</v>
      </c>
      <c r="E85" s="108" t="s">
        <v>58</v>
      </c>
      <c r="F85" s="108"/>
      <c r="G85" s="108"/>
      <c r="H85" s="258"/>
      <c r="I85" s="232"/>
      <c r="J85" s="152"/>
      <c r="K85" s="152"/>
      <c r="L85" s="111"/>
      <c r="M85" s="111"/>
      <c r="N85" s="152"/>
      <c r="O85" s="111"/>
      <c r="P85" s="61"/>
      <c r="Q85" s="152"/>
      <c r="R85" s="111"/>
      <c r="S85" s="61"/>
      <c r="T85" s="152"/>
      <c r="U85" s="111"/>
      <c r="V85" s="362"/>
      <c r="W85" s="391"/>
      <c r="X85" s="17"/>
      <c r="Y85" s="18">
        <f t="shared" ref="Y85:Y87" si="78">M85+P85+S85+V85</f>
        <v>0</v>
      </c>
      <c r="Z85" s="19">
        <f t="shared" ref="Z85:Z88" si="79">IF(Y$88=0,0,Y85/Y$88)</f>
        <v>0</v>
      </c>
      <c r="AA85" s="19"/>
      <c r="AB85" s="19"/>
      <c r="AC85" s="20"/>
      <c r="AE85" s="111"/>
      <c r="AF85" s="111"/>
      <c r="AG85" s="111"/>
      <c r="AH85" s="545"/>
      <c r="AI85" s="131"/>
      <c r="AK85" s="111"/>
      <c r="AL85" s="111"/>
      <c r="AM85" s="111"/>
      <c r="AN85" s="545"/>
      <c r="AO85" s="131"/>
      <c r="AQ85" s="111"/>
      <c r="AR85" s="111"/>
      <c r="AS85" s="111"/>
      <c r="AT85" s="545"/>
      <c r="AU85" s="131"/>
      <c r="AW85" s="111"/>
      <c r="AX85" s="111"/>
      <c r="AY85" s="111"/>
      <c r="AZ85" s="545"/>
      <c r="BA85" s="131"/>
    </row>
    <row r="86" spans="1:53" ht="17.100000000000001" customHeight="1" x14ac:dyDescent="0.25">
      <c r="A86" s="102"/>
      <c r="B86" s="118"/>
      <c r="C86" s="118"/>
      <c r="D86" s="103" t="s">
        <v>59</v>
      </c>
      <c r="E86" s="108" t="s">
        <v>60</v>
      </c>
      <c r="F86" s="108"/>
      <c r="G86" s="108"/>
      <c r="H86" s="258"/>
      <c r="I86" s="232"/>
      <c r="J86" s="152"/>
      <c r="K86" s="152"/>
      <c r="L86" s="111"/>
      <c r="M86" s="111"/>
      <c r="N86" s="152"/>
      <c r="O86" s="111"/>
      <c r="P86" s="60"/>
      <c r="Q86" s="152"/>
      <c r="R86" s="111"/>
      <c r="S86" s="60"/>
      <c r="T86" s="152"/>
      <c r="U86" s="111"/>
      <c r="V86" s="361"/>
      <c r="W86" s="391"/>
      <c r="X86" s="17"/>
      <c r="Y86" s="18">
        <f t="shared" si="78"/>
        <v>0</v>
      </c>
      <c r="Z86" s="19">
        <f t="shared" si="79"/>
        <v>0</v>
      </c>
      <c r="AA86" s="19"/>
      <c r="AB86" s="19"/>
      <c r="AC86" s="20"/>
      <c r="AE86" s="111"/>
      <c r="AF86" s="111"/>
      <c r="AG86" s="111"/>
      <c r="AH86" s="545"/>
      <c r="AI86" s="131"/>
      <c r="AK86" s="111"/>
      <c r="AL86" s="111"/>
      <c r="AM86" s="111"/>
      <c r="AN86" s="545"/>
      <c r="AO86" s="131"/>
      <c r="AQ86" s="111"/>
      <c r="AR86" s="111"/>
      <c r="AS86" s="111"/>
      <c r="AT86" s="545"/>
      <c r="AU86" s="131"/>
      <c r="AW86" s="111"/>
      <c r="AX86" s="111"/>
      <c r="AY86" s="111"/>
      <c r="AZ86" s="545"/>
      <c r="BA86" s="131"/>
    </row>
    <row r="87" spans="1:53" ht="17.100000000000001" customHeight="1" x14ac:dyDescent="0.25">
      <c r="A87" s="102"/>
      <c r="B87" s="118"/>
      <c r="C87" s="118"/>
      <c r="D87" s="103" t="s">
        <v>61</v>
      </c>
      <c r="E87" s="108" t="s">
        <v>62</v>
      </c>
      <c r="F87" s="108"/>
      <c r="G87" s="108"/>
      <c r="H87" s="258"/>
      <c r="I87" s="232"/>
      <c r="J87" s="152"/>
      <c r="K87" s="152"/>
      <c r="L87" s="111"/>
      <c r="M87" s="111"/>
      <c r="N87" s="152"/>
      <c r="O87" s="111"/>
      <c r="P87" s="61"/>
      <c r="Q87" s="152"/>
      <c r="R87" s="111"/>
      <c r="S87" s="61"/>
      <c r="T87" s="152"/>
      <c r="U87" s="111"/>
      <c r="V87" s="362"/>
      <c r="W87" s="391"/>
      <c r="X87" s="17"/>
      <c r="Y87" s="18">
        <f t="shared" si="78"/>
        <v>0</v>
      </c>
      <c r="Z87" s="19">
        <f t="shared" si="79"/>
        <v>0</v>
      </c>
      <c r="AA87" s="19"/>
      <c r="AB87" s="19"/>
      <c r="AC87" s="20"/>
      <c r="AE87" s="111"/>
      <c r="AF87" s="111"/>
      <c r="AG87" s="111"/>
      <c r="AH87" s="545"/>
      <c r="AI87" s="131"/>
      <c r="AK87" s="111"/>
      <c r="AL87" s="111"/>
      <c r="AM87" s="111"/>
      <c r="AN87" s="545"/>
      <c r="AO87" s="131"/>
      <c r="AQ87" s="111"/>
      <c r="AR87" s="111"/>
      <c r="AS87" s="111"/>
      <c r="AT87" s="545"/>
      <c r="AU87" s="131"/>
      <c r="AW87" s="111"/>
      <c r="AX87" s="111"/>
      <c r="AY87" s="111"/>
      <c r="AZ87" s="545"/>
      <c r="BA87" s="131"/>
    </row>
    <row r="88" spans="1:53" ht="17.100000000000001" customHeight="1" x14ac:dyDescent="0.25">
      <c r="A88" s="40"/>
      <c r="B88" s="40"/>
      <c r="C88" s="77"/>
      <c r="D88" s="78"/>
      <c r="E88" s="78"/>
      <c r="F88" s="78"/>
      <c r="G88" s="78"/>
      <c r="H88" s="242"/>
      <c r="I88" s="230"/>
      <c r="J88" s="80"/>
      <c r="K88" s="80"/>
      <c r="L88" s="81"/>
      <c r="M88" s="81"/>
      <c r="N88" s="81"/>
      <c r="O88" s="81"/>
      <c r="P88" s="82">
        <f>SUM(P84:P87)</f>
        <v>1</v>
      </c>
      <c r="Q88" s="81"/>
      <c r="R88" s="81"/>
      <c r="S88" s="82">
        <f>SUM(S84:S87)</f>
        <v>1</v>
      </c>
      <c r="T88" s="81"/>
      <c r="U88" s="81"/>
      <c r="V88" s="360">
        <f>SUM(V84:V87)</f>
        <v>0</v>
      </c>
      <c r="W88" s="381"/>
      <c r="X88" s="82"/>
      <c r="Y88" s="82">
        <f t="shared" ref="Y88" si="80">SUM(Y84:Y87)</f>
        <v>2</v>
      </c>
      <c r="Z88" s="205">
        <f t="shared" si="79"/>
        <v>1</v>
      </c>
      <c r="AA88" s="205"/>
      <c r="AB88" s="205"/>
      <c r="AC88" s="83"/>
      <c r="AE88" s="81"/>
      <c r="AF88" s="81"/>
      <c r="AG88" s="81"/>
      <c r="AH88" s="82"/>
      <c r="AI88" s="66"/>
      <c r="AK88" s="81"/>
      <c r="AL88" s="81"/>
      <c r="AM88" s="81"/>
      <c r="AN88" s="82"/>
      <c r="AO88" s="66"/>
      <c r="AQ88" s="81"/>
      <c r="AR88" s="81"/>
      <c r="AS88" s="81"/>
      <c r="AT88" s="82"/>
      <c r="AU88" s="66"/>
      <c r="AW88" s="81"/>
      <c r="AX88" s="81"/>
      <c r="AY88" s="81"/>
      <c r="AZ88" s="82"/>
      <c r="BA88" s="66"/>
    </row>
    <row r="89" spans="1:53" s="117" customFormat="1" ht="17.100000000000001" customHeight="1" x14ac:dyDescent="0.25">
      <c r="A89" s="119"/>
      <c r="B89" s="119"/>
      <c r="C89" s="540"/>
      <c r="D89" s="212"/>
      <c r="E89" s="212"/>
      <c r="F89" s="212"/>
      <c r="G89" s="212"/>
      <c r="H89" s="242"/>
      <c r="I89" s="230"/>
      <c r="J89" s="17"/>
      <c r="K89" s="17"/>
      <c r="L89" s="17"/>
      <c r="M89" s="17"/>
      <c r="N89" s="17"/>
      <c r="O89" s="17"/>
      <c r="P89" s="359" t="str">
        <f>IF(P$20=0,"",IF(P88=1,"OK","NOK"))</f>
        <v>OK</v>
      </c>
      <c r="Q89" s="17"/>
      <c r="R89" s="17"/>
      <c r="S89" s="359" t="str">
        <f>IF(S$20=0,"",IF(S88=1,"OK","NOK"))</f>
        <v>OK</v>
      </c>
      <c r="T89" s="17"/>
      <c r="U89" s="17"/>
      <c r="V89" s="359" t="str">
        <f>IF(V$20=0,"",IF(V88=1,"OK","NOK"))</f>
        <v/>
      </c>
      <c r="W89" s="382"/>
      <c r="X89" s="539"/>
      <c r="Y89" s="539"/>
      <c r="Z89" s="201"/>
      <c r="AA89" s="201"/>
      <c r="AB89" s="201"/>
      <c r="AC89" s="84"/>
      <c r="AE89" s="17"/>
      <c r="AF89" s="17"/>
      <c r="AG89" s="17"/>
      <c r="AH89" s="539"/>
      <c r="AI89" s="91"/>
      <c r="AK89" s="17"/>
      <c r="AL89" s="17"/>
      <c r="AM89" s="17"/>
      <c r="AN89" s="539"/>
      <c r="AO89" s="91"/>
      <c r="AQ89" s="17"/>
      <c r="AR89" s="17"/>
      <c r="AS89" s="17"/>
      <c r="AT89" s="539"/>
      <c r="AU89" s="91"/>
      <c r="AW89" s="17"/>
      <c r="AX89" s="17"/>
      <c r="AY89" s="17"/>
      <c r="AZ89" s="539"/>
      <c r="BA89" s="91"/>
    </row>
    <row r="90" spans="1:53" ht="17.100000000000001" customHeight="1" x14ac:dyDescent="0.25">
      <c r="A90" s="68"/>
      <c r="B90" s="41" t="s">
        <v>63</v>
      </c>
      <c r="C90" s="69" t="s">
        <v>64</v>
      </c>
      <c r="D90" s="50"/>
      <c r="E90" s="70"/>
      <c r="F90" s="70"/>
      <c r="G90" s="70"/>
      <c r="H90" s="119"/>
      <c r="J90" s="71"/>
      <c r="K90" s="71"/>
      <c r="L90" s="71"/>
      <c r="M90" s="71"/>
      <c r="N90" s="71"/>
      <c r="O90" s="71"/>
      <c r="P90" s="71"/>
      <c r="Q90" s="71"/>
      <c r="R90" s="71"/>
      <c r="S90" s="71"/>
      <c r="T90" s="71"/>
      <c r="U90" s="71"/>
      <c r="V90" s="355"/>
      <c r="W90" s="377"/>
      <c r="X90" s="71"/>
      <c r="Y90" s="72"/>
      <c r="Z90" s="73"/>
      <c r="AA90" s="73"/>
      <c r="AB90" s="73"/>
      <c r="AC90" s="73"/>
      <c r="AE90" s="71"/>
      <c r="AF90" s="71"/>
      <c r="AG90" s="71"/>
      <c r="AH90" s="72"/>
      <c r="AI90" s="73"/>
      <c r="AK90" s="71"/>
      <c r="AL90" s="71"/>
      <c r="AM90" s="71"/>
      <c r="AN90" s="72"/>
      <c r="AO90" s="73"/>
      <c r="AQ90" s="71"/>
      <c r="AR90" s="71"/>
      <c r="AS90" s="71"/>
      <c r="AT90" s="72"/>
      <c r="AU90" s="73"/>
      <c r="AW90" s="71"/>
      <c r="AX90" s="71"/>
      <c r="AY90" s="71"/>
      <c r="AZ90" s="72"/>
      <c r="BA90" s="73"/>
    </row>
    <row r="91" spans="1:53" ht="17.100000000000001" customHeight="1" x14ac:dyDescent="0.25">
      <c r="A91" s="102"/>
      <c r="B91" s="102"/>
      <c r="C91" s="103" t="s">
        <v>65</v>
      </c>
      <c r="D91" s="108" t="s">
        <v>66</v>
      </c>
      <c r="E91" s="108"/>
      <c r="F91" s="108"/>
      <c r="G91" s="108"/>
      <c r="H91" s="258"/>
      <c r="I91" s="232"/>
      <c r="J91" s="111"/>
      <c r="K91" s="111"/>
      <c r="L91" s="111"/>
      <c r="M91" s="111"/>
      <c r="N91" s="111"/>
      <c r="O91" s="111"/>
      <c r="P91" s="111"/>
      <c r="Q91" s="111"/>
      <c r="R91" s="111"/>
      <c r="S91" s="111"/>
      <c r="T91" s="111"/>
      <c r="U91" s="111"/>
      <c r="V91" s="358"/>
      <c r="W91" s="380"/>
      <c r="X91" s="111"/>
      <c r="Y91" s="112"/>
      <c r="Z91" s="113"/>
      <c r="AA91" s="113"/>
      <c r="AB91" s="113"/>
      <c r="AC91" s="113"/>
      <c r="AE91" s="114"/>
      <c r="AF91" s="114"/>
      <c r="AG91" s="114"/>
      <c r="AH91" s="112"/>
      <c r="AI91" s="113"/>
      <c r="AK91" s="114"/>
      <c r="AL91" s="114"/>
      <c r="AM91" s="114"/>
      <c r="AN91" s="112"/>
      <c r="AO91" s="113"/>
      <c r="AQ91" s="114"/>
      <c r="AR91" s="114"/>
      <c r="AS91" s="114"/>
      <c r="AT91" s="112"/>
      <c r="AU91" s="113"/>
      <c r="AW91" s="114"/>
      <c r="AX91" s="114"/>
      <c r="AY91" s="114"/>
      <c r="AZ91" s="112"/>
      <c r="BA91" s="113"/>
    </row>
    <row r="92" spans="1:53" ht="17.100000000000001" customHeight="1" x14ac:dyDescent="0.25">
      <c r="A92" s="102"/>
      <c r="B92" s="118"/>
      <c r="C92" s="118"/>
      <c r="D92" s="103" t="s">
        <v>67</v>
      </c>
      <c r="E92" s="110" t="s">
        <v>68</v>
      </c>
      <c r="F92" s="313"/>
      <c r="G92" s="314"/>
      <c r="H92" s="259"/>
      <c r="I92" s="233"/>
      <c r="J92" s="152"/>
      <c r="K92" s="152"/>
      <c r="L92" s="152"/>
      <c r="M92" s="152"/>
      <c r="N92" s="152"/>
      <c r="O92" s="111"/>
      <c r="P92" s="60"/>
      <c r="Q92" s="152"/>
      <c r="R92" s="111"/>
      <c r="S92" s="60">
        <v>1</v>
      </c>
      <c r="T92" s="152"/>
      <c r="U92" s="111"/>
      <c r="V92" s="361"/>
      <c r="W92" s="391"/>
      <c r="X92" s="17"/>
      <c r="Y92" s="18">
        <f>M92+P92+S92+V92</f>
        <v>1</v>
      </c>
      <c r="Z92" s="19">
        <f>IF(Y$96=0,0,Y92/Y$96)</f>
        <v>0.5</v>
      </c>
      <c r="AA92" s="19"/>
      <c r="AB92" s="19"/>
      <c r="AC92" s="20"/>
      <c r="AE92" s="111"/>
      <c r="AF92" s="111"/>
      <c r="AG92" s="111"/>
      <c r="AH92" s="545"/>
      <c r="AI92" s="131"/>
      <c r="AK92" s="111"/>
      <c r="AL92" s="111"/>
      <c r="AM92" s="111"/>
      <c r="AN92" s="545"/>
      <c r="AO92" s="131"/>
      <c r="AQ92" s="111"/>
      <c r="AR92" s="111"/>
      <c r="AS92" s="111"/>
      <c r="AT92" s="545"/>
      <c r="AU92" s="131"/>
      <c r="AW92" s="111"/>
      <c r="AX92" s="111"/>
      <c r="AY92" s="111"/>
      <c r="AZ92" s="545"/>
      <c r="BA92" s="131"/>
    </row>
    <row r="93" spans="1:53" ht="17.100000000000001" customHeight="1" x14ac:dyDescent="0.25">
      <c r="A93" s="102"/>
      <c r="B93" s="118"/>
      <c r="C93" s="118"/>
      <c r="D93" s="103" t="s">
        <v>69</v>
      </c>
      <c r="E93" s="110" t="s">
        <v>70</v>
      </c>
      <c r="F93" s="226"/>
      <c r="G93" s="226"/>
      <c r="H93" s="260"/>
      <c r="I93" s="234"/>
      <c r="J93" s="152"/>
      <c r="K93" s="152"/>
      <c r="L93" s="111"/>
      <c r="M93" s="111"/>
      <c r="N93" s="152"/>
      <c r="O93" s="111"/>
      <c r="P93" s="61">
        <v>1</v>
      </c>
      <c r="Q93" s="152"/>
      <c r="R93" s="111"/>
      <c r="S93" s="61"/>
      <c r="T93" s="152"/>
      <c r="U93" s="111"/>
      <c r="V93" s="362"/>
      <c r="W93" s="391"/>
      <c r="X93" s="17"/>
      <c r="Y93" s="18">
        <f t="shared" ref="Y93:Y95" si="81">M93+P93+S93+V93</f>
        <v>1</v>
      </c>
      <c r="Z93" s="19">
        <f t="shared" ref="Z93:Z96" si="82">IF(Y$96=0,0,Y93/Y$96)</f>
        <v>0.5</v>
      </c>
      <c r="AA93" s="19"/>
      <c r="AB93" s="19"/>
      <c r="AC93" s="20"/>
      <c r="AE93" s="111"/>
      <c r="AF93" s="111"/>
      <c r="AG93" s="111"/>
      <c r="AH93" s="545"/>
      <c r="AI93" s="131"/>
      <c r="AK93" s="111"/>
      <c r="AL93" s="111"/>
      <c r="AM93" s="111"/>
      <c r="AN93" s="545"/>
      <c r="AO93" s="131"/>
      <c r="AQ93" s="111"/>
      <c r="AR93" s="111"/>
      <c r="AS93" s="111"/>
      <c r="AT93" s="545"/>
      <c r="AU93" s="131"/>
      <c r="AW93" s="111"/>
      <c r="AX93" s="111"/>
      <c r="AY93" s="111"/>
      <c r="AZ93" s="545"/>
      <c r="BA93" s="131"/>
    </row>
    <row r="94" spans="1:53" ht="17.100000000000001" customHeight="1" x14ac:dyDescent="0.25">
      <c r="A94" s="102"/>
      <c r="B94" s="118"/>
      <c r="C94" s="118"/>
      <c r="D94" s="103" t="s">
        <v>71</v>
      </c>
      <c r="E94" s="110" t="s">
        <v>72</v>
      </c>
      <c r="F94" s="226"/>
      <c r="G94" s="226"/>
      <c r="H94" s="260"/>
      <c r="I94" s="234"/>
      <c r="J94" s="152"/>
      <c r="K94" s="152"/>
      <c r="L94" s="111"/>
      <c r="M94" s="111"/>
      <c r="N94" s="152"/>
      <c r="O94" s="111"/>
      <c r="P94" s="60"/>
      <c r="Q94" s="152"/>
      <c r="R94" s="111"/>
      <c r="S94" s="60"/>
      <c r="T94" s="152"/>
      <c r="U94" s="111"/>
      <c r="V94" s="361"/>
      <c r="W94" s="391"/>
      <c r="X94" s="17"/>
      <c r="Y94" s="18">
        <f t="shared" si="81"/>
        <v>0</v>
      </c>
      <c r="Z94" s="19">
        <f t="shared" si="82"/>
        <v>0</v>
      </c>
      <c r="AA94" s="19"/>
      <c r="AB94" s="19"/>
      <c r="AC94" s="20"/>
      <c r="AE94" s="111"/>
      <c r="AF94" s="111"/>
      <c r="AG94" s="111"/>
      <c r="AH94" s="545"/>
      <c r="AI94" s="131"/>
      <c r="AK94" s="111"/>
      <c r="AL94" s="111"/>
      <c r="AM94" s="111"/>
      <c r="AN94" s="545"/>
      <c r="AO94" s="131"/>
      <c r="AQ94" s="111"/>
      <c r="AR94" s="111"/>
      <c r="AS94" s="111"/>
      <c r="AT94" s="545"/>
      <c r="AU94" s="131"/>
      <c r="AW94" s="111"/>
      <c r="AX94" s="111"/>
      <c r="AY94" s="111"/>
      <c r="AZ94" s="545"/>
      <c r="BA94" s="131"/>
    </row>
    <row r="95" spans="1:53" ht="17.100000000000001" customHeight="1" x14ac:dyDescent="0.25">
      <c r="A95" s="102"/>
      <c r="B95" s="118"/>
      <c r="C95" s="118"/>
      <c r="D95" s="103" t="s">
        <v>73</v>
      </c>
      <c r="E95" s="278" t="s">
        <v>561</v>
      </c>
      <c r="F95" s="313"/>
      <c r="G95" s="314"/>
      <c r="H95" s="259"/>
      <c r="I95" s="233"/>
      <c r="J95" s="152"/>
      <c r="K95" s="152"/>
      <c r="L95" s="111"/>
      <c r="M95" s="111"/>
      <c r="N95" s="152"/>
      <c r="O95" s="111"/>
      <c r="P95" s="61"/>
      <c r="Q95" s="152"/>
      <c r="R95" s="111"/>
      <c r="S95" s="61"/>
      <c r="T95" s="152"/>
      <c r="U95" s="111"/>
      <c r="V95" s="362"/>
      <c r="W95" s="391"/>
      <c r="X95" s="17"/>
      <c r="Y95" s="18">
        <f t="shared" si="81"/>
        <v>0</v>
      </c>
      <c r="Z95" s="19">
        <f t="shared" si="82"/>
        <v>0</v>
      </c>
      <c r="AA95" s="19"/>
      <c r="AB95" s="19"/>
      <c r="AC95" s="20"/>
      <c r="AE95" s="111"/>
      <c r="AF95" s="111"/>
      <c r="AG95" s="111"/>
      <c r="AH95" s="545"/>
      <c r="AI95" s="131"/>
      <c r="AK95" s="111"/>
      <c r="AL95" s="111"/>
      <c r="AM95" s="111"/>
      <c r="AN95" s="545"/>
      <c r="AO95" s="131"/>
      <c r="AQ95" s="111"/>
      <c r="AR95" s="111"/>
      <c r="AS95" s="111"/>
      <c r="AT95" s="545"/>
      <c r="AU95" s="131"/>
      <c r="AW95" s="111"/>
      <c r="AX95" s="111"/>
      <c r="AY95" s="111"/>
      <c r="AZ95" s="545"/>
      <c r="BA95" s="131"/>
    </row>
    <row r="96" spans="1:53" ht="17.100000000000001" customHeight="1" x14ac:dyDescent="0.25">
      <c r="A96" s="40"/>
      <c r="B96" s="40"/>
      <c r="C96" s="77"/>
      <c r="D96" s="78"/>
      <c r="E96" s="78"/>
      <c r="F96" s="78"/>
      <c r="G96" s="78"/>
      <c r="H96" s="242"/>
      <c r="I96" s="230"/>
      <c r="J96" s="80"/>
      <c r="K96" s="80"/>
      <c r="L96" s="81"/>
      <c r="M96" s="81"/>
      <c r="N96" s="81"/>
      <c r="O96" s="81"/>
      <c r="P96" s="82">
        <f>SUM(P92:P95)</f>
        <v>1</v>
      </c>
      <c r="Q96" s="81"/>
      <c r="R96" s="81"/>
      <c r="S96" s="82">
        <f>SUM(S92:S95)</f>
        <v>1</v>
      </c>
      <c r="T96" s="81"/>
      <c r="U96" s="81"/>
      <c r="V96" s="360">
        <f>SUM(V92:V95)</f>
        <v>0</v>
      </c>
      <c r="W96" s="381"/>
      <c r="X96" s="82"/>
      <c r="Y96" s="82">
        <f t="shared" ref="Y96" si="83">SUM(Y92:Y95)</f>
        <v>2</v>
      </c>
      <c r="Z96" s="205">
        <f t="shared" si="82"/>
        <v>1</v>
      </c>
      <c r="AA96" s="205"/>
      <c r="AB96" s="205"/>
      <c r="AC96" s="83"/>
      <c r="AE96" s="81"/>
      <c r="AF96" s="81"/>
      <c r="AG96" s="81"/>
      <c r="AH96" s="82"/>
      <c r="AI96" s="66"/>
      <c r="AK96" s="81"/>
      <c r="AL96" s="81"/>
      <c r="AM96" s="81"/>
      <c r="AN96" s="82"/>
      <c r="AO96" s="66"/>
      <c r="AQ96" s="81"/>
      <c r="AR96" s="81"/>
      <c r="AS96" s="81"/>
      <c r="AT96" s="82"/>
      <c r="AU96" s="66"/>
      <c r="AW96" s="81"/>
      <c r="AX96" s="81"/>
      <c r="AY96" s="81"/>
      <c r="AZ96" s="82"/>
      <c r="BA96" s="66"/>
    </row>
    <row r="97" spans="1:53" s="117" customFormat="1" ht="17.100000000000001" customHeight="1" x14ac:dyDescent="0.25">
      <c r="A97" s="119"/>
      <c r="B97" s="119"/>
      <c r="C97" s="540"/>
      <c r="D97" s="212"/>
      <c r="E97" s="212"/>
      <c r="F97" s="212"/>
      <c r="G97" s="212"/>
      <c r="H97" s="242"/>
      <c r="I97" s="230"/>
      <c r="J97" s="17"/>
      <c r="K97" s="17"/>
      <c r="L97" s="17"/>
      <c r="M97" s="17"/>
      <c r="N97" s="17"/>
      <c r="O97" s="17"/>
      <c r="P97" s="359" t="str">
        <f>IF(P$20=0,"",IF(P96=1,"OK","NOK"))</f>
        <v>OK</v>
      </c>
      <c r="Q97" s="17"/>
      <c r="R97" s="17"/>
      <c r="S97" s="359" t="str">
        <f>IF(S$20=0,"",IF(S96=1,"OK","NOK"))</f>
        <v>OK</v>
      </c>
      <c r="T97" s="17"/>
      <c r="U97" s="17"/>
      <c r="V97" s="359" t="str">
        <f>IF(V$20=0,"",IF(V96=1,"OK","NOK"))</f>
        <v/>
      </c>
      <c r="W97" s="382"/>
      <c r="X97" s="539"/>
      <c r="Y97" s="539"/>
      <c r="Z97" s="201"/>
      <c r="AA97" s="201"/>
      <c r="AB97" s="201"/>
      <c r="AC97" s="84"/>
      <c r="AE97" s="17"/>
      <c r="AF97" s="17"/>
      <c r="AG97" s="17"/>
      <c r="AH97" s="539"/>
      <c r="AI97" s="91"/>
      <c r="AK97" s="17"/>
      <c r="AL97" s="17"/>
      <c r="AM97" s="17"/>
      <c r="AN97" s="539"/>
      <c r="AO97" s="91"/>
      <c r="AQ97" s="17"/>
      <c r="AR97" s="17"/>
      <c r="AS97" s="17"/>
      <c r="AT97" s="539"/>
      <c r="AU97" s="91"/>
      <c r="AW97" s="17"/>
      <c r="AX97" s="17"/>
      <c r="AY97" s="17"/>
      <c r="AZ97" s="539"/>
      <c r="BA97" s="91"/>
    </row>
    <row r="98" spans="1:53" ht="17.100000000000001" customHeight="1" x14ac:dyDescent="0.25">
      <c r="A98" s="68"/>
      <c r="B98" s="41" t="s">
        <v>74</v>
      </c>
      <c r="C98" s="69" t="s">
        <v>12</v>
      </c>
      <c r="D98" s="50"/>
      <c r="E98" s="70"/>
      <c r="F98" s="70"/>
      <c r="G98" s="70"/>
      <c r="H98" s="119"/>
      <c r="J98" s="71"/>
      <c r="K98" s="71"/>
      <c r="L98" s="71"/>
      <c r="M98" s="71"/>
      <c r="N98" s="71"/>
      <c r="O98" s="71"/>
      <c r="P98" s="71"/>
      <c r="Q98" s="71"/>
      <c r="R98" s="71"/>
      <c r="S98" s="71"/>
      <c r="T98" s="71"/>
      <c r="U98" s="71"/>
      <c r="V98" s="355"/>
      <c r="W98" s="377"/>
      <c r="X98" s="71"/>
      <c r="Y98" s="72"/>
      <c r="Z98" s="73"/>
      <c r="AA98" s="73"/>
      <c r="AB98" s="73"/>
      <c r="AC98" s="73"/>
      <c r="AE98" s="71"/>
      <c r="AF98" s="71"/>
      <c r="AG98" s="71"/>
      <c r="AH98" s="72"/>
      <c r="AI98" s="73"/>
      <c r="AK98" s="71"/>
      <c r="AL98" s="71"/>
      <c r="AM98" s="71"/>
      <c r="AN98" s="72"/>
      <c r="AO98" s="73"/>
      <c r="AQ98" s="71"/>
      <c r="AR98" s="71"/>
      <c r="AS98" s="71"/>
      <c r="AT98" s="72"/>
      <c r="AU98" s="73"/>
      <c r="AW98" s="71"/>
      <c r="AX98" s="71"/>
      <c r="AY98" s="71"/>
      <c r="AZ98" s="72"/>
      <c r="BA98" s="73"/>
    </row>
    <row r="99" spans="1:53" s="97" customFormat="1" ht="17.100000000000001" customHeight="1" x14ac:dyDescent="0.25">
      <c r="A99" s="119"/>
      <c r="B99" s="119"/>
      <c r="C99" s="120" t="s">
        <v>895</v>
      </c>
      <c r="D99" s="85"/>
      <c r="E99" s="75"/>
      <c r="F99" s="75"/>
      <c r="G99" s="75"/>
      <c r="H99" s="540"/>
      <c r="I99" s="229"/>
      <c r="J99" s="111"/>
      <c r="K99" s="111"/>
      <c r="L99" s="111"/>
      <c r="M99" s="111"/>
      <c r="N99" s="111"/>
      <c r="O99" s="111"/>
      <c r="P99" s="111"/>
      <c r="Q99" s="111"/>
      <c r="R99" s="111"/>
      <c r="S99" s="111"/>
      <c r="T99" s="111"/>
      <c r="U99" s="111"/>
      <c r="V99" s="358"/>
      <c r="W99" s="380"/>
      <c r="X99" s="111"/>
      <c r="Y99" s="112"/>
      <c r="Z99" s="113"/>
      <c r="AA99" s="113"/>
      <c r="AB99" s="113"/>
      <c r="AC99" s="113"/>
      <c r="AE99" s="114"/>
      <c r="AF99" s="114"/>
      <c r="AG99" s="114"/>
      <c r="AH99" s="112"/>
      <c r="AI99" s="113"/>
      <c r="AK99" s="114"/>
      <c r="AL99" s="114"/>
      <c r="AM99" s="114"/>
      <c r="AN99" s="112"/>
      <c r="AO99" s="113"/>
      <c r="AQ99" s="114"/>
      <c r="AR99" s="114"/>
      <c r="AS99" s="114"/>
      <c r="AT99" s="112"/>
      <c r="AU99" s="113"/>
      <c r="AW99" s="114"/>
      <c r="AX99" s="114"/>
      <c r="AY99" s="114"/>
      <c r="AZ99" s="112"/>
      <c r="BA99" s="113"/>
    </row>
    <row r="100" spans="1:53" s="97" customFormat="1" ht="17.100000000000001" customHeight="1" x14ac:dyDescent="0.25">
      <c r="A100" s="119"/>
      <c r="B100" s="119"/>
      <c r="C100" s="540"/>
      <c r="D100" s="121" t="s">
        <v>75</v>
      </c>
      <c r="E100" s="122"/>
      <c r="F100" s="122"/>
      <c r="G100" s="122"/>
      <c r="H100" s="540"/>
      <c r="I100" s="229"/>
      <c r="J100" s="123"/>
      <c r="K100" s="123"/>
      <c r="L100" s="123"/>
      <c r="M100" s="123"/>
      <c r="N100" s="123"/>
      <c r="O100" s="123"/>
      <c r="P100" s="123"/>
      <c r="Q100" s="123"/>
      <c r="R100" s="123"/>
      <c r="S100" s="123"/>
      <c r="T100" s="123"/>
      <c r="U100" s="123"/>
      <c r="V100" s="363"/>
      <c r="W100" s="383"/>
      <c r="X100" s="123"/>
      <c r="Y100" s="124"/>
      <c r="Z100" s="125"/>
      <c r="AA100" s="125"/>
      <c r="AB100" s="125"/>
      <c r="AC100" s="125"/>
      <c r="AE100" s="126"/>
      <c r="AF100" s="126"/>
      <c r="AG100" s="126"/>
      <c r="AH100" s="124"/>
      <c r="AI100" s="125"/>
      <c r="AK100" s="126"/>
      <c r="AL100" s="126"/>
      <c r="AM100" s="126"/>
      <c r="AN100" s="124"/>
      <c r="AO100" s="125"/>
      <c r="AQ100" s="126"/>
      <c r="AR100" s="126"/>
      <c r="AS100" s="126"/>
      <c r="AT100" s="124"/>
      <c r="AU100" s="125"/>
      <c r="AW100" s="126"/>
      <c r="AX100" s="126"/>
      <c r="AY100" s="126"/>
      <c r="AZ100" s="124"/>
      <c r="BA100" s="125"/>
    </row>
    <row r="101" spans="1:53" s="97" customFormat="1" ht="17.100000000000001" customHeight="1" x14ac:dyDescent="0.25">
      <c r="A101" s="137"/>
      <c r="B101" s="137"/>
      <c r="C101" s="928"/>
      <c r="D101" s="941" t="s">
        <v>1438</v>
      </c>
      <c r="E101" s="122"/>
      <c r="F101" s="122"/>
      <c r="G101" s="122"/>
      <c r="H101" s="928"/>
      <c r="I101" s="229"/>
      <c r="J101" s="123"/>
      <c r="K101" s="123"/>
      <c r="L101" s="123"/>
      <c r="M101" s="123"/>
      <c r="N101" s="123">
        <f>N40</f>
        <v>0</v>
      </c>
      <c r="O101" s="123">
        <f>O40</f>
        <v>0</v>
      </c>
      <c r="P101" s="942">
        <f>SUM(N101:O101)</f>
        <v>0</v>
      </c>
      <c r="Q101" s="123">
        <f>Q40</f>
        <v>0</v>
      </c>
      <c r="R101" s="123">
        <f>R40</f>
        <v>0</v>
      </c>
      <c r="S101" s="942">
        <f>SUM(Q101:R101)</f>
        <v>0</v>
      </c>
      <c r="T101" s="123">
        <f>T40</f>
        <v>0</v>
      </c>
      <c r="U101" s="123">
        <f>U40</f>
        <v>0</v>
      </c>
      <c r="V101" s="942">
        <f>SUM(T101:U101)</f>
        <v>0</v>
      </c>
      <c r="W101" s="383"/>
      <c r="X101" s="123"/>
      <c r="Y101" s="129"/>
      <c r="Z101" s="125"/>
      <c r="AA101" s="125"/>
      <c r="AB101" s="125"/>
      <c r="AC101" s="125"/>
      <c r="AE101" s="126"/>
      <c r="AF101" s="126"/>
      <c r="AG101" s="126"/>
      <c r="AH101" s="124"/>
      <c r="AI101" s="125"/>
      <c r="AK101" s="126"/>
      <c r="AL101" s="126"/>
      <c r="AM101" s="126"/>
      <c r="AN101" s="124"/>
      <c r="AO101" s="125"/>
      <c r="AQ101" s="126"/>
      <c r="AR101" s="126"/>
      <c r="AS101" s="126"/>
      <c r="AT101" s="124"/>
      <c r="AU101" s="125"/>
      <c r="AW101" s="126"/>
      <c r="AX101" s="126"/>
      <c r="AY101" s="126"/>
      <c r="AZ101" s="124"/>
      <c r="BA101" s="125"/>
    </row>
    <row r="102" spans="1:53" s="97" customFormat="1" ht="17.100000000000001" customHeight="1" x14ac:dyDescent="0.25">
      <c r="A102" s="137"/>
      <c r="B102" s="119"/>
      <c r="C102" s="928"/>
      <c r="D102" s="127" t="s">
        <v>76</v>
      </c>
      <c r="E102" s="128"/>
      <c r="F102" s="122"/>
      <c r="G102" s="122"/>
      <c r="H102" s="928"/>
      <c r="I102" s="229"/>
      <c r="J102" s="123"/>
      <c r="K102" s="123"/>
      <c r="L102" s="123"/>
      <c r="M102" s="123"/>
      <c r="N102" s="943">
        <f>N63</f>
        <v>0</v>
      </c>
      <c r="O102" s="943">
        <f>O63</f>
        <v>0</v>
      </c>
      <c r="P102" s="942">
        <f>SUM(N102:O102)</f>
        <v>0</v>
      </c>
      <c r="Q102" s="943">
        <f>Q63</f>
        <v>0</v>
      </c>
      <c r="R102" s="943">
        <f>R63</f>
        <v>0</v>
      </c>
      <c r="S102" s="942">
        <f>SUM(Q102:R102)</f>
        <v>0</v>
      </c>
      <c r="T102" s="943">
        <f>T63</f>
        <v>0</v>
      </c>
      <c r="U102" s="943">
        <f>U63</f>
        <v>0</v>
      </c>
      <c r="V102" s="942">
        <f>SUM(T102:U102)</f>
        <v>0</v>
      </c>
      <c r="W102" s="383"/>
      <c r="X102" s="123"/>
      <c r="Y102" s="129"/>
      <c r="Z102" s="125"/>
      <c r="AA102" s="125"/>
      <c r="AB102" s="125"/>
      <c r="AC102" s="125"/>
      <c r="AE102" s="123"/>
      <c r="AF102" s="123"/>
      <c r="AG102" s="123"/>
      <c r="AH102" s="124"/>
      <c r="AI102" s="125"/>
      <c r="AK102" s="123"/>
      <c r="AL102" s="123"/>
      <c r="AM102" s="123"/>
      <c r="AN102" s="124"/>
      <c r="AO102" s="125"/>
      <c r="AQ102" s="123"/>
      <c r="AR102" s="123"/>
      <c r="AS102" s="123"/>
      <c r="AT102" s="124"/>
      <c r="AU102" s="125"/>
      <c r="AW102" s="123"/>
      <c r="AX102" s="123"/>
      <c r="AY102" s="123"/>
      <c r="AZ102" s="124"/>
      <c r="BA102" s="125"/>
    </row>
    <row r="103" spans="1:53" s="97" customFormat="1" ht="17.100000000000001" customHeight="1" x14ac:dyDescent="0.25">
      <c r="A103" s="137"/>
      <c r="B103" s="119"/>
      <c r="C103" s="928"/>
      <c r="D103" s="127" t="s">
        <v>77</v>
      </c>
      <c r="E103" s="128"/>
      <c r="F103" s="122"/>
      <c r="G103" s="122"/>
      <c r="H103" s="928"/>
      <c r="I103" s="229"/>
      <c r="J103" s="123"/>
      <c r="K103" s="123"/>
      <c r="L103" s="123"/>
      <c r="M103" s="123"/>
      <c r="N103" s="943">
        <f>N64</f>
        <v>0</v>
      </c>
      <c r="O103" s="943">
        <f>O64</f>
        <v>0</v>
      </c>
      <c r="P103" s="942">
        <f t="shared" ref="P103:P107" si="84">SUM(N103:O103)</f>
        <v>0</v>
      </c>
      <c r="Q103" s="943">
        <f>Q64</f>
        <v>0</v>
      </c>
      <c r="R103" s="943">
        <f>R64</f>
        <v>0</v>
      </c>
      <c r="S103" s="942">
        <f t="shared" ref="S103:S107" si="85">SUM(Q103:R103)</f>
        <v>0</v>
      </c>
      <c r="T103" s="943">
        <f>T64</f>
        <v>0</v>
      </c>
      <c r="U103" s="943">
        <f>U64</f>
        <v>0</v>
      </c>
      <c r="V103" s="942">
        <f t="shared" ref="V103:V107" si="86">SUM(T103:U103)</f>
        <v>0</v>
      </c>
      <c r="W103" s="383"/>
      <c r="X103" s="123"/>
      <c r="Y103" s="129"/>
      <c r="Z103" s="125"/>
      <c r="AA103" s="125"/>
      <c r="AB103" s="125"/>
      <c r="AC103" s="125"/>
      <c r="AE103" s="123"/>
      <c r="AF103" s="123"/>
      <c r="AG103" s="123"/>
      <c r="AH103" s="124"/>
      <c r="AI103" s="125"/>
      <c r="AK103" s="123"/>
      <c r="AL103" s="123"/>
      <c r="AM103" s="123"/>
      <c r="AN103" s="124"/>
      <c r="AO103" s="125"/>
      <c r="AQ103" s="123"/>
      <c r="AR103" s="123"/>
      <c r="AS103" s="123"/>
      <c r="AT103" s="124"/>
      <c r="AU103" s="125"/>
      <c r="AW103" s="123"/>
      <c r="AX103" s="123"/>
      <c r="AY103" s="123"/>
      <c r="AZ103" s="124"/>
      <c r="BA103" s="125"/>
    </row>
    <row r="104" spans="1:53" s="97" customFormat="1" ht="17.100000000000001" customHeight="1" x14ac:dyDescent="0.25">
      <c r="A104" s="137"/>
      <c r="B104" s="119"/>
      <c r="C104" s="928"/>
      <c r="D104" s="127" t="s">
        <v>78</v>
      </c>
      <c r="E104" s="128"/>
      <c r="F104" s="122"/>
      <c r="G104" s="122"/>
      <c r="H104" s="928"/>
      <c r="I104" s="229"/>
      <c r="J104" s="123"/>
      <c r="K104" s="123"/>
      <c r="L104" s="123"/>
      <c r="M104" s="123"/>
      <c r="N104" s="943">
        <f>N71</f>
        <v>0</v>
      </c>
      <c r="O104" s="943">
        <f>O71</f>
        <v>0</v>
      </c>
      <c r="P104" s="942">
        <f t="shared" si="84"/>
        <v>0</v>
      </c>
      <c r="Q104" s="943">
        <f>Q71</f>
        <v>0</v>
      </c>
      <c r="R104" s="943">
        <f>R71</f>
        <v>0</v>
      </c>
      <c r="S104" s="942">
        <f t="shared" si="85"/>
        <v>0</v>
      </c>
      <c r="T104" s="943">
        <f>T71</f>
        <v>0</v>
      </c>
      <c r="U104" s="943">
        <f>U71</f>
        <v>0</v>
      </c>
      <c r="V104" s="942">
        <f t="shared" si="86"/>
        <v>0</v>
      </c>
      <c r="W104" s="383"/>
      <c r="X104" s="123"/>
      <c r="Y104" s="129"/>
      <c r="Z104" s="125"/>
      <c r="AA104" s="125"/>
      <c r="AB104" s="125"/>
      <c r="AC104" s="125"/>
      <c r="AE104" s="123"/>
      <c r="AF104" s="123"/>
      <c r="AG104" s="123"/>
      <c r="AH104" s="124"/>
      <c r="AI104" s="125"/>
      <c r="AK104" s="123"/>
      <c r="AL104" s="123"/>
      <c r="AM104" s="123"/>
      <c r="AN104" s="124"/>
      <c r="AO104" s="125"/>
      <c r="AQ104" s="123"/>
      <c r="AR104" s="123"/>
      <c r="AS104" s="123"/>
      <c r="AT104" s="124"/>
      <c r="AU104" s="125"/>
      <c r="AW104" s="123"/>
      <c r="AX104" s="123"/>
      <c r="AY104" s="123"/>
      <c r="AZ104" s="124"/>
      <c r="BA104" s="125"/>
    </row>
    <row r="105" spans="1:53" s="97" customFormat="1" ht="17.100000000000001" customHeight="1" x14ac:dyDescent="0.25">
      <c r="A105" s="137"/>
      <c r="B105" s="119"/>
      <c r="C105" s="928"/>
      <c r="D105" s="127" t="s">
        <v>79</v>
      </c>
      <c r="E105" s="122"/>
      <c r="F105" s="122"/>
      <c r="G105" s="122"/>
      <c r="H105" s="928"/>
      <c r="I105" s="229"/>
      <c r="J105" s="123"/>
      <c r="K105" s="123"/>
      <c r="L105" s="123"/>
      <c r="M105" s="123"/>
      <c r="N105" s="943">
        <f>N72</f>
        <v>0</v>
      </c>
      <c r="O105" s="943">
        <f>O72</f>
        <v>0</v>
      </c>
      <c r="P105" s="942">
        <f t="shared" si="84"/>
        <v>0</v>
      </c>
      <c r="Q105" s="943">
        <f>Q72</f>
        <v>0</v>
      </c>
      <c r="R105" s="943">
        <f>R72</f>
        <v>0</v>
      </c>
      <c r="S105" s="942">
        <f t="shared" si="85"/>
        <v>0</v>
      </c>
      <c r="T105" s="943">
        <f>T72</f>
        <v>0</v>
      </c>
      <c r="U105" s="943">
        <f>U72</f>
        <v>0</v>
      </c>
      <c r="V105" s="942">
        <f t="shared" si="86"/>
        <v>0</v>
      </c>
      <c r="W105" s="383"/>
      <c r="X105" s="123"/>
      <c r="Y105" s="129"/>
      <c r="Z105" s="125"/>
      <c r="AA105" s="125"/>
      <c r="AB105" s="125"/>
      <c r="AC105" s="125"/>
      <c r="AE105" s="123"/>
      <c r="AF105" s="123"/>
      <c r="AG105" s="123"/>
      <c r="AH105" s="124"/>
      <c r="AI105" s="125"/>
      <c r="AK105" s="123"/>
      <c r="AL105" s="123"/>
      <c r="AM105" s="123"/>
      <c r="AN105" s="124"/>
      <c r="AO105" s="125"/>
      <c r="AQ105" s="123"/>
      <c r="AR105" s="123"/>
      <c r="AS105" s="123"/>
      <c r="AT105" s="124"/>
      <c r="AU105" s="125"/>
      <c r="AW105" s="123"/>
      <c r="AX105" s="123"/>
      <c r="AY105" s="123"/>
      <c r="AZ105" s="124"/>
      <c r="BA105" s="125"/>
    </row>
    <row r="106" spans="1:53" s="97" customFormat="1" ht="17.100000000000001" customHeight="1" x14ac:dyDescent="0.25">
      <c r="A106" s="137"/>
      <c r="B106" s="137"/>
      <c r="C106" s="928"/>
      <c r="D106" s="127" t="s">
        <v>81</v>
      </c>
      <c r="E106" s="122"/>
      <c r="F106" s="122"/>
      <c r="G106" s="122"/>
      <c r="H106" s="928"/>
      <c r="I106" s="229"/>
      <c r="J106" s="123"/>
      <c r="K106" s="123"/>
      <c r="L106" s="123"/>
      <c r="M106" s="123"/>
      <c r="N106" s="943">
        <f>SUM(N101:N105)</f>
        <v>0</v>
      </c>
      <c r="O106" s="943">
        <f>SUM(O101:O105)</f>
        <v>0</v>
      </c>
      <c r="P106" s="942">
        <f t="shared" si="84"/>
        <v>0</v>
      </c>
      <c r="Q106" s="943">
        <f>SUM(Q101:Q105)</f>
        <v>0</v>
      </c>
      <c r="R106" s="943">
        <f>SUM(R101:R105)</f>
        <v>0</v>
      </c>
      <c r="S106" s="942">
        <f t="shared" si="85"/>
        <v>0</v>
      </c>
      <c r="T106" s="943">
        <f>SUM(T101:T105)</f>
        <v>0</v>
      </c>
      <c r="U106" s="943">
        <f>SUM(U101:U105)</f>
        <v>0</v>
      </c>
      <c r="V106" s="942">
        <f t="shared" si="86"/>
        <v>0</v>
      </c>
      <c r="W106" s="383"/>
      <c r="X106" s="123"/>
      <c r="Y106" s="129"/>
      <c r="Z106" s="125"/>
      <c r="AA106" s="125"/>
      <c r="AB106" s="125"/>
      <c r="AC106" s="125"/>
      <c r="AE106" s="123"/>
      <c r="AF106" s="123"/>
      <c r="AG106" s="123"/>
      <c r="AH106" s="124"/>
      <c r="AI106" s="125"/>
      <c r="AK106" s="123"/>
      <c r="AL106" s="123"/>
      <c r="AM106" s="123"/>
      <c r="AN106" s="124"/>
      <c r="AO106" s="125"/>
      <c r="AQ106" s="123"/>
      <c r="AR106" s="123"/>
      <c r="AS106" s="123"/>
      <c r="AT106" s="124"/>
      <c r="AU106" s="125"/>
      <c r="AW106" s="123"/>
      <c r="AX106" s="123"/>
      <c r="AY106" s="123"/>
      <c r="AZ106" s="124"/>
      <c r="BA106" s="125"/>
    </row>
    <row r="107" spans="1:53" s="97" customFormat="1" ht="17.100000000000001" customHeight="1" x14ac:dyDescent="0.25">
      <c r="A107" s="137"/>
      <c r="B107" s="137"/>
      <c r="C107" s="928"/>
      <c r="D107" s="127" t="s">
        <v>1439</v>
      </c>
      <c r="E107" s="122"/>
      <c r="F107" s="122"/>
      <c r="G107" s="122"/>
      <c r="H107" s="928"/>
      <c r="I107" s="229"/>
      <c r="J107" s="123"/>
      <c r="K107" s="123"/>
      <c r="L107" s="123"/>
      <c r="M107" s="123"/>
      <c r="N107" s="943">
        <f>N20*3</f>
        <v>0</v>
      </c>
      <c r="O107" s="943">
        <f>O20*3</f>
        <v>24</v>
      </c>
      <c r="P107" s="942">
        <f t="shared" si="84"/>
        <v>24</v>
      </c>
      <c r="Q107" s="943">
        <f>Q20*3</f>
        <v>3</v>
      </c>
      <c r="R107" s="943">
        <f>R20*3</f>
        <v>21</v>
      </c>
      <c r="S107" s="942">
        <f t="shared" si="85"/>
        <v>24</v>
      </c>
      <c r="T107" s="943">
        <f>T20*3</f>
        <v>0</v>
      </c>
      <c r="U107" s="943">
        <f>U20*3</f>
        <v>0</v>
      </c>
      <c r="V107" s="942">
        <f t="shared" si="86"/>
        <v>0</v>
      </c>
      <c r="W107" s="383"/>
      <c r="X107" s="123"/>
      <c r="Y107" s="129"/>
      <c r="Z107" s="125"/>
      <c r="AA107" s="125"/>
      <c r="AB107" s="125"/>
      <c r="AC107" s="125"/>
      <c r="AE107" s="123"/>
      <c r="AF107" s="123"/>
      <c r="AG107" s="123"/>
      <c r="AH107" s="124"/>
      <c r="AI107" s="125"/>
      <c r="AK107" s="123"/>
      <c r="AL107" s="123"/>
      <c r="AM107" s="123"/>
      <c r="AN107" s="124"/>
      <c r="AO107" s="125"/>
      <c r="AQ107" s="123"/>
      <c r="AR107" s="123"/>
      <c r="AS107" s="123"/>
      <c r="AT107" s="124"/>
      <c r="AU107" s="125"/>
      <c r="AW107" s="123"/>
      <c r="AX107" s="123"/>
      <c r="AY107" s="123"/>
      <c r="AZ107" s="124"/>
      <c r="BA107" s="125"/>
    </row>
    <row r="108" spans="1:53" s="97" customFormat="1" ht="17.100000000000001" customHeight="1" x14ac:dyDescent="0.25">
      <c r="A108" s="137"/>
      <c r="B108" s="137"/>
      <c r="C108" s="928"/>
      <c r="D108" s="127" t="s">
        <v>1440</v>
      </c>
      <c r="E108" s="122"/>
      <c r="F108" s="122"/>
      <c r="G108" s="122"/>
      <c r="H108" s="928"/>
      <c r="I108" s="229"/>
      <c r="J108" s="123"/>
      <c r="K108" s="123"/>
      <c r="L108" s="123"/>
      <c r="M108" s="123"/>
      <c r="N108" s="130">
        <f>IF(N107=0,0,N106/N107)</f>
        <v>0</v>
      </c>
      <c r="O108" s="130">
        <f t="shared" ref="O108:V108" si="87">IF(O107=0,0,O106/O107)</f>
        <v>0</v>
      </c>
      <c r="P108" s="130">
        <f t="shared" si="87"/>
        <v>0</v>
      </c>
      <c r="Q108" s="130">
        <f t="shared" si="87"/>
        <v>0</v>
      </c>
      <c r="R108" s="130">
        <f t="shared" si="87"/>
        <v>0</v>
      </c>
      <c r="S108" s="130">
        <f t="shared" si="87"/>
        <v>0</v>
      </c>
      <c r="T108" s="130">
        <f t="shared" si="87"/>
        <v>0</v>
      </c>
      <c r="U108" s="130">
        <f t="shared" si="87"/>
        <v>0</v>
      </c>
      <c r="V108" s="130">
        <f t="shared" si="87"/>
        <v>0</v>
      </c>
      <c r="W108" s="383"/>
      <c r="X108" s="123"/>
      <c r="Y108" s="129"/>
      <c r="Z108" s="125"/>
      <c r="AA108" s="125"/>
      <c r="AB108" s="125"/>
      <c r="AC108" s="125"/>
      <c r="AE108" s="123"/>
      <c r="AF108" s="123"/>
      <c r="AG108" s="123"/>
      <c r="AH108" s="124"/>
      <c r="AI108" s="125"/>
      <c r="AK108" s="123"/>
      <c r="AL108" s="123"/>
      <c r="AM108" s="123"/>
      <c r="AN108" s="124"/>
      <c r="AO108" s="125"/>
      <c r="AQ108" s="123"/>
      <c r="AR108" s="123"/>
      <c r="AS108" s="123"/>
      <c r="AT108" s="124"/>
      <c r="AU108" s="125"/>
      <c r="AW108" s="123"/>
      <c r="AX108" s="123"/>
      <c r="AY108" s="123"/>
      <c r="AZ108" s="124"/>
      <c r="BA108" s="125"/>
    </row>
    <row r="109" spans="1:53" s="97" customFormat="1" ht="17.100000000000001" customHeight="1" x14ac:dyDescent="0.25">
      <c r="A109" s="137"/>
      <c r="B109" s="119"/>
      <c r="C109" s="103" t="s">
        <v>80</v>
      </c>
      <c r="D109" s="85" t="s">
        <v>896</v>
      </c>
      <c r="E109" s="75"/>
      <c r="F109" s="75"/>
      <c r="G109" s="75"/>
      <c r="H109" s="1310"/>
      <c r="I109" s="229"/>
      <c r="J109" s="1309"/>
      <c r="K109" s="1309"/>
      <c r="L109" s="1309"/>
      <c r="M109" s="1309"/>
      <c r="N109" s="1309"/>
      <c r="O109" s="1309"/>
      <c r="P109" s="1309">
        <f>IF(P108&gt;=0.5,1,0)</f>
        <v>0</v>
      </c>
      <c r="Q109" s="1309"/>
      <c r="R109" s="1309"/>
      <c r="S109" s="1309">
        <f>IF(S108&gt;=0.5,1,0)</f>
        <v>0</v>
      </c>
      <c r="T109" s="1309"/>
      <c r="U109" s="1309"/>
      <c r="V109" s="1309">
        <f>IF(V108&gt;=0.5,1,0)</f>
        <v>0</v>
      </c>
      <c r="W109" s="382"/>
      <c r="X109" s="1309"/>
      <c r="Y109" s="1309">
        <f t="shared" ref="Y109" si="88">M109+P109+S109+V109</f>
        <v>0</v>
      </c>
      <c r="Z109" s="91"/>
      <c r="AA109" s="91"/>
      <c r="AB109" s="91"/>
      <c r="AC109" s="84"/>
      <c r="AE109" s="1309"/>
      <c r="AF109" s="1309"/>
      <c r="AG109" s="1309"/>
      <c r="AH109" s="1309"/>
      <c r="AI109" s="91"/>
      <c r="AK109" s="1309"/>
      <c r="AL109" s="1309"/>
      <c r="AM109" s="1309"/>
      <c r="AN109" s="1309"/>
      <c r="AO109" s="91"/>
      <c r="AQ109" s="1309"/>
      <c r="AR109" s="1309"/>
      <c r="AS109" s="1309"/>
      <c r="AT109" s="1309"/>
      <c r="AU109" s="91"/>
      <c r="AW109" s="1309"/>
      <c r="AX109" s="1309"/>
      <c r="AY109" s="1309"/>
      <c r="AZ109" s="1309"/>
      <c r="BA109" s="91"/>
    </row>
    <row r="110" spans="1:53" s="97" customFormat="1" ht="16.5" customHeight="1" x14ac:dyDescent="0.25">
      <c r="A110" s="119"/>
      <c r="B110" s="119"/>
      <c r="C110" s="928"/>
      <c r="D110" s="121" t="s">
        <v>82</v>
      </c>
      <c r="E110" s="122"/>
      <c r="F110" s="122"/>
      <c r="G110" s="122"/>
      <c r="H110" s="928"/>
      <c r="I110" s="229"/>
      <c r="J110" s="123"/>
      <c r="K110" s="123"/>
      <c r="L110" s="123"/>
      <c r="M110" s="123"/>
      <c r="N110" s="123"/>
      <c r="O110" s="123"/>
      <c r="P110" s="123"/>
      <c r="Q110" s="123"/>
      <c r="R110" s="123"/>
      <c r="S110" s="123"/>
      <c r="T110" s="123"/>
      <c r="U110" s="123"/>
      <c r="V110" s="363"/>
      <c r="W110" s="383"/>
      <c r="X110" s="123"/>
      <c r="Y110" s="124"/>
      <c r="Z110" s="125"/>
      <c r="AA110" s="125"/>
      <c r="AB110" s="125"/>
      <c r="AC110" s="125"/>
      <c r="AE110" s="126"/>
      <c r="AF110" s="126"/>
      <c r="AG110" s="126"/>
      <c r="AH110" s="124"/>
      <c r="AI110" s="125"/>
      <c r="AK110" s="126"/>
      <c r="AL110" s="126"/>
      <c r="AM110" s="126"/>
      <c r="AN110" s="124"/>
      <c r="AO110" s="125"/>
      <c r="AQ110" s="126"/>
      <c r="AR110" s="126"/>
      <c r="AS110" s="126"/>
      <c r="AT110" s="124"/>
      <c r="AU110" s="125"/>
      <c r="AW110" s="126"/>
      <c r="AX110" s="126"/>
      <c r="AY110" s="126"/>
      <c r="AZ110" s="124"/>
      <c r="BA110" s="125"/>
    </row>
    <row r="111" spans="1:53" s="97" customFormat="1" ht="17.100000000000001" customHeight="1" x14ac:dyDescent="0.25">
      <c r="A111" s="119"/>
      <c r="B111" s="119"/>
      <c r="C111" s="928"/>
      <c r="D111" s="127" t="s">
        <v>910</v>
      </c>
      <c r="E111" s="122"/>
      <c r="F111" s="122"/>
      <c r="G111" s="122"/>
      <c r="H111" s="928"/>
      <c r="I111" s="229"/>
      <c r="J111" s="123"/>
      <c r="K111" s="123"/>
      <c r="L111" s="123"/>
      <c r="M111" s="123"/>
      <c r="N111" s="123"/>
      <c r="O111" s="123"/>
      <c r="P111" s="129">
        <f>P80</f>
        <v>0</v>
      </c>
      <c r="Q111" s="123"/>
      <c r="R111" s="123"/>
      <c r="S111" s="129">
        <f>S80</f>
        <v>0</v>
      </c>
      <c r="T111" s="123"/>
      <c r="U111" s="123"/>
      <c r="V111" s="129">
        <f>V80</f>
        <v>0</v>
      </c>
      <c r="W111" s="383"/>
      <c r="X111" s="123"/>
      <c r="Y111" s="124"/>
      <c r="Z111" s="125"/>
      <c r="AA111" s="125"/>
      <c r="AB111" s="125"/>
      <c r="AC111" s="125"/>
      <c r="AE111" s="126"/>
      <c r="AF111" s="126"/>
      <c r="AG111" s="126"/>
      <c r="AH111" s="124"/>
      <c r="AI111" s="125"/>
      <c r="AK111" s="126"/>
      <c r="AL111" s="126"/>
      <c r="AM111" s="126"/>
      <c r="AN111" s="124"/>
      <c r="AO111" s="125"/>
      <c r="AQ111" s="126"/>
      <c r="AR111" s="126"/>
      <c r="AS111" s="126"/>
      <c r="AT111" s="124"/>
      <c r="AU111" s="125"/>
      <c r="AW111" s="126"/>
      <c r="AX111" s="126"/>
      <c r="AY111" s="126"/>
      <c r="AZ111" s="124"/>
      <c r="BA111" s="125"/>
    </row>
    <row r="112" spans="1:53" s="97" customFormat="1" ht="17.100000000000001" customHeight="1" x14ac:dyDescent="0.25">
      <c r="A112" s="119"/>
      <c r="B112" s="119"/>
      <c r="C112" s="928"/>
      <c r="D112" s="127" t="s">
        <v>83</v>
      </c>
      <c r="E112" s="122"/>
      <c r="F112" s="122"/>
      <c r="G112" s="122"/>
      <c r="H112" s="928"/>
      <c r="I112" s="229"/>
      <c r="J112" s="123"/>
      <c r="K112" s="123"/>
      <c r="L112" s="123"/>
      <c r="M112" s="123"/>
      <c r="N112" s="123"/>
      <c r="O112" s="123"/>
      <c r="P112" s="129">
        <f t="shared" ref="P112:P114" si="89">P85</f>
        <v>0</v>
      </c>
      <c r="Q112" s="123"/>
      <c r="R112" s="123"/>
      <c r="S112" s="129">
        <f>S85</f>
        <v>0</v>
      </c>
      <c r="T112" s="123"/>
      <c r="U112" s="123"/>
      <c r="V112" s="129">
        <f>V85</f>
        <v>0</v>
      </c>
      <c r="W112" s="383"/>
      <c r="X112" s="123"/>
      <c r="Y112" s="129"/>
      <c r="Z112" s="125"/>
      <c r="AA112" s="125"/>
      <c r="AB112" s="125"/>
      <c r="AC112" s="125"/>
      <c r="AE112" s="123"/>
      <c r="AF112" s="123"/>
      <c r="AG112" s="123"/>
      <c r="AH112" s="124"/>
      <c r="AI112" s="125"/>
      <c r="AK112" s="123"/>
      <c r="AL112" s="123"/>
      <c r="AM112" s="123"/>
      <c r="AN112" s="124"/>
      <c r="AO112" s="125"/>
      <c r="AQ112" s="123"/>
      <c r="AR112" s="123"/>
      <c r="AS112" s="123"/>
      <c r="AT112" s="124"/>
      <c r="AU112" s="125"/>
      <c r="AW112" s="123"/>
      <c r="AX112" s="123"/>
      <c r="AY112" s="123"/>
      <c r="AZ112" s="124"/>
      <c r="BA112" s="125"/>
    </row>
    <row r="113" spans="1:53" s="97" customFormat="1" ht="17.100000000000001" customHeight="1" x14ac:dyDescent="0.25">
      <c r="A113" s="119"/>
      <c r="B113" s="119"/>
      <c r="C113" s="928"/>
      <c r="D113" s="127" t="s">
        <v>84</v>
      </c>
      <c r="E113" s="122"/>
      <c r="F113" s="122"/>
      <c r="G113" s="122"/>
      <c r="H113" s="928"/>
      <c r="I113" s="229"/>
      <c r="J113" s="123"/>
      <c r="K113" s="123"/>
      <c r="L113" s="123"/>
      <c r="M113" s="123"/>
      <c r="N113" s="123"/>
      <c r="O113" s="123"/>
      <c r="P113" s="129">
        <f t="shared" si="89"/>
        <v>0</v>
      </c>
      <c r="Q113" s="123"/>
      <c r="R113" s="123"/>
      <c r="S113" s="129">
        <f>S86</f>
        <v>0</v>
      </c>
      <c r="T113" s="123"/>
      <c r="U113" s="123"/>
      <c r="V113" s="129">
        <f>V86</f>
        <v>0</v>
      </c>
      <c r="W113" s="383"/>
      <c r="X113" s="123"/>
      <c r="Y113" s="129"/>
      <c r="Z113" s="125"/>
      <c r="AA113" s="125"/>
      <c r="AB113" s="125"/>
      <c r="AC113" s="125"/>
      <c r="AE113" s="123"/>
      <c r="AF113" s="123"/>
      <c r="AG113" s="123"/>
      <c r="AH113" s="124"/>
      <c r="AI113" s="125"/>
      <c r="AK113" s="123"/>
      <c r="AL113" s="123"/>
      <c r="AM113" s="123"/>
      <c r="AN113" s="124"/>
      <c r="AO113" s="125"/>
      <c r="AQ113" s="123"/>
      <c r="AR113" s="123"/>
      <c r="AS113" s="123"/>
      <c r="AT113" s="124"/>
      <c r="AU113" s="125"/>
      <c r="AW113" s="123"/>
      <c r="AX113" s="123"/>
      <c r="AY113" s="123"/>
      <c r="AZ113" s="124"/>
      <c r="BA113" s="125"/>
    </row>
    <row r="114" spans="1:53" s="97" customFormat="1" ht="17.100000000000001" customHeight="1" x14ac:dyDescent="0.25">
      <c r="A114" s="119"/>
      <c r="B114" s="119"/>
      <c r="C114" s="928"/>
      <c r="D114" s="127" t="s">
        <v>85</v>
      </c>
      <c r="E114" s="122"/>
      <c r="F114" s="122"/>
      <c r="G114" s="122"/>
      <c r="H114" s="928"/>
      <c r="I114" s="229"/>
      <c r="J114" s="123"/>
      <c r="K114" s="123"/>
      <c r="L114" s="123"/>
      <c r="M114" s="123"/>
      <c r="N114" s="123"/>
      <c r="O114" s="123"/>
      <c r="P114" s="129">
        <f t="shared" si="89"/>
        <v>0</v>
      </c>
      <c r="Q114" s="123"/>
      <c r="R114" s="123"/>
      <c r="S114" s="129">
        <f>S87</f>
        <v>0</v>
      </c>
      <c r="T114" s="123"/>
      <c r="U114" s="123"/>
      <c r="V114" s="129">
        <f>V87</f>
        <v>0</v>
      </c>
      <c r="W114" s="383"/>
      <c r="X114" s="123"/>
      <c r="Y114" s="129"/>
      <c r="Z114" s="125"/>
      <c r="AA114" s="125"/>
      <c r="AB114" s="125"/>
      <c r="AC114" s="125"/>
      <c r="AE114" s="123"/>
      <c r="AF114" s="123"/>
      <c r="AG114" s="123"/>
      <c r="AH114" s="124"/>
      <c r="AI114" s="125"/>
      <c r="AK114" s="123"/>
      <c r="AL114" s="123"/>
      <c r="AM114" s="123"/>
      <c r="AN114" s="124"/>
      <c r="AO114" s="125"/>
      <c r="AQ114" s="123"/>
      <c r="AR114" s="123"/>
      <c r="AS114" s="123"/>
      <c r="AT114" s="124"/>
      <c r="AU114" s="125"/>
      <c r="AW114" s="123"/>
      <c r="AX114" s="123"/>
      <c r="AY114" s="123"/>
      <c r="AZ114" s="124"/>
      <c r="BA114" s="125"/>
    </row>
    <row r="115" spans="1:53" s="97" customFormat="1" ht="17.100000000000001" customHeight="1" x14ac:dyDescent="0.25">
      <c r="A115" s="119"/>
      <c r="B115" s="119"/>
      <c r="C115" s="103" t="s">
        <v>86</v>
      </c>
      <c r="D115" s="85" t="s">
        <v>907</v>
      </c>
      <c r="E115" s="75"/>
      <c r="F115" s="75"/>
      <c r="G115" s="75"/>
      <c r="H115" s="540"/>
      <c r="I115" s="229"/>
      <c r="J115" s="545"/>
      <c r="K115" s="545"/>
      <c r="L115" s="545"/>
      <c r="M115" s="545"/>
      <c r="N115" s="545"/>
      <c r="O115" s="545"/>
      <c r="P115" s="545"/>
      <c r="Q115" s="545"/>
      <c r="R115" s="545"/>
      <c r="S115" s="545"/>
      <c r="T115" s="545"/>
      <c r="U115" s="545"/>
      <c r="V115" s="545"/>
      <c r="W115" s="385"/>
      <c r="X115" s="545"/>
      <c r="Y115" s="545"/>
      <c r="Z115" s="131"/>
      <c r="AA115" s="131"/>
      <c r="AB115" s="131"/>
      <c r="AC115" s="113"/>
      <c r="AE115" s="539"/>
      <c r="AF115" s="539"/>
      <c r="AG115" s="539"/>
      <c r="AH115" s="539"/>
      <c r="AI115" s="91"/>
      <c r="AK115" s="539"/>
      <c r="AL115" s="539"/>
      <c r="AM115" s="539"/>
      <c r="AN115" s="539"/>
      <c r="AO115" s="91"/>
      <c r="AQ115" s="539"/>
      <c r="AR115" s="539"/>
      <c r="AS115" s="539"/>
      <c r="AT115" s="539"/>
      <c r="AU115" s="91"/>
      <c r="AW115" s="539"/>
      <c r="AX115" s="539"/>
      <c r="AY115" s="539"/>
      <c r="AZ115" s="539"/>
      <c r="BA115" s="91"/>
    </row>
    <row r="116" spans="1:53" s="97" customFormat="1" ht="17.100000000000001" customHeight="1" x14ac:dyDescent="0.25">
      <c r="A116" s="119"/>
      <c r="B116" s="119"/>
      <c r="C116" s="119"/>
      <c r="D116" s="74" t="s">
        <v>905</v>
      </c>
      <c r="E116" s="75" t="s">
        <v>908</v>
      </c>
      <c r="F116" s="75"/>
      <c r="G116" s="75"/>
      <c r="H116" s="540"/>
      <c r="I116" s="229"/>
      <c r="J116" s="539"/>
      <c r="K116" s="539"/>
      <c r="L116" s="539"/>
      <c r="M116" s="539"/>
      <c r="N116" s="539"/>
      <c r="O116" s="539"/>
      <c r="P116" s="539">
        <f>IF(SUM(P111:P112)&gt;=1,1,0)</f>
        <v>0</v>
      </c>
      <c r="Q116" s="539"/>
      <c r="R116" s="539"/>
      <c r="S116" s="539">
        <f>IF(SUM(S111:S112)&gt;=1,1,0)</f>
        <v>0</v>
      </c>
      <c r="T116" s="539"/>
      <c r="U116" s="539"/>
      <c r="V116" s="539">
        <f>IF(SUM(V111:V112)&gt;=1,1,0)</f>
        <v>0</v>
      </c>
      <c r="W116" s="382"/>
      <c r="X116" s="539"/>
      <c r="Y116" s="539">
        <f t="shared" ref="Y116:Y121" si="90">M116+P116+S116+V116</f>
        <v>0</v>
      </c>
      <c r="Z116" s="91"/>
      <c r="AA116" s="91"/>
      <c r="AB116" s="91"/>
      <c r="AC116" s="84"/>
      <c r="AE116" s="539"/>
      <c r="AF116" s="539"/>
      <c r="AG116" s="539"/>
      <c r="AH116" s="539"/>
      <c r="AI116" s="91"/>
      <c r="AK116" s="539"/>
      <c r="AL116" s="539"/>
      <c r="AM116" s="539"/>
      <c r="AN116" s="539"/>
      <c r="AO116" s="91"/>
      <c r="AQ116" s="539"/>
      <c r="AR116" s="539"/>
      <c r="AS116" s="539"/>
      <c r="AT116" s="539"/>
      <c r="AU116" s="91"/>
      <c r="AW116" s="539"/>
      <c r="AX116" s="539"/>
      <c r="AY116" s="539"/>
      <c r="AZ116" s="539"/>
      <c r="BA116" s="91"/>
    </row>
    <row r="117" spans="1:53" s="97" customFormat="1" ht="17.100000000000001" customHeight="1" x14ac:dyDescent="0.25">
      <c r="A117" s="119"/>
      <c r="B117" s="119"/>
      <c r="C117" s="119"/>
      <c r="D117" s="74" t="s">
        <v>906</v>
      </c>
      <c r="E117" s="75" t="s">
        <v>909</v>
      </c>
      <c r="F117" s="75"/>
      <c r="G117" s="75"/>
      <c r="H117" s="540"/>
      <c r="I117" s="229"/>
      <c r="J117" s="539"/>
      <c r="K117" s="539"/>
      <c r="L117" s="539"/>
      <c r="M117" s="539"/>
      <c r="N117" s="539"/>
      <c r="O117" s="539"/>
      <c r="P117" s="539">
        <f>IF(SUM(P113:P114)&gt;=1,1,0)</f>
        <v>0</v>
      </c>
      <c r="Q117" s="539"/>
      <c r="R117" s="539"/>
      <c r="S117" s="539">
        <f>IF(SUM(S113:S114)&gt;=1,1,0)</f>
        <v>0</v>
      </c>
      <c r="T117" s="539"/>
      <c r="U117" s="539"/>
      <c r="V117" s="539">
        <f>IF(SUM(V113:V114)&gt;=1,1,0)</f>
        <v>0</v>
      </c>
      <c r="W117" s="382"/>
      <c r="X117" s="539"/>
      <c r="Y117" s="539">
        <f t="shared" si="90"/>
        <v>0</v>
      </c>
      <c r="Z117" s="91"/>
      <c r="AA117" s="91"/>
      <c r="AB117" s="91"/>
      <c r="AC117" s="84"/>
      <c r="AE117" s="539"/>
      <c r="AF117" s="539"/>
      <c r="AG117" s="539"/>
      <c r="AH117" s="539"/>
      <c r="AI117" s="91"/>
      <c r="AK117" s="539"/>
      <c r="AL117" s="539"/>
      <c r="AM117" s="539"/>
      <c r="AN117" s="539"/>
      <c r="AO117" s="91"/>
      <c r="AQ117" s="539"/>
      <c r="AR117" s="539"/>
      <c r="AS117" s="539"/>
      <c r="AT117" s="539"/>
      <c r="AU117" s="91"/>
      <c r="AW117" s="539"/>
      <c r="AX117" s="539"/>
      <c r="AY117" s="539"/>
      <c r="AZ117" s="539"/>
      <c r="BA117" s="91"/>
    </row>
    <row r="118" spans="1:53" s="97" customFormat="1" ht="17.100000000000001" customHeight="1" x14ac:dyDescent="0.25">
      <c r="A118" s="119"/>
      <c r="B118" s="119"/>
      <c r="C118" s="540"/>
      <c r="D118" s="121" t="s">
        <v>88</v>
      </c>
      <c r="E118" s="122"/>
      <c r="F118" s="122"/>
      <c r="G118" s="122"/>
      <c r="H118" s="540"/>
      <c r="I118" s="229"/>
      <c r="J118" s="123"/>
      <c r="K118" s="123"/>
      <c r="L118" s="123"/>
      <c r="M118" s="123"/>
      <c r="N118" s="123"/>
      <c r="O118" s="123"/>
      <c r="P118" s="123"/>
      <c r="Q118" s="123"/>
      <c r="R118" s="123"/>
      <c r="S118" s="123"/>
      <c r="T118" s="123"/>
      <c r="U118" s="123"/>
      <c r="V118" s="363"/>
      <c r="W118" s="383"/>
      <c r="X118" s="123"/>
      <c r="Y118" s="124"/>
      <c r="Z118" s="125"/>
      <c r="AA118" s="125"/>
      <c r="AB118" s="125"/>
      <c r="AC118" s="125"/>
      <c r="AE118" s="126"/>
      <c r="AF118" s="126"/>
      <c r="AG118" s="126"/>
      <c r="AH118" s="124"/>
      <c r="AI118" s="125"/>
      <c r="AK118" s="126"/>
      <c r="AL118" s="126"/>
      <c r="AM118" s="126"/>
      <c r="AN118" s="124"/>
      <c r="AO118" s="125"/>
      <c r="AQ118" s="126"/>
      <c r="AR118" s="126"/>
      <c r="AS118" s="126"/>
      <c r="AT118" s="124"/>
      <c r="AU118" s="125"/>
      <c r="AW118" s="126"/>
      <c r="AX118" s="126"/>
      <c r="AY118" s="126"/>
      <c r="AZ118" s="124"/>
      <c r="BA118" s="125"/>
    </row>
    <row r="119" spans="1:53" s="97" customFormat="1" ht="17.100000000000001" customHeight="1" x14ac:dyDescent="0.25">
      <c r="A119" s="119"/>
      <c r="B119" s="119"/>
      <c r="C119" s="540"/>
      <c r="D119" s="127" t="s">
        <v>90</v>
      </c>
      <c r="E119" s="122"/>
      <c r="F119" s="122"/>
      <c r="G119" s="279"/>
      <c r="H119" s="540"/>
      <c r="I119" s="229"/>
      <c r="J119" s="123"/>
      <c r="K119" s="123"/>
      <c r="L119" s="123"/>
      <c r="M119" s="123"/>
      <c r="N119" s="123"/>
      <c r="O119" s="123"/>
      <c r="P119" s="123">
        <f>P92</f>
        <v>0</v>
      </c>
      <c r="Q119" s="123"/>
      <c r="R119" s="123"/>
      <c r="S119" s="123">
        <f>S92</f>
        <v>1</v>
      </c>
      <c r="T119" s="123"/>
      <c r="U119" s="123"/>
      <c r="V119" s="123">
        <f>V92</f>
        <v>0</v>
      </c>
      <c r="W119" s="383"/>
      <c r="X119" s="123"/>
      <c r="Y119" s="123">
        <f t="shared" si="90"/>
        <v>1</v>
      </c>
      <c r="Z119" s="125"/>
      <c r="AA119" s="125"/>
      <c r="AB119" s="125"/>
      <c r="AC119" s="125"/>
      <c r="AE119" s="123"/>
      <c r="AF119" s="123"/>
      <c r="AG119" s="123"/>
      <c r="AH119" s="124"/>
      <c r="AI119" s="125"/>
      <c r="AK119" s="123"/>
      <c r="AL119" s="123"/>
      <c r="AM119" s="123"/>
      <c r="AN119" s="124"/>
      <c r="AO119" s="125"/>
      <c r="AQ119" s="123"/>
      <c r="AR119" s="123"/>
      <c r="AS119" s="123"/>
      <c r="AT119" s="124"/>
      <c r="AU119" s="125"/>
      <c r="AW119" s="123"/>
      <c r="AX119" s="123"/>
      <c r="AY119" s="123"/>
      <c r="AZ119" s="124"/>
      <c r="BA119" s="125"/>
    </row>
    <row r="120" spans="1:53" s="97" customFormat="1" ht="17.100000000000001" customHeight="1" x14ac:dyDescent="0.25">
      <c r="A120" s="119"/>
      <c r="B120" s="119"/>
      <c r="C120" s="540"/>
      <c r="D120" s="127" t="s">
        <v>89</v>
      </c>
      <c r="E120" s="122"/>
      <c r="F120" s="128"/>
      <c r="G120" s="279"/>
      <c r="H120" s="540"/>
      <c r="I120" s="229"/>
      <c r="J120" s="123"/>
      <c r="K120" s="123"/>
      <c r="L120" s="123"/>
      <c r="M120" s="123"/>
      <c r="N120" s="123"/>
      <c r="O120" s="123"/>
      <c r="P120" s="123">
        <f>SUM(P93:P95)</f>
        <v>1</v>
      </c>
      <c r="Q120" s="123"/>
      <c r="R120" s="123"/>
      <c r="S120" s="123">
        <f>SUM(S93:S95)</f>
        <v>0</v>
      </c>
      <c r="T120" s="123"/>
      <c r="U120" s="123"/>
      <c r="V120" s="123">
        <f>SUM(V93:V95)</f>
        <v>0</v>
      </c>
      <c r="W120" s="383"/>
      <c r="X120" s="123"/>
      <c r="Y120" s="123">
        <f t="shared" si="90"/>
        <v>1</v>
      </c>
      <c r="Z120" s="125"/>
      <c r="AA120" s="125"/>
      <c r="AB120" s="125"/>
      <c r="AC120" s="125"/>
      <c r="AE120" s="123"/>
      <c r="AF120" s="123"/>
      <c r="AG120" s="123"/>
      <c r="AH120" s="124"/>
      <c r="AI120" s="125"/>
      <c r="AK120" s="123"/>
      <c r="AL120" s="123"/>
      <c r="AM120" s="123"/>
      <c r="AN120" s="124"/>
      <c r="AO120" s="125"/>
      <c r="AQ120" s="123"/>
      <c r="AR120" s="123"/>
      <c r="AS120" s="123"/>
      <c r="AT120" s="124"/>
      <c r="AU120" s="125"/>
      <c r="AW120" s="123"/>
      <c r="AX120" s="123"/>
      <c r="AY120" s="123"/>
      <c r="AZ120" s="124"/>
      <c r="BA120" s="125"/>
    </row>
    <row r="121" spans="1:53" s="97" customFormat="1" ht="17.100000000000001" customHeight="1" x14ac:dyDescent="0.25">
      <c r="A121" s="119"/>
      <c r="B121" s="119"/>
      <c r="C121" s="540"/>
      <c r="D121" s="127" t="s">
        <v>91</v>
      </c>
      <c r="E121" s="122"/>
      <c r="F121" s="122"/>
      <c r="G121" s="279"/>
      <c r="H121" s="540"/>
      <c r="I121" s="229"/>
      <c r="J121" s="129"/>
      <c r="K121" s="129"/>
      <c r="L121" s="129"/>
      <c r="M121" s="129"/>
      <c r="N121" s="129"/>
      <c r="O121" s="129"/>
      <c r="P121" s="129">
        <f t="shared" ref="P121" si="91">IF(P119=1,0,IF(P120=1,1,0))</f>
        <v>1</v>
      </c>
      <c r="Q121" s="129"/>
      <c r="R121" s="129"/>
      <c r="S121" s="129">
        <f t="shared" ref="S121" si="92">IF(S119=1,0,IF(S120=1,1,0))</f>
        <v>0</v>
      </c>
      <c r="T121" s="129"/>
      <c r="U121" s="129"/>
      <c r="V121" s="129">
        <f t="shared" ref="V121" si="93">IF(V119=1,0,IF(V120=1,1,0))</f>
        <v>0</v>
      </c>
      <c r="W121" s="384"/>
      <c r="X121" s="129"/>
      <c r="Y121" s="129">
        <f t="shared" si="90"/>
        <v>1</v>
      </c>
      <c r="Z121" s="130"/>
      <c r="AA121" s="130"/>
      <c r="AB121" s="130"/>
      <c r="AC121" s="125"/>
      <c r="AE121" s="129"/>
      <c r="AF121" s="129"/>
      <c r="AG121" s="129"/>
      <c r="AH121" s="129"/>
      <c r="AI121" s="130"/>
      <c r="AK121" s="129"/>
      <c r="AL121" s="129"/>
      <c r="AM121" s="129"/>
      <c r="AN121" s="129"/>
      <c r="AO121" s="130"/>
      <c r="AQ121" s="129"/>
      <c r="AR121" s="129"/>
      <c r="AS121" s="129"/>
      <c r="AT121" s="129"/>
      <c r="AU121" s="130"/>
      <c r="AW121" s="129"/>
      <c r="AX121" s="129"/>
      <c r="AY121" s="129"/>
      <c r="AZ121" s="129"/>
      <c r="BA121" s="130"/>
    </row>
    <row r="122" spans="1:53" s="97" customFormat="1" ht="17.100000000000001" customHeight="1" x14ac:dyDescent="0.25">
      <c r="A122" s="119"/>
      <c r="B122" s="119"/>
      <c r="C122" s="103" t="s">
        <v>92</v>
      </c>
      <c r="D122" s="85" t="s">
        <v>914</v>
      </c>
      <c r="E122" s="75"/>
      <c r="F122" s="75"/>
      <c r="G122" s="75"/>
      <c r="H122" s="540"/>
      <c r="I122" s="229"/>
      <c r="J122" s="539"/>
      <c r="K122" s="539"/>
      <c r="L122" s="539"/>
      <c r="M122" s="539"/>
      <c r="N122" s="539"/>
      <c r="O122" s="539"/>
      <c r="P122" s="539">
        <f>P121</f>
        <v>1</v>
      </c>
      <c r="Q122" s="539"/>
      <c r="R122" s="539"/>
      <c r="S122" s="539">
        <f>S121</f>
        <v>0</v>
      </c>
      <c r="T122" s="539"/>
      <c r="U122" s="539"/>
      <c r="V122" s="539">
        <f>V121</f>
        <v>0</v>
      </c>
      <c r="W122" s="382"/>
      <c r="X122" s="539"/>
      <c r="Y122" s="539">
        <f>SUM(J122:X122)</f>
        <v>1</v>
      </c>
      <c r="Z122" s="91"/>
      <c r="AA122" s="91"/>
      <c r="AB122" s="91"/>
      <c r="AC122" s="84"/>
      <c r="AE122" s="539"/>
      <c r="AF122" s="539"/>
      <c r="AG122" s="539"/>
      <c r="AH122" s="539"/>
      <c r="AI122" s="91"/>
      <c r="AK122" s="539"/>
      <c r="AL122" s="539"/>
      <c r="AM122" s="539"/>
      <c r="AN122" s="539"/>
      <c r="AO122" s="91"/>
      <c r="AQ122" s="539"/>
      <c r="AR122" s="539"/>
      <c r="AS122" s="539"/>
      <c r="AT122" s="539"/>
      <c r="AU122" s="91"/>
      <c r="AW122" s="539"/>
      <c r="AX122" s="539"/>
      <c r="AY122" s="539"/>
      <c r="AZ122" s="539"/>
      <c r="BA122" s="91"/>
    </row>
    <row r="123" spans="1:53" s="97" customFormat="1" ht="17.100000000000001" customHeight="1" x14ac:dyDescent="0.25">
      <c r="A123" s="119"/>
      <c r="B123" s="119"/>
      <c r="C123" s="103" t="s">
        <v>93</v>
      </c>
      <c r="D123" s="85" t="s">
        <v>94</v>
      </c>
      <c r="E123" s="75"/>
      <c r="F123" s="75"/>
      <c r="G123" s="75"/>
      <c r="H123" s="928"/>
      <c r="I123" s="229"/>
      <c r="J123" s="932"/>
      <c r="K123" s="932"/>
      <c r="L123" s="932"/>
      <c r="M123" s="932"/>
      <c r="N123" s="932"/>
      <c r="O123" s="932"/>
      <c r="P123" s="932"/>
      <c r="Q123" s="932"/>
      <c r="R123" s="932"/>
      <c r="S123" s="932"/>
      <c r="T123" s="932"/>
      <c r="U123" s="932"/>
      <c r="V123" s="364"/>
      <c r="W123" s="385"/>
      <c r="X123" s="932"/>
      <c r="Y123" s="932"/>
      <c r="Z123" s="131"/>
      <c r="AA123" s="131"/>
      <c r="AB123" s="131"/>
      <c r="AC123" s="113"/>
      <c r="AE123" s="114"/>
      <c r="AF123" s="114"/>
      <c r="AG123" s="114"/>
      <c r="AH123" s="112"/>
      <c r="AI123" s="113"/>
      <c r="AK123" s="114"/>
      <c r="AL123" s="114"/>
      <c r="AM123" s="114"/>
      <c r="AN123" s="112"/>
      <c r="AO123" s="113"/>
      <c r="AQ123" s="114"/>
      <c r="AR123" s="114"/>
      <c r="AS123" s="114"/>
      <c r="AT123" s="112"/>
      <c r="AU123" s="113"/>
      <c r="AW123" s="114"/>
      <c r="AX123" s="114"/>
      <c r="AY123" s="114"/>
      <c r="AZ123" s="112"/>
      <c r="BA123" s="113"/>
    </row>
    <row r="124" spans="1:53" s="97" customFormat="1" ht="17.100000000000001" customHeight="1" x14ac:dyDescent="0.25">
      <c r="A124" s="137"/>
      <c r="B124" s="119"/>
      <c r="C124" s="132"/>
      <c r="D124" s="133" t="s">
        <v>95</v>
      </c>
      <c r="E124" s="134"/>
      <c r="F124" s="134"/>
      <c r="G124" s="134"/>
      <c r="H124" s="928"/>
      <c r="I124" s="229"/>
      <c r="J124" s="82"/>
      <c r="K124" s="82" t="str">
        <f>IF(SUM(K30:K32)=1,1-SUM(K125:K127),"")</f>
        <v/>
      </c>
      <c r="L124" s="82" t="str">
        <f>IF(SUM(L30:L32)=1,1-SUM(L125:L127),"")</f>
        <v/>
      </c>
      <c r="M124" s="82"/>
      <c r="N124" s="82"/>
      <c r="O124" s="82"/>
      <c r="P124" s="82">
        <f>IF(P20=0,0,IF(P109+P116+P117+P122=0,1,0))</f>
        <v>0</v>
      </c>
      <c r="Q124" s="82"/>
      <c r="R124" s="82"/>
      <c r="S124" s="82">
        <f>IF(S20=0,0,IF(S109+S116+S117+S122=0,1,0))</f>
        <v>1</v>
      </c>
      <c r="T124" s="82"/>
      <c r="U124" s="82"/>
      <c r="V124" s="82">
        <f>IF(V20=0,0,IF(V109+V116+V117+V122=0,1,0))</f>
        <v>0</v>
      </c>
      <c r="W124" s="381"/>
      <c r="X124" s="82" t="str">
        <f>IF(SUM(X30:X32)=1,1-SUM(X125:X127),"")</f>
        <v/>
      </c>
      <c r="Y124" s="82">
        <f>P124+S124+V124</f>
        <v>1</v>
      </c>
      <c r="Z124" s="66">
        <f>IF(Y$128=0,0,Y124/Y$128)</f>
        <v>0.5</v>
      </c>
      <c r="AA124" s="66"/>
      <c r="AB124" s="66"/>
      <c r="AC124" s="83"/>
      <c r="AE124" s="82"/>
      <c r="AF124" s="82"/>
      <c r="AG124" s="82"/>
      <c r="AH124" s="82"/>
      <c r="AI124" s="66"/>
      <c r="AK124" s="82"/>
      <c r="AL124" s="82"/>
      <c r="AM124" s="82"/>
      <c r="AN124" s="82"/>
      <c r="AO124" s="66"/>
      <c r="AQ124" s="82"/>
      <c r="AR124" s="82"/>
      <c r="AS124" s="82"/>
      <c r="AT124" s="82"/>
      <c r="AU124" s="66"/>
      <c r="AW124" s="82"/>
      <c r="AX124" s="82"/>
      <c r="AY124" s="82"/>
      <c r="AZ124" s="82"/>
      <c r="BA124" s="66"/>
    </row>
    <row r="125" spans="1:53" s="97" customFormat="1" ht="17.100000000000001" customHeight="1" x14ac:dyDescent="0.25">
      <c r="A125" s="119"/>
      <c r="B125" s="119"/>
      <c r="C125" s="135"/>
      <c r="D125" s="133" t="s">
        <v>96</v>
      </c>
      <c r="E125" s="134"/>
      <c r="F125" s="134"/>
      <c r="G125" s="134"/>
      <c r="H125" s="928"/>
      <c r="I125" s="229"/>
      <c r="J125" s="82"/>
      <c r="K125" s="82"/>
      <c r="L125" s="82"/>
      <c r="M125" s="82"/>
      <c r="N125" s="82"/>
      <c r="O125" s="82"/>
      <c r="P125" s="82">
        <f>IF(P109+P116+P117+P122=1,1,0)</f>
        <v>1</v>
      </c>
      <c r="Q125" s="82"/>
      <c r="R125" s="82"/>
      <c r="S125" s="82">
        <f>IF(S109+S116+S117+S122=1,1,0)</f>
        <v>0</v>
      </c>
      <c r="T125" s="82"/>
      <c r="U125" s="82"/>
      <c r="V125" s="82">
        <f>IF(V109+V116+V117+V122=1,1,0)</f>
        <v>0</v>
      </c>
      <c r="W125" s="381"/>
      <c r="X125" s="82"/>
      <c r="Y125" s="82">
        <f t="shared" ref="Y125:Y127" si="94">P125+S125+V125</f>
        <v>1</v>
      </c>
      <c r="Z125" s="66">
        <f>IF(Y$128=0,0,Y125/Y$128)</f>
        <v>0.5</v>
      </c>
      <c r="AA125" s="66"/>
      <c r="AB125" s="66"/>
      <c r="AC125" s="83"/>
      <c r="AE125" s="82"/>
      <c r="AF125" s="82"/>
      <c r="AG125" s="82"/>
      <c r="AH125" s="82"/>
      <c r="AI125" s="66"/>
      <c r="AK125" s="82"/>
      <c r="AL125" s="82"/>
      <c r="AM125" s="82"/>
      <c r="AN125" s="82"/>
      <c r="AO125" s="66"/>
      <c r="AQ125" s="82"/>
      <c r="AR125" s="82"/>
      <c r="AS125" s="82"/>
      <c r="AT125" s="82"/>
      <c r="AU125" s="66"/>
      <c r="AW125" s="82"/>
      <c r="AX125" s="82"/>
      <c r="AY125" s="82"/>
      <c r="AZ125" s="82"/>
      <c r="BA125" s="66"/>
    </row>
    <row r="126" spans="1:53" s="97" customFormat="1" ht="17.100000000000001" customHeight="1" x14ac:dyDescent="0.25">
      <c r="A126" s="119"/>
      <c r="B126" s="119"/>
      <c r="C126" s="136"/>
      <c r="D126" s="133" t="s">
        <v>97</v>
      </c>
      <c r="E126" s="134"/>
      <c r="F126" s="134"/>
      <c r="G126" s="134"/>
      <c r="H126" s="928"/>
      <c r="I126" s="229"/>
      <c r="J126" s="82"/>
      <c r="K126" s="82"/>
      <c r="L126" s="82"/>
      <c r="M126" s="82"/>
      <c r="N126" s="82"/>
      <c r="O126" s="82"/>
      <c r="P126" s="82">
        <f>IF(P109+P116+P117+P122=2,1,0)</f>
        <v>0</v>
      </c>
      <c r="Q126" s="82"/>
      <c r="R126" s="82"/>
      <c r="S126" s="82">
        <f>IF(S109+S116+S117+S122=2,1,0)</f>
        <v>0</v>
      </c>
      <c r="T126" s="82"/>
      <c r="U126" s="82"/>
      <c r="V126" s="82">
        <f>IF(V109+V116+V117+V122=2,1,0)</f>
        <v>0</v>
      </c>
      <c r="W126" s="381"/>
      <c r="X126" s="82"/>
      <c r="Y126" s="82">
        <f t="shared" si="94"/>
        <v>0</v>
      </c>
      <c r="Z126" s="66">
        <f>IF(Y$128=0,0,Y126/Y$128)</f>
        <v>0</v>
      </c>
      <c r="AA126" s="66"/>
      <c r="AB126" s="66"/>
      <c r="AC126" s="83"/>
      <c r="AE126" s="82"/>
      <c r="AF126" s="82"/>
      <c r="AG126" s="82"/>
      <c r="AH126" s="82"/>
      <c r="AI126" s="66"/>
      <c r="AK126" s="82"/>
      <c r="AL126" s="82"/>
      <c r="AM126" s="82"/>
      <c r="AN126" s="82"/>
      <c r="AO126" s="66"/>
      <c r="AQ126" s="82"/>
      <c r="AR126" s="82"/>
      <c r="AS126" s="82"/>
      <c r="AT126" s="82"/>
      <c r="AU126" s="66"/>
      <c r="AW126" s="82"/>
      <c r="AX126" s="82"/>
      <c r="AY126" s="82"/>
      <c r="AZ126" s="82"/>
      <c r="BA126" s="66"/>
    </row>
    <row r="127" spans="1:53" s="97" customFormat="1" ht="17.100000000000001" customHeight="1" x14ac:dyDescent="0.25">
      <c r="A127" s="119"/>
      <c r="B127" s="119"/>
      <c r="C127" s="137"/>
      <c r="D127" s="133" t="s">
        <v>98</v>
      </c>
      <c r="E127" s="134"/>
      <c r="F127" s="134"/>
      <c r="G127" s="134"/>
      <c r="H127" s="928"/>
      <c r="I127" s="229"/>
      <c r="J127" s="82"/>
      <c r="K127" s="82"/>
      <c r="L127" s="82"/>
      <c r="M127" s="82"/>
      <c r="N127" s="82"/>
      <c r="O127" s="82"/>
      <c r="P127" s="82">
        <f>IF(P109+P116+P117+P122=3,1,0)</f>
        <v>0</v>
      </c>
      <c r="Q127" s="82"/>
      <c r="R127" s="82"/>
      <c r="S127" s="82">
        <f>IF(S109+S116+S117+S122=3,1,0)</f>
        <v>0</v>
      </c>
      <c r="T127" s="82"/>
      <c r="U127" s="82"/>
      <c r="V127" s="82">
        <f>IF(V109+V116+V117+V122=3,1,0)</f>
        <v>0</v>
      </c>
      <c r="W127" s="381"/>
      <c r="X127" s="82"/>
      <c r="Y127" s="82">
        <f t="shared" si="94"/>
        <v>0</v>
      </c>
      <c r="Z127" s="66">
        <f>IF(Y$128=0,0,Y127/Y$128)</f>
        <v>0</v>
      </c>
      <c r="AA127" s="66"/>
      <c r="AB127" s="66"/>
      <c r="AC127" s="83"/>
      <c r="AE127" s="82"/>
      <c r="AF127" s="82"/>
      <c r="AG127" s="82"/>
      <c r="AH127" s="82"/>
      <c r="AI127" s="66"/>
      <c r="AK127" s="82"/>
      <c r="AL127" s="82"/>
      <c r="AM127" s="82"/>
      <c r="AN127" s="82"/>
      <c r="AO127" s="66"/>
      <c r="AQ127" s="82"/>
      <c r="AR127" s="82"/>
      <c r="AS127" s="82"/>
      <c r="AT127" s="82"/>
      <c r="AU127" s="66"/>
      <c r="AW127" s="82"/>
      <c r="AX127" s="82"/>
      <c r="AY127" s="82"/>
      <c r="AZ127" s="82"/>
      <c r="BA127" s="66"/>
    </row>
    <row r="128" spans="1:53" s="97" customFormat="1" ht="17.100000000000001" customHeight="1" x14ac:dyDescent="0.25">
      <c r="A128" s="119"/>
      <c r="B128" s="119"/>
      <c r="C128" s="928"/>
      <c r="D128" s="133"/>
      <c r="E128" s="134"/>
      <c r="F128" s="134"/>
      <c r="G128" s="134"/>
      <c r="H128" s="928"/>
      <c r="I128" s="229"/>
      <c r="J128" s="82"/>
      <c r="K128" s="82"/>
      <c r="L128" s="82"/>
      <c r="M128" s="82"/>
      <c r="N128" s="82"/>
      <c r="O128" s="82"/>
      <c r="P128" s="82"/>
      <c r="Q128" s="82"/>
      <c r="R128" s="82"/>
      <c r="S128" s="82"/>
      <c r="T128" s="82"/>
      <c r="U128" s="82"/>
      <c r="V128" s="360"/>
      <c r="W128" s="381"/>
      <c r="X128" s="82"/>
      <c r="Y128" s="82">
        <f>SUM(Y124:Y127)</f>
        <v>2</v>
      </c>
      <c r="Z128" s="66">
        <f>IF(Y$128=0,0,Y128/Y$128)</f>
        <v>1</v>
      </c>
      <c r="AA128" s="66"/>
      <c r="AB128" s="66"/>
      <c r="AC128" s="83"/>
      <c r="AE128" s="82"/>
      <c r="AF128" s="82"/>
      <c r="AG128" s="82"/>
      <c r="AH128" s="82"/>
      <c r="AI128" s="66"/>
      <c r="AK128" s="82"/>
      <c r="AL128" s="82"/>
      <c r="AM128" s="82"/>
      <c r="AN128" s="82"/>
      <c r="AO128" s="66"/>
      <c r="AQ128" s="82"/>
      <c r="AR128" s="82"/>
      <c r="AS128" s="82"/>
      <c r="AT128" s="82"/>
      <c r="AU128" s="66"/>
      <c r="AW128" s="82"/>
      <c r="AX128" s="82"/>
      <c r="AY128" s="82"/>
      <c r="AZ128" s="82"/>
      <c r="BA128" s="66"/>
    </row>
    <row r="129" spans="1:53" s="97" customFormat="1" ht="17.100000000000001" customHeight="1" x14ac:dyDescent="0.25">
      <c r="A129" s="119"/>
      <c r="B129" s="119"/>
      <c r="C129" s="928"/>
      <c r="D129" s="127" t="s">
        <v>81</v>
      </c>
      <c r="E129" s="122"/>
      <c r="F129" s="122"/>
      <c r="G129" s="122"/>
      <c r="H129" s="928"/>
      <c r="I129" s="229"/>
      <c r="J129" s="123"/>
      <c r="K129" s="123"/>
      <c r="L129" s="123"/>
      <c r="M129" s="123"/>
      <c r="N129" s="123"/>
      <c r="O129" s="123"/>
      <c r="P129" s="123">
        <f t="shared" ref="P129" si="95">P109</f>
        <v>0</v>
      </c>
      <c r="Q129" s="123"/>
      <c r="R129" s="123"/>
      <c r="S129" s="123">
        <f t="shared" ref="S129" si="96">S109</f>
        <v>0</v>
      </c>
      <c r="T129" s="123"/>
      <c r="U129" s="123"/>
      <c r="V129" s="123">
        <f t="shared" ref="V129" si="97">V109</f>
        <v>0</v>
      </c>
      <c r="W129" s="383"/>
      <c r="X129" s="123"/>
      <c r="Y129" s="123">
        <f t="shared" ref="Y129" si="98">Y109</f>
        <v>0</v>
      </c>
      <c r="Z129" s="525"/>
      <c r="AA129" s="125"/>
      <c r="AB129" s="125"/>
      <c r="AC129" s="125"/>
      <c r="AE129" s="123"/>
      <c r="AF129" s="123"/>
      <c r="AG129" s="123"/>
      <c r="AH129" s="124"/>
      <c r="AI129" s="125"/>
      <c r="AK129" s="123"/>
      <c r="AL129" s="123"/>
      <c r="AM129" s="123"/>
      <c r="AN129" s="124"/>
      <c r="AO129" s="125"/>
      <c r="AQ129" s="123"/>
      <c r="AR129" s="123"/>
      <c r="AS129" s="123"/>
      <c r="AT129" s="124"/>
      <c r="AU129" s="125"/>
      <c r="AW129" s="123"/>
      <c r="AX129" s="123"/>
      <c r="AY129" s="123"/>
      <c r="AZ129" s="124"/>
      <c r="BA129" s="125"/>
    </row>
    <row r="130" spans="1:53" s="97" customFormat="1" ht="17.100000000000001" customHeight="1" x14ac:dyDescent="0.25">
      <c r="A130" s="119"/>
      <c r="B130" s="119"/>
      <c r="C130" s="1310"/>
      <c r="D130" s="127" t="s">
        <v>87</v>
      </c>
      <c r="E130" s="122"/>
      <c r="F130" s="122"/>
      <c r="G130" s="122"/>
      <c r="H130" s="1310"/>
      <c r="I130" s="229"/>
      <c r="J130" s="123"/>
      <c r="K130" s="123"/>
      <c r="L130" s="123"/>
      <c r="M130" s="123"/>
      <c r="N130" s="123"/>
      <c r="O130" s="123"/>
      <c r="P130" s="123">
        <f>P116+P117</f>
        <v>0</v>
      </c>
      <c r="Q130" s="123"/>
      <c r="R130" s="123"/>
      <c r="S130" s="123">
        <f>S116+S117</f>
        <v>0</v>
      </c>
      <c r="T130" s="123"/>
      <c r="U130" s="123"/>
      <c r="V130" s="123">
        <f>V116+V117</f>
        <v>0</v>
      </c>
      <c r="W130" s="383"/>
      <c r="X130" s="123"/>
      <c r="Y130" s="123">
        <f>Y116+Y117</f>
        <v>0</v>
      </c>
      <c r="Z130" s="525"/>
      <c r="AA130" s="125"/>
      <c r="AB130" s="125"/>
      <c r="AC130" s="125"/>
      <c r="AE130" s="123"/>
      <c r="AF130" s="123"/>
      <c r="AG130" s="123"/>
      <c r="AH130" s="124"/>
      <c r="AI130" s="125"/>
      <c r="AK130" s="123"/>
      <c r="AL130" s="123"/>
      <c r="AM130" s="123"/>
      <c r="AN130" s="124"/>
      <c r="AO130" s="125"/>
      <c r="AQ130" s="123"/>
      <c r="AR130" s="123"/>
      <c r="AS130" s="123"/>
      <c r="AT130" s="124"/>
      <c r="AU130" s="125"/>
      <c r="AW130" s="123"/>
      <c r="AX130" s="123"/>
      <c r="AY130" s="123"/>
      <c r="AZ130" s="124"/>
      <c r="BA130" s="125"/>
    </row>
    <row r="131" spans="1:53" s="97" customFormat="1" ht="17.100000000000001" customHeight="1" x14ac:dyDescent="0.25">
      <c r="A131" s="119"/>
      <c r="B131" s="119"/>
      <c r="C131" s="928"/>
      <c r="D131" s="127" t="s">
        <v>923</v>
      </c>
      <c r="E131" s="122"/>
      <c r="F131" s="122"/>
      <c r="G131" s="122"/>
      <c r="H131" s="928"/>
      <c r="I131" s="229"/>
      <c r="J131" s="123"/>
      <c r="K131" s="123"/>
      <c r="L131" s="123"/>
      <c r="M131" s="123"/>
      <c r="N131" s="123"/>
      <c r="O131" s="123"/>
      <c r="P131" s="123"/>
      <c r="Q131" s="123"/>
      <c r="R131" s="123"/>
      <c r="S131" s="123"/>
      <c r="T131" s="123"/>
      <c r="U131" s="123"/>
      <c r="V131" s="123"/>
      <c r="W131" s="383"/>
      <c r="X131" s="123"/>
      <c r="Y131" s="123"/>
      <c r="Z131" s="525"/>
      <c r="AA131" s="130"/>
      <c r="AB131" s="130"/>
      <c r="AC131" s="125"/>
      <c r="AE131" s="123"/>
      <c r="AF131" s="123"/>
      <c r="AG131" s="123"/>
      <c r="AH131" s="129"/>
      <c r="AI131" s="130"/>
      <c r="AK131" s="123"/>
      <c r="AL131" s="123"/>
      <c r="AM131" s="123"/>
      <c r="AN131" s="129"/>
      <c r="AO131" s="130"/>
      <c r="AQ131" s="123"/>
      <c r="AR131" s="123"/>
      <c r="AS131" s="123"/>
      <c r="AT131" s="129"/>
      <c r="AU131" s="130"/>
      <c r="AW131" s="123"/>
      <c r="AX131" s="123"/>
      <c r="AY131" s="123"/>
      <c r="AZ131" s="129"/>
      <c r="BA131" s="130"/>
    </row>
    <row r="132" spans="1:53" s="97" customFormat="1" ht="17.100000000000001" customHeight="1" x14ac:dyDescent="0.25">
      <c r="A132" s="119"/>
      <c r="B132" s="119"/>
      <c r="C132" s="928"/>
      <c r="D132" s="127" t="s">
        <v>922</v>
      </c>
      <c r="E132" s="122"/>
      <c r="F132" s="122"/>
      <c r="G132" s="122"/>
      <c r="H132" s="928"/>
      <c r="I132" s="229"/>
      <c r="J132" s="123"/>
      <c r="K132" s="123"/>
      <c r="L132" s="123"/>
      <c r="M132" s="123"/>
      <c r="N132" s="123"/>
      <c r="O132" s="123"/>
      <c r="P132" s="123">
        <f t="shared" ref="P132" si="99">SUM(P129:P131)</f>
        <v>0</v>
      </c>
      <c r="Q132" s="123"/>
      <c r="R132" s="123"/>
      <c r="S132" s="123">
        <f t="shared" ref="S132" si="100">SUM(S129:S131)</f>
        <v>0</v>
      </c>
      <c r="T132" s="123"/>
      <c r="U132" s="123"/>
      <c r="V132" s="123">
        <f t="shared" ref="V132" si="101">SUM(V129:V131)</f>
        <v>0</v>
      </c>
      <c r="W132" s="383"/>
      <c r="X132" s="123"/>
      <c r="Y132" s="123">
        <f t="shared" ref="Y132:Y133" si="102">SUM(Y129:Y131)</f>
        <v>0</v>
      </c>
      <c r="Z132" s="525"/>
      <c r="AA132" s="125"/>
      <c r="AB132" s="125"/>
      <c r="AC132" s="125"/>
      <c r="AE132" s="123"/>
      <c r="AF132" s="123"/>
      <c r="AG132" s="123"/>
      <c r="AH132" s="124"/>
      <c r="AI132" s="125"/>
      <c r="AK132" s="123"/>
      <c r="AL132" s="123"/>
      <c r="AM132" s="123"/>
      <c r="AN132" s="124"/>
      <c r="AO132" s="125"/>
      <c r="AQ132" s="123"/>
      <c r="AR132" s="123"/>
      <c r="AS132" s="123"/>
      <c r="AT132" s="124"/>
      <c r="AU132" s="125"/>
      <c r="AW132" s="123"/>
      <c r="AX132" s="123"/>
      <c r="AY132" s="123"/>
      <c r="AZ132" s="124"/>
      <c r="BA132" s="125"/>
    </row>
    <row r="133" spans="1:53" s="97" customFormat="1" ht="17.100000000000001" customHeight="1" x14ac:dyDescent="0.25">
      <c r="A133" s="119"/>
      <c r="B133" s="119"/>
      <c r="C133" s="103" t="s">
        <v>99</v>
      </c>
      <c r="D133" s="85" t="s">
        <v>921</v>
      </c>
      <c r="E133" s="75"/>
      <c r="F133" s="75"/>
      <c r="G133" s="75"/>
      <c r="H133" s="928"/>
      <c r="I133" s="229"/>
      <c r="J133" s="927"/>
      <c r="K133" s="927"/>
      <c r="L133" s="927"/>
      <c r="M133" s="927"/>
      <c r="N133" s="927"/>
      <c r="O133" s="927"/>
      <c r="P133" s="927">
        <f t="shared" ref="P133" si="103">IF(P132&gt;=1,1,0)</f>
        <v>0</v>
      </c>
      <c r="Q133" s="927"/>
      <c r="R133" s="927"/>
      <c r="S133" s="927">
        <f t="shared" ref="S133" si="104">IF(S132&gt;=1,1,0)</f>
        <v>0</v>
      </c>
      <c r="T133" s="927"/>
      <c r="U133" s="927"/>
      <c r="V133" s="927">
        <f t="shared" ref="V133" si="105">IF(V132&gt;=1,1,0)</f>
        <v>0</v>
      </c>
      <c r="W133" s="382"/>
      <c r="X133" s="927"/>
      <c r="Y133" s="927">
        <f t="shared" si="102"/>
        <v>0</v>
      </c>
      <c r="Z133" s="91"/>
      <c r="AA133" s="91"/>
      <c r="AB133" s="91"/>
      <c r="AC133" s="84"/>
      <c r="AE133" s="927"/>
      <c r="AF133" s="927"/>
      <c r="AG133" s="927"/>
      <c r="AH133" s="927"/>
      <c r="AI133" s="91"/>
      <c r="AK133" s="927"/>
      <c r="AL133" s="927"/>
      <c r="AM133" s="927"/>
      <c r="AN133" s="927"/>
      <c r="AO133" s="91"/>
      <c r="AQ133" s="927"/>
      <c r="AR133" s="927"/>
      <c r="AS133" s="927"/>
      <c r="AT133" s="927"/>
      <c r="AU133" s="91"/>
      <c r="AW133" s="927"/>
      <c r="AX133" s="927"/>
      <c r="AY133" s="927"/>
      <c r="AZ133" s="927"/>
      <c r="BA133" s="91"/>
    </row>
    <row r="134" spans="1:53" s="97" customFormat="1" ht="17.100000000000001" customHeight="1" x14ac:dyDescent="0.25">
      <c r="A134" s="138"/>
      <c r="B134" s="138"/>
      <c r="C134" s="139"/>
      <c r="D134" s="12"/>
      <c r="E134" s="12"/>
      <c r="F134" s="12"/>
      <c r="G134" s="12"/>
      <c r="H134" s="139"/>
      <c r="I134" s="12"/>
      <c r="J134" s="95"/>
      <c r="K134" s="95"/>
      <c r="L134" s="95"/>
      <c r="M134" s="95"/>
      <c r="N134" s="95"/>
      <c r="O134" s="95"/>
      <c r="P134" s="95"/>
      <c r="Q134" s="95"/>
      <c r="R134" s="95"/>
      <c r="S134" s="95"/>
      <c r="T134" s="95"/>
      <c r="U134" s="95"/>
      <c r="V134" s="95"/>
      <c r="W134" s="378"/>
      <c r="X134" s="95"/>
      <c r="Y134" s="96"/>
      <c r="AE134" s="109"/>
      <c r="AF134" s="109"/>
      <c r="AG134" s="109"/>
      <c r="AH134" s="96"/>
      <c r="AK134" s="109"/>
      <c r="AL134" s="109"/>
      <c r="AM134" s="109"/>
      <c r="AN134" s="96"/>
      <c r="AQ134" s="109"/>
      <c r="AR134" s="109"/>
      <c r="AS134" s="109"/>
      <c r="AT134" s="96"/>
      <c r="AW134" s="109"/>
      <c r="AX134" s="109"/>
      <c r="AY134" s="109"/>
      <c r="AZ134" s="96"/>
    </row>
    <row r="135" spans="1:53" s="32" customFormat="1" ht="16.5" thickBot="1" x14ac:dyDescent="0.3">
      <c r="A135" s="24" t="s">
        <v>100</v>
      </c>
      <c r="B135" s="25" t="s">
        <v>101</v>
      </c>
      <c r="C135" s="26"/>
      <c r="D135" s="27"/>
      <c r="E135" s="27"/>
      <c r="F135" s="27"/>
      <c r="G135" s="28"/>
      <c r="H135" s="215"/>
      <c r="I135" s="228"/>
      <c r="J135" s="140"/>
      <c r="K135" s="140"/>
      <c r="L135" s="140"/>
      <c r="M135" s="140"/>
      <c r="N135" s="140"/>
      <c r="O135" s="140"/>
      <c r="P135" s="140"/>
      <c r="Q135" s="140"/>
      <c r="R135" s="140"/>
      <c r="S135" s="140"/>
      <c r="T135" s="140"/>
      <c r="U135" s="140"/>
      <c r="V135" s="365"/>
      <c r="W135" s="379"/>
      <c r="X135" s="140"/>
      <c r="Y135" s="30" t="s">
        <v>4</v>
      </c>
      <c r="Z135" s="31" t="s">
        <v>5</v>
      </c>
      <c r="AA135" s="31" t="s">
        <v>181</v>
      </c>
      <c r="AB135" s="31" t="s">
        <v>182</v>
      </c>
      <c r="AC135" s="31" t="s">
        <v>6</v>
      </c>
      <c r="AE135" s="33" t="s">
        <v>181</v>
      </c>
      <c r="AF135" s="33" t="s">
        <v>182</v>
      </c>
      <c r="AG135" s="33" t="s">
        <v>6</v>
      </c>
      <c r="AH135" s="33" t="s">
        <v>4</v>
      </c>
      <c r="AI135" s="34" t="s">
        <v>5</v>
      </c>
      <c r="AJ135" s="408"/>
      <c r="AK135" s="36" t="s">
        <v>181</v>
      </c>
      <c r="AL135" s="36" t="s">
        <v>182</v>
      </c>
      <c r="AM135" s="36" t="s">
        <v>6</v>
      </c>
      <c r="AN135" s="36" t="s">
        <v>4</v>
      </c>
      <c r="AO135" s="37" t="s">
        <v>5</v>
      </c>
      <c r="AP135" s="408"/>
      <c r="AQ135" s="36"/>
      <c r="AR135" s="36"/>
      <c r="AS135" s="36"/>
      <c r="AT135" s="36"/>
      <c r="AU135" s="37"/>
      <c r="AV135" s="408"/>
      <c r="AW135" s="38" t="s">
        <v>181</v>
      </c>
      <c r="AX135" s="38" t="s">
        <v>182</v>
      </c>
      <c r="AY135" s="38" t="s">
        <v>6</v>
      </c>
      <c r="AZ135" s="38" t="s">
        <v>4</v>
      </c>
      <c r="BA135" s="39" t="s">
        <v>5</v>
      </c>
    </row>
    <row r="136" spans="1:53" ht="17.100000000000001" customHeight="1" x14ac:dyDescent="0.25">
      <c r="A136" s="68"/>
      <c r="B136" s="41" t="s">
        <v>102</v>
      </c>
      <c r="C136" s="69" t="s">
        <v>103</v>
      </c>
      <c r="D136" s="50"/>
      <c r="E136" s="70"/>
      <c r="F136" s="70"/>
      <c r="G136" s="70"/>
      <c r="H136" s="263">
        <v>2</v>
      </c>
      <c r="J136" s="71"/>
      <c r="K136" s="71"/>
      <c r="L136" s="71"/>
      <c r="M136" s="71"/>
      <c r="N136" s="71"/>
      <c r="O136" s="71"/>
      <c r="P136" s="71"/>
      <c r="Q136" s="71"/>
      <c r="R136" s="71"/>
      <c r="S136" s="71"/>
      <c r="T136" s="71"/>
      <c r="U136" s="71"/>
      <c r="V136" s="355"/>
      <c r="W136" s="377"/>
      <c r="X136" s="71"/>
      <c r="Y136" s="72"/>
      <c r="Z136" s="73"/>
      <c r="AA136" s="73"/>
      <c r="AB136" s="73"/>
      <c r="AC136" s="73"/>
      <c r="AE136" s="71"/>
      <c r="AF136" s="71"/>
      <c r="AG136" s="71"/>
      <c r="AH136" s="72"/>
      <c r="AI136" s="73"/>
      <c r="AK136" s="71"/>
      <c r="AL136" s="71"/>
      <c r="AM136" s="71"/>
      <c r="AN136" s="72"/>
      <c r="AO136" s="73"/>
      <c r="AQ136" s="71"/>
      <c r="AR136" s="71"/>
      <c r="AS136" s="71"/>
      <c r="AT136" s="72"/>
      <c r="AU136" s="73"/>
      <c r="AW136" s="71"/>
      <c r="AX136" s="71"/>
      <c r="AY136" s="71"/>
      <c r="AZ136" s="72"/>
      <c r="BA136" s="73"/>
    </row>
    <row r="137" spans="1:53" ht="17.100000000000001" customHeight="1" x14ac:dyDescent="0.25">
      <c r="A137" s="40"/>
      <c r="B137" s="40"/>
      <c r="C137" s="74" t="s">
        <v>104</v>
      </c>
      <c r="D137" s="75" t="s">
        <v>404</v>
      </c>
      <c r="E137" s="75"/>
      <c r="F137" s="75"/>
      <c r="G137" s="542"/>
      <c r="H137" s="540"/>
      <c r="I137" s="235"/>
      <c r="J137" s="581"/>
      <c r="K137" s="581"/>
      <c r="L137" s="582"/>
      <c r="M137" s="17">
        <f t="shared" ref="M137:M146" si="106">SUM(J137:L137)</f>
        <v>0</v>
      </c>
      <c r="N137" s="111"/>
      <c r="O137" s="111"/>
      <c r="P137" s="111"/>
      <c r="Q137" s="111"/>
      <c r="R137" s="111"/>
      <c r="S137" s="111"/>
      <c r="T137" s="111"/>
      <c r="U137" s="111"/>
      <c r="V137" s="358"/>
      <c r="W137" s="391">
        <f t="shared" ref="W137:W146" si="107">J137+K137+N137+Q137+T137</f>
        <v>0</v>
      </c>
      <c r="X137" s="17">
        <f t="shared" ref="X137:X146" si="108">L137+O137+R137+U137</f>
        <v>0</v>
      </c>
      <c r="Y137" s="18">
        <f t="shared" ref="Y137:Y146" si="109">SUM(W137:X137)</f>
        <v>0</v>
      </c>
      <c r="Z137" s="19">
        <f>IF(Y$147=0,0,Y137/Y$147)</f>
        <v>0</v>
      </c>
      <c r="AA137" s="19"/>
      <c r="AB137" s="19"/>
      <c r="AC137" s="20"/>
      <c r="AE137" s="17"/>
      <c r="AF137" s="17"/>
      <c r="AG137" s="17"/>
      <c r="AH137" s="18">
        <f t="shared" ref="AH137:AH146" si="110">J137</f>
        <v>0</v>
      </c>
      <c r="AI137" s="19">
        <f>IF(AH$147=0,0,AH137/AH$147)</f>
        <v>0</v>
      </c>
      <c r="AK137" s="17"/>
      <c r="AL137" s="17"/>
      <c r="AM137" s="17"/>
      <c r="AN137" s="18">
        <f t="shared" ref="AN137:AN146" si="111">K137</f>
        <v>0</v>
      </c>
      <c r="AO137" s="19">
        <f>IF(AN$147=0,0,AN137/AN$147)</f>
        <v>0</v>
      </c>
      <c r="AQ137" s="17"/>
      <c r="AR137" s="17"/>
      <c r="AS137" s="17"/>
      <c r="AT137" s="18">
        <f t="shared" ref="AT137:AT146" si="112">W137</f>
        <v>0</v>
      </c>
      <c r="AU137" s="19">
        <f>IF(AT$147=0,0,AT137/AT$147)</f>
        <v>0</v>
      </c>
      <c r="AW137" s="17"/>
      <c r="AX137" s="17"/>
      <c r="AY137" s="17"/>
      <c r="AZ137" s="18">
        <f t="shared" ref="AZ137:AZ146" si="113">X137</f>
        <v>0</v>
      </c>
      <c r="BA137" s="19">
        <f>IF(AZ$147=0,0,AZ137/AZ$147)</f>
        <v>0</v>
      </c>
    </row>
    <row r="138" spans="1:53" ht="17.100000000000001" customHeight="1" x14ac:dyDescent="0.25">
      <c r="A138" s="40"/>
      <c r="B138" s="40"/>
      <c r="C138" s="74" t="s">
        <v>105</v>
      </c>
      <c r="D138" s="75" t="s">
        <v>405</v>
      </c>
      <c r="E138" s="75"/>
      <c r="F138" s="75"/>
      <c r="G138" s="542"/>
      <c r="H138" s="540"/>
      <c r="I138" s="235"/>
      <c r="J138" s="583"/>
      <c r="K138" s="583"/>
      <c r="L138" s="584"/>
      <c r="M138" s="17">
        <f t="shared" si="106"/>
        <v>0</v>
      </c>
      <c r="N138" s="111"/>
      <c r="O138" s="111"/>
      <c r="P138" s="111"/>
      <c r="Q138" s="111"/>
      <c r="R138" s="111"/>
      <c r="S138" s="111"/>
      <c r="T138" s="111"/>
      <c r="U138" s="111"/>
      <c r="V138" s="358"/>
      <c r="W138" s="391">
        <f t="shared" si="107"/>
        <v>0</v>
      </c>
      <c r="X138" s="17">
        <f t="shared" si="108"/>
        <v>0</v>
      </c>
      <c r="Y138" s="18">
        <f t="shared" si="109"/>
        <v>0</v>
      </c>
      <c r="Z138" s="19">
        <f t="shared" ref="Z138:Z146" si="114">IF(Y$147=0,0,Y138/Y$147)</f>
        <v>0</v>
      </c>
      <c r="AA138" s="19"/>
      <c r="AB138" s="19"/>
      <c r="AC138" s="20"/>
      <c r="AE138" s="17"/>
      <c r="AF138" s="17"/>
      <c r="AG138" s="17"/>
      <c r="AH138" s="18">
        <f t="shared" si="110"/>
        <v>0</v>
      </c>
      <c r="AI138" s="19">
        <f t="shared" ref="AI138:AI147" si="115">IF(AH$147=0,0,AH138/AH$147)</f>
        <v>0</v>
      </c>
      <c r="AK138" s="17"/>
      <c r="AL138" s="17"/>
      <c r="AM138" s="17"/>
      <c r="AN138" s="18">
        <f t="shared" si="111"/>
        <v>0</v>
      </c>
      <c r="AO138" s="19">
        <f t="shared" ref="AO138:AO147" si="116">IF(AN$147=0,0,AN138/AN$147)</f>
        <v>0</v>
      </c>
      <c r="AQ138" s="17"/>
      <c r="AR138" s="17"/>
      <c r="AS138" s="17"/>
      <c r="AT138" s="18">
        <f t="shared" si="112"/>
        <v>0</v>
      </c>
      <c r="AU138" s="19">
        <f t="shared" ref="AU138:AU147" si="117">IF(AT$147=0,0,AT138/AT$147)</f>
        <v>0</v>
      </c>
      <c r="AW138" s="17"/>
      <c r="AX138" s="17"/>
      <c r="AY138" s="17"/>
      <c r="AZ138" s="18">
        <f t="shared" si="113"/>
        <v>0</v>
      </c>
      <c r="BA138" s="19">
        <f t="shared" ref="BA138:BA147" si="118">IF(AZ$147=0,0,AZ138/AZ$147)</f>
        <v>0</v>
      </c>
    </row>
    <row r="139" spans="1:53" ht="17.100000000000001" customHeight="1" x14ac:dyDescent="0.25">
      <c r="A139" s="40"/>
      <c r="B139" s="40"/>
      <c r="C139" s="74" t="s">
        <v>106</v>
      </c>
      <c r="D139" s="75" t="s">
        <v>406</v>
      </c>
      <c r="E139" s="75"/>
      <c r="F139" s="75"/>
      <c r="G139" s="542"/>
      <c r="H139" s="540"/>
      <c r="I139" s="235"/>
      <c r="J139" s="581"/>
      <c r="K139" s="581"/>
      <c r="L139" s="582"/>
      <c r="M139" s="17">
        <f t="shared" si="106"/>
        <v>0</v>
      </c>
      <c r="N139" s="111"/>
      <c r="O139" s="111"/>
      <c r="P139" s="111"/>
      <c r="Q139" s="111"/>
      <c r="R139" s="111"/>
      <c r="S139" s="111"/>
      <c r="T139" s="111"/>
      <c r="U139" s="111"/>
      <c r="V139" s="358"/>
      <c r="W139" s="391">
        <f t="shared" si="107"/>
        <v>0</v>
      </c>
      <c r="X139" s="17">
        <f t="shared" si="108"/>
        <v>0</v>
      </c>
      <c r="Y139" s="18">
        <f t="shared" si="109"/>
        <v>0</v>
      </c>
      <c r="Z139" s="19">
        <f t="shared" si="114"/>
        <v>0</v>
      </c>
      <c r="AA139" s="19"/>
      <c r="AB139" s="19"/>
      <c r="AC139" s="20"/>
      <c r="AE139" s="17"/>
      <c r="AF139" s="17"/>
      <c r="AG139" s="17"/>
      <c r="AH139" s="18">
        <f t="shared" si="110"/>
        <v>0</v>
      </c>
      <c r="AI139" s="19">
        <f t="shared" si="115"/>
        <v>0</v>
      </c>
      <c r="AK139" s="17"/>
      <c r="AL139" s="17"/>
      <c r="AM139" s="17"/>
      <c r="AN139" s="18">
        <f t="shared" si="111"/>
        <v>0</v>
      </c>
      <c r="AO139" s="19">
        <f t="shared" si="116"/>
        <v>0</v>
      </c>
      <c r="AQ139" s="17"/>
      <c r="AR139" s="17"/>
      <c r="AS139" s="17"/>
      <c r="AT139" s="18">
        <f t="shared" si="112"/>
        <v>0</v>
      </c>
      <c r="AU139" s="19">
        <f t="shared" si="117"/>
        <v>0</v>
      </c>
      <c r="AW139" s="17"/>
      <c r="AX139" s="17"/>
      <c r="AY139" s="17"/>
      <c r="AZ139" s="18">
        <f t="shared" si="113"/>
        <v>0</v>
      </c>
      <c r="BA139" s="19">
        <f t="shared" si="118"/>
        <v>0</v>
      </c>
    </row>
    <row r="140" spans="1:53" ht="17.100000000000001" customHeight="1" x14ac:dyDescent="0.25">
      <c r="A140" s="40"/>
      <c r="B140" s="40"/>
      <c r="C140" s="74" t="s">
        <v>107</v>
      </c>
      <c r="D140" s="75" t="s">
        <v>407</v>
      </c>
      <c r="E140" s="75"/>
      <c r="F140" s="75"/>
      <c r="G140" s="75"/>
      <c r="H140" s="540"/>
      <c r="I140" s="229"/>
      <c r="J140" s="583"/>
      <c r="K140" s="583"/>
      <c r="L140" s="584"/>
      <c r="M140" s="17">
        <f t="shared" si="106"/>
        <v>0</v>
      </c>
      <c r="N140" s="111"/>
      <c r="O140" s="111"/>
      <c r="P140" s="111"/>
      <c r="Q140" s="111"/>
      <c r="R140" s="111"/>
      <c r="S140" s="111"/>
      <c r="T140" s="111"/>
      <c r="U140" s="111"/>
      <c r="V140" s="358"/>
      <c r="W140" s="391">
        <f t="shared" si="107"/>
        <v>0</v>
      </c>
      <c r="X140" s="17">
        <f t="shared" si="108"/>
        <v>0</v>
      </c>
      <c r="Y140" s="18">
        <f t="shared" si="109"/>
        <v>0</v>
      </c>
      <c r="Z140" s="19">
        <f t="shared" si="114"/>
        <v>0</v>
      </c>
      <c r="AA140" s="19"/>
      <c r="AB140" s="19"/>
      <c r="AC140" s="20"/>
      <c r="AE140" s="17"/>
      <c r="AF140" s="17"/>
      <c r="AG140" s="17"/>
      <c r="AH140" s="18">
        <f t="shared" si="110"/>
        <v>0</v>
      </c>
      <c r="AI140" s="19">
        <f t="shared" si="115"/>
        <v>0</v>
      </c>
      <c r="AK140" s="17"/>
      <c r="AL140" s="17"/>
      <c r="AM140" s="17"/>
      <c r="AN140" s="18">
        <f t="shared" si="111"/>
        <v>0</v>
      </c>
      <c r="AO140" s="19">
        <f t="shared" si="116"/>
        <v>0</v>
      </c>
      <c r="AQ140" s="17"/>
      <c r="AR140" s="17"/>
      <c r="AS140" s="17"/>
      <c r="AT140" s="18">
        <f t="shared" si="112"/>
        <v>0</v>
      </c>
      <c r="AU140" s="19">
        <f t="shared" si="117"/>
        <v>0</v>
      </c>
      <c r="AW140" s="17"/>
      <c r="AX140" s="17"/>
      <c r="AY140" s="17"/>
      <c r="AZ140" s="18">
        <f t="shared" si="113"/>
        <v>0</v>
      </c>
      <c r="BA140" s="19">
        <f t="shared" si="118"/>
        <v>0</v>
      </c>
    </row>
    <row r="141" spans="1:53" ht="17.100000000000001" customHeight="1" x14ac:dyDescent="0.25">
      <c r="A141" s="40"/>
      <c r="B141" s="40"/>
      <c r="C141" s="56" t="s">
        <v>108</v>
      </c>
      <c r="D141" s="75" t="s">
        <v>408</v>
      </c>
      <c r="E141" s="542"/>
      <c r="F141" s="542"/>
      <c r="G141" s="542"/>
      <c r="H141" s="540"/>
      <c r="I141" s="235"/>
      <c r="J141" s="581"/>
      <c r="K141" s="581"/>
      <c r="L141" s="582"/>
      <c r="M141" s="17">
        <f t="shared" si="106"/>
        <v>0</v>
      </c>
      <c r="N141" s="111"/>
      <c r="O141" s="111"/>
      <c r="P141" s="111"/>
      <c r="Q141" s="111"/>
      <c r="R141" s="111"/>
      <c r="S141" s="111"/>
      <c r="T141" s="111"/>
      <c r="U141" s="111"/>
      <c r="V141" s="358"/>
      <c r="W141" s="391">
        <f t="shared" si="107"/>
        <v>0</v>
      </c>
      <c r="X141" s="17">
        <f t="shared" si="108"/>
        <v>0</v>
      </c>
      <c r="Y141" s="18">
        <f t="shared" si="109"/>
        <v>0</v>
      </c>
      <c r="Z141" s="19">
        <f t="shared" si="114"/>
        <v>0</v>
      </c>
      <c r="AA141" s="19"/>
      <c r="AB141" s="19"/>
      <c r="AC141" s="20"/>
      <c r="AE141" s="17"/>
      <c r="AF141" s="17"/>
      <c r="AG141" s="17"/>
      <c r="AH141" s="18">
        <f t="shared" si="110"/>
        <v>0</v>
      </c>
      <c r="AI141" s="19">
        <f t="shared" si="115"/>
        <v>0</v>
      </c>
      <c r="AK141" s="17"/>
      <c r="AL141" s="17"/>
      <c r="AM141" s="17"/>
      <c r="AN141" s="18">
        <f t="shared" si="111"/>
        <v>0</v>
      </c>
      <c r="AO141" s="19">
        <f t="shared" si="116"/>
        <v>0</v>
      </c>
      <c r="AQ141" s="17"/>
      <c r="AR141" s="17"/>
      <c r="AS141" s="17"/>
      <c r="AT141" s="18">
        <f t="shared" si="112"/>
        <v>0</v>
      </c>
      <c r="AU141" s="19">
        <f t="shared" si="117"/>
        <v>0</v>
      </c>
      <c r="AW141" s="17"/>
      <c r="AX141" s="17"/>
      <c r="AY141" s="17"/>
      <c r="AZ141" s="18">
        <f t="shared" si="113"/>
        <v>0</v>
      </c>
      <c r="BA141" s="19">
        <f t="shared" si="118"/>
        <v>0</v>
      </c>
    </row>
    <row r="142" spans="1:53" ht="17.100000000000001" customHeight="1" x14ac:dyDescent="0.25">
      <c r="A142" s="40"/>
      <c r="B142" s="40"/>
      <c r="C142" s="74" t="s">
        <v>399</v>
      </c>
      <c r="D142" s="75" t="s">
        <v>409</v>
      </c>
      <c r="E142" s="150"/>
      <c r="F142" s="151"/>
      <c r="G142" s="151"/>
      <c r="H142" s="119"/>
      <c r="I142" s="236"/>
      <c r="J142" s="583"/>
      <c r="K142" s="583"/>
      <c r="L142" s="584"/>
      <c r="M142" s="17">
        <f t="shared" si="106"/>
        <v>0</v>
      </c>
      <c r="N142" s="111"/>
      <c r="O142" s="111"/>
      <c r="P142" s="111"/>
      <c r="Q142" s="111"/>
      <c r="R142" s="111"/>
      <c r="S142" s="111"/>
      <c r="T142" s="111"/>
      <c r="U142" s="111"/>
      <c r="V142" s="358"/>
      <c r="W142" s="391">
        <f t="shared" si="107"/>
        <v>0</v>
      </c>
      <c r="X142" s="17">
        <f t="shared" si="108"/>
        <v>0</v>
      </c>
      <c r="Y142" s="18">
        <f t="shared" si="109"/>
        <v>0</v>
      </c>
      <c r="Z142" s="19">
        <f t="shared" si="114"/>
        <v>0</v>
      </c>
      <c r="AA142" s="19"/>
      <c r="AB142" s="19"/>
      <c r="AC142" s="20"/>
      <c r="AE142" s="17"/>
      <c r="AF142" s="17"/>
      <c r="AG142" s="17"/>
      <c r="AH142" s="18">
        <f t="shared" si="110"/>
        <v>0</v>
      </c>
      <c r="AI142" s="19">
        <f t="shared" si="115"/>
        <v>0</v>
      </c>
      <c r="AK142" s="17"/>
      <c r="AL142" s="17"/>
      <c r="AM142" s="17"/>
      <c r="AN142" s="18">
        <f t="shared" si="111"/>
        <v>0</v>
      </c>
      <c r="AO142" s="19">
        <f t="shared" si="116"/>
        <v>0</v>
      </c>
      <c r="AQ142" s="17"/>
      <c r="AR142" s="17"/>
      <c r="AS142" s="17"/>
      <c r="AT142" s="18">
        <f t="shared" si="112"/>
        <v>0</v>
      </c>
      <c r="AU142" s="19">
        <f t="shared" si="117"/>
        <v>0</v>
      </c>
      <c r="AW142" s="17"/>
      <c r="AX142" s="17"/>
      <c r="AY142" s="17"/>
      <c r="AZ142" s="18">
        <f t="shared" si="113"/>
        <v>0</v>
      </c>
      <c r="BA142" s="19">
        <f t="shared" si="118"/>
        <v>0</v>
      </c>
    </row>
    <row r="143" spans="1:53" ht="17.100000000000001" customHeight="1" x14ac:dyDescent="0.25">
      <c r="A143" s="40"/>
      <c r="B143" s="40"/>
      <c r="C143" s="56" t="s">
        <v>400</v>
      </c>
      <c r="D143" s="75" t="s">
        <v>410</v>
      </c>
      <c r="E143" s="150"/>
      <c r="F143" s="151"/>
      <c r="G143" s="151"/>
      <c r="H143" s="119"/>
      <c r="I143" s="236"/>
      <c r="J143" s="581"/>
      <c r="K143" s="581"/>
      <c r="L143" s="582"/>
      <c r="M143" s="17">
        <f t="shared" si="106"/>
        <v>0</v>
      </c>
      <c r="N143" s="111"/>
      <c r="O143" s="111"/>
      <c r="P143" s="111"/>
      <c r="Q143" s="111"/>
      <c r="R143" s="111"/>
      <c r="S143" s="111"/>
      <c r="T143" s="111"/>
      <c r="U143" s="111"/>
      <c r="V143" s="358"/>
      <c r="W143" s="391">
        <f t="shared" si="107"/>
        <v>0</v>
      </c>
      <c r="X143" s="17">
        <f t="shared" si="108"/>
        <v>0</v>
      </c>
      <c r="Y143" s="18">
        <f t="shared" si="109"/>
        <v>0</v>
      </c>
      <c r="Z143" s="19">
        <f t="shared" si="114"/>
        <v>0</v>
      </c>
      <c r="AA143" s="19"/>
      <c r="AB143" s="19"/>
      <c r="AC143" s="20"/>
      <c r="AE143" s="17"/>
      <c r="AF143" s="17"/>
      <c r="AG143" s="17"/>
      <c r="AH143" s="18">
        <f t="shared" si="110"/>
        <v>0</v>
      </c>
      <c r="AI143" s="19">
        <f t="shared" si="115"/>
        <v>0</v>
      </c>
      <c r="AK143" s="17"/>
      <c r="AL143" s="17"/>
      <c r="AM143" s="17"/>
      <c r="AN143" s="18">
        <f t="shared" si="111"/>
        <v>0</v>
      </c>
      <c r="AO143" s="19">
        <f t="shared" si="116"/>
        <v>0</v>
      </c>
      <c r="AQ143" s="17"/>
      <c r="AR143" s="17"/>
      <c r="AS143" s="17"/>
      <c r="AT143" s="18">
        <f t="shared" si="112"/>
        <v>0</v>
      </c>
      <c r="AU143" s="19">
        <f t="shared" si="117"/>
        <v>0</v>
      </c>
      <c r="AW143" s="17"/>
      <c r="AX143" s="17"/>
      <c r="AY143" s="17"/>
      <c r="AZ143" s="18">
        <f t="shared" si="113"/>
        <v>0</v>
      </c>
      <c r="BA143" s="19">
        <f t="shared" si="118"/>
        <v>0</v>
      </c>
    </row>
    <row r="144" spans="1:53" ht="17.100000000000001" customHeight="1" x14ac:dyDescent="0.25">
      <c r="A144" s="40"/>
      <c r="B144" s="40"/>
      <c r="C144" s="74" t="s">
        <v>401</v>
      </c>
      <c r="D144" s="75" t="s">
        <v>411</v>
      </c>
      <c r="E144" s="150"/>
      <c r="F144" s="151"/>
      <c r="G144" s="151"/>
      <c r="H144" s="119"/>
      <c r="I144" s="236"/>
      <c r="J144" s="583"/>
      <c r="K144" s="583"/>
      <c r="L144" s="584"/>
      <c r="M144" s="17">
        <f t="shared" si="106"/>
        <v>0</v>
      </c>
      <c r="N144" s="111"/>
      <c r="O144" s="111"/>
      <c r="P144" s="111"/>
      <c r="Q144" s="111"/>
      <c r="R144" s="111"/>
      <c r="S144" s="111"/>
      <c r="T144" s="111"/>
      <c r="U144" s="111"/>
      <c r="V144" s="358"/>
      <c r="W144" s="391">
        <f t="shared" si="107"/>
        <v>0</v>
      </c>
      <c r="X144" s="17">
        <f t="shared" si="108"/>
        <v>0</v>
      </c>
      <c r="Y144" s="18">
        <f t="shared" si="109"/>
        <v>0</v>
      </c>
      <c r="Z144" s="19">
        <f t="shared" si="114"/>
        <v>0</v>
      </c>
      <c r="AA144" s="19"/>
      <c r="AB144" s="19"/>
      <c r="AC144" s="20"/>
      <c r="AE144" s="17"/>
      <c r="AF144" s="17"/>
      <c r="AG144" s="17"/>
      <c r="AH144" s="18">
        <f t="shared" si="110"/>
        <v>0</v>
      </c>
      <c r="AI144" s="19">
        <f t="shared" si="115"/>
        <v>0</v>
      </c>
      <c r="AK144" s="17"/>
      <c r="AL144" s="17"/>
      <c r="AM144" s="17"/>
      <c r="AN144" s="18">
        <f t="shared" si="111"/>
        <v>0</v>
      </c>
      <c r="AO144" s="19">
        <f t="shared" si="116"/>
        <v>0</v>
      </c>
      <c r="AQ144" s="17"/>
      <c r="AR144" s="17"/>
      <c r="AS144" s="17"/>
      <c r="AT144" s="18">
        <f t="shared" si="112"/>
        <v>0</v>
      </c>
      <c r="AU144" s="19">
        <f t="shared" si="117"/>
        <v>0</v>
      </c>
      <c r="AW144" s="17"/>
      <c r="AX144" s="17"/>
      <c r="AY144" s="17"/>
      <c r="AZ144" s="18">
        <f t="shared" si="113"/>
        <v>0</v>
      </c>
      <c r="BA144" s="19">
        <f t="shared" si="118"/>
        <v>0</v>
      </c>
    </row>
    <row r="145" spans="1:53" ht="17.100000000000001" customHeight="1" x14ac:dyDescent="0.25">
      <c r="A145" s="40"/>
      <c r="B145" s="40"/>
      <c r="C145" s="56" t="s">
        <v>402</v>
      </c>
      <c r="D145" s="75" t="s">
        <v>412</v>
      </c>
      <c r="E145" s="150"/>
      <c r="F145" s="151"/>
      <c r="G145" s="151"/>
      <c r="H145" s="119"/>
      <c r="I145" s="236"/>
      <c r="J145" s="581"/>
      <c r="K145" s="581"/>
      <c r="L145" s="582"/>
      <c r="M145" s="17">
        <f t="shared" si="106"/>
        <v>0</v>
      </c>
      <c r="N145" s="111"/>
      <c r="O145" s="111"/>
      <c r="P145" s="111"/>
      <c r="Q145" s="111"/>
      <c r="R145" s="111"/>
      <c r="S145" s="111"/>
      <c r="T145" s="111"/>
      <c r="U145" s="111"/>
      <c r="V145" s="358"/>
      <c r="W145" s="391">
        <f t="shared" si="107"/>
        <v>0</v>
      </c>
      <c r="X145" s="17">
        <f t="shared" si="108"/>
        <v>0</v>
      </c>
      <c r="Y145" s="18">
        <f t="shared" si="109"/>
        <v>0</v>
      </c>
      <c r="Z145" s="19">
        <f t="shared" si="114"/>
        <v>0</v>
      </c>
      <c r="AA145" s="19"/>
      <c r="AB145" s="19"/>
      <c r="AC145" s="20"/>
      <c r="AE145" s="17"/>
      <c r="AF145" s="17"/>
      <c r="AG145" s="17"/>
      <c r="AH145" s="18">
        <f t="shared" si="110"/>
        <v>0</v>
      </c>
      <c r="AI145" s="19">
        <f t="shared" si="115"/>
        <v>0</v>
      </c>
      <c r="AK145" s="17"/>
      <c r="AL145" s="17"/>
      <c r="AM145" s="17"/>
      <c r="AN145" s="18">
        <f t="shared" si="111"/>
        <v>0</v>
      </c>
      <c r="AO145" s="19">
        <f t="shared" si="116"/>
        <v>0</v>
      </c>
      <c r="AQ145" s="17"/>
      <c r="AR145" s="17"/>
      <c r="AS145" s="17"/>
      <c r="AT145" s="18">
        <f t="shared" si="112"/>
        <v>0</v>
      </c>
      <c r="AU145" s="19">
        <f t="shared" si="117"/>
        <v>0</v>
      </c>
      <c r="AW145" s="17"/>
      <c r="AX145" s="17"/>
      <c r="AY145" s="17"/>
      <c r="AZ145" s="18">
        <f t="shared" si="113"/>
        <v>0</v>
      </c>
      <c r="BA145" s="19">
        <f t="shared" si="118"/>
        <v>0</v>
      </c>
    </row>
    <row r="146" spans="1:53" ht="17.100000000000001" customHeight="1" x14ac:dyDescent="0.25">
      <c r="A146" s="40"/>
      <c r="B146" s="40"/>
      <c r="C146" s="74" t="s">
        <v>403</v>
      </c>
      <c r="D146" s="75" t="s">
        <v>392</v>
      </c>
      <c r="E146" s="150"/>
      <c r="F146" s="151"/>
      <c r="G146" s="151"/>
      <c r="H146" s="119"/>
      <c r="I146" s="236"/>
      <c r="J146" s="583"/>
      <c r="K146" s="583"/>
      <c r="L146" s="584"/>
      <c r="M146" s="17">
        <f t="shared" si="106"/>
        <v>0</v>
      </c>
      <c r="N146" s="111"/>
      <c r="O146" s="111"/>
      <c r="P146" s="111"/>
      <c r="Q146" s="111"/>
      <c r="R146" s="111"/>
      <c r="S146" s="111"/>
      <c r="T146" s="111"/>
      <c r="U146" s="111"/>
      <c r="V146" s="358"/>
      <c r="W146" s="391">
        <f t="shared" si="107"/>
        <v>0</v>
      </c>
      <c r="X146" s="17">
        <f t="shared" si="108"/>
        <v>0</v>
      </c>
      <c r="Y146" s="18">
        <f t="shared" si="109"/>
        <v>0</v>
      </c>
      <c r="Z146" s="19">
        <f t="shared" si="114"/>
        <v>0</v>
      </c>
      <c r="AA146" s="19"/>
      <c r="AB146" s="19"/>
      <c r="AC146" s="20"/>
      <c r="AE146" s="17"/>
      <c r="AF146" s="17"/>
      <c r="AG146" s="17"/>
      <c r="AH146" s="18">
        <f t="shared" si="110"/>
        <v>0</v>
      </c>
      <c r="AI146" s="19">
        <f t="shared" si="115"/>
        <v>0</v>
      </c>
      <c r="AK146" s="17"/>
      <c r="AL146" s="17"/>
      <c r="AM146" s="17"/>
      <c r="AN146" s="18">
        <f t="shared" si="111"/>
        <v>0</v>
      </c>
      <c r="AO146" s="19">
        <f t="shared" si="116"/>
        <v>0</v>
      </c>
      <c r="AQ146" s="17"/>
      <c r="AR146" s="17"/>
      <c r="AS146" s="17"/>
      <c r="AT146" s="18">
        <f t="shared" si="112"/>
        <v>0</v>
      </c>
      <c r="AU146" s="19">
        <f t="shared" si="117"/>
        <v>0</v>
      </c>
      <c r="AW146" s="17"/>
      <c r="AX146" s="17"/>
      <c r="AY146" s="17"/>
      <c r="AZ146" s="18">
        <f t="shared" si="113"/>
        <v>0</v>
      </c>
      <c r="BA146" s="19">
        <f t="shared" si="118"/>
        <v>0</v>
      </c>
    </row>
    <row r="147" spans="1:53" ht="17.100000000000001" customHeight="1" x14ac:dyDescent="0.25">
      <c r="A147" s="40"/>
      <c r="B147" s="40"/>
      <c r="C147" s="77"/>
      <c r="D147" s="144"/>
      <c r="E147" s="144"/>
      <c r="F147" s="145"/>
      <c r="G147" s="145"/>
      <c r="H147" s="119"/>
      <c r="I147" s="236"/>
      <c r="J147" s="80">
        <f>SUM(J137:J146)</f>
        <v>0</v>
      </c>
      <c r="K147" s="80">
        <f t="shared" ref="K147:M147" si="119">SUM(K137:K146)</f>
        <v>0</v>
      </c>
      <c r="L147" s="80">
        <f t="shared" si="119"/>
        <v>0</v>
      </c>
      <c r="M147" s="80">
        <f t="shared" si="119"/>
        <v>0</v>
      </c>
      <c r="N147" s="80"/>
      <c r="O147" s="80"/>
      <c r="P147" s="80"/>
      <c r="Q147" s="81"/>
      <c r="R147" s="81"/>
      <c r="S147" s="81"/>
      <c r="T147" s="81"/>
      <c r="U147" s="81"/>
      <c r="V147" s="356"/>
      <c r="W147" s="381">
        <f>SUM(W138:W146)</f>
        <v>0</v>
      </c>
      <c r="X147" s="82">
        <f t="shared" ref="X147:Y147" si="120">SUM(X138:X146)</f>
        <v>0</v>
      </c>
      <c r="Y147" s="82">
        <f t="shared" si="120"/>
        <v>0</v>
      </c>
      <c r="Z147" s="205">
        <f>IF(Y$147=0,0,Y147/Y$147)</f>
        <v>0</v>
      </c>
      <c r="AA147" s="205"/>
      <c r="AB147" s="205"/>
      <c r="AC147" s="83"/>
      <c r="AE147" s="80"/>
      <c r="AF147" s="80"/>
      <c r="AG147" s="81"/>
      <c r="AH147" s="82">
        <f>SUM(AH137:AH146)</f>
        <v>0</v>
      </c>
      <c r="AI147" s="66">
        <f t="shared" si="115"/>
        <v>0</v>
      </c>
      <c r="AK147" s="80"/>
      <c r="AL147" s="80"/>
      <c r="AM147" s="81"/>
      <c r="AN147" s="82">
        <f>SUM(AN137:AN146)</f>
        <v>0</v>
      </c>
      <c r="AO147" s="66">
        <f t="shared" si="116"/>
        <v>0</v>
      </c>
      <c r="AQ147" s="80"/>
      <c r="AR147" s="80"/>
      <c r="AS147" s="81"/>
      <c r="AT147" s="82"/>
      <c r="AU147" s="66">
        <f t="shared" si="117"/>
        <v>0</v>
      </c>
      <c r="AW147" s="80"/>
      <c r="AX147" s="80"/>
      <c r="AY147" s="81"/>
      <c r="AZ147" s="82">
        <f>SUM(AZ137:AZ146)</f>
        <v>0</v>
      </c>
      <c r="BA147" s="66">
        <f t="shared" si="118"/>
        <v>0</v>
      </c>
    </row>
    <row r="148" spans="1:53" s="117" customFormat="1" ht="17.100000000000001" customHeight="1" x14ac:dyDescent="0.25">
      <c r="A148" s="68"/>
      <c r="B148" s="119"/>
      <c r="C148" s="540"/>
      <c r="D148" s="261"/>
      <c r="E148" s="261"/>
      <c r="F148" s="68"/>
      <c r="G148" s="68"/>
      <c r="H148" s="119"/>
      <c r="I148" s="138"/>
      <c r="J148" s="17" t="str">
        <f>IF(J147=J$15,"OK","NOK")</f>
        <v>OK</v>
      </c>
      <c r="K148" s="17" t="str">
        <f t="shared" ref="K148:L148" si="121">IF(K147=K$15,"OK","NOK")</f>
        <v>OK</v>
      </c>
      <c r="L148" s="17" t="str">
        <f t="shared" si="121"/>
        <v>OK</v>
      </c>
      <c r="M148" s="17"/>
      <c r="N148" s="17"/>
      <c r="O148" s="17"/>
      <c r="P148" s="17"/>
      <c r="Q148" s="17"/>
      <c r="R148" s="17"/>
      <c r="S148" s="17"/>
      <c r="T148" s="17"/>
      <c r="U148" s="17"/>
      <c r="V148" s="359"/>
      <c r="W148" s="382"/>
      <c r="X148" s="539"/>
      <c r="Y148" s="539"/>
      <c r="Z148" s="201"/>
      <c r="AA148" s="201"/>
      <c r="AB148" s="201"/>
      <c r="AC148" s="84"/>
      <c r="AE148" s="46"/>
      <c r="AF148" s="46"/>
      <c r="AG148" s="17"/>
      <c r="AH148" s="539"/>
      <c r="AI148" s="91"/>
      <c r="AK148" s="46"/>
      <c r="AL148" s="46"/>
      <c r="AM148" s="17"/>
      <c r="AN148" s="539"/>
      <c r="AO148" s="91"/>
      <c r="AQ148" s="46"/>
      <c r="AR148" s="46"/>
      <c r="AS148" s="17"/>
      <c r="AT148" s="539"/>
      <c r="AU148" s="91"/>
      <c r="AW148" s="46"/>
      <c r="AX148" s="46"/>
      <c r="AY148" s="17"/>
      <c r="AZ148" s="539"/>
      <c r="BA148" s="91"/>
    </row>
    <row r="149" spans="1:53" ht="17.100000000000001" customHeight="1" x14ac:dyDescent="0.25">
      <c r="A149" s="68"/>
      <c r="B149" s="41" t="s">
        <v>110</v>
      </c>
      <c r="C149" s="69" t="s">
        <v>111</v>
      </c>
      <c r="D149" s="50"/>
      <c r="E149" s="70"/>
      <c r="F149" s="70"/>
      <c r="G149" s="70"/>
      <c r="H149" s="119"/>
      <c r="J149" s="71"/>
      <c r="K149" s="71"/>
      <c r="L149" s="71"/>
      <c r="M149" s="71"/>
      <c r="N149" s="71"/>
      <c r="O149" s="71"/>
      <c r="P149" s="71"/>
      <c r="Q149" s="71"/>
      <c r="R149" s="71"/>
      <c r="S149" s="71"/>
      <c r="T149" s="71"/>
      <c r="U149" s="71"/>
      <c r="V149" s="355"/>
      <c r="W149" s="377"/>
      <c r="X149" s="71"/>
      <c r="Y149" s="72"/>
      <c r="Z149" s="73"/>
      <c r="AA149" s="73"/>
      <c r="AB149" s="73"/>
      <c r="AC149" s="73"/>
      <c r="AE149" s="71"/>
      <c r="AF149" s="71"/>
      <c r="AG149" s="71"/>
      <c r="AH149" s="72"/>
      <c r="AI149" s="73"/>
      <c r="AK149" s="71"/>
      <c r="AL149" s="71"/>
      <c r="AM149" s="71"/>
      <c r="AN149" s="72"/>
      <c r="AO149" s="73"/>
      <c r="AQ149" s="71"/>
      <c r="AR149" s="71"/>
      <c r="AS149" s="71"/>
      <c r="AT149" s="72"/>
      <c r="AU149" s="73"/>
      <c r="AW149" s="71"/>
      <c r="AX149" s="71"/>
      <c r="AY149" s="71"/>
      <c r="AZ149" s="72"/>
      <c r="BA149" s="73"/>
    </row>
    <row r="150" spans="1:53" ht="17.100000000000001" customHeight="1" x14ac:dyDescent="0.25">
      <c r="A150" s="40"/>
      <c r="B150" s="40"/>
      <c r="C150" s="141" t="s">
        <v>112</v>
      </c>
      <c r="D150" s="85" t="s">
        <v>113</v>
      </c>
      <c r="E150" s="75"/>
      <c r="F150" s="75"/>
      <c r="G150" s="75"/>
      <c r="H150" s="540"/>
      <c r="I150" s="229"/>
      <c r="J150" s="111"/>
      <c r="K150" s="111"/>
      <c r="L150" s="111"/>
      <c r="M150" s="111"/>
      <c r="N150" s="60"/>
      <c r="O150" s="60">
        <v>1</v>
      </c>
      <c r="P150" s="17">
        <f>SUM(N150:O150)</f>
        <v>1</v>
      </c>
      <c r="Q150" s="60"/>
      <c r="R150" s="60"/>
      <c r="S150" s="17">
        <f>SUM(Q150:R150)</f>
        <v>0</v>
      </c>
      <c r="T150" s="60"/>
      <c r="U150" s="60"/>
      <c r="V150" s="359">
        <f>SUM(T150:U150)</f>
        <v>0</v>
      </c>
      <c r="W150" s="391">
        <f t="shared" ref="W150:W151" si="122">J150+K150+N150+Q150+T150</f>
        <v>0</v>
      </c>
      <c r="X150" s="17">
        <f t="shared" ref="X150:X151" si="123">L150+O150+R150+U150</f>
        <v>1</v>
      </c>
      <c r="Y150" s="18">
        <f>SUM(W150:X150)</f>
        <v>1</v>
      </c>
      <c r="Z150" s="19">
        <f>IF(Y$152=0,0,Y150/Y$152)</f>
        <v>6.25E-2</v>
      </c>
      <c r="AA150" s="19"/>
      <c r="AB150" s="19"/>
      <c r="AC150" s="20"/>
      <c r="AE150" s="111"/>
      <c r="AF150" s="111"/>
      <c r="AG150" s="111"/>
      <c r="AH150" s="112"/>
      <c r="AI150" s="113"/>
      <c r="AK150" s="111"/>
      <c r="AL150" s="111"/>
      <c r="AM150" s="111"/>
      <c r="AN150" s="112"/>
      <c r="AO150" s="113"/>
      <c r="AQ150" s="17"/>
      <c r="AR150" s="17"/>
      <c r="AS150" s="17"/>
      <c r="AT150" s="18">
        <f t="shared" ref="AT150:AT151" si="124">W150</f>
        <v>0</v>
      </c>
      <c r="AU150" s="19">
        <f>IF(AT$152=0,0,AT150/AT$152)</f>
        <v>0</v>
      </c>
      <c r="AW150" s="17"/>
      <c r="AX150" s="17"/>
      <c r="AY150" s="17"/>
      <c r="AZ150" s="18">
        <f t="shared" ref="AZ150:AZ151" si="125">X150</f>
        <v>1</v>
      </c>
      <c r="BA150" s="19">
        <f>IF(AZ$152=0,0,AZ150/AZ$152)</f>
        <v>6.6666666666666666E-2</v>
      </c>
    </row>
    <row r="151" spans="1:53" ht="17.100000000000001" customHeight="1" x14ac:dyDescent="0.25">
      <c r="A151" s="40"/>
      <c r="B151" s="40"/>
      <c r="C151" s="141" t="s">
        <v>114</v>
      </c>
      <c r="D151" s="146" t="s">
        <v>115</v>
      </c>
      <c r="E151" s="75"/>
      <c r="F151" s="75"/>
      <c r="G151" s="75"/>
      <c r="H151" s="540"/>
      <c r="I151" s="229"/>
      <c r="J151" s="111"/>
      <c r="K151" s="111"/>
      <c r="L151" s="111"/>
      <c r="M151" s="111"/>
      <c r="N151" s="61"/>
      <c r="O151" s="61">
        <v>7</v>
      </c>
      <c r="P151" s="17">
        <f>SUM(N151:O151)</f>
        <v>7</v>
      </c>
      <c r="Q151" s="61">
        <v>1</v>
      </c>
      <c r="R151" s="61">
        <v>7</v>
      </c>
      <c r="S151" s="17">
        <f>SUM(Q151:R151)</f>
        <v>8</v>
      </c>
      <c r="T151" s="61"/>
      <c r="U151" s="61"/>
      <c r="V151" s="359">
        <f>SUM(T151:U151)</f>
        <v>0</v>
      </c>
      <c r="W151" s="391">
        <f t="shared" si="122"/>
        <v>1</v>
      </c>
      <c r="X151" s="17">
        <f t="shared" si="123"/>
        <v>14</v>
      </c>
      <c r="Y151" s="18">
        <f>SUM(W151:X151)</f>
        <v>15</v>
      </c>
      <c r="Z151" s="19">
        <f>IF(Y$152=0,0,Y151/Y$152)</f>
        <v>0.9375</v>
      </c>
      <c r="AA151" s="19"/>
      <c r="AB151" s="19"/>
      <c r="AC151" s="20"/>
      <c r="AE151" s="111"/>
      <c r="AF151" s="111"/>
      <c r="AG151" s="111"/>
      <c r="AH151" s="112"/>
      <c r="AI151" s="113"/>
      <c r="AK151" s="111"/>
      <c r="AL151" s="111"/>
      <c r="AM151" s="111"/>
      <c r="AN151" s="112"/>
      <c r="AO151" s="113"/>
      <c r="AQ151" s="17"/>
      <c r="AR151" s="17"/>
      <c r="AS151" s="17"/>
      <c r="AT151" s="18">
        <f t="shared" si="124"/>
        <v>1</v>
      </c>
      <c r="AU151" s="19">
        <f t="shared" ref="AU151:AU152" si="126">IF(AT$152=0,0,AT151/AT$152)</f>
        <v>1</v>
      </c>
      <c r="AW151" s="17"/>
      <c r="AX151" s="17"/>
      <c r="AY151" s="17"/>
      <c r="AZ151" s="18">
        <f t="shared" si="125"/>
        <v>14</v>
      </c>
      <c r="BA151" s="19">
        <f t="shared" ref="BA151:BA152" si="127">IF(AZ$152=0,0,AZ151/AZ$152)</f>
        <v>0.93333333333333335</v>
      </c>
    </row>
    <row r="152" spans="1:53" ht="17.100000000000001" customHeight="1" x14ac:dyDescent="0.25">
      <c r="A152" s="40"/>
      <c r="B152" s="40"/>
      <c r="C152" s="77"/>
      <c r="D152" s="144"/>
      <c r="E152" s="144"/>
      <c r="F152" s="145"/>
      <c r="G152" s="145"/>
      <c r="H152" s="119"/>
      <c r="I152" s="236"/>
      <c r="J152" s="80"/>
      <c r="K152" s="80"/>
      <c r="L152" s="81"/>
      <c r="M152" s="81"/>
      <c r="N152" s="81">
        <f t="shared" ref="N152:Y152" si="128">SUM(N150:N151)</f>
        <v>0</v>
      </c>
      <c r="O152" s="81">
        <f t="shared" si="128"/>
        <v>8</v>
      </c>
      <c r="P152" s="81">
        <f t="shared" si="128"/>
        <v>8</v>
      </c>
      <c r="Q152" s="81">
        <f t="shared" si="128"/>
        <v>1</v>
      </c>
      <c r="R152" s="81">
        <f t="shared" si="128"/>
        <v>7</v>
      </c>
      <c r="S152" s="81">
        <f t="shared" si="128"/>
        <v>8</v>
      </c>
      <c r="T152" s="81">
        <f t="shared" si="128"/>
        <v>0</v>
      </c>
      <c r="U152" s="81">
        <f t="shared" si="128"/>
        <v>0</v>
      </c>
      <c r="V152" s="81">
        <f t="shared" si="128"/>
        <v>0</v>
      </c>
      <c r="W152" s="381">
        <f t="shared" si="128"/>
        <v>1</v>
      </c>
      <c r="X152" s="82">
        <f t="shared" si="128"/>
        <v>15</v>
      </c>
      <c r="Y152" s="82">
        <f t="shared" si="128"/>
        <v>16</v>
      </c>
      <c r="Z152" s="205">
        <f t="shared" ref="Z152" si="129">IF(Y$152=0,0,Y152/Y$152)</f>
        <v>1</v>
      </c>
      <c r="AA152" s="205"/>
      <c r="AB152" s="205"/>
      <c r="AC152" s="83"/>
      <c r="AE152" s="80"/>
      <c r="AF152" s="80"/>
      <c r="AG152" s="81"/>
      <c r="AH152" s="82"/>
      <c r="AI152" s="66"/>
      <c r="AK152" s="80"/>
      <c r="AL152" s="80"/>
      <c r="AM152" s="81"/>
      <c r="AN152" s="82"/>
      <c r="AO152" s="66"/>
      <c r="AQ152" s="80"/>
      <c r="AR152" s="80"/>
      <c r="AS152" s="81"/>
      <c r="AT152" s="82">
        <f>SUM(AT150:AT151)</f>
        <v>1</v>
      </c>
      <c r="AU152" s="66">
        <f t="shared" si="126"/>
        <v>1</v>
      </c>
      <c r="AW152" s="80"/>
      <c r="AX152" s="80"/>
      <c r="AY152" s="81"/>
      <c r="AZ152" s="82">
        <f>SUM(AZ150:AZ151)</f>
        <v>15</v>
      </c>
      <c r="BA152" s="66">
        <f t="shared" si="127"/>
        <v>1</v>
      </c>
    </row>
    <row r="153" spans="1:53" s="117" customFormat="1" ht="17.100000000000001" customHeight="1" x14ac:dyDescent="0.25">
      <c r="A153" s="68"/>
      <c r="B153" s="119"/>
      <c r="C153" s="540"/>
      <c r="D153" s="261"/>
      <c r="E153" s="261"/>
      <c r="F153" s="68"/>
      <c r="G153" s="68"/>
      <c r="H153" s="119"/>
      <c r="I153" s="138"/>
      <c r="J153" s="17"/>
      <c r="K153" s="17"/>
      <c r="L153" s="17"/>
      <c r="M153" s="17"/>
      <c r="N153" s="17" t="str">
        <f>IF(N152=N$20,"OK","NOK")</f>
        <v>OK</v>
      </c>
      <c r="O153" s="17" t="str">
        <f>IF(O152=O$20,"OK","NOK")</f>
        <v>OK</v>
      </c>
      <c r="P153" s="17"/>
      <c r="Q153" s="17" t="str">
        <f>IF(Q152=Q$20,"OK","NOK")</f>
        <v>OK</v>
      </c>
      <c r="R153" s="17" t="str">
        <f>IF(R152=R$20,"OK","NOK")</f>
        <v>OK</v>
      </c>
      <c r="S153" s="17"/>
      <c r="T153" s="17" t="str">
        <f>IF(T152=T$20,"OK","NOK")</f>
        <v>OK</v>
      </c>
      <c r="U153" s="17" t="str">
        <f>IF(U152=U$20,"OK","NOK")</f>
        <v>OK</v>
      </c>
      <c r="V153" s="359"/>
      <c r="W153" s="382"/>
      <c r="X153" s="539"/>
      <c r="Y153" s="539"/>
      <c r="Z153" s="201"/>
      <c r="AA153" s="201"/>
      <c r="AB153" s="201"/>
      <c r="AC153" s="84"/>
      <c r="AE153" s="46"/>
      <c r="AF153" s="46"/>
      <c r="AG153" s="17"/>
      <c r="AH153" s="539"/>
      <c r="AI153" s="91"/>
      <c r="AK153" s="46"/>
      <c r="AL153" s="46"/>
      <c r="AM153" s="17"/>
      <c r="AN153" s="539"/>
      <c r="AO153" s="91"/>
      <c r="AQ153" s="46"/>
      <c r="AR153" s="46"/>
      <c r="AS153" s="17"/>
      <c r="AT153" s="539"/>
      <c r="AU153" s="91"/>
      <c r="AW153" s="46"/>
      <c r="AX153" s="46"/>
      <c r="AY153" s="17"/>
      <c r="AZ153" s="539"/>
      <c r="BA153" s="91"/>
    </row>
    <row r="154" spans="1:53" ht="17.100000000000001" customHeight="1" x14ac:dyDescent="0.25">
      <c r="A154" s="68"/>
      <c r="B154" s="41" t="s">
        <v>116</v>
      </c>
      <c r="C154" s="69" t="s">
        <v>427</v>
      </c>
      <c r="D154" s="50"/>
      <c r="E154" s="70"/>
      <c r="F154" s="70"/>
      <c r="G154" s="70"/>
      <c r="H154" s="243">
        <v>34</v>
      </c>
      <c r="J154" s="71"/>
      <c r="K154" s="71"/>
      <c r="L154" s="71"/>
      <c r="M154" s="71"/>
      <c r="N154" s="71"/>
      <c r="O154" s="71"/>
      <c r="P154" s="71"/>
      <c r="Q154" s="71"/>
      <c r="R154" s="71"/>
      <c r="S154" s="71"/>
      <c r="T154" s="71"/>
      <c r="U154" s="71"/>
      <c r="V154" s="355"/>
      <c r="W154" s="377"/>
      <c r="X154" s="71"/>
      <c r="Y154" s="72"/>
      <c r="Z154" s="73"/>
      <c r="AA154" s="73"/>
      <c r="AB154" s="73"/>
      <c r="AC154" s="73"/>
      <c r="AE154" s="71"/>
      <c r="AF154" s="71"/>
      <c r="AG154" s="71"/>
      <c r="AH154" s="72"/>
      <c r="AI154" s="73"/>
      <c r="AK154" s="71"/>
      <c r="AL154" s="71"/>
      <c r="AM154" s="71"/>
      <c r="AN154" s="72"/>
      <c r="AO154" s="73"/>
      <c r="AQ154" s="71"/>
      <c r="AR154" s="71"/>
      <c r="AS154" s="71"/>
      <c r="AT154" s="72"/>
      <c r="AU154" s="73"/>
      <c r="AW154" s="71"/>
      <c r="AX154" s="71"/>
      <c r="AY154" s="71"/>
      <c r="AZ154" s="72"/>
      <c r="BA154" s="73"/>
    </row>
    <row r="155" spans="1:53" ht="17.100000000000001" customHeight="1" x14ac:dyDescent="0.25">
      <c r="A155" s="40"/>
      <c r="B155" s="40"/>
      <c r="C155" s="141" t="s">
        <v>117</v>
      </c>
      <c r="D155" s="85" t="s">
        <v>428</v>
      </c>
      <c r="E155" s="75"/>
      <c r="F155" s="75"/>
      <c r="G155" s="75"/>
      <c r="H155" s="540"/>
      <c r="I155" s="229"/>
      <c r="J155" s="581"/>
      <c r="K155" s="581"/>
      <c r="L155" s="582"/>
      <c r="M155" s="17">
        <f t="shared" ref="M155:M160" si="130">SUM(J155:L155)</f>
        <v>0</v>
      </c>
      <c r="N155" s="111"/>
      <c r="O155" s="111"/>
      <c r="P155" s="111"/>
      <c r="Q155" s="111"/>
      <c r="R155" s="111"/>
      <c r="S155" s="111"/>
      <c r="T155" s="111"/>
      <c r="U155" s="111"/>
      <c r="V155" s="358"/>
      <c r="W155" s="391">
        <f t="shared" ref="W155:W160" si="131">J155+K155+N155+Q155+T155</f>
        <v>0</v>
      </c>
      <c r="X155" s="17">
        <f t="shared" ref="X155:X160" si="132">L155+O155+R155+U155</f>
        <v>0</v>
      </c>
      <c r="Y155" s="18">
        <f t="shared" ref="Y155:Y160" si="133">SUM(W155:X155)</f>
        <v>0</v>
      </c>
      <c r="Z155" s="19">
        <f>IF($Y$161=0,0,Y155/$Y$161)</f>
        <v>0</v>
      </c>
      <c r="AA155" s="19"/>
      <c r="AB155" s="19"/>
      <c r="AC155" s="20"/>
      <c r="AE155" s="17"/>
      <c r="AF155" s="17"/>
      <c r="AG155" s="17"/>
      <c r="AH155" s="18">
        <f t="shared" ref="AH155:AH160" si="134">J155</f>
        <v>0</v>
      </c>
      <c r="AI155" s="19">
        <f>IF(AH$161=0,0,AH155/AH$161)</f>
        <v>0</v>
      </c>
      <c r="AK155" s="17"/>
      <c r="AL155" s="17"/>
      <c r="AM155" s="17"/>
      <c r="AN155" s="18">
        <f t="shared" ref="AN155:AN160" si="135">K155</f>
        <v>0</v>
      </c>
      <c r="AO155" s="19">
        <f>IF(AN$161=0,0,AN155/AN$161)</f>
        <v>0</v>
      </c>
      <c r="AQ155" s="17"/>
      <c r="AR155" s="17"/>
      <c r="AS155" s="17"/>
      <c r="AT155" s="18">
        <f t="shared" ref="AT155:AT160" si="136">W155</f>
        <v>0</v>
      </c>
      <c r="AU155" s="19">
        <f>IF(AT$161=0,0,AT155/AT$161)</f>
        <v>0</v>
      </c>
      <c r="AW155" s="17"/>
      <c r="AX155" s="17"/>
      <c r="AY155" s="17"/>
      <c r="AZ155" s="18">
        <f t="shared" ref="AZ155:AZ160" si="137">X155</f>
        <v>0</v>
      </c>
      <c r="BA155" s="19">
        <f>IF(AZ$161=0,0,AZ155/AZ$161)</f>
        <v>0</v>
      </c>
    </row>
    <row r="156" spans="1:53" ht="17.100000000000001" customHeight="1" x14ac:dyDescent="0.25">
      <c r="A156" s="40"/>
      <c r="B156" s="40"/>
      <c r="C156" s="141" t="s">
        <v>118</v>
      </c>
      <c r="D156" s="85" t="s">
        <v>429</v>
      </c>
      <c r="E156" s="75"/>
      <c r="F156" s="75"/>
      <c r="G156" s="75"/>
      <c r="H156" s="540"/>
      <c r="I156" s="229"/>
      <c r="J156" s="583"/>
      <c r="K156" s="583"/>
      <c r="L156" s="584"/>
      <c r="M156" s="17">
        <f t="shared" si="130"/>
        <v>0</v>
      </c>
      <c r="N156" s="111"/>
      <c r="O156" s="111"/>
      <c r="P156" s="111"/>
      <c r="Q156" s="111"/>
      <c r="R156" s="111"/>
      <c r="S156" s="111"/>
      <c r="T156" s="111"/>
      <c r="U156" s="111"/>
      <c r="V156" s="358"/>
      <c r="W156" s="391">
        <f t="shared" si="131"/>
        <v>0</v>
      </c>
      <c r="X156" s="17">
        <f t="shared" si="132"/>
        <v>0</v>
      </c>
      <c r="Y156" s="18">
        <f t="shared" si="133"/>
        <v>0</v>
      </c>
      <c r="Z156" s="19">
        <f t="shared" ref="Z156:Z161" si="138">IF($Y$161=0,0,Y156/$Y$161)</f>
        <v>0</v>
      </c>
      <c r="AA156" s="19"/>
      <c r="AB156" s="19"/>
      <c r="AC156" s="20"/>
      <c r="AE156" s="17"/>
      <c r="AF156" s="17"/>
      <c r="AG156" s="17"/>
      <c r="AH156" s="18">
        <f t="shared" si="134"/>
        <v>0</v>
      </c>
      <c r="AI156" s="19">
        <f t="shared" ref="AI156:AI161" si="139">IF(AH$161=0,0,AH156/AH$161)</f>
        <v>0</v>
      </c>
      <c r="AK156" s="17"/>
      <c r="AL156" s="17"/>
      <c r="AM156" s="17"/>
      <c r="AN156" s="18">
        <f t="shared" si="135"/>
        <v>0</v>
      </c>
      <c r="AO156" s="19">
        <f t="shared" ref="AO156:AO161" si="140">IF(AN$161=0,0,AN156/AN$161)</f>
        <v>0</v>
      </c>
      <c r="AQ156" s="17"/>
      <c r="AR156" s="17"/>
      <c r="AS156" s="17"/>
      <c r="AT156" s="18">
        <f t="shared" si="136"/>
        <v>0</v>
      </c>
      <c r="AU156" s="19">
        <f t="shared" ref="AU156:AU161" si="141">IF(AT$161=0,0,AT156/AT$161)</f>
        <v>0</v>
      </c>
      <c r="AW156" s="17"/>
      <c r="AX156" s="17"/>
      <c r="AY156" s="17"/>
      <c r="AZ156" s="18">
        <f t="shared" si="137"/>
        <v>0</v>
      </c>
      <c r="BA156" s="19">
        <f t="shared" ref="BA156:BA161" si="142">IF(AZ$161=0,0,AZ156/AZ$161)</f>
        <v>0</v>
      </c>
    </row>
    <row r="157" spans="1:53" ht="17.100000000000001" customHeight="1" x14ac:dyDescent="0.25">
      <c r="A157" s="40"/>
      <c r="B157" s="40"/>
      <c r="C157" s="141" t="s">
        <v>119</v>
      </c>
      <c r="D157" s="85" t="s">
        <v>430</v>
      </c>
      <c r="E157" s="75"/>
      <c r="F157" s="75"/>
      <c r="G157" s="75"/>
      <c r="H157" s="540"/>
      <c r="I157" s="229"/>
      <c r="J157" s="581"/>
      <c r="K157" s="581"/>
      <c r="L157" s="582"/>
      <c r="M157" s="17">
        <f t="shared" si="130"/>
        <v>0</v>
      </c>
      <c r="N157" s="111"/>
      <c r="O157" s="111"/>
      <c r="P157" s="111"/>
      <c r="Q157" s="111"/>
      <c r="R157" s="111"/>
      <c r="S157" s="111"/>
      <c r="T157" s="111"/>
      <c r="U157" s="111"/>
      <c r="V157" s="358"/>
      <c r="W157" s="391">
        <f t="shared" si="131"/>
        <v>0</v>
      </c>
      <c r="X157" s="17">
        <f t="shared" si="132"/>
        <v>0</v>
      </c>
      <c r="Y157" s="18">
        <f t="shared" si="133"/>
        <v>0</v>
      </c>
      <c r="Z157" s="19">
        <f t="shared" si="138"/>
        <v>0</v>
      </c>
      <c r="AA157" s="19"/>
      <c r="AB157" s="19"/>
      <c r="AC157" s="20"/>
      <c r="AE157" s="17"/>
      <c r="AF157" s="17"/>
      <c r="AG157" s="17"/>
      <c r="AH157" s="18">
        <f t="shared" si="134"/>
        <v>0</v>
      </c>
      <c r="AI157" s="19">
        <f t="shared" si="139"/>
        <v>0</v>
      </c>
      <c r="AK157" s="17"/>
      <c r="AL157" s="17"/>
      <c r="AM157" s="17"/>
      <c r="AN157" s="18">
        <f t="shared" si="135"/>
        <v>0</v>
      </c>
      <c r="AO157" s="19">
        <f t="shared" si="140"/>
        <v>0</v>
      </c>
      <c r="AQ157" s="17"/>
      <c r="AR157" s="17"/>
      <c r="AS157" s="17"/>
      <c r="AT157" s="18">
        <f t="shared" si="136"/>
        <v>0</v>
      </c>
      <c r="AU157" s="19">
        <f t="shared" si="141"/>
        <v>0</v>
      </c>
      <c r="AW157" s="17"/>
      <c r="AX157" s="17"/>
      <c r="AY157" s="17"/>
      <c r="AZ157" s="18">
        <f t="shared" si="137"/>
        <v>0</v>
      </c>
      <c r="BA157" s="19">
        <f t="shared" si="142"/>
        <v>0</v>
      </c>
    </row>
    <row r="158" spans="1:53" ht="17.100000000000001" customHeight="1" x14ac:dyDescent="0.25">
      <c r="A158" s="40"/>
      <c r="B158" s="40"/>
      <c r="C158" s="141" t="s">
        <v>120</v>
      </c>
      <c r="D158" s="85" t="s">
        <v>431</v>
      </c>
      <c r="E158" s="75"/>
      <c r="F158" s="75"/>
      <c r="G158" s="75"/>
      <c r="H158" s="540"/>
      <c r="I158" s="229"/>
      <c r="J158" s="583"/>
      <c r="K158" s="583"/>
      <c r="L158" s="584"/>
      <c r="M158" s="17">
        <f t="shared" si="130"/>
        <v>0</v>
      </c>
      <c r="N158" s="111"/>
      <c r="O158" s="111"/>
      <c r="P158" s="111"/>
      <c r="Q158" s="111"/>
      <c r="R158" s="111"/>
      <c r="S158" s="111"/>
      <c r="T158" s="111"/>
      <c r="U158" s="111"/>
      <c r="V158" s="358"/>
      <c r="W158" s="391">
        <f t="shared" si="131"/>
        <v>0</v>
      </c>
      <c r="X158" s="17">
        <f t="shared" si="132"/>
        <v>0</v>
      </c>
      <c r="Y158" s="18">
        <f t="shared" si="133"/>
        <v>0</v>
      </c>
      <c r="Z158" s="19">
        <f t="shared" si="138"/>
        <v>0</v>
      </c>
      <c r="AA158" s="19"/>
      <c r="AB158" s="19"/>
      <c r="AC158" s="20"/>
      <c r="AE158" s="17"/>
      <c r="AF158" s="17"/>
      <c r="AG158" s="17"/>
      <c r="AH158" s="18">
        <f t="shared" si="134"/>
        <v>0</v>
      </c>
      <c r="AI158" s="19">
        <f t="shared" si="139"/>
        <v>0</v>
      </c>
      <c r="AK158" s="17"/>
      <c r="AL158" s="17"/>
      <c r="AM158" s="17"/>
      <c r="AN158" s="18">
        <f t="shared" si="135"/>
        <v>0</v>
      </c>
      <c r="AO158" s="19">
        <f t="shared" si="140"/>
        <v>0</v>
      </c>
      <c r="AQ158" s="17"/>
      <c r="AR158" s="17"/>
      <c r="AS158" s="17"/>
      <c r="AT158" s="18">
        <f t="shared" si="136"/>
        <v>0</v>
      </c>
      <c r="AU158" s="19">
        <f t="shared" si="141"/>
        <v>0</v>
      </c>
      <c r="AW158" s="17"/>
      <c r="AX158" s="17"/>
      <c r="AY158" s="17"/>
      <c r="AZ158" s="18">
        <f t="shared" si="137"/>
        <v>0</v>
      </c>
      <c r="BA158" s="19">
        <f t="shared" si="142"/>
        <v>0</v>
      </c>
    </row>
    <row r="159" spans="1:53" ht="17.100000000000001" customHeight="1" x14ac:dyDescent="0.25">
      <c r="A159" s="40"/>
      <c r="B159" s="40"/>
      <c r="C159" s="141" t="s">
        <v>121</v>
      </c>
      <c r="D159" s="85" t="s">
        <v>432</v>
      </c>
      <c r="E159" s="75"/>
      <c r="F159" s="75"/>
      <c r="G159" s="75"/>
      <c r="H159" s="540"/>
      <c r="I159" s="229"/>
      <c r="J159" s="581"/>
      <c r="K159" s="581"/>
      <c r="L159" s="582"/>
      <c r="M159" s="17">
        <f t="shared" si="130"/>
        <v>0</v>
      </c>
      <c r="N159" s="111"/>
      <c r="O159" s="111"/>
      <c r="P159" s="111"/>
      <c r="Q159" s="111"/>
      <c r="R159" s="111"/>
      <c r="S159" s="111"/>
      <c r="T159" s="111"/>
      <c r="U159" s="111"/>
      <c r="V159" s="358"/>
      <c r="W159" s="391">
        <f t="shared" si="131"/>
        <v>0</v>
      </c>
      <c r="X159" s="17">
        <f t="shared" si="132"/>
        <v>0</v>
      </c>
      <c r="Y159" s="18">
        <f t="shared" si="133"/>
        <v>0</v>
      </c>
      <c r="Z159" s="19">
        <f t="shared" si="138"/>
        <v>0</v>
      </c>
      <c r="AA159" s="19"/>
      <c r="AB159" s="19"/>
      <c r="AC159" s="20"/>
      <c r="AE159" s="17"/>
      <c r="AF159" s="17"/>
      <c r="AG159" s="17"/>
      <c r="AH159" s="18">
        <f t="shared" si="134"/>
        <v>0</v>
      </c>
      <c r="AI159" s="19">
        <f t="shared" si="139"/>
        <v>0</v>
      </c>
      <c r="AK159" s="17"/>
      <c r="AL159" s="17"/>
      <c r="AM159" s="17"/>
      <c r="AN159" s="18">
        <f t="shared" si="135"/>
        <v>0</v>
      </c>
      <c r="AO159" s="19">
        <f t="shared" si="140"/>
        <v>0</v>
      </c>
      <c r="AQ159" s="17"/>
      <c r="AR159" s="17"/>
      <c r="AS159" s="17"/>
      <c r="AT159" s="18">
        <f t="shared" si="136"/>
        <v>0</v>
      </c>
      <c r="AU159" s="19">
        <f t="shared" si="141"/>
        <v>0</v>
      </c>
      <c r="AW159" s="17"/>
      <c r="AX159" s="17"/>
      <c r="AY159" s="17"/>
      <c r="AZ159" s="18">
        <f t="shared" si="137"/>
        <v>0</v>
      </c>
      <c r="BA159" s="19">
        <f t="shared" si="142"/>
        <v>0</v>
      </c>
    </row>
    <row r="160" spans="1:53" ht="17.100000000000001" customHeight="1" x14ac:dyDescent="0.25">
      <c r="A160" s="40"/>
      <c r="B160" s="40"/>
      <c r="C160" s="141" t="s">
        <v>122</v>
      </c>
      <c r="D160" s="85" t="s">
        <v>129</v>
      </c>
      <c r="E160" s="75"/>
      <c r="F160" s="75"/>
      <c r="G160" s="75"/>
      <c r="H160" s="540"/>
      <c r="I160" s="229"/>
      <c r="J160" s="583"/>
      <c r="K160" s="583"/>
      <c r="L160" s="584"/>
      <c r="M160" s="17">
        <f t="shared" si="130"/>
        <v>0</v>
      </c>
      <c r="N160" s="111"/>
      <c r="O160" s="111"/>
      <c r="P160" s="111"/>
      <c r="Q160" s="111"/>
      <c r="R160" s="111"/>
      <c r="S160" s="111"/>
      <c r="T160" s="111"/>
      <c r="U160" s="111"/>
      <c r="V160" s="358"/>
      <c r="W160" s="391">
        <f t="shared" si="131"/>
        <v>0</v>
      </c>
      <c r="X160" s="17">
        <f t="shared" si="132"/>
        <v>0</v>
      </c>
      <c r="Y160" s="18">
        <f t="shared" si="133"/>
        <v>0</v>
      </c>
      <c r="Z160" s="19">
        <f t="shared" si="138"/>
        <v>0</v>
      </c>
      <c r="AA160" s="19"/>
      <c r="AB160" s="19"/>
      <c r="AC160" s="20"/>
      <c r="AE160" s="17"/>
      <c r="AF160" s="17"/>
      <c r="AG160" s="17"/>
      <c r="AH160" s="18">
        <f t="shared" si="134"/>
        <v>0</v>
      </c>
      <c r="AI160" s="19">
        <f t="shared" si="139"/>
        <v>0</v>
      </c>
      <c r="AK160" s="17"/>
      <c r="AL160" s="17"/>
      <c r="AM160" s="17"/>
      <c r="AN160" s="18">
        <f t="shared" si="135"/>
        <v>0</v>
      </c>
      <c r="AO160" s="19">
        <f t="shared" si="140"/>
        <v>0</v>
      </c>
      <c r="AQ160" s="17"/>
      <c r="AR160" s="17"/>
      <c r="AS160" s="17"/>
      <c r="AT160" s="18">
        <f t="shared" si="136"/>
        <v>0</v>
      </c>
      <c r="AU160" s="19">
        <f t="shared" si="141"/>
        <v>0</v>
      </c>
      <c r="AW160" s="17"/>
      <c r="AX160" s="17"/>
      <c r="AY160" s="17"/>
      <c r="AZ160" s="18">
        <f t="shared" si="137"/>
        <v>0</v>
      </c>
      <c r="BA160" s="19">
        <f t="shared" si="142"/>
        <v>0</v>
      </c>
    </row>
    <row r="161" spans="1:53" ht="17.100000000000001" customHeight="1" x14ac:dyDescent="0.25">
      <c r="A161" s="40"/>
      <c r="B161" s="40"/>
      <c r="C161" s="77"/>
      <c r="D161" s="144"/>
      <c r="E161" s="144"/>
      <c r="F161" s="145"/>
      <c r="G161" s="145"/>
      <c r="H161" s="119"/>
      <c r="I161" s="236"/>
      <c r="J161" s="64">
        <f>SUM(J155:J160)</f>
        <v>0</v>
      </c>
      <c r="K161" s="64">
        <f t="shared" ref="K161:M161" si="143">SUM(K155:K160)</f>
        <v>0</v>
      </c>
      <c r="L161" s="64">
        <f t="shared" si="143"/>
        <v>0</v>
      </c>
      <c r="M161" s="64">
        <f t="shared" si="143"/>
        <v>0</v>
      </c>
      <c r="N161" s="64"/>
      <c r="O161" s="64"/>
      <c r="P161" s="64"/>
      <c r="Q161" s="81"/>
      <c r="R161" s="81"/>
      <c r="S161" s="81"/>
      <c r="T161" s="81"/>
      <c r="U161" s="81"/>
      <c r="V161" s="356"/>
      <c r="W161" s="381">
        <f>SUM(W155:W160)</f>
        <v>0</v>
      </c>
      <c r="X161" s="82">
        <f t="shared" ref="X161:Y161" si="144">SUM(X155:X160)</f>
        <v>0</v>
      </c>
      <c r="Y161" s="82">
        <f t="shared" si="144"/>
        <v>0</v>
      </c>
      <c r="Z161" s="205">
        <f t="shared" si="138"/>
        <v>0</v>
      </c>
      <c r="AA161" s="205"/>
      <c r="AB161" s="205"/>
      <c r="AC161" s="83"/>
      <c r="AE161" s="80"/>
      <c r="AF161" s="80"/>
      <c r="AG161" s="81"/>
      <c r="AH161" s="82">
        <f>SUM(AH155:AH160)</f>
        <v>0</v>
      </c>
      <c r="AI161" s="66">
        <f t="shared" si="139"/>
        <v>0</v>
      </c>
      <c r="AK161" s="80"/>
      <c r="AL161" s="80"/>
      <c r="AM161" s="81"/>
      <c r="AN161" s="82">
        <f>SUM(AN155:AN160)</f>
        <v>0</v>
      </c>
      <c r="AO161" s="66">
        <f t="shared" si="140"/>
        <v>0</v>
      </c>
      <c r="AQ161" s="80"/>
      <c r="AR161" s="80"/>
      <c r="AS161" s="81"/>
      <c r="AT161" s="82">
        <f>SUM(AT155:AT160)</f>
        <v>0</v>
      </c>
      <c r="AU161" s="66">
        <f t="shared" si="141"/>
        <v>0</v>
      </c>
      <c r="AW161" s="80"/>
      <c r="AX161" s="80"/>
      <c r="AY161" s="81"/>
      <c r="AZ161" s="82">
        <f>SUM(AZ155:AZ160)</f>
        <v>0</v>
      </c>
      <c r="BA161" s="66">
        <f t="shared" si="142"/>
        <v>0</v>
      </c>
    </row>
    <row r="162" spans="1:53" s="117" customFormat="1" ht="17.100000000000001" customHeight="1" x14ac:dyDescent="0.25">
      <c r="A162" s="68"/>
      <c r="B162" s="119"/>
      <c r="C162" s="540"/>
      <c r="D162" s="261"/>
      <c r="E162" s="261"/>
      <c r="F162" s="68"/>
      <c r="G162" s="68"/>
      <c r="H162" s="119"/>
      <c r="I162" s="138"/>
      <c r="J162" s="17" t="str">
        <f>IF(J161=J$15,"OK","NOK")</f>
        <v>OK</v>
      </c>
      <c r="K162" s="17" t="str">
        <f t="shared" ref="K162:L162" si="145">IF(K161=K$15,"OK","NOK")</f>
        <v>OK</v>
      </c>
      <c r="L162" s="17" t="str">
        <f t="shared" si="145"/>
        <v>OK</v>
      </c>
      <c r="M162" s="17"/>
      <c r="N162" s="17"/>
      <c r="O162" s="17"/>
      <c r="P162" s="17"/>
      <c r="Q162" s="17"/>
      <c r="R162" s="17"/>
      <c r="S162" s="17"/>
      <c r="T162" s="17"/>
      <c r="U162" s="17"/>
      <c r="V162" s="359"/>
      <c r="W162" s="382"/>
      <c r="X162" s="539"/>
      <c r="Y162" s="539"/>
      <c r="Z162" s="201"/>
      <c r="AA162" s="201"/>
      <c r="AB162" s="201"/>
      <c r="AC162" s="84"/>
      <c r="AE162" s="46"/>
      <c r="AF162" s="46"/>
      <c r="AG162" s="17"/>
      <c r="AH162" s="539"/>
      <c r="AI162" s="91"/>
      <c r="AK162" s="46"/>
      <c r="AL162" s="46"/>
      <c r="AM162" s="17"/>
      <c r="AN162" s="539"/>
      <c r="AO162" s="91"/>
      <c r="AQ162" s="46"/>
      <c r="AR162" s="46"/>
      <c r="AS162" s="17"/>
      <c r="AT162" s="539"/>
      <c r="AU162" s="91"/>
      <c r="AW162" s="46"/>
      <c r="AX162" s="46"/>
      <c r="AY162" s="17"/>
      <c r="AZ162" s="539"/>
      <c r="BA162" s="91"/>
    </row>
    <row r="163" spans="1:53" ht="17.100000000000001" customHeight="1" x14ac:dyDescent="0.25">
      <c r="A163" s="68"/>
      <c r="B163" s="41" t="s">
        <v>123</v>
      </c>
      <c r="C163" s="49" t="s">
        <v>426</v>
      </c>
      <c r="D163" s="50"/>
      <c r="E163" s="70"/>
      <c r="F163" s="70"/>
      <c r="G163" s="70"/>
      <c r="H163" s="243">
        <v>8</v>
      </c>
      <c r="J163" s="71"/>
      <c r="K163" s="71"/>
      <c r="L163" s="71"/>
      <c r="M163" s="71"/>
      <c r="N163" s="71"/>
      <c r="O163" s="71"/>
      <c r="P163" s="71"/>
      <c r="Q163" s="71"/>
      <c r="R163" s="71"/>
      <c r="S163" s="71"/>
      <c r="T163" s="71"/>
      <c r="U163" s="71"/>
      <c r="V163" s="355"/>
      <c r="W163" s="377"/>
      <c r="X163" s="71"/>
      <c r="Y163" s="72"/>
      <c r="Z163" s="73"/>
      <c r="AA163" s="73"/>
      <c r="AB163" s="73"/>
      <c r="AC163" s="73"/>
      <c r="AE163" s="71"/>
      <c r="AF163" s="71"/>
      <c r="AG163" s="71"/>
      <c r="AH163" s="72"/>
      <c r="AI163" s="73"/>
      <c r="AK163" s="71"/>
      <c r="AL163" s="71"/>
      <c r="AM163" s="71"/>
      <c r="AN163" s="72"/>
      <c r="AO163" s="73"/>
      <c r="AQ163" s="71"/>
      <c r="AR163" s="71"/>
      <c r="AS163" s="71"/>
      <c r="AT163" s="72"/>
      <c r="AU163" s="73"/>
      <c r="AW163" s="71"/>
      <c r="AX163" s="71"/>
      <c r="AY163" s="71"/>
      <c r="AZ163" s="72"/>
      <c r="BA163" s="73"/>
    </row>
    <row r="164" spans="1:53" ht="17.100000000000001" customHeight="1" x14ac:dyDescent="0.25">
      <c r="A164" s="40"/>
      <c r="B164" s="40"/>
      <c r="C164" s="74" t="s">
        <v>125</v>
      </c>
      <c r="D164" s="75" t="s">
        <v>148</v>
      </c>
      <c r="E164" s="75"/>
      <c r="F164" s="75"/>
      <c r="G164" s="75"/>
      <c r="H164" s="540"/>
      <c r="I164" s="229"/>
      <c r="J164" s="581"/>
      <c r="K164" s="581"/>
      <c r="L164" s="582"/>
      <c r="M164" s="17">
        <f t="shared" ref="M164:M165" si="146">SUM(J164:L164)</f>
        <v>0</v>
      </c>
      <c r="N164" s="111"/>
      <c r="O164" s="111"/>
      <c r="P164" s="111"/>
      <c r="Q164" s="111"/>
      <c r="R164" s="111"/>
      <c r="S164" s="111"/>
      <c r="T164" s="111"/>
      <c r="U164" s="111"/>
      <c r="V164" s="358"/>
      <c r="W164" s="391">
        <f t="shared" ref="W164:W165" si="147">J164+K164+N164+Q164+T164</f>
        <v>0</v>
      </c>
      <c r="X164" s="17">
        <f t="shared" ref="X164:X165" si="148">L164+O164+R164+U164</f>
        <v>0</v>
      </c>
      <c r="Y164" s="18">
        <f>SUM(W164:X164)</f>
        <v>0</v>
      </c>
      <c r="Z164" s="19">
        <f>IF($Y$166=0,0,Y164/$Y$166)</f>
        <v>0</v>
      </c>
      <c r="AA164" s="19"/>
      <c r="AB164" s="19"/>
      <c r="AC164" s="20"/>
      <c r="AE164" s="17"/>
      <c r="AF164" s="17"/>
      <c r="AG164" s="17"/>
      <c r="AH164" s="18">
        <f t="shared" ref="AH164:AH165" si="149">J164</f>
        <v>0</v>
      </c>
      <c r="AI164" s="19">
        <f>IF(AH$166=0,0,AH164/AH$166)</f>
        <v>0</v>
      </c>
      <c r="AK164" s="17"/>
      <c r="AL164" s="17"/>
      <c r="AM164" s="17"/>
      <c r="AN164" s="18">
        <f t="shared" ref="AN164:AN165" si="150">K164</f>
        <v>0</v>
      </c>
      <c r="AO164" s="19">
        <f>IF(AN$166=0,0,AN164/AN$166)</f>
        <v>0</v>
      </c>
      <c r="AQ164" s="17"/>
      <c r="AR164" s="17"/>
      <c r="AS164" s="17"/>
      <c r="AT164" s="18">
        <f t="shared" ref="AT164:AT165" si="151">W164</f>
        <v>0</v>
      </c>
      <c r="AU164" s="19">
        <f>IF(AT$166=0,0,AT164/AT$166)</f>
        <v>0</v>
      </c>
      <c r="AW164" s="17"/>
      <c r="AX164" s="17"/>
      <c r="AY164" s="17"/>
      <c r="AZ164" s="18">
        <f t="shared" ref="AZ164:AZ165" si="152">X164</f>
        <v>0</v>
      </c>
      <c r="BA164" s="19">
        <f>IF(AZ$166=0,0,AZ164/AZ$166)</f>
        <v>0</v>
      </c>
    </row>
    <row r="165" spans="1:53" ht="17.100000000000001" customHeight="1" x14ac:dyDescent="0.25">
      <c r="A165" s="40"/>
      <c r="B165" s="40"/>
      <c r="C165" s="74" t="s">
        <v>126</v>
      </c>
      <c r="D165" s="75" t="s">
        <v>149</v>
      </c>
      <c r="E165" s="75"/>
      <c r="F165" s="75"/>
      <c r="G165" s="75"/>
      <c r="H165" s="540"/>
      <c r="I165" s="229"/>
      <c r="J165" s="583"/>
      <c r="K165" s="583"/>
      <c r="L165" s="584"/>
      <c r="M165" s="17">
        <f t="shared" si="146"/>
        <v>0</v>
      </c>
      <c r="N165" s="111"/>
      <c r="O165" s="111"/>
      <c r="P165" s="111"/>
      <c r="Q165" s="111"/>
      <c r="R165" s="111"/>
      <c r="S165" s="111"/>
      <c r="T165" s="111"/>
      <c r="U165" s="111"/>
      <c r="V165" s="358"/>
      <c r="W165" s="391">
        <f t="shared" si="147"/>
        <v>0</v>
      </c>
      <c r="X165" s="17">
        <f t="shared" si="148"/>
        <v>0</v>
      </c>
      <c r="Y165" s="18">
        <f>SUM(W165:X165)</f>
        <v>0</v>
      </c>
      <c r="Z165" s="19">
        <f t="shared" ref="Z165:Z166" si="153">IF($Y$166=0,0,Y165/$Y$166)</f>
        <v>0</v>
      </c>
      <c r="AA165" s="19"/>
      <c r="AB165" s="19"/>
      <c r="AC165" s="20"/>
      <c r="AE165" s="17"/>
      <c r="AF165" s="17"/>
      <c r="AG165" s="17"/>
      <c r="AH165" s="18">
        <f t="shared" si="149"/>
        <v>0</v>
      </c>
      <c r="AI165" s="19">
        <f t="shared" ref="AI165:AI166" si="154">IF(AH$166=0,0,AH165/AH$166)</f>
        <v>0</v>
      </c>
      <c r="AK165" s="17"/>
      <c r="AL165" s="17"/>
      <c r="AM165" s="17"/>
      <c r="AN165" s="18">
        <f t="shared" si="150"/>
        <v>0</v>
      </c>
      <c r="AO165" s="19">
        <f t="shared" ref="AO165:AO166" si="155">IF(AN$166=0,0,AN165/AN$166)</f>
        <v>0</v>
      </c>
      <c r="AQ165" s="17"/>
      <c r="AR165" s="17"/>
      <c r="AS165" s="17"/>
      <c r="AT165" s="18">
        <f t="shared" si="151"/>
        <v>0</v>
      </c>
      <c r="AU165" s="19">
        <f t="shared" ref="AU165:AU166" si="156">IF(AT$166=0,0,AT165/AT$166)</f>
        <v>0</v>
      </c>
      <c r="AW165" s="17"/>
      <c r="AX165" s="17"/>
      <c r="AY165" s="17"/>
      <c r="AZ165" s="18">
        <f t="shared" si="152"/>
        <v>0</v>
      </c>
      <c r="BA165" s="19">
        <f t="shared" ref="BA165:BA166" si="157">IF(AZ$166=0,0,AZ165/AZ$166)</f>
        <v>0</v>
      </c>
    </row>
    <row r="166" spans="1:53" ht="17.100000000000001" customHeight="1" x14ac:dyDescent="0.25">
      <c r="A166" s="40"/>
      <c r="B166" s="40"/>
      <c r="C166" s="77"/>
      <c r="D166" s="144"/>
      <c r="E166" s="144"/>
      <c r="F166" s="145"/>
      <c r="G166" s="145"/>
      <c r="H166" s="119"/>
      <c r="I166" s="236"/>
      <c r="J166" s="64">
        <f>SUM(J164:J165)</f>
        <v>0</v>
      </c>
      <c r="K166" s="64">
        <f t="shared" ref="K166:M166" si="158">SUM(K164:K165)</f>
        <v>0</v>
      </c>
      <c r="L166" s="64">
        <f t="shared" si="158"/>
        <v>0</v>
      </c>
      <c r="M166" s="64">
        <f t="shared" si="158"/>
        <v>0</v>
      </c>
      <c r="N166" s="64"/>
      <c r="O166" s="64"/>
      <c r="P166" s="64"/>
      <c r="Q166" s="81"/>
      <c r="R166" s="81"/>
      <c r="S166" s="81"/>
      <c r="T166" s="81"/>
      <c r="U166" s="81"/>
      <c r="V166" s="356"/>
      <c r="W166" s="381">
        <f>SUM(W164:W165)</f>
        <v>0</v>
      </c>
      <c r="X166" s="82">
        <f t="shared" ref="X166:Y166" si="159">SUM(X164:X165)</f>
        <v>0</v>
      </c>
      <c r="Y166" s="82">
        <f t="shared" si="159"/>
        <v>0</v>
      </c>
      <c r="Z166" s="205">
        <f t="shared" si="153"/>
        <v>0</v>
      </c>
      <c r="AA166" s="205"/>
      <c r="AB166" s="205"/>
      <c r="AC166" s="83"/>
      <c r="AE166" s="80"/>
      <c r="AF166" s="80"/>
      <c r="AG166" s="81"/>
      <c r="AH166" s="82">
        <f>SUM(AH164:AH165)</f>
        <v>0</v>
      </c>
      <c r="AI166" s="66">
        <f t="shared" si="154"/>
        <v>0</v>
      </c>
      <c r="AK166" s="80"/>
      <c r="AL166" s="80"/>
      <c r="AM166" s="81"/>
      <c r="AN166" s="82">
        <f>SUM(AN164:AN165)</f>
        <v>0</v>
      </c>
      <c r="AO166" s="66">
        <f t="shared" si="155"/>
        <v>0</v>
      </c>
      <c r="AQ166" s="80"/>
      <c r="AR166" s="80"/>
      <c r="AS166" s="81"/>
      <c r="AT166" s="82">
        <f>SUM(AT164:AT165)</f>
        <v>0</v>
      </c>
      <c r="AU166" s="66">
        <f t="shared" si="156"/>
        <v>0</v>
      </c>
      <c r="AW166" s="80"/>
      <c r="AX166" s="80"/>
      <c r="AY166" s="81"/>
      <c r="AZ166" s="82">
        <f>SUM(AZ164:AZ165)</f>
        <v>0</v>
      </c>
      <c r="BA166" s="66">
        <f t="shared" si="157"/>
        <v>0</v>
      </c>
    </row>
    <row r="167" spans="1:53" s="117" customFormat="1" ht="17.100000000000001" customHeight="1" x14ac:dyDescent="0.25">
      <c r="A167" s="68"/>
      <c r="B167" s="119"/>
      <c r="C167" s="540"/>
      <c r="D167" s="261"/>
      <c r="E167" s="261"/>
      <c r="F167" s="68"/>
      <c r="G167" s="68"/>
      <c r="H167" s="119"/>
      <c r="I167" s="138"/>
      <c r="J167" s="17" t="str">
        <f>IF(J166=J$15,"OK","NOK")</f>
        <v>OK</v>
      </c>
      <c r="K167" s="17" t="str">
        <f t="shared" ref="K167:L167" si="160">IF(K166=K$15,"OK","NOK")</f>
        <v>OK</v>
      </c>
      <c r="L167" s="17" t="str">
        <f t="shared" si="160"/>
        <v>OK</v>
      </c>
      <c r="M167" s="17"/>
      <c r="N167" s="17"/>
      <c r="O167" s="17"/>
      <c r="P167" s="17"/>
      <c r="Q167" s="17"/>
      <c r="R167" s="17"/>
      <c r="S167" s="17"/>
      <c r="T167" s="17"/>
      <c r="U167" s="17"/>
      <c r="V167" s="359"/>
      <c r="W167" s="382"/>
      <c r="X167" s="539"/>
      <c r="Y167" s="539"/>
      <c r="Z167" s="201"/>
      <c r="AA167" s="201"/>
      <c r="AB167" s="201"/>
      <c r="AC167" s="84"/>
      <c r="AE167" s="46"/>
      <c r="AF167" s="46"/>
      <c r="AG167" s="17"/>
      <c r="AH167" s="539"/>
      <c r="AI167" s="91"/>
      <c r="AK167" s="46"/>
      <c r="AL167" s="46"/>
      <c r="AM167" s="17"/>
      <c r="AN167" s="539"/>
      <c r="AO167" s="91"/>
      <c r="AQ167" s="46"/>
      <c r="AR167" s="46"/>
      <c r="AS167" s="17"/>
      <c r="AT167" s="539"/>
      <c r="AU167" s="91"/>
      <c r="AW167" s="46"/>
      <c r="AX167" s="46"/>
      <c r="AY167" s="17"/>
      <c r="AZ167" s="539"/>
      <c r="BA167" s="91"/>
    </row>
    <row r="168" spans="1:53" ht="17.100000000000001" customHeight="1" x14ac:dyDescent="0.25">
      <c r="A168" s="68"/>
      <c r="B168" s="41" t="s">
        <v>130</v>
      </c>
      <c r="C168" s="69" t="s">
        <v>413</v>
      </c>
      <c r="D168" s="50"/>
      <c r="E168" s="70"/>
      <c r="F168" s="70"/>
      <c r="G168" s="70"/>
      <c r="H168" s="119"/>
      <c r="J168" s="71"/>
      <c r="K168" s="71"/>
      <c r="L168" s="71"/>
      <c r="M168" s="71"/>
      <c r="N168" s="71"/>
      <c r="O168" s="71"/>
      <c r="P168" s="71"/>
      <c r="Q168" s="71"/>
      <c r="R168" s="71"/>
      <c r="S168" s="71"/>
      <c r="T168" s="71"/>
      <c r="U168" s="71"/>
      <c r="V168" s="355"/>
      <c r="W168" s="377"/>
      <c r="X168" s="71"/>
      <c r="Y168" s="72"/>
      <c r="Z168" s="73"/>
      <c r="AA168" s="73"/>
      <c r="AB168" s="73"/>
      <c r="AC168" s="73"/>
      <c r="AE168" s="71"/>
      <c r="AF168" s="71"/>
      <c r="AG168" s="71"/>
      <c r="AH168" s="72"/>
      <c r="AI168" s="73"/>
      <c r="AK168" s="71"/>
      <c r="AL168" s="71"/>
      <c r="AM168" s="71"/>
      <c r="AN168" s="72"/>
      <c r="AO168" s="73"/>
      <c r="AQ168" s="71"/>
      <c r="AR168" s="71"/>
      <c r="AS168" s="71"/>
      <c r="AT168" s="72"/>
      <c r="AU168" s="73"/>
      <c r="AW168" s="71"/>
      <c r="AX168" s="71"/>
      <c r="AY168" s="71"/>
      <c r="AZ168" s="72"/>
      <c r="BA168" s="73"/>
    </row>
    <row r="169" spans="1:53" ht="17.100000000000001" customHeight="1" x14ac:dyDescent="0.25">
      <c r="A169" s="40"/>
      <c r="B169" s="40"/>
      <c r="C169" s="74" t="s">
        <v>131</v>
      </c>
      <c r="D169" s="542" t="s">
        <v>457</v>
      </c>
      <c r="E169" s="542"/>
      <c r="F169" s="542"/>
      <c r="G169" s="542"/>
      <c r="H169" s="540"/>
      <c r="I169" s="235"/>
      <c r="J169" s="111"/>
      <c r="K169" s="111"/>
      <c r="L169" s="111"/>
      <c r="M169" s="111"/>
      <c r="N169" s="60"/>
      <c r="O169" s="60"/>
      <c r="P169" s="17">
        <f>SUM(N169:O169)</f>
        <v>0</v>
      </c>
      <c r="Q169" s="60"/>
      <c r="R169" s="60"/>
      <c r="S169" s="17">
        <f>SUM(Q169:R169)</f>
        <v>0</v>
      </c>
      <c r="T169" s="60"/>
      <c r="U169" s="60"/>
      <c r="V169" s="359">
        <f>SUM(T169:U169)</f>
        <v>0</v>
      </c>
      <c r="W169" s="391">
        <f t="shared" ref="W169:W173" si="161">J169+K169+N169+Q169+T169</f>
        <v>0</v>
      </c>
      <c r="X169" s="17">
        <f t="shared" ref="X169:X173" si="162">L169+O169+R169+U169</f>
        <v>0</v>
      </c>
      <c r="Y169" s="18">
        <f>SUM(W169:X169)</f>
        <v>0</v>
      </c>
      <c r="Z169" s="19">
        <f t="shared" ref="Z169:Z174" si="163">IF(Y$174=0,0,Y169/Y$174)</f>
        <v>0</v>
      </c>
      <c r="AA169" s="19"/>
      <c r="AB169" s="19"/>
      <c r="AC169" s="20"/>
      <c r="AE169" s="111"/>
      <c r="AF169" s="111"/>
      <c r="AG169" s="111"/>
      <c r="AH169" s="112"/>
      <c r="AI169" s="113"/>
      <c r="AK169" s="111"/>
      <c r="AL169" s="111"/>
      <c r="AM169" s="111"/>
      <c r="AN169" s="112"/>
      <c r="AO169" s="113"/>
      <c r="AQ169" s="17"/>
      <c r="AR169" s="17"/>
      <c r="AS169" s="17"/>
      <c r="AT169" s="18">
        <f t="shared" ref="AT169:AT173" si="164">W169</f>
        <v>0</v>
      </c>
      <c r="AU169" s="19">
        <f t="shared" ref="AU169:AU174" si="165">IF(AT$174=0,0,AT169/AT$174)</f>
        <v>0</v>
      </c>
      <c r="AW169" s="17"/>
      <c r="AX169" s="17"/>
      <c r="AY169" s="17"/>
      <c r="AZ169" s="18">
        <f t="shared" ref="AZ169:AZ173" si="166">X169</f>
        <v>0</v>
      </c>
      <c r="BA169" s="19">
        <f t="shared" ref="BA169:BA174" si="167">IF(AZ$174=0,0,AZ169/AZ$174)</f>
        <v>0</v>
      </c>
    </row>
    <row r="170" spans="1:53" ht="17.100000000000001" customHeight="1" x14ac:dyDescent="0.25">
      <c r="A170" s="40"/>
      <c r="B170" s="40"/>
      <c r="C170" s="74" t="s">
        <v>132</v>
      </c>
      <c r="D170" s="542" t="s">
        <v>459</v>
      </c>
      <c r="E170" s="542"/>
      <c r="F170" s="542"/>
      <c r="G170" s="542"/>
      <c r="H170" s="540"/>
      <c r="I170" s="235"/>
      <c r="J170" s="111"/>
      <c r="K170" s="111"/>
      <c r="L170" s="111"/>
      <c r="M170" s="111"/>
      <c r="N170" s="61"/>
      <c r="O170" s="61">
        <v>1</v>
      </c>
      <c r="P170" s="17">
        <f>SUM(N170:O170)</f>
        <v>1</v>
      </c>
      <c r="Q170" s="61"/>
      <c r="R170" s="61"/>
      <c r="S170" s="17">
        <f>SUM(Q170:R170)</f>
        <v>0</v>
      </c>
      <c r="T170" s="61"/>
      <c r="U170" s="61"/>
      <c r="V170" s="359">
        <f>SUM(T170:U170)</f>
        <v>0</v>
      </c>
      <c r="W170" s="391">
        <f t="shared" si="161"/>
        <v>0</v>
      </c>
      <c r="X170" s="17">
        <f t="shared" si="162"/>
        <v>1</v>
      </c>
      <c r="Y170" s="18">
        <f>SUM(W170:X170)</f>
        <v>1</v>
      </c>
      <c r="Z170" s="19">
        <f t="shared" si="163"/>
        <v>6.25E-2</v>
      </c>
      <c r="AA170" s="19"/>
      <c r="AB170" s="19"/>
      <c r="AC170" s="20"/>
      <c r="AE170" s="111"/>
      <c r="AF170" s="111"/>
      <c r="AG170" s="111"/>
      <c r="AH170" s="112"/>
      <c r="AI170" s="113"/>
      <c r="AK170" s="111"/>
      <c r="AL170" s="111"/>
      <c r="AM170" s="111"/>
      <c r="AN170" s="112"/>
      <c r="AO170" s="113"/>
      <c r="AQ170" s="17"/>
      <c r="AR170" s="17"/>
      <c r="AS170" s="17"/>
      <c r="AT170" s="18">
        <f t="shared" si="164"/>
        <v>0</v>
      </c>
      <c r="AU170" s="19">
        <f t="shared" si="165"/>
        <v>0</v>
      </c>
      <c r="AW170" s="17"/>
      <c r="AX170" s="17"/>
      <c r="AY170" s="17"/>
      <c r="AZ170" s="18">
        <f t="shared" si="166"/>
        <v>1</v>
      </c>
      <c r="BA170" s="19">
        <f t="shared" si="167"/>
        <v>6.6666666666666666E-2</v>
      </c>
    </row>
    <row r="171" spans="1:53" ht="17.100000000000001" customHeight="1" x14ac:dyDescent="0.25">
      <c r="A171" s="40"/>
      <c r="B171" s="40"/>
      <c r="C171" s="74" t="s">
        <v>133</v>
      </c>
      <c r="D171" s="542" t="s">
        <v>460</v>
      </c>
      <c r="E171" s="542"/>
      <c r="F171" s="542"/>
      <c r="G171" s="542"/>
      <c r="H171" s="540"/>
      <c r="I171" s="235"/>
      <c r="J171" s="111"/>
      <c r="K171" s="111"/>
      <c r="L171" s="111"/>
      <c r="M171" s="111"/>
      <c r="N171" s="60"/>
      <c r="O171" s="60">
        <v>3</v>
      </c>
      <c r="P171" s="17">
        <f>SUM(N171:O171)</f>
        <v>3</v>
      </c>
      <c r="Q171" s="60"/>
      <c r="R171" s="60">
        <v>4</v>
      </c>
      <c r="S171" s="17">
        <f>SUM(Q171:R171)</f>
        <v>4</v>
      </c>
      <c r="T171" s="60"/>
      <c r="U171" s="60"/>
      <c r="V171" s="359">
        <f>SUM(T171:U171)</f>
        <v>0</v>
      </c>
      <c r="W171" s="391">
        <f t="shared" si="161"/>
        <v>0</v>
      </c>
      <c r="X171" s="17">
        <f t="shared" si="162"/>
        <v>7</v>
      </c>
      <c r="Y171" s="18">
        <f>SUM(W171:X171)</f>
        <v>7</v>
      </c>
      <c r="Z171" s="19">
        <f t="shared" si="163"/>
        <v>0.4375</v>
      </c>
      <c r="AA171" s="19"/>
      <c r="AB171" s="19"/>
      <c r="AC171" s="20"/>
      <c r="AE171" s="111"/>
      <c r="AF171" s="111"/>
      <c r="AG171" s="111"/>
      <c r="AH171" s="112"/>
      <c r="AI171" s="113"/>
      <c r="AK171" s="111"/>
      <c r="AL171" s="111"/>
      <c r="AM171" s="111"/>
      <c r="AN171" s="112"/>
      <c r="AO171" s="113"/>
      <c r="AQ171" s="17"/>
      <c r="AR171" s="17"/>
      <c r="AS171" s="17"/>
      <c r="AT171" s="18">
        <f t="shared" si="164"/>
        <v>0</v>
      </c>
      <c r="AU171" s="19">
        <f t="shared" si="165"/>
        <v>0</v>
      </c>
      <c r="AW171" s="17"/>
      <c r="AX171" s="17"/>
      <c r="AY171" s="17"/>
      <c r="AZ171" s="18">
        <f t="shared" si="166"/>
        <v>7</v>
      </c>
      <c r="BA171" s="19">
        <f t="shared" si="167"/>
        <v>0.46666666666666667</v>
      </c>
    </row>
    <row r="172" spans="1:53" ht="17.100000000000001" customHeight="1" x14ac:dyDescent="0.25">
      <c r="A172" s="40"/>
      <c r="B172" s="40"/>
      <c r="C172" s="74" t="s">
        <v>134</v>
      </c>
      <c r="D172" s="542" t="s">
        <v>461</v>
      </c>
      <c r="E172" s="542"/>
      <c r="F172" s="542"/>
      <c r="G172" s="542"/>
      <c r="H172" s="540"/>
      <c r="I172" s="235"/>
      <c r="J172" s="111"/>
      <c r="K172" s="111"/>
      <c r="L172" s="111"/>
      <c r="M172" s="111"/>
      <c r="N172" s="61"/>
      <c r="O172" s="61">
        <v>4</v>
      </c>
      <c r="P172" s="17">
        <f>SUM(N172:O172)</f>
        <v>4</v>
      </c>
      <c r="Q172" s="61">
        <v>1</v>
      </c>
      <c r="R172" s="61">
        <v>3</v>
      </c>
      <c r="S172" s="17">
        <f>SUM(Q172:R172)</f>
        <v>4</v>
      </c>
      <c r="T172" s="61"/>
      <c r="U172" s="61"/>
      <c r="V172" s="359">
        <f>SUM(T172:U172)</f>
        <v>0</v>
      </c>
      <c r="W172" s="391">
        <f t="shared" si="161"/>
        <v>1</v>
      </c>
      <c r="X172" s="17">
        <f t="shared" si="162"/>
        <v>7</v>
      </c>
      <c r="Y172" s="18">
        <f>SUM(W172:X172)</f>
        <v>8</v>
      </c>
      <c r="Z172" s="19">
        <f t="shared" si="163"/>
        <v>0.5</v>
      </c>
      <c r="AA172" s="19"/>
      <c r="AB172" s="19"/>
      <c r="AC172" s="20"/>
      <c r="AE172" s="111"/>
      <c r="AF172" s="111"/>
      <c r="AG172" s="111"/>
      <c r="AH172" s="112"/>
      <c r="AI172" s="113"/>
      <c r="AK172" s="111"/>
      <c r="AL172" s="111"/>
      <c r="AM172" s="111"/>
      <c r="AN172" s="112"/>
      <c r="AO172" s="113"/>
      <c r="AQ172" s="17"/>
      <c r="AR172" s="17"/>
      <c r="AS172" s="17"/>
      <c r="AT172" s="18">
        <f t="shared" si="164"/>
        <v>1</v>
      </c>
      <c r="AU172" s="19">
        <f t="shared" si="165"/>
        <v>1</v>
      </c>
      <c r="AW172" s="17"/>
      <c r="AX172" s="17"/>
      <c r="AY172" s="17"/>
      <c r="AZ172" s="18">
        <f t="shared" si="166"/>
        <v>7</v>
      </c>
      <c r="BA172" s="19">
        <f t="shared" si="167"/>
        <v>0.46666666666666667</v>
      </c>
    </row>
    <row r="173" spans="1:53" ht="17.100000000000001" customHeight="1" x14ac:dyDescent="0.25">
      <c r="A173" s="40"/>
      <c r="B173" s="40"/>
      <c r="C173" s="74" t="s">
        <v>135</v>
      </c>
      <c r="D173" s="542" t="s">
        <v>458</v>
      </c>
      <c r="E173" s="542"/>
      <c r="F173" s="542"/>
      <c r="G173" s="542"/>
      <c r="H173" s="540"/>
      <c r="I173" s="235"/>
      <c r="J173" s="111"/>
      <c r="K173" s="111"/>
      <c r="L173" s="111"/>
      <c r="M173" s="111"/>
      <c r="N173" s="60"/>
      <c r="O173" s="60"/>
      <c r="P173" s="17">
        <f>SUM(N173:O173)</f>
        <v>0</v>
      </c>
      <c r="Q173" s="60"/>
      <c r="R173" s="60"/>
      <c r="S173" s="17">
        <f>SUM(Q173:R173)</f>
        <v>0</v>
      </c>
      <c r="T173" s="60"/>
      <c r="U173" s="60"/>
      <c r="V173" s="359">
        <f>SUM(T173:U173)</f>
        <v>0</v>
      </c>
      <c r="W173" s="391">
        <f t="shared" si="161"/>
        <v>0</v>
      </c>
      <c r="X173" s="17">
        <f t="shared" si="162"/>
        <v>0</v>
      </c>
      <c r="Y173" s="18">
        <f>SUM(W173:X173)</f>
        <v>0</v>
      </c>
      <c r="Z173" s="19">
        <f t="shared" si="163"/>
        <v>0</v>
      </c>
      <c r="AA173" s="19"/>
      <c r="AB173" s="19"/>
      <c r="AC173" s="20"/>
      <c r="AE173" s="111"/>
      <c r="AF173" s="111"/>
      <c r="AG173" s="111"/>
      <c r="AH173" s="112"/>
      <c r="AI173" s="113"/>
      <c r="AK173" s="111"/>
      <c r="AL173" s="111"/>
      <c r="AM173" s="111"/>
      <c r="AN173" s="112"/>
      <c r="AO173" s="113"/>
      <c r="AQ173" s="17"/>
      <c r="AR173" s="17"/>
      <c r="AS173" s="17"/>
      <c r="AT173" s="18">
        <f t="shared" si="164"/>
        <v>0</v>
      </c>
      <c r="AU173" s="19">
        <f t="shared" si="165"/>
        <v>0</v>
      </c>
      <c r="AW173" s="17"/>
      <c r="AX173" s="17"/>
      <c r="AY173" s="17"/>
      <c r="AZ173" s="18">
        <f t="shared" si="166"/>
        <v>0</v>
      </c>
      <c r="BA173" s="19">
        <f t="shared" si="167"/>
        <v>0</v>
      </c>
    </row>
    <row r="174" spans="1:53" ht="17.100000000000001" customHeight="1" x14ac:dyDescent="0.25">
      <c r="A174" s="40"/>
      <c r="B174" s="40"/>
      <c r="C174" s="77"/>
      <c r="D174" s="144"/>
      <c r="E174" s="144"/>
      <c r="F174" s="145"/>
      <c r="G174" s="145"/>
      <c r="H174" s="119"/>
      <c r="I174" s="236"/>
      <c r="J174" s="80"/>
      <c r="K174" s="80"/>
      <c r="L174" s="81"/>
      <c r="M174" s="81"/>
      <c r="N174" s="81">
        <f t="shared" ref="N174:Y174" si="168">SUM(N169:N173)</f>
        <v>0</v>
      </c>
      <c r="O174" s="81">
        <f t="shared" si="168"/>
        <v>8</v>
      </c>
      <c r="P174" s="81">
        <f t="shared" si="168"/>
        <v>8</v>
      </c>
      <c r="Q174" s="81">
        <f t="shared" si="168"/>
        <v>1</v>
      </c>
      <c r="R174" s="81">
        <f t="shared" si="168"/>
        <v>7</v>
      </c>
      <c r="S174" s="81">
        <f t="shared" si="168"/>
        <v>8</v>
      </c>
      <c r="T174" s="81">
        <f t="shared" si="168"/>
        <v>0</v>
      </c>
      <c r="U174" s="81">
        <f t="shared" si="168"/>
        <v>0</v>
      </c>
      <c r="V174" s="81">
        <f t="shared" si="168"/>
        <v>0</v>
      </c>
      <c r="W174" s="381">
        <f t="shared" si="168"/>
        <v>1</v>
      </c>
      <c r="X174" s="82">
        <f t="shared" si="168"/>
        <v>15</v>
      </c>
      <c r="Y174" s="82">
        <f t="shared" si="168"/>
        <v>16</v>
      </c>
      <c r="Z174" s="205">
        <f t="shared" si="163"/>
        <v>1</v>
      </c>
      <c r="AA174" s="205"/>
      <c r="AB174" s="205"/>
      <c r="AC174" s="83"/>
      <c r="AE174" s="80"/>
      <c r="AF174" s="80"/>
      <c r="AG174" s="81"/>
      <c r="AH174" s="82"/>
      <c r="AI174" s="66"/>
      <c r="AK174" s="80"/>
      <c r="AL174" s="80"/>
      <c r="AM174" s="81"/>
      <c r="AN174" s="82"/>
      <c r="AO174" s="66"/>
      <c r="AQ174" s="80"/>
      <c r="AR174" s="80"/>
      <c r="AS174" s="81"/>
      <c r="AT174" s="82">
        <f>SUM(AT169:AT173)</f>
        <v>1</v>
      </c>
      <c r="AU174" s="66">
        <f t="shared" si="165"/>
        <v>1</v>
      </c>
      <c r="AW174" s="80"/>
      <c r="AX174" s="80"/>
      <c r="AY174" s="81"/>
      <c r="AZ174" s="82">
        <f>SUM(AZ169:AZ173)</f>
        <v>15</v>
      </c>
      <c r="BA174" s="66">
        <f t="shared" si="167"/>
        <v>1</v>
      </c>
    </row>
    <row r="175" spans="1:53" s="117" customFormat="1" ht="17.100000000000001" customHeight="1" x14ac:dyDescent="0.25">
      <c r="A175" s="68"/>
      <c r="B175" s="119"/>
      <c r="C175" s="540"/>
      <c r="D175" s="261"/>
      <c r="E175" s="261"/>
      <c r="F175" s="68"/>
      <c r="G175" s="68"/>
      <c r="H175" s="119"/>
      <c r="I175" s="138"/>
      <c r="J175" s="17"/>
      <c r="K175" s="17"/>
      <c r="L175" s="17"/>
      <c r="M175" s="17"/>
      <c r="N175" s="17" t="str">
        <f>IF(N174=N$20,"OK","NOK")</f>
        <v>OK</v>
      </c>
      <c r="O175" s="17" t="str">
        <f>IF(O174=O$20,"OK","NOK")</f>
        <v>OK</v>
      </c>
      <c r="P175" s="17"/>
      <c r="Q175" s="17" t="str">
        <f>IF(Q174=Q$20,"OK","NOK")</f>
        <v>OK</v>
      </c>
      <c r="R175" s="17" t="str">
        <f>IF(R174=R$20,"OK","NOK")</f>
        <v>OK</v>
      </c>
      <c r="S175" s="17"/>
      <c r="T175" s="17" t="str">
        <f>IF(T174=T$20,"OK","NOK")</f>
        <v>OK</v>
      </c>
      <c r="U175" s="17" t="str">
        <f>IF(U174=U$20,"OK","NOK")</f>
        <v>OK</v>
      </c>
      <c r="V175" s="359"/>
      <c r="W175" s="382"/>
      <c r="X175" s="539"/>
      <c r="Y175" s="539"/>
      <c r="Z175" s="201"/>
      <c r="AA175" s="201"/>
      <c r="AB175" s="201"/>
      <c r="AC175" s="84"/>
      <c r="AE175" s="46"/>
      <c r="AF175" s="46"/>
      <c r="AG175" s="17"/>
      <c r="AH175" s="539"/>
      <c r="AI175" s="91"/>
      <c r="AK175" s="46"/>
      <c r="AL175" s="46"/>
      <c r="AM175" s="17"/>
      <c r="AN175" s="539"/>
      <c r="AO175" s="91"/>
      <c r="AQ175" s="46"/>
      <c r="AR175" s="46"/>
      <c r="AS175" s="17"/>
      <c r="AT175" s="539"/>
      <c r="AU175" s="91"/>
      <c r="AW175" s="46"/>
      <c r="AX175" s="46"/>
      <c r="AY175" s="17"/>
      <c r="AZ175" s="539"/>
      <c r="BA175" s="91"/>
    </row>
    <row r="176" spans="1:53" ht="17.100000000000001" customHeight="1" x14ac:dyDescent="0.25">
      <c r="A176" s="68"/>
      <c r="B176" s="41" t="s">
        <v>137</v>
      </c>
      <c r="C176" s="69" t="s">
        <v>124</v>
      </c>
      <c r="D176" s="50"/>
      <c r="E176" s="70"/>
      <c r="F176" s="70"/>
      <c r="G176" s="70"/>
      <c r="H176" s="119"/>
      <c r="J176" s="71"/>
      <c r="K176" s="71"/>
      <c r="L176" s="71"/>
      <c r="M176" s="71"/>
      <c r="N176" s="71"/>
      <c r="O176" s="71"/>
      <c r="P176" s="71"/>
      <c r="Q176" s="71"/>
      <c r="R176" s="71"/>
      <c r="S176" s="71"/>
      <c r="T176" s="71"/>
      <c r="U176" s="71"/>
      <c r="V176" s="355"/>
      <c r="W176" s="377"/>
      <c r="X176" s="71"/>
      <c r="Y176" s="72"/>
      <c r="Z176" s="73"/>
      <c r="AA176" s="73"/>
      <c r="AB176" s="73"/>
      <c r="AC176" s="73"/>
      <c r="AE176" s="71"/>
      <c r="AF176" s="71"/>
      <c r="AG176" s="71"/>
      <c r="AH176" s="72"/>
      <c r="AI176" s="73"/>
      <c r="AK176" s="71"/>
      <c r="AL176" s="71"/>
      <c r="AM176" s="71"/>
      <c r="AN176" s="72"/>
      <c r="AO176" s="73"/>
      <c r="AQ176" s="71"/>
      <c r="AR176" s="71"/>
      <c r="AS176" s="71"/>
      <c r="AT176" s="72"/>
      <c r="AU176" s="73"/>
      <c r="AW176" s="71"/>
      <c r="AX176" s="71"/>
      <c r="AY176" s="71"/>
      <c r="AZ176" s="72"/>
      <c r="BA176" s="73"/>
    </row>
    <row r="177" spans="1:53" ht="17.100000000000001" customHeight="1" x14ac:dyDescent="0.25">
      <c r="A177" s="40"/>
      <c r="B177" s="40"/>
      <c r="C177" s="74" t="s">
        <v>139</v>
      </c>
      <c r="D177" s="541" t="s">
        <v>666</v>
      </c>
      <c r="E177" s="542"/>
      <c r="F177" s="542"/>
      <c r="G177" s="542"/>
      <c r="H177" s="540"/>
      <c r="I177" s="235"/>
      <c r="J177" s="111"/>
      <c r="K177" s="111"/>
      <c r="L177" s="111"/>
      <c r="M177" s="111"/>
      <c r="N177" s="111">
        <f>SUM(N178:N183)</f>
        <v>0</v>
      </c>
      <c r="O177" s="111">
        <f>SUM(O178:O183)</f>
        <v>8</v>
      </c>
      <c r="P177" s="111">
        <f t="shared" ref="P177:P183" si="169">SUM(N177:O177)</f>
        <v>8</v>
      </c>
      <c r="Q177" s="111">
        <f>SUM(Q178:Q183)</f>
        <v>1</v>
      </c>
      <c r="R177" s="111">
        <f>SUM(R178:R183)</f>
        <v>7</v>
      </c>
      <c r="S177" s="111">
        <f t="shared" ref="S177:S183" si="170">SUM(Q177:R177)</f>
        <v>8</v>
      </c>
      <c r="T177" s="111">
        <f>SUM(T178:T183)</f>
        <v>0</v>
      </c>
      <c r="U177" s="111">
        <f>SUM(U178:U183)</f>
        <v>0</v>
      </c>
      <c r="V177" s="358">
        <f t="shared" ref="V177:V183" si="171">SUM(T177:U177)</f>
        <v>0</v>
      </c>
      <c r="W177" s="385">
        <f t="shared" ref="W177:W183" si="172">J177+K177+N177+Q177+T177</f>
        <v>1</v>
      </c>
      <c r="X177" s="545">
        <f t="shared" ref="X177:X183" si="173">L177+O177+R177+U177</f>
        <v>15</v>
      </c>
      <c r="Y177" s="545">
        <f t="shared" ref="Y177:Y183" si="174">SUM(W177:X177)</f>
        <v>16</v>
      </c>
      <c r="Z177" s="172">
        <f t="shared" ref="Z177:Z183" si="175">IF(Y$187=0,0,Y177/Y$187)</f>
        <v>1</v>
      </c>
      <c r="AA177" s="172"/>
      <c r="AB177" s="172"/>
      <c r="AC177" s="113"/>
      <c r="AE177" s="111"/>
      <c r="AF177" s="111"/>
      <c r="AG177" s="111"/>
      <c r="AH177" s="545"/>
      <c r="AI177" s="131"/>
      <c r="AK177" s="111"/>
      <c r="AL177" s="111"/>
      <c r="AM177" s="111"/>
      <c r="AN177" s="545"/>
      <c r="AO177" s="131"/>
      <c r="AQ177" s="111"/>
      <c r="AR177" s="111"/>
      <c r="AS177" s="111"/>
      <c r="AT177" s="545">
        <f>SUM(AT178:AT183)</f>
        <v>1</v>
      </c>
      <c r="AU177" s="131">
        <f>IF(AT$187=0,0,AT177/AT$187)</f>
        <v>1</v>
      </c>
      <c r="AW177" s="111"/>
      <c r="AX177" s="111"/>
      <c r="AY177" s="111"/>
      <c r="AZ177" s="545">
        <f t="shared" ref="AZ177:AZ186" si="176">X177</f>
        <v>15</v>
      </c>
      <c r="BA177" s="131">
        <f>IF(AZ$187=0,0,AZ177/AZ$187)</f>
        <v>1</v>
      </c>
    </row>
    <row r="178" spans="1:53" ht="17.100000000000001" customHeight="1" x14ac:dyDescent="0.25">
      <c r="A178" s="40"/>
      <c r="B178" s="40"/>
      <c r="C178" s="540"/>
      <c r="D178" s="74" t="s">
        <v>140</v>
      </c>
      <c r="E178" s="542" t="s">
        <v>414</v>
      </c>
      <c r="F178" s="542"/>
      <c r="G178" s="542"/>
      <c r="H178" s="540"/>
      <c r="I178" s="235"/>
      <c r="J178" s="111"/>
      <c r="K178" s="111"/>
      <c r="L178" s="111"/>
      <c r="M178" s="111"/>
      <c r="N178" s="60"/>
      <c r="O178" s="60">
        <v>1</v>
      </c>
      <c r="P178" s="17">
        <f t="shared" si="169"/>
        <v>1</v>
      </c>
      <c r="Q178" s="60"/>
      <c r="R178" s="60"/>
      <c r="S178" s="17">
        <f t="shared" si="170"/>
        <v>0</v>
      </c>
      <c r="T178" s="60"/>
      <c r="U178" s="60"/>
      <c r="V178" s="359">
        <f t="shared" si="171"/>
        <v>0</v>
      </c>
      <c r="W178" s="391">
        <f t="shared" si="172"/>
        <v>0</v>
      </c>
      <c r="X178" s="17">
        <f t="shared" si="173"/>
        <v>1</v>
      </c>
      <c r="Y178" s="18">
        <f t="shared" si="174"/>
        <v>1</v>
      </c>
      <c r="Z178" s="19">
        <f t="shared" si="175"/>
        <v>6.25E-2</v>
      </c>
      <c r="AA178" s="19"/>
      <c r="AB178" s="19"/>
      <c r="AC178" s="20"/>
      <c r="AE178" s="111"/>
      <c r="AF178" s="111"/>
      <c r="AG178" s="111"/>
      <c r="AH178" s="112"/>
      <c r="AI178" s="113"/>
      <c r="AK178" s="111"/>
      <c r="AL178" s="111"/>
      <c r="AM178" s="111"/>
      <c r="AN178" s="112"/>
      <c r="AO178" s="113"/>
      <c r="AQ178" s="17"/>
      <c r="AR178" s="17"/>
      <c r="AS178" s="17"/>
      <c r="AT178" s="18">
        <f t="shared" ref="AT178:AT183" si="177">W178</f>
        <v>0</v>
      </c>
      <c r="AU178" s="91">
        <f t="shared" ref="AU178:AU187" si="178">IF(AT$187=0,0,AT178/AT$187)</f>
        <v>0</v>
      </c>
      <c r="AW178" s="17"/>
      <c r="AX178" s="17"/>
      <c r="AY178" s="17"/>
      <c r="AZ178" s="18">
        <f t="shared" si="176"/>
        <v>1</v>
      </c>
      <c r="BA178" s="91">
        <f t="shared" ref="BA178:BA187" si="179">IF(AZ$187=0,0,AZ178/AZ$187)</f>
        <v>6.6666666666666666E-2</v>
      </c>
    </row>
    <row r="179" spans="1:53" ht="17.100000000000001" customHeight="1" x14ac:dyDescent="0.25">
      <c r="A179" s="40"/>
      <c r="B179" s="40"/>
      <c r="C179" s="540"/>
      <c r="D179" s="74" t="s">
        <v>660</v>
      </c>
      <c r="E179" s="542" t="s">
        <v>415</v>
      </c>
      <c r="F179" s="542"/>
      <c r="G179" s="542"/>
      <c r="H179" s="540"/>
      <c r="I179" s="235"/>
      <c r="J179" s="111"/>
      <c r="K179" s="111"/>
      <c r="L179" s="111"/>
      <c r="M179" s="111"/>
      <c r="N179" s="61"/>
      <c r="O179" s="61">
        <v>2</v>
      </c>
      <c r="P179" s="17">
        <f t="shared" si="169"/>
        <v>2</v>
      </c>
      <c r="Q179" s="61"/>
      <c r="R179" s="61">
        <v>3</v>
      </c>
      <c r="S179" s="17">
        <f t="shared" si="170"/>
        <v>3</v>
      </c>
      <c r="T179" s="61"/>
      <c r="U179" s="61"/>
      <c r="V179" s="359">
        <f t="shared" si="171"/>
        <v>0</v>
      </c>
      <c r="W179" s="391">
        <f t="shared" si="172"/>
        <v>0</v>
      </c>
      <c r="X179" s="17">
        <f t="shared" si="173"/>
        <v>5</v>
      </c>
      <c r="Y179" s="18">
        <f t="shared" si="174"/>
        <v>5</v>
      </c>
      <c r="Z179" s="19">
        <f t="shared" si="175"/>
        <v>0.3125</v>
      </c>
      <c r="AA179" s="19"/>
      <c r="AB179" s="19"/>
      <c r="AC179" s="20"/>
      <c r="AE179" s="111"/>
      <c r="AF179" s="111"/>
      <c r="AG179" s="111"/>
      <c r="AH179" s="112"/>
      <c r="AI179" s="113"/>
      <c r="AK179" s="111"/>
      <c r="AL179" s="111"/>
      <c r="AM179" s="111"/>
      <c r="AN179" s="112"/>
      <c r="AO179" s="113"/>
      <c r="AQ179" s="17"/>
      <c r="AR179" s="17"/>
      <c r="AS179" s="17"/>
      <c r="AT179" s="18">
        <f t="shared" si="177"/>
        <v>0</v>
      </c>
      <c r="AU179" s="91">
        <f t="shared" si="178"/>
        <v>0</v>
      </c>
      <c r="AW179" s="17"/>
      <c r="AX179" s="17"/>
      <c r="AY179" s="17"/>
      <c r="AZ179" s="18">
        <f t="shared" si="176"/>
        <v>5</v>
      </c>
      <c r="BA179" s="91">
        <f t="shared" si="179"/>
        <v>0.33333333333333331</v>
      </c>
    </row>
    <row r="180" spans="1:53" ht="17.100000000000001" customHeight="1" x14ac:dyDescent="0.25">
      <c r="A180" s="40"/>
      <c r="B180" s="40"/>
      <c r="C180" s="540"/>
      <c r="D180" s="74" t="s">
        <v>661</v>
      </c>
      <c r="E180" s="542" t="s">
        <v>416</v>
      </c>
      <c r="F180" s="542"/>
      <c r="G180" s="542"/>
      <c r="H180" s="540"/>
      <c r="I180" s="235"/>
      <c r="J180" s="111"/>
      <c r="K180" s="111"/>
      <c r="L180" s="111"/>
      <c r="M180" s="111"/>
      <c r="N180" s="60"/>
      <c r="O180" s="60">
        <v>1</v>
      </c>
      <c r="P180" s="17">
        <f t="shared" si="169"/>
        <v>1</v>
      </c>
      <c r="Q180" s="60"/>
      <c r="R180" s="60">
        <v>2</v>
      </c>
      <c r="S180" s="17">
        <f t="shared" si="170"/>
        <v>2</v>
      </c>
      <c r="T180" s="60"/>
      <c r="U180" s="60"/>
      <c r="V180" s="359">
        <f t="shared" si="171"/>
        <v>0</v>
      </c>
      <c r="W180" s="391">
        <f t="shared" si="172"/>
        <v>0</v>
      </c>
      <c r="X180" s="17">
        <f t="shared" si="173"/>
        <v>3</v>
      </c>
      <c r="Y180" s="18">
        <f t="shared" si="174"/>
        <v>3</v>
      </c>
      <c r="Z180" s="19">
        <f t="shared" si="175"/>
        <v>0.1875</v>
      </c>
      <c r="AA180" s="19"/>
      <c r="AB180" s="19"/>
      <c r="AC180" s="20"/>
      <c r="AE180" s="111"/>
      <c r="AF180" s="111"/>
      <c r="AG180" s="111"/>
      <c r="AH180" s="112"/>
      <c r="AI180" s="113"/>
      <c r="AK180" s="111"/>
      <c r="AL180" s="111"/>
      <c r="AM180" s="111"/>
      <c r="AN180" s="112"/>
      <c r="AO180" s="113"/>
      <c r="AQ180" s="17"/>
      <c r="AR180" s="17"/>
      <c r="AS180" s="17"/>
      <c r="AT180" s="18">
        <f t="shared" si="177"/>
        <v>0</v>
      </c>
      <c r="AU180" s="91">
        <f t="shared" si="178"/>
        <v>0</v>
      </c>
      <c r="AW180" s="17"/>
      <c r="AX180" s="17"/>
      <c r="AY180" s="17"/>
      <c r="AZ180" s="18">
        <f t="shared" si="176"/>
        <v>3</v>
      </c>
      <c r="BA180" s="91">
        <f t="shared" si="179"/>
        <v>0.2</v>
      </c>
    </row>
    <row r="181" spans="1:53" ht="17.100000000000001" customHeight="1" x14ac:dyDescent="0.25">
      <c r="A181" s="40"/>
      <c r="B181" s="40"/>
      <c r="C181" s="540"/>
      <c r="D181" s="74" t="s">
        <v>662</v>
      </c>
      <c r="E181" s="542" t="s">
        <v>127</v>
      </c>
      <c r="F181" s="542"/>
      <c r="G181" s="542"/>
      <c r="H181" s="540"/>
      <c r="I181" s="235"/>
      <c r="J181" s="111"/>
      <c r="K181" s="111"/>
      <c r="L181" s="111"/>
      <c r="M181" s="111"/>
      <c r="N181" s="61"/>
      <c r="O181" s="61"/>
      <c r="P181" s="17">
        <f t="shared" si="169"/>
        <v>0</v>
      </c>
      <c r="Q181" s="61"/>
      <c r="R181" s="61">
        <v>1</v>
      </c>
      <c r="S181" s="17">
        <f t="shared" si="170"/>
        <v>1</v>
      </c>
      <c r="T181" s="61"/>
      <c r="U181" s="61"/>
      <c r="V181" s="359">
        <f t="shared" si="171"/>
        <v>0</v>
      </c>
      <c r="W181" s="391">
        <f t="shared" si="172"/>
        <v>0</v>
      </c>
      <c r="X181" s="17">
        <f t="shared" si="173"/>
        <v>1</v>
      </c>
      <c r="Y181" s="18">
        <f t="shared" si="174"/>
        <v>1</v>
      </c>
      <c r="Z181" s="19">
        <f t="shared" si="175"/>
        <v>6.25E-2</v>
      </c>
      <c r="AA181" s="19"/>
      <c r="AB181" s="19"/>
      <c r="AC181" s="20"/>
      <c r="AE181" s="111"/>
      <c r="AF181" s="111"/>
      <c r="AG181" s="111"/>
      <c r="AH181" s="112"/>
      <c r="AI181" s="113"/>
      <c r="AK181" s="111"/>
      <c r="AL181" s="111"/>
      <c r="AM181" s="111"/>
      <c r="AN181" s="112"/>
      <c r="AO181" s="113"/>
      <c r="AQ181" s="17"/>
      <c r="AR181" s="17"/>
      <c r="AS181" s="17"/>
      <c r="AT181" s="18">
        <f t="shared" si="177"/>
        <v>0</v>
      </c>
      <c r="AU181" s="91">
        <f t="shared" si="178"/>
        <v>0</v>
      </c>
      <c r="AW181" s="17"/>
      <c r="AX181" s="17"/>
      <c r="AY181" s="17"/>
      <c r="AZ181" s="18">
        <f t="shared" si="176"/>
        <v>1</v>
      </c>
      <c r="BA181" s="91">
        <f t="shared" si="179"/>
        <v>6.6666666666666666E-2</v>
      </c>
    </row>
    <row r="182" spans="1:53" ht="17.100000000000001" customHeight="1" x14ac:dyDescent="0.25">
      <c r="A182" s="40"/>
      <c r="B182" s="40"/>
      <c r="C182" s="540"/>
      <c r="D182" s="74" t="s">
        <v>663</v>
      </c>
      <c r="E182" s="542" t="s">
        <v>417</v>
      </c>
      <c r="F182" s="542"/>
      <c r="G182" s="542"/>
      <c r="H182" s="540"/>
      <c r="I182" s="235"/>
      <c r="J182" s="111"/>
      <c r="K182" s="111"/>
      <c r="L182" s="111"/>
      <c r="M182" s="111"/>
      <c r="N182" s="60"/>
      <c r="O182" s="60"/>
      <c r="P182" s="17">
        <f t="shared" si="169"/>
        <v>0</v>
      </c>
      <c r="Q182" s="60">
        <v>1</v>
      </c>
      <c r="R182" s="60">
        <v>1</v>
      </c>
      <c r="S182" s="17">
        <f t="shared" si="170"/>
        <v>2</v>
      </c>
      <c r="T182" s="60"/>
      <c r="U182" s="60"/>
      <c r="V182" s="359">
        <f t="shared" si="171"/>
        <v>0</v>
      </c>
      <c r="W182" s="391">
        <f t="shared" si="172"/>
        <v>1</v>
      </c>
      <c r="X182" s="17">
        <f t="shared" si="173"/>
        <v>1</v>
      </c>
      <c r="Y182" s="18">
        <f t="shared" si="174"/>
        <v>2</v>
      </c>
      <c r="Z182" s="19">
        <f t="shared" si="175"/>
        <v>0.125</v>
      </c>
      <c r="AA182" s="19"/>
      <c r="AB182" s="19"/>
      <c r="AC182" s="20"/>
      <c r="AE182" s="111"/>
      <c r="AF182" s="111"/>
      <c r="AG182" s="111"/>
      <c r="AH182" s="112"/>
      <c r="AI182" s="113"/>
      <c r="AK182" s="111"/>
      <c r="AL182" s="111"/>
      <c r="AM182" s="111"/>
      <c r="AN182" s="112"/>
      <c r="AO182" s="113"/>
      <c r="AQ182" s="17"/>
      <c r="AR182" s="17"/>
      <c r="AS182" s="17"/>
      <c r="AT182" s="18">
        <f t="shared" si="177"/>
        <v>1</v>
      </c>
      <c r="AU182" s="91">
        <f t="shared" si="178"/>
        <v>1</v>
      </c>
      <c r="AW182" s="17"/>
      <c r="AX182" s="17"/>
      <c r="AY182" s="17"/>
      <c r="AZ182" s="18">
        <f t="shared" si="176"/>
        <v>1</v>
      </c>
      <c r="BA182" s="91">
        <f t="shared" si="179"/>
        <v>6.6666666666666666E-2</v>
      </c>
    </row>
    <row r="183" spans="1:53" ht="17.100000000000001" customHeight="1" x14ac:dyDescent="0.25">
      <c r="A183" s="40"/>
      <c r="B183" s="40"/>
      <c r="C183" s="540"/>
      <c r="D183" s="74" t="s">
        <v>664</v>
      </c>
      <c r="E183" s="542" t="s">
        <v>418</v>
      </c>
      <c r="F183" s="542"/>
      <c r="G183" s="542"/>
      <c r="H183" s="540"/>
      <c r="I183" s="235"/>
      <c r="J183" s="111"/>
      <c r="K183" s="111"/>
      <c r="L183" s="111"/>
      <c r="M183" s="111"/>
      <c r="N183" s="61"/>
      <c r="O183" s="61">
        <v>4</v>
      </c>
      <c r="P183" s="17">
        <f t="shared" si="169"/>
        <v>4</v>
      </c>
      <c r="Q183" s="61"/>
      <c r="R183" s="61"/>
      <c r="S183" s="17">
        <f t="shared" si="170"/>
        <v>0</v>
      </c>
      <c r="T183" s="61"/>
      <c r="U183" s="61"/>
      <c r="V183" s="359">
        <f t="shared" si="171"/>
        <v>0</v>
      </c>
      <c r="W183" s="391">
        <f t="shared" si="172"/>
        <v>0</v>
      </c>
      <c r="X183" s="17">
        <f t="shared" si="173"/>
        <v>4</v>
      </c>
      <c r="Y183" s="18">
        <f t="shared" si="174"/>
        <v>4</v>
      </c>
      <c r="Z183" s="19">
        <f t="shared" si="175"/>
        <v>0.25</v>
      </c>
      <c r="AA183" s="19"/>
      <c r="AB183" s="19"/>
      <c r="AC183" s="20"/>
      <c r="AE183" s="111"/>
      <c r="AF183" s="111"/>
      <c r="AG183" s="111"/>
      <c r="AH183" s="112"/>
      <c r="AI183" s="113"/>
      <c r="AK183" s="111"/>
      <c r="AL183" s="111"/>
      <c r="AM183" s="111"/>
      <c r="AN183" s="112"/>
      <c r="AO183" s="113"/>
      <c r="AQ183" s="17"/>
      <c r="AR183" s="17"/>
      <c r="AS183" s="17"/>
      <c r="AT183" s="18">
        <f t="shared" si="177"/>
        <v>0</v>
      </c>
      <c r="AU183" s="91">
        <f t="shared" si="178"/>
        <v>0</v>
      </c>
      <c r="AW183" s="17"/>
      <c r="AX183" s="17"/>
      <c r="AY183" s="17"/>
      <c r="AZ183" s="18">
        <f t="shared" si="176"/>
        <v>4</v>
      </c>
      <c r="BA183" s="91">
        <f t="shared" si="179"/>
        <v>0.26666666666666666</v>
      </c>
    </row>
    <row r="184" spans="1:53" ht="17.100000000000001" customHeight="1" x14ac:dyDescent="0.25">
      <c r="A184" s="40"/>
      <c r="B184" s="40"/>
      <c r="C184" s="74" t="s">
        <v>141</v>
      </c>
      <c r="D184" s="57" t="s">
        <v>128</v>
      </c>
      <c r="E184" s="542"/>
      <c r="F184" s="542"/>
      <c r="G184" s="542"/>
      <c r="H184" s="540"/>
      <c r="I184" s="235"/>
      <c r="J184" s="111"/>
      <c r="K184" s="111"/>
      <c r="L184" s="111"/>
      <c r="M184" s="111"/>
      <c r="N184" s="111"/>
      <c r="O184" s="111"/>
      <c r="P184" s="111"/>
      <c r="Q184" s="111"/>
      <c r="R184" s="111"/>
      <c r="S184" s="111"/>
      <c r="T184" s="111"/>
      <c r="U184" s="111"/>
      <c r="V184" s="358"/>
      <c r="W184" s="380"/>
      <c r="X184" s="111"/>
      <c r="Y184" s="545"/>
      <c r="Z184" s="172"/>
      <c r="AA184" s="172"/>
      <c r="AB184" s="172"/>
      <c r="AC184" s="113"/>
      <c r="AE184" s="111"/>
      <c r="AF184" s="111"/>
      <c r="AG184" s="111"/>
      <c r="AH184" s="545"/>
      <c r="AI184" s="131"/>
      <c r="AK184" s="111"/>
      <c r="AL184" s="111"/>
      <c r="AM184" s="111"/>
      <c r="AN184" s="545"/>
      <c r="AO184" s="131"/>
      <c r="AQ184" s="111"/>
      <c r="AR184" s="111"/>
      <c r="AS184" s="111"/>
      <c r="AT184" s="545"/>
      <c r="AU184" s="131"/>
      <c r="AW184" s="111"/>
      <c r="AX184" s="111"/>
      <c r="AY184" s="111"/>
      <c r="AZ184" s="545">
        <f t="shared" si="176"/>
        <v>0</v>
      </c>
      <c r="BA184" s="131"/>
    </row>
    <row r="185" spans="1:53" ht="17.100000000000001" customHeight="1" x14ac:dyDescent="0.25">
      <c r="A185" s="40"/>
      <c r="B185" s="40"/>
      <c r="C185" s="540"/>
      <c r="D185" s="74" t="s">
        <v>142</v>
      </c>
      <c r="E185" s="542" t="s">
        <v>665</v>
      </c>
      <c r="F185" s="542"/>
      <c r="G185" s="542"/>
      <c r="H185" s="540"/>
      <c r="I185" s="235"/>
      <c r="J185" s="111"/>
      <c r="K185" s="111"/>
      <c r="L185" s="111"/>
      <c r="M185" s="111"/>
      <c r="N185" s="60"/>
      <c r="O185" s="60"/>
      <c r="P185" s="17">
        <f>SUM(N185:O185)</f>
        <v>0</v>
      </c>
      <c r="Q185" s="60"/>
      <c r="R185" s="60"/>
      <c r="S185" s="17">
        <f>SUM(Q185:R185)</f>
        <v>0</v>
      </c>
      <c r="T185" s="60"/>
      <c r="U185" s="60"/>
      <c r="V185" s="359">
        <f>SUM(T185:U185)</f>
        <v>0</v>
      </c>
      <c r="W185" s="391">
        <f t="shared" ref="W185:W186" si="180">J185+K185+N185+Q185+T185</f>
        <v>0</v>
      </c>
      <c r="X185" s="17">
        <f t="shared" ref="X185:X186" si="181">L185+O185+R185+U185</f>
        <v>0</v>
      </c>
      <c r="Y185" s="18">
        <f>SUM(W185:X185)</f>
        <v>0</v>
      </c>
      <c r="Z185" s="19">
        <f t="shared" ref="Z185:Z186" si="182">IF(Y$187=0,0,Y185/Y$187)</f>
        <v>0</v>
      </c>
      <c r="AA185" s="19"/>
      <c r="AB185" s="19"/>
      <c r="AC185" s="20"/>
      <c r="AE185" s="111"/>
      <c r="AF185" s="111"/>
      <c r="AG185" s="111"/>
      <c r="AH185" s="112"/>
      <c r="AI185" s="113"/>
      <c r="AK185" s="111"/>
      <c r="AL185" s="111"/>
      <c r="AM185" s="111"/>
      <c r="AN185" s="112"/>
      <c r="AO185" s="113"/>
      <c r="AQ185" s="17"/>
      <c r="AR185" s="17"/>
      <c r="AS185" s="17"/>
      <c r="AT185" s="18">
        <f t="shared" ref="AT185:AT186" si="183">W185</f>
        <v>0</v>
      </c>
      <c r="AU185" s="91">
        <f t="shared" si="178"/>
        <v>0</v>
      </c>
      <c r="AW185" s="17"/>
      <c r="AX185" s="17"/>
      <c r="AY185" s="17"/>
      <c r="AZ185" s="18">
        <f t="shared" si="176"/>
        <v>0</v>
      </c>
      <c r="BA185" s="91">
        <f t="shared" si="179"/>
        <v>0</v>
      </c>
    </row>
    <row r="186" spans="1:53" ht="17.100000000000001" customHeight="1" x14ac:dyDescent="0.25">
      <c r="A186" s="40"/>
      <c r="B186" s="40"/>
      <c r="C186" s="74" t="s">
        <v>144</v>
      </c>
      <c r="D186" s="120" t="s">
        <v>129</v>
      </c>
      <c r="E186" s="542"/>
      <c r="F186" s="542"/>
      <c r="G186" s="542"/>
      <c r="H186" s="540"/>
      <c r="I186" s="235"/>
      <c r="J186" s="111"/>
      <c r="K186" s="111"/>
      <c r="L186" s="111"/>
      <c r="M186" s="111"/>
      <c r="N186" s="61"/>
      <c r="O186" s="61"/>
      <c r="P186" s="17">
        <f>SUM(N186:O186)</f>
        <v>0</v>
      </c>
      <c r="Q186" s="61"/>
      <c r="R186" s="61"/>
      <c r="S186" s="17">
        <f>SUM(Q186:R186)</f>
        <v>0</v>
      </c>
      <c r="T186" s="61"/>
      <c r="U186" s="61"/>
      <c r="V186" s="359">
        <f>SUM(T186:U186)</f>
        <v>0</v>
      </c>
      <c r="W186" s="391">
        <f t="shared" si="180"/>
        <v>0</v>
      </c>
      <c r="X186" s="17">
        <f t="shared" si="181"/>
        <v>0</v>
      </c>
      <c r="Y186" s="18">
        <f>SUM(W186:X186)</f>
        <v>0</v>
      </c>
      <c r="Z186" s="221">
        <f t="shared" si="182"/>
        <v>0</v>
      </c>
      <c r="AA186" s="221"/>
      <c r="AB186" s="221"/>
      <c r="AC186" s="20"/>
      <c r="AE186" s="111"/>
      <c r="AF186" s="111"/>
      <c r="AG186" s="111"/>
      <c r="AH186" s="112"/>
      <c r="AI186" s="113"/>
      <c r="AK186" s="111"/>
      <c r="AL186" s="111"/>
      <c r="AM186" s="111"/>
      <c r="AN186" s="112"/>
      <c r="AO186" s="113"/>
      <c r="AQ186" s="17"/>
      <c r="AR186" s="17"/>
      <c r="AS186" s="17"/>
      <c r="AT186" s="18">
        <f t="shared" si="183"/>
        <v>0</v>
      </c>
      <c r="AU186" s="91">
        <f t="shared" si="178"/>
        <v>0</v>
      </c>
      <c r="AW186" s="17"/>
      <c r="AX186" s="17"/>
      <c r="AY186" s="17"/>
      <c r="AZ186" s="18">
        <f t="shared" si="176"/>
        <v>0</v>
      </c>
      <c r="BA186" s="91">
        <f t="shared" si="179"/>
        <v>0</v>
      </c>
    </row>
    <row r="187" spans="1:53" ht="17.100000000000001" customHeight="1" x14ac:dyDescent="0.25">
      <c r="A187" s="40"/>
      <c r="B187" s="40"/>
      <c r="C187" s="77"/>
      <c r="D187" s="144"/>
      <c r="E187" s="144"/>
      <c r="F187" s="145"/>
      <c r="G187" s="145"/>
      <c r="H187" s="119"/>
      <c r="I187" s="236"/>
      <c r="J187" s="80"/>
      <c r="K187" s="80"/>
      <c r="L187" s="81"/>
      <c r="M187" s="81"/>
      <c r="N187" s="81">
        <f>SUM(N178:N186)</f>
        <v>0</v>
      </c>
      <c r="O187" s="81">
        <f t="shared" ref="O187:Y187" si="184">SUM(O178:O186)</f>
        <v>8</v>
      </c>
      <c r="P187" s="81">
        <f t="shared" si="184"/>
        <v>8</v>
      </c>
      <c r="Q187" s="81">
        <f t="shared" si="184"/>
        <v>1</v>
      </c>
      <c r="R187" s="81">
        <f t="shared" si="184"/>
        <v>7</v>
      </c>
      <c r="S187" s="81">
        <f t="shared" si="184"/>
        <v>8</v>
      </c>
      <c r="T187" s="81">
        <f t="shared" si="184"/>
        <v>0</v>
      </c>
      <c r="U187" s="81">
        <f t="shared" si="184"/>
        <v>0</v>
      </c>
      <c r="V187" s="81">
        <f t="shared" si="184"/>
        <v>0</v>
      </c>
      <c r="W187" s="82">
        <f t="shared" si="184"/>
        <v>1</v>
      </c>
      <c r="X187" s="82">
        <f t="shared" si="184"/>
        <v>15</v>
      </c>
      <c r="Y187" s="82">
        <f t="shared" si="184"/>
        <v>16</v>
      </c>
      <c r="Z187" s="205">
        <f>IF(Y$187=0,0,Y187/Y$187)</f>
        <v>1</v>
      </c>
      <c r="AA187" s="205"/>
      <c r="AB187" s="205"/>
      <c r="AC187" s="83"/>
      <c r="AE187" s="80"/>
      <c r="AF187" s="80"/>
      <c r="AG187" s="81"/>
      <c r="AH187" s="82"/>
      <c r="AI187" s="66"/>
      <c r="AK187" s="80"/>
      <c r="AL187" s="80"/>
      <c r="AM187" s="81"/>
      <c r="AN187" s="82"/>
      <c r="AO187" s="66"/>
      <c r="AQ187" s="80"/>
      <c r="AR187" s="80"/>
      <c r="AS187" s="81"/>
      <c r="AT187" s="82">
        <f t="shared" ref="AT187" si="185">SUM(AT178:AT186)</f>
        <v>1</v>
      </c>
      <c r="AU187" s="66">
        <f t="shared" si="178"/>
        <v>1</v>
      </c>
      <c r="AW187" s="80"/>
      <c r="AX187" s="80"/>
      <c r="AY187" s="81"/>
      <c r="AZ187" s="82">
        <f t="shared" ref="AZ187" si="186">SUM(AZ178:AZ186)</f>
        <v>15</v>
      </c>
      <c r="BA187" s="66">
        <f t="shared" si="179"/>
        <v>1</v>
      </c>
    </row>
    <row r="188" spans="1:53" s="117" customFormat="1" ht="17.100000000000001" customHeight="1" x14ac:dyDescent="0.25">
      <c r="A188" s="68"/>
      <c r="B188" s="119"/>
      <c r="C188" s="540"/>
      <c r="D188" s="261"/>
      <c r="E188" s="261"/>
      <c r="F188" s="68"/>
      <c r="G188" s="68"/>
      <c r="H188" s="119"/>
      <c r="I188" s="138"/>
      <c r="J188" s="17"/>
      <c r="K188" s="17"/>
      <c r="L188" s="17"/>
      <c r="M188" s="17"/>
      <c r="N188" s="17" t="str">
        <f>IF(N187=N$20,"OK","NOK")</f>
        <v>OK</v>
      </c>
      <c r="O188" s="17" t="str">
        <f>IF(O187=O$20,"OK","NOK")</f>
        <v>OK</v>
      </c>
      <c r="P188" s="17"/>
      <c r="Q188" s="17" t="str">
        <f>IF(Q187=Q$20,"OK","NOK")</f>
        <v>OK</v>
      </c>
      <c r="R188" s="17" t="str">
        <f>IF(R187=R$20,"OK","NOK")</f>
        <v>OK</v>
      </c>
      <c r="S188" s="17"/>
      <c r="T188" s="17" t="str">
        <f>IF(T187=T$20,"OK","NOK")</f>
        <v>OK</v>
      </c>
      <c r="U188" s="17" t="str">
        <f>IF(U187=U$20,"OK","NOK")</f>
        <v>OK</v>
      </c>
      <c r="V188" s="359"/>
      <c r="W188" s="382"/>
      <c r="X188" s="539"/>
      <c r="Y188" s="539"/>
      <c r="Z188" s="201"/>
      <c r="AA188" s="201"/>
      <c r="AB188" s="201"/>
      <c r="AC188" s="84"/>
      <c r="AE188" s="46"/>
      <c r="AF188" s="46"/>
      <c r="AG188" s="17"/>
      <c r="AH188" s="539"/>
      <c r="AI188" s="91"/>
      <c r="AK188" s="46"/>
      <c r="AL188" s="46"/>
      <c r="AM188" s="17"/>
      <c r="AN188" s="539"/>
      <c r="AO188" s="91"/>
      <c r="AQ188" s="46"/>
      <c r="AR188" s="46"/>
      <c r="AS188" s="17"/>
      <c r="AT188" s="539"/>
      <c r="AU188" s="91"/>
      <c r="AW188" s="46"/>
      <c r="AX188" s="46"/>
      <c r="AY188" s="17"/>
      <c r="AZ188" s="539"/>
      <c r="BA188" s="91"/>
    </row>
    <row r="189" spans="1:53" ht="17.100000000000001" customHeight="1" x14ac:dyDescent="0.25">
      <c r="A189" s="40"/>
      <c r="B189" s="40"/>
      <c r="C189" s="74" t="s">
        <v>141</v>
      </c>
      <c r="D189" s="57" t="s">
        <v>128</v>
      </c>
      <c r="E189" s="542"/>
      <c r="F189" s="542"/>
      <c r="G189" s="542"/>
      <c r="H189" s="540"/>
      <c r="I189" s="235"/>
      <c r="J189" s="111"/>
      <c r="K189" s="111"/>
      <c r="L189" s="111"/>
      <c r="M189" s="111"/>
      <c r="N189" s="111"/>
      <c r="O189" s="111"/>
      <c r="P189" s="111"/>
      <c r="Q189" s="111"/>
      <c r="R189" s="111"/>
      <c r="S189" s="111"/>
      <c r="T189" s="111"/>
      <c r="U189" s="111"/>
      <c r="V189" s="358"/>
      <c r="W189" s="386"/>
      <c r="X189" s="113"/>
      <c r="Y189" s="178"/>
      <c r="Z189" s="172"/>
      <c r="AA189" s="545" t="s">
        <v>181</v>
      </c>
      <c r="AB189" s="545" t="s">
        <v>182</v>
      </c>
      <c r="AC189" s="545" t="s">
        <v>6</v>
      </c>
      <c r="AE189" s="111"/>
      <c r="AF189" s="111"/>
      <c r="AG189" s="111"/>
      <c r="AH189" s="545"/>
      <c r="AI189" s="131"/>
      <c r="AK189" s="111"/>
      <c r="AL189" s="111"/>
      <c r="AM189" s="111"/>
      <c r="AN189" s="545"/>
      <c r="AO189" s="131"/>
      <c r="AQ189" s="545" t="s">
        <v>181</v>
      </c>
      <c r="AR189" s="545" t="s">
        <v>182</v>
      </c>
      <c r="AS189" s="545" t="s">
        <v>6</v>
      </c>
      <c r="AT189" s="545"/>
      <c r="AU189" s="131"/>
      <c r="AW189" s="545" t="s">
        <v>181</v>
      </c>
      <c r="AX189" s="545" t="s">
        <v>182</v>
      </c>
      <c r="AY189" s="545" t="s">
        <v>6</v>
      </c>
      <c r="AZ189" s="545"/>
      <c r="BA189" s="131"/>
    </row>
    <row r="190" spans="1:53" s="117" customFormat="1" ht="17.100000000000001" customHeight="1" x14ac:dyDescent="0.25">
      <c r="A190" s="68"/>
      <c r="B190" s="119"/>
      <c r="C190" s="92"/>
      <c r="D190" s="74" t="s">
        <v>143</v>
      </c>
      <c r="E190" s="146" t="s">
        <v>667</v>
      </c>
      <c r="F190" s="149"/>
      <c r="G190" s="151"/>
      <c r="H190" s="119"/>
      <c r="I190" s="138"/>
      <c r="J190" s="17"/>
      <c r="K190" s="17"/>
      <c r="L190" s="17"/>
      <c r="M190" s="17"/>
      <c r="N190" s="336"/>
      <c r="O190" s="336"/>
      <c r="P190" s="341"/>
      <c r="Q190" s="336"/>
      <c r="R190" s="336"/>
      <c r="S190" s="341"/>
      <c r="T190" s="336"/>
      <c r="U190" s="336"/>
      <c r="V190" s="592"/>
      <c r="W190" s="386"/>
      <c r="X190" s="113"/>
      <c r="Y190" s="178"/>
      <c r="Z190" s="131"/>
      <c r="AA190" s="403">
        <f>MIN(N190:U190)</f>
        <v>0</v>
      </c>
      <c r="AB190" s="403">
        <f>MAX(N190:U190)</f>
        <v>0</v>
      </c>
      <c r="AC190" s="337">
        <f>IF(SUM(N190:U190)=0,0,AVERAGE(N190:U190))</f>
        <v>0</v>
      </c>
      <c r="AE190" s="152"/>
      <c r="AF190" s="152"/>
      <c r="AG190" s="111"/>
      <c r="AH190" s="545"/>
      <c r="AI190" s="131"/>
      <c r="AK190" s="152"/>
      <c r="AL190" s="152"/>
      <c r="AM190" s="111"/>
      <c r="AN190" s="545"/>
      <c r="AO190" s="131"/>
      <c r="AQ190" s="402">
        <f>MIN(N190,Q190,T190)</f>
        <v>0</v>
      </c>
      <c r="AR190" s="402">
        <f>MAX(N190,Q190,T190)</f>
        <v>0</v>
      </c>
      <c r="AS190" s="403">
        <f>IF(N190+Q190+Q190=0,0,AVERAGE(N190,Q190,T190))</f>
        <v>0</v>
      </c>
      <c r="AT190" s="539"/>
      <c r="AU190" s="91"/>
      <c r="AW190" s="402">
        <f>MIN(O190,R190,U190)</f>
        <v>0</v>
      </c>
      <c r="AX190" s="402">
        <f>MAX(O190,R190,U190)</f>
        <v>0</v>
      </c>
      <c r="AY190" s="403">
        <f>IF(O190+R190+U190=0,0,AVERAGE(O190,R190,U190))</f>
        <v>0</v>
      </c>
      <c r="AZ190" s="539"/>
      <c r="BA190" s="91"/>
    </row>
    <row r="191" spans="1:53" ht="17.100000000000001" customHeight="1" x14ac:dyDescent="0.25">
      <c r="A191" s="40"/>
      <c r="B191" s="40"/>
      <c r="C191" s="77"/>
      <c r="D191" s="144"/>
      <c r="E191" s="144"/>
      <c r="F191" s="145"/>
      <c r="G191" s="145"/>
      <c r="H191" s="119"/>
      <c r="I191" s="236"/>
      <c r="J191" s="80"/>
      <c r="K191" s="80"/>
      <c r="L191" s="81"/>
      <c r="M191" s="81"/>
      <c r="N191" s="81"/>
      <c r="O191" s="81"/>
      <c r="P191" s="82"/>
      <c r="Q191" s="81"/>
      <c r="R191" s="81"/>
      <c r="S191" s="82"/>
      <c r="T191" s="81"/>
      <c r="U191" s="81"/>
      <c r="V191" s="360"/>
      <c r="W191" s="381"/>
      <c r="X191" s="82"/>
      <c r="Y191" s="82"/>
      <c r="Z191" s="205"/>
      <c r="AA191" s="205"/>
      <c r="AB191" s="205"/>
      <c r="AC191" s="83"/>
      <c r="AE191" s="80"/>
      <c r="AF191" s="80"/>
      <c r="AG191" s="81"/>
      <c r="AH191" s="82"/>
      <c r="AI191" s="66"/>
      <c r="AK191" s="80"/>
      <c r="AL191" s="80"/>
      <c r="AM191" s="81"/>
      <c r="AN191" s="82"/>
      <c r="AO191" s="66"/>
      <c r="AQ191" s="80"/>
      <c r="AR191" s="80"/>
      <c r="AS191" s="81"/>
      <c r="AT191" s="82"/>
      <c r="AU191" s="66"/>
      <c r="AW191" s="80"/>
      <c r="AX191" s="80"/>
      <c r="AY191" s="81"/>
      <c r="AZ191" s="82"/>
      <c r="BA191" s="66"/>
    </row>
    <row r="192" spans="1:53" ht="17.100000000000001" customHeight="1" x14ac:dyDescent="0.25">
      <c r="A192" s="68"/>
      <c r="B192" s="41" t="s">
        <v>145</v>
      </c>
      <c r="C192" s="69" t="s">
        <v>419</v>
      </c>
      <c r="D192" s="50"/>
      <c r="E192" s="70"/>
      <c r="F192" s="70"/>
      <c r="G192" s="70"/>
      <c r="H192" s="119"/>
      <c r="J192" s="71"/>
      <c r="K192" s="71"/>
      <c r="L192" s="71"/>
      <c r="M192" s="71"/>
      <c r="N192" s="71"/>
      <c r="O192" s="71"/>
      <c r="P192" s="71"/>
      <c r="Q192" s="71"/>
      <c r="R192" s="71"/>
      <c r="S192" s="71"/>
      <c r="T192" s="71"/>
      <c r="U192" s="71"/>
      <c r="V192" s="355"/>
      <c r="W192" s="377"/>
      <c r="X192" s="71"/>
      <c r="Y192" s="72"/>
      <c r="Z192" s="73"/>
      <c r="AA192" s="73"/>
      <c r="AB192" s="73"/>
      <c r="AC192" s="73"/>
      <c r="AE192" s="71"/>
      <c r="AF192" s="71"/>
      <c r="AG192" s="71"/>
      <c r="AH192" s="72"/>
      <c r="AI192" s="73"/>
      <c r="AK192" s="71"/>
      <c r="AL192" s="71"/>
      <c r="AM192" s="71"/>
      <c r="AN192" s="72"/>
      <c r="AO192" s="73"/>
      <c r="AQ192" s="71"/>
      <c r="AR192" s="71"/>
      <c r="AS192" s="71"/>
      <c r="AT192" s="72"/>
      <c r="AU192" s="73"/>
      <c r="AW192" s="71"/>
      <c r="AX192" s="71"/>
      <c r="AY192" s="71"/>
      <c r="AZ192" s="72"/>
      <c r="BA192" s="73"/>
    </row>
    <row r="193" spans="1:53" ht="17.100000000000001" customHeight="1" x14ac:dyDescent="0.25">
      <c r="A193" s="40"/>
      <c r="B193" s="40"/>
      <c r="C193" s="56" t="s">
        <v>146</v>
      </c>
      <c r="D193" s="147" t="s">
        <v>358</v>
      </c>
      <c r="E193" s="147"/>
      <c r="F193" s="147"/>
      <c r="G193" s="147"/>
      <c r="H193" s="243">
        <v>30</v>
      </c>
      <c r="I193" s="237"/>
      <c r="J193" s="174"/>
      <c r="K193" s="174"/>
      <c r="L193" s="111"/>
      <c r="M193" s="111"/>
      <c r="N193" s="111"/>
      <c r="O193" s="111"/>
      <c r="P193" s="111"/>
      <c r="Q193" s="111"/>
      <c r="R193" s="111"/>
      <c r="S193" s="111"/>
      <c r="T193" s="111"/>
      <c r="U193" s="111"/>
      <c r="V193" s="358"/>
      <c r="W193" s="380"/>
      <c r="X193" s="111"/>
      <c r="Y193" s="545"/>
      <c r="Z193" s="131"/>
      <c r="AA193" s="131"/>
      <c r="AB193" s="131"/>
      <c r="AC193" s="113"/>
      <c r="AE193" s="111"/>
      <c r="AF193" s="111"/>
      <c r="AG193" s="111"/>
      <c r="AH193" s="545"/>
      <c r="AI193" s="131"/>
      <c r="AK193" s="111"/>
      <c r="AL193" s="111"/>
      <c r="AM193" s="111"/>
      <c r="AN193" s="545"/>
      <c r="AO193" s="131"/>
      <c r="AQ193" s="111"/>
      <c r="AR193" s="111"/>
      <c r="AS193" s="111"/>
      <c r="AT193" s="545"/>
      <c r="AU193" s="131"/>
      <c r="AW193" s="111"/>
      <c r="AX193" s="111"/>
      <c r="AY193" s="111"/>
      <c r="AZ193" s="545"/>
      <c r="BA193" s="131"/>
    </row>
    <row r="194" spans="1:53" ht="17.100000000000001" customHeight="1" x14ac:dyDescent="0.25">
      <c r="A194" s="40"/>
      <c r="B194" s="40"/>
      <c r="C194" s="182"/>
      <c r="D194" s="74" t="s">
        <v>537</v>
      </c>
      <c r="E194" s="147" t="s">
        <v>9</v>
      </c>
      <c r="F194" s="147"/>
      <c r="G194" s="147"/>
      <c r="H194" s="262"/>
      <c r="I194" s="237"/>
      <c r="J194" s="581"/>
      <c r="K194" s="581"/>
      <c r="L194" s="582"/>
      <c r="M194" s="17">
        <f t="shared" ref="M194:M195" si="187">SUM(J194:L194)</f>
        <v>0</v>
      </c>
      <c r="N194" s="111"/>
      <c r="O194" s="111"/>
      <c r="P194" s="111"/>
      <c r="Q194" s="111"/>
      <c r="R194" s="111"/>
      <c r="S194" s="111"/>
      <c r="T194" s="111"/>
      <c r="U194" s="111"/>
      <c r="V194" s="358"/>
      <c r="W194" s="391">
        <f t="shared" ref="W194:W195" si="188">J194+K194+N194+Q194+T194</f>
        <v>0</v>
      </c>
      <c r="X194" s="17">
        <f t="shared" ref="X194:X195" si="189">L194+O194+R194+U194</f>
        <v>0</v>
      </c>
      <c r="Y194" s="539">
        <f>SUM(W194:X194)</f>
        <v>0</v>
      </c>
      <c r="Z194" s="91">
        <f>IF(Y$197=0,0,Y194/Y$197)</f>
        <v>0</v>
      </c>
      <c r="AA194" s="91"/>
      <c r="AB194" s="91"/>
      <c r="AC194" s="20"/>
      <c r="AE194" s="17"/>
      <c r="AF194" s="17"/>
      <c r="AG194" s="17"/>
      <c r="AH194" s="18">
        <f t="shared" ref="AH194:AH195" si="190">J194</f>
        <v>0</v>
      </c>
      <c r="AI194" s="91">
        <f>IF(AH$197=0,0,AH194/AH$197)</f>
        <v>0</v>
      </c>
      <c r="AK194" s="17"/>
      <c r="AL194" s="17"/>
      <c r="AM194" s="17"/>
      <c r="AN194" s="18">
        <f t="shared" ref="AN194:AN195" si="191">K194</f>
        <v>0</v>
      </c>
      <c r="AO194" s="91">
        <f>IF(AN$197=0,0,AN194/AN$197)</f>
        <v>0</v>
      </c>
      <c r="AQ194" s="17"/>
      <c r="AR194" s="17"/>
      <c r="AS194" s="17"/>
      <c r="AT194" s="18">
        <f t="shared" ref="AT194:AT195" si="192">W194</f>
        <v>0</v>
      </c>
      <c r="AU194" s="91">
        <f>IF(AT$197=0,0,AT194/AT$197)</f>
        <v>0</v>
      </c>
      <c r="AW194" s="17"/>
      <c r="AX194" s="17"/>
      <c r="AY194" s="17"/>
      <c r="AZ194" s="18">
        <f t="shared" ref="AZ194:AZ195" si="193">X194</f>
        <v>0</v>
      </c>
      <c r="BA194" s="91">
        <f>IF(AZ$197=0,0,AZ194/AZ$197)</f>
        <v>0</v>
      </c>
    </row>
    <row r="195" spans="1:53" ht="17.100000000000001" customHeight="1" x14ac:dyDescent="0.25">
      <c r="A195" s="40"/>
      <c r="B195" s="40"/>
      <c r="C195" s="182"/>
      <c r="D195" s="74" t="s">
        <v>538</v>
      </c>
      <c r="E195" s="147" t="s">
        <v>11</v>
      </c>
      <c r="F195" s="147"/>
      <c r="G195" s="147"/>
      <c r="H195" s="262"/>
      <c r="I195" s="237"/>
      <c r="J195" s="583"/>
      <c r="K195" s="583"/>
      <c r="L195" s="584"/>
      <c r="M195" s="17">
        <f t="shared" si="187"/>
        <v>0</v>
      </c>
      <c r="N195" s="111"/>
      <c r="O195" s="111"/>
      <c r="P195" s="111"/>
      <c r="Q195" s="111"/>
      <c r="R195" s="111"/>
      <c r="S195" s="111"/>
      <c r="T195" s="111"/>
      <c r="U195" s="111"/>
      <c r="V195" s="358"/>
      <c r="W195" s="391">
        <f t="shared" si="188"/>
        <v>0</v>
      </c>
      <c r="X195" s="17">
        <f t="shared" si="189"/>
        <v>0</v>
      </c>
      <c r="Y195" s="539">
        <f>SUM(W195:X195)</f>
        <v>0</v>
      </c>
      <c r="Z195" s="91">
        <f>IF(Y$197=0,0,Y195/Y$197)</f>
        <v>0</v>
      </c>
      <c r="AA195" s="91"/>
      <c r="AB195" s="91"/>
      <c r="AC195" s="20"/>
      <c r="AE195" s="17"/>
      <c r="AF195" s="17"/>
      <c r="AG195" s="17"/>
      <c r="AH195" s="18">
        <f t="shared" si="190"/>
        <v>0</v>
      </c>
      <c r="AI195" s="91">
        <f>IF(AH$197=0,0,AH195/AH$197)</f>
        <v>0</v>
      </c>
      <c r="AK195" s="17"/>
      <c r="AL195" s="17"/>
      <c r="AM195" s="17"/>
      <c r="AN195" s="18">
        <f t="shared" si="191"/>
        <v>0</v>
      </c>
      <c r="AO195" s="91">
        <f>IF(AN$197=0,0,AN195/AN$197)</f>
        <v>0</v>
      </c>
      <c r="AQ195" s="17"/>
      <c r="AR195" s="17"/>
      <c r="AS195" s="17"/>
      <c r="AT195" s="18">
        <f t="shared" si="192"/>
        <v>0</v>
      </c>
      <c r="AU195" s="91">
        <f>IF(AT$197=0,0,AT195/AT$197)</f>
        <v>0</v>
      </c>
      <c r="AW195" s="17"/>
      <c r="AX195" s="17"/>
      <c r="AY195" s="17"/>
      <c r="AZ195" s="18">
        <f t="shared" si="193"/>
        <v>0</v>
      </c>
      <c r="BA195" s="91">
        <f>IF(AZ$197=0,0,AZ195/AZ$197)</f>
        <v>0</v>
      </c>
    </row>
    <row r="196" spans="1:53" ht="17.100000000000001" customHeight="1" x14ac:dyDescent="0.25">
      <c r="A196" s="40"/>
      <c r="B196" s="40"/>
      <c r="C196" s="182"/>
      <c r="D196" s="74" t="s">
        <v>1433</v>
      </c>
      <c r="E196" s="147" t="s">
        <v>1435</v>
      </c>
      <c r="F196" s="147"/>
      <c r="G196" s="147"/>
      <c r="H196" s="262"/>
      <c r="I196" s="237"/>
      <c r="J196" s="581"/>
      <c r="K196" s="581"/>
      <c r="L196" s="582"/>
      <c r="M196" s="17">
        <f t="shared" ref="M196" si="194">SUM(J196:L196)</f>
        <v>0</v>
      </c>
      <c r="N196" s="111"/>
      <c r="O196" s="111"/>
      <c r="P196" s="111"/>
      <c r="Q196" s="111"/>
      <c r="R196" s="111"/>
      <c r="S196" s="111"/>
      <c r="T196" s="111"/>
      <c r="U196" s="111"/>
      <c r="V196" s="358"/>
      <c r="W196" s="391">
        <f t="shared" ref="W196" si="195">J196+K196+N196+Q196+T196</f>
        <v>0</v>
      </c>
      <c r="X196" s="17">
        <f t="shared" ref="X196" si="196">L196+O196+R196+U196</f>
        <v>0</v>
      </c>
      <c r="Y196" s="921">
        <f>SUM(W196:X196)</f>
        <v>0</v>
      </c>
      <c r="Z196" s="91">
        <f>IF(Y$197=0,0,Y196/Y$197)</f>
        <v>0</v>
      </c>
      <c r="AA196" s="91"/>
      <c r="AB196" s="91"/>
      <c r="AC196" s="20"/>
      <c r="AE196" s="17"/>
      <c r="AF196" s="17"/>
      <c r="AG196" s="17"/>
      <c r="AH196" s="18">
        <f t="shared" ref="AH196" si="197">J196</f>
        <v>0</v>
      </c>
      <c r="AI196" s="91">
        <f>IF(AH$197=0,0,AH196/AH$197)</f>
        <v>0</v>
      </c>
      <c r="AK196" s="17"/>
      <c r="AL196" s="17"/>
      <c r="AM196" s="17"/>
      <c r="AN196" s="18">
        <f t="shared" ref="AN196" si="198">K196</f>
        <v>0</v>
      </c>
      <c r="AO196" s="91">
        <f>IF(AN$197=0,0,AN196/AN$197)</f>
        <v>0</v>
      </c>
      <c r="AQ196" s="17"/>
      <c r="AR196" s="17"/>
      <c r="AS196" s="17"/>
      <c r="AT196" s="18">
        <f t="shared" ref="AT196" si="199">W196</f>
        <v>0</v>
      </c>
      <c r="AU196" s="91">
        <f>IF(AT$197=0,0,AT196/AT$197)</f>
        <v>0</v>
      </c>
      <c r="AW196" s="17"/>
      <c r="AX196" s="17"/>
      <c r="AY196" s="17"/>
      <c r="AZ196" s="18">
        <f t="shared" ref="AZ196" si="200">X196</f>
        <v>0</v>
      </c>
      <c r="BA196" s="91">
        <f>IF(AZ$197=0,0,AZ196/AZ$197)</f>
        <v>0</v>
      </c>
    </row>
    <row r="197" spans="1:53" ht="17.100000000000001" customHeight="1" x14ac:dyDescent="0.25">
      <c r="A197" s="40"/>
      <c r="B197" s="40"/>
      <c r="C197" s="77"/>
      <c r="D197" s="144"/>
      <c r="E197" s="144"/>
      <c r="F197" s="145"/>
      <c r="G197" s="145"/>
      <c r="H197" s="119"/>
      <c r="I197" s="236"/>
      <c r="J197" s="80">
        <f>SUM(J194:J196)</f>
        <v>0</v>
      </c>
      <c r="K197" s="80">
        <f t="shared" ref="K197:M197" si="201">SUM(K194:K196)</f>
        <v>0</v>
      </c>
      <c r="L197" s="80">
        <f t="shared" si="201"/>
        <v>0</v>
      </c>
      <c r="M197" s="80">
        <f t="shared" si="201"/>
        <v>0</v>
      </c>
      <c r="N197" s="80"/>
      <c r="O197" s="80"/>
      <c r="P197" s="80"/>
      <c r="Q197" s="81"/>
      <c r="R197" s="81"/>
      <c r="S197" s="81"/>
      <c r="T197" s="81"/>
      <c r="U197" s="81"/>
      <c r="V197" s="356"/>
      <c r="W197" s="381">
        <f>SUM(W194:W196)</f>
        <v>0</v>
      </c>
      <c r="X197" s="82">
        <f t="shared" ref="X197:Y197" si="202">SUM(X194:X196)</f>
        <v>0</v>
      </c>
      <c r="Y197" s="82">
        <f t="shared" si="202"/>
        <v>0</v>
      </c>
      <c r="Z197" s="205">
        <f>IF(Y$197=0,0,Y197/Y$197)</f>
        <v>0</v>
      </c>
      <c r="AA197" s="205"/>
      <c r="AB197" s="205"/>
      <c r="AC197" s="83"/>
      <c r="AE197" s="80"/>
      <c r="AF197" s="80"/>
      <c r="AG197" s="81"/>
      <c r="AH197" s="82">
        <f>SUM(AH194:AH196)</f>
        <v>0</v>
      </c>
      <c r="AI197" s="66">
        <f>IF(AH$197=0,0,AH197/AH$197)</f>
        <v>0</v>
      </c>
      <c r="AK197" s="80"/>
      <c r="AL197" s="80"/>
      <c r="AM197" s="81"/>
      <c r="AN197" s="82">
        <f>SUM(AN194:AN196)</f>
        <v>0</v>
      </c>
      <c r="AO197" s="66">
        <f>IF(AN$197=0,0,AN197/AN$197)</f>
        <v>0</v>
      </c>
      <c r="AQ197" s="80"/>
      <c r="AR197" s="80"/>
      <c r="AS197" s="81"/>
      <c r="AT197" s="82">
        <f>SUM(AT194:AT196)</f>
        <v>0</v>
      </c>
      <c r="AU197" s="66">
        <f>IF(AT$197=0,0,AT197/AT$197)</f>
        <v>0</v>
      </c>
      <c r="AW197" s="80"/>
      <c r="AX197" s="80"/>
      <c r="AY197" s="81"/>
      <c r="AZ197" s="82">
        <f>SUM(AZ194:AZ196)</f>
        <v>0</v>
      </c>
      <c r="BA197" s="66">
        <f>IF(AZ$197=0,0,AZ197/AZ$197)</f>
        <v>0</v>
      </c>
    </row>
    <row r="198" spans="1:53" s="117" customFormat="1" ht="17.100000000000001" customHeight="1" x14ac:dyDescent="0.25">
      <c r="A198" s="68"/>
      <c r="B198" s="119"/>
      <c r="C198" s="540"/>
      <c r="D198" s="261"/>
      <c r="E198" s="261"/>
      <c r="F198" s="68"/>
      <c r="G198" s="68"/>
      <c r="H198" s="119"/>
      <c r="I198" s="138"/>
      <c r="J198" s="17" t="str">
        <f>IF(J197=J$15,"OK","NOK")</f>
        <v>OK</v>
      </c>
      <c r="K198" s="17" t="str">
        <f t="shared" ref="K198:L198" si="203">IF(K197=K$15,"OK","NOK")</f>
        <v>OK</v>
      </c>
      <c r="L198" s="17" t="str">
        <f t="shared" si="203"/>
        <v>OK</v>
      </c>
      <c r="M198" s="17"/>
      <c r="N198" s="17"/>
      <c r="O198" s="17"/>
      <c r="P198" s="17"/>
      <c r="Q198" s="17"/>
      <c r="R198" s="17"/>
      <c r="S198" s="17"/>
      <c r="T198" s="17"/>
      <c r="U198" s="17"/>
      <c r="V198" s="359"/>
      <c r="W198" s="382"/>
      <c r="X198" s="539"/>
      <c r="Y198" s="539"/>
      <c r="Z198" s="201"/>
      <c r="AA198" s="201"/>
      <c r="AB198" s="201"/>
      <c r="AC198" s="84"/>
      <c r="AE198" s="46"/>
      <c r="AF198" s="46"/>
      <c r="AG198" s="17"/>
      <c r="AH198" s="539"/>
      <c r="AI198" s="91"/>
      <c r="AK198" s="46"/>
      <c r="AL198" s="46"/>
      <c r="AM198" s="17"/>
      <c r="AN198" s="539"/>
      <c r="AO198" s="91"/>
      <c r="AQ198" s="46"/>
      <c r="AR198" s="46"/>
      <c r="AS198" s="17"/>
      <c r="AT198" s="539"/>
      <c r="AU198" s="91"/>
      <c r="AW198" s="46"/>
      <c r="AX198" s="46"/>
      <c r="AY198" s="17"/>
      <c r="AZ198" s="539"/>
      <c r="BA198" s="91"/>
    </row>
    <row r="199" spans="1:53" ht="17.100000000000001" customHeight="1" x14ac:dyDescent="0.25">
      <c r="A199" s="40"/>
      <c r="B199" s="40"/>
      <c r="C199" s="56" t="s">
        <v>147</v>
      </c>
      <c r="D199" s="147" t="s">
        <v>420</v>
      </c>
      <c r="E199" s="147"/>
      <c r="F199" s="147"/>
      <c r="G199" s="147"/>
      <c r="H199" s="243">
        <v>31</v>
      </c>
      <c r="I199" s="237"/>
      <c r="J199" s="174"/>
      <c r="K199" s="174"/>
      <c r="L199" s="111"/>
      <c r="M199" s="111"/>
      <c r="N199" s="111"/>
      <c r="O199" s="111"/>
      <c r="P199" s="111"/>
      <c r="Q199" s="111"/>
      <c r="R199" s="111"/>
      <c r="S199" s="111"/>
      <c r="T199" s="111"/>
      <c r="U199" s="111"/>
      <c r="V199" s="358"/>
      <c r="W199" s="380"/>
      <c r="X199" s="111"/>
      <c r="Y199" s="545"/>
      <c r="Z199" s="131"/>
      <c r="AA199" s="131"/>
      <c r="AB199" s="131"/>
      <c r="AC199" s="113"/>
      <c r="AE199" s="111"/>
      <c r="AF199" s="111"/>
      <c r="AG199" s="111"/>
      <c r="AH199" s="545"/>
      <c r="AI199" s="131"/>
      <c r="AK199" s="111"/>
      <c r="AL199" s="111"/>
      <c r="AM199" s="111"/>
      <c r="AN199" s="545"/>
      <c r="AO199" s="131"/>
      <c r="AQ199" s="111"/>
      <c r="AR199" s="111"/>
      <c r="AS199" s="111"/>
      <c r="AT199" s="545"/>
      <c r="AU199" s="131"/>
      <c r="AW199" s="111"/>
      <c r="AX199" s="111"/>
      <c r="AY199" s="111"/>
      <c r="AZ199" s="545"/>
      <c r="BA199" s="131"/>
    </row>
    <row r="200" spans="1:53" ht="17.100000000000001" customHeight="1" x14ac:dyDescent="0.25">
      <c r="A200" s="40"/>
      <c r="B200" s="40"/>
      <c r="C200" s="182"/>
      <c r="D200" s="74" t="s">
        <v>539</v>
      </c>
      <c r="E200" s="147" t="s">
        <v>9</v>
      </c>
      <c r="F200" s="147"/>
      <c r="G200" s="147"/>
      <c r="H200" s="262"/>
      <c r="I200" s="237"/>
      <c r="J200" s="581"/>
      <c r="K200" s="581"/>
      <c r="L200" s="582"/>
      <c r="M200" s="17">
        <f t="shared" ref="M200:M201" si="204">SUM(J200:L200)</f>
        <v>0</v>
      </c>
      <c r="N200" s="111"/>
      <c r="O200" s="111"/>
      <c r="P200" s="111"/>
      <c r="Q200" s="111"/>
      <c r="R200" s="111"/>
      <c r="S200" s="111"/>
      <c r="T200" s="111"/>
      <c r="U200" s="111"/>
      <c r="V200" s="358"/>
      <c r="W200" s="391">
        <f t="shared" ref="W200:W201" si="205">J200+K200+N200+Q200+T200</f>
        <v>0</v>
      </c>
      <c r="X200" s="17">
        <f t="shared" ref="X200:X201" si="206">L200+O200+R200+U200</f>
        <v>0</v>
      </c>
      <c r="Y200" s="539">
        <f>SUM(W200:X200)</f>
        <v>0</v>
      </c>
      <c r="Z200" s="91">
        <f>IF(Y$203=0,0,Y200/Y$203)</f>
        <v>0</v>
      </c>
      <c r="AA200" s="91"/>
      <c r="AB200" s="91"/>
      <c r="AC200" s="20"/>
      <c r="AE200" s="17"/>
      <c r="AF200" s="17"/>
      <c r="AG200" s="17"/>
      <c r="AH200" s="18">
        <f t="shared" ref="AH200:AH201" si="207">J200</f>
        <v>0</v>
      </c>
      <c r="AI200" s="91">
        <f>IF(AH$203=0,0,AH200/AH$203)</f>
        <v>0</v>
      </c>
      <c r="AK200" s="17"/>
      <c r="AL200" s="17"/>
      <c r="AM200" s="17"/>
      <c r="AN200" s="18">
        <f t="shared" ref="AN200:AN201" si="208">K200</f>
        <v>0</v>
      </c>
      <c r="AO200" s="91">
        <f>IF(AN$203=0,0,AN200/AN$203)</f>
        <v>0</v>
      </c>
      <c r="AQ200" s="17"/>
      <c r="AR200" s="17"/>
      <c r="AS200" s="17"/>
      <c r="AT200" s="18">
        <f t="shared" ref="AT200:AT201" si="209">W200</f>
        <v>0</v>
      </c>
      <c r="AU200" s="91">
        <f>IF(AT$203=0,0,AT200/AT$203)</f>
        <v>0</v>
      </c>
      <c r="AW200" s="17"/>
      <c r="AX200" s="17"/>
      <c r="AY200" s="17"/>
      <c r="AZ200" s="18">
        <f t="shared" ref="AZ200:AZ201" si="210">X200</f>
        <v>0</v>
      </c>
      <c r="BA200" s="91">
        <f>IF(AZ$203=0,0,AZ200/AZ$203)</f>
        <v>0</v>
      </c>
    </row>
    <row r="201" spans="1:53" ht="17.100000000000001" customHeight="1" x14ac:dyDescent="0.25">
      <c r="A201" s="40"/>
      <c r="B201" s="40"/>
      <c r="C201" s="182"/>
      <c r="D201" s="74" t="s">
        <v>540</v>
      </c>
      <c r="E201" s="147" t="s">
        <v>11</v>
      </c>
      <c r="F201" s="147"/>
      <c r="G201" s="147"/>
      <c r="H201" s="262"/>
      <c r="I201" s="237"/>
      <c r="J201" s="583"/>
      <c r="K201" s="583"/>
      <c r="L201" s="584"/>
      <c r="M201" s="17">
        <f t="shared" si="204"/>
        <v>0</v>
      </c>
      <c r="N201" s="111"/>
      <c r="O201" s="111"/>
      <c r="P201" s="111"/>
      <c r="Q201" s="111"/>
      <c r="R201" s="111"/>
      <c r="S201" s="111"/>
      <c r="T201" s="111"/>
      <c r="U201" s="111"/>
      <c r="V201" s="358"/>
      <c r="W201" s="391">
        <f t="shared" si="205"/>
        <v>0</v>
      </c>
      <c r="X201" s="17">
        <f t="shared" si="206"/>
        <v>0</v>
      </c>
      <c r="Y201" s="539">
        <f>SUM(W201:X201)</f>
        <v>0</v>
      </c>
      <c r="Z201" s="91">
        <f>IF(Y$203=0,0,Y201/Y$203)</f>
        <v>0</v>
      </c>
      <c r="AA201" s="91"/>
      <c r="AB201" s="91"/>
      <c r="AC201" s="20"/>
      <c r="AE201" s="17"/>
      <c r="AF201" s="17"/>
      <c r="AG201" s="17"/>
      <c r="AH201" s="18">
        <f t="shared" si="207"/>
        <v>0</v>
      </c>
      <c r="AI201" s="91">
        <f>IF(AH$203=0,0,AH201/AH$203)</f>
        <v>0</v>
      </c>
      <c r="AK201" s="17"/>
      <c r="AL201" s="17"/>
      <c r="AM201" s="17"/>
      <c r="AN201" s="18">
        <f t="shared" si="208"/>
        <v>0</v>
      </c>
      <c r="AO201" s="91">
        <f>IF(AN$203=0,0,AN201/AN$203)</f>
        <v>0</v>
      </c>
      <c r="AQ201" s="17"/>
      <c r="AR201" s="17"/>
      <c r="AS201" s="17"/>
      <c r="AT201" s="18">
        <f t="shared" si="209"/>
        <v>0</v>
      </c>
      <c r="AU201" s="91">
        <f>IF(AT$203=0,0,AT201/AT$203)</f>
        <v>0</v>
      </c>
      <c r="AW201" s="17"/>
      <c r="AX201" s="17"/>
      <c r="AY201" s="17"/>
      <c r="AZ201" s="18">
        <f t="shared" si="210"/>
        <v>0</v>
      </c>
      <c r="BA201" s="91">
        <f>IF(AZ$203=0,0,AZ201/AZ$203)</f>
        <v>0</v>
      </c>
    </row>
    <row r="202" spans="1:53" ht="17.100000000000001" customHeight="1" x14ac:dyDescent="0.25">
      <c r="A202" s="40"/>
      <c r="B202" s="40"/>
      <c r="C202" s="182"/>
      <c r="D202" s="74" t="s">
        <v>1434</v>
      </c>
      <c r="E202" s="147" t="s">
        <v>1435</v>
      </c>
      <c r="F202" s="147"/>
      <c r="G202" s="147"/>
      <c r="H202" s="262"/>
      <c r="I202" s="237"/>
      <c r="J202" s="581"/>
      <c r="K202" s="581"/>
      <c r="L202" s="582"/>
      <c r="M202" s="17">
        <f t="shared" ref="M202" si="211">SUM(J202:L202)</f>
        <v>0</v>
      </c>
      <c r="N202" s="111"/>
      <c r="O202" s="111"/>
      <c r="P202" s="111"/>
      <c r="Q202" s="111"/>
      <c r="R202" s="111"/>
      <c r="S202" s="111"/>
      <c r="T202" s="111"/>
      <c r="U202" s="111"/>
      <c r="V202" s="358"/>
      <c r="W202" s="391">
        <f t="shared" ref="W202" si="212">J202+K202+N202+Q202+T202</f>
        <v>0</v>
      </c>
      <c r="X202" s="17">
        <f t="shared" ref="X202" si="213">L202+O202+R202+U202</f>
        <v>0</v>
      </c>
      <c r="Y202" s="921">
        <f>SUM(W202:X202)</f>
        <v>0</v>
      </c>
      <c r="Z202" s="91">
        <f>IF(Y$203=0,0,Y202/Y$203)</f>
        <v>0</v>
      </c>
      <c r="AA202" s="91"/>
      <c r="AB202" s="91"/>
      <c r="AC202" s="20"/>
      <c r="AE202" s="17"/>
      <c r="AF202" s="17"/>
      <c r="AG202" s="17"/>
      <c r="AH202" s="18">
        <f t="shared" ref="AH202" si="214">J202</f>
        <v>0</v>
      </c>
      <c r="AI202" s="91">
        <f>IF(AH$203=0,0,AH202/AH$203)</f>
        <v>0</v>
      </c>
      <c r="AK202" s="17"/>
      <c r="AL202" s="17"/>
      <c r="AM202" s="17"/>
      <c r="AN202" s="18">
        <f t="shared" ref="AN202" si="215">K202</f>
        <v>0</v>
      </c>
      <c r="AO202" s="91">
        <f>IF(AN$203=0,0,AN202/AN$203)</f>
        <v>0</v>
      </c>
      <c r="AQ202" s="17"/>
      <c r="AR202" s="17"/>
      <c r="AS202" s="17"/>
      <c r="AT202" s="18">
        <f t="shared" ref="AT202" si="216">W202</f>
        <v>0</v>
      </c>
      <c r="AU202" s="91">
        <f>IF(AT$203=0,0,AT202/AT$203)</f>
        <v>0</v>
      </c>
      <c r="AW202" s="17"/>
      <c r="AX202" s="17"/>
      <c r="AY202" s="17"/>
      <c r="AZ202" s="18">
        <f t="shared" ref="AZ202" si="217">X202</f>
        <v>0</v>
      </c>
      <c r="BA202" s="91">
        <f>IF(AZ$203=0,0,AZ202/AZ$203)</f>
        <v>0</v>
      </c>
    </row>
    <row r="203" spans="1:53" ht="17.100000000000001" customHeight="1" x14ac:dyDescent="0.25">
      <c r="A203" s="40"/>
      <c r="B203" s="40"/>
      <c r="C203" s="77"/>
      <c r="D203" s="144"/>
      <c r="E203" s="144"/>
      <c r="F203" s="145"/>
      <c r="G203" s="145"/>
      <c r="H203" s="119"/>
      <c r="I203" s="236"/>
      <c r="J203" s="80">
        <f>SUM(J200:J202)</f>
        <v>0</v>
      </c>
      <c r="K203" s="80">
        <f t="shared" ref="K203" si="218">SUM(K200:K202)</f>
        <v>0</v>
      </c>
      <c r="L203" s="80">
        <f t="shared" ref="L203" si="219">SUM(L200:L202)</f>
        <v>0</v>
      </c>
      <c r="M203" s="80">
        <f t="shared" ref="M203" si="220">SUM(M200:M202)</f>
        <v>0</v>
      </c>
      <c r="N203" s="80"/>
      <c r="O203" s="80"/>
      <c r="P203" s="80"/>
      <c r="Q203" s="81"/>
      <c r="R203" s="81"/>
      <c r="S203" s="81"/>
      <c r="T203" s="81"/>
      <c r="U203" s="81"/>
      <c r="V203" s="356"/>
      <c r="W203" s="381">
        <f>SUM(W200:W202)</f>
        <v>0</v>
      </c>
      <c r="X203" s="82">
        <f t="shared" ref="X203" si="221">SUM(X200:X202)</f>
        <v>0</v>
      </c>
      <c r="Y203" s="82">
        <f t="shared" ref="Y203" si="222">SUM(Y200:Y202)</f>
        <v>0</v>
      </c>
      <c r="Z203" s="205">
        <f>IF(Y$203=0,0,Y203/Y$203)</f>
        <v>0</v>
      </c>
      <c r="AA203" s="205"/>
      <c r="AB203" s="205"/>
      <c r="AC203" s="83"/>
      <c r="AE203" s="80"/>
      <c r="AF203" s="80"/>
      <c r="AG203" s="81"/>
      <c r="AH203" s="82">
        <f>SUM(AH200:AH202)</f>
        <v>0</v>
      </c>
      <c r="AI203" s="66">
        <f>IF(AH$203=0,0,AH203/AH$203)</f>
        <v>0</v>
      </c>
      <c r="AK203" s="80"/>
      <c r="AL203" s="80"/>
      <c r="AM203" s="81"/>
      <c r="AN203" s="82">
        <f>SUM(AN200:AN202)</f>
        <v>0</v>
      </c>
      <c r="AO203" s="66">
        <f>IF(AN$203=0,0,AN203/AN$203)</f>
        <v>0</v>
      </c>
      <c r="AQ203" s="80"/>
      <c r="AR203" s="80"/>
      <c r="AS203" s="81"/>
      <c r="AT203" s="82">
        <f>SUM(AT200:AT202)</f>
        <v>0</v>
      </c>
      <c r="AU203" s="66">
        <f>IF(AT$203=0,0,AT203/AT$203)</f>
        <v>0</v>
      </c>
      <c r="AW203" s="80"/>
      <c r="AX203" s="80"/>
      <c r="AY203" s="81"/>
      <c r="AZ203" s="82">
        <f>SUM(AZ200:AZ202)</f>
        <v>0</v>
      </c>
      <c r="BA203" s="66">
        <f>IF(AZ$203=0,0,AZ203/AZ$203)</f>
        <v>0</v>
      </c>
    </row>
    <row r="204" spans="1:53" s="117" customFormat="1" ht="17.100000000000001" customHeight="1" x14ac:dyDescent="0.25">
      <c r="A204" s="68"/>
      <c r="B204" s="119"/>
      <c r="C204" s="540"/>
      <c r="D204" s="261"/>
      <c r="E204" s="261"/>
      <c r="F204" s="68"/>
      <c r="G204" s="68"/>
      <c r="H204" s="119"/>
      <c r="I204" s="138"/>
      <c r="J204" s="17" t="str">
        <f>IF(J203=J$15,"OK","NOK")</f>
        <v>OK</v>
      </c>
      <c r="K204" s="17" t="str">
        <f t="shared" ref="K204:L204" si="223">IF(K203=K$15,"OK","NOK")</f>
        <v>OK</v>
      </c>
      <c r="L204" s="17" t="str">
        <f t="shared" si="223"/>
        <v>OK</v>
      </c>
      <c r="M204" s="17"/>
      <c r="N204" s="17"/>
      <c r="O204" s="17"/>
      <c r="P204" s="17"/>
      <c r="Q204" s="17"/>
      <c r="R204" s="17"/>
      <c r="S204" s="17"/>
      <c r="T204" s="17"/>
      <c r="U204" s="17"/>
      <c r="V204" s="359"/>
      <c r="W204" s="382"/>
      <c r="X204" s="539"/>
      <c r="Y204" s="539"/>
      <c r="Z204" s="201"/>
      <c r="AA204" s="201"/>
      <c r="AB204" s="201"/>
      <c r="AC204" s="84"/>
      <c r="AE204" s="46"/>
      <c r="AF204" s="46"/>
      <c r="AG204" s="17"/>
      <c r="AH204" s="539"/>
      <c r="AI204" s="91"/>
      <c r="AK204" s="46"/>
      <c r="AL204" s="46"/>
      <c r="AM204" s="17"/>
      <c r="AN204" s="539"/>
      <c r="AO204" s="91"/>
      <c r="AQ204" s="46"/>
      <c r="AR204" s="46"/>
      <c r="AS204" s="17"/>
      <c r="AT204" s="539"/>
      <c r="AU204" s="91"/>
      <c r="AW204" s="46"/>
      <c r="AX204" s="46"/>
      <c r="AY204" s="17"/>
      <c r="AZ204" s="539"/>
      <c r="BA204" s="91"/>
    </row>
    <row r="205" spans="1:53" ht="17.100000000000001" customHeight="1" x14ac:dyDescent="0.25">
      <c r="A205" s="40"/>
      <c r="B205" s="40"/>
      <c r="C205" s="56" t="s">
        <v>519</v>
      </c>
      <c r="D205" s="147" t="s">
        <v>421</v>
      </c>
      <c r="E205" s="147"/>
      <c r="F205" s="147"/>
      <c r="G205" s="147"/>
      <c r="H205" s="182"/>
      <c r="I205" s="237"/>
      <c r="J205" s="111"/>
      <c r="K205" s="111"/>
      <c r="L205" s="111"/>
      <c r="M205" s="111"/>
      <c r="N205" s="111"/>
      <c r="O205" s="111"/>
      <c r="P205" s="111"/>
      <c r="Q205" s="111"/>
      <c r="R205" s="111"/>
      <c r="S205" s="111"/>
      <c r="T205" s="111"/>
      <c r="U205" s="111"/>
      <c r="V205" s="358"/>
      <c r="W205" s="380"/>
      <c r="X205" s="111"/>
      <c r="Y205" s="545"/>
      <c r="Z205" s="131"/>
      <c r="AA205" s="131"/>
      <c r="AB205" s="131"/>
      <c r="AC205" s="113"/>
      <c r="AE205" s="111"/>
      <c r="AF205" s="111"/>
      <c r="AG205" s="111"/>
      <c r="AH205" s="545"/>
      <c r="AI205" s="131"/>
      <c r="AK205" s="111"/>
      <c r="AL205" s="111"/>
      <c r="AM205" s="111"/>
      <c r="AN205" s="545"/>
      <c r="AO205" s="131"/>
      <c r="AQ205" s="111"/>
      <c r="AR205" s="111"/>
      <c r="AS205" s="111"/>
      <c r="AT205" s="545"/>
      <c r="AU205" s="131"/>
      <c r="AW205" s="111"/>
      <c r="AX205" s="111"/>
      <c r="AY205" s="111"/>
      <c r="AZ205" s="545"/>
      <c r="BA205" s="131"/>
    </row>
    <row r="206" spans="1:53" ht="17.100000000000001" customHeight="1" x14ac:dyDescent="0.25">
      <c r="A206" s="40"/>
      <c r="B206" s="40"/>
      <c r="C206" s="40"/>
      <c r="D206" s="56" t="s">
        <v>520</v>
      </c>
      <c r="E206" s="146" t="s">
        <v>423</v>
      </c>
      <c r="F206" s="149"/>
      <c r="G206" s="149"/>
      <c r="H206" s="244"/>
      <c r="I206" s="238"/>
      <c r="J206" s="111"/>
      <c r="K206" s="111"/>
      <c r="L206" s="111"/>
      <c r="M206" s="111"/>
      <c r="N206" s="61"/>
      <c r="O206" s="61">
        <v>7</v>
      </c>
      <c r="P206" s="17">
        <f>SUM(N206:O206)</f>
        <v>7</v>
      </c>
      <c r="Q206" s="61">
        <v>1</v>
      </c>
      <c r="R206" s="61">
        <v>3</v>
      </c>
      <c r="S206" s="17">
        <f>SUM(Q206:R206)</f>
        <v>4</v>
      </c>
      <c r="T206" s="61"/>
      <c r="U206" s="61"/>
      <c r="V206" s="17">
        <f>SUM(T206:U206)</f>
        <v>0</v>
      </c>
      <c r="W206" s="391">
        <f t="shared" ref="W206:W209" si="224">J206+K206+N206+Q206+T206</f>
        <v>1</v>
      </c>
      <c r="X206" s="17">
        <f t="shared" ref="X206:X209" si="225">L206+O206+R206+U206</f>
        <v>10</v>
      </c>
      <c r="Y206" s="18">
        <f>SUM(W206:X206)</f>
        <v>11</v>
      </c>
      <c r="Z206" s="19">
        <f>IF(Y$210=0,0,Y206/Y$210)</f>
        <v>0.6875</v>
      </c>
      <c r="AA206" s="19"/>
      <c r="AB206" s="19"/>
      <c r="AC206" s="20"/>
      <c r="AE206" s="111"/>
      <c r="AF206" s="111"/>
      <c r="AG206" s="111"/>
      <c r="AH206" s="112"/>
      <c r="AI206" s="113"/>
      <c r="AK206" s="111"/>
      <c r="AL206" s="111"/>
      <c r="AM206" s="111"/>
      <c r="AN206" s="112"/>
      <c r="AO206" s="113"/>
      <c r="AQ206" s="17"/>
      <c r="AR206" s="17"/>
      <c r="AS206" s="17"/>
      <c r="AT206" s="18">
        <f t="shared" ref="AT206:AT209" si="226">W206</f>
        <v>1</v>
      </c>
      <c r="AU206" s="19">
        <f>IF(AT$210=0,0,AT206/AT$210)</f>
        <v>1</v>
      </c>
      <c r="AW206" s="17"/>
      <c r="AX206" s="17"/>
      <c r="AY206" s="17"/>
      <c r="AZ206" s="18">
        <f t="shared" ref="AZ206:AZ209" si="227">X206</f>
        <v>10</v>
      </c>
      <c r="BA206" s="19">
        <f>IF(AZ$210=0,0,AZ206/AZ$210)</f>
        <v>0.66666666666666663</v>
      </c>
    </row>
    <row r="207" spans="1:53" ht="17.100000000000001" customHeight="1" x14ac:dyDescent="0.25">
      <c r="A207" s="40"/>
      <c r="B207" s="40"/>
      <c r="C207" s="40"/>
      <c r="D207" s="56" t="s">
        <v>521</v>
      </c>
      <c r="E207" s="147" t="s">
        <v>422</v>
      </c>
      <c r="F207" s="223"/>
      <c r="G207" s="223"/>
      <c r="H207" s="244"/>
      <c r="I207" s="238"/>
      <c r="J207" s="111"/>
      <c r="K207" s="111"/>
      <c r="L207" s="111"/>
      <c r="M207" s="111"/>
      <c r="N207" s="60"/>
      <c r="O207" s="60">
        <v>1</v>
      </c>
      <c r="P207" s="17">
        <f t="shared" ref="P207:P209" si="228">SUM(N207:O207)</f>
        <v>1</v>
      </c>
      <c r="Q207" s="60"/>
      <c r="R207" s="60">
        <v>1</v>
      </c>
      <c r="S207" s="17">
        <f t="shared" ref="S207:S209" si="229">SUM(Q207:R207)</f>
        <v>1</v>
      </c>
      <c r="T207" s="60"/>
      <c r="U207" s="60"/>
      <c r="V207" s="17">
        <f t="shared" ref="V207:V209" si="230">SUM(T207:U207)</f>
        <v>0</v>
      </c>
      <c r="W207" s="391">
        <f t="shared" si="224"/>
        <v>0</v>
      </c>
      <c r="X207" s="17">
        <f t="shared" si="225"/>
        <v>2</v>
      </c>
      <c r="Y207" s="18">
        <f>SUM(W207:X207)</f>
        <v>2</v>
      </c>
      <c r="Z207" s="19">
        <f>IF(Y$210=0,0,Y207/Y$210)</f>
        <v>0.125</v>
      </c>
      <c r="AA207" s="19"/>
      <c r="AB207" s="19"/>
      <c r="AC207" s="20"/>
      <c r="AE207" s="111"/>
      <c r="AF207" s="111"/>
      <c r="AG207" s="111"/>
      <c r="AH207" s="112"/>
      <c r="AI207" s="113"/>
      <c r="AK207" s="111"/>
      <c r="AL207" s="111"/>
      <c r="AM207" s="111"/>
      <c r="AN207" s="112"/>
      <c r="AO207" s="113"/>
      <c r="AQ207" s="17"/>
      <c r="AR207" s="17"/>
      <c r="AS207" s="17"/>
      <c r="AT207" s="18">
        <f t="shared" si="226"/>
        <v>0</v>
      </c>
      <c r="AU207" s="19">
        <f>IF(AT$210=0,0,AT207/AT$210)</f>
        <v>0</v>
      </c>
      <c r="AW207" s="17"/>
      <c r="AX207" s="17"/>
      <c r="AY207" s="17"/>
      <c r="AZ207" s="18">
        <f t="shared" si="227"/>
        <v>2</v>
      </c>
      <c r="BA207" s="19">
        <f>IF(AZ$210=0,0,AZ207/AZ$210)</f>
        <v>0.13333333333333333</v>
      </c>
    </row>
    <row r="208" spans="1:53" ht="17.100000000000001" customHeight="1" x14ac:dyDescent="0.25">
      <c r="A208" s="40"/>
      <c r="B208" s="40"/>
      <c r="C208" s="40"/>
      <c r="D208" s="56" t="s">
        <v>522</v>
      </c>
      <c r="E208" s="147" t="s">
        <v>136</v>
      </c>
      <c r="F208" s="147"/>
      <c r="G208" s="147"/>
      <c r="H208" s="182"/>
      <c r="I208" s="237"/>
      <c r="J208" s="111"/>
      <c r="K208" s="111"/>
      <c r="L208" s="111"/>
      <c r="M208" s="111"/>
      <c r="N208" s="61"/>
      <c r="O208" s="61"/>
      <c r="P208" s="17">
        <f t="shared" si="228"/>
        <v>0</v>
      </c>
      <c r="Q208" s="61"/>
      <c r="R208" s="61">
        <v>3</v>
      </c>
      <c r="S208" s="17">
        <f t="shared" si="229"/>
        <v>3</v>
      </c>
      <c r="T208" s="61"/>
      <c r="U208" s="61"/>
      <c r="V208" s="17">
        <f t="shared" si="230"/>
        <v>0</v>
      </c>
      <c r="W208" s="391">
        <f t="shared" si="224"/>
        <v>0</v>
      </c>
      <c r="X208" s="17">
        <f t="shared" si="225"/>
        <v>3</v>
      </c>
      <c r="Y208" s="18">
        <f>SUM(W208:X208)</f>
        <v>3</v>
      </c>
      <c r="Z208" s="19">
        <f>IF(Y$210=0,0,Y208/Y$210)</f>
        <v>0.1875</v>
      </c>
      <c r="AA208" s="19"/>
      <c r="AB208" s="19"/>
      <c r="AC208" s="20"/>
      <c r="AE208" s="111"/>
      <c r="AF208" s="111"/>
      <c r="AG208" s="111"/>
      <c r="AH208" s="112"/>
      <c r="AI208" s="113"/>
      <c r="AK208" s="111"/>
      <c r="AL208" s="111"/>
      <c r="AM208" s="111"/>
      <c r="AN208" s="112"/>
      <c r="AO208" s="113"/>
      <c r="AQ208" s="17"/>
      <c r="AR208" s="17"/>
      <c r="AS208" s="17"/>
      <c r="AT208" s="18">
        <f t="shared" si="226"/>
        <v>0</v>
      </c>
      <c r="AU208" s="19">
        <f>IF(AT$210=0,0,AT208/AT$210)</f>
        <v>0</v>
      </c>
      <c r="AW208" s="17"/>
      <c r="AX208" s="17"/>
      <c r="AY208" s="17"/>
      <c r="AZ208" s="18">
        <f t="shared" si="227"/>
        <v>3</v>
      </c>
      <c r="BA208" s="19">
        <f>IF(AZ$210=0,0,AZ208/AZ$210)</f>
        <v>0.2</v>
      </c>
    </row>
    <row r="209" spans="1:53" ht="17.100000000000001" customHeight="1" x14ac:dyDescent="0.25">
      <c r="A209" s="40"/>
      <c r="B209" s="40"/>
      <c r="C209" s="40"/>
      <c r="D209" s="56" t="s">
        <v>746</v>
      </c>
      <c r="E209" s="147" t="s">
        <v>747</v>
      </c>
      <c r="F209" s="223"/>
      <c r="G209" s="223"/>
      <c r="H209" s="244"/>
      <c r="I209" s="238"/>
      <c r="J209" s="111"/>
      <c r="K209" s="111"/>
      <c r="L209" s="111"/>
      <c r="M209" s="111"/>
      <c r="N209" s="60"/>
      <c r="O209" s="60"/>
      <c r="P209" s="17">
        <f t="shared" si="228"/>
        <v>0</v>
      </c>
      <c r="Q209" s="60"/>
      <c r="R209" s="60"/>
      <c r="S209" s="17">
        <f t="shared" si="229"/>
        <v>0</v>
      </c>
      <c r="T209" s="60"/>
      <c r="U209" s="60"/>
      <c r="V209" s="17">
        <f t="shared" si="230"/>
        <v>0</v>
      </c>
      <c r="W209" s="391">
        <f t="shared" si="224"/>
        <v>0</v>
      </c>
      <c r="X209" s="17">
        <f t="shared" si="225"/>
        <v>0</v>
      </c>
      <c r="Y209" s="18">
        <f>SUM(W209:X209)</f>
        <v>0</v>
      </c>
      <c r="Z209" s="19">
        <f>IF(Y$210=0,0,Y209/Y$210)</f>
        <v>0</v>
      </c>
      <c r="AA209" s="19"/>
      <c r="AB209" s="19"/>
      <c r="AC209" s="20"/>
      <c r="AE209" s="111"/>
      <c r="AF209" s="111"/>
      <c r="AG209" s="111"/>
      <c r="AH209" s="112"/>
      <c r="AI209" s="113"/>
      <c r="AK209" s="111"/>
      <c r="AL209" s="111"/>
      <c r="AM209" s="111"/>
      <c r="AN209" s="112"/>
      <c r="AO209" s="113"/>
      <c r="AQ209" s="17"/>
      <c r="AR209" s="17"/>
      <c r="AS209" s="17"/>
      <c r="AT209" s="18">
        <f t="shared" si="226"/>
        <v>0</v>
      </c>
      <c r="AU209" s="19">
        <f>IF(AT$210=0,0,AT209/AT$210)</f>
        <v>0</v>
      </c>
      <c r="AW209" s="17"/>
      <c r="AX209" s="17"/>
      <c r="AY209" s="17"/>
      <c r="AZ209" s="18">
        <f t="shared" si="227"/>
        <v>0</v>
      </c>
      <c r="BA209" s="19">
        <f>IF(AZ$210=0,0,AZ209/AZ$210)</f>
        <v>0</v>
      </c>
    </row>
    <row r="210" spans="1:53" ht="17.100000000000001" customHeight="1" x14ac:dyDescent="0.25">
      <c r="A210" s="40"/>
      <c r="B210" s="40"/>
      <c r="C210" s="77"/>
      <c r="D210" s="144"/>
      <c r="E210" s="144"/>
      <c r="F210" s="145"/>
      <c r="G210" s="145"/>
      <c r="H210" s="119"/>
      <c r="I210" s="236"/>
      <c r="J210" s="80"/>
      <c r="K210" s="80"/>
      <c r="L210" s="81"/>
      <c r="M210" s="81"/>
      <c r="N210" s="81">
        <f>SUM(N206:N209)</f>
        <v>0</v>
      </c>
      <c r="O210" s="81">
        <f t="shared" ref="O210:V210" si="231">SUM(O206:O209)</f>
        <v>8</v>
      </c>
      <c r="P210" s="81">
        <f t="shared" si="231"/>
        <v>8</v>
      </c>
      <c r="Q210" s="81">
        <f t="shared" si="231"/>
        <v>1</v>
      </c>
      <c r="R210" s="81">
        <f t="shared" si="231"/>
        <v>7</v>
      </c>
      <c r="S210" s="81">
        <f t="shared" si="231"/>
        <v>8</v>
      </c>
      <c r="T210" s="81">
        <f t="shared" si="231"/>
        <v>0</v>
      </c>
      <c r="U210" s="81">
        <f t="shared" si="231"/>
        <v>0</v>
      </c>
      <c r="V210" s="81">
        <f t="shared" si="231"/>
        <v>0</v>
      </c>
      <c r="W210" s="381">
        <f>SUM(W206:W209)</f>
        <v>1</v>
      </c>
      <c r="X210" s="82">
        <f>SUM(X206:X209)</f>
        <v>15</v>
      </c>
      <c r="Y210" s="82">
        <f>SUM(Y206:Y209)</f>
        <v>16</v>
      </c>
      <c r="Z210" s="205">
        <f>IF(Y$210=0,0,Y210/Y$210)</f>
        <v>1</v>
      </c>
      <c r="AA210" s="205"/>
      <c r="AB210" s="205"/>
      <c r="AC210" s="83"/>
      <c r="AE210" s="80"/>
      <c r="AF210" s="80"/>
      <c r="AG210" s="81"/>
      <c r="AH210" s="82"/>
      <c r="AI210" s="66"/>
      <c r="AK210" s="80"/>
      <c r="AL210" s="80"/>
      <c r="AM210" s="81"/>
      <c r="AN210" s="82"/>
      <c r="AO210" s="66"/>
      <c r="AQ210" s="80"/>
      <c r="AR210" s="80"/>
      <c r="AS210" s="81"/>
      <c r="AT210" s="82">
        <f>SUM(AT206:AT209)</f>
        <v>1</v>
      </c>
      <c r="AU210" s="66">
        <f>IF(AT$210=0,0,AT210/AT$210)</f>
        <v>1</v>
      </c>
      <c r="AW210" s="80"/>
      <c r="AX210" s="80"/>
      <c r="AY210" s="81"/>
      <c r="AZ210" s="82">
        <f>SUM(AZ206:AZ209)</f>
        <v>15</v>
      </c>
      <c r="BA210" s="66">
        <f>IF(AZ$210=0,0,AZ210/AZ$210)</f>
        <v>1</v>
      </c>
    </row>
    <row r="211" spans="1:53" s="117" customFormat="1" ht="17.100000000000001" customHeight="1" x14ac:dyDescent="0.25">
      <c r="A211" s="68"/>
      <c r="B211" s="119"/>
      <c r="C211" s="540"/>
      <c r="D211" s="261"/>
      <c r="E211" s="261"/>
      <c r="F211" s="68"/>
      <c r="G211" s="68"/>
      <c r="H211" s="119"/>
      <c r="I211" s="138"/>
      <c r="J211" s="17"/>
      <c r="K211" s="17"/>
      <c r="L211" s="17"/>
      <c r="M211" s="17"/>
      <c r="N211" s="17" t="str">
        <f>IF(N210=N$20,"OK","NOK")</f>
        <v>OK</v>
      </c>
      <c r="O211" s="17" t="str">
        <f>IF(O210=O$20,"OK","NOK")</f>
        <v>OK</v>
      </c>
      <c r="P211" s="17"/>
      <c r="Q211" s="17" t="str">
        <f>IF(Q210=Q$20,"OK","NOK")</f>
        <v>OK</v>
      </c>
      <c r="R211" s="17" t="str">
        <f>IF(R210=R$20,"OK","NOK")</f>
        <v>OK</v>
      </c>
      <c r="S211" s="17"/>
      <c r="T211" s="17" t="str">
        <f>IF(T210=T$20,"OK","NOK")</f>
        <v>OK</v>
      </c>
      <c r="U211" s="17" t="str">
        <f>IF(U210=U$20,"OK","NOK")</f>
        <v>OK</v>
      </c>
      <c r="V211" s="359"/>
      <c r="W211" s="382"/>
      <c r="X211" s="539"/>
      <c r="Y211" s="539"/>
      <c r="Z211" s="201"/>
      <c r="AA211" s="201"/>
      <c r="AB211" s="201"/>
      <c r="AC211" s="84"/>
      <c r="AE211" s="46"/>
      <c r="AF211" s="46"/>
      <c r="AG211" s="17"/>
      <c r="AH211" s="539"/>
      <c r="AI211" s="91"/>
      <c r="AK211" s="46"/>
      <c r="AL211" s="46"/>
      <c r="AM211" s="17"/>
      <c r="AN211" s="539"/>
      <c r="AO211" s="91"/>
      <c r="AQ211" s="46"/>
      <c r="AR211" s="46"/>
      <c r="AS211" s="17"/>
      <c r="AT211" s="539"/>
      <c r="AU211" s="91"/>
      <c r="AW211" s="46"/>
      <c r="AX211" s="46"/>
      <c r="AY211" s="17"/>
      <c r="AZ211" s="539"/>
      <c r="BA211" s="91"/>
    </row>
    <row r="212" spans="1:53" ht="17.100000000000001" customHeight="1" x14ac:dyDescent="0.25">
      <c r="A212" s="68"/>
      <c r="B212" s="41" t="s">
        <v>635</v>
      </c>
      <c r="C212" s="69" t="s">
        <v>138</v>
      </c>
      <c r="D212" s="50"/>
      <c r="E212" s="70"/>
      <c r="F212" s="70"/>
      <c r="G212" s="70"/>
      <c r="H212" s="119"/>
      <c r="J212" s="71"/>
      <c r="K212" s="71"/>
      <c r="L212" s="71"/>
      <c r="M212" s="71"/>
      <c r="N212" s="71"/>
      <c r="O212" s="71"/>
      <c r="P212" s="71"/>
      <c r="Q212" s="71"/>
      <c r="R212" s="71"/>
      <c r="S212" s="71"/>
      <c r="T212" s="71"/>
      <c r="U212" s="71"/>
      <c r="V212" s="355"/>
      <c r="W212" s="377"/>
      <c r="X212" s="71"/>
      <c r="Y212" s="72"/>
      <c r="Z212" s="73"/>
      <c r="AA212" s="73"/>
      <c r="AB212" s="73"/>
      <c r="AC212" s="73"/>
      <c r="AE212" s="71"/>
      <c r="AF212" s="71"/>
      <c r="AG212" s="71"/>
      <c r="AH212" s="72"/>
      <c r="AI212" s="73"/>
      <c r="AK212" s="71"/>
      <c r="AL212" s="71"/>
      <c r="AM212" s="71"/>
      <c r="AN212" s="72"/>
      <c r="AO212" s="73"/>
      <c r="AQ212" s="71"/>
      <c r="AR212" s="71"/>
      <c r="AS212" s="71"/>
      <c r="AT212" s="72"/>
      <c r="AU212" s="73"/>
      <c r="AW212" s="71"/>
      <c r="AX212" s="71"/>
      <c r="AY212" s="71"/>
      <c r="AZ212" s="72"/>
      <c r="BA212" s="73"/>
    </row>
    <row r="213" spans="1:53" ht="17.100000000000001" customHeight="1" x14ac:dyDescent="0.25">
      <c r="A213" s="40"/>
      <c r="B213" s="40"/>
      <c r="C213" s="74" t="s">
        <v>636</v>
      </c>
      <c r="D213" s="542" t="s">
        <v>424</v>
      </c>
      <c r="E213" s="542"/>
      <c r="F213" s="542"/>
      <c r="G213" s="542"/>
      <c r="H213" s="243">
        <v>26</v>
      </c>
      <c r="I213" s="235"/>
      <c r="J213" s="111"/>
      <c r="K213" s="111"/>
      <c r="L213" s="111"/>
      <c r="M213" s="111"/>
      <c r="N213" s="111"/>
      <c r="O213" s="111"/>
      <c r="P213" s="111"/>
      <c r="Q213" s="111"/>
      <c r="R213" s="111"/>
      <c r="S213" s="111"/>
      <c r="T213" s="111"/>
      <c r="U213" s="111"/>
      <c r="V213" s="358"/>
      <c r="W213" s="380"/>
      <c r="X213" s="111"/>
      <c r="Y213" s="112"/>
      <c r="Z213" s="113"/>
      <c r="AA213" s="113"/>
      <c r="AB213" s="113"/>
      <c r="AC213" s="113"/>
      <c r="AE213" s="111"/>
      <c r="AF213" s="111"/>
      <c r="AG213" s="148"/>
      <c r="AH213" s="112"/>
      <c r="AI213" s="113"/>
      <c r="AK213" s="111"/>
      <c r="AL213" s="111"/>
      <c r="AM213" s="148"/>
      <c r="AN213" s="112"/>
      <c r="AO213" s="113"/>
      <c r="AQ213" s="111"/>
      <c r="AR213" s="111"/>
      <c r="AS213" s="148"/>
      <c r="AT213" s="112"/>
      <c r="AU213" s="113"/>
      <c r="AW213" s="111"/>
      <c r="AX213" s="111"/>
      <c r="AY213" s="148"/>
      <c r="AZ213" s="112"/>
      <c r="BA213" s="113"/>
    </row>
    <row r="214" spans="1:53" ht="17.100000000000001" customHeight="1" x14ac:dyDescent="0.25">
      <c r="A214" s="40"/>
      <c r="B214" s="40"/>
      <c r="C214" s="40"/>
      <c r="D214" s="74" t="s">
        <v>637</v>
      </c>
      <c r="E214" s="542" t="s">
        <v>9</v>
      </c>
      <c r="F214" s="542"/>
      <c r="G214" s="542"/>
      <c r="H214" s="540"/>
      <c r="I214" s="235"/>
      <c r="J214" s="583"/>
      <c r="K214" s="583"/>
      <c r="L214" s="584"/>
      <c r="M214" s="17">
        <f t="shared" ref="M214:M215" si="232">SUM(J214:L214)</f>
        <v>0</v>
      </c>
      <c r="N214" s="111"/>
      <c r="O214" s="111"/>
      <c r="P214" s="111"/>
      <c r="Q214" s="111"/>
      <c r="R214" s="111"/>
      <c r="S214" s="111"/>
      <c r="T214" s="111"/>
      <c r="U214" s="111"/>
      <c r="V214" s="358"/>
      <c r="W214" s="391">
        <f t="shared" ref="W214:W215" si="233">J214+K214+N214+Q214+T214</f>
        <v>0</v>
      </c>
      <c r="X214" s="17">
        <f t="shared" ref="X214:X215" si="234">L214+O214+R214+U214</f>
        <v>0</v>
      </c>
      <c r="Y214" s="18">
        <f>SUM(W214:X214)</f>
        <v>0</v>
      </c>
      <c r="Z214" s="19">
        <f>IF(Y$217=0,0,Y214/Y$217)</f>
        <v>0</v>
      </c>
      <c r="AA214" s="19"/>
      <c r="AB214" s="19"/>
      <c r="AC214" s="20"/>
      <c r="AE214" s="17"/>
      <c r="AF214" s="17"/>
      <c r="AG214" s="17"/>
      <c r="AH214" s="18">
        <f t="shared" ref="AH214:AH215" si="235">J214</f>
        <v>0</v>
      </c>
      <c r="AI214" s="19">
        <f>IF(AH$217=0,0,AH214/AH$217)</f>
        <v>0</v>
      </c>
      <c r="AK214" s="17"/>
      <c r="AL214" s="17"/>
      <c r="AM214" s="17"/>
      <c r="AN214" s="18">
        <f t="shared" ref="AN214:AN215" si="236">K214</f>
        <v>0</v>
      </c>
      <c r="AO214" s="19">
        <f>IF(AN$217=0,0,AN214/AN$217)</f>
        <v>0</v>
      </c>
      <c r="AQ214" s="17"/>
      <c r="AR214" s="17"/>
      <c r="AS214" s="17"/>
      <c r="AT214" s="18">
        <f t="shared" ref="AT214:AT215" si="237">W214</f>
        <v>0</v>
      </c>
      <c r="AU214" s="19">
        <f>IF(AT$217=0,0,AT214/AT$217)</f>
        <v>0</v>
      </c>
      <c r="AW214" s="17"/>
      <c r="AX214" s="17"/>
      <c r="AY214" s="17"/>
      <c r="AZ214" s="18">
        <f t="shared" ref="AZ214:AZ215" si="238">X214</f>
        <v>0</v>
      </c>
      <c r="BA214" s="19">
        <f>IF(AZ$217=0,0,AZ214/AZ$217)</f>
        <v>0</v>
      </c>
    </row>
    <row r="215" spans="1:53" ht="17.100000000000001" customHeight="1" x14ac:dyDescent="0.25">
      <c r="A215" s="40"/>
      <c r="B215" s="40"/>
      <c r="C215" s="40"/>
      <c r="D215" s="74" t="s">
        <v>638</v>
      </c>
      <c r="E215" s="542" t="s">
        <v>11</v>
      </c>
      <c r="F215" s="542"/>
      <c r="G215" s="542"/>
      <c r="H215" s="540"/>
      <c r="I215" s="235"/>
      <c r="J215" s="581"/>
      <c r="K215" s="581"/>
      <c r="L215" s="582"/>
      <c r="M215" s="17">
        <f t="shared" si="232"/>
        <v>0</v>
      </c>
      <c r="N215" s="111"/>
      <c r="O215" s="111"/>
      <c r="P215" s="111"/>
      <c r="Q215" s="111"/>
      <c r="R215" s="111"/>
      <c r="S215" s="111"/>
      <c r="T215" s="111"/>
      <c r="U215" s="111"/>
      <c r="V215" s="358"/>
      <c r="W215" s="391">
        <f t="shared" si="233"/>
        <v>0</v>
      </c>
      <c r="X215" s="17">
        <f t="shared" si="234"/>
        <v>0</v>
      </c>
      <c r="Y215" s="18">
        <f>SUM(W215:X215)</f>
        <v>0</v>
      </c>
      <c r="Z215" s="19">
        <f>IF(Y$217=0,0,Y215/Y$217)</f>
        <v>0</v>
      </c>
      <c r="AA215" s="19"/>
      <c r="AB215" s="19"/>
      <c r="AC215" s="20"/>
      <c r="AE215" s="17"/>
      <c r="AF215" s="17"/>
      <c r="AG215" s="17"/>
      <c r="AH215" s="18">
        <f t="shared" si="235"/>
        <v>0</v>
      </c>
      <c r="AI215" s="19">
        <f>IF(AH$217=0,0,AH215/AH$217)</f>
        <v>0</v>
      </c>
      <c r="AK215" s="17"/>
      <c r="AL215" s="17"/>
      <c r="AM215" s="17"/>
      <c r="AN215" s="18">
        <f t="shared" si="236"/>
        <v>0</v>
      </c>
      <c r="AO215" s="19">
        <f>IF(AN$217=0,0,AN215/AN$217)</f>
        <v>0</v>
      </c>
      <c r="AQ215" s="17"/>
      <c r="AR215" s="17"/>
      <c r="AS215" s="17"/>
      <c r="AT215" s="18">
        <f t="shared" si="237"/>
        <v>0</v>
      </c>
      <c r="AU215" s="19">
        <f>IF(AT$217=0,0,AT215/AT$217)</f>
        <v>0</v>
      </c>
      <c r="AW215" s="17"/>
      <c r="AX215" s="17"/>
      <c r="AY215" s="17"/>
      <c r="AZ215" s="18">
        <f t="shared" si="238"/>
        <v>0</v>
      </c>
      <c r="BA215" s="19">
        <f>IF(AZ$217=0,0,AZ215/AZ$217)</f>
        <v>0</v>
      </c>
    </row>
    <row r="216" spans="1:53" ht="17.100000000000001" customHeight="1" x14ac:dyDescent="0.25">
      <c r="A216" s="40"/>
      <c r="B216" s="40"/>
      <c r="C216" s="40"/>
      <c r="D216" s="74" t="s">
        <v>1436</v>
      </c>
      <c r="E216" s="147" t="s">
        <v>1435</v>
      </c>
      <c r="F216" s="923"/>
      <c r="G216" s="923"/>
      <c r="H216" s="922"/>
      <c r="I216" s="235"/>
      <c r="J216" s="583"/>
      <c r="K216" s="583"/>
      <c r="L216" s="584"/>
      <c r="M216" s="17">
        <f t="shared" ref="M216" si="239">SUM(J216:L216)</f>
        <v>0</v>
      </c>
      <c r="N216" s="111"/>
      <c r="O216" s="111"/>
      <c r="P216" s="111"/>
      <c r="Q216" s="111"/>
      <c r="R216" s="111"/>
      <c r="S216" s="111"/>
      <c r="T216" s="111"/>
      <c r="U216" s="111"/>
      <c r="V216" s="358"/>
      <c r="W216" s="391">
        <f t="shared" ref="W216" si="240">J216+K216+N216+Q216+T216</f>
        <v>0</v>
      </c>
      <c r="X216" s="17">
        <f t="shared" ref="X216" si="241">L216+O216+R216+U216</f>
        <v>0</v>
      </c>
      <c r="Y216" s="18">
        <f>SUM(W216:X216)</f>
        <v>0</v>
      </c>
      <c r="Z216" s="19">
        <f>IF(Y$217=0,0,Y216/Y$217)</f>
        <v>0</v>
      </c>
      <c r="AA216" s="19"/>
      <c r="AB216" s="19"/>
      <c r="AC216" s="20"/>
      <c r="AE216" s="17"/>
      <c r="AF216" s="17"/>
      <c r="AG216" s="17"/>
      <c r="AH216" s="18">
        <f t="shared" ref="AH216" si="242">J216</f>
        <v>0</v>
      </c>
      <c r="AI216" s="19">
        <f>IF(AH$217=0,0,AH216/AH$217)</f>
        <v>0</v>
      </c>
      <c r="AK216" s="17"/>
      <c r="AL216" s="17"/>
      <c r="AM216" s="17"/>
      <c r="AN216" s="18">
        <f t="shared" ref="AN216" si="243">K216</f>
        <v>0</v>
      </c>
      <c r="AO216" s="19">
        <f>IF(AN$217=0,0,AN216/AN$217)</f>
        <v>0</v>
      </c>
      <c r="AQ216" s="17"/>
      <c r="AR216" s="17"/>
      <c r="AS216" s="17"/>
      <c r="AT216" s="18">
        <f t="shared" ref="AT216" si="244">W216</f>
        <v>0</v>
      </c>
      <c r="AU216" s="19">
        <f>IF(AT$217=0,0,AT216/AT$217)</f>
        <v>0</v>
      </c>
      <c r="AW216" s="17"/>
      <c r="AX216" s="17"/>
      <c r="AY216" s="17"/>
      <c r="AZ216" s="18">
        <f t="shared" ref="AZ216" si="245">X216</f>
        <v>0</v>
      </c>
      <c r="BA216" s="19">
        <f>IF(AZ$217=0,0,AZ216/AZ$217)</f>
        <v>0</v>
      </c>
    </row>
    <row r="217" spans="1:53" ht="17.100000000000001" customHeight="1" x14ac:dyDescent="0.25">
      <c r="A217" s="40"/>
      <c r="B217" s="40"/>
      <c r="C217" s="77"/>
      <c r="D217" s="144"/>
      <c r="E217" s="144"/>
      <c r="F217" s="145"/>
      <c r="G217" s="145"/>
      <c r="H217" s="119"/>
      <c r="I217" s="236"/>
      <c r="J217" s="80">
        <f>SUM(J214:J216)</f>
        <v>0</v>
      </c>
      <c r="K217" s="80">
        <f t="shared" ref="K217:L217" si="246">SUM(K214:K216)</f>
        <v>0</v>
      </c>
      <c r="L217" s="80">
        <f t="shared" si="246"/>
        <v>0</v>
      </c>
      <c r="M217" s="80">
        <f t="shared" ref="M217" si="247">SUM(M214:M215)</f>
        <v>0</v>
      </c>
      <c r="N217" s="81"/>
      <c r="O217" s="81"/>
      <c r="P217" s="81"/>
      <c r="Q217" s="81"/>
      <c r="R217" s="81"/>
      <c r="S217" s="81"/>
      <c r="T217" s="81"/>
      <c r="U217" s="81"/>
      <c r="V217" s="356"/>
      <c r="W217" s="381">
        <f>SUM(W214:W216)</f>
        <v>0</v>
      </c>
      <c r="X217" s="224">
        <f t="shared" ref="X217" si="248">SUM(X214:X216)</f>
        <v>0</v>
      </c>
      <c r="Y217" s="224">
        <f t="shared" ref="Y217" si="249">SUM(Y214:Y216)</f>
        <v>0</v>
      </c>
      <c r="Z217" s="205">
        <f>IF(Y$217=0,0,Y217/Y$217)</f>
        <v>0</v>
      </c>
      <c r="AA217" s="205"/>
      <c r="AB217" s="205"/>
      <c r="AC217" s="83"/>
      <c r="AE217" s="80"/>
      <c r="AF217" s="80"/>
      <c r="AG217" s="81"/>
      <c r="AH217" s="224">
        <f t="shared" ref="AH217" si="250">SUM(AH214:AH216)</f>
        <v>0</v>
      </c>
      <c r="AI217" s="66">
        <f>IF(AH$217=0,0,AH217/AH$217)</f>
        <v>0</v>
      </c>
      <c r="AK217" s="80"/>
      <c r="AL217" s="80"/>
      <c r="AM217" s="81"/>
      <c r="AN217" s="224">
        <f t="shared" ref="AN217" si="251">SUM(AN214:AN216)</f>
        <v>0</v>
      </c>
      <c r="AO217" s="66">
        <f>IF(AN$217=0,0,AN217/AN$217)</f>
        <v>0</v>
      </c>
      <c r="AQ217" s="80"/>
      <c r="AR217" s="80"/>
      <c r="AS217" s="81"/>
      <c r="AT217" s="224">
        <f t="shared" ref="AT217" si="252">SUM(AT214:AT216)</f>
        <v>0</v>
      </c>
      <c r="AU217" s="66">
        <f>IF(AT$217=0,0,AT217/AT$217)</f>
        <v>0</v>
      </c>
      <c r="AW217" s="80"/>
      <c r="AX217" s="80"/>
      <c r="AY217" s="81"/>
      <c r="AZ217" s="224">
        <f t="shared" ref="AZ217" si="253">SUM(AZ214:AZ216)</f>
        <v>0</v>
      </c>
      <c r="BA217" s="66">
        <f>IF(AZ$217=0,0,AZ217/AZ$217)</f>
        <v>0</v>
      </c>
    </row>
    <row r="218" spans="1:53" s="117" customFormat="1" ht="17.100000000000001" customHeight="1" x14ac:dyDescent="0.25">
      <c r="A218" s="68"/>
      <c r="B218" s="119"/>
      <c r="C218" s="540"/>
      <c r="D218" s="261"/>
      <c r="E218" s="261"/>
      <c r="F218" s="68"/>
      <c r="G218" s="68"/>
      <c r="H218" s="119"/>
      <c r="I218" s="138"/>
      <c r="J218" s="17" t="str">
        <f>IF(J217=J$15,"OK","NOK")</f>
        <v>OK</v>
      </c>
      <c r="K218" s="17" t="str">
        <f t="shared" ref="K218:L218" si="254">IF(K217=K$15,"OK","NOK")</f>
        <v>OK</v>
      </c>
      <c r="L218" s="17" t="str">
        <f t="shared" si="254"/>
        <v>OK</v>
      </c>
      <c r="M218" s="17"/>
      <c r="N218" s="17"/>
      <c r="O218" s="17"/>
      <c r="P218" s="17"/>
      <c r="Q218" s="17"/>
      <c r="R218" s="17"/>
      <c r="S218" s="17"/>
      <c r="T218" s="17"/>
      <c r="U218" s="17"/>
      <c r="V218" s="359"/>
      <c r="W218" s="382"/>
      <c r="X218" s="539"/>
      <c r="Y218" s="539"/>
      <c r="Z218" s="201"/>
      <c r="AA218" s="201"/>
      <c r="AB218" s="201"/>
      <c r="AC218" s="84"/>
      <c r="AE218" s="46"/>
      <c r="AF218" s="46"/>
      <c r="AG218" s="17"/>
      <c r="AH218" s="539"/>
      <c r="AI218" s="91"/>
      <c r="AK218" s="46"/>
      <c r="AL218" s="46"/>
      <c r="AM218" s="17"/>
      <c r="AN218" s="539"/>
      <c r="AO218" s="91"/>
      <c r="AQ218" s="46"/>
      <c r="AR218" s="46"/>
      <c r="AS218" s="17"/>
      <c r="AT218" s="539"/>
      <c r="AU218" s="91"/>
      <c r="AW218" s="46"/>
      <c r="AX218" s="46"/>
      <c r="AY218" s="17"/>
      <c r="AZ218" s="539"/>
      <c r="BA218" s="91"/>
    </row>
    <row r="219" spans="1:53" ht="17.100000000000001" customHeight="1" x14ac:dyDescent="0.25">
      <c r="A219" s="40"/>
      <c r="B219" s="40"/>
      <c r="C219" s="74" t="s">
        <v>639</v>
      </c>
      <c r="D219" s="542" t="s">
        <v>359</v>
      </c>
      <c r="E219" s="542"/>
      <c r="F219" s="542"/>
      <c r="G219" s="542"/>
      <c r="H219" s="243">
        <v>9</v>
      </c>
      <c r="I219" s="235"/>
      <c r="J219" s="111"/>
      <c r="K219" s="111"/>
      <c r="L219" s="111"/>
      <c r="M219" s="111"/>
      <c r="N219" s="111"/>
      <c r="O219" s="111"/>
      <c r="P219" s="111"/>
      <c r="Q219" s="111"/>
      <c r="R219" s="111"/>
      <c r="S219" s="111"/>
      <c r="T219" s="111"/>
      <c r="U219" s="111"/>
      <c r="V219" s="358"/>
      <c r="W219" s="380"/>
      <c r="X219" s="111"/>
      <c r="Y219" s="112"/>
      <c r="Z219" s="113"/>
      <c r="AA219" s="113"/>
      <c r="AB219" s="113"/>
      <c r="AC219" s="113"/>
      <c r="AE219" s="111"/>
      <c r="AF219" s="111"/>
      <c r="AG219" s="148"/>
      <c r="AH219" s="112"/>
      <c r="AI219" s="113"/>
      <c r="AK219" s="111"/>
      <c r="AL219" s="111"/>
      <c r="AM219" s="148"/>
      <c r="AN219" s="112"/>
      <c r="AO219" s="113"/>
      <c r="AQ219" s="111"/>
      <c r="AR219" s="111"/>
      <c r="AS219" s="148"/>
      <c r="AT219" s="112"/>
      <c r="AU219" s="113"/>
      <c r="AW219" s="111"/>
      <c r="AX219" s="111"/>
      <c r="AY219" s="148"/>
      <c r="AZ219" s="112"/>
      <c r="BA219" s="113"/>
    </row>
    <row r="220" spans="1:53" ht="17.100000000000001" customHeight="1" x14ac:dyDescent="0.25">
      <c r="A220" s="40"/>
      <c r="B220" s="40"/>
      <c r="C220" s="40"/>
      <c r="D220" s="74" t="s">
        <v>640</v>
      </c>
      <c r="E220" s="542" t="s">
        <v>11</v>
      </c>
      <c r="F220" s="542"/>
      <c r="G220" s="542"/>
      <c r="H220" s="540"/>
      <c r="I220" s="235"/>
      <c r="J220" s="581"/>
      <c r="K220" s="581"/>
      <c r="L220" s="582"/>
      <c r="M220" s="17">
        <f t="shared" ref="M220:M221" si="255">SUM(J220:L220)</f>
        <v>0</v>
      </c>
      <c r="N220" s="111"/>
      <c r="O220" s="111"/>
      <c r="P220" s="111"/>
      <c r="Q220" s="111"/>
      <c r="R220" s="111"/>
      <c r="S220" s="111"/>
      <c r="T220" s="111"/>
      <c r="U220" s="111"/>
      <c r="V220" s="358"/>
      <c r="W220" s="391">
        <f t="shared" ref="W220:W221" si="256">J220+K220+N220+Q220+T220</f>
        <v>0</v>
      </c>
      <c r="X220" s="17">
        <f t="shared" ref="X220:X221" si="257">L220+O220+R220+U220</f>
        <v>0</v>
      </c>
      <c r="Y220" s="18">
        <f>SUM(W220:X220)</f>
        <v>0</v>
      </c>
      <c r="Z220" s="19">
        <f>IF(Y$223=0,0,Y220/Y$223)</f>
        <v>0</v>
      </c>
      <c r="AA220" s="19"/>
      <c r="AB220" s="19"/>
      <c r="AC220" s="20"/>
      <c r="AE220" s="17"/>
      <c r="AF220" s="17"/>
      <c r="AG220" s="17"/>
      <c r="AH220" s="18">
        <f t="shared" ref="AH220:AH221" si="258">J220</f>
        <v>0</v>
      </c>
      <c r="AI220" s="19">
        <f>IF(AH$223=0,0,AH220/AH$223)</f>
        <v>0</v>
      </c>
      <c r="AK220" s="17"/>
      <c r="AL220" s="17"/>
      <c r="AM220" s="17"/>
      <c r="AN220" s="18">
        <f t="shared" ref="AN220:AN221" si="259">K220</f>
        <v>0</v>
      </c>
      <c r="AO220" s="19">
        <f>IF(AN$223=0,0,AN220/AN$223)</f>
        <v>0</v>
      </c>
      <c r="AQ220" s="17"/>
      <c r="AR220" s="17"/>
      <c r="AS220" s="17"/>
      <c r="AT220" s="18">
        <f t="shared" ref="AT220:AT221" si="260">W220</f>
        <v>0</v>
      </c>
      <c r="AU220" s="19">
        <f>IF(AT$223=0,0,AT220/AT$223)</f>
        <v>0</v>
      </c>
      <c r="AW220" s="17"/>
      <c r="AX220" s="17"/>
      <c r="AY220" s="17"/>
      <c r="AZ220" s="18">
        <f t="shared" ref="AZ220:AZ221" si="261">X220</f>
        <v>0</v>
      </c>
      <c r="BA220" s="19">
        <f>IF(AZ$223=0,0,AZ220/AZ$223)</f>
        <v>0</v>
      </c>
    </row>
    <row r="221" spans="1:53" ht="17.100000000000001" customHeight="1" x14ac:dyDescent="0.25">
      <c r="A221" s="40"/>
      <c r="B221" s="40"/>
      <c r="C221" s="40"/>
      <c r="D221" s="74" t="s">
        <v>641</v>
      </c>
      <c r="E221" s="542" t="s">
        <v>9</v>
      </c>
      <c r="F221" s="542"/>
      <c r="G221" s="542"/>
      <c r="H221" s="540"/>
      <c r="I221" s="235"/>
      <c r="J221" s="583"/>
      <c r="K221" s="583"/>
      <c r="L221" s="584"/>
      <c r="M221" s="17">
        <f t="shared" si="255"/>
        <v>0</v>
      </c>
      <c r="N221" s="111"/>
      <c r="O221" s="111"/>
      <c r="P221" s="111"/>
      <c r="Q221" s="111"/>
      <c r="R221" s="111"/>
      <c r="S221" s="111"/>
      <c r="T221" s="111"/>
      <c r="U221" s="111"/>
      <c r="V221" s="358"/>
      <c r="W221" s="391">
        <f t="shared" si="256"/>
        <v>0</v>
      </c>
      <c r="X221" s="17">
        <f t="shared" si="257"/>
        <v>0</v>
      </c>
      <c r="Y221" s="18">
        <f>SUM(W221:X221)</f>
        <v>0</v>
      </c>
      <c r="Z221" s="19">
        <f>IF(Y$223=0,0,Y221/Y$223)</f>
        <v>0</v>
      </c>
      <c r="AA221" s="19"/>
      <c r="AB221" s="19"/>
      <c r="AC221" s="20"/>
      <c r="AE221" s="17"/>
      <c r="AF221" s="17"/>
      <c r="AG221" s="17"/>
      <c r="AH221" s="18">
        <f t="shared" si="258"/>
        <v>0</v>
      </c>
      <c r="AI221" s="19">
        <f>IF(AH$223=0,0,AH221/AH$223)</f>
        <v>0</v>
      </c>
      <c r="AK221" s="17"/>
      <c r="AL221" s="17"/>
      <c r="AM221" s="17"/>
      <c r="AN221" s="18">
        <f t="shared" si="259"/>
        <v>0</v>
      </c>
      <c r="AO221" s="19">
        <f>IF(AN$223=0,0,AN221/AN$223)</f>
        <v>0</v>
      </c>
      <c r="AQ221" s="17"/>
      <c r="AR221" s="17"/>
      <c r="AS221" s="17"/>
      <c r="AT221" s="18">
        <f t="shared" si="260"/>
        <v>0</v>
      </c>
      <c r="AU221" s="19">
        <f>IF(AT$223=0,0,AT221/AT$223)</f>
        <v>0</v>
      </c>
      <c r="AW221" s="17"/>
      <c r="AX221" s="17"/>
      <c r="AY221" s="17"/>
      <c r="AZ221" s="18">
        <f t="shared" si="261"/>
        <v>0</v>
      </c>
      <c r="BA221" s="19">
        <f>IF(AZ$223=0,0,AZ221/AZ$223)</f>
        <v>0</v>
      </c>
    </row>
    <row r="222" spans="1:53" ht="17.100000000000001" customHeight="1" x14ac:dyDescent="0.25">
      <c r="A222" s="40"/>
      <c r="B222" s="40"/>
      <c r="C222" s="40"/>
      <c r="D222" s="74" t="s">
        <v>1437</v>
      </c>
      <c r="E222" s="147" t="s">
        <v>1435</v>
      </c>
      <c r="F222" s="923"/>
      <c r="G222" s="923"/>
      <c r="H222" s="922"/>
      <c r="I222" s="235"/>
      <c r="J222" s="581"/>
      <c r="K222" s="581"/>
      <c r="L222" s="582"/>
      <c r="M222" s="17">
        <f t="shared" ref="M222" si="262">SUM(J222:L222)</f>
        <v>0</v>
      </c>
      <c r="N222" s="111"/>
      <c r="O222" s="111"/>
      <c r="P222" s="111"/>
      <c r="Q222" s="111"/>
      <c r="R222" s="111"/>
      <c r="S222" s="111"/>
      <c r="T222" s="111"/>
      <c r="U222" s="111"/>
      <c r="V222" s="358"/>
      <c r="W222" s="391">
        <f t="shared" ref="W222" si="263">J222+K222+N222+Q222+T222</f>
        <v>0</v>
      </c>
      <c r="X222" s="17">
        <f t="shared" ref="X222" si="264">L222+O222+R222+U222</f>
        <v>0</v>
      </c>
      <c r="Y222" s="18">
        <f>SUM(W222:X222)</f>
        <v>0</v>
      </c>
      <c r="Z222" s="19">
        <f>IF(Y$223=0,0,Y222/Y$223)</f>
        <v>0</v>
      </c>
      <c r="AA222" s="19"/>
      <c r="AB222" s="19"/>
      <c r="AC222" s="20"/>
      <c r="AE222" s="17"/>
      <c r="AF222" s="17"/>
      <c r="AG222" s="17"/>
      <c r="AH222" s="18">
        <f t="shared" ref="AH222" si="265">J222</f>
        <v>0</v>
      </c>
      <c r="AI222" s="19">
        <f>IF(AH$223=0,0,AH222/AH$223)</f>
        <v>0</v>
      </c>
      <c r="AK222" s="17"/>
      <c r="AL222" s="17"/>
      <c r="AM222" s="17"/>
      <c r="AN222" s="18">
        <f t="shared" ref="AN222" si="266">K222</f>
        <v>0</v>
      </c>
      <c r="AO222" s="19">
        <f>IF(AN$223=0,0,AN222/AN$223)</f>
        <v>0</v>
      </c>
      <c r="AQ222" s="17"/>
      <c r="AR222" s="17"/>
      <c r="AS222" s="17"/>
      <c r="AT222" s="18">
        <f t="shared" ref="AT222" si="267">W222</f>
        <v>0</v>
      </c>
      <c r="AU222" s="19">
        <f>IF(AT$223=0,0,AT222/AT$223)</f>
        <v>0</v>
      </c>
      <c r="AW222" s="17"/>
      <c r="AX222" s="17"/>
      <c r="AY222" s="17"/>
      <c r="AZ222" s="18">
        <f t="shared" ref="AZ222" si="268">X222</f>
        <v>0</v>
      </c>
      <c r="BA222" s="19">
        <f>IF(AZ$223=0,0,AZ222/AZ$223)</f>
        <v>0</v>
      </c>
    </row>
    <row r="223" spans="1:53" ht="17.100000000000001" customHeight="1" x14ac:dyDescent="0.25">
      <c r="A223" s="40"/>
      <c r="B223" s="40"/>
      <c r="C223" s="77"/>
      <c r="D223" s="144"/>
      <c r="E223" s="144"/>
      <c r="F223" s="145"/>
      <c r="G223" s="145"/>
      <c r="H223" s="119"/>
      <c r="I223" s="236"/>
      <c r="J223" s="80">
        <f>SUM(J220:J222)</f>
        <v>0</v>
      </c>
      <c r="K223" s="80">
        <f t="shared" ref="K223" si="269">SUM(K220:K222)</f>
        <v>0</v>
      </c>
      <c r="L223" s="80">
        <f t="shared" ref="L223" si="270">SUM(L220:L222)</f>
        <v>0</v>
      </c>
      <c r="M223" s="80">
        <f t="shared" ref="M223" si="271">SUM(M220:M221)</f>
        <v>0</v>
      </c>
      <c r="N223" s="81"/>
      <c r="O223" s="81"/>
      <c r="P223" s="81"/>
      <c r="Q223" s="81"/>
      <c r="R223" s="81"/>
      <c r="S223" s="81"/>
      <c r="T223" s="81"/>
      <c r="U223" s="81"/>
      <c r="V223" s="356"/>
      <c r="W223" s="381">
        <f>SUM(W220:W222)</f>
        <v>0</v>
      </c>
      <c r="X223" s="224">
        <f t="shared" ref="X223" si="272">SUM(X220:X222)</f>
        <v>0</v>
      </c>
      <c r="Y223" s="224">
        <f t="shared" ref="Y223" si="273">SUM(Y220:Y222)</f>
        <v>0</v>
      </c>
      <c r="Z223" s="205">
        <f>IF(Y$223=0,0,Y223/Y$223)</f>
        <v>0</v>
      </c>
      <c r="AA223" s="205"/>
      <c r="AB223" s="205"/>
      <c r="AC223" s="83"/>
      <c r="AE223" s="80"/>
      <c r="AF223" s="80"/>
      <c r="AG223" s="81"/>
      <c r="AH223" s="224">
        <f t="shared" ref="AH223" si="274">SUM(AH220:AH222)</f>
        <v>0</v>
      </c>
      <c r="AI223" s="66">
        <f>IF(AH$223=0,0,AH223/AH$223)</f>
        <v>0</v>
      </c>
      <c r="AK223" s="80"/>
      <c r="AL223" s="80"/>
      <c r="AM223" s="81"/>
      <c r="AN223" s="224">
        <f t="shared" ref="AN223" si="275">SUM(AN220:AN222)</f>
        <v>0</v>
      </c>
      <c r="AO223" s="66">
        <f>IF(AN$223=0,0,AN223/AN$223)</f>
        <v>0</v>
      </c>
      <c r="AQ223" s="80"/>
      <c r="AR223" s="80"/>
      <c r="AS223" s="81"/>
      <c r="AT223" s="224">
        <f t="shared" ref="AT223" si="276">SUM(AT220:AT222)</f>
        <v>0</v>
      </c>
      <c r="AU223" s="66">
        <f>IF(AT$223=0,0,AT223/AT$223)</f>
        <v>0</v>
      </c>
      <c r="AW223" s="80"/>
      <c r="AX223" s="80"/>
      <c r="AY223" s="81"/>
      <c r="AZ223" s="224">
        <f t="shared" ref="AZ223" si="277">SUM(AZ220:AZ222)</f>
        <v>0</v>
      </c>
      <c r="BA223" s="66">
        <f>IF(AZ$223=0,0,AZ223/AZ$223)</f>
        <v>0</v>
      </c>
    </row>
    <row r="224" spans="1:53" s="117" customFormat="1" ht="17.100000000000001" customHeight="1" x14ac:dyDescent="0.25">
      <c r="A224" s="68"/>
      <c r="B224" s="119"/>
      <c r="C224" s="540"/>
      <c r="D224" s="261"/>
      <c r="E224" s="261"/>
      <c r="F224" s="68"/>
      <c r="G224" s="68"/>
      <c r="H224" s="119"/>
      <c r="I224" s="236"/>
      <c r="J224" s="17" t="str">
        <f>IF(J223=J$15,"OK","NOK")</f>
        <v>OK</v>
      </c>
      <c r="K224" s="17" t="str">
        <f t="shared" ref="K224:L224" si="278">IF(K223=K$15,"OK","NOK")</f>
        <v>OK</v>
      </c>
      <c r="L224" s="17" t="str">
        <f t="shared" si="278"/>
        <v>OK</v>
      </c>
      <c r="M224" s="17"/>
      <c r="N224" s="17"/>
      <c r="O224" s="17"/>
      <c r="P224" s="17"/>
      <c r="Q224" s="17"/>
      <c r="R224" s="17"/>
      <c r="S224" s="17"/>
      <c r="T224" s="17"/>
      <c r="U224" s="17"/>
      <c r="V224" s="359"/>
      <c r="W224" s="382"/>
      <c r="X224" s="539"/>
      <c r="Y224" s="539"/>
      <c r="Z224" s="201"/>
      <c r="AA224" s="201"/>
      <c r="AB224" s="201"/>
      <c r="AC224" s="84"/>
      <c r="AE224" s="46"/>
      <c r="AF224" s="46"/>
      <c r="AG224" s="17"/>
      <c r="AH224" s="539"/>
      <c r="AI224" s="91"/>
      <c r="AK224" s="46"/>
      <c r="AL224" s="46"/>
      <c r="AM224" s="17"/>
      <c r="AN224" s="539"/>
      <c r="AO224" s="91"/>
      <c r="AQ224" s="46"/>
      <c r="AR224" s="46"/>
      <c r="AS224" s="17"/>
      <c r="AT224" s="539"/>
      <c r="AU224" s="91"/>
      <c r="AW224" s="46"/>
      <c r="AX224" s="46"/>
      <c r="AY224" s="17"/>
      <c r="AZ224" s="539"/>
      <c r="BA224" s="91"/>
    </row>
    <row r="225" spans="1:53" ht="17.100000000000001" customHeight="1" x14ac:dyDescent="0.25">
      <c r="A225" s="333"/>
      <c r="B225" s="137"/>
      <c r="C225" s="74" t="s">
        <v>642</v>
      </c>
      <c r="D225" s="147" t="s">
        <v>425</v>
      </c>
      <c r="E225" s="105"/>
      <c r="F225" s="105"/>
      <c r="G225" s="105"/>
      <c r="H225" s="243">
        <v>15</v>
      </c>
      <c r="I225" s="236"/>
      <c r="J225" s="111"/>
      <c r="K225" s="111"/>
      <c r="L225" s="111"/>
      <c r="M225" s="111"/>
      <c r="N225" s="111"/>
      <c r="O225" s="111"/>
      <c r="P225" s="111"/>
      <c r="Q225" s="111"/>
      <c r="R225" s="111"/>
      <c r="S225" s="111"/>
      <c r="T225" s="111"/>
      <c r="U225" s="111"/>
      <c r="V225" s="358"/>
      <c r="W225" s="380"/>
      <c r="X225" s="111"/>
      <c r="Y225" s="112"/>
      <c r="Z225" s="113"/>
      <c r="AA225" s="113"/>
      <c r="AB225" s="113"/>
      <c r="AC225" s="113"/>
      <c r="AE225" s="71"/>
      <c r="AF225" s="71"/>
      <c r="AG225" s="71"/>
      <c r="AH225" s="72"/>
      <c r="AI225" s="73"/>
      <c r="AK225" s="71"/>
      <c r="AL225" s="71"/>
      <c r="AM225" s="71"/>
      <c r="AN225" s="72"/>
      <c r="AO225" s="73"/>
      <c r="AQ225" s="71"/>
      <c r="AR225" s="71"/>
      <c r="AS225" s="71"/>
      <c r="AT225" s="72"/>
      <c r="AU225" s="73"/>
      <c r="AW225" s="71"/>
      <c r="AX225" s="71"/>
      <c r="AY225" s="71"/>
      <c r="AZ225" s="72"/>
      <c r="BA225" s="73"/>
    </row>
    <row r="226" spans="1:53" ht="17.100000000000001" customHeight="1" x14ac:dyDescent="0.25">
      <c r="A226" s="137"/>
      <c r="B226" s="137"/>
      <c r="C226" s="40"/>
      <c r="D226" s="74" t="s">
        <v>643</v>
      </c>
      <c r="E226" s="542" t="s">
        <v>11</v>
      </c>
      <c r="F226" s="75"/>
      <c r="G226" s="75"/>
      <c r="H226" s="540"/>
      <c r="I226" s="236"/>
      <c r="J226" s="111"/>
      <c r="K226" s="111"/>
      <c r="L226" s="111"/>
      <c r="M226" s="111"/>
      <c r="N226" s="60"/>
      <c r="O226" s="60"/>
      <c r="P226" s="60"/>
      <c r="Q226" s="111"/>
      <c r="R226" s="111"/>
      <c r="S226" s="111"/>
      <c r="T226" s="111"/>
      <c r="U226" s="111"/>
      <c r="V226" s="358"/>
      <c r="W226" s="391">
        <f t="shared" ref="W226:W227" si="279">J226+K226+N226+Q226+T226</f>
        <v>0</v>
      </c>
      <c r="X226" s="17">
        <f t="shared" ref="X226:X227" si="280">L226+O226+R226+U226</f>
        <v>0</v>
      </c>
      <c r="Y226" s="18">
        <f>SUM(W226:X226)</f>
        <v>0</v>
      </c>
      <c r="Z226" s="19">
        <f>IF(Y$228=0,0,Y226/Y$228)</f>
        <v>0</v>
      </c>
      <c r="AA226" s="19"/>
      <c r="AB226" s="19"/>
      <c r="AC226" s="20"/>
      <c r="AE226" s="17"/>
      <c r="AF226" s="17"/>
      <c r="AG226" s="17"/>
      <c r="AH226" s="18">
        <f>W226</f>
        <v>0</v>
      </c>
      <c r="AI226" s="19">
        <f>IF(AH$228=0,0,AH226/AH$228)</f>
        <v>0</v>
      </c>
      <c r="AK226" s="17"/>
      <c r="AL226" s="17"/>
      <c r="AM226" s="17"/>
      <c r="AN226" s="18" t="e">
        <f>#REF!</f>
        <v>#REF!</v>
      </c>
      <c r="AO226" s="19" t="e">
        <f>IF(AN$228=0,0,AN226/AN$228)</f>
        <v>#REF!</v>
      </c>
      <c r="AQ226" s="17"/>
      <c r="AR226" s="17"/>
      <c r="AS226" s="17"/>
      <c r="AT226" s="18"/>
      <c r="AU226" s="19"/>
      <c r="AW226" s="17"/>
      <c r="AX226" s="17"/>
      <c r="AY226" s="17"/>
      <c r="AZ226" s="18">
        <f>X226</f>
        <v>0</v>
      </c>
      <c r="BA226" s="19">
        <f>IF(AZ$228=0,0,AZ226/AZ$228)</f>
        <v>0</v>
      </c>
    </row>
    <row r="227" spans="1:53" ht="17.100000000000001" customHeight="1" x14ac:dyDescent="0.25">
      <c r="A227" s="137"/>
      <c r="B227" s="137"/>
      <c r="C227" s="40"/>
      <c r="D227" s="74" t="s">
        <v>644</v>
      </c>
      <c r="E227" s="542" t="s">
        <v>9</v>
      </c>
      <c r="F227" s="75"/>
      <c r="G227" s="75"/>
      <c r="H227" s="540"/>
      <c r="I227" s="229"/>
      <c r="J227" s="111"/>
      <c r="K227" s="111"/>
      <c r="L227" s="111"/>
      <c r="M227" s="111"/>
      <c r="N227" s="61"/>
      <c r="O227" s="61"/>
      <c r="P227" s="61"/>
      <c r="Q227" s="111"/>
      <c r="R227" s="111"/>
      <c r="S227" s="111"/>
      <c r="T227" s="111"/>
      <c r="U227" s="111"/>
      <c r="V227" s="358"/>
      <c r="W227" s="391">
        <f t="shared" si="279"/>
        <v>0</v>
      </c>
      <c r="X227" s="17">
        <f t="shared" si="280"/>
        <v>0</v>
      </c>
      <c r="Y227" s="18">
        <f>SUM(W227:X227)</f>
        <v>0</v>
      </c>
      <c r="Z227" s="19">
        <f>IF(Y$228=0,0,Y227/Y$228)</f>
        <v>0</v>
      </c>
      <c r="AA227" s="19"/>
      <c r="AB227" s="19"/>
      <c r="AC227" s="20"/>
      <c r="AE227" s="17"/>
      <c r="AF227" s="17"/>
      <c r="AG227" s="17"/>
      <c r="AH227" s="18">
        <f>W227</f>
        <v>0</v>
      </c>
      <c r="AI227" s="19">
        <f>IF(AH$228=0,0,AH227/AH$228)</f>
        <v>0</v>
      </c>
      <c r="AK227" s="17"/>
      <c r="AL227" s="17"/>
      <c r="AM227" s="17"/>
      <c r="AN227" s="18" t="e">
        <f>#REF!</f>
        <v>#REF!</v>
      </c>
      <c r="AO227" s="19" t="e">
        <f>IF(AN$228=0,0,AN227/AN$228)</f>
        <v>#REF!</v>
      </c>
      <c r="AQ227" s="17"/>
      <c r="AR227" s="17"/>
      <c r="AS227" s="17"/>
      <c r="AT227" s="18"/>
      <c r="AU227" s="19"/>
      <c r="AW227" s="17"/>
      <c r="AX227" s="17"/>
      <c r="AY227" s="17"/>
      <c r="AZ227" s="18">
        <f>X227</f>
        <v>0</v>
      </c>
      <c r="BA227" s="19">
        <f>IF(AZ$228=0,0,AZ227/AZ$228)</f>
        <v>0</v>
      </c>
    </row>
    <row r="228" spans="1:53" ht="17.100000000000001" customHeight="1" x14ac:dyDescent="0.25">
      <c r="A228" s="137"/>
      <c r="B228" s="137"/>
      <c r="C228" s="77"/>
      <c r="D228" s="144"/>
      <c r="E228" s="144"/>
      <c r="F228" s="145"/>
      <c r="G228" s="145"/>
      <c r="H228" s="119"/>
      <c r="I228" s="236"/>
      <c r="J228" s="64"/>
      <c r="K228" s="80"/>
      <c r="L228" s="81"/>
      <c r="M228" s="81"/>
      <c r="N228" s="81"/>
      <c r="O228" s="81"/>
      <c r="P228" s="81"/>
      <c r="Q228" s="81"/>
      <c r="R228" s="81"/>
      <c r="S228" s="81"/>
      <c r="T228" s="81"/>
      <c r="U228" s="81"/>
      <c r="V228" s="356"/>
      <c r="W228" s="381">
        <f>SUM(W226:W227)</f>
        <v>0</v>
      </c>
      <c r="X228" s="82">
        <f t="shared" ref="X228:Y228" si="281">SUM(X226:X227)</f>
        <v>0</v>
      </c>
      <c r="Y228" s="82">
        <f t="shared" si="281"/>
        <v>0</v>
      </c>
      <c r="Z228" s="205">
        <f>IF(Y$228=0,0,Y228/Y$228)</f>
        <v>0</v>
      </c>
      <c r="AA228" s="205"/>
      <c r="AB228" s="205"/>
      <c r="AC228" s="83"/>
      <c r="AE228" s="80"/>
      <c r="AF228" s="80"/>
      <c r="AG228" s="81"/>
      <c r="AH228" s="82">
        <f>SUM(AH226:AH227)</f>
        <v>0</v>
      </c>
      <c r="AI228" s="66">
        <f>IF(AH$228=0,0,AH228/AH$228)</f>
        <v>0</v>
      </c>
      <c r="AK228" s="80"/>
      <c r="AL228" s="80"/>
      <c r="AM228" s="81"/>
      <c r="AN228" s="82" t="e">
        <f>SUM(AN226:AN227)</f>
        <v>#REF!</v>
      </c>
      <c r="AO228" s="66" t="e">
        <f>IF(AN$228=0,0,AN228/AN$228)</f>
        <v>#REF!</v>
      </c>
      <c r="AQ228" s="80"/>
      <c r="AR228" s="80"/>
      <c r="AS228" s="81"/>
      <c r="AT228" s="82"/>
      <c r="AU228" s="66"/>
      <c r="AW228" s="80"/>
      <c r="AX228" s="80"/>
      <c r="AY228" s="81"/>
      <c r="AZ228" s="82">
        <f>SUM(AZ226:AZ227)</f>
        <v>0</v>
      </c>
      <c r="BA228" s="66">
        <f>IF(AZ$228=0,0,AZ228/AZ$228)</f>
        <v>0</v>
      </c>
    </row>
    <row r="229" spans="1:53" s="117" customFormat="1" ht="17.100000000000001" customHeight="1" x14ac:dyDescent="0.25">
      <c r="A229" s="68"/>
      <c r="B229" s="119"/>
      <c r="C229" s="540"/>
      <c r="D229" s="261"/>
      <c r="E229" s="261"/>
      <c r="F229" s="68"/>
      <c r="G229" s="68"/>
      <c r="H229" s="119"/>
      <c r="I229" s="138"/>
      <c r="J229" s="17" t="str">
        <f>IF(J228=J$15,"OK","NOK")</f>
        <v>OK</v>
      </c>
      <c r="K229" s="17" t="str">
        <f t="shared" ref="K229:L229" si="282">IF(K228=K$15,"OK","NOK")</f>
        <v>OK</v>
      </c>
      <c r="L229" s="17" t="str">
        <f t="shared" si="282"/>
        <v>OK</v>
      </c>
      <c r="M229" s="17"/>
      <c r="N229" s="17"/>
      <c r="O229" s="17"/>
      <c r="P229" s="17"/>
      <c r="Q229" s="17"/>
      <c r="R229" s="17"/>
      <c r="S229" s="17"/>
      <c r="T229" s="17"/>
      <c r="U229" s="17"/>
      <c r="V229" s="359"/>
      <c r="W229" s="382"/>
      <c r="X229" s="539"/>
      <c r="Y229" s="539"/>
      <c r="Z229" s="201"/>
      <c r="AA229" s="201"/>
      <c r="AB229" s="201"/>
      <c r="AC229" s="84"/>
      <c r="AE229" s="46"/>
      <c r="AF229" s="46"/>
      <c r="AG229" s="17"/>
      <c r="AH229" s="539"/>
      <c r="AI229" s="91"/>
      <c r="AK229" s="46"/>
      <c r="AL229" s="46"/>
      <c r="AM229" s="17"/>
      <c r="AN229" s="539"/>
      <c r="AO229" s="91"/>
      <c r="AQ229" s="46"/>
      <c r="AR229" s="46"/>
      <c r="AS229" s="17"/>
      <c r="AT229" s="539"/>
      <c r="AU229" s="91"/>
      <c r="AW229" s="46"/>
      <c r="AX229" s="46"/>
      <c r="AY229" s="17"/>
      <c r="AZ229" s="539"/>
      <c r="BA229" s="91"/>
    </row>
    <row r="230" spans="1:53" ht="17.100000000000001" customHeight="1" x14ac:dyDescent="0.25">
      <c r="A230" s="68"/>
      <c r="B230" s="40"/>
      <c r="C230" s="74" t="s">
        <v>645</v>
      </c>
      <c r="D230" s="147" t="s">
        <v>524</v>
      </c>
      <c r="E230" s="105"/>
      <c r="F230" s="105"/>
      <c r="G230" s="105"/>
      <c r="H230" s="243">
        <v>136</v>
      </c>
      <c r="J230" s="111"/>
      <c r="K230" s="111"/>
      <c r="L230" s="111"/>
      <c r="M230" s="111"/>
      <c r="N230" s="111"/>
      <c r="O230" s="111"/>
      <c r="P230" s="111"/>
      <c r="Q230" s="111"/>
      <c r="R230" s="111"/>
      <c r="S230" s="111"/>
      <c r="T230" s="111"/>
      <c r="U230" s="111"/>
      <c r="V230" s="358"/>
      <c r="W230" s="380"/>
      <c r="X230" s="111"/>
      <c r="Y230" s="112"/>
      <c r="Z230" s="113"/>
      <c r="AA230" s="113"/>
      <c r="AB230" s="113"/>
      <c r="AC230" s="113"/>
      <c r="AE230" s="71"/>
      <c r="AF230" s="71"/>
      <c r="AG230" s="71"/>
      <c r="AH230" s="72"/>
      <c r="AI230" s="73"/>
      <c r="AK230" s="71"/>
      <c r="AL230" s="71"/>
      <c r="AM230" s="71"/>
      <c r="AN230" s="72"/>
      <c r="AO230" s="73"/>
      <c r="AQ230" s="71"/>
      <c r="AR230" s="71"/>
      <c r="AS230" s="71"/>
      <c r="AT230" s="72"/>
      <c r="AU230" s="73"/>
      <c r="AW230" s="71"/>
      <c r="AX230" s="71"/>
      <c r="AY230" s="71"/>
      <c r="AZ230" s="72"/>
      <c r="BA230" s="73"/>
    </row>
    <row r="231" spans="1:53" ht="17.100000000000001" customHeight="1" x14ac:dyDescent="0.25">
      <c r="A231" s="40"/>
      <c r="B231" s="40"/>
      <c r="C231" s="137"/>
      <c r="D231" s="74" t="s">
        <v>646</v>
      </c>
      <c r="E231" s="542" t="s">
        <v>523</v>
      </c>
      <c r="F231" s="75"/>
      <c r="G231" s="75"/>
      <c r="H231" s="540"/>
      <c r="I231" s="229"/>
      <c r="J231" s="581"/>
      <c r="K231" s="581"/>
      <c r="L231" s="582"/>
      <c r="M231" s="17">
        <f t="shared" ref="M231:M235" si="283">SUM(J231:L231)</f>
        <v>0</v>
      </c>
      <c r="N231" s="111"/>
      <c r="O231" s="111"/>
      <c r="P231" s="111"/>
      <c r="Q231" s="111"/>
      <c r="R231" s="111"/>
      <c r="S231" s="111"/>
      <c r="T231" s="111"/>
      <c r="U231" s="111"/>
      <c r="V231" s="358"/>
      <c r="W231" s="391">
        <f t="shared" ref="W231:W235" si="284">J231+K231+N231+Q231+T231</f>
        <v>0</v>
      </c>
      <c r="X231" s="17">
        <f t="shared" ref="X231:X235" si="285">L231+O231+R231+U231</f>
        <v>0</v>
      </c>
      <c r="Y231" s="18">
        <f>SUM(W231:X231)</f>
        <v>0</v>
      </c>
      <c r="Z231" s="19">
        <f>IF(Y$236=0,0,Y231/Y$236)</f>
        <v>0</v>
      </c>
      <c r="AA231" s="19"/>
      <c r="AB231" s="19"/>
      <c r="AC231" s="84"/>
      <c r="AE231" s="17"/>
      <c r="AF231" s="17"/>
      <c r="AG231" s="17"/>
      <c r="AH231" s="18">
        <f t="shared" ref="AH231:AH235" si="286">J231</f>
        <v>0</v>
      </c>
      <c r="AI231" s="19">
        <f>IF(AH$236=0,0,AH231/AH$236)</f>
        <v>0</v>
      </c>
      <c r="AK231" s="17"/>
      <c r="AL231" s="17"/>
      <c r="AM231" s="17"/>
      <c r="AN231" s="18">
        <f t="shared" ref="AN231:AN235" si="287">K231</f>
        <v>0</v>
      </c>
      <c r="AO231" s="19">
        <f>IF(AN$236=0,0,AN231/AN$236)</f>
        <v>0</v>
      </c>
      <c r="AQ231" s="17"/>
      <c r="AR231" s="17"/>
      <c r="AS231" s="17"/>
      <c r="AT231" s="18">
        <f t="shared" ref="AT231:AT235" si="288">W231</f>
        <v>0</v>
      </c>
      <c r="AU231" s="19">
        <f>IF(AT$236=0,0,AT231/AT$236)</f>
        <v>0</v>
      </c>
      <c r="AW231" s="17"/>
      <c r="AX231" s="17"/>
      <c r="AY231" s="17"/>
      <c r="AZ231" s="18">
        <f t="shared" ref="AZ231:AZ235" si="289">X231</f>
        <v>0</v>
      </c>
      <c r="BA231" s="19">
        <f>IF(AZ$236=0,0,AZ231/AZ$236)</f>
        <v>0</v>
      </c>
    </row>
    <row r="232" spans="1:53" ht="17.100000000000001" customHeight="1" x14ac:dyDescent="0.25">
      <c r="A232" s="40"/>
      <c r="B232" s="248"/>
      <c r="C232" s="251"/>
      <c r="D232" s="74" t="s">
        <v>647</v>
      </c>
      <c r="E232" s="542" t="s">
        <v>525</v>
      </c>
      <c r="F232" s="75"/>
      <c r="G232" s="75"/>
      <c r="H232" s="540"/>
      <c r="I232" s="229"/>
      <c r="J232" s="583"/>
      <c r="K232" s="583"/>
      <c r="L232" s="584"/>
      <c r="M232" s="17">
        <f t="shared" si="283"/>
        <v>0</v>
      </c>
      <c r="N232" s="111"/>
      <c r="O232" s="111"/>
      <c r="P232" s="111"/>
      <c r="Q232" s="111"/>
      <c r="R232" s="111"/>
      <c r="S232" s="111"/>
      <c r="T232" s="111"/>
      <c r="U232" s="111"/>
      <c r="V232" s="358"/>
      <c r="W232" s="391">
        <f t="shared" si="284"/>
        <v>0</v>
      </c>
      <c r="X232" s="17">
        <f t="shared" si="285"/>
        <v>0</v>
      </c>
      <c r="Y232" s="18">
        <f>SUM(W232:X232)</f>
        <v>0</v>
      </c>
      <c r="Z232" s="19">
        <f t="shared" ref="Z232:Z236" si="290">IF(Y$236=0,0,Y232/Y$236)</f>
        <v>0</v>
      </c>
      <c r="AA232" s="19"/>
      <c r="AB232" s="19"/>
      <c r="AC232" s="84"/>
      <c r="AE232" s="17"/>
      <c r="AF232" s="17"/>
      <c r="AG232" s="17"/>
      <c r="AH232" s="18">
        <f t="shared" si="286"/>
        <v>0</v>
      </c>
      <c r="AI232" s="19">
        <f t="shared" ref="AI232:AI236" si="291">IF(AH$236=0,0,AH232/AH$236)</f>
        <v>0</v>
      </c>
      <c r="AK232" s="17"/>
      <c r="AL232" s="17"/>
      <c r="AM232" s="17"/>
      <c r="AN232" s="18">
        <f t="shared" si="287"/>
        <v>0</v>
      </c>
      <c r="AO232" s="19">
        <f t="shared" ref="AO232:AO236" si="292">IF(AN$236=0,0,AN232/AN$236)</f>
        <v>0</v>
      </c>
      <c r="AQ232" s="17"/>
      <c r="AR232" s="17"/>
      <c r="AS232" s="17"/>
      <c r="AT232" s="18">
        <f t="shared" si="288"/>
        <v>0</v>
      </c>
      <c r="AU232" s="19">
        <f t="shared" ref="AU232:AU236" si="293">IF(AT$236=0,0,AT232/AT$236)</f>
        <v>0</v>
      </c>
      <c r="AW232" s="17"/>
      <c r="AX232" s="17"/>
      <c r="AY232" s="17"/>
      <c r="AZ232" s="18">
        <f t="shared" si="289"/>
        <v>0</v>
      </c>
      <c r="BA232" s="19">
        <f t="shared" ref="BA232:BA236" si="294">IF(AZ$236=0,0,AZ232/AZ$236)</f>
        <v>0</v>
      </c>
    </row>
    <row r="233" spans="1:53" ht="17.100000000000001" customHeight="1" x14ac:dyDescent="0.25">
      <c r="A233" s="175"/>
      <c r="B233" s="248"/>
      <c r="C233" s="222"/>
      <c r="D233" s="74" t="s">
        <v>648</v>
      </c>
      <c r="E233" s="542" t="s">
        <v>526</v>
      </c>
      <c r="F233" s="151"/>
      <c r="G233" s="151"/>
      <c r="H233" s="119"/>
      <c r="I233" s="138"/>
      <c r="J233" s="581"/>
      <c r="K233" s="581"/>
      <c r="L233" s="582"/>
      <c r="M233" s="17">
        <f t="shared" si="283"/>
        <v>0</v>
      </c>
      <c r="N233" s="111"/>
      <c r="O233" s="111"/>
      <c r="P233" s="111"/>
      <c r="Q233" s="111"/>
      <c r="R233" s="111"/>
      <c r="S233" s="111"/>
      <c r="T233" s="111"/>
      <c r="U233" s="111"/>
      <c r="V233" s="358"/>
      <c r="W233" s="391">
        <f t="shared" si="284"/>
        <v>0</v>
      </c>
      <c r="X233" s="17">
        <f t="shared" si="285"/>
        <v>0</v>
      </c>
      <c r="Y233" s="18">
        <f>SUM(W233:X233)</f>
        <v>0</v>
      </c>
      <c r="Z233" s="19">
        <f t="shared" si="290"/>
        <v>0</v>
      </c>
      <c r="AA233" s="19"/>
      <c r="AB233" s="19"/>
      <c r="AC233" s="84"/>
      <c r="AE233" s="17"/>
      <c r="AF233" s="17"/>
      <c r="AG233" s="17"/>
      <c r="AH233" s="18">
        <f t="shared" si="286"/>
        <v>0</v>
      </c>
      <c r="AI233" s="19">
        <f t="shared" si="291"/>
        <v>0</v>
      </c>
      <c r="AK233" s="17"/>
      <c r="AL233" s="17"/>
      <c r="AM233" s="17"/>
      <c r="AN233" s="18">
        <f t="shared" si="287"/>
        <v>0</v>
      </c>
      <c r="AO233" s="19">
        <f t="shared" si="292"/>
        <v>0</v>
      </c>
      <c r="AQ233" s="17"/>
      <c r="AR233" s="17"/>
      <c r="AS233" s="17"/>
      <c r="AT233" s="18">
        <f t="shared" si="288"/>
        <v>0</v>
      </c>
      <c r="AU233" s="19">
        <f t="shared" si="293"/>
        <v>0</v>
      </c>
      <c r="AW233" s="17"/>
      <c r="AX233" s="17"/>
      <c r="AY233" s="17"/>
      <c r="AZ233" s="18">
        <f t="shared" si="289"/>
        <v>0</v>
      </c>
      <c r="BA233" s="19">
        <f t="shared" si="294"/>
        <v>0</v>
      </c>
    </row>
    <row r="234" spans="1:53" ht="17.100000000000001" customHeight="1" x14ac:dyDescent="0.25">
      <c r="A234" s="68"/>
      <c r="B234" s="249"/>
      <c r="C234" s="157"/>
      <c r="D234" s="74" t="s">
        <v>649</v>
      </c>
      <c r="E234" s="542" t="s">
        <v>527</v>
      </c>
      <c r="F234" s="105"/>
      <c r="G234" s="105"/>
      <c r="H234" s="119"/>
      <c r="J234" s="583"/>
      <c r="K234" s="583"/>
      <c r="L234" s="584"/>
      <c r="M234" s="17">
        <f t="shared" si="283"/>
        <v>0</v>
      </c>
      <c r="N234" s="111"/>
      <c r="O234" s="111"/>
      <c r="P234" s="111"/>
      <c r="Q234" s="111"/>
      <c r="R234" s="111"/>
      <c r="S234" s="111"/>
      <c r="T234" s="111"/>
      <c r="U234" s="111"/>
      <c r="V234" s="358"/>
      <c r="W234" s="391">
        <f t="shared" si="284"/>
        <v>0</v>
      </c>
      <c r="X234" s="17">
        <f t="shared" si="285"/>
        <v>0</v>
      </c>
      <c r="Y234" s="18">
        <f>SUM(W234:X234)</f>
        <v>0</v>
      </c>
      <c r="Z234" s="19">
        <f t="shared" si="290"/>
        <v>0</v>
      </c>
      <c r="AA234" s="19"/>
      <c r="AB234" s="19"/>
      <c r="AC234" s="84"/>
      <c r="AE234" s="17"/>
      <c r="AF234" s="17"/>
      <c r="AG234" s="17"/>
      <c r="AH234" s="18">
        <f t="shared" si="286"/>
        <v>0</v>
      </c>
      <c r="AI234" s="19">
        <f t="shared" si="291"/>
        <v>0</v>
      </c>
      <c r="AK234" s="17"/>
      <c r="AL234" s="17"/>
      <c r="AM234" s="17"/>
      <c r="AN234" s="18">
        <f t="shared" si="287"/>
        <v>0</v>
      </c>
      <c r="AO234" s="19">
        <f t="shared" si="292"/>
        <v>0</v>
      </c>
      <c r="AQ234" s="17"/>
      <c r="AR234" s="17"/>
      <c r="AS234" s="17"/>
      <c r="AT234" s="18">
        <f t="shared" si="288"/>
        <v>0</v>
      </c>
      <c r="AU234" s="19">
        <f t="shared" si="293"/>
        <v>0</v>
      </c>
      <c r="AW234" s="17"/>
      <c r="AX234" s="17"/>
      <c r="AY234" s="17"/>
      <c r="AZ234" s="18">
        <f t="shared" si="289"/>
        <v>0</v>
      </c>
      <c r="BA234" s="19">
        <f t="shared" si="294"/>
        <v>0</v>
      </c>
    </row>
    <row r="235" spans="1:53" ht="17.100000000000001" customHeight="1" x14ac:dyDescent="0.25">
      <c r="A235" s="40"/>
      <c r="B235" s="248"/>
      <c r="C235" s="250"/>
      <c r="D235" s="74" t="s">
        <v>650</v>
      </c>
      <c r="E235" s="542" t="s">
        <v>528</v>
      </c>
      <c r="F235" s="75"/>
      <c r="G235" s="75"/>
      <c r="H235" s="540"/>
      <c r="I235" s="229"/>
      <c r="J235" s="581"/>
      <c r="K235" s="581"/>
      <c r="L235" s="582"/>
      <c r="M235" s="17">
        <f t="shared" si="283"/>
        <v>0</v>
      </c>
      <c r="N235" s="111"/>
      <c r="O235" s="111"/>
      <c r="P235" s="111"/>
      <c r="Q235" s="111"/>
      <c r="R235" s="111"/>
      <c r="S235" s="111"/>
      <c r="T235" s="111"/>
      <c r="U235" s="111"/>
      <c r="V235" s="358"/>
      <c r="W235" s="391">
        <f t="shared" si="284"/>
        <v>0</v>
      </c>
      <c r="X235" s="17">
        <f t="shared" si="285"/>
        <v>0</v>
      </c>
      <c r="Y235" s="18">
        <f>SUM(W235:X235)</f>
        <v>0</v>
      </c>
      <c r="Z235" s="19">
        <f t="shared" si="290"/>
        <v>0</v>
      </c>
      <c r="AA235" s="19"/>
      <c r="AB235" s="19"/>
      <c r="AC235" s="84"/>
      <c r="AE235" s="17"/>
      <c r="AF235" s="17"/>
      <c r="AG235" s="17"/>
      <c r="AH235" s="18">
        <f t="shared" si="286"/>
        <v>0</v>
      </c>
      <c r="AI235" s="19">
        <f t="shared" si="291"/>
        <v>0</v>
      </c>
      <c r="AK235" s="17"/>
      <c r="AL235" s="17"/>
      <c r="AM235" s="17"/>
      <c r="AN235" s="18">
        <f t="shared" si="287"/>
        <v>0</v>
      </c>
      <c r="AO235" s="19">
        <f t="shared" si="292"/>
        <v>0</v>
      </c>
      <c r="AQ235" s="17"/>
      <c r="AR235" s="17"/>
      <c r="AS235" s="17"/>
      <c r="AT235" s="18">
        <f t="shared" si="288"/>
        <v>0</v>
      </c>
      <c r="AU235" s="19">
        <f t="shared" si="293"/>
        <v>0</v>
      </c>
      <c r="AW235" s="17"/>
      <c r="AX235" s="17"/>
      <c r="AY235" s="17"/>
      <c r="AZ235" s="18">
        <f t="shared" si="289"/>
        <v>0</v>
      </c>
      <c r="BA235" s="19">
        <f t="shared" si="294"/>
        <v>0</v>
      </c>
    </row>
    <row r="236" spans="1:53" ht="17.100000000000001" customHeight="1" x14ac:dyDescent="0.25">
      <c r="A236" s="40"/>
      <c r="B236" s="40"/>
      <c r="C236" s="77"/>
      <c r="D236" s="144"/>
      <c r="E236" s="144"/>
      <c r="F236" s="145"/>
      <c r="G236" s="145"/>
      <c r="H236" s="119"/>
      <c r="I236" s="236"/>
      <c r="J236" s="64">
        <f>SUM(J231:J235)</f>
        <v>0</v>
      </c>
      <c r="K236" s="64">
        <f t="shared" ref="K236:M236" si="295">SUM(K231:K235)</f>
        <v>0</v>
      </c>
      <c r="L236" s="64">
        <f t="shared" si="295"/>
        <v>0</v>
      </c>
      <c r="M236" s="64">
        <f t="shared" si="295"/>
        <v>0</v>
      </c>
      <c r="N236" s="81"/>
      <c r="O236" s="81"/>
      <c r="P236" s="81"/>
      <c r="Q236" s="81"/>
      <c r="R236" s="81"/>
      <c r="S236" s="81"/>
      <c r="T236" s="81"/>
      <c r="U236" s="81"/>
      <c r="V236" s="356"/>
      <c r="W236" s="381">
        <f>SUM(W231:W235)</f>
        <v>0</v>
      </c>
      <c r="X236" s="82">
        <f t="shared" ref="X236:Y236" si="296">SUM(X231:X235)</f>
        <v>0</v>
      </c>
      <c r="Y236" s="82">
        <f t="shared" si="296"/>
        <v>0</v>
      </c>
      <c r="Z236" s="205">
        <f t="shared" si="290"/>
        <v>0</v>
      </c>
      <c r="AA236" s="205"/>
      <c r="AB236" s="205"/>
      <c r="AC236" s="83"/>
      <c r="AE236" s="80"/>
      <c r="AF236" s="80"/>
      <c r="AG236" s="81"/>
      <c r="AH236" s="82">
        <f>SUM(AH231:AH235)</f>
        <v>0</v>
      </c>
      <c r="AI236" s="66">
        <f t="shared" si="291"/>
        <v>0</v>
      </c>
      <c r="AK236" s="80"/>
      <c r="AL236" s="80"/>
      <c r="AM236" s="81"/>
      <c r="AN236" s="82">
        <f>SUM(AN231:AN235)</f>
        <v>0</v>
      </c>
      <c r="AO236" s="66">
        <f t="shared" si="292"/>
        <v>0</v>
      </c>
      <c r="AQ236" s="80"/>
      <c r="AR236" s="80"/>
      <c r="AS236" s="81"/>
      <c r="AT236" s="82">
        <f>SUM(AT231:AT235)</f>
        <v>0</v>
      </c>
      <c r="AU236" s="66">
        <f t="shared" si="293"/>
        <v>0</v>
      </c>
      <c r="AW236" s="80"/>
      <c r="AX236" s="80"/>
      <c r="AY236" s="81"/>
      <c r="AZ236" s="82">
        <f>SUM(AZ231:AZ235)</f>
        <v>0</v>
      </c>
      <c r="BA236" s="66">
        <f t="shared" si="294"/>
        <v>0</v>
      </c>
    </row>
    <row r="237" spans="1:53" s="117" customFormat="1" ht="17.100000000000001" customHeight="1" x14ac:dyDescent="0.25">
      <c r="A237" s="68"/>
      <c r="B237" s="119"/>
      <c r="C237" s="540"/>
      <c r="D237" s="261"/>
      <c r="E237" s="261"/>
      <c r="F237" s="68"/>
      <c r="G237" s="68"/>
      <c r="H237" s="119"/>
      <c r="I237" s="138"/>
      <c r="J237" s="17" t="str">
        <f>IF(J236=J$15,"OK","NOK")</f>
        <v>OK</v>
      </c>
      <c r="K237" s="17" t="str">
        <f t="shared" ref="K237:L237" si="297">IF(K236=K$15,"OK","NOK")</f>
        <v>OK</v>
      </c>
      <c r="L237" s="17" t="str">
        <f t="shared" si="297"/>
        <v>OK</v>
      </c>
      <c r="M237" s="17"/>
      <c r="N237" s="17"/>
      <c r="O237" s="17"/>
      <c r="P237" s="17"/>
      <c r="Q237" s="17"/>
      <c r="R237" s="17"/>
      <c r="S237" s="17"/>
      <c r="T237" s="17"/>
      <c r="U237" s="17"/>
      <c r="V237" s="359"/>
      <c r="W237" s="382"/>
      <c r="X237" s="539"/>
      <c r="Y237" s="539"/>
      <c r="Z237" s="201"/>
      <c r="AA237" s="201"/>
      <c r="AB237" s="201"/>
      <c r="AC237" s="84"/>
      <c r="AE237" s="46"/>
      <c r="AF237" s="46"/>
      <c r="AG237" s="17"/>
      <c r="AH237" s="539"/>
      <c r="AI237" s="91"/>
      <c r="AK237" s="46"/>
      <c r="AL237" s="46"/>
      <c r="AM237" s="17"/>
      <c r="AN237" s="539"/>
      <c r="AO237" s="91"/>
      <c r="AQ237" s="46"/>
      <c r="AR237" s="46"/>
      <c r="AS237" s="17"/>
      <c r="AT237" s="539"/>
      <c r="AU237" s="91"/>
      <c r="AW237" s="46"/>
      <c r="AX237" s="46"/>
      <c r="AY237" s="17"/>
      <c r="AZ237" s="539"/>
      <c r="BA237" s="91"/>
    </row>
    <row r="238" spans="1:53" ht="17.100000000000001" customHeight="1" x14ac:dyDescent="0.25">
      <c r="A238" s="68"/>
      <c r="B238" s="40"/>
      <c r="C238" s="74" t="s">
        <v>651</v>
      </c>
      <c r="D238" s="147" t="s">
        <v>529</v>
      </c>
      <c r="E238" s="105"/>
      <c r="F238" s="105"/>
      <c r="G238" s="105"/>
      <c r="H238" s="243">
        <v>145</v>
      </c>
      <c r="J238" s="111"/>
      <c r="K238" s="111"/>
      <c r="L238" s="111"/>
      <c r="M238" s="111"/>
      <c r="N238" s="111"/>
      <c r="O238" s="111"/>
      <c r="P238" s="111"/>
      <c r="Q238" s="111"/>
      <c r="R238" s="111"/>
      <c r="S238" s="111"/>
      <c r="T238" s="111"/>
      <c r="U238" s="111"/>
      <c r="V238" s="358"/>
      <c r="W238" s="380"/>
      <c r="X238" s="111"/>
      <c r="Y238" s="112"/>
      <c r="Z238" s="113"/>
      <c r="AA238" s="113"/>
      <c r="AB238" s="113"/>
      <c r="AC238" s="113"/>
      <c r="AE238" s="71"/>
      <c r="AF238" s="71"/>
      <c r="AG238" s="71"/>
      <c r="AH238" s="72"/>
      <c r="AI238" s="73"/>
      <c r="AK238" s="71"/>
      <c r="AL238" s="71"/>
      <c r="AM238" s="71"/>
      <c r="AN238" s="72"/>
      <c r="AO238" s="73"/>
      <c r="AQ238" s="71"/>
      <c r="AR238" s="71"/>
      <c r="AS238" s="71"/>
      <c r="AT238" s="72"/>
      <c r="AU238" s="73"/>
      <c r="AW238" s="71"/>
      <c r="AX238" s="71"/>
      <c r="AY238" s="71"/>
      <c r="AZ238" s="72"/>
      <c r="BA238" s="73"/>
    </row>
    <row r="239" spans="1:53" ht="17.100000000000001" customHeight="1" x14ac:dyDescent="0.25">
      <c r="A239" s="40"/>
      <c r="B239" s="40"/>
      <c r="C239" s="137"/>
      <c r="D239" s="74" t="s">
        <v>652</v>
      </c>
      <c r="E239" s="542" t="s">
        <v>523</v>
      </c>
      <c r="F239" s="75"/>
      <c r="G239" s="75"/>
      <c r="H239" s="540"/>
      <c r="I239" s="229"/>
      <c r="J239" s="581"/>
      <c r="K239" s="581"/>
      <c r="L239" s="582"/>
      <c r="M239" s="17">
        <f t="shared" ref="M239:M243" si="298">SUM(J239:L239)</f>
        <v>0</v>
      </c>
      <c r="N239" s="111"/>
      <c r="O239" s="111"/>
      <c r="P239" s="111"/>
      <c r="Q239" s="111"/>
      <c r="R239" s="111"/>
      <c r="S239" s="111"/>
      <c r="T239" s="111"/>
      <c r="U239" s="111"/>
      <c r="V239" s="358"/>
      <c r="W239" s="391">
        <f t="shared" ref="W239:W243" si="299">J239+K239+N239+Q239+T239</f>
        <v>0</v>
      </c>
      <c r="X239" s="17">
        <f t="shared" ref="X239:X243" si="300">L239+O239+R239+U239</f>
        <v>0</v>
      </c>
      <c r="Y239" s="18">
        <f>SUM(W239:X239)</f>
        <v>0</v>
      </c>
      <c r="Z239" s="19">
        <f>IF(Y$244=0,0,Y239/Y$244)</f>
        <v>0</v>
      </c>
      <c r="AA239" s="19"/>
      <c r="AB239" s="19"/>
      <c r="AC239" s="84"/>
      <c r="AE239" s="17"/>
      <c r="AF239" s="17"/>
      <c r="AG239" s="17"/>
      <c r="AH239" s="18">
        <f t="shared" ref="AH239:AH243" si="301">J239</f>
        <v>0</v>
      </c>
      <c r="AI239" s="19">
        <f>IF(AH$244=0,0,AH239/AH$244)</f>
        <v>0</v>
      </c>
      <c r="AK239" s="17"/>
      <c r="AL239" s="17"/>
      <c r="AM239" s="17"/>
      <c r="AN239" s="18">
        <f t="shared" ref="AN239:AN243" si="302">K239</f>
        <v>0</v>
      </c>
      <c r="AO239" s="19">
        <f>IF(AN$244=0,0,AN239/AN$244)</f>
        <v>0</v>
      </c>
      <c r="AQ239" s="17"/>
      <c r="AR239" s="17"/>
      <c r="AS239" s="17"/>
      <c r="AT239" s="18">
        <f t="shared" ref="AT239:AT243" si="303">W239</f>
        <v>0</v>
      </c>
      <c r="AU239" s="19">
        <f>IF(AT$244=0,0,AT239/AT$244)</f>
        <v>0</v>
      </c>
      <c r="AW239" s="17"/>
      <c r="AX239" s="17"/>
      <c r="AY239" s="17"/>
      <c r="AZ239" s="18">
        <f t="shared" ref="AZ239:AZ243" si="304">X239</f>
        <v>0</v>
      </c>
      <c r="BA239" s="19">
        <f>IF(AZ$244=0,0,AZ239/AZ$244)</f>
        <v>0</v>
      </c>
    </row>
    <row r="240" spans="1:53" ht="17.100000000000001" customHeight="1" x14ac:dyDescent="0.25">
      <c r="A240" s="40"/>
      <c r="B240" s="248"/>
      <c r="C240" s="251"/>
      <c r="D240" s="74" t="s">
        <v>653</v>
      </c>
      <c r="E240" s="542" t="s">
        <v>525</v>
      </c>
      <c r="F240" s="75"/>
      <c r="G240" s="75"/>
      <c r="H240" s="540"/>
      <c r="I240" s="229"/>
      <c r="J240" s="583"/>
      <c r="K240" s="583"/>
      <c r="L240" s="584"/>
      <c r="M240" s="17">
        <f t="shared" si="298"/>
        <v>0</v>
      </c>
      <c r="N240" s="111"/>
      <c r="O240" s="111"/>
      <c r="P240" s="111"/>
      <c r="Q240" s="111"/>
      <c r="R240" s="111"/>
      <c r="S240" s="111"/>
      <c r="T240" s="111"/>
      <c r="U240" s="111"/>
      <c r="V240" s="358"/>
      <c r="W240" s="391">
        <f t="shared" si="299"/>
        <v>0</v>
      </c>
      <c r="X240" s="17">
        <f t="shared" si="300"/>
        <v>0</v>
      </c>
      <c r="Y240" s="18">
        <f>SUM(W240:X240)</f>
        <v>0</v>
      </c>
      <c r="Z240" s="19">
        <f t="shared" ref="Z240:Z244" si="305">IF(Y$244=0,0,Y240/Y$244)</f>
        <v>0</v>
      </c>
      <c r="AA240" s="19"/>
      <c r="AB240" s="19"/>
      <c r="AC240" s="84"/>
      <c r="AE240" s="17"/>
      <c r="AF240" s="17"/>
      <c r="AG240" s="17"/>
      <c r="AH240" s="18">
        <f t="shared" si="301"/>
        <v>0</v>
      </c>
      <c r="AI240" s="19">
        <f t="shared" ref="AI240:AI244" si="306">IF(AH$244=0,0,AH240/AH$244)</f>
        <v>0</v>
      </c>
      <c r="AK240" s="17"/>
      <c r="AL240" s="17"/>
      <c r="AM240" s="17"/>
      <c r="AN240" s="18">
        <f t="shared" si="302"/>
        <v>0</v>
      </c>
      <c r="AO240" s="19">
        <f t="shared" ref="AO240:AO244" si="307">IF(AN$244=0,0,AN240/AN$244)</f>
        <v>0</v>
      </c>
      <c r="AQ240" s="17"/>
      <c r="AR240" s="17"/>
      <c r="AS240" s="17"/>
      <c r="AT240" s="18">
        <f t="shared" si="303"/>
        <v>0</v>
      </c>
      <c r="AU240" s="19">
        <f t="shared" ref="AU240:AU244" si="308">IF(AT$244=0,0,AT240/AT$244)</f>
        <v>0</v>
      </c>
      <c r="AW240" s="17"/>
      <c r="AX240" s="17"/>
      <c r="AY240" s="17"/>
      <c r="AZ240" s="18">
        <f t="shared" si="304"/>
        <v>0</v>
      </c>
      <c r="BA240" s="19">
        <f t="shared" ref="BA240:BA244" si="309">IF(AZ$244=0,0,AZ240/AZ$244)</f>
        <v>0</v>
      </c>
    </row>
    <row r="241" spans="1:53" ht="17.100000000000001" customHeight="1" x14ac:dyDescent="0.25">
      <c r="A241" s="175"/>
      <c r="B241" s="248"/>
      <c r="C241" s="222"/>
      <c r="D241" s="74" t="s">
        <v>654</v>
      </c>
      <c r="E241" s="542" t="s">
        <v>526</v>
      </c>
      <c r="F241" s="151"/>
      <c r="G241" s="151"/>
      <c r="H241" s="119"/>
      <c r="I241" s="138"/>
      <c r="J241" s="581"/>
      <c r="K241" s="581"/>
      <c r="L241" s="582"/>
      <c r="M241" s="17">
        <f t="shared" si="298"/>
        <v>0</v>
      </c>
      <c r="N241" s="111"/>
      <c r="O241" s="111"/>
      <c r="P241" s="111"/>
      <c r="Q241" s="111"/>
      <c r="R241" s="111"/>
      <c r="S241" s="111"/>
      <c r="T241" s="111"/>
      <c r="U241" s="111"/>
      <c r="V241" s="358"/>
      <c r="W241" s="391">
        <f t="shared" si="299"/>
        <v>0</v>
      </c>
      <c r="X241" s="17">
        <f t="shared" si="300"/>
        <v>0</v>
      </c>
      <c r="Y241" s="18">
        <f>SUM(W241:X241)</f>
        <v>0</v>
      </c>
      <c r="Z241" s="19">
        <f t="shared" si="305"/>
        <v>0</v>
      </c>
      <c r="AA241" s="19"/>
      <c r="AB241" s="19"/>
      <c r="AC241" s="84"/>
      <c r="AE241" s="17"/>
      <c r="AF241" s="17"/>
      <c r="AG241" s="17"/>
      <c r="AH241" s="18">
        <f t="shared" si="301"/>
        <v>0</v>
      </c>
      <c r="AI241" s="19">
        <f t="shared" si="306"/>
        <v>0</v>
      </c>
      <c r="AK241" s="17"/>
      <c r="AL241" s="17"/>
      <c r="AM241" s="17"/>
      <c r="AN241" s="18">
        <f t="shared" si="302"/>
        <v>0</v>
      </c>
      <c r="AO241" s="19">
        <f t="shared" si="307"/>
        <v>0</v>
      </c>
      <c r="AQ241" s="17"/>
      <c r="AR241" s="17"/>
      <c r="AS241" s="17"/>
      <c r="AT241" s="18">
        <f t="shared" si="303"/>
        <v>0</v>
      </c>
      <c r="AU241" s="19">
        <f t="shared" si="308"/>
        <v>0</v>
      </c>
      <c r="AW241" s="17"/>
      <c r="AX241" s="17"/>
      <c r="AY241" s="17"/>
      <c r="AZ241" s="18">
        <f t="shared" si="304"/>
        <v>0</v>
      </c>
      <c r="BA241" s="19">
        <f t="shared" si="309"/>
        <v>0</v>
      </c>
    </row>
    <row r="242" spans="1:53" ht="17.100000000000001" customHeight="1" x14ac:dyDescent="0.25">
      <c r="A242" s="68"/>
      <c r="B242" s="249"/>
      <c r="C242" s="157"/>
      <c r="D242" s="74" t="s">
        <v>655</v>
      </c>
      <c r="E242" s="542" t="s">
        <v>527</v>
      </c>
      <c r="F242" s="105"/>
      <c r="G242" s="105"/>
      <c r="H242" s="119"/>
      <c r="J242" s="583"/>
      <c r="K242" s="583"/>
      <c r="L242" s="584"/>
      <c r="M242" s="17">
        <f t="shared" si="298"/>
        <v>0</v>
      </c>
      <c r="N242" s="111"/>
      <c r="O242" s="111"/>
      <c r="P242" s="111"/>
      <c r="Q242" s="111"/>
      <c r="R242" s="111"/>
      <c r="S242" s="111"/>
      <c r="T242" s="111"/>
      <c r="U242" s="111"/>
      <c r="V242" s="358"/>
      <c r="W242" s="391">
        <f t="shared" si="299"/>
        <v>0</v>
      </c>
      <c r="X242" s="17">
        <f t="shared" si="300"/>
        <v>0</v>
      </c>
      <c r="Y242" s="18">
        <f>SUM(W242:X242)</f>
        <v>0</v>
      </c>
      <c r="Z242" s="19">
        <f t="shared" si="305"/>
        <v>0</v>
      </c>
      <c r="AA242" s="19"/>
      <c r="AB242" s="19"/>
      <c r="AC242" s="84"/>
      <c r="AE242" s="17"/>
      <c r="AF242" s="17"/>
      <c r="AG242" s="17"/>
      <c r="AH242" s="18">
        <f t="shared" si="301"/>
        <v>0</v>
      </c>
      <c r="AI242" s="19">
        <f t="shared" si="306"/>
        <v>0</v>
      </c>
      <c r="AK242" s="17"/>
      <c r="AL242" s="17"/>
      <c r="AM242" s="17"/>
      <c r="AN242" s="18">
        <f t="shared" si="302"/>
        <v>0</v>
      </c>
      <c r="AO242" s="19">
        <f t="shared" si="307"/>
        <v>0</v>
      </c>
      <c r="AQ242" s="17"/>
      <c r="AR242" s="17"/>
      <c r="AS242" s="17"/>
      <c r="AT242" s="18">
        <f t="shared" si="303"/>
        <v>0</v>
      </c>
      <c r="AU242" s="19">
        <f t="shared" si="308"/>
        <v>0</v>
      </c>
      <c r="AW242" s="17"/>
      <c r="AX242" s="17"/>
      <c r="AY242" s="17"/>
      <c r="AZ242" s="18">
        <f t="shared" si="304"/>
        <v>0</v>
      </c>
      <c r="BA242" s="19">
        <f t="shared" si="309"/>
        <v>0</v>
      </c>
    </row>
    <row r="243" spans="1:53" ht="17.100000000000001" customHeight="1" x14ac:dyDescent="0.25">
      <c r="A243" s="40"/>
      <c r="B243" s="248"/>
      <c r="C243" s="250"/>
      <c r="D243" s="74" t="s">
        <v>656</v>
      </c>
      <c r="E243" s="542" t="s">
        <v>528</v>
      </c>
      <c r="F243" s="75"/>
      <c r="G243" s="75"/>
      <c r="H243" s="540"/>
      <c r="I243" s="229"/>
      <c r="J243" s="581"/>
      <c r="K243" s="581"/>
      <c r="L243" s="582"/>
      <c r="M243" s="17">
        <f t="shared" si="298"/>
        <v>0</v>
      </c>
      <c r="N243" s="111"/>
      <c r="O243" s="111"/>
      <c r="P243" s="111"/>
      <c r="Q243" s="111"/>
      <c r="R243" s="111"/>
      <c r="S243" s="111"/>
      <c r="T243" s="111"/>
      <c r="U243" s="111"/>
      <c r="V243" s="358"/>
      <c r="W243" s="391">
        <f t="shared" si="299"/>
        <v>0</v>
      </c>
      <c r="X243" s="17">
        <f t="shared" si="300"/>
        <v>0</v>
      </c>
      <c r="Y243" s="18">
        <f>SUM(W243:X243)</f>
        <v>0</v>
      </c>
      <c r="Z243" s="19">
        <f t="shared" si="305"/>
        <v>0</v>
      </c>
      <c r="AA243" s="19"/>
      <c r="AB243" s="19"/>
      <c r="AC243" s="84"/>
      <c r="AE243" s="17"/>
      <c r="AF243" s="17"/>
      <c r="AG243" s="17"/>
      <c r="AH243" s="18">
        <f t="shared" si="301"/>
        <v>0</v>
      </c>
      <c r="AI243" s="19">
        <f t="shared" si="306"/>
        <v>0</v>
      </c>
      <c r="AK243" s="17"/>
      <c r="AL243" s="17"/>
      <c r="AM243" s="17"/>
      <c r="AN243" s="18">
        <f t="shared" si="302"/>
        <v>0</v>
      </c>
      <c r="AO243" s="19">
        <f t="shared" si="307"/>
        <v>0</v>
      </c>
      <c r="AQ243" s="17"/>
      <c r="AR243" s="17"/>
      <c r="AS243" s="17"/>
      <c r="AT243" s="18">
        <f t="shared" si="303"/>
        <v>0</v>
      </c>
      <c r="AU243" s="19">
        <f t="shared" si="308"/>
        <v>0</v>
      </c>
      <c r="AW243" s="17"/>
      <c r="AX243" s="17"/>
      <c r="AY243" s="17"/>
      <c r="AZ243" s="18">
        <f t="shared" si="304"/>
        <v>0</v>
      </c>
      <c r="BA243" s="19">
        <f t="shared" si="309"/>
        <v>0</v>
      </c>
    </row>
    <row r="244" spans="1:53" ht="17.100000000000001" customHeight="1" x14ac:dyDescent="0.25">
      <c r="A244" s="40"/>
      <c r="B244" s="40"/>
      <c r="C244" s="77"/>
      <c r="D244" s="144"/>
      <c r="E244" s="144"/>
      <c r="F244" s="145"/>
      <c r="G244" s="145"/>
      <c r="H244" s="119"/>
      <c r="I244" s="236"/>
      <c r="J244" s="64">
        <f>SUM(J239:J243)</f>
        <v>0</v>
      </c>
      <c r="K244" s="64">
        <f t="shared" ref="K244:M244" si="310">SUM(K239:K243)</f>
        <v>0</v>
      </c>
      <c r="L244" s="64">
        <f t="shared" si="310"/>
        <v>0</v>
      </c>
      <c r="M244" s="64">
        <f t="shared" si="310"/>
        <v>0</v>
      </c>
      <c r="N244" s="81"/>
      <c r="O244" s="81"/>
      <c r="P244" s="81"/>
      <c r="Q244" s="81"/>
      <c r="R244" s="81"/>
      <c r="S244" s="81"/>
      <c r="T244" s="81"/>
      <c r="U244" s="81"/>
      <c r="V244" s="356"/>
      <c r="W244" s="381">
        <f>SUM(W239:W243)</f>
        <v>0</v>
      </c>
      <c r="X244" s="82">
        <f t="shared" ref="X244:Y244" si="311">SUM(X239:X243)</f>
        <v>0</v>
      </c>
      <c r="Y244" s="82">
        <f t="shared" si="311"/>
        <v>0</v>
      </c>
      <c r="Z244" s="205">
        <f t="shared" si="305"/>
        <v>0</v>
      </c>
      <c r="AA244" s="205"/>
      <c r="AB244" s="205"/>
      <c r="AC244" s="83"/>
      <c r="AE244" s="80"/>
      <c r="AF244" s="80"/>
      <c r="AG244" s="81"/>
      <c r="AH244" s="82">
        <f>SUM(AH239:AH243)</f>
        <v>0</v>
      </c>
      <c r="AI244" s="66">
        <f t="shared" si="306"/>
        <v>0</v>
      </c>
      <c r="AK244" s="80"/>
      <c r="AL244" s="80"/>
      <c r="AM244" s="81"/>
      <c r="AN244" s="82">
        <f>SUM(AN239:AN243)</f>
        <v>0</v>
      </c>
      <c r="AO244" s="66">
        <f t="shared" si="307"/>
        <v>0</v>
      </c>
      <c r="AQ244" s="80"/>
      <c r="AR244" s="80"/>
      <c r="AS244" s="81"/>
      <c r="AT244" s="82">
        <f>SUM(AT239:AT243)</f>
        <v>0</v>
      </c>
      <c r="AU244" s="66">
        <f t="shared" si="308"/>
        <v>0</v>
      </c>
      <c r="AW244" s="80"/>
      <c r="AX244" s="80"/>
      <c r="AY244" s="81"/>
      <c r="AZ244" s="82">
        <f>SUM(AZ239:AZ243)</f>
        <v>0</v>
      </c>
      <c r="BA244" s="66">
        <f t="shared" si="309"/>
        <v>0</v>
      </c>
    </row>
    <row r="245" spans="1:53" s="117" customFormat="1" ht="17.100000000000001" customHeight="1" x14ac:dyDescent="0.25">
      <c r="A245" s="68"/>
      <c r="B245" s="119"/>
      <c r="C245" s="540"/>
      <c r="D245" s="261"/>
      <c r="E245" s="261"/>
      <c r="F245" s="68"/>
      <c r="G245" s="68"/>
      <c r="H245" s="119"/>
      <c r="I245" s="138"/>
      <c r="J245" s="17" t="str">
        <f>IF(J244=J$15,"OK","NOK")</f>
        <v>OK</v>
      </c>
      <c r="K245" s="17" t="str">
        <f t="shared" ref="K245:L245" si="312">IF(K244=K$15,"OK","NOK")</f>
        <v>OK</v>
      </c>
      <c r="L245" s="17" t="str">
        <f t="shared" si="312"/>
        <v>OK</v>
      </c>
      <c r="M245" s="17"/>
      <c r="N245" s="17"/>
      <c r="O245" s="17"/>
      <c r="P245" s="17"/>
      <c r="Q245" s="17"/>
      <c r="R245" s="17"/>
      <c r="S245" s="17"/>
      <c r="T245" s="17"/>
      <c r="U245" s="17"/>
      <c r="V245" s="359"/>
      <c r="W245" s="382"/>
      <c r="X245" s="539"/>
      <c r="Y245" s="539"/>
      <c r="Z245" s="201"/>
      <c r="AA245" s="201"/>
      <c r="AB245" s="201"/>
      <c r="AC245" s="84"/>
      <c r="AE245" s="46"/>
      <c r="AF245" s="46"/>
      <c r="AG245" s="17"/>
      <c r="AH245" s="539"/>
      <c r="AI245" s="91"/>
      <c r="AK245" s="46"/>
      <c r="AL245" s="46"/>
      <c r="AM245" s="17"/>
      <c r="AN245" s="539"/>
      <c r="AO245" s="91"/>
      <c r="AQ245" s="46"/>
      <c r="AR245" s="46"/>
      <c r="AS245" s="17"/>
      <c r="AT245" s="539"/>
      <c r="AU245" s="91"/>
      <c r="AW245" s="46"/>
      <c r="AX245" s="46"/>
      <c r="AY245" s="17"/>
      <c r="AZ245" s="539"/>
      <c r="BA245" s="91"/>
    </row>
    <row r="246" spans="1:53" ht="17.100000000000001" customHeight="1" x14ac:dyDescent="0.25">
      <c r="A246" s="68"/>
      <c r="B246" s="41" t="s">
        <v>956</v>
      </c>
      <c r="C246" s="69" t="s">
        <v>12</v>
      </c>
      <c r="D246" s="50"/>
      <c r="E246" s="70"/>
      <c r="F246" s="70"/>
      <c r="G246" s="70"/>
      <c r="H246" s="119"/>
      <c r="J246" s="71"/>
      <c r="K246" s="71"/>
      <c r="L246" s="71"/>
      <c r="M246" s="71"/>
      <c r="N246" s="71"/>
      <c r="O246" s="71"/>
      <c r="P246" s="71"/>
      <c r="Q246" s="71"/>
      <c r="R246" s="71"/>
      <c r="S246" s="71"/>
      <c r="T246" s="71"/>
      <c r="U246" s="71"/>
      <c r="V246" s="355"/>
      <c r="W246" s="377"/>
      <c r="X246" s="71"/>
      <c r="Y246" s="72"/>
      <c r="Z246" s="73"/>
      <c r="AA246" s="73"/>
      <c r="AB246" s="73"/>
      <c r="AC246" s="73"/>
      <c r="AE246" s="71"/>
      <c r="AF246" s="71"/>
      <c r="AG246" s="71"/>
      <c r="AH246" s="72"/>
      <c r="AI246" s="73"/>
      <c r="AK246" s="71"/>
      <c r="AL246" s="71"/>
      <c r="AM246" s="71"/>
      <c r="AN246" s="72"/>
      <c r="AO246" s="73"/>
      <c r="AQ246" s="71"/>
      <c r="AR246" s="71"/>
      <c r="AS246" s="71"/>
      <c r="AT246" s="72"/>
      <c r="AU246" s="73"/>
      <c r="AW246" s="71"/>
      <c r="AX246" s="71"/>
      <c r="AY246" s="71"/>
      <c r="AZ246" s="72"/>
      <c r="BA246" s="73"/>
    </row>
    <row r="247" spans="1:53" ht="17.100000000000001" customHeight="1" x14ac:dyDescent="0.25">
      <c r="A247" s="40"/>
      <c r="B247" s="40"/>
      <c r="C247" s="41" t="s">
        <v>957</v>
      </c>
      <c r="D247" s="476" t="s">
        <v>955</v>
      </c>
      <c r="E247" s="322"/>
      <c r="F247" s="301"/>
      <c r="G247" s="301"/>
      <c r="H247" s="119"/>
      <c r="I247" s="236"/>
      <c r="J247" s="87"/>
      <c r="K247" s="87"/>
      <c r="L247" s="71"/>
      <c r="M247" s="71"/>
      <c r="N247" s="71"/>
      <c r="O247" s="71"/>
      <c r="P247" s="71"/>
      <c r="Q247" s="71"/>
      <c r="R247" s="71"/>
      <c r="S247" s="71"/>
      <c r="T247" s="71"/>
      <c r="U247" s="71"/>
      <c r="V247" s="355"/>
      <c r="W247" s="377"/>
      <c r="X247" s="71"/>
      <c r="Y247" s="89"/>
      <c r="Z247" s="90"/>
      <c r="AA247" s="90"/>
      <c r="AB247" s="90"/>
      <c r="AC247" s="73"/>
      <c r="AE247" s="87"/>
      <c r="AF247" s="87"/>
      <c r="AG247" s="71"/>
      <c r="AH247" s="89"/>
      <c r="AI247" s="90"/>
      <c r="AK247" s="87"/>
      <c r="AL247" s="87"/>
      <c r="AM247" s="71"/>
      <c r="AN247" s="89"/>
      <c r="AO247" s="90"/>
      <c r="AQ247" s="87"/>
      <c r="AR247" s="87"/>
      <c r="AS247" s="71"/>
      <c r="AT247" s="89"/>
      <c r="AU247" s="90"/>
      <c r="AW247" s="87"/>
      <c r="AX247" s="87"/>
      <c r="AY247" s="71"/>
      <c r="AZ247" s="89"/>
      <c r="BA247" s="90"/>
    </row>
    <row r="248" spans="1:53" ht="17.100000000000001" customHeight="1" x14ac:dyDescent="0.25">
      <c r="A248" s="40"/>
      <c r="B248" s="40"/>
      <c r="C248" s="119"/>
      <c r="D248" s="153" t="s">
        <v>933</v>
      </c>
      <c r="E248" s="142"/>
      <c r="F248" s="143"/>
      <c r="G248" s="143"/>
      <c r="H248" s="119"/>
      <c r="I248" s="236"/>
      <c r="J248" s="527">
        <v>0.39285714285714202</v>
      </c>
      <c r="K248" s="527"/>
      <c r="L248" s="528"/>
      <c r="M248" s="154"/>
      <c r="N248" s="154"/>
      <c r="O248" s="154"/>
      <c r="P248" s="154"/>
      <c r="Q248" s="154"/>
      <c r="R248" s="154"/>
      <c r="S248" s="154"/>
      <c r="T248" s="154"/>
      <c r="U248" s="154"/>
      <c r="V248" s="159"/>
      <c r="W248" s="387"/>
      <c r="X248" s="154"/>
      <c r="Y248" s="129"/>
      <c r="Z248" s="130"/>
      <c r="AA248" s="130"/>
      <c r="AB248" s="130"/>
      <c r="AC248" s="125"/>
      <c r="AE248" s="154"/>
      <c r="AF248" s="154"/>
      <c r="AG248" s="154"/>
      <c r="AH248" s="129"/>
      <c r="AI248" s="130"/>
      <c r="AK248" s="154"/>
      <c r="AL248" s="154"/>
      <c r="AM248" s="154"/>
      <c r="AN248" s="129"/>
      <c r="AO248" s="130"/>
      <c r="AQ248" s="154"/>
      <c r="AR248" s="154"/>
      <c r="AS248" s="154"/>
      <c r="AT248" s="129"/>
      <c r="AU248" s="130"/>
      <c r="AW248" s="154"/>
      <c r="AX248" s="154"/>
      <c r="AY248" s="154"/>
      <c r="AZ248" s="129"/>
      <c r="BA248" s="130"/>
    </row>
    <row r="249" spans="1:53" ht="17.100000000000001" customHeight="1" x14ac:dyDescent="0.25">
      <c r="A249" s="40"/>
      <c r="B249" s="40"/>
      <c r="C249" s="119"/>
      <c r="D249" s="153" t="s">
        <v>934</v>
      </c>
      <c r="E249" s="142"/>
      <c r="F249" s="143"/>
      <c r="G249" s="143"/>
      <c r="H249" s="119"/>
      <c r="I249" s="236"/>
      <c r="J249" s="527">
        <f>J248/2</f>
        <v>0.19642857142857101</v>
      </c>
      <c r="K249" s="527"/>
      <c r="L249" s="154"/>
      <c r="M249" s="154"/>
      <c r="N249" s="154"/>
      <c r="O249" s="154"/>
      <c r="P249" s="154"/>
      <c r="Q249" s="154"/>
      <c r="R249" s="154"/>
      <c r="S249" s="154"/>
      <c r="T249" s="154"/>
      <c r="U249" s="154"/>
      <c r="V249" s="159"/>
      <c r="W249" s="387"/>
      <c r="X249" s="154"/>
      <c r="Y249" s="129"/>
      <c r="Z249" s="130"/>
      <c r="AA249" s="130"/>
      <c r="AB249" s="130"/>
      <c r="AC249" s="125"/>
      <c r="AE249" s="154"/>
      <c r="AF249" s="154"/>
      <c r="AG249" s="154"/>
      <c r="AH249" s="129"/>
      <c r="AI249" s="130"/>
      <c r="AK249" s="154"/>
      <c r="AL249" s="154"/>
      <c r="AM249" s="154"/>
      <c r="AN249" s="129"/>
      <c r="AO249" s="130"/>
      <c r="AQ249" s="154"/>
      <c r="AR249" s="154"/>
      <c r="AS249" s="154"/>
      <c r="AT249" s="129"/>
      <c r="AU249" s="130"/>
      <c r="AW249" s="154"/>
      <c r="AX249" s="154"/>
      <c r="AY249" s="154"/>
      <c r="AZ249" s="129"/>
      <c r="BA249" s="130"/>
    </row>
    <row r="250" spans="1:53" ht="17.100000000000001" customHeight="1" x14ac:dyDescent="0.25">
      <c r="A250" s="40"/>
      <c r="B250" s="40"/>
      <c r="C250" s="119"/>
      <c r="D250" s="153" t="s">
        <v>940</v>
      </c>
      <c r="E250" s="142"/>
      <c r="F250" s="143"/>
      <c r="G250" s="143"/>
      <c r="H250" s="119"/>
      <c r="I250" s="236"/>
      <c r="J250" s="527">
        <f>J248*0.75</f>
        <v>0.29464285714285654</v>
      </c>
      <c r="K250" s="527"/>
      <c r="L250" s="154"/>
      <c r="M250" s="154"/>
      <c r="N250" s="154"/>
      <c r="O250" s="154"/>
      <c r="P250" s="154"/>
      <c r="Q250" s="154"/>
      <c r="R250" s="154"/>
      <c r="S250" s="154"/>
      <c r="T250" s="154"/>
      <c r="U250" s="154"/>
      <c r="V250" s="159"/>
      <c r="W250" s="387"/>
      <c r="X250" s="154"/>
      <c r="Y250" s="129"/>
      <c r="Z250" s="130"/>
      <c r="AA250" s="130"/>
      <c r="AB250" s="130"/>
      <c r="AC250" s="125"/>
      <c r="AE250" s="154"/>
      <c r="AF250" s="154"/>
      <c r="AG250" s="154"/>
      <c r="AH250" s="129"/>
      <c r="AI250" s="130"/>
      <c r="AK250" s="154"/>
      <c r="AL250" s="154"/>
      <c r="AM250" s="154"/>
      <c r="AN250" s="129"/>
      <c r="AO250" s="130"/>
      <c r="AQ250" s="154"/>
      <c r="AR250" s="154"/>
      <c r="AS250" s="154"/>
      <c r="AT250" s="129"/>
      <c r="AU250" s="130"/>
      <c r="AW250" s="154"/>
      <c r="AX250" s="154"/>
      <c r="AY250" s="154"/>
      <c r="AZ250" s="129"/>
      <c r="BA250" s="130"/>
    </row>
    <row r="251" spans="1:53" ht="17.100000000000001" customHeight="1" x14ac:dyDescent="0.25">
      <c r="A251" s="40"/>
      <c r="B251" s="40"/>
      <c r="C251" s="119"/>
      <c r="D251" s="153" t="s">
        <v>941</v>
      </c>
      <c r="E251" s="142"/>
      <c r="F251" s="143"/>
      <c r="G251" s="143"/>
      <c r="H251" s="119"/>
      <c r="I251" s="236"/>
      <c r="J251" s="527">
        <f>J248</f>
        <v>0.39285714285714202</v>
      </c>
      <c r="K251" s="527"/>
      <c r="L251" s="154"/>
      <c r="M251" s="154"/>
      <c r="N251" s="154"/>
      <c r="O251" s="154"/>
      <c r="P251" s="154"/>
      <c r="Q251" s="154"/>
      <c r="R251" s="154"/>
      <c r="S251" s="154"/>
      <c r="T251" s="154"/>
      <c r="U251" s="154"/>
      <c r="V251" s="159"/>
      <c r="W251" s="387"/>
      <c r="X251" s="154"/>
      <c r="Y251" s="129"/>
      <c r="Z251" s="130"/>
      <c r="AA251" s="130"/>
      <c r="AB251" s="130"/>
      <c r="AC251" s="125"/>
      <c r="AE251" s="154"/>
      <c r="AF251" s="154"/>
      <c r="AG251" s="154"/>
      <c r="AH251" s="129"/>
      <c r="AI251" s="130"/>
      <c r="AK251" s="154"/>
      <c r="AL251" s="154"/>
      <c r="AM251" s="154"/>
      <c r="AN251" s="129"/>
      <c r="AO251" s="130"/>
      <c r="AQ251" s="154"/>
      <c r="AR251" s="154"/>
      <c r="AS251" s="154"/>
      <c r="AT251" s="129"/>
      <c r="AU251" s="130"/>
      <c r="AW251" s="154"/>
      <c r="AX251" s="154"/>
      <c r="AY251" s="154"/>
      <c r="AZ251" s="129"/>
      <c r="BA251" s="130"/>
    </row>
    <row r="252" spans="1:53" ht="17.100000000000001" customHeight="1" x14ac:dyDescent="0.25">
      <c r="A252" s="40"/>
      <c r="B252" s="40"/>
      <c r="C252" s="119"/>
      <c r="D252" s="153" t="s">
        <v>942</v>
      </c>
      <c r="E252" s="142"/>
      <c r="F252" s="143"/>
      <c r="G252" s="143"/>
      <c r="H252" s="119"/>
      <c r="I252" s="236"/>
      <c r="J252" s="527">
        <f>J249</f>
        <v>0.19642857142857101</v>
      </c>
      <c r="K252" s="527"/>
      <c r="L252" s="154"/>
      <c r="M252" s="154"/>
      <c r="N252" s="154"/>
      <c r="O252" s="154"/>
      <c r="P252" s="154"/>
      <c r="Q252" s="154"/>
      <c r="R252" s="154"/>
      <c r="S252" s="154"/>
      <c r="T252" s="154"/>
      <c r="U252" s="154"/>
      <c r="V252" s="159"/>
      <c r="W252" s="387"/>
      <c r="X252" s="154"/>
      <c r="Y252" s="129"/>
      <c r="Z252" s="130"/>
      <c r="AA252" s="130"/>
      <c r="AB252" s="130"/>
      <c r="AC252" s="125"/>
      <c r="AE252" s="154"/>
      <c r="AF252" s="154"/>
      <c r="AG252" s="154"/>
      <c r="AH252" s="129"/>
      <c r="AI252" s="130"/>
      <c r="AK252" s="154"/>
      <c r="AL252" s="154"/>
      <c r="AM252" s="154"/>
      <c r="AN252" s="129"/>
      <c r="AO252" s="130"/>
      <c r="AQ252" s="154"/>
      <c r="AR252" s="154"/>
      <c r="AS252" s="154"/>
      <c r="AT252" s="129"/>
      <c r="AU252" s="130"/>
      <c r="AW252" s="154"/>
      <c r="AX252" s="154"/>
      <c r="AY252" s="154"/>
      <c r="AZ252" s="129"/>
      <c r="BA252" s="130"/>
    </row>
    <row r="253" spans="1:53" ht="17.100000000000001" customHeight="1" x14ac:dyDescent="0.25">
      <c r="A253" s="40"/>
      <c r="B253" s="40"/>
      <c r="C253" s="119"/>
      <c r="D253" s="153" t="s">
        <v>943</v>
      </c>
      <c r="E253" s="142"/>
      <c r="F253" s="143"/>
      <c r="G253" s="143"/>
      <c r="H253" s="119"/>
      <c r="I253" s="236"/>
      <c r="J253" s="527">
        <f>J248</f>
        <v>0.39285714285714202</v>
      </c>
      <c r="K253" s="527"/>
      <c r="L253" s="154"/>
      <c r="M253" s="154"/>
      <c r="N253" s="154"/>
      <c r="O253" s="154"/>
      <c r="P253" s="154"/>
      <c r="Q253" s="154"/>
      <c r="R253" s="154"/>
      <c r="S253" s="154"/>
      <c r="T253" s="154"/>
      <c r="U253" s="154"/>
      <c r="V253" s="159"/>
      <c r="W253" s="387"/>
      <c r="X253" s="154"/>
      <c r="Y253" s="129"/>
      <c r="Z253" s="130"/>
      <c r="AA253" s="130"/>
      <c r="AB253" s="130"/>
      <c r="AC253" s="125"/>
      <c r="AE253" s="154"/>
      <c r="AF253" s="154"/>
      <c r="AG253" s="154"/>
      <c r="AH253" s="129"/>
      <c r="AI253" s="130"/>
      <c r="AK253" s="154"/>
      <c r="AL253" s="154"/>
      <c r="AM253" s="154"/>
      <c r="AN253" s="129"/>
      <c r="AO253" s="130"/>
      <c r="AQ253" s="154"/>
      <c r="AR253" s="154"/>
      <c r="AS253" s="154"/>
      <c r="AT253" s="129"/>
      <c r="AU253" s="130"/>
      <c r="AW253" s="154"/>
      <c r="AX253" s="154"/>
      <c r="AY253" s="154"/>
      <c r="AZ253" s="129"/>
      <c r="BA253" s="130"/>
    </row>
    <row r="254" spans="1:53" ht="17.100000000000001" customHeight="1" x14ac:dyDescent="0.25">
      <c r="A254" s="40"/>
      <c r="B254" s="40"/>
      <c r="C254" s="119"/>
      <c r="D254" s="153" t="s">
        <v>944</v>
      </c>
      <c r="E254" s="142"/>
      <c r="F254" s="143"/>
      <c r="G254" s="143"/>
      <c r="H254" s="119"/>
      <c r="I254" s="236"/>
      <c r="J254" s="527">
        <f>J249</f>
        <v>0.19642857142857101</v>
      </c>
      <c r="K254" s="527"/>
      <c r="L254" s="154"/>
      <c r="M254" s="154"/>
      <c r="N254" s="154"/>
      <c r="O254" s="154"/>
      <c r="P254" s="154"/>
      <c r="Q254" s="154"/>
      <c r="R254" s="154"/>
      <c r="S254" s="154"/>
      <c r="T254" s="154"/>
      <c r="U254" s="154"/>
      <c r="V254" s="159"/>
      <c r="W254" s="387"/>
      <c r="X254" s="154"/>
      <c r="Y254" s="129"/>
      <c r="Z254" s="130"/>
      <c r="AA254" s="130"/>
      <c r="AB254" s="130"/>
      <c r="AC254" s="125"/>
      <c r="AE254" s="154"/>
      <c r="AF254" s="154"/>
      <c r="AG254" s="154"/>
      <c r="AH254" s="129"/>
      <c r="AI254" s="130"/>
      <c r="AK254" s="154"/>
      <c r="AL254" s="154"/>
      <c r="AM254" s="154"/>
      <c r="AN254" s="129"/>
      <c r="AO254" s="130"/>
      <c r="AQ254" s="154"/>
      <c r="AR254" s="154"/>
      <c r="AS254" s="154"/>
      <c r="AT254" s="129"/>
      <c r="AU254" s="130"/>
      <c r="AW254" s="154"/>
      <c r="AX254" s="154"/>
      <c r="AY254" s="154"/>
      <c r="AZ254" s="129"/>
      <c r="BA254" s="130"/>
    </row>
    <row r="255" spans="1:53" ht="17.100000000000001" customHeight="1" x14ac:dyDescent="0.25">
      <c r="A255" s="40"/>
      <c r="B255" s="40"/>
      <c r="C255" s="68"/>
      <c r="D255" s="153" t="s">
        <v>945</v>
      </c>
      <c r="E255" s="142"/>
      <c r="F255" s="143"/>
      <c r="G255" s="143"/>
      <c r="H255" s="119"/>
      <c r="I255" s="236"/>
      <c r="J255" s="527">
        <f>J248</f>
        <v>0.39285714285714202</v>
      </c>
      <c r="K255" s="527"/>
      <c r="L255" s="154"/>
      <c r="M255" s="154"/>
      <c r="N255" s="154"/>
      <c r="O255" s="154"/>
      <c r="P255" s="154"/>
      <c r="Q255" s="154"/>
      <c r="R255" s="154"/>
      <c r="S255" s="154"/>
      <c r="T255" s="154"/>
      <c r="U255" s="154"/>
      <c r="V255" s="159"/>
      <c r="W255" s="387"/>
      <c r="X255" s="154"/>
      <c r="Y255" s="129"/>
      <c r="Z255" s="130"/>
      <c r="AA255" s="130"/>
      <c r="AB255" s="130"/>
      <c r="AC255" s="125"/>
      <c r="AE255" s="154"/>
      <c r="AF255" s="154"/>
      <c r="AG255" s="154"/>
      <c r="AH255" s="129"/>
      <c r="AI255" s="130"/>
      <c r="AK255" s="154"/>
      <c r="AL255" s="154"/>
      <c r="AM255" s="154"/>
      <c r="AN255" s="129"/>
      <c r="AO255" s="130"/>
      <c r="AQ255" s="154"/>
      <c r="AR255" s="154"/>
      <c r="AS255" s="154"/>
      <c r="AT255" s="129"/>
      <c r="AU255" s="130"/>
      <c r="AW255" s="154"/>
      <c r="AX255" s="154"/>
      <c r="AY255" s="154"/>
      <c r="AZ255" s="129"/>
      <c r="BA255" s="130"/>
    </row>
    <row r="256" spans="1:53" ht="17.100000000000001" customHeight="1" x14ac:dyDescent="0.25">
      <c r="A256" s="40"/>
      <c r="B256" s="40"/>
      <c r="C256" s="40"/>
      <c r="D256" s="69" t="s">
        <v>413</v>
      </c>
      <c r="E256" s="322"/>
      <c r="F256" s="301"/>
      <c r="G256" s="301"/>
      <c r="H256" s="421"/>
      <c r="I256" s="236"/>
      <c r="J256" s="529"/>
      <c r="K256" s="529"/>
      <c r="L256" s="87"/>
      <c r="M256" s="87"/>
      <c r="N256" s="87"/>
      <c r="O256" s="87"/>
      <c r="P256" s="87"/>
      <c r="Q256" s="87"/>
      <c r="R256" s="87"/>
      <c r="S256" s="87"/>
      <c r="T256" s="87"/>
      <c r="U256" s="87"/>
      <c r="V256" s="530"/>
      <c r="W256" s="531"/>
      <c r="X256" s="87"/>
      <c r="Y256" s="89"/>
      <c r="Z256" s="90"/>
      <c r="AA256" s="90"/>
      <c r="AB256" s="90"/>
      <c r="AC256" s="73"/>
      <c r="AE256" s="154"/>
      <c r="AF256" s="154"/>
      <c r="AG256" s="154"/>
      <c r="AH256" s="129"/>
      <c r="AI256" s="130"/>
      <c r="AK256" s="154"/>
      <c r="AL256" s="154"/>
      <c r="AM256" s="154"/>
      <c r="AN256" s="129"/>
      <c r="AO256" s="130"/>
      <c r="AQ256" s="154"/>
      <c r="AR256" s="154"/>
      <c r="AS256" s="154"/>
      <c r="AT256" s="129"/>
      <c r="AU256" s="130"/>
      <c r="AW256" s="154"/>
      <c r="AX256" s="154"/>
      <c r="AY256" s="154"/>
      <c r="AZ256" s="129"/>
      <c r="BA256" s="130"/>
    </row>
    <row r="257" spans="1:53" ht="17.100000000000001" customHeight="1" x14ac:dyDescent="0.25">
      <c r="A257" s="40"/>
      <c r="B257" s="40"/>
      <c r="C257" s="119"/>
      <c r="D257" s="293" t="s">
        <v>935</v>
      </c>
      <c r="E257" s="142"/>
      <c r="F257" s="143"/>
      <c r="G257" s="143"/>
      <c r="H257" s="119"/>
      <c r="I257" s="236"/>
      <c r="J257" s="532"/>
      <c r="K257" s="532"/>
      <c r="L257" s="533">
        <f>(1*J250+3*J251)</f>
        <v>1.4732142857142827</v>
      </c>
      <c r="M257" s="533">
        <f>L257*N257</f>
        <v>0</v>
      </c>
      <c r="N257" s="532">
        <f t="shared" ref="N257:O259" si="313">N170</f>
        <v>0</v>
      </c>
      <c r="O257" s="532">
        <f t="shared" si="313"/>
        <v>1</v>
      </c>
      <c r="P257" s="532"/>
      <c r="Q257" s="532">
        <f t="shared" ref="Q257:R259" si="314">Q170</f>
        <v>0</v>
      </c>
      <c r="R257" s="532">
        <f t="shared" si="314"/>
        <v>0</v>
      </c>
      <c r="S257" s="532"/>
      <c r="T257" s="532">
        <f t="shared" ref="T257:U259" si="315">T170</f>
        <v>0</v>
      </c>
      <c r="U257" s="532">
        <f t="shared" si="315"/>
        <v>0</v>
      </c>
      <c r="V257" s="159"/>
      <c r="W257" s="387"/>
      <c r="X257" s="154"/>
      <c r="Y257" s="129"/>
      <c r="Z257" s="130"/>
      <c r="AA257" s="130"/>
      <c r="AB257" s="130"/>
      <c r="AC257" s="125"/>
      <c r="AE257" s="154"/>
      <c r="AF257" s="154"/>
      <c r="AG257" s="154"/>
      <c r="AH257" s="129"/>
      <c r="AI257" s="130"/>
      <c r="AK257" s="154"/>
      <c r="AL257" s="154"/>
      <c r="AM257" s="154"/>
      <c r="AN257" s="129"/>
      <c r="AO257" s="130"/>
      <c r="AQ257" s="154"/>
      <c r="AR257" s="154"/>
      <c r="AS257" s="154"/>
      <c r="AT257" s="129"/>
      <c r="AU257" s="130"/>
      <c r="AW257" s="154"/>
      <c r="AX257" s="154"/>
      <c r="AY257" s="154"/>
      <c r="AZ257" s="129"/>
      <c r="BA257" s="130"/>
    </row>
    <row r="258" spans="1:53" ht="17.100000000000001" customHeight="1" x14ac:dyDescent="0.25">
      <c r="A258" s="40"/>
      <c r="B258" s="40"/>
      <c r="C258" s="119"/>
      <c r="D258" s="293" t="s">
        <v>927</v>
      </c>
      <c r="E258" s="142"/>
      <c r="F258" s="143"/>
      <c r="G258" s="143"/>
      <c r="H258" s="119"/>
      <c r="I258" s="236"/>
      <c r="J258" s="532"/>
      <c r="K258" s="532"/>
      <c r="L258" s="533">
        <f>(1*J252+3*J253)</f>
        <v>1.3749999999999971</v>
      </c>
      <c r="M258" s="533">
        <f t="shared" ref="M258:M259" si="316">L258*N258</f>
        <v>0</v>
      </c>
      <c r="N258" s="532">
        <f t="shared" si="313"/>
        <v>0</v>
      </c>
      <c r="O258" s="532">
        <f t="shared" si="313"/>
        <v>3</v>
      </c>
      <c r="P258" s="532"/>
      <c r="Q258" s="532">
        <f t="shared" si="314"/>
        <v>0</v>
      </c>
      <c r="R258" s="532">
        <f t="shared" si="314"/>
        <v>4</v>
      </c>
      <c r="S258" s="532"/>
      <c r="T258" s="532">
        <f t="shared" si="315"/>
        <v>0</v>
      </c>
      <c r="U258" s="532">
        <f t="shared" si="315"/>
        <v>0</v>
      </c>
      <c r="V258" s="159"/>
      <c r="W258" s="387"/>
      <c r="X258" s="154"/>
      <c r="Y258" s="129"/>
      <c r="Z258" s="130"/>
      <c r="AA258" s="130"/>
      <c r="AB258" s="130"/>
      <c r="AC258" s="125"/>
      <c r="AE258" s="154"/>
      <c r="AF258" s="154"/>
      <c r="AG258" s="154"/>
      <c r="AH258" s="129"/>
      <c r="AI258" s="130"/>
      <c r="AK258" s="154"/>
      <c r="AL258" s="154"/>
      <c r="AM258" s="154"/>
      <c r="AN258" s="129"/>
      <c r="AO258" s="130"/>
      <c r="AQ258" s="154"/>
      <c r="AR258" s="154"/>
      <c r="AS258" s="154"/>
      <c r="AT258" s="129"/>
      <c r="AU258" s="130"/>
      <c r="AW258" s="154"/>
      <c r="AX258" s="154"/>
      <c r="AY258" s="154"/>
      <c r="AZ258" s="129"/>
      <c r="BA258" s="130"/>
    </row>
    <row r="259" spans="1:53" ht="17.100000000000001" customHeight="1" x14ac:dyDescent="0.25">
      <c r="A259" s="40"/>
      <c r="B259" s="40"/>
      <c r="C259" s="119"/>
      <c r="D259" s="293" t="s">
        <v>936</v>
      </c>
      <c r="E259" s="142"/>
      <c r="F259" s="143"/>
      <c r="G259" s="143"/>
      <c r="H259" s="119"/>
      <c r="I259" s="236"/>
      <c r="J259" s="532"/>
      <c r="K259" s="532"/>
      <c r="L259" s="533">
        <f>(5*J255)</f>
        <v>1.96428571428571</v>
      </c>
      <c r="M259" s="533">
        <f t="shared" si="316"/>
        <v>0</v>
      </c>
      <c r="N259" s="532">
        <f t="shared" si="313"/>
        <v>0</v>
      </c>
      <c r="O259" s="532">
        <f t="shared" si="313"/>
        <v>4</v>
      </c>
      <c r="P259" s="532"/>
      <c r="Q259" s="532">
        <f t="shared" si="314"/>
        <v>1</v>
      </c>
      <c r="R259" s="532">
        <f t="shared" si="314"/>
        <v>3</v>
      </c>
      <c r="S259" s="532"/>
      <c r="T259" s="532">
        <f t="shared" si="315"/>
        <v>0</v>
      </c>
      <c r="U259" s="532">
        <f t="shared" si="315"/>
        <v>0</v>
      </c>
      <c r="V259" s="159"/>
      <c r="W259" s="387"/>
      <c r="X259" s="154"/>
      <c r="Y259" s="129"/>
      <c r="Z259" s="130"/>
      <c r="AA259" s="130"/>
      <c r="AB259" s="130"/>
      <c r="AC259" s="125"/>
      <c r="AE259" s="154"/>
      <c r="AF259" s="154"/>
      <c r="AG259" s="154"/>
      <c r="AH259" s="129"/>
      <c r="AI259" s="130"/>
      <c r="AK259" s="154"/>
      <c r="AL259" s="154"/>
      <c r="AM259" s="154"/>
      <c r="AN259" s="129"/>
      <c r="AO259" s="130"/>
      <c r="AQ259" s="154"/>
      <c r="AR259" s="154"/>
      <c r="AS259" s="154"/>
      <c r="AT259" s="129"/>
      <c r="AU259" s="130"/>
      <c r="AW259" s="154"/>
      <c r="AX259" s="154"/>
      <c r="AY259" s="154"/>
      <c r="AZ259" s="129"/>
      <c r="BA259" s="130"/>
    </row>
    <row r="260" spans="1:53" ht="17.100000000000001" customHeight="1" x14ac:dyDescent="0.25">
      <c r="A260" s="40"/>
      <c r="B260" s="40"/>
      <c r="C260" s="119"/>
      <c r="D260" s="293" t="s">
        <v>922</v>
      </c>
      <c r="E260" s="142"/>
      <c r="F260" s="143"/>
      <c r="G260" s="143"/>
      <c r="H260" s="119"/>
      <c r="I260" s="236"/>
      <c r="J260" s="532"/>
      <c r="K260" s="532"/>
      <c r="L260" s="532"/>
      <c r="M260" s="533">
        <f>SUM(M257:M259)</f>
        <v>0</v>
      </c>
      <c r="N260" s="532">
        <f>SUM(N257:N259)</f>
        <v>0</v>
      </c>
      <c r="O260" s="532"/>
      <c r="P260" s="532"/>
      <c r="Q260" s="532"/>
      <c r="R260" s="532"/>
      <c r="S260" s="532"/>
      <c r="T260" s="532"/>
      <c r="U260" s="532"/>
      <c r="V260" s="159"/>
      <c r="W260" s="387"/>
      <c r="X260" s="154"/>
      <c r="Y260" s="129"/>
      <c r="Z260" s="130"/>
      <c r="AA260" s="130"/>
      <c r="AB260" s="130"/>
      <c r="AC260" s="125"/>
      <c r="AE260" s="154"/>
      <c r="AF260" s="154"/>
      <c r="AG260" s="154"/>
      <c r="AH260" s="129"/>
      <c r="AI260" s="130"/>
      <c r="AK260" s="154"/>
      <c r="AL260" s="154"/>
      <c r="AM260" s="154"/>
      <c r="AN260" s="129"/>
      <c r="AO260" s="130"/>
      <c r="AQ260" s="154"/>
      <c r="AR260" s="154"/>
      <c r="AS260" s="154"/>
      <c r="AT260" s="129"/>
      <c r="AU260" s="130"/>
      <c r="AW260" s="154"/>
      <c r="AX260" s="154"/>
      <c r="AY260" s="154"/>
      <c r="AZ260" s="129"/>
      <c r="BA260" s="130"/>
    </row>
    <row r="261" spans="1:53" ht="17.100000000000001" customHeight="1" x14ac:dyDescent="0.25">
      <c r="A261" s="40"/>
      <c r="B261" s="40"/>
      <c r="C261" s="119"/>
      <c r="D261" s="69" t="s">
        <v>124</v>
      </c>
      <c r="E261" s="322"/>
      <c r="F261" s="301"/>
      <c r="G261" s="301"/>
      <c r="H261" s="421"/>
      <c r="I261" s="236"/>
      <c r="J261" s="529"/>
      <c r="K261" s="529"/>
      <c r="L261" s="87"/>
      <c r="M261" s="87"/>
      <c r="N261" s="87"/>
      <c r="O261" s="87"/>
      <c r="P261" s="87"/>
      <c r="Q261" s="87"/>
      <c r="R261" s="87"/>
      <c r="S261" s="87"/>
      <c r="T261" s="87"/>
      <c r="U261" s="87"/>
      <c r="V261" s="530"/>
      <c r="W261" s="531"/>
      <c r="X261" s="87"/>
      <c r="Y261" s="89"/>
      <c r="Z261" s="90"/>
      <c r="AA261" s="90"/>
      <c r="AB261" s="90"/>
      <c r="AC261" s="73"/>
      <c r="AE261" s="154"/>
      <c r="AF261" s="154"/>
      <c r="AG261" s="154"/>
      <c r="AH261" s="129"/>
      <c r="AI261" s="130"/>
      <c r="AK261" s="154"/>
      <c r="AL261" s="154"/>
      <c r="AM261" s="154"/>
      <c r="AN261" s="129"/>
      <c r="AO261" s="130"/>
      <c r="AQ261" s="154"/>
      <c r="AR261" s="154"/>
      <c r="AS261" s="154"/>
      <c r="AT261" s="129"/>
      <c r="AU261" s="130"/>
      <c r="AW261" s="154"/>
      <c r="AX261" s="154"/>
      <c r="AY261" s="154"/>
      <c r="AZ261" s="129"/>
      <c r="BA261" s="130"/>
    </row>
    <row r="262" spans="1:53" ht="17.100000000000001" customHeight="1" x14ac:dyDescent="0.25">
      <c r="A262" s="40"/>
      <c r="B262" s="40"/>
      <c r="C262" s="119"/>
      <c r="D262" s="931" t="s">
        <v>666</v>
      </c>
      <c r="E262" s="150"/>
      <c r="F262" s="151"/>
      <c r="G262" s="151"/>
      <c r="H262" s="119"/>
      <c r="I262" s="236"/>
      <c r="J262" s="152"/>
      <c r="K262" s="152"/>
      <c r="L262" s="111"/>
      <c r="M262" s="111"/>
      <c r="N262" s="111"/>
      <c r="O262" s="111"/>
      <c r="P262" s="111"/>
      <c r="Q262" s="111"/>
      <c r="R262" s="111"/>
      <c r="S262" s="111"/>
      <c r="T262" s="111"/>
      <c r="U262" s="111"/>
      <c r="V262" s="358"/>
      <c r="W262" s="380"/>
      <c r="X262" s="111"/>
      <c r="Y262" s="932"/>
      <c r="Z262" s="131"/>
      <c r="AA262" s="131"/>
      <c r="AB262" s="131"/>
      <c r="AC262" s="113"/>
      <c r="AE262" s="152"/>
      <c r="AF262" s="152"/>
      <c r="AG262" s="111"/>
      <c r="AH262" s="932"/>
      <c r="AI262" s="131"/>
      <c r="AK262" s="152"/>
      <c r="AL262" s="152"/>
      <c r="AM262" s="111"/>
      <c r="AN262" s="932"/>
      <c r="AO262" s="131"/>
      <c r="AQ262" s="152"/>
      <c r="AR262" s="152"/>
      <c r="AS262" s="111"/>
      <c r="AT262" s="932"/>
      <c r="AU262" s="131"/>
      <c r="AW262" s="152"/>
      <c r="AX262" s="152"/>
      <c r="AY262" s="111"/>
      <c r="AZ262" s="932"/>
      <c r="BA262" s="131"/>
    </row>
    <row r="263" spans="1:53" ht="17.100000000000001" customHeight="1" x14ac:dyDescent="0.25">
      <c r="A263" s="40"/>
      <c r="B263" s="40"/>
      <c r="C263" s="119"/>
      <c r="D263" s="293" t="s">
        <v>414</v>
      </c>
      <c r="E263" s="142"/>
      <c r="F263" s="143"/>
      <c r="G263" s="143"/>
      <c r="H263" s="245"/>
      <c r="I263" s="239"/>
      <c r="J263" s="154"/>
      <c r="K263" s="154"/>
      <c r="L263" s="154"/>
      <c r="M263" s="154"/>
      <c r="N263" s="154">
        <f t="shared" ref="N263:O268" si="317">N178</f>
        <v>0</v>
      </c>
      <c r="O263" s="154">
        <f t="shared" si="317"/>
        <v>1</v>
      </c>
      <c r="P263" s="154"/>
      <c r="Q263" s="154">
        <f>Q178</f>
        <v>0</v>
      </c>
      <c r="R263" s="154">
        <f>R178</f>
        <v>0</v>
      </c>
      <c r="S263" s="154"/>
      <c r="T263" s="154">
        <f>T178</f>
        <v>0</v>
      </c>
      <c r="U263" s="154">
        <f>U178</f>
        <v>0</v>
      </c>
      <c r="V263" s="159"/>
      <c r="W263" s="387"/>
      <c r="X263" s="154"/>
      <c r="Y263" s="129"/>
      <c r="Z263" s="130"/>
      <c r="AA263" s="130"/>
      <c r="AB263" s="130"/>
      <c r="AC263" s="125"/>
      <c r="AE263" s="154"/>
      <c r="AF263" s="154"/>
      <c r="AG263" s="154"/>
      <c r="AH263" s="129"/>
      <c r="AI263" s="130"/>
      <c r="AK263" s="154"/>
      <c r="AL263" s="154"/>
      <c r="AM263" s="154"/>
      <c r="AN263" s="129"/>
      <c r="AO263" s="130"/>
      <c r="AQ263" s="154"/>
      <c r="AR263" s="154"/>
      <c r="AS263" s="154"/>
      <c r="AT263" s="129"/>
      <c r="AU263" s="130"/>
      <c r="AW263" s="154"/>
      <c r="AX263" s="154"/>
      <c r="AY263" s="154"/>
      <c r="AZ263" s="129"/>
      <c r="BA263" s="130"/>
    </row>
    <row r="264" spans="1:53" ht="17.100000000000001" customHeight="1" x14ac:dyDescent="0.25">
      <c r="A264" s="40"/>
      <c r="B264" s="40"/>
      <c r="C264" s="119"/>
      <c r="D264" s="293" t="s">
        <v>415</v>
      </c>
      <c r="E264" s="142"/>
      <c r="F264" s="143"/>
      <c r="G264" s="143"/>
      <c r="H264" s="245"/>
      <c r="I264" s="239"/>
      <c r="J264" s="154"/>
      <c r="K264" s="154"/>
      <c r="L264" s="154"/>
      <c r="M264" s="154"/>
      <c r="N264" s="154">
        <f t="shared" si="317"/>
        <v>0</v>
      </c>
      <c r="O264" s="154">
        <f t="shared" si="317"/>
        <v>2</v>
      </c>
      <c r="P264" s="154"/>
      <c r="Q264" s="154">
        <f t="shared" ref="Q264:R268" si="318">Q179</f>
        <v>0</v>
      </c>
      <c r="R264" s="154">
        <f t="shared" si="318"/>
        <v>3</v>
      </c>
      <c r="S264" s="154"/>
      <c r="T264" s="154">
        <f t="shared" ref="T264:U268" si="319">T179</f>
        <v>0</v>
      </c>
      <c r="U264" s="154">
        <f t="shared" si="319"/>
        <v>0</v>
      </c>
      <c r="V264" s="159"/>
      <c r="W264" s="387"/>
      <c r="X264" s="154"/>
      <c r="Y264" s="129"/>
      <c r="Z264" s="130"/>
      <c r="AA264" s="130"/>
      <c r="AB264" s="130"/>
      <c r="AC264" s="125"/>
      <c r="AE264" s="154"/>
      <c r="AF264" s="154"/>
      <c r="AG264" s="154"/>
      <c r="AH264" s="129"/>
      <c r="AI264" s="130"/>
      <c r="AK264" s="154"/>
      <c r="AL264" s="154"/>
      <c r="AM264" s="154"/>
      <c r="AN264" s="129"/>
      <c r="AO264" s="130"/>
      <c r="AQ264" s="154"/>
      <c r="AR264" s="154"/>
      <c r="AS264" s="154"/>
      <c r="AT264" s="129"/>
      <c r="AU264" s="130"/>
      <c r="AW264" s="154"/>
      <c r="AX264" s="154"/>
      <c r="AY264" s="154"/>
      <c r="AZ264" s="129"/>
      <c r="BA264" s="130"/>
    </row>
    <row r="265" spans="1:53" ht="17.100000000000001" customHeight="1" x14ac:dyDescent="0.25">
      <c r="A265" s="40"/>
      <c r="B265" s="40"/>
      <c r="C265" s="119"/>
      <c r="D265" s="293" t="s">
        <v>416</v>
      </c>
      <c r="E265" s="142"/>
      <c r="F265" s="143"/>
      <c r="G265" s="143"/>
      <c r="H265" s="245"/>
      <c r="I265" s="239"/>
      <c r="J265" s="154"/>
      <c r="K265" s="154"/>
      <c r="L265" s="154"/>
      <c r="M265" s="154"/>
      <c r="N265" s="154">
        <f t="shared" si="317"/>
        <v>0</v>
      </c>
      <c r="O265" s="154">
        <f t="shared" si="317"/>
        <v>1</v>
      </c>
      <c r="P265" s="154"/>
      <c r="Q265" s="154">
        <f t="shared" si="318"/>
        <v>0</v>
      </c>
      <c r="R265" s="154">
        <f t="shared" si="318"/>
        <v>2</v>
      </c>
      <c r="S265" s="154"/>
      <c r="T265" s="154">
        <f t="shared" si="319"/>
        <v>0</v>
      </c>
      <c r="U265" s="154">
        <f t="shared" si="319"/>
        <v>0</v>
      </c>
      <c r="V265" s="159"/>
      <c r="W265" s="387"/>
      <c r="X265" s="154"/>
      <c r="Y265" s="129"/>
      <c r="Z265" s="130"/>
      <c r="AA265" s="130"/>
      <c r="AB265" s="130"/>
      <c r="AC265" s="125"/>
      <c r="AE265" s="154"/>
      <c r="AF265" s="154"/>
      <c r="AG265" s="154"/>
      <c r="AH265" s="129"/>
      <c r="AI265" s="130"/>
      <c r="AK265" s="154"/>
      <c r="AL265" s="154"/>
      <c r="AM265" s="154"/>
      <c r="AN265" s="129"/>
      <c r="AO265" s="130"/>
      <c r="AQ265" s="154"/>
      <c r="AR265" s="154"/>
      <c r="AS265" s="154"/>
      <c r="AT265" s="129"/>
      <c r="AU265" s="130"/>
      <c r="AW265" s="154"/>
      <c r="AX265" s="154"/>
      <c r="AY265" s="154"/>
      <c r="AZ265" s="129"/>
      <c r="BA265" s="130"/>
    </row>
    <row r="266" spans="1:53" ht="17.100000000000001" customHeight="1" x14ac:dyDescent="0.25">
      <c r="A266" s="40"/>
      <c r="B266" s="40"/>
      <c r="C266" s="119"/>
      <c r="D266" s="293" t="s">
        <v>127</v>
      </c>
      <c r="E266" s="142"/>
      <c r="F266" s="143"/>
      <c r="G266" s="143"/>
      <c r="H266" s="245"/>
      <c r="I266" s="239"/>
      <c r="J266" s="154"/>
      <c r="K266" s="154"/>
      <c r="L266" s="154"/>
      <c r="M266" s="154"/>
      <c r="N266" s="154">
        <f t="shared" si="317"/>
        <v>0</v>
      </c>
      <c r="O266" s="154">
        <f t="shared" si="317"/>
        <v>0</v>
      </c>
      <c r="P266" s="154"/>
      <c r="Q266" s="154">
        <f t="shared" si="318"/>
        <v>0</v>
      </c>
      <c r="R266" s="154">
        <f t="shared" si="318"/>
        <v>1</v>
      </c>
      <c r="S266" s="154"/>
      <c r="T266" s="154">
        <f t="shared" si="319"/>
        <v>0</v>
      </c>
      <c r="U266" s="154">
        <f t="shared" si="319"/>
        <v>0</v>
      </c>
      <c r="V266" s="159"/>
      <c r="W266" s="387"/>
      <c r="X266" s="154"/>
      <c r="Y266" s="129"/>
      <c r="Z266" s="130"/>
      <c r="AA266" s="130"/>
      <c r="AB266" s="130"/>
      <c r="AC266" s="125"/>
      <c r="AE266" s="154"/>
      <c r="AF266" s="154"/>
      <c r="AG266" s="154"/>
      <c r="AH266" s="129"/>
      <c r="AI266" s="130"/>
      <c r="AK266" s="154"/>
      <c r="AL266" s="154"/>
      <c r="AM266" s="154"/>
      <c r="AN266" s="129"/>
      <c r="AO266" s="130"/>
      <c r="AQ266" s="154"/>
      <c r="AR266" s="154"/>
      <c r="AS266" s="154"/>
      <c r="AT266" s="129"/>
      <c r="AU266" s="130"/>
      <c r="AW266" s="154"/>
      <c r="AX266" s="154"/>
      <c r="AY266" s="154"/>
      <c r="AZ266" s="129"/>
      <c r="BA266" s="130"/>
    </row>
    <row r="267" spans="1:53" ht="17.100000000000001" customHeight="1" x14ac:dyDescent="0.25">
      <c r="A267" s="40"/>
      <c r="B267" s="40"/>
      <c r="C267" s="119"/>
      <c r="D267" s="293" t="s">
        <v>417</v>
      </c>
      <c r="E267" s="142"/>
      <c r="F267" s="143"/>
      <c r="G267" s="143"/>
      <c r="H267" s="245"/>
      <c r="I267" s="239"/>
      <c r="J267" s="154"/>
      <c r="K267" s="154"/>
      <c r="L267" s="154"/>
      <c r="M267" s="154"/>
      <c r="N267" s="154">
        <f t="shared" si="317"/>
        <v>0</v>
      </c>
      <c r="O267" s="154">
        <f t="shared" si="317"/>
        <v>0</v>
      </c>
      <c r="P267" s="154"/>
      <c r="Q267" s="154">
        <f t="shared" si="318"/>
        <v>1</v>
      </c>
      <c r="R267" s="154">
        <f t="shared" si="318"/>
        <v>1</v>
      </c>
      <c r="S267" s="154"/>
      <c r="T267" s="154">
        <f t="shared" si="319"/>
        <v>0</v>
      </c>
      <c r="U267" s="154">
        <f t="shared" si="319"/>
        <v>0</v>
      </c>
      <c r="V267" s="159"/>
      <c r="W267" s="387"/>
      <c r="X267" s="154"/>
      <c r="Y267" s="129"/>
      <c r="Z267" s="130"/>
      <c r="AA267" s="130"/>
      <c r="AB267" s="130"/>
      <c r="AC267" s="125"/>
      <c r="AE267" s="154"/>
      <c r="AF267" s="154"/>
      <c r="AG267" s="154"/>
      <c r="AH267" s="129"/>
      <c r="AI267" s="130"/>
      <c r="AK267" s="154"/>
      <c r="AL267" s="154"/>
      <c r="AM267" s="154"/>
      <c r="AN267" s="129"/>
      <c r="AO267" s="130"/>
      <c r="AQ267" s="154"/>
      <c r="AR267" s="154"/>
      <c r="AS267" s="154"/>
      <c r="AT267" s="129"/>
      <c r="AU267" s="130"/>
      <c r="AW267" s="154"/>
      <c r="AX267" s="154"/>
      <c r="AY267" s="154"/>
      <c r="AZ267" s="129"/>
      <c r="BA267" s="130"/>
    </row>
    <row r="268" spans="1:53" ht="17.100000000000001" customHeight="1" x14ac:dyDescent="0.25">
      <c r="A268" s="40"/>
      <c r="B268" s="40"/>
      <c r="C268" s="119"/>
      <c r="D268" s="293" t="s">
        <v>418</v>
      </c>
      <c r="E268" s="142"/>
      <c r="F268" s="143"/>
      <c r="G268" s="143"/>
      <c r="H268" s="245"/>
      <c r="I268" s="239"/>
      <c r="J268" s="154"/>
      <c r="K268" s="154"/>
      <c r="L268" s="154"/>
      <c r="M268" s="154"/>
      <c r="N268" s="154">
        <f t="shared" si="317"/>
        <v>0</v>
      </c>
      <c r="O268" s="154">
        <f t="shared" si="317"/>
        <v>4</v>
      </c>
      <c r="P268" s="154"/>
      <c r="Q268" s="154">
        <f t="shared" si="318"/>
        <v>0</v>
      </c>
      <c r="R268" s="154">
        <f t="shared" si="318"/>
        <v>0</v>
      </c>
      <c r="S268" s="154"/>
      <c r="T268" s="154">
        <f t="shared" si="319"/>
        <v>0</v>
      </c>
      <c r="U268" s="154">
        <f t="shared" si="319"/>
        <v>0</v>
      </c>
      <c r="V268" s="159"/>
      <c r="W268" s="387"/>
      <c r="X268" s="154"/>
      <c r="Y268" s="129"/>
      <c r="Z268" s="130"/>
      <c r="AA268" s="130"/>
      <c r="AB268" s="130"/>
      <c r="AC268" s="125"/>
      <c r="AE268" s="154"/>
      <c r="AF268" s="154"/>
      <c r="AG268" s="154"/>
      <c r="AH268" s="129"/>
      <c r="AI268" s="130"/>
      <c r="AK268" s="154"/>
      <c r="AL268" s="154"/>
      <c r="AM268" s="154"/>
      <c r="AN268" s="129"/>
      <c r="AO268" s="130"/>
      <c r="AQ268" s="154"/>
      <c r="AR268" s="154"/>
      <c r="AS268" s="154"/>
      <c r="AT268" s="129"/>
      <c r="AU268" s="130"/>
      <c r="AW268" s="154"/>
      <c r="AX268" s="154"/>
      <c r="AY268" s="154"/>
      <c r="AZ268" s="129"/>
      <c r="BA268" s="130"/>
    </row>
    <row r="269" spans="1:53" s="158" customFormat="1" ht="17.100000000000001" customHeight="1" x14ac:dyDescent="0.25">
      <c r="A269" s="102"/>
      <c r="B269" s="102"/>
      <c r="C269" s="928"/>
      <c r="D269" s="944" t="s">
        <v>922</v>
      </c>
      <c r="E269" s="945"/>
      <c r="F269" s="946"/>
      <c r="G269" s="946"/>
      <c r="H269" s="242"/>
      <c r="I269" s="230"/>
      <c r="J269" s="160"/>
      <c r="K269" s="160"/>
      <c r="L269" s="160"/>
      <c r="M269" s="160"/>
      <c r="N269" s="160">
        <f>SUM(N263:N268)</f>
        <v>0</v>
      </c>
      <c r="O269" s="160">
        <f>SUM(O263:O268)</f>
        <v>8</v>
      </c>
      <c r="P269" s="160"/>
      <c r="Q269" s="160">
        <f>SUM(Q263:Q268)</f>
        <v>1</v>
      </c>
      <c r="R269" s="160">
        <f>SUM(R263:R268)</f>
        <v>7</v>
      </c>
      <c r="S269" s="160"/>
      <c r="T269" s="160">
        <f>SUM(T263:T268)</f>
        <v>0</v>
      </c>
      <c r="U269" s="160">
        <f>SUM(U263:U268)</f>
        <v>0</v>
      </c>
      <c r="V269" s="947"/>
      <c r="W269" s="948"/>
      <c r="X269" s="160"/>
      <c r="Y269" s="129"/>
      <c r="Z269" s="949"/>
      <c r="AA269" s="949"/>
      <c r="AB269" s="949"/>
      <c r="AC269" s="904"/>
      <c r="AE269" s="160"/>
      <c r="AF269" s="160"/>
      <c r="AG269" s="160"/>
      <c r="AH269" s="129"/>
      <c r="AI269" s="949"/>
      <c r="AJ269" s="409"/>
      <c r="AK269" s="160"/>
      <c r="AL269" s="160"/>
      <c r="AM269" s="160"/>
      <c r="AN269" s="129"/>
      <c r="AO269" s="949"/>
      <c r="AP269" s="409"/>
      <c r="AQ269" s="160"/>
      <c r="AR269" s="160"/>
      <c r="AS269" s="160"/>
      <c r="AT269" s="129"/>
      <c r="AU269" s="949"/>
      <c r="AV269" s="409"/>
      <c r="AW269" s="160"/>
      <c r="AX269" s="160"/>
      <c r="AY269" s="160"/>
      <c r="AZ269" s="129"/>
      <c r="BA269" s="949"/>
    </row>
    <row r="270" spans="1:53" ht="17.100000000000001" customHeight="1" x14ac:dyDescent="0.25">
      <c r="A270" s="40"/>
      <c r="B270" s="40"/>
      <c r="C270" s="119"/>
      <c r="D270" s="293" t="s">
        <v>938</v>
      </c>
      <c r="E270" s="142"/>
      <c r="F270" s="143"/>
      <c r="G270" s="143"/>
      <c r="H270" s="245"/>
      <c r="I270" s="239"/>
      <c r="J270" s="154"/>
      <c r="K270" s="154"/>
      <c r="L270" s="154"/>
      <c r="M270" s="154"/>
      <c r="N270" s="154"/>
      <c r="O270" s="154"/>
      <c r="P270" s="154"/>
      <c r="Q270" s="154"/>
      <c r="R270" s="154"/>
      <c r="S270" s="154"/>
      <c r="T270" s="154"/>
      <c r="U270" s="154"/>
      <c r="V270" s="159"/>
      <c r="W270" s="387"/>
      <c r="X270" s="154"/>
      <c r="Y270" s="129"/>
      <c r="Z270" s="130"/>
      <c r="AA270" s="130"/>
      <c r="AB270" s="130"/>
      <c r="AC270" s="125"/>
      <c r="AE270" s="154"/>
      <c r="AF270" s="154"/>
      <c r="AG270" s="154"/>
      <c r="AH270" s="129"/>
      <c r="AI270" s="130"/>
      <c r="AK270" s="154"/>
      <c r="AL270" s="154"/>
      <c r="AM270" s="154"/>
      <c r="AN270" s="129"/>
      <c r="AO270" s="130"/>
      <c r="AQ270" s="154"/>
      <c r="AR270" s="154"/>
      <c r="AS270" s="154"/>
      <c r="AT270" s="129"/>
      <c r="AU270" s="130"/>
      <c r="AW270" s="154"/>
      <c r="AX270" s="154"/>
      <c r="AY270" s="154"/>
      <c r="AZ270" s="129"/>
      <c r="BA270" s="130"/>
    </row>
    <row r="271" spans="1:53" ht="17.100000000000001" customHeight="1" x14ac:dyDescent="0.25">
      <c r="A271" s="40"/>
      <c r="B271" s="40"/>
      <c r="C271" s="119"/>
      <c r="D271" s="293" t="s">
        <v>414</v>
      </c>
      <c r="E271" s="142"/>
      <c r="F271" s="143"/>
      <c r="G271" s="143"/>
      <c r="H271" s="245"/>
      <c r="I271" s="239"/>
      <c r="J271" s="154"/>
      <c r="K271" s="154"/>
      <c r="L271" s="154"/>
      <c r="M271" s="154"/>
      <c r="N271" s="950">
        <f>IF(N263&gt;0,N263*2,0)</f>
        <v>0</v>
      </c>
      <c r="O271" s="950">
        <f>IF(O263&gt;0,O263*2,0)</f>
        <v>2</v>
      </c>
      <c r="P271" s="154"/>
      <c r="Q271" s="950">
        <f>IF(Q263&gt;0,Q263*2,0)</f>
        <v>0</v>
      </c>
      <c r="R271" s="950">
        <f>IF(R263&gt;0,R263*2,0)</f>
        <v>0</v>
      </c>
      <c r="S271" s="154"/>
      <c r="T271" s="950">
        <f>IF(T263&gt;0,T263*2,0)</f>
        <v>0</v>
      </c>
      <c r="U271" s="950">
        <f>IF(U263&gt;0,U263*2,0)</f>
        <v>0</v>
      </c>
      <c r="V271" s="159"/>
      <c r="W271" s="387"/>
      <c r="X271" s="154"/>
      <c r="Y271" s="129"/>
      <c r="Z271" s="130"/>
      <c r="AA271" s="130"/>
      <c r="AB271" s="130"/>
      <c r="AC271" s="125"/>
      <c r="AE271" s="154"/>
      <c r="AF271" s="154"/>
      <c r="AG271" s="154"/>
      <c r="AH271" s="129"/>
      <c r="AI271" s="130"/>
      <c r="AK271" s="154"/>
      <c r="AL271" s="154"/>
      <c r="AM271" s="154"/>
      <c r="AN271" s="129"/>
      <c r="AO271" s="130"/>
      <c r="AQ271" s="154"/>
      <c r="AR271" s="154"/>
      <c r="AS271" s="154"/>
      <c r="AT271" s="129"/>
      <c r="AU271" s="130"/>
      <c r="AW271" s="154"/>
      <c r="AX271" s="154"/>
      <c r="AY271" s="154"/>
      <c r="AZ271" s="129"/>
      <c r="BA271" s="130"/>
    </row>
    <row r="272" spans="1:53" ht="17.100000000000001" customHeight="1" x14ac:dyDescent="0.25">
      <c r="A272" s="40"/>
      <c r="B272" s="40"/>
      <c r="C272" s="119"/>
      <c r="D272" s="293" t="s">
        <v>415</v>
      </c>
      <c r="E272" s="142"/>
      <c r="F272" s="143"/>
      <c r="G272" s="143"/>
      <c r="H272" s="245"/>
      <c r="I272" s="239"/>
      <c r="J272" s="154"/>
      <c r="K272" s="154"/>
      <c r="L272" s="154"/>
      <c r="M272" s="154"/>
      <c r="N272" s="950">
        <f>IF(N264&gt;0,N264*3,0)</f>
        <v>0</v>
      </c>
      <c r="O272" s="950">
        <f>IF(O264&gt;0,O264*3,0)</f>
        <v>6</v>
      </c>
      <c r="P272" s="154"/>
      <c r="Q272" s="950">
        <f>IF(Q264&gt;0,Q264*3,0)</f>
        <v>0</v>
      </c>
      <c r="R272" s="950">
        <f>IF(R264&gt;0,R264*3,0)</f>
        <v>9</v>
      </c>
      <c r="S272" s="154"/>
      <c r="T272" s="950">
        <f>IF(T264&gt;0,T264*3,0)</f>
        <v>0</v>
      </c>
      <c r="U272" s="950">
        <f>IF(U264&gt;0,U264*3,0)</f>
        <v>0</v>
      </c>
      <c r="V272" s="159"/>
      <c r="W272" s="387"/>
      <c r="X272" s="154"/>
      <c r="Y272" s="129"/>
      <c r="Z272" s="130"/>
      <c r="AA272" s="130"/>
      <c r="AB272" s="130"/>
      <c r="AC272" s="125"/>
      <c r="AE272" s="154"/>
      <c r="AF272" s="154"/>
      <c r="AG272" s="154"/>
      <c r="AH272" s="129"/>
      <c r="AI272" s="130"/>
      <c r="AK272" s="154"/>
      <c r="AL272" s="154"/>
      <c r="AM272" s="154"/>
      <c r="AN272" s="129"/>
      <c r="AO272" s="130"/>
      <c r="AQ272" s="154"/>
      <c r="AR272" s="154"/>
      <c r="AS272" s="154"/>
      <c r="AT272" s="129"/>
      <c r="AU272" s="130"/>
      <c r="AW272" s="154"/>
      <c r="AX272" s="154"/>
      <c r="AY272" s="154"/>
      <c r="AZ272" s="129"/>
      <c r="BA272" s="130"/>
    </row>
    <row r="273" spans="1:53" ht="17.100000000000001" customHeight="1" x14ac:dyDescent="0.25">
      <c r="A273" s="40"/>
      <c r="B273" s="40"/>
      <c r="C273" s="119"/>
      <c r="D273" s="293" t="s">
        <v>416</v>
      </c>
      <c r="E273" s="142"/>
      <c r="F273" s="143"/>
      <c r="G273" s="143"/>
      <c r="H273" s="245"/>
      <c r="I273" s="239"/>
      <c r="J273" s="154"/>
      <c r="K273" s="154"/>
      <c r="L273" s="154"/>
      <c r="M273" s="154"/>
      <c r="N273" s="950">
        <f>IF(N265&gt;0,N265*4,0)</f>
        <v>0</v>
      </c>
      <c r="O273" s="950">
        <f>IF(O265&gt;0,O265*4,0)</f>
        <v>4</v>
      </c>
      <c r="P273" s="154"/>
      <c r="Q273" s="950">
        <f>IF(Q265&gt;0,Q265*4,0)</f>
        <v>0</v>
      </c>
      <c r="R273" s="950">
        <f>IF(R265&gt;0,R265*4,0)</f>
        <v>8</v>
      </c>
      <c r="S273" s="154"/>
      <c r="T273" s="950">
        <f>IF(T265&gt;0,T265*4,0)</f>
        <v>0</v>
      </c>
      <c r="U273" s="950">
        <f>IF(U265&gt;0,U265*4,0)</f>
        <v>0</v>
      </c>
      <c r="V273" s="159"/>
      <c r="W273" s="387"/>
      <c r="X273" s="154"/>
      <c r="Y273" s="129"/>
      <c r="Z273" s="130"/>
      <c r="AA273" s="130"/>
      <c r="AB273" s="130"/>
      <c r="AC273" s="125"/>
      <c r="AE273" s="154"/>
      <c r="AF273" s="154"/>
      <c r="AG273" s="154"/>
      <c r="AH273" s="129"/>
      <c r="AI273" s="130"/>
      <c r="AK273" s="154"/>
      <c r="AL273" s="154"/>
      <c r="AM273" s="154"/>
      <c r="AN273" s="129"/>
      <c r="AO273" s="130"/>
      <c r="AQ273" s="154"/>
      <c r="AR273" s="154"/>
      <c r="AS273" s="154"/>
      <c r="AT273" s="129"/>
      <c r="AU273" s="130"/>
      <c r="AW273" s="154"/>
      <c r="AX273" s="154"/>
      <c r="AY273" s="154"/>
      <c r="AZ273" s="129"/>
      <c r="BA273" s="130"/>
    </row>
    <row r="274" spans="1:53" ht="17.100000000000001" customHeight="1" x14ac:dyDescent="0.25">
      <c r="A274" s="40"/>
      <c r="B274" s="40"/>
      <c r="C274" s="119"/>
      <c r="D274" s="293" t="s">
        <v>127</v>
      </c>
      <c r="E274" s="142"/>
      <c r="F274" s="143"/>
      <c r="G274" s="143"/>
      <c r="H274" s="245"/>
      <c r="I274" s="239"/>
      <c r="J274" s="154"/>
      <c r="K274" s="154"/>
      <c r="L274" s="154"/>
      <c r="M274" s="154"/>
      <c r="N274" s="950">
        <f>IF(N266&gt;0,N266*5,0)</f>
        <v>0</v>
      </c>
      <c r="O274" s="950">
        <f>IF(O266&gt;0,O266*5,0)</f>
        <v>0</v>
      </c>
      <c r="P274" s="154"/>
      <c r="Q274" s="950">
        <f>IF(Q266&gt;0,Q266*5,0)</f>
        <v>0</v>
      </c>
      <c r="R274" s="950">
        <f>IF(R266&gt;0,R266*5,0)</f>
        <v>5</v>
      </c>
      <c r="S274" s="154"/>
      <c r="T274" s="950">
        <f>IF(T266&gt;0,T266*5,0)</f>
        <v>0</v>
      </c>
      <c r="U274" s="950">
        <f>IF(U266&gt;0,U266*5,0)</f>
        <v>0</v>
      </c>
      <c r="V274" s="159"/>
      <c r="W274" s="387"/>
      <c r="X274" s="154"/>
      <c r="Y274" s="129"/>
      <c r="Z274" s="130"/>
      <c r="AA274" s="130"/>
      <c r="AB274" s="130"/>
      <c r="AC274" s="125"/>
      <c r="AE274" s="154"/>
      <c r="AF274" s="154"/>
      <c r="AG274" s="154"/>
      <c r="AH274" s="129"/>
      <c r="AI274" s="130"/>
      <c r="AK274" s="154"/>
      <c r="AL274" s="154"/>
      <c r="AM274" s="154"/>
      <c r="AN274" s="129"/>
      <c r="AO274" s="130"/>
      <c r="AQ274" s="154"/>
      <c r="AR274" s="154"/>
      <c r="AS274" s="154"/>
      <c r="AT274" s="129"/>
      <c r="AU274" s="130"/>
      <c r="AW274" s="154"/>
      <c r="AX274" s="154"/>
      <c r="AY274" s="154"/>
      <c r="AZ274" s="129"/>
      <c r="BA274" s="130"/>
    </row>
    <row r="275" spans="1:53" ht="17.100000000000001" customHeight="1" x14ac:dyDescent="0.25">
      <c r="A275" s="40"/>
      <c r="B275" s="40"/>
      <c r="C275" s="119"/>
      <c r="D275" s="293" t="s">
        <v>417</v>
      </c>
      <c r="E275" s="142"/>
      <c r="F275" s="143"/>
      <c r="G275" s="143"/>
      <c r="H275" s="245"/>
      <c r="I275" s="239"/>
      <c r="J275" s="154"/>
      <c r="K275" s="154"/>
      <c r="L275" s="154"/>
      <c r="M275" s="154"/>
      <c r="N275" s="950">
        <f>IF(N267&gt;0,N267*6,0)</f>
        <v>0</v>
      </c>
      <c r="O275" s="950">
        <f>IF(O267&gt;0,O267*6,0)</f>
        <v>0</v>
      </c>
      <c r="P275" s="154"/>
      <c r="Q275" s="950">
        <f>IF(Q267&gt;0,Q267*6,0)</f>
        <v>6</v>
      </c>
      <c r="R275" s="950">
        <f>IF(R267&gt;0,R267*6,0)</f>
        <v>6</v>
      </c>
      <c r="S275" s="154"/>
      <c r="T275" s="950">
        <f>IF(T267&gt;0,T267*6,0)</f>
        <v>0</v>
      </c>
      <c r="U275" s="950">
        <f>IF(U267&gt;0,U267*6,0)</f>
        <v>0</v>
      </c>
      <c r="V275" s="159"/>
      <c r="W275" s="387"/>
      <c r="X275" s="154"/>
      <c r="Y275" s="129"/>
      <c r="Z275" s="130"/>
      <c r="AA275" s="130"/>
      <c r="AB275" s="130"/>
      <c r="AC275" s="125"/>
      <c r="AE275" s="154"/>
      <c r="AF275" s="154"/>
      <c r="AG275" s="154"/>
      <c r="AH275" s="129"/>
      <c r="AI275" s="130"/>
      <c r="AK275" s="154"/>
      <c r="AL275" s="154"/>
      <c r="AM275" s="154"/>
      <c r="AN275" s="129"/>
      <c r="AO275" s="130"/>
      <c r="AQ275" s="154"/>
      <c r="AR275" s="154"/>
      <c r="AS275" s="154"/>
      <c r="AT275" s="129"/>
      <c r="AU275" s="130"/>
      <c r="AW275" s="154"/>
      <c r="AX275" s="154"/>
      <c r="AY275" s="154"/>
      <c r="AZ275" s="129"/>
      <c r="BA275" s="130"/>
    </row>
    <row r="276" spans="1:53" ht="17.100000000000001" customHeight="1" x14ac:dyDescent="0.25">
      <c r="A276" s="951"/>
      <c r="B276" s="951"/>
      <c r="C276" s="119"/>
      <c r="D276" s="293" t="s">
        <v>418</v>
      </c>
      <c r="E276" s="142"/>
      <c r="F276" s="143"/>
      <c r="G276" s="143"/>
      <c r="H276" s="245"/>
      <c r="I276" s="239"/>
      <c r="J276" s="154"/>
      <c r="K276" s="154"/>
      <c r="L276" s="154"/>
      <c r="M276" s="154"/>
      <c r="N276" s="950">
        <f>IF(N268&gt;0,N268*7.5,0)</f>
        <v>0</v>
      </c>
      <c r="O276" s="950">
        <f>IF(O268&gt;0,O268*7.5,"")</f>
        <v>30</v>
      </c>
      <c r="P276" s="154"/>
      <c r="Q276" s="950">
        <f>IF(Q268&gt;0,Q268*7.5,0)</f>
        <v>0</v>
      </c>
      <c r="R276" s="950" t="str">
        <f>IF(R268&gt;0,R268*7.5,"")</f>
        <v/>
      </c>
      <c r="S276" s="154"/>
      <c r="T276" s="950">
        <f>IF(T268&gt;0,T268*7.5,0)</f>
        <v>0</v>
      </c>
      <c r="U276" s="950" t="str">
        <f>IF(U268&gt;0,U268*7.5,"")</f>
        <v/>
      </c>
      <c r="V276" s="159"/>
      <c r="W276" s="387"/>
      <c r="X276" s="154"/>
      <c r="Y276" s="129"/>
      <c r="Z276" s="130"/>
      <c r="AA276" s="130"/>
      <c r="AB276" s="130"/>
      <c r="AC276" s="125"/>
      <c r="AE276" s="154"/>
      <c r="AF276" s="154"/>
      <c r="AG276" s="154"/>
      <c r="AH276" s="129"/>
      <c r="AI276" s="130"/>
      <c r="AK276" s="154"/>
      <c r="AL276" s="154"/>
      <c r="AM276" s="154"/>
      <c r="AN276" s="129"/>
      <c r="AO276" s="130"/>
      <c r="AQ276" s="154"/>
      <c r="AR276" s="154"/>
      <c r="AS276" s="154"/>
      <c r="AT276" s="129"/>
      <c r="AU276" s="130"/>
      <c r="AW276" s="154"/>
      <c r="AX276" s="154"/>
      <c r="AY276" s="154"/>
      <c r="AZ276" s="129"/>
      <c r="BA276" s="130"/>
    </row>
    <row r="277" spans="1:53" ht="17.100000000000001" customHeight="1" x14ac:dyDescent="0.25">
      <c r="A277" s="40"/>
      <c r="B277" s="40"/>
      <c r="C277" s="119"/>
      <c r="D277" s="293" t="s">
        <v>1441</v>
      </c>
      <c r="E277" s="142"/>
      <c r="F277" s="143"/>
      <c r="G277" s="143"/>
      <c r="H277" s="245"/>
      <c r="I277" s="239"/>
      <c r="J277" s="534"/>
      <c r="K277" s="154"/>
      <c r="L277" s="154"/>
      <c r="M277" s="154"/>
      <c r="N277" s="952">
        <f>SUM(N271:N276)</f>
        <v>0</v>
      </c>
      <c r="O277" s="952">
        <f>SUM(O271:O276)</f>
        <v>42</v>
      </c>
      <c r="P277" s="154"/>
      <c r="Q277" s="952">
        <f>SUM(Q271:Q276)</f>
        <v>6</v>
      </c>
      <c r="R277" s="952">
        <f>SUM(R271:R276)</f>
        <v>28</v>
      </c>
      <c r="S277" s="154"/>
      <c r="T277" s="952">
        <f>SUM(T271:T276)</f>
        <v>0</v>
      </c>
      <c r="U277" s="952">
        <f>SUM(U271:U276)</f>
        <v>0</v>
      </c>
      <c r="V277" s="159"/>
      <c r="W277" s="387"/>
      <c r="X277" s="154"/>
      <c r="Y277" s="129"/>
      <c r="Z277" s="130"/>
      <c r="AA277" s="130"/>
      <c r="AB277" s="130"/>
      <c r="AC277" s="125"/>
      <c r="AE277" s="154"/>
      <c r="AF277" s="154"/>
      <c r="AG277" s="154"/>
      <c r="AH277" s="129"/>
      <c r="AI277" s="130"/>
      <c r="AK277" s="154"/>
      <c r="AL277" s="154"/>
      <c r="AM277" s="154"/>
      <c r="AN277" s="129"/>
      <c r="AO277" s="130"/>
      <c r="AQ277" s="154"/>
      <c r="AR277" s="154"/>
      <c r="AS277" s="154"/>
      <c r="AT277" s="129"/>
      <c r="AU277" s="130"/>
      <c r="AW277" s="154"/>
      <c r="AX277" s="154"/>
      <c r="AY277" s="154"/>
      <c r="AZ277" s="129"/>
      <c r="BA277" s="130"/>
    </row>
    <row r="278" spans="1:53" s="409" customFormat="1" ht="17.100000000000001" customHeight="1" x14ac:dyDescent="0.25">
      <c r="A278" s="928"/>
      <c r="B278" s="928"/>
      <c r="C278" s="928"/>
      <c r="D278" s="559" t="s">
        <v>939</v>
      </c>
      <c r="E278" s="556"/>
      <c r="F278" s="92"/>
      <c r="G278" s="92"/>
      <c r="H278" s="242"/>
      <c r="I278" s="230"/>
      <c r="J278" s="536"/>
      <c r="K278" s="536"/>
      <c r="L278" s="155"/>
      <c r="M278" s="155"/>
      <c r="N278" s="536" t="str">
        <f>IF(N269=0,"",N277/N269)</f>
        <v/>
      </c>
      <c r="O278" s="536">
        <f>IF(O269=0,"",O277/O269)</f>
        <v>5.25</v>
      </c>
      <c r="P278" s="155"/>
      <c r="Q278" s="536">
        <f>IF(Q269=0,"",Q277/Q269)</f>
        <v>6</v>
      </c>
      <c r="R278" s="536">
        <f>IF(R269=0,"",R277/R269)</f>
        <v>4</v>
      </c>
      <c r="S278" s="155"/>
      <c r="T278" s="536" t="str">
        <f>IF(T269=0,"",T277/T269)</f>
        <v/>
      </c>
      <c r="U278" s="536" t="str">
        <f>IF(U269=0,"",U277/U269)</f>
        <v/>
      </c>
      <c r="V278" s="366"/>
      <c r="W278" s="550">
        <f>AS278</f>
        <v>6</v>
      </c>
      <c r="X278" s="537">
        <f>AY278</f>
        <v>4.625</v>
      </c>
      <c r="Y278" s="537">
        <f>AC278</f>
        <v>5.083333333333333</v>
      </c>
      <c r="Z278" s="201"/>
      <c r="AA278" s="340">
        <f>MIN(N278:U278)</f>
        <v>4</v>
      </c>
      <c r="AB278" s="340">
        <f>MAX(N278:U278)</f>
        <v>6</v>
      </c>
      <c r="AC278" s="560">
        <f>IF(SUM(N278:U278)=0,0,AVERAGE(N278:U278))</f>
        <v>5.083333333333333</v>
      </c>
      <c r="AE278" s="155"/>
      <c r="AF278" s="155"/>
      <c r="AG278" s="155"/>
      <c r="AH278" s="927"/>
      <c r="AI278" s="201"/>
      <c r="AK278" s="155"/>
      <c r="AL278" s="155"/>
      <c r="AM278" s="155"/>
      <c r="AN278" s="927"/>
      <c r="AO278" s="201"/>
      <c r="AQ278" s="537">
        <f>MIN(N278,Q278,T278)</f>
        <v>6</v>
      </c>
      <c r="AR278" s="537">
        <f>MAX(N278,Q278,T278)</f>
        <v>6</v>
      </c>
      <c r="AS278" s="537">
        <f>IF(N277+Q277+T277=0,0,AVERAGE(N278,Q278,T278))</f>
        <v>6</v>
      </c>
      <c r="AT278" s="560"/>
      <c r="AU278" s="340"/>
      <c r="AV278" s="561"/>
      <c r="AW278" s="537">
        <f>MIN(O278,R278,U278)</f>
        <v>4</v>
      </c>
      <c r="AX278" s="537">
        <f>MAX(O278,R278,U278)</f>
        <v>5.25</v>
      </c>
      <c r="AY278" s="537">
        <f>IF(O277+R277+U277=0,0,AVERAGE(O278,R278,U278))</f>
        <v>4.625</v>
      </c>
      <c r="AZ278" s="927"/>
      <c r="BA278" s="201"/>
    </row>
    <row r="279" spans="1:53" s="964" customFormat="1" ht="17.100000000000001" customHeight="1" x14ac:dyDescent="0.25">
      <c r="A279" s="177"/>
      <c r="B279" s="177"/>
      <c r="C279" s="953"/>
      <c r="D279" s="954" t="s">
        <v>946</v>
      </c>
      <c r="E279" s="955"/>
      <c r="F279" s="956"/>
      <c r="G279" s="956"/>
      <c r="H279" s="957"/>
      <c r="I279" s="958"/>
      <c r="J279" s="950"/>
      <c r="K279" s="950"/>
      <c r="L279" s="950"/>
      <c r="M279" s="950"/>
      <c r="N279" s="952">
        <f>IF(N277=0,0,N278)</f>
        <v>0</v>
      </c>
      <c r="O279" s="952">
        <f>IF(O277=0,0,O278)</f>
        <v>5.25</v>
      </c>
      <c r="P279" s="952"/>
      <c r="Q279" s="952">
        <f>IF(Q277=0,0,Q278)</f>
        <v>6</v>
      </c>
      <c r="R279" s="952">
        <f>IF(R277=0,0,R278)</f>
        <v>4</v>
      </c>
      <c r="S279" s="952"/>
      <c r="T279" s="952">
        <f>IF(T277=0,0,T278)</f>
        <v>0</v>
      </c>
      <c r="U279" s="952">
        <f>IF(U277=0,0,U278)</f>
        <v>0</v>
      </c>
      <c r="V279" s="959"/>
      <c r="W279" s="960"/>
      <c r="X279" s="950"/>
      <c r="Y279" s="961"/>
      <c r="Z279" s="962"/>
      <c r="AA279" s="962"/>
      <c r="AB279" s="962"/>
      <c r="AC279" s="963"/>
      <c r="AE279" s="950"/>
      <c r="AF279" s="950"/>
      <c r="AG279" s="950"/>
      <c r="AH279" s="961"/>
      <c r="AI279" s="962"/>
      <c r="AJ279" s="965"/>
      <c r="AK279" s="950"/>
      <c r="AL279" s="950"/>
      <c r="AM279" s="950"/>
      <c r="AN279" s="961"/>
      <c r="AO279" s="962"/>
      <c r="AP279" s="965"/>
      <c r="AQ279" s="950"/>
      <c r="AR279" s="950"/>
      <c r="AS279" s="950"/>
      <c r="AT279" s="961"/>
      <c r="AU279" s="962"/>
      <c r="AV279" s="965"/>
      <c r="AW279" s="950"/>
      <c r="AX279" s="950"/>
      <c r="AY279" s="950"/>
      <c r="AZ279" s="961"/>
      <c r="BA279" s="962"/>
    </row>
    <row r="280" spans="1:53" ht="17.100000000000001" customHeight="1" x14ac:dyDescent="0.25">
      <c r="A280" s="40"/>
      <c r="B280" s="40"/>
      <c r="C280" s="40"/>
      <c r="D280" s="930" t="s">
        <v>937</v>
      </c>
      <c r="E280" s="150"/>
      <c r="F280" s="151"/>
      <c r="G280" s="151"/>
      <c r="H280" s="119"/>
      <c r="I280" s="236"/>
      <c r="J280" s="152"/>
      <c r="K280" s="152"/>
      <c r="L280" s="111"/>
      <c r="M280" s="111"/>
      <c r="N280" s="111"/>
      <c r="O280" s="111"/>
      <c r="P280" s="111"/>
      <c r="Q280" s="111"/>
      <c r="R280" s="111"/>
      <c r="S280" s="111"/>
      <c r="T280" s="111"/>
      <c r="U280" s="111"/>
      <c r="V280" s="358"/>
      <c r="W280" s="380"/>
      <c r="X280" s="111"/>
      <c r="Y280" s="932"/>
      <c r="Z280" s="131"/>
      <c r="AA280" s="131"/>
      <c r="AB280" s="131"/>
      <c r="AC280" s="113"/>
      <c r="AE280" s="152"/>
      <c r="AF280" s="152"/>
      <c r="AG280" s="111"/>
      <c r="AH280" s="932"/>
      <c r="AI280" s="131"/>
      <c r="AK280" s="152"/>
      <c r="AL280" s="152"/>
      <c r="AM280" s="111"/>
      <c r="AN280" s="932"/>
      <c r="AO280" s="131"/>
      <c r="AQ280" s="152"/>
      <c r="AR280" s="152"/>
      <c r="AS280" s="111"/>
      <c r="AT280" s="932"/>
      <c r="AU280" s="131"/>
      <c r="AW280" s="152"/>
      <c r="AX280" s="152"/>
      <c r="AY280" s="111"/>
      <c r="AZ280" s="932"/>
      <c r="BA280" s="131"/>
    </row>
    <row r="281" spans="1:53" ht="17.100000000000001" customHeight="1" x14ac:dyDescent="0.25">
      <c r="A281" s="40"/>
      <c r="B281" s="40"/>
      <c r="C281" s="119"/>
      <c r="D281" s="535" t="s">
        <v>947</v>
      </c>
      <c r="E281" s="418"/>
      <c r="F281" s="418"/>
      <c r="G281" s="418"/>
      <c r="H281" s="245"/>
      <c r="I281" s="239"/>
      <c r="J281" s="154"/>
      <c r="K281" s="154"/>
      <c r="L281" s="154"/>
      <c r="M281" s="154"/>
      <c r="N281" s="533">
        <f>1*$J$250+((N279-1)*$J$251)</f>
        <v>-9.8214285714285476E-2</v>
      </c>
      <c r="O281" s="533">
        <f>1*$J$250+((O279-1)*$J$251)</f>
        <v>1.9642857142857102</v>
      </c>
      <c r="P281" s="534"/>
      <c r="Q281" s="533">
        <f>1*$J$250+((Q279-1)*$J$251)</f>
        <v>2.2589285714285667</v>
      </c>
      <c r="R281" s="533">
        <f>1*$J$250+((R279-1)*$J$251)</f>
        <v>1.4732142857142827</v>
      </c>
      <c r="S281" s="154"/>
      <c r="T281" s="533">
        <f>1*$J$250+((T279-1)*$J$251)</f>
        <v>-9.8214285714285476E-2</v>
      </c>
      <c r="U281" s="533">
        <f>1*$J$250+((U279-1)*$J$251)</f>
        <v>-9.8214285714285476E-2</v>
      </c>
      <c r="V281" s="159"/>
      <c r="W281" s="387"/>
      <c r="X281" s="154"/>
      <c r="Y281" s="129"/>
      <c r="Z281" s="130"/>
      <c r="AA281" s="130"/>
      <c r="AB281" s="130"/>
      <c r="AC281" s="125"/>
      <c r="AE281" s="154"/>
      <c r="AF281" s="154"/>
      <c r="AG281" s="154"/>
      <c r="AH281" s="129"/>
      <c r="AI281" s="130"/>
      <c r="AK281" s="154"/>
      <c r="AL281" s="154"/>
      <c r="AM281" s="154"/>
      <c r="AN281" s="129"/>
      <c r="AO281" s="130"/>
      <c r="AQ281" s="154"/>
      <c r="AR281" s="154"/>
      <c r="AS281" s="154"/>
      <c r="AT281" s="129"/>
      <c r="AU281" s="130"/>
      <c r="AW281" s="154"/>
      <c r="AX281" s="154"/>
      <c r="AY281" s="154"/>
      <c r="AZ281" s="129"/>
      <c r="BA281" s="130"/>
    </row>
    <row r="282" spans="1:53" ht="17.100000000000001" customHeight="1" x14ac:dyDescent="0.25">
      <c r="A282" s="40"/>
      <c r="B282" s="40"/>
      <c r="C282" s="119"/>
      <c r="D282" s="535" t="s">
        <v>948</v>
      </c>
      <c r="E282" s="418"/>
      <c r="F282" s="418"/>
      <c r="G282" s="418"/>
      <c r="H282" s="245"/>
      <c r="I282" s="239"/>
      <c r="J282" s="154"/>
      <c r="K282" s="154"/>
      <c r="L282" s="154"/>
      <c r="M282" s="154"/>
      <c r="N282" s="533">
        <f>1*$J$252+((N279-1)*$J$253)</f>
        <v>-0.19642857142857101</v>
      </c>
      <c r="O282" s="533">
        <f>1*$J$252+((O279-1)*$J$253)</f>
        <v>1.8660714285714246</v>
      </c>
      <c r="P282" s="534"/>
      <c r="Q282" s="533">
        <f>1*$J$252+((Q279-1)*$J$253)</f>
        <v>2.1607142857142811</v>
      </c>
      <c r="R282" s="533">
        <f>1*$J$252+((R279-1)*$J$253)</f>
        <v>1.3749999999999971</v>
      </c>
      <c r="S282" s="154"/>
      <c r="T282" s="533">
        <f>1*$J$252+((T279-1)*$J$253)</f>
        <v>-0.19642857142857101</v>
      </c>
      <c r="U282" s="533">
        <f>1*$J$252+((U279-1)*$J$253)</f>
        <v>-0.19642857142857101</v>
      </c>
      <c r="V282" s="159"/>
      <c r="W282" s="387"/>
      <c r="X282" s="154"/>
      <c r="Y282" s="129"/>
      <c r="Z282" s="130"/>
      <c r="AA282" s="130"/>
      <c r="AB282" s="130"/>
      <c r="AC282" s="125"/>
      <c r="AE282" s="154"/>
      <c r="AF282" s="154"/>
      <c r="AG282" s="154"/>
      <c r="AH282" s="129"/>
      <c r="AI282" s="130"/>
      <c r="AK282" s="154"/>
      <c r="AL282" s="154"/>
      <c r="AM282" s="154"/>
      <c r="AN282" s="129"/>
      <c r="AO282" s="130"/>
      <c r="AQ282" s="154"/>
      <c r="AR282" s="154"/>
      <c r="AS282" s="154"/>
      <c r="AT282" s="129"/>
      <c r="AU282" s="130"/>
      <c r="AW282" s="154"/>
      <c r="AX282" s="154"/>
      <c r="AY282" s="154"/>
      <c r="AZ282" s="129"/>
      <c r="BA282" s="130"/>
    </row>
    <row r="283" spans="1:53" ht="17.100000000000001" customHeight="1" x14ac:dyDescent="0.25">
      <c r="A283" s="40"/>
      <c r="B283" s="40"/>
      <c r="C283" s="119"/>
      <c r="D283" s="535" t="s">
        <v>949</v>
      </c>
      <c r="E283" s="418"/>
      <c r="F283" s="418"/>
      <c r="G283" s="418"/>
      <c r="H283" s="245"/>
      <c r="I283" s="239"/>
      <c r="J283" s="154"/>
      <c r="K283" s="154"/>
      <c r="L283" s="154"/>
      <c r="M283" s="154"/>
      <c r="N283" s="533">
        <f>(N279-1)*$J$255</f>
        <v>-0.39285714285714202</v>
      </c>
      <c r="O283" s="533">
        <f>(O279-1)*$J$255</f>
        <v>1.6696428571428537</v>
      </c>
      <c r="P283" s="534"/>
      <c r="Q283" s="533">
        <f>(Q279-1)*$J$255</f>
        <v>1.96428571428571</v>
      </c>
      <c r="R283" s="533">
        <f>(R279-1)*$J$255</f>
        <v>1.1785714285714262</v>
      </c>
      <c r="S283" s="154"/>
      <c r="T283" s="533">
        <f>(T279-1)*$J$255</f>
        <v>-0.39285714285714202</v>
      </c>
      <c r="U283" s="533">
        <f>(U279-1)*$J$255</f>
        <v>-0.39285714285714202</v>
      </c>
      <c r="V283" s="159"/>
      <c r="W283" s="387"/>
      <c r="X283" s="154"/>
      <c r="Y283" s="129"/>
      <c r="Z283" s="130"/>
      <c r="AA283" s="130"/>
      <c r="AB283" s="130"/>
      <c r="AC283" s="125"/>
      <c r="AE283" s="154"/>
      <c r="AF283" s="154"/>
      <c r="AG283" s="154"/>
      <c r="AH283" s="129"/>
      <c r="AI283" s="130"/>
      <c r="AK283" s="154"/>
      <c r="AL283" s="154"/>
      <c r="AM283" s="154"/>
      <c r="AN283" s="129"/>
      <c r="AO283" s="130"/>
      <c r="AQ283" s="154"/>
      <c r="AR283" s="154"/>
      <c r="AS283" s="154"/>
      <c r="AT283" s="129"/>
      <c r="AU283" s="130"/>
      <c r="AW283" s="154"/>
      <c r="AX283" s="154"/>
      <c r="AY283" s="154"/>
      <c r="AZ283" s="129"/>
      <c r="BA283" s="130"/>
    </row>
    <row r="284" spans="1:53" ht="17.100000000000001" customHeight="1" x14ac:dyDescent="0.25">
      <c r="A284" s="40"/>
      <c r="B284" s="40"/>
      <c r="C284" s="119"/>
      <c r="D284" s="535" t="s">
        <v>950</v>
      </c>
      <c r="E284" s="418"/>
      <c r="F284" s="418"/>
      <c r="G284" s="418"/>
      <c r="H284" s="245"/>
      <c r="I284" s="239"/>
      <c r="J284" s="154"/>
      <c r="K284" s="154"/>
      <c r="L284" s="154"/>
      <c r="M284" s="154"/>
      <c r="N284" s="533">
        <f t="shared" ref="N284:O286" si="320">N257*N281</f>
        <v>0</v>
      </c>
      <c r="O284" s="533">
        <f t="shared" si="320"/>
        <v>1.9642857142857102</v>
      </c>
      <c r="P284" s="534"/>
      <c r="Q284" s="533">
        <f t="shared" ref="Q284:R286" si="321">Q257*Q281</f>
        <v>0</v>
      </c>
      <c r="R284" s="533">
        <f t="shared" si="321"/>
        <v>0</v>
      </c>
      <c r="S284" s="154"/>
      <c r="T284" s="533">
        <f t="shared" ref="T284:U286" si="322">T257*T281</f>
        <v>0</v>
      </c>
      <c r="U284" s="533">
        <f t="shared" si="322"/>
        <v>0</v>
      </c>
      <c r="V284" s="159"/>
      <c r="W284" s="387"/>
      <c r="X284" s="154"/>
      <c r="Y284" s="129"/>
      <c r="Z284" s="130"/>
      <c r="AA284" s="130"/>
      <c r="AB284" s="130"/>
      <c r="AC284" s="125"/>
      <c r="AE284" s="154"/>
      <c r="AF284" s="154"/>
      <c r="AG284" s="154"/>
      <c r="AH284" s="129"/>
      <c r="AI284" s="130"/>
      <c r="AK284" s="154"/>
      <c r="AL284" s="154"/>
      <c r="AM284" s="154"/>
      <c r="AN284" s="129"/>
      <c r="AO284" s="130"/>
      <c r="AQ284" s="154"/>
      <c r="AR284" s="154"/>
      <c r="AS284" s="154"/>
      <c r="AT284" s="129"/>
      <c r="AU284" s="130"/>
      <c r="AW284" s="154"/>
      <c r="AX284" s="154"/>
      <c r="AY284" s="154"/>
      <c r="AZ284" s="129"/>
      <c r="BA284" s="130"/>
    </row>
    <row r="285" spans="1:53" ht="17.100000000000001" customHeight="1" x14ac:dyDescent="0.25">
      <c r="A285" s="40"/>
      <c r="B285" s="40"/>
      <c r="C285" s="119"/>
      <c r="D285" s="535" t="s">
        <v>951</v>
      </c>
      <c r="E285" s="418"/>
      <c r="F285" s="418"/>
      <c r="G285" s="418"/>
      <c r="H285" s="245"/>
      <c r="I285" s="239"/>
      <c r="J285" s="154"/>
      <c r="K285" s="154"/>
      <c r="L285" s="154"/>
      <c r="M285" s="154"/>
      <c r="N285" s="533">
        <f t="shared" si="320"/>
        <v>0</v>
      </c>
      <c r="O285" s="533">
        <f t="shared" si="320"/>
        <v>5.598214285714274</v>
      </c>
      <c r="P285" s="534"/>
      <c r="Q285" s="533">
        <f t="shared" si="321"/>
        <v>0</v>
      </c>
      <c r="R285" s="533">
        <f t="shared" si="321"/>
        <v>5.4999999999999885</v>
      </c>
      <c r="S285" s="154"/>
      <c r="T285" s="533">
        <f t="shared" si="322"/>
        <v>0</v>
      </c>
      <c r="U285" s="533">
        <f t="shared" si="322"/>
        <v>0</v>
      </c>
      <c r="V285" s="159"/>
      <c r="W285" s="387"/>
      <c r="X285" s="154"/>
      <c r="Y285" s="129"/>
      <c r="Z285" s="130"/>
      <c r="AA285" s="130"/>
      <c r="AB285" s="130"/>
      <c r="AC285" s="125"/>
      <c r="AE285" s="154"/>
      <c r="AF285" s="154"/>
      <c r="AG285" s="154"/>
      <c r="AH285" s="129"/>
      <c r="AI285" s="130"/>
      <c r="AK285" s="154"/>
      <c r="AL285" s="154"/>
      <c r="AM285" s="154"/>
      <c r="AN285" s="129"/>
      <c r="AO285" s="130"/>
      <c r="AQ285" s="154"/>
      <c r="AR285" s="154"/>
      <c r="AS285" s="154"/>
      <c r="AT285" s="129"/>
      <c r="AU285" s="130"/>
      <c r="AW285" s="154"/>
      <c r="AX285" s="154"/>
      <c r="AY285" s="154"/>
      <c r="AZ285" s="129"/>
      <c r="BA285" s="130"/>
    </row>
    <row r="286" spans="1:53" ht="17.100000000000001" customHeight="1" x14ac:dyDescent="0.25">
      <c r="A286" s="40"/>
      <c r="B286" s="40"/>
      <c r="C286" s="119"/>
      <c r="D286" s="535" t="s">
        <v>952</v>
      </c>
      <c r="E286" s="418"/>
      <c r="F286" s="418"/>
      <c r="G286" s="418"/>
      <c r="H286" s="245"/>
      <c r="I286" s="239"/>
      <c r="J286" s="154"/>
      <c r="K286" s="154"/>
      <c r="L286" s="154"/>
      <c r="M286" s="154"/>
      <c r="N286" s="533">
        <f t="shared" si="320"/>
        <v>0</v>
      </c>
      <c r="O286" s="533">
        <f t="shared" si="320"/>
        <v>6.6785714285714146</v>
      </c>
      <c r="P286" s="534"/>
      <c r="Q286" s="533">
        <f t="shared" si="321"/>
        <v>1.96428571428571</v>
      </c>
      <c r="R286" s="533">
        <f t="shared" si="321"/>
        <v>3.5357142857142785</v>
      </c>
      <c r="S286" s="154"/>
      <c r="T286" s="533">
        <f t="shared" si="322"/>
        <v>0</v>
      </c>
      <c r="U286" s="533">
        <f t="shared" si="322"/>
        <v>0</v>
      </c>
      <c r="V286" s="159"/>
      <c r="W286" s="387"/>
      <c r="X286" s="154"/>
      <c r="Y286" s="129"/>
      <c r="Z286" s="130"/>
      <c r="AA286" s="130"/>
      <c r="AB286" s="130"/>
      <c r="AC286" s="125"/>
      <c r="AE286" s="154"/>
      <c r="AF286" s="154"/>
      <c r="AG286" s="154"/>
      <c r="AH286" s="129"/>
      <c r="AI286" s="130"/>
      <c r="AK286" s="154"/>
      <c r="AL286" s="154"/>
      <c r="AM286" s="154"/>
      <c r="AN286" s="129"/>
      <c r="AO286" s="130"/>
      <c r="AQ286" s="154"/>
      <c r="AR286" s="154"/>
      <c r="AS286" s="154"/>
      <c r="AT286" s="129"/>
      <c r="AU286" s="130"/>
      <c r="AW286" s="154"/>
      <c r="AX286" s="154"/>
      <c r="AY286" s="154"/>
      <c r="AZ286" s="129"/>
      <c r="BA286" s="130"/>
    </row>
    <row r="287" spans="1:53" s="409" customFormat="1" ht="17.100000000000001" customHeight="1" x14ac:dyDescent="0.25">
      <c r="A287" s="928"/>
      <c r="B287" s="928"/>
      <c r="C287" s="928"/>
      <c r="D287" s="461" t="s">
        <v>953</v>
      </c>
      <c r="E287" s="212"/>
      <c r="F287" s="212"/>
      <c r="G287" s="212"/>
      <c r="H287" s="242"/>
      <c r="I287" s="230"/>
      <c r="J287" s="155"/>
      <c r="K287" s="155"/>
      <c r="L287" s="155"/>
      <c r="M287" s="155"/>
      <c r="N287" s="537">
        <f>SUM(N284:N286)</f>
        <v>0</v>
      </c>
      <c r="O287" s="537">
        <f>SUM(O284:O286)</f>
        <v>14.241071428571399</v>
      </c>
      <c r="P287" s="536"/>
      <c r="Q287" s="537">
        <f>SUM(Q284:Q286)</f>
        <v>1.96428571428571</v>
      </c>
      <c r="R287" s="537">
        <f>SUM(R284:R286)</f>
        <v>9.0357142857142669</v>
      </c>
      <c r="S287" s="155"/>
      <c r="T287" s="537">
        <f>SUM(T284:T286)</f>
        <v>0</v>
      </c>
      <c r="U287" s="537">
        <f>SUM(U284:U286)</f>
        <v>0</v>
      </c>
      <c r="V287" s="366"/>
      <c r="W287" s="550">
        <f>N287+Q287+T287</f>
        <v>1.96428571428571</v>
      </c>
      <c r="X287" s="537">
        <f>O287+R287+U287</f>
        <v>23.276785714285666</v>
      </c>
      <c r="Y287" s="537">
        <f>SUM(W287:X287)</f>
        <v>25.241071428571374</v>
      </c>
      <c r="Z287" s="546"/>
      <c r="AA287" s="537"/>
      <c r="AB287" s="537"/>
      <c r="AC287" s="547"/>
      <c r="AE287" s="154"/>
      <c r="AF287" s="154"/>
      <c r="AG287" s="154"/>
      <c r="AH287" s="129"/>
      <c r="AI287" s="130"/>
      <c r="AJ287" s="117"/>
      <c r="AK287" s="154"/>
      <c r="AL287" s="154"/>
      <c r="AM287" s="154"/>
      <c r="AN287" s="129"/>
      <c r="AO287" s="130"/>
      <c r="AQ287" s="155"/>
      <c r="AR287" s="155"/>
      <c r="AS287" s="155"/>
      <c r="AT287" s="927"/>
      <c r="AU287" s="201"/>
      <c r="AW287" s="155"/>
      <c r="AX287" s="155"/>
      <c r="AY287" s="155"/>
      <c r="AZ287" s="927"/>
      <c r="BA287" s="201"/>
    </row>
    <row r="288" spans="1:53" s="409" customFormat="1" ht="17.100000000000001" customHeight="1" x14ac:dyDescent="0.25">
      <c r="A288" s="928"/>
      <c r="B288" s="928"/>
      <c r="C288" s="928"/>
      <c r="D288" s="461" t="s">
        <v>954</v>
      </c>
      <c r="E288" s="212"/>
      <c r="F288" s="212"/>
      <c r="G288" s="212"/>
      <c r="H288" s="242"/>
      <c r="I288" s="230"/>
      <c r="J288" s="155"/>
      <c r="K288" s="155"/>
      <c r="L288" s="155"/>
      <c r="M288" s="155"/>
      <c r="N288" s="537" t="str">
        <f>IF(N269=0,"",N287/N269)</f>
        <v/>
      </c>
      <c r="O288" s="537">
        <f>IF(O269=0,"",O287/O269)</f>
        <v>1.7801339285714248</v>
      </c>
      <c r="P288" s="536"/>
      <c r="Q288" s="537">
        <f>IF(Q269=0,"",Q287/Q269)</f>
        <v>1.96428571428571</v>
      </c>
      <c r="R288" s="537">
        <f>IF(R269=0,"",R287/R269)</f>
        <v>1.2908163265306096</v>
      </c>
      <c r="S288" s="155"/>
      <c r="T288" s="537" t="str">
        <f>IF(T269=0,"",T287/T269)</f>
        <v/>
      </c>
      <c r="U288" s="537" t="str">
        <f>IF(U269=0,"",U287/U269)</f>
        <v/>
      </c>
      <c r="V288" s="366"/>
      <c r="W288" s="549"/>
      <c r="X288" s="536"/>
      <c r="Y288" s="164"/>
      <c r="Z288" s="546"/>
      <c r="AA288" s="537">
        <f>MIN(N288:U288)</f>
        <v>1.2908163265306096</v>
      </c>
      <c r="AB288" s="537">
        <f>MAX(N288:U288)</f>
        <v>1.96428571428571</v>
      </c>
      <c r="AC288" s="548">
        <f>IF(SUM(N288:U288)=0,0,AVERAGE(N288:U288))</f>
        <v>1.6784119897959149</v>
      </c>
      <c r="AE288" s="154"/>
      <c r="AF288" s="154"/>
      <c r="AG288" s="154"/>
      <c r="AH288" s="129"/>
      <c r="AI288" s="130"/>
      <c r="AJ288" s="117"/>
      <c r="AK288" s="154"/>
      <c r="AL288" s="154"/>
      <c r="AM288" s="154"/>
      <c r="AN288" s="129"/>
      <c r="AO288" s="130"/>
      <c r="AQ288" s="966">
        <f>MIN(N288,Q288,T288)</f>
        <v>1.96428571428571</v>
      </c>
      <c r="AR288" s="966">
        <f>MAX(N288,Q288,T288)</f>
        <v>1.96428571428571</v>
      </c>
      <c r="AS288" s="966">
        <f>IF(N287+Q287+T287=0,0,AVERAGE(N288,Q288,T288))</f>
        <v>1.96428571428571</v>
      </c>
      <c r="AT288" s="927"/>
      <c r="AU288" s="201"/>
      <c r="AW288" s="537">
        <f>MIN(O288,R288,U288)</f>
        <v>1.2908163265306096</v>
      </c>
      <c r="AX288" s="537">
        <f>MAX(O288,R288,U288)</f>
        <v>1.7801339285714248</v>
      </c>
      <c r="AY288" s="537">
        <f>IF(O287+R287+U287=0,0,AVERAGE(O288,R288,U288))</f>
        <v>1.5354751275510172</v>
      </c>
      <c r="AZ288" s="927"/>
      <c r="BA288" s="201"/>
    </row>
    <row r="289" spans="1:53" ht="17.100000000000001" customHeight="1" x14ac:dyDescent="0.25">
      <c r="A289" s="40"/>
      <c r="B289" s="40"/>
      <c r="C289" s="41" t="s">
        <v>957</v>
      </c>
      <c r="D289" s="551" t="s">
        <v>958</v>
      </c>
      <c r="E289" s="43"/>
      <c r="F289" s="301"/>
      <c r="G289" s="301"/>
      <c r="H289" s="119"/>
      <c r="I289" s="236"/>
      <c r="J289" s="552"/>
      <c r="K289" s="552"/>
      <c r="L289" s="552"/>
      <c r="M289" s="552"/>
      <c r="N289" s="552"/>
      <c r="O289" s="552"/>
      <c r="P289" s="552"/>
      <c r="Q289" s="552"/>
      <c r="R289" s="552"/>
      <c r="S289" s="552"/>
      <c r="T289" s="552"/>
      <c r="U289" s="552"/>
      <c r="V289" s="553"/>
      <c r="W289" s="554"/>
      <c r="X289" s="552"/>
      <c r="Y289" s="89"/>
      <c r="Z289" s="90"/>
      <c r="AA289" s="90"/>
      <c r="AB289" s="90"/>
      <c r="AC289" s="73"/>
      <c r="AD289" s="117"/>
      <c r="AE289" s="552"/>
      <c r="AF289" s="552"/>
      <c r="AG289" s="552"/>
      <c r="AH289" s="89"/>
      <c r="AI289" s="90"/>
      <c r="AK289" s="552"/>
      <c r="AL289" s="552"/>
      <c r="AM289" s="552"/>
      <c r="AN289" s="89"/>
      <c r="AO289" s="90"/>
      <c r="AQ289" s="552"/>
      <c r="AR289" s="552"/>
      <c r="AS289" s="552"/>
      <c r="AT289" s="89"/>
      <c r="AU289" s="90"/>
      <c r="AW289" s="552"/>
      <c r="AX289" s="552"/>
      <c r="AY289" s="552"/>
      <c r="AZ289" s="89"/>
      <c r="BA289" s="90"/>
    </row>
    <row r="290" spans="1:53" ht="17.100000000000001" customHeight="1" x14ac:dyDescent="0.25">
      <c r="A290" s="40"/>
      <c r="B290" s="40"/>
      <c r="C290" s="119"/>
      <c r="D290" s="535" t="s">
        <v>428</v>
      </c>
      <c r="E290" s="142"/>
      <c r="F290" s="143"/>
      <c r="G290" s="143"/>
      <c r="H290" s="119"/>
      <c r="I290" s="236"/>
      <c r="J290" s="154">
        <f t="shared" ref="J290:L295" si="323">J155</f>
        <v>0</v>
      </c>
      <c r="K290" s="154">
        <f t="shared" si="323"/>
        <v>0</v>
      </c>
      <c r="L290" s="154">
        <f t="shared" si="323"/>
        <v>0</v>
      </c>
      <c r="M290" s="154"/>
      <c r="N290" s="154"/>
      <c r="O290" s="154"/>
      <c r="P290" s="154"/>
      <c r="Q290" s="154"/>
      <c r="R290" s="154"/>
      <c r="S290" s="154"/>
      <c r="T290" s="154"/>
      <c r="U290" s="154"/>
      <c r="V290" s="159"/>
      <c r="W290" s="387"/>
      <c r="X290" s="154"/>
      <c r="Y290" s="129"/>
      <c r="Z290" s="130"/>
      <c r="AA290" s="130"/>
      <c r="AB290" s="130"/>
      <c r="AC290" s="125"/>
      <c r="AE290" s="154"/>
      <c r="AF290" s="154"/>
      <c r="AG290" s="154"/>
      <c r="AH290" s="129"/>
      <c r="AI290" s="130"/>
      <c r="AK290" s="154"/>
      <c r="AL290" s="154"/>
      <c r="AM290" s="154"/>
      <c r="AN290" s="129"/>
      <c r="AO290" s="130"/>
      <c r="AQ290" s="557">
        <f>J290*0.75</f>
        <v>0</v>
      </c>
      <c r="AR290" s="154"/>
      <c r="AS290" s="154"/>
      <c r="AT290" s="129"/>
      <c r="AU290" s="130"/>
      <c r="AW290" s="154"/>
      <c r="AX290" s="154"/>
      <c r="AY290" s="154"/>
      <c r="AZ290" s="129"/>
      <c r="BA290" s="130"/>
    </row>
    <row r="291" spans="1:53" ht="17.100000000000001" customHeight="1" x14ac:dyDescent="0.25">
      <c r="A291" s="40"/>
      <c r="B291" s="40"/>
      <c r="C291" s="119"/>
      <c r="D291" s="535" t="s">
        <v>429</v>
      </c>
      <c r="E291" s="142"/>
      <c r="F291" s="143"/>
      <c r="G291" s="143"/>
      <c r="H291" s="119"/>
      <c r="I291" s="236"/>
      <c r="J291" s="154">
        <f t="shared" si="323"/>
        <v>0</v>
      </c>
      <c r="K291" s="154">
        <f>K156</f>
        <v>0</v>
      </c>
      <c r="L291" s="154">
        <f t="shared" si="323"/>
        <v>0</v>
      </c>
      <c r="M291" s="154"/>
      <c r="N291" s="154"/>
      <c r="O291" s="154"/>
      <c r="P291" s="154"/>
      <c r="Q291" s="154"/>
      <c r="R291" s="154"/>
      <c r="S291" s="154"/>
      <c r="T291" s="154"/>
      <c r="U291" s="154"/>
      <c r="V291" s="159"/>
      <c r="W291" s="387"/>
      <c r="X291" s="154"/>
      <c r="Y291" s="129"/>
      <c r="Z291" s="130"/>
      <c r="AA291" s="130"/>
      <c r="AB291" s="130"/>
      <c r="AC291" s="125"/>
      <c r="AD291" s="117"/>
      <c r="AE291" s="154"/>
      <c r="AF291" s="154"/>
      <c r="AG291" s="154"/>
      <c r="AH291" s="129"/>
      <c r="AI291" s="130"/>
      <c r="AK291" s="154"/>
      <c r="AL291" s="154"/>
      <c r="AM291" s="154"/>
      <c r="AN291" s="129"/>
      <c r="AO291" s="130"/>
      <c r="AQ291" s="154"/>
      <c r="AR291" s="154"/>
      <c r="AS291" s="154"/>
      <c r="AT291" s="129"/>
      <c r="AU291" s="130"/>
      <c r="AW291" s="154"/>
      <c r="AX291" s="154"/>
      <c r="AY291" s="154"/>
      <c r="AZ291" s="129"/>
      <c r="BA291" s="130"/>
    </row>
    <row r="292" spans="1:53" ht="17.100000000000001" customHeight="1" x14ac:dyDescent="0.25">
      <c r="A292" s="40"/>
      <c r="B292" s="40"/>
      <c r="C292" s="119"/>
      <c r="D292" s="535" t="s">
        <v>430</v>
      </c>
      <c r="E292" s="142"/>
      <c r="F292" s="143"/>
      <c r="G292" s="143"/>
      <c r="H292" s="119"/>
      <c r="I292" s="236"/>
      <c r="J292" s="154">
        <f t="shared" si="323"/>
        <v>0</v>
      </c>
      <c r="K292" s="154">
        <f>K157</f>
        <v>0</v>
      </c>
      <c r="L292" s="154">
        <f t="shared" si="323"/>
        <v>0</v>
      </c>
      <c r="M292" s="154"/>
      <c r="N292" s="154"/>
      <c r="O292" s="154"/>
      <c r="P292" s="154"/>
      <c r="Q292" s="154"/>
      <c r="R292" s="154"/>
      <c r="S292" s="154"/>
      <c r="T292" s="154"/>
      <c r="U292" s="154"/>
      <c r="V292" s="159"/>
      <c r="W292" s="387"/>
      <c r="X292" s="154"/>
      <c r="Y292" s="129"/>
      <c r="Z292" s="130"/>
      <c r="AA292" s="130"/>
      <c r="AB292" s="130"/>
      <c r="AC292" s="125"/>
      <c r="AE292" s="154"/>
      <c r="AF292" s="154"/>
      <c r="AG292" s="154"/>
      <c r="AH292" s="129"/>
      <c r="AI292" s="130"/>
      <c r="AK292" s="154"/>
      <c r="AL292" s="154"/>
      <c r="AM292" s="154"/>
      <c r="AN292" s="129"/>
      <c r="AO292" s="130"/>
      <c r="AQ292" s="154"/>
      <c r="AR292" s="154"/>
      <c r="AS292" s="154"/>
      <c r="AT292" s="129"/>
      <c r="AU292" s="130"/>
      <c r="AW292" s="154"/>
      <c r="AX292" s="154"/>
      <c r="AY292" s="154"/>
      <c r="AZ292" s="129"/>
      <c r="BA292" s="130"/>
    </row>
    <row r="293" spans="1:53" ht="17.100000000000001" customHeight="1" x14ac:dyDescent="0.25">
      <c r="A293" s="40"/>
      <c r="B293" s="40"/>
      <c r="C293" s="119"/>
      <c r="D293" s="535" t="s">
        <v>431</v>
      </c>
      <c r="E293" s="142"/>
      <c r="F293" s="143"/>
      <c r="G293" s="143"/>
      <c r="H293" s="119"/>
      <c r="I293" s="236"/>
      <c r="J293" s="154">
        <f t="shared" si="323"/>
        <v>0</v>
      </c>
      <c r="K293" s="154">
        <f>K158</f>
        <v>0</v>
      </c>
      <c r="L293" s="154">
        <f t="shared" si="323"/>
        <v>0</v>
      </c>
      <c r="M293" s="154"/>
      <c r="N293" s="154"/>
      <c r="O293" s="154"/>
      <c r="P293" s="154"/>
      <c r="Q293" s="154"/>
      <c r="R293" s="154"/>
      <c r="S293" s="154"/>
      <c r="T293" s="154"/>
      <c r="U293" s="154"/>
      <c r="V293" s="159"/>
      <c r="W293" s="387"/>
      <c r="X293" s="154"/>
      <c r="Y293" s="129"/>
      <c r="Z293" s="130"/>
      <c r="AA293" s="130"/>
      <c r="AB293" s="130"/>
      <c r="AC293" s="125"/>
      <c r="AE293" s="154"/>
      <c r="AF293" s="154"/>
      <c r="AG293" s="154"/>
      <c r="AH293" s="129"/>
      <c r="AI293" s="130"/>
      <c r="AK293" s="154"/>
      <c r="AL293" s="154"/>
      <c r="AM293" s="154"/>
      <c r="AN293" s="129"/>
      <c r="AO293" s="130"/>
      <c r="AQ293" s="154"/>
      <c r="AR293" s="154"/>
      <c r="AS293" s="154"/>
      <c r="AT293" s="129"/>
      <c r="AU293" s="130"/>
      <c r="AW293" s="154"/>
      <c r="AX293" s="154"/>
      <c r="AY293" s="154"/>
      <c r="AZ293" s="129"/>
      <c r="BA293" s="130"/>
    </row>
    <row r="294" spans="1:53" s="158" customFormat="1" ht="17.100000000000001" customHeight="1" x14ac:dyDescent="0.25">
      <c r="A294" s="102"/>
      <c r="B294" s="102"/>
      <c r="C294" s="119"/>
      <c r="D294" s="535" t="s">
        <v>432</v>
      </c>
      <c r="E294" s="142"/>
      <c r="F294" s="143"/>
      <c r="G294" s="143"/>
      <c r="H294" s="182"/>
      <c r="I294" s="240"/>
      <c r="J294" s="154">
        <f t="shared" si="323"/>
        <v>0</v>
      </c>
      <c r="K294" s="154">
        <f>K159</f>
        <v>0</v>
      </c>
      <c r="L294" s="154">
        <f t="shared" si="323"/>
        <v>0</v>
      </c>
      <c r="M294" s="154"/>
      <c r="N294" s="154"/>
      <c r="O294" s="154"/>
      <c r="P294" s="154"/>
      <c r="Q294" s="154"/>
      <c r="R294" s="154"/>
      <c r="S294" s="154"/>
      <c r="T294" s="154"/>
      <c r="U294" s="154"/>
      <c r="V294" s="159"/>
      <c r="W294" s="387"/>
      <c r="X294" s="154"/>
      <c r="Y294" s="129"/>
      <c r="Z294" s="130"/>
      <c r="AA294" s="130"/>
      <c r="AB294" s="130"/>
      <c r="AC294" s="125"/>
      <c r="AE294" s="154"/>
      <c r="AF294" s="154"/>
      <c r="AG294" s="154"/>
      <c r="AH294" s="129"/>
      <c r="AI294" s="130"/>
      <c r="AJ294" s="409"/>
      <c r="AK294" s="154"/>
      <c r="AL294" s="154"/>
      <c r="AM294" s="154"/>
      <c r="AN294" s="129"/>
      <c r="AO294" s="130"/>
      <c r="AP294" s="409"/>
      <c r="AQ294" s="557">
        <f>J294*0.75</f>
        <v>0</v>
      </c>
      <c r="AR294" s="154"/>
      <c r="AS294" s="154"/>
      <c r="AT294" s="129"/>
      <c r="AU294" s="130"/>
      <c r="AV294" s="409"/>
      <c r="AW294" s="154"/>
      <c r="AX294" s="154"/>
      <c r="AY294" s="154"/>
      <c r="AZ294" s="129"/>
      <c r="BA294" s="130"/>
    </row>
    <row r="295" spans="1:53" s="158" customFormat="1" ht="17.100000000000001" customHeight="1" x14ac:dyDescent="0.25">
      <c r="A295" s="102"/>
      <c r="B295" s="102"/>
      <c r="C295" s="119"/>
      <c r="D295" s="535" t="s">
        <v>129</v>
      </c>
      <c r="E295" s="142"/>
      <c r="F295" s="143"/>
      <c r="G295" s="143"/>
      <c r="H295" s="182"/>
      <c r="I295" s="240"/>
      <c r="J295" s="154">
        <f t="shared" si="323"/>
        <v>0</v>
      </c>
      <c r="K295" s="154">
        <f>K160</f>
        <v>0</v>
      </c>
      <c r="L295" s="154">
        <f t="shared" si="323"/>
        <v>0</v>
      </c>
      <c r="M295" s="154"/>
      <c r="N295" s="154"/>
      <c r="O295" s="154"/>
      <c r="P295" s="154"/>
      <c r="Q295" s="154"/>
      <c r="R295" s="154"/>
      <c r="S295" s="154"/>
      <c r="T295" s="154"/>
      <c r="U295" s="154"/>
      <c r="V295" s="159"/>
      <c r="W295" s="387"/>
      <c r="X295" s="154"/>
      <c r="Y295" s="129"/>
      <c r="Z295" s="130"/>
      <c r="AA295" s="130"/>
      <c r="AB295" s="130"/>
      <c r="AC295" s="125"/>
      <c r="AE295" s="154"/>
      <c r="AF295" s="154"/>
      <c r="AG295" s="154"/>
      <c r="AH295" s="129"/>
      <c r="AI295" s="130"/>
      <c r="AJ295" s="409"/>
      <c r="AK295" s="154"/>
      <c r="AL295" s="154"/>
      <c r="AM295" s="154"/>
      <c r="AN295" s="129"/>
      <c r="AO295" s="130"/>
      <c r="AP295" s="409"/>
      <c r="AQ295" s="154"/>
      <c r="AR295" s="154"/>
      <c r="AS295" s="154"/>
      <c r="AT295" s="129"/>
      <c r="AU295" s="130"/>
      <c r="AV295" s="409"/>
      <c r="AW295" s="154"/>
      <c r="AX295" s="154"/>
      <c r="AY295" s="154"/>
      <c r="AZ295" s="129"/>
      <c r="BA295" s="130"/>
    </row>
    <row r="296" spans="1:53" s="158" customFormat="1" ht="17.100000000000001" customHeight="1" x14ac:dyDescent="0.25">
      <c r="A296" s="102"/>
      <c r="B296" s="102"/>
      <c r="C296" s="119"/>
      <c r="D296" s="535" t="s">
        <v>965</v>
      </c>
      <c r="E296" s="142"/>
      <c r="F296" s="143"/>
      <c r="G296" s="143"/>
      <c r="H296" s="182"/>
      <c r="I296" s="240"/>
      <c r="J296" s="154">
        <f>SUM(J290:J294)</f>
        <v>0</v>
      </c>
      <c r="K296" s="154">
        <f t="shared" ref="K296:L296" si="324">SUM(K290:K294)</f>
        <v>0</v>
      </c>
      <c r="L296" s="154">
        <f t="shared" si="324"/>
        <v>0</v>
      </c>
      <c r="M296" s="154"/>
      <c r="N296" s="154"/>
      <c r="O296" s="154"/>
      <c r="P296" s="154"/>
      <c r="Q296" s="154"/>
      <c r="R296" s="154"/>
      <c r="S296" s="154"/>
      <c r="T296" s="154"/>
      <c r="U296" s="154"/>
      <c r="V296" s="159"/>
      <c r="W296" s="387"/>
      <c r="X296" s="154"/>
      <c r="Y296" s="129"/>
      <c r="Z296" s="130"/>
      <c r="AA296" s="130"/>
      <c r="AB296" s="130"/>
      <c r="AC296" s="125"/>
      <c r="AE296" s="154"/>
      <c r="AF296" s="154"/>
      <c r="AG296" s="154"/>
      <c r="AH296" s="129"/>
      <c r="AI296" s="130"/>
      <c r="AJ296" s="409"/>
      <c r="AK296" s="154"/>
      <c r="AL296" s="154"/>
      <c r="AM296" s="154"/>
      <c r="AN296" s="129"/>
      <c r="AO296" s="130"/>
      <c r="AP296" s="409"/>
      <c r="AQ296" s="154"/>
      <c r="AR296" s="154"/>
      <c r="AS296" s="154"/>
      <c r="AT296" s="129"/>
      <c r="AU296" s="130"/>
      <c r="AV296" s="409"/>
      <c r="AW296" s="154"/>
      <c r="AX296" s="154"/>
      <c r="AY296" s="154"/>
      <c r="AZ296" s="129"/>
      <c r="BA296" s="130"/>
    </row>
    <row r="297" spans="1:53" s="158" customFormat="1" ht="17.100000000000001" customHeight="1" x14ac:dyDescent="0.25">
      <c r="A297" s="102"/>
      <c r="B297" s="102"/>
      <c r="C297" s="119"/>
      <c r="D297" s="535" t="s">
        <v>981</v>
      </c>
      <c r="E297" s="142"/>
      <c r="F297" s="143"/>
      <c r="G297" s="143"/>
      <c r="H297" s="182"/>
      <c r="I297" s="240"/>
      <c r="J297" s="154"/>
      <c r="K297" s="154"/>
      <c r="L297" s="154"/>
      <c r="M297" s="154"/>
      <c r="N297" s="154"/>
      <c r="O297" s="154"/>
      <c r="P297" s="154"/>
      <c r="Q297" s="154"/>
      <c r="R297" s="154"/>
      <c r="S297" s="154"/>
      <c r="T297" s="154"/>
      <c r="U297" s="154"/>
      <c r="V297" s="159"/>
      <c r="W297" s="387"/>
      <c r="X297" s="154"/>
      <c r="Y297" s="129"/>
      <c r="Z297" s="130"/>
      <c r="AA297" s="130"/>
      <c r="AB297" s="130"/>
      <c r="AC297" s="125"/>
      <c r="AE297" s="154"/>
      <c r="AF297" s="154"/>
      <c r="AG297" s="154"/>
      <c r="AH297" s="129"/>
      <c r="AI297" s="130"/>
      <c r="AJ297" s="409"/>
      <c r="AK297" s="154"/>
      <c r="AL297" s="154"/>
      <c r="AM297" s="154"/>
      <c r="AN297" s="129"/>
      <c r="AO297" s="130"/>
      <c r="AP297" s="409"/>
      <c r="AQ297" s="154"/>
      <c r="AR297" s="154"/>
      <c r="AS297" s="154"/>
      <c r="AT297" s="129"/>
      <c r="AU297" s="130"/>
      <c r="AV297" s="409"/>
      <c r="AW297" s="154"/>
      <c r="AX297" s="154"/>
      <c r="AY297" s="154"/>
      <c r="AZ297" s="129"/>
      <c r="BA297" s="130"/>
    </row>
    <row r="298" spans="1:53" s="158" customFormat="1" ht="17.100000000000001" customHeight="1" x14ac:dyDescent="0.25">
      <c r="A298" s="967"/>
      <c r="B298" s="967"/>
      <c r="C298" s="119"/>
      <c r="D298" s="535" t="s">
        <v>1442</v>
      </c>
      <c r="E298" s="142"/>
      <c r="F298" s="143"/>
      <c r="G298" s="143"/>
      <c r="H298" s="182"/>
      <c r="I298" s="240"/>
      <c r="J298" s="527" t="str">
        <f>IF(J290&gt;0,0.75,"")</f>
        <v/>
      </c>
      <c r="K298" s="527" t="str">
        <f t="shared" ref="K298:L298" si="325">IF(K290&gt;0,0.75,"")</f>
        <v/>
      </c>
      <c r="L298" s="527" t="str">
        <f t="shared" si="325"/>
        <v/>
      </c>
      <c r="M298" s="154"/>
      <c r="N298" s="154"/>
      <c r="O298" s="154"/>
      <c r="P298" s="154"/>
      <c r="Q298" s="154"/>
      <c r="R298" s="154"/>
      <c r="S298" s="154"/>
      <c r="T298" s="154"/>
      <c r="U298" s="154"/>
      <c r="V298" s="159"/>
      <c r="W298" s="387"/>
      <c r="X298" s="154"/>
      <c r="Y298" s="129"/>
      <c r="Z298" s="130"/>
      <c r="AA298" s="130"/>
      <c r="AB298" s="130"/>
      <c r="AC298" s="125"/>
      <c r="AE298" s="154"/>
      <c r="AF298" s="154"/>
      <c r="AG298" s="154"/>
      <c r="AH298" s="129"/>
      <c r="AI298" s="130"/>
      <c r="AJ298" s="409"/>
      <c r="AK298" s="154"/>
      <c r="AL298" s="154"/>
      <c r="AM298" s="154"/>
      <c r="AN298" s="129"/>
      <c r="AO298" s="130"/>
      <c r="AP298" s="409"/>
      <c r="AQ298" s="154"/>
      <c r="AR298" s="154"/>
      <c r="AS298" s="154"/>
      <c r="AT298" s="129"/>
      <c r="AU298" s="130"/>
      <c r="AV298" s="409"/>
      <c r="AW298" s="154"/>
      <c r="AX298" s="154"/>
      <c r="AY298" s="154"/>
      <c r="AZ298" s="129"/>
      <c r="BA298" s="130"/>
    </row>
    <row r="299" spans="1:53" s="158" customFormat="1" ht="17.100000000000001" customHeight="1" x14ac:dyDescent="0.25">
      <c r="A299" s="967"/>
      <c r="B299" s="102"/>
      <c r="C299" s="119"/>
      <c r="D299" s="535" t="s">
        <v>429</v>
      </c>
      <c r="E299" s="142"/>
      <c r="F299" s="143"/>
      <c r="G299" s="143"/>
      <c r="H299" s="182"/>
      <c r="I299" s="240"/>
      <c r="J299" s="527" t="str">
        <f>IF(J291&gt;0,1.5,"")</f>
        <v/>
      </c>
      <c r="K299" s="527" t="str">
        <f t="shared" ref="K299:L299" si="326">IF(K291&gt;0,1.5,"")</f>
        <v/>
      </c>
      <c r="L299" s="527" t="str">
        <f t="shared" si="326"/>
        <v/>
      </c>
      <c r="M299" s="154"/>
      <c r="N299" s="154"/>
      <c r="O299" s="154"/>
      <c r="P299" s="154"/>
      <c r="Q299" s="154"/>
      <c r="R299" s="154"/>
      <c r="S299" s="154"/>
      <c r="T299" s="154"/>
      <c r="U299" s="154"/>
      <c r="V299" s="159"/>
      <c r="W299" s="387"/>
      <c r="X299" s="154"/>
      <c r="Y299" s="129"/>
      <c r="Z299" s="130"/>
      <c r="AA299" s="130"/>
      <c r="AB299" s="130"/>
      <c r="AC299" s="125"/>
      <c r="AE299" s="154"/>
      <c r="AF299" s="154"/>
      <c r="AG299" s="154"/>
      <c r="AH299" s="129"/>
      <c r="AI299" s="130"/>
      <c r="AJ299" s="409"/>
      <c r="AK299" s="154"/>
      <c r="AL299" s="154"/>
      <c r="AM299" s="154"/>
      <c r="AN299" s="129"/>
      <c r="AO299" s="130"/>
      <c r="AP299" s="409"/>
      <c r="AQ299" s="154"/>
      <c r="AR299" s="154"/>
      <c r="AS299" s="154"/>
      <c r="AT299" s="129"/>
      <c r="AU299" s="130"/>
      <c r="AV299" s="409"/>
      <c r="AW299" s="154"/>
      <c r="AX299" s="154"/>
      <c r="AY299" s="154"/>
      <c r="AZ299" s="129"/>
      <c r="BA299" s="130"/>
    </row>
    <row r="300" spans="1:53" s="158" customFormat="1" ht="17.100000000000001" customHeight="1" x14ac:dyDescent="0.25">
      <c r="A300" s="967"/>
      <c r="B300" s="102"/>
      <c r="C300" s="119"/>
      <c r="D300" s="535" t="s">
        <v>430</v>
      </c>
      <c r="E300" s="142"/>
      <c r="F300" s="143"/>
      <c r="G300" s="143"/>
      <c r="H300" s="182"/>
      <c r="I300" s="240"/>
      <c r="J300" s="527" t="str">
        <f>IF(J292&gt;0,3.5,"")</f>
        <v/>
      </c>
      <c r="K300" s="527" t="str">
        <f t="shared" ref="K300:L300" si="327">IF(K292&gt;0,3.5,"")</f>
        <v/>
      </c>
      <c r="L300" s="527" t="str">
        <f t="shared" si="327"/>
        <v/>
      </c>
      <c r="M300" s="154"/>
      <c r="N300" s="154"/>
      <c r="O300" s="154"/>
      <c r="P300" s="154"/>
      <c r="Q300" s="154"/>
      <c r="R300" s="154"/>
      <c r="S300" s="154"/>
      <c r="T300" s="154"/>
      <c r="U300" s="154"/>
      <c r="V300" s="159"/>
      <c r="W300" s="387"/>
      <c r="X300" s="154"/>
      <c r="Y300" s="129"/>
      <c r="Z300" s="130"/>
      <c r="AA300" s="130"/>
      <c r="AB300" s="130"/>
      <c r="AC300" s="125"/>
      <c r="AE300" s="154"/>
      <c r="AF300" s="154"/>
      <c r="AG300" s="154"/>
      <c r="AH300" s="129"/>
      <c r="AI300" s="130"/>
      <c r="AJ300" s="409"/>
      <c r="AK300" s="154"/>
      <c r="AL300" s="154"/>
      <c r="AM300" s="154"/>
      <c r="AN300" s="129"/>
      <c r="AO300" s="130"/>
      <c r="AP300" s="409"/>
      <c r="AQ300" s="154"/>
      <c r="AR300" s="154"/>
      <c r="AS300" s="154"/>
      <c r="AT300" s="129"/>
      <c r="AU300" s="130"/>
      <c r="AV300" s="409"/>
      <c r="AW300" s="154"/>
      <c r="AX300" s="154"/>
      <c r="AY300" s="154"/>
      <c r="AZ300" s="129"/>
      <c r="BA300" s="130"/>
    </row>
    <row r="301" spans="1:53" s="158" customFormat="1" ht="17.100000000000001" customHeight="1" x14ac:dyDescent="0.25">
      <c r="A301" s="967"/>
      <c r="B301" s="102"/>
      <c r="C301" s="119"/>
      <c r="D301" s="535" t="s">
        <v>431</v>
      </c>
      <c r="E301" s="142"/>
      <c r="F301" s="143"/>
      <c r="G301" s="143"/>
      <c r="H301" s="182"/>
      <c r="I301" s="240"/>
      <c r="J301" s="527" t="str">
        <f>IF(J293&gt;0,7.5,"")</f>
        <v/>
      </c>
      <c r="K301" s="527" t="str">
        <f t="shared" ref="K301:L301" si="328">IF(K293&gt;0,7.5,"")</f>
        <v/>
      </c>
      <c r="L301" s="527" t="str">
        <f t="shared" si="328"/>
        <v/>
      </c>
      <c r="M301" s="154"/>
      <c r="N301" s="154"/>
      <c r="O301" s="154"/>
      <c r="P301" s="154"/>
      <c r="Q301" s="154"/>
      <c r="R301" s="154"/>
      <c r="S301" s="154"/>
      <c r="T301" s="154"/>
      <c r="U301" s="154"/>
      <c r="V301" s="159"/>
      <c r="W301" s="387"/>
      <c r="X301" s="154"/>
      <c r="Y301" s="129"/>
      <c r="Z301" s="130"/>
      <c r="AA301" s="130"/>
      <c r="AB301" s="130"/>
      <c r="AC301" s="125"/>
      <c r="AE301" s="154"/>
      <c r="AF301" s="154"/>
      <c r="AG301" s="154"/>
      <c r="AH301" s="129"/>
      <c r="AI301" s="130"/>
      <c r="AJ301" s="409"/>
      <c r="AK301" s="154"/>
      <c r="AL301" s="154"/>
      <c r="AM301" s="154"/>
      <c r="AN301" s="129"/>
      <c r="AO301" s="130"/>
      <c r="AP301" s="409"/>
      <c r="AQ301" s="154"/>
      <c r="AR301" s="154"/>
      <c r="AS301" s="154"/>
      <c r="AT301" s="129"/>
      <c r="AU301" s="130"/>
      <c r="AV301" s="409"/>
      <c r="AW301" s="154"/>
      <c r="AX301" s="154"/>
      <c r="AY301" s="154"/>
      <c r="AZ301" s="129"/>
      <c r="BA301" s="130"/>
    </row>
    <row r="302" spans="1:53" s="158" customFormat="1" ht="17.100000000000001" customHeight="1" x14ac:dyDescent="0.25">
      <c r="A302" s="967"/>
      <c r="B302" s="102"/>
      <c r="C302" s="119"/>
      <c r="D302" s="535" t="s">
        <v>432</v>
      </c>
      <c r="E302" s="142"/>
      <c r="F302" s="143"/>
      <c r="G302" s="143"/>
      <c r="H302" s="182"/>
      <c r="I302" s="240"/>
      <c r="J302" s="527" t="str">
        <f>IF(J294&gt;0,12.5,"")</f>
        <v/>
      </c>
      <c r="K302" s="527" t="str">
        <f t="shared" ref="K302:L302" si="329">IF(K294&gt;0,12.5,"")</f>
        <v/>
      </c>
      <c r="L302" s="527" t="str">
        <f t="shared" si="329"/>
        <v/>
      </c>
      <c r="M302" s="154"/>
      <c r="N302" s="154"/>
      <c r="O302" s="154"/>
      <c r="P302" s="154"/>
      <c r="Q302" s="154"/>
      <c r="R302" s="154"/>
      <c r="S302" s="154"/>
      <c r="T302" s="154"/>
      <c r="U302" s="154"/>
      <c r="V302" s="159"/>
      <c r="W302" s="387"/>
      <c r="X302" s="154"/>
      <c r="Y302" s="129"/>
      <c r="Z302" s="130"/>
      <c r="AA302" s="130"/>
      <c r="AB302" s="130"/>
      <c r="AC302" s="125"/>
      <c r="AE302" s="154"/>
      <c r="AF302" s="154"/>
      <c r="AG302" s="154"/>
      <c r="AH302" s="129"/>
      <c r="AI302" s="130"/>
      <c r="AJ302" s="409"/>
      <c r="AK302" s="154"/>
      <c r="AL302" s="154"/>
      <c r="AM302" s="154"/>
      <c r="AN302" s="129"/>
      <c r="AO302" s="130"/>
      <c r="AP302" s="409"/>
      <c r="AQ302" s="154"/>
      <c r="AR302" s="154"/>
      <c r="AS302" s="154"/>
      <c r="AT302" s="129"/>
      <c r="AU302" s="130"/>
      <c r="AV302" s="409"/>
      <c r="AW302" s="154"/>
      <c r="AX302" s="154"/>
      <c r="AY302" s="154"/>
      <c r="AZ302" s="129"/>
      <c r="BA302" s="130"/>
    </row>
    <row r="303" spans="1:53" s="158" customFormat="1" ht="17.100000000000001" customHeight="1" x14ac:dyDescent="0.25">
      <c r="A303" s="967"/>
      <c r="B303" s="102"/>
      <c r="C303" s="119"/>
      <c r="D303" s="535" t="s">
        <v>959</v>
      </c>
      <c r="E303" s="142"/>
      <c r="F303" s="143"/>
      <c r="G303" s="143"/>
      <c r="H303" s="182"/>
      <c r="I303" s="240"/>
      <c r="J303" s="154"/>
      <c r="K303" s="154"/>
      <c r="L303" s="154"/>
      <c r="M303" s="154"/>
      <c r="N303" s="154"/>
      <c r="O303" s="154"/>
      <c r="P303" s="154"/>
      <c r="Q303" s="154"/>
      <c r="R303" s="154"/>
      <c r="S303" s="154"/>
      <c r="T303" s="154"/>
      <c r="U303" s="154"/>
      <c r="V303" s="159"/>
      <c r="W303" s="387"/>
      <c r="X303" s="154"/>
      <c r="Y303" s="129"/>
      <c r="Z303" s="130"/>
      <c r="AA303" s="130"/>
      <c r="AB303" s="130"/>
      <c r="AC303" s="125"/>
      <c r="AE303" s="154"/>
      <c r="AF303" s="154"/>
      <c r="AG303" s="154"/>
      <c r="AH303" s="129"/>
      <c r="AI303" s="130"/>
      <c r="AJ303" s="409"/>
      <c r="AK303" s="154"/>
      <c r="AL303" s="154"/>
      <c r="AM303" s="154"/>
      <c r="AN303" s="129"/>
      <c r="AO303" s="130"/>
      <c r="AP303" s="409"/>
      <c r="AQ303" s="154"/>
      <c r="AR303" s="154"/>
      <c r="AS303" s="154"/>
      <c r="AT303" s="129"/>
      <c r="AU303" s="130"/>
      <c r="AV303" s="409"/>
      <c r="AW303" s="154"/>
      <c r="AX303" s="154"/>
      <c r="AY303" s="154"/>
      <c r="AZ303" s="129"/>
      <c r="BA303" s="130"/>
    </row>
    <row r="304" spans="1:53" s="158" customFormat="1" ht="17.100000000000001" customHeight="1" x14ac:dyDescent="0.25">
      <c r="A304" s="967"/>
      <c r="B304" s="102"/>
      <c r="C304" s="119"/>
      <c r="D304" s="535" t="s">
        <v>961</v>
      </c>
      <c r="E304" s="142"/>
      <c r="F304" s="555"/>
      <c r="G304" s="555"/>
      <c r="H304" s="182"/>
      <c r="I304" s="240"/>
      <c r="J304" s="533">
        <f>J290*0.75</f>
        <v>0</v>
      </c>
      <c r="K304" s="533">
        <f>K290*0.75</f>
        <v>0</v>
      </c>
      <c r="L304" s="533">
        <f>L290*0.75</f>
        <v>0</v>
      </c>
      <c r="M304" s="154"/>
      <c r="N304" s="154"/>
      <c r="O304" s="154"/>
      <c r="P304" s="154"/>
      <c r="Q304" s="154"/>
      <c r="R304" s="154"/>
      <c r="S304" s="154"/>
      <c r="T304" s="154"/>
      <c r="U304" s="154"/>
      <c r="V304" s="159"/>
      <c r="W304" s="387"/>
      <c r="X304" s="154"/>
      <c r="Y304" s="129"/>
      <c r="Z304" s="130"/>
      <c r="AA304" s="130"/>
      <c r="AB304" s="130"/>
      <c r="AC304" s="125"/>
      <c r="AE304" s="154"/>
      <c r="AF304" s="154"/>
      <c r="AG304" s="154"/>
      <c r="AH304" s="129"/>
      <c r="AI304" s="130"/>
      <c r="AJ304" s="409"/>
      <c r="AK304" s="154"/>
      <c r="AL304" s="154"/>
      <c r="AM304" s="154"/>
      <c r="AN304" s="129"/>
      <c r="AO304" s="130"/>
      <c r="AP304" s="409"/>
      <c r="AQ304" s="154"/>
      <c r="AR304" s="154"/>
      <c r="AS304" s="154"/>
      <c r="AT304" s="129"/>
      <c r="AU304" s="130"/>
      <c r="AV304" s="409"/>
      <c r="AW304" s="154"/>
      <c r="AX304" s="154"/>
      <c r="AY304" s="154"/>
      <c r="AZ304" s="129"/>
      <c r="BA304" s="130"/>
    </row>
    <row r="305" spans="1:53" s="158" customFormat="1" ht="17.100000000000001" customHeight="1" x14ac:dyDescent="0.25">
      <c r="A305" s="967"/>
      <c r="B305" s="102"/>
      <c r="C305" s="119"/>
      <c r="D305" s="535" t="s">
        <v>960</v>
      </c>
      <c r="E305" s="142"/>
      <c r="F305" s="143"/>
      <c r="G305" s="143"/>
      <c r="H305" s="182"/>
      <c r="I305" s="240"/>
      <c r="J305" s="533">
        <f>J291*1.5</f>
        <v>0</v>
      </c>
      <c r="K305" s="533">
        <f>K291*1.5</f>
        <v>0</v>
      </c>
      <c r="L305" s="533">
        <f>L291*1.5</f>
        <v>0</v>
      </c>
      <c r="M305" s="154"/>
      <c r="N305" s="154"/>
      <c r="O305" s="154"/>
      <c r="P305" s="154"/>
      <c r="Q305" s="154"/>
      <c r="R305" s="154"/>
      <c r="S305" s="154"/>
      <c r="T305" s="154"/>
      <c r="U305" s="154"/>
      <c r="V305" s="154"/>
      <c r="W305" s="387"/>
      <c r="X305" s="154"/>
      <c r="Y305" s="129"/>
      <c r="Z305" s="130"/>
      <c r="AA305" s="130"/>
      <c r="AB305" s="130"/>
      <c r="AC305" s="125"/>
      <c r="AE305" s="154"/>
      <c r="AF305" s="154"/>
      <c r="AG305" s="154"/>
      <c r="AH305" s="129"/>
      <c r="AI305" s="130"/>
      <c r="AJ305" s="409"/>
      <c r="AK305" s="154"/>
      <c r="AL305" s="154"/>
      <c r="AM305" s="154"/>
      <c r="AN305" s="129"/>
      <c r="AO305" s="130"/>
      <c r="AP305" s="409"/>
      <c r="AQ305" s="154"/>
      <c r="AR305" s="154"/>
      <c r="AS305" s="154"/>
      <c r="AT305" s="129"/>
      <c r="AU305" s="130"/>
      <c r="AV305" s="409"/>
      <c r="AW305" s="154"/>
      <c r="AX305" s="154"/>
      <c r="AY305" s="154"/>
      <c r="AZ305" s="129"/>
      <c r="BA305" s="130"/>
    </row>
    <row r="306" spans="1:53" s="158" customFormat="1" ht="17.100000000000001" customHeight="1" x14ac:dyDescent="0.25">
      <c r="A306" s="967"/>
      <c r="B306" s="102"/>
      <c r="C306" s="119"/>
      <c r="D306" s="535" t="s">
        <v>962</v>
      </c>
      <c r="E306" s="142"/>
      <c r="F306" s="143"/>
      <c r="G306" s="143"/>
      <c r="H306" s="182"/>
      <c r="I306" s="240"/>
      <c r="J306" s="533">
        <f>J292*3.5</f>
        <v>0</v>
      </c>
      <c r="K306" s="533">
        <f>K292*3.5</f>
        <v>0</v>
      </c>
      <c r="L306" s="533">
        <f>L292*3.5</f>
        <v>0</v>
      </c>
      <c r="M306" s="154"/>
      <c r="N306" s="154"/>
      <c r="O306" s="154"/>
      <c r="P306" s="154"/>
      <c r="Q306" s="154"/>
      <c r="R306" s="154"/>
      <c r="S306" s="154"/>
      <c r="T306" s="154"/>
      <c r="U306" s="154"/>
      <c r="V306" s="154"/>
      <c r="W306" s="387"/>
      <c r="X306" s="154"/>
      <c r="Y306" s="129"/>
      <c r="Z306" s="130"/>
      <c r="AA306" s="130"/>
      <c r="AB306" s="130"/>
      <c r="AC306" s="125"/>
      <c r="AE306" s="154"/>
      <c r="AF306" s="154"/>
      <c r="AG306" s="154"/>
      <c r="AH306" s="129"/>
      <c r="AI306" s="130"/>
      <c r="AJ306" s="409"/>
      <c r="AK306" s="154"/>
      <c r="AL306" s="154"/>
      <c r="AM306" s="154"/>
      <c r="AN306" s="129"/>
      <c r="AO306" s="130"/>
      <c r="AP306" s="409"/>
      <c r="AQ306" s="154"/>
      <c r="AR306" s="154"/>
      <c r="AS306" s="154"/>
      <c r="AT306" s="129"/>
      <c r="AU306" s="130"/>
      <c r="AV306" s="409"/>
      <c r="AW306" s="154"/>
      <c r="AX306" s="154"/>
      <c r="AY306" s="154"/>
      <c r="AZ306" s="129"/>
      <c r="BA306" s="130"/>
    </row>
    <row r="307" spans="1:53" s="158" customFormat="1" ht="17.100000000000001" customHeight="1" x14ac:dyDescent="0.25">
      <c r="A307" s="967"/>
      <c r="B307" s="102"/>
      <c r="C307" s="119"/>
      <c r="D307" s="535" t="s">
        <v>963</v>
      </c>
      <c r="E307" s="142"/>
      <c r="F307" s="143"/>
      <c r="G307" s="143"/>
      <c r="H307" s="182"/>
      <c r="I307" s="240"/>
      <c r="J307" s="533">
        <f>J293*7.5</f>
        <v>0</v>
      </c>
      <c r="K307" s="533">
        <f>K293*7.5</f>
        <v>0</v>
      </c>
      <c r="L307" s="533">
        <f>L293*7.5</f>
        <v>0</v>
      </c>
      <c r="M307" s="154"/>
      <c r="N307" s="154"/>
      <c r="O307" s="154"/>
      <c r="P307" s="154"/>
      <c r="Q307" s="154"/>
      <c r="R307" s="154"/>
      <c r="S307" s="154"/>
      <c r="T307" s="154"/>
      <c r="U307" s="154"/>
      <c r="V307" s="154"/>
      <c r="W307" s="387"/>
      <c r="X307" s="154"/>
      <c r="Y307" s="129"/>
      <c r="Z307" s="130"/>
      <c r="AA307" s="130"/>
      <c r="AB307" s="130"/>
      <c r="AC307" s="125"/>
      <c r="AE307" s="154"/>
      <c r="AF307" s="154"/>
      <c r="AG307" s="154"/>
      <c r="AH307" s="129"/>
      <c r="AI307" s="130"/>
      <c r="AJ307" s="409"/>
      <c r="AK307" s="154"/>
      <c r="AL307" s="154"/>
      <c r="AM307" s="154"/>
      <c r="AN307" s="129"/>
      <c r="AO307" s="130"/>
      <c r="AP307" s="409"/>
      <c r="AQ307" s="154"/>
      <c r="AR307" s="154"/>
      <c r="AS307" s="154"/>
      <c r="AT307" s="129"/>
      <c r="AU307" s="130"/>
      <c r="AV307" s="409"/>
      <c r="AW307" s="154"/>
      <c r="AX307" s="154"/>
      <c r="AY307" s="154"/>
      <c r="AZ307" s="129"/>
      <c r="BA307" s="130"/>
    </row>
    <row r="308" spans="1:53" s="158" customFormat="1" ht="17.100000000000001" customHeight="1" x14ac:dyDescent="0.25">
      <c r="A308" s="967"/>
      <c r="B308" s="102"/>
      <c r="C308" s="119"/>
      <c r="D308" s="535" t="s">
        <v>964</v>
      </c>
      <c r="E308" s="142"/>
      <c r="F308" s="143"/>
      <c r="G308" s="143"/>
      <c r="H308" s="182"/>
      <c r="I308" s="240"/>
      <c r="J308" s="533">
        <f>J294*12.5</f>
        <v>0</v>
      </c>
      <c r="K308" s="533">
        <f>K294*12.5</f>
        <v>0</v>
      </c>
      <c r="L308" s="533">
        <f>L294*12.5</f>
        <v>0</v>
      </c>
      <c r="M308" s="154"/>
      <c r="N308" s="154"/>
      <c r="O308" s="154"/>
      <c r="P308" s="154"/>
      <c r="Q308" s="154"/>
      <c r="R308" s="154"/>
      <c r="S308" s="154"/>
      <c r="T308" s="154"/>
      <c r="U308" s="154"/>
      <c r="V308" s="154"/>
      <c r="W308" s="387"/>
      <c r="X308" s="154"/>
      <c r="Y308" s="129"/>
      <c r="Z308" s="130"/>
      <c r="AA308" s="130"/>
      <c r="AB308" s="130"/>
      <c r="AC308" s="125"/>
      <c r="AE308" s="154"/>
      <c r="AF308" s="154"/>
      <c r="AG308" s="154"/>
      <c r="AH308" s="129"/>
      <c r="AI308" s="130"/>
      <c r="AJ308" s="409"/>
      <c r="AK308" s="154"/>
      <c r="AL308" s="154"/>
      <c r="AM308" s="154"/>
      <c r="AN308" s="129"/>
      <c r="AO308" s="130"/>
      <c r="AP308" s="409"/>
      <c r="AQ308" s="154"/>
      <c r="AR308" s="154"/>
      <c r="AS308" s="154"/>
      <c r="AT308" s="129"/>
      <c r="AU308" s="130"/>
      <c r="AV308" s="409"/>
      <c r="AW308" s="154"/>
      <c r="AX308" s="154"/>
      <c r="AY308" s="154"/>
      <c r="AZ308" s="129"/>
      <c r="BA308" s="130"/>
    </row>
    <row r="309" spans="1:53" s="158" customFormat="1" ht="17.100000000000001" customHeight="1" x14ac:dyDescent="0.25">
      <c r="A309" s="967"/>
      <c r="B309" s="102"/>
      <c r="C309" s="119"/>
      <c r="D309" s="535" t="s">
        <v>922</v>
      </c>
      <c r="E309" s="142"/>
      <c r="F309" s="143"/>
      <c r="G309" s="143"/>
      <c r="H309" s="182"/>
      <c r="I309" s="240"/>
      <c r="J309" s="533">
        <f>SUM(J304:J308)</f>
        <v>0</v>
      </c>
      <c r="K309" s="533">
        <f t="shared" ref="K309:L309" si="330">SUM(K304:K308)</f>
        <v>0</v>
      </c>
      <c r="L309" s="533">
        <f t="shared" si="330"/>
        <v>0</v>
      </c>
      <c r="M309" s="154"/>
      <c r="N309" s="154"/>
      <c r="O309" s="154"/>
      <c r="P309" s="154"/>
      <c r="Q309" s="154"/>
      <c r="R309" s="154"/>
      <c r="S309" s="154"/>
      <c r="T309" s="154"/>
      <c r="U309" s="154"/>
      <c r="V309" s="154"/>
      <c r="W309" s="387"/>
      <c r="X309" s="154"/>
      <c r="Y309" s="129"/>
      <c r="Z309" s="130"/>
      <c r="AA309" s="130"/>
      <c r="AB309" s="130"/>
      <c r="AC309" s="125"/>
      <c r="AE309" s="154"/>
      <c r="AF309" s="154"/>
      <c r="AG309" s="154"/>
      <c r="AH309" s="129"/>
      <c r="AI309" s="130"/>
      <c r="AJ309" s="409"/>
      <c r="AK309" s="154"/>
      <c r="AL309" s="154"/>
      <c r="AM309" s="154"/>
      <c r="AN309" s="129"/>
      <c r="AO309" s="130"/>
      <c r="AP309" s="409"/>
      <c r="AQ309" s="154"/>
      <c r="AR309" s="154"/>
      <c r="AS309" s="154"/>
      <c r="AT309" s="129"/>
      <c r="AU309" s="130"/>
      <c r="AV309" s="409"/>
      <c r="AW309" s="154"/>
      <c r="AX309" s="154"/>
      <c r="AY309" s="154"/>
      <c r="AZ309" s="129"/>
      <c r="BA309" s="130"/>
    </row>
    <row r="310" spans="1:53" s="409" customFormat="1" ht="17.100000000000001" customHeight="1" x14ac:dyDescent="0.25">
      <c r="A310" s="967"/>
      <c r="B310" s="928"/>
      <c r="C310" s="928"/>
      <c r="D310" s="461" t="s">
        <v>980</v>
      </c>
      <c r="E310" s="556"/>
      <c r="F310" s="92"/>
      <c r="G310" s="92"/>
      <c r="H310" s="182"/>
      <c r="I310" s="240"/>
      <c r="J310" s="537" t="str">
        <f>IF(SUM(J298:J302)=0,"",MIN(J298:J302))</f>
        <v/>
      </c>
      <c r="K310" s="537" t="str">
        <f t="shared" ref="K310:L310" si="331">IF(SUM(K298:K302)=0,"",MIN(K298:K302))</f>
        <v/>
      </c>
      <c r="L310" s="537" t="str">
        <f t="shared" si="331"/>
        <v/>
      </c>
      <c r="M310" s="155"/>
      <c r="N310" s="155"/>
      <c r="O310" s="155"/>
      <c r="P310" s="155"/>
      <c r="Q310" s="155"/>
      <c r="R310" s="155"/>
      <c r="S310" s="155"/>
      <c r="T310" s="155"/>
      <c r="U310" s="155"/>
      <c r="V310" s="155"/>
      <c r="W310" s="388"/>
      <c r="X310" s="155"/>
      <c r="Y310" s="927"/>
      <c r="Z310" s="201"/>
      <c r="AA310" s="537">
        <f t="shared" ref="AA310:AA311" si="332">MIN(J310:L310)</f>
        <v>0</v>
      </c>
      <c r="AB310" s="537">
        <f t="shared" ref="AB310:AB311" si="333">MAX(J310:L310)</f>
        <v>0</v>
      </c>
      <c r="AC310" s="537">
        <f t="shared" ref="AC310:AC311" si="334">IF(SUM(J310:L310)=0,0,AVERAGE(J310:L310))</f>
        <v>0</v>
      </c>
      <c r="AE310" s="155"/>
      <c r="AF310" s="155"/>
      <c r="AG310" s="155"/>
      <c r="AH310" s="927"/>
      <c r="AI310" s="201"/>
      <c r="AK310" s="155"/>
      <c r="AL310" s="155"/>
      <c r="AM310" s="155"/>
      <c r="AN310" s="927"/>
      <c r="AO310" s="201"/>
      <c r="AQ310" s="968">
        <f t="shared" ref="AQ310:AQ311" si="335">MIN(J310,K310)</f>
        <v>0</v>
      </c>
      <c r="AR310" s="537">
        <f t="shared" ref="AR310:AR311" si="336">MAX(J310:K310)</f>
        <v>0</v>
      </c>
      <c r="AS310" s="537"/>
      <c r="AT310" s="927"/>
      <c r="AU310" s="201"/>
      <c r="AW310" s="968" t="str">
        <f t="shared" ref="AW310:AW311" si="337">L310</f>
        <v/>
      </c>
      <c r="AX310" s="537" t="str">
        <f t="shared" ref="AX310:AX311" si="338">L310</f>
        <v/>
      </c>
      <c r="AY310" s="537"/>
      <c r="AZ310" s="927"/>
      <c r="BA310" s="201"/>
    </row>
    <row r="311" spans="1:53" s="409" customFormat="1" ht="17.100000000000001" customHeight="1" x14ac:dyDescent="0.25">
      <c r="A311" s="967"/>
      <c r="B311" s="928"/>
      <c r="C311" s="928"/>
      <c r="D311" s="461" t="s">
        <v>979</v>
      </c>
      <c r="E311" s="556"/>
      <c r="F311" s="92"/>
      <c r="G311" s="92"/>
      <c r="H311" s="182"/>
      <c r="I311" s="240"/>
      <c r="J311" s="537" t="str">
        <f>IF(SUM(J298:J302)=0,"",MAX(J298:J302))</f>
        <v/>
      </c>
      <c r="K311" s="537" t="str">
        <f t="shared" ref="K311:L311" si="339">IF(SUM(K298:K302)=0,"",MAX(K298:K302))</f>
        <v/>
      </c>
      <c r="L311" s="537" t="str">
        <f t="shared" si="339"/>
        <v/>
      </c>
      <c r="M311" s="155"/>
      <c r="N311" s="155"/>
      <c r="O311" s="155"/>
      <c r="P311" s="155"/>
      <c r="Q311" s="155"/>
      <c r="R311" s="155"/>
      <c r="S311" s="155"/>
      <c r="T311" s="155"/>
      <c r="U311" s="155"/>
      <c r="V311" s="155"/>
      <c r="W311" s="388"/>
      <c r="X311" s="155"/>
      <c r="Y311" s="927"/>
      <c r="Z311" s="201"/>
      <c r="AA311" s="537">
        <f t="shared" si="332"/>
        <v>0</v>
      </c>
      <c r="AB311" s="537">
        <f t="shared" si="333"/>
        <v>0</v>
      </c>
      <c r="AC311" s="537">
        <f t="shared" si="334"/>
        <v>0</v>
      </c>
      <c r="AE311" s="155"/>
      <c r="AF311" s="155"/>
      <c r="AG311" s="155"/>
      <c r="AH311" s="927"/>
      <c r="AI311" s="201"/>
      <c r="AK311" s="155"/>
      <c r="AL311" s="155"/>
      <c r="AM311" s="155"/>
      <c r="AN311" s="927"/>
      <c r="AO311" s="201"/>
      <c r="AQ311" s="537">
        <f t="shared" si="335"/>
        <v>0</v>
      </c>
      <c r="AR311" s="968">
        <f t="shared" si="336"/>
        <v>0</v>
      </c>
      <c r="AS311" s="537"/>
      <c r="AT311" s="927"/>
      <c r="AU311" s="201"/>
      <c r="AW311" s="537" t="str">
        <f t="shared" si="337"/>
        <v/>
      </c>
      <c r="AX311" s="968" t="str">
        <f t="shared" si="338"/>
        <v/>
      </c>
      <c r="AY311" s="537"/>
      <c r="AZ311" s="927"/>
      <c r="BA311" s="201"/>
    </row>
    <row r="312" spans="1:53" s="409" customFormat="1" ht="17.100000000000001" customHeight="1" x14ac:dyDescent="0.25">
      <c r="A312" s="967"/>
      <c r="B312" s="928"/>
      <c r="C312" s="928"/>
      <c r="D312" s="461" t="s">
        <v>974</v>
      </c>
      <c r="E312" s="556"/>
      <c r="F312" s="92"/>
      <c r="G312" s="92"/>
      <c r="H312" s="182"/>
      <c r="I312" s="240"/>
      <c r="J312" s="537" t="str">
        <f>IF(J296=0,"",J309/J296)</f>
        <v/>
      </c>
      <c r="K312" s="537" t="str">
        <f t="shared" ref="K312:L312" si="340">IF(K296=0,"",K309/K296)</f>
        <v/>
      </c>
      <c r="L312" s="537" t="str">
        <f t="shared" si="340"/>
        <v/>
      </c>
      <c r="M312" s="155"/>
      <c r="N312" s="155"/>
      <c r="O312" s="155"/>
      <c r="P312" s="155"/>
      <c r="Q312" s="155"/>
      <c r="R312" s="155"/>
      <c r="S312" s="155"/>
      <c r="T312" s="155"/>
      <c r="U312" s="155"/>
      <c r="V312" s="155"/>
      <c r="W312" s="388"/>
      <c r="X312" s="155"/>
      <c r="Y312" s="927"/>
      <c r="Z312" s="201"/>
      <c r="AA312" s="537">
        <f>MIN(J312:L312)</f>
        <v>0</v>
      </c>
      <c r="AB312" s="537">
        <f>MAX(J312:L312)</f>
        <v>0</v>
      </c>
      <c r="AC312" s="537">
        <f>IF(SUM(J312:L312)=0,0,AVERAGE(J312:L312))</f>
        <v>0</v>
      </c>
      <c r="AE312" s="537" t="str">
        <f>J312</f>
        <v/>
      </c>
      <c r="AF312" s="537" t="str">
        <f>J312</f>
        <v/>
      </c>
      <c r="AG312" s="537" t="str">
        <f>J312</f>
        <v/>
      </c>
      <c r="AH312" s="927"/>
      <c r="AI312" s="201"/>
      <c r="AK312" s="537" t="str">
        <f>K312</f>
        <v/>
      </c>
      <c r="AL312" s="537" t="str">
        <f>K312</f>
        <v/>
      </c>
      <c r="AM312" s="537" t="str">
        <f>K312</f>
        <v/>
      </c>
      <c r="AN312" s="927"/>
      <c r="AO312" s="201"/>
      <c r="AQ312" s="537">
        <f>MIN(J312,K312)</f>
        <v>0</v>
      </c>
      <c r="AR312" s="537">
        <f>MAX(J312:K312)</f>
        <v>0</v>
      </c>
      <c r="AS312" s="968">
        <f>IF(SUM(J312:K312)=0,0,AVERAGE(J312:K312))</f>
        <v>0</v>
      </c>
      <c r="AT312" s="927"/>
      <c r="AU312" s="201"/>
      <c r="AW312" s="537" t="str">
        <f>L312</f>
        <v/>
      </c>
      <c r="AX312" s="537" t="str">
        <f>L312</f>
        <v/>
      </c>
      <c r="AY312" s="968" t="str">
        <f>L312</f>
        <v/>
      </c>
      <c r="AZ312" s="927"/>
      <c r="BA312" s="201"/>
    </row>
    <row r="313" spans="1:53" s="97" customFormat="1" ht="17.100000000000001" customHeight="1" x14ac:dyDescent="0.25">
      <c r="A313" s="68"/>
      <c r="B313" s="68"/>
      <c r="C313" s="165"/>
      <c r="D313" s="166"/>
      <c r="E313" s="166"/>
      <c r="F313" s="166"/>
      <c r="G313" s="166"/>
      <c r="H313" s="165"/>
      <c r="I313" s="12"/>
      <c r="J313" s="558"/>
      <c r="K313" s="94"/>
      <c r="L313" s="95"/>
      <c r="M313" s="95"/>
      <c r="N313" s="95"/>
      <c r="O313" s="95"/>
      <c r="P313" s="95"/>
      <c r="Q313" s="95"/>
      <c r="R313" s="95"/>
      <c r="S313" s="95"/>
      <c r="T313" s="95"/>
      <c r="U313" s="95"/>
      <c r="V313" s="95"/>
      <c r="W313" s="378"/>
      <c r="X313" s="95"/>
      <c r="Y313" s="96"/>
      <c r="AE313" s="109"/>
      <c r="AF313" s="109"/>
      <c r="AG313" s="109"/>
      <c r="AH313" s="96"/>
      <c r="AK313" s="109"/>
      <c r="AL313" s="109"/>
      <c r="AM313" s="109"/>
      <c r="AN313" s="96"/>
      <c r="AQ313" s="109"/>
      <c r="AR313" s="109"/>
      <c r="AS313" s="109"/>
      <c r="AT313" s="96"/>
      <c r="AW313" s="109"/>
      <c r="AX313" s="109"/>
      <c r="AY313" s="109"/>
      <c r="AZ313" s="96"/>
    </row>
    <row r="314" spans="1:53" s="32" customFormat="1" ht="16.5" thickBot="1" x14ac:dyDescent="0.3">
      <c r="A314" s="24" t="s">
        <v>150</v>
      </c>
      <c r="B314" s="25" t="s">
        <v>151</v>
      </c>
      <c r="C314" s="26"/>
      <c r="D314" s="27"/>
      <c r="E314" s="27"/>
      <c r="F314" s="27"/>
      <c r="G314" s="28"/>
      <c r="H314" s="215"/>
      <c r="I314" s="228"/>
      <c r="J314" s="101"/>
      <c r="K314" s="101"/>
      <c r="L314" s="101"/>
      <c r="M314" s="101"/>
      <c r="N314" s="101"/>
      <c r="O314" s="101"/>
      <c r="P314" s="101"/>
      <c r="Q314" s="101"/>
      <c r="R314" s="101"/>
      <c r="S314" s="101"/>
      <c r="T314" s="101"/>
      <c r="U314" s="101"/>
      <c r="V314" s="357"/>
      <c r="W314" s="379"/>
      <c r="X314" s="101"/>
      <c r="Y314" s="30" t="s">
        <v>4</v>
      </c>
      <c r="Z314" s="31" t="s">
        <v>5</v>
      </c>
      <c r="AA314" s="31" t="s">
        <v>181</v>
      </c>
      <c r="AB314" s="31" t="s">
        <v>182</v>
      </c>
      <c r="AC314" s="24" t="s">
        <v>6</v>
      </c>
      <c r="AE314" s="33" t="s">
        <v>181</v>
      </c>
      <c r="AF314" s="33" t="s">
        <v>182</v>
      </c>
      <c r="AG314" s="33" t="s">
        <v>6</v>
      </c>
      <c r="AH314" s="33" t="s">
        <v>4</v>
      </c>
      <c r="AI314" s="34" t="s">
        <v>5</v>
      </c>
      <c r="AJ314" s="408"/>
      <c r="AK314" s="36" t="s">
        <v>181</v>
      </c>
      <c r="AL314" s="36" t="s">
        <v>182</v>
      </c>
      <c r="AM314" s="36" t="s">
        <v>6</v>
      </c>
      <c r="AN314" s="36" t="s">
        <v>4</v>
      </c>
      <c r="AO314" s="37" t="s">
        <v>5</v>
      </c>
      <c r="AP314" s="408"/>
      <c r="AQ314" s="36"/>
      <c r="AR314" s="36"/>
      <c r="AS314" s="36"/>
      <c r="AT314" s="36"/>
      <c r="AU314" s="37"/>
      <c r="AV314" s="408"/>
      <c r="AW314" s="38" t="s">
        <v>181</v>
      </c>
      <c r="AX314" s="38" t="s">
        <v>182</v>
      </c>
      <c r="AY314" s="38" t="s">
        <v>6</v>
      </c>
      <c r="AZ314" s="38" t="s">
        <v>4</v>
      </c>
      <c r="BA314" s="39" t="s">
        <v>5</v>
      </c>
    </row>
    <row r="315" spans="1:53" ht="17.100000000000001" customHeight="1" x14ac:dyDescent="0.25">
      <c r="A315" s="68"/>
      <c r="B315" s="41" t="s">
        <v>152</v>
      </c>
      <c r="C315" s="69" t="s">
        <v>433</v>
      </c>
      <c r="D315" s="50"/>
      <c r="E315" s="70"/>
      <c r="F315" s="70"/>
      <c r="G315" s="70"/>
      <c r="H315" s="263">
        <v>38</v>
      </c>
      <c r="J315" s="71"/>
      <c r="K315" s="71"/>
      <c r="L315" s="71"/>
      <c r="M315" s="71"/>
      <c r="N315" s="71"/>
      <c r="O315" s="71"/>
      <c r="P315" s="71"/>
      <c r="Q315" s="71"/>
      <c r="R315" s="71"/>
      <c r="S315" s="71"/>
      <c r="T315" s="71"/>
      <c r="U315" s="71"/>
      <c r="V315" s="355"/>
      <c r="W315" s="377"/>
      <c r="X315" s="71"/>
      <c r="Y315" s="72"/>
      <c r="Z315" s="73"/>
      <c r="AA315" s="73"/>
      <c r="AB315" s="73"/>
      <c r="AC315" s="73"/>
      <c r="AE315" s="71"/>
      <c r="AF315" s="71"/>
      <c r="AG315" s="71"/>
      <c r="AH315" s="72"/>
      <c r="AI315" s="73"/>
      <c r="AK315" s="71"/>
      <c r="AL315" s="71"/>
      <c r="AM315" s="71"/>
      <c r="AN315" s="72"/>
      <c r="AO315" s="73"/>
      <c r="AQ315" s="71"/>
      <c r="AR315" s="71"/>
      <c r="AS315" s="71"/>
      <c r="AT315" s="72"/>
      <c r="AU315" s="73"/>
      <c r="AW315" s="71"/>
      <c r="AX315" s="71"/>
      <c r="AY315" s="71"/>
      <c r="AZ315" s="72"/>
      <c r="BA315" s="73"/>
    </row>
    <row r="316" spans="1:53" s="4" customFormat="1" ht="17.100000000000001" customHeight="1" x14ac:dyDescent="0.25">
      <c r="A316" s="40"/>
      <c r="B316" s="40"/>
      <c r="C316" s="74" t="s">
        <v>153</v>
      </c>
      <c r="D316" s="85" t="s">
        <v>173</v>
      </c>
      <c r="E316" s="105"/>
      <c r="F316" s="105"/>
      <c r="G316" s="105"/>
      <c r="H316" s="119"/>
      <c r="I316" s="231"/>
      <c r="J316" s="581"/>
      <c r="K316" s="581"/>
      <c r="L316" s="582"/>
      <c r="M316" s="593"/>
      <c r="N316" s="111"/>
      <c r="O316" s="111"/>
      <c r="P316" s="111"/>
      <c r="Q316" s="111"/>
      <c r="R316" s="111"/>
      <c r="S316" s="111"/>
      <c r="T316" s="111"/>
      <c r="U316" s="111"/>
      <c r="V316" s="358"/>
      <c r="W316" s="391">
        <f t="shared" ref="W316:W322" si="341">J316+K316+N316+Q316+T316</f>
        <v>0</v>
      </c>
      <c r="X316" s="17">
        <f t="shared" ref="X316:X322" si="342">L316+O316+R316+U316</f>
        <v>0</v>
      </c>
      <c r="Y316" s="18">
        <f>SUM(W316:X316)</f>
        <v>0</v>
      </c>
      <c r="Z316" s="19">
        <f>IF(Y$323=0,0,Y316/Y$323)</f>
        <v>0</v>
      </c>
      <c r="AA316" s="19"/>
      <c r="AB316" s="19"/>
      <c r="AC316" s="20"/>
      <c r="AE316" s="17"/>
      <c r="AF316" s="17"/>
      <c r="AG316" s="17"/>
      <c r="AH316" s="18">
        <f>J316</f>
        <v>0</v>
      </c>
      <c r="AI316" s="19">
        <f>IF(AH$323=0,0,AH316/AH$323)</f>
        <v>0</v>
      </c>
      <c r="AJ316" s="97"/>
      <c r="AK316" s="17"/>
      <c r="AL316" s="17"/>
      <c r="AM316" s="17"/>
      <c r="AN316" s="18">
        <f>K316</f>
        <v>0</v>
      </c>
      <c r="AO316" s="19">
        <f>IF(AN$323=0,0,AN316/AN$323)</f>
        <v>0</v>
      </c>
      <c r="AP316" s="97"/>
      <c r="AQ316" s="17"/>
      <c r="AR316" s="17"/>
      <c r="AS316" s="17"/>
      <c r="AT316" s="18">
        <f>W316</f>
        <v>0</v>
      </c>
      <c r="AU316" s="19">
        <f>IF(AT$323=0,0,AT316/AT$323)</f>
        <v>0</v>
      </c>
      <c r="AV316" s="97"/>
      <c r="AW316" s="17"/>
      <c r="AX316" s="17"/>
      <c r="AY316" s="17"/>
      <c r="AZ316" s="18">
        <f>X316</f>
        <v>0</v>
      </c>
      <c r="BA316" s="19">
        <f>IF(AZ$323=0,0,AZ316/AZ$323)</f>
        <v>0</v>
      </c>
    </row>
    <row r="317" spans="1:53" s="4" customFormat="1" ht="17.100000000000001" customHeight="1" x14ac:dyDescent="0.25">
      <c r="A317" s="40"/>
      <c r="B317" s="40"/>
      <c r="C317" s="74" t="s">
        <v>154</v>
      </c>
      <c r="D317" s="85" t="s">
        <v>544</v>
      </c>
      <c r="E317" s="105"/>
      <c r="F317" s="105"/>
      <c r="G317" s="105"/>
      <c r="H317" s="119"/>
      <c r="I317" s="231"/>
      <c r="J317" s="583"/>
      <c r="K317" s="583"/>
      <c r="L317" s="584"/>
      <c r="M317" s="593"/>
      <c r="N317" s="111"/>
      <c r="O317" s="111"/>
      <c r="P317" s="111"/>
      <c r="Q317" s="111"/>
      <c r="R317" s="111"/>
      <c r="S317" s="111"/>
      <c r="T317" s="111"/>
      <c r="U317" s="111"/>
      <c r="V317" s="358"/>
      <c r="W317" s="391">
        <f t="shared" si="341"/>
        <v>0</v>
      </c>
      <c r="X317" s="17">
        <f t="shared" si="342"/>
        <v>0</v>
      </c>
      <c r="Y317" s="18">
        <f>SUM(W317:X317)</f>
        <v>0</v>
      </c>
      <c r="Z317" s="19">
        <f>IF(Y$323=0,0,Y317/Y$323)</f>
        <v>0</v>
      </c>
      <c r="AA317" s="19"/>
      <c r="AB317" s="19"/>
      <c r="AC317" s="20"/>
      <c r="AE317" s="17"/>
      <c r="AF317" s="17"/>
      <c r="AG317" s="17"/>
      <c r="AH317" s="18">
        <f t="shared" ref="AH317:AH322" si="343">J317</f>
        <v>0</v>
      </c>
      <c r="AI317" s="19">
        <f>IF(AH$323=0,0,AH317/AH$323)</f>
        <v>0</v>
      </c>
      <c r="AJ317" s="97"/>
      <c r="AK317" s="17"/>
      <c r="AL317" s="17"/>
      <c r="AM317" s="17"/>
      <c r="AN317" s="18">
        <f t="shared" ref="AN317:AN322" si="344">K317</f>
        <v>0</v>
      </c>
      <c r="AO317" s="19">
        <f>IF(AN$323=0,0,AN317/AN$323)</f>
        <v>0</v>
      </c>
      <c r="AP317" s="97"/>
      <c r="AQ317" s="17"/>
      <c r="AR317" s="17"/>
      <c r="AS317" s="17"/>
      <c r="AT317" s="18">
        <f t="shared" ref="AT317:AT322" si="345">W317</f>
        <v>0</v>
      </c>
      <c r="AU317" s="19">
        <f>IF(AT$323=0,0,AT317/AT$323)</f>
        <v>0</v>
      </c>
      <c r="AV317" s="97"/>
      <c r="AW317" s="17"/>
      <c r="AX317" s="17"/>
      <c r="AY317" s="17"/>
      <c r="AZ317" s="18">
        <f>X317</f>
        <v>0</v>
      </c>
      <c r="BA317" s="19">
        <f>IF(AZ$323=0,0,AZ317/AZ$323)</f>
        <v>0</v>
      </c>
    </row>
    <row r="318" spans="1:53" s="4" customFormat="1" ht="17.100000000000001" customHeight="1" x14ac:dyDescent="0.25">
      <c r="A318" s="40"/>
      <c r="B318" s="40"/>
      <c r="C318" s="74" t="s">
        <v>155</v>
      </c>
      <c r="D318" s="146" t="s">
        <v>484</v>
      </c>
      <c r="E318" s="105"/>
      <c r="F318" s="105"/>
      <c r="G318" s="105"/>
      <c r="H318" s="119"/>
      <c r="I318" s="231"/>
      <c r="J318" s="581"/>
      <c r="K318" s="581"/>
      <c r="L318" s="582"/>
      <c r="M318" s="593"/>
      <c r="N318" s="111"/>
      <c r="O318" s="111"/>
      <c r="P318" s="111"/>
      <c r="Q318" s="111"/>
      <c r="R318" s="111"/>
      <c r="S318" s="111"/>
      <c r="T318" s="111"/>
      <c r="U318" s="111"/>
      <c r="V318" s="358"/>
      <c r="W318" s="391"/>
      <c r="X318" s="17">
        <f>L318</f>
        <v>0</v>
      </c>
      <c r="Y318" s="17">
        <f>M318</f>
        <v>0</v>
      </c>
      <c r="Z318" s="19"/>
      <c r="AA318" s="17">
        <f>MIN(J318:L318)</f>
        <v>0</v>
      </c>
      <c r="AB318" s="17"/>
      <c r="AC318" s="17"/>
      <c r="AE318" s="17">
        <f>J318</f>
        <v>0</v>
      </c>
      <c r="AF318" s="17"/>
      <c r="AG318" s="17"/>
      <c r="AH318" s="18"/>
      <c r="AI318" s="19"/>
      <c r="AJ318" s="97"/>
      <c r="AK318" s="17">
        <f>K318</f>
        <v>0</v>
      </c>
      <c r="AL318" s="17"/>
      <c r="AM318" s="17"/>
      <c r="AN318" s="18"/>
      <c r="AO318" s="19"/>
      <c r="AP318" s="97"/>
      <c r="AQ318" s="17">
        <f>W318</f>
        <v>0</v>
      </c>
      <c r="AR318" s="17"/>
      <c r="AS318" s="17"/>
      <c r="AT318" s="18"/>
      <c r="AU318" s="19"/>
      <c r="AV318" s="97"/>
      <c r="AW318" s="17">
        <f>L318</f>
        <v>0</v>
      </c>
      <c r="AX318" s="17"/>
      <c r="AY318" s="17"/>
      <c r="AZ318" s="18"/>
      <c r="BA318" s="19"/>
    </row>
    <row r="319" spans="1:53" s="4" customFormat="1" ht="17.100000000000001" customHeight="1" x14ac:dyDescent="0.25">
      <c r="A319" s="40"/>
      <c r="B319" s="40"/>
      <c r="C319" s="74" t="s">
        <v>156</v>
      </c>
      <c r="D319" s="146" t="s">
        <v>485</v>
      </c>
      <c r="E319" s="105"/>
      <c r="F319" s="105"/>
      <c r="G319" s="105"/>
      <c r="H319" s="119"/>
      <c r="I319" s="231"/>
      <c r="J319" s="583"/>
      <c r="K319" s="583"/>
      <c r="L319" s="584"/>
      <c r="M319" s="593"/>
      <c r="N319" s="111"/>
      <c r="O319" s="111"/>
      <c r="P319" s="111"/>
      <c r="Q319" s="111"/>
      <c r="R319" s="111"/>
      <c r="S319" s="111"/>
      <c r="T319" s="111"/>
      <c r="U319" s="111"/>
      <c r="V319" s="358"/>
      <c r="W319" s="391"/>
      <c r="X319" s="17">
        <f t="shared" ref="X319:Y320" si="346">L319</f>
        <v>0</v>
      </c>
      <c r="Y319" s="17">
        <f t="shared" si="346"/>
        <v>0</v>
      </c>
      <c r="Z319" s="19"/>
      <c r="AA319" s="17"/>
      <c r="AB319" s="17">
        <f>MAX(J319:L319)</f>
        <v>0</v>
      </c>
      <c r="AC319" s="17"/>
      <c r="AE319" s="17"/>
      <c r="AF319" s="17">
        <f>J319</f>
        <v>0</v>
      </c>
      <c r="AG319" s="17"/>
      <c r="AH319" s="18"/>
      <c r="AI319" s="19"/>
      <c r="AJ319" s="97"/>
      <c r="AK319" s="17"/>
      <c r="AL319" s="17">
        <f>K319</f>
        <v>0</v>
      </c>
      <c r="AM319" s="17"/>
      <c r="AN319" s="18"/>
      <c r="AO319" s="19"/>
      <c r="AP319" s="97"/>
      <c r="AQ319" s="17"/>
      <c r="AR319" s="17">
        <f>W319</f>
        <v>0</v>
      </c>
      <c r="AS319" s="17"/>
      <c r="AT319" s="18"/>
      <c r="AU319" s="19"/>
      <c r="AV319" s="97"/>
      <c r="AW319" s="17"/>
      <c r="AX319" s="17">
        <f>L319</f>
        <v>0</v>
      </c>
      <c r="AY319" s="17"/>
      <c r="AZ319" s="18"/>
      <c r="BA319" s="19"/>
    </row>
    <row r="320" spans="1:53" s="4" customFormat="1" ht="17.100000000000001" customHeight="1" x14ac:dyDescent="0.25">
      <c r="A320" s="40"/>
      <c r="B320" s="40"/>
      <c r="C320" s="74" t="s">
        <v>157</v>
      </c>
      <c r="D320" s="146" t="s">
        <v>543</v>
      </c>
      <c r="E320" s="105"/>
      <c r="F320" s="105"/>
      <c r="G320" s="105"/>
      <c r="H320" s="119"/>
      <c r="I320" s="231"/>
      <c r="J320" s="581"/>
      <c r="K320" s="581"/>
      <c r="L320" s="582"/>
      <c r="M320" s="593"/>
      <c r="N320" s="111"/>
      <c r="O320" s="111"/>
      <c r="P320" s="111"/>
      <c r="Q320" s="111"/>
      <c r="R320" s="111"/>
      <c r="S320" s="111"/>
      <c r="T320" s="111"/>
      <c r="U320" s="111"/>
      <c r="V320" s="358"/>
      <c r="W320" s="391"/>
      <c r="X320" s="17">
        <f t="shared" si="346"/>
        <v>0</v>
      </c>
      <c r="Y320" s="17">
        <f t="shared" si="346"/>
        <v>0</v>
      </c>
      <c r="Z320" s="19"/>
      <c r="AA320" s="17"/>
      <c r="AB320" s="17"/>
      <c r="AC320" s="17">
        <f>IF(SUM(J320:L320)=0,0,AVERAGE(J320:L320))</f>
        <v>0</v>
      </c>
      <c r="AE320" s="17"/>
      <c r="AF320" s="17"/>
      <c r="AG320" s="17">
        <f>J320</f>
        <v>0</v>
      </c>
      <c r="AH320" s="18"/>
      <c r="AI320" s="19"/>
      <c r="AJ320" s="97"/>
      <c r="AK320" s="17"/>
      <c r="AL320" s="17"/>
      <c r="AM320" s="17">
        <f>K320</f>
        <v>0</v>
      </c>
      <c r="AN320" s="18"/>
      <c r="AO320" s="19"/>
      <c r="AP320" s="97"/>
      <c r="AQ320" s="17"/>
      <c r="AR320" s="17"/>
      <c r="AS320" s="17">
        <f>W320</f>
        <v>0</v>
      </c>
      <c r="AT320" s="18"/>
      <c r="AU320" s="19"/>
      <c r="AV320" s="97"/>
      <c r="AW320" s="17"/>
      <c r="AX320" s="17"/>
      <c r="AY320" s="17">
        <f>L320</f>
        <v>0</v>
      </c>
      <c r="AZ320" s="18"/>
      <c r="BA320" s="19"/>
    </row>
    <row r="321" spans="1:53" s="4" customFormat="1" ht="17.100000000000001" customHeight="1" x14ac:dyDescent="0.25">
      <c r="A321" s="40"/>
      <c r="B321" s="40"/>
      <c r="C321" s="74" t="s">
        <v>158</v>
      </c>
      <c r="D321" s="75" t="s">
        <v>129</v>
      </c>
      <c r="E321" s="105"/>
      <c r="F321" s="105"/>
      <c r="G321" s="105"/>
      <c r="H321" s="119"/>
      <c r="I321" s="231"/>
      <c r="J321" s="583"/>
      <c r="K321" s="583"/>
      <c r="L321" s="584"/>
      <c r="M321" s="593"/>
      <c r="N321" s="111"/>
      <c r="O321" s="111"/>
      <c r="P321" s="111"/>
      <c r="Q321" s="111"/>
      <c r="R321" s="111"/>
      <c r="S321" s="111"/>
      <c r="T321" s="111"/>
      <c r="U321" s="111"/>
      <c r="V321" s="358"/>
      <c r="W321" s="391">
        <f t="shared" si="341"/>
        <v>0</v>
      </c>
      <c r="X321" s="17">
        <f t="shared" si="342"/>
        <v>0</v>
      </c>
      <c r="Y321" s="18">
        <f>SUM(W321:X321)</f>
        <v>0</v>
      </c>
      <c r="Z321" s="19">
        <f>IF(Y$323=0,0,Y321/Y$323)</f>
        <v>0</v>
      </c>
      <c r="AA321" s="19"/>
      <c r="AB321" s="19"/>
      <c r="AC321" s="20"/>
      <c r="AE321" s="17"/>
      <c r="AF321" s="17"/>
      <c r="AG321" s="17"/>
      <c r="AH321" s="18">
        <f t="shared" si="343"/>
        <v>0</v>
      </c>
      <c r="AI321" s="19">
        <f>IF(AH$323=0,0,AH321/AH$323)</f>
        <v>0</v>
      </c>
      <c r="AJ321" s="97"/>
      <c r="AK321" s="17"/>
      <c r="AL321" s="17"/>
      <c r="AM321" s="17"/>
      <c r="AN321" s="18">
        <f t="shared" si="344"/>
        <v>0</v>
      </c>
      <c r="AO321" s="19">
        <f>IF(AN$323=0,0,AN321/AN$323)</f>
        <v>0</v>
      </c>
      <c r="AP321" s="97"/>
      <c r="AQ321" s="17"/>
      <c r="AR321" s="17"/>
      <c r="AS321" s="17"/>
      <c r="AT321" s="18">
        <f t="shared" si="345"/>
        <v>0</v>
      </c>
      <c r="AU321" s="19">
        <f>IF(AT$323=0,0,AT321/AT$323)</f>
        <v>0</v>
      </c>
      <c r="AV321" s="97"/>
      <c r="AW321" s="17"/>
      <c r="AX321" s="17"/>
      <c r="AY321" s="17"/>
      <c r="AZ321" s="18">
        <f>X321</f>
        <v>0</v>
      </c>
      <c r="BA321" s="19">
        <f>IF(AZ$323=0,0,AZ321/AZ$323)</f>
        <v>0</v>
      </c>
    </row>
    <row r="322" spans="1:53" s="4" customFormat="1" ht="17.100000000000001" customHeight="1" x14ac:dyDescent="0.25">
      <c r="A322" s="40"/>
      <c r="B322" s="40"/>
      <c r="C322" s="74" t="s">
        <v>159</v>
      </c>
      <c r="D322" s="75" t="s">
        <v>530</v>
      </c>
      <c r="E322" s="75"/>
      <c r="F322" s="75"/>
      <c r="G322" s="75"/>
      <c r="H322" s="540"/>
      <c r="I322" s="229"/>
      <c r="J322" s="581"/>
      <c r="K322" s="581"/>
      <c r="L322" s="582"/>
      <c r="M322" s="593"/>
      <c r="N322" s="111"/>
      <c r="O322" s="111"/>
      <c r="P322" s="111"/>
      <c r="Q322" s="111"/>
      <c r="R322" s="111"/>
      <c r="S322" s="111"/>
      <c r="T322" s="111"/>
      <c r="U322" s="111"/>
      <c r="V322" s="358"/>
      <c r="W322" s="391">
        <f t="shared" si="341"/>
        <v>0</v>
      </c>
      <c r="X322" s="17">
        <f t="shared" si="342"/>
        <v>0</v>
      </c>
      <c r="Y322" s="18">
        <f>SUM(W322:X322)</f>
        <v>0</v>
      </c>
      <c r="Z322" s="19">
        <f>IF(Y$323=0,0,Y322/Y$323)</f>
        <v>0</v>
      </c>
      <c r="AA322" s="19"/>
      <c r="AB322" s="19"/>
      <c r="AC322" s="20"/>
      <c r="AE322" s="17"/>
      <c r="AF322" s="17"/>
      <c r="AG322" s="17"/>
      <c r="AH322" s="18">
        <f t="shared" si="343"/>
        <v>0</v>
      </c>
      <c r="AI322" s="19">
        <f>IF(AH$323=0,0,AH322/AH$323)</f>
        <v>0</v>
      </c>
      <c r="AJ322" s="97"/>
      <c r="AK322" s="17"/>
      <c r="AL322" s="17"/>
      <c r="AM322" s="17"/>
      <c r="AN322" s="18">
        <f t="shared" si="344"/>
        <v>0</v>
      </c>
      <c r="AO322" s="19">
        <f>IF(AN$323=0,0,AN322/AN$323)</f>
        <v>0</v>
      </c>
      <c r="AP322" s="97"/>
      <c r="AQ322" s="17"/>
      <c r="AR322" s="17"/>
      <c r="AS322" s="17"/>
      <c r="AT322" s="18">
        <f t="shared" si="345"/>
        <v>0</v>
      </c>
      <c r="AU322" s="19">
        <f>IF(AT$323=0,0,AT322/AT$323)</f>
        <v>0</v>
      </c>
      <c r="AV322" s="97"/>
      <c r="AW322" s="17"/>
      <c r="AX322" s="17"/>
      <c r="AY322" s="17"/>
      <c r="AZ322" s="18">
        <f>X322</f>
        <v>0</v>
      </c>
      <c r="BA322" s="19">
        <f>IF(AZ$323=0,0,AZ322/AZ$323)</f>
        <v>0</v>
      </c>
    </row>
    <row r="323" spans="1:53" s="4" customFormat="1" ht="17.100000000000001" customHeight="1" x14ac:dyDescent="0.25">
      <c r="A323" s="175"/>
      <c r="B323" s="40"/>
      <c r="C323" s="77"/>
      <c r="D323" s="134"/>
      <c r="E323" s="134"/>
      <c r="F323" s="134"/>
      <c r="G323" s="134"/>
      <c r="H323" s="540"/>
      <c r="I323" s="12"/>
      <c r="J323" s="80">
        <f>J316+J317+J321+J322</f>
        <v>0</v>
      </c>
      <c r="K323" s="80">
        <f t="shared" ref="K323:M323" si="347">K316+K317+K321+K322</f>
        <v>0</v>
      </c>
      <c r="L323" s="80">
        <f t="shared" si="347"/>
        <v>0</v>
      </c>
      <c r="M323" s="80">
        <f t="shared" si="347"/>
        <v>0</v>
      </c>
      <c r="N323" s="81"/>
      <c r="O323" s="81"/>
      <c r="P323" s="81"/>
      <c r="Q323" s="81"/>
      <c r="R323" s="81"/>
      <c r="S323" s="81"/>
      <c r="T323" s="81"/>
      <c r="U323" s="81"/>
      <c r="V323" s="356"/>
      <c r="W323" s="381">
        <f>W316+W317+W321+W322</f>
        <v>0</v>
      </c>
      <c r="X323" s="82">
        <f>X316+X317+X321+X322</f>
        <v>0</v>
      </c>
      <c r="Y323" s="82">
        <f t="shared" ref="Y323" si="348">SUM(Y316:Y322)</f>
        <v>0</v>
      </c>
      <c r="Z323" s="205">
        <f>IF(Y$323=0,0,Y323/Y$323)</f>
        <v>0</v>
      </c>
      <c r="AA323" s="205"/>
      <c r="AB323" s="205"/>
      <c r="AC323" s="83"/>
      <c r="AE323" s="80"/>
      <c r="AF323" s="80"/>
      <c r="AG323" s="81"/>
      <c r="AH323" s="82">
        <f>SUM(AH316:AH322)</f>
        <v>0</v>
      </c>
      <c r="AI323" s="66">
        <f>IF(AH$323=0,0,AH323/AH$323)</f>
        <v>0</v>
      </c>
      <c r="AJ323" s="97"/>
      <c r="AK323" s="80"/>
      <c r="AL323" s="80"/>
      <c r="AM323" s="81"/>
      <c r="AN323" s="82">
        <f>SUM(AN316:AN322)</f>
        <v>0</v>
      </c>
      <c r="AO323" s="66">
        <f>IF(AN$323=0,0,AN323/AN$323)</f>
        <v>0</v>
      </c>
      <c r="AP323" s="97"/>
      <c r="AQ323" s="80"/>
      <c r="AR323" s="80"/>
      <c r="AS323" s="81"/>
      <c r="AT323" s="82">
        <f>SUM(AT316:AT322)</f>
        <v>0</v>
      </c>
      <c r="AU323" s="66">
        <f>IF(AT$323=0,0,AT323/AT$323)</f>
        <v>0</v>
      </c>
      <c r="AV323" s="97"/>
      <c r="AW323" s="80"/>
      <c r="AX323" s="80"/>
      <c r="AY323" s="81"/>
      <c r="AZ323" s="82">
        <f>SUM(AZ316:AZ322)</f>
        <v>0</v>
      </c>
      <c r="BA323" s="66">
        <f>IF(AZ$323=0,0,AZ323/AZ$323)</f>
        <v>0</v>
      </c>
    </row>
    <row r="324" spans="1:53" s="117" customFormat="1" ht="17.100000000000001" customHeight="1" x14ac:dyDescent="0.25">
      <c r="A324" s="68"/>
      <c r="B324" s="119"/>
      <c r="C324" s="540"/>
      <c r="D324" s="261"/>
      <c r="E324" s="261"/>
      <c r="F324" s="68"/>
      <c r="G324" s="68"/>
      <c r="H324" s="119"/>
      <c r="I324" s="138"/>
      <c r="J324" s="17" t="str">
        <f>IF(J323=J$15,"OK","NOK")</f>
        <v>OK</v>
      </c>
      <c r="K324" s="17" t="str">
        <f t="shared" ref="K324:L324" si="349">IF(K323=K$15,"OK","NOK")</f>
        <v>OK</v>
      </c>
      <c r="L324" s="17" t="str">
        <f t="shared" si="349"/>
        <v>OK</v>
      </c>
      <c r="M324" s="17"/>
      <c r="N324" s="17"/>
      <c r="O324" s="17"/>
      <c r="P324" s="17"/>
      <c r="Q324" s="17"/>
      <c r="R324" s="17"/>
      <c r="S324" s="17"/>
      <c r="T324" s="17"/>
      <c r="U324" s="17"/>
      <c r="V324" s="359"/>
      <c r="W324" s="382"/>
      <c r="X324" s="539"/>
      <c r="Y324" s="539"/>
      <c r="Z324" s="201"/>
      <c r="AA324" s="201"/>
      <c r="AB324" s="201"/>
      <c r="AC324" s="84"/>
      <c r="AE324" s="46"/>
      <c r="AF324" s="46"/>
      <c r="AG324" s="17"/>
      <c r="AH324" s="539"/>
      <c r="AI324" s="91"/>
      <c r="AK324" s="46"/>
      <c r="AL324" s="46"/>
      <c r="AM324" s="17"/>
      <c r="AN324" s="539"/>
      <c r="AO324" s="91"/>
      <c r="AQ324" s="46"/>
      <c r="AR324" s="46"/>
      <c r="AS324" s="17"/>
      <c r="AT324" s="539"/>
      <c r="AU324" s="91"/>
      <c r="AW324" s="46"/>
      <c r="AX324" s="46"/>
      <c r="AY324" s="17"/>
      <c r="AZ324" s="539"/>
      <c r="BA324" s="91"/>
    </row>
    <row r="325" spans="1:53" ht="17.100000000000001" customHeight="1" x14ac:dyDescent="0.25">
      <c r="A325" s="68"/>
      <c r="B325" s="41" t="s">
        <v>160</v>
      </c>
      <c r="C325" s="69" t="s">
        <v>434</v>
      </c>
      <c r="D325" s="50"/>
      <c r="E325" s="70"/>
      <c r="F325" s="70"/>
      <c r="G325" s="70"/>
      <c r="H325" s="243">
        <v>40</v>
      </c>
      <c r="J325" s="71"/>
      <c r="K325" s="71"/>
      <c r="L325" s="71"/>
      <c r="M325" s="71"/>
      <c r="N325" s="71"/>
      <c r="O325" s="71"/>
      <c r="P325" s="71"/>
      <c r="Q325" s="71"/>
      <c r="R325" s="71"/>
      <c r="S325" s="71"/>
      <c r="T325" s="71"/>
      <c r="U325" s="71"/>
      <c r="V325" s="355"/>
      <c r="W325" s="377"/>
      <c r="X325" s="71"/>
      <c r="Y325" s="89"/>
      <c r="Z325" s="90"/>
      <c r="AA325" s="90"/>
      <c r="AB325" s="90"/>
      <c r="AC325" s="73"/>
      <c r="AE325" s="71"/>
      <c r="AF325" s="71"/>
      <c r="AG325" s="71"/>
      <c r="AH325" s="72"/>
      <c r="AI325" s="73"/>
      <c r="AK325" s="71"/>
      <c r="AL325" s="71"/>
      <c r="AM325" s="71"/>
      <c r="AN325" s="72"/>
      <c r="AO325" s="73"/>
      <c r="AQ325" s="71"/>
      <c r="AR325" s="71"/>
      <c r="AS325" s="71"/>
      <c r="AT325" s="72"/>
      <c r="AU325" s="73"/>
      <c r="AW325" s="71"/>
      <c r="AX325" s="71"/>
      <c r="AY325" s="71"/>
      <c r="AZ325" s="72"/>
      <c r="BA325" s="73"/>
    </row>
    <row r="326" spans="1:53" s="4" customFormat="1" ht="17.100000000000001" customHeight="1" x14ac:dyDescent="0.25">
      <c r="A326" s="40"/>
      <c r="B326" s="40"/>
      <c r="C326" s="74" t="s">
        <v>161</v>
      </c>
      <c r="D326" s="85" t="s">
        <v>173</v>
      </c>
      <c r="E326" s="105"/>
      <c r="F326" s="105"/>
      <c r="G326" s="105"/>
      <c r="H326" s="119"/>
      <c r="I326" s="231"/>
      <c r="J326" s="581"/>
      <c r="K326" s="581"/>
      <c r="L326" s="582"/>
      <c r="M326" s="593"/>
      <c r="N326" s="111"/>
      <c r="O326" s="111"/>
      <c r="P326" s="111"/>
      <c r="Q326" s="111"/>
      <c r="R326" s="111"/>
      <c r="S326" s="111"/>
      <c r="T326" s="111"/>
      <c r="U326" s="111"/>
      <c r="V326" s="358"/>
      <c r="W326" s="391">
        <f t="shared" ref="W326:W327" si="350">J326+K326+N326+Q326+T326</f>
        <v>0</v>
      </c>
      <c r="X326" s="17">
        <f t="shared" ref="X326:X327" si="351">L326+O326+R326+U326</f>
        <v>0</v>
      </c>
      <c r="Y326" s="18">
        <f>SUM(W326:X326)</f>
        <v>0</v>
      </c>
      <c r="Z326" s="19">
        <f>IF(Y$333=0,0,Y326/Y$333)</f>
        <v>0</v>
      </c>
      <c r="AA326" s="19"/>
      <c r="AB326" s="19"/>
      <c r="AC326" s="20"/>
      <c r="AE326" s="17"/>
      <c r="AF326" s="17"/>
      <c r="AG326" s="17"/>
      <c r="AH326" s="18">
        <f>J326</f>
        <v>0</v>
      </c>
      <c r="AI326" s="19">
        <f>IF(AH$333=0,0,AH326/AH$333)</f>
        <v>0</v>
      </c>
      <c r="AJ326" s="97"/>
      <c r="AK326" s="17"/>
      <c r="AL326" s="17"/>
      <c r="AM326" s="17"/>
      <c r="AN326" s="18">
        <f>K326</f>
        <v>0</v>
      </c>
      <c r="AO326" s="19">
        <f>IF(AN$333=0,0,AN326/AN$333)</f>
        <v>0</v>
      </c>
      <c r="AP326" s="97"/>
      <c r="AQ326" s="17"/>
      <c r="AR326" s="17"/>
      <c r="AS326" s="17"/>
      <c r="AT326" s="18">
        <f>W326</f>
        <v>0</v>
      </c>
      <c r="AU326" s="19">
        <f>IF(AT$333=0,0,AT326/AT$333)</f>
        <v>0</v>
      </c>
      <c r="AV326" s="97"/>
      <c r="AW326" s="17"/>
      <c r="AX326" s="17"/>
      <c r="AY326" s="17"/>
      <c r="AZ326" s="18">
        <f>X326</f>
        <v>0</v>
      </c>
      <c r="BA326" s="19">
        <f>IF(AZ$333=0,0,AZ326/AZ$333)</f>
        <v>0</v>
      </c>
    </row>
    <row r="327" spans="1:53" s="4" customFormat="1" ht="17.100000000000001" customHeight="1" x14ac:dyDescent="0.25">
      <c r="A327" s="40"/>
      <c r="B327" s="40"/>
      <c r="C327" s="74" t="s">
        <v>163</v>
      </c>
      <c r="D327" s="85" t="s">
        <v>544</v>
      </c>
      <c r="E327" s="105"/>
      <c r="F327" s="105"/>
      <c r="G327" s="105"/>
      <c r="H327" s="119"/>
      <c r="I327" s="231"/>
      <c r="J327" s="583"/>
      <c r="K327" s="583"/>
      <c r="L327" s="584"/>
      <c r="M327" s="593"/>
      <c r="N327" s="111"/>
      <c r="O327" s="111"/>
      <c r="P327" s="111"/>
      <c r="Q327" s="111"/>
      <c r="R327" s="111"/>
      <c r="S327" s="111"/>
      <c r="T327" s="111"/>
      <c r="U327" s="111"/>
      <c r="V327" s="358"/>
      <c r="W327" s="391">
        <f t="shared" si="350"/>
        <v>0</v>
      </c>
      <c r="X327" s="17">
        <f t="shared" si="351"/>
        <v>0</v>
      </c>
      <c r="Y327" s="18">
        <f>SUM(W327:X327)</f>
        <v>0</v>
      </c>
      <c r="Z327" s="19">
        <f>IF(Y$333=0,0,Y327/Y$333)</f>
        <v>0</v>
      </c>
      <c r="AA327" s="19"/>
      <c r="AB327" s="19"/>
      <c r="AC327" s="20"/>
      <c r="AE327" s="17"/>
      <c r="AF327" s="17"/>
      <c r="AG327" s="17"/>
      <c r="AH327" s="18">
        <f t="shared" ref="AH327" si="352">J327</f>
        <v>0</v>
      </c>
      <c r="AI327" s="19">
        <f>IF(AH$333=0,0,AH327/AH$333)</f>
        <v>0</v>
      </c>
      <c r="AJ327" s="97"/>
      <c r="AK327" s="17"/>
      <c r="AL327" s="17"/>
      <c r="AM327" s="17"/>
      <c r="AN327" s="18">
        <f t="shared" ref="AN327" si="353">K327</f>
        <v>0</v>
      </c>
      <c r="AO327" s="19">
        <f>IF(AN$333=0,0,AN327/AN$333)</f>
        <v>0</v>
      </c>
      <c r="AP327" s="97"/>
      <c r="AQ327" s="17"/>
      <c r="AR327" s="17"/>
      <c r="AS327" s="17"/>
      <c r="AT327" s="18">
        <f t="shared" ref="AT327" si="354">W327</f>
        <v>0</v>
      </c>
      <c r="AU327" s="19">
        <f>IF(AT$333=0,0,AT327/AT$333)</f>
        <v>0</v>
      </c>
      <c r="AV327" s="97"/>
      <c r="AW327" s="17"/>
      <c r="AX327" s="17"/>
      <c r="AY327" s="17"/>
      <c r="AZ327" s="18">
        <f>X327</f>
        <v>0</v>
      </c>
      <c r="BA327" s="19">
        <f>IF(AZ$333=0,0,AZ327/AZ$333)</f>
        <v>0</v>
      </c>
    </row>
    <row r="328" spans="1:53" s="4" customFormat="1" ht="17.100000000000001" customHeight="1" x14ac:dyDescent="0.25">
      <c r="A328" s="40"/>
      <c r="B328" s="40"/>
      <c r="C328" s="74" t="s">
        <v>164</v>
      </c>
      <c r="D328" s="146" t="s">
        <v>484</v>
      </c>
      <c r="E328" s="105"/>
      <c r="F328" s="105"/>
      <c r="G328" s="105"/>
      <c r="H328" s="119"/>
      <c r="I328" s="231"/>
      <c r="J328" s="581"/>
      <c r="K328" s="581"/>
      <c r="L328" s="582"/>
      <c r="M328" s="593"/>
      <c r="N328" s="111"/>
      <c r="O328" s="111"/>
      <c r="P328" s="111"/>
      <c r="Q328" s="111"/>
      <c r="R328" s="111"/>
      <c r="S328" s="111"/>
      <c r="T328" s="111"/>
      <c r="U328" s="111"/>
      <c r="V328" s="358"/>
      <c r="W328" s="391">
        <f>MIN(J328:K328)</f>
        <v>0</v>
      </c>
      <c r="X328" s="17">
        <f>L328</f>
        <v>0</v>
      </c>
      <c r="Y328" s="18"/>
      <c r="Z328" s="19"/>
      <c r="AA328" s="17">
        <f>MIN(J328:L328)</f>
        <v>0</v>
      </c>
      <c r="AB328" s="17"/>
      <c r="AC328" s="17"/>
      <c r="AE328" s="17">
        <f>J328</f>
        <v>0</v>
      </c>
      <c r="AF328" s="17"/>
      <c r="AG328" s="17"/>
      <c r="AH328" s="18"/>
      <c r="AI328" s="19"/>
      <c r="AJ328" s="97"/>
      <c r="AK328" s="17">
        <f>K328</f>
        <v>0</v>
      </c>
      <c r="AL328" s="17"/>
      <c r="AM328" s="17"/>
      <c r="AN328" s="18"/>
      <c r="AO328" s="19"/>
      <c r="AP328" s="97"/>
      <c r="AQ328" s="17">
        <f>W328</f>
        <v>0</v>
      </c>
      <c r="AR328" s="17"/>
      <c r="AS328" s="17"/>
      <c r="AT328" s="18"/>
      <c r="AU328" s="19"/>
      <c r="AV328" s="97"/>
      <c r="AW328" s="17">
        <f>L328</f>
        <v>0</v>
      </c>
      <c r="AX328" s="17"/>
      <c r="AY328" s="17"/>
      <c r="AZ328" s="18"/>
      <c r="BA328" s="19"/>
    </row>
    <row r="329" spans="1:53" s="4" customFormat="1" ht="17.100000000000001" customHeight="1" x14ac:dyDescent="0.25">
      <c r="A329" s="40"/>
      <c r="B329" s="40"/>
      <c r="C329" s="74" t="s">
        <v>166</v>
      </c>
      <c r="D329" s="146" t="s">
        <v>485</v>
      </c>
      <c r="E329" s="105"/>
      <c r="F329" s="105"/>
      <c r="G329" s="105"/>
      <c r="H329" s="119"/>
      <c r="I329" s="231"/>
      <c r="J329" s="583"/>
      <c r="K329" s="583"/>
      <c r="L329" s="584"/>
      <c r="M329" s="593"/>
      <c r="N329" s="111"/>
      <c r="O329" s="111"/>
      <c r="P329" s="111"/>
      <c r="Q329" s="111"/>
      <c r="R329" s="111"/>
      <c r="S329" s="111"/>
      <c r="T329" s="111"/>
      <c r="U329" s="111"/>
      <c r="V329" s="358"/>
      <c r="W329" s="391">
        <f>MAX(J329:K329)</f>
        <v>0</v>
      </c>
      <c r="X329" s="17">
        <f t="shared" ref="X329:X330" si="355">L329</f>
        <v>0</v>
      </c>
      <c r="Y329" s="18"/>
      <c r="Z329" s="19"/>
      <c r="AA329" s="17"/>
      <c r="AB329" s="17">
        <f>MAX(J329:L329)</f>
        <v>0</v>
      </c>
      <c r="AC329" s="17"/>
      <c r="AE329" s="17"/>
      <c r="AF329" s="17">
        <f>J329</f>
        <v>0</v>
      </c>
      <c r="AG329" s="17"/>
      <c r="AH329" s="18"/>
      <c r="AI329" s="19"/>
      <c r="AJ329" s="97"/>
      <c r="AK329" s="17"/>
      <c r="AL329" s="17">
        <f>K329</f>
        <v>0</v>
      </c>
      <c r="AM329" s="17"/>
      <c r="AN329" s="18"/>
      <c r="AO329" s="19"/>
      <c r="AP329" s="97"/>
      <c r="AQ329" s="17"/>
      <c r="AR329" s="17">
        <f>W329</f>
        <v>0</v>
      </c>
      <c r="AS329" s="17"/>
      <c r="AT329" s="18"/>
      <c r="AU329" s="19"/>
      <c r="AV329" s="97"/>
      <c r="AW329" s="17"/>
      <c r="AX329" s="17">
        <f>L329</f>
        <v>0</v>
      </c>
      <c r="AY329" s="17"/>
      <c r="AZ329" s="18"/>
      <c r="BA329" s="19"/>
    </row>
    <row r="330" spans="1:53" s="4" customFormat="1" ht="17.100000000000001" customHeight="1" x14ac:dyDescent="0.25">
      <c r="A330" s="40"/>
      <c r="B330" s="40"/>
      <c r="C330" s="74" t="s">
        <v>168</v>
      </c>
      <c r="D330" s="146" t="s">
        <v>543</v>
      </c>
      <c r="E330" s="105"/>
      <c r="F330" s="105"/>
      <c r="G330" s="105"/>
      <c r="H330" s="119"/>
      <c r="I330" s="231"/>
      <c r="J330" s="581"/>
      <c r="K330" s="581"/>
      <c r="L330" s="582"/>
      <c r="M330" s="593"/>
      <c r="N330" s="111"/>
      <c r="O330" s="111"/>
      <c r="P330" s="111"/>
      <c r="Q330" s="111"/>
      <c r="R330" s="111"/>
      <c r="S330" s="111"/>
      <c r="T330" s="111"/>
      <c r="U330" s="111"/>
      <c r="V330" s="358"/>
      <c r="W330" s="391">
        <f>IF(SUM(J330:K330)=0,0,AVERAGE(J330:K330))</f>
        <v>0</v>
      </c>
      <c r="X330" s="17">
        <f t="shared" si="355"/>
        <v>0</v>
      </c>
      <c r="Y330" s="18"/>
      <c r="Z330" s="19"/>
      <c r="AA330" s="17"/>
      <c r="AB330" s="17"/>
      <c r="AC330" s="17">
        <f>IF(SUM(J330:L330)=0,0,AVERAGE(J330:L330))</f>
        <v>0</v>
      </c>
      <c r="AE330" s="17"/>
      <c r="AF330" s="17"/>
      <c r="AG330" s="17">
        <f>J330</f>
        <v>0</v>
      </c>
      <c r="AH330" s="18"/>
      <c r="AI330" s="19"/>
      <c r="AJ330" s="97"/>
      <c r="AK330" s="17"/>
      <c r="AL330" s="17"/>
      <c r="AM330" s="17">
        <f>K330</f>
        <v>0</v>
      </c>
      <c r="AN330" s="18"/>
      <c r="AO330" s="19"/>
      <c r="AP330" s="97"/>
      <c r="AQ330" s="17"/>
      <c r="AR330" s="17"/>
      <c r="AS330" s="17">
        <f>W330</f>
        <v>0</v>
      </c>
      <c r="AT330" s="18"/>
      <c r="AU330" s="19"/>
      <c r="AV330" s="97"/>
      <c r="AW330" s="17"/>
      <c r="AX330" s="17"/>
      <c r="AY330" s="17">
        <f>L330</f>
        <v>0</v>
      </c>
      <c r="AZ330" s="18"/>
      <c r="BA330" s="19"/>
    </row>
    <row r="331" spans="1:53" s="4" customFormat="1" ht="17.100000000000001" customHeight="1" x14ac:dyDescent="0.25">
      <c r="A331" s="40"/>
      <c r="B331" s="40"/>
      <c r="C331" s="74" t="s">
        <v>169</v>
      </c>
      <c r="D331" s="75" t="s">
        <v>129</v>
      </c>
      <c r="E331" s="105"/>
      <c r="F331" s="105"/>
      <c r="G331" s="105"/>
      <c r="H331" s="119"/>
      <c r="I331" s="231"/>
      <c r="J331" s="583"/>
      <c r="K331" s="583"/>
      <c r="L331" s="584"/>
      <c r="M331" s="593"/>
      <c r="N331" s="111"/>
      <c r="O331" s="111"/>
      <c r="P331" s="111"/>
      <c r="Q331" s="111"/>
      <c r="R331" s="111"/>
      <c r="S331" s="111"/>
      <c r="T331" s="111"/>
      <c r="U331" s="111"/>
      <c r="V331" s="358"/>
      <c r="W331" s="391">
        <f t="shared" ref="W331:W332" si="356">J331+K331+N331+Q331+T331</f>
        <v>0</v>
      </c>
      <c r="X331" s="17">
        <f t="shared" ref="X331:X332" si="357">L331+O331+R331+U331</f>
        <v>0</v>
      </c>
      <c r="Y331" s="18">
        <f>SUM(W331:X331)</f>
        <v>0</v>
      </c>
      <c r="Z331" s="19">
        <f>IF(Y$333=0,0,Y331/Y$333)</f>
        <v>0</v>
      </c>
      <c r="AA331" s="19"/>
      <c r="AB331" s="19"/>
      <c r="AC331" s="20"/>
      <c r="AE331" s="17"/>
      <c r="AF331" s="17"/>
      <c r="AG331" s="17"/>
      <c r="AH331" s="18">
        <f t="shared" ref="AH331:AH332" si="358">J331</f>
        <v>0</v>
      </c>
      <c r="AI331" s="19">
        <f>IF(AH$333=0,0,AH331/AH$333)</f>
        <v>0</v>
      </c>
      <c r="AJ331" s="97"/>
      <c r="AK331" s="17"/>
      <c r="AL331" s="17"/>
      <c r="AM331" s="17"/>
      <c r="AN331" s="18">
        <f t="shared" ref="AN331:AN332" si="359">K331</f>
        <v>0</v>
      </c>
      <c r="AO331" s="19">
        <f>IF(AN$333=0,0,AN331/AN$333)</f>
        <v>0</v>
      </c>
      <c r="AP331" s="97"/>
      <c r="AQ331" s="17"/>
      <c r="AR331" s="17"/>
      <c r="AS331" s="17"/>
      <c r="AT331" s="18">
        <f t="shared" ref="AT331:AT332" si="360">W331</f>
        <v>0</v>
      </c>
      <c r="AU331" s="19">
        <f>IF(AT$333=0,0,AT331/AT$333)</f>
        <v>0</v>
      </c>
      <c r="AV331" s="97"/>
      <c r="AW331" s="17"/>
      <c r="AX331" s="17"/>
      <c r="AY331" s="17"/>
      <c r="AZ331" s="18">
        <f>X331</f>
        <v>0</v>
      </c>
      <c r="BA331" s="19">
        <f>IF(AZ$333=0,0,AZ331/AZ$333)</f>
        <v>0</v>
      </c>
    </row>
    <row r="332" spans="1:53" s="4" customFormat="1" ht="17.100000000000001" customHeight="1" x14ac:dyDescent="0.25">
      <c r="A332" s="40"/>
      <c r="B332" s="40"/>
      <c r="C332" s="74" t="s">
        <v>170</v>
      </c>
      <c r="D332" s="75" t="s">
        <v>530</v>
      </c>
      <c r="E332" s="75"/>
      <c r="F332" s="75"/>
      <c r="G332" s="75"/>
      <c r="H332" s="540"/>
      <c r="I332" s="229"/>
      <c r="J332" s="581"/>
      <c r="K332" s="581"/>
      <c r="L332" s="582"/>
      <c r="M332" s="593"/>
      <c r="N332" s="111"/>
      <c r="O332" s="111"/>
      <c r="P332" s="111"/>
      <c r="Q332" s="111"/>
      <c r="R332" s="111"/>
      <c r="S332" s="111"/>
      <c r="T332" s="111"/>
      <c r="U332" s="111"/>
      <c r="V332" s="358"/>
      <c r="W332" s="391">
        <f t="shared" si="356"/>
        <v>0</v>
      </c>
      <c r="X332" s="17">
        <f t="shared" si="357"/>
        <v>0</v>
      </c>
      <c r="Y332" s="18">
        <f>SUM(W332:X332)</f>
        <v>0</v>
      </c>
      <c r="Z332" s="19">
        <f>IF(Y$333=0,0,Y332/Y$333)</f>
        <v>0</v>
      </c>
      <c r="AA332" s="19"/>
      <c r="AB332" s="19"/>
      <c r="AC332" s="20"/>
      <c r="AE332" s="17"/>
      <c r="AF332" s="17"/>
      <c r="AG332" s="17"/>
      <c r="AH332" s="18">
        <f t="shared" si="358"/>
        <v>0</v>
      </c>
      <c r="AI332" s="19">
        <f>IF(AH$333=0,0,AH332/AH$333)</f>
        <v>0</v>
      </c>
      <c r="AJ332" s="97"/>
      <c r="AK332" s="17"/>
      <c r="AL332" s="17"/>
      <c r="AM332" s="17"/>
      <c r="AN332" s="18">
        <f t="shared" si="359"/>
        <v>0</v>
      </c>
      <c r="AO332" s="19">
        <f>IF(AN$333=0,0,AN332/AN$333)</f>
        <v>0</v>
      </c>
      <c r="AP332" s="97"/>
      <c r="AQ332" s="17"/>
      <c r="AR332" s="17"/>
      <c r="AS332" s="17"/>
      <c r="AT332" s="18">
        <f t="shared" si="360"/>
        <v>0</v>
      </c>
      <c r="AU332" s="19">
        <f>IF(AT$333=0,0,AT332/AT$333)</f>
        <v>0</v>
      </c>
      <c r="AV332" s="97"/>
      <c r="AW332" s="17"/>
      <c r="AX332" s="17"/>
      <c r="AY332" s="17"/>
      <c r="AZ332" s="18">
        <f>X332</f>
        <v>0</v>
      </c>
      <c r="BA332" s="19">
        <f>IF(AZ$333=0,0,AZ332/AZ$333)</f>
        <v>0</v>
      </c>
    </row>
    <row r="333" spans="1:53" s="4" customFormat="1" ht="17.100000000000001" customHeight="1" x14ac:dyDescent="0.25">
      <c r="A333" s="175"/>
      <c r="B333" s="40"/>
      <c r="C333" s="77"/>
      <c r="D333" s="134"/>
      <c r="E333" s="134"/>
      <c r="F333" s="134"/>
      <c r="G333" s="134"/>
      <c r="H333" s="540"/>
      <c r="I333" s="12"/>
      <c r="J333" s="80">
        <f>J326+J327+J331+J332</f>
        <v>0</v>
      </c>
      <c r="K333" s="80">
        <f t="shared" ref="K333:M333" si="361">K326+K327+K331+K332</f>
        <v>0</v>
      </c>
      <c r="L333" s="80">
        <f t="shared" si="361"/>
        <v>0</v>
      </c>
      <c r="M333" s="80">
        <f t="shared" si="361"/>
        <v>0</v>
      </c>
      <c r="N333" s="81"/>
      <c r="O333" s="81"/>
      <c r="P333" s="81"/>
      <c r="Q333" s="81"/>
      <c r="R333" s="81"/>
      <c r="S333" s="81"/>
      <c r="T333" s="81"/>
      <c r="U333" s="81"/>
      <c r="V333" s="356"/>
      <c r="W333" s="381">
        <f>W326+W327+W331+W332</f>
        <v>0</v>
      </c>
      <c r="X333" s="82">
        <f>X326+X327+X331+X332</f>
        <v>0</v>
      </c>
      <c r="Y333" s="82">
        <f t="shared" ref="Y333" si="362">SUM(Y326:Y332)</f>
        <v>0</v>
      </c>
      <c r="Z333" s="205">
        <f>IF(Y$333=0,0,Y333/Y$333)</f>
        <v>0</v>
      </c>
      <c r="AA333" s="205"/>
      <c r="AB333" s="205"/>
      <c r="AC333" s="83"/>
      <c r="AE333" s="80"/>
      <c r="AF333" s="80"/>
      <c r="AG333" s="81"/>
      <c r="AH333" s="82">
        <f>SUM(AH326:AH332)</f>
        <v>0</v>
      </c>
      <c r="AI333" s="66">
        <f>IF(AH$333=0,0,AH333/AH$333)</f>
        <v>0</v>
      </c>
      <c r="AJ333" s="97"/>
      <c r="AK333" s="80"/>
      <c r="AL333" s="80"/>
      <c r="AM333" s="81"/>
      <c r="AN333" s="82">
        <f>SUM(AN326:AN332)</f>
        <v>0</v>
      </c>
      <c r="AO333" s="66">
        <f>IF(AN$333=0,0,AN333/AN$333)</f>
        <v>0</v>
      </c>
      <c r="AP333" s="97"/>
      <c r="AQ333" s="80"/>
      <c r="AR333" s="80"/>
      <c r="AS333" s="81"/>
      <c r="AT333" s="82">
        <f>SUM(AT326:AT332)</f>
        <v>0</v>
      </c>
      <c r="AU333" s="66">
        <f>IF(AT$333=0,0,AT333/AT$333)</f>
        <v>0</v>
      </c>
      <c r="AV333" s="97"/>
      <c r="AW333" s="80"/>
      <c r="AX333" s="80"/>
      <c r="AY333" s="81"/>
      <c r="AZ333" s="82">
        <f>SUM(AZ326:AZ332)</f>
        <v>0</v>
      </c>
      <c r="BA333" s="66">
        <f>IF(AZ$333=0,0,AZ333/AZ$333)</f>
        <v>0</v>
      </c>
    </row>
    <row r="334" spans="1:53" s="117" customFormat="1" ht="17.100000000000001" customHeight="1" x14ac:dyDescent="0.25">
      <c r="A334" s="68"/>
      <c r="B334" s="119"/>
      <c r="C334" s="540"/>
      <c r="D334" s="261"/>
      <c r="E334" s="261"/>
      <c r="F334" s="68"/>
      <c r="G334" s="68"/>
      <c r="H334" s="119"/>
      <c r="I334" s="138"/>
      <c r="J334" s="17" t="str">
        <f>IF(J333=J$15,"OK","NOK")</f>
        <v>OK</v>
      </c>
      <c r="K334" s="17" t="str">
        <f t="shared" ref="K334:L334" si="363">IF(K333=K$15,"OK","NOK")</f>
        <v>OK</v>
      </c>
      <c r="L334" s="17" t="str">
        <f t="shared" si="363"/>
        <v>OK</v>
      </c>
      <c r="M334" s="17"/>
      <c r="N334" s="17"/>
      <c r="O334" s="17"/>
      <c r="P334" s="17"/>
      <c r="Q334" s="17"/>
      <c r="R334" s="17"/>
      <c r="S334" s="17"/>
      <c r="T334" s="17"/>
      <c r="U334" s="17"/>
      <c r="V334" s="359"/>
      <c r="W334" s="382"/>
      <c r="X334" s="539"/>
      <c r="Y334" s="539"/>
      <c r="Z334" s="201"/>
      <c r="AA334" s="201"/>
      <c r="AB334" s="201"/>
      <c r="AC334" s="84"/>
      <c r="AE334" s="46"/>
      <c r="AF334" s="46"/>
      <c r="AG334" s="17"/>
      <c r="AH334" s="539"/>
      <c r="AI334" s="91"/>
      <c r="AK334" s="46"/>
      <c r="AL334" s="46"/>
      <c r="AM334" s="17"/>
      <c r="AN334" s="539"/>
      <c r="AO334" s="91"/>
      <c r="AQ334" s="46"/>
      <c r="AR334" s="46"/>
      <c r="AS334" s="17"/>
      <c r="AT334" s="539"/>
      <c r="AU334" s="91"/>
      <c r="AW334" s="46"/>
      <c r="AX334" s="46"/>
      <c r="AY334" s="17"/>
      <c r="AZ334" s="539"/>
      <c r="BA334" s="91"/>
    </row>
    <row r="335" spans="1:53" ht="17.100000000000001" customHeight="1" x14ac:dyDescent="0.25">
      <c r="A335" s="68"/>
      <c r="B335" s="41" t="s">
        <v>171</v>
      </c>
      <c r="C335" s="69" t="s">
        <v>435</v>
      </c>
      <c r="D335" s="50"/>
      <c r="E335" s="70"/>
      <c r="F335" s="70"/>
      <c r="G335" s="70"/>
      <c r="H335" s="243">
        <v>42</v>
      </c>
      <c r="J335" s="71"/>
      <c r="K335" s="71"/>
      <c r="L335" s="71"/>
      <c r="M335" s="71"/>
      <c r="N335" s="71"/>
      <c r="O335" s="71"/>
      <c r="P335" s="71"/>
      <c r="Q335" s="71"/>
      <c r="R335" s="71"/>
      <c r="S335" s="71"/>
      <c r="T335" s="71"/>
      <c r="U335" s="71"/>
      <c r="V335" s="355"/>
      <c r="W335" s="377"/>
      <c r="X335" s="71"/>
      <c r="Y335" s="89"/>
      <c r="Z335" s="90"/>
      <c r="AA335" s="90"/>
      <c r="AB335" s="90"/>
      <c r="AC335" s="73"/>
      <c r="AE335" s="71"/>
      <c r="AF335" s="71"/>
      <c r="AG335" s="71"/>
      <c r="AH335" s="72"/>
      <c r="AI335" s="73"/>
      <c r="AK335" s="71"/>
      <c r="AL335" s="71"/>
      <c r="AM335" s="71"/>
      <c r="AN335" s="72"/>
      <c r="AO335" s="73"/>
      <c r="AQ335" s="71"/>
      <c r="AR335" s="71"/>
      <c r="AS335" s="71"/>
      <c r="AT335" s="72"/>
      <c r="AU335" s="73"/>
      <c r="AW335" s="71"/>
      <c r="AX335" s="71"/>
      <c r="AY335" s="71"/>
      <c r="AZ335" s="72"/>
      <c r="BA335" s="73"/>
    </row>
    <row r="336" spans="1:53" s="4" customFormat="1" ht="17.100000000000001" customHeight="1" x14ac:dyDescent="0.25">
      <c r="A336" s="40"/>
      <c r="B336" s="40"/>
      <c r="C336" s="74" t="s">
        <v>172</v>
      </c>
      <c r="D336" s="85" t="s">
        <v>173</v>
      </c>
      <c r="E336" s="105"/>
      <c r="F336" s="105"/>
      <c r="G336" s="105"/>
      <c r="H336" s="119"/>
      <c r="I336" s="231"/>
      <c r="J336" s="581"/>
      <c r="K336" s="581"/>
      <c r="L336" s="582"/>
      <c r="M336" s="593"/>
      <c r="N336" s="111"/>
      <c r="O336" s="111"/>
      <c r="P336" s="111"/>
      <c r="Q336" s="111"/>
      <c r="R336" s="111"/>
      <c r="S336" s="111"/>
      <c r="T336" s="111"/>
      <c r="U336" s="111"/>
      <c r="V336" s="358"/>
      <c r="W336" s="391">
        <f t="shared" ref="W336:W337" si="364">J336+K336+N336+Q336+T336</f>
        <v>0</v>
      </c>
      <c r="X336" s="17">
        <f t="shared" ref="X336:X337" si="365">L336+O336+R336+U336</f>
        <v>0</v>
      </c>
      <c r="Y336" s="18">
        <f>SUM(W336:X336)</f>
        <v>0</v>
      </c>
      <c r="Z336" s="19">
        <f>IF(Y$343=0,0,Y336/Y$343)</f>
        <v>0</v>
      </c>
      <c r="AA336" s="19"/>
      <c r="AB336" s="19"/>
      <c r="AC336" s="20"/>
      <c r="AE336" s="17"/>
      <c r="AF336" s="17"/>
      <c r="AG336" s="17"/>
      <c r="AH336" s="18">
        <f>J336</f>
        <v>0</v>
      </c>
      <c r="AI336" s="19">
        <f>IF(AH$343=0,0,AH336/AH$343)</f>
        <v>0</v>
      </c>
      <c r="AJ336" s="97"/>
      <c r="AK336" s="17"/>
      <c r="AL336" s="17"/>
      <c r="AM336" s="17"/>
      <c r="AN336" s="18">
        <f>K336</f>
        <v>0</v>
      </c>
      <c r="AO336" s="19">
        <f>IF(AN$343=0,0,AN336/AN$343)</f>
        <v>0</v>
      </c>
      <c r="AP336" s="97"/>
      <c r="AQ336" s="17"/>
      <c r="AR336" s="17"/>
      <c r="AS336" s="17"/>
      <c r="AT336" s="18">
        <f>W336</f>
        <v>0</v>
      </c>
      <c r="AU336" s="19">
        <f>IF(AT$343=0,0,AT336/AT$343)</f>
        <v>0</v>
      </c>
      <c r="AV336" s="97"/>
      <c r="AW336" s="17"/>
      <c r="AX336" s="17"/>
      <c r="AY336" s="17"/>
      <c r="AZ336" s="18">
        <f>X336</f>
        <v>0</v>
      </c>
      <c r="BA336" s="19">
        <f>IF(AZ$343=0,0,AZ336/AZ$343)</f>
        <v>0</v>
      </c>
    </row>
    <row r="337" spans="1:53" s="4" customFormat="1" ht="17.100000000000001" customHeight="1" x14ac:dyDescent="0.25">
      <c r="A337" s="40"/>
      <c r="B337" s="40"/>
      <c r="C337" s="74" t="s">
        <v>174</v>
      </c>
      <c r="D337" s="85" t="s">
        <v>544</v>
      </c>
      <c r="E337" s="105"/>
      <c r="F337" s="105"/>
      <c r="G337" s="105"/>
      <c r="H337" s="119"/>
      <c r="I337" s="231"/>
      <c r="J337" s="583"/>
      <c r="K337" s="583"/>
      <c r="L337" s="584"/>
      <c r="M337" s="593"/>
      <c r="N337" s="111"/>
      <c r="O337" s="111"/>
      <c r="P337" s="111"/>
      <c r="Q337" s="111"/>
      <c r="R337" s="111"/>
      <c r="S337" s="111"/>
      <c r="T337" s="111"/>
      <c r="U337" s="111"/>
      <c r="V337" s="358"/>
      <c r="W337" s="391">
        <f t="shared" si="364"/>
        <v>0</v>
      </c>
      <c r="X337" s="17">
        <f t="shared" si="365"/>
        <v>0</v>
      </c>
      <c r="Y337" s="18">
        <f>SUM(W337:X337)</f>
        <v>0</v>
      </c>
      <c r="Z337" s="19">
        <f>IF(Y$343=0,0,Y337/Y$343)</f>
        <v>0</v>
      </c>
      <c r="AA337" s="19"/>
      <c r="AB337" s="19"/>
      <c r="AC337" s="20"/>
      <c r="AE337" s="17"/>
      <c r="AF337" s="17"/>
      <c r="AG337" s="17"/>
      <c r="AH337" s="18">
        <f t="shared" ref="AH337" si="366">J337</f>
        <v>0</v>
      </c>
      <c r="AI337" s="19">
        <f>IF(AH$343=0,0,AH337/AH$343)</f>
        <v>0</v>
      </c>
      <c r="AJ337" s="97"/>
      <c r="AK337" s="17"/>
      <c r="AL337" s="17"/>
      <c r="AM337" s="17"/>
      <c r="AN337" s="18">
        <f t="shared" ref="AN337" si="367">K337</f>
        <v>0</v>
      </c>
      <c r="AO337" s="19">
        <f>IF(AN$343=0,0,AN337/AN$343)</f>
        <v>0</v>
      </c>
      <c r="AP337" s="97"/>
      <c r="AQ337" s="17"/>
      <c r="AR337" s="17"/>
      <c r="AS337" s="17"/>
      <c r="AT337" s="18">
        <f t="shared" ref="AT337" si="368">W337</f>
        <v>0</v>
      </c>
      <c r="AU337" s="19">
        <f>IF(AT$343=0,0,AT337/AT$343)</f>
        <v>0</v>
      </c>
      <c r="AV337" s="97"/>
      <c r="AW337" s="17"/>
      <c r="AX337" s="17"/>
      <c r="AY337" s="17"/>
      <c r="AZ337" s="18">
        <f>X337</f>
        <v>0</v>
      </c>
      <c r="BA337" s="19">
        <f>IF(AZ$343=0,0,AZ337/AZ$343)</f>
        <v>0</v>
      </c>
    </row>
    <row r="338" spans="1:53" s="4" customFormat="1" ht="17.100000000000001" customHeight="1" x14ac:dyDescent="0.25">
      <c r="A338" s="40"/>
      <c r="B338" s="40"/>
      <c r="C338" s="74" t="s">
        <v>175</v>
      </c>
      <c r="D338" s="146" t="s">
        <v>484</v>
      </c>
      <c r="E338" s="105"/>
      <c r="F338" s="105"/>
      <c r="G338" s="105"/>
      <c r="H338" s="119"/>
      <c r="I338" s="231"/>
      <c r="J338" s="581"/>
      <c r="K338" s="581"/>
      <c r="L338" s="582"/>
      <c r="M338" s="593"/>
      <c r="N338" s="111"/>
      <c r="O338" s="111"/>
      <c r="P338" s="111"/>
      <c r="Q338" s="111"/>
      <c r="R338" s="111"/>
      <c r="S338" s="111"/>
      <c r="T338" s="111"/>
      <c r="U338" s="111"/>
      <c r="V338" s="358"/>
      <c r="W338" s="391">
        <f>MIN(J338:K338)</f>
        <v>0</v>
      </c>
      <c r="X338" s="17">
        <f>L338</f>
        <v>0</v>
      </c>
      <c r="Y338" s="18"/>
      <c r="Z338" s="19"/>
      <c r="AA338" s="17">
        <f>MIN(J338:L338)</f>
        <v>0</v>
      </c>
      <c r="AB338" s="17"/>
      <c r="AC338" s="17"/>
      <c r="AE338" s="17">
        <f>J338</f>
        <v>0</v>
      </c>
      <c r="AF338" s="17"/>
      <c r="AG338" s="17"/>
      <c r="AH338" s="18"/>
      <c r="AI338" s="19"/>
      <c r="AJ338" s="97"/>
      <c r="AK338" s="17">
        <f>K338</f>
        <v>0</v>
      </c>
      <c r="AL338" s="17"/>
      <c r="AM338" s="17"/>
      <c r="AN338" s="18"/>
      <c r="AO338" s="19"/>
      <c r="AP338" s="97"/>
      <c r="AQ338" s="17">
        <f>W338</f>
        <v>0</v>
      </c>
      <c r="AR338" s="17"/>
      <c r="AS338" s="17"/>
      <c r="AT338" s="18"/>
      <c r="AU338" s="19"/>
      <c r="AV338" s="97"/>
      <c r="AW338" s="17">
        <f>L338</f>
        <v>0</v>
      </c>
      <c r="AX338" s="17"/>
      <c r="AY338" s="17"/>
      <c r="AZ338" s="18"/>
      <c r="BA338" s="19"/>
    </row>
    <row r="339" spans="1:53" s="4" customFormat="1" ht="17.100000000000001" customHeight="1" x14ac:dyDescent="0.25">
      <c r="A339" s="40"/>
      <c r="B339" s="40"/>
      <c r="C339" s="74" t="s">
        <v>176</v>
      </c>
      <c r="D339" s="146" t="s">
        <v>485</v>
      </c>
      <c r="E339" s="105"/>
      <c r="F339" s="105"/>
      <c r="G339" s="105"/>
      <c r="H339" s="119"/>
      <c r="I339" s="231"/>
      <c r="J339" s="583"/>
      <c r="K339" s="583"/>
      <c r="L339" s="584"/>
      <c r="M339" s="593"/>
      <c r="N339" s="111"/>
      <c r="O339" s="111"/>
      <c r="P339" s="111"/>
      <c r="Q339" s="111"/>
      <c r="R339" s="111"/>
      <c r="S339" s="111"/>
      <c r="T339" s="111"/>
      <c r="U339" s="111"/>
      <c r="V339" s="358"/>
      <c r="W339" s="391">
        <f>MAX(J339:K339)</f>
        <v>0</v>
      </c>
      <c r="X339" s="17">
        <f t="shared" ref="X339:X340" si="369">L339</f>
        <v>0</v>
      </c>
      <c r="Y339" s="18"/>
      <c r="Z339" s="19"/>
      <c r="AA339" s="17"/>
      <c r="AB339" s="17">
        <f>MAX(J339:L339)</f>
        <v>0</v>
      </c>
      <c r="AC339" s="17"/>
      <c r="AE339" s="17"/>
      <c r="AF339" s="17">
        <f>J339</f>
        <v>0</v>
      </c>
      <c r="AG339" s="17"/>
      <c r="AH339" s="18"/>
      <c r="AI339" s="19"/>
      <c r="AJ339" s="97"/>
      <c r="AK339" s="17"/>
      <c r="AL339" s="17">
        <f>K339</f>
        <v>0</v>
      </c>
      <c r="AM339" s="17"/>
      <c r="AN339" s="18"/>
      <c r="AO339" s="19"/>
      <c r="AP339" s="97"/>
      <c r="AQ339" s="17"/>
      <c r="AR339" s="17">
        <f>W339</f>
        <v>0</v>
      </c>
      <c r="AS339" s="17"/>
      <c r="AT339" s="18"/>
      <c r="AU339" s="19"/>
      <c r="AV339" s="97"/>
      <c r="AW339" s="17"/>
      <c r="AX339" s="17">
        <f>L339</f>
        <v>0</v>
      </c>
      <c r="AY339" s="17"/>
      <c r="AZ339" s="18"/>
      <c r="BA339" s="19"/>
    </row>
    <row r="340" spans="1:53" s="4" customFormat="1" ht="17.100000000000001" customHeight="1" x14ac:dyDescent="0.25">
      <c r="A340" s="40"/>
      <c r="B340" s="40"/>
      <c r="C340" s="74" t="s">
        <v>177</v>
      </c>
      <c r="D340" s="146" t="s">
        <v>543</v>
      </c>
      <c r="E340" s="105"/>
      <c r="F340" s="105"/>
      <c r="G340" s="105"/>
      <c r="H340" s="119"/>
      <c r="I340" s="231"/>
      <c r="J340" s="581"/>
      <c r="K340" s="581"/>
      <c r="L340" s="582"/>
      <c r="M340" s="593"/>
      <c r="N340" s="111"/>
      <c r="O340" s="111"/>
      <c r="P340" s="111"/>
      <c r="Q340" s="111"/>
      <c r="R340" s="111"/>
      <c r="S340" s="111"/>
      <c r="T340" s="111"/>
      <c r="U340" s="111"/>
      <c r="V340" s="358"/>
      <c r="W340" s="391">
        <f>IF(SUM(J340:K340)=0,0,AVERAGE(J340:K340))</f>
        <v>0</v>
      </c>
      <c r="X340" s="17">
        <f t="shared" si="369"/>
        <v>0</v>
      </c>
      <c r="Y340" s="18"/>
      <c r="Z340" s="19"/>
      <c r="AA340" s="17"/>
      <c r="AB340" s="17"/>
      <c r="AC340" s="17">
        <f>IF(SUM(J340:L340)=0,0,AVERAGE(J340:L340))</f>
        <v>0</v>
      </c>
      <c r="AE340" s="17"/>
      <c r="AF340" s="17"/>
      <c r="AG340" s="17">
        <f>J340</f>
        <v>0</v>
      </c>
      <c r="AH340" s="18"/>
      <c r="AI340" s="19"/>
      <c r="AJ340" s="97"/>
      <c r="AK340" s="17"/>
      <c r="AL340" s="17"/>
      <c r="AM340" s="17">
        <f>K340</f>
        <v>0</v>
      </c>
      <c r="AN340" s="18"/>
      <c r="AO340" s="19"/>
      <c r="AP340" s="97"/>
      <c r="AQ340" s="17"/>
      <c r="AR340" s="17"/>
      <c r="AS340" s="17">
        <f>W340</f>
        <v>0</v>
      </c>
      <c r="AT340" s="18"/>
      <c r="AU340" s="19"/>
      <c r="AV340" s="97"/>
      <c r="AW340" s="17"/>
      <c r="AX340" s="17"/>
      <c r="AY340" s="17">
        <f>L340</f>
        <v>0</v>
      </c>
      <c r="AZ340" s="18"/>
      <c r="BA340" s="19"/>
    </row>
    <row r="341" spans="1:53" s="4" customFormat="1" ht="17.100000000000001" customHeight="1" x14ac:dyDescent="0.25">
      <c r="A341" s="40"/>
      <c r="B341" s="40"/>
      <c r="C341" s="74" t="s">
        <v>178</v>
      </c>
      <c r="D341" s="75" t="s">
        <v>129</v>
      </c>
      <c r="E341" s="105"/>
      <c r="F341" s="105"/>
      <c r="G341" s="105"/>
      <c r="H341" s="119"/>
      <c r="I341" s="231"/>
      <c r="J341" s="583"/>
      <c r="K341" s="583"/>
      <c r="L341" s="584"/>
      <c r="M341" s="593"/>
      <c r="N341" s="111"/>
      <c r="O341" s="111"/>
      <c r="P341" s="111"/>
      <c r="Q341" s="111"/>
      <c r="R341" s="111"/>
      <c r="S341" s="111"/>
      <c r="T341" s="111"/>
      <c r="U341" s="111"/>
      <c r="V341" s="358"/>
      <c r="W341" s="391">
        <f t="shared" ref="W341:W342" si="370">J341+K341+N341+Q341+T341</f>
        <v>0</v>
      </c>
      <c r="X341" s="17">
        <f t="shared" ref="X341:X342" si="371">L341+O341+R341+U341</f>
        <v>0</v>
      </c>
      <c r="Y341" s="18">
        <f>SUM(W341:X341)</f>
        <v>0</v>
      </c>
      <c r="Z341" s="19">
        <f>IF(Y$343=0,0,Y341/Y$343)</f>
        <v>0</v>
      </c>
      <c r="AA341" s="19"/>
      <c r="AB341" s="19"/>
      <c r="AC341" s="20"/>
      <c r="AE341" s="17"/>
      <c r="AF341" s="17"/>
      <c r="AG341" s="17"/>
      <c r="AH341" s="18">
        <f t="shared" ref="AH341:AH342" si="372">J341</f>
        <v>0</v>
      </c>
      <c r="AI341" s="19">
        <f>IF(AH$343=0,0,AH341/AH$343)</f>
        <v>0</v>
      </c>
      <c r="AJ341" s="97"/>
      <c r="AK341" s="17"/>
      <c r="AL341" s="17"/>
      <c r="AM341" s="17"/>
      <c r="AN341" s="18">
        <f t="shared" ref="AN341:AN342" si="373">K341</f>
        <v>0</v>
      </c>
      <c r="AO341" s="19">
        <f>IF(AN$343=0,0,AN341/AN$343)</f>
        <v>0</v>
      </c>
      <c r="AP341" s="97"/>
      <c r="AQ341" s="17"/>
      <c r="AR341" s="17"/>
      <c r="AS341" s="17"/>
      <c r="AT341" s="18">
        <f t="shared" ref="AT341:AT342" si="374">W341</f>
        <v>0</v>
      </c>
      <c r="AU341" s="19">
        <f>IF(AT$343=0,0,AT341/AT$343)</f>
        <v>0</v>
      </c>
      <c r="AV341" s="97"/>
      <c r="AW341" s="17"/>
      <c r="AX341" s="17"/>
      <c r="AY341" s="17"/>
      <c r="AZ341" s="18">
        <f>X341</f>
        <v>0</v>
      </c>
      <c r="BA341" s="19">
        <f>IF(AZ$343=0,0,AZ341/AZ$343)</f>
        <v>0</v>
      </c>
    </row>
    <row r="342" spans="1:53" s="4" customFormat="1" ht="17.100000000000001" customHeight="1" x14ac:dyDescent="0.25">
      <c r="A342" s="40"/>
      <c r="B342" s="40"/>
      <c r="C342" s="74" t="s">
        <v>179</v>
      </c>
      <c r="D342" s="75" t="s">
        <v>530</v>
      </c>
      <c r="E342" s="75"/>
      <c r="F342" s="75"/>
      <c r="G342" s="75"/>
      <c r="H342" s="540"/>
      <c r="I342" s="229"/>
      <c r="J342" s="581"/>
      <c r="K342" s="581"/>
      <c r="L342" s="582"/>
      <c r="M342" s="593"/>
      <c r="N342" s="111"/>
      <c r="O342" s="111"/>
      <c r="P342" s="111"/>
      <c r="Q342" s="111"/>
      <c r="R342" s="111"/>
      <c r="S342" s="111"/>
      <c r="T342" s="111"/>
      <c r="U342" s="111"/>
      <c r="V342" s="358"/>
      <c r="W342" s="391">
        <f t="shared" si="370"/>
        <v>0</v>
      </c>
      <c r="X342" s="17">
        <f t="shared" si="371"/>
        <v>0</v>
      </c>
      <c r="Y342" s="18">
        <f>SUM(W342:X342)</f>
        <v>0</v>
      </c>
      <c r="Z342" s="19">
        <f>IF(Y$343=0,0,Y342/Y$343)</f>
        <v>0</v>
      </c>
      <c r="AA342" s="19"/>
      <c r="AB342" s="19"/>
      <c r="AC342" s="20"/>
      <c r="AE342" s="17"/>
      <c r="AF342" s="17"/>
      <c r="AG342" s="17"/>
      <c r="AH342" s="18">
        <f t="shared" si="372"/>
        <v>0</v>
      </c>
      <c r="AI342" s="19">
        <f>IF(AH$343=0,0,AH342/AH$343)</f>
        <v>0</v>
      </c>
      <c r="AJ342" s="97"/>
      <c r="AK342" s="17"/>
      <c r="AL342" s="17"/>
      <c r="AM342" s="17"/>
      <c r="AN342" s="18">
        <f t="shared" si="373"/>
        <v>0</v>
      </c>
      <c r="AO342" s="19">
        <f>IF(AN$343=0,0,AN342/AN$343)</f>
        <v>0</v>
      </c>
      <c r="AP342" s="97"/>
      <c r="AQ342" s="17"/>
      <c r="AR342" s="17"/>
      <c r="AS342" s="17"/>
      <c r="AT342" s="18">
        <f t="shared" si="374"/>
        <v>0</v>
      </c>
      <c r="AU342" s="19">
        <f>IF(AT$343=0,0,AT342/AT$343)</f>
        <v>0</v>
      </c>
      <c r="AV342" s="97"/>
      <c r="AW342" s="17"/>
      <c r="AX342" s="17"/>
      <c r="AY342" s="17"/>
      <c r="AZ342" s="18">
        <f>X342</f>
        <v>0</v>
      </c>
      <c r="BA342" s="19">
        <f>IF(AZ$343=0,0,AZ342/AZ$343)</f>
        <v>0</v>
      </c>
    </row>
    <row r="343" spans="1:53" s="4" customFormat="1" ht="17.100000000000001" customHeight="1" x14ac:dyDescent="0.25">
      <c r="A343" s="175"/>
      <c r="B343" s="40"/>
      <c r="C343" s="77"/>
      <c r="D343" s="134"/>
      <c r="E343" s="134"/>
      <c r="F343" s="134"/>
      <c r="G343" s="134"/>
      <c r="H343" s="540"/>
      <c r="I343" s="12"/>
      <c r="J343" s="80">
        <f>J336+J337+J341+J342</f>
        <v>0</v>
      </c>
      <c r="K343" s="80">
        <f t="shared" ref="K343:M343" si="375">K336+K337+K341+K342</f>
        <v>0</v>
      </c>
      <c r="L343" s="80">
        <f t="shared" si="375"/>
        <v>0</v>
      </c>
      <c r="M343" s="80">
        <f t="shared" si="375"/>
        <v>0</v>
      </c>
      <c r="N343" s="81"/>
      <c r="O343" s="81"/>
      <c r="P343" s="81"/>
      <c r="Q343" s="81"/>
      <c r="R343" s="81"/>
      <c r="S343" s="81"/>
      <c r="T343" s="81"/>
      <c r="U343" s="81"/>
      <c r="V343" s="356"/>
      <c r="W343" s="381">
        <f>W336+W337+W341+W342</f>
        <v>0</v>
      </c>
      <c r="X343" s="82">
        <f>X336+X337+X341+X342</f>
        <v>0</v>
      </c>
      <c r="Y343" s="82">
        <f t="shared" ref="Y343" si="376">SUM(Y336:Y342)</f>
        <v>0</v>
      </c>
      <c r="Z343" s="205">
        <f>IF(Y$343=0,0,Y343/Y$343)</f>
        <v>0</v>
      </c>
      <c r="AA343" s="205"/>
      <c r="AB343" s="205"/>
      <c r="AC343" s="83"/>
      <c r="AE343" s="80"/>
      <c r="AF343" s="80"/>
      <c r="AG343" s="81"/>
      <c r="AH343" s="82">
        <f>SUM(AH336:AH342)</f>
        <v>0</v>
      </c>
      <c r="AI343" s="66">
        <f>IF(AH$343=0,0,AH343/AH$343)</f>
        <v>0</v>
      </c>
      <c r="AJ343" s="97"/>
      <c r="AK343" s="80"/>
      <c r="AL343" s="80"/>
      <c r="AM343" s="81"/>
      <c r="AN343" s="82">
        <f>SUM(AN336:AN342)</f>
        <v>0</v>
      </c>
      <c r="AO343" s="66">
        <f>IF(AN$343=0,0,AN343/AN$343)</f>
        <v>0</v>
      </c>
      <c r="AP343" s="97"/>
      <c r="AQ343" s="80"/>
      <c r="AR343" s="80"/>
      <c r="AS343" s="81"/>
      <c r="AT343" s="82">
        <f>SUM(AT336:AT342)</f>
        <v>0</v>
      </c>
      <c r="AU343" s="66">
        <f>IF(AT$343=0,0,AT343/AT$343)</f>
        <v>0</v>
      </c>
      <c r="AV343" s="97"/>
      <c r="AW343" s="80"/>
      <c r="AX343" s="80"/>
      <c r="AY343" s="81"/>
      <c r="AZ343" s="82">
        <f>SUM(AZ336:AZ342)</f>
        <v>0</v>
      </c>
      <c r="BA343" s="66">
        <f>IF(AZ$343=0,0,AZ343/AZ$343)</f>
        <v>0</v>
      </c>
    </row>
    <row r="344" spans="1:53" s="117" customFormat="1" ht="17.100000000000001" customHeight="1" x14ac:dyDescent="0.25">
      <c r="A344" s="68"/>
      <c r="B344" s="119"/>
      <c r="C344" s="540"/>
      <c r="D344" s="261"/>
      <c r="E344" s="261"/>
      <c r="F344" s="68"/>
      <c r="G344" s="68"/>
      <c r="H344" s="119"/>
      <c r="I344" s="138"/>
      <c r="J344" s="17" t="str">
        <f>IF(J343=J$15,"OK","NOK")</f>
        <v>OK</v>
      </c>
      <c r="K344" s="17" t="str">
        <f t="shared" ref="K344:L344" si="377">IF(K343=K$15,"OK","NOK")</f>
        <v>OK</v>
      </c>
      <c r="L344" s="17" t="str">
        <f t="shared" si="377"/>
        <v>OK</v>
      </c>
      <c r="M344" s="17"/>
      <c r="N344" s="17"/>
      <c r="O344" s="17"/>
      <c r="P344" s="17"/>
      <c r="Q344" s="17"/>
      <c r="R344" s="17"/>
      <c r="S344" s="17"/>
      <c r="T344" s="17"/>
      <c r="U344" s="17"/>
      <c r="V344" s="359"/>
      <c r="W344" s="382"/>
      <c r="X344" s="539"/>
      <c r="Y344" s="539"/>
      <c r="Z344" s="201"/>
      <c r="AA344" s="201"/>
      <c r="AB344" s="201"/>
      <c r="AC344" s="84"/>
      <c r="AE344" s="46"/>
      <c r="AF344" s="46"/>
      <c r="AG344" s="17"/>
      <c r="AH344" s="539"/>
      <c r="AI344" s="91"/>
      <c r="AK344" s="46"/>
      <c r="AL344" s="46"/>
      <c r="AM344" s="17"/>
      <c r="AN344" s="539"/>
      <c r="AO344" s="91"/>
      <c r="AQ344" s="46"/>
      <c r="AR344" s="46"/>
      <c r="AS344" s="17"/>
      <c r="AT344" s="539"/>
      <c r="AU344" s="91"/>
      <c r="AW344" s="46"/>
      <c r="AX344" s="46"/>
      <c r="AY344" s="17"/>
      <c r="AZ344" s="539"/>
      <c r="BA344" s="91"/>
    </row>
    <row r="345" spans="1:53" ht="17.100000000000001" customHeight="1" x14ac:dyDescent="0.25">
      <c r="A345" s="68"/>
      <c r="B345" s="41" t="s">
        <v>180</v>
      </c>
      <c r="C345" s="69" t="s">
        <v>436</v>
      </c>
      <c r="D345" s="50"/>
      <c r="E345" s="70"/>
      <c r="F345" s="70"/>
      <c r="G345" s="70"/>
      <c r="H345" s="243">
        <v>43</v>
      </c>
      <c r="J345" s="71"/>
      <c r="K345" s="71"/>
      <c r="L345" s="71"/>
      <c r="M345" s="71"/>
      <c r="N345" s="71"/>
      <c r="O345" s="71"/>
      <c r="P345" s="71"/>
      <c r="Q345" s="71"/>
      <c r="R345" s="71"/>
      <c r="S345" s="71"/>
      <c r="T345" s="71"/>
      <c r="U345" s="71"/>
      <c r="V345" s="355"/>
      <c r="W345" s="377"/>
      <c r="X345" s="71"/>
      <c r="Y345" s="72"/>
      <c r="Z345" s="73"/>
      <c r="AA345" s="73"/>
      <c r="AB345" s="73"/>
      <c r="AC345" s="73"/>
      <c r="AE345" s="71"/>
      <c r="AF345" s="71"/>
      <c r="AG345" s="71"/>
      <c r="AH345" s="72"/>
      <c r="AI345" s="73"/>
      <c r="AK345" s="71"/>
      <c r="AL345" s="71"/>
      <c r="AM345" s="71"/>
      <c r="AN345" s="72"/>
      <c r="AO345" s="73"/>
      <c r="AQ345" s="71"/>
      <c r="AR345" s="71"/>
      <c r="AS345" s="71"/>
      <c r="AT345" s="72"/>
      <c r="AU345" s="73"/>
      <c r="AW345" s="71"/>
      <c r="AX345" s="71"/>
      <c r="AY345" s="71"/>
      <c r="AZ345" s="72"/>
      <c r="BA345" s="73"/>
    </row>
    <row r="346" spans="1:53" s="4" customFormat="1" ht="17.100000000000001" customHeight="1" x14ac:dyDescent="0.25">
      <c r="A346" s="40"/>
      <c r="B346" s="40"/>
      <c r="C346" s="74" t="s">
        <v>440</v>
      </c>
      <c r="D346" s="85" t="s">
        <v>162</v>
      </c>
      <c r="E346" s="75"/>
      <c r="F346" s="75"/>
      <c r="G346" s="75"/>
      <c r="H346" s="540"/>
      <c r="I346" s="229"/>
      <c r="J346" s="581"/>
      <c r="K346" s="581"/>
      <c r="L346" s="582"/>
      <c r="M346" s="593">
        <f t="shared" ref="M346:M353" si="378">SUM(J346:L346)</f>
        <v>0</v>
      </c>
      <c r="N346" s="111"/>
      <c r="O346" s="111"/>
      <c r="P346" s="111"/>
      <c r="Q346" s="111"/>
      <c r="R346" s="111"/>
      <c r="S346" s="111"/>
      <c r="T346" s="111"/>
      <c r="U346" s="111"/>
      <c r="V346" s="358"/>
      <c r="W346" s="391">
        <f t="shared" ref="W346:W353" si="379">J346+K346+N346+Q346+T346</f>
        <v>0</v>
      </c>
      <c r="X346" s="17">
        <f t="shared" ref="X346:X353" si="380">L346+O346+R346+U346</f>
        <v>0</v>
      </c>
      <c r="Y346" s="18">
        <f t="shared" ref="Y346:Y353" si="381">SUM(W346:X346)</f>
        <v>0</v>
      </c>
      <c r="Z346" s="19">
        <f t="shared" ref="Z346:Z353" si="382">IF(Y$354=0,0,Y346/Y$354)</f>
        <v>0</v>
      </c>
      <c r="AA346" s="19"/>
      <c r="AB346" s="19"/>
      <c r="AC346" s="20"/>
      <c r="AE346" s="17"/>
      <c r="AF346" s="17"/>
      <c r="AG346" s="17"/>
      <c r="AH346" s="18">
        <f t="shared" ref="AH346:AH353" si="383">J346</f>
        <v>0</v>
      </c>
      <c r="AI346" s="19">
        <f t="shared" ref="AI346:AI353" si="384">IF(AH$354=0,0,AH346/AH$354)</f>
        <v>0</v>
      </c>
      <c r="AJ346" s="97"/>
      <c r="AK346" s="17"/>
      <c r="AL346" s="17"/>
      <c r="AM346" s="17"/>
      <c r="AN346" s="18">
        <f t="shared" ref="AN346:AN353" si="385">K346</f>
        <v>0</v>
      </c>
      <c r="AO346" s="19">
        <f t="shared" ref="AO346:AO353" si="386">IF(AN$354=0,0,AN346/AN$354)</f>
        <v>0</v>
      </c>
      <c r="AP346" s="97"/>
      <c r="AQ346" s="17"/>
      <c r="AR346" s="17"/>
      <c r="AS346" s="17"/>
      <c r="AT346" s="18">
        <f t="shared" ref="AT346:AT353" si="387">W346</f>
        <v>0</v>
      </c>
      <c r="AU346" s="19">
        <f t="shared" ref="AU346:AU353" si="388">IF(AT$354=0,0,AT346/AT$354)</f>
        <v>0</v>
      </c>
      <c r="AV346" s="97"/>
      <c r="AW346" s="17"/>
      <c r="AX346" s="17"/>
      <c r="AY346" s="17"/>
      <c r="AZ346" s="18">
        <f t="shared" ref="AZ346:AZ353" si="389">X346</f>
        <v>0</v>
      </c>
      <c r="BA346" s="19">
        <f t="shared" ref="BA346:BA353" si="390">IF(AZ$354=0,0,AZ346/AZ$354)</f>
        <v>0</v>
      </c>
    </row>
    <row r="347" spans="1:53" s="4" customFormat="1" ht="17.100000000000001" customHeight="1" x14ac:dyDescent="0.25">
      <c r="A347" s="40"/>
      <c r="B347" s="40"/>
      <c r="C347" s="74" t="s">
        <v>441</v>
      </c>
      <c r="D347" s="85" t="s">
        <v>165</v>
      </c>
      <c r="E347" s="75"/>
      <c r="F347" s="75"/>
      <c r="G347" s="75"/>
      <c r="H347" s="540"/>
      <c r="I347" s="229"/>
      <c r="J347" s="583"/>
      <c r="K347" s="583"/>
      <c r="L347" s="584"/>
      <c r="M347" s="593">
        <f t="shared" si="378"/>
        <v>0</v>
      </c>
      <c r="N347" s="111"/>
      <c r="O347" s="111"/>
      <c r="P347" s="111"/>
      <c r="Q347" s="111"/>
      <c r="R347" s="111"/>
      <c r="S347" s="111"/>
      <c r="T347" s="111"/>
      <c r="U347" s="111"/>
      <c r="V347" s="358"/>
      <c r="W347" s="391">
        <f t="shared" si="379"/>
        <v>0</v>
      </c>
      <c r="X347" s="17">
        <f t="shared" si="380"/>
        <v>0</v>
      </c>
      <c r="Y347" s="18">
        <f t="shared" si="381"/>
        <v>0</v>
      </c>
      <c r="Z347" s="19">
        <f t="shared" si="382"/>
        <v>0</v>
      </c>
      <c r="AA347" s="19"/>
      <c r="AB347" s="19"/>
      <c r="AC347" s="20"/>
      <c r="AE347" s="17"/>
      <c r="AF347" s="17"/>
      <c r="AG347" s="17"/>
      <c r="AH347" s="18">
        <f t="shared" si="383"/>
        <v>0</v>
      </c>
      <c r="AI347" s="19">
        <f t="shared" si="384"/>
        <v>0</v>
      </c>
      <c r="AJ347" s="97"/>
      <c r="AK347" s="17"/>
      <c r="AL347" s="17"/>
      <c r="AM347" s="17"/>
      <c r="AN347" s="18">
        <f t="shared" si="385"/>
        <v>0</v>
      </c>
      <c r="AO347" s="19">
        <f t="shared" si="386"/>
        <v>0</v>
      </c>
      <c r="AP347" s="97"/>
      <c r="AQ347" s="17"/>
      <c r="AR347" s="17"/>
      <c r="AS347" s="17"/>
      <c r="AT347" s="18">
        <f t="shared" si="387"/>
        <v>0</v>
      </c>
      <c r="AU347" s="19">
        <f t="shared" si="388"/>
        <v>0</v>
      </c>
      <c r="AV347" s="97"/>
      <c r="AW347" s="17"/>
      <c r="AX347" s="17"/>
      <c r="AY347" s="17"/>
      <c r="AZ347" s="18">
        <f t="shared" si="389"/>
        <v>0</v>
      </c>
      <c r="BA347" s="19">
        <f t="shared" si="390"/>
        <v>0</v>
      </c>
    </row>
    <row r="348" spans="1:53" s="4" customFormat="1" ht="17.100000000000001" customHeight="1" x14ac:dyDescent="0.25">
      <c r="A348" s="40"/>
      <c r="B348" s="40"/>
      <c r="C348" s="74" t="s">
        <v>442</v>
      </c>
      <c r="D348" s="85" t="s">
        <v>167</v>
      </c>
      <c r="E348" s="75"/>
      <c r="F348" s="75"/>
      <c r="G348" s="75"/>
      <c r="H348" s="540"/>
      <c r="I348" s="229"/>
      <c r="J348" s="581"/>
      <c r="K348" s="581"/>
      <c r="L348" s="582"/>
      <c r="M348" s="593">
        <f t="shared" si="378"/>
        <v>0</v>
      </c>
      <c r="N348" s="111"/>
      <c r="O348" s="111"/>
      <c r="P348" s="111"/>
      <c r="Q348" s="111"/>
      <c r="R348" s="111"/>
      <c r="S348" s="111"/>
      <c r="T348" s="111"/>
      <c r="U348" s="111"/>
      <c r="V348" s="358"/>
      <c r="W348" s="391">
        <f t="shared" si="379"/>
        <v>0</v>
      </c>
      <c r="X348" s="17">
        <f t="shared" si="380"/>
        <v>0</v>
      </c>
      <c r="Y348" s="18">
        <f t="shared" si="381"/>
        <v>0</v>
      </c>
      <c r="Z348" s="19">
        <f t="shared" si="382"/>
        <v>0</v>
      </c>
      <c r="AA348" s="19"/>
      <c r="AB348" s="19"/>
      <c r="AC348" s="20"/>
      <c r="AE348" s="17"/>
      <c r="AF348" s="17"/>
      <c r="AG348" s="17"/>
      <c r="AH348" s="18">
        <f t="shared" si="383"/>
        <v>0</v>
      </c>
      <c r="AI348" s="19">
        <f t="shared" si="384"/>
        <v>0</v>
      </c>
      <c r="AJ348" s="97"/>
      <c r="AK348" s="17"/>
      <c r="AL348" s="17"/>
      <c r="AM348" s="17"/>
      <c r="AN348" s="18">
        <f t="shared" si="385"/>
        <v>0</v>
      </c>
      <c r="AO348" s="19">
        <f t="shared" si="386"/>
        <v>0</v>
      </c>
      <c r="AP348" s="97"/>
      <c r="AQ348" s="17"/>
      <c r="AR348" s="17"/>
      <c r="AS348" s="17"/>
      <c r="AT348" s="18">
        <f t="shared" si="387"/>
        <v>0</v>
      </c>
      <c r="AU348" s="19">
        <f t="shared" si="388"/>
        <v>0</v>
      </c>
      <c r="AV348" s="97"/>
      <c r="AW348" s="17"/>
      <c r="AX348" s="17"/>
      <c r="AY348" s="17"/>
      <c r="AZ348" s="18">
        <f t="shared" si="389"/>
        <v>0</v>
      </c>
      <c r="BA348" s="19">
        <f t="shared" si="390"/>
        <v>0</v>
      </c>
    </row>
    <row r="349" spans="1:53" s="4" customFormat="1" ht="17.100000000000001" customHeight="1" x14ac:dyDescent="0.25">
      <c r="A349" s="40"/>
      <c r="B349" s="40"/>
      <c r="C349" s="74" t="s">
        <v>443</v>
      </c>
      <c r="D349" s="85" t="s">
        <v>437</v>
      </c>
      <c r="E349" s="75"/>
      <c r="F349" s="75"/>
      <c r="G349" s="75"/>
      <c r="H349" s="540"/>
      <c r="I349" s="229"/>
      <c r="J349" s="583"/>
      <c r="K349" s="583"/>
      <c r="L349" s="584"/>
      <c r="M349" s="593">
        <f t="shared" si="378"/>
        <v>0</v>
      </c>
      <c r="N349" s="111"/>
      <c r="O349" s="111"/>
      <c r="P349" s="111"/>
      <c r="Q349" s="111"/>
      <c r="R349" s="111"/>
      <c r="S349" s="111"/>
      <c r="T349" s="111"/>
      <c r="U349" s="111"/>
      <c r="V349" s="358"/>
      <c r="W349" s="391">
        <f t="shared" si="379"/>
        <v>0</v>
      </c>
      <c r="X349" s="17">
        <f t="shared" si="380"/>
        <v>0</v>
      </c>
      <c r="Y349" s="18">
        <f t="shared" si="381"/>
        <v>0</v>
      </c>
      <c r="Z349" s="19">
        <f t="shared" si="382"/>
        <v>0</v>
      </c>
      <c r="AA349" s="19"/>
      <c r="AB349" s="19"/>
      <c r="AC349" s="20"/>
      <c r="AE349" s="17"/>
      <c r="AF349" s="17"/>
      <c r="AG349" s="17"/>
      <c r="AH349" s="18">
        <f t="shared" si="383"/>
        <v>0</v>
      </c>
      <c r="AI349" s="19">
        <f t="shared" si="384"/>
        <v>0</v>
      </c>
      <c r="AJ349" s="97"/>
      <c r="AK349" s="17"/>
      <c r="AL349" s="17"/>
      <c r="AM349" s="17"/>
      <c r="AN349" s="18">
        <f t="shared" si="385"/>
        <v>0</v>
      </c>
      <c r="AO349" s="19">
        <f t="shared" si="386"/>
        <v>0</v>
      </c>
      <c r="AP349" s="97"/>
      <c r="AQ349" s="17"/>
      <c r="AR349" s="17"/>
      <c r="AS349" s="17"/>
      <c r="AT349" s="18">
        <f t="shared" si="387"/>
        <v>0</v>
      </c>
      <c r="AU349" s="19">
        <f t="shared" si="388"/>
        <v>0</v>
      </c>
      <c r="AV349" s="97"/>
      <c r="AW349" s="17"/>
      <c r="AX349" s="17"/>
      <c r="AY349" s="17"/>
      <c r="AZ349" s="18">
        <f t="shared" si="389"/>
        <v>0</v>
      </c>
      <c r="BA349" s="19">
        <f t="shared" si="390"/>
        <v>0</v>
      </c>
    </row>
    <row r="350" spans="1:53" s="4" customFormat="1" ht="17.100000000000001" customHeight="1" x14ac:dyDescent="0.25">
      <c r="A350" s="40"/>
      <c r="B350" s="40"/>
      <c r="C350" s="74" t="s">
        <v>444</v>
      </c>
      <c r="D350" s="85" t="s">
        <v>438</v>
      </c>
      <c r="E350" s="542"/>
      <c r="F350" s="542"/>
      <c r="G350" s="542"/>
      <c r="H350" s="540"/>
      <c r="I350" s="235"/>
      <c r="J350" s="581"/>
      <c r="K350" s="581"/>
      <c r="L350" s="582"/>
      <c r="M350" s="593">
        <f t="shared" si="378"/>
        <v>0</v>
      </c>
      <c r="N350" s="111"/>
      <c r="O350" s="111"/>
      <c r="P350" s="111"/>
      <c r="Q350" s="111"/>
      <c r="R350" s="111"/>
      <c r="S350" s="111"/>
      <c r="T350" s="111"/>
      <c r="U350" s="111"/>
      <c r="V350" s="358"/>
      <c r="W350" s="391">
        <f t="shared" si="379"/>
        <v>0</v>
      </c>
      <c r="X350" s="17">
        <f t="shared" si="380"/>
        <v>0</v>
      </c>
      <c r="Y350" s="18">
        <f t="shared" si="381"/>
        <v>0</v>
      </c>
      <c r="Z350" s="19">
        <f t="shared" si="382"/>
        <v>0</v>
      </c>
      <c r="AA350" s="19"/>
      <c r="AB350" s="19"/>
      <c r="AC350" s="20"/>
      <c r="AE350" s="17"/>
      <c r="AF350" s="17"/>
      <c r="AG350" s="17"/>
      <c r="AH350" s="18">
        <f t="shared" si="383"/>
        <v>0</v>
      </c>
      <c r="AI350" s="19">
        <f t="shared" si="384"/>
        <v>0</v>
      </c>
      <c r="AJ350" s="97"/>
      <c r="AK350" s="17"/>
      <c r="AL350" s="17"/>
      <c r="AM350" s="17"/>
      <c r="AN350" s="18">
        <f t="shared" si="385"/>
        <v>0</v>
      </c>
      <c r="AO350" s="19">
        <f t="shared" si="386"/>
        <v>0</v>
      </c>
      <c r="AP350" s="97"/>
      <c r="AQ350" s="17"/>
      <c r="AR350" s="17"/>
      <c r="AS350" s="17"/>
      <c r="AT350" s="18">
        <f t="shared" si="387"/>
        <v>0</v>
      </c>
      <c r="AU350" s="19">
        <f t="shared" si="388"/>
        <v>0</v>
      </c>
      <c r="AV350" s="97"/>
      <c r="AW350" s="17"/>
      <c r="AX350" s="17"/>
      <c r="AY350" s="17"/>
      <c r="AZ350" s="18">
        <f t="shared" si="389"/>
        <v>0</v>
      </c>
      <c r="BA350" s="19">
        <f t="shared" si="390"/>
        <v>0</v>
      </c>
    </row>
    <row r="351" spans="1:53" s="4" customFormat="1" ht="17.100000000000001" customHeight="1" x14ac:dyDescent="0.25">
      <c r="A351" s="40"/>
      <c r="B351" s="40"/>
      <c r="C351" s="74" t="s">
        <v>445</v>
      </c>
      <c r="D351" s="85" t="s">
        <v>439</v>
      </c>
      <c r="E351" s="542"/>
      <c r="F351" s="542"/>
      <c r="G351" s="542"/>
      <c r="H351" s="540"/>
      <c r="I351" s="235"/>
      <c r="J351" s="583"/>
      <c r="K351" s="583"/>
      <c r="L351" s="584"/>
      <c r="M351" s="593">
        <f t="shared" si="378"/>
        <v>0</v>
      </c>
      <c r="N351" s="111"/>
      <c r="O351" s="111"/>
      <c r="P351" s="111"/>
      <c r="Q351" s="111"/>
      <c r="R351" s="111"/>
      <c r="S351" s="111"/>
      <c r="T351" s="111"/>
      <c r="U351" s="111"/>
      <c r="V351" s="358"/>
      <c r="W351" s="391">
        <f t="shared" si="379"/>
        <v>0</v>
      </c>
      <c r="X351" s="17">
        <f t="shared" si="380"/>
        <v>0</v>
      </c>
      <c r="Y351" s="18">
        <f t="shared" si="381"/>
        <v>0</v>
      </c>
      <c r="Z351" s="19">
        <f t="shared" si="382"/>
        <v>0</v>
      </c>
      <c r="AA351" s="19"/>
      <c r="AB351" s="19"/>
      <c r="AC351" s="20"/>
      <c r="AE351" s="17"/>
      <c r="AF351" s="17"/>
      <c r="AG351" s="17"/>
      <c r="AH351" s="18">
        <f t="shared" si="383"/>
        <v>0</v>
      </c>
      <c r="AI351" s="19">
        <f t="shared" si="384"/>
        <v>0</v>
      </c>
      <c r="AJ351" s="97"/>
      <c r="AK351" s="17"/>
      <c r="AL351" s="17"/>
      <c r="AM351" s="17"/>
      <c r="AN351" s="18">
        <f t="shared" si="385"/>
        <v>0</v>
      </c>
      <c r="AO351" s="19">
        <f t="shared" si="386"/>
        <v>0</v>
      </c>
      <c r="AP351" s="97"/>
      <c r="AQ351" s="17"/>
      <c r="AR351" s="17"/>
      <c r="AS351" s="17"/>
      <c r="AT351" s="18">
        <f t="shared" si="387"/>
        <v>0</v>
      </c>
      <c r="AU351" s="19">
        <f t="shared" si="388"/>
        <v>0</v>
      </c>
      <c r="AV351" s="97"/>
      <c r="AW351" s="17"/>
      <c r="AX351" s="17"/>
      <c r="AY351" s="17"/>
      <c r="AZ351" s="18">
        <f t="shared" si="389"/>
        <v>0</v>
      </c>
      <c r="BA351" s="19">
        <f t="shared" si="390"/>
        <v>0</v>
      </c>
    </row>
    <row r="352" spans="1:53" s="4" customFormat="1" ht="17.100000000000001" customHeight="1" x14ac:dyDescent="0.25">
      <c r="A352" s="40"/>
      <c r="B352" s="40"/>
      <c r="C352" s="74" t="s">
        <v>446</v>
      </c>
      <c r="D352" s="85" t="s">
        <v>129</v>
      </c>
      <c r="E352" s="542"/>
      <c r="F352" s="542"/>
      <c r="G352" s="542"/>
      <c r="H352" s="540"/>
      <c r="I352" s="235"/>
      <c r="J352" s="581"/>
      <c r="K352" s="581"/>
      <c r="L352" s="582"/>
      <c r="M352" s="593">
        <f t="shared" si="378"/>
        <v>0</v>
      </c>
      <c r="N352" s="111"/>
      <c r="O352" s="111"/>
      <c r="P352" s="111"/>
      <c r="Q352" s="111"/>
      <c r="R352" s="111"/>
      <c r="S352" s="111"/>
      <c r="T352" s="111"/>
      <c r="U352" s="111"/>
      <c r="V352" s="358"/>
      <c r="W352" s="391">
        <f t="shared" si="379"/>
        <v>0</v>
      </c>
      <c r="X352" s="17">
        <f t="shared" si="380"/>
        <v>0</v>
      </c>
      <c r="Y352" s="18">
        <f t="shared" si="381"/>
        <v>0</v>
      </c>
      <c r="Z352" s="19">
        <f t="shared" si="382"/>
        <v>0</v>
      </c>
      <c r="AA352" s="19"/>
      <c r="AB352" s="19"/>
      <c r="AC352" s="20"/>
      <c r="AE352" s="17"/>
      <c r="AF352" s="17"/>
      <c r="AG352" s="17"/>
      <c r="AH352" s="18">
        <f t="shared" si="383"/>
        <v>0</v>
      </c>
      <c r="AI352" s="19">
        <f t="shared" si="384"/>
        <v>0</v>
      </c>
      <c r="AJ352" s="97"/>
      <c r="AK352" s="17"/>
      <c r="AL352" s="17"/>
      <c r="AM352" s="17"/>
      <c r="AN352" s="18">
        <f t="shared" si="385"/>
        <v>0</v>
      </c>
      <c r="AO352" s="19">
        <f t="shared" si="386"/>
        <v>0</v>
      </c>
      <c r="AP352" s="97"/>
      <c r="AQ352" s="17"/>
      <c r="AR352" s="17"/>
      <c r="AS352" s="17"/>
      <c r="AT352" s="18">
        <f t="shared" si="387"/>
        <v>0</v>
      </c>
      <c r="AU352" s="19">
        <f t="shared" si="388"/>
        <v>0</v>
      </c>
      <c r="AV352" s="97"/>
      <c r="AW352" s="17"/>
      <c r="AX352" s="17"/>
      <c r="AY352" s="17"/>
      <c r="AZ352" s="18">
        <f t="shared" si="389"/>
        <v>0</v>
      </c>
      <c r="BA352" s="19">
        <f t="shared" si="390"/>
        <v>0</v>
      </c>
    </row>
    <row r="353" spans="1:53" s="4" customFormat="1" ht="17.100000000000001" customHeight="1" x14ac:dyDescent="0.25">
      <c r="A353" s="40"/>
      <c r="B353" s="40"/>
      <c r="C353" s="74" t="s">
        <v>545</v>
      </c>
      <c r="D353" s="85" t="s">
        <v>530</v>
      </c>
      <c r="E353" s="542"/>
      <c r="F353" s="542"/>
      <c r="G353" s="542"/>
      <c r="H353" s="540"/>
      <c r="I353" s="235"/>
      <c r="J353" s="583"/>
      <c r="K353" s="583"/>
      <c r="L353" s="584"/>
      <c r="M353" s="593">
        <f t="shared" si="378"/>
        <v>0</v>
      </c>
      <c r="N353" s="111"/>
      <c r="O353" s="111"/>
      <c r="P353" s="111"/>
      <c r="Q353" s="111"/>
      <c r="R353" s="111"/>
      <c r="S353" s="111"/>
      <c r="T353" s="111"/>
      <c r="U353" s="111"/>
      <c r="V353" s="358"/>
      <c r="W353" s="391">
        <f t="shared" si="379"/>
        <v>0</v>
      </c>
      <c r="X353" s="17">
        <f t="shared" si="380"/>
        <v>0</v>
      </c>
      <c r="Y353" s="18">
        <f t="shared" si="381"/>
        <v>0</v>
      </c>
      <c r="Z353" s="19">
        <f t="shared" si="382"/>
        <v>0</v>
      </c>
      <c r="AA353" s="19"/>
      <c r="AB353" s="19"/>
      <c r="AC353" s="20"/>
      <c r="AE353" s="17"/>
      <c r="AF353" s="17"/>
      <c r="AG353" s="17"/>
      <c r="AH353" s="18">
        <f t="shared" si="383"/>
        <v>0</v>
      </c>
      <c r="AI353" s="19">
        <f t="shared" si="384"/>
        <v>0</v>
      </c>
      <c r="AJ353" s="97"/>
      <c r="AK353" s="17"/>
      <c r="AL353" s="17"/>
      <c r="AM353" s="17"/>
      <c r="AN353" s="18">
        <f t="shared" si="385"/>
        <v>0</v>
      </c>
      <c r="AO353" s="19">
        <f t="shared" si="386"/>
        <v>0</v>
      </c>
      <c r="AP353" s="97"/>
      <c r="AQ353" s="17"/>
      <c r="AR353" s="17"/>
      <c r="AS353" s="17"/>
      <c r="AT353" s="18">
        <f t="shared" si="387"/>
        <v>0</v>
      </c>
      <c r="AU353" s="19">
        <f t="shared" si="388"/>
        <v>0</v>
      </c>
      <c r="AV353" s="97"/>
      <c r="AW353" s="17"/>
      <c r="AX353" s="17"/>
      <c r="AY353" s="17"/>
      <c r="AZ353" s="18">
        <f t="shared" si="389"/>
        <v>0</v>
      </c>
      <c r="BA353" s="19">
        <f t="shared" si="390"/>
        <v>0</v>
      </c>
    </row>
    <row r="354" spans="1:53" s="4" customFormat="1" ht="17.100000000000001" customHeight="1" x14ac:dyDescent="0.25">
      <c r="A354" s="40"/>
      <c r="B354" s="40"/>
      <c r="C354" s="77"/>
      <c r="D354" s="134"/>
      <c r="E354" s="134"/>
      <c r="F354" s="134"/>
      <c r="G354" s="134"/>
      <c r="H354" s="540"/>
      <c r="I354" s="229"/>
      <c r="J354" s="80">
        <f>SUM(J346:J353)</f>
        <v>0</v>
      </c>
      <c r="K354" s="80">
        <f t="shared" ref="K354:M354" si="391">SUM(K346:K353)</f>
        <v>0</v>
      </c>
      <c r="L354" s="80">
        <f t="shared" si="391"/>
        <v>0</v>
      </c>
      <c r="M354" s="80">
        <f t="shared" si="391"/>
        <v>0</v>
      </c>
      <c r="N354" s="81"/>
      <c r="O354" s="81"/>
      <c r="P354" s="81"/>
      <c r="Q354" s="81"/>
      <c r="R354" s="81"/>
      <c r="S354" s="81"/>
      <c r="T354" s="81"/>
      <c r="U354" s="81"/>
      <c r="V354" s="356"/>
      <c r="W354" s="381">
        <f>SUM(W346:W353)</f>
        <v>0</v>
      </c>
      <c r="X354" s="82">
        <f t="shared" ref="X354:Y354" si="392">SUM(X346:X353)</f>
        <v>0</v>
      </c>
      <c r="Y354" s="82">
        <f t="shared" si="392"/>
        <v>0</v>
      </c>
      <c r="Z354" s="205">
        <f>IF(Y$354=0,0,Y354/Y$354)</f>
        <v>0</v>
      </c>
      <c r="AA354" s="205"/>
      <c r="AB354" s="205"/>
      <c r="AC354" s="83"/>
      <c r="AE354" s="80"/>
      <c r="AF354" s="80"/>
      <c r="AG354" s="81"/>
      <c r="AH354" s="82">
        <f>SUM(AH346:AH353)</f>
        <v>0</v>
      </c>
      <c r="AI354" s="66">
        <f>IF(AH$354=0,0,AH354/AH$354)</f>
        <v>0</v>
      </c>
      <c r="AJ354" s="97"/>
      <c r="AK354" s="80"/>
      <c r="AL354" s="80"/>
      <c r="AM354" s="81"/>
      <c r="AN354" s="82">
        <f>SUM(AN346:AN353)</f>
        <v>0</v>
      </c>
      <c r="AO354" s="66">
        <f>IF(AN$354=0,0,AN354/AN$354)</f>
        <v>0</v>
      </c>
      <c r="AP354" s="97"/>
      <c r="AQ354" s="80"/>
      <c r="AR354" s="80"/>
      <c r="AS354" s="81"/>
      <c r="AT354" s="82">
        <f>SUM(AT346:AT353)</f>
        <v>0</v>
      </c>
      <c r="AU354" s="66">
        <f>IF(AT$354=0,0,AT354/AT$354)</f>
        <v>0</v>
      </c>
      <c r="AV354" s="97"/>
      <c r="AW354" s="80"/>
      <c r="AX354" s="80"/>
      <c r="AY354" s="81"/>
      <c r="AZ354" s="82">
        <f>SUM(AZ346:AZ353)</f>
        <v>0</v>
      </c>
      <c r="BA354" s="66">
        <f>IF(AZ$354=0,0,AZ354/AZ$354)</f>
        <v>0</v>
      </c>
    </row>
    <row r="355" spans="1:53" s="117" customFormat="1" ht="17.100000000000001" customHeight="1" x14ac:dyDescent="0.25">
      <c r="A355" s="68"/>
      <c r="B355" s="119"/>
      <c r="C355" s="540"/>
      <c r="D355" s="261"/>
      <c r="E355" s="261"/>
      <c r="F355" s="68"/>
      <c r="G355" s="68"/>
      <c r="H355" s="119"/>
      <c r="I355" s="138"/>
      <c r="J355" s="17" t="str">
        <f>IF(J354=J$15,"OK","NOK")</f>
        <v>OK</v>
      </c>
      <c r="K355" s="17" t="str">
        <f t="shared" ref="K355:L355" si="393">IF(K354=K$15,"OK","NOK")</f>
        <v>OK</v>
      </c>
      <c r="L355" s="17" t="str">
        <f t="shared" si="393"/>
        <v>OK</v>
      </c>
      <c r="M355" s="17"/>
      <c r="N355" s="17"/>
      <c r="O355" s="17"/>
      <c r="P355" s="17"/>
      <c r="Q355" s="17"/>
      <c r="R355" s="17"/>
      <c r="S355" s="17"/>
      <c r="T355" s="17"/>
      <c r="U355" s="17"/>
      <c r="V355" s="359"/>
      <c r="W355" s="382"/>
      <c r="X355" s="539"/>
      <c r="Y355" s="539"/>
      <c r="Z355" s="201"/>
      <c r="AA355" s="201"/>
      <c r="AB355" s="201"/>
      <c r="AC355" s="84"/>
      <c r="AE355" s="46"/>
      <c r="AF355" s="46"/>
      <c r="AG355" s="17"/>
      <c r="AH355" s="539"/>
      <c r="AI355" s="91"/>
      <c r="AK355" s="46"/>
      <c r="AL355" s="46"/>
      <c r="AM355" s="17"/>
      <c r="AN355" s="539"/>
      <c r="AO355" s="91"/>
      <c r="AQ355" s="46"/>
      <c r="AR355" s="46"/>
      <c r="AS355" s="17"/>
      <c r="AT355" s="539"/>
      <c r="AU355" s="91"/>
      <c r="AW355" s="46"/>
      <c r="AX355" s="46"/>
      <c r="AY355" s="17"/>
      <c r="AZ355" s="539"/>
      <c r="BA355" s="91"/>
    </row>
    <row r="356" spans="1:53" ht="17.100000000000001" customHeight="1" x14ac:dyDescent="0.25">
      <c r="A356" s="68"/>
      <c r="B356" s="41" t="s">
        <v>447</v>
      </c>
      <c r="C356" s="69" t="s">
        <v>448</v>
      </c>
      <c r="D356" s="50"/>
      <c r="E356" s="70"/>
      <c r="F356" s="70"/>
      <c r="G356" s="70"/>
      <c r="H356" s="243">
        <v>47</v>
      </c>
      <c r="J356" s="71"/>
      <c r="K356" s="71"/>
      <c r="L356" s="71"/>
      <c r="M356" s="71"/>
      <c r="N356" s="71"/>
      <c r="O356" s="71"/>
      <c r="P356" s="71"/>
      <c r="Q356" s="71"/>
      <c r="R356" s="71"/>
      <c r="S356" s="71"/>
      <c r="T356" s="71"/>
      <c r="U356" s="71"/>
      <c r="V356" s="355"/>
      <c r="W356" s="377"/>
      <c r="X356" s="71"/>
      <c r="Y356" s="72"/>
      <c r="Z356" s="73"/>
      <c r="AA356" s="73"/>
      <c r="AB356" s="73"/>
      <c r="AC356" s="73"/>
      <c r="AE356" s="71"/>
      <c r="AF356" s="71"/>
      <c r="AG356" s="71"/>
      <c r="AH356" s="72"/>
      <c r="AI356" s="73"/>
      <c r="AK356" s="71"/>
      <c r="AL356" s="71"/>
      <c r="AM356" s="71"/>
      <c r="AN356" s="72"/>
      <c r="AO356" s="73"/>
      <c r="AQ356" s="71"/>
      <c r="AR356" s="71"/>
      <c r="AS356" s="71"/>
      <c r="AT356" s="72"/>
      <c r="AU356" s="73"/>
      <c r="AW356" s="71"/>
      <c r="AX356" s="71"/>
      <c r="AY356" s="71"/>
      <c r="AZ356" s="72"/>
      <c r="BA356" s="73"/>
    </row>
    <row r="357" spans="1:53" s="4" customFormat="1" ht="17.100000000000001" customHeight="1" x14ac:dyDescent="0.25">
      <c r="A357" s="40"/>
      <c r="B357" s="40"/>
      <c r="C357" s="74" t="s">
        <v>449</v>
      </c>
      <c r="D357" s="85" t="s">
        <v>9</v>
      </c>
      <c r="E357" s="75"/>
      <c r="F357" s="75"/>
      <c r="G357" s="75"/>
      <c r="H357" s="540"/>
      <c r="I357" s="229"/>
      <c r="J357" s="581"/>
      <c r="K357" s="581"/>
      <c r="L357" s="582"/>
      <c r="M357" s="593">
        <f t="shared" ref="M357:M359" si="394">SUM(J357:L357)</f>
        <v>0</v>
      </c>
      <c r="N357" s="111"/>
      <c r="O357" s="111"/>
      <c r="P357" s="111"/>
      <c r="Q357" s="111"/>
      <c r="R357" s="111"/>
      <c r="S357" s="111"/>
      <c r="T357" s="111"/>
      <c r="U357" s="111"/>
      <c r="V357" s="358"/>
      <c r="W357" s="391">
        <f t="shared" ref="W357:W359" si="395">J357+K357+N357+Q357+T357</f>
        <v>0</v>
      </c>
      <c r="X357" s="17">
        <f t="shared" ref="X357:X359" si="396">L357+O357+R357+U357</f>
        <v>0</v>
      </c>
      <c r="Y357" s="18">
        <f>SUM(W357:X357)</f>
        <v>0</v>
      </c>
      <c r="Z357" s="19">
        <f>IF(Y$360=0,0,Y357/Y$360)</f>
        <v>0</v>
      </c>
      <c r="AA357" s="19"/>
      <c r="AB357" s="19"/>
      <c r="AC357" s="20"/>
      <c r="AE357" s="17"/>
      <c r="AF357" s="17"/>
      <c r="AG357" s="17"/>
      <c r="AH357" s="18">
        <f t="shared" ref="AH357:AH359" si="397">J357</f>
        <v>0</v>
      </c>
      <c r="AI357" s="19">
        <f>IF(AH$360=0,0,AH357/AH$360)</f>
        <v>0</v>
      </c>
      <c r="AJ357" s="97"/>
      <c r="AK357" s="17"/>
      <c r="AL357" s="17"/>
      <c r="AM357" s="17"/>
      <c r="AN357" s="18">
        <f t="shared" ref="AN357:AN359" si="398">K357</f>
        <v>0</v>
      </c>
      <c r="AO357" s="19">
        <f>IF(AN$360=0,0,AN357/AN$360)</f>
        <v>0</v>
      </c>
      <c r="AP357" s="97"/>
      <c r="AQ357" s="17"/>
      <c r="AR357" s="17"/>
      <c r="AS357" s="17"/>
      <c r="AT357" s="18">
        <f t="shared" ref="AT357:AT359" si="399">W357</f>
        <v>0</v>
      </c>
      <c r="AU357" s="19">
        <f>IF(AT$360=0,0,AT357/AT$360)</f>
        <v>0</v>
      </c>
      <c r="AV357" s="97"/>
      <c r="AW357" s="17"/>
      <c r="AX357" s="17"/>
      <c r="AY357" s="17"/>
      <c r="AZ357" s="18">
        <f t="shared" ref="AZ357:AZ359" si="400">X357</f>
        <v>0</v>
      </c>
      <c r="BA357" s="19">
        <f>IF(AZ$360=0,0,AZ357/AZ$360)</f>
        <v>0</v>
      </c>
    </row>
    <row r="358" spans="1:53" s="4" customFormat="1" ht="17.100000000000001" customHeight="1" x14ac:dyDescent="0.25">
      <c r="A358" s="40"/>
      <c r="B358" s="40"/>
      <c r="C358" s="74" t="s">
        <v>450</v>
      </c>
      <c r="D358" s="85" t="s">
        <v>10</v>
      </c>
      <c r="E358" s="75"/>
      <c r="F358" s="75"/>
      <c r="G358" s="75"/>
      <c r="H358" s="540"/>
      <c r="I358" s="229"/>
      <c r="J358" s="583"/>
      <c r="K358" s="583"/>
      <c r="L358" s="584"/>
      <c r="M358" s="593">
        <f t="shared" si="394"/>
        <v>0</v>
      </c>
      <c r="N358" s="111"/>
      <c r="O358" s="111"/>
      <c r="P358" s="111"/>
      <c r="Q358" s="111"/>
      <c r="R358" s="111"/>
      <c r="S358" s="111"/>
      <c r="T358" s="111"/>
      <c r="U358" s="111"/>
      <c r="V358" s="358"/>
      <c r="W358" s="391">
        <f t="shared" si="395"/>
        <v>0</v>
      </c>
      <c r="X358" s="17">
        <f t="shared" si="396"/>
        <v>0</v>
      </c>
      <c r="Y358" s="18">
        <f>SUM(W358:X358)</f>
        <v>0</v>
      </c>
      <c r="Z358" s="19">
        <f t="shared" ref="Z358:Z360" si="401">IF(Y$360=0,0,Y358/Y$360)</f>
        <v>0</v>
      </c>
      <c r="AA358" s="19"/>
      <c r="AB358" s="19"/>
      <c r="AC358" s="20"/>
      <c r="AE358" s="17"/>
      <c r="AF358" s="17"/>
      <c r="AG358" s="17"/>
      <c r="AH358" s="18">
        <f t="shared" si="397"/>
        <v>0</v>
      </c>
      <c r="AI358" s="19">
        <f t="shared" ref="AI358:AI360" si="402">IF(AH$360=0,0,AH358/AH$360)</f>
        <v>0</v>
      </c>
      <c r="AJ358" s="97"/>
      <c r="AK358" s="17"/>
      <c r="AL358" s="17"/>
      <c r="AM358" s="17"/>
      <c r="AN358" s="18">
        <f t="shared" si="398"/>
        <v>0</v>
      </c>
      <c r="AO358" s="19">
        <f t="shared" ref="AO358:AO360" si="403">IF(AN$360=0,0,AN358/AN$360)</f>
        <v>0</v>
      </c>
      <c r="AP358" s="97"/>
      <c r="AQ358" s="17"/>
      <c r="AR358" s="17"/>
      <c r="AS358" s="17"/>
      <c r="AT358" s="18">
        <f t="shared" si="399"/>
        <v>0</v>
      </c>
      <c r="AU358" s="19">
        <f t="shared" ref="AU358:AU360" si="404">IF(AT$360=0,0,AT358/AT$360)</f>
        <v>0</v>
      </c>
      <c r="AV358" s="97"/>
      <c r="AW358" s="17"/>
      <c r="AX358" s="17"/>
      <c r="AY358" s="17"/>
      <c r="AZ358" s="18">
        <f t="shared" si="400"/>
        <v>0</v>
      </c>
      <c r="BA358" s="19">
        <f t="shared" ref="BA358:BA360" si="405">IF(AZ$360=0,0,AZ358/AZ$360)</f>
        <v>0</v>
      </c>
    </row>
    <row r="359" spans="1:53" s="4" customFormat="1" ht="17.100000000000001" customHeight="1" x14ac:dyDescent="0.25">
      <c r="A359" s="40"/>
      <c r="B359" s="40"/>
      <c r="C359" s="74" t="s">
        <v>451</v>
      </c>
      <c r="D359" s="85" t="s">
        <v>129</v>
      </c>
      <c r="E359" s="75"/>
      <c r="F359" s="75"/>
      <c r="G359" s="75"/>
      <c r="H359" s="540"/>
      <c r="I359" s="229"/>
      <c r="J359" s="581"/>
      <c r="K359" s="581"/>
      <c r="L359" s="582"/>
      <c r="M359" s="593">
        <f t="shared" si="394"/>
        <v>0</v>
      </c>
      <c r="N359" s="111"/>
      <c r="O359" s="111"/>
      <c r="P359" s="111"/>
      <c r="Q359" s="111"/>
      <c r="R359" s="111"/>
      <c r="S359" s="111"/>
      <c r="T359" s="111"/>
      <c r="U359" s="111"/>
      <c r="V359" s="358"/>
      <c r="W359" s="391">
        <f t="shared" si="395"/>
        <v>0</v>
      </c>
      <c r="X359" s="17">
        <f t="shared" si="396"/>
        <v>0</v>
      </c>
      <c r="Y359" s="18">
        <f>SUM(W359:X359)</f>
        <v>0</v>
      </c>
      <c r="Z359" s="19">
        <f t="shared" si="401"/>
        <v>0</v>
      </c>
      <c r="AA359" s="19"/>
      <c r="AB359" s="19"/>
      <c r="AC359" s="20"/>
      <c r="AE359" s="17"/>
      <c r="AF359" s="17"/>
      <c r="AG359" s="17"/>
      <c r="AH359" s="18">
        <f t="shared" si="397"/>
        <v>0</v>
      </c>
      <c r="AI359" s="19">
        <f t="shared" si="402"/>
        <v>0</v>
      </c>
      <c r="AJ359" s="97"/>
      <c r="AK359" s="17"/>
      <c r="AL359" s="17"/>
      <c r="AM359" s="17"/>
      <c r="AN359" s="18">
        <f t="shared" si="398"/>
        <v>0</v>
      </c>
      <c r="AO359" s="19">
        <f t="shared" si="403"/>
        <v>0</v>
      </c>
      <c r="AP359" s="97"/>
      <c r="AQ359" s="17"/>
      <c r="AR359" s="17"/>
      <c r="AS359" s="17"/>
      <c r="AT359" s="18">
        <f t="shared" si="399"/>
        <v>0</v>
      </c>
      <c r="AU359" s="19">
        <f t="shared" si="404"/>
        <v>0</v>
      </c>
      <c r="AV359" s="97"/>
      <c r="AW359" s="17"/>
      <c r="AX359" s="17"/>
      <c r="AY359" s="17"/>
      <c r="AZ359" s="18">
        <f t="shared" si="400"/>
        <v>0</v>
      </c>
      <c r="BA359" s="19">
        <f t="shared" si="405"/>
        <v>0</v>
      </c>
    </row>
    <row r="360" spans="1:53" s="4" customFormat="1" ht="17.100000000000001" customHeight="1" x14ac:dyDescent="0.25">
      <c r="A360" s="40"/>
      <c r="B360" s="40"/>
      <c r="C360" s="77"/>
      <c r="D360" s="134"/>
      <c r="E360" s="134"/>
      <c r="F360" s="134"/>
      <c r="G360" s="134"/>
      <c r="H360" s="540"/>
      <c r="I360" s="229"/>
      <c r="J360" s="80">
        <f>SUM(J357:J359)</f>
        <v>0</v>
      </c>
      <c r="K360" s="80">
        <f t="shared" ref="K360:M360" si="406">SUM(K357:K359)</f>
        <v>0</v>
      </c>
      <c r="L360" s="80">
        <f t="shared" si="406"/>
        <v>0</v>
      </c>
      <c r="M360" s="80">
        <f t="shared" si="406"/>
        <v>0</v>
      </c>
      <c r="N360" s="81"/>
      <c r="O360" s="81"/>
      <c r="P360" s="81"/>
      <c r="Q360" s="81"/>
      <c r="R360" s="81"/>
      <c r="S360" s="81"/>
      <c r="T360" s="81"/>
      <c r="U360" s="81"/>
      <c r="V360" s="356"/>
      <c r="W360" s="381">
        <f>SUM(W357:W359)</f>
        <v>0</v>
      </c>
      <c r="X360" s="82">
        <f t="shared" ref="X360:Y360" si="407">SUM(X357:X359)</f>
        <v>0</v>
      </c>
      <c r="Y360" s="82">
        <f t="shared" si="407"/>
        <v>0</v>
      </c>
      <c r="Z360" s="205">
        <f t="shared" si="401"/>
        <v>0</v>
      </c>
      <c r="AA360" s="205"/>
      <c r="AB360" s="205"/>
      <c r="AC360" s="83"/>
      <c r="AE360" s="80"/>
      <c r="AF360" s="80"/>
      <c r="AG360" s="81"/>
      <c r="AH360" s="82">
        <f>SUM(AH357:AH359)</f>
        <v>0</v>
      </c>
      <c r="AI360" s="66">
        <f t="shared" si="402"/>
        <v>0</v>
      </c>
      <c r="AJ360" s="97"/>
      <c r="AK360" s="80"/>
      <c r="AL360" s="80"/>
      <c r="AM360" s="81"/>
      <c r="AN360" s="82">
        <f>SUM(AN357:AN359)</f>
        <v>0</v>
      </c>
      <c r="AO360" s="66">
        <f t="shared" si="403"/>
        <v>0</v>
      </c>
      <c r="AP360" s="97"/>
      <c r="AQ360" s="80"/>
      <c r="AR360" s="80"/>
      <c r="AS360" s="81"/>
      <c r="AT360" s="82">
        <f>SUM(AT357:AT359)</f>
        <v>0</v>
      </c>
      <c r="AU360" s="66">
        <f t="shared" si="404"/>
        <v>0</v>
      </c>
      <c r="AV360" s="97"/>
      <c r="AW360" s="80"/>
      <c r="AX360" s="80"/>
      <c r="AY360" s="81"/>
      <c r="AZ360" s="82">
        <f>SUM(AZ357:AZ359)</f>
        <v>0</v>
      </c>
      <c r="BA360" s="66">
        <f t="shared" si="405"/>
        <v>0</v>
      </c>
    </row>
    <row r="361" spans="1:53" s="117" customFormat="1" ht="17.100000000000001" customHeight="1" x14ac:dyDescent="0.25">
      <c r="A361" s="68"/>
      <c r="B361" s="119"/>
      <c r="C361" s="540"/>
      <c r="D361" s="261"/>
      <c r="E361" s="261"/>
      <c r="F361" s="68"/>
      <c r="G361" s="68"/>
      <c r="H361" s="119"/>
      <c r="I361" s="138"/>
      <c r="J361" s="17" t="str">
        <f>IF(J360=J$15,"OK","NOK")</f>
        <v>OK</v>
      </c>
      <c r="K361" s="17" t="str">
        <f t="shared" ref="K361:L361" si="408">IF(K360=K$15,"OK","NOK")</f>
        <v>OK</v>
      </c>
      <c r="L361" s="17" t="str">
        <f t="shared" si="408"/>
        <v>OK</v>
      </c>
      <c r="M361" s="17"/>
      <c r="N361" s="17"/>
      <c r="O361" s="17"/>
      <c r="P361" s="17"/>
      <c r="Q361" s="17"/>
      <c r="R361" s="17"/>
      <c r="S361" s="17"/>
      <c r="T361" s="17"/>
      <c r="U361" s="17"/>
      <c r="V361" s="359"/>
      <c r="W361" s="382"/>
      <c r="X361" s="539"/>
      <c r="Y361" s="539"/>
      <c r="Z361" s="201"/>
      <c r="AA361" s="201"/>
      <c r="AB361" s="201"/>
      <c r="AC361" s="84"/>
      <c r="AE361" s="46"/>
      <c r="AF361" s="46"/>
      <c r="AG361" s="17"/>
      <c r="AH361" s="539"/>
      <c r="AI361" s="91"/>
      <c r="AK361" s="46"/>
      <c r="AL361" s="46"/>
      <c r="AM361" s="17"/>
      <c r="AN361" s="539"/>
      <c r="AO361" s="91"/>
      <c r="AQ361" s="46"/>
      <c r="AR361" s="46"/>
      <c r="AS361" s="17"/>
      <c r="AT361" s="539"/>
      <c r="AU361" s="91"/>
      <c r="AW361" s="46"/>
      <c r="AX361" s="46"/>
      <c r="AY361" s="17"/>
      <c r="AZ361" s="539"/>
      <c r="BA361" s="91"/>
    </row>
    <row r="362" spans="1:53" ht="17.100000000000001" customHeight="1" x14ac:dyDescent="0.25">
      <c r="A362" s="68"/>
      <c r="B362" s="41" t="s">
        <v>452</v>
      </c>
      <c r="C362" s="69" t="s">
        <v>453</v>
      </c>
      <c r="D362" s="50"/>
      <c r="E362" s="70"/>
      <c r="F362" s="70"/>
      <c r="G362" s="70"/>
      <c r="H362" s="243">
        <v>48</v>
      </c>
      <c r="J362" s="71"/>
      <c r="K362" s="71"/>
      <c r="L362" s="71"/>
      <c r="M362" s="71"/>
      <c r="N362" s="71"/>
      <c r="O362" s="71"/>
      <c r="P362" s="71"/>
      <c r="Q362" s="71"/>
      <c r="R362" s="71"/>
      <c r="S362" s="71"/>
      <c r="T362" s="71"/>
      <c r="U362" s="71"/>
      <c r="V362" s="355"/>
      <c r="W362" s="377"/>
      <c r="X362" s="71"/>
      <c r="Y362" s="72"/>
      <c r="Z362" s="73"/>
      <c r="AA362" s="73"/>
      <c r="AB362" s="73"/>
      <c r="AC362" s="73"/>
      <c r="AE362" s="71"/>
      <c r="AF362" s="71"/>
      <c r="AG362" s="71"/>
      <c r="AH362" s="72"/>
      <c r="AI362" s="73"/>
      <c r="AK362" s="71"/>
      <c r="AL362" s="71"/>
      <c r="AM362" s="71"/>
      <c r="AN362" s="72"/>
      <c r="AO362" s="73"/>
      <c r="AQ362" s="71"/>
      <c r="AR362" s="71"/>
      <c r="AS362" s="71"/>
      <c r="AT362" s="72"/>
      <c r="AU362" s="73"/>
      <c r="AW362" s="71"/>
      <c r="AX362" s="71"/>
      <c r="AY362" s="71"/>
      <c r="AZ362" s="72"/>
      <c r="BA362" s="73"/>
    </row>
    <row r="363" spans="1:53" s="4" customFormat="1" ht="17.100000000000001" customHeight="1" x14ac:dyDescent="0.25">
      <c r="A363" s="40"/>
      <c r="B363" s="40"/>
      <c r="C363" s="74" t="s">
        <v>454</v>
      </c>
      <c r="D363" s="85" t="s">
        <v>173</v>
      </c>
      <c r="E363" s="542"/>
      <c r="F363" s="542"/>
      <c r="G363" s="542"/>
      <c r="H363" s="540"/>
      <c r="I363" s="235"/>
      <c r="J363" s="581"/>
      <c r="K363" s="581"/>
      <c r="L363" s="582"/>
      <c r="M363" s="593"/>
      <c r="N363" s="111"/>
      <c r="O363" s="111"/>
      <c r="P363" s="111"/>
      <c r="Q363" s="111"/>
      <c r="R363" s="111"/>
      <c r="S363" s="111"/>
      <c r="T363" s="111"/>
      <c r="U363" s="111"/>
      <c r="V363" s="358"/>
      <c r="W363" s="391">
        <f t="shared" ref="W363:W364" si="409">J363+K363+N363+Q363+T363</f>
        <v>0</v>
      </c>
      <c r="X363" s="17">
        <f t="shared" ref="X363:X364" si="410">L363+O363+R363+U363</f>
        <v>0</v>
      </c>
      <c r="Y363" s="18">
        <f>SUM(W363:X363)</f>
        <v>0</v>
      </c>
      <c r="Z363" s="19">
        <f>IF(Y$370=0,0,Y363/Y$370)</f>
        <v>0</v>
      </c>
      <c r="AA363" s="19"/>
      <c r="AB363" s="19"/>
      <c r="AC363" s="20"/>
      <c r="AE363" s="17"/>
      <c r="AF363" s="17"/>
      <c r="AG363" s="17"/>
      <c r="AH363" s="18">
        <f>J363</f>
        <v>0</v>
      </c>
      <c r="AI363" s="19">
        <f>IF(AH$370=0,0,AH363/AH$370)</f>
        <v>0</v>
      </c>
      <c r="AJ363" s="97"/>
      <c r="AK363" s="17"/>
      <c r="AL363" s="17"/>
      <c r="AM363" s="17"/>
      <c r="AN363" s="18">
        <f>K363</f>
        <v>0</v>
      </c>
      <c r="AO363" s="19">
        <f>IF(AN$370=0,0,AN363/AN$370)</f>
        <v>0</v>
      </c>
      <c r="AP363" s="97"/>
      <c r="AQ363" s="17"/>
      <c r="AR363" s="17"/>
      <c r="AS363" s="17"/>
      <c r="AT363" s="18">
        <f>W363</f>
        <v>0</v>
      </c>
      <c r="AU363" s="19">
        <f>IF(AT$370=0,0,AT363/AT$370)</f>
        <v>0</v>
      </c>
      <c r="AV363" s="97"/>
      <c r="AW363" s="17"/>
      <c r="AX363" s="17"/>
      <c r="AY363" s="17"/>
      <c r="AZ363" s="18">
        <f>X363</f>
        <v>0</v>
      </c>
      <c r="BA363" s="19">
        <f>IF(AZ$370=0,0,AZ363/AZ$370)</f>
        <v>0</v>
      </c>
    </row>
    <row r="364" spans="1:53" s="4" customFormat="1" ht="17.100000000000001" customHeight="1" x14ac:dyDescent="0.25">
      <c r="A364" s="40"/>
      <c r="B364" s="40"/>
      <c r="C364" s="74" t="s">
        <v>455</v>
      </c>
      <c r="D364" s="85" t="s">
        <v>544</v>
      </c>
      <c r="E364" s="542"/>
      <c r="F364" s="542"/>
      <c r="G364" s="542"/>
      <c r="H364" s="540"/>
      <c r="I364" s="235"/>
      <c r="J364" s="583"/>
      <c r="K364" s="583"/>
      <c r="L364" s="584"/>
      <c r="M364" s="593"/>
      <c r="N364" s="111"/>
      <c r="O364" s="111"/>
      <c r="P364" s="111"/>
      <c r="Q364" s="111"/>
      <c r="R364" s="111"/>
      <c r="S364" s="111"/>
      <c r="T364" s="111"/>
      <c r="U364" s="111"/>
      <c r="V364" s="358"/>
      <c r="W364" s="391">
        <f t="shared" si="409"/>
        <v>0</v>
      </c>
      <c r="X364" s="17">
        <f t="shared" si="410"/>
        <v>0</v>
      </c>
      <c r="Y364" s="18">
        <f>SUM(W364:X364)</f>
        <v>0</v>
      </c>
      <c r="Z364" s="19">
        <f>IF(Y$370=0,0,Y364/Y$370)</f>
        <v>0</v>
      </c>
      <c r="AA364" s="19"/>
      <c r="AB364" s="19"/>
      <c r="AC364" s="20"/>
      <c r="AE364" s="17"/>
      <c r="AF364" s="17"/>
      <c r="AG364" s="17"/>
      <c r="AH364" s="18">
        <f t="shared" ref="AH364" si="411">J364</f>
        <v>0</v>
      </c>
      <c r="AI364" s="19">
        <f>IF(AH$370=0,0,AH364/AH$370)</f>
        <v>0</v>
      </c>
      <c r="AJ364" s="97"/>
      <c r="AK364" s="17"/>
      <c r="AL364" s="17"/>
      <c r="AM364" s="17"/>
      <c r="AN364" s="18">
        <f t="shared" ref="AN364" si="412">K364</f>
        <v>0</v>
      </c>
      <c r="AO364" s="19">
        <f>IF(AN$370=0,0,AN364/AN$370)</f>
        <v>0</v>
      </c>
      <c r="AP364" s="97"/>
      <c r="AQ364" s="17"/>
      <c r="AR364" s="17"/>
      <c r="AS364" s="17"/>
      <c r="AT364" s="18">
        <f t="shared" ref="AT364" si="413">W364</f>
        <v>0</v>
      </c>
      <c r="AU364" s="19">
        <f>IF(AT$370=0,0,AT364/AT$370)</f>
        <v>0</v>
      </c>
      <c r="AV364" s="97"/>
      <c r="AW364" s="17"/>
      <c r="AX364" s="17"/>
      <c r="AY364" s="17"/>
      <c r="AZ364" s="18">
        <f>X364</f>
        <v>0</v>
      </c>
      <c r="BA364" s="19">
        <f>IF(AZ$370=0,0,AZ364/AZ$370)</f>
        <v>0</v>
      </c>
    </row>
    <row r="365" spans="1:53" s="4" customFormat="1" ht="17.100000000000001" customHeight="1" x14ac:dyDescent="0.25">
      <c r="A365" s="40"/>
      <c r="B365" s="40"/>
      <c r="C365" s="74" t="s">
        <v>456</v>
      </c>
      <c r="D365" s="146" t="s">
        <v>484</v>
      </c>
      <c r="E365" s="542"/>
      <c r="F365" s="542"/>
      <c r="G365" s="542"/>
      <c r="H365" s="540"/>
      <c r="I365" s="235"/>
      <c r="J365" s="581"/>
      <c r="K365" s="581"/>
      <c r="L365" s="582"/>
      <c r="M365" s="593"/>
      <c r="N365" s="111"/>
      <c r="O365" s="111"/>
      <c r="P365" s="111"/>
      <c r="Q365" s="111"/>
      <c r="R365" s="111"/>
      <c r="S365" s="111"/>
      <c r="T365" s="111"/>
      <c r="U365" s="111"/>
      <c r="V365" s="358"/>
      <c r="W365" s="391">
        <f>MIN(J365:K365)</f>
        <v>0</v>
      </c>
      <c r="X365" s="17">
        <f>L365</f>
        <v>0</v>
      </c>
      <c r="Y365" s="17">
        <f>M365</f>
        <v>0</v>
      </c>
      <c r="Z365" s="19"/>
      <c r="AA365" s="17">
        <f>MIN(J365:L365)</f>
        <v>0</v>
      </c>
      <c r="AB365" s="17"/>
      <c r="AC365" s="17"/>
      <c r="AE365" s="17">
        <f>J365</f>
        <v>0</v>
      </c>
      <c r="AF365" s="17"/>
      <c r="AG365" s="17"/>
      <c r="AH365" s="18"/>
      <c r="AI365" s="19"/>
      <c r="AJ365" s="97"/>
      <c r="AK365" s="17">
        <f>K365</f>
        <v>0</v>
      </c>
      <c r="AL365" s="17"/>
      <c r="AM365" s="17"/>
      <c r="AN365" s="18"/>
      <c r="AO365" s="19"/>
      <c r="AP365" s="97"/>
      <c r="AQ365" s="17">
        <f>W365</f>
        <v>0</v>
      </c>
      <c r="AR365" s="17"/>
      <c r="AS365" s="17"/>
      <c r="AT365" s="18"/>
      <c r="AU365" s="19"/>
      <c r="AV365" s="97"/>
      <c r="AW365" s="17">
        <f>L365</f>
        <v>0</v>
      </c>
      <c r="AX365" s="17"/>
      <c r="AY365" s="17"/>
      <c r="AZ365" s="18"/>
      <c r="BA365" s="19"/>
    </row>
    <row r="366" spans="1:53" s="4" customFormat="1" ht="17.100000000000001" customHeight="1" x14ac:dyDescent="0.25">
      <c r="A366" s="40"/>
      <c r="B366" s="40"/>
      <c r="C366" s="74" t="s">
        <v>546</v>
      </c>
      <c r="D366" s="146" t="s">
        <v>485</v>
      </c>
      <c r="E366" s="542"/>
      <c r="F366" s="542"/>
      <c r="G366" s="542"/>
      <c r="H366" s="540"/>
      <c r="I366" s="235"/>
      <c r="J366" s="583"/>
      <c r="K366" s="583"/>
      <c r="L366" s="584"/>
      <c r="M366" s="593"/>
      <c r="N366" s="111"/>
      <c r="O366" s="111"/>
      <c r="P366" s="111"/>
      <c r="Q366" s="111"/>
      <c r="R366" s="111"/>
      <c r="S366" s="111"/>
      <c r="T366" s="111"/>
      <c r="U366" s="111"/>
      <c r="V366" s="358"/>
      <c r="W366" s="391">
        <f>MAX(J366:K366)</f>
        <v>0</v>
      </c>
      <c r="X366" s="17">
        <f t="shared" ref="X366:Y367" si="414">L366</f>
        <v>0</v>
      </c>
      <c r="Y366" s="17">
        <f t="shared" si="414"/>
        <v>0</v>
      </c>
      <c r="Z366" s="19"/>
      <c r="AA366" s="17"/>
      <c r="AB366" s="17">
        <f>MAX(J366:L366)</f>
        <v>0</v>
      </c>
      <c r="AC366" s="17"/>
      <c r="AE366" s="17"/>
      <c r="AF366" s="17">
        <f>J366</f>
        <v>0</v>
      </c>
      <c r="AG366" s="17"/>
      <c r="AH366" s="18"/>
      <c r="AI366" s="19"/>
      <c r="AJ366" s="97"/>
      <c r="AK366" s="17"/>
      <c r="AL366" s="17">
        <f>K366</f>
        <v>0</v>
      </c>
      <c r="AM366" s="17"/>
      <c r="AN366" s="18"/>
      <c r="AO366" s="19"/>
      <c r="AP366" s="97"/>
      <c r="AQ366" s="17"/>
      <c r="AR366" s="17">
        <f>W366</f>
        <v>0</v>
      </c>
      <c r="AS366" s="17"/>
      <c r="AT366" s="18"/>
      <c r="AU366" s="19"/>
      <c r="AV366" s="97"/>
      <c r="AW366" s="17"/>
      <c r="AX366" s="17">
        <f>L366</f>
        <v>0</v>
      </c>
      <c r="AY366" s="17"/>
      <c r="AZ366" s="18"/>
      <c r="BA366" s="19"/>
    </row>
    <row r="367" spans="1:53" s="4" customFormat="1" ht="17.100000000000001" customHeight="1" x14ac:dyDescent="0.25">
      <c r="A367" s="40"/>
      <c r="B367" s="40"/>
      <c r="C367" s="74" t="s">
        <v>547</v>
      </c>
      <c r="D367" s="146" t="s">
        <v>543</v>
      </c>
      <c r="E367" s="542"/>
      <c r="F367" s="542"/>
      <c r="G367" s="542"/>
      <c r="H367" s="540"/>
      <c r="I367" s="235"/>
      <c r="J367" s="581"/>
      <c r="K367" s="581"/>
      <c r="L367" s="582"/>
      <c r="M367" s="593"/>
      <c r="N367" s="111"/>
      <c r="O367" s="111"/>
      <c r="P367" s="111"/>
      <c r="Q367" s="111"/>
      <c r="R367" s="111"/>
      <c r="S367" s="111"/>
      <c r="T367" s="111"/>
      <c r="U367" s="111"/>
      <c r="V367" s="358"/>
      <c r="W367" s="391">
        <f>IF(SUM(J367:K367)=0,0,AVERAGE(J367:K367))</f>
        <v>0</v>
      </c>
      <c r="X367" s="17">
        <f t="shared" si="414"/>
        <v>0</v>
      </c>
      <c r="Y367" s="17">
        <f t="shared" si="414"/>
        <v>0</v>
      </c>
      <c r="Z367" s="19"/>
      <c r="AA367" s="17"/>
      <c r="AB367" s="17"/>
      <c r="AC367" s="17">
        <f>IF(SUM(J367:L367)=0,0,AVERAGE(J367:L367))</f>
        <v>0</v>
      </c>
      <c r="AE367" s="17"/>
      <c r="AF367" s="17"/>
      <c r="AG367" s="17">
        <f>J367</f>
        <v>0</v>
      </c>
      <c r="AH367" s="18"/>
      <c r="AI367" s="19"/>
      <c r="AJ367" s="97"/>
      <c r="AK367" s="17"/>
      <c r="AL367" s="17"/>
      <c r="AM367" s="17">
        <f>K367</f>
        <v>0</v>
      </c>
      <c r="AN367" s="18"/>
      <c r="AO367" s="19"/>
      <c r="AP367" s="97"/>
      <c r="AQ367" s="17"/>
      <c r="AR367" s="17"/>
      <c r="AS367" s="17">
        <f>W367</f>
        <v>0</v>
      </c>
      <c r="AT367" s="18"/>
      <c r="AU367" s="19"/>
      <c r="AV367" s="97"/>
      <c r="AW367" s="17"/>
      <c r="AX367" s="17"/>
      <c r="AY367" s="17">
        <f>L367</f>
        <v>0</v>
      </c>
      <c r="AZ367" s="18"/>
      <c r="BA367" s="19"/>
    </row>
    <row r="368" spans="1:53" s="4" customFormat="1" ht="17.100000000000001" customHeight="1" x14ac:dyDescent="0.25">
      <c r="A368" s="40"/>
      <c r="B368" s="40"/>
      <c r="C368" s="74" t="s">
        <v>548</v>
      </c>
      <c r="D368" s="75" t="s">
        <v>129</v>
      </c>
      <c r="E368" s="542"/>
      <c r="F368" s="542"/>
      <c r="G368" s="542"/>
      <c r="H368" s="540"/>
      <c r="I368" s="235"/>
      <c r="J368" s="583"/>
      <c r="K368" s="583"/>
      <c r="L368" s="584"/>
      <c r="M368" s="593"/>
      <c r="N368" s="111"/>
      <c r="O368" s="111"/>
      <c r="P368" s="111"/>
      <c r="Q368" s="111"/>
      <c r="R368" s="111"/>
      <c r="S368" s="111"/>
      <c r="T368" s="111"/>
      <c r="U368" s="111"/>
      <c r="V368" s="358"/>
      <c r="W368" s="391">
        <f t="shared" ref="W368:W369" si="415">J368+K368+N368+Q368+T368</f>
        <v>0</v>
      </c>
      <c r="X368" s="17">
        <f t="shared" ref="X368:X369" si="416">L368+O368+R368+U368</f>
        <v>0</v>
      </c>
      <c r="Y368" s="18">
        <f>SUM(W368:X368)</f>
        <v>0</v>
      </c>
      <c r="Z368" s="19">
        <f>IF(Y$370=0,0,Y368/Y$370)</f>
        <v>0</v>
      </c>
      <c r="AA368" s="19"/>
      <c r="AB368" s="19"/>
      <c r="AC368" s="20"/>
      <c r="AE368" s="17"/>
      <c r="AF368" s="17"/>
      <c r="AG368" s="17"/>
      <c r="AH368" s="18">
        <f t="shared" ref="AH368:AH369" si="417">J368</f>
        <v>0</v>
      </c>
      <c r="AI368" s="19">
        <f>IF(AH$370=0,0,AH368/AH$370)</f>
        <v>0</v>
      </c>
      <c r="AJ368" s="97"/>
      <c r="AK368" s="17"/>
      <c r="AL368" s="17"/>
      <c r="AM368" s="17"/>
      <c r="AN368" s="18">
        <f t="shared" ref="AN368:AN369" si="418">K368</f>
        <v>0</v>
      </c>
      <c r="AO368" s="19">
        <f>IF(AN$370=0,0,AN368/AN$370)</f>
        <v>0</v>
      </c>
      <c r="AP368" s="97"/>
      <c r="AQ368" s="17"/>
      <c r="AR368" s="17"/>
      <c r="AS368" s="17"/>
      <c r="AT368" s="18">
        <f t="shared" ref="AT368:AT369" si="419">W368</f>
        <v>0</v>
      </c>
      <c r="AU368" s="19">
        <f>IF(AT$370=0,0,AT368/AT$370)</f>
        <v>0</v>
      </c>
      <c r="AV368" s="97"/>
      <c r="AW368" s="17"/>
      <c r="AX368" s="17"/>
      <c r="AY368" s="17"/>
      <c r="AZ368" s="18">
        <f>X368</f>
        <v>0</v>
      </c>
      <c r="BA368" s="19">
        <f>IF(AZ$370=0,0,AZ368/AZ$370)</f>
        <v>0</v>
      </c>
    </row>
    <row r="369" spans="1:53" s="4" customFormat="1" ht="17.100000000000001" customHeight="1" x14ac:dyDescent="0.25">
      <c r="A369" s="40"/>
      <c r="B369" s="40"/>
      <c r="C369" s="74" t="s">
        <v>549</v>
      </c>
      <c r="D369" s="75" t="s">
        <v>530</v>
      </c>
      <c r="E369" s="542"/>
      <c r="F369" s="542"/>
      <c r="G369" s="542"/>
      <c r="H369" s="540"/>
      <c r="I369" s="235"/>
      <c r="J369" s="581"/>
      <c r="K369" s="581"/>
      <c r="L369" s="582"/>
      <c r="M369" s="593"/>
      <c r="N369" s="111"/>
      <c r="O369" s="111"/>
      <c r="P369" s="111"/>
      <c r="Q369" s="111"/>
      <c r="R369" s="111"/>
      <c r="S369" s="111"/>
      <c r="T369" s="111"/>
      <c r="U369" s="111"/>
      <c r="V369" s="358"/>
      <c r="W369" s="391">
        <f t="shared" si="415"/>
        <v>0</v>
      </c>
      <c r="X369" s="17">
        <f t="shared" si="416"/>
        <v>0</v>
      </c>
      <c r="Y369" s="18">
        <f>SUM(W369:X369)</f>
        <v>0</v>
      </c>
      <c r="Z369" s="19">
        <f>IF(Y$370=0,0,Y369/Y$370)</f>
        <v>0</v>
      </c>
      <c r="AA369" s="19"/>
      <c r="AB369" s="19"/>
      <c r="AC369" s="20"/>
      <c r="AE369" s="17"/>
      <c r="AF369" s="17"/>
      <c r="AG369" s="17"/>
      <c r="AH369" s="18">
        <f t="shared" si="417"/>
        <v>0</v>
      </c>
      <c r="AI369" s="19">
        <f>IF(AH$370=0,0,AH369/AH$370)</f>
        <v>0</v>
      </c>
      <c r="AJ369" s="97"/>
      <c r="AK369" s="17"/>
      <c r="AL369" s="17"/>
      <c r="AM369" s="17"/>
      <c r="AN369" s="18">
        <f t="shared" si="418"/>
        <v>0</v>
      </c>
      <c r="AO369" s="19">
        <f>IF(AN$370=0,0,AN369/AN$370)</f>
        <v>0</v>
      </c>
      <c r="AP369" s="97"/>
      <c r="AQ369" s="17"/>
      <c r="AR369" s="17"/>
      <c r="AS369" s="17"/>
      <c r="AT369" s="18">
        <f t="shared" si="419"/>
        <v>0</v>
      </c>
      <c r="AU369" s="19">
        <f>IF(AT$370=0,0,AT369/AT$370)</f>
        <v>0</v>
      </c>
      <c r="AV369" s="97"/>
      <c r="AW369" s="17"/>
      <c r="AX369" s="17"/>
      <c r="AY369" s="17"/>
      <c r="AZ369" s="18">
        <f>X369</f>
        <v>0</v>
      </c>
      <c r="BA369" s="19">
        <f>IF(AZ$370=0,0,AZ369/AZ$370)</f>
        <v>0</v>
      </c>
    </row>
    <row r="370" spans="1:53" s="4" customFormat="1" ht="17.100000000000001" customHeight="1" x14ac:dyDescent="0.25">
      <c r="A370" s="40"/>
      <c r="B370" s="40"/>
      <c r="C370" s="77"/>
      <c r="D370" s="134"/>
      <c r="E370" s="134"/>
      <c r="F370" s="134"/>
      <c r="G370" s="134"/>
      <c r="H370" s="540"/>
      <c r="I370" s="229"/>
      <c r="J370" s="80">
        <f>J363+J364+J368+J369</f>
        <v>0</v>
      </c>
      <c r="K370" s="80">
        <f t="shared" ref="K370:M370" si="420">K363+K364+K368+K369</f>
        <v>0</v>
      </c>
      <c r="L370" s="80">
        <f t="shared" si="420"/>
        <v>0</v>
      </c>
      <c r="M370" s="80">
        <f t="shared" si="420"/>
        <v>0</v>
      </c>
      <c r="N370" s="81"/>
      <c r="O370" s="81"/>
      <c r="P370" s="81"/>
      <c r="Q370" s="81"/>
      <c r="R370" s="81"/>
      <c r="S370" s="81"/>
      <c r="T370" s="81"/>
      <c r="U370" s="81"/>
      <c r="V370" s="356"/>
      <c r="W370" s="381">
        <f>W363+W364+W368+W369</f>
        <v>0</v>
      </c>
      <c r="X370" s="82">
        <f>X363+X364+X368+X369</f>
        <v>0</v>
      </c>
      <c r="Y370" s="82">
        <f t="shared" ref="Y370" si="421">SUM(Y363:Y369)</f>
        <v>0</v>
      </c>
      <c r="Z370" s="205">
        <f>IF(Y$370=0,0,Y370/Y$370)</f>
        <v>0</v>
      </c>
      <c r="AA370" s="205"/>
      <c r="AB370" s="205"/>
      <c r="AC370" s="83"/>
      <c r="AE370" s="80"/>
      <c r="AF370" s="80"/>
      <c r="AG370" s="81"/>
      <c r="AH370" s="82">
        <f>SUM(AH363:AH369)</f>
        <v>0</v>
      </c>
      <c r="AI370" s="66">
        <f>IF(AH$370=0,0,AH370/AH$370)</f>
        <v>0</v>
      </c>
      <c r="AJ370" s="97"/>
      <c r="AK370" s="80"/>
      <c r="AL370" s="80"/>
      <c r="AM370" s="81"/>
      <c r="AN370" s="82">
        <f>SUM(AN363:AN369)</f>
        <v>0</v>
      </c>
      <c r="AO370" s="66">
        <f>IF(AN$370=0,0,AN370/AN$370)</f>
        <v>0</v>
      </c>
      <c r="AP370" s="97"/>
      <c r="AQ370" s="80"/>
      <c r="AR370" s="80"/>
      <c r="AS370" s="81"/>
      <c r="AT370" s="82">
        <f>SUM(AT363:AT369)</f>
        <v>0</v>
      </c>
      <c r="AU370" s="66">
        <f>IF(AT$370=0,0,AT370/AT$370)</f>
        <v>0</v>
      </c>
      <c r="AV370" s="97"/>
      <c r="AW370" s="80"/>
      <c r="AX370" s="80"/>
      <c r="AY370" s="81"/>
      <c r="AZ370" s="82">
        <f>SUM(AZ363:AZ369)</f>
        <v>0</v>
      </c>
      <c r="BA370" s="66">
        <f>IF(AZ$370=0,0,AZ370/AZ$370)</f>
        <v>0</v>
      </c>
    </row>
    <row r="371" spans="1:53" s="117" customFormat="1" ht="17.100000000000001" customHeight="1" x14ac:dyDescent="0.25">
      <c r="A371" s="68"/>
      <c r="B371" s="119"/>
      <c r="C371" s="540"/>
      <c r="D371" s="261"/>
      <c r="E371" s="261"/>
      <c r="F371" s="68"/>
      <c r="G371" s="68"/>
      <c r="H371" s="119"/>
      <c r="I371" s="138"/>
      <c r="J371" s="17" t="str">
        <f>IF(J370=J$357,"OK","NOK")</f>
        <v>OK</v>
      </c>
      <c r="K371" s="17" t="str">
        <f t="shared" ref="K371:L371" si="422">IF(K370=K$357,"OK","NOK")</f>
        <v>OK</v>
      </c>
      <c r="L371" s="17" t="str">
        <f t="shared" si="422"/>
        <v>OK</v>
      </c>
      <c r="M371" s="17"/>
      <c r="N371" s="17"/>
      <c r="O371" s="17"/>
      <c r="P371" s="17"/>
      <c r="Q371" s="17"/>
      <c r="R371" s="17"/>
      <c r="S371" s="17"/>
      <c r="T371" s="17"/>
      <c r="U371" s="17"/>
      <c r="V371" s="359"/>
      <c r="W371" s="382"/>
      <c r="X371" s="539"/>
      <c r="Y371" s="539"/>
      <c r="Z371" s="19"/>
      <c r="AA371" s="201"/>
      <c r="AB371" s="201"/>
      <c r="AC371" s="84"/>
      <c r="AE371" s="46"/>
      <c r="AF371" s="46"/>
      <c r="AG371" s="17"/>
      <c r="AH371" s="539"/>
      <c r="AI371" s="91"/>
      <c r="AK371" s="46"/>
      <c r="AL371" s="46"/>
      <c r="AM371" s="17"/>
      <c r="AN371" s="539"/>
      <c r="AO371" s="91"/>
      <c r="AQ371" s="46"/>
      <c r="AR371" s="46"/>
      <c r="AS371" s="17"/>
      <c r="AT371" s="539"/>
      <c r="AU371" s="91"/>
      <c r="AW371" s="46"/>
      <c r="AX371" s="46"/>
      <c r="AY371" s="17"/>
      <c r="AZ371" s="539"/>
      <c r="BA371" s="91"/>
    </row>
    <row r="372" spans="1:53" ht="17.100000000000001" customHeight="1" x14ac:dyDescent="0.25">
      <c r="A372" s="68"/>
      <c r="B372" s="41" t="s">
        <v>1058</v>
      </c>
      <c r="C372" s="69" t="s">
        <v>12</v>
      </c>
      <c r="D372" s="50"/>
      <c r="E372" s="70"/>
      <c r="F372" s="70"/>
      <c r="G372" s="70"/>
      <c r="H372" s="119"/>
      <c r="J372" s="71"/>
      <c r="K372" s="71"/>
      <c r="L372" s="71"/>
      <c r="M372" s="71"/>
      <c r="N372" s="71"/>
      <c r="O372" s="71"/>
      <c r="P372" s="71"/>
      <c r="Q372" s="71"/>
      <c r="R372" s="71"/>
      <c r="S372" s="71"/>
      <c r="T372" s="71"/>
      <c r="U372" s="71"/>
      <c r="V372" s="355"/>
      <c r="W372" s="377"/>
      <c r="X372" s="71"/>
      <c r="Y372" s="72"/>
      <c r="Z372" s="73"/>
      <c r="AA372" s="73"/>
      <c r="AB372" s="73"/>
      <c r="AC372" s="73"/>
      <c r="AE372" s="71"/>
      <c r="AF372" s="71"/>
      <c r="AG372" s="71"/>
      <c r="AH372" s="72"/>
      <c r="AI372" s="73"/>
      <c r="AK372" s="71"/>
      <c r="AL372" s="71"/>
      <c r="AM372" s="71"/>
      <c r="AN372" s="72"/>
      <c r="AO372" s="73"/>
      <c r="AQ372" s="71"/>
      <c r="AR372" s="71"/>
      <c r="AS372" s="71"/>
      <c r="AT372" s="72"/>
      <c r="AU372" s="73"/>
      <c r="AW372" s="71"/>
      <c r="AX372" s="71"/>
      <c r="AY372" s="71"/>
      <c r="AZ372" s="72"/>
      <c r="BA372" s="73"/>
    </row>
    <row r="373" spans="1:53" s="97" customFormat="1" ht="17.100000000000001" customHeight="1" x14ac:dyDescent="0.25">
      <c r="A373" s="138"/>
      <c r="B373" s="138"/>
      <c r="C373" s="139"/>
      <c r="D373" s="12"/>
      <c r="E373" s="12"/>
      <c r="F373" s="93"/>
      <c r="G373" s="93"/>
      <c r="H373" s="92"/>
      <c r="I373" s="12"/>
      <c r="J373" s="95"/>
      <c r="K373" s="95"/>
      <c r="L373" s="95"/>
      <c r="M373" s="95"/>
      <c r="N373" s="95"/>
      <c r="O373" s="95"/>
      <c r="P373" s="95"/>
      <c r="Q373" s="95"/>
      <c r="R373" s="95"/>
      <c r="S373" s="95"/>
      <c r="T373" s="95"/>
      <c r="U373" s="95"/>
      <c r="V373" s="95"/>
      <c r="W373" s="378"/>
      <c r="X373" s="95"/>
      <c r="Y373" s="96"/>
      <c r="AE373" s="109"/>
      <c r="AF373" s="109"/>
      <c r="AG373" s="109"/>
      <c r="AH373" s="96"/>
      <c r="AK373" s="109"/>
      <c r="AL373" s="109"/>
      <c r="AM373" s="109"/>
      <c r="AN373" s="96"/>
      <c r="AQ373" s="109"/>
      <c r="AR373" s="109"/>
      <c r="AS373" s="109"/>
      <c r="AT373" s="96"/>
      <c r="AW373" s="109"/>
      <c r="AX373" s="109"/>
      <c r="AY373" s="109"/>
      <c r="AZ373" s="96"/>
    </row>
    <row r="374" spans="1:53" s="32" customFormat="1" ht="16.5" thickBot="1" x14ac:dyDescent="0.3">
      <c r="A374" s="24" t="s">
        <v>183</v>
      </c>
      <c r="B374" s="25" t="s">
        <v>184</v>
      </c>
      <c r="C374" s="26"/>
      <c r="D374" s="27"/>
      <c r="E374" s="27"/>
      <c r="F374" s="27"/>
      <c r="G374" s="27"/>
      <c r="H374" s="266"/>
      <c r="I374" s="228"/>
      <c r="J374" s="140"/>
      <c r="K374" s="140"/>
      <c r="L374" s="140"/>
      <c r="M374" s="140"/>
      <c r="N374" s="140"/>
      <c r="O374" s="140"/>
      <c r="P374" s="140"/>
      <c r="Q374" s="140"/>
      <c r="R374" s="140"/>
      <c r="S374" s="140"/>
      <c r="T374" s="140"/>
      <c r="U374" s="140"/>
      <c r="V374" s="365"/>
      <c r="W374" s="379"/>
      <c r="X374" s="140"/>
      <c r="Y374" s="30" t="s">
        <v>4</v>
      </c>
      <c r="Z374" s="30" t="s">
        <v>5</v>
      </c>
      <c r="AA374" s="30"/>
      <c r="AB374" s="30"/>
      <c r="AC374" s="29"/>
      <c r="AE374" s="33" t="s">
        <v>181</v>
      </c>
      <c r="AF374" s="33" t="s">
        <v>182</v>
      </c>
      <c r="AG374" s="33" t="s">
        <v>6</v>
      </c>
      <c r="AH374" s="33" t="s">
        <v>4</v>
      </c>
      <c r="AI374" s="34" t="s">
        <v>5</v>
      </c>
      <c r="AJ374" s="408"/>
      <c r="AK374" s="36" t="s">
        <v>181</v>
      </c>
      <c r="AL374" s="36" t="s">
        <v>182</v>
      </c>
      <c r="AM374" s="36" t="s">
        <v>6</v>
      </c>
      <c r="AN374" s="36" t="s">
        <v>4</v>
      </c>
      <c r="AO374" s="37" t="s">
        <v>5</v>
      </c>
      <c r="AP374" s="408"/>
      <c r="AQ374" s="36"/>
      <c r="AR374" s="36"/>
      <c r="AS374" s="36"/>
      <c r="AT374" s="36"/>
      <c r="AU374" s="37"/>
      <c r="AV374" s="408"/>
      <c r="AW374" s="38" t="s">
        <v>181</v>
      </c>
      <c r="AX374" s="38" t="s">
        <v>182</v>
      </c>
      <c r="AY374" s="38" t="s">
        <v>6</v>
      </c>
      <c r="AZ374" s="38" t="s">
        <v>4</v>
      </c>
      <c r="BA374" s="39" t="s">
        <v>5</v>
      </c>
    </row>
    <row r="375" spans="1:53" ht="17.100000000000001" customHeight="1" x14ac:dyDescent="0.25">
      <c r="A375" s="68"/>
      <c r="B375" s="41" t="s">
        <v>185</v>
      </c>
      <c r="C375" s="69" t="s">
        <v>186</v>
      </c>
      <c r="D375" s="50"/>
      <c r="E375" s="70"/>
      <c r="F375" s="265"/>
      <c r="G375" s="265"/>
      <c r="H375" s="253"/>
      <c r="J375" s="71"/>
      <c r="K375" s="71"/>
      <c r="L375" s="71"/>
      <c r="M375" s="71"/>
      <c r="N375" s="71"/>
      <c r="O375" s="71"/>
      <c r="P375" s="71"/>
      <c r="Q375" s="71"/>
      <c r="R375" s="71"/>
      <c r="S375" s="71"/>
      <c r="T375" s="71"/>
      <c r="U375" s="71"/>
      <c r="V375" s="355"/>
      <c r="W375" s="377"/>
      <c r="X375" s="71"/>
      <c r="Y375" s="72"/>
      <c r="Z375" s="73"/>
      <c r="AA375" s="73"/>
      <c r="AB375" s="73"/>
      <c r="AC375" s="73"/>
      <c r="AE375" s="71"/>
      <c r="AF375" s="71"/>
      <c r="AG375" s="71"/>
      <c r="AH375" s="72"/>
      <c r="AI375" s="73"/>
      <c r="AK375" s="71"/>
      <c r="AL375" s="71"/>
      <c r="AM375" s="71"/>
      <c r="AN375" s="72"/>
      <c r="AO375" s="73"/>
      <c r="AQ375" s="71"/>
      <c r="AR375" s="71"/>
      <c r="AS375" s="71"/>
      <c r="AT375" s="72"/>
      <c r="AU375" s="73"/>
      <c r="AW375" s="71"/>
      <c r="AX375" s="71"/>
      <c r="AY375" s="71"/>
      <c r="AZ375" s="72"/>
      <c r="BA375" s="73"/>
    </row>
    <row r="376" spans="1:53" ht="17.100000000000001" customHeight="1" x14ac:dyDescent="0.25">
      <c r="A376" s="40"/>
      <c r="B376" s="40"/>
      <c r="C376" s="74" t="s">
        <v>187</v>
      </c>
      <c r="D376" s="75" t="s">
        <v>129</v>
      </c>
      <c r="E376" s="105"/>
      <c r="F376" s="105"/>
      <c r="G376" s="105"/>
      <c r="H376" s="119"/>
      <c r="I376" s="231"/>
      <c r="J376" s="111"/>
      <c r="K376" s="111"/>
      <c r="L376" s="111"/>
      <c r="M376" s="111"/>
      <c r="N376" s="60"/>
      <c r="O376" s="60"/>
      <c r="P376" s="17">
        <f>SUM(N376:O376)</f>
        <v>0</v>
      </c>
      <c r="Q376" s="60"/>
      <c r="R376" s="60"/>
      <c r="S376" s="17">
        <f>SUM(Q376:R376)</f>
        <v>0</v>
      </c>
      <c r="T376" s="60"/>
      <c r="U376" s="60"/>
      <c r="V376" s="359">
        <f>SUM(T376:U376)</f>
        <v>0</v>
      </c>
      <c r="W376" s="391">
        <f t="shared" ref="W376:W378" si="423">J376+K376+N376+Q376+T376</f>
        <v>0</v>
      </c>
      <c r="X376" s="17">
        <f t="shared" ref="X376:X378" si="424">L376+O376+R376+U376</f>
        <v>0</v>
      </c>
      <c r="Y376" s="18">
        <f>SUM(W376:X376)</f>
        <v>0</v>
      </c>
      <c r="Z376" s="19">
        <f>IF(Y$379=0,0,Y376/Y$379)</f>
        <v>0</v>
      </c>
      <c r="AA376" s="19"/>
      <c r="AB376" s="19"/>
      <c r="AC376" s="17"/>
      <c r="AE376" s="111"/>
      <c r="AF376" s="111"/>
      <c r="AG376" s="111"/>
      <c r="AH376" s="112"/>
      <c r="AI376" s="113"/>
      <c r="AK376" s="111"/>
      <c r="AL376" s="111"/>
      <c r="AM376" s="111"/>
      <c r="AN376" s="112"/>
      <c r="AO376" s="113"/>
      <c r="AQ376" s="17"/>
      <c r="AR376" s="17"/>
      <c r="AS376" s="17"/>
      <c r="AT376" s="18">
        <f t="shared" ref="AT376:AT378" si="425">W376</f>
        <v>0</v>
      </c>
      <c r="AU376" s="19">
        <f>IF(AT$379=0,0,AT376/AT$379)</f>
        <v>0</v>
      </c>
      <c r="AW376" s="17"/>
      <c r="AX376" s="17"/>
      <c r="AY376" s="17"/>
      <c r="AZ376" s="18">
        <f t="shared" ref="AZ376:AZ378" si="426">X376</f>
        <v>0</v>
      </c>
      <c r="BA376" s="19">
        <f>IF(AZ$379=0,0,AZ376/AZ$379)</f>
        <v>0</v>
      </c>
    </row>
    <row r="377" spans="1:53" ht="17.100000000000001" customHeight="1" x14ac:dyDescent="0.25">
      <c r="A377" s="40"/>
      <c r="B377" s="40"/>
      <c r="C377" s="74" t="s">
        <v>188</v>
      </c>
      <c r="D377" s="85" t="s">
        <v>189</v>
      </c>
      <c r="E377" s="75"/>
      <c r="F377" s="75"/>
      <c r="G377" s="75"/>
      <c r="H377" s="540"/>
      <c r="I377" s="229"/>
      <c r="J377" s="111"/>
      <c r="K377" s="111"/>
      <c r="L377" s="111"/>
      <c r="M377" s="111"/>
      <c r="N377" s="61"/>
      <c r="O377" s="61">
        <v>6</v>
      </c>
      <c r="P377" s="17">
        <f t="shared" ref="P377:P378" si="427">SUM(N377:O377)</f>
        <v>6</v>
      </c>
      <c r="Q377" s="61"/>
      <c r="R377" s="61"/>
      <c r="S377" s="17">
        <f t="shared" ref="S377:S378" si="428">SUM(Q377:R377)</f>
        <v>0</v>
      </c>
      <c r="T377" s="61"/>
      <c r="U377" s="61"/>
      <c r="V377" s="359">
        <f t="shared" ref="V377:V378" si="429">SUM(T377:U377)</f>
        <v>0</v>
      </c>
      <c r="W377" s="391">
        <f t="shared" si="423"/>
        <v>0</v>
      </c>
      <c r="X377" s="17">
        <f t="shared" si="424"/>
        <v>6</v>
      </c>
      <c r="Y377" s="18">
        <f>SUM(W377:X377)</f>
        <v>6</v>
      </c>
      <c r="Z377" s="19">
        <f t="shared" ref="Z377:Z379" si="430">IF(Y$379=0,0,Y377/Y$379)</f>
        <v>0.375</v>
      </c>
      <c r="AA377" s="19"/>
      <c r="AB377" s="19"/>
      <c r="AC377" s="17"/>
      <c r="AE377" s="111"/>
      <c r="AF377" s="111"/>
      <c r="AG377" s="111"/>
      <c r="AH377" s="112"/>
      <c r="AI377" s="113"/>
      <c r="AK377" s="111"/>
      <c r="AL377" s="111"/>
      <c r="AM377" s="111"/>
      <c r="AN377" s="112"/>
      <c r="AO377" s="113"/>
      <c r="AQ377" s="17"/>
      <c r="AR377" s="17"/>
      <c r="AS377" s="17"/>
      <c r="AT377" s="18">
        <f t="shared" si="425"/>
        <v>0</v>
      </c>
      <c r="AU377" s="19">
        <f t="shared" ref="AU377:AU379" si="431">IF(AT$379=0,0,AT377/AT$379)</f>
        <v>0</v>
      </c>
      <c r="AW377" s="17"/>
      <c r="AX377" s="17"/>
      <c r="AY377" s="17"/>
      <c r="AZ377" s="18">
        <f t="shared" si="426"/>
        <v>6</v>
      </c>
      <c r="BA377" s="19">
        <f t="shared" ref="BA377:BA379" si="432">IF(AZ$379=0,0,AZ377/AZ$379)</f>
        <v>0.4</v>
      </c>
    </row>
    <row r="378" spans="1:53" ht="17.100000000000001" customHeight="1" x14ac:dyDescent="0.25">
      <c r="A378" s="40"/>
      <c r="B378" s="40"/>
      <c r="C378" s="74" t="s">
        <v>190</v>
      </c>
      <c r="D378" s="146" t="s">
        <v>494</v>
      </c>
      <c r="E378" s="75"/>
      <c r="F378" s="75"/>
      <c r="G378" s="75"/>
      <c r="H378" s="540"/>
      <c r="I378" s="229"/>
      <c r="J378" s="111"/>
      <c r="K378" s="111"/>
      <c r="L378" s="111"/>
      <c r="M378" s="111"/>
      <c r="N378" s="60"/>
      <c r="O378" s="60">
        <v>2</v>
      </c>
      <c r="P378" s="17">
        <f t="shared" si="427"/>
        <v>2</v>
      </c>
      <c r="Q378" s="60">
        <v>1</v>
      </c>
      <c r="R378" s="60">
        <v>7</v>
      </c>
      <c r="S378" s="17">
        <f t="shared" si="428"/>
        <v>8</v>
      </c>
      <c r="T378" s="60"/>
      <c r="U378" s="60"/>
      <c r="V378" s="359">
        <f t="shared" si="429"/>
        <v>0</v>
      </c>
      <c r="W378" s="391">
        <f t="shared" si="423"/>
        <v>1</v>
      </c>
      <c r="X378" s="17">
        <f t="shared" si="424"/>
        <v>9</v>
      </c>
      <c r="Y378" s="18">
        <f>SUM(W378:X378)</f>
        <v>10</v>
      </c>
      <c r="Z378" s="19">
        <f t="shared" si="430"/>
        <v>0.625</v>
      </c>
      <c r="AA378" s="19"/>
      <c r="AB378" s="19"/>
      <c r="AC378" s="17"/>
      <c r="AE378" s="111"/>
      <c r="AF378" s="111"/>
      <c r="AG378" s="111"/>
      <c r="AH378" s="112"/>
      <c r="AI378" s="113"/>
      <c r="AK378" s="111"/>
      <c r="AL378" s="111"/>
      <c r="AM378" s="111"/>
      <c r="AN378" s="112"/>
      <c r="AO378" s="113"/>
      <c r="AQ378" s="17"/>
      <c r="AR378" s="17"/>
      <c r="AS378" s="17"/>
      <c r="AT378" s="18">
        <f t="shared" si="425"/>
        <v>1</v>
      </c>
      <c r="AU378" s="19">
        <f t="shared" si="431"/>
        <v>1</v>
      </c>
      <c r="AW378" s="17"/>
      <c r="AX378" s="17"/>
      <c r="AY378" s="17"/>
      <c r="AZ378" s="18">
        <f t="shared" si="426"/>
        <v>9</v>
      </c>
      <c r="BA378" s="19">
        <f t="shared" si="432"/>
        <v>0.6</v>
      </c>
    </row>
    <row r="379" spans="1:53" ht="17.100000000000001" customHeight="1" x14ac:dyDescent="0.25">
      <c r="A379" s="40"/>
      <c r="B379" s="40"/>
      <c r="C379" s="77"/>
      <c r="D379" s="134"/>
      <c r="E379" s="134"/>
      <c r="F379" s="134"/>
      <c r="G379" s="134"/>
      <c r="H379" s="540"/>
      <c r="I379" s="229"/>
      <c r="J379" s="64"/>
      <c r="K379" s="64"/>
      <c r="L379" s="81"/>
      <c r="M379" s="81"/>
      <c r="N379" s="81">
        <f>SUM(N376:N378)</f>
        <v>0</v>
      </c>
      <c r="O379" s="81">
        <f t="shared" ref="O379:V379" si="433">SUM(O376:O378)</f>
        <v>8</v>
      </c>
      <c r="P379" s="81">
        <f t="shared" si="433"/>
        <v>8</v>
      </c>
      <c r="Q379" s="81">
        <f t="shared" si="433"/>
        <v>1</v>
      </c>
      <c r="R379" s="81">
        <f t="shared" si="433"/>
        <v>7</v>
      </c>
      <c r="S379" s="81">
        <f t="shared" si="433"/>
        <v>8</v>
      </c>
      <c r="T379" s="81">
        <f t="shared" si="433"/>
        <v>0</v>
      </c>
      <c r="U379" s="81">
        <f t="shared" si="433"/>
        <v>0</v>
      </c>
      <c r="V379" s="81">
        <f t="shared" si="433"/>
        <v>0</v>
      </c>
      <c r="W379" s="381">
        <f>SUM(W376:W378)</f>
        <v>1</v>
      </c>
      <c r="X379" s="82">
        <f t="shared" ref="X379:Y379" si="434">SUM(X376:X378)</f>
        <v>15</v>
      </c>
      <c r="Y379" s="82">
        <f t="shared" si="434"/>
        <v>16</v>
      </c>
      <c r="Z379" s="205">
        <f t="shared" si="430"/>
        <v>1</v>
      </c>
      <c r="AA379" s="205"/>
      <c r="AB379" s="205"/>
      <c r="AC379" s="83"/>
      <c r="AE379" s="80"/>
      <c r="AF379" s="80"/>
      <c r="AG379" s="81"/>
      <c r="AH379" s="82"/>
      <c r="AI379" s="66"/>
      <c r="AK379" s="80"/>
      <c r="AL379" s="80"/>
      <c r="AM379" s="81"/>
      <c r="AN379" s="82"/>
      <c r="AO379" s="66"/>
      <c r="AQ379" s="80"/>
      <c r="AR379" s="80"/>
      <c r="AS379" s="81"/>
      <c r="AT379" s="82">
        <f>SUM(AT376:AT378)</f>
        <v>1</v>
      </c>
      <c r="AU379" s="66">
        <f t="shared" si="431"/>
        <v>1</v>
      </c>
      <c r="AW379" s="80"/>
      <c r="AX379" s="80"/>
      <c r="AY379" s="81"/>
      <c r="AZ379" s="82">
        <f>SUM(AZ376:AZ378)</f>
        <v>15</v>
      </c>
      <c r="BA379" s="66">
        <f t="shared" si="432"/>
        <v>1</v>
      </c>
    </row>
    <row r="380" spans="1:53" s="117" customFormat="1" ht="17.100000000000001" customHeight="1" x14ac:dyDescent="0.25">
      <c r="A380" s="68"/>
      <c r="B380" s="119"/>
      <c r="C380" s="540"/>
      <c r="D380" s="261"/>
      <c r="E380" s="261"/>
      <c r="F380" s="68"/>
      <c r="G380" s="68"/>
      <c r="H380" s="119"/>
      <c r="I380" s="138"/>
      <c r="J380" s="17"/>
      <c r="K380" s="17"/>
      <c r="L380" s="17"/>
      <c r="M380" s="17"/>
      <c r="N380" s="17" t="str">
        <f>IF(N379=N$20,"OK","NOK")</f>
        <v>OK</v>
      </c>
      <c r="O380" s="17" t="str">
        <f>IF(O379=O$20,"OK","NOK")</f>
        <v>OK</v>
      </c>
      <c r="P380" s="17"/>
      <c r="Q380" s="17" t="str">
        <f>IF(Q379=Q$20,"OK","NOK")</f>
        <v>OK</v>
      </c>
      <c r="R380" s="17" t="str">
        <f>IF(R379=R$20,"OK","NOK")</f>
        <v>OK</v>
      </c>
      <c r="S380" s="17"/>
      <c r="T380" s="17" t="str">
        <f>IF(T379=T$20,"OK","NOK")</f>
        <v>OK</v>
      </c>
      <c r="U380" s="17" t="str">
        <f>IF(U379=U$20,"OK","NOK")</f>
        <v>OK</v>
      </c>
      <c r="V380" s="359"/>
      <c r="W380" s="382"/>
      <c r="X380" s="539"/>
      <c r="Y380" s="539"/>
      <c r="Z380" s="201"/>
      <c r="AA380" s="201"/>
      <c r="AB380" s="201"/>
      <c r="AC380" s="84"/>
      <c r="AE380" s="46"/>
      <c r="AF380" s="46"/>
      <c r="AG380" s="17"/>
      <c r="AH380" s="539"/>
      <c r="AI380" s="91"/>
      <c r="AK380" s="46"/>
      <c r="AL380" s="46"/>
      <c r="AM380" s="17"/>
      <c r="AN380" s="539"/>
      <c r="AO380" s="91"/>
      <c r="AQ380" s="46"/>
      <c r="AR380" s="46"/>
      <c r="AS380" s="17"/>
      <c r="AT380" s="539"/>
      <c r="AU380" s="91"/>
      <c r="AW380" s="46"/>
      <c r="AX380" s="46"/>
      <c r="AY380" s="17"/>
      <c r="AZ380" s="539"/>
      <c r="BA380" s="91"/>
    </row>
    <row r="381" spans="1:53" ht="17.100000000000001" customHeight="1" x14ac:dyDescent="0.25">
      <c r="A381" s="40"/>
      <c r="B381" s="40"/>
      <c r="C381" s="40"/>
      <c r="D381" s="146" t="s">
        <v>472</v>
      </c>
      <c r="E381" s="75"/>
      <c r="F381" s="75"/>
      <c r="G381" s="75"/>
      <c r="H381" s="74"/>
      <c r="I381" s="229"/>
      <c r="J381" s="174"/>
      <c r="K381" s="174"/>
      <c r="L381" s="111"/>
      <c r="M381" s="111"/>
      <c r="N381" s="111"/>
      <c r="O381" s="111"/>
      <c r="P381" s="111"/>
      <c r="Q381" s="111"/>
      <c r="R381" s="111"/>
      <c r="S381" s="111"/>
      <c r="T381" s="111"/>
      <c r="U381" s="111"/>
      <c r="V381" s="358"/>
      <c r="W381" s="385"/>
      <c r="X381" s="545"/>
      <c r="Y381" s="545"/>
      <c r="Z381" s="172"/>
      <c r="AA381" s="172"/>
      <c r="AB381" s="172"/>
      <c r="AC381" s="113"/>
      <c r="AE381" s="152"/>
      <c r="AF381" s="152"/>
      <c r="AG381" s="111"/>
      <c r="AH381" s="545"/>
      <c r="AI381" s="131"/>
      <c r="AK381" s="152"/>
      <c r="AL381" s="152"/>
      <c r="AM381" s="111"/>
      <c r="AN381" s="545"/>
      <c r="AO381" s="131"/>
      <c r="AQ381" s="152"/>
      <c r="AR381" s="152"/>
      <c r="AS381" s="111"/>
      <c r="AT381" s="545"/>
      <c r="AU381" s="131"/>
      <c r="AW381" s="152"/>
      <c r="AX381" s="152"/>
      <c r="AY381" s="111"/>
      <c r="AZ381" s="545"/>
      <c r="BA381" s="131"/>
    </row>
    <row r="382" spans="1:53" ht="17.100000000000001" customHeight="1" x14ac:dyDescent="0.25">
      <c r="A382" s="40"/>
      <c r="B382" s="40"/>
      <c r="C382" s="40"/>
      <c r="D382" s="74" t="s">
        <v>191</v>
      </c>
      <c r="E382" s="1398" t="s">
        <v>471</v>
      </c>
      <c r="F382" s="1399"/>
      <c r="G382" s="1399"/>
      <c r="H382" s="242"/>
      <c r="I382" s="230"/>
      <c r="J382" s="111"/>
      <c r="K382" s="111"/>
      <c r="L382" s="111"/>
      <c r="M382" s="111"/>
      <c r="N382" s="60"/>
      <c r="O382" s="60"/>
      <c r="P382" s="17">
        <f>SUM(N382:O382)</f>
        <v>0</v>
      </c>
      <c r="Q382" s="60"/>
      <c r="R382" s="60"/>
      <c r="S382" s="17">
        <f>SUM(Q382:R382)</f>
        <v>0</v>
      </c>
      <c r="T382" s="60"/>
      <c r="U382" s="60"/>
      <c r="V382" s="359">
        <f>SUM(T382:U382)</f>
        <v>0</v>
      </c>
      <c r="W382" s="391">
        <f t="shared" ref="W382:W395" si="435">J382+K382+N382+Q382+T382</f>
        <v>0</v>
      </c>
      <c r="X382" s="17">
        <f t="shared" ref="X382:X395" si="436">L382+O382+R382+U382</f>
        <v>0</v>
      </c>
      <c r="Y382" s="18">
        <f t="shared" ref="Y382:Y395" si="437">SUM(W382:X382)</f>
        <v>0</v>
      </c>
      <c r="Z382" s="19">
        <f t="shared" ref="Z382:Z395" si="438">IF(Y$400=0,0,Y382/Y$400)</f>
        <v>0</v>
      </c>
      <c r="AA382" s="19"/>
      <c r="AB382" s="19"/>
      <c r="AC382" s="20"/>
      <c r="AE382" s="111"/>
      <c r="AF382" s="111"/>
      <c r="AG382" s="111"/>
      <c r="AH382" s="112"/>
      <c r="AI382" s="113"/>
      <c r="AK382" s="111"/>
      <c r="AL382" s="111"/>
      <c r="AM382" s="111"/>
      <c r="AN382" s="112"/>
      <c r="AO382" s="113"/>
      <c r="AQ382" s="17"/>
      <c r="AR382" s="17"/>
      <c r="AS382" s="17"/>
      <c r="AT382" s="18">
        <f t="shared" ref="AT382:AT395" si="439">W382</f>
        <v>0</v>
      </c>
      <c r="AU382" s="19">
        <f t="shared" ref="AU382:AU395" si="440">IF(AT$400=0,0,AT382/AT$400)</f>
        <v>0</v>
      </c>
      <c r="AW382" s="17"/>
      <c r="AX382" s="17"/>
      <c r="AY382" s="17"/>
      <c r="AZ382" s="18">
        <f t="shared" ref="AZ382:AZ395" si="441">X382</f>
        <v>0</v>
      </c>
      <c r="BA382" s="19">
        <f t="shared" ref="BA382:BA395" si="442">IF(AZ$400=0,0,AZ382/AZ$400)</f>
        <v>0</v>
      </c>
    </row>
    <row r="383" spans="1:53" ht="17.100000000000001" customHeight="1" x14ac:dyDescent="0.25">
      <c r="A383" s="40"/>
      <c r="B383" s="40"/>
      <c r="C383" s="40"/>
      <c r="D383" s="74" t="s">
        <v>192</v>
      </c>
      <c r="E383" s="75" t="s">
        <v>462</v>
      </c>
      <c r="F383" s="75"/>
      <c r="G383" s="75"/>
      <c r="H383" s="540"/>
      <c r="I383" s="229"/>
      <c r="J383" s="111"/>
      <c r="K383" s="111"/>
      <c r="L383" s="111"/>
      <c r="M383" s="111"/>
      <c r="N383" s="61"/>
      <c r="O383" s="61">
        <v>1</v>
      </c>
      <c r="P383" s="17">
        <f t="shared" ref="P383:P395" si="443">SUM(N383:O383)</f>
        <v>1</v>
      </c>
      <c r="Q383" s="61"/>
      <c r="R383" s="61"/>
      <c r="S383" s="17">
        <f t="shared" ref="S383:S395" si="444">SUM(Q383:R383)</f>
        <v>0</v>
      </c>
      <c r="T383" s="61"/>
      <c r="U383" s="61"/>
      <c r="V383" s="359">
        <f t="shared" ref="V383:V395" si="445">SUM(T383:U383)</f>
        <v>0</v>
      </c>
      <c r="W383" s="391">
        <f t="shared" si="435"/>
        <v>0</v>
      </c>
      <c r="X383" s="17">
        <f t="shared" si="436"/>
        <v>1</v>
      </c>
      <c r="Y383" s="18">
        <f t="shared" si="437"/>
        <v>1</v>
      </c>
      <c r="Z383" s="19">
        <f t="shared" si="438"/>
        <v>0.1</v>
      </c>
      <c r="AA383" s="19"/>
      <c r="AB383" s="19"/>
      <c r="AC383" s="20"/>
      <c r="AE383" s="111"/>
      <c r="AF383" s="111"/>
      <c r="AG383" s="111"/>
      <c r="AH383" s="112"/>
      <c r="AI383" s="113"/>
      <c r="AK383" s="111"/>
      <c r="AL383" s="111"/>
      <c r="AM383" s="111"/>
      <c r="AN383" s="112"/>
      <c r="AO383" s="113"/>
      <c r="AQ383" s="17"/>
      <c r="AR383" s="17"/>
      <c r="AS383" s="17"/>
      <c r="AT383" s="18">
        <f t="shared" si="439"/>
        <v>0</v>
      </c>
      <c r="AU383" s="19">
        <f t="shared" si="440"/>
        <v>0</v>
      </c>
      <c r="AW383" s="17"/>
      <c r="AX383" s="17"/>
      <c r="AY383" s="17"/>
      <c r="AZ383" s="18">
        <f t="shared" si="441"/>
        <v>1</v>
      </c>
      <c r="BA383" s="19">
        <f t="shared" si="442"/>
        <v>0.1111111111111111</v>
      </c>
    </row>
    <row r="384" spans="1:53" ht="17.100000000000001" customHeight="1" x14ac:dyDescent="0.25">
      <c r="A384" s="40"/>
      <c r="B384" s="40"/>
      <c r="C384" s="40"/>
      <c r="D384" s="74" t="s">
        <v>193</v>
      </c>
      <c r="E384" s="1398" t="s">
        <v>463</v>
      </c>
      <c r="F384" s="1399"/>
      <c r="G384" s="1399"/>
      <c r="H384" s="242"/>
      <c r="I384" s="230"/>
      <c r="J384" s="111"/>
      <c r="K384" s="111"/>
      <c r="L384" s="111"/>
      <c r="M384" s="111"/>
      <c r="N384" s="60"/>
      <c r="O384" s="60"/>
      <c r="P384" s="17">
        <f t="shared" si="443"/>
        <v>0</v>
      </c>
      <c r="Q384" s="60"/>
      <c r="R384" s="60"/>
      <c r="S384" s="17">
        <f t="shared" si="444"/>
        <v>0</v>
      </c>
      <c r="T384" s="60"/>
      <c r="U384" s="60"/>
      <c r="V384" s="359">
        <f t="shared" si="445"/>
        <v>0</v>
      </c>
      <c r="W384" s="391">
        <f t="shared" si="435"/>
        <v>0</v>
      </c>
      <c r="X384" s="17">
        <f t="shared" si="436"/>
        <v>0</v>
      </c>
      <c r="Y384" s="18">
        <f t="shared" si="437"/>
        <v>0</v>
      </c>
      <c r="Z384" s="19">
        <f t="shared" si="438"/>
        <v>0</v>
      </c>
      <c r="AA384" s="19"/>
      <c r="AB384" s="19"/>
      <c r="AC384" s="20"/>
      <c r="AE384" s="111"/>
      <c r="AF384" s="111"/>
      <c r="AG384" s="111"/>
      <c r="AH384" s="112"/>
      <c r="AI384" s="113"/>
      <c r="AK384" s="111"/>
      <c r="AL384" s="111"/>
      <c r="AM384" s="111"/>
      <c r="AN384" s="112"/>
      <c r="AO384" s="113"/>
      <c r="AQ384" s="17"/>
      <c r="AR384" s="17"/>
      <c r="AS384" s="17"/>
      <c r="AT384" s="18">
        <f t="shared" si="439"/>
        <v>0</v>
      </c>
      <c r="AU384" s="19">
        <f t="shared" si="440"/>
        <v>0</v>
      </c>
      <c r="AW384" s="17"/>
      <c r="AX384" s="17"/>
      <c r="AY384" s="17"/>
      <c r="AZ384" s="18">
        <f t="shared" si="441"/>
        <v>0</v>
      </c>
      <c r="BA384" s="19">
        <f t="shared" si="442"/>
        <v>0</v>
      </c>
    </row>
    <row r="385" spans="1:53" ht="17.100000000000001" customHeight="1" x14ac:dyDescent="0.25">
      <c r="A385" s="40"/>
      <c r="B385" s="40"/>
      <c r="C385" s="40"/>
      <c r="D385" s="74" t="s">
        <v>194</v>
      </c>
      <c r="E385" s="75" t="s">
        <v>464</v>
      </c>
      <c r="F385" s="75"/>
      <c r="G385" s="75"/>
      <c r="H385" s="540"/>
      <c r="I385" s="229"/>
      <c r="J385" s="111"/>
      <c r="K385" s="111"/>
      <c r="L385" s="111"/>
      <c r="M385" s="111"/>
      <c r="N385" s="61"/>
      <c r="O385" s="61"/>
      <c r="P385" s="17">
        <f t="shared" si="443"/>
        <v>0</v>
      </c>
      <c r="Q385" s="61"/>
      <c r="R385" s="61"/>
      <c r="S385" s="17">
        <f t="shared" si="444"/>
        <v>0</v>
      </c>
      <c r="T385" s="61"/>
      <c r="U385" s="61"/>
      <c r="V385" s="359">
        <f t="shared" si="445"/>
        <v>0</v>
      </c>
      <c r="W385" s="391">
        <f t="shared" si="435"/>
        <v>0</v>
      </c>
      <c r="X385" s="17">
        <f t="shared" si="436"/>
        <v>0</v>
      </c>
      <c r="Y385" s="18">
        <f t="shared" si="437"/>
        <v>0</v>
      </c>
      <c r="Z385" s="19">
        <f t="shared" si="438"/>
        <v>0</v>
      </c>
      <c r="AA385" s="19"/>
      <c r="AB385" s="19"/>
      <c r="AC385" s="20"/>
      <c r="AE385" s="111"/>
      <c r="AF385" s="111"/>
      <c r="AG385" s="111"/>
      <c r="AH385" s="112"/>
      <c r="AI385" s="113"/>
      <c r="AK385" s="111"/>
      <c r="AL385" s="111"/>
      <c r="AM385" s="111"/>
      <c r="AN385" s="112"/>
      <c r="AO385" s="113"/>
      <c r="AQ385" s="17"/>
      <c r="AR385" s="17"/>
      <c r="AS385" s="17"/>
      <c r="AT385" s="18">
        <f t="shared" si="439"/>
        <v>0</v>
      </c>
      <c r="AU385" s="19">
        <f t="shared" si="440"/>
        <v>0</v>
      </c>
      <c r="AW385" s="17"/>
      <c r="AX385" s="17"/>
      <c r="AY385" s="17"/>
      <c r="AZ385" s="18">
        <f t="shared" si="441"/>
        <v>0</v>
      </c>
      <c r="BA385" s="19">
        <f t="shared" si="442"/>
        <v>0</v>
      </c>
    </row>
    <row r="386" spans="1:53" ht="17.100000000000001" customHeight="1" x14ac:dyDescent="0.25">
      <c r="A386" s="40"/>
      <c r="B386" s="40"/>
      <c r="C386" s="40"/>
      <c r="D386" s="74" t="s">
        <v>195</v>
      </c>
      <c r="E386" s="75" t="s">
        <v>465</v>
      </c>
      <c r="F386" s="75"/>
      <c r="G386" s="75"/>
      <c r="H386" s="540"/>
      <c r="I386" s="229"/>
      <c r="J386" s="111"/>
      <c r="K386" s="111"/>
      <c r="L386" s="111"/>
      <c r="M386" s="111"/>
      <c r="N386" s="60"/>
      <c r="O386" s="60"/>
      <c r="P386" s="17">
        <f t="shared" si="443"/>
        <v>0</v>
      </c>
      <c r="Q386" s="60"/>
      <c r="R386" s="60"/>
      <c r="S386" s="17">
        <f t="shared" si="444"/>
        <v>0</v>
      </c>
      <c r="T386" s="60"/>
      <c r="U386" s="60"/>
      <c r="V386" s="359">
        <f t="shared" si="445"/>
        <v>0</v>
      </c>
      <c r="W386" s="391">
        <f t="shared" si="435"/>
        <v>0</v>
      </c>
      <c r="X386" s="17">
        <f t="shared" si="436"/>
        <v>0</v>
      </c>
      <c r="Y386" s="18">
        <f t="shared" si="437"/>
        <v>0</v>
      </c>
      <c r="Z386" s="19">
        <f t="shared" si="438"/>
        <v>0</v>
      </c>
      <c r="AA386" s="19"/>
      <c r="AB386" s="19"/>
      <c r="AC386" s="20"/>
      <c r="AE386" s="111"/>
      <c r="AF386" s="111"/>
      <c r="AG386" s="111"/>
      <c r="AH386" s="112"/>
      <c r="AI386" s="113"/>
      <c r="AK386" s="111"/>
      <c r="AL386" s="111"/>
      <c r="AM386" s="111"/>
      <c r="AN386" s="112"/>
      <c r="AO386" s="113"/>
      <c r="AQ386" s="17"/>
      <c r="AR386" s="17"/>
      <c r="AS386" s="17"/>
      <c r="AT386" s="18">
        <f t="shared" si="439"/>
        <v>0</v>
      </c>
      <c r="AU386" s="19">
        <f t="shared" si="440"/>
        <v>0</v>
      </c>
      <c r="AW386" s="17"/>
      <c r="AX386" s="17"/>
      <c r="AY386" s="17"/>
      <c r="AZ386" s="18">
        <f t="shared" si="441"/>
        <v>0</v>
      </c>
      <c r="BA386" s="19">
        <f t="shared" si="442"/>
        <v>0</v>
      </c>
    </row>
    <row r="387" spans="1:53" ht="17.100000000000001" customHeight="1" x14ac:dyDescent="0.25">
      <c r="A387" s="40"/>
      <c r="B387" s="40"/>
      <c r="C387" s="40"/>
      <c r="D387" s="74" t="s">
        <v>196</v>
      </c>
      <c r="E387" s="75" t="s">
        <v>466</v>
      </c>
      <c r="F387" s="75"/>
      <c r="G387" s="75"/>
      <c r="H387" s="540"/>
      <c r="I387" s="229"/>
      <c r="J387" s="111"/>
      <c r="K387" s="111"/>
      <c r="L387" s="111"/>
      <c r="M387" s="111"/>
      <c r="N387" s="61"/>
      <c r="O387" s="61"/>
      <c r="P387" s="17">
        <f t="shared" si="443"/>
        <v>0</v>
      </c>
      <c r="Q387" s="61"/>
      <c r="R387" s="61"/>
      <c r="S387" s="17">
        <f t="shared" si="444"/>
        <v>0</v>
      </c>
      <c r="T387" s="61"/>
      <c r="U387" s="61"/>
      <c r="V387" s="359">
        <f t="shared" si="445"/>
        <v>0</v>
      </c>
      <c r="W387" s="391">
        <f t="shared" si="435"/>
        <v>0</v>
      </c>
      <c r="X387" s="17">
        <f t="shared" si="436"/>
        <v>0</v>
      </c>
      <c r="Y387" s="18">
        <f t="shared" si="437"/>
        <v>0</v>
      </c>
      <c r="Z387" s="19">
        <f t="shared" si="438"/>
        <v>0</v>
      </c>
      <c r="AA387" s="19"/>
      <c r="AB387" s="19"/>
      <c r="AC387" s="20"/>
      <c r="AE387" s="111"/>
      <c r="AF387" s="111"/>
      <c r="AG387" s="111"/>
      <c r="AH387" s="112"/>
      <c r="AI387" s="113"/>
      <c r="AK387" s="111"/>
      <c r="AL387" s="111"/>
      <c r="AM387" s="111"/>
      <c r="AN387" s="112"/>
      <c r="AO387" s="113"/>
      <c r="AQ387" s="17"/>
      <c r="AR387" s="17"/>
      <c r="AS387" s="17"/>
      <c r="AT387" s="18">
        <f t="shared" si="439"/>
        <v>0</v>
      </c>
      <c r="AU387" s="19">
        <f t="shared" si="440"/>
        <v>0</v>
      </c>
      <c r="AW387" s="17"/>
      <c r="AX387" s="17"/>
      <c r="AY387" s="17"/>
      <c r="AZ387" s="18">
        <f t="shared" si="441"/>
        <v>0</v>
      </c>
      <c r="BA387" s="19">
        <f t="shared" si="442"/>
        <v>0</v>
      </c>
    </row>
    <row r="388" spans="1:53" ht="17.100000000000001" customHeight="1" x14ac:dyDescent="0.25">
      <c r="A388" s="40"/>
      <c r="B388" s="40"/>
      <c r="C388" s="40"/>
      <c r="D388" s="74" t="s">
        <v>197</v>
      </c>
      <c r="E388" s="75" t="s">
        <v>467</v>
      </c>
      <c r="F388" s="75"/>
      <c r="G388" s="75"/>
      <c r="H388" s="540"/>
      <c r="I388" s="229"/>
      <c r="J388" s="111"/>
      <c r="K388" s="111"/>
      <c r="L388" s="111"/>
      <c r="M388" s="111"/>
      <c r="N388" s="60"/>
      <c r="O388" s="60"/>
      <c r="P388" s="17">
        <f t="shared" si="443"/>
        <v>0</v>
      </c>
      <c r="Q388" s="60"/>
      <c r="R388" s="60">
        <v>1</v>
      </c>
      <c r="S388" s="17">
        <f t="shared" si="444"/>
        <v>1</v>
      </c>
      <c r="T388" s="60"/>
      <c r="U388" s="60"/>
      <c r="V388" s="359">
        <f t="shared" si="445"/>
        <v>0</v>
      </c>
      <c r="W388" s="391">
        <f t="shared" si="435"/>
        <v>0</v>
      </c>
      <c r="X388" s="17">
        <f t="shared" si="436"/>
        <v>1</v>
      </c>
      <c r="Y388" s="18">
        <f t="shared" si="437"/>
        <v>1</v>
      </c>
      <c r="Z388" s="19">
        <f t="shared" si="438"/>
        <v>0.1</v>
      </c>
      <c r="AA388" s="19"/>
      <c r="AB388" s="19"/>
      <c r="AC388" s="20"/>
      <c r="AE388" s="111"/>
      <c r="AF388" s="111"/>
      <c r="AG388" s="111"/>
      <c r="AH388" s="112"/>
      <c r="AI388" s="113"/>
      <c r="AK388" s="111"/>
      <c r="AL388" s="111"/>
      <c r="AM388" s="111"/>
      <c r="AN388" s="112"/>
      <c r="AO388" s="113"/>
      <c r="AQ388" s="17"/>
      <c r="AR388" s="17"/>
      <c r="AS388" s="17"/>
      <c r="AT388" s="18">
        <f t="shared" si="439"/>
        <v>0</v>
      </c>
      <c r="AU388" s="19">
        <f t="shared" si="440"/>
        <v>0</v>
      </c>
      <c r="AW388" s="17"/>
      <c r="AX388" s="17"/>
      <c r="AY388" s="17"/>
      <c r="AZ388" s="18">
        <f t="shared" si="441"/>
        <v>1</v>
      </c>
      <c r="BA388" s="19">
        <f t="shared" si="442"/>
        <v>0.1111111111111111</v>
      </c>
    </row>
    <row r="389" spans="1:53" ht="17.100000000000001" customHeight="1" x14ac:dyDescent="0.25">
      <c r="A389" s="40"/>
      <c r="B389" s="40"/>
      <c r="C389" s="40"/>
      <c r="D389" s="74" t="s">
        <v>199</v>
      </c>
      <c r="E389" s="75" t="s">
        <v>749</v>
      </c>
      <c r="F389" s="75"/>
      <c r="G389" s="75"/>
      <c r="H389" s="540"/>
      <c r="I389" s="229"/>
      <c r="J389" s="111"/>
      <c r="K389" s="111"/>
      <c r="L389" s="111"/>
      <c r="M389" s="111"/>
      <c r="N389" s="61"/>
      <c r="O389" s="61"/>
      <c r="P389" s="17">
        <f t="shared" si="443"/>
        <v>0</v>
      </c>
      <c r="Q389" s="61"/>
      <c r="R389" s="61"/>
      <c r="S389" s="17">
        <f t="shared" si="444"/>
        <v>0</v>
      </c>
      <c r="T389" s="61"/>
      <c r="U389" s="61"/>
      <c r="V389" s="359">
        <f t="shared" si="445"/>
        <v>0</v>
      </c>
      <c r="W389" s="391">
        <f t="shared" si="435"/>
        <v>0</v>
      </c>
      <c r="X389" s="17">
        <f t="shared" si="436"/>
        <v>0</v>
      </c>
      <c r="Y389" s="18">
        <f t="shared" si="437"/>
        <v>0</v>
      </c>
      <c r="Z389" s="19">
        <f t="shared" si="438"/>
        <v>0</v>
      </c>
      <c r="AA389" s="19"/>
      <c r="AB389" s="19"/>
      <c r="AC389" s="20"/>
      <c r="AE389" s="111"/>
      <c r="AF389" s="111"/>
      <c r="AG389" s="111"/>
      <c r="AH389" s="112"/>
      <c r="AI389" s="113"/>
      <c r="AK389" s="111"/>
      <c r="AL389" s="111"/>
      <c r="AM389" s="111"/>
      <c r="AN389" s="112"/>
      <c r="AO389" s="113"/>
      <c r="AQ389" s="17"/>
      <c r="AR389" s="17"/>
      <c r="AS389" s="17"/>
      <c r="AT389" s="18">
        <f t="shared" si="439"/>
        <v>0</v>
      </c>
      <c r="AU389" s="19">
        <f t="shared" si="440"/>
        <v>0</v>
      </c>
      <c r="AW389" s="17"/>
      <c r="AX389" s="17"/>
      <c r="AY389" s="17"/>
      <c r="AZ389" s="18">
        <f t="shared" si="441"/>
        <v>0</v>
      </c>
      <c r="BA389" s="19">
        <f t="shared" si="442"/>
        <v>0</v>
      </c>
    </row>
    <row r="390" spans="1:53" ht="17.100000000000001" customHeight="1" x14ac:dyDescent="0.25">
      <c r="A390" s="40"/>
      <c r="B390" s="40"/>
      <c r="C390" s="40"/>
      <c r="D390" s="74" t="s">
        <v>200</v>
      </c>
      <c r="E390" s="75" t="s">
        <v>468</v>
      </c>
      <c r="F390" s="75"/>
      <c r="G390" s="75"/>
      <c r="H390" s="540"/>
      <c r="I390" s="229"/>
      <c r="J390" s="111"/>
      <c r="K390" s="111"/>
      <c r="L390" s="111"/>
      <c r="M390" s="111"/>
      <c r="N390" s="60"/>
      <c r="O390" s="60"/>
      <c r="P390" s="17">
        <f t="shared" si="443"/>
        <v>0</v>
      </c>
      <c r="Q390" s="60"/>
      <c r="R390" s="60"/>
      <c r="S390" s="17">
        <f t="shared" si="444"/>
        <v>0</v>
      </c>
      <c r="T390" s="60"/>
      <c r="U390" s="60"/>
      <c r="V390" s="359">
        <f t="shared" si="445"/>
        <v>0</v>
      </c>
      <c r="W390" s="391">
        <f t="shared" si="435"/>
        <v>0</v>
      </c>
      <c r="X390" s="17">
        <f t="shared" si="436"/>
        <v>0</v>
      </c>
      <c r="Y390" s="18">
        <f t="shared" si="437"/>
        <v>0</v>
      </c>
      <c r="Z390" s="19">
        <f t="shared" si="438"/>
        <v>0</v>
      </c>
      <c r="AA390" s="19"/>
      <c r="AB390" s="19"/>
      <c r="AC390" s="20"/>
      <c r="AE390" s="111"/>
      <c r="AF390" s="111"/>
      <c r="AG390" s="111"/>
      <c r="AH390" s="112"/>
      <c r="AI390" s="113"/>
      <c r="AK390" s="111"/>
      <c r="AL390" s="111"/>
      <c r="AM390" s="111"/>
      <c r="AN390" s="112"/>
      <c r="AO390" s="113"/>
      <c r="AQ390" s="17"/>
      <c r="AR390" s="17"/>
      <c r="AS390" s="17"/>
      <c r="AT390" s="18">
        <f t="shared" si="439"/>
        <v>0</v>
      </c>
      <c r="AU390" s="19">
        <f t="shared" si="440"/>
        <v>0</v>
      </c>
      <c r="AW390" s="17"/>
      <c r="AX390" s="17"/>
      <c r="AY390" s="17"/>
      <c r="AZ390" s="18">
        <f t="shared" si="441"/>
        <v>0</v>
      </c>
      <c r="BA390" s="19">
        <f t="shared" si="442"/>
        <v>0</v>
      </c>
    </row>
    <row r="391" spans="1:53" ht="17.100000000000001" customHeight="1" x14ac:dyDescent="0.25">
      <c r="A391" s="40"/>
      <c r="B391" s="40"/>
      <c r="C391" s="40"/>
      <c r="D391" s="74" t="s">
        <v>201</v>
      </c>
      <c r="E391" s="75" t="s">
        <v>469</v>
      </c>
      <c r="F391" s="75"/>
      <c r="G391" s="75"/>
      <c r="H391" s="540"/>
      <c r="I391" s="229"/>
      <c r="J391" s="111"/>
      <c r="K391" s="111"/>
      <c r="L391" s="111"/>
      <c r="M391" s="111"/>
      <c r="N391" s="61"/>
      <c r="O391" s="61"/>
      <c r="P391" s="17">
        <f t="shared" si="443"/>
        <v>0</v>
      </c>
      <c r="Q391" s="61"/>
      <c r="R391" s="61"/>
      <c r="S391" s="17">
        <f t="shared" si="444"/>
        <v>0</v>
      </c>
      <c r="T391" s="61"/>
      <c r="U391" s="61"/>
      <c r="V391" s="359">
        <f t="shared" si="445"/>
        <v>0</v>
      </c>
      <c r="W391" s="391">
        <f t="shared" si="435"/>
        <v>0</v>
      </c>
      <c r="X391" s="17">
        <f t="shared" si="436"/>
        <v>0</v>
      </c>
      <c r="Y391" s="18">
        <f t="shared" si="437"/>
        <v>0</v>
      </c>
      <c r="Z391" s="19">
        <f t="shared" si="438"/>
        <v>0</v>
      </c>
      <c r="AA391" s="19"/>
      <c r="AB391" s="19"/>
      <c r="AC391" s="20"/>
      <c r="AE391" s="111"/>
      <c r="AF391" s="111"/>
      <c r="AG391" s="111"/>
      <c r="AH391" s="112"/>
      <c r="AI391" s="113"/>
      <c r="AK391" s="111"/>
      <c r="AL391" s="111"/>
      <c r="AM391" s="111"/>
      <c r="AN391" s="112"/>
      <c r="AO391" s="113"/>
      <c r="AQ391" s="17"/>
      <c r="AR391" s="17"/>
      <c r="AS391" s="17"/>
      <c r="AT391" s="18">
        <f t="shared" si="439"/>
        <v>0</v>
      </c>
      <c r="AU391" s="19">
        <f t="shared" si="440"/>
        <v>0</v>
      </c>
      <c r="AW391" s="17"/>
      <c r="AX391" s="17"/>
      <c r="AY391" s="17"/>
      <c r="AZ391" s="18">
        <f t="shared" si="441"/>
        <v>0</v>
      </c>
      <c r="BA391" s="19">
        <f t="shared" si="442"/>
        <v>0</v>
      </c>
    </row>
    <row r="392" spans="1:53" ht="17.100000000000001" customHeight="1" x14ac:dyDescent="0.25">
      <c r="A392" s="40"/>
      <c r="B392" s="40"/>
      <c r="C392" s="40"/>
      <c r="D392" s="74" t="s">
        <v>202</v>
      </c>
      <c r="E392" s="75" t="s">
        <v>750</v>
      </c>
      <c r="F392" s="75"/>
      <c r="G392" s="75"/>
      <c r="H392" s="540"/>
      <c r="I392" s="229"/>
      <c r="J392" s="111"/>
      <c r="K392" s="111"/>
      <c r="L392" s="111"/>
      <c r="M392" s="111"/>
      <c r="N392" s="60"/>
      <c r="O392" s="60"/>
      <c r="P392" s="17">
        <f t="shared" si="443"/>
        <v>0</v>
      </c>
      <c r="Q392" s="60"/>
      <c r="R392" s="60"/>
      <c r="S392" s="17">
        <f t="shared" si="444"/>
        <v>0</v>
      </c>
      <c r="T392" s="60"/>
      <c r="U392" s="60"/>
      <c r="V392" s="359">
        <f t="shared" si="445"/>
        <v>0</v>
      </c>
      <c r="W392" s="391">
        <f t="shared" si="435"/>
        <v>0</v>
      </c>
      <c r="X392" s="17">
        <f t="shared" si="436"/>
        <v>0</v>
      </c>
      <c r="Y392" s="18">
        <f t="shared" si="437"/>
        <v>0</v>
      </c>
      <c r="Z392" s="19">
        <f t="shared" si="438"/>
        <v>0</v>
      </c>
      <c r="AA392" s="19"/>
      <c r="AB392" s="19"/>
      <c r="AC392" s="20"/>
      <c r="AE392" s="111"/>
      <c r="AF392" s="111"/>
      <c r="AG392" s="111"/>
      <c r="AH392" s="112"/>
      <c r="AI392" s="113"/>
      <c r="AK392" s="111"/>
      <c r="AL392" s="111"/>
      <c r="AM392" s="111"/>
      <c r="AN392" s="112"/>
      <c r="AO392" s="113"/>
      <c r="AQ392" s="17"/>
      <c r="AR392" s="17"/>
      <c r="AS392" s="17"/>
      <c r="AT392" s="18">
        <f t="shared" si="439"/>
        <v>0</v>
      </c>
      <c r="AU392" s="19">
        <f t="shared" si="440"/>
        <v>0</v>
      </c>
      <c r="AW392" s="17"/>
      <c r="AX392" s="17"/>
      <c r="AY392" s="17"/>
      <c r="AZ392" s="18">
        <f t="shared" si="441"/>
        <v>0</v>
      </c>
      <c r="BA392" s="19">
        <f t="shared" si="442"/>
        <v>0</v>
      </c>
    </row>
    <row r="393" spans="1:53" ht="17.100000000000001" customHeight="1" x14ac:dyDescent="0.25">
      <c r="A393" s="40"/>
      <c r="B393" s="40"/>
      <c r="C393" s="40"/>
      <c r="D393" s="74" t="s">
        <v>203</v>
      </c>
      <c r="E393" s="75" t="s">
        <v>198</v>
      </c>
      <c r="F393" s="75"/>
      <c r="G393" s="75"/>
      <c r="H393" s="540"/>
      <c r="I393" s="229"/>
      <c r="J393" s="111"/>
      <c r="K393" s="111"/>
      <c r="L393" s="111"/>
      <c r="M393" s="111"/>
      <c r="N393" s="61"/>
      <c r="O393" s="61">
        <v>1</v>
      </c>
      <c r="P393" s="17">
        <f t="shared" si="443"/>
        <v>1</v>
      </c>
      <c r="Q393" s="61">
        <v>1</v>
      </c>
      <c r="R393" s="61">
        <v>6</v>
      </c>
      <c r="S393" s="17">
        <f t="shared" si="444"/>
        <v>7</v>
      </c>
      <c r="T393" s="61"/>
      <c r="U393" s="61"/>
      <c r="V393" s="359">
        <f t="shared" si="445"/>
        <v>0</v>
      </c>
      <c r="W393" s="391">
        <f t="shared" si="435"/>
        <v>1</v>
      </c>
      <c r="X393" s="17">
        <f t="shared" si="436"/>
        <v>7</v>
      </c>
      <c r="Y393" s="18">
        <f t="shared" si="437"/>
        <v>8</v>
      </c>
      <c r="Z393" s="19">
        <f t="shared" si="438"/>
        <v>0.8</v>
      </c>
      <c r="AA393" s="19"/>
      <c r="AB393" s="19"/>
      <c r="AC393" s="20"/>
      <c r="AE393" s="111"/>
      <c r="AF393" s="111"/>
      <c r="AG393" s="111"/>
      <c r="AH393" s="112"/>
      <c r="AI393" s="113"/>
      <c r="AK393" s="111"/>
      <c r="AL393" s="111"/>
      <c r="AM393" s="111"/>
      <c r="AN393" s="112"/>
      <c r="AO393" s="113"/>
      <c r="AQ393" s="17"/>
      <c r="AR393" s="17"/>
      <c r="AS393" s="17"/>
      <c r="AT393" s="18">
        <f t="shared" si="439"/>
        <v>1</v>
      </c>
      <c r="AU393" s="19">
        <f t="shared" si="440"/>
        <v>1</v>
      </c>
      <c r="AW393" s="17"/>
      <c r="AX393" s="17"/>
      <c r="AY393" s="17"/>
      <c r="AZ393" s="18">
        <f t="shared" si="441"/>
        <v>7</v>
      </c>
      <c r="BA393" s="19">
        <f t="shared" si="442"/>
        <v>0.77777777777777779</v>
      </c>
    </row>
    <row r="394" spans="1:53" ht="17.100000000000001" customHeight="1" x14ac:dyDescent="0.25">
      <c r="A394" s="40"/>
      <c r="B394" s="40"/>
      <c r="C394" s="40"/>
      <c r="D394" s="74" t="s">
        <v>204</v>
      </c>
      <c r="E394" s="75" t="s">
        <v>470</v>
      </c>
      <c r="F394" s="75"/>
      <c r="G394" s="75"/>
      <c r="H394" s="540"/>
      <c r="I394" s="229"/>
      <c r="J394" s="111"/>
      <c r="K394" s="111"/>
      <c r="L394" s="111"/>
      <c r="M394" s="111"/>
      <c r="N394" s="60"/>
      <c r="O394" s="60"/>
      <c r="P394" s="17">
        <f t="shared" si="443"/>
        <v>0</v>
      </c>
      <c r="Q394" s="61"/>
      <c r="R394" s="61"/>
      <c r="S394" s="17">
        <f t="shared" si="444"/>
        <v>0</v>
      </c>
      <c r="T394" s="61"/>
      <c r="U394" s="61"/>
      <c r="V394" s="359">
        <f t="shared" si="445"/>
        <v>0</v>
      </c>
      <c r="W394" s="391">
        <f t="shared" si="435"/>
        <v>0</v>
      </c>
      <c r="X394" s="17">
        <f t="shared" si="436"/>
        <v>0</v>
      </c>
      <c r="Y394" s="18">
        <f t="shared" si="437"/>
        <v>0</v>
      </c>
      <c r="Z394" s="19">
        <f t="shared" si="438"/>
        <v>0</v>
      </c>
      <c r="AA394" s="19"/>
      <c r="AB394" s="19"/>
      <c r="AC394" s="20"/>
      <c r="AE394" s="111"/>
      <c r="AF394" s="111"/>
      <c r="AG394" s="111"/>
      <c r="AH394" s="112"/>
      <c r="AI394" s="113"/>
      <c r="AK394" s="111"/>
      <c r="AL394" s="111"/>
      <c r="AM394" s="111"/>
      <c r="AN394" s="112"/>
      <c r="AO394" s="113"/>
      <c r="AQ394" s="17"/>
      <c r="AR394" s="17"/>
      <c r="AS394" s="17"/>
      <c r="AT394" s="18">
        <f t="shared" si="439"/>
        <v>0</v>
      </c>
      <c r="AU394" s="19">
        <f t="shared" si="440"/>
        <v>0</v>
      </c>
      <c r="AW394" s="17"/>
      <c r="AX394" s="17"/>
      <c r="AY394" s="17"/>
      <c r="AZ394" s="18">
        <f t="shared" si="441"/>
        <v>0</v>
      </c>
      <c r="BA394" s="19">
        <f t="shared" si="442"/>
        <v>0</v>
      </c>
    </row>
    <row r="395" spans="1:53" ht="17.100000000000001" customHeight="1" x14ac:dyDescent="0.25">
      <c r="A395" s="40"/>
      <c r="B395" s="40"/>
      <c r="C395" s="40"/>
      <c r="D395" s="74" t="s">
        <v>748</v>
      </c>
      <c r="E395" s="75" t="s">
        <v>205</v>
      </c>
      <c r="F395" s="75"/>
      <c r="G395" s="75"/>
      <c r="H395" s="540"/>
      <c r="I395" s="229"/>
      <c r="J395" s="111"/>
      <c r="K395" s="111"/>
      <c r="L395" s="111"/>
      <c r="M395" s="111"/>
      <c r="N395" s="111">
        <f>SUM(N396:N399)</f>
        <v>0</v>
      </c>
      <c r="O395" s="111">
        <f>SUM(O396:O399)</f>
        <v>0</v>
      </c>
      <c r="P395" s="111">
        <f t="shared" si="443"/>
        <v>0</v>
      </c>
      <c r="Q395" s="111">
        <f>SUM(Q396:Q399)</f>
        <v>0</v>
      </c>
      <c r="R395" s="111">
        <f>SUM(R396:R399)</f>
        <v>0</v>
      </c>
      <c r="S395" s="111">
        <f t="shared" si="444"/>
        <v>0</v>
      </c>
      <c r="T395" s="111">
        <f>SUM(T396:T399)</f>
        <v>0</v>
      </c>
      <c r="U395" s="111">
        <f>SUM(U396:U399)</f>
        <v>0</v>
      </c>
      <c r="V395" s="358">
        <f t="shared" si="445"/>
        <v>0</v>
      </c>
      <c r="W395" s="380">
        <f t="shared" si="435"/>
        <v>0</v>
      </c>
      <c r="X395" s="111">
        <f t="shared" si="436"/>
        <v>0</v>
      </c>
      <c r="Y395" s="545">
        <f t="shared" si="437"/>
        <v>0</v>
      </c>
      <c r="Z395" s="131">
        <f t="shared" si="438"/>
        <v>0</v>
      </c>
      <c r="AA395" s="131"/>
      <c r="AB395" s="131"/>
      <c r="AC395" s="113"/>
      <c r="AE395" s="111"/>
      <c r="AF395" s="111"/>
      <c r="AG395" s="111"/>
      <c r="AH395" s="545"/>
      <c r="AI395" s="131"/>
      <c r="AK395" s="111"/>
      <c r="AL395" s="111"/>
      <c r="AM395" s="111"/>
      <c r="AN395" s="545"/>
      <c r="AO395" s="131"/>
      <c r="AQ395" s="111"/>
      <c r="AR395" s="111"/>
      <c r="AS395" s="111"/>
      <c r="AT395" s="545">
        <f t="shared" si="439"/>
        <v>0</v>
      </c>
      <c r="AU395" s="131">
        <f t="shared" si="440"/>
        <v>0</v>
      </c>
      <c r="AW395" s="111"/>
      <c r="AX395" s="111"/>
      <c r="AY395" s="111"/>
      <c r="AZ395" s="545">
        <f t="shared" si="441"/>
        <v>0</v>
      </c>
      <c r="BA395" s="131">
        <f t="shared" si="442"/>
        <v>0</v>
      </c>
    </row>
    <row r="396" spans="1:53" ht="17.100000000000001" customHeight="1" x14ac:dyDescent="0.25">
      <c r="A396" s="40"/>
      <c r="B396" s="40"/>
      <c r="C396" s="40"/>
      <c r="D396" s="74"/>
      <c r="E396" s="168"/>
      <c r="F396" s="169"/>
      <c r="G396" s="169"/>
      <c r="H396" s="17"/>
      <c r="I396" s="594"/>
      <c r="J396" s="111"/>
      <c r="K396" s="111"/>
      <c r="L396" s="111"/>
      <c r="M396" s="111"/>
      <c r="N396" s="60"/>
      <c r="O396" s="60"/>
      <c r="P396" s="17"/>
      <c r="Q396" s="60"/>
      <c r="R396" s="60"/>
      <c r="S396" s="17"/>
      <c r="T396" s="60"/>
      <c r="U396" s="60"/>
      <c r="V396" s="359"/>
      <c r="W396" s="391"/>
      <c r="X396" s="17"/>
      <c r="Y396" s="539"/>
      <c r="Z396" s="17"/>
      <c r="AA396" s="17"/>
      <c r="AB396" s="17"/>
      <c r="AC396" s="17"/>
      <c r="AE396" s="111"/>
      <c r="AF396" s="111"/>
      <c r="AG396" s="111"/>
      <c r="AH396" s="112"/>
      <c r="AI396" s="113"/>
      <c r="AK396" s="111"/>
      <c r="AL396" s="111"/>
      <c r="AM396" s="111"/>
      <c r="AN396" s="112"/>
      <c r="AO396" s="113"/>
      <c r="AQ396" s="17"/>
      <c r="AR396" s="17"/>
      <c r="AS396" s="17"/>
      <c r="AT396" s="18"/>
      <c r="AU396" s="91"/>
      <c r="AW396" s="17"/>
      <c r="AX396" s="17"/>
      <c r="AY396" s="17"/>
      <c r="AZ396" s="18"/>
      <c r="BA396" s="91"/>
    </row>
    <row r="397" spans="1:53" ht="17.100000000000001" customHeight="1" x14ac:dyDescent="0.25">
      <c r="A397" s="40"/>
      <c r="B397" s="40"/>
      <c r="C397" s="40"/>
      <c r="D397" s="74"/>
      <c r="E397" s="170"/>
      <c r="F397" s="171"/>
      <c r="G397" s="171"/>
      <c r="H397" s="17"/>
      <c r="I397" s="594"/>
      <c r="J397" s="111"/>
      <c r="K397" s="111"/>
      <c r="L397" s="111"/>
      <c r="M397" s="111"/>
      <c r="N397" s="61"/>
      <c r="O397" s="61"/>
      <c r="P397" s="17"/>
      <c r="Q397" s="61"/>
      <c r="R397" s="61"/>
      <c r="S397" s="17"/>
      <c r="T397" s="61"/>
      <c r="U397" s="61"/>
      <c r="V397" s="359"/>
      <c r="W397" s="391"/>
      <c r="X397" s="17"/>
      <c r="Y397" s="539"/>
      <c r="Z397" s="17"/>
      <c r="AA397" s="17"/>
      <c r="AB397" s="17"/>
      <c r="AC397" s="17"/>
      <c r="AE397" s="111"/>
      <c r="AF397" s="111"/>
      <c r="AG397" s="111"/>
      <c r="AH397" s="112"/>
      <c r="AI397" s="113"/>
      <c r="AK397" s="111"/>
      <c r="AL397" s="111"/>
      <c r="AM397" s="111"/>
      <c r="AN397" s="112"/>
      <c r="AO397" s="113"/>
      <c r="AQ397" s="17"/>
      <c r="AR397" s="17"/>
      <c r="AS397" s="17"/>
      <c r="AT397" s="18"/>
      <c r="AU397" s="91"/>
      <c r="AW397" s="17"/>
      <c r="AX397" s="17"/>
      <c r="AY397" s="17"/>
      <c r="AZ397" s="18"/>
      <c r="BA397" s="91"/>
    </row>
    <row r="398" spans="1:53" ht="17.100000000000001" customHeight="1" x14ac:dyDescent="0.25">
      <c r="A398" s="40"/>
      <c r="B398" s="40"/>
      <c r="C398" s="40"/>
      <c r="D398" s="74"/>
      <c r="E398" s="168"/>
      <c r="F398" s="169"/>
      <c r="G398" s="169"/>
      <c r="H398" s="17"/>
      <c r="I398" s="594"/>
      <c r="J398" s="111"/>
      <c r="K398" s="111"/>
      <c r="L398" s="111"/>
      <c r="M398" s="111"/>
      <c r="N398" s="60"/>
      <c r="O398" s="60"/>
      <c r="P398" s="17"/>
      <c r="Q398" s="60"/>
      <c r="R398" s="60"/>
      <c r="S398" s="17"/>
      <c r="T398" s="60"/>
      <c r="U398" s="60"/>
      <c r="V398" s="359"/>
      <c r="W398" s="391"/>
      <c r="X398" s="17"/>
      <c r="Y398" s="539"/>
      <c r="Z398" s="17"/>
      <c r="AA398" s="17"/>
      <c r="AB398" s="17"/>
      <c r="AC398" s="17"/>
      <c r="AE398" s="111"/>
      <c r="AF398" s="111"/>
      <c r="AG398" s="111"/>
      <c r="AH398" s="112"/>
      <c r="AI398" s="113"/>
      <c r="AK398" s="111"/>
      <c r="AL398" s="111"/>
      <c r="AM398" s="111"/>
      <c r="AN398" s="112"/>
      <c r="AO398" s="113"/>
      <c r="AQ398" s="17"/>
      <c r="AR398" s="17"/>
      <c r="AS398" s="17"/>
      <c r="AT398" s="18"/>
      <c r="AU398" s="91"/>
      <c r="AW398" s="17"/>
      <c r="AX398" s="17"/>
      <c r="AY398" s="17"/>
      <c r="AZ398" s="18"/>
      <c r="BA398" s="91"/>
    </row>
    <row r="399" spans="1:53" ht="17.100000000000001" customHeight="1" x14ac:dyDescent="0.25">
      <c r="A399" s="40"/>
      <c r="B399" s="40"/>
      <c r="C399" s="40"/>
      <c r="D399" s="74"/>
      <c r="E399" s="170"/>
      <c r="F399" s="171"/>
      <c r="G399" s="171"/>
      <c r="H399" s="17"/>
      <c r="I399" s="594"/>
      <c r="J399" s="111"/>
      <c r="K399" s="111"/>
      <c r="L399" s="111"/>
      <c r="M399" s="111"/>
      <c r="N399" s="61"/>
      <c r="O399" s="61"/>
      <c r="P399" s="17"/>
      <c r="Q399" s="61"/>
      <c r="R399" s="61"/>
      <c r="S399" s="17"/>
      <c r="T399" s="61"/>
      <c r="U399" s="61"/>
      <c r="V399" s="359"/>
      <c r="W399" s="391"/>
      <c r="X399" s="17"/>
      <c r="Y399" s="539"/>
      <c r="Z399" s="17"/>
      <c r="AA399" s="17"/>
      <c r="AB399" s="17"/>
      <c r="AC399" s="17"/>
      <c r="AE399" s="111"/>
      <c r="AF399" s="111"/>
      <c r="AG399" s="111"/>
      <c r="AH399" s="112"/>
      <c r="AI399" s="113"/>
      <c r="AK399" s="111"/>
      <c r="AL399" s="111"/>
      <c r="AM399" s="111"/>
      <c r="AN399" s="112"/>
      <c r="AO399" s="113"/>
      <c r="AQ399" s="17"/>
      <c r="AR399" s="17"/>
      <c r="AS399" s="17"/>
      <c r="AT399" s="18"/>
      <c r="AU399" s="91"/>
      <c r="AW399" s="17"/>
      <c r="AX399" s="17"/>
      <c r="AY399" s="17"/>
      <c r="AZ399" s="18"/>
      <c r="BA399" s="91"/>
    </row>
    <row r="400" spans="1:53" ht="17.100000000000001" customHeight="1" x14ac:dyDescent="0.25">
      <c r="A400" s="40"/>
      <c r="B400" s="40"/>
      <c r="C400" s="77"/>
      <c r="D400" s="134"/>
      <c r="E400" s="134"/>
      <c r="F400" s="134"/>
      <c r="G400" s="134"/>
      <c r="H400" s="540"/>
      <c r="I400" s="229"/>
      <c r="J400" s="64"/>
      <c r="K400" s="64"/>
      <c r="L400" s="81"/>
      <c r="M400" s="81"/>
      <c r="N400" s="81">
        <f t="shared" ref="N400:V400" si="446">SUM(N382:N395)</f>
        <v>0</v>
      </c>
      <c r="O400" s="81">
        <f t="shared" si="446"/>
        <v>2</v>
      </c>
      <c r="P400" s="81">
        <f t="shared" si="446"/>
        <v>2</v>
      </c>
      <c r="Q400" s="81">
        <f t="shared" si="446"/>
        <v>1</v>
      </c>
      <c r="R400" s="81">
        <f t="shared" si="446"/>
        <v>7</v>
      </c>
      <c r="S400" s="81">
        <f t="shared" si="446"/>
        <v>8</v>
      </c>
      <c r="T400" s="81">
        <f t="shared" si="446"/>
        <v>0</v>
      </c>
      <c r="U400" s="81">
        <f t="shared" si="446"/>
        <v>0</v>
      </c>
      <c r="V400" s="81">
        <f t="shared" si="446"/>
        <v>0</v>
      </c>
      <c r="W400" s="381">
        <f>SUM(W382:W395)</f>
        <v>1</v>
      </c>
      <c r="X400" s="82">
        <f t="shared" ref="X400:Y400" si="447">SUM(X382:X395)</f>
        <v>9</v>
      </c>
      <c r="Y400" s="82">
        <f t="shared" si="447"/>
        <v>10</v>
      </c>
      <c r="Z400" s="205">
        <f t="shared" ref="Z400" si="448">IF(Y$400=0,0,Y400/Y$400)</f>
        <v>1</v>
      </c>
      <c r="AA400" s="205"/>
      <c r="AB400" s="205"/>
      <c r="AC400" s="83"/>
      <c r="AE400" s="80"/>
      <c r="AF400" s="80"/>
      <c r="AG400" s="81"/>
      <c r="AH400" s="82"/>
      <c r="AI400" s="66"/>
      <c r="AK400" s="80"/>
      <c r="AL400" s="80"/>
      <c r="AM400" s="81"/>
      <c r="AN400" s="82"/>
      <c r="AO400" s="66"/>
      <c r="AQ400" s="80"/>
      <c r="AR400" s="80"/>
      <c r="AS400" s="81"/>
      <c r="AT400" s="82">
        <f t="shared" ref="AT400" si="449">SUM(AT382:AT395)</f>
        <v>1</v>
      </c>
      <c r="AU400" s="66">
        <f>IF(AT$400=0,0,AT400/AT$400)</f>
        <v>1</v>
      </c>
      <c r="AW400" s="80"/>
      <c r="AX400" s="80"/>
      <c r="AY400" s="81"/>
      <c r="AZ400" s="82">
        <f t="shared" ref="AZ400" si="450">SUM(AZ382:AZ395)</f>
        <v>9</v>
      </c>
      <c r="BA400" s="66">
        <f>IF(AZ$400=0,0,AZ400/AZ$400)</f>
        <v>1</v>
      </c>
    </row>
    <row r="401" spans="1:53" ht="17.100000000000001" customHeight="1" x14ac:dyDescent="0.25">
      <c r="A401" s="175"/>
      <c r="B401" s="48" t="s">
        <v>206</v>
      </c>
      <c r="C401" s="49" t="s">
        <v>473</v>
      </c>
      <c r="D401" s="176"/>
      <c r="E401" s="43"/>
      <c r="F401" s="43"/>
      <c r="G401" s="43"/>
      <c r="H401" s="540"/>
      <c r="I401" s="12"/>
      <c r="J401" s="88"/>
      <c r="K401" s="88"/>
      <c r="L401" s="71"/>
      <c r="M401" s="71"/>
      <c r="N401" s="71"/>
      <c r="O401" s="71"/>
      <c r="P401" s="71"/>
      <c r="Q401" s="71"/>
      <c r="R401" s="71"/>
      <c r="S401" s="71"/>
      <c r="T401" s="71"/>
      <c r="U401" s="71"/>
      <c r="V401" s="355"/>
      <c r="W401" s="377"/>
      <c r="X401" s="71"/>
      <c r="Y401" s="89"/>
      <c r="Z401" s="90"/>
      <c r="AA401" s="90"/>
      <c r="AB401" s="90"/>
      <c r="AC401" s="73"/>
      <c r="AE401" s="87"/>
      <c r="AF401" s="87"/>
      <c r="AG401" s="71"/>
      <c r="AH401" s="89"/>
      <c r="AI401" s="90"/>
      <c r="AK401" s="87"/>
      <c r="AL401" s="87"/>
      <c r="AM401" s="71"/>
      <c r="AN401" s="89"/>
      <c r="AO401" s="90"/>
      <c r="AQ401" s="87"/>
      <c r="AR401" s="87"/>
      <c r="AS401" s="71"/>
      <c r="AT401" s="89"/>
      <c r="AU401" s="90"/>
      <c r="AW401" s="87"/>
      <c r="AX401" s="87"/>
      <c r="AY401" s="71"/>
      <c r="AZ401" s="89"/>
      <c r="BA401" s="90"/>
    </row>
    <row r="402" spans="1:53" ht="17.100000000000001" customHeight="1" x14ac:dyDescent="0.25">
      <c r="A402" s="175"/>
      <c r="B402" s="177"/>
      <c r="C402" s="56" t="s">
        <v>207</v>
      </c>
      <c r="D402" s="57" t="s">
        <v>173</v>
      </c>
      <c r="E402" s="75"/>
      <c r="F402" s="75"/>
      <c r="G402" s="75"/>
      <c r="H402" s="540"/>
      <c r="I402" s="12"/>
      <c r="J402" s="111"/>
      <c r="K402" s="111"/>
      <c r="L402" s="111"/>
      <c r="M402" s="111"/>
      <c r="N402" s="60"/>
      <c r="O402" s="60">
        <v>6</v>
      </c>
      <c r="P402" s="17">
        <f t="shared" ref="P402:P406" si="451">SUM(N402:O402)</f>
        <v>6</v>
      </c>
      <c r="Q402" s="60"/>
      <c r="R402" s="60"/>
      <c r="S402" s="17">
        <f t="shared" ref="S402:S406" si="452">SUM(Q402:R402)</f>
        <v>0</v>
      </c>
      <c r="T402" s="60"/>
      <c r="U402" s="60"/>
      <c r="V402" s="359">
        <f t="shared" ref="V402:V406" si="453">SUM(T402:U402)</f>
        <v>0</v>
      </c>
      <c r="W402" s="391">
        <f t="shared" ref="W402:W406" si="454">J402+K402+N402+Q402+T402</f>
        <v>0</v>
      </c>
      <c r="X402" s="17">
        <f t="shared" ref="X402:X406" si="455">L402+O402+R402+U402</f>
        <v>6</v>
      </c>
      <c r="Y402" s="18">
        <f>SUM(W402:X402)</f>
        <v>6</v>
      </c>
      <c r="Z402" s="19">
        <f>IF(Y$407=0,0,Y402/Y$407)</f>
        <v>0.375</v>
      </c>
      <c r="AA402" s="19"/>
      <c r="AB402" s="19"/>
      <c r="AC402" s="84"/>
      <c r="AE402" s="111"/>
      <c r="AF402" s="111"/>
      <c r="AG402" s="111"/>
      <c r="AH402" s="112"/>
      <c r="AI402" s="113"/>
      <c r="AK402" s="111"/>
      <c r="AL402" s="111"/>
      <c r="AM402" s="111"/>
      <c r="AN402" s="112"/>
      <c r="AO402" s="113"/>
      <c r="AQ402" s="17"/>
      <c r="AR402" s="17"/>
      <c r="AS402" s="17"/>
      <c r="AT402" s="18">
        <f t="shared" ref="AT402:AT406" si="456">W402</f>
        <v>0</v>
      </c>
      <c r="AU402" s="19">
        <f t="shared" ref="AU402:AU407" si="457">IF(AT$407=0,0,AT402/AT$407)</f>
        <v>0</v>
      </c>
      <c r="AW402" s="17"/>
      <c r="AX402" s="17"/>
      <c r="AY402" s="17"/>
      <c r="AZ402" s="18">
        <f t="shared" ref="AZ402:AZ406" si="458">X402</f>
        <v>6</v>
      </c>
      <c r="BA402" s="19">
        <f t="shared" ref="BA402:BA407" si="459">IF(AZ$407=0,0,AZ402/AZ$407)</f>
        <v>0.4</v>
      </c>
    </row>
    <row r="403" spans="1:53" ht="17.100000000000001" customHeight="1" x14ac:dyDescent="0.25">
      <c r="A403" s="175"/>
      <c r="B403" s="177"/>
      <c r="C403" s="56" t="s">
        <v>208</v>
      </c>
      <c r="D403" s="57" t="s">
        <v>209</v>
      </c>
      <c r="E403" s="75"/>
      <c r="F403" s="75"/>
      <c r="G403" s="75"/>
      <c r="H403" s="540"/>
      <c r="I403" s="12"/>
      <c r="J403" s="111"/>
      <c r="K403" s="111"/>
      <c r="L403" s="111"/>
      <c r="M403" s="111"/>
      <c r="N403" s="61"/>
      <c r="O403" s="61"/>
      <c r="P403" s="17">
        <f t="shared" si="451"/>
        <v>0</v>
      </c>
      <c r="Q403" s="61">
        <v>1</v>
      </c>
      <c r="R403" s="61">
        <v>7</v>
      </c>
      <c r="S403" s="17">
        <f t="shared" si="452"/>
        <v>8</v>
      </c>
      <c r="T403" s="61"/>
      <c r="U403" s="61"/>
      <c r="V403" s="359">
        <f t="shared" si="453"/>
        <v>0</v>
      </c>
      <c r="W403" s="391">
        <f t="shared" si="454"/>
        <v>1</v>
      </c>
      <c r="X403" s="17">
        <f t="shared" si="455"/>
        <v>7</v>
      </c>
      <c r="Y403" s="18">
        <f>SUM(W403:X403)</f>
        <v>8</v>
      </c>
      <c r="Z403" s="19">
        <f t="shared" ref="Z403:Z406" si="460">IF(Y$407=0,0,Y403/Y$407)</f>
        <v>0.5</v>
      </c>
      <c r="AA403" s="19"/>
      <c r="AB403" s="19"/>
      <c r="AC403" s="84"/>
      <c r="AE403" s="111"/>
      <c r="AF403" s="111"/>
      <c r="AG403" s="111"/>
      <c r="AH403" s="112"/>
      <c r="AI403" s="113"/>
      <c r="AK403" s="111"/>
      <c r="AL403" s="111"/>
      <c r="AM403" s="111"/>
      <c r="AN403" s="112"/>
      <c r="AO403" s="113"/>
      <c r="AQ403" s="17"/>
      <c r="AR403" s="17"/>
      <c r="AS403" s="17"/>
      <c r="AT403" s="18">
        <f t="shared" si="456"/>
        <v>1</v>
      </c>
      <c r="AU403" s="19">
        <f t="shared" si="457"/>
        <v>1</v>
      </c>
      <c r="AW403" s="17"/>
      <c r="AX403" s="17"/>
      <c r="AY403" s="17"/>
      <c r="AZ403" s="18">
        <f t="shared" si="458"/>
        <v>7</v>
      </c>
      <c r="BA403" s="19">
        <f t="shared" si="459"/>
        <v>0.46666666666666667</v>
      </c>
    </row>
    <row r="404" spans="1:53" ht="17.100000000000001" customHeight="1" x14ac:dyDescent="0.25">
      <c r="A404" s="175"/>
      <c r="B404" s="177"/>
      <c r="C404" s="56" t="s">
        <v>210</v>
      </c>
      <c r="D404" s="57" t="s">
        <v>211</v>
      </c>
      <c r="E404" s="75"/>
      <c r="F404" s="75"/>
      <c r="G404" s="75"/>
      <c r="H404" s="540"/>
      <c r="I404" s="12"/>
      <c r="J404" s="111"/>
      <c r="K404" s="111"/>
      <c r="L404" s="111"/>
      <c r="M404" s="111"/>
      <c r="N404" s="60"/>
      <c r="O404" s="60">
        <v>2</v>
      </c>
      <c r="P404" s="17">
        <f t="shared" si="451"/>
        <v>2</v>
      </c>
      <c r="Q404" s="60"/>
      <c r="R404" s="60"/>
      <c r="S404" s="17">
        <f t="shared" si="452"/>
        <v>0</v>
      </c>
      <c r="T404" s="60"/>
      <c r="U404" s="60"/>
      <c r="V404" s="359">
        <f t="shared" si="453"/>
        <v>0</v>
      </c>
      <c r="W404" s="391">
        <f t="shared" si="454"/>
        <v>0</v>
      </c>
      <c r="X404" s="17">
        <f t="shared" si="455"/>
        <v>2</v>
      </c>
      <c r="Y404" s="18">
        <f>SUM(W404:X404)</f>
        <v>2</v>
      </c>
      <c r="Z404" s="19">
        <f t="shared" si="460"/>
        <v>0.125</v>
      </c>
      <c r="AA404" s="19"/>
      <c r="AB404" s="19"/>
      <c r="AC404" s="84"/>
      <c r="AE404" s="111"/>
      <c r="AF404" s="111"/>
      <c r="AG404" s="111"/>
      <c r="AH404" s="112"/>
      <c r="AI404" s="113"/>
      <c r="AK404" s="111"/>
      <c r="AL404" s="111"/>
      <c r="AM404" s="111"/>
      <c r="AN404" s="112"/>
      <c r="AO404" s="113"/>
      <c r="AQ404" s="17"/>
      <c r="AR404" s="17"/>
      <c r="AS404" s="17"/>
      <c r="AT404" s="18">
        <f t="shared" si="456"/>
        <v>0</v>
      </c>
      <c r="AU404" s="19">
        <f t="shared" si="457"/>
        <v>0</v>
      </c>
      <c r="AW404" s="17"/>
      <c r="AX404" s="17"/>
      <c r="AY404" s="17"/>
      <c r="AZ404" s="18">
        <f t="shared" si="458"/>
        <v>2</v>
      </c>
      <c r="BA404" s="19">
        <f t="shared" si="459"/>
        <v>0.13333333333333333</v>
      </c>
    </row>
    <row r="405" spans="1:53" ht="17.100000000000001" customHeight="1" x14ac:dyDescent="0.25">
      <c r="A405" s="175"/>
      <c r="B405" s="177"/>
      <c r="C405" s="56" t="s">
        <v>212</v>
      </c>
      <c r="D405" s="57" t="s">
        <v>213</v>
      </c>
      <c r="E405" s="75"/>
      <c r="F405" s="75"/>
      <c r="G405" s="75"/>
      <c r="H405" s="540"/>
      <c r="I405" s="12"/>
      <c r="J405" s="111"/>
      <c r="K405" s="111"/>
      <c r="L405" s="111"/>
      <c r="M405" s="111"/>
      <c r="N405" s="61"/>
      <c r="O405" s="61"/>
      <c r="P405" s="17">
        <f t="shared" si="451"/>
        <v>0</v>
      </c>
      <c r="Q405" s="61"/>
      <c r="R405" s="61"/>
      <c r="S405" s="17">
        <f t="shared" si="452"/>
        <v>0</v>
      </c>
      <c r="T405" s="61"/>
      <c r="U405" s="61"/>
      <c r="V405" s="359">
        <f t="shared" si="453"/>
        <v>0</v>
      </c>
      <c r="W405" s="391">
        <f t="shared" si="454"/>
        <v>0</v>
      </c>
      <c r="X405" s="17">
        <f t="shared" si="455"/>
        <v>0</v>
      </c>
      <c r="Y405" s="18">
        <f>SUM(W405:X405)</f>
        <v>0</v>
      </c>
      <c r="Z405" s="19">
        <f t="shared" si="460"/>
        <v>0</v>
      </c>
      <c r="AA405" s="19"/>
      <c r="AB405" s="19"/>
      <c r="AC405" s="84"/>
      <c r="AE405" s="111"/>
      <c r="AF405" s="111"/>
      <c r="AG405" s="111"/>
      <c r="AH405" s="112"/>
      <c r="AI405" s="113"/>
      <c r="AK405" s="111"/>
      <c r="AL405" s="111"/>
      <c r="AM405" s="111"/>
      <c r="AN405" s="112"/>
      <c r="AO405" s="113"/>
      <c r="AQ405" s="17"/>
      <c r="AR405" s="17"/>
      <c r="AS405" s="17"/>
      <c r="AT405" s="18">
        <f t="shared" si="456"/>
        <v>0</v>
      </c>
      <c r="AU405" s="19">
        <f t="shared" si="457"/>
        <v>0</v>
      </c>
      <c r="AW405" s="17"/>
      <c r="AX405" s="17"/>
      <c r="AY405" s="17"/>
      <c r="AZ405" s="18">
        <f t="shared" si="458"/>
        <v>0</v>
      </c>
      <c r="BA405" s="19">
        <f t="shared" si="459"/>
        <v>0</v>
      </c>
    </row>
    <row r="406" spans="1:53" ht="17.100000000000001" customHeight="1" x14ac:dyDescent="0.25">
      <c r="A406" s="175"/>
      <c r="B406" s="177"/>
      <c r="C406" s="56" t="s">
        <v>214</v>
      </c>
      <c r="D406" s="147" t="s">
        <v>129</v>
      </c>
      <c r="E406" s="75"/>
      <c r="F406" s="75"/>
      <c r="G406" s="75"/>
      <c r="H406" s="540"/>
      <c r="I406" s="12"/>
      <c r="J406" s="111"/>
      <c r="K406" s="111"/>
      <c r="L406" s="111"/>
      <c r="M406" s="111"/>
      <c r="N406" s="60"/>
      <c r="O406" s="60"/>
      <c r="P406" s="17">
        <f t="shared" si="451"/>
        <v>0</v>
      </c>
      <c r="Q406" s="60"/>
      <c r="R406" s="60"/>
      <c r="S406" s="17">
        <f t="shared" si="452"/>
        <v>0</v>
      </c>
      <c r="T406" s="60"/>
      <c r="U406" s="60"/>
      <c r="V406" s="359">
        <f t="shared" si="453"/>
        <v>0</v>
      </c>
      <c r="W406" s="391">
        <f t="shared" si="454"/>
        <v>0</v>
      </c>
      <c r="X406" s="17">
        <f t="shared" si="455"/>
        <v>0</v>
      </c>
      <c r="Y406" s="18">
        <f>SUM(W406:X406)</f>
        <v>0</v>
      </c>
      <c r="Z406" s="19">
        <f t="shared" si="460"/>
        <v>0</v>
      </c>
      <c r="AA406" s="19"/>
      <c r="AB406" s="19"/>
      <c r="AC406" s="84"/>
      <c r="AE406" s="111"/>
      <c r="AF406" s="111"/>
      <c r="AG406" s="111"/>
      <c r="AH406" s="112"/>
      <c r="AI406" s="113"/>
      <c r="AK406" s="111"/>
      <c r="AL406" s="111"/>
      <c r="AM406" s="111"/>
      <c r="AN406" s="112"/>
      <c r="AO406" s="113"/>
      <c r="AQ406" s="17"/>
      <c r="AR406" s="17"/>
      <c r="AS406" s="17"/>
      <c r="AT406" s="18">
        <f t="shared" si="456"/>
        <v>0</v>
      </c>
      <c r="AU406" s="19">
        <f t="shared" si="457"/>
        <v>0</v>
      </c>
      <c r="AW406" s="17"/>
      <c r="AX406" s="17"/>
      <c r="AY406" s="17"/>
      <c r="AZ406" s="18">
        <f t="shared" si="458"/>
        <v>0</v>
      </c>
      <c r="BA406" s="19">
        <f t="shared" si="459"/>
        <v>0</v>
      </c>
    </row>
    <row r="407" spans="1:53" ht="17.100000000000001" customHeight="1" x14ac:dyDescent="0.25">
      <c r="A407" s="175"/>
      <c r="B407" s="40"/>
      <c r="C407" s="77"/>
      <c r="D407" s="134"/>
      <c r="E407" s="134"/>
      <c r="F407" s="134"/>
      <c r="G407" s="134"/>
      <c r="H407" s="540"/>
      <c r="I407" s="12"/>
      <c r="J407" s="64"/>
      <c r="K407" s="64"/>
      <c r="L407" s="64"/>
      <c r="M407" s="64"/>
      <c r="N407" s="64">
        <f>SUM(N402:N406)</f>
        <v>0</v>
      </c>
      <c r="O407" s="64">
        <f t="shared" ref="O407:V407" si="461">SUM(O402:O406)</f>
        <v>8</v>
      </c>
      <c r="P407" s="64">
        <f t="shared" si="461"/>
        <v>8</v>
      </c>
      <c r="Q407" s="64">
        <f t="shared" si="461"/>
        <v>1</v>
      </c>
      <c r="R407" s="64">
        <f t="shared" si="461"/>
        <v>7</v>
      </c>
      <c r="S407" s="64">
        <f t="shared" si="461"/>
        <v>8</v>
      </c>
      <c r="T407" s="64">
        <f t="shared" si="461"/>
        <v>0</v>
      </c>
      <c r="U407" s="64">
        <f t="shared" si="461"/>
        <v>0</v>
      </c>
      <c r="V407" s="64">
        <f t="shared" si="461"/>
        <v>0</v>
      </c>
      <c r="W407" s="390">
        <f>SUM(W402:W406)</f>
        <v>1</v>
      </c>
      <c r="X407" s="224">
        <f t="shared" ref="X407:Y407" si="462">SUM(X402:X406)</f>
        <v>15</v>
      </c>
      <c r="Y407" s="224">
        <f t="shared" si="462"/>
        <v>16</v>
      </c>
      <c r="Z407" s="66">
        <f>IF(Y$407=0,0,Y407/Y$407)</f>
        <v>1</v>
      </c>
      <c r="AA407" s="66"/>
      <c r="AB407" s="66"/>
      <c r="AC407" s="83"/>
      <c r="AE407" s="80"/>
      <c r="AF407" s="80"/>
      <c r="AG407" s="81"/>
      <c r="AH407" s="82"/>
      <c r="AI407" s="66"/>
      <c r="AK407" s="80"/>
      <c r="AL407" s="80"/>
      <c r="AM407" s="81"/>
      <c r="AN407" s="82"/>
      <c r="AO407" s="66"/>
      <c r="AQ407" s="80"/>
      <c r="AR407" s="80"/>
      <c r="AS407" s="81"/>
      <c r="AT407" s="82">
        <f>SUM(AT402:AT406)</f>
        <v>1</v>
      </c>
      <c r="AU407" s="66">
        <f t="shared" si="457"/>
        <v>1</v>
      </c>
      <c r="AW407" s="80"/>
      <c r="AX407" s="80"/>
      <c r="AY407" s="81"/>
      <c r="AZ407" s="82">
        <f>SUM(AZ402:AZ406)</f>
        <v>15</v>
      </c>
      <c r="BA407" s="66">
        <f t="shared" si="459"/>
        <v>1</v>
      </c>
    </row>
    <row r="408" spans="1:53" s="117" customFormat="1" ht="17.100000000000001" customHeight="1" x14ac:dyDescent="0.25">
      <c r="A408" s="68"/>
      <c r="B408" s="119"/>
      <c r="C408" s="540"/>
      <c r="D408" s="261"/>
      <c r="E408" s="261"/>
      <c r="F408" s="68"/>
      <c r="G408" s="68"/>
      <c r="H408" s="119"/>
      <c r="I408" s="138"/>
      <c r="J408" s="17"/>
      <c r="K408" s="17"/>
      <c r="L408" s="17"/>
      <c r="M408" s="17"/>
      <c r="N408" s="17" t="str">
        <f>IF(N407=N$20,"OK","NOK")</f>
        <v>OK</v>
      </c>
      <c r="O408" s="17" t="str">
        <f>IF(O407=O$20,"OK","NOK")</f>
        <v>OK</v>
      </c>
      <c r="P408" s="17"/>
      <c r="Q408" s="17" t="str">
        <f>IF(Q407=Q$20,"OK","NOK")</f>
        <v>OK</v>
      </c>
      <c r="R408" s="17" t="str">
        <f>IF(R407=R$20,"OK","NOK")</f>
        <v>OK</v>
      </c>
      <c r="S408" s="17"/>
      <c r="T408" s="17" t="str">
        <f>IF(T407=T$20,"OK","NOK")</f>
        <v>OK</v>
      </c>
      <c r="U408" s="17" t="str">
        <f>IF(U407=U$20,"OK","NOK")</f>
        <v>OK</v>
      </c>
      <c r="V408" s="359"/>
      <c r="W408" s="382"/>
      <c r="X408" s="539"/>
      <c r="Y408" s="539"/>
      <c r="Z408" s="201"/>
      <c r="AA408" s="201"/>
      <c r="AB408" s="201"/>
      <c r="AC408" s="84"/>
      <c r="AE408" s="46"/>
      <c r="AF408" s="46"/>
      <c r="AG408" s="17"/>
      <c r="AH408" s="539"/>
      <c r="AI408" s="91"/>
      <c r="AK408" s="46"/>
      <c r="AL408" s="46"/>
      <c r="AM408" s="17"/>
      <c r="AN408" s="539"/>
      <c r="AO408" s="91"/>
      <c r="AQ408" s="46"/>
      <c r="AR408" s="46"/>
      <c r="AS408" s="17"/>
      <c r="AT408" s="539"/>
      <c r="AU408" s="91"/>
      <c r="AW408" s="46"/>
      <c r="AX408" s="46"/>
      <c r="AY408" s="17"/>
      <c r="AZ408" s="539"/>
      <c r="BA408" s="91"/>
    </row>
    <row r="409" spans="1:53" ht="17.100000000000001" customHeight="1" x14ac:dyDescent="0.25">
      <c r="A409" s="68"/>
      <c r="B409" s="48" t="s">
        <v>215</v>
      </c>
      <c r="C409" s="49" t="s">
        <v>216</v>
      </c>
      <c r="D409" s="50"/>
      <c r="E409" s="70"/>
      <c r="F409" s="70"/>
      <c r="G409" s="70"/>
      <c r="H409" s="119"/>
      <c r="J409" s="71"/>
      <c r="K409" s="71"/>
      <c r="L409" s="71"/>
      <c r="M409" s="71"/>
      <c r="N409" s="71">
        <f t="shared" ref="N409:X409" si="463">N403</f>
        <v>0</v>
      </c>
      <c r="O409" s="71">
        <f t="shared" si="463"/>
        <v>0</v>
      </c>
      <c r="P409" s="71"/>
      <c r="Q409" s="71">
        <f t="shared" si="463"/>
        <v>1</v>
      </c>
      <c r="R409" s="71">
        <f t="shared" si="463"/>
        <v>7</v>
      </c>
      <c r="S409" s="71"/>
      <c r="T409" s="71">
        <f t="shared" si="463"/>
        <v>0</v>
      </c>
      <c r="U409" s="71">
        <f t="shared" si="463"/>
        <v>0</v>
      </c>
      <c r="V409" s="355"/>
      <c r="W409" s="377">
        <f t="shared" si="463"/>
        <v>1</v>
      </c>
      <c r="X409" s="71">
        <f t="shared" si="463"/>
        <v>7</v>
      </c>
      <c r="Y409" s="72"/>
      <c r="Z409" s="73"/>
      <c r="AA409" s="73"/>
      <c r="AB409" s="73"/>
      <c r="AC409" s="73"/>
      <c r="AE409" s="71"/>
      <c r="AF409" s="71"/>
      <c r="AG409" s="71"/>
      <c r="AH409" s="72"/>
      <c r="AI409" s="73"/>
      <c r="AK409" s="71"/>
      <c r="AL409" s="71"/>
      <c r="AM409" s="71"/>
      <c r="AN409" s="72"/>
      <c r="AO409" s="73"/>
      <c r="AQ409" s="71"/>
      <c r="AR409" s="71"/>
      <c r="AS409" s="71"/>
      <c r="AT409" s="72"/>
      <c r="AU409" s="73"/>
      <c r="AW409" s="71"/>
      <c r="AX409" s="71"/>
      <c r="AY409" s="71"/>
      <c r="AZ409" s="72"/>
      <c r="BA409" s="73"/>
    </row>
    <row r="410" spans="1:53" ht="17.100000000000001" customHeight="1" x14ac:dyDescent="0.25">
      <c r="A410" s="40"/>
      <c r="B410" s="40"/>
      <c r="C410" s="56" t="s">
        <v>217</v>
      </c>
      <c r="D410" s="149" t="s">
        <v>218</v>
      </c>
      <c r="E410" s="149"/>
      <c r="F410" s="75"/>
      <c r="G410" s="75"/>
      <c r="H410" s="540"/>
      <c r="I410" s="229"/>
      <c r="J410" s="111"/>
      <c r="K410" s="111"/>
      <c r="L410" s="111"/>
      <c r="M410" s="111"/>
      <c r="N410" s="111"/>
      <c r="O410" s="111"/>
      <c r="P410" s="111"/>
      <c r="Q410" s="111"/>
      <c r="R410" s="111"/>
      <c r="S410" s="111"/>
      <c r="T410" s="111"/>
      <c r="U410" s="111"/>
      <c r="V410" s="358"/>
      <c r="W410" s="380"/>
      <c r="X410" s="111"/>
      <c r="Y410" s="545"/>
      <c r="Z410" s="131"/>
      <c r="AA410" s="131"/>
      <c r="AB410" s="131"/>
      <c r="AC410" s="111"/>
      <c r="AE410" s="111"/>
      <c r="AF410" s="111"/>
      <c r="AG410" s="111"/>
      <c r="AH410" s="545"/>
      <c r="AI410" s="131"/>
      <c r="AK410" s="111"/>
      <c r="AL410" s="111"/>
      <c r="AM410" s="111"/>
      <c r="AN410" s="545"/>
      <c r="AO410" s="131"/>
      <c r="AQ410" s="111"/>
      <c r="AR410" s="111"/>
      <c r="AS410" s="111"/>
      <c r="AT410" s="545"/>
      <c r="AU410" s="131"/>
      <c r="AW410" s="111"/>
      <c r="AX410" s="111"/>
      <c r="AY410" s="111"/>
      <c r="AZ410" s="545"/>
      <c r="BA410" s="131"/>
    </row>
    <row r="411" spans="1:53" ht="17.100000000000001" customHeight="1" x14ac:dyDescent="0.25">
      <c r="A411" s="40"/>
      <c r="B411" s="40"/>
      <c r="C411" s="55"/>
      <c r="D411" s="56" t="s">
        <v>219</v>
      </c>
      <c r="E411" s="149" t="s">
        <v>474</v>
      </c>
      <c r="F411" s="75"/>
      <c r="G411" s="75"/>
      <c r="H411" s="540"/>
      <c r="I411" s="229"/>
      <c r="J411" s="111"/>
      <c r="K411" s="111"/>
      <c r="L411" s="111"/>
      <c r="M411" s="111"/>
      <c r="N411" s="60"/>
      <c r="O411" s="60"/>
      <c r="P411" s="17">
        <f t="shared" ref="P411:P415" si="464">SUM(N411:O411)</f>
        <v>0</v>
      </c>
      <c r="Q411" s="60"/>
      <c r="R411" s="60"/>
      <c r="S411" s="17">
        <f t="shared" ref="S411:S415" si="465">SUM(Q411:R411)</f>
        <v>0</v>
      </c>
      <c r="T411" s="60"/>
      <c r="U411" s="60"/>
      <c r="V411" s="359">
        <f t="shared" ref="V411:V415" si="466">SUM(T411:U411)</f>
        <v>0</v>
      </c>
      <c r="W411" s="391">
        <f t="shared" ref="W411:W416" si="467">J411+K411+N411+Q411+T411</f>
        <v>0</v>
      </c>
      <c r="X411" s="17">
        <f t="shared" ref="X411:X416" si="468">L411+O411+R411+U411</f>
        <v>0</v>
      </c>
      <c r="Y411" s="18">
        <f>SUM(W411:X411)</f>
        <v>0</v>
      </c>
      <c r="Z411" s="19">
        <f>IF(Y$421=0,0,Y411/Y$421)</f>
        <v>0</v>
      </c>
      <c r="AA411" s="19"/>
      <c r="AB411" s="19"/>
      <c r="AC411" s="17"/>
      <c r="AE411" s="111"/>
      <c r="AF411" s="111"/>
      <c r="AG411" s="111"/>
      <c r="AH411" s="112"/>
      <c r="AI411" s="113"/>
      <c r="AK411" s="111"/>
      <c r="AL411" s="111"/>
      <c r="AM411" s="111"/>
      <c r="AN411" s="112"/>
      <c r="AO411" s="113"/>
      <c r="AQ411" s="17"/>
      <c r="AR411" s="17"/>
      <c r="AS411" s="17"/>
      <c r="AT411" s="18">
        <f t="shared" ref="AT411:AT416" si="469">W411</f>
        <v>0</v>
      </c>
      <c r="AU411" s="19">
        <f>IF(AT$421=0,0,AT411/AT$421)</f>
        <v>0</v>
      </c>
      <c r="AW411" s="17"/>
      <c r="AX411" s="17"/>
      <c r="AY411" s="17"/>
      <c r="AZ411" s="18">
        <f t="shared" ref="AZ411:AZ416" si="470">X411</f>
        <v>0</v>
      </c>
      <c r="BA411" s="19">
        <f>IF(AZ$421=0,0,AZ411/AZ$421)</f>
        <v>0</v>
      </c>
    </row>
    <row r="412" spans="1:53" ht="17.100000000000001" customHeight="1" x14ac:dyDescent="0.25">
      <c r="A412" s="40"/>
      <c r="B412" s="40"/>
      <c r="C412" s="40"/>
      <c r="D412" s="56" t="s">
        <v>220</v>
      </c>
      <c r="E412" s="149" t="s">
        <v>221</v>
      </c>
      <c r="F412" s="75"/>
      <c r="G412" s="75"/>
      <c r="H412" s="540"/>
      <c r="I412" s="229"/>
      <c r="J412" s="111"/>
      <c r="K412" s="111"/>
      <c r="L412" s="111"/>
      <c r="M412" s="111"/>
      <c r="N412" s="61"/>
      <c r="O412" s="61"/>
      <c r="P412" s="17">
        <f t="shared" si="464"/>
        <v>0</v>
      </c>
      <c r="Q412" s="61"/>
      <c r="R412" s="61">
        <v>1</v>
      </c>
      <c r="S412" s="17">
        <f t="shared" si="465"/>
        <v>1</v>
      </c>
      <c r="T412" s="61"/>
      <c r="U412" s="61"/>
      <c r="V412" s="359">
        <f t="shared" si="466"/>
        <v>0</v>
      </c>
      <c r="W412" s="391">
        <f t="shared" si="467"/>
        <v>0</v>
      </c>
      <c r="X412" s="17">
        <f t="shared" si="468"/>
        <v>1</v>
      </c>
      <c r="Y412" s="18">
        <f>SUM(W412:X412)</f>
        <v>1</v>
      </c>
      <c r="Z412" s="19">
        <f t="shared" ref="Z412:Z415" si="471">IF(Y$421=0,0,Y412/Y$421)</f>
        <v>0.125</v>
      </c>
      <c r="AA412" s="19"/>
      <c r="AB412" s="19"/>
      <c r="AC412" s="17"/>
      <c r="AE412" s="111"/>
      <c r="AF412" s="111"/>
      <c r="AG412" s="111"/>
      <c r="AH412" s="112"/>
      <c r="AI412" s="113"/>
      <c r="AK412" s="111"/>
      <c r="AL412" s="111"/>
      <c r="AM412" s="111"/>
      <c r="AN412" s="112"/>
      <c r="AO412" s="113"/>
      <c r="AQ412" s="17"/>
      <c r="AR412" s="17"/>
      <c r="AS412" s="17"/>
      <c r="AT412" s="18">
        <f t="shared" si="469"/>
        <v>0</v>
      </c>
      <c r="AU412" s="19">
        <f t="shared" ref="AU412:AU421" si="472">IF(AT$421=0,0,AT412/AT$421)</f>
        <v>0</v>
      </c>
      <c r="AW412" s="17"/>
      <c r="AX412" s="17"/>
      <c r="AY412" s="17"/>
      <c r="AZ412" s="18">
        <f t="shared" si="470"/>
        <v>1</v>
      </c>
      <c r="BA412" s="19">
        <f t="shared" ref="BA412:BA421" si="473">IF(AZ$421=0,0,AZ412/AZ$421)</f>
        <v>0.14285714285714285</v>
      </c>
    </row>
    <row r="413" spans="1:53" ht="17.100000000000001" customHeight="1" x14ac:dyDescent="0.25">
      <c r="A413" s="40"/>
      <c r="B413" s="40"/>
      <c r="C413" s="40"/>
      <c r="D413" s="56" t="s">
        <v>222</v>
      </c>
      <c r="E413" s="149" t="s">
        <v>223</v>
      </c>
      <c r="F413" s="75"/>
      <c r="G413" s="75"/>
      <c r="H413" s="540"/>
      <c r="I413" s="229"/>
      <c r="J413" s="111"/>
      <c r="K413" s="111"/>
      <c r="L413" s="111"/>
      <c r="M413" s="111"/>
      <c r="N413" s="60"/>
      <c r="O413" s="60"/>
      <c r="P413" s="17">
        <f t="shared" si="464"/>
        <v>0</v>
      </c>
      <c r="Q413" s="60"/>
      <c r="R413" s="60"/>
      <c r="S413" s="17">
        <f t="shared" si="465"/>
        <v>0</v>
      </c>
      <c r="T413" s="60"/>
      <c r="U413" s="60"/>
      <c r="V413" s="359">
        <f t="shared" si="466"/>
        <v>0</v>
      </c>
      <c r="W413" s="391">
        <f t="shared" si="467"/>
        <v>0</v>
      </c>
      <c r="X413" s="17">
        <f t="shared" si="468"/>
        <v>0</v>
      </c>
      <c r="Y413" s="18">
        <f>SUM(W413:X413)</f>
        <v>0</v>
      </c>
      <c r="Z413" s="19">
        <f t="shared" si="471"/>
        <v>0</v>
      </c>
      <c r="AA413" s="19"/>
      <c r="AB413" s="19"/>
      <c r="AC413" s="17"/>
      <c r="AE413" s="111"/>
      <c r="AF413" s="111"/>
      <c r="AG413" s="111"/>
      <c r="AH413" s="112"/>
      <c r="AI413" s="113"/>
      <c r="AK413" s="111"/>
      <c r="AL413" s="111"/>
      <c r="AM413" s="111"/>
      <c r="AN413" s="112"/>
      <c r="AO413" s="113"/>
      <c r="AQ413" s="17"/>
      <c r="AR413" s="17"/>
      <c r="AS413" s="17"/>
      <c r="AT413" s="18">
        <f t="shared" si="469"/>
        <v>0</v>
      </c>
      <c r="AU413" s="19">
        <f t="shared" si="472"/>
        <v>0</v>
      </c>
      <c r="AW413" s="17"/>
      <c r="AX413" s="17"/>
      <c r="AY413" s="17"/>
      <c r="AZ413" s="18">
        <f t="shared" si="470"/>
        <v>0</v>
      </c>
      <c r="BA413" s="19">
        <f t="shared" si="473"/>
        <v>0</v>
      </c>
    </row>
    <row r="414" spans="1:53" ht="17.100000000000001" customHeight="1" x14ac:dyDescent="0.25">
      <c r="A414" s="40"/>
      <c r="B414" s="40"/>
      <c r="C414" s="40"/>
      <c r="D414" s="56" t="s">
        <v>224</v>
      </c>
      <c r="E414" s="149" t="s">
        <v>225</v>
      </c>
      <c r="F414" s="75"/>
      <c r="G414" s="75"/>
      <c r="H414" s="540"/>
      <c r="I414" s="229"/>
      <c r="J414" s="111"/>
      <c r="K414" s="111"/>
      <c r="L414" s="111"/>
      <c r="M414" s="111"/>
      <c r="N414" s="61"/>
      <c r="O414" s="61"/>
      <c r="P414" s="17">
        <f t="shared" si="464"/>
        <v>0</v>
      </c>
      <c r="Q414" s="61">
        <v>1</v>
      </c>
      <c r="R414" s="61">
        <v>6</v>
      </c>
      <c r="S414" s="17">
        <f t="shared" si="465"/>
        <v>7</v>
      </c>
      <c r="T414" s="61"/>
      <c r="U414" s="61"/>
      <c r="V414" s="359">
        <f t="shared" si="466"/>
        <v>0</v>
      </c>
      <c r="W414" s="391">
        <f t="shared" si="467"/>
        <v>1</v>
      </c>
      <c r="X414" s="17">
        <f t="shared" si="468"/>
        <v>6</v>
      </c>
      <c r="Y414" s="18">
        <f>SUM(W414:X414)</f>
        <v>7</v>
      </c>
      <c r="Z414" s="19">
        <f t="shared" si="471"/>
        <v>0.875</v>
      </c>
      <c r="AA414" s="19"/>
      <c r="AB414" s="19"/>
      <c r="AC414" s="17"/>
      <c r="AE414" s="111"/>
      <c r="AF414" s="111"/>
      <c r="AG414" s="111"/>
      <c r="AH414" s="112"/>
      <c r="AI414" s="113"/>
      <c r="AK414" s="111"/>
      <c r="AL414" s="111"/>
      <c r="AM414" s="111"/>
      <c r="AN414" s="112"/>
      <c r="AO414" s="113"/>
      <c r="AQ414" s="17"/>
      <c r="AR414" s="17"/>
      <c r="AS414" s="17"/>
      <c r="AT414" s="18">
        <f t="shared" si="469"/>
        <v>1</v>
      </c>
      <c r="AU414" s="19">
        <f t="shared" si="472"/>
        <v>1</v>
      </c>
      <c r="AW414" s="17"/>
      <c r="AX414" s="17"/>
      <c r="AY414" s="17"/>
      <c r="AZ414" s="18">
        <f t="shared" si="470"/>
        <v>6</v>
      </c>
      <c r="BA414" s="19">
        <f t="shared" si="473"/>
        <v>0.8571428571428571</v>
      </c>
    </row>
    <row r="415" spans="1:53" ht="17.100000000000001" customHeight="1" x14ac:dyDescent="0.25">
      <c r="A415" s="40"/>
      <c r="B415" s="40"/>
      <c r="C415" s="40"/>
      <c r="D415" s="56" t="s">
        <v>226</v>
      </c>
      <c r="E415" s="75" t="s">
        <v>227</v>
      </c>
      <c r="F415" s="75"/>
      <c r="G415" s="75"/>
      <c r="H415" s="540"/>
      <c r="I415" s="229"/>
      <c r="J415" s="111"/>
      <c r="K415" s="111"/>
      <c r="L415" s="111"/>
      <c r="M415" s="111"/>
      <c r="N415" s="60"/>
      <c r="O415" s="60"/>
      <c r="P415" s="17">
        <f t="shared" si="464"/>
        <v>0</v>
      </c>
      <c r="Q415" s="60"/>
      <c r="R415" s="60"/>
      <c r="S415" s="17">
        <f t="shared" si="465"/>
        <v>0</v>
      </c>
      <c r="T415" s="60"/>
      <c r="U415" s="60"/>
      <c r="V415" s="359">
        <f t="shared" si="466"/>
        <v>0</v>
      </c>
      <c r="W415" s="391">
        <f t="shared" si="467"/>
        <v>0</v>
      </c>
      <c r="X415" s="17">
        <f t="shared" si="468"/>
        <v>0</v>
      </c>
      <c r="Y415" s="18">
        <f>SUM(W415:X415)</f>
        <v>0</v>
      </c>
      <c r="Z415" s="19">
        <f t="shared" si="471"/>
        <v>0</v>
      </c>
      <c r="AA415" s="19"/>
      <c r="AB415" s="19"/>
      <c r="AC415" s="17"/>
      <c r="AE415" s="111"/>
      <c r="AF415" s="111"/>
      <c r="AG415" s="111"/>
      <c r="AH415" s="112"/>
      <c r="AI415" s="113"/>
      <c r="AK415" s="111"/>
      <c r="AL415" s="111"/>
      <c r="AM415" s="111"/>
      <c r="AN415" s="112"/>
      <c r="AO415" s="113"/>
      <c r="AQ415" s="17"/>
      <c r="AR415" s="17"/>
      <c r="AS415" s="17"/>
      <c r="AT415" s="18">
        <f t="shared" si="469"/>
        <v>0</v>
      </c>
      <c r="AU415" s="19">
        <f t="shared" si="472"/>
        <v>0</v>
      </c>
      <c r="AW415" s="17"/>
      <c r="AX415" s="17"/>
      <c r="AY415" s="17"/>
      <c r="AZ415" s="18">
        <f t="shared" si="470"/>
        <v>0</v>
      </c>
      <c r="BA415" s="19">
        <f t="shared" si="473"/>
        <v>0</v>
      </c>
    </row>
    <row r="416" spans="1:53" ht="17.100000000000001" customHeight="1" x14ac:dyDescent="0.25">
      <c r="A416" s="40"/>
      <c r="B416" s="40"/>
      <c r="C416" s="179"/>
      <c r="D416" s="56" t="s">
        <v>228</v>
      </c>
      <c r="E416" s="75" t="s">
        <v>229</v>
      </c>
      <c r="F416" s="75"/>
      <c r="G416" s="75"/>
      <c r="H416" s="540"/>
      <c r="I416" s="229"/>
      <c r="J416" s="111"/>
      <c r="K416" s="111"/>
      <c r="L416" s="111"/>
      <c r="M416" s="111"/>
      <c r="N416" s="111">
        <f t="shared" ref="N416:V416" si="474">SUM(N417:N420)</f>
        <v>0</v>
      </c>
      <c r="O416" s="111">
        <f t="shared" si="474"/>
        <v>0</v>
      </c>
      <c r="P416" s="111">
        <f t="shared" si="474"/>
        <v>0</v>
      </c>
      <c r="Q416" s="111">
        <f t="shared" si="474"/>
        <v>0</v>
      </c>
      <c r="R416" s="111">
        <f t="shared" si="474"/>
        <v>0</v>
      </c>
      <c r="S416" s="111">
        <f t="shared" si="474"/>
        <v>0</v>
      </c>
      <c r="T416" s="111">
        <f t="shared" si="474"/>
        <v>0</v>
      </c>
      <c r="U416" s="111">
        <f t="shared" si="474"/>
        <v>0</v>
      </c>
      <c r="V416" s="111">
        <f t="shared" si="474"/>
        <v>0</v>
      </c>
      <c r="W416" s="380">
        <f t="shared" si="467"/>
        <v>0</v>
      </c>
      <c r="X416" s="111">
        <f t="shared" si="468"/>
        <v>0</v>
      </c>
      <c r="Y416" s="545">
        <f>SUM(J416:X416)</f>
        <v>0</v>
      </c>
      <c r="Z416" s="131">
        <f>IF(Y$421=0,0,Y416/Y$421)</f>
        <v>0</v>
      </c>
      <c r="AA416" s="131"/>
      <c r="AB416" s="131"/>
      <c r="AC416" s="111"/>
      <c r="AE416" s="111"/>
      <c r="AF416" s="111"/>
      <c r="AG416" s="111"/>
      <c r="AH416" s="112"/>
      <c r="AI416" s="113"/>
      <c r="AK416" s="111"/>
      <c r="AL416" s="111"/>
      <c r="AM416" s="111"/>
      <c r="AN416" s="112"/>
      <c r="AO416" s="113"/>
      <c r="AQ416" s="111"/>
      <c r="AR416" s="111"/>
      <c r="AS416" s="111"/>
      <c r="AT416" s="545">
        <f t="shared" si="469"/>
        <v>0</v>
      </c>
      <c r="AU416" s="404">
        <f t="shared" si="472"/>
        <v>0</v>
      </c>
      <c r="AW416" s="174"/>
      <c r="AX416" s="174"/>
      <c r="AY416" s="174"/>
      <c r="AZ416" s="405">
        <f t="shared" si="470"/>
        <v>0</v>
      </c>
      <c r="BA416" s="404">
        <f t="shared" si="473"/>
        <v>0</v>
      </c>
    </row>
    <row r="417" spans="1:53" ht="17.100000000000001" customHeight="1" x14ac:dyDescent="0.25">
      <c r="A417" s="40"/>
      <c r="B417" s="40"/>
      <c r="C417" s="179"/>
      <c r="D417" s="74"/>
      <c r="E417" s="168"/>
      <c r="F417" s="169"/>
      <c r="G417" s="169"/>
      <c r="H417" s="17"/>
      <c r="I417" s="594"/>
      <c r="J417" s="111"/>
      <c r="K417" s="111"/>
      <c r="L417" s="111"/>
      <c r="M417" s="111"/>
      <c r="N417" s="60"/>
      <c r="O417" s="60"/>
      <c r="P417" s="17"/>
      <c r="Q417" s="60"/>
      <c r="R417" s="60"/>
      <c r="S417" s="17"/>
      <c r="T417" s="60"/>
      <c r="U417" s="60"/>
      <c r="V417" s="359"/>
      <c r="W417" s="391"/>
      <c r="X417" s="17"/>
      <c r="Y417" s="18"/>
      <c r="Z417" s="19"/>
      <c r="AA417" s="19"/>
      <c r="AB417" s="19"/>
      <c r="AC417" s="17"/>
      <c r="AE417" s="111"/>
      <c r="AF417" s="111"/>
      <c r="AG417" s="111"/>
      <c r="AH417" s="545"/>
      <c r="AI417" s="131"/>
      <c r="AK417" s="111"/>
      <c r="AL417" s="111"/>
      <c r="AM417" s="111"/>
      <c r="AN417" s="545"/>
      <c r="AO417" s="131"/>
      <c r="AQ417" s="17"/>
      <c r="AR417" s="17"/>
      <c r="AS417" s="17"/>
      <c r="AT417" s="18"/>
      <c r="AU417" s="19"/>
      <c r="AW417" s="17"/>
      <c r="AX417" s="17"/>
      <c r="AY417" s="17"/>
      <c r="AZ417" s="18"/>
      <c r="BA417" s="19"/>
    </row>
    <row r="418" spans="1:53" ht="17.100000000000001" customHeight="1" x14ac:dyDescent="0.25">
      <c r="A418" s="40"/>
      <c r="B418" s="40"/>
      <c r="C418" s="179"/>
      <c r="D418" s="74"/>
      <c r="E418" s="170"/>
      <c r="F418" s="171"/>
      <c r="G418" s="171"/>
      <c r="H418" s="17"/>
      <c r="I418" s="594"/>
      <c r="J418" s="111"/>
      <c r="K418" s="111"/>
      <c r="L418" s="111"/>
      <c r="M418" s="111"/>
      <c r="N418" s="61"/>
      <c r="O418" s="61"/>
      <c r="P418" s="17"/>
      <c r="Q418" s="61"/>
      <c r="R418" s="61"/>
      <c r="S418" s="17"/>
      <c r="T418" s="61"/>
      <c r="U418" s="61"/>
      <c r="V418" s="359"/>
      <c r="W418" s="391"/>
      <c r="X418" s="17"/>
      <c r="Y418" s="18"/>
      <c r="Z418" s="19"/>
      <c r="AA418" s="19"/>
      <c r="AB418" s="19"/>
      <c r="AC418" s="17"/>
      <c r="AE418" s="111"/>
      <c r="AF418" s="111"/>
      <c r="AG418" s="111"/>
      <c r="AH418" s="545"/>
      <c r="AI418" s="131"/>
      <c r="AK418" s="111"/>
      <c r="AL418" s="111"/>
      <c r="AM418" s="111"/>
      <c r="AN418" s="545"/>
      <c r="AO418" s="131"/>
      <c r="AQ418" s="17"/>
      <c r="AR418" s="17"/>
      <c r="AS418" s="17"/>
      <c r="AT418" s="18"/>
      <c r="AU418" s="19"/>
      <c r="AW418" s="17"/>
      <c r="AX418" s="17"/>
      <c r="AY418" s="17"/>
      <c r="AZ418" s="18"/>
      <c r="BA418" s="19"/>
    </row>
    <row r="419" spans="1:53" ht="17.100000000000001" customHeight="1" x14ac:dyDescent="0.25">
      <c r="A419" s="40"/>
      <c r="B419" s="40"/>
      <c r="C419" s="179"/>
      <c r="D419" s="74"/>
      <c r="E419" s="168"/>
      <c r="F419" s="169"/>
      <c r="G419" s="169"/>
      <c r="H419" s="17"/>
      <c r="I419" s="594"/>
      <c r="J419" s="111"/>
      <c r="K419" s="111"/>
      <c r="L419" s="111"/>
      <c r="M419" s="111"/>
      <c r="N419" s="60"/>
      <c r="O419" s="60"/>
      <c r="P419" s="17"/>
      <c r="Q419" s="60"/>
      <c r="R419" s="60"/>
      <c r="S419" s="17"/>
      <c r="T419" s="60"/>
      <c r="U419" s="60"/>
      <c r="V419" s="359"/>
      <c r="W419" s="391"/>
      <c r="X419" s="17"/>
      <c r="Y419" s="18"/>
      <c r="Z419" s="19"/>
      <c r="AA419" s="19"/>
      <c r="AB419" s="19"/>
      <c r="AC419" s="17"/>
      <c r="AE419" s="111"/>
      <c r="AF419" s="111"/>
      <c r="AG419" s="111"/>
      <c r="AH419" s="545"/>
      <c r="AI419" s="131"/>
      <c r="AK419" s="111"/>
      <c r="AL419" s="111"/>
      <c r="AM419" s="111"/>
      <c r="AN419" s="545"/>
      <c r="AO419" s="131"/>
      <c r="AQ419" s="17"/>
      <c r="AR419" s="17"/>
      <c r="AS419" s="17"/>
      <c r="AT419" s="18"/>
      <c r="AU419" s="19"/>
      <c r="AW419" s="17"/>
      <c r="AX419" s="17"/>
      <c r="AY419" s="17"/>
      <c r="AZ419" s="18"/>
      <c r="BA419" s="19"/>
    </row>
    <row r="420" spans="1:53" ht="17.100000000000001" customHeight="1" x14ac:dyDescent="0.25">
      <c r="A420" s="40"/>
      <c r="B420" s="40"/>
      <c r="C420" s="179"/>
      <c r="D420" s="74"/>
      <c r="E420" s="170"/>
      <c r="F420" s="171"/>
      <c r="G420" s="171"/>
      <c r="H420" s="17"/>
      <c r="I420" s="594"/>
      <c r="J420" s="111"/>
      <c r="K420" s="111"/>
      <c r="L420" s="111"/>
      <c r="M420" s="111"/>
      <c r="N420" s="61"/>
      <c r="O420" s="61"/>
      <c r="P420" s="17"/>
      <c r="Q420" s="61"/>
      <c r="R420" s="61"/>
      <c r="S420" s="17"/>
      <c r="T420" s="61"/>
      <c r="U420" s="61"/>
      <c r="V420" s="359"/>
      <c r="W420" s="391"/>
      <c r="X420" s="17"/>
      <c r="Y420" s="18"/>
      <c r="Z420" s="19"/>
      <c r="AA420" s="19"/>
      <c r="AB420" s="19"/>
      <c r="AC420" s="17"/>
      <c r="AE420" s="111"/>
      <c r="AF420" s="111"/>
      <c r="AG420" s="111"/>
      <c r="AH420" s="545"/>
      <c r="AI420" s="131"/>
      <c r="AK420" s="111"/>
      <c r="AL420" s="111"/>
      <c r="AM420" s="111"/>
      <c r="AN420" s="545"/>
      <c r="AO420" s="131"/>
      <c r="AQ420" s="17"/>
      <c r="AR420" s="17"/>
      <c r="AS420" s="17"/>
      <c r="AT420" s="18"/>
      <c r="AU420" s="19"/>
      <c r="AW420" s="17"/>
      <c r="AX420" s="17"/>
      <c r="AY420" s="17"/>
      <c r="AZ420" s="18"/>
      <c r="BA420" s="19"/>
    </row>
    <row r="421" spans="1:53" ht="17.100000000000001" customHeight="1" x14ac:dyDescent="0.25">
      <c r="A421" s="40"/>
      <c r="B421" s="40"/>
      <c r="C421" s="77"/>
      <c r="D421" s="134"/>
      <c r="E421" s="134"/>
      <c r="F421" s="134"/>
      <c r="G421" s="134"/>
      <c r="H421" s="540"/>
      <c r="I421" s="229"/>
      <c r="J421" s="80"/>
      <c r="K421" s="80"/>
      <c r="L421" s="81"/>
      <c r="M421" s="81"/>
      <c r="N421" s="81">
        <f>SUM(N411:N416)</f>
        <v>0</v>
      </c>
      <c r="O421" s="81">
        <f t="shared" ref="O421:V421" si="475">SUM(O411:O416)</f>
        <v>0</v>
      </c>
      <c r="P421" s="81">
        <f t="shared" si="475"/>
        <v>0</v>
      </c>
      <c r="Q421" s="81">
        <f t="shared" si="475"/>
        <v>1</v>
      </c>
      <c r="R421" s="81">
        <f t="shared" si="475"/>
        <v>7</v>
      </c>
      <c r="S421" s="81">
        <f t="shared" si="475"/>
        <v>8</v>
      </c>
      <c r="T421" s="81">
        <f t="shared" si="475"/>
        <v>0</v>
      </c>
      <c r="U421" s="81">
        <f t="shared" si="475"/>
        <v>0</v>
      </c>
      <c r="V421" s="81">
        <f t="shared" si="475"/>
        <v>0</v>
      </c>
      <c r="W421" s="381">
        <f>SUM(W411:W416)</f>
        <v>1</v>
      </c>
      <c r="X421" s="82">
        <f t="shared" ref="X421:Y421" si="476">SUM(X411:X416)</f>
        <v>7</v>
      </c>
      <c r="Y421" s="82">
        <f t="shared" si="476"/>
        <v>8</v>
      </c>
      <c r="Z421" s="205">
        <f t="shared" ref="Z421" si="477">IF(Y$421=0,0,Y421/Y$421)</f>
        <v>1</v>
      </c>
      <c r="AA421" s="205"/>
      <c r="AB421" s="205"/>
      <c r="AC421" s="83"/>
      <c r="AE421" s="80"/>
      <c r="AF421" s="80"/>
      <c r="AG421" s="81"/>
      <c r="AH421" s="82"/>
      <c r="AI421" s="66"/>
      <c r="AK421" s="80"/>
      <c r="AL421" s="80"/>
      <c r="AM421" s="81"/>
      <c r="AN421" s="82"/>
      <c r="AO421" s="66"/>
      <c r="AQ421" s="80"/>
      <c r="AR421" s="80"/>
      <c r="AS421" s="81"/>
      <c r="AT421" s="82">
        <f>SUM(AT411:AT416)</f>
        <v>1</v>
      </c>
      <c r="AU421" s="66">
        <f t="shared" si="472"/>
        <v>1</v>
      </c>
      <c r="AW421" s="80"/>
      <c r="AX421" s="80"/>
      <c r="AY421" s="81"/>
      <c r="AZ421" s="82">
        <f>SUM(AZ411:AZ416)</f>
        <v>7</v>
      </c>
      <c r="BA421" s="66">
        <f t="shared" si="473"/>
        <v>1</v>
      </c>
    </row>
    <row r="422" spans="1:53" s="117" customFormat="1" ht="17.100000000000001" customHeight="1" x14ac:dyDescent="0.25">
      <c r="A422" s="68"/>
      <c r="B422" s="119"/>
      <c r="C422" s="540"/>
      <c r="D422" s="261"/>
      <c r="E422" s="261"/>
      <c r="F422" s="68"/>
      <c r="G422" s="68"/>
      <c r="H422" s="119"/>
      <c r="I422" s="138"/>
      <c r="J422" s="17"/>
      <c r="K422" s="17"/>
      <c r="L422" s="17"/>
      <c r="M422" s="17"/>
      <c r="N422" s="17" t="str">
        <f>IF(N421&gt;=N$409,"OK","NOK")</f>
        <v>OK</v>
      </c>
      <c r="O422" s="17" t="str">
        <f t="shared" ref="O422:U422" si="478">IF(O421&gt;=O$409,"OK","NOK")</f>
        <v>OK</v>
      </c>
      <c r="P422" s="17"/>
      <c r="Q422" s="17" t="str">
        <f t="shared" si="478"/>
        <v>OK</v>
      </c>
      <c r="R422" s="17" t="str">
        <f t="shared" si="478"/>
        <v>OK</v>
      </c>
      <c r="S422" s="17"/>
      <c r="T422" s="17" t="str">
        <f t="shared" si="478"/>
        <v>OK</v>
      </c>
      <c r="U422" s="17" t="str">
        <f t="shared" si="478"/>
        <v>OK</v>
      </c>
      <c r="V422" s="17"/>
      <c r="W422" s="382"/>
      <c r="X422" s="539"/>
      <c r="Y422" s="539"/>
      <c r="Z422" s="201"/>
      <c r="AA422" s="201"/>
      <c r="AB422" s="201"/>
      <c r="AC422" s="84"/>
      <c r="AE422" s="46"/>
      <c r="AF422" s="46"/>
      <c r="AG422" s="17"/>
      <c r="AH422" s="539"/>
      <c r="AI422" s="91"/>
      <c r="AK422" s="46"/>
      <c r="AL422" s="46"/>
      <c r="AM422" s="17"/>
      <c r="AN422" s="539"/>
      <c r="AO422" s="91"/>
      <c r="AQ422" s="46"/>
      <c r="AR422" s="46"/>
      <c r="AS422" s="17"/>
      <c r="AT422" s="539"/>
      <c r="AU422" s="91"/>
      <c r="AW422" s="46"/>
      <c r="AX422" s="46"/>
      <c r="AY422" s="17"/>
      <c r="AZ422" s="539"/>
      <c r="BA422" s="91"/>
    </row>
    <row r="423" spans="1:53" ht="17.100000000000001" customHeight="1" x14ac:dyDescent="0.25">
      <c r="A423" s="175"/>
      <c r="B423" s="40"/>
      <c r="C423" s="56" t="s">
        <v>230</v>
      </c>
      <c r="D423" s="57" t="s">
        <v>231</v>
      </c>
      <c r="E423" s="149"/>
      <c r="F423" s="149"/>
      <c r="G423" s="149"/>
      <c r="H423" s="182"/>
      <c r="I423" s="241"/>
      <c r="J423" s="152"/>
      <c r="K423" s="152"/>
      <c r="L423" s="111"/>
      <c r="M423" s="111"/>
      <c r="N423" s="111"/>
      <c r="O423" s="111"/>
      <c r="P423" s="111"/>
      <c r="Q423" s="111"/>
      <c r="R423" s="111"/>
      <c r="S423" s="111"/>
      <c r="T423" s="111"/>
      <c r="U423" s="111"/>
      <c r="V423" s="358"/>
      <c r="W423" s="380"/>
      <c r="X423" s="111"/>
      <c r="Y423" s="545"/>
      <c r="Z423" s="131"/>
      <c r="AA423" s="131"/>
      <c r="AB423" s="131"/>
      <c r="AC423" s="113"/>
      <c r="AE423" s="152"/>
      <c r="AF423" s="152"/>
      <c r="AG423" s="111"/>
      <c r="AH423" s="545"/>
      <c r="AI423" s="131"/>
      <c r="AK423" s="152"/>
      <c r="AL423" s="152"/>
      <c r="AM423" s="111"/>
      <c r="AN423" s="545"/>
      <c r="AO423" s="131"/>
      <c r="AQ423" s="152"/>
      <c r="AR423" s="152"/>
      <c r="AS423" s="111"/>
      <c r="AT423" s="545"/>
      <c r="AU423" s="131"/>
      <c r="AW423" s="152"/>
      <c r="AX423" s="152"/>
      <c r="AY423" s="111"/>
      <c r="AZ423" s="545"/>
      <c r="BA423" s="131"/>
    </row>
    <row r="424" spans="1:53" ht="17.100000000000001" customHeight="1" x14ac:dyDescent="0.25">
      <c r="A424" s="175"/>
      <c r="B424" s="40"/>
      <c r="C424" s="55"/>
      <c r="D424" s="56" t="s">
        <v>232</v>
      </c>
      <c r="E424" s="85" t="s">
        <v>173</v>
      </c>
      <c r="F424" s="167"/>
      <c r="G424" s="149"/>
      <c r="H424" s="182"/>
      <c r="I424" s="241"/>
      <c r="J424" s="111"/>
      <c r="K424" s="111"/>
      <c r="L424" s="111"/>
      <c r="M424" s="111"/>
      <c r="N424" s="60"/>
      <c r="O424" s="60"/>
      <c r="P424" s="17">
        <f>SUM(N424:O424)</f>
        <v>0</v>
      </c>
      <c r="Q424" s="60"/>
      <c r="R424" s="60"/>
      <c r="S424" s="17">
        <f>SUM(Q424:R424)</f>
        <v>0</v>
      </c>
      <c r="T424" s="60"/>
      <c r="U424" s="60"/>
      <c r="V424" s="359">
        <f>SUM(T424:U424)</f>
        <v>0</v>
      </c>
      <c r="W424" s="391">
        <f t="shared" ref="W424:W425" si="479">J424+K424+N424+Q424+T424</f>
        <v>0</v>
      </c>
      <c r="X424" s="17">
        <f t="shared" ref="X424:X425" si="480">L424+O424+R424+U424</f>
        <v>0</v>
      </c>
      <c r="Y424" s="18">
        <f>SUM(W424:X424)</f>
        <v>0</v>
      </c>
      <c r="Z424" s="19">
        <f>IF(Y$370=0,0,Y424/Y$370)</f>
        <v>0</v>
      </c>
      <c r="AA424" s="19"/>
      <c r="AB424" s="19"/>
      <c r="AC424" s="20"/>
      <c r="AE424" s="111"/>
      <c r="AF424" s="111"/>
      <c r="AG424" s="111"/>
      <c r="AH424" s="112"/>
      <c r="AI424" s="113"/>
      <c r="AK424" s="111"/>
      <c r="AL424" s="111"/>
      <c r="AM424" s="111"/>
      <c r="AN424" s="112"/>
      <c r="AO424" s="113"/>
      <c r="AQ424" s="17"/>
      <c r="AR424" s="17"/>
      <c r="AS424" s="17"/>
      <c r="AT424" s="18">
        <f t="shared" ref="AT424:AT425" si="481">W424</f>
        <v>0</v>
      </c>
      <c r="AU424" s="19">
        <f>IF(AT$430=0,0,AT424/AT$430)</f>
        <v>0</v>
      </c>
      <c r="AW424" s="17"/>
      <c r="AX424" s="17"/>
      <c r="AY424" s="17"/>
      <c r="AZ424" s="18">
        <f t="shared" ref="AZ424:AZ425" si="482">X424</f>
        <v>0</v>
      </c>
      <c r="BA424" s="19">
        <f>IF(AZ$430=0,0,AZ424/AZ$430)</f>
        <v>0</v>
      </c>
    </row>
    <row r="425" spans="1:53" ht="17.100000000000001" customHeight="1" x14ac:dyDescent="0.25">
      <c r="A425" s="175"/>
      <c r="B425" s="40"/>
      <c r="C425" s="55"/>
      <c r="D425" s="56" t="s">
        <v>233</v>
      </c>
      <c r="E425" s="85" t="s">
        <v>544</v>
      </c>
      <c r="F425" s="167"/>
      <c r="G425" s="149"/>
      <c r="H425" s="182"/>
      <c r="I425" s="241"/>
      <c r="J425" s="111"/>
      <c r="K425" s="111"/>
      <c r="L425" s="111"/>
      <c r="M425" s="111"/>
      <c r="N425" s="61"/>
      <c r="O425" s="61"/>
      <c r="P425" s="17">
        <f t="shared" ref="P425:P429" si="483">SUM(N425:O425)</f>
        <v>0</v>
      </c>
      <c r="Q425" s="61">
        <v>1</v>
      </c>
      <c r="R425" s="61">
        <v>7</v>
      </c>
      <c r="S425" s="17">
        <f t="shared" ref="S425:S429" si="484">SUM(Q425:R425)</f>
        <v>8</v>
      </c>
      <c r="T425" s="61"/>
      <c r="U425" s="61"/>
      <c r="V425" s="359">
        <f t="shared" ref="V425:V429" si="485">SUM(T425:U425)</f>
        <v>0</v>
      </c>
      <c r="W425" s="391">
        <f t="shared" si="479"/>
        <v>1</v>
      </c>
      <c r="X425" s="17">
        <f t="shared" si="480"/>
        <v>7</v>
      </c>
      <c r="Y425" s="18">
        <f>SUM(W425:X425)</f>
        <v>8</v>
      </c>
      <c r="Z425" s="19">
        <f>IF(Y$370=0,0,Y425/Y$370)</f>
        <v>0</v>
      </c>
      <c r="AA425" s="19"/>
      <c r="AB425" s="19"/>
      <c r="AC425" s="20"/>
      <c r="AE425" s="111"/>
      <c r="AF425" s="111"/>
      <c r="AG425" s="111"/>
      <c r="AH425" s="112"/>
      <c r="AI425" s="113"/>
      <c r="AK425" s="111"/>
      <c r="AL425" s="111"/>
      <c r="AM425" s="111"/>
      <c r="AN425" s="112"/>
      <c r="AO425" s="113"/>
      <c r="AQ425" s="17"/>
      <c r="AR425" s="17"/>
      <c r="AS425" s="17"/>
      <c r="AT425" s="18">
        <f t="shared" si="481"/>
        <v>1</v>
      </c>
      <c r="AU425" s="19">
        <f>IF(AT$430=0,0,AT425/AT$430)</f>
        <v>1</v>
      </c>
      <c r="AW425" s="17"/>
      <c r="AX425" s="17"/>
      <c r="AY425" s="17"/>
      <c r="AZ425" s="18">
        <f t="shared" si="482"/>
        <v>7</v>
      </c>
      <c r="BA425" s="19">
        <f>IF(AZ$430=0,0,AZ425/AZ$430)</f>
        <v>1</v>
      </c>
    </row>
    <row r="426" spans="1:53" ht="17.100000000000001" customHeight="1" x14ac:dyDescent="0.25">
      <c r="A426" s="175"/>
      <c r="B426" s="40"/>
      <c r="C426" s="55"/>
      <c r="D426" s="56" t="s">
        <v>234</v>
      </c>
      <c r="E426" s="146" t="s">
        <v>484</v>
      </c>
      <c r="F426" s="149"/>
      <c r="G426" s="149"/>
      <c r="H426" s="182"/>
      <c r="I426" s="241"/>
      <c r="J426" s="111"/>
      <c r="K426" s="111"/>
      <c r="L426" s="111"/>
      <c r="M426" s="111"/>
      <c r="N426" s="60"/>
      <c r="O426" s="60"/>
      <c r="P426" s="17"/>
      <c r="Q426" s="60">
        <v>400000</v>
      </c>
      <c r="R426" s="60">
        <v>100000</v>
      </c>
      <c r="S426" s="17"/>
      <c r="T426" s="60"/>
      <c r="U426" s="60"/>
      <c r="V426" s="359"/>
      <c r="W426" s="391">
        <f>MIN(N426,Q426,T426)</f>
        <v>400000</v>
      </c>
      <c r="X426" s="17">
        <f>MIN(O426,R426,U426)</f>
        <v>100000</v>
      </c>
      <c r="Y426" s="18"/>
      <c r="Z426" s="19"/>
      <c r="AA426" s="17">
        <f>MIN(N426:U426)</f>
        <v>100000</v>
      </c>
      <c r="AB426" s="17"/>
      <c r="AC426" s="17"/>
      <c r="AE426" s="111"/>
      <c r="AF426" s="111"/>
      <c r="AG426" s="111"/>
      <c r="AH426" s="545"/>
      <c r="AI426" s="131"/>
      <c r="AK426" s="111"/>
      <c r="AL426" s="111"/>
      <c r="AM426" s="111"/>
      <c r="AN426" s="545"/>
      <c r="AO426" s="131"/>
      <c r="AQ426" s="17">
        <f>W426</f>
        <v>400000</v>
      </c>
      <c r="AR426" s="17"/>
      <c r="AS426" s="17"/>
      <c r="AT426" s="18"/>
      <c r="AU426" s="19"/>
      <c r="AW426" s="17">
        <f>X426</f>
        <v>100000</v>
      </c>
      <c r="AX426" s="17"/>
      <c r="AY426" s="17"/>
      <c r="AZ426" s="18"/>
      <c r="BA426" s="19"/>
    </row>
    <row r="427" spans="1:53" ht="17.100000000000001" customHeight="1" x14ac:dyDescent="0.25">
      <c r="A427" s="175"/>
      <c r="B427" s="40"/>
      <c r="C427" s="55"/>
      <c r="D427" s="56" t="s">
        <v>235</v>
      </c>
      <c r="E427" s="146" t="s">
        <v>485</v>
      </c>
      <c r="F427" s="149"/>
      <c r="G427" s="149"/>
      <c r="H427" s="182"/>
      <c r="I427" s="241"/>
      <c r="J427" s="111"/>
      <c r="K427" s="111"/>
      <c r="L427" s="111"/>
      <c r="M427" s="111"/>
      <c r="N427" s="61"/>
      <c r="O427" s="61"/>
      <c r="P427" s="17"/>
      <c r="Q427" s="61">
        <v>400000</v>
      </c>
      <c r="R427" s="61">
        <v>800000</v>
      </c>
      <c r="S427" s="17"/>
      <c r="T427" s="61"/>
      <c r="U427" s="61"/>
      <c r="V427" s="359"/>
      <c r="W427" s="391">
        <f>MAX(N427,Q427,T427)</f>
        <v>400000</v>
      </c>
      <c r="X427" s="17">
        <f>MAX(O427,R427,U427)</f>
        <v>800000</v>
      </c>
      <c r="Y427" s="18"/>
      <c r="Z427" s="19"/>
      <c r="AA427" s="17"/>
      <c r="AB427" s="17">
        <f>MAX(N427:U427)</f>
        <v>800000</v>
      </c>
      <c r="AC427" s="17"/>
      <c r="AE427" s="111"/>
      <c r="AF427" s="111"/>
      <c r="AG427" s="111"/>
      <c r="AH427" s="545"/>
      <c r="AI427" s="131"/>
      <c r="AK427" s="111"/>
      <c r="AL427" s="111"/>
      <c r="AM427" s="111"/>
      <c r="AN427" s="545"/>
      <c r="AO427" s="131"/>
      <c r="AQ427" s="17"/>
      <c r="AR427" s="17">
        <f>W427</f>
        <v>400000</v>
      </c>
      <c r="AS427" s="17"/>
      <c r="AT427" s="18"/>
      <c r="AU427" s="19"/>
      <c r="AW427" s="17"/>
      <c r="AX427" s="17">
        <f>X427</f>
        <v>800000</v>
      </c>
      <c r="AY427" s="17"/>
      <c r="AZ427" s="18"/>
      <c r="BA427" s="19"/>
    </row>
    <row r="428" spans="1:53" ht="17.100000000000001" customHeight="1" x14ac:dyDescent="0.25">
      <c r="A428" s="175"/>
      <c r="B428" s="40"/>
      <c r="C428" s="55"/>
      <c r="D428" s="56" t="s">
        <v>236</v>
      </c>
      <c r="E428" s="146" t="s">
        <v>543</v>
      </c>
      <c r="F428" s="149"/>
      <c r="G428" s="149"/>
      <c r="H428" s="182"/>
      <c r="I428" s="241"/>
      <c r="J428" s="111"/>
      <c r="K428" s="111"/>
      <c r="L428" s="111"/>
      <c r="M428" s="111"/>
      <c r="N428" s="60"/>
      <c r="O428" s="60"/>
      <c r="P428" s="17"/>
      <c r="Q428" s="60">
        <v>400000</v>
      </c>
      <c r="R428" s="60">
        <v>292800</v>
      </c>
      <c r="S428" s="17"/>
      <c r="T428" s="60"/>
      <c r="U428" s="60"/>
      <c r="V428" s="359"/>
      <c r="W428" s="391">
        <f>IF(N428+Q428+T428=0,0,AVERAGE(N428,Q428,T428))</f>
        <v>400000</v>
      </c>
      <c r="X428" s="17">
        <f>IF(O428+R428+U428=0,0,AVERAGE(O428,R428,U428))</f>
        <v>292800</v>
      </c>
      <c r="Y428" s="18"/>
      <c r="Z428" s="19"/>
      <c r="AA428" s="17"/>
      <c r="AB428" s="17"/>
      <c r="AC428" s="17">
        <f>IF(SUM(N428:U428)=0,0,AVERAGE(N428:U428))</f>
        <v>346400</v>
      </c>
      <c r="AE428" s="111"/>
      <c r="AF428" s="111"/>
      <c r="AG428" s="111"/>
      <c r="AH428" s="545"/>
      <c r="AI428" s="131"/>
      <c r="AK428" s="111"/>
      <c r="AL428" s="111"/>
      <c r="AM428" s="111"/>
      <c r="AN428" s="545"/>
      <c r="AO428" s="131"/>
      <c r="AQ428" s="17"/>
      <c r="AR428" s="17"/>
      <c r="AS428" s="17">
        <f>W428</f>
        <v>400000</v>
      </c>
      <c r="AT428" s="18"/>
      <c r="AU428" s="19"/>
      <c r="AW428" s="17"/>
      <c r="AX428" s="17"/>
      <c r="AY428" s="17">
        <f>X428</f>
        <v>292800</v>
      </c>
      <c r="AZ428" s="18"/>
      <c r="BA428" s="19"/>
    </row>
    <row r="429" spans="1:53" ht="17.100000000000001" customHeight="1" x14ac:dyDescent="0.25">
      <c r="A429" s="175"/>
      <c r="B429" s="40"/>
      <c r="C429" s="55"/>
      <c r="D429" s="56" t="s">
        <v>237</v>
      </c>
      <c r="E429" s="85" t="s">
        <v>129</v>
      </c>
      <c r="F429" s="167"/>
      <c r="G429" s="149"/>
      <c r="H429" s="182"/>
      <c r="I429" s="241"/>
      <c r="J429" s="111"/>
      <c r="K429" s="111"/>
      <c r="L429" s="111"/>
      <c r="M429" s="111"/>
      <c r="N429" s="61"/>
      <c r="O429" s="61"/>
      <c r="P429" s="17">
        <f t="shared" si="483"/>
        <v>0</v>
      </c>
      <c r="Q429" s="61"/>
      <c r="R429" s="61"/>
      <c r="S429" s="17">
        <f t="shared" si="484"/>
        <v>0</v>
      </c>
      <c r="T429" s="61"/>
      <c r="U429" s="61"/>
      <c r="V429" s="359">
        <f t="shared" si="485"/>
        <v>0</v>
      </c>
      <c r="W429" s="391">
        <f t="shared" ref="W429" si="486">J429+K429+N429+Q429+T429</f>
        <v>0</v>
      </c>
      <c r="X429" s="17">
        <f t="shared" ref="X429" si="487">L429+O429+R429+U429</f>
        <v>0</v>
      </c>
      <c r="Y429" s="18">
        <f>SUM(W429:X429)</f>
        <v>0</v>
      </c>
      <c r="Z429" s="19">
        <f>IF(Y$370=0,0,Y429/Y$370)</f>
        <v>0</v>
      </c>
      <c r="AA429" s="19"/>
      <c r="AB429" s="19"/>
      <c r="AC429" s="20"/>
      <c r="AE429" s="111"/>
      <c r="AF429" s="111"/>
      <c r="AG429" s="111"/>
      <c r="AH429" s="112"/>
      <c r="AI429" s="113"/>
      <c r="AK429" s="111"/>
      <c r="AL429" s="111"/>
      <c r="AM429" s="111"/>
      <c r="AN429" s="112"/>
      <c r="AO429" s="113"/>
      <c r="AQ429" s="17"/>
      <c r="AR429" s="17"/>
      <c r="AS429" s="17"/>
      <c r="AT429" s="18">
        <f t="shared" ref="AT429" si="488">W429</f>
        <v>0</v>
      </c>
      <c r="AU429" s="19">
        <f>IF(AT$430=0,0,AT429/AT$430)</f>
        <v>0</v>
      </c>
      <c r="AW429" s="17"/>
      <c r="AX429" s="17"/>
      <c r="AY429" s="17"/>
      <c r="AZ429" s="18">
        <f t="shared" ref="AZ429" si="489">X429</f>
        <v>0</v>
      </c>
      <c r="BA429" s="19">
        <f>IF(AZ$430=0,0,AZ429/AZ$430)</f>
        <v>0</v>
      </c>
    </row>
    <row r="430" spans="1:53" ht="17.100000000000001" customHeight="1" x14ac:dyDescent="0.25">
      <c r="A430" s="40"/>
      <c r="B430" s="40"/>
      <c r="C430" s="77"/>
      <c r="D430" s="134"/>
      <c r="E430" s="134"/>
      <c r="F430" s="134"/>
      <c r="G430" s="134"/>
      <c r="H430" s="540"/>
      <c r="I430" s="229"/>
      <c r="J430" s="80"/>
      <c r="K430" s="80"/>
      <c r="L430" s="81"/>
      <c r="M430" s="81"/>
      <c r="N430" s="81">
        <f>N424+N425+N429</f>
        <v>0</v>
      </c>
      <c r="O430" s="81">
        <f t="shared" ref="O430:V430" si="490">O424+O425+O429</f>
        <v>0</v>
      </c>
      <c r="P430" s="81">
        <f t="shared" si="490"/>
        <v>0</v>
      </c>
      <c r="Q430" s="81">
        <f t="shared" si="490"/>
        <v>1</v>
      </c>
      <c r="R430" s="81">
        <f t="shared" si="490"/>
        <v>7</v>
      </c>
      <c r="S430" s="81">
        <f t="shared" si="490"/>
        <v>8</v>
      </c>
      <c r="T430" s="81">
        <f t="shared" si="490"/>
        <v>0</v>
      </c>
      <c r="U430" s="81">
        <f t="shared" si="490"/>
        <v>0</v>
      </c>
      <c r="V430" s="81">
        <f t="shared" si="490"/>
        <v>0</v>
      </c>
      <c r="W430" s="381">
        <f>W424+W425+W429</f>
        <v>1</v>
      </c>
      <c r="X430" s="82">
        <f t="shared" ref="X430:Y430" si="491">X424+X425+X429</f>
        <v>7</v>
      </c>
      <c r="Y430" s="338">
        <f t="shared" si="491"/>
        <v>8</v>
      </c>
      <c r="Z430" s="205">
        <f>IF(Y$430=0,0,Y430/Y$430)</f>
        <v>1</v>
      </c>
      <c r="AA430" s="205"/>
      <c r="AB430" s="205"/>
      <c r="AC430" s="83"/>
      <c r="AE430" s="80"/>
      <c r="AF430" s="80"/>
      <c r="AG430" s="81"/>
      <c r="AH430" s="82"/>
      <c r="AI430" s="66"/>
      <c r="AK430" s="80"/>
      <c r="AL430" s="80"/>
      <c r="AM430" s="81"/>
      <c r="AN430" s="82"/>
      <c r="AO430" s="66"/>
      <c r="AQ430" s="80"/>
      <c r="AR430" s="80"/>
      <c r="AS430" s="81"/>
      <c r="AT430" s="82">
        <f>SUM(AT424:AT429)</f>
        <v>1</v>
      </c>
      <c r="AU430" s="66">
        <f>IF(AT$430=0,0,AT430/AT$430)</f>
        <v>1</v>
      </c>
      <c r="AW430" s="80"/>
      <c r="AX430" s="80"/>
      <c r="AY430" s="81"/>
      <c r="AZ430" s="82">
        <f>SUM(AZ424:AZ429)</f>
        <v>7</v>
      </c>
      <c r="BA430" s="66">
        <f>IF(AZ$430=0,0,AZ430/AZ$430)</f>
        <v>1</v>
      </c>
    </row>
    <row r="431" spans="1:53" s="117" customFormat="1" ht="17.100000000000001" customHeight="1" x14ac:dyDescent="0.25">
      <c r="A431" s="68"/>
      <c r="B431" s="119"/>
      <c r="C431" s="540"/>
      <c r="D431" s="261"/>
      <c r="E431" s="261"/>
      <c r="F431" s="68"/>
      <c r="G431" s="68"/>
      <c r="H431" s="119"/>
      <c r="I431" s="138"/>
      <c r="J431" s="17"/>
      <c r="K431" s="17"/>
      <c r="L431" s="17"/>
      <c r="M431" s="17"/>
      <c r="N431" s="17" t="str">
        <f>IF(N430=N$403,"OK","NOK")</f>
        <v>OK</v>
      </c>
      <c r="O431" s="17" t="str">
        <f>IF(O430=O$403,"OK","NOK")</f>
        <v>OK</v>
      </c>
      <c r="P431" s="17"/>
      <c r="Q431" s="17" t="str">
        <f>IF(Q430=Q$403,"OK","NOK")</f>
        <v>OK</v>
      </c>
      <c r="R431" s="17" t="str">
        <f>IF(R430=R$403,"OK","NOK")</f>
        <v>OK</v>
      </c>
      <c r="S431" s="17"/>
      <c r="T431" s="17" t="str">
        <f>IF(T430=T$403,"OK","NOK")</f>
        <v>OK</v>
      </c>
      <c r="U431" s="17" t="str">
        <f>IF(U430=U$403,"OK","NOK")</f>
        <v>OK</v>
      </c>
      <c r="V431" s="359"/>
      <c r="W431" s="382"/>
      <c r="X431" s="539"/>
      <c r="Y431" s="539"/>
      <c r="Z431" s="201"/>
      <c r="AA431" s="201"/>
      <c r="AB431" s="201"/>
      <c r="AC431" s="84"/>
      <c r="AE431" s="46"/>
      <c r="AF431" s="46"/>
      <c r="AG431" s="17"/>
      <c r="AH431" s="539"/>
      <c r="AI431" s="91"/>
      <c r="AK431" s="46"/>
      <c r="AL431" s="46"/>
      <c r="AM431" s="17"/>
      <c r="AN431" s="539"/>
      <c r="AO431" s="91"/>
      <c r="AQ431" s="46"/>
      <c r="AR431" s="46"/>
      <c r="AS431" s="17"/>
      <c r="AT431" s="539"/>
      <c r="AU431" s="91"/>
      <c r="AW431" s="46"/>
      <c r="AX431" s="46"/>
      <c r="AY431" s="17"/>
      <c r="AZ431" s="539"/>
      <c r="BA431" s="91"/>
    </row>
    <row r="432" spans="1:53" ht="17.100000000000001" customHeight="1" x14ac:dyDescent="0.25">
      <c r="A432" s="175"/>
      <c r="B432" s="40"/>
      <c r="C432" s="56" t="s">
        <v>238</v>
      </c>
      <c r="D432" s="57" t="s">
        <v>477</v>
      </c>
      <c r="E432" s="149"/>
      <c r="F432" s="149"/>
      <c r="G432" s="149"/>
      <c r="H432" s="182"/>
      <c r="I432" s="241"/>
      <c r="J432" s="152"/>
      <c r="K432" s="152"/>
      <c r="L432" s="111"/>
      <c r="M432" s="111"/>
      <c r="N432" s="111"/>
      <c r="O432" s="111"/>
      <c r="P432" s="111"/>
      <c r="Q432" s="111"/>
      <c r="R432" s="111"/>
      <c r="S432" s="111"/>
      <c r="T432" s="111"/>
      <c r="U432" s="111"/>
      <c r="V432" s="358"/>
      <c r="W432" s="380"/>
      <c r="X432" s="111"/>
      <c r="Y432" s="545"/>
      <c r="Z432" s="131"/>
      <c r="AA432" s="131"/>
      <c r="AB432" s="131"/>
      <c r="AC432" s="113"/>
      <c r="AE432" s="152"/>
      <c r="AF432" s="152"/>
      <c r="AG432" s="111"/>
      <c r="AH432" s="545"/>
      <c r="AI432" s="131"/>
      <c r="AK432" s="152"/>
      <c r="AL432" s="152"/>
      <c r="AM432" s="111"/>
      <c r="AN432" s="545"/>
      <c r="AO432" s="131"/>
      <c r="AQ432" s="152"/>
      <c r="AR432" s="152"/>
      <c r="AS432" s="111"/>
      <c r="AT432" s="545"/>
      <c r="AU432" s="131"/>
      <c r="AW432" s="152"/>
      <c r="AX432" s="152"/>
      <c r="AY432" s="111"/>
      <c r="AZ432" s="545"/>
      <c r="BA432" s="131"/>
    </row>
    <row r="433" spans="1:53" ht="17.100000000000001" customHeight="1" x14ac:dyDescent="0.25">
      <c r="A433" s="175"/>
      <c r="B433" s="40"/>
      <c r="C433" s="55"/>
      <c r="D433" s="56" t="s">
        <v>239</v>
      </c>
      <c r="E433" s="85" t="s">
        <v>478</v>
      </c>
      <c r="F433" s="149"/>
      <c r="G433" s="149"/>
      <c r="H433" s="182"/>
      <c r="I433" s="241"/>
      <c r="J433" s="111"/>
      <c r="K433" s="111"/>
      <c r="L433" s="111"/>
      <c r="M433" s="111"/>
      <c r="N433" s="60"/>
      <c r="O433" s="60"/>
      <c r="P433" s="17">
        <f t="shared" ref="P433:P440" si="492">SUM(N433:O433)</f>
        <v>0</v>
      </c>
      <c r="Q433" s="60"/>
      <c r="R433" s="60"/>
      <c r="S433" s="17">
        <f t="shared" ref="S433:S440" si="493">SUM(Q433:R433)</f>
        <v>0</v>
      </c>
      <c r="T433" s="60"/>
      <c r="U433" s="60"/>
      <c r="V433" s="359">
        <f t="shared" ref="V433:V440" si="494">SUM(T433:U433)</f>
        <v>0</v>
      </c>
      <c r="W433" s="391">
        <f t="shared" ref="W433:W440" si="495">J433+K433+N433+Q433+T433</f>
        <v>0</v>
      </c>
      <c r="X433" s="17">
        <f t="shared" ref="X433:X440" si="496">L433+O433+R433+U433</f>
        <v>0</v>
      </c>
      <c r="Y433" s="18">
        <f t="shared" ref="Y433:Y440" si="497">SUM(W433:X433)</f>
        <v>0</v>
      </c>
      <c r="Z433" s="19">
        <f>IF(Y$441=0,0,Y433/Y$441)</f>
        <v>0</v>
      </c>
      <c r="AA433" s="19"/>
      <c r="AB433" s="19"/>
      <c r="AC433" s="84"/>
      <c r="AE433" s="111"/>
      <c r="AF433" s="111"/>
      <c r="AG433" s="111"/>
      <c r="AH433" s="112"/>
      <c r="AI433" s="113"/>
      <c r="AK433" s="111"/>
      <c r="AL433" s="111"/>
      <c r="AM433" s="111"/>
      <c r="AN433" s="112"/>
      <c r="AO433" s="113"/>
      <c r="AQ433" s="17"/>
      <c r="AR433" s="17"/>
      <c r="AS433" s="17"/>
      <c r="AT433" s="18">
        <f t="shared" ref="AT433:AT440" si="498">W433</f>
        <v>0</v>
      </c>
      <c r="AU433" s="19">
        <f>IF(AT$441=0,0,AT433/AT$441)</f>
        <v>0</v>
      </c>
      <c r="AW433" s="17"/>
      <c r="AX433" s="17"/>
      <c r="AY433" s="17"/>
      <c r="AZ433" s="18">
        <f t="shared" ref="AZ433:AZ440" si="499">X433</f>
        <v>0</v>
      </c>
      <c r="BA433" s="19">
        <f>IF(AZ$441=0,0,AZ433/AZ$441)</f>
        <v>0</v>
      </c>
    </row>
    <row r="434" spans="1:53" ht="17.100000000000001" customHeight="1" x14ac:dyDescent="0.25">
      <c r="A434" s="175"/>
      <c r="B434" s="40"/>
      <c r="C434" s="55"/>
      <c r="D434" s="56" t="s">
        <v>240</v>
      </c>
      <c r="E434" s="85" t="s">
        <v>165</v>
      </c>
      <c r="F434" s="149"/>
      <c r="G434" s="149"/>
      <c r="H434" s="182"/>
      <c r="I434" s="241"/>
      <c r="J434" s="111"/>
      <c r="K434" s="111"/>
      <c r="L434" s="111"/>
      <c r="M434" s="111"/>
      <c r="N434" s="61"/>
      <c r="O434" s="61"/>
      <c r="P434" s="17">
        <f t="shared" si="492"/>
        <v>0</v>
      </c>
      <c r="Q434" s="61">
        <v>1</v>
      </c>
      <c r="R434" s="61">
        <v>7</v>
      </c>
      <c r="S434" s="17">
        <f t="shared" si="493"/>
        <v>8</v>
      </c>
      <c r="T434" s="61"/>
      <c r="U434" s="61"/>
      <c r="V434" s="359">
        <f t="shared" si="494"/>
        <v>0</v>
      </c>
      <c r="W434" s="391">
        <f t="shared" si="495"/>
        <v>1</v>
      </c>
      <c r="X434" s="17">
        <f t="shared" si="496"/>
        <v>7</v>
      </c>
      <c r="Y434" s="18">
        <f t="shared" si="497"/>
        <v>8</v>
      </c>
      <c r="Z434" s="19">
        <f t="shared" ref="Z434:Z441" si="500">IF(Y$441=0,0,Y434/Y$441)</f>
        <v>1</v>
      </c>
      <c r="AA434" s="19"/>
      <c r="AB434" s="19"/>
      <c r="AC434" s="84"/>
      <c r="AE434" s="111"/>
      <c r="AF434" s="111"/>
      <c r="AG434" s="111"/>
      <c r="AH434" s="112"/>
      <c r="AI434" s="113"/>
      <c r="AK434" s="111"/>
      <c r="AL434" s="111"/>
      <c r="AM434" s="111"/>
      <c r="AN434" s="112"/>
      <c r="AO434" s="113"/>
      <c r="AQ434" s="17"/>
      <c r="AR434" s="17"/>
      <c r="AS434" s="17"/>
      <c r="AT434" s="18">
        <f t="shared" si="498"/>
        <v>1</v>
      </c>
      <c r="AU434" s="19">
        <f t="shared" ref="AU434:AU441" si="501">IF(AT$441=0,0,AT434/AT$441)</f>
        <v>1</v>
      </c>
      <c r="AW434" s="17"/>
      <c r="AX434" s="17"/>
      <c r="AY434" s="17"/>
      <c r="AZ434" s="18">
        <f t="shared" si="499"/>
        <v>7</v>
      </c>
      <c r="BA434" s="19">
        <f t="shared" ref="BA434:BA441" si="502">IF(AZ$441=0,0,AZ434/AZ$441)</f>
        <v>1</v>
      </c>
    </row>
    <row r="435" spans="1:53" ht="17.100000000000001" customHeight="1" x14ac:dyDescent="0.25">
      <c r="A435" s="175"/>
      <c r="B435" s="40"/>
      <c r="C435" s="55"/>
      <c r="D435" s="56" t="s">
        <v>241</v>
      </c>
      <c r="E435" s="85" t="s">
        <v>167</v>
      </c>
      <c r="F435" s="149"/>
      <c r="G435" s="149"/>
      <c r="H435" s="182"/>
      <c r="I435" s="241"/>
      <c r="J435" s="111"/>
      <c r="K435" s="111"/>
      <c r="L435" s="111"/>
      <c r="M435" s="111"/>
      <c r="N435" s="60"/>
      <c r="O435" s="60"/>
      <c r="P435" s="17">
        <f t="shared" si="492"/>
        <v>0</v>
      </c>
      <c r="Q435" s="60"/>
      <c r="R435" s="60"/>
      <c r="S435" s="17">
        <f t="shared" si="493"/>
        <v>0</v>
      </c>
      <c r="T435" s="60"/>
      <c r="U435" s="60"/>
      <c r="V435" s="359">
        <f t="shared" si="494"/>
        <v>0</v>
      </c>
      <c r="W435" s="391">
        <f t="shared" si="495"/>
        <v>0</v>
      </c>
      <c r="X435" s="17">
        <f t="shared" si="496"/>
        <v>0</v>
      </c>
      <c r="Y435" s="18">
        <f t="shared" si="497"/>
        <v>0</v>
      </c>
      <c r="Z435" s="19">
        <f t="shared" si="500"/>
        <v>0</v>
      </c>
      <c r="AA435" s="19"/>
      <c r="AB435" s="19"/>
      <c r="AC435" s="84"/>
      <c r="AE435" s="111"/>
      <c r="AF435" s="111"/>
      <c r="AG435" s="111"/>
      <c r="AH435" s="112"/>
      <c r="AI435" s="113"/>
      <c r="AK435" s="111"/>
      <c r="AL435" s="111"/>
      <c r="AM435" s="111"/>
      <c r="AN435" s="112"/>
      <c r="AO435" s="113"/>
      <c r="AQ435" s="17"/>
      <c r="AR435" s="17"/>
      <c r="AS435" s="17"/>
      <c r="AT435" s="18">
        <f t="shared" si="498"/>
        <v>0</v>
      </c>
      <c r="AU435" s="19">
        <f t="shared" si="501"/>
        <v>0</v>
      </c>
      <c r="AW435" s="17"/>
      <c r="AX435" s="17"/>
      <c r="AY435" s="17"/>
      <c r="AZ435" s="18">
        <f t="shared" si="499"/>
        <v>0</v>
      </c>
      <c r="BA435" s="19">
        <f t="shared" si="502"/>
        <v>0</v>
      </c>
    </row>
    <row r="436" spans="1:53" ht="17.100000000000001" customHeight="1" x14ac:dyDescent="0.25">
      <c r="A436" s="175"/>
      <c r="B436" s="40"/>
      <c r="C436" s="55"/>
      <c r="D436" s="56" t="s">
        <v>242</v>
      </c>
      <c r="E436" s="85" t="s">
        <v>991</v>
      </c>
      <c r="F436" s="149"/>
      <c r="G436" s="149"/>
      <c r="H436" s="182"/>
      <c r="I436" s="241"/>
      <c r="J436" s="111"/>
      <c r="K436" s="111"/>
      <c r="L436" s="111"/>
      <c r="M436" s="111"/>
      <c r="N436" s="61"/>
      <c r="O436" s="61"/>
      <c r="P436" s="17">
        <f t="shared" si="492"/>
        <v>0</v>
      </c>
      <c r="Q436" s="61"/>
      <c r="R436" s="61"/>
      <c r="S436" s="17">
        <f t="shared" si="493"/>
        <v>0</v>
      </c>
      <c r="T436" s="61"/>
      <c r="U436" s="61"/>
      <c r="V436" s="359">
        <f t="shared" si="494"/>
        <v>0</v>
      </c>
      <c r="W436" s="391">
        <f t="shared" si="495"/>
        <v>0</v>
      </c>
      <c r="X436" s="17">
        <f t="shared" si="496"/>
        <v>0</v>
      </c>
      <c r="Y436" s="18">
        <f t="shared" si="497"/>
        <v>0</v>
      </c>
      <c r="Z436" s="19">
        <f t="shared" si="500"/>
        <v>0</v>
      </c>
      <c r="AA436" s="19"/>
      <c r="AB436" s="19"/>
      <c r="AC436" s="84"/>
      <c r="AE436" s="111"/>
      <c r="AF436" s="111"/>
      <c r="AG436" s="111"/>
      <c r="AH436" s="112"/>
      <c r="AI436" s="113"/>
      <c r="AK436" s="111"/>
      <c r="AL436" s="111"/>
      <c r="AM436" s="111"/>
      <c r="AN436" s="112"/>
      <c r="AO436" s="113"/>
      <c r="AQ436" s="17"/>
      <c r="AR436" s="17"/>
      <c r="AS436" s="17"/>
      <c r="AT436" s="18">
        <f t="shared" si="498"/>
        <v>0</v>
      </c>
      <c r="AU436" s="19">
        <f t="shared" si="501"/>
        <v>0</v>
      </c>
      <c r="AW436" s="17"/>
      <c r="AX436" s="17"/>
      <c r="AY436" s="17"/>
      <c r="AZ436" s="18">
        <f t="shared" si="499"/>
        <v>0</v>
      </c>
      <c r="BA436" s="19">
        <f t="shared" si="502"/>
        <v>0</v>
      </c>
    </row>
    <row r="437" spans="1:53" ht="17.100000000000001" customHeight="1" x14ac:dyDescent="0.25">
      <c r="A437" s="175"/>
      <c r="B437" s="40"/>
      <c r="C437" s="55"/>
      <c r="D437" s="56" t="s">
        <v>243</v>
      </c>
      <c r="E437" s="85" t="s">
        <v>438</v>
      </c>
      <c r="F437" s="149"/>
      <c r="G437" s="149"/>
      <c r="H437" s="182"/>
      <c r="I437" s="241"/>
      <c r="J437" s="111"/>
      <c r="K437" s="111"/>
      <c r="L437" s="111"/>
      <c r="M437" s="111"/>
      <c r="N437" s="60"/>
      <c r="O437" s="60"/>
      <c r="P437" s="17">
        <f t="shared" si="492"/>
        <v>0</v>
      </c>
      <c r="Q437" s="60"/>
      <c r="R437" s="60"/>
      <c r="S437" s="17">
        <f t="shared" si="493"/>
        <v>0</v>
      </c>
      <c r="T437" s="60"/>
      <c r="U437" s="60"/>
      <c r="V437" s="359">
        <f t="shared" si="494"/>
        <v>0</v>
      </c>
      <c r="W437" s="391">
        <f t="shared" si="495"/>
        <v>0</v>
      </c>
      <c r="X437" s="17">
        <f t="shared" si="496"/>
        <v>0</v>
      </c>
      <c r="Y437" s="18">
        <f t="shared" si="497"/>
        <v>0</v>
      </c>
      <c r="Z437" s="19">
        <f t="shared" si="500"/>
        <v>0</v>
      </c>
      <c r="AA437" s="19"/>
      <c r="AB437" s="19"/>
      <c r="AC437" s="84"/>
      <c r="AE437" s="111"/>
      <c r="AF437" s="111"/>
      <c r="AG437" s="111"/>
      <c r="AH437" s="112"/>
      <c r="AI437" s="113"/>
      <c r="AK437" s="111"/>
      <c r="AL437" s="111"/>
      <c r="AM437" s="111"/>
      <c r="AN437" s="112"/>
      <c r="AO437" s="113"/>
      <c r="AQ437" s="17"/>
      <c r="AR437" s="17"/>
      <c r="AS437" s="17"/>
      <c r="AT437" s="18">
        <f t="shared" si="498"/>
        <v>0</v>
      </c>
      <c r="AU437" s="19">
        <f t="shared" si="501"/>
        <v>0</v>
      </c>
      <c r="AW437" s="17"/>
      <c r="AX437" s="17"/>
      <c r="AY437" s="17"/>
      <c r="AZ437" s="18">
        <f t="shared" si="499"/>
        <v>0</v>
      </c>
      <c r="BA437" s="19">
        <f t="shared" si="502"/>
        <v>0</v>
      </c>
    </row>
    <row r="438" spans="1:53" ht="17.100000000000001" customHeight="1" x14ac:dyDescent="0.25">
      <c r="A438" s="175"/>
      <c r="B438" s="40"/>
      <c r="C438" s="55"/>
      <c r="D438" s="56" t="s">
        <v>244</v>
      </c>
      <c r="E438" s="85" t="s">
        <v>439</v>
      </c>
      <c r="F438" s="595"/>
      <c r="G438" s="595"/>
      <c r="H438" s="17"/>
      <c r="I438" s="594"/>
      <c r="J438" s="111"/>
      <c r="K438" s="111"/>
      <c r="L438" s="111"/>
      <c r="M438" s="111"/>
      <c r="N438" s="61"/>
      <c r="O438" s="61"/>
      <c r="P438" s="17">
        <f t="shared" si="492"/>
        <v>0</v>
      </c>
      <c r="Q438" s="61"/>
      <c r="R438" s="61"/>
      <c r="S438" s="17">
        <f t="shared" si="493"/>
        <v>0</v>
      </c>
      <c r="T438" s="61"/>
      <c r="U438" s="61"/>
      <c r="V438" s="359">
        <f t="shared" si="494"/>
        <v>0</v>
      </c>
      <c r="W438" s="391">
        <f t="shared" si="495"/>
        <v>0</v>
      </c>
      <c r="X438" s="17">
        <f t="shared" si="496"/>
        <v>0</v>
      </c>
      <c r="Y438" s="18">
        <f t="shared" si="497"/>
        <v>0</v>
      </c>
      <c r="Z438" s="19">
        <f t="shared" si="500"/>
        <v>0</v>
      </c>
      <c r="AA438" s="19"/>
      <c r="AB438" s="19"/>
      <c r="AC438" s="84"/>
      <c r="AE438" s="111"/>
      <c r="AF438" s="111"/>
      <c r="AG438" s="111"/>
      <c r="AH438" s="112"/>
      <c r="AI438" s="113"/>
      <c r="AK438" s="111"/>
      <c r="AL438" s="111"/>
      <c r="AM438" s="111"/>
      <c r="AN438" s="112"/>
      <c r="AO438" s="113"/>
      <c r="AQ438" s="17"/>
      <c r="AR438" s="17"/>
      <c r="AS438" s="17"/>
      <c r="AT438" s="18">
        <f t="shared" si="498"/>
        <v>0</v>
      </c>
      <c r="AU438" s="19">
        <f t="shared" si="501"/>
        <v>0</v>
      </c>
      <c r="AW438" s="17"/>
      <c r="AX438" s="17"/>
      <c r="AY438" s="17"/>
      <c r="AZ438" s="18">
        <f t="shared" si="499"/>
        <v>0</v>
      </c>
      <c r="BA438" s="19">
        <f t="shared" si="502"/>
        <v>0</v>
      </c>
    </row>
    <row r="439" spans="1:53" ht="17.100000000000001" customHeight="1" x14ac:dyDescent="0.25">
      <c r="A439" s="175"/>
      <c r="B439" s="40"/>
      <c r="C439" s="55"/>
      <c r="D439" s="56" t="s">
        <v>475</v>
      </c>
      <c r="E439" s="85" t="s">
        <v>483</v>
      </c>
      <c r="F439" s="595"/>
      <c r="G439" s="595"/>
      <c r="H439" s="17"/>
      <c r="I439" s="594"/>
      <c r="J439" s="111"/>
      <c r="K439" s="111"/>
      <c r="L439" s="111"/>
      <c r="M439" s="111"/>
      <c r="N439" s="60"/>
      <c r="O439" s="60"/>
      <c r="P439" s="17">
        <f t="shared" si="492"/>
        <v>0</v>
      </c>
      <c r="Q439" s="60"/>
      <c r="R439" s="60"/>
      <c r="S439" s="17">
        <f t="shared" si="493"/>
        <v>0</v>
      </c>
      <c r="T439" s="60"/>
      <c r="U439" s="60"/>
      <c r="V439" s="359">
        <f t="shared" si="494"/>
        <v>0</v>
      </c>
      <c r="W439" s="391">
        <f t="shared" si="495"/>
        <v>0</v>
      </c>
      <c r="X439" s="17">
        <f t="shared" si="496"/>
        <v>0</v>
      </c>
      <c r="Y439" s="18">
        <f t="shared" si="497"/>
        <v>0</v>
      </c>
      <c r="Z439" s="19">
        <f t="shared" si="500"/>
        <v>0</v>
      </c>
      <c r="AA439" s="19"/>
      <c r="AB439" s="19"/>
      <c r="AC439" s="84"/>
      <c r="AE439" s="111"/>
      <c r="AF439" s="111"/>
      <c r="AG439" s="111"/>
      <c r="AH439" s="112"/>
      <c r="AI439" s="113"/>
      <c r="AK439" s="111"/>
      <c r="AL439" s="111"/>
      <c r="AM439" s="111"/>
      <c r="AN439" s="112"/>
      <c r="AO439" s="113"/>
      <c r="AQ439" s="17"/>
      <c r="AR439" s="17"/>
      <c r="AS439" s="17"/>
      <c r="AT439" s="18">
        <f t="shared" si="498"/>
        <v>0</v>
      </c>
      <c r="AU439" s="19">
        <f t="shared" si="501"/>
        <v>0</v>
      </c>
      <c r="AW439" s="17"/>
      <c r="AX439" s="17"/>
      <c r="AY439" s="17"/>
      <c r="AZ439" s="18">
        <f t="shared" si="499"/>
        <v>0</v>
      </c>
      <c r="BA439" s="19">
        <f t="shared" si="502"/>
        <v>0</v>
      </c>
    </row>
    <row r="440" spans="1:53" ht="17.100000000000001" customHeight="1" x14ac:dyDescent="0.25">
      <c r="A440" s="175"/>
      <c r="B440" s="40"/>
      <c r="C440" s="55"/>
      <c r="D440" s="56" t="s">
        <v>476</v>
      </c>
      <c r="E440" s="149" t="s">
        <v>129</v>
      </c>
      <c r="F440" s="149"/>
      <c r="G440" s="149"/>
      <c r="H440" s="182"/>
      <c r="I440" s="241"/>
      <c r="J440" s="111"/>
      <c r="K440" s="111"/>
      <c r="L440" s="111"/>
      <c r="M440" s="111"/>
      <c r="N440" s="61"/>
      <c r="O440" s="61"/>
      <c r="P440" s="17">
        <f t="shared" si="492"/>
        <v>0</v>
      </c>
      <c r="Q440" s="61"/>
      <c r="R440" s="61"/>
      <c r="S440" s="17">
        <f t="shared" si="493"/>
        <v>0</v>
      </c>
      <c r="T440" s="61"/>
      <c r="U440" s="61"/>
      <c r="V440" s="359">
        <f t="shared" si="494"/>
        <v>0</v>
      </c>
      <c r="W440" s="391">
        <f t="shared" si="495"/>
        <v>0</v>
      </c>
      <c r="X440" s="17">
        <f t="shared" si="496"/>
        <v>0</v>
      </c>
      <c r="Y440" s="18">
        <f t="shared" si="497"/>
        <v>0</v>
      </c>
      <c r="Z440" s="19">
        <f t="shared" si="500"/>
        <v>0</v>
      </c>
      <c r="AA440" s="19"/>
      <c r="AB440" s="19"/>
      <c r="AC440" s="84"/>
      <c r="AE440" s="111"/>
      <c r="AF440" s="111"/>
      <c r="AG440" s="111"/>
      <c r="AH440" s="112"/>
      <c r="AI440" s="113"/>
      <c r="AK440" s="111"/>
      <c r="AL440" s="111"/>
      <c r="AM440" s="111"/>
      <c r="AN440" s="112"/>
      <c r="AO440" s="113"/>
      <c r="AQ440" s="17"/>
      <c r="AR440" s="17"/>
      <c r="AS440" s="17"/>
      <c r="AT440" s="18">
        <f t="shared" si="498"/>
        <v>0</v>
      </c>
      <c r="AU440" s="19">
        <f t="shared" si="501"/>
        <v>0</v>
      </c>
      <c r="AW440" s="17"/>
      <c r="AX440" s="17"/>
      <c r="AY440" s="17"/>
      <c r="AZ440" s="18">
        <f t="shared" si="499"/>
        <v>0</v>
      </c>
      <c r="BA440" s="19">
        <f t="shared" si="502"/>
        <v>0</v>
      </c>
    </row>
    <row r="441" spans="1:53" ht="17.100000000000001" customHeight="1" x14ac:dyDescent="0.25">
      <c r="A441" s="175"/>
      <c r="B441" s="40"/>
      <c r="C441" s="77"/>
      <c r="D441" s="134"/>
      <c r="E441" s="134"/>
      <c r="F441" s="134"/>
      <c r="G441" s="134"/>
      <c r="H441" s="540"/>
      <c r="I441" s="12"/>
      <c r="J441" s="80"/>
      <c r="K441" s="80"/>
      <c r="L441" s="81"/>
      <c r="M441" s="81"/>
      <c r="N441" s="81">
        <f>SUM(N433:N440)</f>
        <v>0</v>
      </c>
      <c r="O441" s="81">
        <f t="shared" ref="O441:V441" si="503">SUM(O433:O440)</f>
        <v>0</v>
      </c>
      <c r="P441" s="81">
        <f t="shared" si="503"/>
        <v>0</v>
      </c>
      <c r="Q441" s="81">
        <f t="shared" si="503"/>
        <v>1</v>
      </c>
      <c r="R441" s="81">
        <f t="shared" si="503"/>
        <v>7</v>
      </c>
      <c r="S441" s="81">
        <f t="shared" si="503"/>
        <v>8</v>
      </c>
      <c r="T441" s="81">
        <f t="shared" si="503"/>
        <v>0</v>
      </c>
      <c r="U441" s="81">
        <f t="shared" si="503"/>
        <v>0</v>
      </c>
      <c r="V441" s="81">
        <f t="shared" si="503"/>
        <v>0</v>
      </c>
      <c r="W441" s="381">
        <f>SUM(W433:W440)</f>
        <v>1</v>
      </c>
      <c r="X441" s="82">
        <f t="shared" ref="X441:Y441" si="504">SUM(X433:X440)</f>
        <v>7</v>
      </c>
      <c r="Y441" s="82">
        <f t="shared" si="504"/>
        <v>8</v>
      </c>
      <c r="Z441" s="205">
        <f t="shared" si="500"/>
        <v>1</v>
      </c>
      <c r="AA441" s="205"/>
      <c r="AB441" s="205"/>
      <c r="AC441" s="83"/>
      <c r="AE441" s="80"/>
      <c r="AF441" s="80"/>
      <c r="AG441" s="81"/>
      <c r="AH441" s="82"/>
      <c r="AI441" s="66"/>
      <c r="AK441" s="80"/>
      <c r="AL441" s="80"/>
      <c r="AM441" s="81"/>
      <c r="AN441" s="82"/>
      <c r="AO441" s="66"/>
      <c r="AQ441" s="80"/>
      <c r="AR441" s="80"/>
      <c r="AS441" s="81"/>
      <c r="AT441" s="82">
        <f>SUM(AT433:AT440)</f>
        <v>1</v>
      </c>
      <c r="AU441" s="66">
        <f t="shared" si="501"/>
        <v>1</v>
      </c>
      <c r="AW441" s="80"/>
      <c r="AX441" s="80"/>
      <c r="AY441" s="81"/>
      <c r="AZ441" s="82">
        <f>SUM(AZ433:AZ440)</f>
        <v>7</v>
      </c>
      <c r="BA441" s="66">
        <f t="shared" si="502"/>
        <v>1</v>
      </c>
    </row>
    <row r="442" spans="1:53" s="117" customFormat="1" ht="17.100000000000001" customHeight="1" x14ac:dyDescent="0.25">
      <c r="A442" s="68"/>
      <c r="B442" s="119"/>
      <c r="C442" s="540"/>
      <c r="D442" s="261"/>
      <c r="E442" s="261"/>
      <c r="F442" s="68"/>
      <c r="G442" s="68"/>
      <c r="H442" s="119"/>
      <c r="I442" s="138"/>
      <c r="J442" s="17"/>
      <c r="K442" s="17"/>
      <c r="L442" s="17"/>
      <c r="M442" s="17"/>
      <c r="N442" s="17" t="str">
        <f>IF(N441=N$403,"OK","NOK")</f>
        <v>OK</v>
      </c>
      <c r="O442" s="17" t="str">
        <f>IF(O441=O$403,"OK","NOK")</f>
        <v>OK</v>
      </c>
      <c r="P442" s="17"/>
      <c r="Q442" s="17" t="str">
        <f>IF(Q441=Q$403,"OK","NOK")</f>
        <v>OK</v>
      </c>
      <c r="R442" s="17" t="str">
        <f>IF(R441=R$403,"OK","NOK")</f>
        <v>OK</v>
      </c>
      <c r="S442" s="17"/>
      <c r="T442" s="17" t="str">
        <f>IF(T441=T$403,"OK","NOK")</f>
        <v>OK</v>
      </c>
      <c r="U442" s="17" t="str">
        <f>IF(U441=U$403,"OK","NOK")</f>
        <v>OK</v>
      </c>
      <c r="V442" s="359"/>
      <c r="W442" s="382"/>
      <c r="X442" s="539"/>
      <c r="Y442" s="539"/>
      <c r="Z442" s="201"/>
      <c r="AA442" s="201"/>
      <c r="AB442" s="201"/>
      <c r="AC442" s="84"/>
      <c r="AE442" s="46"/>
      <c r="AF442" s="46"/>
      <c r="AG442" s="17"/>
      <c r="AH442" s="539"/>
      <c r="AI442" s="91"/>
      <c r="AK442" s="46"/>
      <c r="AL442" s="46"/>
      <c r="AM442" s="17"/>
      <c r="AN442" s="539"/>
      <c r="AO442" s="91"/>
      <c r="AQ442" s="46"/>
      <c r="AR442" s="46"/>
      <c r="AS442" s="17"/>
      <c r="AT442" s="539"/>
      <c r="AU442" s="91"/>
      <c r="AW442" s="46"/>
      <c r="AX442" s="46"/>
      <c r="AY442" s="17"/>
      <c r="AZ442" s="539"/>
      <c r="BA442" s="91"/>
    </row>
    <row r="443" spans="1:53" ht="17.100000000000001" customHeight="1" x14ac:dyDescent="0.25">
      <c r="A443" s="68"/>
      <c r="B443" s="48" t="s">
        <v>245</v>
      </c>
      <c r="C443" s="49" t="s">
        <v>246</v>
      </c>
      <c r="D443" s="176"/>
      <c r="E443" s="70"/>
      <c r="F443" s="70"/>
      <c r="G443" s="70"/>
      <c r="H443" s="119"/>
      <c r="J443" s="71"/>
      <c r="K443" s="71"/>
      <c r="L443" s="71"/>
      <c r="M443" s="71"/>
      <c r="N443" s="71">
        <f t="shared" ref="N443:X443" si="505">SUM(N404:N405)</f>
        <v>0</v>
      </c>
      <c r="O443" s="71">
        <f t="shared" si="505"/>
        <v>2</v>
      </c>
      <c r="P443" s="71"/>
      <c r="Q443" s="71">
        <f t="shared" si="505"/>
        <v>0</v>
      </c>
      <c r="R443" s="71">
        <f t="shared" si="505"/>
        <v>0</v>
      </c>
      <c r="S443" s="71"/>
      <c r="T443" s="71">
        <f t="shared" si="505"/>
        <v>0</v>
      </c>
      <c r="U443" s="71">
        <f t="shared" si="505"/>
        <v>0</v>
      </c>
      <c r="V443" s="355"/>
      <c r="W443" s="377">
        <f t="shared" si="505"/>
        <v>0</v>
      </c>
      <c r="X443" s="71">
        <f t="shared" si="505"/>
        <v>2</v>
      </c>
      <c r="Y443" s="72"/>
      <c r="Z443" s="73"/>
      <c r="AA443" s="73"/>
      <c r="AB443" s="73"/>
      <c r="AC443" s="73"/>
      <c r="AE443" s="71"/>
      <c r="AF443" s="71"/>
      <c r="AG443" s="71"/>
      <c r="AH443" s="72"/>
      <c r="AI443" s="73"/>
      <c r="AK443" s="71"/>
      <c r="AL443" s="71"/>
      <c r="AM443" s="71"/>
      <c r="AN443" s="72"/>
      <c r="AO443" s="73"/>
      <c r="AQ443" s="71"/>
      <c r="AR443" s="71"/>
      <c r="AS443" s="71"/>
      <c r="AT443" s="72"/>
      <c r="AU443" s="73"/>
      <c r="AW443" s="71"/>
      <c r="AX443" s="71"/>
      <c r="AY443" s="71"/>
      <c r="AZ443" s="72"/>
      <c r="BA443" s="73"/>
    </row>
    <row r="444" spans="1:53" ht="17.100000000000001" customHeight="1" x14ac:dyDescent="0.25">
      <c r="A444" s="40"/>
      <c r="B444" s="55"/>
      <c r="C444" s="56" t="s">
        <v>247</v>
      </c>
      <c r="D444" s="149" t="s">
        <v>248</v>
      </c>
      <c r="E444" s="75"/>
      <c r="F444" s="75"/>
      <c r="G444" s="75"/>
      <c r="H444" s="540"/>
      <c r="I444" s="229"/>
      <c r="J444" s="111"/>
      <c r="K444" s="111"/>
      <c r="L444" s="111"/>
      <c r="M444" s="111"/>
      <c r="N444" s="111"/>
      <c r="O444" s="111"/>
      <c r="P444" s="111"/>
      <c r="Q444" s="111"/>
      <c r="R444" s="111"/>
      <c r="S444" s="111"/>
      <c r="T444" s="111"/>
      <c r="U444" s="111"/>
      <c r="V444" s="358"/>
      <c r="W444" s="380"/>
      <c r="X444" s="111"/>
      <c r="Y444" s="545"/>
      <c r="Z444" s="131"/>
      <c r="AA444" s="131"/>
      <c r="AB444" s="131"/>
      <c r="AC444" s="111"/>
      <c r="AE444" s="111"/>
      <c r="AF444" s="111"/>
      <c r="AG444" s="111"/>
      <c r="AH444" s="545"/>
      <c r="AI444" s="131"/>
      <c r="AK444" s="111"/>
      <c r="AL444" s="111"/>
      <c r="AM444" s="111"/>
      <c r="AN444" s="545"/>
      <c r="AO444" s="131"/>
      <c r="AQ444" s="111"/>
      <c r="AR444" s="111"/>
      <c r="AS444" s="111"/>
      <c r="AT444" s="545"/>
      <c r="AU444" s="131"/>
      <c r="AW444" s="111"/>
      <c r="AX444" s="111"/>
      <c r="AY444" s="111"/>
      <c r="AZ444" s="545"/>
      <c r="BA444" s="131"/>
    </row>
    <row r="445" spans="1:53" ht="17.100000000000001" customHeight="1" x14ac:dyDescent="0.25">
      <c r="A445" s="40"/>
      <c r="B445" s="40"/>
      <c r="C445" s="40"/>
      <c r="D445" s="56" t="s">
        <v>249</v>
      </c>
      <c r="E445" s="541" t="s">
        <v>479</v>
      </c>
      <c r="F445" s="75"/>
      <c r="G445" s="75"/>
      <c r="H445" s="540"/>
      <c r="I445" s="229"/>
      <c r="J445" s="111"/>
      <c r="K445" s="111"/>
      <c r="L445" s="111"/>
      <c r="M445" s="111"/>
      <c r="N445" s="60"/>
      <c r="O445" s="60"/>
      <c r="P445" s="17">
        <f t="shared" ref="P445:P449" si="506">SUM(N445:O445)</f>
        <v>0</v>
      </c>
      <c r="Q445" s="60"/>
      <c r="R445" s="60"/>
      <c r="S445" s="17">
        <f t="shared" ref="S445:S449" si="507">SUM(Q445:R445)</f>
        <v>0</v>
      </c>
      <c r="T445" s="60"/>
      <c r="U445" s="60"/>
      <c r="V445" s="359">
        <f t="shared" ref="V445:V449" si="508">SUM(T445:U445)</f>
        <v>0</v>
      </c>
      <c r="W445" s="391">
        <f t="shared" ref="W445:W449" si="509">J445+K445+N445+Q445+T445</f>
        <v>0</v>
      </c>
      <c r="X445" s="17">
        <f t="shared" ref="X445:X449" si="510">L445+O445+R445+U445</f>
        <v>0</v>
      </c>
      <c r="Y445" s="18">
        <f>SUM(W445:X445)</f>
        <v>0</v>
      </c>
      <c r="Z445" s="19">
        <f>IF(Y$454=0,0,Y445/Y$454)</f>
        <v>0</v>
      </c>
      <c r="AA445" s="19"/>
      <c r="AB445" s="19"/>
      <c r="AC445" s="17"/>
      <c r="AE445" s="111"/>
      <c r="AF445" s="111"/>
      <c r="AG445" s="111"/>
      <c r="AH445" s="112"/>
      <c r="AI445" s="113"/>
      <c r="AK445" s="111"/>
      <c r="AL445" s="111"/>
      <c r="AM445" s="111"/>
      <c r="AN445" s="112"/>
      <c r="AO445" s="113"/>
      <c r="AQ445" s="17"/>
      <c r="AR445" s="17"/>
      <c r="AS445" s="17"/>
      <c r="AT445" s="18">
        <f t="shared" ref="AT445:AT449" si="511">W445</f>
        <v>0</v>
      </c>
      <c r="AU445" s="19">
        <f>IF(AT$454=0,0,AT445/AT$454)</f>
        <v>0</v>
      </c>
      <c r="AW445" s="17"/>
      <c r="AX445" s="17"/>
      <c r="AY445" s="17"/>
      <c r="AZ445" s="18">
        <f t="shared" ref="AZ445:AZ449" si="512">X445</f>
        <v>0</v>
      </c>
      <c r="BA445" s="19">
        <f>IF(AZ$454=0,0,AZ445/AZ$454)</f>
        <v>0</v>
      </c>
    </row>
    <row r="446" spans="1:53" ht="17.100000000000001" customHeight="1" x14ac:dyDescent="0.25">
      <c r="A446" s="40"/>
      <c r="B446" s="40"/>
      <c r="C446" s="40"/>
      <c r="D446" s="56" t="s">
        <v>250</v>
      </c>
      <c r="E446" s="1403" t="s">
        <v>405</v>
      </c>
      <c r="F446" s="1404"/>
      <c r="G446" s="1404"/>
      <c r="H446" s="242"/>
      <c r="I446" s="230"/>
      <c r="J446" s="111"/>
      <c r="K446" s="111"/>
      <c r="L446" s="111"/>
      <c r="M446" s="111"/>
      <c r="N446" s="61"/>
      <c r="O446" s="61"/>
      <c r="P446" s="17">
        <f t="shared" si="506"/>
        <v>0</v>
      </c>
      <c r="Q446" s="61"/>
      <c r="R446" s="61"/>
      <c r="S446" s="17">
        <f t="shared" si="507"/>
        <v>0</v>
      </c>
      <c r="T446" s="61"/>
      <c r="U446" s="61"/>
      <c r="V446" s="359">
        <f t="shared" si="508"/>
        <v>0</v>
      </c>
      <c r="W446" s="391">
        <f t="shared" si="509"/>
        <v>0</v>
      </c>
      <c r="X446" s="17">
        <f t="shared" si="510"/>
        <v>0</v>
      </c>
      <c r="Y446" s="18">
        <f>SUM(W446:X446)</f>
        <v>0</v>
      </c>
      <c r="Z446" s="19">
        <f>IF(Y$454=0,0,Y446/Y$454)</f>
        <v>0</v>
      </c>
      <c r="AA446" s="19"/>
      <c r="AB446" s="19"/>
      <c r="AC446" s="17"/>
      <c r="AE446" s="111"/>
      <c r="AF446" s="111"/>
      <c r="AG446" s="111"/>
      <c r="AH446" s="112"/>
      <c r="AI446" s="113"/>
      <c r="AK446" s="111"/>
      <c r="AL446" s="111"/>
      <c r="AM446" s="111"/>
      <c r="AN446" s="112"/>
      <c r="AO446" s="113"/>
      <c r="AQ446" s="17"/>
      <c r="AR446" s="17"/>
      <c r="AS446" s="17"/>
      <c r="AT446" s="18">
        <f t="shared" si="511"/>
        <v>0</v>
      </c>
      <c r="AU446" s="19">
        <f>IF(AT$454=0,0,AT446/AT$454)</f>
        <v>0</v>
      </c>
      <c r="AW446" s="17"/>
      <c r="AX446" s="17"/>
      <c r="AY446" s="17"/>
      <c r="AZ446" s="18">
        <f t="shared" si="512"/>
        <v>0</v>
      </c>
      <c r="BA446" s="19">
        <f>IF(AZ$454=0,0,AZ446/AZ$454)</f>
        <v>0</v>
      </c>
    </row>
    <row r="447" spans="1:53" ht="17.100000000000001" customHeight="1" x14ac:dyDescent="0.25">
      <c r="A447" s="40"/>
      <c r="B447" s="40"/>
      <c r="C447" s="40"/>
      <c r="D447" s="56" t="s">
        <v>251</v>
      </c>
      <c r="E447" s="1398" t="s">
        <v>480</v>
      </c>
      <c r="F447" s="1399"/>
      <c r="G447" s="1399"/>
      <c r="H447" s="540"/>
      <c r="I447" s="229"/>
      <c r="J447" s="111"/>
      <c r="K447" s="111"/>
      <c r="L447" s="111"/>
      <c r="M447" s="111"/>
      <c r="N447" s="60"/>
      <c r="O447" s="60">
        <v>2</v>
      </c>
      <c r="P447" s="17">
        <f t="shared" si="506"/>
        <v>2</v>
      </c>
      <c r="Q447" s="60"/>
      <c r="R447" s="60"/>
      <c r="S447" s="17">
        <f t="shared" si="507"/>
        <v>0</v>
      </c>
      <c r="T447" s="60"/>
      <c r="U447" s="60"/>
      <c r="V447" s="359">
        <f t="shared" si="508"/>
        <v>0</v>
      </c>
      <c r="W447" s="391">
        <f t="shared" si="509"/>
        <v>0</v>
      </c>
      <c r="X447" s="17">
        <f t="shared" si="510"/>
        <v>2</v>
      </c>
      <c r="Y447" s="18">
        <f>SUM(W447:X447)</f>
        <v>2</v>
      </c>
      <c r="Z447" s="19">
        <f>IF(Y$454=0,0,Y447/Y$454)</f>
        <v>1</v>
      </c>
      <c r="AA447" s="19"/>
      <c r="AB447" s="19"/>
      <c r="AC447" s="17"/>
      <c r="AE447" s="111"/>
      <c r="AF447" s="111"/>
      <c r="AG447" s="111"/>
      <c r="AH447" s="112"/>
      <c r="AI447" s="113"/>
      <c r="AK447" s="111"/>
      <c r="AL447" s="111"/>
      <c r="AM447" s="111"/>
      <c r="AN447" s="112"/>
      <c r="AO447" s="113"/>
      <c r="AQ447" s="17"/>
      <c r="AR447" s="17"/>
      <c r="AS447" s="17"/>
      <c r="AT447" s="18">
        <f t="shared" si="511"/>
        <v>0</v>
      </c>
      <c r="AU447" s="19">
        <f>IF(AT$454=0,0,AT447/AT$454)</f>
        <v>0</v>
      </c>
      <c r="AW447" s="17"/>
      <c r="AX447" s="17"/>
      <c r="AY447" s="17"/>
      <c r="AZ447" s="18">
        <f t="shared" si="512"/>
        <v>2</v>
      </c>
      <c r="BA447" s="19">
        <f>IF(AZ$454=0,0,AZ447/AZ$454)</f>
        <v>1</v>
      </c>
    </row>
    <row r="448" spans="1:53" ht="17.100000000000001" customHeight="1" x14ac:dyDescent="0.25">
      <c r="A448" s="40"/>
      <c r="B448" s="40"/>
      <c r="C448" s="40"/>
      <c r="D448" s="56" t="s">
        <v>252</v>
      </c>
      <c r="E448" s="541" t="s">
        <v>481</v>
      </c>
      <c r="F448" s="75"/>
      <c r="G448" s="75"/>
      <c r="H448" s="242"/>
      <c r="I448" s="230"/>
      <c r="J448" s="111"/>
      <c r="K448" s="111"/>
      <c r="L448" s="111"/>
      <c r="M448" s="111"/>
      <c r="N448" s="61"/>
      <c r="O448" s="61"/>
      <c r="P448" s="17">
        <f t="shared" si="506"/>
        <v>0</v>
      </c>
      <c r="Q448" s="61"/>
      <c r="R448" s="61"/>
      <c r="S448" s="17">
        <f t="shared" si="507"/>
        <v>0</v>
      </c>
      <c r="T448" s="61"/>
      <c r="U448" s="61"/>
      <c r="V448" s="359">
        <f t="shared" si="508"/>
        <v>0</v>
      </c>
      <c r="W448" s="391">
        <f t="shared" si="509"/>
        <v>0</v>
      </c>
      <c r="X448" s="17">
        <f t="shared" si="510"/>
        <v>0</v>
      </c>
      <c r="Y448" s="18">
        <f>SUM(W448:X448)</f>
        <v>0</v>
      </c>
      <c r="Z448" s="19">
        <f>IF(Y$454=0,0,Y448/Y$454)</f>
        <v>0</v>
      </c>
      <c r="AA448" s="19"/>
      <c r="AB448" s="19"/>
      <c r="AC448" s="17"/>
      <c r="AE448" s="111"/>
      <c r="AF448" s="111"/>
      <c r="AG448" s="111"/>
      <c r="AH448" s="112"/>
      <c r="AI448" s="113"/>
      <c r="AK448" s="111"/>
      <c r="AL448" s="111"/>
      <c r="AM448" s="111"/>
      <c r="AN448" s="112"/>
      <c r="AO448" s="113"/>
      <c r="AQ448" s="17"/>
      <c r="AR448" s="17"/>
      <c r="AS448" s="17"/>
      <c r="AT448" s="18">
        <f t="shared" si="511"/>
        <v>0</v>
      </c>
      <c r="AU448" s="19">
        <f>IF(AT$454=0,0,AT448/AT$454)</f>
        <v>0</v>
      </c>
      <c r="AW448" s="17"/>
      <c r="AX448" s="17"/>
      <c r="AY448" s="17"/>
      <c r="AZ448" s="18">
        <f t="shared" si="512"/>
        <v>0</v>
      </c>
      <c r="BA448" s="19">
        <f>IF(AZ$454=0,0,AZ448/AZ$454)</f>
        <v>0</v>
      </c>
    </row>
    <row r="449" spans="1:53" ht="17.100000000000001" customHeight="1" x14ac:dyDescent="0.25">
      <c r="A449" s="40"/>
      <c r="B449" s="40"/>
      <c r="C449" s="40"/>
      <c r="D449" s="56" t="s">
        <v>253</v>
      </c>
      <c r="E449" s="541" t="s">
        <v>109</v>
      </c>
      <c r="F449" s="543"/>
      <c r="G449" s="543"/>
      <c r="H449" s="540"/>
      <c r="I449" s="229"/>
      <c r="J449" s="111"/>
      <c r="K449" s="111"/>
      <c r="L449" s="111"/>
      <c r="M449" s="111"/>
      <c r="N449" s="111">
        <f>SUM(N450:N452)</f>
        <v>0</v>
      </c>
      <c r="O449" s="111">
        <f t="shared" ref="O449:U449" si="513">SUM(O450:O452)</f>
        <v>0</v>
      </c>
      <c r="P449" s="111">
        <f t="shared" si="506"/>
        <v>0</v>
      </c>
      <c r="Q449" s="111">
        <f t="shared" si="513"/>
        <v>0</v>
      </c>
      <c r="R449" s="111">
        <f t="shared" si="513"/>
        <v>0</v>
      </c>
      <c r="S449" s="111">
        <f t="shared" si="507"/>
        <v>0</v>
      </c>
      <c r="T449" s="111">
        <f t="shared" si="513"/>
        <v>0</v>
      </c>
      <c r="U449" s="111">
        <f t="shared" si="513"/>
        <v>0</v>
      </c>
      <c r="V449" s="358">
        <f t="shared" si="508"/>
        <v>0</v>
      </c>
      <c r="W449" s="380">
        <f t="shared" si="509"/>
        <v>0</v>
      </c>
      <c r="X449" s="111">
        <f t="shared" si="510"/>
        <v>0</v>
      </c>
      <c r="Y449" s="545">
        <f>SUM(W449:X449)</f>
        <v>0</v>
      </c>
      <c r="Z449" s="131">
        <f>IF(Y$454=0,0,Y449/Y$454)</f>
        <v>0</v>
      </c>
      <c r="AA449" s="131"/>
      <c r="AB449" s="131"/>
      <c r="AC449" s="111"/>
      <c r="AE449" s="111"/>
      <c r="AF449" s="111"/>
      <c r="AG449" s="111"/>
      <c r="AH449" s="112"/>
      <c r="AI449" s="113"/>
      <c r="AK449" s="111"/>
      <c r="AL449" s="111"/>
      <c r="AM449" s="111"/>
      <c r="AN449" s="112"/>
      <c r="AO449" s="113"/>
      <c r="AQ449" s="111"/>
      <c r="AR449" s="111"/>
      <c r="AS449" s="111"/>
      <c r="AT449" s="545">
        <f t="shared" si="511"/>
        <v>0</v>
      </c>
      <c r="AU449" s="131">
        <f>IF(AT$454=0,0,AT449/AT$454)</f>
        <v>0</v>
      </c>
      <c r="AW449" s="111"/>
      <c r="AX449" s="111"/>
      <c r="AY449" s="111"/>
      <c r="AZ449" s="545">
        <f t="shared" si="512"/>
        <v>0</v>
      </c>
      <c r="BA449" s="131">
        <f>IF(AZ$454=0,0,AZ449/AZ$454)</f>
        <v>0</v>
      </c>
    </row>
    <row r="450" spans="1:53" ht="17.100000000000001" customHeight="1" x14ac:dyDescent="0.25">
      <c r="A450" s="40"/>
      <c r="B450" s="40"/>
      <c r="C450" s="40"/>
      <c r="D450" s="74"/>
      <c r="E450" s="170"/>
      <c r="F450" s="171"/>
      <c r="G450" s="171"/>
      <c r="H450" s="17"/>
      <c r="I450" s="594"/>
      <c r="J450" s="111"/>
      <c r="K450" s="111"/>
      <c r="L450" s="111"/>
      <c r="M450" s="111"/>
      <c r="N450" s="61"/>
      <c r="O450" s="61"/>
      <c r="P450" s="17"/>
      <c r="Q450" s="61"/>
      <c r="R450" s="61"/>
      <c r="S450" s="17"/>
      <c r="T450" s="61"/>
      <c r="U450" s="61"/>
      <c r="V450" s="359"/>
      <c r="W450" s="391"/>
      <c r="X450" s="17"/>
      <c r="Y450" s="539"/>
      <c r="Z450" s="17"/>
      <c r="AA450" s="17"/>
      <c r="AB450" s="17"/>
      <c r="AC450" s="17"/>
      <c r="AE450" s="17"/>
      <c r="AF450" s="17"/>
      <c r="AG450" s="17"/>
      <c r="AH450" s="539"/>
      <c r="AI450" s="17"/>
      <c r="AK450" s="17"/>
      <c r="AL450" s="17"/>
      <c r="AM450" s="17"/>
      <c r="AN450" s="539"/>
      <c r="AO450" s="17"/>
      <c r="AQ450" s="17"/>
      <c r="AR450" s="17"/>
      <c r="AS450" s="17"/>
      <c r="AT450" s="539"/>
      <c r="AU450" s="17"/>
      <c r="AW450" s="17"/>
      <c r="AX450" s="17"/>
      <c r="AY450" s="17"/>
      <c r="AZ450" s="539"/>
      <c r="BA450" s="17"/>
    </row>
    <row r="451" spans="1:53" ht="17.100000000000001" customHeight="1" x14ac:dyDescent="0.25">
      <c r="A451" s="40"/>
      <c r="B451" s="40"/>
      <c r="C451" s="40"/>
      <c r="D451" s="74"/>
      <c r="E451" s="168"/>
      <c r="F451" s="169"/>
      <c r="G451" s="169"/>
      <c r="H451" s="17"/>
      <c r="I451" s="594"/>
      <c r="J451" s="111"/>
      <c r="K451" s="111"/>
      <c r="L451" s="111"/>
      <c r="M451" s="111"/>
      <c r="N451" s="60"/>
      <c r="O451" s="60"/>
      <c r="P451" s="17"/>
      <c r="Q451" s="60"/>
      <c r="R451" s="60"/>
      <c r="S451" s="17"/>
      <c r="T451" s="60"/>
      <c r="U451" s="60"/>
      <c r="V451" s="359"/>
      <c r="W451" s="391"/>
      <c r="X451" s="17"/>
      <c r="Y451" s="539"/>
      <c r="Z451" s="17"/>
      <c r="AA451" s="17"/>
      <c r="AB451" s="17"/>
      <c r="AC451" s="17"/>
      <c r="AE451" s="17"/>
      <c r="AF451" s="17"/>
      <c r="AG451" s="17"/>
      <c r="AH451" s="539"/>
      <c r="AI451" s="17"/>
      <c r="AK451" s="17"/>
      <c r="AL451" s="17"/>
      <c r="AM451" s="17"/>
      <c r="AN451" s="539"/>
      <c r="AO451" s="17"/>
      <c r="AQ451" s="17"/>
      <c r="AR451" s="17"/>
      <c r="AS451" s="17"/>
      <c r="AT451" s="539"/>
      <c r="AU451" s="17"/>
      <c r="AW451" s="17"/>
      <c r="AX451" s="17"/>
      <c r="AY451" s="17"/>
      <c r="AZ451" s="539"/>
      <c r="BA451" s="17"/>
    </row>
    <row r="452" spans="1:53" ht="17.100000000000001" customHeight="1" x14ac:dyDescent="0.25">
      <c r="A452" s="40"/>
      <c r="B452" s="40"/>
      <c r="C452" s="40"/>
      <c r="D452" s="74"/>
      <c r="E452" s="170"/>
      <c r="F452" s="171"/>
      <c r="G452" s="171"/>
      <c r="H452" s="17"/>
      <c r="I452" s="594"/>
      <c r="J452" s="111"/>
      <c r="K452" s="111"/>
      <c r="L452" s="111"/>
      <c r="M452" s="111"/>
      <c r="N452" s="61"/>
      <c r="O452" s="61"/>
      <c r="P452" s="17"/>
      <c r="Q452" s="61"/>
      <c r="R452" s="61"/>
      <c r="S452" s="17"/>
      <c r="T452" s="61"/>
      <c r="U452" s="61"/>
      <c r="V452" s="359"/>
      <c r="W452" s="391"/>
      <c r="X452" s="17"/>
      <c r="Y452" s="539"/>
      <c r="Z452" s="17"/>
      <c r="AA452" s="17"/>
      <c r="AB452" s="17"/>
      <c r="AC452" s="17"/>
      <c r="AE452" s="17"/>
      <c r="AF452" s="17"/>
      <c r="AG452" s="17"/>
      <c r="AH452" s="539"/>
      <c r="AI452" s="17"/>
      <c r="AK452" s="17"/>
      <c r="AL452" s="17"/>
      <c r="AM452" s="17"/>
      <c r="AN452" s="539"/>
      <c r="AO452" s="17"/>
      <c r="AQ452" s="17"/>
      <c r="AR452" s="17"/>
      <c r="AS452" s="17"/>
      <c r="AT452" s="539"/>
      <c r="AU452" s="17"/>
      <c r="AW452" s="17"/>
      <c r="AX452" s="17"/>
      <c r="AY452" s="17"/>
      <c r="AZ452" s="539"/>
      <c r="BA452" s="17"/>
    </row>
    <row r="453" spans="1:53" ht="17.100000000000001" customHeight="1" x14ac:dyDescent="0.25">
      <c r="A453" s="40"/>
      <c r="B453" s="40"/>
      <c r="C453" s="40"/>
      <c r="D453" s="56" t="s">
        <v>616</v>
      </c>
      <c r="E453" s="596" t="s">
        <v>598</v>
      </c>
      <c r="F453" s="597"/>
      <c r="G453" s="597"/>
      <c r="H453" s="17"/>
      <c r="I453" s="594"/>
      <c r="J453" s="111"/>
      <c r="K453" s="111"/>
      <c r="L453" s="111"/>
      <c r="M453" s="111"/>
      <c r="N453" s="60"/>
      <c r="O453" s="60"/>
      <c r="P453" s="17">
        <f t="shared" ref="P453" si="514">SUM(N453:O453)</f>
        <v>0</v>
      </c>
      <c r="Q453" s="60"/>
      <c r="R453" s="60"/>
      <c r="S453" s="17">
        <f t="shared" ref="S453" si="515">SUM(Q453:R453)</f>
        <v>0</v>
      </c>
      <c r="T453" s="60"/>
      <c r="U453" s="60"/>
      <c r="V453" s="359">
        <f t="shared" ref="V453" si="516">SUM(T453:U453)</f>
        <v>0</v>
      </c>
      <c r="W453" s="391">
        <f t="shared" ref="W453" si="517">J453+K453+N453+Q453+T453</f>
        <v>0</v>
      </c>
      <c r="X453" s="17">
        <f t="shared" ref="X453" si="518">L453+O453+R453+U453</f>
        <v>0</v>
      </c>
      <c r="Y453" s="18">
        <f>SUM(W453:X453)</f>
        <v>0</v>
      </c>
      <c r="Z453" s="19">
        <f>IF(Y$454=0,0,Y453/Y$454)</f>
        <v>0</v>
      </c>
      <c r="AA453" s="19"/>
      <c r="AB453" s="19"/>
      <c r="AC453" s="17"/>
      <c r="AE453" s="17"/>
      <c r="AF453" s="17"/>
      <c r="AG453" s="17"/>
      <c r="AH453" s="18"/>
      <c r="AI453" s="19"/>
      <c r="AK453" s="17"/>
      <c r="AL453" s="17"/>
      <c r="AM453" s="17"/>
      <c r="AN453" s="18"/>
      <c r="AO453" s="19"/>
      <c r="AQ453" s="17"/>
      <c r="AR453" s="17"/>
      <c r="AS453" s="17"/>
      <c r="AT453" s="18">
        <f t="shared" ref="AT453" si="519">W453</f>
        <v>0</v>
      </c>
      <c r="AU453" s="19">
        <f>IF(AT$454=0,0,AT453/AT$454)</f>
        <v>0</v>
      </c>
      <c r="AW453" s="17"/>
      <c r="AX453" s="17"/>
      <c r="AY453" s="17"/>
      <c r="AZ453" s="18">
        <f>X453</f>
        <v>0</v>
      </c>
      <c r="BA453" s="19">
        <f>IF(AZ$454=0,0,AZ453/AZ$454)</f>
        <v>0</v>
      </c>
    </row>
    <row r="454" spans="1:53" ht="17.100000000000001" customHeight="1" x14ac:dyDescent="0.25">
      <c r="A454" s="40"/>
      <c r="B454" s="40"/>
      <c r="C454" s="77"/>
      <c r="D454" s="134"/>
      <c r="E454" s="134"/>
      <c r="F454" s="134"/>
      <c r="G454" s="134"/>
      <c r="H454" s="540"/>
      <c r="I454" s="229"/>
      <c r="J454" s="80"/>
      <c r="K454" s="80"/>
      <c r="L454" s="81"/>
      <c r="M454" s="81"/>
      <c r="N454" s="81">
        <f t="shared" ref="N454:V454" si="520">SUM(N445:N449)+N453</f>
        <v>0</v>
      </c>
      <c r="O454" s="81">
        <f t="shared" si="520"/>
        <v>2</v>
      </c>
      <c r="P454" s="81">
        <f t="shared" si="520"/>
        <v>2</v>
      </c>
      <c r="Q454" s="81">
        <f t="shared" si="520"/>
        <v>0</v>
      </c>
      <c r="R454" s="81">
        <f t="shared" si="520"/>
        <v>0</v>
      </c>
      <c r="S454" s="81">
        <f t="shared" si="520"/>
        <v>0</v>
      </c>
      <c r="T454" s="81">
        <f t="shared" si="520"/>
        <v>0</v>
      </c>
      <c r="U454" s="81">
        <f t="shared" si="520"/>
        <v>0</v>
      </c>
      <c r="V454" s="81">
        <f t="shared" si="520"/>
        <v>0</v>
      </c>
      <c r="W454" s="381">
        <f t="shared" ref="W454:Y454" si="521">SUM(W445:W449)+W453</f>
        <v>0</v>
      </c>
      <c r="X454" s="82">
        <f t="shared" si="521"/>
        <v>2</v>
      </c>
      <c r="Y454" s="82">
        <f t="shared" si="521"/>
        <v>2</v>
      </c>
      <c r="Z454" s="205">
        <f t="shared" ref="Z454" si="522">IF(Y$454=0,0,Y454/Y$454)</f>
        <v>1</v>
      </c>
      <c r="AA454" s="205"/>
      <c r="AB454" s="205"/>
      <c r="AC454" s="83"/>
      <c r="AE454" s="80"/>
      <c r="AF454" s="80"/>
      <c r="AG454" s="81"/>
      <c r="AH454" s="82"/>
      <c r="AI454" s="66"/>
      <c r="AK454" s="80"/>
      <c r="AL454" s="80"/>
      <c r="AM454" s="81"/>
      <c r="AN454" s="82"/>
      <c r="AO454" s="66"/>
      <c r="AQ454" s="80"/>
      <c r="AR454" s="80"/>
      <c r="AS454" s="81"/>
      <c r="AT454" s="82">
        <f>SUM(AT445:AT453)</f>
        <v>0</v>
      </c>
      <c r="AU454" s="66">
        <f>IF(AT$454=0,0,AT454/AT$454)</f>
        <v>0</v>
      </c>
      <c r="AW454" s="80"/>
      <c r="AX454" s="80"/>
      <c r="AY454" s="81"/>
      <c r="AZ454" s="82">
        <f>SUM(AZ445:AZ453)</f>
        <v>2</v>
      </c>
      <c r="BA454" s="66">
        <f>IF(AZ$454=0,0,AZ454/AZ$454)</f>
        <v>1</v>
      </c>
    </row>
    <row r="455" spans="1:53" s="117" customFormat="1" ht="17.100000000000001" customHeight="1" x14ac:dyDescent="0.25">
      <c r="A455" s="68"/>
      <c r="B455" s="119"/>
      <c r="C455" s="540"/>
      <c r="D455" s="261"/>
      <c r="E455" s="261"/>
      <c r="F455" s="68"/>
      <c r="G455" s="68"/>
      <c r="H455" s="119"/>
      <c r="I455" s="138"/>
      <c r="J455" s="17"/>
      <c r="K455" s="17"/>
      <c r="L455" s="17"/>
      <c r="M455" s="17"/>
      <c r="N455" s="17" t="str">
        <f>IF(N454=N$443,"OK","NOK")</f>
        <v>OK</v>
      </c>
      <c r="O455" s="17" t="str">
        <f>IF(O454=O$443,"OK","NOK")</f>
        <v>OK</v>
      </c>
      <c r="P455" s="17"/>
      <c r="Q455" s="17" t="str">
        <f>IF(Q454=Q$443,"OK","NOK")</f>
        <v>OK</v>
      </c>
      <c r="R455" s="17" t="str">
        <f>IF(R454=R$443,"OK","NOK")</f>
        <v>OK</v>
      </c>
      <c r="S455" s="17"/>
      <c r="T455" s="17" t="str">
        <f>IF(T454=T$443,"OK","NOK")</f>
        <v>OK</v>
      </c>
      <c r="U455" s="17" t="str">
        <f>IF(U454=U$443,"OK","NOK")</f>
        <v>OK</v>
      </c>
      <c r="V455" s="359"/>
      <c r="W455" s="382"/>
      <c r="X455" s="539"/>
      <c r="Y455" s="539"/>
      <c r="Z455" s="201"/>
      <c r="AA455" s="201"/>
      <c r="AB455" s="201"/>
      <c r="AC455" s="84"/>
      <c r="AE455" s="46"/>
      <c r="AF455" s="46"/>
      <c r="AG455" s="17"/>
      <c r="AH455" s="539"/>
      <c r="AI455" s="91"/>
      <c r="AK455" s="46"/>
      <c r="AL455" s="46"/>
      <c r="AM455" s="17"/>
      <c r="AN455" s="539"/>
      <c r="AO455" s="91"/>
      <c r="AQ455" s="46"/>
      <c r="AR455" s="46"/>
      <c r="AS455" s="17"/>
      <c r="AT455" s="539"/>
      <c r="AU455" s="91"/>
      <c r="AW455" s="46"/>
      <c r="AX455" s="46"/>
      <c r="AY455" s="17"/>
      <c r="AZ455" s="539"/>
      <c r="BA455" s="91"/>
    </row>
    <row r="456" spans="1:53" ht="17.100000000000001" customHeight="1" x14ac:dyDescent="0.25">
      <c r="A456" s="40"/>
      <c r="B456" s="40"/>
      <c r="C456" s="56" t="s">
        <v>254</v>
      </c>
      <c r="D456" s="146" t="s">
        <v>255</v>
      </c>
      <c r="E456" s="149"/>
      <c r="F456" s="75"/>
      <c r="G456" s="75"/>
      <c r="H456" s="540"/>
      <c r="I456" s="229"/>
      <c r="J456" s="545"/>
      <c r="K456" s="545"/>
      <c r="L456" s="545"/>
      <c r="M456" s="545"/>
      <c r="N456" s="545"/>
      <c r="O456" s="545"/>
      <c r="P456" s="545"/>
      <c r="Q456" s="545"/>
      <c r="R456" s="545"/>
      <c r="S456" s="545"/>
      <c r="T456" s="545"/>
      <c r="U456" s="545"/>
      <c r="V456" s="364"/>
      <c r="W456" s="385"/>
      <c r="X456" s="545"/>
      <c r="Y456" s="545"/>
      <c r="Z456" s="545"/>
      <c r="AA456" s="545"/>
      <c r="AB456" s="545"/>
      <c r="AC456" s="545"/>
      <c r="AE456" s="545"/>
      <c r="AF456" s="545"/>
      <c r="AG456" s="545"/>
      <c r="AH456" s="545"/>
      <c r="AI456" s="545"/>
      <c r="AK456" s="545"/>
      <c r="AL456" s="545"/>
      <c r="AM456" s="545"/>
      <c r="AN456" s="545"/>
      <c r="AO456" s="545"/>
      <c r="AQ456" s="545"/>
      <c r="AR456" s="545"/>
      <c r="AS456" s="545"/>
      <c r="AT456" s="545"/>
      <c r="AU456" s="545"/>
      <c r="AW456" s="545"/>
      <c r="AX456" s="545"/>
      <c r="AY456" s="545"/>
      <c r="AZ456" s="545"/>
      <c r="BA456" s="545"/>
    </row>
    <row r="457" spans="1:53" ht="17.100000000000001" customHeight="1" x14ac:dyDescent="0.25">
      <c r="A457" s="40"/>
      <c r="B457" s="40"/>
      <c r="C457" s="55"/>
      <c r="D457" s="180" t="s">
        <v>256</v>
      </c>
      <c r="E457" s="146" t="s">
        <v>113</v>
      </c>
      <c r="F457" s="75"/>
      <c r="G457" s="75"/>
      <c r="H457" s="540"/>
      <c r="I457" s="229"/>
      <c r="J457" s="111"/>
      <c r="K457" s="111"/>
      <c r="L457" s="111"/>
      <c r="M457" s="111"/>
      <c r="N457" s="60"/>
      <c r="O457" s="60"/>
      <c r="P457" s="17">
        <f t="shared" ref="P457:P459" si="523">SUM(N457:O457)</f>
        <v>0</v>
      </c>
      <c r="Q457" s="60"/>
      <c r="R457" s="60"/>
      <c r="S457" s="17">
        <f t="shared" ref="S457:S459" si="524">SUM(Q457:R457)</f>
        <v>0</v>
      </c>
      <c r="T457" s="60"/>
      <c r="U457" s="60"/>
      <c r="V457" s="359">
        <f t="shared" ref="V457:V459" si="525">SUM(T457:U457)</f>
        <v>0</v>
      </c>
      <c r="W457" s="391">
        <f t="shared" ref="W457:W459" si="526">J457+K457+N457+Q457+T457</f>
        <v>0</v>
      </c>
      <c r="X457" s="17">
        <f t="shared" ref="X457:X459" si="527">L457+O457+R457+U457</f>
        <v>0</v>
      </c>
      <c r="Y457" s="18">
        <f>SUM(W457:X457)</f>
        <v>0</v>
      </c>
      <c r="Z457" s="19">
        <f>IF(Y$460=0,0,Y457/Y$460)</f>
        <v>0</v>
      </c>
      <c r="AA457" s="19"/>
      <c r="AB457" s="19"/>
      <c r="AC457" s="17"/>
      <c r="AE457" s="111"/>
      <c r="AF457" s="111"/>
      <c r="AG457" s="111"/>
      <c r="AH457" s="112"/>
      <c r="AI457" s="113"/>
      <c r="AK457" s="111"/>
      <c r="AL457" s="111"/>
      <c r="AM457" s="111"/>
      <c r="AN457" s="112"/>
      <c r="AO457" s="113"/>
      <c r="AQ457" s="17"/>
      <c r="AR457" s="17"/>
      <c r="AS457" s="17"/>
      <c r="AT457" s="18">
        <f t="shared" ref="AT457:AT459" si="528">W457</f>
        <v>0</v>
      </c>
      <c r="AU457" s="19">
        <f>IF(AT$460=0,0,AT457/AT$460)</f>
        <v>0</v>
      </c>
      <c r="AW457" s="17"/>
      <c r="AX457" s="17"/>
      <c r="AY457" s="17"/>
      <c r="AZ457" s="18">
        <f t="shared" ref="AZ457:AZ459" si="529">X457</f>
        <v>0</v>
      </c>
      <c r="BA457" s="19">
        <f>IF(AZ$460=0,0,AZ457/AZ$460)</f>
        <v>0</v>
      </c>
    </row>
    <row r="458" spans="1:53" ht="17.100000000000001" customHeight="1" x14ac:dyDescent="0.25">
      <c r="A458" s="40"/>
      <c r="B458" s="40"/>
      <c r="C458" s="55"/>
      <c r="D458" s="180" t="s">
        <v>257</v>
      </c>
      <c r="E458" s="146" t="s">
        <v>258</v>
      </c>
      <c r="F458" s="75"/>
      <c r="G458" s="75"/>
      <c r="H458" s="540"/>
      <c r="I458" s="229"/>
      <c r="J458" s="111"/>
      <c r="K458" s="111"/>
      <c r="L458" s="111"/>
      <c r="M458" s="111"/>
      <c r="N458" s="61"/>
      <c r="O458" s="61">
        <v>2</v>
      </c>
      <c r="P458" s="17">
        <f t="shared" si="523"/>
        <v>2</v>
      </c>
      <c r="Q458" s="61"/>
      <c r="R458" s="61"/>
      <c r="S458" s="17">
        <f t="shared" si="524"/>
        <v>0</v>
      </c>
      <c r="T458" s="61"/>
      <c r="U458" s="61"/>
      <c r="V458" s="359">
        <f t="shared" si="525"/>
        <v>0</v>
      </c>
      <c r="W458" s="391">
        <f t="shared" si="526"/>
        <v>0</v>
      </c>
      <c r="X458" s="17">
        <f t="shared" si="527"/>
        <v>2</v>
      </c>
      <c r="Y458" s="18">
        <f>SUM(W458:X458)</f>
        <v>2</v>
      </c>
      <c r="Z458" s="19">
        <f t="shared" ref="Z458:Z460" si="530">IF(Y$460=0,0,Y458/Y$460)</f>
        <v>1</v>
      </c>
      <c r="AA458" s="19"/>
      <c r="AB458" s="19"/>
      <c r="AC458" s="17"/>
      <c r="AE458" s="111"/>
      <c r="AF458" s="111"/>
      <c r="AG458" s="111"/>
      <c r="AH458" s="112"/>
      <c r="AI458" s="113"/>
      <c r="AK458" s="111"/>
      <c r="AL458" s="111"/>
      <c r="AM458" s="111"/>
      <c r="AN458" s="112"/>
      <c r="AO458" s="113"/>
      <c r="AQ458" s="17"/>
      <c r="AR458" s="17"/>
      <c r="AS458" s="17"/>
      <c r="AT458" s="18">
        <f t="shared" si="528"/>
        <v>0</v>
      </c>
      <c r="AU458" s="19">
        <f>IF(AT$460=0,0,AT458/AT$460)</f>
        <v>0</v>
      </c>
      <c r="AW458" s="17"/>
      <c r="AX458" s="17"/>
      <c r="AY458" s="17"/>
      <c r="AZ458" s="18">
        <f t="shared" si="529"/>
        <v>2</v>
      </c>
      <c r="BA458" s="19">
        <f>IF(AZ$460=0,0,AZ458/AZ$460)</f>
        <v>1</v>
      </c>
    </row>
    <row r="459" spans="1:53" ht="17.100000000000001" customHeight="1" x14ac:dyDescent="0.25">
      <c r="A459" s="40"/>
      <c r="B459" s="40"/>
      <c r="C459" s="55"/>
      <c r="D459" s="180" t="s">
        <v>259</v>
      </c>
      <c r="E459" s="596" t="s">
        <v>598</v>
      </c>
      <c r="F459" s="542"/>
      <c r="G459" s="542"/>
      <c r="H459" s="540"/>
      <c r="I459" s="235"/>
      <c r="J459" s="111"/>
      <c r="K459" s="111"/>
      <c r="L459" s="111"/>
      <c r="M459" s="111"/>
      <c r="N459" s="60"/>
      <c r="O459" s="60"/>
      <c r="P459" s="17">
        <f t="shared" si="523"/>
        <v>0</v>
      </c>
      <c r="Q459" s="60"/>
      <c r="R459" s="60"/>
      <c r="S459" s="17">
        <f t="shared" si="524"/>
        <v>0</v>
      </c>
      <c r="T459" s="60"/>
      <c r="U459" s="60"/>
      <c r="V459" s="359">
        <f t="shared" si="525"/>
        <v>0</v>
      </c>
      <c r="W459" s="391">
        <f t="shared" si="526"/>
        <v>0</v>
      </c>
      <c r="X459" s="17">
        <f t="shared" si="527"/>
        <v>0</v>
      </c>
      <c r="Y459" s="18">
        <f>SUM(W459:X459)</f>
        <v>0</v>
      </c>
      <c r="Z459" s="19">
        <f t="shared" si="530"/>
        <v>0</v>
      </c>
      <c r="AA459" s="19"/>
      <c r="AB459" s="19"/>
      <c r="AC459" s="17"/>
      <c r="AE459" s="111"/>
      <c r="AF459" s="111"/>
      <c r="AG459" s="111"/>
      <c r="AH459" s="112"/>
      <c r="AI459" s="113"/>
      <c r="AK459" s="111"/>
      <c r="AL459" s="111"/>
      <c r="AM459" s="111"/>
      <c r="AN459" s="112"/>
      <c r="AO459" s="113"/>
      <c r="AQ459" s="17"/>
      <c r="AR459" s="17"/>
      <c r="AS459" s="17"/>
      <c r="AT459" s="18">
        <f t="shared" si="528"/>
        <v>0</v>
      </c>
      <c r="AU459" s="19">
        <f>IF(AT$460=0,0,AT459/AT$460)</f>
        <v>0</v>
      </c>
      <c r="AW459" s="17"/>
      <c r="AX459" s="17"/>
      <c r="AY459" s="17"/>
      <c r="AZ459" s="18">
        <f t="shared" si="529"/>
        <v>0</v>
      </c>
      <c r="BA459" s="19">
        <f>IF(AZ$460=0,0,AZ459/AZ$460)</f>
        <v>0</v>
      </c>
    </row>
    <row r="460" spans="1:53" ht="17.100000000000001" customHeight="1" x14ac:dyDescent="0.25">
      <c r="A460" s="40"/>
      <c r="B460" s="40"/>
      <c r="C460" s="77"/>
      <c r="D460" s="134"/>
      <c r="E460" s="134"/>
      <c r="F460" s="134"/>
      <c r="G460" s="134"/>
      <c r="H460" s="540"/>
      <c r="I460" s="229"/>
      <c r="J460" s="80"/>
      <c r="K460" s="80"/>
      <c r="L460" s="81"/>
      <c r="M460" s="81"/>
      <c r="N460" s="81">
        <f>SUM(N457:N459)</f>
        <v>0</v>
      </c>
      <c r="O460" s="81">
        <f t="shared" ref="O460:V460" si="531">SUM(O457:O459)</f>
        <v>2</v>
      </c>
      <c r="P460" s="81">
        <f t="shared" si="531"/>
        <v>2</v>
      </c>
      <c r="Q460" s="81">
        <f t="shared" si="531"/>
        <v>0</v>
      </c>
      <c r="R460" s="81">
        <f t="shared" si="531"/>
        <v>0</v>
      </c>
      <c r="S460" s="81">
        <f t="shared" si="531"/>
        <v>0</v>
      </c>
      <c r="T460" s="81">
        <f t="shared" si="531"/>
        <v>0</v>
      </c>
      <c r="U460" s="81">
        <f t="shared" si="531"/>
        <v>0</v>
      </c>
      <c r="V460" s="81">
        <f t="shared" si="531"/>
        <v>0</v>
      </c>
      <c r="W460" s="381">
        <f>SUM(W457:W459)</f>
        <v>0</v>
      </c>
      <c r="X460" s="82">
        <f t="shared" ref="X460:Y460" si="532">SUM(X457:X459)</f>
        <v>2</v>
      </c>
      <c r="Y460" s="82">
        <f t="shared" si="532"/>
        <v>2</v>
      </c>
      <c r="Z460" s="205">
        <f t="shared" si="530"/>
        <v>1</v>
      </c>
      <c r="AA460" s="205"/>
      <c r="AB460" s="205"/>
      <c r="AC460" s="83"/>
      <c r="AE460" s="80"/>
      <c r="AF460" s="80"/>
      <c r="AG460" s="81"/>
      <c r="AH460" s="82"/>
      <c r="AI460" s="66"/>
      <c r="AK460" s="80"/>
      <c r="AL460" s="80"/>
      <c r="AM460" s="81"/>
      <c r="AN460" s="82"/>
      <c r="AO460" s="66"/>
      <c r="AQ460" s="80"/>
      <c r="AR460" s="80"/>
      <c r="AS460" s="81"/>
      <c r="AT460" s="82">
        <f>SUM(AT457:AT459)</f>
        <v>0</v>
      </c>
      <c r="AU460" s="66">
        <f>IF(AT$460=0,0,AT460/AT$460)</f>
        <v>0</v>
      </c>
      <c r="AW460" s="80"/>
      <c r="AX460" s="80"/>
      <c r="AY460" s="81"/>
      <c r="AZ460" s="82">
        <f>SUM(AZ457:AZ459)</f>
        <v>2</v>
      </c>
      <c r="BA460" s="66">
        <f>IF(AZ$460=0,0,AZ460/AZ$460)</f>
        <v>1</v>
      </c>
    </row>
    <row r="461" spans="1:53" s="117" customFormat="1" ht="17.100000000000001" customHeight="1" x14ac:dyDescent="0.25">
      <c r="A461" s="68"/>
      <c r="B461" s="119"/>
      <c r="C461" s="540"/>
      <c r="D461" s="261"/>
      <c r="E461" s="261"/>
      <c r="F461" s="68"/>
      <c r="G461" s="68"/>
      <c r="H461" s="119"/>
      <c r="I461" s="138"/>
      <c r="J461" s="17"/>
      <c r="K461" s="17"/>
      <c r="L461" s="17"/>
      <c r="M461" s="17"/>
      <c r="N461" s="17" t="str">
        <f>IF(N460=N$443,"OK","NOK")</f>
        <v>OK</v>
      </c>
      <c r="O461" s="17" t="str">
        <f>IF(O460=O$443,"OK","NOK")</f>
        <v>OK</v>
      </c>
      <c r="P461" s="17"/>
      <c r="Q461" s="17" t="str">
        <f>IF(Q460=Q$443,"OK","NOK")</f>
        <v>OK</v>
      </c>
      <c r="R461" s="17" t="str">
        <f>IF(R460=R$443,"OK","NOK")</f>
        <v>OK</v>
      </c>
      <c r="S461" s="17"/>
      <c r="T461" s="17" t="str">
        <f>IF(T460=T$443,"OK","NOK")</f>
        <v>OK</v>
      </c>
      <c r="U461" s="17" t="str">
        <f>IF(U460=U$443,"OK","NOK")</f>
        <v>OK</v>
      </c>
      <c r="V461" s="359"/>
      <c r="W461" s="382"/>
      <c r="X461" s="539"/>
      <c r="Y461" s="539"/>
      <c r="Z461" s="201"/>
      <c r="AA461" s="201"/>
      <c r="AB461" s="201"/>
      <c r="AC461" s="84"/>
      <c r="AE461" s="46"/>
      <c r="AF461" s="46"/>
      <c r="AG461" s="17"/>
      <c r="AH461" s="539"/>
      <c r="AI461" s="91"/>
      <c r="AK461" s="46"/>
      <c r="AL461" s="46"/>
      <c r="AM461" s="17"/>
      <c r="AN461" s="539"/>
      <c r="AO461" s="91"/>
      <c r="AQ461" s="46"/>
      <c r="AR461" s="46"/>
      <c r="AS461" s="17"/>
      <c r="AT461" s="539"/>
      <c r="AU461" s="91"/>
      <c r="AW461" s="46"/>
      <c r="AX461" s="46"/>
      <c r="AY461" s="17"/>
      <c r="AZ461" s="539"/>
      <c r="BA461" s="91"/>
    </row>
    <row r="462" spans="1:53" s="117" customFormat="1" ht="17.100000000000001" customHeight="1" x14ac:dyDescent="0.25">
      <c r="A462" s="68"/>
      <c r="B462" s="119"/>
      <c r="C462" s="56" t="s">
        <v>260</v>
      </c>
      <c r="D462" s="57" t="s">
        <v>275</v>
      </c>
      <c r="E462" s="149"/>
      <c r="F462" s="149"/>
      <c r="G462" s="149"/>
      <c r="H462" s="182"/>
      <c r="I462" s="241"/>
      <c r="J462" s="152"/>
      <c r="K462" s="152"/>
      <c r="L462" s="111"/>
      <c r="M462" s="111"/>
      <c r="N462" s="111"/>
      <c r="O462" s="111"/>
      <c r="P462" s="111"/>
      <c r="Q462" s="111"/>
      <c r="R462" s="111"/>
      <c r="S462" s="111"/>
      <c r="T462" s="111"/>
      <c r="U462" s="111"/>
      <c r="V462" s="358"/>
      <c r="W462" s="380"/>
      <c r="X462" s="111"/>
      <c r="Y462" s="545"/>
      <c r="Z462" s="131"/>
      <c r="AA462" s="131"/>
      <c r="AB462" s="131"/>
      <c r="AC462" s="113"/>
      <c r="AE462" s="152"/>
      <c r="AF462" s="152"/>
      <c r="AG462" s="111"/>
      <c r="AH462" s="545"/>
      <c r="AI462" s="131"/>
      <c r="AK462" s="152"/>
      <c r="AL462" s="152"/>
      <c r="AM462" s="111"/>
      <c r="AN462" s="545"/>
      <c r="AO462" s="131"/>
      <c r="AQ462" s="152"/>
      <c r="AR462" s="152"/>
      <c r="AS462" s="111"/>
      <c r="AT462" s="545"/>
      <c r="AU462" s="131"/>
      <c r="AW462" s="152"/>
      <c r="AX462" s="152"/>
      <c r="AY462" s="111"/>
      <c r="AZ462" s="545"/>
      <c r="BA462" s="131"/>
    </row>
    <row r="463" spans="1:53" ht="17.100000000000001" customHeight="1" x14ac:dyDescent="0.25">
      <c r="A463" s="175"/>
      <c r="B463" s="40"/>
      <c r="C463" s="55"/>
      <c r="D463" s="56" t="s">
        <v>261</v>
      </c>
      <c r="E463" s="85" t="s">
        <v>173</v>
      </c>
      <c r="F463" s="225"/>
      <c r="G463" s="149"/>
      <c r="H463" s="182"/>
      <c r="I463" s="241"/>
      <c r="J463" s="111"/>
      <c r="K463" s="111"/>
      <c r="L463" s="111"/>
      <c r="M463" s="111"/>
      <c r="N463" s="60"/>
      <c r="O463" s="60"/>
      <c r="P463" s="17">
        <f>SUM(N463:O463)</f>
        <v>0</v>
      </c>
      <c r="Q463" s="60"/>
      <c r="R463" s="60"/>
      <c r="S463" s="17">
        <f>SUM(Q463:R463)</f>
        <v>0</v>
      </c>
      <c r="T463" s="60"/>
      <c r="U463" s="60"/>
      <c r="V463" s="359">
        <f>SUM(T463:U463)</f>
        <v>0</v>
      </c>
      <c r="W463" s="391">
        <f t="shared" ref="W463:W464" si="533">J463+K463+N463+Q463+T463</f>
        <v>0</v>
      </c>
      <c r="X463" s="17">
        <f t="shared" ref="X463:X464" si="534">L463+O463+R463+U463</f>
        <v>0</v>
      </c>
      <c r="Y463" s="18">
        <f>SUM(W463:X463)</f>
        <v>0</v>
      </c>
      <c r="Z463" s="19">
        <f>IF(Y$370=0,0,Y463/Y$370)</f>
        <v>0</v>
      </c>
      <c r="AA463" s="19"/>
      <c r="AB463" s="19"/>
      <c r="AC463" s="20"/>
      <c r="AE463" s="111"/>
      <c r="AF463" s="111"/>
      <c r="AG463" s="111"/>
      <c r="AH463" s="112"/>
      <c r="AI463" s="113"/>
      <c r="AK463" s="111"/>
      <c r="AL463" s="111"/>
      <c r="AM463" s="111"/>
      <c r="AN463" s="112"/>
      <c r="AO463" s="113"/>
      <c r="AQ463" s="17"/>
      <c r="AR463" s="17"/>
      <c r="AS463" s="17"/>
      <c r="AT463" s="18">
        <f t="shared" ref="AT463:AT464" si="535">W463</f>
        <v>0</v>
      </c>
      <c r="AU463" s="19">
        <f>IF(AT$469=0,0,AT463/AT$469)</f>
        <v>0</v>
      </c>
      <c r="AW463" s="17"/>
      <c r="AX463" s="17"/>
      <c r="AY463" s="17"/>
      <c r="AZ463" s="18">
        <f t="shared" ref="AZ463:AZ464" si="536">X463</f>
        <v>0</v>
      </c>
      <c r="BA463" s="19">
        <f>IF(AZ$469=0,0,AZ463/AZ$469)</f>
        <v>0</v>
      </c>
    </row>
    <row r="464" spans="1:53" ht="17.100000000000001" customHeight="1" x14ac:dyDescent="0.25">
      <c r="A464" s="175"/>
      <c r="B464" s="40"/>
      <c r="C464" s="55"/>
      <c r="D464" s="56" t="s">
        <v>262</v>
      </c>
      <c r="E464" s="85" t="s">
        <v>544</v>
      </c>
      <c r="F464" s="225"/>
      <c r="G464" s="149"/>
      <c r="H464" s="182"/>
      <c r="I464" s="241"/>
      <c r="J464" s="111"/>
      <c r="K464" s="111"/>
      <c r="L464" s="111"/>
      <c r="M464" s="111"/>
      <c r="N464" s="61"/>
      <c r="O464" s="61">
        <v>2</v>
      </c>
      <c r="P464" s="17">
        <f t="shared" ref="P464" si="537">SUM(N464:O464)</f>
        <v>2</v>
      </c>
      <c r="Q464" s="61"/>
      <c r="R464" s="61"/>
      <c r="S464" s="17">
        <f t="shared" ref="S464" si="538">SUM(Q464:R464)</f>
        <v>0</v>
      </c>
      <c r="T464" s="61"/>
      <c r="U464" s="61"/>
      <c r="V464" s="359">
        <f t="shared" ref="V464" si="539">SUM(T464:U464)</f>
        <v>0</v>
      </c>
      <c r="W464" s="391">
        <f t="shared" si="533"/>
        <v>0</v>
      </c>
      <c r="X464" s="17">
        <f t="shared" si="534"/>
        <v>2</v>
      </c>
      <c r="Y464" s="18">
        <f>SUM(W464:X464)</f>
        <v>2</v>
      </c>
      <c r="Z464" s="19">
        <f>IF(Y$370=0,0,Y464/Y$370)</f>
        <v>0</v>
      </c>
      <c r="AA464" s="19"/>
      <c r="AB464" s="19"/>
      <c r="AC464" s="20"/>
      <c r="AE464" s="111"/>
      <c r="AF464" s="111"/>
      <c r="AG464" s="111"/>
      <c r="AH464" s="112"/>
      <c r="AI464" s="113"/>
      <c r="AK464" s="111"/>
      <c r="AL464" s="111"/>
      <c r="AM464" s="111"/>
      <c r="AN464" s="112"/>
      <c r="AO464" s="113"/>
      <c r="AQ464" s="17"/>
      <c r="AR464" s="17"/>
      <c r="AS464" s="17"/>
      <c r="AT464" s="18">
        <f t="shared" si="535"/>
        <v>0</v>
      </c>
      <c r="AU464" s="19">
        <f>IF(AT$469=0,0,AT464/AT$469)</f>
        <v>0</v>
      </c>
      <c r="AW464" s="17"/>
      <c r="AX464" s="17"/>
      <c r="AY464" s="17"/>
      <c r="AZ464" s="18">
        <f t="shared" si="536"/>
        <v>2</v>
      </c>
      <c r="BA464" s="19">
        <f>IF(AZ$469=0,0,AZ464/AZ$469)</f>
        <v>1</v>
      </c>
    </row>
    <row r="465" spans="1:53" ht="17.100000000000001" customHeight="1" x14ac:dyDescent="0.25">
      <c r="A465" s="175"/>
      <c r="B465" s="40"/>
      <c r="C465" s="55"/>
      <c r="D465" s="56" t="s">
        <v>263</v>
      </c>
      <c r="E465" s="146" t="s">
        <v>484</v>
      </c>
      <c r="F465" s="225"/>
      <c r="G465" s="149"/>
      <c r="H465" s="182"/>
      <c r="I465" s="241"/>
      <c r="J465" s="111"/>
      <c r="K465" s="111"/>
      <c r="L465" s="111"/>
      <c r="M465" s="111"/>
      <c r="N465" s="60"/>
      <c r="O465" s="60">
        <v>1000000</v>
      </c>
      <c r="P465" s="17"/>
      <c r="Q465" s="60"/>
      <c r="R465" s="60"/>
      <c r="S465" s="17"/>
      <c r="T465" s="60"/>
      <c r="U465" s="60"/>
      <c r="V465" s="359"/>
      <c r="W465" s="391">
        <f>MIN(N465,Q465,T465)</f>
        <v>0</v>
      </c>
      <c r="X465" s="17">
        <f>MIN(O465,R465,U465)</f>
        <v>1000000</v>
      </c>
      <c r="Y465" s="18"/>
      <c r="Z465" s="19"/>
      <c r="AA465" s="17">
        <f>MIN(N465:U465)</f>
        <v>1000000</v>
      </c>
      <c r="AB465" s="17"/>
      <c r="AC465" s="17"/>
      <c r="AE465" s="111"/>
      <c r="AF465" s="111"/>
      <c r="AG465" s="111"/>
      <c r="AH465" s="545"/>
      <c r="AI465" s="131"/>
      <c r="AK465" s="111"/>
      <c r="AL465" s="111"/>
      <c r="AM465" s="111"/>
      <c r="AN465" s="545"/>
      <c r="AO465" s="131"/>
      <c r="AQ465" s="17">
        <f>W465</f>
        <v>0</v>
      </c>
      <c r="AR465" s="17"/>
      <c r="AS465" s="17"/>
      <c r="AT465" s="18"/>
      <c r="AU465" s="19"/>
      <c r="AW465" s="17">
        <f>X465</f>
        <v>1000000</v>
      </c>
      <c r="AX465" s="17"/>
      <c r="AY465" s="17"/>
      <c r="AZ465" s="18"/>
      <c r="BA465" s="19"/>
    </row>
    <row r="466" spans="1:53" ht="17.100000000000001" customHeight="1" x14ac:dyDescent="0.25">
      <c r="A466" s="175"/>
      <c r="B466" s="40"/>
      <c r="C466" s="55"/>
      <c r="D466" s="56" t="s">
        <v>264</v>
      </c>
      <c r="E466" s="146" t="s">
        <v>485</v>
      </c>
      <c r="F466" s="225"/>
      <c r="G466" s="149"/>
      <c r="H466" s="182"/>
      <c r="I466" s="241"/>
      <c r="J466" s="111"/>
      <c r="K466" s="111"/>
      <c r="L466" s="111"/>
      <c r="M466" s="111"/>
      <c r="N466" s="61"/>
      <c r="O466" s="61">
        <v>1000000</v>
      </c>
      <c r="P466" s="17"/>
      <c r="Q466" s="61"/>
      <c r="R466" s="61"/>
      <c r="S466" s="17"/>
      <c r="T466" s="61"/>
      <c r="U466" s="61"/>
      <c r="V466" s="359"/>
      <c r="W466" s="391">
        <f>MAX(N466,Q466,T466)</f>
        <v>0</v>
      </c>
      <c r="X466" s="17">
        <f>MAX(O466,R466,U466)</f>
        <v>1000000</v>
      </c>
      <c r="Y466" s="18"/>
      <c r="Z466" s="19"/>
      <c r="AA466" s="17"/>
      <c r="AB466" s="17">
        <f>MAX(N466:U466)</f>
        <v>1000000</v>
      </c>
      <c r="AC466" s="17"/>
      <c r="AE466" s="111"/>
      <c r="AF466" s="111"/>
      <c r="AG466" s="111"/>
      <c r="AH466" s="545"/>
      <c r="AI466" s="131"/>
      <c r="AK466" s="111"/>
      <c r="AL466" s="111"/>
      <c r="AM466" s="111"/>
      <c r="AN466" s="545"/>
      <c r="AO466" s="131"/>
      <c r="AQ466" s="17"/>
      <c r="AR466" s="17">
        <f>W466</f>
        <v>0</v>
      </c>
      <c r="AS466" s="17"/>
      <c r="AT466" s="18"/>
      <c r="AU466" s="19"/>
      <c r="AW466" s="17"/>
      <c r="AX466" s="17">
        <f>X466</f>
        <v>1000000</v>
      </c>
      <c r="AY466" s="17"/>
      <c r="AZ466" s="18"/>
      <c r="BA466" s="19"/>
    </row>
    <row r="467" spans="1:53" ht="17.100000000000001" customHeight="1" x14ac:dyDescent="0.25">
      <c r="A467" s="175"/>
      <c r="B467" s="40"/>
      <c r="C467" s="55"/>
      <c r="D467" s="56" t="s">
        <v>265</v>
      </c>
      <c r="E467" s="146" t="s">
        <v>543</v>
      </c>
      <c r="F467" s="225"/>
      <c r="G467" s="149"/>
      <c r="H467" s="182"/>
      <c r="I467" s="241"/>
      <c r="J467" s="111"/>
      <c r="K467" s="111"/>
      <c r="L467" s="111"/>
      <c r="M467" s="111"/>
      <c r="N467" s="60"/>
      <c r="O467" s="60">
        <v>1000000</v>
      </c>
      <c r="P467" s="17"/>
      <c r="Q467" s="60"/>
      <c r="R467" s="60"/>
      <c r="S467" s="17"/>
      <c r="T467" s="60"/>
      <c r="U467" s="60"/>
      <c r="V467" s="359"/>
      <c r="W467" s="391">
        <f>IF(N467+Q467+T467=0,0,AVERAGE(N467,Q467,T467))</f>
        <v>0</v>
      </c>
      <c r="X467" s="17">
        <f>IF(O467+R467+U467=0,0,AVERAGE(O467,R467,U467))</f>
        <v>1000000</v>
      </c>
      <c r="Y467" s="18"/>
      <c r="Z467" s="19"/>
      <c r="AA467" s="17"/>
      <c r="AB467" s="17"/>
      <c r="AC467" s="17">
        <f>IF(SUM(N467:U467)=0,0,AVERAGE(N467:U467))</f>
        <v>1000000</v>
      </c>
      <c r="AE467" s="111"/>
      <c r="AF467" s="111"/>
      <c r="AG467" s="111"/>
      <c r="AH467" s="545"/>
      <c r="AI467" s="131"/>
      <c r="AK467" s="111"/>
      <c r="AL467" s="111"/>
      <c r="AM467" s="111"/>
      <c r="AN467" s="545"/>
      <c r="AO467" s="131"/>
      <c r="AQ467" s="17"/>
      <c r="AR467" s="17"/>
      <c r="AS467" s="17">
        <f>W467</f>
        <v>0</v>
      </c>
      <c r="AT467" s="18"/>
      <c r="AU467" s="19"/>
      <c r="AW467" s="17"/>
      <c r="AX467" s="17"/>
      <c r="AY467" s="17">
        <f>X467</f>
        <v>1000000</v>
      </c>
      <c r="AZ467" s="18"/>
      <c r="BA467" s="19"/>
    </row>
    <row r="468" spans="1:53" ht="17.100000000000001" customHeight="1" x14ac:dyDescent="0.25">
      <c r="A468" s="175"/>
      <c r="B468" s="40"/>
      <c r="C468" s="55"/>
      <c r="D468" s="56" t="s">
        <v>266</v>
      </c>
      <c r="E468" s="596" t="s">
        <v>598</v>
      </c>
      <c r="F468" s="225"/>
      <c r="G468" s="149"/>
      <c r="H468" s="182"/>
      <c r="I468" s="241"/>
      <c r="J468" s="111"/>
      <c r="K468" s="111"/>
      <c r="L468" s="111"/>
      <c r="M468" s="111"/>
      <c r="N468" s="61"/>
      <c r="O468" s="61"/>
      <c r="P468" s="17">
        <f t="shared" ref="P468" si="540">SUM(N468:O468)</f>
        <v>0</v>
      </c>
      <c r="Q468" s="61"/>
      <c r="R468" s="61"/>
      <c r="S468" s="17">
        <f t="shared" ref="S468" si="541">SUM(Q468:R468)</f>
        <v>0</v>
      </c>
      <c r="T468" s="61"/>
      <c r="U468" s="61"/>
      <c r="V468" s="359">
        <f t="shared" ref="V468" si="542">SUM(T468:U468)</f>
        <v>0</v>
      </c>
      <c r="W468" s="391">
        <f t="shared" ref="W468" si="543">J468+K468+N468+Q468+T468</f>
        <v>0</v>
      </c>
      <c r="X468" s="17">
        <f t="shared" ref="X468" si="544">L468+O468+R468+U468</f>
        <v>0</v>
      </c>
      <c r="Y468" s="18">
        <f>SUM(W468:X468)</f>
        <v>0</v>
      </c>
      <c r="Z468" s="19">
        <f>IF(Y$370=0,0,Y468/Y$370)</f>
        <v>0</v>
      </c>
      <c r="AA468" s="19"/>
      <c r="AB468" s="19"/>
      <c r="AC468" s="20"/>
      <c r="AE468" s="111"/>
      <c r="AF468" s="111"/>
      <c r="AG468" s="111"/>
      <c r="AH468" s="112"/>
      <c r="AI468" s="113"/>
      <c r="AK468" s="111"/>
      <c r="AL468" s="111"/>
      <c r="AM468" s="111"/>
      <c r="AN468" s="112"/>
      <c r="AO468" s="113"/>
      <c r="AQ468" s="17"/>
      <c r="AR468" s="17"/>
      <c r="AS468" s="17"/>
      <c r="AT468" s="18">
        <f t="shared" ref="AT468" si="545">W468</f>
        <v>0</v>
      </c>
      <c r="AU468" s="19">
        <f t="shared" ref="AU468:AU469" si="546">IF(AT$469=0,0,AT468/AT$469)</f>
        <v>0</v>
      </c>
      <c r="AW468" s="17"/>
      <c r="AX468" s="17"/>
      <c r="AY468" s="17"/>
      <c r="AZ468" s="18">
        <f t="shared" ref="AZ468" si="547">X468</f>
        <v>0</v>
      </c>
      <c r="BA468" s="19">
        <f t="shared" ref="BA468:BA469" si="548">IF(AZ$469=0,0,AZ468/AZ$469)</f>
        <v>0</v>
      </c>
    </row>
    <row r="469" spans="1:53" s="117" customFormat="1" ht="17.100000000000001" customHeight="1" x14ac:dyDescent="0.25">
      <c r="A469" s="68"/>
      <c r="B469" s="119"/>
      <c r="C469" s="77"/>
      <c r="D469" s="134"/>
      <c r="E469" s="134"/>
      <c r="F469" s="134"/>
      <c r="G469" s="134"/>
      <c r="H469" s="540"/>
      <c r="I469" s="229"/>
      <c r="J469" s="80"/>
      <c r="K469" s="80"/>
      <c r="L469" s="81"/>
      <c r="M469" s="81"/>
      <c r="N469" s="81">
        <f>N463+N464+N468</f>
        <v>0</v>
      </c>
      <c r="O469" s="81">
        <f t="shared" ref="O469:V469" si="549">O463+O464+O468</f>
        <v>2</v>
      </c>
      <c r="P469" s="81">
        <f t="shared" si="549"/>
        <v>2</v>
      </c>
      <c r="Q469" s="81">
        <f t="shared" si="549"/>
        <v>0</v>
      </c>
      <c r="R469" s="81">
        <f t="shared" si="549"/>
        <v>0</v>
      </c>
      <c r="S469" s="81">
        <f t="shared" si="549"/>
        <v>0</v>
      </c>
      <c r="T469" s="81">
        <f t="shared" si="549"/>
        <v>0</v>
      </c>
      <c r="U469" s="81">
        <f t="shared" si="549"/>
        <v>0</v>
      </c>
      <c r="V469" s="81">
        <f t="shared" si="549"/>
        <v>0</v>
      </c>
      <c r="W469" s="381">
        <f>W463+W464+W468</f>
        <v>0</v>
      </c>
      <c r="X469" s="82">
        <f t="shared" ref="X469:Y469" si="550">X463+X464+X468</f>
        <v>2</v>
      </c>
      <c r="Y469" s="338">
        <f t="shared" si="550"/>
        <v>2</v>
      </c>
      <c r="Z469" s="205">
        <f>IF(Y$430=0,0,Y469/Y$430)</f>
        <v>0.25</v>
      </c>
      <c r="AA469" s="205"/>
      <c r="AB469" s="205"/>
      <c r="AC469" s="83"/>
      <c r="AE469" s="80"/>
      <c r="AF469" s="80"/>
      <c r="AG469" s="81"/>
      <c r="AH469" s="82"/>
      <c r="AI469" s="66"/>
      <c r="AK469" s="80"/>
      <c r="AL469" s="80"/>
      <c r="AM469" s="81"/>
      <c r="AN469" s="82"/>
      <c r="AO469" s="66"/>
      <c r="AQ469" s="80"/>
      <c r="AR469" s="80"/>
      <c r="AS469" s="81"/>
      <c r="AT469" s="82">
        <f>SUM(AT463:AT468)</f>
        <v>0</v>
      </c>
      <c r="AU469" s="66">
        <f t="shared" si="546"/>
        <v>0</v>
      </c>
      <c r="AW469" s="80"/>
      <c r="AX469" s="80"/>
      <c r="AY469" s="81"/>
      <c r="AZ469" s="82">
        <f>SUM(AZ463:AZ468)</f>
        <v>2</v>
      </c>
      <c r="BA469" s="66">
        <f t="shared" si="548"/>
        <v>1</v>
      </c>
    </row>
    <row r="470" spans="1:53" s="117" customFormat="1" ht="17.100000000000001" customHeight="1" x14ac:dyDescent="0.25">
      <c r="A470" s="68"/>
      <c r="B470" s="119"/>
      <c r="C470" s="540"/>
      <c r="D470" s="261"/>
      <c r="E470" s="261"/>
      <c r="F470" s="68"/>
      <c r="G470" s="68"/>
      <c r="H470" s="119"/>
      <c r="I470" s="138"/>
      <c r="J470" s="17"/>
      <c r="K470" s="17"/>
      <c r="L470" s="17"/>
      <c r="M470" s="17"/>
      <c r="N470" s="17" t="str">
        <f>IF(N469=N$443,"OK","NOK")</f>
        <v>OK</v>
      </c>
      <c r="O470" s="17" t="str">
        <f>IF(O469=O$443,"OK","NOK")</f>
        <v>OK</v>
      </c>
      <c r="P470" s="17"/>
      <c r="Q470" s="17" t="str">
        <f>IF(Q469=Q$443,"OK","NOK")</f>
        <v>OK</v>
      </c>
      <c r="R470" s="17" t="str">
        <f>IF(R469=R$443,"OK","NOK")</f>
        <v>OK</v>
      </c>
      <c r="S470" s="17"/>
      <c r="T470" s="17" t="str">
        <f>IF(T469=T$443,"OK","NOK")</f>
        <v>OK</v>
      </c>
      <c r="U470" s="17" t="str">
        <f>IF(U469=U$443,"OK","NOK")</f>
        <v>OK</v>
      </c>
      <c r="V470" s="359"/>
      <c r="W470" s="382"/>
      <c r="X470" s="539"/>
      <c r="Y470" s="539"/>
      <c r="Z470" s="201"/>
      <c r="AA470" s="201"/>
      <c r="AB470" s="201"/>
      <c r="AC470" s="84"/>
      <c r="AE470" s="46"/>
      <c r="AF470" s="46"/>
      <c r="AG470" s="17"/>
      <c r="AH470" s="539"/>
      <c r="AI470" s="91"/>
      <c r="AK470" s="46"/>
      <c r="AL470" s="46"/>
      <c r="AM470" s="17"/>
      <c r="AN470" s="539"/>
      <c r="AO470" s="91"/>
      <c r="AQ470" s="46"/>
      <c r="AR470" s="46"/>
      <c r="AS470" s="17"/>
      <c r="AT470" s="539"/>
      <c r="AU470" s="91"/>
      <c r="AW470" s="46"/>
      <c r="AX470" s="46"/>
      <c r="AY470" s="17"/>
      <c r="AZ470" s="539"/>
      <c r="BA470" s="91"/>
    </row>
    <row r="471" spans="1:53" s="117" customFormat="1" ht="17.100000000000001" customHeight="1" x14ac:dyDescent="0.25">
      <c r="A471" s="68"/>
      <c r="B471" s="119"/>
      <c r="C471" s="56" t="s">
        <v>267</v>
      </c>
      <c r="D471" s="57" t="s">
        <v>276</v>
      </c>
      <c r="E471" s="149"/>
      <c r="F471" s="149"/>
      <c r="G471" s="149"/>
      <c r="H471" s="182"/>
      <c r="I471" s="241"/>
      <c r="J471" s="152"/>
      <c r="K471" s="152"/>
      <c r="L471" s="111"/>
      <c r="M471" s="111"/>
      <c r="N471" s="111"/>
      <c r="O471" s="111"/>
      <c r="P471" s="111"/>
      <c r="Q471" s="111"/>
      <c r="R471" s="111"/>
      <c r="S471" s="111"/>
      <c r="T471" s="111"/>
      <c r="U471" s="111"/>
      <c r="V471" s="358"/>
      <c r="W471" s="380"/>
      <c r="X471" s="111"/>
      <c r="Y471" s="545"/>
      <c r="Z471" s="131"/>
      <c r="AA471" s="131"/>
      <c r="AB471" s="131"/>
      <c r="AC471" s="113"/>
      <c r="AE471" s="152"/>
      <c r="AF471" s="152"/>
      <c r="AG471" s="111"/>
      <c r="AH471" s="545"/>
      <c r="AI471" s="131"/>
      <c r="AK471" s="152"/>
      <c r="AL471" s="152"/>
      <c r="AM471" s="111"/>
      <c r="AN471" s="545"/>
      <c r="AO471" s="131"/>
      <c r="AQ471" s="152"/>
      <c r="AR471" s="152"/>
      <c r="AS471" s="111"/>
      <c r="AT471" s="545"/>
      <c r="AU471" s="131"/>
      <c r="AW471" s="152"/>
      <c r="AX471" s="152"/>
      <c r="AY471" s="111"/>
      <c r="AZ471" s="545"/>
      <c r="BA471" s="131"/>
    </row>
    <row r="472" spans="1:53" s="117" customFormat="1" ht="17.100000000000001" customHeight="1" x14ac:dyDescent="0.25">
      <c r="A472" s="68"/>
      <c r="B472" s="119"/>
      <c r="C472" s="55"/>
      <c r="D472" s="56" t="s">
        <v>268</v>
      </c>
      <c r="E472" s="85" t="s">
        <v>478</v>
      </c>
      <c r="F472" s="149"/>
      <c r="G472" s="149"/>
      <c r="H472" s="182"/>
      <c r="I472" s="241"/>
      <c r="J472" s="111"/>
      <c r="K472" s="111"/>
      <c r="L472" s="111"/>
      <c r="M472" s="111"/>
      <c r="N472" s="60"/>
      <c r="O472" s="60"/>
      <c r="P472" s="17">
        <f t="shared" ref="P472:P479" si="551">SUM(N472:O472)</f>
        <v>0</v>
      </c>
      <c r="Q472" s="60"/>
      <c r="R472" s="60"/>
      <c r="S472" s="17">
        <f t="shared" ref="S472:S479" si="552">SUM(Q472:R472)</f>
        <v>0</v>
      </c>
      <c r="T472" s="60"/>
      <c r="U472" s="60"/>
      <c r="V472" s="359">
        <f t="shared" ref="V472:V479" si="553">SUM(T472:U472)</f>
        <v>0</v>
      </c>
      <c r="W472" s="391">
        <f t="shared" ref="W472:W479" si="554">J472+K472+N472+Q472+T472</f>
        <v>0</v>
      </c>
      <c r="X472" s="17">
        <f t="shared" ref="X472:X479" si="555">L472+O472+R472+U472</f>
        <v>0</v>
      </c>
      <c r="Y472" s="18">
        <f t="shared" ref="Y472:Y479" si="556">SUM(W472:X472)</f>
        <v>0</v>
      </c>
      <c r="Z472" s="19">
        <f>IF(Y$480=0,0,Y472/Y$480)</f>
        <v>0</v>
      </c>
      <c r="AA472" s="19"/>
      <c r="AB472" s="19"/>
      <c r="AC472" s="84"/>
      <c r="AE472" s="111"/>
      <c r="AF472" s="111"/>
      <c r="AG472" s="111"/>
      <c r="AH472" s="112"/>
      <c r="AI472" s="113"/>
      <c r="AK472" s="111"/>
      <c r="AL472" s="111"/>
      <c r="AM472" s="111"/>
      <c r="AN472" s="112"/>
      <c r="AO472" s="113"/>
      <c r="AQ472" s="17"/>
      <c r="AR472" s="17"/>
      <c r="AS472" s="17"/>
      <c r="AT472" s="18">
        <f t="shared" ref="AT472:AT479" si="557">W472</f>
        <v>0</v>
      </c>
      <c r="AU472" s="19">
        <f>IF(AT$480=0,0,AT472/AT$480)</f>
        <v>0</v>
      </c>
      <c r="AW472" s="17"/>
      <c r="AX472" s="17"/>
      <c r="AY472" s="17"/>
      <c r="AZ472" s="18">
        <f t="shared" ref="AZ472:AZ479" si="558">X472</f>
        <v>0</v>
      </c>
      <c r="BA472" s="19">
        <f>IF(AZ$480=0,0,AZ472/AZ$480)</f>
        <v>0</v>
      </c>
    </row>
    <row r="473" spans="1:53" s="117" customFormat="1" ht="17.100000000000001" customHeight="1" x14ac:dyDescent="0.25">
      <c r="A473" s="68"/>
      <c r="B473" s="119"/>
      <c r="C473" s="55"/>
      <c r="D473" s="56" t="s">
        <v>269</v>
      </c>
      <c r="E473" s="85" t="s">
        <v>165</v>
      </c>
      <c r="F473" s="149"/>
      <c r="G473" s="149"/>
      <c r="H473" s="182"/>
      <c r="I473" s="241"/>
      <c r="J473" s="111"/>
      <c r="K473" s="111"/>
      <c r="L473" s="111"/>
      <c r="M473" s="111"/>
      <c r="N473" s="61"/>
      <c r="O473" s="61">
        <v>2</v>
      </c>
      <c r="P473" s="17">
        <f t="shared" si="551"/>
        <v>2</v>
      </c>
      <c r="Q473" s="61"/>
      <c r="R473" s="61"/>
      <c r="S473" s="17">
        <f t="shared" si="552"/>
        <v>0</v>
      </c>
      <c r="T473" s="61"/>
      <c r="U473" s="61"/>
      <c r="V473" s="359">
        <f t="shared" si="553"/>
        <v>0</v>
      </c>
      <c r="W473" s="391">
        <f t="shared" si="554"/>
        <v>0</v>
      </c>
      <c r="X473" s="17">
        <f t="shared" si="555"/>
        <v>2</v>
      </c>
      <c r="Y473" s="18">
        <f t="shared" si="556"/>
        <v>2</v>
      </c>
      <c r="Z473" s="19">
        <f t="shared" ref="Z473:Z479" si="559">IF(Y$480=0,0,Y473/Y$480)</f>
        <v>1</v>
      </c>
      <c r="AA473" s="19"/>
      <c r="AB473" s="19"/>
      <c r="AC473" s="84"/>
      <c r="AE473" s="111"/>
      <c r="AF473" s="111"/>
      <c r="AG473" s="111"/>
      <c r="AH473" s="112"/>
      <c r="AI473" s="113"/>
      <c r="AK473" s="111"/>
      <c r="AL473" s="111"/>
      <c r="AM473" s="111"/>
      <c r="AN473" s="112"/>
      <c r="AO473" s="113"/>
      <c r="AQ473" s="17"/>
      <c r="AR473" s="17"/>
      <c r="AS473" s="17"/>
      <c r="AT473" s="18">
        <f t="shared" si="557"/>
        <v>0</v>
      </c>
      <c r="AU473" s="19">
        <f t="shared" ref="AU473:AU480" si="560">IF(AT$480=0,0,AT473/AT$480)</f>
        <v>0</v>
      </c>
      <c r="AW473" s="17"/>
      <c r="AX473" s="17"/>
      <c r="AY473" s="17"/>
      <c r="AZ473" s="18">
        <f t="shared" si="558"/>
        <v>2</v>
      </c>
      <c r="BA473" s="19">
        <f t="shared" ref="BA473:BA480" si="561">IF(AZ$480=0,0,AZ473/AZ$480)</f>
        <v>1</v>
      </c>
    </row>
    <row r="474" spans="1:53" s="117" customFormat="1" ht="17.100000000000001" customHeight="1" x14ac:dyDescent="0.25">
      <c r="A474" s="68"/>
      <c r="B474" s="119"/>
      <c r="C474" s="55"/>
      <c r="D474" s="56" t="s">
        <v>270</v>
      </c>
      <c r="E474" s="85" t="s">
        <v>167</v>
      </c>
      <c r="F474" s="149"/>
      <c r="G474" s="149"/>
      <c r="H474" s="182"/>
      <c r="I474" s="241"/>
      <c r="J474" s="111"/>
      <c r="K474" s="111"/>
      <c r="L474" s="111"/>
      <c r="M474" s="111"/>
      <c r="N474" s="60"/>
      <c r="O474" s="60"/>
      <c r="P474" s="17">
        <f t="shared" si="551"/>
        <v>0</v>
      </c>
      <c r="Q474" s="60"/>
      <c r="R474" s="60"/>
      <c r="S474" s="17">
        <f t="shared" si="552"/>
        <v>0</v>
      </c>
      <c r="T474" s="60"/>
      <c r="U474" s="60"/>
      <c r="V474" s="359">
        <f t="shared" si="553"/>
        <v>0</v>
      </c>
      <c r="W474" s="391">
        <f t="shared" si="554"/>
        <v>0</v>
      </c>
      <c r="X474" s="17">
        <f t="shared" si="555"/>
        <v>0</v>
      </c>
      <c r="Y474" s="18">
        <f t="shared" si="556"/>
        <v>0</v>
      </c>
      <c r="Z474" s="19">
        <f t="shared" si="559"/>
        <v>0</v>
      </c>
      <c r="AA474" s="19"/>
      <c r="AB474" s="19"/>
      <c r="AC474" s="84"/>
      <c r="AE474" s="111"/>
      <c r="AF474" s="111"/>
      <c r="AG474" s="111"/>
      <c r="AH474" s="112"/>
      <c r="AI474" s="113"/>
      <c r="AK474" s="111"/>
      <c r="AL474" s="111"/>
      <c r="AM474" s="111"/>
      <c r="AN474" s="112"/>
      <c r="AO474" s="113"/>
      <c r="AQ474" s="17"/>
      <c r="AR474" s="17"/>
      <c r="AS474" s="17"/>
      <c r="AT474" s="18">
        <f t="shared" si="557"/>
        <v>0</v>
      </c>
      <c r="AU474" s="19">
        <f t="shared" si="560"/>
        <v>0</v>
      </c>
      <c r="AW474" s="17"/>
      <c r="AX474" s="17"/>
      <c r="AY474" s="17"/>
      <c r="AZ474" s="18">
        <f t="shared" si="558"/>
        <v>0</v>
      </c>
      <c r="BA474" s="19">
        <f t="shared" si="561"/>
        <v>0</v>
      </c>
    </row>
    <row r="475" spans="1:53" s="117" customFormat="1" ht="17.100000000000001" customHeight="1" x14ac:dyDescent="0.25">
      <c r="A475" s="68"/>
      <c r="B475" s="119"/>
      <c r="C475" s="55"/>
      <c r="D475" s="56" t="s">
        <v>271</v>
      </c>
      <c r="E475" s="85" t="s">
        <v>437</v>
      </c>
      <c r="F475" s="149"/>
      <c r="G475" s="149"/>
      <c r="H475" s="182"/>
      <c r="I475" s="241"/>
      <c r="J475" s="111"/>
      <c r="K475" s="111"/>
      <c r="L475" s="111"/>
      <c r="M475" s="111"/>
      <c r="N475" s="61"/>
      <c r="O475" s="61"/>
      <c r="P475" s="17">
        <f t="shared" si="551"/>
        <v>0</v>
      </c>
      <c r="Q475" s="61"/>
      <c r="R475" s="61"/>
      <c r="S475" s="17">
        <f t="shared" si="552"/>
        <v>0</v>
      </c>
      <c r="T475" s="61"/>
      <c r="U475" s="61"/>
      <c r="V475" s="359">
        <f t="shared" si="553"/>
        <v>0</v>
      </c>
      <c r="W475" s="391">
        <f t="shared" si="554"/>
        <v>0</v>
      </c>
      <c r="X475" s="17">
        <f t="shared" si="555"/>
        <v>0</v>
      </c>
      <c r="Y475" s="18">
        <f t="shared" si="556"/>
        <v>0</v>
      </c>
      <c r="Z475" s="19">
        <f t="shared" si="559"/>
        <v>0</v>
      </c>
      <c r="AA475" s="19"/>
      <c r="AB475" s="19"/>
      <c r="AC475" s="84"/>
      <c r="AE475" s="111"/>
      <c r="AF475" s="111"/>
      <c r="AG475" s="111"/>
      <c r="AH475" s="112"/>
      <c r="AI475" s="113"/>
      <c r="AK475" s="111"/>
      <c r="AL475" s="111"/>
      <c r="AM475" s="111"/>
      <c r="AN475" s="112"/>
      <c r="AO475" s="113"/>
      <c r="AQ475" s="17"/>
      <c r="AR475" s="17"/>
      <c r="AS475" s="17"/>
      <c r="AT475" s="18">
        <f t="shared" si="557"/>
        <v>0</v>
      </c>
      <c r="AU475" s="19">
        <f t="shared" si="560"/>
        <v>0</v>
      </c>
      <c r="AW475" s="17"/>
      <c r="AX475" s="17"/>
      <c r="AY475" s="17"/>
      <c r="AZ475" s="18">
        <f t="shared" si="558"/>
        <v>0</v>
      </c>
      <c r="BA475" s="19">
        <f t="shared" si="561"/>
        <v>0</v>
      </c>
    </row>
    <row r="476" spans="1:53" s="117" customFormat="1" ht="17.100000000000001" customHeight="1" x14ac:dyDescent="0.25">
      <c r="A476" s="68"/>
      <c r="B476" s="119"/>
      <c r="C476" s="55"/>
      <c r="D476" s="56" t="s">
        <v>272</v>
      </c>
      <c r="E476" s="85" t="s">
        <v>438</v>
      </c>
      <c r="F476" s="149"/>
      <c r="G476" s="149"/>
      <c r="H476" s="182"/>
      <c r="I476" s="241"/>
      <c r="J476" s="111"/>
      <c r="K476" s="111"/>
      <c r="L476" s="111"/>
      <c r="M476" s="111"/>
      <c r="N476" s="60"/>
      <c r="O476" s="60"/>
      <c r="P476" s="17">
        <f t="shared" si="551"/>
        <v>0</v>
      </c>
      <c r="Q476" s="60"/>
      <c r="R476" s="60"/>
      <c r="S476" s="17">
        <f t="shared" si="552"/>
        <v>0</v>
      </c>
      <c r="T476" s="60"/>
      <c r="U476" s="60"/>
      <c r="V476" s="359">
        <f t="shared" si="553"/>
        <v>0</v>
      </c>
      <c r="W476" s="391">
        <f t="shared" si="554"/>
        <v>0</v>
      </c>
      <c r="X476" s="17">
        <f t="shared" si="555"/>
        <v>0</v>
      </c>
      <c r="Y476" s="18">
        <f t="shared" si="556"/>
        <v>0</v>
      </c>
      <c r="Z476" s="19">
        <f t="shared" si="559"/>
        <v>0</v>
      </c>
      <c r="AA476" s="19"/>
      <c r="AB476" s="19"/>
      <c r="AC476" s="84"/>
      <c r="AE476" s="111"/>
      <c r="AF476" s="111"/>
      <c r="AG476" s="111"/>
      <c r="AH476" s="112"/>
      <c r="AI476" s="113"/>
      <c r="AK476" s="111"/>
      <c r="AL476" s="111"/>
      <c r="AM476" s="111"/>
      <c r="AN476" s="112"/>
      <c r="AO476" s="113"/>
      <c r="AQ476" s="17"/>
      <c r="AR476" s="17"/>
      <c r="AS476" s="17"/>
      <c r="AT476" s="18">
        <f t="shared" si="557"/>
        <v>0</v>
      </c>
      <c r="AU476" s="19">
        <f t="shared" si="560"/>
        <v>0</v>
      </c>
      <c r="AW476" s="17"/>
      <c r="AX476" s="17"/>
      <c r="AY476" s="17"/>
      <c r="AZ476" s="18">
        <f t="shared" si="558"/>
        <v>0</v>
      </c>
      <c r="BA476" s="19">
        <f t="shared" si="561"/>
        <v>0</v>
      </c>
    </row>
    <row r="477" spans="1:53" s="117" customFormat="1" ht="17.100000000000001" customHeight="1" x14ac:dyDescent="0.25">
      <c r="A477" s="68"/>
      <c r="B477" s="119"/>
      <c r="C477" s="55"/>
      <c r="D477" s="56" t="s">
        <v>273</v>
      </c>
      <c r="E477" s="85" t="s">
        <v>439</v>
      </c>
      <c r="F477" s="595"/>
      <c r="G477" s="595"/>
      <c r="H477" s="17"/>
      <c r="I477" s="594"/>
      <c r="J477" s="111"/>
      <c r="K477" s="111"/>
      <c r="L477" s="111"/>
      <c r="M477" s="111"/>
      <c r="N477" s="61"/>
      <c r="O477" s="61"/>
      <c r="P477" s="17">
        <f t="shared" si="551"/>
        <v>0</v>
      </c>
      <c r="Q477" s="61"/>
      <c r="R477" s="61"/>
      <c r="S477" s="17">
        <f t="shared" si="552"/>
        <v>0</v>
      </c>
      <c r="T477" s="61"/>
      <c r="U477" s="61"/>
      <c r="V477" s="359">
        <f t="shared" si="553"/>
        <v>0</v>
      </c>
      <c r="W477" s="391">
        <f t="shared" si="554"/>
        <v>0</v>
      </c>
      <c r="X477" s="17">
        <f t="shared" si="555"/>
        <v>0</v>
      </c>
      <c r="Y477" s="18">
        <f t="shared" si="556"/>
        <v>0</v>
      </c>
      <c r="Z477" s="19">
        <f t="shared" si="559"/>
        <v>0</v>
      </c>
      <c r="AA477" s="19"/>
      <c r="AB477" s="19"/>
      <c r="AC477" s="84"/>
      <c r="AE477" s="111"/>
      <c r="AF477" s="111"/>
      <c r="AG477" s="111"/>
      <c r="AH477" s="112"/>
      <c r="AI477" s="113"/>
      <c r="AK477" s="111"/>
      <c r="AL477" s="111"/>
      <c r="AM477" s="111"/>
      <c r="AN477" s="112"/>
      <c r="AO477" s="113"/>
      <c r="AQ477" s="17"/>
      <c r="AR477" s="17"/>
      <c r="AS477" s="17"/>
      <c r="AT477" s="18">
        <f t="shared" si="557"/>
        <v>0</v>
      </c>
      <c r="AU477" s="19">
        <f t="shared" si="560"/>
        <v>0</v>
      </c>
      <c r="AW477" s="17"/>
      <c r="AX477" s="17"/>
      <c r="AY477" s="17"/>
      <c r="AZ477" s="18">
        <f t="shared" si="558"/>
        <v>0</v>
      </c>
      <c r="BA477" s="19">
        <f t="shared" si="561"/>
        <v>0</v>
      </c>
    </row>
    <row r="478" spans="1:53" s="117" customFormat="1" ht="17.100000000000001" customHeight="1" x14ac:dyDescent="0.25">
      <c r="A478" s="68"/>
      <c r="B478" s="119"/>
      <c r="C478" s="55"/>
      <c r="D478" s="56" t="s">
        <v>274</v>
      </c>
      <c r="E478" s="85" t="s">
        <v>483</v>
      </c>
      <c r="F478" s="595"/>
      <c r="G478" s="595"/>
      <c r="H478" s="17"/>
      <c r="I478" s="594"/>
      <c r="J478" s="111"/>
      <c r="K478" s="111"/>
      <c r="L478" s="111"/>
      <c r="M478" s="111"/>
      <c r="N478" s="60"/>
      <c r="O478" s="60"/>
      <c r="P478" s="17">
        <f t="shared" si="551"/>
        <v>0</v>
      </c>
      <c r="Q478" s="60"/>
      <c r="R478" s="60"/>
      <c r="S478" s="17">
        <f t="shared" si="552"/>
        <v>0</v>
      </c>
      <c r="T478" s="60"/>
      <c r="U478" s="60"/>
      <c r="V478" s="359">
        <f t="shared" si="553"/>
        <v>0</v>
      </c>
      <c r="W478" s="391">
        <f t="shared" si="554"/>
        <v>0</v>
      </c>
      <c r="X478" s="17">
        <f t="shared" si="555"/>
        <v>0</v>
      </c>
      <c r="Y478" s="18">
        <f t="shared" si="556"/>
        <v>0</v>
      </c>
      <c r="Z478" s="19">
        <f t="shared" si="559"/>
        <v>0</v>
      </c>
      <c r="AA478" s="19"/>
      <c r="AB478" s="19"/>
      <c r="AC478" s="84"/>
      <c r="AE478" s="111"/>
      <c r="AF478" s="111"/>
      <c r="AG478" s="111"/>
      <c r="AH478" s="112"/>
      <c r="AI478" s="113"/>
      <c r="AK478" s="111"/>
      <c r="AL478" s="111"/>
      <c r="AM478" s="111"/>
      <c r="AN478" s="112"/>
      <c r="AO478" s="113"/>
      <c r="AQ478" s="17"/>
      <c r="AR478" s="17"/>
      <c r="AS478" s="17"/>
      <c r="AT478" s="18">
        <f t="shared" si="557"/>
        <v>0</v>
      </c>
      <c r="AU478" s="19">
        <f t="shared" si="560"/>
        <v>0</v>
      </c>
      <c r="AW478" s="17"/>
      <c r="AX478" s="17"/>
      <c r="AY478" s="17"/>
      <c r="AZ478" s="18">
        <f t="shared" si="558"/>
        <v>0</v>
      </c>
      <c r="BA478" s="19">
        <f t="shared" si="561"/>
        <v>0</v>
      </c>
    </row>
    <row r="479" spans="1:53" s="117" customFormat="1" ht="17.100000000000001" customHeight="1" x14ac:dyDescent="0.25">
      <c r="A479" s="68"/>
      <c r="B479" s="119"/>
      <c r="C479" s="55"/>
      <c r="D479" s="56" t="s">
        <v>482</v>
      </c>
      <c r="E479" s="149" t="s">
        <v>129</v>
      </c>
      <c r="F479" s="149"/>
      <c r="G479" s="149"/>
      <c r="H479" s="182"/>
      <c r="I479" s="241"/>
      <c r="J479" s="111"/>
      <c r="K479" s="111"/>
      <c r="L479" s="111"/>
      <c r="M479" s="111"/>
      <c r="N479" s="61"/>
      <c r="O479" s="61"/>
      <c r="P479" s="17">
        <f t="shared" si="551"/>
        <v>0</v>
      </c>
      <c r="Q479" s="61"/>
      <c r="R479" s="61"/>
      <c r="S479" s="17">
        <f t="shared" si="552"/>
        <v>0</v>
      </c>
      <c r="T479" s="61"/>
      <c r="U479" s="61"/>
      <c r="V479" s="359">
        <f t="shared" si="553"/>
        <v>0</v>
      </c>
      <c r="W479" s="391">
        <f t="shared" si="554"/>
        <v>0</v>
      </c>
      <c r="X479" s="17">
        <f t="shared" si="555"/>
        <v>0</v>
      </c>
      <c r="Y479" s="18">
        <f t="shared" si="556"/>
        <v>0</v>
      </c>
      <c r="Z479" s="19">
        <f t="shared" si="559"/>
        <v>0</v>
      </c>
      <c r="AA479" s="19"/>
      <c r="AB479" s="19"/>
      <c r="AC479" s="84"/>
      <c r="AE479" s="111"/>
      <c r="AF479" s="111"/>
      <c r="AG479" s="111"/>
      <c r="AH479" s="112"/>
      <c r="AI479" s="113"/>
      <c r="AK479" s="111"/>
      <c r="AL479" s="111"/>
      <c r="AM479" s="111"/>
      <c r="AN479" s="112"/>
      <c r="AO479" s="113"/>
      <c r="AQ479" s="17"/>
      <c r="AR479" s="17"/>
      <c r="AS479" s="17"/>
      <c r="AT479" s="18">
        <f t="shared" si="557"/>
        <v>0</v>
      </c>
      <c r="AU479" s="19">
        <f t="shared" si="560"/>
        <v>0</v>
      </c>
      <c r="AW479" s="17"/>
      <c r="AX479" s="17"/>
      <c r="AY479" s="17"/>
      <c r="AZ479" s="18">
        <f t="shared" si="558"/>
        <v>0</v>
      </c>
      <c r="BA479" s="19">
        <f t="shared" si="561"/>
        <v>0</v>
      </c>
    </row>
    <row r="480" spans="1:53" s="117" customFormat="1" ht="17.100000000000001" customHeight="1" x14ac:dyDescent="0.25">
      <c r="A480" s="68"/>
      <c r="B480" s="119"/>
      <c r="C480" s="77"/>
      <c r="D480" s="134"/>
      <c r="E480" s="134"/>
      <c r="F480" s="134"/>
      <c r="G480" s="134"/>
      <c r="H480" s="540"/>
      <c r="I480" s="229"/>
      <c r="J480" s="80"/>
      <c r="K480" s="80"/>
      <c r="L480" s="81"/>
      <c r="M480" s="81"/>
      <c r="N480" s="81">
        <f>SUM(N472:N479)</f>
        <v>0</v>
      </c>
      <c r="O480" s="81">
        <f t="shared" ref="O480:V480" si="562">SUM(O472:O479)</f>
        <v>2</v>
      </c>
      <c r="P480" s="81">
        <f t="shared" si="562"/>
        <v>2</v>
      </c>
      <c r="Q480" s="81">
        <f t="shared" si="562"/>
        <v>0</v>
      </c>
      <c r="R480" s="81">
        <f t="shared" si="562"/>
        <v>0</v>
      </c>
      <c r="S480" s="81">
        <f t="shared" si="562"/>
        <v>0</v>
      </c>
      <c r="T480" s="81">
        <f t="shared" si="562"/>
        <v>0</v>
      </c>
      <c r="U480" s="81">
        <f t="shared" si="562"/>
        <v>0</v>
      </c>
      <c r="V480" s="81">
        <f t="shared" si="562"/>
        <v>0</v>
      </c>
      <c r="W480" s="381">
        <f>SUM(W472:W479)</f>
        <v>0</v>
      </c>
      <c r="X480" s="82">
        <f t="shared" ref="X480:Y480" si="563">SUM(X472:X479)</f>
        <v>2</v>
      </c>
      <c r="Y480" s="82">
        <f t="shared" si="563"/>
        <v>2</v>
      </c>
      <c r="Z480" s="205">
        <f>IF(Y$480=0,0,Y480/Y$480)</f>
        <v>1</v>
      </c>
      <c r="AA480" s="205"/>
      <c r="AB480" s="205"/>
      <c r="AC480" s="83"/>
      <c r="AE480" s="80"/>
      <c r="AF480" s="80"/>
      <c r="AG480" s="81"/>
      <c r="AH480" s="82"/>
      <c r="AI480" s="66"/>
      <c r="AK480" s="80"/>
      <c r="AL480" s="80"/>
      <c r="AM480" s="81"/>
      <c r="AN480" s="82"/>
      <c r="AO480" s="66"/>
      <c r="AQ480" s="80"/>
      <c r="AR480" s="80"/>
      <c r="AS480" s="81"/>
      <c r="AT480" s="82">
        <f>SUM(AT472:AT479)</f>
        <v>0</v>
      </c>
      <c r="AU480" s="66">
        <f t="shared" si="560"/>
        <v>0</v>
      </c>
      <c r="AW480" s="80"/>
      <c r="AX480" s="80"/>
      <c r="AY480" s="81"/>
      <c r="AZ480" s="82">
        <f>SUM(AZ472:AZ479)</f>
        <v>2</v>
      </c>
      <c r="BA480" s="66">
        <f t="shared" si="561"/>
        <v>1</v>
      </c>
    </row>
    <row r="481" spans="1:53" s="117" customFormat="1" ht="17.100000000000001" customHeight="1" x14ac:dyDescent="0.25">
      <c r="A481" s="68"/>
      <c r="B481" s="119"/>
      <c r="C481" s="540"/>
      <c r="D481" s="261"/>
      <c r="E481" s="261"/>
      <c r="F481" s="68"/>
      <c r="G481" s="68"/>
      <c r="H481" s="119"/>
      <c r="I481" s="138"/>
      <c r="J481" s="17"/>
      <c r="K481" s="17"/>
      <c r="L481" s="17"/>
      <c r="M481" s="17"/>
      <c r="N481" s="17" t="str">
        <f>IF(N480=N$443,"OK","NOK")</f>
        <v>OK</v>
      </c>
      <c r="O481" s="17" t="str">
        <f>IF(O480=O$443,"OK","NOK")</f>
        <v>OK</v>
      </c>
      <c r="P481" s="17"/>
      <c r="Q481" s="17" t="str">
        <f>IF(Q480=Q$443,"OK","NOK")</f>
        <v>OK</v>
      </c>
      <c r="R481" s="17" t="str">
        <f>IF(R480=R$443,"OK","NOK")</f>
        <v>OK</v>
      </c>
      <c r="S481" s="17"/>
      <c r="T481" s="17" t="str">
        <f>IF(T480=T$443,"OK","NOK")</f>
        <v>OK</v>
      </c>
      <c r="U481" s="17" t="str">
        <f>IF(U480=U$443,"OK","NOK")</f>
        <v>OK</v>
      </c>
      <c r="V481" s="359"/>
      <c r="W481" s="382"/>
      <c r="X481" s="539"/>
      <c r="Y481" s="539"/>
      <c r="Z481" s="201"/>
      <c r="AA481" s="201"/>
      <c r="AB481" s="201"/>
      <c r="AC481" s="84"/>
      <c r="AE481" s="46"/>
      <c r="AF481" s="46"/>
      <c r="AG481" s="17"/>
      <c r="AH481" s="539"/>
      <c r="AI481" s="91"/>
      <c r="AK481" s="46"/>
      <c r="AL481" s="46"/>
      <c r="AM481" s="17"/>
      <c r="AN481" s="539"/>
      <c r="AO481" s="91"/>
      <c r="AQ481" s="46"/>
      <c r="AR481" s="46"/>
      <c r="AS481" s="17"/>
      <c r="AT481" s="539"/>
      <c r="AU481" s="91"/>
      <c r="AW481" s="46"/>
      <c r="AX481" s="46"/>
      <c r="AY481" s="17"/>
      <c r="AZ481" s="539"/>
      <c r="BA481" s="91"/>
    </row>
    <row r="482" spans="1:53" s="117" customFormat="1" ht="17.100000000000001" customHeight="1" x14ac:dyDescent="0.25">
      <c r="A482" s="68"/>
      <c r="B482" s="119"/>
      <c r="C482" s="119"/>
      <c r="D482" s="56" t="s">
        <v>272</v>
      </c>
      <c r="E482" s="149" t="s">
        <v>751</v>
      </c>
      <c r="F482" s="149"/>
      <c r="G482" s="149"/>
      <c r="H482" s="182"/>
      <c r="I482" s="241"/>
      <c r="J482" s="152"/>
      <c r="K482" s="152"/>
      <c r="L482" s="111"/>
      <c r="M482" s="111"/>
      <c r="N482" s="111"/>
      <c r="O482" s="111"/>
      <c r="P482" s="111"/>
      <c r="Q482" s="111"/>
      <c r="R482" s="111"/>
      <c r="S482" s="111"/>
      <c r="T482" s="111"/>
      <c r="U482" s="111"/>
      <c r="V482" s="358"/>
      <c r="W482" s="380"/>
      <c r="X482" s="111"/>
      <c r="Y482" s="545"/>
      <c r="Z482" s="131"/>
      <c r="AA482" s="131"/>
      <c r="AB482" s="131"/>
      <c r="AC482" s="113"/>
      <c r="AE482" s="152"/>
      <c r="AF482" s="152"/>
      <c r="AG482" s="111"/>
      <c r="AH482" s="545"/>
      <c r="AI482" s="131"/>
      <c r="AK482" s="152"/>
      <c r="AL482" s="152"/>
      <c r="AM482" s="111"/>
      <c r="AN482" s="545"/>
      <c r="AO482" s="131"/>
      <c r="AQ482" s="152"/>
      <c r="AR482" s="152"/>
      <c r="AS482" s="111"/>
      <c r="AT482" s="545"/>
      <c r="AU482" s="131"/>
      <c r="AW482" s="152"/>
      <c r="AX482" s="152"/>
      <c r="AY482" s="111"/>
      <c r="AZ482" s="545"/>
      <c r="BA482" s="131"/>
    </row>
    <row r="483" spans="1:53" s="117" customFormat="1" ht="17.100000000000001" customHeight="1" x14ac:dyDescent="0.25">
      <c r="A483" s="68"/>
      <c r="B483" s="119"/>
      <c r="C483" s="55"/>
      <c r="D483" s="55"/>
      <c r="E483" s="74" t="s">
        <v>753</v>
      </c>
      <c r="F483" s="603" t="s">
        <v>752</v>
      </c>
      <c r="G483" s="603"/>
      <c r="H483" s="182"/>
      <c r="I483" s="241"/>
      <c r="J483" s="111"/>
      <c r="K483" s="152"/>
      <c r="L483" s="152"/>
      <c r="M483" s="152"/>
      <c r="N483" s="152"/>
      <c r="O483" s="111"/>
      <c r="P483" s="60"/>
      <c r="Q483" s="152"/>
      <c r="R483" s="111"/>
      <c r="S483" s="60"/>
      <c r="T483" s="152"/>
      <c r="U483" s="111"/>
      <c r="V483" s="361"/>
      <c r="W483" s="391"/>
      <c r="X483" s="17"/>
      <c r="Y483" s="18">
        <f t="shared" ref="Y483:Y485" si="564">M483+P483+S483+V483</f>
        <v>0</v>
      </c>
      <c r="Z483" s="19">
        <f>IF(Y$486=0,0,Y483/Y$486)</f>
        <v>0</v>
      </c>
      <c r="AA483" s="19"/>
      <c r="AB483" s="19"/>
      <c r="AC483" s="84"/>
      <c r="AE483" s="111"/>
      <c r="AF483" s="111"/>
      <c r="AG483" s="111"/>
      <c r="AH483" s="112"/>
      <c r="AI483" s="113"/>
      <c r="AK483" s="111"/>
      <c r="AL483" s="111"/>
      <c r="AM483" s="111"/>
      <c r="AN483" s="112"/>
      <c r="AO483" s="113"/>
      <c r="AQ483" s="111"/>
      <c r="AR483" s="111"/>
      <c r="AS483" s="111"/>
      <c r="AT483" s="545"/>
      <c r="AU483" s="131"/>
      <c r="AW483" s="111"/>
      <c r="AX483" s="111"/>
      <c r="AY483" s="111"/>
      <c r="AZ483" s="545"/>
      <c r="BA483" s="131"/>
    </row>
    <row r="484" spans="1:53" s="117" customFormat="1" ht="17.100000000000001" customHeight="1" x14ac:dyDescent="0.25">
      <c r="A484" s="68"/>
      <c r="B484" s="119"/>
      <c r="C484" s="55"/>
      <c r="D484" s="55"/>
      <c r="E484" s="74" t="s">
        <v>754</v>
      </c>
      <c r="F484" s="604"/>
      <c r="G484" s="604"/>
      <c r="H484" s="182"/>
      <c r="I484" s="241"/>
      <c r="J484" s="111"/>
      <c r="K484" s="152"/>
      <c r="L484" s="152"/>
      <c r="M484" s="152"/>
      <c r="N484" s="152"/>
      <c r="O484" s="111"/>
      <c r="P484" s="61"/>
      <c r="Q484" s="152"/>
      <c r="R484" s="111"/>
      <c r="S484" s="61"/>
      <c r="T484" s="152"/>
      <c r="U484" s="111"/>
      <c r="V484" s="362"/>
      <c r="W484" s="391"/>
      <c r="X484" s="17"/>
      <c r="Y484" s="18">
        <f t="shared" si="564"/>
        <v>0</v>
      </c>
      <c r="Z484" s="19">
        <f t="shared" ref="Z484:Z486" si="565">IF(Y$486=0,0,Y484/Y$486)</f>
        <v>0</v>
      </c>
      <c r="AA484" s="19"/>
      <c r="AB484" s="19"/>
      <c r="AC484" s="84"/>
      <c r="AE484" s="111"/>
      <c r="AF484" s="111"/>
      <c r="AG484" s="111"/>
      <c r="AH484" s="112"/>
      <c r="AI484" s="113"/>
      <c r="AK484" s="111"/>
      <c r="AL484" s="111"/>
      <c r="AM484" s="111"/>
      <c r="AN484" s="112"/>
      <c r="AO484" s="113"/>
      <c r="AQ484" s="111"/>
      <c r="AR484" s="111"/>
      <c r="AS484" s="111"/>
      <c r="AT484" s="545"/>
      <c r="AU484" s="131"/>
      <c r="AW484" s="111"/>
      <c r="AX484" s="111"/>
      <c r="AY484" s="111"/>
      <c r="AZ484" s="545"/>
      <c r="BA484" s="131"/>
    </row>
    <row r="485" spans="1:53" s="117" customFormat="1" ht="17.100000000000001" customHeight="1" x14ac:dyDescent="0.25">
      <c r="A485" s="68"/>
      <c r="B485" s="119"/>
      <c r="C485" s="55"/>
      <c r="D485" s="55"/>
      <c r="E485" s="74" t="s">
        <v>755</v>
      </c>
      <c r="F485" s="603"/>
      <c r="G485" s="603"/>
      <c r="H485" s="182"/>
      <c r="I485" s="241"/>
      <c r="J485" s="111"/>
      <c r="K485" s="152"/>
      <c r="L485" s="152"/>
      <c r="M485" s="152"/>
      <c r="N485" s="152"/>
      <c r="O485" s="111"/>
      <c r="P485" s="60"/>
      <c r="Q485" s="152"/>
      <c r="R485" s="111"/>
      <c r="S485" s="60"/>
      <c r="T485" s="152"/>
      <c r="U485" s="111"/>
      <c r="V485" s="361"/>
      <c r="W485" s="391"/>
      <c r="X485" s="17"/>
      <c r="Y485" s="18">
        <f t="shared" si="564"/>
        <v>0</v>
      </c>
      <c r="Z485" s="19">
        <f t="shared" si="565"/>
        <v>0</v>
      </c>
      <c r="AA485" s="19"/>
      <c r="AB485" s="19"/>
      <c r="AC485" s="84"/>
      <c r="AE485" s="111"/>
      <c r="AF485" s="111"/>
      <c r="AG485" s="111"/>
      <c r="AH485" s="112"/>
      <c r="AI485" s="113"/>
      <c r="AK485" s="111"/>
      <c r="AL485" s="111"/>
      <c r="AM485" s="111"/>
      <c r="AN485" s="112"/>
      <c r="AO485" s="113"/>
      <c r="AQ485" s="111"/>
      <c r="AR485" s="111"/>
      <c r="AS485" s="111"/>
      <c r="AT485" s="545"/>
      <c r="AU485" s="131"/>
      <c r="AW485" s="111"/>
      <c r="AX485" s="111"/>
      <c r="AY485" s="111"/>
      <c r="AZ485" s="545"/>
      <c r="BA485" s="131"/>
    </row>
    <row r="486" spans="1:53" s="117" customFormat="1" ht="17.100000000000001" customHeight="1" x14ac:dyDescent="0.25">
      <c r="A486" s="68"/>
      <c r="B486" s="119"/>
      <c r="C486" s="77"/>
      <c r="D486" s="134"/>
      <c r="E486" s="134"/>
      <c r="F486" s="134"/>
      <c r="G486" s="134"/>
      <c r="H486" s="540"/>
      <c r="I486" s="229"/>
      <c r="J486" s="80"/>
      <c r="K486" s="80"/>
      <c r="L486" s="81"/>
      <c r="M486" s="81"/>
      <c r="N486" s="81"/>
      <c r="O486" s="81"/>
      <c r="P486" s="81">
        <f>SUM(P483:P485)</f>
        <v>0</v>
      </c>
      <c r="Q486" s="81"/>
      <c r="R486" s="81"/>
      <c r="S486" s="81">
        <f>SUM(S483:S485)</f>
        <v>0</v>
      </c>
      <c r="T486" s="81"/>
      <c r="U486" s="81"/>
      <c r="V486" s="81">
        <f>SUM(V483:V485)</f>
        <v>0</v>
      </c>
      <c r="W486" s="381"/>
      <c r="X486" s="82"/>
      <c r="Y486" s="82">
        <f>SUM(Y483:Y485)</f>
        <v>0</v>
      </c>
      <c r="Z486" s="205">
        <f t="shared" si="565"/>
        <v>0</v>
      </c>
      <c r="AA486" s="205"/>
      <c r="AB486" s="205"/>
      <c r="AC486" s="83"/>
      <c r="AE486" s="80"/>
      <c r="AF486" s="80"/>
      <c r="AG486" s="81"/>
      <c r="AH486" s="82"/>
      <c r="AI486" s="66"/>
      <c r="AK486" s="80"/>
      <c r="AL486" s="80"/>
      <c r="AM486" s="81"/>
      <c r="AN486" s="82"/>
      <c r="AO486" s="66"/>
      <c r="AQ486" s="80"/>
      <c r="AR486" s="80"/>
      <c r="AS486" s="81"/>
      <c r="AT486" s="82"/>
      <c r="AU486" s="66"/>
      <c r="AW486" s="80"/>
      <c r="AX486" s="80"/>
      <c r="AY486" s="81"/>
      <c r="AZ486" s="82"/>
      <c r="BA486" s="66"/>
    </row>
    <row r="487" spans="1:53" s="117" customFormat="1" ht="17.100000000000001" customHeight="1" x14ac:dyDescent="0.25">
      <c r="A487" s="68"/>
      <c r="B487" s="119"/>
      <c r="C487" s="92"/>
      <c r="D487" s="93"/>
      <c r="E487" s="93"/>
      <c r="F487" s="93"/>
      <c r="G487" s="93"/>
      <c r="H487" s="540"/>
      <c r="I487" s="12"/>
      <c r="J487" s="46"/>
      <c r="K487" s="46"/>
      <c r="L487" s="17"/>
      <c r="M487" s="17"/>
      <c r="N487" s="17"/>
      <c r="O487" s="17"/>
      <c r="P487" s="17"/>
      <c r="Q487" s="17"/>
      <c r="R487" s="17"/>
      <c r="S487" s="17"/>
      <c r="T487" s="17"/>
      <c r="U487" s="17"/>
      <c r="V487" s="359"/>
      <c r="W487" s="382"/>
      <c r="X487" s="539"/>
      <c r="Y487" s="539"/>
      <c r="Z487" s="201"/>
      <c r="AA487" s="201"/>
      <c r="AB487" s="201"/>
      <c r="AC487" s="84"/>
      <c r="AE487" s="46"/>
      <c r="AF487" s="46"/>
      <c r="AG487" s="17"/>
      <c r="AH487" s="539"/>
      <c r="AI487" s="91"/>
      <c r="AK487" s="46"/>
      <c r="AL487" s="46"/>
      <c r="AM487" s="17"/>
      <c r="AN487" s="539"/>
      <c r="AO487" s="91"/>
      <c r="AQ487" s="46"/>
      <c r="AR487" s="46"/>
      <c r="AS487" s="17"/>
      <c r="AT487" s="539"/>
      <c r="AU487" s="91"/>
      <c r="AW487" s="46"/>
      <c r="AX487" s="46"/>
      <c r="AY487" s="17"/>
      <c r="AZ487" s="539"/>
      <c r="BA487" s="91"/>
    </row>
    <row r="488" spans="1:53" ht="17.100000000000001" customHeight="1" x14ac:dyDescent="0.25">
      <c r="A488" s="119"/>
      <c r="B488" s="41" t="s">
        <v>876</v>
      </c>
      <c r="C488" s="69" t="s">
        <v>12</v>
      </c>
      <c r="D488" s="50"/>
      <c r="E488" s="70"/>
      <c r="F488" s="70"/>
      <c r="G488" s="70"/>
      <c r="H488" s="119"/>
      <c r="J488" s="71"/>
      <c r="K488" s="71"/>
      <c r="L488" s="71"/>
      <c r="M488" s="71"/>
      <c r="N488" s="71"/>
      <c r="O488" s="71"/>
      <c r="P488" s="71"/>
      <c r="Q488" s="71"/>
      <c r="R488" s="71"/>
      <c r="S488" s="71"/>
      <c r="T488" s="71"/>
      <c r="U488" s="71"/>
      <c r="V488" s="355"/>
      <c r="W488" s="377"/>
      <c r="X488" s="71"/>
      <c r="Y488" s="72"/>
      <c r="Z488" s="73"/>
      <c r="AA488" s="73"/>
      <c r="AB488" s="73"/>
      <c r="AC488" s="73"/>
      <c r="AE488" s="71"/>
      <c r="AF488" s="71"/>
      <c r="AG488" s="71"/>
      <c r="AH488" s="72"/>
      <c r="AI488" s="73"/>
      <c r="AK488" s="71"/>
      <c r="AL488" s="71"/>
      <c r="AM488" s="71"/>
      <c r="AN488" s="72"/>
      <c r="AO488" s="73"/>
      <c r="AQ488" s="71"/>
      <c r="AR488" s="71"/>
      <c r="AS488" s="71"/>
      <c r="AT488" s="72"/>
      <c r="AU488" s="73"/>
      <c r="AW488" s="71"/>
      <c r="AX488" s="71"/>
      <c r="AY488" s="71"/>
      <c r="AZ488" s="72"/>
      <c r="BA488" s="73"/>
    </row>
    <row r="489" spans="1:53" s="173" customFormat="1" ht="17.100000000000001" customHeight="1" x14ac:dyDescent="0.25">
      <c r="A489" s="102"/>
      <c r="B489" s="102"/>
      <c r="C489" s="182"/>
      <c r="D489" s="127" t="s">
        <v>1006</v>
      </c>
      <c r="E489" s="128"/>
      <c r="F489" s="128"/>
      <c r="G489" s="128"/>
      <c r="H489" s="119"/>
      <c r="I489" s="231"/>
      <c r="J489" s="154"/>
      <c r="K489" s="154"/>
      <c r="L489" s="154"/>
      <c r="M489" s="154"/>
      <c r="N489" s="154">
        <f t="shared" ref="N489:O489" si="566">N174</f>
        <v>0</v>
      </c>
      <c r="O489" s="154">
        <f t="shared" si="566"/>
        <v>8</v>
      </c>
      <c r="P489" s="154">
        <f>SUM(N489:O489)</f>
        <v>8</v>
      </c>
      <c r="Q489" s="154">
        <f t="shared" ref="Q489:R489" si="567">Q174</f>
        <v>1</v>
      </c>
      <c r="R489" s="154">
        <f t="shared" si="567"/>
        <v>7</v>
      </c>
      <c r="S489" s="154">
        <f>SUM(Q489:R489)</f>
        <v>8</v>
      </c>
      <c r="T489" s="154">
        <f t="shared" ref="T489:U489" si="568">T174</f>
        <v>0</v>
      </c>
      <c r="U489" s="154">
        <f t="shared" si="568"/>
        <v>0</v>
      </c>
      <c r="V489" s="159">
        <f>SUM(T489:U489)</f>
        <v>0</v>
      </c>
      <c r="W489" s="387">
        <f t="shared" ref="W489:W490" si="569">J489+K489+N489+Q489+T489</f>
        <v>1</v>
      </c>
      <c r="X489" s="154">
        <f t="shared" ref="X489:X490" si="570">L489+O489+R489+U489</f>
        <v>15</v>
      </c>
      <c r="Y489" s="129">
        <f t="shared" ref="Y489:Y490" si="571">SUM(W489:X489)</f>
        <v>16</v>
      </c>
      <c r="Z489" s="130"/>
      <c r="AA489" s="130"/>
      <c r="AB489" s="130"/>
      <c r="AC489" s="125"/>
      <c r="AE489" s="154"/>
      <c r="AF489" s="154"/>
      <c r="AG489" s="154"/>
      <c r="AH489" s="129"/>
      <c r="AI489" s="130"/>
      <c r="AJ489" s="12"/>
      <c r="AK489" s="154"/>
      <c r="AL489" s="154"/>
      <c r="AM489" s="154"/>
      <c r="AN489" s="129"/>
      <c r="AO489" s="130"/>
      <c r="AP489" s="12"/>
      <c r="AQ489" s="154"/>
      <c r="AR489" s="154"/>
      <c r="AS489" s="154"/>
      <c r="AT489" s="129"/>
      <c r="AU489" s="130"/>
      <c r="AV489" s="12"/>
      <c r="AW489" s="154"/>
      <c r="AX489" s="154"/>
      <c r="AY489" s="154"/>
      <c r="AZ489" s="129"/>
      <c r="BA489" s="130"/>
    </row>
    <row r="490" spans="1:53" s="173" customFormat="1" ht="17.100000000000001" customHeight="1" x14ac:dyDescent="0.25">
      <c r="A490" s="102"/>
      <c r="B490" s="102"/>
      <c r="C490" s="182"/>
      <c r="D490" s="127" t="s">
        <v>278</v>
      </c>
      <c r="E490" s="128"/>
      <c r="F490" s="128"/>
      <c r="G490" s="128"/>
      <c r="H490" s="119"/>
      <c r="I490" s="231"/>
      <c r="J490" s="154"/>
      <c r="K490" s="154"/>
      <c r="L490" s="154"/>
      <c r="M490" s="154"/>
      <c r="N490" s="154">
        <f t="shared" ref="N490:O490" si="572">N377</f>
        <v>0</v>
      </c>
      <c r="O490" s="154">
        <f t="shared" si="572"/>
        <v>6</v>
      </c>
      <c r="P490" s="154">
        <f>SUM(N490:O490)</f>
        <v>6</v>
      </c>
      <c r="Q490" s="154">
        <f t="shared" ref="Q490:R490" si="573">Q377</f>
        <v>0</v>
      </c>
      <c r="R490" s="154">
        <f t="shared" si="573"/>
        <v>0</v>
      </c>
      <c r="S490" s="154">
        <f>SUM(Q490:R490)</f>
        <v>0</v>
      </c>
      <c r="T490" s="154">
        <f t="shared" ref="T490:U490" si="574">T377</f>
        <v>0</v>
      </c>
      <c r="U490" s="154">
        <f t="shared" si="574"/>
        <v>0</v>
      </c>
      <c r="V490" s="159">
        <f>SUM(T490:U490)</f>
        <v>0</v>
      </c>
      <c r="W490" s="387">
        <f t="shared" si="569"/>
        <v>0</v>
      </c>
      <c r="X490" s="154">
        <f t="shared" si="570"/>
        <v>6</v>
      </c>
      <c r="Y490" s="129">
        <f t="shared" si="571"/>
        <v>6</v>
      </c>
      <c r="Z490" s="130"/>
      <c r="AA490" s="130"/>
      <c r="AB490" s="130"/>
      <c r="AC490" s="125"/>
      <c r="AE490" s="154"/>
      <c r="AF490" s="154"/>
      <c r="AG490" s="154"/>
      <c r="AH490" s="129"/>
      <c r="AI490" s="130"/>
      <c r="AJ490" s="12"/>
      <c r="AK490" s="154"/>
      <c r="AL490" s="154"/>
      <c r="AM490" s="154"/>
      <c r="AN490" s="129"/>
      <c r="AO490" s="130"/>
      <c r="AP490" s="12"/>
      <c r="AQ490" s="154"/>
      <c r="AR490" s="154"/>
      <c r="AS490" s="154"/>
      <c r="AT490" s="129"/>
      <c r="AU490" s="130"/>
      <c r="AV490" s="12"/>
      <c r="AW490" s="154"/>
      <c r="AX490" s="154"/>
      <c r="AY490" s="154"/>
      <c r="AZ490" s="129"/>
      <c r="BA490" s="130"/>
    </row>
    <row r="491" spans="1:53" s="117" customFormat="1" ht="17.100000000000001" customHeight="1" x14ac:dyDescent="0.25">
      <c r="A491" s="119"/>
      <c r="B491" s="119"/>
      <c r="C491" s="56" t="s">
        <v>277</v>
      </c>
      <c r="D491" s="427" t="s">
        <v>1007</v>
      </c>
      <c r="E491" s="428"/>
      <c r="F491" s="428"/>
      <c r="G491" s="428"/>
      <c r="H491" s="119"/>
      <c r="I491" s="97"/>
      <c r="J491" s="17"/>
      <c r="K491" s="17"/>
      <c r="L491" s="17"/>
      <c r="M491" s="17"/>
      <c r="N491" s="91">
        <f>IF(N489=0,0,N490/N489)</f>
        <v>0</v>
      </c>
      <c r="O491" s="91">
        <f t="shared" ref="O491:P491" si="575">IF(O489=0,0,O490/O489)</f>
        <v>0.75</v>
      </c>
      <c r="P491" s="91">
        <f t="shared" si="575"/>
        <v>0.75</v>
      </c>
      <c r="Q491" s="91">
        <f>IF(Q489=0,0,Q490/Q489)</f>
        <v>0</v>
      </c>
      <c r="R491" s="91">
        <f t="shared" ref="R491:S491" si="576">IF(R489=0,0,R490/R489)</f>
        <v>0</v>
      </c>
      <c r="S491" s="91">
        <f t="shared" si="576"/>
        <v>0</v>
      </c>
      <c r="T491" s="91">
        <f>IF(T489=0,0,T490/T489)</f>
        <v>0</v>
      </c>
      <c r="U491" s="91">
        <f t="shared" ref="U491:V491" si="577">IF(U489=0,0,U490/U489)</f>
        <v>0</v>
      </c>
      <c r="V491" s="373">
        <f t="shared" si="577"/>
        <v>0</v>
      </c>
      <c r="W491" s="395">
        <f>IF(W489=0,0,W490/W489)</f>
        <v>0</v>
      </c>
      <c r="X491" s="91">
        <f t="shared" ref="X491:Y491" si="578">IF(X489=0,0,X490/X489)</f>
        <v>0.4</v>
      </c>
      <c r="Y491" s="91">
        <f t="shared" si="578"/>
        <v>0.375</v>
      </c>
      <c r="Z491" s="84"/>
      <c r="AA491" s="84"/>
      <c r="AB491" s="84"/>
      <c r="AC491" s="84"/>
      <c r="AE491" s="17"/>
      <c r="AF491" s="17"/>
      <c r="AG491" s="17"/>
      <c r="AH491" s="568"/>
      <c r="AI491" s="84"/>
      <c r="AK491" s="17"/>
      <c r="AL491" s="17"/>
      <c r="AM491" s="17"/>
      <c r="AN491" s="568"/>
      <c r="AO491" s="84"/>
      <c r="AQ491" s="17"/>
      <c r="AR491" s="17"/>
      <c r="AS491" s="17"/>
      <c r="AT491" s="568"/>
      <c r="AU491" s="84"/>
      <c r="AW491" s="17"/>
      <c r="AX491" s="17"/>
      <c r="AY491" s="17"/>
      <c r="AZ491" s="568"/>
      <c r="BA491" s="84"/>
    </row>
    <row r="492" spans="1:53" s="173" customFormat="1" ht="17.100000000000001" customHeight="1" x14ac:dyDescent="0.25">
      <c r="A492" s="102"/>
      <c r="B492" s="102"/>
      <c r="C492" s="56" t="s">
        <v>279</v>
      </c>
      <c r="D492" s="85" t="s">
        <v>280</v>
      </c>
      <c r="E492" s="75"/>
      <c r="F492" s="75"/>
      <c r="G492" s="75"/>
      <c r="H492" s="540"/>
      <c r="I492" s="229"/>
      <c r="J492" s="181"/>
      <c r="K492" s="181"/>
      <c r="L492" s="181"/>
      <c r="M492" s="181"/>
      <c r="N492" s="181"/>
      <c r="O492" s="181"/>
      <c r="P492" s="181"/>
      <c r="Q492" s="181"/>
      <c r="R492" s="181"/>
      <c r="S492" s="181"/>
      <c r="T492" s="181"/>
      <c r="U492" s="181"/>
      <c r="V492" s="367"/>
      <c r="W492" s="392"/>
      <c r="X492" s="181"/>
      <c r="Y492" s="545"/>
      <c r="Z492" s="172"/>
      <c r="AA492" s="172"/>
      <c r="AB492" s="172"/>
      <c r="AC492" s="178"/>
      <c r="AE492" s="181"/>
      <c r="AF492" s="181"/>
      <c r="AG492" s="181"/>
      <c r="AH492" s="545"/>
      <c r="AI492" s="172"/>
      <c r="AJ492" s="12"/>
      <c r="AK492" s="181"/>
      <c r="AL492" s="181"/>
      <c r="AM492" s="181"/>
      <c r="AN492" s="545"/>
      <c r="AO492" s="172"/>
      <c r="AP492" s="12"/>
      <c r="AQ492" s="181"/>
      <c r="AR492" s="181"/>
      <c r="AS492" s="181"/>
      <c r="AT492" s="545"/>
      <c r="AU492" s="172"/>
      <c r="AV492" s="12"/>
      <c r="AW492" s="181"/>
      <c r="AX492" s="181"/>
      <c r="AY492" s="181"/>
      <c r="AZ492" s="545"/>
      <c r="BA492" s="172"/>
    </row>
    <row r="493" spans="1:53" s="173" customFormat="1" ht="17.100000000000001" customHeight="1" x14ac:dyDescent="0.25">
      <c r="A493" s="102"/>
      <c r="B493" s="102"/>
      <c r="C493" s="182"/>
      <c r="D493" s="127" t="s">
        <v>281</v>
      </c>
      <c r="E493" s="128"/>
      <c r="F493" s="128"/>
      <c r="G493" s="128"/>
      <c r="H493" s="119"/>
      <c r="I493" s="231"/>
      <c r="J493" s="154"/>
      <c r="K493" s="154"/>
      <c r="L493" s="154"/>
      <c r="M493" s="154"/>
      <c r="N493" s="154">
        <f>N402</f>
        <v>0</v>
      </c>
      <c r="O493" s="154">
        <f>O402</f>
        <v>6</v>
      </c>
      <c r="P493" s="154">
        <f t="shared" ref="P493:P500" si="579">SUM(N493:O493)</f>
        <v>6</v>
      </c>
      <c r="Q493" s="154">
        <f t="shared" ref="Q493:U497" si="580">Q402</f>
        <v>0</v>
      </c>
      <c r="R493" s="154">
        <f t="shared" si="580"/>
        <v>0</v>
      </c>
      <c r="S493" s="154">
        <f t="shared" ref="S493:S497" si="581">SUM(Q493:R493)</f>
        <v>0</v>
      </c>
      <c r="T493" s="154">
        <f t="shared" si="580"/>
        <v>0</v>
      </c>
      <c r="U493" s="154">
        <f t="shared" si="580"/>
        <v>0</v>
      </c>
      <c r="V493" s="154">
        <f t="shared" ref="V493:V497" si="582">SUM(T493:U493)</f>
        <v>0</v>
      </c>
      <c r="W493" s="387">
        <f t="shared" ref="W493:W500" si="583">J493+K493+N493+Q493+T493</f>
        <v>0</v>
      </c>
      <c r="X493" s="154">
        <f t="shared" ref="X493:X500" si="584">L493+O493+R493+U493</f>
        <v>6</v>
      </c>
      <c r="Y493" s="129">
        <f t="shared" ref="Y493:Y497" si="585">SUM(W493:X493)</f>
        <v>6</v>
      </c>
      <c r="Z493" s="130">
        <f t="shared" ref="Z493:Z498" si="586">IF(Y$498=0,0,Y493/Y$498)</f>
        <v>0.375</v>
      </c>
      <c r="AA493" s="130"/>
      <c r="AB493" s="130"/>
      <c r="AC493" s="125"/>
      <c r="AE493" s="154">
        <f t="shared" ref="AE493:AG497" si="587">AE402</f>
        <v>0</v>
      </c>
      <c r="AF493" s="154">
        <f t="shared" si="587"/>
        <v>0</v>
      </c>
      <c r="AG493" s="154">
        <f t="shared" si="587"/>
        <v>0</v>
      </c>
      <c r="AH493" s="129">
        <f>SUM(AE493:AG493)</f>
        <v>0</v>
      </c>
      <c r="AI493" s="130">
        <f t="shared" ref="AI493:AI498" si="588">IF(AH$498=0,0,AH493/AH$498)</f>
        <v>0</v>
      </c>
      <c r="AJ493" s="12"/>
      <c r="AK493" s="154">
        <f t="shared" ref="AK493:AM497" si="589">AK402</f>
        <v>0</v>
      </c>
      <c r="AL493" s="154">
        <f t="shared" si="589"/>
        <v>0</v>
      </c>
      <c r="AM493" s="154">
        <f t="shared" si="589"/>
        <v>0</v>
      </c>
      <c r="AN493" s="129">
        <f>SUM(AK493:AM493)</f>
        <v>0</v>
      </c>
      <c r="AO493" s="130">
        <f t="shared" ref="AO493:AO498" si="590">IF(AN$498=0,0,AN493/AN$498)</f>
        <v>0</v>
      </c>
      <c r="AP493" s="12"/>
      <c r="AQ493" s="154"/>
      <c r="AR493" s="154"/>
      <c r="AS493" s="154"/>
      <c r="AT493" s="129"/>
      <c r="AU493" s="130"/>
      <c r="AV493" s="12"/>
      <c r="AW493" s="154">
        <f t="shared" ref="AW493:AY497" si="591">AW402</f>
        <v>0</v>
      </c>
      <c r="AX493" s="154">
        <f t="shared" si="591"/>
        <v>0</v>
      </c>
      <c r="AY493" s="154">
        <f t="shared" si="591"/>
        <v>0</v>
      </c>
      <c r="AZ493" s="129">
        <f>SUM(AW493:AY493)</f>
        <v>0</v>
      </c>
      <c r="BA493" s="130">
        <f t="shared" ref="BA493:BA498" si="592">IF(AZ$498=0,0,AZ493/AZ$498)</f>
        <v>0</v>
      </c>
    </row>
    <row r="494" spans="1:53" ht="17.100000000000001" customHeight="1" x14ac:dyDescent="0.25">
      <c r="A494" s="40"/>
      <c r="B494" s="40"/>
      <c r="C494" s="182"/>
      <c r="D494" s="127" t="s">
        <v>282</v>
      </c>
      <c r="E494" s="128"/>
      <c r="F494" s="128"/>
      <c r="G494" s="128"/>
      <c r="H494" s="119"/>
      <c r="I494" s="231"/>
      <c r="J494" s="154"/>
      <c r="K494" s="154"/>
      <c r="L494" s="154"/>
      <c r="M494" s="154"/>
      <c r="N494" s="154">
        <f t="shared" ref="N494:O497" si="593">N403</f>
        <v>0</v>
      </c>
      <c r="O494" s="154">
        <f t="shared" si="593"/>
        <v>0</v>
      </c>
      <c r="P494" s="154">
        <f t="shared" si="579"/>
        <v>0</v>
      </c>
      <c r="Q494" s="154">
        <f t="shared" si="580"/>
        <v>1</v>
      </c>
      <c r="R494" s="154">
        <f t="shared" si="580"/>
        <v>7</v>
      </c>
      <c r="S494" s="154">
        <f t="shared" si="581"/>
        <v>8</v>
      </c>
      <c r="T494" s="154">
        <f t="shared" si="580"/>
        <v>0</v>
      </c>
      <c r="U494" s="154">
        <f t="shared" si="580"/>
        <v>0</v>
      </c>
      <c r="V494" s="154">
        <f t="shared" si="582"/>
        <v>0</v>
      </c>
      <c r="W494" s="387">
        <f t="shared" si="583"/>
        <v>1</v>
      </c>
      <c r="X494" s="154">
        <f t="shared" si="584"/>
        <v>7</v>
      </c>
      <c r="Y494" s="129">
        <f t="shared" si="585"/>
        <v>8</v>
      </c>
      <c r="Z494" s="130">
        <f t="shared" si="586"/>
        <v>0.5</v>
      </c>
      <c r="AA494" s="130"/>
      <c r="AB494" s="130"/>
      <c r="AC494" s="125"/>
      <c r="AE494" s="154">
        <f t="shared" si="587"/>
        <v>0</v>
      </c>
      <c r="AF494" s="154">
        <f t="shared" si="587"/>
        <v>0</v>
      </c>
      <c r="AG494" s="154">
        <f t="shared" si="587"/>
        <v>0</v>
      </c>
      <c r="AH494" s="129">
        <f>SUM(AE494:AG494)</f>
        <v>0</v>
      </c>
      <c r="AI494" s="130">
        <f t="shared" si="588"/>
        <v>0</v>
      </c>
      <c r="AK494" s="154">
        <f t="shared" si="589"/>
        <v>0</v>
      </c>
      <c r="AL494" s="154">
        <f t="shared" si="589"/>
        <v>0</v>
      </c>
      <c r="AM494" s="154">
        <f t="shared" si="589"/>
        <v>0</v>
      </c>
      <c r="AN494" s="129">
        <f>SUM(AK494:AM494)</f>
        <v>0</v>
      </c>
      <c r="AO494" s="130">
        <f t="shared" si="590"/>
        <v>0</v>
      </c>
      <c r="AQ494" s="154"/>
      <c r="AR494" s="154"/>
      <c r="AS494" s="154"/>
      <c r="AT494" s="129"/>
      <c r="AU494" s="130"/>
      <c r="AW494" s="154">
        <f t="shared" si="591"/>
        <v>0</v>
      </c>
      <c r="AX494" s="154">
        <f t="shared" si="591"/>
        <v>0</v>
      </c>
      <c r="AY494" s="154">
        <f t="shared" si="591"/>
        <v>0</v>
      </c>
      <c r="AZ494" s="129">
        <f>SUM(AW494:AY494)</f>
        <v>0</v>
      </c>
      <c r="BA494" s="130">
        <f t="shared" si="592"/>
        <v>0</v>
      </c>
    </row>
    <row r="495" spans="1:53" ht="17.100000000000001" customHeight="1" x14ac:dyDescent="0.25">
      <c r="A495" s="40"/>
      <c r="B495" s="40"/>
      <c r="C495" s="182"/>
      <c r="D495" s="127" t="s">
        <v>283</v>
      </c>
      <c r="E495" s="128"/>
      <c r="F495" s="128"/>
      <c r="G495" s="128"/>
      <c r="H495" s="119"/>
      <c r="I495" s="231"/>
      <c r="J495" s="154"/>
      <c r="K495" s="154"/>
      <c r="L495" s="154"/>
      <c r="M495" s="154"/>
      <c r="N495" s="154">
        <f t="shared" si="593"/>
        <v>0</v>
      </c>
      <c r="O495" s="154">
        <f t="shared" si="593"/>
        <v>2</v>
      </c>
      <c r="P495" s="154">
        <f t="shared" si="579"/>
        <v>2</v>
      </c>
      <c r="Q495" s="154">
        <f t="shared" si="580"/>
        <v>0</v>
      </c>
      <c r="R495" s="154">
        <f t="shared" si="580"/>
        <v>0</v>
      </c>
      <c r="S495" s="154">
        <f t="shared" si="581"/>
        <v>0</v>
      </c>
      <c r="T495" s="154">
        <f t="shared" si="580"/>
        <v>0</v>
      </c>
      <c r="U495" s="154">
        <f t="shared" si="580"/>
        <v>0</v>
      </c>
      <c r="V495" s="154">
        <f t="shared" si="582"/>
        <v>0</v>
      </c>
      <c r="W495" s="387">
        <f t="shared" si="583"/>
        <v>0</v>
      </c>
      <c r="X495" s="154">
        <f t="shared" si="584"/>
        <v>2</v>
      </c>
      <c r="Y495" s="129">
        <f t="shared" si="585"/>
        <v>2</v>
      </c>
      <c r="Z495" s="130">
        <f t="shared" si="586"/>
        <v>0.125</v>
      </c>
      <c r="AA495" s="130"/>
      <c r="AB495" s="130"/>
      <c r="AC495" s="125"/>
      <c r="AE495" s="154">
        <f t="shared" si="587"/>
        <v>0</v>
      </c>
      <c r="AF495" s="154">
        <f t="shared" si="587"/>
        <v>0</v>
      </c>
      <c r="AG495" s="154">
        <f t="shared" si="587"/>
        <v>0</v>
      </c>
      <c r="AH495" s="129">
        <f>SUM(AE495:AG495)</f>
        <v>0</v>
      </c>
      <c r="AI495" s="130">
        <f t="shared" si="588"/>
        <v>0</v>
      </c>
      <c r="AK495" s="154">
        <f t="shared" si="589"/>
        <v>0</v>
      </c>
      <c r="AL495" s="154">
        <f t="shared" si="589"/>
        <v>0</v>
      </c>
      <c r="AM495" s="154">
        <f t="shared" si="589"/>
        <v>0</v>
      </c>
      <c r="AN495" s="129">
        <f>SUM(AK495:AM495)</f>
        <v>0</v>
      </c>
      <c r="AO495" s="130">
        <f t="shared" si="590"/>
        <v>0</v>
      </c>
      <c r="AQ495" s="154"/>
      <c r="AR495" s="154"/>
      <c r="AS495" s="154"/>
      <c r="AT495" s="129"/>
      <c r="AU495" s="130"/>
      <c r="AW495" s="154">
        <f t="shared" si="591"/>
        <v>0</v>
      </c>
      <c r="AX495" s="154">
        <f t="shared" si="591"/>
        <v>0</v>
      </c>
      <c r="AY495" s="154">
        <f t="shared" si="591"/>
        <v>0</v>
      </c>
      <c r="AZ495" s="129">
        <f>SUM(AW495:AY495)</f>
        <v>0</v>
      </c>
      <c r="BA495" s="130">
        <f t="shared" si="592"/>
        <v>0</v>
      </c>
    </row>
    <row r="496" spans="1:53" ht="17.100000000000001" customHeight="1" x14ac:dyDescent="0.25">
      <c r="A496" s="40"/>
      <c r="B496" s="40"/>
      <c r="C496" s="182"/>
      <c r="D496" s="127" t="s">
        <v>284</v>
      </c>
      <c r="E496" s="128"/>
      <c r="F496" s="128"/>
      <c r="G496" s="128"/>
      <c r="H496" s="119"/>
      <c r="I496" s="231"/>
      <c r="J496" s="154"/>
      <c r="K496" s="154"/>
      <c r="L496" s="154"/>
      <c r="M496" s="154"/>
      <c r="N496" s="154">
        <f t="shared" si="593"/>
        <v>0</v>
      </c>
      <c r="O496" s="154">
        <f t="shared" si="593"/>
        <v>0</v>
      </c>
      <c r="P496" s="154">
        <f t="shared" si="579"/>
        <v>0</v>
      </c>
      <c r="Q496" s="154">
        <f t="shared" si="580"/>
        <v>0</v>
      </c>
      <c r="R496" s="154">
        <f t="shared" si="580"/>
        <v>0</v>
      </c>
      <c r="S496" s="154">
        <f t="shared" si="581"/>
        <v>0</v>
      </c>
      <c r="T496" s="154">
        <f t="shared" si="580"/>
        <v>0</v>
      </c>
      <c r="U496" s="154">
        <f t="shared" si="580"/>
        <v>0</v>
      </c>
      <c r="V496" s="154">
        <f t="shared" si="582"/>
        <v>0</v>
      </c>
      <c r="W496" s="387">
        <f t="shared" si="583"/>
        <v>0</v>
      </c>
      <c r="X496" s="154">
        <f t="shared" si="584"/>
        <v>0</v>
      </c>
      <c r="Y496" s="129">
        <f t="shared" si="585"/>
        <v>0</v>
      </c>
      <c r="Z496" s="130">
        <f t="shared" si="586"/>
        <v>0</v>
      </c>
      <c r="AA496" s="130"/>
      <c r="AB496" s="130"/>
      <c r="AC496" s="125"/>
      <c r="AE496" s="154">
        <f t="shared" si="587"/>
        <v>0</v>
      </c>
      <c r="AF496" s="154">
        <f t="shared" si="587"/>
        <v>0</v>
      </c>
      <c r="AG496" s="154">
        <f t="shared" si="587"/>
        <v>0</v>
      </c>
      <c r="AH496" s="129">
        <f>SUM(AE496:AG496)</f>
        <v>0</v>
      </c>
      <c r="AI496" s="130">
        <f t="shared" si="588"/>
        <v>0</v>
      </c>
      <c r="AK496" s="154">
        <f t="shared" si="589"/>
        <v>0</v>
      </c>
      <c r="AL496" s="154">
        <f t="shared" si="589"/>
        <v>0</v>
      </c>
      <c r="AM496" s="154">
        <f t="shared" si="589"/>
        <v>0</v>
      </c>
      <c r="AN496" s="129">
        <f>SUM(AK496:AM496)</f>
        <v>0</v>
      </c>
      <c r="AO496" s="130">
        <f t="shared" si="590"/>
        <v>0</v>
      </c>
      <c r="AQ496" s="154"/>
      <c r="AR496" s="154"/>
      <c r="AS496" s="154"/>
      <c r="AT496" s="129"/>
      <c r="AU496" s="130"/>
      <c r="AW496" s="154">
        <f t="shared" si="591"/>
        <v>0</v>
      </c>
      <c r="AX496" s="154">
        <f t="shared" si="591"/>
        <v>0</v>
      </c>
      <c r="AY496" s="154">
        <f t="shared" si="591"/>
        <v>0</v>
      </c>
      <c r="AZ496" s="129">
        <f>SUM(AW496:AY496)</f>
        <v>0</v>
      </c>
      <c r="BA496" s="130">
        <f t="shared" si="592"/>
        <v>0</v>
      </c>
    </row>
    <row r="497" spans="1:53" ht="17.100000000000001" customHeight="1" x14ac:dyDescent="0.25">
      <c r="A497" s="40"/>
      <c r="B497" s="40"/>
      <c r="C497" s="182"/>
      <c r="D497" s="183" t="s">
        <v>129</v>
      </c>
      <c r="E497" s="128"/>
      <c r="F497" s="128"/>
      <c r="G497" s="128"/>
      <c r="H497" s="119"/>
      <c r="I497" s="231"/>
      <c r="J497" s="154"/>
      <c r="K497" s="154"/>
      <c r="L497" s="154"/>
      <c r="M497" s="154"/>
      <c r="N497" s="154">
        <f t="shared" si="593"/>
        <v>0</v>
      </c>
      <c r="O497" s="154">
        <f t="shared" si="593"/>
        <v>0</v>
      </c>
      <c r="P497" s="154">
        <f t="shared" si="579"/>
        <v>0</v>
      </c>
      <c r="Q497" s="154">
        <f t="shared" si="580"/>
        <v>0</v>
      </c>
      <c r="R497" s="154">
        <f t="shared" si="580"/>
        <v>0</v>
      </c>
      <c r="S497" s="154">
        <f t="shared" si="581"/>
        <v>0</v>
      </c>
      <c r="T497" s="154">
        <f t="shared" si="580"/>
        <v>0</v>
      </c>
      <c r="U497" s="154">
        <f t="shared" si="580"/>
        <v>0</v>
      </c>
      <c r="V497" s="154">
        <f t="shared" si="582"/>
        <v>0</v>
      </c>
      <c r="W497" s="387">
        <f t="shared" si="583"/>
        <v>0</v>
      </c>
      <c r="X497" s="154">
        <f t="shared" si="584"/>
        <v>0</v>
      </c>
      <c r="Y497" s="129">
        <f t="shared" si="585"/>
        <v>0</v>
      </c>
      <c r="Z497" s="130">
        <f t="shared" si="586"/>
        <v>0</v>
      </c>
      <c r="AA497" s="130"/>
      <c r="AB497" s="130"/>
      <c r="AC497" s="125"/>
      <c r="AE497" s="154">
        <f t="shared" si="587"/>
        <v>0</v>
      </c>
      <c r="AF497" s="154">
        <f t="shared" si="587"/>
        <v>0</v>
      </c>
      <c r="AG497" s="154">
        <f t="shared" si="587"/>
        <v>0</v>
      </c>
      <c r="AH497" s="129">
        <f>SUM(AE497:AG497)</f>
        <v>0</v>
      </c>
      <c r="AI497" s="130">
        <f t="shared" si="588"/>
        <v>0</v>
      </c>
      <c r="AK497" s="154">
        <f t="shared" si="589"/>
        <v>0</v>
      </c>
      <c r="AL497" s="154">
        <f t="shared" si="589"/>
        <v>0</v>
      </c>
      <c r="AM497" s="154">
        <f t="shared" si="589"/>
        <v>0</v>
      </c>
      <c r="AN497" s="129">
        <f>SUM(AK497:AM497)</f>
        <v>0</v>
      </c>
      <c r="AO497" s="130">
        <f t="shared" si="590"/>
        <v>0</v>
      </c>
      <c r="AQ497" s="154"/>
      <c r="AR497" s="154"/>
      <c r="AS497" s="154"/>
      <c r="AT497" s="129"/>
      <c r="AU497" s="130"/>
      <c r="AW497" s="154">
        <f t="shared" si="591"/>
        <v>0</v>
      </c>
      <c r="AX497" s="154">
        <f t="shared" si="591"/>
        <v>0</v>
      </c>
      <c r="AY497" s="154">
        <f t="shared" si="591"/>
        <v>0</v>
      </c>
      <c r="AZ497" s="129">
        <f>SUM(AW497:AY497)</f>
        <v>0</v>
      </c>
      <c r="BA497" s="130">
        <f t="shared" si="592"/>
        <v>0</v>
      </c>
    </row>
    <row r="498" spans="1:53" ht="17.100000000000001" customHeight="1" x14ac:dyDescent="0.25">
      <c r="A498" s="40"/>
      <c r="B498" s="40"/>
      <c r="C498" s="182"/>
      <c r="D498" s="127"/>
      <c r="E498" s="128"/>
      <c r="F498" s="128"/>
      <c r="G498" s="128"/>
      <c r="H498" s="119"/>
      <c r="I498" s="231"/>
      <c r="J498" s="154"/>
      <c r="K498" s="154"/>
      <c r="L498" s="154"/>
      <c r="M498" s="154"/>
      <c r="N498" s="154"/>
      <c r="O498" s="154"/>
      <c r="P498" s="154"/>
      <c r="Q498" s="154"/>
      <c r="R498" s="154"/>
      <c r="S498" s="154"/>
      <c r="T498" s="154"/>
      <c r="U498" s="154"/>
      <c r="V498" s="159"/>
      <c r="W498" s="387"/>
      <c r="X498" s="154"/>
      <c r="Y498" s="129">
        <f>SUM(Y493:Y497)</f>
        <v>16</v>
      </c>
      <c r="Z498" s="130">
        <f t="shared" si="586"/>
        <v>1</v>
      </c>
      <c r="AA498" s="130"/>
      <c r="AB498" s="130"/>
      <c r="AC498" s="125"/>
      <c r="AE498" s="160"/>
      <c r="AF498" s="160"/>
      <c r="AG498" s="160"/>
      <c r="AH498" s="129">
        <f>SUM(AH493:AH497)</f>
        <v>0</v>
      </c>
      <c r="AI498" s="130">
        <f t="shared" si="588"/>
        <v>0</v>
      </c>
      <c r="AK498" s="160"/>
      <c r="AL498" s="160"/>
      <c r="AM498" s="160"/>
      <c r="AN498" s="129">
        <f>SUM(AN493:AN497)</f>
        <v>0</v>
      </c>
      <c r="AO498" s="130">
        <f t="shared" si="590"/>
        <v>0</v>
      </c>
      <c r="AQ498" s="160"/>
      <c r="AR498" s="160"/>
      <c r="AS498" s="160"/>
      <c r="AT498" s="129"/>
      <c r="AU498" s="130"/>
      <c r="AW498" s="160"/>
      <c r="AX498" s="160"/>
      <c r="AY498" s="160"/>
      <c r="AZ498" s="129">
        <f>SUM(AZ493:AZ497)</f>
        <v>0</v>
      </c>
      <c r="BA498" s="130">
        <f t="shared" si="592"/>
        <v>0</v>
      </c>
    </row>
    <row r="499" spans="1:53" ht="17.100000000000001" customHeight="1" x14ac:dyDescent="0.25">
      <c r="A499" s="40"/>
      <c r="B499" s="40"/>
      <c r="C499" s="182"/>
      <c r="D499" s="127" t="s">
        <v>285</v>
      </c>
      <c r="E499" s="128"/>
      <c r="F499" s="128"/>
      <c r="G499" s="128"/>
      <c r="H499" s="119"/>
      <c r="I499" s="231"/>
      <c r="J499" s="154"/>
      <c r="K499" s="154"/>
      <c r="L499" s="154"/>
      <c r="M499" s="154"/>
      <c r="N499" s="154">
        <f>N493+N497</f>
        <v>0</v>
      </c>
      <c r="O499" s="154">
        <f>O493+O497</f>
        <v>6</v>
      </c>
      <c r="P499" s="154">
        <f t="shared" si="579"/>
        <v>6</v>
      </c>
      <c r="Q499" s="154">
        <f>Q493+Q497</f>
        <v>0</v>
      </c>
      <c r="R499" s="154">
        <f>R493+R497</f>
        <v>0</v>
      </c>
      <c r="S499" s="154">
        <f t="shared" ref="S499:S500" si="594">SUM(Q499:R499)</f>
        <v>0</v>
      </c>
      <c r="T499" s="154">
        <f>T493+T497</f>
        <v>0</v>
      </c>
      <c r="U499" s="154">
        <f>U493+U497</f>
        <v>0</v>
      </c>
      <c r="V499" s="154">
        <f t="shared" ref="V499:V500" si="595">SUM(T499:U499)</f>
        <v>0</v>
      </c>
      <c r="W499" s="387">
        <f t="shared" si="583"/>
        <v>0</v>
      </c>
      <c r="X499" s="154">
        <f t="shared" si="584"/>
        <v>6</v>
      </c>
      <c r="Y499" s="129">
        <f t="shared" ref="Y499:Y500" si="596">SUM(W499:X499)</f>
        <v>6</v>
      </c>
      <c r="Z499" s="130"/>
      <c r="AA499" s="130"/>
      <c r="AB499" s="130"/>
      <c r="AC499" s="125"/>
      <c r="AE499" s="160">
        <f>IF((AE493+AE497)&gt;0,1,0)</f>
        <v>0</v>
      </c>
      <c r="AF499" s="160">
        <f t="shared" ref="AF499:AG499" si="597">IF((AF493+AF497)&gt;0,1,0)</f>
        <v>0</v>
      </c>
      <c r="AG499" s="160">
        <f t="shared" si="597"/>
        <v>0</v>
      </c>
      <c r="AH499" s="129">
        <f>SUM(AE499:AG499)</f>
        <v>0</v>
      </c>
      <c r="AI499" s="130"/>
      <c r="AK499" s="160">
        <f>IF((AK493+AK497)&gt;0,1,0)</f>
        <v>0</v>
      </c>
      <c r="AL499" s="160">
        <f t="shared" ref="AL499:AM499" si="598">IF((AL493+AL497)&gt;0,1,0)</f>
        <v>0</v>
      </c>
      <c r="AM499" s="160">
        <f t="shared" si="598"/>
        <v>0</v>
      </c>
      <c r="AN499" s="129">
        <f>SUM(AK499:AM499)</f>
        <v>0</v>
      </c>
      <c r="AO499" s="130"/>
      <c r="AQ499" s="160"/>
      <c r="AR499" s="160"/>
      <c r="AS499" s="160"/>
      <c r="AT499" s="129"/>
      <c r="AU499" s="130"/>
      <c r="AW499" s="160">
        <f>IF((AW493+AW497)&gt;0,1,0)</f>
        <v>0</v>
      </c>
      <c r="AX499" s="160">
        <f t="shared" ref="AX499:AY499" si="599">IF((AX493+AX497)&gt;0,1,0)</f>
        <v>0</v>
      </c>
      <c r="AY499" s="160">
        <f t="shared" si="599"/>
        <v>0</v>
      </c>
      <c r="AZ499" s="129">
        <f>SUM(AW499:AY499)</f>
        <v>0</v>
      </c>
      <c r="BA499" s="130"/>
    </row>
    <row r="500" spans="1:53" s="409" customFormat="1" ht="17.100000000000001" customHeight="1" x14ac:dyDescent="0.25">
      <c r="A500" s="540"/>
      <c r="B500" s="540"/>
      <c r="C500" s="56" t="s">
        <v>279</v>
      </c>
      <c r="D500" s="427" t="s">
        <v>286</v>
      </c>
      <c r="E500" s="93"/>
      <c r="F500" s="93"/>
      <c r="G500" s="93"/>
      <c r="H500" s="540"/>
      <c r="I500" s="12"/>
      <c r="J500" s="539"/>
      <c r="K500" s="539"/>
      <c r="L500" s="539"/>
      <c r="M500" s="539"/>
      <c r="N500" s="353">
        <f>SUM(N494:N496)</f>
        <v>0</v>
      </c>
      <c r="O500" s="353">
        <f>SUM(O494:O496)</f>
        <v>2</v>
      </c>
      <c r="P500" s="155">
        <f t="shared" si="579"/>
        <v>2</v>
      </c>
      <c r="Q500" s="353">
        <f>SUM(Q494:Q496)</f>
        <v>1</v>
      </c>
      <c r="R500" s="353">
        <f>SUM(R494:R496)</f>
        <v>7</v>
      </c>
      <c r="S500" s="155">
        <f t="shared" si="594"/>
        <v>8</v>
      </c>
      <c r="T500" s="353">
        <f>SUM(T494:T496)</f>
        <v>0</v>
      </c>
      <c r="U500" s="353">
        <f>SUM(U494:U496)</f>
        <v>0</v>
      </c>
      <c r="V500" s="155">
        <f t="shared" si="595"/>
        <v>0</v>
      </c>
      <c r="W500" s="388">
        <f t="shared" si="583"/>
        <v>1</v>
      </c>
      <c r="X500" s="155">
        <f t="shared" si="584"/>
        <v>9</v>
      </c>
      <c r="Y500" s="539">
        <f t="shared" si="596"/>
        <v>10</v>
      </c>
      <c r="Z500" s="23"/>
      <c r="AA500" s="23"/>
      <c r="AB500" s="23"/>
      <c r="AC500" s="23"/>
      <c r="AE500" s="539">
        <f>IF(SUM(AE494:AE496)&gt;0,1,0)</f>
        <v>0</v>
      </c>
      <c r="AF500" s="539">
        <f t="shared" ref="AF500:AG500" si="600">IF(SUM(AF494:AF496)&gt;0,1,0)</f>
        <v>0</v>
      </c>
      <c r="AG500" s="539">
        <f t="shared" si="600"/>
        <v>0</v>
      </c>
      <c r="AH500" s="568">
        <f>SUM(AE500:AG500)</f>
        <v>0</v>
      </c>
      <c r="AI500" s="23"/>
      <c r="AK500" s="539">
        <f>IF(SUM(AK494:AK496)&gt;0,1,0)</f>
        <v>0</v>
      </c>
      <c r="AL500" s="539">
        <f t="shared" ref="AL500:AM500" si="601">IF(SUM(AL494:AL496)&gt;0,1,0)</f>
        <v>0</v>
      </c>
      <c r="AM500" s="539">
        <f t="shared" si="601"/>
        <v>0</v>
      </c>
      <c r="AN500" s="568">
        <f>SUM(AK500:AM500)</f>
        <v>0</v>
      </c>
      <c r="AO500" s="23"/>
      <c r="AQ500" s="539"/>
      <c r="AR500" s="539"/>
      <c r="AS500" s="539"/>
      <c r="AT500" s="568"/>
      <c r="AU500" s="23"/>
      <c r="AW500" s="539">
        <f>IF(SUM(AW494:AW496)&gt;0,1,0)</f>
        <v>0</v>
      </c>
      <c r="AX500" s="539">
        <f t="shared" ref="AX500:AY500" si="602">IF(SUM(AX494:AX496)&gt;0,1,0)</f>
        <v>0</v>
      </c>
      <c r="AY500" s="539">
        <f t="shared" si="602"/>
        <v>0</v>
      </c>
      <c r="AZ500" s="568">
        <f>SUM(AW500:AY500)</f>
        <v>0</v>
      </c>
      <c r="BA500" s="23"/>
    </row>
    <row r="501" spans="1:53" s="97" customFormat="1" ht="17.100000000000001" customHeight="1" x14ac:dyDescent="0.25">
      <c r="A501" s="68"/>
      <c r="B501" s="68"/>
      <c r="C501" s="186"/>
      <c r="D501" s="165"/>
      <c r="E501" s="187"/>
      <c r="F501" s="187"/>
      <c r="G501" s="187"/>
      <c r="H501" s="540"/>
      <c r="I501" s="207"/>
      <c r="J501" s="95"/>
      <c r="K501" s="95"/>
      <c r="L501" s="95"/>
      <c r="M501" s="95"/>
      <c r="N501" s="95"/>
      <c r="O501" s="95"/>
      <c r="P501" s="95"/>
      <c r="Q501" s="95"/>
      <c r="R501" s="95"/>
      <c r="S501" s="95"/>
      <c r="T501" s="95"/>
      <c r="U501" s="95"/>
      <c r="V501" s="95"/>
      <c r="W501" s="378"/>
      <c r="X501" s="95"/>
      <c r="Y501" s="96"/>
      <c r="AE501" s="109"/>
      <c r="AF501" s="109"/>
      <c r="AG501" s="109"/>
      <c r="AH501" s="96"/>
      <c r="AK501" s="109"/>
      <c r="AL501" s="109"/>
      <c r="AM501" s="109"/>
      <c r="AN501" s="96"/>
      <c r="AQ501" s="109"/>
      <c r="AR501" s="109"/>
      <c r="AS501" s="109"/>
      <c r="AT501" s="96"/>
      <c r="AW501" s="109"/>
      <c r="AX501" s="109"/>
      <c r="AY501" s="109"/>
      <c r="AZ501" s="96"/>
    </row>
    <row r="502" spans="1:53" s="32" customFormat="1" ht="16.5" thickBot="1" x14ac:dyDescent="0.3">
      <c r="A502" s="24" t="s">
        <v>287</v>
      </c>
      <c r="B502" s="25" t="s">
        <v>288</v>
      </c>
      <c r="C502" s="26"/>
      <c r="D502" s="27"/>
      <c r="E502" s="27"/>
      <c r="F502" s="27"/>
      <c r="G502" s="27"/>
      <c r="H502" s="264"/>
      <c r="I502" s="228"/>
      <c r="J502" s="140"/>
      <c r="K502" s="140"/>
      <c r="L502" s="140"/>
      <c r="M502" s="140"/>
      <c r="N502" s="140"/>
      <c r="O502" s="140"/>
      <c r="P502" s="140"/>
      <c r="Q502" s="140"/>
      <c r="R502" s="140"/>
      <c r="S502" s="140"/>
      <c r="T502" s="140"/>
      <c r="U502" s="140"/>
      <c r="V502" s="365"/>
      <c r="W502" s="379"/>
      <c r="X502" s="140"/>
      <c r="Y502" s="30" t="s">
        <v>4</v>
      </c>
      <c r="Z502" s="30" t="s">
        <v>5</v>
      </c>
      <c r="AA502" s="30"/>
      <c r="AB502" s="30"/>
      <c r="AC502" s="188"/>
      <c r="AE502" s="33" t="s">
        <v>181</v>
      </c>
      <c r="AF502" s="33" t="s">
        <v>182</v>
      </c>
      <c r="AG502" s="33" t="s">
        <v>6</v>
      </c>
      <c r="AH502" s="33" t="s">
        <v>4</v>
      </c>
      <c r="AI502" s="34" t="s">
        <v>5</v>
      </c>
      <c r="AJ502" s="408"/>
      <c r="AK502" s="36" t="s">
        <v>181</v>
      </c>
      <c r="AL502" s="36" t="s">
        <v>182</v>
      </c>
      <c r="AM502" s="36" t="s">
        <v>6</v>
      </c>
      <c r="AN502" s="36" t="s">
        <v>4</v>
      </c>
      <c r="AO502" s="37" t="s">
        <v>5</v>
      </c>
      <c r="AP502" s="408"/>
      <c r="AQ502" s="36"/>
      <c r="AR502" s="36"/>
      <c r="AS502" s="36"/>
      <c r="AT502" s="36"/>
      <c r="AU502" s="37"/>
      <c r="AV502" s="408"/>
      <c r="AW502" s="38" t="s">
        <v>181</v>
      </c>
      <c r="AX502" s="38" t="s">
        <v>182</v>
      </c>
      <c r="AY502" s="38" t="s">
        <v>6</v>
      </c>
      <c r="AZ502" s="38" t="s">
        <v>4</v>
      </c>
      <c r="BA502" s="39" t="s">
        <v>5</v>
      </c>
    </row>
    <row r="503" spans="1:53" ht="17.100000000000001" customHeight="1" x14ac:dyDescent="0.25">
      <c r="A503" s="68"/>
      <c r="B503" s="41" t="s">
        <v>289</v>
      </c>
      <c r="C503" s="69" t="s">
        <v>620</v>
      </c>
      <c r="D503" s="50"/>
      <c r="E503" s="70"/>
      <c r="F503" s="70"/>
      <c r="G503" s="70"/>
      <c r="H503" s="119"/>
      <c r="J503" s="71"/>
      <c r="K503" s="71"/>
      <c r="L503" s="71"/>
      <c r="M503" s="71"/>
      <c r="N503" s="71"/>
      <c r="O503" s="71"/>
      <c r="P503" s="71"/>
      <c r="Q503" s="71"/>
      <c r="R503" s="71"/>
      <c r="S503" s="71"/>
      <c r="T503" s="71"/>
      <c r="U503" s="71"/>
      <c r="V503" s="355"/>
      <c r="W503" s="377"/>
      <c r="X503" s="71"/>
      <c r="Y503" s="72"/>
      <c r="Z503" s="73"/>
      <c r="AA503" s="73"/>
      <c r="AB503" s="73"/>
      <c r="AC503" s="73"/>
      <c r="AE503" s="71"/>
      <c r="AF503" s="71"/>
      <c r="AG503" s="71"/>
      <c r="AH503" s="72"/>
      <c r="AI503" s="73"/>
      <c r="AK503" s="71"/>
      <c r="AL503" s="71"/>
      <c r="AM503" s="71"/>
      <c r="AN503" s="72"/>
      <c r="AO503" s="73"/>
      <c r="AQ503" s="71"/>
      <c r="AR503" s="71"/>
      <c r="AS503" s="71"/>
      <c r="AT503" s="72"/>
      <c r="AU503" s="73"/>
      <c r="AW503" s="71"/>
      <c r="AX503" s="71"/>
      <c r="AY503" s="71"/>
      <c r="AZ503" s="72"/>
      <c r="BA503" s="73"/>
    </row>
    <row r="504" spans="1:53" ht="17.100000000000001" customHeight="1" x14ac:dyDescent="0.25">
      <c r="A504" s="40"/>
      <c r="B504" s="40"/>
      <c r="C504" s="74" t="s">
        <v>291</v>
      </c>
      <c r="D504" s="75" t="s">
        <v>292</v>
      </c>
      <c r="E504" s="105"/>
      <c r="F504" s="75"/>
      <c r="G504" s="75"/>
      <c r="H504" s="540"/>
      <c r="I504" s="229"/>
      <c r="J504" s="111"/>
      <c r="K504" s="111"/>
      <c r="L504" s="111"/>
      <c r="M504" s="111"/>
      <c r="N504" s="60"/>
      <c r="O504" s="60"/>
      <c r="P504" s="17">
        <f t="shared" ref="P504:P507" si="603">SUM(N504:O504)</f>
        <v>0</v>
      </c>
      <c r="Q504" s="60"/>
      <c r="R504" s="60"/>
      <c r="S504" s="17">
        <f t="shared" ref="S504:S507" si="604">SUM(Q504:R504)</f>
        <v>0</v>
      </c>
      <c r="T504" s="60"/>
      <c r="U504" s="60"/>
      <c r="V504" s="359">
        <f t="shared" ref="V504:V507" si="605">SUM(T504:U504)</f>
        <v>0</v>
      </c>
      <c r="W504" s="391">
        <f t="shared" ref="W504:W507" si="606">J504+K504+N504+Q504+T504</f>
        <v>0</v>
      </c>
      <c r="X504" s="17">
        <f t="shared" ref="X504:X507" si="607">L504+O504+R504+U504</f>
        <v>0</v>
      </c>
      <c r="Y504" s="18">
        <f>SUM(W504:X504)</f>
        <v>0</v>
      </c>
      <c r="Z504" s="19">
        <f>IF(Y$508=0,0,Y504/Y$508)</f>
        <v>0</v>
      </c>
      <c r="AA504" s="19"/>
      <c r="AB504" s="19"/>
      <c r="AC504" s="20"/>
      <c r="AE504" s="111"/>
      <c r="AF504" s="111"/>
      <c r="AG504" s="111"/>
      <c r="AH504" s="112"/>
      <c r="AI504" s="113"/>
      <c r="AK504" s="111"/>
      <c r="AL504" s="111"/>
      <c r="AM504" s="111"/>
      <c r="AN504" s="112"/>
      <c r="AO504" s="113"/>
      <c r="AQ504" s="17"/>
      <c r="AR504" s="17"/>
      <c r="AS504" s="17"/>
      <c r="AT504" s="18">
        <f t="shared" ref="AT504:AT507" si="608">W504</f>
        <v>0</v>
      </c>
      <c r="AU504" s="19">
        <f>IF(AT$508=0,0,AT504/AT$508)</f>
        <v>0</v>
      </c>
      <c r="AW504" s="17"/>
      <c r="AX504" s="17"/>
      <c r="AY504" s="17"/>
      <c r="AZ504" s="18">
        <f t="shared" ref="AZ504:AZ507" si="609">X504</f>
        <v>0</v>
      </c>
      <c r="BA504" s="19">
        <f>IF(AZ$508=0,0,AZ504/AZ$508)</f>
        <v>0</v>
      </c>
    </row>
    <row r="505" spans="1:53" ht="17.100000000000001" customHeight="1" x14ac:dyDescent="0.25">
      <c r="A505" s="40"/>
      <c r="B505" s="40"/>
      <c r="C505" s="74" t="s">
        <v>293</v>
      </c>
      <c r="D505" s="75" t="s">
        <v>11</v>
      </c>
      <c r="E505" s="105"/>
      <c r="F505" s="75"/>
      <c r="G505" s="75"/>
      <c r="H505" s="540"/>
      <c r="I505" s="229"/>
      <c r="J505" s="111"/>
      <c r="K505" s="111"/>
      <c r="L505" s="111"/>
      <c r="M505" s="111"/>
      <c r="N505" s="61"/>
      <c r="O505" s="61"/>
      <c r="P505" s="17">
        <f t="shared" si="603"/>
        <v>0</v>
      </c>
      <c r="Q505" s="61"/>
      <c r="R505" s="61"/>
      <c r="S505" s="17">
        <f t="shared" si="604"/>
        <v>0</v>
      </c>
      <c r="T505" s="61"/>
      <c r="U505" s="61"/>
      <c r="V505" s="359">
        <f t="shared" si="605"/>
        <v>0</v>
      </c>
      <c r="W505" s="391">
        <f t="shared" si="606"/>
        <v>0</v>
      </c>
      <c r="X505" s="17">
        <f t="shared" si="607"/>
        <v>0</v>
      </c>
      <c r="Y505" s="18">
        <f>SUM(W505:X505)</f>
        <v>0</v>
      </c>
      <c r="Z505" s="19">
        <f t="shared" ref="Z505:Z508" si="610">IF(Y$508=0,0,Y505/Y$508)</f>
        <v>0</v>
      </c>
      <c r="AA505" s="19"/>
      <c r="AB505" s="19"/>
      <c r="AC505" s="20"/>
      <c r="AE505" s="111"/>
      <c r="AF505" s="111"/>
      <c r="AG505" s="111"/>
      <c r="AH505" s="112"/>
      <c r="AI505" s="113"/>
      <c r="AK505" s="111"/>
      <c r="AL505" s="111"/>
      <c r="AM505" s="111"/>
      <c r="AN505" s="112"/>
      <c r="AO505" s="113"/>
      <c r="AQ505" s="17"/>
      <c r="AR505" s="17"/>
      <c r="AS505" s="17"/>
      <c r="AT505" s="18">
        <f t="shared" si="608"/>
        <v>0</v>
      </c>
      <c r="AU505" s="19">
        <f>IF(AT$508=0,0,AT505/AT$508)</f>
        <v>0</v>
      </c>
      <c r="AW505" s="17"/>
      <c r="AX505" s="17"/>
      <c r="AY505" s="17"/>
      <c r="AZ505" s="18">
        <f t="shared" si="609"/>
        <v>0</v>
      </c>
      <c r="BA505" s="19">
        <f>IF(AZ$508=0,0,AZ505/AZ$508)</f>
        <v>0</v>
      </c>
    </row>
    <row r="506" spans="1:53" ht="17.100000000000001" customHeight="1" x14ac:dyDescent="0.25">
      <c r="A506" s="40"/>
      <c r="B506" s="40"/>
      <c r="C506" s="74" t="s">
        <v>294</v>
      </c>
      <c r="D506" s="75" t="s">
        <v>295</v>
      </c>
      <c r="E506" s="105"/>
      <c r="F506" s="75"/>
      <c r="G506" s="75"/>
      <c r="H506" s="540"/>
      <c r="I506" s="229"/>
      <c r="J506" s="111"/>
      <c r="K506" s="111"/>
      <c r="L506" s="111"/>
      <c r="M506" s="111"/>
      <c r="N506" s="60"/>
      <c r="O506" s="60"/>
      <c r="P506" s="17">
        <f t="shared" si="603"/>
        <v>0</v>
      </c>
      <c r="Q506" s="60"/>
      <c r="R506" s="60"/>
      <c r="S506" s="17">
        <f t="shared" si="604"/>
        <v>0</v>
      </c>
      <c r="T506" s="60"/>
      <c r="U506" s="60"/>
      <c r="V506" s="359">
        <f t="shared" si="605"/>
        <v>0</v>
      </c>
      <c r="W506" s="391">
        <f t="shared" si="606"/>
        <v>0</v>
      </c>
      <c r="X506" s="17">
        <f t="shared" si="607"/>
        <v>0</v>
      </c>
      <c r="Y506" s="18">
        <f>SUM(W506:X506)</f>
        <v>0</v>
      </c>
      <c r="Z506" s="19">
        <f t="shared" si="610"/>
        <v>0</v>
      </c>
      <c r="AA506" s="19"/>
      <c r="AB506" s="19"/>
      <c r="AC506" s="20"/>
      <c r="AE506" s="111"/>
      <c r="AF506" s="111"/>
      <c r="AG506" s="111"/>
      <c r="AH506" s="112"/>
      <c r="AI506" s="113"/>
      <c r="AK506" s="111"/>
      <c r="AL506" s="111"/>
      <c r="AM506" s="111"/>
      <c r="AN506" s="112"/>
      <c r="AO506" s="113"/>
      <c r="AQ506" s="17"/>
      <c r="AR506" s="17"/>
      <c r="AS506" s="17"/>
      <c r="AT506" s="18">
        <f t="shared" si="608"/>
        <v>0</v>
      </c>
      <c r="AU506" s="19">
        <f>IF(AT$508=0,0,AT506/AT$508)</f>
        <v>0</v>
      </c>
      <c r="AW506" s="17"/>
      <c r="AX506" s="17"/>
      <c r="AY506" s="17"/>
      <c r="AZ506" s="18">
        <f t="shared" si="609"/>
        <v>0</v>
      </c>
      <c r="BA506" s="19">
        <f>IF(AZ$508=0,0,AZ506/AZ$508)</f>
        <v>0</v>
      </c>
    </row>
    <row r="507" spans="1:53" ht="17.100000000000001" customHeight="1" x14ac:dyDescent="0.25">
      <c r="A507" s="40"/>
      <c r="B507" s="40"/>
      <c r="C507" s="74" t="s">
        <v>296</v>
      </c>
      <c r="D507" s="75" t="s">
        <v>9</v>
      </c>
      <c r="E507" s="105"/>
      <c r="F507" s="75"/>
      <c r="G507" s="75"/>
      <c r="H507" s="540"/>
      <c r="I507" s="229"/>
      <c r="J507" s="111"/>
      <c r="K507" s="111"/>
      <c r="L507" s="111"/>
      <c r="M507" s="111"/>
      <c r="N507" s="61"/>
      <c r="O507" s="61">
        <v>8</v>
      </c>
      <c r="P507" s="17">
        <f t="shared" si="603"/>
        <v>8</v>
      </c>
      <c r="Q507" s="61">
        <v>1</v>
      </c>
      <c r="R507" s="61">
        <v>7</v>
      </c>
      <c r="S507" s="17">
        <f t="shared" si="604"/>
        <v>8</v>
      </c>
      <c r="T507" s="61"/>
      <c r="U507" s="61"/>
      <c r="V507" s="359">
        <f t="shared" si="605"/>
        <v>0</v>
      </c>
      <c r="W507" s="391">
        <f t="shared" si="606"/>
        <v>1</v>
      </c>
      <c r="X507" s="17">
        <f t="shared" si="607"/>
        <v>15</v>
      </c>
      <c r="Y507" s="18">
        <f>SUM(W507:X507)</f>
        <v>16</v>
      </c>
      <c r="Z507" s="19">
        <f t="shared" si="610"/>
        <v>1</v>
      </c>
      <c r="AA507" s="19"/>
      <c r="AB507" s="19"/>
      <c r="AC507" s="20"/>
      <c r="AE507" s="111"/>
      <c r="AF507" s="111"/>
      <c r="AG507" s="111"/>
      <c r="AH507" s="112"/>
      <c r="AI507" s="113"/>
      <c r="AK507" s="111"/>
      <c r="AL507" s="111"/>
      <c r="AM507" s="111"/>
      <c r="AN507" s="112"/>
      <c r="AO507" s="113"/>
      <c r="AQ507" s="17"/>
      <c r="AR507" s="17"/>
      <c r="AS507" s="17"/>
      <c r="AT507" s="18">
        <f t="shared" si="608"/>
        <v>1</v>
      </c>
      <c r="AU507" s="19">
        <f>IF(AT$508=0,0,AT507/AT$508)</f>
        <v>1</v>
      </c>
      <c r="AW507" s="17"/>
      <c r="AX507" s="17"/>
      <c r="AY507" s="17"/>
      <c r="AZ507" s="18">
        <f t="shared" si="609"/>
        <v>15</v>
      </c>
      <c r="BA507" s="19">
        <f>IF(AZ$508=0,0,AZ507/AZ$508)</f>
        <v>1</v>
      </c>
    </row>
    <row r="508" spans="1:53" ht="17.100000000000001" customHeight="1" x14ac:dyDescent="0.25">
      <c r="A508" s="40"/>
      <c r="B508" s="40"/>
      <c r="C508" s="292"/>
      <c r="D508" s="134"/>
      <c r="E508" s="134"/>
      <c r="F508" s="134"/>
      <c r="G508" s="134"/>
      <c r="H508" s="540"/>
      <c r="I508" s="229"/>
      <c r="J508" s="80"/>
      <c r="K508" s="80"/>
      <c r="L508" s="81"/>
      <c r="M508" s="81"/>
      <c r="N508" s="81">
        <f>SUM(N504:N507)</f>
        <v>0</v>
      </c>
      <c r="O508" s="81">
        <f t="shared" ref="O508:V508" si="611">SUM(O504:O507)</f>
        <v>8</v>
      </c>
      <c r="P508" s="81">
        <f t="shared" si="611"/>
        <v>8</v>
      </c>
      <c r="Q508" s="81">
        <f t="shared" si="611"/>
        <v>1</v>
      </c>
      <c r="R508" s="81">
        <f t="shared" si="611"/>
        <v>7</v>
      </c>
      <c r="S508" s="81">
        <f t="shared" si="611"/>
        <v>8</v>
      </c>
      <c r="T508" s="81">
        <f t="shared" si="611"/>
        <v>0</v>
      </c>
      <c r="U508" s="81">
        <f t="shared" si="611"/>
        <v>0</v>
      </c>
      <c r="V508" s="81">
        <f t="shared" si="611"/>
        <v>0</v>
      </c>
      <c r="W508" s="381">
        <f>SUM(W504:W507)</f>
        <v>1</v>
      </c>
      <c r="X508" s="82">
        <f t="shared" ref="X508:Y508" si="612">SUM(X504:X507)</f>
        <v>15</v>
      </c>
      <c r="Y508" s="82">
        <f t="shared" si="612"/>
        <v>16</v>
      </c>
      <c r="Z508" s="205">
        <f t="shared" si="610"/>
        <v>1</v>
      </c>
      <c r="AA508" s="205"/>
      <c r="AB508" s="205"/>
      <c r="AC508" s="83"/>
      <c r="AE508" s="80"/>
      <c r="AF508" s="80"/>
      <c r="AG508" s="81"/>
      <c r="AH508" s="82"/>
      <c r="AI508" s="66"/>
      <c r="AK508" s="80"/>
      <c r="AL508" s="80"/>
      <c r="AM508" s="81"/>
      <c r="AN508" s="82"/>
      <c r="AO508" s="66"/>
      <c r="AQ508" s="80"/>
      <c r="AR508" s="80"/>
      <c r="AS508" s="81"/>
      <c r="AT508" s="82">
        <f>SUM(AT504:AT507)</f>
        <v>1</v>
      </c>
      <c r="AU508" s="66">
        <f>IF(AT$508=0,0,AT508/AT$508)</f>
        <v>1</v>
      </c>
      <c r="AW508" s="80"/>
      <c r="AX508" s="80"/>
      <c r="AY508" s="81"/>
      <c r="AZ508" s="82">
        <f>SUM(AZ504:AZ507)</f>
        <v>15</v>
      </c>
      <c r="BA508" s="66">
        <f>IF(AZ$508=0,0,AZ508/AZ$508)</f>
        <v>1</v>
      </c>
    </row>
    <row r="509" spans="1:53" s="117" customFormat="1" ht="17.100000000000001" customHeight="1" x14ac:dyDescent="0.25">
      <c r="A509" s="68"/>
      <c r="B509" s="119"/>
      <c r="C509" s="540"/>
      <c r="D509" s="261"/>
      <c r="E509" s="261"/>
      <c r="F509" s="68"/>
      <c r="G509" s="68"/>
      <c r="H509" s="119"/>
      <c r="I509" s="138"/>
      <c r="J509" s="17"/>
      <c r="K509" s="17"/>
      <c r="L509" s="17"/>
      <c r="M509" s="17"/>
      <c r="N509" s="17" t="str">
        <f>IF(N508=N$20,"OK","NOK")</f>
        <v>OK</v>
      </c>
      <c r="O509" s="17" t="str">
        <f>IF(O508=O$20,"OK","NOK")</f>
        <v>OK</v>
      </c>
      <c r="P509" s="17"/>
      <c r="Q509" s="17" t="str">
        <f>IF(Q508=Q$20,"OK","NOK")</f>
        <v>OK</v>
      </c>
      <c r="R509" s="17" t="str">
        <f>IF(R508=R$20,"OK","NOK")</f>
        <v>OK</v>
      </c>
      <c r="S509" s="17"/>
      <c r="T509" s="17" t="str">
        <f>IF(T508=T$20,"OK","NOK")</f>
        <v>OK</v>
      </c>
      <c r="U509" s="17" t="str">
        <f>IF(U508=U$20,"OK","NOK")</f>
        <v>OK</v>
      </c>
      <c r="V509" s="359"/>
      <c r="W509" s="382"/>
      <c r="X509" s="539"/>
      <c r="Y509" s="539"/>
      <c r="Z509" s="201"/>
      <c r="AA509" s="201"/>
      <c r="AB509" s="201"/>
      <c r="AC509" s="84"/>
      <c r="AE509" s="46"/>
      <c r="AF509" s="46"/>
      <c r="AG509" s="17"/>
      <c r="AH509" s="539"/>
      <c r="AI509" s="91"/>
      <c r="AK509" s="46"/>
      <c r="AL509" s="46"/>
      <c r="AM509" s="17"/>
      <c r="AN509" s="539"/>
      <c r="AO509" s="91"/>
      <c r="AQ509" s="46"/>
      <c r="AR509" s="46"/>
      <c r="AS509" s="17"/>
      <c r="AT509" s="539"/>
      <c r="AU509" s="91"/>
      <c r="AW509" s="46"/>
      <c r="AX509" s="46"/>
      <c r="AY509" s="17"/>
      <c r="AZ509" s="539"/>
      <c r="BA509" s="91"/>
    </row>
    <row r="510" spans="1:53" ht="17.100000000000001" customHeight="1" x14ac:dyDescent="0.25">
      <c r="A510" s="68"/>
      <c r="B510" s="41" t="s">
        <v>297</v>
      </c>
      <c r="C510" s="69" t="s">
        <v>290</v>
      </c>
      <c r="D510" s="50"/>
      <c r="E510" s="70"/>
      <c r="F510" s="70"/>
      <c r="G510" s="70"/>
      <c r="H510" s="119"/>
      <c r="J510" s="71"/>
      <c r="K510" s="71"/>
      <c r="L510" s="71"/>
      <c r="M510" s="71"/>
      <c r="N510" s="71"/>
      <c r="O510" s="71"/>
      <c r="P510" s="71"/>
      <c r="Q510" s="71"/>
      <c r="R510" s="71"/>
      <c r="S510" s="71"/>
      <c r="T510" s="71"/>
      <c r="U510" s="71"/>
      <c r="V510" s="355"/>
      <c r="W510" s="377"/>
      <c r="X510" s="71"/>
      <c r="Y510" s="72"/>
      <c r="Z510" s="73"/>
      <c r="AA510" s="73"/>
      <c r="AB510" s="73"/>
      <c r="AC510" s="73"/>
      <c r="AE510" s="71"/>
      <c r="AF510" s="71"/>
      <c r="AG510" s="71"/>
      <c r="AH510" s="72"/>
      <c r="AI510" s="73"/>
      <c r="AK510" s="71"/>
      <c r="AL510" s="71"/>
      <c r="AM510" s="71"/>
      <c r="AN510" s="72"/>
      <c r="AO510" s="73"/>
      <c r="AQ510" s="71"/>
      <c r="AR510" s="71"/>
      <c r="AS510" s="71"/>
      <c r="AT510" s="72"/>
      <c r="AU510" s="73"/>
      <c r="AW510" s="71"/>
      <c r="AX510" s="71"/>
      <c r="AY510" s="71"/>
      <c r="AZ510" s="72"/>
      <c r="BA510" s="73"/>
    </row>
    <row r="511" spans="1:53" ht="17.100000000000001" customHeight="1" x14ac:dyDescent="0.25">
      <c r="A511" s="40"/>
      <c r="B511" s="40"/>
      <c r="C511" s="74" t="s">
        <v>298</v>
      </c>
      <c r="D511" s="75" t="s">
        <v>292</v>
      </c>
      <c r="E511" s="105"/>
      <c r="F511" s="75"/>
      <c r="G511" s="75"/>
      <c r="H511" s="540"/>
      <c r="I511" s="229"/>
      <c r="J511" s="111"/>
      <c r="K511" s="111"/>
      <c r="L511" s="111"/>
      <c r="M511" s="111"/>
      <c r="N511" s="60"/>
      <c r="O511" s="60"/>
      <c r="P511" s="17">
        <f t="shared" ref="P511:P514" si="613">SUM(N511:O511)</f>
        <v>0</v>
      </c>
      <c r="Q511" s="60"/>
      <c r="R511" s="60"/>
      <c r="S511" s="17">
        <f t="shared" ref="S511:S514" si="614">SUM(Q511:R511)</f>
        <v>0</v>
      </c>
      <c r="T511" s="60"/>
      <c r="U511" s="60"/>
      <c r="V511" s="359">
        <f t="shared" ref="V511:V514" si="615">SUM(T511:U511)</f>
        <v>0</v>
      </c>
      <c r="W511" s="391">
        <f t="shared" ref="W511:W514" si="616">J511+K511+N511+Q511+T511</f>
        <v>0</v>
      </c>
      <c r="X511" s="17">
        <f t="shared" ref="X511:X514" si="617">L511+O511+R511+U511</f>
        <v>0</v>
      </c>
      <c r="Y511" s="18">
        <f>SUM(W511:X511)</f>
        <v>0</v>
      </c>
      <c r="Z511" s="19">
        <f>IF(Y$515=0,0,Y511/Y$515)</f>
        <v>0</v>
      </c>
      <c r="AA511" s="19"/>
      <c r="AB511" s="19"/>
      <c r="AC511" s="20"/>
      <c r="AE511" s="111"/>
      <c r="AF511" s="111"/>
      <c r="AG511" s="111"/>
      <c r="AH511" s="112"/>
      <c r="AI511" s="113"/>
      <c r="AK511" s="111"/>
      <c r="AL511" s="111"/>
      <c r="AM511" s="111"/>
      <c r="AN511" s="112"/>
      <c r="AO511" s="113"/>
      <c r="AQ511" s="17"/>
      <c r="AR511" s="17"/>
      <c r="AS511" s="17"/>
      <c r="AT511" s="18">
        <f t="shared" ref="AT511:AT514" si="618">W511</f>
        <v>0</v>
      </c>
      <c r="AU511" s="19">
        <f t="shared" ref="AU511:AU514" si="619">IF(AT$508=0,0,AT511/AT$508)</f>
        <v>0</v>
      </c>
      <c r="AW511" s="17"/>
      <c r="AX511" s="17"/>
      <c r="AY511" s="17"/>
      <c r="AZ511" s="18">
        <f t="shared" ref="AZ511:AZ514" si="620">X511</f>
        <v>0</v>
      </c>
      <c r="BA511" s="19">
        <f>IF(AZ$515=0,0,AZ511/AZ$515)</f>
        <v>0</v>
      </c>
    </row>
    <row r="512" spans="1:53" ht="17.100000000000001" customHeight="1" x14ac:dyDescent="0.25">
      <c r="A512" s="40"/>
      <c r="B512" s="40"/>
      <c r="C512" s="74" t="s">
        <v>299</v>
      </c>
      <c r="D512" s="75" t="s">
        <v>11</v>
      </c>
      <c r="E512" s="105"/>
      <c r="F512" s="75"/>
      <c r="G512" s="75"/>
      <c r="H512" s="540"/>
      <c r="I512" s="229"/>
      <c r="J512" s="111"/>
      <c r="K512" s="111"/>
      <c r="L512" s="111"/>
      <c r="M512" s="111"/>
      <c r="N512" s="61"/>
      <c r="O512" s="61"/>
      <c r="P512" s="17">
        <f t="shared" si="613"/>
        <v>0</v>
      </c>
      <c r="Q512" s="61">
        <v>1</v>
      </c>
      <c r="R512" s="61">
        <v>7</v>
      </c>
      <c r="S512" s="17">
        <f t="shared" si="614"/>
        <v>8</v>
      </c>
      <c r="T512" s="61"/>
      <c r="U512" s="61"/>
      <c r="V512" s="359">
        <f t="shared" si="615"/>
        <v>0</v>
      </c>
      <c r="W512" s="391">
        <f t="shared" si="616"/>
        <v>1</v>
      </c>
      <c r="X512" s="17">
        <f t="shared" si="617"/>
        <v>7</v>
      </c>
      <c r="Y512" s="18">
        <f>SUM(W512:X512)</f>
        <v>8</v>
      </c>
      <c r="Z512" s="19">
        <f t="shared" ref="Z512:Z515" si="621">IF(Y$515=0,0,Y512/Y$515)</f>
        <v>0.5</v>
      </c>
      <c r="AA512" s="19"/>
      <c r="AB512" s="19"/>
      <c r="AC512" s="20"/>
      <c r="AE512" s="111"/>
      <c r="AF512" s="111"/>
      <c r="AG512" s="111"/>
      <c r="AH512" s="112"/>
      <c r="AI512" s="113"/>
      <c r="AK512" s="111"/>
      <c r="AL512" s="111"/>
      <c r="AM512" s="111"/>
      <c r="AN512" s="112"/>
      <c r="AO512" s="113"/>
      <c r="AQ512" s="17"/>
      <c r="AR512" s="17"/>
      <c r="AS512" s="17"/>
      <c r="AT512" s="18">
        <f t="shared" si="618"/>
        <v>1</v>
      </c>
      <c r="AU512" s="19">
        <f t="shared" si="619"/>
        <v>1</v>
      </c>
      <c r="AW512" s="17"/>
      <c r="AX512" s="17"/>
      <c r="AY512" s="17"/>
      <c r="AZ512" s="18">
        <f t="shared" si="620"/>
        <v>7</v>
      </c>
      <c r="BA512" s="19">
        <f t="shared" ref="BA512:BA515" si="622">IF(AZ$515=0,0,AZ512/AZ$515)</f>
        <v>0.46666666666666667</v>
      </c>
    </row>
    <row r="513" spans="1:53" ht="17.100000000000001" customHeight="1" x14ac:dyDescent="0.25">
      <c r="A513" s="40"/>
      <c r="B513" s="40"/>
      <c r="C513" s="74" t="s">
        <v>301</v>
      </c>
      <c r="D513" s="75" t="s">
        <v>295</v>
      </c>
      <c r="E513" s="105"/>
      <c r="F513" s="75"/>
      <c r="G513" s="75"/>
      <c r="H513" s="540"/>
      <c r="I513" s="229"/>
      <c r="J513" s="111"/>
      <c r="K513" s="111"/>
      <c r="L513" s="111"/>
      <c r="M513" s="111"/>
      <c r="N513" s="60"/>
      <c r="O513" s="60"/>
      <c r="P513" s="17">
        <f t="shared" si="613"/>
        <v>0</v>
      </c>
      <c r="Q513" s="60"/>
      <c r="R513" s="60"/>
      <c r="S513" s="17">
        <f t="shared" si="614"/>
        <v>0</v>
      </c>
      <c r="T513" s="60"/>
      <c r="U513" s="60"/>
      <c r="V513" s="359">
        <f t="shared" si="615"/>
        <v>0</v>
      </c>
      <c r="W513" s="391">
        <f t="shared" si="616"/>
        <v>0</v>
      </c>
      <c r="X513" s="17">
        <f t="shared" si="617"/>
        <v>0</v>
      </c>
      <c r="Y513" s="18">
        <f>SUM(W513:X513)</f>
        <v>0</v>
      </c>
      <c r="Z513" s="19">
        <f t="shared" si="621"/>
        <v>0</v>
      </c>
      <c r="AA513" s="19"/>
      <c r="AB513" s="19"/>
      <c r="AC513" s="20"/>
      <c r="AE513" s="111"/>
      <c r="AF513" s="111"/>
      <c r="AG513" s="111"/>
      <c r="AH513" s="112"/>
      <c r="AI513" s="113"/>
      <c r="AK513" s="111"/>
      <c r="AL513" s="111"/>
      <c r="AM513" s="111"/>
      <c r="AN513" s="112"/>
      <c r="AO513" s="113"/>
      <c r="AQ513" s="17"/>
      <c r="AR513" s="17"/>
      <c r="AS513" s="17"/>
      <c r="AT513" s="18">
        <f t="shared" si="618"/>
        <v>0</v>
      </c>
      <c r="AU513" s="19">
        <f t="shared" si="619"/>
        <v>0</v>
      </c>
      <c r="AW513" s="17"/>
      <c r="AX513" s="17"/>
      <c r="AY513" s="17"/>
      <c r="AZ513" s="18">
        <f t="shared" si="620"/>
        <v>0</v>
      </c>
      <c r="BA513" s="19">
        <f t="shared" si="622"/>
        <v>0</v>
      </c>
    </row>
    <row r="514" spans="1:53" ht="17.100000000000001" customHeight="1" x14ac:dyDescent="0.25">
      <c r="A514" s="40"/>
      <c r="B514" s="40"/>
      <c r="C514" s="74" t="s">
        <v>303</v>
      </c>
      <c r="D514" s="75" t="s">
        <v>9</v>
      </c>
      <c r="E514" s="105"/>
      <c r="F514" s="75"/>
      <c r="G514" s="75"/>
      <c r="H514" s="540"/>
      <c r="I514" s="229"/>
      <c r="J514" s="111"/>
      <c r="K514" s="111"/>
      <c r="L514" s="111"/>
      <c r="M514" s="111"/>
      <c r="N514" s="61"/>
      <c r="O514" s="61">
        <v>8</v>
      </c>
      <c r="P514" s="17">
        <f t="shared" si="613"/>
        <v>8</v>
      </c>
      <c r="Q514" s="61"/>
      <c r="R514" s="61"/>
      <c r="S514" s="17">
        <f t="shared" si="614"/>
        <v>0</v>
      </c>
      <c r="T514" s="61"/>
      <c r="U514" s="61"/>
      <c r="V514" s="359">
        <f t="shared" si="615"/>
        <v>0</v>
      </c>
      <c r="W514" s="391">
        <f t="shared" si="616"/>
        <v>0</v>
      </c>
      <c r="X514" s="17">
        <f t="shared" si="617"/>
        <v>8</v>
      </c>
      <c r="Y514" s="18">
        <f>SUM(W514:X514)</f>
        <v>8</v>
      </c>
      <c r="Z514" s="19">
        <f t="shared" si="621"/>
        <v>0.5</v>
      </c>
      <c r="AA514" s="19"/>
      <c r="AB514" s="19"/>
      <c r="AC514" s="20"/>
      <c r="AE514" s="111"/>
      <c r="AF514" s="111"/>
      <c r="AG514" s="111"/>
      <c r="AH514" s="112"/>
      <c r="AI514" s="113"/>
      <c r="AK514" s="111"/>
      <c r="AL514" s="111"/>
      <c r="AM514" s="111"/>
      <c r="AN514" s="112"/>
      <c r="AO514" s="113"/>
      <c r="AQ514" s="17"/>
      <c r="AR514" s="17"/>
      <c r="AS514" s="17"/>
      <c r="AT514" s="18">
        <f t="shared" si="618"/>
        <v>0</v>
      </c>
      <c r="AU514" s="19">
        <f t="shared" si="619"/>
        <v>0</v>
      </c>
      <c r="AW514" s="17"/>
      <c r="AX514" s="17"/>
      <c r="AY514" s="17"/>
      <c r="AZ514" s="18">
        <f t="shared" si="620"/>
        <v>8</v>
      </c>
      <c r="BA514" s="19">
        <f t="shared" si="622"/>
        <v>0.53333333333333333</v>
      </c>
    </row>
    <row r="515" spans="1:53" ht="17.100000000000001" customHeight="1" x14ac:dyDescent="0.25">
      <c r="A515" s="175"/>
      <c r="B515" s="40"/>
      <c r="C515" s="163"/>
      <c r="D515" s="134"/>
      <c r="E515" s="134"/>
      <c r="F515" s="134"/>
      <c r="G515" s="134"/>
      <c r="H515" s="540"/>
      <c r="I515" s="12"/>
      <c r="J515" s="80"/>
      <c r="K515" s="80"/>
      <c r="L515" s="81"/>
      <c r="M515" s="81"/>
      <c r="N515" s="81">
        <f>SUM(N511:N514)</f>
        <v>0</v>
      </c>
      <c r="O515" s="81">
        <f t="shared" ref="O515:V515" si="623">SUM(O511:O514)</f>
        <v>8</v>
      </c>
      <c r="P515" s="81">
        <f t="shared" si="623"/>
        <v>8</v>
      </c>
      <c r="Q515" s="81">
        <f t="shared" si="623"/>
        <v>1</v>
      </c>
      <c r="R515" s="81">
        <f t="shared" si="623"/>
        <v>7</v>
      </c>
      <c r="S515" s="81">
        <f t="shared" si="623"/>
        <v>8</v>
      </c>
      <c r="T515" s="81">
        <f t="shared" si="623"/>
        <v>0</v>
      </c>
      <c r="U515" s="81">
        <f t="shared" si="623"/>
        <v>0</v>
      </c>
      <c r="V515" s="81">
        <f t="shared" si="623"/>
        <v>0</v>
      </c>
      <c r="W515" s="381">
        <f>SUM(W511:W514)</f>
        <v>1</v>
      </c>
      <c r="X515" s="82">
        <f t="shared" ref="X515:Y515" si="624">SUM(X511:X514)</f>
        <v>15</v>
      </c>
      <c r="Y515" s="82">
        <f t="shared" si="624"/>
        <v>16</v>
      </c>
      <c r="Z515" s="205">
        <f t="shared" si="621"/>
        <v>1</v>
      </c>
      <c r="AA515" s="205"/>
      <c r="AB515" s="205"/>
      <c r="AC515" s="83"/>
      <c r="AE515" s="80"/>
      <c r="AF515" s="80"/>
      <c r="AG515" s="81"/>
      <c r="AH515" s="82">
        <f>SUM(AH511:AH514)</f>
        <v>0</v>
      </c>
      <c r="AI515" s="66">
        <f t="shared" ref="AI515" si="625">IF(AH$515=0,0,AH515/AH$515)</f>
        <v>0</v>
      </c>
      <c r="AK515" s="80"/>
      <c r="AL515" s="80"/>
      <c r="AM515" s="81"/>
      <c r="AN515" s="82">
        <f>SUM(AN511:AN514)</f>
        <v>0</v>
      </c>
      <c r="AO515" s="66">
        <f t="shared" ref="AO515" si="626">IF(AN$515=0,0,AN515/AN$515)</f>
        <v>0</v>
      </c>
      <c r="AQ515" s="80"/>
      <c r="AR515" s="80"/>
      <c r="AS515" s="81"/>
      <c r="AT515" s="82"/>
      <c r="AU515" s="66"/>
      <c r="AW515" s="80"/>
      <c r="AX515" s="80"/>
      <c r="AY515" s="81"/>
      <c r="AZ515" s="82">
        <f>SUM(AZ511:AZ514)</f>
        <v>15</v>
      </c>
      <c r="BA515" s="66">
        <f t="shared" si="622"/>
        <v>1</v>
      </c>
    </row>
    <row r="516" spans="1:53" s="117" customFormat="1" ht="17.100000000000001" customHeight="1" x14ac:dyDescent="0.25">
      <c r="A516" s="68"/>
      <c r="B516" s="119"/>
      <c r="C516" s="540"/>
      <c r="D516" s="261"/>
      <c r="E516" s="261"/>
      <c r="F516" s="68"/>
      <c r="G516" s="68"/>
      <c r="H516" s="119"/>
      <c r="I516" s="138"/>
      <c r="J516" s="17"/>
      <c r="K516" s="17"/>
      <c r="L516" s="17"/>
      <c r="M516" s="17"/>
      <c r="N516" s="17" t="str">
        <f>IF(N515=N$20,"OK","NOK")</f>
        <v>OK</v>
      </c>
      <c r="O516" s="17" t="str">
        <f>IF(O515=O$20,"OK","NOK")</f>
        <v>OK</v>
      </c>
      <c r="P516" s="17"/>
      <c r="Q516" s="17" t="str">
        <f>IF(Q515=Q$20,"OK","NOK")</f>
        <v>OK</v>
      </c>
      <c r="R516" s="17" t="str">
        <f>IF(R515=R$20,"OK","NOK")</f>
        <v>OK</v>
      </c>
      <c r="S516" s="17"/>
      <c r="T516" s="17" t="str">
        <f>IF(T515=T$20,"OK","NOK")</f>
        <v>OK</v>
      </c>
      <c r="U516" s="17" t="str">
        <f>IF(U515=U$20,"OK","NOK")</f>
        <v>OK</v>
      </c>
      <c r="V516" s="359"/>
      <c r="W516" s="382"/>
      <c r="X516" s="539"/>
      <c r="Y516" s="539"/>
      <c r="Z516" s="201"/>
      <c r="AA516" s="201"/>
      <c r="AB516" s="201"/>
      <c r="AC516" s="84"/>
      <c r="AE516" s="46"/>
      <c r="AF516" s="46"/>
      <c r="AG516" s="17"/>
      <c r="AH516" s="539"/>
      <c r="AI516" s="91"/>
      <c r="AK516" s="46"/>
      <c r="AL516" s="46"/>
      <c r="AM516" s="17"/>
      <c r="AN516" s="539"/>
      <c r="AO516" s="91"/>
      <c r="AQ516" s="46"/>
      <c r="AR516" s="46"/>
      <c r="AS516" s="17"/>
      <c r="AT516" s="539"/>
      <c r="AU516" s="91"/>
      <c r="AW516" s="46"/>
      <c r="AX516" s="46"/>
      <c r="AY516" s="17"/>
      <c r="AZ516" s="539"/>
      <c r="BA516" s="91"/>
    </row>
    <row r="517" spans="1:53" ht="17.100000000000001" customHeight="1" x14ac:dyDescent="0.25">
      <c r="A517" s="68"/>
      <c r="B517" s="41" t="s">
        <v>306</v>
      </c>
      <c r="C517" s="69" t="s">
        <v>486</v>
      </c>
      <c r="D517" s="50"/>
      <c r="E517" s="70"/>
      <c r="F517" s="70"/>
      <c r="G517" s="70"/>
      <c r="H517" s="119"/>
      <c r="J517" s="71"/>
      <c r="K517" s="71"/>
      <c r="L517" s="71"/>
      <c r="M517" s="71"/>
      <c r="N517" s="71"/>
      <c r="O517" s="71"/>
      <c r="P517" s="71"/>
      <c r="Q517" s="71"/>
      <c r="R517" s="71"/>
      <c r="S517" s="71"/>
      <c r="T517" s="71"/>
      <c r="U517" s="71"/>
      <c r="V517" s="355"/>
      <c r="W517" s="377"/>
      <c r="X517" s="71"/>
      <c r="Y517" s="72"/>
      <c r="Z517" s="73"/>
      <c r="AA517" s="73"/>
      <c r="AB517" s="73"/>
      <c r="AC517" s="73"/>
      <c r="AE517" s="71"/>
      <c r="AF517" s="71"/>
      <c r="AG517" s="71"/>
      <c r="AH517" s="72"/>
      <c r="AI517" s="73"/>
      <c r="AK517" s="71"/>
      <c r="AL517" s="71"/>
      <c r="AM517" s="71"/>
      <c r="AN517" s="72"/>
      <c r="AO517" s="73"/>
      <c r="AQ517" s="71"/>
      <c r="AR517" s="71"/>
      <c r="AS517" s="71"/>
      <c r="AT517" s="72"/>
      <c r="AU517" s="73"/>
      <c r="AW517" s="71"/>
      <c r="AX517" s="71"/>
      <c r="AY517" s="71"/>
      <c r="AZ517" s="72"/>
      <c r="BA517" s="73"/>
    </row>
    <row r="518" spans="1:53" ht="17.100000000000001" customHeight="1" x14ac:dyDescent="0.25">
      <c r="A518" s="40"/>
      <c r="B518" s="40"/>
      <c r="C518" s="74" t="s">
        <v>308</v>
      </c>
      <c r="D518" s="85" t="s">
        <v>292</v>
      </c>
      <c r="E518" s="105"/>
      <c r="F518" s="105"/>
      <c r="G518" s="105"/>
      <c r="H518" s="119"/>
      <c r="I518" s="231"/>
      <c r="J518" s="111"/>
      <c r="K518" s="111"/>
      <c r="L518" s="111"/>
      <c r="M518" s="111"/>
      <c r="N518" s="60"/>
      <c r="O518" s="60"/>
      <c r="P518" s="17">
        <f t="shared" ref="P518:P528" si="627">SUM(N518:O518)</f>
        <v>0</v>
      </c>
      <c r="Q518" s="60"/>
      <c r="R518" s="60"/>
      <c r="S518" s="17">
        <f t="shared" ref="S518:S528" si="628">SUM(Q518:R518)</f>
        <v>0</v>
      </c>
      <c r="T518" s="60"/>
      <c r="U518" s="60"/>
      <c r="V518" s="359">
        <f t="shared" ref="V518:V528" si="629">SUM(T518:U518)</f>
        <v>0</v>
      </c>
      <c r="W518" s="391">
        <f t="shared" ref="W518:W528" si="630">J518+K518+N518+Q518+T518</f>
        <v>0</v>
      </c>
      <c r="X518" s="17">
        <f t="shared" ref="X518:X528" si="631">L518+O518+R518+U518</f>
        <v>0</v>
      </c>
      <c r="Y518" s="18">
        <f t="shared" ref="Y518:Y528" si="632">SUM(W518:X518)</f>
        <v>0</v>
      </c>
      <c r="Z518" s="19">
        <f t="shared" ref="Z518:Z528" si="633">IF(Y$533=0,0,Y518/Y$533)</f>
        <v>0</v>
      </c>
      <c r="AA518" s="19"/>
      <c r="AB518" s="19"/>
      <c r="AC518" s="20"/>
      <c r="AE518" s="111"/>
      <c r="AF518" s="111"/>
      <c r="AG518" s="111"/>
      <c r="AH518" s="112"/>
      <c r="AI518" s="113"/>
      <c r="AK518" s="111"/>
      <c r="AL518" s="111"/>
      <c r="AM518" s="111"/>
      <c r="AN518" s="112"/>
      <c r="AO518" s="113"/>
      <c r="AQ518" s="17"/>
      <c r="AR518" s="17"/>
      <c r="AS518" s="17"/>
      <c r="AT518" s="18">
        <f t="shared" ref="AT518:AT528" si="634">W518</f>
        <v>0</v>
      </c>
      <c r="AU518" s="19">
        <f t="shared" ref="AU518:AU526" si="635">IF(AT$533=0,0,AT518/AT$533)</f>
        <v>0</v>
      </c>
      <c r="AW518" s="17"/>
      <c r="AX518" s="17"/>
      <c r="AY518" s="17"/>
      <c r="AZ518" s="18">
        <f t="shared" ref="AZ518:AZ528" si="636">X518</f>
        <v>0</v>
      </c>
      <c r="BA518" s="19">
        <f t="shared" ref="BA518:BA526" si="637">IF(AZ$533=0,0,AZ518/AZ$533)</f>
        <v>0</v>
      </c>
    </row>
    <row r="519" spans="1:53" ht="17.100000000000001" customHeight="1" x14ac:dyDescent="0.25">
      <c r="A519" s="40"/>
      <c r="B519" s="40"/>
      <c r="C519" s="74" t="s">
        <v>309</v>
      </c>
      <c r="D519" s="146" t="s">
        <v>757</v>
      </c>
      <c r="E519" s="105"/>
      <c r="F519" s="105"/>
      <c r="G519" s="105"/>
      <c r="H519" s="119"/>
      <c r="I519" s="231"/>
      <c r="J519" s="111"/>
      <c r="K519" s="111"/>
      <c r="L519" s="111"/>
      <c r="M519" s="111"/>
      <c r="N519" s="61"/>
      <c r="O519" s="61"/>
      <c r="P519" s="17">
        <f t="shared" si="627"/>
        <v>0</v>
      </c>
      <c r="Q519" s="61">
        <v>1</v>
      </c>
      <c r="R519" s="61">
        <v>7</v>
      </c>
      <c r="S519" s="17">
        <f t="shared" si="628"/>
        <v>8</v>
      </c>
      <c r="T519" s="61"/>
      <c r="U519" s="61"/>
      <c r="V519" s="359">
        <f t="shared" si="629"/>
        <v>0</v>
      </c>
      <c r="W519" s="391">
        <f t="shared" si="630"/>
        <v>1</v>
      </c>
      <c r="X519" s="17">
        <f t="shared" si="631"/>
        <v>7</v>
      </c>
      <c r="Y519" s="18">
        <f t="shared" si="632"/>
        <v>8</v>
      </c>
      <c r="Z519" s="19">
        <f t="shared" si="633"/>
        <v>0.5</v>
      </c>
      <c r="AA519" s="19"/>
      <c r="AB519" s="19"/>
      <c r="AC519" s="20"/>
      <c r="AE519" s="111"/>
      <c r="AF519" s="111"/>
      <c r="AG519" s="111"/>
      <c r="AH519" s="112"/>
      <c r="AI519" s="113"/>
      <c r="AK519" s="111"/>
      <c r="AL519" s="111"/>
      <c r="AM519" s="111"/>
      <c r="AN519" s="112"/>
      <c r="AO519" s="113"/>
      <c r="AQ519" s="17"/>
      <c r="AR519" s="17"/>
      <c r="AS519" s="17"/>
      <c r="AT519" s="18">
        <f t="shared" si="634"/>
        <v>1</v>
      </c>
      <c r="AU519" s="19">
        <f t="shared" si="635"/>
        <v>1</v>
      </c>
      <c r="AW519" s="17"/>
      <c r="AX519" s="17"/>
      <c r="AY519" s="17"/>
      <c r="AZ519" s="18">
        <f t="shared" si="636"/>
        <v>7</v>
      </c>
      <c r="BA519" s="19">
        <f t="shared" si="637"/>
        <v>0.46666666666666667</v>
      </c>
    </row>
    <row r="520" spans="1:53" ht="17.100000000000001" customHeight="1" x14ac:dyDescent="0.25">
      <c r="A520" s="40"/>
      <c r="B520" s="40"/>
      <c r="C520" s="74" t="s">
        <v>489</v>
      </c>
      <c r="D520" s="85" t="s">
        <v>300</v>
      </c>
      <c r="E520" s="105"/>
      <c r="F520" s="105"/>
      <c r="G520" s="105"/>
      <c r="H520" s="119"/>
      <c r="I520" s="231"/>
      <c r="J520" s="111"/>
      <c r="K520" s="111"/>
      <c r="L520" s="111"/>
      <c r="M520" s="111"/>
      <c r="N520" s="60"/>
      <c r="O520" s="60"/>
      <c r="P520" s="17">
        <f t="shared" ref="P520:P521" si="638">SUM(N520:O520)</f>
        <v>0</v>
      </c>
      <c r="Q520" s="60"/>
      <c r="R520" s="60"/>
      <c r="S520" s="17">
        <f t="shared" ref="S520:S521" si="639">SUM(Q520:R520)</f>
        <v>0</v>
      </c>
      <c r="T520" s="60"/>
      <c r="U520" s="60"/>
      <c r="V520" s="359">
        <f t="shared" ref="V520:V521" si="640">SUM(T520:U520)</f>
        <v>0</v>
      </c>
      <c r="W520" s="391">
        <f t="shared" si="630"/>
        <v>0</v>
      </c>
      <c r="X520" s="17">
        <f t="shared" si="631"/>
        <v>0</v>
      </c>
      <c r="Y520" s="18">
        <f t="shared" si="632"/>
        <v>0</v>
      </c>
      <c r="Z520" s="19">
        <f t="shared" si="633"/>
        <v>0</v>
      </c>
      <c r="AA520" s="19"/>
      <c r="AB520" s="19"/>
      <c r="AC520" s="20"/>
      <c r="AE520" s="111"/>
      <c r="AF520" s="111"/>
      <c r="AG520" s="111"/>
      <c r="AH520" s="112"/>
      <c r="AI520" s="113"/>
      <c r="AK520" s="111"/>
      <c r="AL520" s="111"/>
      <c r="AM520" s="111"/>
      <c r="AN520" s="112"/>
      <c r="AO520" s="113"/>
      <c r="AQ520" s="17"/>
      <c r="AR520" s="17"/>
      <c r="AS520" s="17"/>
      <c r="AT520" s="18">
        <f t="shared" si="634"/>
        <v>0</v>
      </c>
      <c r="AU520" s="19">
        <f t="shared" si="635"/>
        <v>0</v>
      </c>
      <c r="AW520" s="17"/>
      <c r="AX520" s="17"/>
      <c r="AY520" s="17"/>
      <c r="AZ520" s="18">
        <f t="shared" si="636"/>
        <v>0</v>
      </c>
      <c r="BA520" s="19">
        <f t="shared" si="637"/>
        <v>0</v>
      </c>
    </row>
    <row r="521" spans="1:53" ht="17.100000000000001" customHeight="1" x14ac:dyDescent="0.25">
      <c r="A521" s="40"/>
      <c r="B521" s="40"/>
      <c r="C521" s="74" t="s">
        <v>621</v>
      </c>
      <c r="D521" s="85" t="s">
        <v>670</v>
      </c>
      <c r="E521" s="105"/>
      <c r="F521" s="105"/>
      <c r="G521" s="105"/>
      <c r="H521" s="119"/>
      <c r="I521" s="231"/>
      <c r="J521" s="111"/>
      <c r="K521" s="111"/>
      <c r="L521" s="111"/>
      <c r="M521" s="111"/>
      <c r="N521" s="61"/>
      <c r="O521" s="61"/>
      <c r="P521" s="17">
        <f t="shared" si="638"/>
        <v>0</v>
      </c>
      <c r="Q521" s="61"/>
      <c r="R521" s="61"/>
      <c r="S521" s="17">
        <f t="shared" si="639"/>
        <v>0</v>
      </c>
      <c r="T521" s="61"/>
      <c r="U521" s="61"/>
      <c r="V521" s="359">
        <f t="shared" si="640"/>
        <v>0</v>
      </c>
      <c r="W521" s="391">
        <f t="shared" si="630"/>
        <v>0</v>
      </c>
      <c r="X521" s="17">
        <f t="shared" si="631"/>
        <v>0</v>
      </c>
      <c r="Y521" s="18">
        <f t="shared" si="632"/>
        <v>0</v>
      </c>
      <c r="Z521" s="19">
        <f t="shared" si="633"/>
        <v>0</v>
      </c>
      <c r="AA521" s="19"/>
      <c r="AB521" s="19"/>
      <c r="AC521" s="20"/>
      <c r="AE521" s="111"/>
      <c r="AF521" s="111"/>
      <c r="AG521" s="111"/>
      <c r="AH521" s="112"/>
      <c r="AI521" s="113"/>
      <c r="AK521" s="111"/>
      <c r="AL521" s="111"/>
      <c r="AM521" s="111"/>
      <c r="AN521" s="112"/>
      <c r="AO521" s="113"/>
      <c r="AQ521" s="17"/>
      <c r="AR521" s="17"/>
      <c r="AS521" s="17"/>
      <c r="AT521" s="18">
        <f t="shared" si="634"/>
        <v>0</v>
      </c>
      <c r="AU521" s="19">
        <f t="shared" si="635"/>
        <v>0</v>
      </c>
      <c r="AW521" s="17"/>
      <c r="AX521" s="17"/>
      <c r="AY521" s="17"/>
      <c r="AZ521" s="18">
        <f t="shared" si="636"/>
        <v>0</v>
      </c>
      <c r="BA521" s="19">
        <f t="shared" si="637"/>
        <v>0</v>
      </c>
    </row>
    <row r="522" spans="1:53" ht="17.100000000000001" customHeight="1" x14ac:dyDescent="0.25">
      <c r="A522" s="40"/>
      <c r="B522" s="40"/>
      <c r="C522" s="74" t="s">
        <v>622</v>
      </c>
      <c r="D522" s="85" t="s">
        <v>671</v>
      </c>
      <c r="E522" s="105"/>
      <c r="F522" s="105"/>
      <c r="G522" s="105"/>
      <c r="H522" s="119"/>
      <c r="I522" s="231"/>
      <c r="J522" s="111"/>
      <c r="K522" s="111"/>
      <c r="L522" s="111"/>
      <c r="M522" s="111"/>
      <c r="N522" s="60"/>
      <c r="O522" s="60"/>
      <c r="P522" s="17">
        <f t="shared" si="627"/>
        <v>0</v>
      </c>
      <c r="Q522" s="60"/>
      <c r="R522" s="60"/>
      <c r="S522" s="17">
        <f t="shared" si="628"/>
        <v>0</v>
      </c>
      <c r="T522" s="60"/>
      <c r="U522" s="60"/>
      <c r="V522" s="359">
        <f t="shared" si="629"/>
        <v>0</v>
      </c>
      <c r="W522" s="391">
        <f t="shared" si="630"/>
        <v>0</v>
      </c>
      <c r="X522" s="17">
        <f t="shared" si="631"/>
        <v>0</v>
      </c>
      <c r="Y522" s="18">
        <f t="shared" si="632"/>
        <v>0</v>
      </c>
      <c r="Z522" s="19">
        <f t="shared" si="633"/>
        <v>0</v>
      </c>
      <c r="AA522" s="19"/>
      <c r="AB522" s="19"/>
      <c r="AC522" s="20"/>
      <c r="AE522" s="111"/>
      <c r="AF522" s="111"/>
      <c r="AG522" s="111"/>
      <c r="AH522" s="112"/>
      <c r="AI522" s="113"/>
      <c r="AK522" s="111"/>
      <c r="AL522" s="111"/>
      <c r="AM522" s="111"/>
      <c r="AN522" s="112"/>
      <c r="AO522" s="113"/>
      <c r="AQ522" s="17"/>
      <c r="AR522" s="17"/>
      <c r="AS522" s="17"/>
      <c r="AT522" s="18">
        <f t="shared" si="634"/>
        <v>0</v>
      </c>
      <c r="AU522" s="19">
        <f t="shared" si="635"/>
        <v>0</v>
      </c>
      <c r="AW522" s="17"/>
      <c r="AX522" s="17"/>
      <c r="AY522" s="17"/>
      <c r="AZ522" s="18">
        <f t="shared" si="636"/>
        <v>0</v>
      </c>
      <c r="BA522" s="19">
        <f t="shared" si="637"/>
        <v>0</v>
      </c>
    </row>
    <row r="523" spans="1:53" ht="17.100000000000001" customHeight="1" x14ac:dyDescent="0.25">
      <c r="A523" s="40"/>
      <c r="B523" s="40"/>
      <c r="C523" s="74" t="s">
        <v>623</v>
      </c>
      <c r="D523" s="85" t="s">
        <v>302</v>
      </c>
      <c r="E523" s="105"/>
      <c r="F523" s="105"/>
      <c r="G523" s="105"/>
      <c r="H523" s="119"/>
      <c r="I523" s="231"/>
      <c r="J523" s="111"/>
      <c r="K523" s="111"/>
      <c r="L523" s="111"/>
      <c r="M523" s="111"/>
      <c r="N523" s="61"/>
      <c r="O523" s="61">
        <v>8</v>
      </c>
      <c r="P523" s="17">
        <f t="shared" si="627"/>
        <v>8</v>
      </c>
      <c r="Q523" s="61"/>
      <c r="R523" s="61"/>
      <c r="S523" s="17">
        <f t="shared" si="628"/>
        <v>0</v>
      </c>
      <c r="T523" s="61"/>
      <c r="U523" s="61"/>
      <c r="V523" s="359">
        <f t="shared" si="629"/>
        <v>0</v>
      </c>
      <c r="W523" s="391">
        <f t="shared" si="630"/>
        <v>0</v>
      </c>
      <c r="X523" s="17">
        <f t="shared" si="631"/>
        <v>8</v>
      </c>
      <c r="Y523" s="18">
        <f t="shared" si="632"/>
        <v>8</v>
      </c>
      <c r="Z523" s="19">
        <f t="shared" si="633"/>
        <v>0.5</v>
      </c>
      <c r="AA523" s="19"/>
      <c r="AB523" s="19"/>
      <c r="AC523" s="20"/>
      <c r="AE523" s="111"/>
      <c r="AF523" s="111"/>
      <c r="AG523" s="111"/>
      <c r="AH523" s="112"/>
      <c r="AI523" s="113"/>
      <c r="AK523" s="111"/>
      <c r="AL523" s="111"/>
      <c r="AM523" s="111"/>
      <c r="AN523" s="112"/>
      <c r="AO523" s="113"/>
      <c r="AQ523" s="17"/>
      <c r="AR523" s="17"/>
      <c r="AS523" s="17"/>
      <c r="AT523" s="18">
        <f t="shared" si="634"/>
        <v>0</v>
      </c>
      <c r="AU523" s="19">
        <f t="shared" si="635"/>
        <v>0</v>
      </c>
      <c r="AW523" s="17"/>
      <c r="AX523" s="17"/>
      <c r="AY523" s="17"/>
      <c r="AZ523" s="18">
        <f t="shared" si="636"/>
        <v>8</v>
      </c>
      <c r="BA523" s="19">
        <f t="shared" si="637"/>
        <v>0.53333333333333333</v>
      </c>
    </row>
    <row r="524" spans="1:53" ht="17.100000000000001" customHeight="1" x14ac:dyDescent="0.25">
      <c r="A524" s="40"/>
      <c r="B524" s="40"/>
      <c r="C524" s="74" t="s">
        <v>624</v>
      </c>
      <c r="D524" s="85" t="s">
        <v>487</v>
      </c>
      <c r="E524" s="75"/>
      <c r="F524" s="75"/>
      <c r="G524" s="75"/>
      <c r="H524" s="540"/>
      <c r="I524" s="229"/>
      <c r="J524" s="111"/>
      <c r="K524" s="111"/>
      <c r="L524" s="111"/>
      <c r="M524" s="111"/>
      <c r="N524" s="60"/>
      <c r="O524" s="60"/>
      <c r="P524" s="17">
        <f t="shared" si="627"/>
        <v>0</v>
      </c>
      <c r="Q524" s="60"/>
      <c r="R524" s="60"/>
      <c r="S524" s="17">
        <f t="shared" si="628"/>
        <v>0</v>
      </c>
      <c r="T524" s="60"/>
      <c r="U524" s="60"/>
      <c r="V524" s="359">
        <f t="shared" si="629"/>
        <v>0</v>
      </c>
      <c r="W524" s="391">
        <f t="shared" si="630"/>
        <v>0</v>
      </c>
      <c r="X524" s="17">
        <f t="shared" si="631"/>
        <v>0</v>
      </c>
      <c r="Y524" s="18">
        <f t="shared" si="632"/>
        <v>0</v>
      </c>
      <c r="Z524" s="19">
        <f t="shared" si="633"/>
        <v>0</v>
      </c>
      <c r="AA524" s="19"/>
      <c r="AB524" s="19"/>
      <c r="AC524" s="20"/>
      <c r="AE524" s="111"/>
      <c r="AF524" s="111"/>
      <c r="AG524" s="111"/>
      <c r="AH524" s="112"/>
      <c r="AI524" s="113"/>
      <c r="AK524" s="111"/>
      <c r="AL524" s="111"/>
      <c r="AM524" s="111"/>
      <c r="AN524" s="112"/>
      <c r="AO524" s="113"/>
      <c r="AQ524" s="17"/>
      <c r="AR524" s="17"/>
      <c r="AS524" s="17"/>
      <c r="AT524" s="18">
        <f t="shared" si="634"/>
        <v>0</v>
      </c>
      <c r="AU524" s="19">
        <f t="shared" si="635"/>
        <v>0</v>
      </c>
      <c r="AW524" s="17"/>
      <c r="AX524" s="17"/>
      <c r="AY524" s="17"/>
      <c r="AZ524" s="18">
        <f t="shared" si="636"/>
        <v>0</v>
      </c>
      <c r="BA524" s="19">
        <f t="shared" si="637"/>
        <v>0</v>
      </c>
    </row>
    <row r="525" spans="1:53" ht="17.100000000000001" customHeight="1" x14ac:dyDescent="0.25">
      <c r="A525" s="40"/>
      <c r="B525" s="40"/>
      <c r="C525" s="74" t="s">
        <v>625</v>
      </c>
      <c r="D525" s="85" t="s">
        <v>488</v>
      </c>
      <c r="E525" s="542"/>
      <c r="F525" s="105"/>
      <c r="G525" s="105"/>
      <c r="H525" s="119"/>
      <c r="I525" s="231"/>
      <c r="J525" s="111"/>
      <c r="K525" s="111"/>
      <c r="L525" s="111"/>
      <c r="M525" s="111"/>
      <c r="N525" s="61"/>
      <c r="O525" s="61"/>
      <c r="P525" s="17">
        <f t="shared" si="627"/>
        <v>0</v>
      </c>
      <c r="Q525" s="61"/>
      <c r="R525" s="61"/>
      <c r="S525" s="17">
        <f t="shared" si="628"/>
        <v>0</v>
      </c>
      <c r="T525" s="61"/>
      <c r="U525" s="61"/>
      <c r="V525" s="359">
        <f t="shared" si="629"/>
        <v>0</v>
      </c>
      <c r="W525" s="391">
        <f t="shared" si="630"/>
        <v>0</v>
      </c>
      <c r="X525" s="17">
        <f t="shared" si="631"/>
        <v>0</v>
      </c>
      <c r="Y525" s="18">
        <f t="shared" si="632"/>
        <v>0</v>
      </c>
      <c r="Z525" s="19">
        <f t="shared" si="633"/>
        <v>0</v>
      </c>
      <c r="AA525" s="19"/>
      <c r="AB525" s="19"/>
      <c r="AC525" s="20"/>
      <c r="AE525" s="111"/>
      <c r="AF525" s="111"/>
      <c r="AG525" s="111"/>
      <c r="AH525" s="112"/>
      <c r="AI525" s="113"/>
      <c r="AK525" s="111"/>
      <c r="AL525" s="111"/>
      <c r="AM525" s="111"/>
      <c r="AN525" s="112"/>
      <c r="AO525" s="113"/>
      <c r="AQ525" s="17"/>
      <c r="AR525" s="17"/>
      <c r="AS525" s="17"/>
      <c r="AT525" s="18">
        <f t="shared" si="634"/>
        <v>0</v>
      </c>
      <c r="AU525" s="19">
        <f t="shared" si="635"/>
        <v>0</v>
      </c>
      <c r="AW525" s="17"/>
      <c r="AX525" s="17"/>
      <c r="AY525" s="17"/>
      <c r="AZ525" s="18">
        <f t="shared" si="636"/>
        <v>0</v>
      </c>
      <c r="BA525" s="19">
        <f t="shared" si="637"/>
        <v>0</v>
      </c>
    </row>
    <row r="526" spans="1:53" ht="17.100000000000001" customHeight="1" x14ac:dyDescent="0.25">
      <c r="A526" s="40"/>
      <c r="B526" s="40"/>
      <c r="C526" s="74" t="s">
        <v>668</v>
      </c>
      <c r="D526" s="85" t="s">
        <v>304</v>
      </c>
      <c r="E526" s="542"/>
      <c r="F526" s="105"/>
      <c r="G526" s="105"/>
      <c r="H526" s="119"/>
      <c r="I526" s="231"/>
      <c r="J526" s="111"/>
      <c r="K526" s="111"/>
      <c r="L526" s="111"/>
      <c r="M526" s="111"/>
      <c r="N526" s="60"/>
      <c r="O526" s="60"/>
      <c r="P526" s="17">
        <f t="shared" si="627"/>
        <v>0</v>
      </c>
      <c r="Q526" s="60"/>
      <c r="R526" s="60"/>
      <c r="S526" s="17">
        <f t="shared" si="628"/>
        <v>0</v>
      </c>
      <c r="T526" s="60"/>
      <c r="U526" s="60"/>
      <c r="V526" s="359">
        <f t="shared" si="629"/>
        <v>0</v>
      </c>
      <c r="W526" s="391">
        <f t="shared" si="630"/>
        <v>0</v>
      </c>
      <c r="X526" s="17">
        <f t="shared" si="631"/>
        <v>0</v>
      </c>
      <c r="Y526" s="18">
        <f t="shared" si="632"/>
        <v>0</v>
      </c>
      <c r="Z526" s="19">
        <f t="shared" si="633"/>
        <v>0</v>
      </c>
      <c r="AA526" s="19"/>
      <c r="AB526" s="19"/>
      <c r="AC526" s="20"/>
      <c r="AE526" s="111"/>
      <c r="AF526" s="111"/>
      <c r="AG526" s="111"/>
      <c r="AH526" s="112"/>
      <c r="AI526" s="113"/>
      <c r="AK526" s="111"/>
      <c r="AL526" s="111"/>
      <c r="AM526" s="111"/>
      <c r="AN526" s="112"/>
      <c r="AO526" s="113"/>
      <c r="AQ526" s="17"/>
      <c r="AR526" s="17"/>
      <c r="AS526" s="17"/>
      <c r="AT526" s="18">
        <f t="shared" si="634"/>
        <v>0</v>
      </c>
      <c r="AU526" s="19">
        <f t="shared" si="635"/>
        <v>0</v>
      </c>
      <c r="AW526" s="17"/>
      <c r="AX526" s="17"/>
      <c r="AY526" s="17"/>
      <c r="AZ526" s="18">
        <f t="shared" si="636"/>
        <v>0</v>
      </c>
      <c r="BA526" s="19">
        <f t="shared" si="637"/>
        <v>0</v>
      </c>
    </row>
    <row r="527" spans="1:53" ht="17.100000000000001" customHeight="1" x14ac:dyDescent="0.25">
      <c r="A527" s="40"/>
      <c r="B527" s="40"/>
      <c r="C527" s="74" t="s">
        <v>669</v>
      </c>
      <c r="D527" s="85" t="s">
        <v>758</v>
      </c>
      <c r="E527" s="542"/>
      <c r="F527" s="105"/>
      <c r="G527" s="105"/>
      <c r="H527" s="119"/>
      <c r="I527" s="231"/>
      <c r="J527" s="111"/>
      <c r="K527" s="111"/>
      <c r="L527" s="111"/>
      <c r="M527" s="111"/>
      <c r="N527" s="61"/>
      <c r="O527" s="61"/>
      <c r="P527" s="17">
        <f t="shared" ref="P527" si="641">SUM(N527:O527)</f>
        <v>0</v>
      </c>
      <c r="Q527" s="61"/>
      <c r="R527" s="61"/>
      <c r="S527" s="17">
        <f t="shared" ref="S527" si="642">SUM(Q527:R527)</f>
        <v>0</v>
      </c>
      <c r="T527" s="61"/>
      <c r="U527" s="61"/>
      <c r="V527" s="359">
        <f t="shared" ref="V527" si="643">SUM(T527:U527)</f>
        <v>0</v>
      </c>
      <c r="W527" s="391">
        <f t="shared" si="630"/>
        <v>0</v>
      </c>
      <c r="X527" s="17">
        <f t="shared" si="631"/>
        <v>0</v>
      </c>
      <c r="Y527" s="18">
        <f t="shared" si="632"/>
        <v>0</v>
      </c>
      <c r="Z527" s="19">
        <f t="shared" si="633"/>
        <v>0</v>
      </c>
      <c r="AA527" s="19"/>
      <c r="AB527" s="19"/>
      <c r="AC527" s="20"/>
      <c r="AE527" s="111"/>
      <c r="AF527" s="111"/>
      <c r="AG527" s="111"/>
      <c r="AH527" s="112"/>
      <c r="AI527" s="113"/>
      <c r="AK527" s="111"/>
      <c r="AL527" s="111"/>
      <c r="AM527" s="111"/>
      <c r="AN527" s="112"/>
      <c r="AO527" s="113"/>
      <c r="AQ527" s="17"/>
      <c r="AR527" s="17"/>
      <c r="AS527" s="17"/>
      <c r="AT527" s="18"/>
      <c r="AU527" s="19"/>
      <c r="AW527" s="17"/>
      <c r="AX527" s="17"/>
      <c r="AY527" s="17"/>
      <c r="AZ527" s="18"/>
      <c r="BA527" s="19"/>
    </row>
    <row r="528" spans="1:53" ht="17.100000000000001" customHeight="1" x14ac:dyDescent="0.25">
      <c r="A528" s="40"/>
      <c r="B528" s="40"/>
      <c r="C528" s="74" t="s">
        <v>756</v>
      </c>
      <c r="D528" s="85" t="s">
        <v>305</v>
      </c>
      <c r="E528" s="542"/>
      <c r="F528" s="105"/>
      <c r="G528" s="105"/>
      <c r="H528" s="119"/>
      <c r="I528" s="231"/>
      <c r="J528" s="111"/>
      <c r="K528" s="111"/>
      <c r="L528" s="111"/>
      <c r="M528" s="111"/>
      <c r="N528" s="111">
        <f t="shared" ref="N528:U528" si="644">SUM(N529:N532)</f>
        <v>0</v>
      </c>
      <c r="O528" s="111">
        <f t="shared" si="644"/>
        <v>0</v>
      </c>
      <c r="P528" s="111">
        <f t="shared" si="627"/>
        <v>0</v>
      </c>
      <c r="Q528" s="111">
        <f t="shared" si="644"/>
        <v>0</v>
      </c>
      <c r="R528" s="111">
        <f t="shared" si="644"/>
        <v>0</v>
      </c>
      <c r="S528" s="111">
        <f t="shared" si="628"/>
        <v>0</v>
      </c>
      <c r="T528" s="111">
        <f t="shared" si="644"/>
        <v>0</v>
      </c>
      <c r="U528" s="111">
        <f t="shared" si="644"/>
        <v>0</v>
      </c>
      <c r="V528" s="358">
        <f t="shared" si="629"/>
        <v>0</v>
      </c>
      <c r="W528" s="380">
        <f t="shared" si="630"/>
        <v>0</v>
      </c>
      <c r="X528" s="111">
        <f t="shared" si="631"/>
        <v>0</v>
      </c>
      <c r="Y528" s="545">
        <f t="shared" si="632"/>
        <v>0</v>
      </c>
      <c r="Z528" s="131">
        <f t="shared" si="633"/>
        <v>0</v>
      </c>
      <c r="AA528" s="131"/>
      <c r="AB528" s="131"/>
      <c r="AC528" s="113"/>
      <c r="AE528" s="111"/>
      <c r="AF528" s="111"/>
      <c r="AG528" s="111"/>
      <c r="AH528" s="112"/>
      <c r="AI528" s="113"/>
      <c r="AK528" s="111"/>
      <c r="AL528" s="111"/>
      <c r="AM528" s="111"/>
      <c r="AN528" s="112"/>
      <c r="AO528" s="113"/>
      <c r="AQ528" s="111"/>
      <c r="AR528" s="111"/>
      <c r="AS528" s="111"/>
      <c r="AT528" s="545">
        <f t="shared" si="634"/>
        <v>0</v>
      </c>
      <c r="AU528" s="131">
        <f>IF(AT$533=0,0,AT528/AT$533)</f>
        <v>0</v>
      </c>
      <c r="AW528" s="111"/>
      <c r="AX528" s="111"/>
      <c r="AY528" s="111"/>
      <c r="AZ528" s="545">
        <f t="shared" si="636"/>
        <v>0</v>
      </c>
      <c r="BA528" s="131">
        <f>IF(AZ$533=0,0,AZ528/AZ$533)</f>
        <v>0</v>
      </c>
    </row>
    <row r="529" spans="1:53" ht="17.100000000000001" customHeight="1" x14ac:dyDescent="0.25">
      <c r="A529" s="40"/>
      <c r="B529" s="40"/>
      <c r="C529" s="74"/>
      <c r="D529" s="168"/>
      <c r="E529" s="169"/>
      <c r="F529" s="169"/>
      <c r="G529" s="169"/>
      <c r="H529" s="17"/>
      <c r="I529" s="594"/>
      <c r="J529" s="111"/>
      <c r="K529" s="111"/>
      <c r="L529" s="111"/>
      <c r="M529" s="111"/>
      <c r="N529" s="60"/>
      <c r="O529" s="60"/>
      <c r="P529" s="17"/>
      <c r="Q529" s="60"/>
      <c r="R529" s="60"/>
      <c r="S529" s="17"/>
      <c r="T529" s="60"/>
      <c r="U529" s="60"/>
      <c r="V529" s="359"/>
      <c r="W529" s="391"/>
      <c r="X529" s="17"/>
      <c r="Y529" s="86"/>
      <c r="Z529" s="20"/>
      <c r="AA529" s="20"/>
      <c r="AB529" s="20"/>
      <c r="AC529" s="20"/>
      <c r="AE529" s="17"/>
      <c r="AF529" s="17"/>
      <c r="AG529" s="17"/>
      <c r="AH529" s="86"/>
      <c r="AI529" s="20"/>
      <c r="AK529" s="17"/>
      <c r="AL529" s="17"/>
      <c r="AM529" s="17"/>
      <c r="AN529" s="86"/>
      <c r="AO529" s="20"/>
      <c r="AQ529" s="17"/>
      <c r="AR529" s="17"/>
      <c r="AS529" s="17"/>
      <c r="AT529" s="86"/>
      <c r="AU529" s="20"/>
      <c r="AW529" s="17"/>
      <c r="AX529" s="17"/>
      <c r="AY529" s="17"/>
      <c r="AZ529" s="86"/>
      <c r="BA529" s="20"/>
    </row>
    <row r="530" spans="1:53" ht="17.100000000000001" customHeight="1" x14ac:dyDescent="0.25">
      <c r="A530" s="40"/>
      <c r="B530" s="40"/>
      <c r="C530" s="74"/>
      <c r="D530" s="170"/>
      <c r="E530" s="171"/>
      <c r="F530" s="171"/>
      <c r="G530" s="171"/>
      <c r="H530" s="17"/>
      <c r="I530" s="594"/>
      <c r="J530" s="111"/>
      <c r="K530" s="111"/>
      <c r="L530" s="111"/>
      <c r="M530" s="111"/>
      <c r="N530" s="61"/>
      <c r="O530" s="61"/>
      <c r="P530" s="17"/>
      <c r="Q530" s="61"/>
      <c r="R530" s="61"/>
      <c r="S530" s="17"/>
      <c r="T530" s="61"/>
      <c r="U530" s="61"/>
      <c r="V530" s="359"/>
      <c r="W530" s="391"/>
      <c r="X530" s="17"/>
      <c r="Y530" s="86"/>
      <c r="Z530" s="20"/>
      <c r="AA530" s="20"/>
      <c r="AB530" s="20"/>
      <c r="AC530" s="20"/>
      <c r="AE530" s="17"/>
      <c r="AF530" s="17"/>
      <c r="AG530" s="17"/>
      <c r="AH530" s="86"/>
      <c r="AI530" s="20"/>
      <c r="AK530" s="17"/>
      <c r="AL530" s="17"/>
      <c r="AM530" s="17"/>
      <c r="AN530" s="86"/>
      <c r="AO530" s="20"/>
      <c r="AQ530" s="17"/>
      <c r="AR530" s="17"/>
      <c r="AS530" s="17"/>
      <c r="AT530" s="86"/>
      <c r="AU530" s="20"/>
      <c r="AW530" s="17"/>
      <c r="AX530" s="17"/>
      <c r="AY530" s="17"/>
      <c r="AZ530" s="86"/>
      <c r="BA530" s="20"/>
    </row>
    <row r="531" spans="1:53" ht="17.100000000000001" customHeight="1" x14ac:dyDescent="0.25">
      <c r="A531" s="40"/>
      <c r="B531" s="40"/>
      <c r="C531" s="74"/>
      <c r="D531" s="168"/>
      <c r="E531" s="169"/>
      <c r="F531" s="169"/>
      <c r="G531" s="169"/>
      <c r="H531" s="17"/>
      <c r="I531" s="594"/>
      <c r="J531" s="111"/>
      <c r="K531" s="111"/>
      <c r="L531" s="111"/>
      <c r="M531" s="111"/>
      <c r="N531" s="60"/>
      <c r="O531" s="60"/>
      <c r="P531" s="17"/>
      <c r="Q531" s="60"/>
      <c r="R531" s="60"/>
      <c r="S531" s="17"/>
      <c r="T531" s="60"/>
      <c r="U531" s="60"/>
      <c r="V531" s="359"/>
      <c r="W531" s="391"/>
      <c r="X531" s="17"/>
      <c r="Y531" s="86"/>
      <c r="Z531" s="20"/>
      <c r="AA531" s="20"/>
      <c r="AB531" s="20"/>
      <c r="AC531" s="20"/>
      <c r="AE531" s="17"/>
      <c r="AF531" s="17"/>
      <c r="AG531" s="17"/>
      <c r="AH531" s="86"/>
      <c r="AI531" s="20"/>
      <c r="AK531" s="17"/>
      <c r="AL531" s="17"/>
      <c r="AM531" s="17"/>
      <c r="AN531" s="86"/>
      <c r="AO531" s="20"/>
      <c r="AQ531" s="17"/>
      <c r="AR531" s="17"/>
      <c r="AS531" s="17"/>
      <c r="AT531" s="86"/>
      <c r="AU531" s="20"/>
      <c r="AW531" s="17"/>
      <c r="AX531" s="17"/>
      <c r="AY531" s="17"/>
      <c r="AZ531" s="86"/>
      <c r="BA531" s="20"/>
    </row>
    <row r="532" spans="1:53" ht="17.100000000000001" customHeight="1" x14ac:dyDescent="0.25">
      <c r="A532" s="40"/>
      <c r="B532" s="40"/>
      <c r="C532" s="74"/>
      <c r="D532" s="170"/>
      <c r="E532" s="171"/>
      <c r="F532" s="171"/>
      <c r="G532" s="171"/>
      <c r="H532" s="17"/>
      <c r="I532" s="594"/>
      <c r="J532" s="111"/>
      <c r="K532" s="111"/>
      <c r="L532" s="111"/>
      <c r="M532" s="111"/>
      <c r="N532" s="61"/>
      <c r="O532" s="61"/>
      <c r="P532" s="17"/>
      <c r="Q532" s="61"/>
      <c r="R532" s="61"/>
      <c r="S532" s="17"/>
      <c r="T532" s="61"/>
      <c r="U532" s="61"/>
      <c r="V532" s="359"/>
      <c r="W532" s="391"/>
      <c r="X532" s="17"/>
      <c r="Y532" s="86"/>
      <c r="Z532" s="20"/>
      <c r="AA532" s="20"/>
      <c r="AB532" s="20"/>
      <c r="AC532" s="20"/>
      <c r="AE532" s="17"/>
      <c r="AF532" s="17"/>
      <c r="AG532" s="17"/>
      <c r="AH532" s="86"/>
      <c r="AI532" s="20"/>
      <c r="AK532" s="17"/>
      <c r="AL532" s="17"/>
      <c r="AM532" s="17"/>
      <c r="AN532" s="86"/>
      <c r="AO532" s="20"/>
      <c r="AQ532" s="17"/>
      <c r="AR532" s="17"/>
      <c r="AS532" s="17"/>
      <c r="AT532" s="86"/>
      <c r="AU532" s="20"/>
      <c r="AW532" s="17"/>
      <c r="AX532" s="17"/>
      <c r="AY532" s="17"/>
      <c r="AZ532" s="86"/>
      <c r="BA532" s="20"/>
    </row>
    <row r="533" spans="1:53" ht="17.100000000000001" customHeight="1" x14ac:dyDescent="0.25">
      <c r="A533" s="40"/>
      <c r="B533" s="40"/>
      <c r="C533" s="77"/>
      <c r="D533" s="134"/>
      <c r="E533" s="134"/>
      <c r="F533" s="134"/>
      <c r="G533" s="134"/>
      <c r="H533" s="540"/>
      <c r="I533" s="229"/>
      <c r="J533" s="80"/>
      <c r="K533" s="80"/>
      <c r="L533" s="81"/>
      <c r="M533" s="81"/>
      <c r="N533" s="81">
        <f>SUM(N518:N528)</f>
        <v>0</v>
      </c>
      <c r="O533" s="81">
        <f t="shared" ref="O533:V533" si="645">SUM(O518:O528)</f>
        <v>8</v>
      </c>
      <c r="P533" s="82">
        <f t="shared" si="645"/>
        <v>8</v>
      </c>
      <c r="Q533" s="81">
        <f>SUM(Q518:Q528)</f>
        <v>1</v>
      </c>
      <c r="R533" s="81">
        <f t="shared" si="645"/>
        <v>7</v>
      </c>
      <c r="S533" s="82">
        <f t="shared" si="645"/>
        <v>8</v>
      </c>
      <c r="T533" s="81">
        <f>SUM(T518:T528)</f>
        <v>0</v>
      </c>
      <c r="U533" s="81">
        <f t="shared" si="645"/>
        <v>0</v>
      </c>
      <c r="V533" s="360">
        <f t="shared" si="645"/>
        <v>0</v>
      </c>
      <c r="W533" s="381">
        <f>SUM(W518:W528)</f>
        <v>1</v>
      </c>
      <c r="X533" s="82">
        <f t="shared" ref="X533:Y533" si="646">SUM(X518:X528)</f>
        <v>15</v>
      </c>
      <c r="Y533" s="82">
        <f t="shared" si="646"/>
        <v>16</v>
      </c>
      <c r="Z533" s="205">
        <f t="shared" ref="Z533" si="647">IF(Y$533=0,0,Y533/Y$533)</f>
        <v>1</v>
      </c>
      <c r="AA533" s="205"/>
      <c r="AB533" s="205"/>
      <c r="AC533" s="83"/>
      <c r="AE533" s="80"/>
      <c r="AF533" s="80"/>
      <c r="AG533" s="81"/>
      <c r="AH533" s="82"/>
      <c r="AI533" s="66"/>
      <c r="AK533" s="80"/>
      <c r="AL533" s="80"/>
      <c r="AM533" s="81"/>
      <c r="AN533" s="82"/>
      <c r="AO533" s="66"/>
      <c r="AQ533" s="80"/>
      <c r="AR533" s="80"/>
      <c r="AS533" s="81"/>
      <c r="AT533" s="82">
        <f>SUM(AT518:AT528)</f>
        <v>1</v>
      </c>
      <c r="AU533" s="66">
        <f>IF(AT$533=0,0,AT533/AT$533)</f>
        <v>1</v>
      </c>
      <c r="AW533" s="80"/>
      <c r="AX533" s="80"/>
      <c r="AY533" s="81"/>
      <c r="AZ533" s="82">
        <f>SUM(AZ518:AZ528)</f>
        <v>15</v>
      </c>
      <c r="BA533" s="66">
        <f>IF(AZ$533=0,0,AZ533/AZ$533)</f>
        <v>1</v>
      </c>
    </row>
    <row r="534" spans="1:53" ht="17.100000000000001" customHeight="1" x14ac:dyDescent="0.25">
      <c r="A534" s="68"/>
      <c r="B534" s="41" t="s">
        <v>310</v>
      </c>
      <c r="C534" s="49" t="s">
        <v>307</v>
      </c>
      <c r="D534" s="50"/>
      <c r="E534" s="70"/>
      <c r="F534" s="70"/>
      <c r="G534" s="70"/>
      <c r="H534" s="119"/>
      <c r="J534" s="71"/>
      <c r="K534" s="71"/>
      <c r="L534" s="71"/>
      <c r="M534" s="71"/>
      <c r="N534" s="71"/>
      <c r="O534" s="71"/>
      <c r="P534" s="71"/>
      <c r="Q534" s="71"/>
      <c r="R534" s="71"/>
      <c r="S534" s="71"/>
      <c r="T534" s="71"/>
      <c r="U534" s="71"/>
      <c r="V534" s="355"/>
      <c r="W534" s="377"/>
      <c r="X534" s="71"/>
      <c r="Y534" s="72"/>
      <c r="Z534" s="73"/>
      <c r="AA534" s="73"/>
      <c r="AB534" s="73"/>
      <c r="AC534" s="73"/>
      <c r="AE534" s="71"/>
      <c r="AF534" s="71"/>
      <c r="AG534" s="71"/>
      <c r="AH534" s="72"/>
      <c r="AI534" s="73"/>
      <c r="AK534" s="71"/>
      <c r="AL534" s="71"/>
      <c r="AM534" s="71"/>
      <c r="AN534" s="72"/>
      <c r="AO534" s="73"/>
      <c r="AQ534" s="71"/>
      <c r="AR534" s="71"/>
      <c r="AS534" s="71"/>
      <c r="AT534" s="72"/>
      <c r="AU534" s="73"/>
      <c r="AW534" s="71"/>
      <c r="AX534" s="71"/>
      <c r="AY534" s="71"/>
      <c r="AZ534" s="72"/>
      <c r="BA534" s="73"/>
    </row>
    <row r="535" spans="1:53" ht="17.100000000000001" customHeight="1" x14ac:dyDescent="0.25">
      <c r="A535" s="119"/>
      <c r="B535" s="119"/>
      <c r="C535" s="56" t="s">
        <v>311</v>
      </c>
      <c r="D535" s="146" t="s">
        <v>9</v>
      </c>
      <c r="E535" s="105"/>
      <c r="F535" s="105"/>
      <c r="G535" s="105"/>
      <c r="H535" s="119"/>
      <c r="I535" s="231"/>
      <c r="J535" s="111"/>
      <c r="K535" s="111"/>
      <c r="L535" s="111"/>
      <c r="M535" s="111"/>
      <c r="N535" s="60"/>
      <c r="O535" s="60">
        <v>8</v>
      </c>
      <c r="P535" s="17">
        <f t="shared" ref="P535:P537" si="648">SUM(N535:O535)</f>
        <v>8</v>
      </c>
      <c r="Q535" s="60">
        <v>1</v>
      </c>
      <c r="R535" s="60">
        <v>7</v>
      </c>
      <c r="S535" s="17">
        <f t="shared" ref="S535:S537" si="649">SUM(Q535:R535)</f>
        <v>8</v>
      </c>
      <c r="T535" s="60"/>
      <c r="U535" s="60"/>
      <c r="V535" s="359">
        <f t="shared" ref="V535:V537" si="650">SUM(T535:U535)</f>
        <v>0</v>
      </c>
      <c r="W535" s="391">
        <f t="shared" ref="W535:W537" si="651">J535+K535+N535+Q535+T535</f>
        <v>1</v>
      </c>
      <c r="X535" s="17">
        <f t="shared" ref="X535:X537" si="652">L535+O535+R535+U535</f>
        <v>15</v>
      </c>
      <c r="Y535" s="18">
        <f>SUM(W535:X535)</f>
        <v>16</v>
      </c>
      <c r="Z535" s="19">
        <f>IF(Y$538=0,0,Y535/Y$538)</f>
        <v>1</v>
      </c>
      <c r="AA535" s="19"/>
      <c r="AB535" s="19"/>
      <c r="AC535" s="20"/>
      <c r="AE535" s="111"/>
      <c r="AF535" s="111"/>
      <c r="AG535" s="111"/>
      <c r="AH535" s="112"/>
      <c r="AI535" s="113"/>
      <c r="AK535" s="111"/>
      <c r="AL535" s="111"/>
      <c r="AM535" s="111"/>
      <c r="AN535" s="112"/>
      <c r="AO535" s="113"/>
      <c r="AQ535" s="17"/>
      <c r="AR535" s="17"/>
      <c r="AS535" s="17"/>
      <c r="AT535" s="18">
        <f t="shared" ref="AT535:AT537" si="653">W535</f>
        <v>1</v>
      </c>
      <c r="AU535" s="19">
        <f>IF(AT$538=0,0,AT535/AT$538)</f>
        <v>1</v>
      </c>
      <c r="AW535" s="17"/>
      <c r="AX535" s="17"/>
      <c r="AY535" s="17"/>
      <c r="AZ535" s="18">
        <f t="shared" ref="AZ535:AZ537" si="654">X535</f>
        <v>15</v>
      </c>
      <c r="BA535" s="19">
        <f>IF(AZ$538=0,0,AZ535/AZ$538)</f>
        <v>1</v>
      </c>
    </row>
    <row r="536" spans="1:53" ht="17.100000000000001" customHeight="1" x14ac:dyDescent="0.25">
      <c r="A536" s="119"/>
      <c r="B536" s="119"/>
      <c r="C536" s="56" t="s">
        <v>312</v>
      </c>
      <c r="D536" s="146" t="s">
        <v>11</v>
      </c>
      <c r="E536" s="105"/>
      <c r="F536" s="105"/>
      <c r="G536" s="105"/>
      <c r="H536" s="119"/>
      <c r="I536" s="231"/>
      <c r="J536" s="111"/>
      <c r="K536" s="111"/>
      <c r="L536" s="111"/>
      <c r="M536" s="111"/>
      <c r="N536" s="61"/>
      <c r="O536" s="61"/>
      <c r="P536" s="17">
        <f t="shared" si="648"/>
        <v>0</v>
      </c>
      <c r="Q536" s="61"/>
      <c r="R536" s="61"/>
      <c r="S536" s="17">
        <f t="shared" si="649"/>
        <v>0</v>
      </c>
      <c r="T536" s="61"/>
      <c r="U536" s="61"/>
      <c r="V536" s="359">
        <f t="shared" si="650"/>
        <v>0</v>
      </c>
      <c r="W536" s="391">
        <f t="shared" si="651"/>
        <v>0</v>
      </c>
      <c r="X536" s="17">
        <f t="shared" si="652"/>
        <v>0</v>
      </c>
      <c r="Y536" s="18">
        <f>SUM(W536:X536)</f>
        <v>0</v>
      </c>
      <c r="Z536" s="19">
        <f t="shared" ref="Z536:Z538" si="655">IF(Y$538=0,0,Y536/Y$538)</f>
        <v>0</v>
      </c>
      <c r="AA536" s="19"/>
      <c r="AB536" s="19"/>
      <c r="AC536" s="20"/>
      <c r="AE536" s="111"/>
      <c r="AF536" s="111"/>
      <c r="AG536" s="111"/>
      <c r="AH536" s="112"/>
      <c r="AI536" s="113"/>
      <c r="AK536" s="111"/>
      <c r="AL536" s="111"/>
      <c r="AM536" s="111"/>
      <c r="AN536" s="112"/>
      <c r="AO536" s="113"/>
      <c r="AQ536" s="17"/>
      <c r="AR536" s="17"/>
      <c r="AS536" s="17"/>
      <c r="AT536" s="18">
        <f t="shared" si="653"/>
        <v>0</v>
      </c>
      <c r="AU536" s="19">
        <f t="shared" ref="AU536:AU538" si="656">IF(AT$538=0,0,AT536/AT$538)</f>
        <v>0</v>
      </c>
      <c r="AW536" s="17"/>
      <c r="AX536" s="17"/>
      <c r="AY536" s="17"/>
      <c r="AZ536" s="18">
        <f t="shared" si="654"/>
        <v>0</v>
      </c>
      <c r="BA536" s="19">
        <f t="shared" ref="BA536:BA538" si="657">IF(AZ$538=0,0,AZ536/AZ$538)</f>
        <v>0</v>
      </c>
    </row>
    <row r="537" spans="1:53" ht="17.100000000000001" customHeight="1" x14ac:dyDescent="0.25">
      <c r="A537" s="119"/>
      <c r="B537" s="119"/>
      <c r="C537" s="56" t="s">
        <v>490</v>
      </c>
      <c r="D537" s="146" t="s">
        <v>617</v>
      </c>
      <c r="E537" s="105"/>
      <c r="F537" s="105"/>
      <c r="G537" s="105"/>
      <c r="H537" s="119"/>
      <c r="I537" s="231"/>
      <c r="J537" s="111"/>
      <c r="K537" s="111"/>
      <c r="L537" s="111"/>
      <c r="M537" s="111"/>
      <c r="N537" s="60"/>
      <c r="O537" s="60"/>
      <c r="P537" s="17">
        <f t="shared" si="648"/>
        <v>0</v>
      </c>
      <c r="Q537" s="60"/>
      <c r="R537" s="60"/>
      <c r="S537" s="17">
        <f t="shared" si="649"/>
        <v>0</v>
      </c>
      <c r="T537" s="60"/>
      <c r="U537" s="60"/>
      <c r="V537" s="359">
        <f t="shared" si="650"/>
        <v>0</v>
      </c>
      <c r="W537" s="391">
        <f t="shared" si="651"/>
        <v>0</v>
      </c>
      <c r="X537" s="17">
        <f t="shared" si="652"/>
        <v>0</v>
      </c>
      <c r="Y537" s="18">
        <f>SUM(W537:X537)</f>
        <v>0</v>
      </c>
      <c r="Z537" s="19">
        <f t="shared" si="655"/>
        <v>0</v>
      </c>
      <c r="AA537" s="19"/>
      <c r="AB537" s="19"/>
      <c r="AC537" s="20"/>
      <c r="AE537" s="111"/>
      <c r="AF537" s="111"/>
      <c r="AG537" s="111"/>
      <c r="AH537" s="112"/>
      <c r="AI537" s="113"/>
      <c r="AK537" s="111"/>
      <c r="AL537" s="111"/>
      <c r="AM537" s="111"/>
      <c r="AN537" s="112"/>
      <c r="AO537" s="113"/>
      <c r="AQ537" s="17"/>
      <c r="AR537" s="17"/>
      <c r="AS537" s="17"/>
      <c r="AT537" s="18">
        <f t="shared" si="653"/>
        <v>0</v>
      </c>
      <c r="AU537" s="19">
        <f t="shared" si="656"/>
        <v>0</v>
      </c>
      <c r="AW537" s="17"/>
      <c r="AX537" s="17"/>
      <c r="AY537" s="17"/>
      <c r="AZ537" s="18">
        <f t="shared" si="654"/>
        <v>0</v>
      </c>
      <c r="BA537" s="19">
        <f t="shared" si="657"/>
        <v>0</v>
      </c>
    </row>
    <row r="538" spans="1:53" ht="17.100000000000001" customHeight="1" x14ac:dyDescent="0.25">
      <c r="A538" s="40"/>
      <c r="B538" s="40"/>
      <c r="C538" s="77"/>
      <c r="D538" s="134"/>
      <c r="E538" s="134"/>
      <c r="F538" s="134"/>
      <c r="G538" s="134"/>
      <c r="H538" s="540"/>
      <c r="I538" s="229"/>
      <c r="J538" s="80"/>
      <c r="K538" s="80"/>
      <c r="L538" s="81"/>
      <c r="M538" s="81"/>
      <c r="N538" s="81">
        <f>SUM(N535:N537)</f>
        <v>0</v>
      </c>
      <c r="O538" s="81">
        <f t="shared" ref="O538:V538" si="658">SUM(O535:O537)</f>
        <v>8</v>
      </c>
      <c r="P538" s="81">
        <f t="shared" si="658"/>
        <v>8</v>
      </c>
      <c r="Q538" s="81">
        <f t="shared" si="658"/>
        <v>1</v>
      </c>
      <c r="R538" s="81">
        <f t="shared" si="658"/>
        <v>7</v>
      </c>
      <c r="S538" s="81">
        <f t="shared" si="658"/>
        <v>8</v>
      </c>
      <c r="T538" s="81">
        <f t="shared" si="658"/>
        <v>0</v>
      </c>
      <c r="U538" s="81">
        <f t="shared" si="658"/>
        <v>0</v>
      </c>
      <c r="V538" s="81">
        <f t="shared" si="658"/>
        <v>0</v>
      </c>
      <c r="W538" s="381">
        <f>SUM(W535:W537)</f>
        <v>1</v>
      </c>
      <c r="X538" s="82">
        <f t="shared" ref="X538:Y538" si="659">SUM(X535:X537)</f>
        <v>15</v>
      </c>
      <c r="Y538" s="82">
        <f t="shared" si="659"/>
        <v>16</v>
      </c>
      <c r="Z538" s="205">
        <f t="shared" si="655"/>
        <v>1</v>
      </c>
      <c r="AA538" s="205"/>
      <c r="AB538" s="205"/>
      <c r="AC538" s="83"/>
      <c r="AE538" s="80"/>
      <c r="AF538" s="80"/>
      <c r="AG538" s="81"/>
      <c r="AH538" s="82"/>
      <c r="AI538" s="66"/>
      <c r="AK538" s="80"/>
      <c r="AL538" s="80"/>
      <c r="AM538" s="81"/>
      <c r="AN538" s="82"/>
      <c r="AO538" s="66"/>
      <c r="AQ538" s="80"/>
      <c r="AR538" s="80"/>
      <c r="AS538" s="81"/>
      <c r="AT538" s="82">
        <f>SUM(AT535:AT537)</f>
        <v>1</v>
      </c>
      <c r="AU538" s="66">
        <f t="shared" si="656"/>
        <v>1</v>
      </c>
      <c r="AW538" s="80"/>
      <c r="AX538" s="80"/>
      <c r="AY538" s="81"/>
      <c r="AZ538" s="82">
        <f>SUM(AZ535:AZ537)</f>
        <v>15</v>
      </c>
      <c r="BA538" s="66">
        <f t="shared" si="657"/>
        <v>1</v>
      </c>
    </row>
    <row r="539" spans="1:53" s="117" customFormat="1" ht="17.100000000000001" customHeight="1" x14ac:dyDescent="0.25">
      <c r="A539" s="68"/>
      <c r="B539" s="119"/>
      <c r="C539" s="540"/>
      <c r="D539" s="261"/>
      <c r="E539" s="261"/>
      <c r="F539" s="68"/>
      <c r="G539" s="68"/>
      <c r="H539" s="119"/>
      <c r="I539" s="138"/>
      <c r="J539" s="17"/>
      <c r="K539" s="17"/>
      <c r="L539" s="17"/>
      <c r="M539" s="17"/>
      <c r="N539" s="17" t="str">
        <f>IF(N538=N$20,"OK","NOK")</f>
        <v>OK</v>
      </c>
      <c r="O539" s="17" t="str">
        <f>IF(O538=O$20,"OK","NOK")</f>
        <v>OK</v>
      </c>
      <c r="P539" s="17"/>
      <c r="Q539" s="17" t="str">
        <f>IF(Q538=Q$20,"OK","NOK")</f>
        <v>OK</v>
      </c>
      <c r="R539" s="17" t="str">
        <f>IF(R538=R$20,"OK","NOK")</f>
        <v>OK</v>
      </c>
      <c r="S539" s="17"/>
      <c r="T539" s="17" t="str">
        <f>IF(T538=T$20,"OK","NOK")</f>
        <v>OK</v>
      </c>
      <c r="U539" s="17" t="str">
        <f>IF(U538=U$20,"OK","NOK")</f>
        <v>OK</v>
      </c>
      <c r="V539" s="359"/>
      <c r="W539" s="382"/>
      <c r="X539" s="539"/>
      <c r="Y539" s="539"/>
      <c r="Z539" s="201"/>
      <c r="AA539" s="201"/>
      <c r="AB539" s="201"/>
      <c r="AC539" s="84"/>
      <c r="AE539" s="46"/>
      <c r="AF539" s="46"/>
      <c r="AG539" s="17"/>
      <c r="AH539" s="539"/>
      <c r="AI539" s="91"/>
      <c r="AK539" s="46"/>
      <c r="AL539" s="46"/>
      <c r="AM539" s="17"/>
      <c r="AN539" s="539"/>
      <c r="AO539" s="91"/>
      <c r="AQ539" s="46"/>
      <c r="AR539" s="46"/>
      <c r="AS539" s="17"/>
      <c r="AT539" s="539"/>
      <c r="AU539" s="91"/>
      <c r="AW539" s="46"/>
      <c r="AX539" s="46"/>
      <c r="AY539" s="17"/>
      <c r="AZ539" s="539"/>
      <c r="BA539" s="91"/>
    </row>
    <row r="540" spans="1:53" s="117" customFormat="1" ht="17.100000000000001" customHeight="1" x14ac:dyDescent="0.25">
      <c r="A540" s="68"/>
      <c r="B540" s="119"/>
      <c r="C540" s="56" t="s">
        <v>672</v>
      </c>
      <c r="D540" s="146" t="s">
        <v>673</v>
      </c>
      <c r="E540" s="149"/>
      <c r="F540" s="149"/>
      <c r="G540" s="151"/>
      <c r="H540" s="119"/>
      <c r="I540" s="138"/>
      <c r="J540" s="111"/>
      <c r="K540" s="111"/>
      <c r="L540" s="111"/>
      <c r="M540" s="111"/>
      <c r="N540" s="111"/>
      <c r="O540" s="111"/>
      <c r="P540" s="336">
        <v>1</v>
      </c>
      <c r="Q540" s="341"/>
      <c r="R540" s="341"/>
      <c r="S540" s="336">
        <v>1.5</v>
      </c>
      <c r="T540" s="341"/>
      <c r="U540" s="341"/>
      <c r="V540" s="368"/>
      <c r="W540" s="382"/>
      <c r="X540" s="539"/>
      <c r="Y540" s="539"/>
      <c r="Z540" s="201"/>
      <c r="AA540" s="340">
        <f>MIN(P540,S540,V540)</f>
        <v>1</v>
      </c>
      <c r="AB540" s="340">
        <f>MAX(P540,S540,V540)</f>
        <v>1.5</v>
      </c>
      <c r="AC540" s="340">
        <f>IF(P540+S540+V540=0,0,AVERAGE(P540,S540,V540))</f>
        <v>1.25</v>
      </c>
      <c r="AE540" s="152"/>
      <c r="AF540" s="152"/>
      <c r="AG540" s="111"/>
      <c r="AH540" s="545"/>
      <c r="AI540" s="131"/>
      <c r="AK540" s="152"/>
      <c r="AL540" s="152"/>
      <c r="AM540" s="111"/>
      <c r="AN540" s="545"/>
      <c r="AO540" s="131"/>
      <c r="AQ540" s="152"/>
      <c r="AR540" s="152"/>
      <c r="AS540" s="111"/>
      <c r="AT540" s="545"/>
      <c r="AU540" s="131"/>
      <c r="AW540" s="152"/>
      <c r="AX540" s="152"/>
      <c r="AY540" s="111"/>
      <c r="AZ540" s="545"/>
      <c r="BA540" s="131"/>
    </row>
    <row r="541" spans="1:53" s="117" customFormat="1" ht="17.100000000000001" customHeight="1" x14ac:dyDescent="0.25">
      <c r="A541" s="68"/>
      <c r="B541" s="119"/>
      <c r="C541" s="92"/>
      <c r="D541" s="261"/>
      <c r="E541" s="261"/>
      <c r="F541" s="68"/>
      <c r="G541" s="68"/>
      <c r="H541" s="119"/>
      <c r="I541" s="138"/>
      <c r="J541" s="17"/>
      <c r="K541" s="17"/>
      <c r="L541" s="17"/>
      <c r="M541" s="17"/>
      <c r="N541" s="17"/>
      <c r="O541" s="17"/>
      <c r="P541" s="17"/>
      <c r="Q541" s="17"/>
      <c r="R541" s="17"/>
      <c r="S541" s="17"/>
      <c r="T541" s="17"/>
      <c r="U541" s="17"/>
      <c r="V541" s="359"/>
      <c r="W541" s="382"/>
      <c r="X541" s="539"/>
      <c r="Y541" s="539"/>
      <c r="Z541" s="201"/>
      <c r="AA541" s="201"/>
      <c r="AB541" s="201"/>
      <c r="AC541" s="84"/>
      <c r="AE541" s="46"/>
      <c r="AF541" s="46"/>
      <c r="AG541" s="17"/>
      <c r="AH541" s="539"/>
      <c r="AI541" s="91"/>
      <c r="AK541" s="46"/>
      <c r="AL541" s="46"/>
      <c r="AM541" s="17"/>
      <c r="AN541" s="539"/>
      <c r="AO541" s="91"/>
      <c r="AQ541" s="46"/>
      <c r="AR541" s="46"/>
      <c r="AS541" s="17"/>
      <c r="AT541" s="539"/>
      <c r="AU541" s="91"/>
      <c r="AW541" s="46"/>
      <c r="AX541" s="46"/>
      <c r="AY541" s="17"/>
      <c r="AZ541" s="539"/>
      <c r="BA541" s="91"/>
    </row>
    <row r="542" spans="1:53" ht="17.100000000000001" customHeight="1" x14ac:dyDescent="0.25">
      <c r="A542" s="68"/>
      <c r="B542" s="41" t="s">
        <v>313</v>
      </c>
      <c r="C542" s="69" t="s">
        <v>492</v>
      </c>
      <c r="D542" s="50"/>
      <c r="E542" s="70"/>
      <c r="F542" s="70"/>
      <c r="G542" s="70"/>
      <c r="H542" s="119"/>
      <c r="J542" s="71"/>
      <c r="K542" s="71"/>
      <c r="L542" s="71"/>
      <c r="M542" s="71"/>
      <c r="N542" s="71"/>
      <c r="O542" s="71"/>
      <c r="P542" s="71"/>
      <c r="Q542" s="71"/>
      <c r="R542" s="71"/>
      <c r="S542" s="71"/>
      <c r="T542" s="71"/>
      <c r="U542" s="71"/>
      <c r="V542" s="355"/>
      <c r="W542" s="377"/>
      <c r="X542" s="71"/>
      <c r="Y542" s="72"/>
      <c r="Z542" s="73"/>
      <c r="AA542" s="73"/>
      <c r="AB542" s="73"/>
      <c r="AC542" s="73"/>
      <c r="AE542" s="71"/>
      <c r="AF542" s="71"/>
      <c r="AG542" s="71"/>
      <c r="AH542" s="72"/>
      <c r="AI542" s="73"/>
      <c r="AK542" s="71"/>
      <c r="AL542" s="71"/>
      <c r="AM542" s="71"/>
      <c r="AN542" s="72"/>
      <c r="AO542" s="73"/>
      <c r="AQ542" s="71"/>
      <c r="AR542" s="71"/>
      <c r="AS542" s="71"/>
      <c r="AT542" s="72"/>
      <c r="AU542" s="73"/>
      <c r="AW542" s="71"/>
      <c r="AX542" s="71"/>
      <c r="AY542" s="71"/>
      <c r="AZ542" s="72"/>
      <c r="BA542" s="73"/>
    </row>
    <row r="543" spans="1:53" ht="17.100000000000001" customHeight="1" x14ac:dyDescent="0.25">
      <c r="A543" s="119"/>
      <c r="B543" s="119"/>
      <c r="C543" s="56" t="s">
        <v>314</v>
      </c>
      <c r="D543" s="149" t="s">
        <v>129</v>
      </c>
      <c r="E543" s="105"/>
      <c r="F543" s="105"/>
      <c r="G543" s="105"/>
      <c r="H543" s="119"/>
      <c r="J543" s="111"/>
      <c r="K543" s="111"/>
      <c r="L543" s="111"/>
      <c r="M543" s="111"/>
      <c r="N543" s="598"/>
      <c r="O543" s="598"/>
      <c r="P543" s="327"/>
      <c r="Q543" s="598"/>
      <c r="R543" s="598"/>
      <c r="S543" s="327"/>
      <c r="T543" s="598"/>
      <c r="U543" s="598"/>
      <c r="V543" s="369"/>
      <c r="W543" s="391"/>
      <c r="X543" s="17"/>
      <c r="Y543" s="328">
        <f>P543+S543+V543</f>
        <v>0</v>
      </c>
      <c r="Z543" s="19">
        <f>IF(Y$546=0,0,Y543/Y$546)</f>
        <v>0</v>
      </c>
      <c r="AA543" s="19"/>
      <c r="AB543" s="19"/>
      <c r="AC543" s="20"/>
      <c r="AE543" s="111"/>
      <c r="AF543" s="111"/>
      <c r="AG543" s="111"/>
      <c r="AH543" s="545"/>
      <c r="AI543" s="131"/>
      <c r="AK543" s="111"/>
      <c r="AL543" s="111"/>
      <c r="AM543" s="111"/>
      <c r="AN543" s="545"/>
      <c r="AO543" s="131"/>
      <c r="AQ543" s="111"/>
      <c r="AR543" s="111"/>
      <c r="AS543" s="111"/>
      <c r="AT543" s="545"/>
      <c r="AU543" s="131"/>
      <c r="AW543" s="111"/>
      <c r="AX543" s="111"/>
      <c r="AY543" s="111"/>
      <c r="AZ543" s="545"/>
      <c r="BA543" s="131"/>
    </row>
    <row r="544" spans="1:53" ht="17.100000000000001" customHeight="1" x14ac:dyDescent="0.25">
      <c r="A544" s="119"/>
      <c r="B544" s="119"/>
      <c r="C544" s="56" t="s">
        <v>327</v>
      </c>
      <c r="D544" s="149" t="s">
        <v>491</v>
      </c>
      <c r="E544" s="105"/>
      <c r="F544" s="105"/>
      <c r="G544" s="105"/>
      <c r="H544" s="119"/>
      <c r="J544" s="599"/>
      <c r="K544" s="599"/>
      <c r="L544" s="599"/>
      <c r="M544" s="599"/>
      <c r="N544" s="598"/>
      <c r="O544" s="598"/>
      <c r="P544" s="329">
        <v>1</v>
      </c>
      <c r="Q544" s="598"/>
      <c r="R544" s="598"/>
      <c r="S544" s="329">
        <v>1</v>
      </c>
      <c r="T544" s="598"/>
      <c r="U544" s="598"/>
      <c r="V544" s="370"/>
      <c r="W544" s="391"/>
      <c r="X544" s="17"/>
      <c r="Y544" s="328">
        <f t="shared" ref="Y544:Y545" si="660">P544+S544+V544</f>
        <v>2</v>
      </c>
      <c r="Z544" s="19">
        <f>IF(Y$546=0,0,Y544/Y$546)</f>
        <v>1</v>
      </c>
      <c r="AA544" s="19"/>
      <c r="AB544" s="19"/>
      <c r="AC544" s="189"/>
      <c r="AE544" s="111"/>
      <c r="AF544" s="111"/>
      <c r="AG544" s="111"/>
      <c r="AH544" s="545"/>
      <c r="AI544" s="131"/>
      <c r="AK544" s="111"/>
      <c r="AL544" s="111"/>
      <c r="AM544" s="111"/>
      <c r="AN544" s="545"/>
      <c r="AO544" s="131"/>
      <c r="AQ544" s="111"/>
      <c r="AR544" s="111"/>
      <c r="AS544" s="111"/>
      <c r="AT544" s="545"/>
      <c r="AU544" s="131"/>
      <c r="AW544" s="111"/>
      <c r="AX544" s="111"/>
      <c r="AY544" s="111"/>
      <c r="AZ544" s="545"/>
      <c r="BA544" s="131"/>
    </row>
    <row r="545" spans="1:53" ht="17.100000000000001" customHeight="1" x14ac:dyDescent="0.25">
      <c r="A545" s="119"/>
      <c r="B545" s="119"/>
      <c r="C545" s="56" t="s">
        <v>328</v>
      </c>
      <c r="D545" s="149" t="s">
        <v>493</v>
      </c>
      <c r="E545" s="105"/>
      <c r="F545" s="105"/>
      <c r="G545" s="105"/>
      <c r="H545" s="119"/>
      <c r="J545" s="111"/>
      <c r="K545" s="111"/>
      <c r="L545" s="111"/>
      <c r="M545" s="111"/>
      <c r="N545" s="598"/>
      <c r="O545" s="598"/>
      <c r="P545" s="327"/>
      <c r="Q545" s="598"/>
      <c r="R545" s="598"/>
      <c r="S545" s="327"/>
      <c r="T545" s="598"/>
      <c r="U545" s="598"/>
      <c r="V545" s="369"/>
      <c r="W545" s="391"/>
      <c r="X545" s="17"/>
      <c r="Y545" s="328">
        <f t="shared" si="660"/>
        <v>0</v>
      </c>
      <c r="Z545" s="19">
        <f>IF(Y$546=0,0,Y545/Y$546)</f>
        <v>0</v>
      </c>
      <c r="AA545" s="19"/>
      <c r="AB545" s="19"/>
      <c r="AC545" s="20"/>
      <c r="AE545" s="111"/>
      <c r="AF545" s="111"/>
      <c r="AG545" s="111"/>
      <c r="AH545" s="545"/>
      <c r="AI545" s="131"/>
      <c r="AK545" s="111"/>
      <c r="AL545" s="111"/>
      <c r="AM545" s="111"/>
      <c r="AN545" s="545"/>
      <c r="AO545" s="131"/>
      <c r="AQ545" s="111"/>
      <c r="AR545" s="111"/>
      <c r="AS545" s="111"/>
      <c r="AT545" s="545"/>
      <c r="AU545" s="131"/>
      <c r="AW545" s="111"/>
      <c r="AX545" s="111"/>
      <c r="AY545" s="111"/>
      <c r="AZ545" s="545"/>
      <c r="BA545" s="131"/>
    </row>
    <row r="546" spans="1:53" ht="17.100000000000001" customHeight="1" x14ac:dyDescent="0.25">
      <c r="A546" s="119"/>
      <c r="B546" s="119"/>
      <c r="C546" s="325"/>
      <c r="D546" s="326"/>
      <c r="E546" s="184"/>
      <c r="F546" s="184"/>
      <c r="G546" s="184"/>
      <c r="H546" s="119"/>
      <c r="J546" s="600"/>
      <c r="K546" s="600"/>
      <c r="L546" s="600"/>
      <c r="M546" s="600"/>
      <c r="N546" s="600"/>
      <c r="O546" s="600"/>
      <c r="P546" s="601">
        <f>SUM(P543:P545)</f>
        <v>1</v>
      </c>
      <c r="Q546" s="600"/>
      <c r="R546" s="600"/>
      <c r="S546" s="601">
        <f>SUM(S543:S545)</f>
        <v>1</v>
      </c>
      <c r="T546" s="600"/>
      <c r="U546" s="600"/>
      <c r="V546" s="602">
        <f>SUM(V543:V545)</f>
        <v>0</v>
      </c>
      <c r="W546" s="381"/>
      <c r="X546" s="82"/>
      <c r="Y546" s="82">
        <f t="shared" ref="Y546" si="661">SUM(Y543:Y545)</f>
        <v>2</v>
      </c>
      <c r="Z546" s="205">
        <f>IF(Y$546=0,0,Y546/Y$546)</f>
        <v>1</v>
      </c>
      <c r="AA546" s="205"/>
      <c r="AB546" s="205"/>
      <c r="AC546" s="204"/>
      <c r="AE546" s="81"/>
      <c r="AF546" s="81"/>
      <c r="AG546" s="81"/>
      <c r="AH546" s="82"/>
      <c r="AI546" s="66"/>
      <c r="AK546" s="81"/>
      <c r="AL546" s="81"/>
      <c r="AM546" s="81"/>
      <c r="AN546" s="82"/>
      <c r="AO546" s="66"/>
      <c r="AQ546" s="81"/>
      <c r="AR546" s="81"/>
      <c r="AS546" s="81"/>
      <c r="AT546" s="82"/>
      <c r="AU546" s="66"/>
      <c r="AW546" s="81"/>
      <c r="AX546" s="81"/>
      <c r="AY546" s="81"/>
      <c r="AZ546" s="82"/>
      <c r="BA546" s="66"/>
    </row>
    <row r="547" spans="1:53" s="117" customFormat="1" ht="17.100000000000001" customHeight="1" x14ac:dyDescent="0.25">
      <c r="A547" s="68"/>
      <c r="B547" s="119"/>
      <c r="C547" s="540"/>
      <c r="D547" s="261"/>
      <c r="E547" s="261"/>
      <c r="F547" s="68"/>
      <c r="G547" s="68"/>
      <c r="H547" s="119"/>
      <c r="I547" s="138"/>
      <c r="J547" s="17"/>
      <c r="K547" s="17"/>
      <c r="L547" s="17"/>
      <c r="M547" s="17"/>
      <c r="N547" s="17"/>
      <c r="O547" s="17"/>
      <c r="P547" s="17" t="str">
        <f>IF(P546=1,"OK","NOK")</f>
        <v>OK</v>
      </c>
      <c r="Q547" s="17"/>
      <c r="R547" s="17"/>
      <c r="S547" s="17" t="str">
        <f>IF(S546=1,"OK","NOK")</f>
        <v>OK</v>
      </c>
      <c r="T547" s="17"/>
      <c r="U547" s="17"/>
      <c r="V547" s="359" t="str">
        <f>IF(V546=1,"OK","NOK")</f>
        <v>NOK</v>
      </c>
      <c r="W547" s="382"/>
      <c r="X547" s="539"/>
      <c r="Y547" s="539"/>
      <c r="Z547" s="201"/>
      <c r="AA547" s="201"/>
      <c r="AB547" s="201"/>
      <c r="AC547" s="84"/>
      <c r="AE547" s="46"/>
      <c r="AF547" s="46"/>
      <c r="AG547" s="17"/>
      <c r="AH547" s="539"/>
      <c r="AI547" s="91"/>
      <c r="AK547" s="46"/>
      <c r="AL547" s="46"/>
      <c r="AM547" s="17"/>
      <c r="AN547" s="539"/>
      <c r="AO547" s="91"/>
      <c r="AQ547" s="46"/>
      <c r="AR547" s="46"/>
      <c r="AS547" s="17"/>
      <c r="AT547" s="539"/>
      <c r="AU547" s="91"/>
      <c r="AW547" s="46"/>
      <c r="AX547" s="46"/>
      <c r="AY547" s="17"/>
      <c r="AZ547" s="539"/>
      <c r="BA547" s="91"/>
    </row>
    <row r="548" spans="1:53" s="117" customFormat="1" ht="17.100000000000001" customHeight="1" x14ac:dyDescent="0.25">
      <c r="A548" s="68"/>
      <c r="B548" s="119"/>
      <c r="C548" s="92"/>
      <c r="D548" s="93"/>
      <c r="E548" s="93"/>
      <c r="F548" s="93"/>
      <c r="G548" s="93"/>
      <c r="H548" s="540"/>
      <c r="I548" s="12"/>
      <c r="J548" s="46"/>
      <c r="K548" s="46"/>
      <c r="L548" s="17"/>
      <c r="M548" s="17"/>
      <c r="N548" s="17"/>
      <c r="O548" s="17"/>
      <c r="P548" s="17"/>
      <c r="Q548" s="17"/>
      <c r="R548" s="17"/>
      <c r="S548" s="17"/>
      <c r="T548" s="17"/>
      <c r="U548" s="17"/>
      <c r="V548" s="359"/>
      <c r="W548" s="391"/>
      <c r="X548" s="17"/>
      <c r="Y548" s="539"/>
      <c r="Z548" s="91"/>
      <c r="AA548" s="91"/>
      <c r="AB548" s="91"/>
      <c r="AC548" s="84"/>
      <c r="AE548" s="46"/>
      <c r="AF548" s="46"/>
      <c r="AG548" s="17"/>
      <c r="AH548" s="539"/>
      <c r="AI548" s="91"/>
      <c r="AK548" s="46"/>
      <c r="AL548" s="46"/>
      <c r="AM548" s="17"/>
      <c r="AN548" s="539"/>
      <c r="AO548" s="91"/>
      <c r="AQ548" s="46"/>
      <c r="AR548" s="46"/>
      <c r="AS548" s="17"/>
      <c r="AT548" s="539"/>
      <c r="AU548" s="91"/>
      <c r="AW548" s="46"/>
      <c r="AX548" s="46"/>
      <c r="AY548" s="17"/>
      <c r="AZ548" s="539"/>
      <c r="BA548" s="91"/>
    </row>
    <row r="549" spans="1:53" ht="17.100000000000001" customHeight="1" x14ac:dyDescent="0.25">
      <c r="A549" s="68"/>
      <c r="B549" s="41" t="s">
        <v>1443</v>
      </c>
      <c r="C549" s="69" t="s">
        <v>12</v>
      </c>
      <c r="D549" s="50"/>
      <c r="E549" s="70"/>
      <c r="F549" s="70"/>
      <c r="G549" s="70"/>
      <c r="H549" s="119"/>
      <c r="J549" s="71"/>
      <c r="K549" s="71"/>
      <c r="L549" s="71"/>
      <c r="M549" s="71"/>
      <c r="N549" s="71"/>
      <c r="O549" s="71"/>
      <c r="P549" s="71"/>
      <c r="Q549" s="71"/>
      <c r="R549" s="71"/>
      <c r="S549" s="71"/>
      <c r="T549" s="71"/>
      <c r="U549" s="71"/>
      <c r="V549" s="355"/>
      <c r="W549" s="377"/>
      <c r="X549" s="71"/>
      <c r="Y549" s="72"/>
      <c r="Z549" s="73"/>
      <c r="AA549" s="73"/>
      <c r="AB549" s="73"/>
      <c r="AC549" s="73"/>
      <c r="AE549" s="71"/>
      <c r="AF549" s="71"/>
      <c r="AG549" s="71"/>
      <c r="AH549" s="72"/>
      <c r="AI549" s="73"/>
      <c r="AK549" s="71"/>
      <c r="AL549" s="71"/>
      <c r="AM549" s="71"/>
      <c r="AN549" s="72"/>
      <c r="AO549" s="73"/>
      <c r="AQ549" s="71"/>
      <c r="AR549" s="71"/>
      <c r="AS549" s="71"/>
      <c r="AT549" s="72"/>
      <c r="AU549" s="73"/>
      <c r="AW549" s="71"/>
      <c r="AX549" s="71"/>
      <c r="AY549" s="71"/>
      <c r="AZ549" s="72"/>
      <c r="BA549" s="73"/>
    </row>
    <row r="550" spans="1:53" ht="17.100000000000001" customHeight="1" x14ac:dyDescent="0.25">
      <c r="A550" s="40"/>
      <c r="B550" s="40"/>
      <c r="C550" s="74" t="s">
        <v>1444</v>
      </c>
      <c r="D550" s="931" t="s">
        <v>315</v>
      </c>
      <c r="E550" s="75"/>
      <c r="F550" s="75"/>
      <c r="G550" s="75"/>
      <c r="H550" s="928"/>
      <c r="I550" s="12"/>
      <c r="J550" s="152"/>
      <c r="K550" s="152"/>
      <c r="L550" s="152"/>
      <c r="M550" s="152"/>
      <c r="N550" s="152">
        <f>IF(N20&gt;0,1,0)</f>
        <v>0</v>
      </c>
      <c r="O550" s="152">
        <f>IF(O20&gt;0,1,0)</f>
        <v>1</v>
      </c>
      <c r="P550" s="152"/>
      <c r="Q550" s="152">
        <f>IF(Q20&gt;0,1,0)</f>
        <v>1</v>
      </c>
      <c r="R550" s="152">
        <f>IF(R20&gt;0,1,0)</f>
        <v>1</v>
      </c>
      <c r="S550" s="152"/>
      <c r="T550" s="152">
        <f>IF(T20&gt;0,1,0)</f>
        <v>0</v>
      </c>
      <c r="U550" s="152">
        <f>IF(U20&gt;0,1,0)</f>
        <v>0</v>
      </c>
      <c r="V550" s="152"/>
      <c r="W550" s="389"/>
      <c r="X550" s="152"/>
      <c r="Y550" s="932"/>
      <c r="Z550" s="131"/>
      <c r="AA550" s="131"/>
      <c r="AB550" s="131"/>
      <c r="AC550" s="113"/>
      <c r="AE550" s="152"/>
      <c r="AF550" s="152"/>
      <c r="AG550" s="152"/>
      <c r="AH550" s="932"/>
      <c r="AI550" s="131"/>
      <c r="AK550" s="152"/>
      <c r="AL550" s="152"/>
      <c r="AM550" s="152"/>
      <c r="AN550" s="932"/>
      <c r="AO550" s="131"/>
      <c r="AQ550" s="152"/>
      <c r="AR550" s="152"/>
      <c r="AS550" s="152"/>
      <c r="AT550" s="932"/>
      <c r="AU550" s="131"/>
      <c r="AW550" s="152"/>
      <c r="AX550" s="152"/>
      <c r="AY550" s="152"/>
      <c r="AZ550" s="932"/>
      <c r="BA550" s="131"/>
    </row>
    <row r="551" spans="1:53" ht="17.100000000000001" customHeight="1" x14ac:dyDescent="0.25">
      <c r="A551" s="119"/>
      <c r="B551" s="40"/>
      <c r="C551" s="40"/>
      <c r="D551" s="128" t="s">
        <v>1017</v>
      </c>
      <c r="E551" s="122"/>
      <c r="F551" s="122"/>
      <c r="G551" s="122"/>
      <c r="H551" s="928"/>
      <c r="I551" s="12"/>
      <c r="J551" s="190"/>
      <c r="K551" s="190"/>
      <c r="L551" s="190"/>
      <c r="M551" s="190"/>
      <c r="N551" s="570">
        <f>IF(N508=0,0,N506/N508)*0.5</f>
        <v>0</v>
      </c>
      <c r="O551" s="570">
        <f>IF(O508=0,0,O506/O508)*0.5</f>
        <v>0</v>
      </c>
      <c r="P551" s="190"/>
      <c r="Q551" s="570">
        <f>IF(Q508=0,0,Q506/Q508)*0.5</f>
        <v>0</v>
      </c>
      <c r="R551" s="570">
        <f>IF(R508=0,0,R506/R508)*0.5</f>
        <v>0</v>
      </c>
      <c r="S551" s="190"/>
      <c r="T551" s="570">
        <f>IF(T508=0,0,T506/T508)*0.5</f>
        <v>0</v>
      </c>
      <c r="U551" s="570">
        <f>IF(U508=0,0,U506/U508)*0.5</f>
        <v>0</v>
      </c>
      <c r="V551" s="371"/>
      <c r="W551" s="393"/>
      <c r="X551" s="190"/>
      <c r="Y551" s="129"/>
      <c r="Z551" s="130"/>
      <c r="AA551" s="130"/>
      <c r="AB551" s="130"/>
      <c r="AC551" s="125"/>
      <c r="AE551" s="190"/>
      <c r="AF551" s="190"/>
      <c r="AG551" s="190"/>
      <c r="AH551" s="129"/>
      <c r="AI551" s="130"/>
      <c r="AK551" s="190"/>
      <c r="AL551" s="190"/>
      <c r="AM551" s="190"/>
      <c r="AN551" s="129"/>
      <c r="AO551" s="130"/>
      <c r="AQ551" s="190"/>
      <c r="AR551" s="190"/>
      <c r="AS551" s="190"/>
      <c r="AT551" s="129"/>
      <c r="AU551" s="130"/>
      <c r="AW551" s="190"/>
      <c r="AX551" s="190"/>
      <c r="AY551" s="190"/>
      <c r="AZ551" s="129"/>
      <c r="BA551" s="130"/>
    </row>
    <row r="552" spans="1:53" ht="17.100000000000001" customHeight="1" x14ac:dyDescent="0.25">
      <c r="A552" s="119"/>
      <c r="B552" s="40"/>
      <c r="C552" s="40"/>
      <c r="D552" s="128" t="s">
        <v>1018</v>
      </c>
      <c r="E552" s="122"/>
      <c r="F552" s="122"/>
      <c r="G552" s="122"/>
      <c r="H552" s="928"/>
      <c r="I552" s="12"/>
      <c r="J552" s="190"/>
      <c r="K552" s="190"/>
      <c r="L552" s="190"/>
      <c r="M552" s="190"/>
      <c r="N552" s="570">
        <f>IF(N508=0,0,N507/N508)*1</f>
        <v>0</v>
      </c>
      <c r="O552" s="570">
        <f>IF(O508=0,0,O507/O508)*1</f>
        <v>1</v>
      </c>
      <c r="P552" s="190"/>
      <c r="Q552" s="570">
        <f>IF(Q508=0,0,Q507/Q508)*1</f>
        <v>1</v>
      </c>
      <c r="R552" s="570">
        <f>IF(R508=0,0,R507/R508)*1</f>
        <v>1</v>
      </c>
      <c r="S552" s="190"/>
      <c r="T552" s="570">
        <f>IF(T508=0,0,T507/T508)*1</f>
        <v>0</v>
      </c>
      <c r="U552" s="570">
        <f>IF(U508=0,0,U507/U508)*1</f>
        <v>0</v>
      </c>
      <c r="V552" s="371"/>
      <c r="W552" s="393"/>
      <c r="X552" s="190"/>
      <c r="Y552" s="129"/>
      <c r="Z552" s="130"/>
      <c r="AA552" s="130"/>
      <c r="AB552" s="130"/>
      <c r="AC552" s="125"/>
      <c r="AE552" s="190"/>
      <c r="AF552" s="190"/>
      <c r="AG552" s="190"/>
      <c r="AH552" s="129"/>
      <c r="AI552" s="130"/>
      <c r="AK552" s="190"/>
      <c r="AL552" s="190"/>
      <c r="AM552" s="190"/>
      <c r="AN552" s="129"/>
      <c r="AO552" s="130"/>
      <c r="AQ552" s="190"/>
      <c r="AR552" s="190"/>
      <c r="AS552" s="190"/>
      <c r="AT552" s="129"/>
      <c r="AU552" s="130"/>
      <c r="AW552" s="190"/>
      <c r="AX552" s="190"/>
      <c r="AY552" s="190"/>
      <c r="AZ552" s="129"/>
      <c r="BA552" s="130"/>
    </row>
    <row r="553" spans="1:53" ht="17.100000000000001" customHeight="1" x14ac:dyDescent="0.25">
      <c r="A553" s="119"/>
      <c r="B553" s="40"/>
      <c r="C553" s="40"/>
      <c r="D553" s="128" t="s">
        <v>316</v>
      </c>
      <c r="E553" s="122"/>
      <c r="F553" s="122"/>
      <c r="G553" s="122"/>
      <c r="H553" s="928"/>
      <c r="I553" s="12"/>
      <c r="J553" s="190"/>
      <c r="K553" s="190"/>
      <c r="L553" s="190"/>
      <c r="M553" s="190"/>
      <c r="N553" s="570">
        <f>IF(N515=0,0,N513/N515)*0.5</f>
        <v>0</v>
      </c>
      <c r="O553" s="570">
        <f>IF(O515=0,0,O513/O515)*0.5</f>
        <v>0</v>
      </c>
      <c r="P553" s="190"/>
      <c r="Q553" s="570">
        <f>IF(Q515=0,0,Q513/Q515)*0.5</f>
        <v>0</v>
      </c>
      <c r="R553" s="570">
        <f>IF(R515=0,0,R513/R515)*0.5</f>
        <v>0</v>
      </c>
      <c r="S553" s="190"/>
      <c r="T553" s="570">
        <f>IF(T515=0,0,T513/T515)*0.5</f>
        <v>0</v>
      </c>
      <c r="U553" s="570">
        <f>IF(U515=0,0,U513/U515)*0.5</f>
        <v>0</v>
      </c>
      <c r="V553" s="371"/>
      <c r="W553" s="393"/>
      <c r="X553" s="190"/>
      <c r="Y553" s="129"/>
      <c r="Z553" s="130"/>
      <c r="AA553" s="130"/>
      <c r="AB553" s="130"/>
      <c r="AC553" s="125"/>
      <c r="AE553" s="190"/>
      <c r="AF553" s="190"/>
      <c r="AG553" s="190"/>
      <c r="AH553" s="129"/>
      <c r="AI553" s="130"/>
      <c r="AK553" s="190"/>
      <c r="AL553" s="190"/>
      <c r="AM553" s="190"/>
      <c r="AN553" s="129"/>
      <c r="AO553" s="130"/>
      <c r="AQ553" s="190"/>
      <c r="AR553" s="190"/>
      <c r="AS553" s="190"/>
      <c r="AT553" s="129"/>
      <c r="AU553" s="130"/>
      <c r="AW553" s="190"/>
      <c r="AX553" s="190"/>
      <c r="AY553" s="190"/>
      <c r="AZ553" s="129"/>
      <c r="BA553" s="130"/>
    </row>
    <row r="554" spans="1:53" ht="17.100000000000001" customHeight="1" x14ac:dyDescent="0.25">
      <c r="A554" s="119"/>
      <c r="B554" s="40"/>
      <c r="C554" s="40"/>
      <c r="D554" s="128" t="s">
        <v>317</v>
      </c>
      <c r="E554" s="122"/>
      <c r="F554" s="122"/>
      <c r="G554" s="122"/>
      <c r="H554" s="928"/>
      <c r="I554" s="12"/>
      <c r="J554" s="190"/>
      <c r="K554" s="190"/>
      <c r="L554" s="190"/>
      <c r="M554" s="190"/>
      <c r="N554" s="570">
        <f>IF(N515=0,0,N514/N515)*1</f>
        <v>0</v>
      </c>
      <c r="O554" s="570">
        <f>IF(O515=0,0,O514/O515)*1</f>
        <v>1</v>
      </c>
      <c r="P554" s="190"/>
      <c r="Q554" s="570">
        <f>IF(Q515=0,0,Q514/Q515)*1</f>
        <v>0</v>
      </c>
      <c r="R554" s="570">
        <f>IF(R515=0,0,R514/R515)*1</f>
        <v>0</v>
      </c>
      <c r="S554" s="190"/>
      <c r="T554" s="570">
        <f>IF(T515=0,0,T514/T515)*1</f>
        <v>0</v>
      </c>
      <c r="U554" s="570">
        <f>IF(U515=0,0,U514/U515)*1</f>
        <v>0</v>
      </c>
      <c r="V554" s="371"/>
      <c r="W554" s="393"/>
      <c r="X554" s="190"/>
      <c r="Y554" s="129"/>
      <c r="Z554" s="130"/>
      <c r="AA554" s="130"/>
      <c r="AB554" s="130"/>
      <c r="AC554" s="125"/>
      <c r="AE554" s="190"/>
      <c r="AF554" s="190"/>
      <c r="AG554" s="190"/>
      <c r="AH554" s="129"/>
      <c r="AI554" s="130"/>
      <c r="AK554" s="190"/>
      <c r="AL554" s="190"/>
      <c r="AM554" s="190"/>
      <c r="AN554" s="129"/>
      <c r="AO554" s="130"/>
      <c r="AQ554" s="190"/>
      <c r="AR554" s="190"/>
      <c r="AS554" s="190"/>
      <c r="AT554" s="129"/>
      <c r="AU554" s="130"/>
      <c r="AW554" s="190"/>
      <c r="AX554" s="190"/>
      <c r="AY554" s="190"/>
      <c r="AZ554" s="129"/>
      <c r="BA554" s="130"/>
    </row>
    <row r="555" spans="1:53" ht="17.100000000000001" customHeight="1" x14ac:dyDescent="0.25">
      <c r="A555" s="137"/>
      <c r="B555" s="40"/>
      <c r="C555" s="40"/>
      <c r="D555" s="128" t="s">
        <v>1019</v>
      </c>
      <c r="E555" s="122"/>
      <c r="F555" s="122"/>
      <c r="G555" s="122"/>
      <c r="H555" s="928"/>
      <c r="I555" s="12"/>
      <c r="J555" s="190"/>
      <c r="K555" s="190"/>
      <c r="L555" s="190"/>
      <c r="M555" s="190"/>
      <c r="N555" s="570"/>
      <c r="O555" s="570"/>
      <c r="P555" s="190"/>
      <c r="Q555" s="570"/>
      <c r="R555" s="570"/>
      <c r="S555" s="190"/>
      <c r="T555" s="570"/>
      <c r="U555" s="570"/>
      <c r="V555" s="371"/>
      <c r="W555" s="393"/>
      <c r="X555" s="190"/>
      <c r="Y555" s="129"/>
      <c r="Z555" s="130"/>
      <c r="AA555" s="130"/>
      <c r="AB555" s="130"/>
      <c r="AC555" s="125"/>
      <c r="AE555" s="190"/>
      <c r="AF555" s="190"/>
      <c r="AG555" s="190"/>
      <c r="AH555" s="129"/>
      <c r="AI555" s="130"/>
      <c r="AK555" s="190"/>
      <c r="AL555" s="190"/>
      <c r="AM555" s="190"/>
      <c r="AN555" s="129"/>
      <c r="AO555" s="130"/>
      <c r="AQ555" s="190"/>
      <c r="AR555" s="190"/>
      <c r="AS555" s="190"/>
      <c r="AT555" s="129"/>
      <c r="AU555" s="130"/>
      <c r="AW555" s="190"/>
      <c r="AX555" s="190"/>
      <c r="AY555" s="190"/>
      <c r="AZ555" s="129"/>
      <c r="BA555" s="130"/>
    </row>
    <row r="556" spans="1:53" ht="17.100000000000001" customHeight="1" x14ac:dyDescent="0.25">
      <c r="A556" s="119"/>
      <c r="B556" s="40"/>
      <c r="C556" s="40"/>
      <c r="D556" s="128" t="s">
        <v>318</v>
      </c>
      <c r="E556" s="122"/>
      <c r="F556" s="122"/>
      <c r="G556" s="122"/>
      <c r="H556" s="928"/>
      <c r="I556" s="12"/>
      <c r="J556" s="190"/>
      <c r="K556" s="190"/>
      <c r="L556" s="190"/>
      <c r="M556" s="190"/>
      <c r="N556" s="570">
        <f>IF(N533=0,0,(SUM(N524:N525)+N522+N527)/N533)</f>
        <v>0</v>
      </c>
      <c r="O556" s="570">
        <f>IF(O533=0,0,(SUM(O524:O525)+O522+O527)/O533)</f>
        <v>0</v>
      </c>
      <c r="P556" s="190"/>
      <c r="Q556" s="570">
        <f>IF(Q533=0,0,(SUM(Q524:Q525)+Q522+Q527)/Q533)</f>
        <v>0</v>
      </c>
      <c r="R556" s="570">
        <f>IF(R533=0,0,(SUM(R524:R525)+R522+R527)/R533)</f>
        <v>0</v>
      </c>
      <c r="S556" s="190"/>
      <c r="T556" s="570">
        <f>IF(T533=0,0,(SUM(T524:T525)+T522+T527)/T533)</f>
        <v>0</v>
      </c>
      <c r="U556" s="570">
        <f>IF(U533=0,0,(SUM(U524:U525)+U522+U527)/U533)</f>
        <v>0</v>
      </c>
      <c r="V556" s="371"/>
      <c r="W556" s="393"/>
      <c r="X556" s="190"/>
      <c r="Y556" s="129"/>
      <c r="Z556" s="130"/>
      <c r="AA556" s="130"/>
      <c r="AB556" s="130"/>
      <c r="AC556" s="125"/>
      <c r="AE556" s="190"/>
      <c r="AF556" s="190"/>
      <c r="AG556" s="190"/>
      <c r="AH556" s="129"/>
      <c r="AI556" s="130"/>
      <c r="AK556" s="190"/>
      <c r="AL556" s="190"/>
      <c r="AM556" s="190"/>
      <c r="AN556" s="129"/>
      <c r="AO556" s="130"/>
      <c r="AQ556" s="190"/>
      <c r="AR556" s="190"/>
      <c r="AS556" s="190"/>
      <c r="AT556" s="129"/>
      <c r="AU556" s="130"/>
      <c r="AW556" s="190"/>
      <c r="AX556" s="190"/>
      <c r="AY556" s="190"/>
      <c r="AZ556" s="129"/>
      <c r="BA556" s="130"/>
    </row>
    <row r="557" spans="1:53" ht="17.100000000000001" customHeight="1" x14ac:dyDescent="0.25">
      <c r="A557" s="137"/>
      <c r="B557" s="40"/>
      <c r="C557" s="40"/>
      <c r="D557" s="128" t="s">
        <v>319</v>
      </c>
      <c r="E557" s="122"/>
      <c r="F557" s="122"/>
      <c r="G557" s="122"/>
      <c r="H557" s="928"/>
      <c r="I557" s="12"/>
      <c r="J557" s="190"/>
      <c r="K557" s="190"/>
      <c r="L557" s="190"/>
      <c r="M557" s="190"/>
      <c r="N557" s="570">
        <f>IF(N538=0,0,(N535/N538)*0.5)</f>
        <v>0</v>
      </c>
      <c r="O557" s="570">
        <f>IF(O538=0,0,(O535/O538)*0.5)</f>
        <v>0.5</v>
      </c>
      <c r="P557" s="190"/>
      <c r="Q557" s="570">
        <f>IF(Q538=0,0,(Q535/Q538)*0.5)</f>
        <v>0.5</v>
      </c>
      <c r="R557" s="570">
        <f>IF(R538=0,0,(R535/R538)*0.5)</f>
        <v>0.5</v>
      </c>
      <c r="S557" s="190"/>
      <c r="T557" s="570">
        <f>IF(T538=0,0,(T535/T538)*0.5)</f>
        <v>0</v>
      </c>
      <c r="U557" s="570">
        <f>IF(U538=0,0,(U535/U538)*0.5)</f>
        <v>0</v>
      </c>
      <c r="V557" s="371"/>
      <c r="W557" s="393"/>
      <c r="X557" s="190"/>
      <c r="Y557" s="129"/>
      <c r="Z557" s="130"/>
      <c r="AA557" s="130"/>
      <c r="AB557" s="130"/>
      <c r="AC557" s="125"/>
      <c r="AE557" s="190"/>
      <c r="AF557" s="190"/>
      <c r="AG557" s="190"/>
      <c r="AH557" s="129"/>
      <c r="AI557" s="130"/>
      <c r="AK557" s="190"/>
      <c r="AL557" s="190"/>
      <c r="AM557" s="190"/>
      <c r="AN557" s="129"/>
      <c r="AO557" s="130"/>
      <c r="AQ557" s="190"/>
      <c r="AR557" s="190"/>
      <c r="AS557" s="190"/>
      <c r="AT557" s="129"/>
      <c r="AU557" s="130"/>
      <c r="AW557" s="190"/>
      <c r="AX557" s="190"/>
      <c r="AY557" s="190"/>
      <c r="AZ557" s="129"/>
      <c r="BA557" s="130"/>
    </row>
    <row r="558" spans="1:53" ht="17.100000000000001" customHeight="1" x14ac:dyDescent="0.25">
      <c r="A558" s="119"/>
      <c r="B558" s="40"/>
      <c r="C558" s="40"/>
      <c r="D558" s="128" t="s">
        <v>320</v>
      </c>
      <c r="E558" s="122"/>
      <c r="F558" s="122"/>
      <c r="G558" s="122"/>
      <c r="H558" s="928"/>
      <c r="I558" s="12"/>
      <c r="J558" s="190"/>
      <c r="K558" s="190"/>
      <c r="L558" s="190"/>
      <c r="M558" s="190"/>
      <c r="N558" s="570">
        <f>SUM(N551:N557)</f>
        <v>0</v>
      </c>
      <c r="O558" s="570">
        <f>SUM(O551:O557)</f>
        <v>2.5</v>
      </c>
      <c r="P558" s="190"/>
      <c r="Q558" s="570">
        <f>SUM(Q551:Q557)</f>
        <v>1.5</v>
      </c>
      <c r="R558" s="570">
        <f>SUM(R551:R557)</f>
        <v>1.5</v>
      </c>
      <c r="S558" s="190"/>
      <c r="T558" s="570">
        <f>SUM(T551:T557)</f>
        <v>0</v>
      </c>
      <c r="U558" s="570">
        <f>SUM(U551:U557)</f>
        <v>0</v>
      </c>
      <c r="V558" s="371"/>
      <c r="W558" s="393"/>
      <c r="X558" s="190"/>
      <c r="Y558" s="129"/>
      <c r="Z558" s="130"/>
      <c r="AA558" s="130"/>
      <c r="AB558" s="130"/>
      <c r="AC558" s="125"/>
      <c r="AE558" s="190"/>
      <c r="AF558" s="190"/>
      <c r="AG558" s="190"/>
      <c r="AH558" s="129"/>
      <c r="AI558" s="130"/>
      <c r="AK558" s="190"/>
      <c r="AL558" s="190"/>
      <c r="AM558" s="190"/>
      <c r="AN558" s="129"/>
      <c r="AO558" s="130"/>
      <c r="AQ558" s="190"/>
      <c r="AR558" s="190"/>
      <c r="AS558" s="190"/>
      <c r="AT558" s="129"/>
      <c r="AU558" s="130"/>
      <c r="AW558" s="190"/>
      <c r="AX558" s="190"/>
      <c r="AY558" s="190"/>
      <c r="AZ558" s="129"/>
      <c r="BA558" s="130"/>
    </row>
    <row r="559" spans="1:53" ht="17.100000000000001" customHeight="1" x14ac:dyDescent="0.25">
      <c r="A559" s="119"/>
      <c r="B559" s="40"/>
      <c r="C559" s="40"/>
      <c r="D559" s="128" t="s">
        <v>321</v>
      </c>
      <c r="E559" s="122"/>
      <c r="F559" s="122"/>
      <c r="G559" s="122"/>
      <c r="H559" s="928"/>
      <c r="I559" s="12"/>
      <c r="J559" s="190"/>
      <c r="K559" s="190"/>
      <c r="L559" s="190"/>
      <c r="M559" s="190"/>
      <c r="N559" s="190">
        <v>3.5</v>
      </c>
      <c r="O559" s="190">
        <v>3.5</v>
      </c>
      <c r="P559" s="190"/>
      <c r="Q559" s="190">
        <v>3.5</v>
      </c>
      <c r="R559" s="190">
        <v>3.5</v>
      </c>
      <c r="S559" s="190"/>
      <c r="T559" s="190">
        <v>3.5</v>
      </c>
      <c r="U559" s="190">
        <v>3.5</v>
      </c>
      <c r="V559" s="371"/>
      <c r="W559" s="393"/>
      <c r="X559" s="190"/>
      <c r="Y559" s="129"/>
      <c r="Z559" s="130"/>
      <c r="AA559" s="130"/>
      <c r="AB559" s="130"/>
      <c r="AC559" s="125"/>
      <c r="AE559" s="190"/>
      <c r="AF559" s="190"/>
      <c r="AG559" s="190"/>
      <c r="AH559" s="129"/>
      <c r="AI559" s="130"/>
      <c r="AK559" s="190"/>
      <c r="AL559" s="190"/>
      <c r="AM559" s="190"/>
      <c r="AN559" s="129"/>
      <c r="AO559" s="130"/>
      <c r="AQ559" s="190"/>
      <c r="AR559" s="190"/>
      <c r="AS559" s="190"/>
      <c r="AT559" s="129"/>
      <c r="AU559" s="130"/>
      <c r="AW559" s="190"/>
      <c r="AX559" s="190"/>
      <c r="AY559" s="190"/>
      <c r="AZ559" s="129"/>
      <c r="BA559" s="130"/>
    </row>
    <row r="560" spans="1:53" ht="17.100000000000001" customHeight="1" x14ac:dyDescent="0.25">
      <c r="A560" s="119"/>
      <c r="B560" s="40"/>
      <c r="C560" s="40"/>
      <c r="D560" s="75" t="s">
        <v>322</v>
      </c>
      <c r="E560" s="75"/>
      <c r="F560" s="75"/>
      <c r="G560" s="75"/>
      <c r="H560" s="1322"/>
      <c r="I560" s="12"/>
      <c r="J560" s="191" t="str">
        <f>IF(J$502=0,"",J561)</f>
        <v/>
      </c>
      <c r="K560" s="191" t="str">
        <f>IF(K$502=0,"",K561)</f>
        <v/>
      </c>
      <c r="L560" s="191" t="str">
        <f>IF(L$502=0,"",L561)</f>
        <v/>
      </c>
      <c r="M560" s="191"/>
      <c r="N560" s="191" t="str">
        <f>IF(N550=0,"",IF(N561=0,0,N561))</f>
        <v/>
      </c>
      <c r="O560" s="191">
        <f>IF(O550=0,"",IF(O561=0,0,O561))</f>
        <v>0.7142857142857143</v>
      </c>
      <c r="P560" s="191"/>
      <c r="Q560" s="191">
        <f>IF(Q550=0,"",IF(Q561=0,0,Q561))</f>
        <v>0.42857142857142855</v>
      </c>
      <c r="R560" s="191">
        <f>IF(R550=0,"",IF(R561=0,0,R561))</f>
        <v>0.42857142857142855</v>
      </c>
      <c r="S560" s="191"/>
      <c r="T560" s="191" t="str">
        <f>IF(T550=0,"",IF(T561=0,0,T561))</f>
        <v/>
      </c>
      <c r="U560" s="191" t="str">
        <f>IF(U550=0,"",IF(U561=0,0,U561))</f>
        <v/>
      </c>
      <c r="V560" s="191"/>
      <c r="W560" s="394"/>
      <c r="X560" s="191"/>
      <c r="Y560" s="164"/>
      <c r="Z560" s="192"/>
      <c r="AA560" s="192"/>
      <c r="AB560" s="192"/>
      <c r="AC560" s="193">
        <f>IF(Y560=0,0,AVERAGE(J560:X560))</f>
        <v>0</v>
      </c>
      <c r="AE560" s="191"/>
      <c r="AF560" s="191"/>
      <c r="AG560" s="191"/>
      <c r="AH560" s="164"/>
      <c r="AI560" s="192"/>
      <c r="AK560" s="191"/>
      <c r="AL560" s="191"/>
      <c r="AM560" s="191"/>
      <c r="AN560" s="164"/>
      <c r="AO560" s="192"/>
      <c r="AQ560" s="191"/>
      <c r="AR560" s="191"/>
      <c r="AS560" s="191"/>
      <c r="AT560" s="164"/>
      <c r="AU560" s="192"/>
      <c r="AW560" s="191"/>
      <c r="AX560" s="191"/>
      <c r="AY560" s="191"/>
      <c r="AZ560" s="164"/>
      <c r="BA560" s="192"/>
    </row>
    <row r="561" spans="1:53" ht="17.100000000000001" customHeight="1" x14ac:dyDescent="0.25">
      <c r="A561" s="119"/>
      <c r="B561" s="40"/>
      <c r="C561" s="40"/>
      <c r="D561" s="128" t="s">
        <v>323</v>
      </c>
      <c r="E561" s="122"/>
      <c r="F561" s="122"/>
      <c r="G561" s="122"/>
      <c r="H561" s="1322"/>
      <c r="I561" s="12"/>
      <c r="J561" s="194"/>
      <c r="K561" s="194"/>
      <c r="L561" s="194"/>
      <c r="M561" s="194"/>
      <c r="N561" s="194">
        <f>N558/N559</f>
        <v>0</v>
      </c>
      <c r="O561" s="194">
        <f t="shared" ref="O561" si="662">O558/O559</f>
        <v>0.7142857142857143</v>
      </c>
      <c r="P561" s="194"/>
      <c r="Q561" s="194">
        <f>Q558/Q559</f>
        <v>0.42857142857142855</v>
      </c>
      <c r="R561" s="194">
        <f t="shared" ref="R561" si="663">R558/R559</f>
        <v>0.42857142857142855</v>
      </c>
      <c r="S561" s="194"/>
      <c r="T561" s="194">
        <f>T558/T559</f>
        <v>0</v>
      </c>
      <c r="U561" s="194">
        <f t="shared" ref="U561" si="664">U558/U559</f>
        <v>0</v>
      </c>
      <c r="V561" s="194"/>
      <c r="W561" s="969">
        <f>N561+Q561+T561</f>
        <v>0.42857142857142855</v>
      </c>
      <c r="X561" s="504">
        <f>O561+R561+U561</f>
        <v>1.1428571428571428</v>
      </c>
      <c r="Y561" s="162"/>
      <c r="Z561" s="195"/>
      <c r="AA561" s="195"/>
      <c r="AB561" s="195"/>
      <c r="AC561" s="161"/>
      <c r="AE561" s="194"/>
      <c r="AF561" s="194"/>
      <c r="AG561" s="194"/>
      <c r="AH561" s="162"/>
      <c r="AI561" s="195"/>
      <c r="AK561" s="194"/>
      <c r="AL561" s="194"/>
      <c r="AM561" s="194"/>
      <c r="AN561" s="162"/>
      <c r="AO561" s="195"/>
      <c r="AQ561" s="194"/>
      <c r="AR561" s="194"/>
      <c r="AS561" s="194"/>
      <c r="AT561" s="162"/>
      <c r="AU561" s="195"/>
      <c r="AW561" s="194"/>
      <c r="AX561" s="194"/>
      <c r="AY561" s="194"/>
      <c r="AZ561" s="162"/>
      <c r="BA561" s="195"/>
    </row>
    <row r="562" spans="1:53" ht="17.100000000000001" customHeight="1" x14ac:dyDescent="0.25">
      <c r="A562" s="137"/>
      <c r="B562" s="137"/>
      <c r="C562" s="40"/>
      <c r="D562" s="128"/>
      <c r="E562" s="122"/>
      <c r="F562" s="122"/>
      <c r="G562" s="122"/>
      <c r="H562" s="1322"/>
      <c r="I562" s="12"/>
      <c r="J562" s="194"/>
      <c r="K562" s="194"/>
      <c r="L562" s="194"/>
      <c r="M562" s="194"/>
      <c r="N562" s="194" t="str">
        <f>IF(N550=0,"",N561)</f>
        <v/>
      </c>
      <c r="O562" s="194">
        <f>IF(O550=0,"",O561)</f>
        <v>0.7142857142857143</v>
      </c>
      <c r="P562" s="194"/>
      <c r="Q562" s="194">
        <f>IF(Q550=0,"",Q561)</f>
        <v>0.42857142857142855</v>
      </c>
      <c r="R562" s="194">
        <f>IF(R550=0,"",R561)</f>
        <v>0.42857142857142855</v>
      </c>
      <c r="S562" s="194"/>
      <c r="T562" s="194" t="str">
        <f>IF(T550=0,"",T561)</f>
        <v/>
      </c>
      <c r="U562" s="194" t="str">
        <f>IF(U550=0,"",U561)</f>
        <v/>
      </c>
      <c r="V562" s="194"/>
      <c r="W562" s="969">
        <f>IF(W561=0,"",AVERAGE(N562,Q562,T562))</f>
        <v>0.42857142857142855</v>
      </c>
      <c r="X562" s="504">
        <f>IF(X561=0,"",AVERAGE(O562,R562,U562))</f>
        <v>0.5714285714285714</v>
      </c>
      <c r="Y562" s="504">
        <f>AVERAGE(N562:U562)</f>
        <v>0.52380952380952384</v>
      </c>
      <c r="Z562" s="195"/>
      <c r="AA562" s="195"/>
      <c r="AB562" s="195"/>
      <c r="AC562" s="161"/>
      <c r="AE562" s="194"/>
      <c r="AF562" s="194"/>
      <c r="AG562" s="194"/>
      <c r="AH562" s="162"/>
      <c r="AI562" s="195"/>
      <c r="AK562" s="194"/>
      <c r="AL562" s="194"/>
      <c r="AM562" s="194"/>
      <c r="AN562" s="162"/>
      <c r="AO562" s="195"/>
      <c r="AQ562" s="194"/>
      <c r="AR562" s="194"/>
      <c r="AS562" s="194"/>
      <c r="AT562" s="162"/>
      <c r="AU562" s="195"/>
      <c r="AW562" s="194"/>
      <c r="AX562" s="194"/>
      <c r="AY562" s="194"/>
      <c r="AZ562" s="162"/>
      <c r="BA562" s="195"/>
    </row>
    <row r="563" spans="1:53" s="117" customFormat="1" ht="17.100000000000001" customHeight="1" x14ac:dyDescent="0.25">
      <c r="A563" s="119"/>
      <c r="B563" s="119"/>
      <c r="C563" s="196"/>
      <c r="D563" s="75" t="s">
        <v>324</v>
      </c>
      <c r="E563" s="75"/>
      <c r="F563" s="75"/>
      <c r="G563" s="75"/>
      <c r="H563" s="1322"/>
      <c r="I563" s="12"/>
      <c r="J563" s="55" t="str">
        <f>IF(J$502=0,"",IF(J560&gt;=0.75,1,0))</f>
        <v/>
      </c>
      <c r="K563" s="55" t="str">
        <f>IF(K$502=0,"",IF(K560&gt;=0.75,1,0))</f>
        <v/>
      </c>
      <c r="L563" s="55" t="str">
        <f>IF(L$502=0,"",IF(L560&gt;=0.75,1,0))</f>
        <v/>
      </c>
      <c r="M563" s="55"/>
      <c r="N563" s="55">
        <f>IF(N$550=0,0,IF(N$560&gt;=0.75,1,0))</f>
        <v>0</v>
      </c>
      <c r="O563" s="55">
        <f>IF(O$550=0,0,IF(O$560&gt;=0.75,1,0))</f>
        <v>0</v>
      </c>
      <c r="P563" s="55">
        <f>IF(SUM(N563:O563)=0,0,IF(SUM(N563:O563)=2,1,IF(AND(N$561=0,O563&gt;0),O563,SUM(N563:O563)/2)))</f>
        <v>0</v>
      </c>
      <c r="Q563" s="55">
        <f>IF(Q$550=0,0,IF(Q$560&gt;=0.75,1,0))</f>
        <v>0</v>
      </c>
      <c r="R563" s="55">
        <f>IF(R$550=0,0,IF(R$560&gt;=0.75,1,0))</f>
        <v>0</v>
      </c>
      <c r="S563" s="55">
        <f>IF(SUM(Q563:R563)=0,0,IF(SUM(Q563:R563)=2,1,IF(AND(Q$561=0,R563&gt;0),R563,SUM(Q563:R563)/2)))</f>
        <v>0</v>
      </c>
      <c r="T563" s="55">
        <f>IF(T$550=0,0,IF(T$560&gt;=0.75,1,0))</f>
        <v>0</v>
      </c>
      <c r="U563" s="55">
        <f>IF(U$550=0,0,IF(U$560&gt;=0.75,1,0))</f>
        <v>0</v>
      </c>
      <c r="V563" s="55">
        <f>IF(SUM(T563:U563)=0,0,IF(SUM(T563:U563)=2,1,IF(AND(T$561=0,U563&gt;0),U563,SUM(T563:U563)/2)))</f>
        <v>0</v>
      </c>
      <c r="W563" s="391">
        <f>N563+Q563+T563</f>
        <v>0</v>
      </c>
      <c r="X563" s="17">
        <f>O563+R563+U563</f>
        <v>0</v>
      </c>
      <c r="Y563" s="17">
        <f>P563+S563+V563</f>
        <v>0</v>
      </c>
      <c r="Z563" s="19">
        <f>IF(Y$566=0,0,Y563/Y$566)</f>
        <v>0</v>
      </c>
      <c r="AA563" s="197"/>
      <c r="AB563" s="197"/>
      <c r="AC563" s="198"/>
      <c r="AE563" s="55"/>
      <c r="AF563" s="55"/>
      <c r="AG563" s="55"/>
      <c r="AH563" s="164"/>
      <c r="AI563" s="197"/>
      <c r="AK563" s="55"/>
      <c r="AL563" s="55"/>
      <c r="AM563" s="55"/>
      <c r="AN563" s="164"/>
      <c r="AO563" s="197"/>
      <c r="AQ563" s="55"/>
      <c r="AR563" s="55"/>
      <c r="AS563" s="55"/>
      <c r="AT563" s="164"/>
      <c r="AU563" s="197"/>
      <c r="AW563" s="55"/>
      <c r="AX563" s="55"/>
      <c r="AY563" s="55"/>
      <c r="AZ563" s="164"/>
      <c r="BA563" s="197"/>
    </row>
    <row r="564" spans="1:53" s="117" customFormat="1" ht="17.100000000000001" customHeight="1" x14ac:dyDescent="0.25">
      <c r="A564" s="119"/>
      <c r="B564" s="119"/>
      <c r="C564" s="136"/>
      <c r="D564" s="75" t="s">
        <v>325</v>
      </c>
      <c r="E564" s="75"/>
      <c r="F564" s="75"/>
      <c r="G564" s="75"/>
      <c r="H564" s="1322"/>
      <c r="I564" s="12"/>
      <c r="J564" s="55" t="str">
        <f>IF(J$502=0,"",IF(AND(J561&gt;=0.5,J561&lt;0.75),1,0))</f>
        <v/>
      </c>
      <c r="K564" s="55" t="str">
        <f>IF(K$502=0,"",IF(AND(K561&gt;=0.5,K561&lt;0.75),1,0))</f>
        <v/>
      </c>
      <c r="L564" s="55" t="str">
        <f>IF(L$502=0,"",IF(AND(L561&gt;=0.5,L561&lt;0.75),1,0))</f>
        <v/>
      </c>
      <c r="M564" s="55"/>
      <c r="N564" s="55">
        <f>IF(N$550=0,0,IF(AND(N560&gt;=0.5,N560&lt;0.75),1,0))</f>
        <v>0</v>
      </c>
      <c r="O564" s="55">
        <f t="shared" ref="O564" si="665">IF(O$550=0,0,IF(AND(O560&gt;=0.5,O560&lt;0.75),1,0))</f>
        <v>1</v>
      </c>
      <c r="P564" s="55">
        <f t="shared" ref="P564:P565" si="666">IF(SUM(N564:O564)=0,0,IF(SUM(N564:O564)=2,1,IF(AND(N$561=0,O564&gt;0),O564,SUM(N564:O564)/2)))</f>
        <v>1</v>
      </c>
      <c r="Q564" s="55">
        <f>IF(Q$550=0,0,IF(AND(Q560&gt;=0.5,Q560&lt;0.75),1,0))</f>
        <v>0</v>
      </c>
      <c r="R564" s="55">
        <f t="shared" ref="R564" si="667">IF(R$550=0,0,IF(AND(R560&gt;=0.5,R560&lt;0.75),1,0))</f>
        <v>0</v>
      </c>
      <c r="S564" s="55">
        <f t="shared" ref="S564:S565" si="668">IF(SUM(Q564:R564)=0,0,IF(SUM(Q564:R564)=2,1,IF(AND(Q$561=0,R564&gt;0),R564,SUM(Q564:R564)/2)))</f>
        <v>0</v>
      </c>
      <c r="T564" s="55">
        <f>IF(T$550=0,0,IF(AND(T560&gt;=0.5,T560&lt;0.75),1,0))</f>
        <v>0</v>
      </c>
      <c r="U564" s="55">
        <f t="shared" ref="U564" si="669">IF(U$550=0,0,IF(AND(U560&gt;=0.5,U560&lt;0.75),1,0))</f>
        <v>0</v>
      </c>
      <c r="V564" s="55">
        <f t="shared" ref="V564:V565" si="670">IF(SUM(T564:U564)=0,0,IF(SUM(T564:U564)=2,1,IF(AND(T$561=0,U564&gt;0),U564,SUM(T564:U564)/2)))</f>
        <v>0</v>
      </c>
      <c r="W564" s="391">
        <f t="shared" ref="W564:Y565" si="671">N564+Q564+T564</f>
        <v>0</v>
      </c>
      <c r="X564" s="17">
        <f t="shared" si="671"/>
        <v>1</v>
      </c>
      <c r="Y564" s="17">
        <f t="shared" si="671"/>
        <v>1</v>
      </c>
      <c r="Z564" s="19">
        <f t="shared" ref="Z564:Z566" si="672">IF(Y$566=0,0,Y564/Y$566)</f>
        <v>0.5</v>
      </c>
      <c r="AA564" s="197"/>
      <c r="AB564" s="197"/>
      <c r="AC564" s="198"/>
      <c r="AE564" s="55"/>
      <c r="AF564" s="55"/>
      <c r="AG564" s="55"/>
      <c r="AH564" s="164"/>
      <c r="AI564" s="197"/>
      <c r="AK564" s="55"/>
      <c r="AL564" s="55"/>
      <c r="AM564" s="55"/>
      <c r="AN564" s="164"/>
      <c r="AO564" s="197"/>
      <c r="AQ564" s="55"/>
      <c r="AR564" s="55"/>
      <c r="AS564" s="55"/>
      <c r="AT564" s="164"/>
      <c r="AU564" s="197"/>
      <c r="AW564" s="55"/>
      <c r="AX564" s="55"/>
      <c r="AY564" s="55"/>
      <c r="AZ564" s="164"/>
      <c r="BA564" s="197"/>
    </row>
    <row r="565" spans="1:53" s="97" customFormat="1" ht="17.100000000000001" customHeight="1" x14ac:dyDescent="0.25">
      <c r="A565" s="119"/>
      <c r="B565" s="119"/>
      <c r="C565" s="137"/>
      <c r="D565" s="75" t="s">
        <v>326</v>
      </c>
      <c r="E565" s="75"/>
      <c r="F565" s="75"/>
      <c r="G565" s="75"/>
      <c r="H565" s="1322"/>
      <c r="I565" s="12"/>
      <c r="J565" s="55" t="str">
        <f>IF(J$502=0,"",IF(J561&lt;0.5,1,0))</f>
        <v/>
      </c>
      <c r="K565" s="55" t="str">
        <f>IF(K$502=0,"",IF(K561&lt;0.5,1,0))</f>
        <v/>
      </c>
      <c r="L565" s="55" t="str">
        <f>IF(L$502=0,"",IF(L561&lt;0.5,1,0))</f>
        <v/>
      </c>
      <c r="M565" s="55"/>
      <c r="N565" s="55">
        <f>IF(N$550=0,0,IF(N560&lt;0.5,1,0))</f>
        <v>0</v>
      </c>
      <c r="O565" s="55">
        <f t="shared" ref="O565" si="673">IF(O$550=0,0,IF(O560&lt;0.5,1,0))</f>
        <v>0</v>
      </c>
      <c r="P565" s="55">
        <f t="shared" si="666"/>
        <v>0</v>
      </c>
      <c r="Q565" s="55">
        <f>IF(Q$550=0,0,IF(Q560&lt;0.5,1,0))</f>
        <v>1</v>
      </c>
      <c r="R565" s="55">
        <f t="shared" ref="R565" si="674">IF(R$550=0,0,IF(R560&lt;0.5,1,0))</f>
        <v>1</v>
      </c>
      <c r="S565" s="55">
        <f t="shared" si="668"/>
        <v>1</v>
      </c>
      <c r="T565" s="55">
        <f>IF(T$550=0,0,IF(T560&lt;0.5,1,0))</f>
        <v>0</v>
      </c>
      <c r="U565" s="55">
        <f t="shared" ref="U565" si="675">IF(U$550=0,0,IF(U560&lt;0.5,1,0))</f>
        <v>0</v>
      </c>
      <c r="V565" s="55">
        <f t="shared" si="670"/>
        <v>0</v>
      </c>
      <c r="W565" s="391">
        <f t="shared" si="671"/>
        <v>1</v>
      </c>
      <c r="X565" s="17">
        <f t="shared" si="671"/>
        <v>1</v>
      </c>
      <c r="Y565" s="17">
        <f t="shared" si="671"/>
        <v>1</v>
      </c>
      <c r="Z565" s="19">
        <f t="shared" si="672"/>
        <v>0.5</v>
      </c>
      <c r="AA565" s="197"/>
      <c r="AB565" s="197"/>
      <c r="AC565" s="198"/>
      <c r="AE565" s="55"/>
      <c r="AF565" s="55"/>
      <c r="AG565" s="55"/>
      <c r="AH565" s="164"/>
      <c r="AI565" s="197"/>
      <c r="AK565" s="55"/>
      <c r="AL565" s="55"/>
      <c r="AM565" s="55"/>
      <c r="AN565" s="164"/>
      <c r="AO565" s="197"/>
      <c r="AQ565" s="55"/>
      <c r="AR565" s="55"/>
      <c r="AS565" s="55"/>
      <c r="AT565" s="164"/>
      <c r="AU565" s="197"/>
      <c r="AW565" s="55"/>
      <c r="AX565" s="55"/>
      <c r="AY565" s="55"/>
      <c r="AZ565" s="164"/>
      <c r="BA565" s="197"/>
    </row>
    <row r="566" spans="1:53" s="117" customFormat="1" ht="17.100000000000001" customHeight="1" x14ac:dyDescent="0.25">
      <c r="A566" s="119"/>
      <c r="B566" s="119"/>
      <c r="C566" s="119"/>
      <c r="D566" s="428"/>
      <c r="E566" s="93"/>
      <c r="F566" s="93"/>
      <c r="G566" s="93"/>
      <c r="H566" s="1322"/>
      <c r="I566" s="12"/>
      <c r="J566" s="191"/>
      <c r="K566" s="191"/>
      <c r="L566" s="191"/>
      <c r="M566" s="191"/>
      <c r="N566" s="191"/>
      <c r="O566" s="191"/>
      <c r="P566" s="191"/>
      <c r="Q566" s="191"/>
      <c r="R566" s="191"/>
      <c r="S566" s="191"/>
      <c r="T566" s="191"/>
      <c r="U566" s="191"/>
      <c r="V566" s="191"/>
      <c r="W566" s="394"/>
      <c r="X566" s="191"/>
      <c r="Y566" s="164">
        <f>SUM(Y563:Y565)</f>
        <v>2</v>
      </c>
      <c r="Z566" s="19">
        <f t="shared" si="672"/>
        <v>1</v>
      </c>
      <c r="AA566" s="192"/>
      <c r="AB566" s="192"/>
      <c r="AC566" s="198"/>
      <c r="AE566" s="191"/>
      <c r="AF566" s="191"/>
      <c r="AG566" s="191"/>
      <c r="AH566" s="164"/>
      <c r="AI566" s="192"/>
      <c r="AK566" s="191"/>
      <c r="AL566" s="191"/>
      <c r="AM566" s="191"/>
      <c r="AN566" s="164"/>
      <c r="AO566" s="192"/>
      <c r="AQ566" s="191"/>
      <c r="AR566" s="191"/>
      <c r="AS566" s="191"/>
      <c r="AT566" s="164"/>
      <c r="AU566" s="192"/>
      <c r="AW566" s="191"/>
      <c r="AX566" s="191"/>
      <c r="AY566" s="191"/>
      <c r="AZ566" s="164"/>
      <c r="BA566" s="192"/>
    </row>
    <row r="567" spans="1:53" s="97" customFormat="1" ht="17.100000000000001" customHeight="1" x14ac:dyDescent="0.25">
      <c r="A567" s="68"/>
      <c r="B567" s="68"/>
      <c r="C567" s="92"/>
      <c r="D567" s="93"/>
      <c r="E567" s="93"/>
      <c r="F567" s="93"/>
      <c r="G567" s="93"/>
      <c r="H567" s="165"/>
      <c r="I567" s="12"/>
      <c r="J567" s="94"/>
      <c r="K567" s="94"/>
      <c r="L567" s="95"/>
      <c r="M567" s="95"/>
      <c r="N567" s="95"/>
      <c r="O567" s="95"/>
      <c r="P567" s="95"/>
      <c r="Q567" s="95"/>
      <c r="R567" s="95"/>
      <c r="S567" s="95"/>
      <c r="T567" s="95"/>
      <c r="U567" s="95"/>
      <c r="V567" s="95"/>
      <c r="W567" s="378"/>
      <c r="X567" s="95"/>
      <c r="Y567" s="96"/>
      <c r="AE567" s="109"/>
      <c r="AF567" s="109"/>
      <c r="AG567" s="109"/>
      <c r="AH567" s="96"/>
      <c r="AK567" s="109"/>
      <c r="AL567" s="109"/>
      <c r="AM567" s="109"/>
      <c r="AN567" s="96"/>
      <c r="AQ567" s="109"/>
      <c r="AR567" s="109"/>
      <c r="AS567" s="109"/>
      <c r="AT567" s="96"/>
      <c r="AW567" s="109"/>
      <c r="AX567" s="109"/>
      <c r="AY567" s="109"/>
      <c r="AZ567" s="96"/>
    </row>
    <row r="568" spans="1:53" s="32" customFormat="1" ht="16.5" thickBot="1" x14ac:dyDescent="0.3">
      <c r="A568" s="24" t="s">
        <v>329</v>
      </c>
      <c r="B568" s="25" t="s">
        <v>330</v>
      </c>
      <c r="C568" s="26"/>
      <c r="D568" s="27"/>
      <c r="E568" s="27"/>
      <c r="F568" s="27"/>
      <c r="G568" s="28"/>
      <c r="H568" s="215"/>
      <c r="I568" s="228"/>
      <c r="J568" s="101"/>
      <c r="K568" s="101"/>
      <c r="L568" s="101"/>
      <c r="M568" s="101"/>
      <c r="N568" s="101"/>
      <c r="O568" s="101"/>
      <c r="P568" s="101"/>
      <c r="Q568" s="101"/>
      <c r="R568" s="101"/>
      <c r="S568" s="101"/>
      <c r="T568" s="101"/>
      <c r="U568" s="101"/>
      <c r="V568" s="357"/>
      <c r="W568" s="379"/>
      <c r="X568" s="101"/>
      <c r="Y568" s="30" t="s">
        <v>4</v>
      </c>
      <c r="Z568" s="30" t="s">
        <v>5</v>
      </c>
      <c r="AA568" s="30"/>
      <c r="AB568" s="30"/>
      <c r="AC568" s="30" t="s">
        <v>6</v>
      </c>
      <c r="AE568" s="33" t="s">
        <v>181</v>
      </c>
      <c r="AF568" s="33" t="s">
        <v>182</v>
      </c>
      <c r="AG568" s="33" t="s">
        <v>6</v>
      </c>
      <c r="AH568" s="33" t="s">
        <v>4</v>
      </c>
      <c r="AI568" s="34" t="s">
        <v>5</v>
      </c>
      <c r="AJ568" s="408"/>
      <c r="AK568" s="36" t="s">
        <v>181</v>
      </c>
      <c r="AL568" s="36" t="s">
        <v>182</v>
      </c>
      <c r="AM568" s="36" t="s">
        <v>6</v>
      </c>
      <c r="AN568" s="36" t="s">
        <v>4</v>
      </c>
      <c r="AO568" s="37" t="s">
        <v>5</v>
      </c>
      <c r="AP568" s="408"/>
      <c r="AQ568" s="36"/>
      <c r="AR568" s="36"/>
      <c r="AS568" s="36"/>
      <c r="AT568" s="36"/>
      <c r="AU568" s="37"/>
      <c r="AV568" s="408"/>
      <c r="AW568" s="38" t="s">
        <v>181</v>
      </c>
      <c r="AX568" s="38" t="s">
        <v>182</v>
      </c>
      <c r="AY568" s="38" t="s">
        <v>6</v>
      </c>
      <c r="AZ568" s="38" t="s">
        <v>4</v>
      </c>
      <c r="BA568" s="39" t="s">
        <v>5</v>
      </c>
    </row>
    <row r="569" spans="1:53" ht="17.100000000000001" customHeight="1" x14ac:dyDescent="0.25">
      <c r="A569" s="68"/>
      <c r="B569" s="41" t="s">
        <v>675</v>
      </c>
      <c r="C569" s="49" t="s">
        <v>674</v>
      </c>
      <c r="D569" s="50"/>
      <c r="E569" s="70"/>
      <c r="F569" s="70"/>
      <c r="G569" s="70"/>
      <c r="H569" s="119"/>
      <c r="J569" s="71"/>
      <c r="K569" s="71"/>
      <c r="L569" s="71"/>
      <c r="M569" s="71"/>
      <c r="N569" s="71"/>
      <c r="O569" s="71"/>
      <c r="P569" s="71"/>
      <c r="Q569" s="71"/>
      <c r="R569" s="71"/>
      <c r="S569" s="71"/>
      <c r="T569" s="71"/>
      <c r="U569" s="71"/>
      <c r="V569" s="355"/>
      <c r="W569" s="377"/>
      <c r="X569" s="71"/>
      <c r="Y569" s="72"/>
      <c r="Z569" s="73"/>
      <c r="AA569" s="73"/>
      <c r="AB569" s="73"/>
      <c r="AC569" s="73"/>
      <c r="AE569" s="71"/>
      <c r="AF569" s="71"/>
      <c r="AG569" s="71"/>
      <c r="AH569" s="72"/>
      <c r="AI569" s="73"/>
      <c r="AK569" s="71"/>
      <c r="AL569" s="71"/>
      <c r="AM569" s="71"/>
      <c r="AN569" s="72"/>
      <c r="AO569" s="73"/>
      <c r="AQ569" s="71"/>
      <c r="AR569" s="71"/>
      <c r="AS569" s="71"/>
      <c r="AT569" s="72"/>
      <c r="AU569" s="73"/>
      <c r="AW569" s="71"/>
      <c r="AX569" s="71"/>
      <c r="AY569" s="71"/>
      <c r="AZ569" s="72"/>
      <c r="BA569" s="73"/>
    </row>
    <row r="570" spans="1:53" ht="17.100000000000001" customHeight="1" x14ac:dyDescent="0.25">
      <c r="A570" s="119"/>
      <c r="B570" s="119"/>
      <c r="C570" s="56" t="s">
        <v>676</v>
      </c>
      <c r="D570" s="146" t="s">
        <v>9</v>
      </c>
      <c r="E570" s="105"/>
      <c r="F570" s="105"/>
      <c r="G570" s="105"/>
      <c r="H570" s="119"/>
      <c r="I570" s="231"/>
      <c r="J570" s="111"/>
      <c r="K570" s="111"/>
      <c r="L570" s="111"/>
      <c r="M570" s="111"/>
      <c r="N570" s="60"/>
      <c r="O570" s="60">
        <v>1</v>
      </c>
      <c r="P570" s="17">
        <f t="shared" ref="P570:P571" si="676">SUM(N570:O570)</f>
        <v>1</v>
      </c>
      <c r="Q570" s="60"/>
      <c r="R570" s="60"/>
      <c r="S570" s="17">
        <f t="shared" ref="S570:S571" si="677">SUM(Q570:R570)</f>
        <v>0</v>
      </c>
      <c r="T570" s="60"/>
      <c r="U570" s="60"/>
      <c r="V570" s="359">
        <f t="shared" ref="V570:V571" si="678">SUM(T570:U570)</f>
        <v>0</v>
      </c>
      <c r="W570" s="391">
        <f t="shared" ref="W570:W571" si="679">J570+K570+N570+Q570+T570</f>
        <v>0</v>
      </c>
      <c r="X570" s="17">
        <f t="shared" ref="X570:X571" si="680">L570+O570+R570+U570</f>
        <v>1</v>
      </c>
      <c r="Y570" s="18">
        <f>SUM(W570:X570)</f>
        <v>1</v>
      </c>
      <c r="Z570" s="19">
        <f>IF(Y$538=0,0,Y570/Y$538)</f>
        <v>6.25E-2</v>
      </c>
      <c r="AA570" s="19"/>
      <c r="AB570" s="19"/>
      <c r="AC570" s="20"/>
      <c r="AE570" s="111"/>
      <c r="AF570" s="111"/>
      <c r="AG570" s="111"/>
      <c r="AH570" s="112"/>
      <c r="AI570" s="113"/>
      <c r="AK570" s="111"/>
      <c r="AL570" s="111"/>
      <c r="AM570" s="111"/>
      <c r="AN570" s="112"/>
      <c r="AO570" s="113"/>
      <c r="AQ570" s="17"/>
      <c r="AR570" s="17"/>
      <c r="AS570" s="17"/>
      <c r="AT570" s="18">
        <f t="shared" ref="AT570:AT571" si="681">W570</f>
        <v>0</v>
      </c>
      <c r="AU570" s="19">
        <f>IF(AT$538=0,0,AT570/AT$538)</f>
        <v>0</v>
      </c>
      <c r="AW570" s="17"/>
      <c r="AX570" s="17"/>
      <c r="AY570" s="17"/>
      <c r="AZ570" s="18">
        <f t="shared" ref="AZ570:AZ571" si="682">X570</f>
        <v>1</v>
      </c>
      <c r="BA570" s="19">
        <f>IF(AZ$538=0,0,AZ570/AZ$538)</f>
        <v>6.6666666666666666E-2</v>
      </c>
    </row>
    <row r="571" spans="1:53" ht="17.100000000000001" customHeight="1" x14ac:dyDescent="0.25">
      <c r="A571" s="119"/>
      <c r="B571" s="119"/>
      <c r="C571" s="56" t="s">
        <v>677</v>
      </c>
      <c r="D571" s="146" t="s">
        <v>11</v>
      </c>
      <c r="E571" s="105"/>
      <c r="F571" s="105"/>
      <c r="G571" s="105"/>
      <c r="H571" s="119"/>
      <c r="I571" s="231"/>
      <c r="J571" s="111"/>
      <c r="K571" s="111"/>
      <c r="L571" s="111"/>
      <c r="M571" s="111"/>
      <c r="N571" s="61"/>
      <c r="O571" s="61">
        <v>7</v>
      </c>
      <c r="P571" s="17">
        <f t="shared" si="676"/>
        <v>7</v>
      </c>
      <c r="Q571" s="61">
        <v>1</v>
      </c>
      <c r="R571" s="61">
        <v>7</v>
      </c>
      <c r="S571" s="17">
        <f t="shared" si="677"/>
        <v>8</v>
      </c>
      <c r="T571" s="61"/>
      <c r="U571" s="61"/>
      <c r="V571" s="359">
        <f t="shared" si="678"/>
        <v>0</v>
      </c>
      <c r="W571" s="391">
        <f t="shared" si="679"/>
        <v>1</v>
      </c>
      <c r="X571" s="17">
        <f t="shared" si="680"/>
        <v>14</v>
      </c>
      <c r="Y571" s="18">
        <f>SUM(W571:X571)</f>
        <v>15</v>
      </c>
      <c r="Z571" s="19">
        <f t="shared" ref="Z571:Z572" si="683">IF(Y$538=0,0,Y571/Y$538)</f>
        <v>0.9375</v>
      </c>
      <c r="AA571" s="19"/>
      <c r="AB571" s="19"/>
      <c r="AC571" s="20"/>
      <c r="AE571" s="111"/>
      <c r="AF571" s="111"/>
      <c r="AG571" s="111"/>
      <c r="AH571" s="112"/>
      <c r="AI571" s="113"/>
      <c r="AK571" s="111"/>
      <c r="AL571" s="111"/>
      <c r="AM571" s="111"/>
      <c r="AN571" s="112"/>
      <c r="AO571" s="113"/>
      <c r="AQ571" s="17"/>
      <c r="AR571" s="17"/>
      <c r="AS571" s="17"/>
      <c r="AT571" s="18">
        <f t="shared" si="681"/>
        <v>1</v>
      </c>
      <c r="AU571" s="19">
        <f t="shared" ref="AU571:AU572" si="684">IF(AT$538=0,0,AT571/AT$538)</f>
        <v>1</v>
      </c>
      <c r="AW571" s="17"/>
      <c r="AX571" s="17"/>
      <c r="AY571" s="17"/>
      <c r="AZ571" s="18">
        <f t="shared" si="682"/>
        <v>14</v>
      </c>
      <c r="BA571" s="19">
        <f t="shared" ref="BA571:BA572" si="685">IF(AZ$538=0,0,AZ571/AZ$538)</f>
        <v>0.93333333333333335</v>
      </c>
    </row>
    <row r="572" spans="1:53" ht="17.100000000000001" customHeight="1" x14ac:dyDescent="0.25">
      <c r="A572" s="40"/>
      <c r="B572" s="40"/>
      <c r="C572" s="77"/>
      <c r="D572" s="134"/>
      <c r="E572" s="134"/>
      <c r="F572" s="134"/>
      <c r="G572" s="134"/>
      <c r="H572" s="540"/>
      <c r="I572" s="229"/>
      <c r="J572" s="80"/>
      <c r="K572" s="80"/>
      <c r="L572" s="81"/>
      <c r="M572" s="81"/>
      <c r="N572" s="81">
        <f t="shared" ref="N572:Y572" si="686">SUM(N570:N571)</f>
        <v>0</v>
      </c>
      <c r="O572" s="81">
        <f t="shared" si="686"/>
        <v>8</v>
      </c>
      <c r="P572" s="81">
        <f t="shared" si="686"/>
        <v>8</v>
      </c>
      <c r="Q572" s="81">
        <f t="shared" si="686"/>
        <v>1</v>
      </c>
      <c r="R572" s="81">
        <f t="shared" si="686"/>
        <v>7</v>
      </c>
      <c r="S572" s="81">
        <f t="shared" si="686"/>
        <v>8</v>
      </c>
      <c r="T572" s="81">
        <f t="shared" si="686"/>
        <v>0</v>
      </c>
      <c r="U572" s="81">
        <f t="shared" si="686"/>
        <v>0</v>
      </c>
      <c r="V572" s="81">
        <f t="shared" si="686"/>
        <v>0</v>
      </c>
      <c r="W572" s="381">
        <f t="shared" si="686"/>
        <v>1</v>
      </c>
      <c r="X572" s="82">
        <f t="shared" si="686"/>
        <v>15</v>
      </c>
      <c r="Y572" s="82">
        <f t="shared" si="686"/>
        <v>16</v>
      </c>
      <c r="Z572" s="205">
        <f t="shared" si="683"/>
        <v>1</v>
      </c>
      <c r="AA572" s="205"/>
      <c r="AB572" s="205"/>
      <c r="AC572" s="83"/>
      <c r="AE572" s="80"/>
      <c r="AF572" s="80"/>
      <c r="AG572" s="81"/>
      <c r="AH572" s="82"/>
      <c r="AI572" s="66"/>
      <c r="AK572" s="80"/>
      <c r="AL572" s="80"/>
      <c r="AM572" s="81"/>
      <c r="AN572" s="82"/>
      <c r="AO572" s="66"/>
      <c r="AQ572" s="80"/>
      <c r="AR572" s="80"/>
      <c r="AS572" s="81"/>
      <c r="AT572" s="82">
        <f>SUM(AT570:AT571)</f>
        <v>1</v>
      </c>
      <c r="AU572" s="66">
        <f t="shared" si="684"/>
        <v>1</v>
      </c>
      <c r="AW572" s="80"/>
      <c r="AX572" s="80"/>
      <c r="AY572" s="81"/>
      <c r="AZ572" s="82">
        <f>SUM(AZ570:AZ571)</f>
        <v>15</v>
      </c>
      <c r="BA572" s="66">
        <f t="shared" si="685"/>
        <v>1</v>
      </c>
    </row>
    <row r="573" spans="1:53" s="117" customFormat="1" ht="17.100000000000001" customHeight="1" x14ac:dyDescent="0.25">
      <c r="A573" s="68"/>
      <c r="B573" s="119"/>
      <c r="C573" s="540"/>
      <c r="D573" s="261"/>
      <c r="E573" s="261"/>
      <c r="F573" s="68"/>
      <c r="G573" s="68"/>
      <c r="H573" s="119"/>
      <c r="I573" s="138"/>
      <c r="J573" s="17"/>
      <c r="K573" s="17"/>
      <c r="L573" s="17"/>
      <c r="M573" s="17"/>
      <c r="N573" s="17" t="str">
        <f>IF(N572=N$20,"OK","NOK")</f>
        <v>OK</v>
      </c>
      <c r="O573" s="17" t="str">
        <f>IF(O572=O$20,"OK","NOK")</f>
        <v>OK</v>
      </c>
      <c r="P573" s="17"/>
      <c r="Q573" s="17" t="str">
        <f>IF(Q572=Q$20,"OK","NOK")</f>
        <v>OK</v>
      </c>
      <c r="R573" s="17" t="str">
        <f>IF(R572=R$20,"OK","NOK")</f>
        <v>OK</v>
      </c>
      <c r="S573" s="17"/>
      <c r="T573" s="17" t="str">
        <f>IF(T572=T$20,"OK","NOK")</f>
        <v>OK</v>
      </c>
      <c r="U573" s="17" t="str">
        <f>IF(U572=U$20,"OK","NOK")</f>
        <v>OK</v>
      </c>
      <c r="V573" s="359"/>
      <c r="W573" s="382"/>
      <c r="X573" s="539"/>
      <c r="Y573" s="539"/>
      <c r="Z573" s="201"/>
      <c r="AA573" s="201"/>
      <c r="AB573" s="201"/>
      <c r="AC573" s="84"/>
      <c r="AE573" s="46"/>
      <c r="AF573" s="46"/>
      <c r="AG573" s="17"/>
      <c r="AH573" s="539"/>
      <c r="AI573" s="91"/>
      <c r="AK573" s="46"/>
      <c r="AL573" s="46"/>
      <c r="AM573" s="17"/>
      <c r="AN573" s="539"/>
      <c r="AO573" s="91"/>
      <c r="AQ573" s="46"/>
      <c r="AR573" s="46"/>
      <c r="AS573" s="17"/>
      <c r="AT573" s="539"/>
      <c r="AU573" s="91"/>
      <c r="AW573" s="46"/>
      <c r="AX573" s="46"/>
      <c r="AY573" s="17"/>
      <c r="AZ573" s="539"/>
      <c r="BA573" s="91"/>
    </row>
    <row r="574" spans="1:53" s="32" customFormat="1" ht="16.5" thickBot="1" x14ac:dyDescent="0.3">
      <c r="A574" s="342"/>
      <c r="B574" s="330"/>
      <c r="C574" s="331"/>
      <c r="D574" s="343"/>
      <c r="E574" s="343"/>
      <c r="F574" s="343"/>
      <c r="G574" s="343"/>
      <c r="H574" s="344"/>
      <c r="I574" s="14"/>
      <c r="J574" s="345"/>
      <c r="K574" s="345"/>
      <c r="L574" s="345"/>
      <c r="M574" s="345"/>
      <c r="N574" s="345"/>
      <c r="O574" s="345"/>
      <c r="P574" s="345"/>
      <c r="Q574" s="345"/>
      <c r="R574" s="345"/>
      <c r="S574" s="345"/>
      <c r="T574" s="345"/>
      <c r="U574" s="345"/>
      <c r="V574" s="374"/>
      <c r="W574" s="396"/>
      <c r="X574" s="345"/>
      <c r="Y574" s="346"/>
      <c r="Z574" s="346"/>
      <c r="AA574" s="346"/>
      <c r="AB574" s="346"/>
      <c r="AC574" s="346"/>
      <c r="AE574" s="347"/>
      <c r="AF574" s="347"/>
      <c r="AG574" s="347"/>
      <c r="AH574" s="347"/>
      <c r="AI574" s="348"/>
      <c r="AJ574" s="408"/>
      <c r="AK574" s="349"/>
      <c r="AL574" s="349"/>
      <c r="AM574" s="349"/>
      <c r="AN574" s="349"/>
      <c r="AO574" s="350"/>
      <c r="AP574" s="408"/>
      <c r="AQ574" s="349"/>
      <c r="AR574" s="349"/>
      <c r="AS574" s="349"/>
      <c r="AT574" s="349"/>
      <c r="AU574" s="350"/>
      <c r="AV574" s="408"/>
      <c r="AW574" s="351"/>
      <c r="AX574" s="351"/>
      <c r="AY574" s="351"/>
      <c r="AZ574" s="351"/>
      <c r="BA574" s="352"/>
    </row>
    <row r="575" spans="1:53" ht="17.100000000000001" customHeight="1" x14ac:dyDescent="0.25">
      <c r="A575" s="68"/>
      <c r="B575" s="41" t="s">
        <v>331</v>
      </c>
      <c r="C575" s="69" t="s">
        <v>332</v>
      </c>
      <c r="D575" s="50"/>
      <c r="E575" s="70"/>
      <c r="F575" s="70"/>
      <c r="G575" s="70"/>
      <c r="H575" s="263">
        <v>17</v>
      </c>
      <c r="J575" s="71"/>
      <c r="K575" s="71"/>
      <c r="L575" s="71"/>
      <c r="M575" s="71"/>
      <c r="N575" s="71"/>
      <c r="O575" s="71"/>
      <c r="P575" s="71"/>
      <c r="Q575" s="71"/>
      <c r="R575" s="71"/>
      <c r="S575" s="71"/>
      <c r="T575" s="71"/>
      <c r="U575" s="71"/>
      <c r="V575" s="355"/>
      <c r="W575" s="377"/>
      <c r="X575" s="71"/>
      <c r="Y575" s="72"/>
      <c r="Z575" s="73"/>
      <c r="AA575" s="73"/>
      <c r="AB575" s="73"/>
      <c r="AC575" s="73"/>
      <c r="AE575" s="71"/>
      <c r="AF575" s="71"/>
      <c r="AG575" s="71"/>
      <c r="AH575" s="72"/>
      <c r="AI575" s="73"/>
      <c r="AK575" s="71"/>
      <c r="AL575" s="71"/>
      <c r="AM575" s="71"/>
      <c r="AN575" s="72"/>
      <c r="AO575" s="73"/>
      <c r="AQ575" s="71"/>
      <c r="AR575" s="71"/>
      <c r="AS575" s="71"/>
      <c r="AT575" s="72"/>
      <c r="AU575" s="73"/>
      <c r="AW575" s="71"/>
      <c r="AX575" s="71"/>
      <c r="AY575" s="71"/>
      <c r="AZ575" s="72"/>
      <c r="BA575" s="73"/>
    </row>
    <row r="576" spans="1:53" ht="17.100000000000001" customHeight="1" x14ac:dyDescent="0.25">
      <c r="A576" s="40"/>
      <c r="B576" s="40"/>
      <c r="C576" s="74" t="s">
        <v>333</v>
      </c>
      <c r="D576" s="85" t="s">
        <v>9</v>
      </c>
      <c r="E576" s="105"/>
      <c r="F576" s="105"/>
      <c r="G576" s="105"/>
      <c r="H576" s="119"/>
      <c r="I576" s="231"/>
      <c r="J576" s="581"/>
      <c r="K576" s="581"/>
      <c r="L576" s="582"/>
      <c r="M576" s="593">
        <f>SUM(J576:L576)</f>
        <v>0</v>
      </c>
      <c r="N576" s="111"/>
      <c r="O576" s="111"/>
      <c r="P576" s="111"/>
      <c r="Q576" s="111"/>
      <c r="R576" s="111"/>
      <c r="S576" s="111"/>
      <c r="T576" s="111"/>
      <c r="U576" s="111"/>
      <c r="V576" s="358"/>
      <c r="W576" s="391">
        <f t="shared" ref="W576:W579" si="687">J576+K576+N576+Q576+T576</f>
        <v>0</v>
      </c>
      <c r="X576" s="17">
        <f t="shared" ref="X576:X579" si="688">L576+O576+R576+U576</f>
        <v>0</v>
      </c>
      <c r="Y576" s="18">
        <f>SUM(W576:X576)</f>
        <v>0</v>
      </c>
      <c r="Z576" s="19">
        <f>IF(Y$580=0,0,Y576/Y$580)</f>
        <v>0</v>
      </c>
      <c r="AA576" s="19"/>
      <c r="AB576" s="19"/>
      <c r="AC576" s="17"/>
      <c r="AE576" s="17"/>
      <c r="AF576" s="17"/>
      <c r="AG576" s="17"/>
      <c r="AH576" s="18">
        <f t="shared" ref="AH576:AH579" si="689">J576</f>
        <v>0</v>
      </c>
      <c r="AI576" s="19">
        <f>IF(AH$580=0,0,AH576/AH$580)</f>
        <v>0</v>
      </c>
      <c r="AJ576" s="97"/>
      <c r="AK576" s="17"/>
      <c r="AL576" s="17"/>
      <c r="AM576" s="17"/>
      <c r="AN576" s="18">
        <f t="shared" ref="AN576:AN579" si="690">K576</f>
        <v>0</v>
      </c>
      <c r="AO576" s="19">
        <f>IF(AN$580=0,0,AN576/AN$580)</f>
        <v>0</v>
      </c>
      <c r="AP576" s="97"/>
      <c r="AQ576" s="17"/>
      <c r="AR576" s="17"/>
      <c r="AS576" s="17"/>
      <c r="AT576" s="18">
        <f t="shared" ref="AT576:AT579" si="691">W576</f>
        <v>0</v>
      </c>
      <c r="AU576" s="19">
        <f>IF(AT$580=0,0,AT576/AT$580)</f>
        <v>0</v>
      </c>
      <c r="AV576" s="97"/>
      <c r="AW576" s="17"/>
      <c r="AX576" s="17"/>
      <c r="AY576" s="17"/>
      <c r="AZ576" s="18">
        <f t="shared" ref="AZ576:AZ579" si="692">X576</f>
        <v>0</v>
      </c>
      <c r="BA576" s="19">
        <f>IF(AZ$580=0,0,AZ576/AZ$580)</f>
        <v>0</v>
      </c>
    </row>
    <row r="577" spans="1:53" ht="17.100000000000001" customHeight="1" x14ac:dyDescent="0.25">
      <c r="A577" s="40"/>
      <c r="B577" s="40"/>
      <c r="C577" s="74" t="s">
        <v>334</v>
      </c>
      <c r="D577" s="85" t="s">
        <v>335</v>
      </c>
      <c r="E577" s="105"/>
      <c r="F577" s="105"/>
      <c r="G577" s="105"/>
      <c r="H577" s="119"/>
      <c r="I577" s="231"/>
      <c r="J577" s="583"/>
      <c r="K577" s="583"/>
      <c r="L577" s="584"/>
      <c r="M577" s="593">
        <f t="shared" ref="M577:M579" si="693">SUM(J577:L577)</f>
        <v>0</v>
      </c>
      <c r="N577" s="111"/>
      <c r="O577" s="111"/>
      <c r="P577" s="111"/>
      <c r="Q577" s="111"/>
      <c r="R577" s="111"/>
      <c r="S577" s="111"/>
      <c r="T577" s="111"/>
      <c r="U577" s="111"/>
      <c r="V577" s="358"/>
      <c r="W577" s="391">
        <f t="shared" si="687"/>
        <v>0</v>
      </c>
      <c r="X577" s="17">
        <f t="shared" si="688"/>
        <v>0</v>
      </c>
      <c r="Y577" s="18">
        <f>SUM(W577:X577)</f>
        <v>0</v>
      </c>
      <c r="Z577" s="19">
        <f t="shared" ref="Z577:Z579" si="694">IF(Y$580=0,0,Y577/Y$580)</f>
        <v>0</v>
      </c>
      <c r="AA577" s="19"/>
      <c r="AB577" s="19"/>
      <c r="AC577" s="17"/>
      <c r="AE577" s="17"/>
      <c r="AF577" s="17"/>
      <c r="AG577" s="17"/>
      <c r="AH577" s="18">
        <f t="shared" si="689"/>
        <v>0</v>
      </c>
      <c r="AI577" s="19">
        <f t="shared" ref="AI577:AI580" si="695">IF(AH$580=0,0,AH577/AH$580)</f>
        <v>0</v>
      </c>
      <c r="AJ577" s="97"/>
      <c r="AK577" s="17"/>
      <c r="AL577" s="17"/>
      <c r="AM577" s="17"/>
      <c r="AN577" s="18">
        <f t="shared" si="690"/>
        <v>0</v>
      </c>
      <c r="AO577" s="19">
        <f t="shared" ref="AO577:AO580" si="696">IF(AN$580=0,0,AN577/AN$580)</f>
        <v>0</v>
      </c>
      <c r="AP577" s="97"/>
      <c r="AQ577" s="17"/>
      <c r="AR577" s="17"/>
      <c r="AS577" s="17"/>
      <c r="AT577" s="18">
        <f t="shared" si="691"/>
        <v>0</v>
      </c>
      <c r="AU577" s="19">
        <f t="shared" ref="AU577:AU580" si="697">IF(AT$580=0,0,AT577/AT$580)</f>
        <v>0</v>
      </c>
      <c r="AV577" s="97"/>
      <c r="AW577" s="17"/>
      <c r="AX577" s="17"/>
      <c r="AY577" s="17"/>
      <c r="AZ577" s="18">
        <f t="shared" si="692"/>
        <v>0</v>
      </c>
      <c r="BA577" s="19">
        <f t="shared" ref="BA577:BA580" si="698">IF(AZ$580=0,0,AZ577/AZ$580)</f>
        <v>0</v>
      </c>
    </row>
    <row r="578" spans="1:53" ht="17.100000000000001" customHeight="1" x14ac:dyDescent="0.25">
      <c r="A578" s="40"/>
      <c r="B578" s="40"/>
      <c r="C578" s="74" t="s">
        <v>336</v>
      </c>
      <c r="D578" s="85" t="s">
        <v>129</v>
      </c>
      <c r="E578" s="105"/>
      <c r="F578" s="105"/>
      <c r="G578" s="105"/>
      <c r="H578" s="119"/>
      <c r="I578" s="231"/>
      <c r="J578" s="581"/>
      <c r="K578" s="581"/>
      <c r="L578" s="582"/>
      <c r="M578" s="593">
        <f t="shared" si="693"/>
        <v>0</v>
      </c>
      <c r="N578" s="111"/>
      <c r="O578" s="111"/>
      <c r="P578" s="111"/>
      <c r="Q578" s="111"/>
      <c r="R578" s="111"/>
      <c r="S578" s="111"/>
      <c r="T578" s="111"/>
      <c r="U578" s="111"/>
      <c r="V578" s="358"/>
      <c r="W578" s="391">
        <f t="shared" si="687"/>
        <v>0</v>
      </c>
      <c r="X578" s="17">
        <f t="shared" si="688"/>
        <v>0</v>
      </c>
      <c r="Y578" s="18">
        <f>SUM(W578:X578)</f>
        <v>0</v>
      </c>
      <c r="Z578" s="19">
        <f t="shared" si="694"/>
        <v>0</v>
      </c>
      <c r="AA578" s="19"/>
      <c r="AB578" s="19"/>
      <c r="AC578" s="17"/>
      <c r="AE578" s="17"/>
      <c r="AF578" s="17"/>
      <c r="AG578" s="17"/>
      <c r="AH578" s="18">
        <f t="shared" si="689"/>
        <v>0</v>
      </c>
      <c r="AI578" s="19">
        <f t="shared" si="695"/>
        <v>0</v>
      </c>
      <c r="AJ578" s="97"/>
      <c r="AK578" s="17"/>
      <c r="AL578" s="17"/>
      <c r="AM578" s="17"/>
      <c r="AN578" s="18">
        <f t="shared" si="690"/>
        <v>0</v>
      </c>
      <c r="AO578" s="19">
        <f t="shared" si="696"/>
        <v>0</v>
      </c>
      <c r="AP578" s="97"/>
      <c r="AQ578" s="17"/>
      <c r="AR578" s="17"/>
      <c r="AS578" s="17"/>
      <c r="AT578" s="18">
        <f t="shared" si="691"/>
        <v>0</v>
      </c>
      <c r="AU578" s="19">
        <f t="shared" si="697"/>
        <v>0</v>
      </c>
      <c r="AV578" s="97"/>
      <c r="AW578" s="17"/>
      <c r="AX578" s="17"/>
      <c r="AY578" s="17"/>
      <c r="AZ578" s="18">
        <f t="shared" si="692"/>
        <v>0</v>
      </c>
      <c r="BA578" s="19">
        <f t="shared" si="698"/>
        <v>0</v>
      </c>
    </row>
    <row r="579" spans="1:53" ht="17.100000000000001" customHeight="1" x14ac:dyDescent="0.25">
      <c r="A579" s="40"/>
      <c r="B579" s="40"/>
      <c r="C579" s="74" t="s">
        <v>554</v>
      </c>
      <c r="D579" s="85" t="s">
        <v>530</v>
      </c>
      <c r="E579" s="105"/>
      <c r="F579" s="105"/>
      <c r="G579" s="105"/>
      <c r="H579" s="119"/>
      <c r="I579" s="231"/>
      <c r="J579" s="583"/>
      <c r="K579" s="583"/>
      <c r="L579" s="584"/>
      <c r="M579" s="593">
        <f t="shared" si="693"/>
        <v>0</v>
      </c>
      <c r="N579" s="111"/>
      <c r="O579" s="111"/>
      <c r="P579" s="111"/>
      <c r="Q579" s="111"/>
      <c r="R579" s="111"/>
      <c r="S579" s="111"/>
      <c r="T579" s="111"/>
      <c r="U579" s="111"/>
      <c r="V579" s="358"/>
      <c r="W579" s="391">
        <f t="shared" si="687"/>
        <v>0</v>
      </c>
      <c r="X579" s="17">
        <f t="shared" si="688"/>
        <v>0</v>
      </c>
      <c r="Y579" s="18">
        <f>SUM(W579:X579)</f>
        <v>0</v>
      </c>
      <c r="Z579" s="19">
        <f t="shared" si="694"/>
        <v>0</v>
      </c>
      <c r="AA579" s="19"/>
      <c r="AB579" s="19"/>
      <c r="AC579" s="17"/>
      <c r="AE579" s="17"/>
      <c r="AF579" s="17"/>
      <c r="AG579" s="17"/>
      <c r="AH579" s="18">
        <f t="shared" si="689"/>
        <v>0</v>
      </c>
      <c r="AI579" s="19">
        <f t="shared" si="695"/>
        <v>0</v>
      </c>
      <c r="AJ579" s="97"/>
      <c r="AK579" s="17"/>
      <c r="AL579" s="17"/>
      <c r="AM579" s="17"/>
      <c r="AN579" s="18">
        <f t="shared" si="690"/>
        <v>0</v>
      </c>
      <c r="AO579" s="19">
        <f t="shared" si="696"/>
        <v>0</v>
      </c>
      <c r="AP579" s="97"/>
      <c r="AQ579" s="17"/>
      <c r="AR579" s="17"/>
      <c r="AS579" s="17"/>
      <c r="AT579" s="18">
        <f t="shared" si="691"/>
        <v>0</v>
      </c>
      <c r="AU579" s="19">
        <f t="shared" si="697"/>
        <v>0</v>
      </c>
      <c r="AV579" s="97"/>
      <c r="AW579" s="17"/>
      <c r="AX579" s="17"/>
      <c r="AY579" s="17"/>
      <c r="AZ579" s="18">
        <f t="shared" si="692"/>
        <v>0</v>
      </c>
      <c r="BA579" s="19">
        <f t="shared" si="698"/>
        <v>0</v>
      </c>
    </row>
    <row r="580" spans="1:53" ht="17.100000000000001" customHeight="1" x14ac:dyDescent="0.25">
      <c r="A580" s="40"/>
      <c r="B580" s="40"/>
      <c r="C580" s="77"/>
      <c r="D580" s="134"/>
      <c r="E580" s="134"/>
      <c r="F580" s="134"/>
      <c r="G580" s="134"/>
      <c r="H580" s="540"/>
      <c r="I580" s="229"/>
      <c r="J580" s="80">
        <f>SUM(J576:J579)</f>
        <v>0</v>
      </c>
      <c r="K580" s="80">
        <f t="shared" ref="K580:M580" si="699">SUM(K576:K579)</f>
        <v>0</v>
      </c>
      <c r="L580" s="80">
        <f t="shared" si="699"/>
        <v>0</v>
      </c>
      <c r="M580" s="80">
        <f t="shared" si="699"/>
        <v>0</v>
      </c>
      <c r="N580" s="81"/>
      <c r="O580" s="81"/>
      <c r="P580" s="81"/>
      <c r="Q580" s="81"/>
      <c r="R580" s="81"/>
      <c r="S580" s="81"/>
      <c r="T580" s="81"/>
      <c r="U580" s="81"/>
      <c r="V580" s="356"/>
      <c r="W580" s="381">
        <f t="shared" ref="W580:X580" si="700">SUM(W576:W579)</f>
        <v>0</v>
      </c>
      <c r="X580" s="82">
        <f t="shared" si="700"/>
        <v>0</v>
      </c>
      <c r="Y580" s="82">
        <f>SUM(Y576:Y579)</f>
        <v>0</v>
      </c>
      <c r="Z580" s="205">
        <f>IF(Y$580=0,0,Y580/Y$580)</f>
        <v>0</v>
      </c>
      <c r="AA580" s="205"/>
      <c r="AB580" s="205"/>
      <c r="AC580" s="83"/>
      <c r="AE580" s="80"/>
      <c r="AF580" s="80"/>
      <c r="AG580" s="81"/>
      <c r="AH580" s="82">
        <f>SUM(AH576:AH579)</f>
        <v>0</v>
      </c>
      <c r="AI580" s="66">
        <f t="shared" si="695"/>
        <v>0</v>
      </c>
      <c r="AK580" s="80"/>
      <c r="AL580" s="80"/>
      <c r="AM580" s="81"/>
      <c r="AN580" s="82">
        <f>SUM(AN576:AN579)</f>
        <v>0</v>
      </c>
      <c r="AO580" s="66">
        <f t="shared" si="696"/>
        <v>0</v>
      </c>
      <c r="AQ580" s="80"/>
      <c r="AR580" s="80"/>
      <c r="AS580" s="81"/>
      <c r="AT580" s="82">
        <f>SUM(AT576:AT579)</f>
        <v>0</v>
      </c>
      <c r="AU580" s="66">
        <f t="shared" si="697"/>
        <v>0</v>
      </c>
      <c r="AW580" s="80"/>
      <c r="AX580" s="80"/>
      <c r="AY580" s="81"/>
      <c r="AZ580" s="82">
        <f>SUM(AZ576:AZ579)</f>
        <v>0</v>
      </c>
      <c r="BA580" s="66">
        <f t="shared" si="698"/>
        <v>0</v>
      </c>
    </row>
    <row r="581" spans="1:53" s="117" customFormat="1" ht="17.100000000000001" customHeight="1" x14ac:dyDescent="0.25">
      <c r="A581" s="68"/>
      <c r="B581" s="119"/>
      <c r="C581" s="540"/>
      <c r="D581" s="261"/>
      <c r="E581" s="261"/>
      <c r="F581" s="68"/>
      <c r="G581" s="68"/>
      <c r="H581" s="119"/>
      <c r="I581" s="138"/>
      <c r="J581" s="17" t="str">
        <f>IF(J580=J$15,"OK","NOK")</f>
        <v>OK</v>
      </c>
      <c r="K581" s="17" t="str">
        <f t="shared" ref="K581:L581" si="701">IF(K580=K$15,"OK","NOK")</f>
        <v>OK</v>
      </c>
      <c r="L581" s="17" t="str">
        <f t="shared" si="701"/>
        <v>OK</v>
      </c>
      <c r="M581" s="17"/>
      <c r="N581" s="17"/>
      <c r="O581" s="17"/>
      <c r="P581" s="17"/>
      <c r="Q581" s="17"/>
      <c r="R581" s="17"/>
      <c r="S581" s="17"/>
      <c r="T581" s="17"/>
      <c r="U581" s="17"/>
      <c r="V581" s="359"/>
      <c r="W581" s="382"/>
      <c r="X581" s="539"/>
      <c r="Y581" s="539"/>
      <c r="Z581" s="201"/>
      <c r="AA581" s="201"/>
      <c r="AB581" s="201"/>
      <c r="AC581" s="84"/>
      <c r="AE581" s="46"/>
      <c r="AF581" s="46"/>
      <c r="AG581" s="17"/>
      <c r="AH581" s="539"/>
      <c r="AI581" s="91"/>
      <c r="AK581" s="46"/>
      <c r="AL581" s="46"/>
      <c r="AM581" s="17"/>
      <c r="AN581" s="539"/>
      <c r="AO581" s="91"/>
      <c r="AQ581" s="46"/>
      <c r="AR581" s="46"/>
      <c r="AS581" s="17"/>
      <c r="AT581" s="539"/>
      <c r="AU581" s="91"/>
      <c r="AW581" s="46"/>
      <c r="AX581" s="46"/>
      <c r="AY581" s="17"/>
      <c r="AZ581" s="539"/>
      <c r="BA581" s="91"/>
    </row>
    <row r="582" spans="1:53" ht="17.100000000000001" customHeight="1" x14ac:dyDescent="0.25">
      <c r="A582" s="40"/>
      <c r="B582" s="41" t="s">
        <v>337</v>
      </c>
      <c r="C582" s="69" t="s">
        <v>361</v>
      </c>
      <c r="D582" s="50"/>
      <c r="E582" s="70"/>
      <c r="F582" s="70"/>
      <c r="G582" s="70"/>
      <c r="H582" s="243">
        <v>21</v>
      </c>
      <c r="J582" s="71"/>
      <c r="K582" s="71"/>
      <c r="L582" s="71"/>
      <c r="M582" s="71"/>
      <c r="N582" s="71"/>
      <c r="O582" s="71"/>
      <c r="P582" s="71"/>
      <c r="Q582" s="71"/>
      <c r="R582" s="71"/>
      <c r="S582" s="71"/>
      <c r="T582" s="71"/>
      <c r="U582" s="71"/>
      <c r="V582" s="355"/>
      <c r="W582" s="377"/>
      <c r="X582" s="71"/>
      <c r="Y582" s="89"/>
      <c r="Z582" s="90"/>
      <c r="AA582" s="90"/>
      <c r="AB582" s="90"/>
      <c r="AC582" s="227"/>
      <c r="AE582" s="71"/>
      <c r="AF582" s="71"/>
      <c r="AG582" s="71"/>
      <c r="AH582" s="89"/>
      <c r="AI582" s="71"/>
      <c r="AK582" s="71"/>
      <c r="AL582" s="71"/>
      <c r="AM582" s="71"/>
      <c r="AN582" s="89"/>
      <c r="AO582" s="71"/>
      <c r="AQ582" s="71"/>
      <c r="AR582" s="71"/>
      <c r="AS582" s="71"/>
      <c r="AT582" s="89"/>
      <c r="AU582" s="71"/>
      <c r="AW582" s="71"/>
      <c r="AX582" s="71"/>
      <c r="AY582" s="71"/>
      <c r="AZ582" s="89"/>
      <c r="BA582" s="71"/>
    </row>
    <row r="583" spans="1:53" ht="17.100000000000001" customHeight="1" x14ac:dyDescent="0.25">
      <c r="A583" s="40"/>
      <c r="B583" s="40"/>
      <c r="C583" s="74" t="s">
        <v>499</v>
      </c>
      <c r="D583" s="85" t="s">
        <v>495</v>
      </c>
      <c r="E583" s="105"/>
      <c r="F583" s="105"/>
      <c r="G583" s="105"/>
      <c r="H583" s="119"/>
      <c r="I583" s="231"/>
      <c r="J583" s="581"/>
      <c r="K583" s="581"/>
      <c r="L583" s="582"/>
      <c r="M583" s="593">
        <f t="shared" ref="M583:M588" si="702">SUM(J583:L583)</f>
        <v>0</v>
      </c>
      <c r="N583" s="111"/>
      <c r="O583" s="111"/>
      <c r="P583" s="111"/>
      <c r="Q583" s="111"/>
      <c r="R583" s="111"/>
      <c r="S583" s="111"/>
      <c r="T583" s="111"/>
      <c r="U583" s="111"/>
      <c r="V583" s="358"/>
      <c r="W583" s="391">
        <f t="shared" ref="W583:W588" si="703">J583+K583+N583+Q583+T583</f>
        <v>0</v>
      </c>
      <c r="X583" s="17">
        <f t="shared" ref="X583:X588" si="704">L583+O583+R583+U583</f>
        <v>0</v>
      </c>
      <c r="Y583" s="18">
        <f t="shared" ref="Y583:Y588" si="705">SUM(W583:X583)</f>
        <v>0</v>
      </c>
      <c r="Z583" s="19">
        <f>IF(Y$589=0,0,Y583/Y$589)</f>
        <v>0</v>
      </c>
      <c r="AA583" s="19"/>
      <c r="AB583" s="19"/>
      <c r="AC583" s="17"/>
      <c r="AE583" s="17"/>
      <c r="AF583" s="17"/>
      <c r="AG583" s="17"/>
      <c r="AH583" s="18">
        <f t="shared" ref="AH583:AH588" si="706">J583</f>
        <v>0</v>
      </c>
      <c r="AI583" s="19">
        <f>IF(AH$589=0,0,AH583/AH$589)</f>
        <v>0</v>
      </c>
      <c r="AJ583" s="97"/>
      <c r="AK583" s="17"/>
      <c r="AL583" s="17"/>
      <c r="AM583" s="17"/>
      <c r="AN583" s="18">
        <f t="shared" ref="AN583:AN588" si="707">K583</f>
        <v>0</v>
      </c>
      <c r="AO583" s="19">
        <f>IF(AN$589=0,0,AN583/AN$589)</f>
        <v>0</v>
      </c>
      <c r="AP583" s="97"/>
      <c r="AQ583" s="17"/>
      <c r="AR583" s="17"/>
      <c r="AS583" s="17"/>
      <c r="AT583" s="18">
        <f t="shared" ref="AT583:AT588" si="708">W583</f>
        <v>0</v>
      </c>
      <c r="AU583" s="19">
        <f>IF(AT$589=0,0,AT583/AT$589)</f>
        <v>0</v>
      </c>
      <c r="AV583" s="97"/>
      <c r="AW583" s="17"/>
      <c r="AX583" s="17"/>
      <c r="AY583" s="17"/>
      <c r="AZ583" s="18">
        <f t="shared" ref="AZ583:AZ588" si="709">X583</f>
        <v>0</v>
      </c>
      <c r="BA583" s="19">
        <f>IF(AZ$589=0,0,AZ583/AZ$589)</f>
        <v>0</v>
      </c>
    </row>
    <row r="584" spans="1:53" ht="17.100000000000001" customHeight="1" x14ac:dyDescent="0.25">
      <c r="A584" s="40"/>
      <c r="B584" s="40"/>
      <c r="C584" s="74" t="s">
        <v>500</v>
      </c>
      <c r="D584" s="85" t="s">
        <v>496</v>
      </c>
      <c r="E584" s="105"/>
      <c r="F584" s="105"/>
      <c r="G584" s="105"/>
      <c r="H584" s="119"/>
      <c r="I584" s="231"/>
      <c r="J584" s="583"/>
      <c r="K584" s="583"/>
      <c r="L584" s="584"/>
      <c r="M584" s="593">
        <f t="shared" si="702"/>
        <v>0</v>
      </c>
      <c r="N584" s="111"/>
      <c r="O584" s="111"/>
      <c r="P584" s="111"/>
      <c r="Q584" s="111"/>
      <c r="R584" s="111"/>
      <c r="S584" s="111"/>
      <c r="T584" s="111"/>
      <c r="U584" s="111"/>
      <c r="V584" s="358"/>
      <c r="W584" s="391">
        <f t="shared" si="703"/>
        <v>0</v>
      </c>
      <c r="X584" s="17">
        <f t="shared" si="704"/>
        <v>0</v>
      </c>
      <c r="Y584" s="18">
        <f t="shared" si="705"/>
        <v>0</v>
      </c>
      <c r="Z584" s="19">
        <f t="shared" ref="Z584:Z588" si="710">IF(Y$589=0,0,Y584/Y$589)</f>
        <v>0</v>
      </c>
      <c r="AA584" s="19"/>
      <c r="AB584" s="19"/>
      <c r="AC584" s="17"/>
      <c r="AE584" s="17"/>
      <c r="AF584" s="17"/>
      <c r="AG584" s="17"/>
      <c r="AH584" s="18">
        <f t="shared" si="706"/>
        <v>0</v>
      </c>
      <c r="AI584" s="19">
        <f t="shared" ref="AI584:AI589" si="711">IF(AH$589=0,0,AH584/AH$589)</f>
        <v>0</v>
      </c>
      <c r="AJ584" s="97"/>
      <c r="AK584" s="17"/>
      <c r="AL584" s="17"/>
      <c r="AM584" s="17"/>
      <c r="AN584" s="18">
        <f t="shared" si="707"/>
        <v>0</v>
      </c>
      <c r="AO584" s="19">
        <f t="shared" ref="AO584:AO589" si="712">IF(AN$589=0,0,AN584/AN$589)</f>
        <v>0</v>
      </c>
      <c r="AP584" s="97"/>
      <c r="AQ584" s="17"/>
      <c r="AR584" s="17"/>
      <c r="AS584" s="17"/>
      <c r="AT584" s="18">
        <f t="shared" si="708"/>
        <v>0</v>
      </c>
      <c r="AU584" s="19">
        <f t="shared" ref="AU584:AU589" si="713">IF(AT$589=0,0,AT584/AT$589)</f>
        <v>0</v>
      </c>
      <c r="AV584" s="97"/>
      <c r="AW584" s="17"/>
      <c r="AX584" s="17"/>
      <c r="AY584" s="17"/>
      <c r="AZ584" s="18">
        <f t="shared" si="709"/>
        <v>0</v>
      </c>
      <c r="BA584" s="19">
        <f t="shared" ref="BA584:BA589" si="714">IF(AZ$589=0,0,AZ584/AZ$589)</f>
        <v>0</v>
      </c>
    </row>
    <row r="585" spans="1:53" ht="17.100000000000001" customHeight="1" x14ac:dyDescent="0.25">
      <c r="A585" s="40"/>
      <c r="B585" s="40"/>
      <c r="C585" s="74" t="s">
        <v>501</v>
      </c>
      <c r="D585" s="85" t="s">
        <v>497</v>
      </c>
      <c r="E585" s="105"/>
      <c r="F585" s="105"/>
      <c r="G585" s="105"/>
      <c r="H585" s="119"/>
      <c r="I585" s="231"/>
      <c r="J585" s="581"/>
      <c r="K585" s="581"/>
      <c r="L585" s="582"/>
      <c r="M585" s="593">
        <f t="shared" si="702"/>
        <v>0</v>
      </c>
      <c r="N585" s="111"/>
      <c r="O585" s="111"/>
      <c r="P585" s="111"/>
      <c r="Q585" s="111"/>
      <c r="R585" s="111"/>
      <c r="S585" s="111"/>
      <c r="T585" s="111"/>
      <c r="U585" s="111"/>
      <c r="V585" s="358"/>
      <c r="W585" s="391">
        <f t="shared" si="703"/>
        <v>0</v>
      </c>
      <c r="X585" s="17">
        <f t="shared" si="704"/>
        <v>0</v>
      </c>
      <c r="Y585" s="18">
        <f t="shared" si="705"/>
        <v>0</v>
      </c>
      <c r="Z585" s="19">
        <f t="shared" si="710"/>
        <v>0</v>
      </c>
      <c r="AA585" s="19"/>
      <c r="AB585" s="19"/>
      <c r="AC585" s="17"/>
      <c r="AE585" s="17"/>
      <c r="AF585" s="17"/>
      <c r="AG585" s="17"/>
      <c r="AH585" s="18">
        <f t="shared" si="706"/>
        <v>0</v>
      </c>
      <c r="AI585" s="19">
        <f t="shared" si="711"/>
        <v>0</v>
      </c>
      <c r="AJ585" s="97"/>
      <c r="AK585" s="17"/>
      <c r="AL585" s="17"/>
      <c r="AM585" s="17"/>
      <c r="AN585" s="18">
        <f t="shared" si="707"/>
        <v>0</v>
      </c>
      <c r="AO585" s="19">
        <f t="shared" si="712"/>
        <v>0</v>
      </c>
      <c r="AP585" s="97"/>
      <c r="AQ585" s="17"/>
      <c r="AR585" s="17"/>
      <c r="AS585" s="17"/>
      <c r="AT585" s="18">
        <f t="shared" si="708"/>
        <v>0</v>
      </c>
      <c r="AU585" s="19">
        <f t="shared" si="713"/>
        <v>0</v>
      </c>
      <c r="AV585" s="97"/>
      <c r="AW585" s="17"/>
      <c r="AX585" s="17"/>
      <c r="AY585" s="17"/>
      <c r="AZ585" s="18">
        <f t="shared" si="709"/>
        <v>0</v>
      </c>
      <c r="BA585" s="19">
        <f t="shared" si="714"/>
        <v>0</v>
      </c>
    </row>
    <row r="586" spans="1:53" ht="17.100000000000001" customHeight="1" x14ac:dyDescent="0.25">
      <c r="A586" s="40"/>
      <c r="B586" s="40"/>
      <c r="C586" s="74" t="s">
        <v>502</v>
      </c>
      <c r="D586" s="85" t="s">
        <v>498</v>
      </c>
      <c r="E586" s="105"/>
      <c r="F586" s="105"/>
      <c r="G586" s="105"/>
      <c r="H586" s="119"/>
      <c r="I586" s="231"/>
      <c r="J586" s="583"/>
      <c r="K586" s="583"/>
      <c r="L586" s="584"/>
      <c r="M586" s="593">
        <f t="shared" si="702"/>
        <v>0</v>
      </c>
      <c r="N586" s="111"/>
      <c r="O586" s="111"/>
      <c r="P586" s="111"/>
      <c r="Q586" s="111"/>
      <c r="R586" s="111"/>
      <c r="S586" s="111"/>
      <c r="T586" s="111"/>
      <c r="U586" s="111"/>
      <c r="V586" s="358"/>
      <c r="W586" s="391">
        <f t="shared" si="703"/>
        <v>0</v>
      </c>
      <c r="X586" s="17">
        <f t="shared" si="704"/>
        <v>0</v>
      </c>
      <c r="Y586" s="18">
        <f t="shared" si="705"/>
        <v>0</v>
      </c>
      <c r="Z586" s="19">
        <f t="shared" si="710"/>
        <v>0</v>
      </c>
      <c r="AA586" s="19"/>
      <c r="AB586" s="19"/>
      <c r="AC586" s="17"/>
      <c r="AE586" s="17"/>
      <c r="AF586" s="17"/>
      <c r="AG586" s="17"/>
      <c r="AH586" s="18">
        <f t="shared" si="706"/>
        <v>0</v>
      </c>
      <c r="AI586" s="19">
        <f t="shared" si="711"/>
        <v>0</v>
      </c>
      <c r="AJ586" s="97"/>
      <c r="AK586" s="17"/>
      <c r="AL586" s="17"/>
      <c r="AM586" s="17"/>
      <c r="AN586" s="18">
        <f t="shared" si="707"/>
        <v>0</v>
      </c>
      <c r="AO586" s="19">
        <f t="shared" si="712"/>
        <v>0</v>
      </c>
      <c r="AP586" s="97"/>
      <c r="AQ586" s="17"/>
      <c r="AR586" s="17"/>
      <c r="AS586" s="17"/>
      <c r="AT586" s="18">
        <f t="shared" si="708"/>
        <v>0</v>
      </c>
      <c r="AU586" s="19">
        <f t="shared" si="713"/>
        <v>0</v>
      </c>
      <c r="AV586" s="97"/>
      <c r="AW586" s="17"/>
      <c r="AX586" s="17"/>
      <c r="AY586" s="17"/>
      <c r="AZ586" s="18">
        <f t="shared" si="709"/>
        <v>0</v>
      </c>
      <c r="BA586" s="19">
        <f t="shared" si="714"/>
        <v>0</v>
      </c>
    </row>
    <row r="587" spans="1:53" ht="17.100000000000001" customHeight="1" x14ac:dyDescent="0.25">
      <c r="A587" s="40"/>
      <c r="B587" s="40"/>
      <c r="C587" s="74" t="s">
        <v>503</v>
      </c>
      <c r="D587" s="85" t="s">
        <v>129</v>
      </c>
      <c r="E587" s="105"/>
      <c r="F587" s="105"/>
      <c r="G587" s="105"/>
      <c r="H587" s="119"/>
      <c r="I587" s="231"/>
      <c r="J587" s="581"/>
      <c r="K587" s="581"/>
      <c r="L587" s="582"/>
      <c r="M587" s="593">
        <f t="shared" si="702"/>
        <v>0</v>
      </c>
      <c r="N587" s="111"/>
      <c r="O587" s="111"/>
      <c r="P587" s="111"/>
      <c r="Q587" s="111"/>
      <c r="R587" s="111"/>
      <c r="S587" s="111"/>
      <c r="T587" s="111"/>
      <c r="U587" s="111"/>
      <c r="V587" s="358"/>
      <c r="W587" s="391">
        <f t="shared" si="703"/>
        <v>0</v>
      </c>
      <c r="X587" s="17">
        <f t="shared" si="704"/>
        <v>0</v>
      </c>
      <c r="Y587" s="18">
        <f t="shared" si="705"/>
        <v>0</v>
      </c>
      <c r="Z587" s="19">
        <f t="shared" si="710"/>
        <v>0</v>
      </c>
      <c r="AA587" s="19"/>
      <c r="AB587" s="19"/>
      <c r="AC587" s="17"/>
      <c r="AE587" s="17"/>
      <c r="AF587" s="17"/>
      <c r="AG587" s="17"/>
      <c r="AH587" s="18">
        <f t="shared" si="706"/>
        <v>0</v>
      </c>
      <c r="AI587" s="19">
        <f t="shared" si="711"/>
        <v>0</v>
      </c>
      <c r="AJ587" s="97"/>
      <c r="AK587" s="17"/>
      <c r="AL587" s="17"/>
      <c r="AM587" s="17"/>
      <c r="AN587" s="18">
        <f t="shared" si="707"/>
        <v>0</v>
      </c>
      <c r="AO587" s="19">
        <f t="shared" si="712"/>
        <v>0</v>
      </c>
      <c r="AP587" s="97"/>
      <c r="AQ587" s="17"/>
      <c r="AR587" s="17"/>
      <c r="AS587" s="17"/>
      <c r="AT587" s="18">
        <f t="shared" si="708"/>
        <v>0</v>
      </c>
      <c r="AU587" s="19">
        <f t="shared" si="713"/>
        <v>0</v>
      </c>
      <c r="AV587" s="97"/>
      <c r="AW587" s="17"/>
      <c r="AX587" s="17"/>
      <c r="AY587" s="17"/>
      <c r="AZ587" s="18">
        <f t="shared" si="709"/>
        <v>0</v>
      </c>
      <c r="BA587" s="19">
        <f t="shared" si="714"/>
        <v>0</v>
      </c>
    </row>
    <row r="588" spans="1:53" ht="17.100000000000001" customHeight="1" x14ac:dyDescent="0.25">
      <c r="A588" s="40"/>
      <c r="B588" s="40"/>
      <c r="C588" s="74" t="s">
        <v>551</v>
      </c>
      <c r="D588" s="85" t="s">
        <v>550</v>
      </c>
      <c r="E588" s="105"/>
      <c r="F588" s="105"/>
      <c r="G588" s="105"/>
      <c r="H588" s="119"/>
      <c r="I588" s="231"/>
      <c r="J588" s="583"/>
      <c r="K588" s="583"/>
      <c r="L588" s="584"/>
      <c r="M588" s="593">
        <f t="shared" si="702"/>
        <v>0</v>
      </c>
      <c r="N588" s="111"/>
      <c r="O588" s="111"/>
      <c r="P588" s="111"/>
      <c r="Q588" s="111"/>
      <c r="R588" s="111"/>
      <c r="S588" s="111"/>
      <c r="T588" s="111"/>
      <c r="U588" s="111"/>
      <c r="V588" s="358"/>
      <c r="W588" s="391">
        <f t="shared" si="703"/>
        <v>0</v>
      </c>
      <c r="X588" s="17">
        <f t="shared" si="704"/>
        <v>0</v>
      </c>
      <c r="Y588" s="18">
        <f t="shared" si="705"/>
        <v>0</v>
      </c>
      <c r="Z588" s="19">
        <f t="shared" si="710"/>
        <v>0</v>
      </c>
      <c r="AA588" s="19"/>
      <c r="AB588" s="19"/>
      <c r="AC588" s="17"/>
      <c r="AE588" s="17"/>
      <c r="AF588" s="17"/>
      <c r="AG588" s="17"/>
      <c r="AH588" s="18">
        <f t="shared" si="706"/>
        <v>0</v>
      </c>
      <c r="AI588" s="19">
        <f t="shared" si="711"/>
        <v>0</v>
      </c>
      <c r="AJ588" s="97"/>
      <c r="AK588" s="17"/>
      <c r="AL588" s="17"/>
      <c r="AM588" s="17"/>
      <c r="AN588" s="18">
        <f t="shared" si="707"/>
        <v>0</v>
      </c>
      <c r="AO588" s="19">
        <f t="shared" si="712"/>
        <v>0</v>
      </c>
      <c r="AP588" s="97"/>
      <c r="AQ588" s="17"/>
      <c r="AR588" s="17"/>
      <c r="AS588" s="17"/>
      <c r="AT588" s="18">
        <f t="shared" si="708"/>
        <v>0</v>
      </c>
      <c r="AU588" s="19">
        <f t="shared" si="713"/>
        <v>0</v>
      </c>
      <c r="AV588" s="97"/>
      <c r="AW588" s="17"/>
      <c r="AX588" s="17"/>
      <c r="AY588" s="17"/>
      <c r="AZ588" s="18">
        <f t="shared" si="709"/>
        <v>0</v>
      </c>
      <c r="BA588" s="19">
        <f t="shared" si="714"/>
        <v>0</v>
      </c>
    </row>
    <row r="589" spans="1:53" ht="17.100000000000001" customHeight="1" x14ac:dyDescent="0.25">
      <c r="A589" s="40"/>
      <c r="B589" s="40"/>
      <c r="C589" s="77"/>
      <c r="D589" s="134"/>
      <c r="E589" s="134"/>
      <c r="F589" s="134"/>
      <c r="G589" s="134"/>
      <c r="H589" s="540"/>
      <c r="I589" s="229"/>
      <c r="J589" s="80">
        <f>SUM(J583:J588)</f>
        <v>0</v>
      </c>
      <c r="K589" s="80">
        <f t="shared" ref="K589:M589" si="715">SUM(K583:K588)</f>
        <v>0</v>
      </c>
      <c r="L589" s="80">
        <f t="shared" si="715"/>
        <v>0</v>
      </c>
      <c r="M589" s="80">
        <f t="shared" si="715"/>
        <v>0</v>
      </c>
      <c r="N589" s="81"/>
      <c r="O589" s="81"/>
      <c r="P589" s="81"/>
      <c r="Q589" s="81"/>
      <c r="R589" s="81"/>
      <c r="S589" s="81"/>
      <c r="T589" s="81"/>
      <c r="U589" s="81"/>
      <c r="V589" s="356"/>
      <c r="W589" s="381">
        <f t="shared" ref="W589:X589" si="716">SUM(W583:W588)</f>
        <v>0</v>
      </c>
      <c r="X589" s="82">
        <f t="shared" si="716"/>
        <v>0</v>
      </c>
      <c r="Y589" s="82">
        <f>SUM(Y583:Y588)</f>
        <v>0</v>
      </c>
      <c r="Z589" s="205">
        <f>IF(Y$589=0,0,Y589/Y$589)</f>
        <v>0</v>
      </c>
      <c r="AA589" s="205"/>
      <c r="AB589" s="205"/>
      <c r="AC589" s="83"/>
      <c r="AE589" s="80"/>
      <c r="AF589" s="80"/>
      <c r="AG589" s="81"/>
      <c r="AH589" s="82">
        <f>SUM(AH583:AH588)</f>
        <v>0</v>
      </c>
      <c r="AI589" s="66">
        <f t="shared" si="711"/>
        <v>0</v>
      </c>
      <c r="AK589" s="80"/>
      <c r="AL589" s="80"/>
      <c r="AM589" s="81"/>
      <c r="AN589" s="82">
        <f>SUM(AN583:AN588)</f>
        <v>0</v>
      </c>
      <c r="AO589" s="66">
        <f t="shared" si="712"/>
        <v>0</v>
      </c>
      <c r="AQ589" s="80"/>
      <c r="AR589" s="80"/>
      <c r="AS589" s="81"/>
      <c r="AT589" s="82">
        <f>SUM(AT583:AT588)</f>
        <v>0</v>
      </c>
      <c r="AU589" s="66">
        <f t="shared" si="713"/>
        <v>0</v>
      </c>
      <c r="AW589" s="80"/>
      <c r="AX589" s="80"/>
      <c r="AY589" s="81"/>
      <c r="AZ589" s="82">
        <f>SUM(AZ583:AZ588)</f>
        <v>0</v>
      </c>
      <c r="BA589" s="66">
        <f t="shared" si="714"/>
        <v>0</v>
      </c>
    </row>
    <row r="590" spans="1:53" s="117" customFormat="1" ht="17.100000000000001" customHeight="1" x14ac:dyDescent="0.25">
      <c r="A590" s="68"/>
      <c r="B590" s="119"/>
      <c r="C590" s="540"/>
      <c r="D590" s="261"/>
      <c r="E590" s="261"/>
      <c r="F590" s="68"/>
      <c r="G590" s="68"/>
      <c r="H590" s="119"/>
      <c r="I590" s="138"/>
      <c r="J590" s="17" t="str">
        <f t="shared" ref="J590:L590" si="717">IF(J589=J$576,"OK","NOK")</f>
        <v>OK</v>
      </c>
      <c r="K590" s="17" t="str">
        <f t="shared" si="717"/>
        <v>OK</v>
      </c>
      <c r="L590" s="17" t="str">
        <f t="shared" si="717"/>
        <v>OK</v>
      </c>
      <c r="M590" s="17"/>
      <c r="N590" s="17"/>
      <c r="O590" s="17"/>
      <c r="P590" s="17"/>
      <c r="Q590" s="17"/>
      <c r="R590" s="17"/>
      <c r="S590" s="17"/>
      <c r="T590" s="17"/>
      <c r="U590" s="17"/>
      <c r="V590" s="359"/>
      <c r="W590" s="382"/>
      <c r="X590" s="539"/>
      <c r="Y590" s="539"/>
      <c r="Z590" s="201"/>
      <c r="AA590" s="201"/>
      <c r="AB590" s="201"/>
      <c r="AC590" s="84"/>
      <c r="AE590" s="46"/>
      <c r="AF590" s="46"/>
      <c r="AG590" s="17"/>
      <c r="AH590" s="539"/>
      <c r="AI590" s="91"/>
      <c r="AK590" s="46"/>
      <c r="AL590" s="46"/>
      <c r="AM590" s="17"/>
      <c r="AN590" s="539"/>
      <c r="AO590" s="91"/>
      <c r="AQ590" s="46"/>
      <c r="AR590" s="46"/>
      <c r="AS590" s="17"/>
      <c r="AT590" s="539"/>
      <c r="AU590" s="91"/>
      <c r="AW590" s="46"/>
      <c r="AX590" s="46"/>
      <c r="AY590" s="17"/>
      <c r="AZ590" s="539"/>
      <c r="BA590" s="91"/>
    </row>
    <row r="591" spans="1:53" ht="17.100000000000001" customHeight="1" x14ac:dyDescent="0.25">
      <c r="A591" s="68"/>
      <c r="B591" s="41" t="s">
        <v>338</v>
      </c>
      <c r="C591" s="69" t="s">
        <v>360</v>
      </c>
      <c r="D591" s="50"/>
      <c r="E591" s="70"/>
      <c r="F591" s="70"/>
      <c r="G591" s="70"/>
      <c r="H591" s="243">
        <v>18</v>
      </c>
      <c r="J591" s="71"/>
      <c r="K591" s="71"/>
      <c r="L591" s="71"/>
      <c r="M591" s="71"/>
      <c r="N591" s="71"/>
      <c r="O591" s="71"/>
      <c r="P591" s="71"/>
      <c r="Q591" s="71"/>
      <c r="R591" s="71"/>
      <c r="S591" s="71"/>
      <c r="T591" s="71"/>
      <c r="U591" s="71"/>
      <c r="V591" s="355"/>
      <c r="W591" s="377"/>
      <c r="X591" s="71"/>
      <c r="Y591" s="72"/>
      <c r="Z591" s="73"/>
      <c r="AA591" s="73"/>
      <c r="AB591" s="73"/>
      <c r="AC591" s="73"/>
      <c r="AE591" s="71"/>
      <c r="AF591" s="71"/>
      <c r="AG591" s="71"/>
      <c r="AH591" s="72"/>
      <c r="AI591" s="73"/>
      <c r="AK591" s="71"/>
      <c r="AL591" s="71"/>
      <c r="AM591" s="71"/>
      <c r="AN591" s="72"/>
      <c r="AO591" s="73"/>
      <c r="AQ591" s="71"/>
      <c r="AR591" s="71"/>
      <c r="AS591" s="71"/>
      <c r="AT591" s="72"/>
      <c r="AU591" s="73"/>
      <c r="AW591" s="71"/>
      <c r="AX591" s="71"/>
      <c r="AY591" s="71"/>
      <c r="AZ591" s="72"/>
      <c r="BA591" s="73"/>
    </row>
    <row r="592" spans="1:53" ht="17.100000000000001" customHeight="1" x14ac:dyDescent="0.25">
      <c r="A592" s="40"/>
      <c r="B592" s="40"/>
      <c r="C592" s="74" t="s">
        <v>339</v>
      </c>
      <c r="D592" s="85" t="s">
        <v>504</v>
      </c>
      <c r="E592" s="105"/>
      <c r="F592" s="105"/>
      <c r="G592" s="105"/>
      <c r="H592" s="119"/>
      <c r="I592" s="231"/>
      <c r="J592" s="581"/>
      <c r="K592" s="581"/>
      <c r="L592" s="582"/>
      <c r="M592" s="593">
        <f t="shared" ref="M592:M596" si="718">SUM(J592:L592)</f>
        <v>0</v>
      </c>
      <c r="N592" s="111"/>
      <c r="O592" s="111"/>
      <c r="P592" s="111"/>
      <c r="Q592" s="111"/>
      <c r="R592" s="111"/>
      <c r="S592" s="111"/>
      <c r="T592" s="111"/>
      <c r="U592" s="111"/>
      <c r="V592" s="358"/>
      <c r="W592" s="391">
        <f t="shared" ref="W592:W596" si="719">J592+K592+N592+Q592+T592</f>
        <v>0</v>
      </c>
      <c r="X592" s="17">
        <f t="shared" ref="X592:X596" si="720">L592+O592+R592+U592</f>
        <v>0</v>
      </c>
      <c r="Y592" s="18">
        <f>SUM(W592:X592)</f>
        <v>0</v>
      </c>
      <c r="Z592" s="19">
        <f>IF(Y$597=0,0,Y592/Y$597)</f>
        <v>0</v>
      </c>
      <c r="AA592" s="19"/>
      <c r="AB592" s="19"/>
      <c r="AC592" s="17"/>
      <c r="AE592" s="17"/>
      <c r="AF592" s="17"/>
      <c r="AG592" s="17"/>
      <c r="AH592" s="18">
        <f t="shared" ref="AH592:AH596" si="721">J592</f>
        <v>0</v>
      </c>
      <c r="AI592" s="19">
        <f>IF(AH$597=0,0,AH592/AH$597)</f>
        <v>0</v>
      </c>
      <c r="AJ592" s="97"/>
      <c r="AK592" s="17"/>
      <c r="AL592" s="17"/>
      <c r="AM592" s="17"/>
      <c r="AN592" s="18">
        <f t="shared" ref="AN592:AN596" si="722">K592</f>
        <v>0</v>
      </c>
      <c r="AO592" s="19">
        <f>IF(AN$597=0,0,AN592/AN$597)</f>
        <v>0</v>
      </c>
      <c r="AP592" s="97"/>
      <c r="AQ592" s="17"/>
      <c r="AR592" s="17"/>
      <c r="AS592" s="17"/>
      <c r="AT592" s="18">
        <f t="shared" ref="AT592:AT596" si="723">W592</f>
        <v>0</v>
      </c>
      <c r="AU592" s="19">
        <f>IF(AT$597=0,0,AT592/AT$597)</f>
        <v>0</v>
      </c>
      <c r="AV592" s="97"/>
      <c r="AW592" s="17"/>
      <c r="AX592" s="17"/>
      <c r="AY592" s="17"/>
      <c r="AZ592" s="18">
        <f t="shared" ref="AZ592:AZ596" si="724">X592</f>
        <v>0</v>
      </c>
      <c r="BA592" s="19">
        <f>IF(AZ$597=0,0,AZ592/AZ$597)</f>
        <v>0</v>
      </c>
    </row>
    <row r="593" spans="1:53" ht="17.100000000000001" customHeight="1" x14ac:dyDescent="0.25">
      <c r="A593" s="40"/>
      <c r="B593" s="40"/>
      <c r="C593" s="74" t="s">
        <v>340</v>
      </c>
      <c r="D593" s="85" t="s">
        <v>505</v>
      </c>
      <c r="E593" s="105"/>
      <c r="F593" s="105"/>
      <c r="G593" s="105"/>
      <c r="H593" s="119"/>
      <c r="I593" s="231"/>
      <c r="J593" s="583"/>
      <c r="K593" s="583"/>
      <c r="L593" s="584"/>
      <c r="M593" s="593">
        <f t="shared" si="718"/>
        <v>0</v>
      </c>
      <c r="N593" s="111"/>
      <c r="O593" s="111"/>
      <c r="P593" s="111"/>
      <c r="Q593" s="111"/>
      <c r="R593" s="111"/>
      <c r="S593" s="111"/>
      <c r="T593" s="111"/>
      <c r="U593" s="111"/>
      <c r="V593" s="358"/>
      <c r="W593" s="391">
        <f t="shared" si="719"/>
        <v>0</v>
      </c>
      <c r="X593" s="17">
        <f t="shared" si="720"/>
        <v>0</v>
      </c>
      <c r="Y593" s="18">
        <f>SUM(W593:X593)</f>
        <v>0</v>
      </c>
      <c r="Z593" s="19">
        <f t="shared" ref="Z593:Z596" si="725">IF(Y$597=0,0,Y593/Y$597)</f>
        <v>0</v>
      </c>
      <c r="AA593" s="19"/>
      <c r="AB593" s="19"/>
      <c r="AC593" s="17"/>
      <c r="AE593" s="17"/>
      <c r="AF593" s="17"/>
      <c r="AG593" s="17"/>
      <c r="AH593" s="18">
        <f t="shared" si="721"/>
        <v>0</v>
      </c>
      <c r="AI593" s="19">
        <f t="shared" ref="AI593:AI597" si="726">IF(AH$597=0,0,AH593/AH$597)</f>
        <v>0</v>
      </c>
      <c r="AJ593" s="97"/>
      <c r="AK593" s="17"/>
      <c r="AL593" s="17"/>
      <c r="AM593" s="17"/>
      <c r="AN593" s="18">
        <f t="shared" si="722"/>
        <v>0</v>
      </c>
      <c r="AO593" s="19">
        <f t="shared" ref="AO593:AO597" si="727">IF(AN$597=0,0,AN593/AN$597)</f>
        <v>0</v>
      </c>
      <c r="AP593" s="97"/>
      <c r="AQ593" s="17"/>
      <c r="AR593" s="17"/>
      <c r="AS593" s="17"/>
      <c r="AT593" s="18">
        <f t="shared" si="723"/>
        <v>0</v>
      </c>
      <c r="AU593" s="19">
        <f t="shared" ref="AU593:AU597" si="728">IF(AT$597=0,0,AT593/AT$597)</f>
        <v>0</v>
      </c>
      <c r="AV593" s="97"/>
      <c r="AW593" s="17"/>
      <c r="AX593" s="17"/>
      <c r="AY593" s="17"/>
      <c r="AZ593" s="18">
        <f t="shared" si="724"/>
        <v>0</v>
      </c>
      <c r="BA593" s="19">
        <f t="shared" ref="BA593:BA597" si="729">IF(AZ$597=0,0,AZ593/AZ$597)</f>
        <v>0</v>
      </c>
    </row>
    <row r="594" spans="1:53" ht="17.100000000000001" customHeight="1" x14ac:dyDescent="0.25">
      <c r="A594" s="40"/>
      <c r="B594" s="40"/>
      <c r="C594" s="74" t="s">
        <v>341</v>
      </c>
      <c r="D594" s="85" t="s">
        <v>506</v>
      </c>
      <c r="E594" s="105"/>
      <c r="F594" s="105"/>
      <c r="G594" s="105"/>
      <c r="H594" s="119"/>
      <c r="I594" s="231"/>
      <c r="J594" s="581"/>
      <c r="K594" s="581"/>
      <c r="L594" s="582"/>
      <c r="M594" s="593">
        <f t="shared" si="718"/>
        <v>0</v>
      </c>
      <c r="N594" s="111"/>
      <c r="O594" s="111"/>
      <c r="P594" s="111"/>
      <c r="Q594" s="111"/>
      <c r="R594" s="111"/>
      <c r="S594" s="111"/>
      <c r="T594" s="111"/>
      <c r="U594" s="111"/>
      <c r="V594" s="358"/>
      <c r="W594" s="391">
        <f t="shared" si="719"/>
        <v>0</v>
      </c>
      <c r="X594" s="17">
        <f t="shared" si="720"/>
        <v>0</v>
      </c>
      <c r="Y594" s="18">
        <f>SUM(W594:X594)</f>
        <v>0</v>
      </c>
      <c r="Z594" s="19">
        <f t="shared" si="725"/>
        <v>0</v>
      </c>
      <c r="AA594" s="19"/>
      <c r="AB594" s="19"/>
      <c r="AC594" s="17"/>
      <c r="AE594" s="17"/>
      <c r="AF594" s="17"/>
      <c r="AG594" s="17"/>
      <c r="AH594" s="18">
        <f t="shared" si="721"/>
        <v>0</v>
      </c>
      <c r="AI594" s="19">
        <f t="shared" si="726"/>
        <v>0</v>
      </c>
      <c r="AJ594" s="97"/>
      <c r="AK594" s="17"/>
      <c r="AL594" s="17"/>
      <c r="AM594" s="17"/>
      <c r="AN594" s="18">
        <f t="shared" si="722"/>
        <v>0</v>
      </c>
      <c r="AO594" s="19">
        <f t="shared" si="727"/>
        <v>0</v>
      </c>
      <c r="AP594" s="97"/>
      <c r="AQ594" s="17"/>
      <c r="AR594" s="17"/>
      <c r="AS594" s="17"/>
      <c r="AT594" s="18">
        <f t="shared" si="723"/>
        <v>0</v>
      </c>
      <c r="AU594" s="19">
        <f t="shared" si="728"/>
        <v>0</v>
      </c>
      <c r="AV594" s="97"/>
      <c r="AW594" s="17"/>
      <c r="AX594" s="17"/>
      <c r="AY594" s="17"/>
      <c r="AZ594" s="18">
        <f t="shared" si="724"/>
        <v>0</v>
      </c>
      <c r="BA594" s="19">
        <f t="shared" si="729"/>
        <v>0</v>
      </c>
    </row>
    <row r="595" spans="1:53" ht="17.100000000000001" customHeight="1" x14ac:dyDescent="0.25">
      <c r="A595" s="40"/>
      <c r="B595" s="40"/>
      <c r="C595" s="74" t="s">
        <v>342</v>
      </c>
      <c r="D595" s="85" t="s">
        <v>129</v>
      </c>
      <c r="E595" s="105"/>
      <c r="F595" s="105"/>
      <c r="G595" s="105"/>
      <c r="H595" s="119"/>
      <c r="I595" s="231"/>
      <c r="J595" s="583"/>
      <c r="K595" s="583"/>
      <c r="L595" s="584"/>
      <c r="M595" s="593">
        <f t="shared" si="718"/>
        <v>0</v>
      </c>
      <c r="N595" s="111"/>
      <c r="O595" s="111"/>
      <c r="P595" s="111"/>
      <c r="Q595" s="111"/>
      <c r="R595" s="111"/>
      <c r="S595" s="111"/>
      <c r="T595" s="111"/>
      <c r="U595" s="111"/>
      <c r="V595" s="358"/>
      <c r="W595" s="391">
        <f t="shared" si="719"/>
        <v>0</v>
      </c>
      <c r="X595" s="17">
        <f t="shared" si="720"/>
        <v>0</v>
      </c>
      <c r="Y595" s="18">
        <f>SUM(W595:X595)</f>
        <v>0</v>
      </c>
      <c r="Z595" s="19">
        <f t="shared" si="725"/>
        <v>0</v>
      </c>
      <c r="AA595" s="19"/>
      <c r="AB595" s="19"/>
      <c r="AC595" s="17"/>
      <c r="AE595" s="17"/>
      <c r="AF595" s="17"/>
      <c r="AG595" s="17"/>
      <c r="AH595" s="18">
        <f t="shared" si="721"/>
        <v>0</v>
      </c>
      <c r="AI595" s="19">
        <f t="shared" si="726"/>
        <v>0</v>
      </c>
      <c r="AJ595" s="97"/>
      <c r="AK595" s="17"/>
      <c r="AL595" s="17"/>
      <c r="AM595" s="17"/>
      <c r="AN595" s="18">
        <f t="shared" si="722"/>
        <v>0</v>
      </c>
      <c r="AO595" s="19">
        <f t="shared" si="727"/>
        <v>0</v>
      </c>
      <c r="AP595" s="97"/>
      <c r="AQ595" s="17"/>
      <c r="AR595" s="17"/>
      <c r="AS595" s="17"/>
      <c r="AT595" s="18">
        <f t="shared" si="723"/>
        <v>0</v>
      </c>
      <c r="AU595" s="19">
        <f t="shared" si="728"/>
        <v>0</v>
      </c>
      <c r="AV595" s="97"/>
      <c r="AW595" s="17"/>
      <c r="AX595" s="17"/>
      <c r="AY595" s="17"/>
      <c r="AZ595" s="18">
        <f t="shared" si="724"/>
        <v>0</v>
      </c>
      <c r="BA595" s="19">
        <f t="shared" si="729"/>
        <v>0</v>
      </c>
    </row>
    <row r="596" spans="1:53" ht="17.100000000000001" customHeight="1" x14ac:dyDescent="0.25">
      <c r="A596" s="40"/>
      <c r="B596" s="40"/>
      <c r="C596" s="74" t="s">
        <v>553</v>
      </c>
      <c r="D596" s="85" t="s">
        <v>530</v>
      </c>
      <c r="E596" s="105"/>
      <c r="F596" s="105"/>
      <c r="G596" s="105"/>
      <c r="H596" s="119"/>
      <c r="I596" s="231"/>
      <c r="J596" s="581"/>
      <c r="K596" s="581"/>
      <c r="L596" s="582"/>
      <c r="M596" s="593">
        <f t="shared" si="718"/>
        <v>0</v>
      </c>
      <c r="N596" s="111"/>
      <c r="O596" s="111"/>
      <c r="P596" s="111"/>
      <c r="Q596" s="111"/>
      <c r="R596" s="111"/>
      <c r="S596" s="111"/>
      <c r="T596" s="111"/>
      <c r="U596" s="111"/>
      <c r="V596" s="358"/>
      <c r="W596" s="391">
        <f t="shared" si="719"/>
        <v>0</v>
      </c>
      <c r="X596" s="17">
        <f t="shared" si="720"/>
        <v>0</v>
      </c>
      <c r="Y596" s="18">
        <f>SUM(W596:X596)</f>
        <v>0</v>
      </c>
      <c r="Z596" s="19">
        <f t="shared" si="725"/>
        <v>0</v>
      </c>
      <c r="AA596" s="19"/>
      <c r="AB596" s="19"/>
      <c r="AC596" s="17"/>
      <c r="AE596" s="17"/>
      <c r="AF596" s="17"/>
      <c r="AG596" s="17"/>
      <c r="AH596" s="18">
        <f t="shared" si="721"/>
        <v>0</v>
      </c>
      <c r="AI596" s="19">
        <f t="shared" si="726"/>
        <v>0</v>
      </c>
      <c r="AJ596" s="97"/>
      <c r="AK596" s="17"/>
      <c r="AL596" s="17"/>
      <c r="AM596" s="17"/>
      <c r="AN596" s="18">
        <f t="shared" si="722"/>
        <v>0</v>
      </c>
      <c r="AO596" s="19">
        <f t="shared" si="727"/>
        <v>0</v>
      </c>
      <c r="AP596" s="97"/>
      <c r="AQ596" s="17"/>
      <c r="AR596" s="17"/>
      <c r="AS596" s="17"/>
      <c r="AT596" s="18">
        <f t="shared" si="723"/>
        <v>0</v>
      </c>
      <c r="AU596" s="19">
        <f t="shared" si="728"/>
        <v>0</v>
      </c>
      <c r="AV596" s="97"/>
      <c r="AW596" s="17"/>
      <c r="AX596" s="17"/>
      <c r="AY596" s="17"/>
      <c r="AZ596" s="18">
        <f t="shared" si="724"/>
        <v>0</v>
      </c>
      <c r="BA596" s="19">
        <f t="shared" si="729"/>
        <v>0</v>
      </c>
    </row>
    <row r="597" spans="1:53" ht="17.100000000000001" customHeight="1" x14ac:dyDescent="0.25">
      <c r="A597" s="40"/>
      <c r="B597" s="40"/>
      <c r="C597" s="77"/>
      <c r="D597" s="134"/>
      <c r="E597" s="134"/>
      <c r="F597" s="134"/>
      <c r="G597" s="134"/>
      <c r="H597" s="540"/>
      <c r="I597" s="229"/>
      <c r="J597" s="80">
        <f>SUM(J592:J596)</f>
        <v>0</v>
      </c>
      <c r="K597" s="80">
        <f t="shared" ref="K597:M597" si="730">SUM(K592:K596)</f>
        <v>0</v>
      </c>
      <c r="L597" s="80">
        <f t="shared" si="730"/>
        <v>0</v>
      </c>
      <c r="M597" s="80">
        <f t="shared" si="730"/>
        <v>0</v>
      </c>
      <c r="N597" s="81"/>
      <c r="O597" s="81"/>
      <c r="P597" s="81"/>
      <c r="Q597" s="81"/>
      <c r="R597" s="81"/>
      <c r="S597" s="81"/>
      <c r="T597" s="81"/>
      <c r="U597" s="81"/>
      <c r="V597" s="356"/>
      <c r="W597" s="381">
        <f>SUM(W592:W596)</f>
        <v>0</v>
      </c>
      <c r="X597" s="82">
        <f t="shared" ref="X597:Y597" si="731">SUM(X592:X596)</f>
        <v>0</v>
      </c>
      <c r="Y597" s="82">
        <f t="shared" si="731"/>
        <v>0</v>
      </c>
      <c r="Z597" s="205">
        <f>IF(Y$597=0,0,Y597/Y$597)</f>
        <v>0</v>
      </c>
      <c r="AA597" s="205"/>
      <c r="AB597" s="205"/>
      <c r="AC597" s="83"/>
      <c r="AE597" s="80"/>
      <c r="AF597" s="80"/>
      <c r="AG597" s="81"/>
      <c r="AH597" s="82">
        <f>SUM(AH592:AH596)</f>
        <v>0</v>
      </c>
      <c r="AI597" s="66">
        <f t="shared" si="726"/>
        <v>0</v>
      </c>
      <c r="AK597" s="80"/>
      <c r="AL597" s="80"/>
      <c r="AM597" s="81"/>
      <c r="AN597" s="82">
        <f>SUM(AN592:AN596)</f>
        <v>0</v>
      </c>
      <c r="AO597" s="66">
        <f t="shared" si="727"/>
        <v>0</v>
      </c>
      <c r="AQ597" s="80"/>
      <c r="AR597" s="80"/>
      <c r="AS597" s="81"/>
      <c r="AT597" s="82">
        <f>SUM(AT592:AT596)</f>
        <v>0</v>
      </c>
      <c r="AU597" s="66">
        <f t="shared" si="728"/>
        <v>0</v>
      </c>
      <c r="AW597" s="80"/>
      <c r="AX597" s="80"/>
      <c r="AY597" s="81"/>
      <c r="AZ597" s="82">
        <f>SUM(AZ592:AZ596)</f>
        <v>0</v>
      </c>
      <c r="BA597" s="66">
        <f t="shared" si="729"/>
        <v>0</v>
      </c>
    </row>
    <row r="598" spans="1:53" s="117" customFormat="1" ht="17.100000000000001" customHeight="1" x14ac:dyDescent="0.25">
      <c r="A598" s="68"/>
      <c r="B598" s="119"/>
      <c r="C598" s="540"/>
      <c r="D598" s="261"/>
      <c r="E598" s="261"/>
      <c r="F598" s="68"/>
      <c r="G598" s="68"/>
      <c r="H598" s="119"/>
      <c r="I598" s="138"/>
      <c r="J598" s="17" t="str">
        <f t="shared" ref="J598:L598" si="732">IF(J597=J$576,"OK","NOK")</f>
        <v>OK</v>
      </c>
      <c r="K598" s="17" t="str">
        <f t="shared" si="732"/>
        <v>OK</v>
      </c>
      <c r="L598" s="17" t="str">
        <f t="shared" si="732"/>
        <v>OK</v>
      </c>
      <c r="M598" s="17"/>
      <c r="N598" s="17"/>
      <c r="O598" s="17"/>
      <c r="P598" s="17"/>
      <c r="Q598" s="17"/>
      <c r="R598" s="17"/>
      <c r="S598" s="17"/>
      <c r="T598" s="17"/>
      <c r="U598" s="17"/>
      <c r="V598" s="359"/>
      <c r="W598" s="382"/>
      <c r="X598" s="539"/>
      <c r="Y598" s="539"/>
      <c r="Z598" s="201"/>
      <c r="AA598" s="201"/>
      <c r="AB598" s="201"/>
      <c r="AC598" s="84"/>
      <c r="AE598" s="46"/>
      <c r="AF598" s="46"/>
      <c r="AG598" s="17"/>
      <c r="AH598" s="539"/>
      <c r="AI598" s="91"/>
      <c r="AK598" s="46"/>
      <c r="AL598" s="46"/>
      <c r="AM598" s="17"/>
      <c r="AN598" s="539"/>
      <c r="AO598" s="91"/>
      <c r="AQ598" s="46"/>
      <c r="AR598" s="46"/>
      <c r="AS598" s="17"/>
      <c r="AT598" s="539"/>
      <c r="AU598" s="91"/>
      <c r="AW598" s="46"/>
      <c r="AX598" s="46"/>
      <c r="AY598" s="17"/>
      <c r="AZ598" s="539"/>
      <c r="BA598" s="91"/>
    </row>
    <row r="599" spans="1:53" ht="17.100000000000001" customHeight="1" x14ac:dyDescent="0.25">
      <c r="A599" s="68"/>
      <c r="B599" s="41" t="s">
        <v>343</v>
      </c>
      <c r="C599" s="69" t="s">
        <v>507</v>
      </c>
      <c r="D599" s="50"/>
      <c r="E599" s="70"/>
      <c r="F599" s="70"/>
      <c r="G599" s="70"/>
      <c r="H599" s="243">
        <v>19</v>
      </c>
      <c r="J599" s="71"/>
      <c r="K599" s="71"/>
      <c r="L599" s="71"/>
      <c r="M599" s="71"/>
      <c r="N599" s="71"/>
      <c r="O599" s="71"/>
      <c r="P599" s="71"/>
      <c r="Q599" s="71"/>
      <c r="R599" s="71"/>
      <c r="S599" s="71"/>
      <c r="T599" s="71"/>
      <c r="U599" s="71"/>
      <c r="V599" s="355"/>
      <c r="W599" s="377"/>
      <c r="X599" s="71"/>
      <c r="Y599" s="72"/>
      <c r="Z599" s="73"/>
      <c r="AA599" s="73"/>
      <c r="AB599" s="73"/>
      <c r="AC599" s="73"/>
      <c r="AE599" s="71"/>
      <c r="AF599" s="71"/>
      <c r="AG599" s="71"/>
      <c r="AH599" s="72"/>
      <c r="AI599" s="73"/>
      <c r="AK599" s="71"/>
      <c r="AL599" s="71"/>
      <c r="AM599" s="71"/>
      <c r="AN599" s="72"/>
      <c r="AO599" s="73"/>
      <c r="AQ599" s="71"/>
      <c r="AR599" s="71"/>
      <c r="AS599" s="71"/>
      <c r="AT599" s="72"/>
      <c r="AU599" s="73"/>
      <c r="AW599" s="71"/>
      <c r="AX599" s="71"/>
      <c r="AY599" s="71"/>
      <c r="AZ599" s="72"/>
      <c r="BA599" s="73"/>
    </row>
    <row r="600" spans="1:53" ht="17.100000000000001" customHeight="1" x14ac:dyDescent="0.25">
      <c r="A600" s="40"/>
      <c r="B600" s="40"/>
      <c r="C600" s="74" t="s">
        <v>344</v>
      </c>
      <c r="D600" s="85" t="s">
        <v>173</v>
      </c>
      <c r="E600" s="105"/>
      <c r="F600" s="105"/>
      <c r="G600" s="105"/>
      <c r="H600" s="119"/>
      <c r="I600" s="231"/>
      <c r="J600" s="581"/>
      <c r="K600" s="581"/>
      <c r="L600" s="582"/>
      <c r="M600" s="593">
        <f t="shared" ref="M600:M606" si="733">SUM(J600:L600)</f>
        <v>0</v>
      </c>
      <c r="N600" s="111"/>
      <c r="O600" s="111"/>
      <c r="P600" s="111"/>
      <c r="Q600" s="111"/>
      <c r="R600" s="111"/>
      <c r="S600" s="111"/>
      <c r="T600" s="111"/>
      <c r="U600" s="111"/>
      <c r="V600" s="358"/>
      <c r="W600" s="391">
        <f t="shared" ref="W600:W601" si="734">J600+K600+N600+Q600+T600</f>
        <v>0</v>
      </c>
      <c r="X600" s="17">
        <f t="shared" ref="X600:X601" si="735">L600+O600+R600+U600</f>
        <v>0</v>
      </c>
      <c r="Y600" s="18">
        <f>SUM(W600:X600)</f>
        <v>0</v>
      </c>
      <c r="Z600" s="19">
        <f>IF(Y$607=0,0,Y600/Y$607)</f>
        <v>0</v>
      </c>
      <c r="AA600" s="19"/>
      <c r="AB600" s="19"/>
      <c r="AC600" s="17"/>
      <c r="AE600" s="17"/>
      <c r="AF600" s="17"/>
      <c r="AG600" s="17"/>
      <c r="AH600" s="18">
        <f t="shared" ref="AH600:AH601" si="736">J600</f>
        <v>0</v>
      </c>
      <c r="AI600" s="19">
        <f>IF(AH$607=0,0,AH600/AH$607)</f>
        <v>0</v>
      </c>
      <c r="AJ600" s="97"/>
      <c r="AK600" s="17"/>
      <c r="AL600" s="17"/>
      <c r="AM600" s="17"/>
      <c r="AN600" s="18">
        <f t="shared" ref="AN600:AN601" si="737">K600</f>
        <v>0</v>
      </c>
      <c r="AO600" s="19">
        <f>IF(AN$607=0,0,AN600/AN$607)</f>
        <v>0</v>
      </c>
      <c r="AP600" s="97"/>
      <c r="AQ600" s="17"/>
      <c r="AR600" s="17"/>
      <c r="AS600" s="17"/>
      <c r="AT600" s="18">
        <f t="shared" ref="AT600:AT601" si="738">W600</f>
        <v>0</v>
      </c>
      <c r="AU600" s="19">
        <f>IF(AT$607=0,0,AT600/AT$607)</f>
        <v>0</v>
      </c>
      <c r="AV600" s="97"/>
      <c r="AW600" s="17"/>
      <c r="AX600" s="17"/>
      <c r="AY600" s="17"/>
      <c r="AZ600" s="18">
        <f t="shared" ref="AZ600:AZ601" si="739">X600</f>
        <v>0</v>
      </c>
      <c r="BA600" s="19">
        <f>IF(AZ$607=0,0,AZ600/AZ$607)</f>
        <v>0</v>
      </c>
    </row>
    <row r="601" spans="1:53" ht="17.100000000000001" customHeight="1" x14ac:dyDescent="0.25">
      <c r="A601" s="40"/>
      <c r="B601" s="40"/>
      <c r="C601" s="74" t="s">
        <v>345</v>
      </c>
      <c r="D601" s="85" t="s">
        <v>544</v>
      </c>
      <c r="E601" s="105"/>
      <c r="F601" s="105"/>
      <c r="G601" s="105"/>
      <c r="H601" s="119"/>
      <c r="I601" s="231"/>
      <c r="J601" s="583"/>
      <c r="K601" s="583"/>
      <c r="L601" s="584"/>
      <c r="M601" s="593">
        <f t="shared" si="733"/>
        <v>0</v>
      </c>
      <c r="N601" s="111"/>
      <c r="O601" s="111"/>
      <c r="P601" s="111"/>
      <c r="Q601" s="111"/>
      <c r="R601" s="111"/>
      <c r="S601" s="111"/>
      <c r="T601" s="111"/>
      <c r="U601" s="111"/>
      <c r="V601" s="358"/>
      <c r="W601" s="391">
        <f t="shared" si="734"/>
        <v>0</v>
      </c>
      <c r="X601" s="17">
        <f t="shared" si="735"/>
        <v>0</v>
      </c>
      <c r="Y601" s="18">
        <f>SUM(W601:X601)</f>
        <v>0</v>
      </c>
      <c r="Z601" s="19">
        <f t="shared" ref="Z601:Z606" si="740">IF(Y$607=0,0,Y601/Y$607)</f>
        <v>0</v>
      </c>
      <c r="AA601" s="19"/>
      <c r="AB601" s="19"/>
      <c r="AC601" s="17"/>
      <c r="AE601" s="17"/>
      <c r="AF601" s="17"/>
      <c r="AG601" s="17"/>
      <c r="AH601" s="18">
        <f t="shared" si="736"/>
        <v>0</v>
      </c>
      <c r="AI601" s="19">
        <f>IF(AH$607=0,0,AH601/AH$607)</f>
        <v>0</v>
      </c>
      <c r="AJ601" s="97"/>
      <c r="AK601" s="17"/>
      <c r="AL601" s="17"/>
      <c r="AM601" s="17"/>
      <c r="AN601" s="18">
        <f t="shared" si="737"/>
        <v>0</v>
      </c>
      <c r="AO601" s="19">
        <f>IF(AN$607=0,0,AN601/AN$607)</f>
        <v>0</v>
      </c>
      <c r="AP601" s="97"/>
      <c r="AQ601" s="17"/>
      <c r="AR601" s="17"/>
      <c r="AS601" s="17"/>
      <c r="AT601" s="18">
        <f t="shared" si="738"/>
        <v>0</v>
      </c>
      <c r="AU601" s="19">
        <f>IF(AT$607=0,0,AT601/AT$607)</f>
        <v>0</v>
      </c>
      <c r="AV601" s="97"/>
      <c r="AW601" s="17"/>
      <c r="AX601" s="17"/>
      <c r="AY601" s="17"/>
      <c r="AZ601" s="18">
        <f t="shared" si="739"/>
        <v>0</v>
      </c>
      <c r="BA601" s="19">
        <f>IF(AZ$607=0,0,AZ601/AZ$607)</f>
        <v>0</v>
      </c>
    </row>
    <row r="602" spans="1:53" ht="17.100000000000001" customHeight="1" x14ac:dyDescent="0.25">
      <c r="A602" s="40"/>
      <c r="B602" s="40"/>
      <c r="C602" s="74" t="s">
        <v>346</v>
      </c>
      <c r="D602" s="146" t="s">
        <v>484</v>
      </c>
      <c r="E602" s="75"/>
      <c r="F602" s="105"/>
      <c r="G602" s="105"/>
      <c r="H602" s="119"/>
      <c r="I602" s="231"/>
      <c r="J602" s="581"/>
      <c r="K602" s="581"/>
      <c r="L602" s="582"/>
      <c r="M602" s="593">
        <v>20000</v>
      </c>
      <c r="N602" s="111"/>
      <c r="O602" s="111"/>
      <c r="P602" s="111"/>
      <c r="Q602" s="111"/>
      <c r="R602" s="111"/>
      <c r="S602" s="111"/>
      <c r="T602" s="111"/>
      <c r="U602" s="111"/>
      <c r="V602" s="358"/>
      <c r="W602" s="391">
        <f>MIN(J602:K602)</f>
        <v>0</v>
      </c>
      <c r="X602" s="17">
        <f>L602</f>
        <v>0</v>
      </c>
      <c r="Y602" s="17">
        <f>M602</f>
        <v>20000</v>
      </c>
      <c r="Z602" s="19"/>
      <c r="AA602" s="17">
        <f>MIN(J602:L602)</f>
        <v>0</v>
      </c>
      <c r="AB602" s="17"/>
      <c r="AC602" s="17"/>
      <c r="AE602" s="17">
        <f>J602</f>
        <v>0</v>
      </c>
      <c r="AF602" s="17"/>
      <c r="AG602" s="17"/>
      <c r="AH602" s="18"/>
      <c r="AI602" s="19"/>
      <c r="AJ602" s="97"/>
      <c r="AK602" s="17">
        <f>K602</f>
        <v>0</v>
      </c>
      <c r="AL602" s="17"/>
      <c r="AM602" s="17"/>
      <c r="AN602" s="18"/>
      <c r="AO602" s="19"/>
      <c r="AP602" s="97"/>
      <c r="AQ602" s="17">
        <f>W602</f>
        <v>0</v>
      </c>
      <c r="AR602" s="17"/>
      <c r="AS602" s="17"/>
      <c r="AT602" s="18"/>
      <c r="AU602" s="19"/>
      <c r="AV602" s="97"/>
      <c r="AW602" s="17">
        <f>L602</f>
        <v>0</v>
      </c>
      <c r="AX602" s="17"/>
      <c r="AY602" s="17"/>
      <c r="AZ602" s="18"/>
      <c r="BA602" s="19"/>
    </row>
    <row r="603" spans="1:53" ht="17.100000000000001" customHeight="1" x14ac:dyDescent="0.25">
      <c r="A603" s="40"/>
      <c r="B603" s="40"/>
      <c r="C603" s="74" t="s">
        <v>347</v>
      </c>
      <c r="D603" s="146" t="s">
        <v>485</v>
      </c>
      <c r="E603" s="75"/>
      <c r="F603" s="105"/>
      <c r="G603" s="105"/>
      <c r="H603" s="119"/>
      <c r="I603" s="231"/>
      <c r="J603" s="583"/>
      <c r="K603" s="583"/>
      <c r="L603" s="584"/>
      <c r="M603" s="593">
        <v>100000</v>
      </c>
      <c r="N603" s="111"/>
      <c r="O603" s="111"/>
      <c r="P603" s="111"/>
      <c r="Q603" s="111"/>
      <c r="R603" s="111"/>
      <c r="S603" s="111"/>
      <c r="T603" s="111"/>
      <c r="U603" s="111"/>
      <c r="V603" s="358"/>
      <c r="W603" s="391">
        <f>MAX(J603:K603)</f>
        <v>0</v>
      </c>
      <c r="X603" s="17">
        <f t="shared" ref="X603:Y604" si="741">L603</f>
        <v>0</v>
      </c>
      <c r="Y603" s="17">
        <f t="shared" si="741"/>
        <v>100000</v>
      </c>
      <c r="Z603" s="19"/>
      <c r="AA603" s="17"/>
      <c r="AB603" s="17">
        <f>MAX(J603:L603)</f>
        <v>0</v>
      </c>
      <c r="AC603" s="17"/>
      <c r="AE603" s="17"/>
      <c r="AF603" s="17">
        <f>J603</f>
        <v>0</v>
      </c>
      <c r="AG603" s="17"/>
      <c r="AH603" s="18"/>
      <c r="AI603" s="19"/>
      <c r="AJ603" s="97"/>
      <c r="AK603" s="17"/>
      <c r="AL603" s="17">
        <f>K603</f>
        <v>0</v>
      </c>
      <c r="AM603" s="17"/>
      <c r="AN603" s="18"/>
      <c r="AO603" s="19"/>
      <c r="AP603" s="97"/>
      <c r="AQ603" s="17"/>
      <c r="AR603" s="17">
        <f>W603</f>
        <v>0</v>
      </c>
      <c r="AS603" s="17"/>
      <c r="AT603" s="18"/>
      <c r="AU603" s="19"/>
      <c r="AV603" s="97"/>
      <c r="AW603" s="17"/>
      <c r="AX603" s="17">
        <f>L603</f>
        <v>0</v>
      </c>
      <c r="AY603" s="17"/>
      <c r="AZ603" s="18"/>
      <c r="BA603" s="19"/>
    </row>
    <row r="604" spans="1:53" ht="17.100000000000001" customHeight="1" x14ac:dyDescent="0.25">
      <c r="A604" s="40"/>
      <c r="B604" s="40"/>
      <c r="C604" s="74" t="s">
        <v>348</v>
      </c>
      <c r="D604" s="146" t="s">
        <v>543</v>
      </c>
      <c r="E604" s="75"/>
      <c r="F604" s="105"/>
      <c r="G604" s="105"/>
      <c r="H604" s="119"/>
      <c r="I604" s="231"/>
      <c r="J604" s="581"/>
      <c r="K604" s="581"/>
      <c r="L604" s="582"/>
      <c r="M604" s="593">
        <v>45000</v>
      </c>
      <c r="N604" s="111"/>
      <c r="O604" s="111"/>
      <c r="P604" s="111"/>
      <c r="Q604" s="111"/>
      <c r="R604" s="111"/>
      <c r="S604" s="111"/>
      <c r="T604" s="111"/>
      <c r="U604" s="111"/>
      <c r="V604" s="358"/>
      <c r="W604" s="391">
        <f>IF(SUM(J604:K604)=0,0,AVERAGE(J604:K604))</f>
        <v>0</v>
      </c>
      <c r="X604" s="17">
        <f t="shared" si="741"/>
        <v>0</v>
      </c>
      <c r="Y604" s="17">
        <f t="shared" si="741"/>
        <v>45000</v>
      </c>
      <c r="Z604" s="19"/>
      <c r="AA604" s="17"/>
      <c r="AB604" s="17"/>
      <c r="AC604" s="17">
        <f>IF(SUM(J604:L604)=0,0,AVERAGE(J604:L604))</f>
        <v>0</v>
      </c>
      <c r="AE604" s="17"/>
      <c r="AF604" s="17"/>
      <c r="AG604" s="17">
        <f>J604</f>
        <v>0</v>
      </c>
      <c r="AH604" s="18"/>
      <c r="AI604" s="19"/>
      <c r="AJ604" s="97"/>
      <c r="AK604" s="17"/>
      <c r="AL604" s="17"/>
      <c r="AM604" s="17">
        <f>K604</f>
        <v>0</v>
      </c>
      <c r="AN604" s="18"/>
      <c r="AO604" s="19"/>
      <c r="AP604" s="97"/>
      <c r="AQ604" s="17"/>
      <c r="AR604" s="17"/>
      <c r="AS604" s="17">
        <f>W604</f>
        <v>0</v>
      </c>
      <c r="AT604" s="18"/>
      <c r="AU604" s="19"/>
      <c r="AV604" s="97"/>
      <c r="AW604" s="17"/>
      <c r="AX604" s="17"/>
      <c r="AY604" s="17">
        <f>L604</f>
        <v>0</v>
      </c>
      <c r="AZ604" s="18"/>
      <c r="BA604" s="19"/>
    </row>
    <row r="605" spans="1:53" ht="17.100000000000001" customHeight="1" x14ac:dyDescent="0.25">
      <c r="A605" s="40"/>
      <c r="B605" s="40"/>
      <c r="C605" s="74" t="s">
        <v>349</v>
      </c>
      <c r="D605" s="75" t="s">
        <v>129</v>
      </c>
      <c r="E605" s="75"/>
      <c r="F605" s="105"/>
      <c r="G605" s="105"/>
      <c r="H605" s="119"/>
      <c r="I605" s="231"/>
      <c r="J605" s="583"/>
      <c r="K605" s="583"/>
      <c r="L605" s="584"/>
      <c r="M605" s="593">
        <f t="shared" si="733"/>
        <v>0</v>
      </c>
      <c r="N605" s="111"/>
      <c r="O605" s="111"/>
      <c r="P605" s="111"/>
      <c r="Q605" s="111"/>
      <c r="R605" s="111"/>
      <c r="S605" s="111"/>
      <c r="T605" s="111"/>
      <c r="U605" s="111"/>
      <c r="V605" s="358"/>
      <c r="W605" s="391">
        <f t="shared" ref="W605:W606" si="742">J605+K605+N605+Q605+T605</f>
        <v>0</v>
      </c>
      <c r="X605" s="17">
        <f t="shared" ref="X605:X606" si="743">L605+O605+R605+U605</f>
        <v>0</v>
      </c>
      <c r="Y605" s="18">
        <f>SUM(W605:X605)</f>
        <v>0</v>
      </c>
      <c r="Z605" s="19">
        <f t="shared" si="740"/>
        <v>0</v>
      </c>
      <c r="AA605" s="19"/>
      <c r="AB605" s="19"/>
      <c r="AC605" s="17"/>
      <c r="AE605" s="17"/>
      <c r="AF605" s="17"/>
      <c r="AG605" s="17"/>
      <c r="AH605" s="18">
        <f t="shared" ref="AH605:AH606" si="744">J605</f>
        <v>0</v>
      </c>
      <c r="AI605" s="19">
        <f>IF(AH$607=0,0,AH605/AH$607)</f>
        <v>0</v>
      </c>
      <c r="AJ605" s="97"/>
      <c r="AK605" s="17"/>
      <c r="AL605" s="17"/>
      <c r="AM605" s="17"/>
      <c r="AN605" s="18">
        <f t="shared" ref="AN605:AN606" si="745">K605</f>
        <v>0</v>
      </c>
      <c r="AO605" s="19">
        <f>IF(AN$607=0,0,AN605/AN$607)</f>
        <v>0</v>
      </c>
      <c r="AP605" s="97"/>
      <c r="AQ605" s="17"/>
      <c r="AR605" s="17"/>
      <c r="AS605" s="17"/>
      <c r="AT605" s="18">
        <f t="shared" ref="AT605:AT606" si="746">W605</f>
        <v>0</v>
      </c>
      <c r="AU605" s="19">
        <f>IF(AT$607=0,0,AT605/AT$607)</f>
        <v>0</v>
      </c>
      <c r="AV605" s="97"/>
      <c r="AW605" s="17"/>
      <c r="AX605" s="17"/>
      <c r="AY605" s="17"/>
      <c r="AZ605" s="18">
        <f t="shared" ref="AZ605:AZ606" si="747">X605</f>
        <v>0</v>
      </c>
      <c r="BA605" s="19">
        <f>IF(AZ$607=0,0,AZ605/AZ$607)</f>
        <v>0</v>
      </c>
    </row>
    <row r="606" spans="1:53" ht="17.100000000000001" customHeight="1" x14ac:dyDescent="0.25">
      <c r="A606" s="40"/>
      <c r="B606" s="40"/>
      <c r="C606" s="74" t="s">
        <v>552</v>
      </c>
      <c r="D606" s="75" t="s">
        <v>530</v>
      </c>
      <c r="E606" s="105"/>
      <c r="F606" s="105"/>
      <c r="G606" s="105"/>
      <c r="H606" s="119"/>
      <c r="I606" s="231"/>
      <c r="J606" s="581"/>
      <c r="K606" s="581"/>
      <c r="L606" s="582"/>
      <c r="M606" s="593">
        <f t="shared" si="733"/>
        <v>0</v>
      </c>
      <c r="N606" s="111"/>
      <c r="O606" s="111"/>
      <c r="P606" s="111"/>
      <c r="Q606" s="111"/>
      <c r="R606" s="111"/>
      <c r="S606" s="111"/>
      <c r="T606" s="111"/>
      <c r="U606" s="111"/>
      <c r="V606" s="358"/>
      <c r="W606" s="391">
        <f t="shared" si="742"/>
        <v>0</v>
      </c>
      <c r="X606" s="17">
        <f t="shared" si="743"/>
        <v>0</v>
      </c>
      <c r="Y606" s="18">
        <f>SUM(W606:X606)</f>
        <v>0</v>
      </c>
      <c r="Z606" s="19">
        <f t="shared" si="740"/>
        <v>0</v>
      </c>
      <c r="AA606" s="19"/>
      <c r="AB606" s="19"/>
      <c r="AC606" s="17"/>
      <c r="AE606" s="17"/>
      <c r="AF606" s="17"/>
      <c r="AG606" s="17"/>
      <c r="AH606" s="18">
        <f t="shared" si="744"/>
        <v>0</v>
      </c>
      <c r="AI606" s="19">
        <f>IF(AH$607=0,0,AH606/AH$607)</f>
        <v>0</v>
      </c>
      <c r="AJ606" s="97"/>
      <c r="AK606" s="17"/>
      <c r="AL606" s="17"/>
      <c r="AM606" s="17"/>
      <c r="AN606" s="18">
        <f t="shared" si="745"/>
        <v>0</v>
      </c>
      <c r="AO606" s="19">
        <f>IF(AN$607=0,0,AN606/AN$607)</f>
        <v>0</v>
      </c>
      <c r="AP606" s="97"/>
      <c r="AQ606" s="17"/>
      <c r="AR606" s="17"/>
      <c r="AS606" s="17"/>
      <c r="AT606" s="18">
        <f t="shared" si="746"/>
        <v>0</v>
      </c>
      <c r="AU606" s="19">
        <f>IF(AT$607=0,0,AT606/AT$607)</f>
        <v>0</v>
      </c>
      <c r="AV606" s="97"/>
      <c r="AW606" s="17"/>
      <c r="AX606" s="17"/>
      <c r="AY606" s="17"/>
      <c r="AZ606" s="18">
        <f t="shared" si="747"/>
        <v>0</v>
      </c>
      <c r="BA606" s="19">
        <f>IF(AZ$607=0,0,AZ606/AZ$607)</f>
        <v>0</v>
      </c>
    </row>
    <row r="607" spans="1:53" ht="17.100000000000001" customHeight="1" x14ac:dyDescent="0.25">
      <c r="A607" s="40"/>
      <c r="B607" s="40"/>
      <c r="C607" s="77"/>
      <c r="D607" s="134"/>
      <c r="E607" s="134"/>
      <c r="F607" s="134"/>
      <c r="G607" s="134"/>
      <c r="H607" s="540"/>
      <c r="I607" s="229"/>
      <c r="J607" s="80">
        <f>J600+J601+J605+J606</f>
        <v>0</v>
      </c>
      <c r="K607" s="80">
        <f t="shared" ref="K607:M607" si="748">K600+K601+K605+K606</f>
        <v>0</v>
      </c>
      <c r="L607" s="80">
        <f t="shared" si="748"/>
        <v>0</v>
      </c>
      <c r="M607" s="80">
        <f t="shared" si="748"/>
        <v>0</v>
      </c>
      <c r="N607" s="81"/>
      <c r="O607" s="81"/>
      <c r="P607" s="81"/>
      <c r="Q607" s="81"/>
      <c r="R607" s="81"/>
      <c r="S607" s="81"/>
      <c r="T607" s="81"/>
      <c r="U607" s="81"/>
      <c r="V607" s="356"/>
      <c r="W607" s="381">
        <f>W600+W601+W605+W606</f>
        <v>0</v>
      </c>
      <c r="X607" s="82">
        <f t="shared" ref="X607:Y607" si="749">X600+X601+X605+X606</f>
        <v>0</v>
      </c>
      <c r="Y607" s="82">
        <f t="shared" si="749"/>
        <v>0</v>
      </c>
      <c r="Z607" s="205">
        <f>IF(Y$607=0,0,Y607/Y$607)</f>
        <v>0</v>
      </c>
      <c r="AA607" s="205"/>
      <c r="AB607" s="205"/>
      <c r="AC607" s="83"/>
      <c r="AE607" s="80"/>
      <c r="AF607" s="80"/>
      <c r="AG607" s="81"/>
      <c r="AH607" s="82">
        <f>SUM(AH600:AH606)</f>
        <v>0</v>
      </c>
      <c r="AI607" s="66">
        <f>IF(AH$607=0,0,AH607/AH$607)</f>
        <v>0</v>
      </c>
      <c r="AK607" s="80"/>
      <c r="AL607" s="80"/>
      <c r="AM607" s="81"/>
      <c r="AN607" s="82">
        <f>SUM(AN600:AN606)</f>
        <v>0</v>
      </c>
      <c r="AO607" s="66">
        <f>IF(AN$607=0,0,AN607/AN$607)</f>
        <v>0</v>
      </c>
      <c r="AQ607" s="80"/>
      <c r="AR607" s="80"/>
      <c r="AS607" s="81"/>
      <c r="AT607" s="82">
        <f>SUM(AT600:AT606)</f>
        <v>0</v>
      </c>
      <c r="AU607" s="66">
        <f>IF(AT$607=0,0,AT607/AT$607)</f>
        <v>0</v>
      </c>
      <c r="AW607" s="80"/>
      <c r="AX607" s="80"/>
      <c r="AY607" s="81"/>
      <c r="AZ607" s="82">
        <f>SUM(AZ600:AZ606)</f>
        <v>0</v>
      </c>
      <c r="BA607" s="66">
        <f>IF(AZ$607=0,0,AZ607/AZ$607)</f>
        <v>0</v>
      </c>
    </row>
    <row r="608" spans="1:53" s="117" customFormat="1" ht="17.100000000000001" customHeight="1" x14ac:dyDescent="0.25">
      <c r="A608" s="68"/>
      <c r="B608" s="119"/>
      <c r="C608" s="540"/>
      <c r="D608" s="261"/>
      <c r="E608" s="261"/>
      <c r="F608" s="68"/>
      <c r="G608" s="68"/>
      <c r="H608" s="119"/>
      <c r="I608" s="138"/>
      <c r="J608" s="17" t="str">
        <f>IF(J607=J$576,"OK","NOK")</f>
        <v>OK</v>
      </c>
      <c r="K608" s="17" t="str">
        <f t="shared" ref="K608:L608" si="750">IF(K607=K$576,"OK","NOK")</f>
        <v>OK</v>
      </c>
      <c r="L608" s="17" t="str">
        <f t="shared" si="750"/>
        <v>OK</v>
      </c>
      <c r="M608" s="17"/>
      <c r="N608" s="17"/>
      <c r="O608" s="17"/>
      <c r="P608" s="17"/>
      <c r="Q608" s="17"/>
      <c r="R608" s="17"/>
      <c r="S608" s="17"/>
      <c r="T608" s="17"/>
      <c r="U608" s="17"/>
      <c r="V608" s="359"/>
      <c r="W608" s="382"/>
      <c r="X608" s="539"/>
      <c r="Y608" s="539"/>
      <c r="Z608" s="201"/>
      <c r="AA608" s="201"/>
      <c r="AB608" s="201"/>
      <c r="AC608" s="84"/>
      <c r="AE608" s="46"/>
      <c r="AF608" s="46"/>
      <c r="AG608" s="17"/>
      <c r="AH608" s="539"/>
      <c r="AI608" s="91"/>
      <c r="AK608" s="46"/>
      <c r="AL608" s="46"/>
      <c r="AM608" s="17"/>
      <c r="AN608" s="539"/>
      <c r="AO608" s="91"/>
      <c r="AQ608" s="46"/>
      <c r="AR608" s="46"/>
      <c r="AS608" s="17"/>
      <c r="AT608" s="539"/>
      <c r="AU608" s="91"/>
      <c r="AW608" s="46"/>
      <c r="AX608" s="46"/>
      <c r="AY608" s="17"/>
      <c r="AZ608" s="539"/>
      <c r="BA608" s="91"/>
    </row>
    <row r="609" spans="1:53" ht="17.100000000000001" customHeight="1" x14ac:dyDescent="0.25">
      <c r="A609" s="68"/>
      <c r="B609" s="41" t="s">
        <v>350</v>
      </c>
      <c r="C609" s="69" t="s">
        <v>362</v>
      </c>
      <c r="D609" s="50"/>
      <c r="E609" s="70"/>
      <c r="F609" s="70"/>
      <c r="G609" s="70"/>
      <c r="H609" s="243">
        <v>22</v>
      </c>
      <c r="J609" s="71"/>
      <c r="K609" s="71"/>
      <c r="L609" s="71"/>
      <c r="M609" s="71"/>
      <c r="N609" s="71"/>
      <c r="O609" s="71"/>
      <c r="P609" s="71"/>
      <c r="Q609" s="71"/>
      <c r="R609" s="71"/>
      <c r="S609" s="71"/>
      <c r="T609" s="71"/>
      <c r="U609" s="71"/>
      <c r="V609" s="355"/>
      <c r="W609" s="377"/>
      <c r="X609" s="71"/>
      <c r="Y609" s="72"/>
      <c r="Z609" s="73"/>
      <c r="AA609" s="73"/>
      <c r="AB609" s="73"/>
      <c r="AC609" s="73"/>
      <c r="AE609" s="71"/>
      <c r="AF609" s="71"/>
      <c r="AG609" s="71"/>
      <c r="AH609" s="72"/>
      <c r="AI609" s="73"/>
      <c r="AK609" s="71"/>
      <c r="AL609" s="71"/>
      <c r="AM609" s="71"/>
      <c r="AN609" s="72"/>
      <c r="AO609" s="73"/>
      <c r="AQ609" s="71"/>
      <c r="AR609" s="71"/>
      <c r="AS609" s="71"/>
      <c r="AT609" s="72"/>
      <c r="AU609" s="73"/>
      <c r="AW609" s="71"/>
      <c r="AX609" s="71"/>
      <c r="AY609" s="71"/>
      <c r="AZ609" s="72"/>
      <c r="BA609" s="73"/>
    </row>
    <row r="610" spans="1:53" ht="17.100000000000001" customHeight="1" x14ac:dyDescent="0.25">
      <c r="A610" s="40"/>
      <c r="B610" s="40"/>
      <c r="C610" s="74" t="s">
        <v>351</v>
      </c>
      <c r="D610" s="57" t="s">
        <v>1025</v>
      </c>
      <c r="E610" s="105"/>
      <c r="F610" s="105"/>
      <c r="G610" s="105"/>
      <c r="H610" s="119"/>
      <c r="I610" s="231"/>
      <c r="J610" s="111"/>
      <c r="K610" s="111"/>
      <c r="L610" s="111"/>
      <c r="M610" s="111"/>
      <c r="N610" s="111"/>
      <c r="O610" s="111"/>
      <c r="P610" s="111"/>
      <c r="Q610" s="111"/>
      <c r="R610" s="111"/>
      <c r="S610" s="111"/>
      <c r="T610" s="111"/>
      <c r="U610" s="111"/>
      <c r="V610" s="358"/>
      <c r="W610" s="380"/>
      <c r="X610" s="111"/>
      <c r="Y610" s="545"/>
      <c r="Z610" s="111"/>
      <c r="AA610" s="111"/>
      <c r="AB610" s="111"/>
      <c r="AC610" s="111"/>
      <c r="AE610" s="111"/>
      <c r="AF610" s="111"/>
      <c r="AG610" s="111"/>
      <c r="AH610" s="545"/>
      <c r="AI610" s="111"/>
      <c r="AK610" s="111"/>
      <c r="AL610" s="111"/>
      <c r="AM610" s="111"/>
      <c r="AN610" s="545"/>
      <c r="AO610" s="111"/>
      <c r="AQ610" s="111"/>
      <c r="AR610" s="111"/>
      <c r="AS610" s="111"/>
      <c r="AT610" s="545"/>
      <c r="AU610" s="111"/>
      <c r="AW610" s="111"/>
      <c r="AX610" s="111"/>
      <c r="AY610" s="111"/>
      <c r="AZ610" s="545"/>
      <c r="BA610" s="111"/>
    </row>
    <row r="611" spans="1:53" ht="17.100000000000001" customHeight="1" x14ac:dyDescent="0.25">
      <c r="A611" s="40"/>
      <c r="B611" s="40"/>
      <c r="C611" s="119"/>
      <c r="D611" s="180" t="s">
        <v>352</v>
      </c>
      <c r="E611" s="85" t="s">
        <v>512</v>
      </c>
      <c r="F611" s="105"/>
      <c r="G611" s="105"/>
      <c r="H611" s="119"/>
      <c r="I611" s="231"/>
      <c r="J611" s="581"/>
      <c r="K611" s="581"/>
      <c r="L611" s="582"/>
      <c r="M611" s="593">
        <f t="shared" ref="M611:M619" si="751">SUM(J611:L611)</f>
        <v>0</v>
      </c>
      <c r="N611" s="111"/>
      <c r="O611" s="111"/>
      <c r="P611" s="111"/>
      <c r="Q611" s="111"/>
      <c r="R611" s="111"/>
      <c r="S611" s="111"/>
      <c r="T611" s="111"/>
      <c r="U611" s="111"/>
      <c r="V611" s="358"/>
      <c r="W611" s="391">
        <f t="shared" ref="W611:W619" si="752">J611+K611+N611+Q611+T611</f>
        <v>0</v>
      </c>
      <c r="X611" s="17">
        <f t="shared" ref="X611:X619" si="753">L611+O611+R611+U611</f>
        <v>0</v>
      </c>
      <c r="Y611" s="18">
        <f t="shared" ref="Y611:Y619" si="754">SUM(W611:X611)</f>
        <v>0</v>
      </c>
      <c r="Z611" s="19">
        <f>IF(Y$620=0,0,Y611/Y$620)</f>
        <v>0</v>
      </c>
      <c r="AA611" s="19"/>
      <c r="AB611" s="19"/>
      <c r="AC611" s="17"/>
      <c r="AE611" s="17"/>
      <c r="AF611" s="17"/>
      <c r="AG611" s="17"/>
      <c r="AH611" s="18">
        <f t="shared" ref="AH611:AH619" si="755">J611</f>
        <v>0</v>
      </c>
      <c r="AI611" s="19">
        <f>IF(AH$620=0,0,AH611/AH$620)</f>
        <v>0</v>
      </c>
      <c r="AJ611" s="97"/>
      <c r="AK611" s="17"/>
      <c r="AL611" s="17"/>
      <c r="AM611" s="17"/>
      <c r="AN611" s="18">
        <f t="shared" ref="AN611:AN619" si="756">K611</f>
        <v>0</v>
      </c>
      <c r="AO611" s="19">
        <f>IF(AN$620=0,0,AN611/AN$620)</f>
        <v>0</v>
      </c>
      <c r="AP611" s="97"/>
      <c r="AQ611" s="17"/>
      <c r="AR611" s="17"/>
      <c r="AS611" s="17"/>
      <c r="AT611" s="18">
        <f t="shared" ref="AT611:AT619" si="757">W611</f>
        <v>0</v>
      </c>
      <c r="AU611" s="19">
        <f>IF(AT$620=0,0,AT611/AT$620)</f>
        <v>0</v>
      </c>
      <c r="AV611" s="97"/>
      <c r="AW611" s="17"/>
      <c r="AX611" s="17"/>
      <c r="AY611" s="17"/>
      <c r="AZ611" s="18">
        <f t="shared" ref="AZ611:AZ619" si="758">X611</f>
        <v>0</v>
      </c>
      <c r="BA611" s="19">
        <f>IF(AZ$620=0,0,AZ611/AZ$620)</f>
        <v>0</v>
      </c>
    </row>
    <row r="612" spans="1:53" ht="17.100000000000001" customHeight="1" x14ac:dyDescent="0.25">
      <c r="A612" s="40"/>
      <c r="B612" s="40"/>
      <c r="C612" s="119"/>
      <c r="D612" s="180" t="s">
        <v>353</v>
      </c>
      <c r="E612" s="85" t="s">
        <v>513</v>
      </c>
      <c r="F612" s="105"/>
      <c r="G612" s="105"/>
      <c r="H612" s="119"/>
      <c r="I612" s="231"/>
      <c r="J612" s="583"/>
      <c r="K612" s="583"/>
      <c r="L612" s="584"/>
      <c r="M612" s="593">
        <f t="shared" si="751"/>
        <v>0</v>
      </c>
      <c r="N612" s="111"/>
      <c r="O612" s="111"/>
      <c r="P612" s="111"/>
      <c r="Q612" s="111"/>
      <c r="R612" s="111"/>
      <c r="S612" s="111"/>
      <c r="T612" s="111"/>
      <c r="U612" s="111"/>
      <c r="V612" s="358"/>
      <c r="W612" s="391">
        <f t="shared" si="752"/>
        <v>0</v>
      </c>
      <c r="X612" s="17">
        <f t="shared" si="753"/>
        <v>0</v>
      </c>
      <c r="Y612" s="18">
        <f t="shared" si="754"/>
        <v>0</v>
      </c>
      <c r="Z612" s="19">
        <f t="shared" ref="Z612:Z620" si="759">IF(Y$620=0,0,Y612/Y$620)</f>
        <v>0</v>
      </c>
      <c r="AA612" s="19"/>
      <c r="AB612" s="19"/>
      <c r="AC612" s="17"/>
      <c r="AE612" s="17"/>
      <c r="AF612" s="17"/>
      <c r="AG612" s="17"/>
      <c r="AH612" s="18">
        <f t="shared" si="755"/>
        <v>0</v>
      </c>
      <c r="AI612" s="19">
        <f t="shared" ref="AI612:AI619" si="760">IF(AH$620=0,0,AH612/AH$620)</f>
        <v>0</v>
      </c>
      <c r="AJ612" s="97"/>
      <c r="AK612" s="17"/>
      <c r="AL612" s="17"/>
      <c r="AM612" s="17"/>
      <c r="AN612" s="18">
        <f t="shared" si="756"/>
        <v>0</v>
      </c>
      <c r="AO612" s="19">
        <f t="shared" ref="AO612:AO619" si="761">IF(AN$620=0,0,AN612/AN$620)</f>
        <v>0</v>
      </c>
      <c r="AP612" s="97"/>
      <c r="AQ612" s="17"/>
      <c r="AR612" s="17"/>
      <c r="AS612" s="17"/>
      <c r="AT612" s="18">
        <f t="shared" si="757"/>
        <v>0</v>
      </c>
      <c r="AU612" s="19">
        <f t="shared" ref="AU612:AU619" si="762">IF(AT$620=0,0,AT612/AT$620)</f>
        <v>0</v>
      </c>
      <c r="AV612" s="97"/>
      <c r="AW612" s="17"/>
      <c r="AX612" s="17"/>
      <c r="AY612" s="17"/>
      <c r="AZ612" s="18">
        <f t="shared" si="758"/>
        <v>0</v>
      </c>
      <c r="BA612" s="19">
        <f t="shared" ref="BA612:BA619" si="763">IF(AZ$620=0,0,AZ612/AZ$620)</f>
        <v>0</v>
      </c>
    </row>
    <row r="613" spans="1:53" ht="17.100000000000001" customHeight="1" x14ac:dyDescent="0.25">
      <c r="A613" s="40"/>
      <c r="B613" s="40"/>
      <c r="C613" s="119"/>
      <c r="D613" s="180" t="s">
        <v>354</v>
      </c>
      <c r="E613" s="85" t="s">
        <v>514</v>
      </c>
      <c r="F613" s="105"/>
      <c r="G613" s="105"/>
      <c r="H613" s="119"/>
      <c r="I613" s="231"/>
      <c r="J613" s="581"/>
      <c r="K613" s="581"/>
      <c r="L613" s="582"/>
      <c r="M613" s="593">
        <f t="shared" si="751"/>
        <v>0</v>
      </c>
      <c r="N613" s="111"/>
      <c r="O613" s="111"/>
      <c r="P613" s="111"/>
      <c r="Q613" s="111"/>
      <c r="R613" s="111"/>
      <c r="S613" s="111"/>
      <c r="T613" s="111"/>
      <c r="U613" s="111"/>
      <c r="V613" s="358"/>
      <c r="W613" s="391">
        <f t="shared" si="752"/>
        <v>0</v>
      </c>
      <c r="X613" s="17">
        <f t="shared" si="753"/>
        <v>0</v>
      </c>
      <c r="Y613" s="18">
        <f t="shared" si="754"/>
        <v>0</v>
      </c>
      <c r="Z613" s="19">
        <f t="shared" si="759"/>
        <v>0</v>
      </c>
      <c r="AA613" s="19"/>
      <c r="AB613" s="19"/>
      <c r="AC613" s="17"/>
      <c r="AE613" s="17"/>
      <c r="AF613" s="17"/>
      <c r="AG613" s="17"/>
      <c r="AH613" s="18">
        <f t="shared" si="755"/>
        <v>0</v>
      </c>
      <c r="AI613" s="19">
        <f t="shared" si="760"/>
        <v>0</v>
      </c>
      <c r="AJ613" s="97"/>
      <c r="AK613" s="17"/>
      <c r="AL613" s="17"/>
      <c r="AM613" s="17"/>
      <c r="AN613" s="18">
        <f t="shared" si="756"/>
        <v>0</v>
      </c>
      <c r="AO613" s="19">
        <f t="shared" si="761"/>
        <v>0</v>
      </c>
      <c r="AP613" s="97"/>
      <c r="AQ613" s="17"/>
      <c r="AR613" s="17"/>
      <c r="AS613" s="17"/>
      <c r="AT613" s="18">
        <f t="shared" si="757"/>
        <v>0</v>
      </c>
      <c r="AU613" s="19">
        <f t="shared" si="762"/>
        <v>0</v>
      </c>
      <c r="AV613" s="97"/>
      <c r="AW613" s="17"/>
      <c r="AX613" s="17"/>
      <c r="AY613" s="17"/>
      <c r="AZ613" s="18">
        <f t="shared" si="758"/>
        <v>0</v>
      </c>
      <c r="BA613" s="19">
        <f t="shared" si="763"/>
        <v>0</v>
      </c>
    </row>
    <row r="614" spans="1:53" ht="17.100000000000001" customHeight="1" x14ac:dyDescent="0.25">
      <c r="A614" s="40"/>
      <c r="B614" s="40"/>
      <c r="C614" s="119"/>
      <c r="D614" s="180" t="s">
        <v>355</v>
      </c>
      <c r="E614" s="85" t="s">
        <v>357</v>
      </c>
      <c r="F614" s="105"/>
      <c r="G614" s="105"/>
      <c r="H614" s="119"/>
      <c r="I614" s="231"/>
      <c r="J614" s="583"/>
      <c r="K614" s="583"/>
      <c r="L614" s="584"/>
      <c r="M614" s="593">
        <f t="shared" si="751"/>
        <v>0</v>
      </c>
      <c r="N614" s="111"/>
      <c r="O614" s="111"/>
      <c r="P614" s="111"/>
      <c r="Q614" s="111"/>
      <c r="R614" s="111"/>
      <c r="S614" s="111"/>
      <c r="T614" s="111"/>
      <c r="U614" s="111"/>
      <c r="V614" s="358"/>
      <c r="W614" s="391">
        <f t="shared" si="752"/>
        <v>0</v>
      </c>
      <c r="X614" s="17">
        <f t="shared" si="753"/>
        <v>0</v>
      </c>
      <c r="Y614" s="18">
        <f t="shared" si="754"/>
        <v>0</v>
      </c>
      <c r="Z614" s="19">
        <f t="shared" si="759"/>
        <v>0</v>
      </c>
      <c r="AA614" s="19"/>
      <c r="AB614" s="19"/>
      <c r="AC614" s="17"/>
      <c r="AE614" s="17"/>
      <c r="AF614" s="17"/>
      <c r="AG614" s="17"/>
      <c r="AH614" s="18">
        <f t="shared" si="755"/>
        <v>0</v>
      </c>
      <c r="AI614" s="19">
        <f t="shared" si="760"/>
        <v>0</v>
      </c>
      <c r="AJ614" s="97"/>
      <c r="AK614" s="17"/>
      <c r="AL614" s="17"/>
      <c r="AM614" s="17"/>
      <c r="AN614" s="18">
        <f t="shared" si="756"/>
        <v>0</v>
      </c>
      <c r="AO614" s="19">
        <f t="shared" si="761"/>
        <v>0</v>
      </c>
      <c r="AP614" s="97"/>
      <c r="AQ614" s="17"/>
      <c r="AR614" s="17"/>
      <c r="AS614" s="17"/>
      <c r="AT614" s="18">
        <f t="shared" si="757"/>
        <v>0</v>
      </c>
      <c r="AU614" s="19">
        <f t="shared" si="762"/>
        <v>0</v>
      </c>
      <c r="AV614" s="97"/>
      <c r="AW614" s="17"/>
      <c r="AX614" s="17"/>
      <c r="AY614" s="17"/>
      <c r="AZ614" s="18">
        <f t="shared" si="758"/>
        <v>0</v>
      </c>
      <c r="BA614" s="19">
        <f t="shared" si="763"/>
        <v>0</v>
      </c>
    </row>
    <row r="615" spans="1:53" ht="17.100000000000001" customHeight="1" x14ac:dyDescent="0.25">
      <c r="A615" s="40"/>
      <c r="B615" s="40"/>
      <c r="C615" s="119"/>
      <c r="D615" s="180" t="s">
        <v>356</v>
      </c>
      <c r="E615" s="85" t="s">
        <v>515</v>
      </c>
      <c r="F615" s="105"/>
      <c r="G615" s="105"/>
      <c r="H615" s="119"/>
      <c r="I615" s="231"/>
      <c r="J615" s="581"/>
      <c r="K615" s="581"/>
      <c r="L615" s="582"/>
      <c r="M615" s="593">
        <f t="shared" si="751"/>
        <v>0</v>
      </c>
      <c r="N615" s="111"/>
      <c r="O615" s="111"/>
      <c r="P615" s="111"/>
      <c r="Q615" s="111"/>
      <c r="R615" s="111"/>
      <c r="S615" s="111"/>
      <c r="T615" s="111"/>
      <c r="U615" s="111"/>
      <c r="V615" s="358"/>
      <c r="W615" s="391">
        <f t="shared" si="752"/>
        <v>0</v>
      </c>
      <c r="X615" s="17">
        <f t="shared" si="753"/>
        <v>0</v>
      </c>
      <c r="Y615" s="18">
        <f t="shared" si="754"/>
        <v>0</v>
      </c>
      <c r="Z615" s="19">
        <f t="shared" si="759"/>
        <v>0</v>
      </c>
      <c r="AA615" s="19"/>
      <c r="AB615" s="19"/>
      <c r="AC615" s="17"/>
      <c r="AE615" s="17"/>
      <c r="AF615" s="17"/>
      <c r="AG615" s="17"/>
      <c r="AH615" s="18">
        <f t="shared" si="755"/>
        <v>0</v>
      </c>
      <c r="AI615" s="19">
        <f t="shared" si="760"/>
        <v>0</v>
      </c>
      <c r="AJ615" s="97"/>
      <c r="AK615" s="17"/>
      <c r="AL615" s="17"/>
      <c r="AM615" s="17"/>
      <c r="AN615" s="18">
        <f t="shared" si="756"/>
        <v>0</v>
      </c>
      <c r="AO615" s="19">
        <f t="shared" si="761"/>
        <v>0</v>
      </c>
      <c r="AP615" s="97"/>
      <c r="AQ615" s="17"/>
      <c r="AR615" s="17"/>
      <c r="AS615" s="17"/>
      <c r="AT615" s="18">
        <f t="shared" si="757"/>
        <v>0</v>
      </c>
      <c r="AU615" s="19">
        <f t="shared" si="762"/>
        <v>0</v>
      </c>
      <c r="AV615" s="97"/>
      <c r="AW615" s="17"/>
      <c r="AX615" s="17"/>
      <c r="AY615" s="17"/>
      <c r="AZ615" s="18">
        <f t="shared" si="758"/>
        <v>0</v>
      </c>
      <c r="BA615" s="19">
        <f t="shared" si="763"/>
        <v>0</v>
      </c>
    </row>
    <row r="616" spans="1:53" ht="17.100000000000001" customHeight="1" x14ac:dyDescent="0.25">
      <c r="A616" s="40"/>
      <c r="B616" s="40"/>
      <c r="C616" s="119"/>
      <c r="D616" s="180" t="s">
        <v>508</v>
      </c>
      <c r="E616" s="85" t="s">
        <v>516</v>
      </c>
      <c r="F616" s="105"/>
      <c r="G616" s="105"/>
      <c r="H616" s="119"/>
      <c r="I616" s="231"/>
      <c r="J616" s="583"/>
      <c r="K616" s="583"/>
      <c r="L616" s="584"/>
      <c r="M616" s="593">
        <f t="shared" si="751"/>
        <v>0</v>
      </c>
      <c r="N616" s="111"/>
      <c r="O616" s="111"/>
      <c r="P616" s="111"/>
      <c r="Q616" s="111"/>
      <c r="R616" s="111"/>
      <c r="S616" s="111"/>
      <c r="T616" s="111"/>
      <c r="U616" s="111"/>
      <c r="V616" s="358"/>
      <c r="W616" s="391">
        <f t="shared" si="752"/>
        <v>0</v>
      </c>
      <c r="X616" s="17">
        <f t="shared" si="753"/>
        <v>0</v>
      </c>
      <c r="Y616" s="18">
        <f t="shared" si="754"/>
        <v>0</v>
      </c>
      <c r="Z616" s="19">
        <f t="shared" si="759"/>
        <v>0</v>
      </c>
      <c r="AA616" s="19"/>
      <c r="AB616" s="19"/>
      <c r="AC616" s="17"/>
      <c r="AE616" s="17"/>
      <c r="AF616" s="17"/>
      <c r="AG616" s="17"/>
      <c r="AH616" s="18">
        <f t="shared" si="755"/>
        <v>0</v>
      </c>
      <c r="AI616" s="19">
        <f t="shared" si="760"/>
        <v>0</v>
      </c>
      <c r="AJ616" s="97"/>
      <c r="AK616" s="17"/>
      <c r="AL616" s="17"/>
      <c r="AM616" s="17"/>
      <c r="AN616" s="18">
        <f t="shared" si="756"/>
        <v>0</v>
      </c>
      <c r="AO616" s="19">
        <f t="shared" si="761"/>
        <v>0</v>
      </c>
      <c r="AP616" s="97"/>
      <c r="AQ616" s="17"/>
      <c r="AR616" s="17"/>
      <c r="AS616" s="17"/>
      <c r="AT616" s="18">
        <f t="shared" si="757"/>
        <v>0</v>
      </c>
      <c r="AU616" s="19">
        <f t="shared" si="762"/>
        <v>0</v>
      </c>
      <c r="AV616" s="97"/>
      <c r="AW616" s="17"/>
      <c r="AX616" s="17"/>
      <c r="AY616" s="17"/>
      <c r="AZ616" s="18">
        <f t="shared" si="758"/>
        <v>0</v>
      </c>
      <c r="BA616" s="19">
        <f t="shared" si="763"/>
        <v>0</v>
      </c>
    </row>
    <row r="617" spans="1:53" ht="17.100000000000001" customHeight="1" x14ac:dyDescent="0.25">
      <c r="A617" s="40"/>
      <c r="B617" s="40"/>
      <c r="C617" s="119"/>
      <c r="D617" s="180" t="s">
        <v>509</v>
      </c>
      <c r="E617" s="85" t="s">
        <v>517</v>
      </c>
      <c r="F617" s="105"/>
      <c r="G617" s="105"/>
      <c r="H617" s="119"/>
      <c r="I617" s="231"/>
      <c r="J617" s="581"/>
      <c r="K617" s="581"/>
      <c r="L617" s="582"/>
      <c r="M617" s="593">
        <f t="shared" si="751"/>
        <v>0</v>
      </c>
      <c r="N617" s="111"/>
      <c r="O617" s="111"/>
      <c r="P617" s="111"/>
      <c r="Q617" s="111"/>
      <c r="R617" s="111"/>
      <c r="S617" s="111"/>
      <c r="T617" s="111"/>
      <c r="U617" s="111"/>
      <c r="V617" s="358"/>
      <c r="W617" s="391">
        <f t="shared" si="752"/>
        <v>0</v>
      </c>
      <c r="X617" s="17">
        <f t="shared" si="753"/>
        <v>0</v>
      </c>
      <c r="Y617" s="18">
        <f t="shared" si="754"/>
        <v>0</v>
      </c>
      <c r="Z617" s="19">
        <f t="shared" si="759"/>
        <v>0</v>
      </c>
      <c r="AA617" s="19"/>
      <c r="AB617" s="19"/>
      <c r="AC617" s="17"/>
      <c r="AE617" s="17"/>
      <c r="AF617" s="17"/>
      <c r="AG617" s="17"/>
      <c r="AH617" s="18">
        <f t="shared" si="755"/>
        <v>0</v>
      </c>
      <c r="AI617" s="19">
        <f t="shared" si="760"/>
        <v>0</v>
      </c>
      <c r="AJ617" s="97"/>
      <c r="AK617" s="17"/>
      <c r="AL617" s="17"/>
      <c r="AM617" s="17"/>
      <c r="AN617" s="18">
        <f t="shared" si="756"/>
        <v>0</v>
      </c>
      <c r="AO617" s="19">
        <f t="shared" si="761"/>
        <v>0</v>
      </c>
      <c r="AP617" s="97"/>
      <c r="AQ617" s="17"/>
      <c r="AR617" s="17"/>
      <c r="AS617" s="17"/>
      <c r="AT617" s="18">
        <f t="shared" si="757"/>
        <v>0</v>
      </c>
      <c r="AU617" s="19">
        <f t="shared" si="762"/>
        <v>0</v>
      </c>
      <c r="AV617" s="97"/>
      <c r="AW617" s="17"/>
      <c r="AX617" s="17"/>
      <c r="AY617" s="17"/>
      <c r="AZ617" s="18">
        <f t="shared" si="758"/>
        <v>0</v>
      </c>
      <c r="BA617" s="19">
        <f t="shared" si="763"/>
        <v>0</v>
      </c>
    </row>
    <row r="618" spans="1:53" ht="17.100000000000001" customHeight="1" x14ac:dyDescent="0.25">
      <c r="A618" s="40"/>
      <c r="B618" s="40"/>
      <c r="C618" s="119"/>
      <c r="D618" s="180" t="s">
        <v>510</v>
      </c>
      <c r="E618" s="85" t="s">
        <v>518</v>
      </c>
      <c r="F618" s="105"/>
      <c r="G618" s="105"/>
      <c r="H618" s="119"/>
      <c r="I618" s="231"/>
      <c r="J618" s="583"/>
      <c r="K618" s="583"/>
      <c r="L618" s="584"/>
      <c r="M618" s="593">
        <f t="shared" si="751"/>
        <v>0</v>
      </c>
      <c r="N618" s="111"/>
      <c r="O618" s="111"/>
      <c r="P618" s="111"/>
      <c r="Q618" s="111"/>
      <c r="R618" s="111"/>
      <c r="S618" s="111"/>
      <c r="T618" s="111"/>
      <c r="U618" s="111"/>
      <c r="V618" s="358"/>
      <c r="W618" s="391">
        <f t="shared" si="752"/>
        <v>0</v>
      </c>
      <c r="X618" s="17">
        <f t="shared" si="753"/>
        <v>0</v>
      </c>
      <c r="Y618" s="18">
        <f t="shared" si="754"/>
        <v>0</v>
      </c>
      <c r="Z618" s="19">
        <f t="shared" si="759"/>
        <v>0</v>
      </c>
      <c r="AA618" s="19"/>
      <c r="AB618" s="19"/>
      <c r="AC618" s="17"/>
      <c r="AE618" s="17"/>
      <c r="AF618" s="17"/>
      <c r="AG618" s="17"/>
      <c r="AH618" s="18">
        <f t="shared" si="755"/>
        <v>0</v>
      </c>
      <c r="AI618" s="19">
        <f t="shared" si="760"/>
        <v>0</v>
      </c>
      <c r="AJ618" s="97"/>
      <c r="AK618" s="17"/>
      <c r="AL618" s="17"/>
      <c r="AM618" s="17"/>
      <c r="AN618" s="18">
        <f t="shared" si="756"/>
        <v>0</v>
      </c>
      <c r="AO618" s="19">
        <f t="shared" si="761"/>
        <v>0</v>
      </c>
      <c r="AP618" s="97"/>
      <c r="AQ618" s="17"/>
      <c r="AR618" s="17"/>
      <c r="AS618" s="17"/>
      <c r="AT618" s="18">
        <f t="shared" si="757"/>
        <v>0</v>
      </c>
      <c r="AU618" s="19">
        <f t="shared" si="762"/>
        <v>0</v>
      </c>
      <c r="AV618" s="97"/>
      <c r="AW618" s="17"/>
      <c r="AX618" s="17"/>
      <c r="AY618" s="17"/>
      <c r="AZ618" s="18">
        <f t="shared" si="758"/>
        <v>0</v>
      </c>
      <c r="BA618" s="19">
        <f t="shared" si="763"/>
        <v>0</v>
      </c>
    </row>
    <row r="619" spans="1:53" ht="17.100000000000001" customHeight="1" x14ac:dyDescent="0.25">
      <c r="A619" s="40"/>
      <c r="B619" s="40"/>
      <c r="C619" s="119"/>
      <c r="D619" s="180" t="s">
        <v>511</v>
      </c>
      <c r="E619" s="85" t="s">
        <v>129</v>
      </c>
      <c r="F619" s="105"/>
      <c r="G619" s="105"/>
      <c r="H619" s="119"/>
      <c r="I619" s="231"/>
      <c r="J619" s="581"/>
      <c r="K619" s="581"/>
      <c r="L619" s="582"/>
      <c r="M619" s="593">
        <f t="shared" si="751"/>
        <v>0</v>
      </c>
      <c r="N619" s="111"/>
      <c r="O619" s="111"/>
      <c r="P619" s="111"/>
      <c r="Q619" s="111"/>
      <c r="R619" s="111"/>
      <c r="S619" s="111"/>
      <c r="T619" s="111"/>
      <c r="U619" s="111"/>
      <c r="V619" s="358"/>
      <c r="W619" s="391">
        <f t="shared" si="752"/>
        <v>0</v>
      </c>
      <c r="X619" s="17">
        <f t="shared" si="753"/>
        <v>0</v>
      </c>
      <c r="Y619" s="18">
        <f t="shared" si="754"/>
        <v>0</v>
      </c>
      <c r="Z619" s="19">
        <f t="shared" si="759"/>
        <v>0</v>
      </c>
      <c r="AA619" s="19"/>
      <c r="AB619" s="19"/>
      <c r="AC619" s="17"/>
      <c r="AE619" s="17"/>
      <c r="AF619" s="17"/>
      <c r="AG619" s="17"/>
      <c r="AH619" s="18">
        <f t="shared" si="755"/>
        <v>0</v>
      </c>
      <c r="AI619" s="19">
        <f t="shared" si="760"/>
        <v>0</v>
      </c>
      <c r="AJ619" s="97"/>
      <c r="AK619" s="17"/>
      <c r="AL619" s="17"/>
      <c r="AM619" s="17"/>
      <c r="AN619" s="18">
        <f t="shared" si="756"/>
        <v>0</v>
      </c>
      <c r="AO619" s="19">
        <f t="shared" si="761"/>
        <v>0</v>
      </c>
      <c r="AP619" s="97"/>
      <c r="AQ619" s="17"/>
      <c r="AR619" s="17"/>
      <c r="AS619" s="17"/>
      <c r="AT619" s="18">
        <f t="shared" si="757"/>
        <v>0</v>
      </c>
      <c r="AU619" s="19">
        <f t="shared" si="762"/>
        <v>0</v>
      </c>
      <c r="AV619" s="97"/>
      <c r="AW619" s="17"/>
      <c r="AX619" s="17"/>
      <c r="AY619" s="17"/>
      <c r="AZ619" s="18">
        <f t="shared" si="758"/>
        <v>0</v>
      </c>
      <c r="BA619" s="19">
        <f t="shared" si="763"/>
        <v>0</v>
      </c>
    </row>
    <row r="620" spans="1:53" ht="17.100000000000001" customHeight="1" x14ac:dyDescent="0.25">
      <c r="A620" s="40"/>
      <c r="B620" s="40"/>
      <c r="C620" s="77"/>
      <c r="D620" s="134"/>
      <c r="E620" s="134"/>
      <c r="F620" s="134"/>
      <c r="G620" s="134"/>
      <c r="H620" s="540"/>
      <c r="I620" s="229"/>
      <c r="J620" s="80">
        <f>SUM(J611:J619)</f>
        <v>0</v>
      </c>
      <c r="K620" s="80">
        <f t="shared" ref="K620:M620" si="764">SUM(K611:K619)</f>
        <v>0</v>
      </c>
      <c r="L620" s="80">
        <f t="shared" si="764"/>
        <v>0</v>
      </c>
      <c r="M620" s="80">
        <f t="shared" si="764"/>
        <v>0</v>
      </c>
      <c r="N620" s="81"/>
      <c r="O620" s="81"/>
      <c r="P620" s="81"/>
      <c r="Q620" s="81"/>
      <c r="R620" s="81"/>
      <c r="S620" s="81"/>
      <c r="T620" s="81"/>
      <c r="U620" s="81"/>
      <c r="V620" s="356"/>
      <c r="W620" s="381">
        <f>SUM(W611:W619)</f>
        <v>0</v>
      </c>
      <c r="X620" s="82">
        <f t="shared" ref="X620:Y620" si="765">SUM(X611:X619)</f>
        <v>0</v>
      </c>
      <c r="Y620" s="82">
        <f t="shared" si="765"/>
        <v>0</v>
      </c>
      <c r="Z620" s="205">
        <f t="shared" si="759"/>
        <v>0</v>
      </c>
      <c r="AA620" s="205"/>
      <c r="AB620" s="205"/>
      <c r="AC620" s="83"/>
      <c r="AE620" s="80"/>
      <c r="AF620" s="80"/>
      <c r="AG620" s="81"/>
      <c r="AH620" s="82">
        <f>SUM(AH611:AH619)</f>
        <v>0</v>
      </c>
      <c r="AI620" s="66">
        <f>IF(AH$620=0,0,AH620/AH$620)</f>
        <v>0</v>
      </c>
      <c r="AK620" s="80"/>
      <c r="AL620" s="80"/>
      <c r="AM620" s="81"/>
      <c r="AN620" s="82">
        <f>SUM(AN611:AN619)</f>
        <v>0</v>
      </c>
      <c r="AO620" s="66">
        <f>IF(AN$620=0,0,AN620/AN$620)</f>
        <v>0</v>
      </c>
      <c r="AQ620" s="80"/>
      <c r="AR620" s="80"/>
      <c r="AS620" s="81"/>
      <c r="AT620" s="82">
        <f>SUM(AT611:AT619)</f>
        <v>0</v>
      </c>
      <c r="AU620" s="66">
        <f>IF(AT$620=0,0,AT620/AT$620)</f>
        <v>0</v>
      </c>
      <c r="AW620" s="80"/>
      <c r="AX620" s="80"/>
      <c r="AY620" s="81"/>
      <c r="AZ620" s="82">
        <f>SUM(AZ611:AZ619)</f>
        <v>0</v>
      </c>
      <c r="BA620" s="66">
        <f>IF(AZ$620=0,0,AZ620/AZ$620)</f>
        <v>0</v>
      </c>
    </row>
    <row r="621" spans="1:53" s="117" customFormat="1" ht="17.100000000000001" customHeight="1" x14ac:dyDescent="0.25">
      <c r="A621" s="68"/>
      <c r="B621" s="119"/>
      <c r="C621" s="540"/>
      <c r="D621" s="261"/>
      <c r="E621" s="261"/>
      <c r="F621" s="68"/>
      <c r="G621" s="68"/>
      <c r="H621" s="119"/>
      <c r="I621" s="138"/>
      <c r="J621" s="17" t="str">
        <f>IF(J620=J$576,"OK","NOK")</f>
        <v>OK</v>
      </c>
      <c r="K621" s="17" t="str">
        <f t="shared" ref="K621:L621" si="766">IF(K620=K$576,"OK","NOK")</f>
        <v>OK</v>
      </c>
      <c r="L621" s="17" t="str">
        <f t="shared" si="766"/>
        <v>OK</v>
      </c>
      <c r="M621" s="17"/>
      <c r="N621" s="17"/>
      <c r="O621" s="17"/>
      <c r="P621" s="17"/>
      <c r="Q621" s="17"/>
      <c r="R621" s="17"/>
      <c r="S621" s="17"/>
      <c r="T621" s="17"/>
      <c r="U621" s="17"/>
      <c r="V621" s="359"/>
      <c r="W621" s="382"/>
      <c r="X621" s="539"/>
      <c r="Y621" s="539"/>
      <c r="Z621" s="201"/>
      <c r="AA621" s="201"/>
      <c r="AB621" s="201"/>
      <c r="AC621" s="84"/>
      <c r="AE621" s="46"/>
      <c r="AF621" s="46"/>
      <c r="AG621" s="17"/>
      <c r="AH621" s="539"/>
      <c r="AI621" s="91"/>
      <c r="AK621" s="46"/>
      <c r="AL621" s="46"/>
      <c r="AM621" s="17"/>
      <c r="AN621" s="539"/>
      <c r="AO621" s="91"/>
      <c r="AQ621" s="46"/>
      <c r="AR621" s="46"/>
      <c r="AS621" s="17"/>
      <c r="AT621" s="539"/>
      <c r="AU621" s="91"/>
      <c r="AW621" s="46"/>
      <c r="AX621" s="46"/>
      <c r="AY621" s="17"/>
      <c r="AZ621" s="539"/>
      <c r="BA621" s="91"/>
    </row>
    <row r="622" spans="1:53" ht="17.100000000000001" customHeight="1" x14ac:dyDescent="0.25">
      <c r="A622" s="68"/>
      <c r="B622" s="48" t="s">
        <v>678</v>
      </c>
      <c r="C622" s="50" t="s">
        <v>679</v>
      </c>
      <c r="D622" s="50"/>
      <c r="E622" s="70"/>
      <c r="F622" s="70"/>
      <c r="G622" s="70"/>
      <c r="H622" s="119"/>
      <c r="J622" s="71"/>
      <c r="K622" s="71"/>
      <c r="L622" s="71"/>
      <c r="M622" s="71"/>
      <c r="N622" s="71"/>
      <c r="O622" s="71"/>
      <c r="P622" s="71"/>
      <c r="Q622" s="71"/>
      <c r="R622" s="71"/>
      <c r="S622" s="71"/>
      <c r="T622" s="71"/>
      <c r="U622" s="71"/>
      <c r="V622" s="355"/>
      <c r="W622" s="377"/>
      <c r="X622" s="71"/>
      <c r="Y622" s="72"/>
      <c r="Z622" s="73"/>
      <c r="AA622" s="73"/>
      <c r="AB622" s="73"/>
      <c r="AC622" s="73"/>
      <c r="AE622" s="71"/>
      <c r="AF622" s="71"/>
      <c r="AG622" s="71"/>
      <c r="AH622" s="72"/>
      <c r="AI622" s="73"/>
      <c r="AK622" s="71"/>
      <c r="AL622" s="71"/>
      <c r="AM622" s="71"/>
      <c r="AN622" s="72"/>
      <c r="AO622" s="73"/>
      <c r="AQ622" s="71"/>
      <c r="AR622" s="71"/>
      <c r="AS622" s="71"/>
      <c r="AT622" s="72"/>
      <c r="AU622" s="73"/>
      <c r="AW622" s="71"/>
      <c r="AX622" s="71"/>
      <c r="AY622" s="71"/>
      <c r="AZ622" s="72"/>
      <c r="BA622" s="73"/>
    </row>
    <row r="623" spans="1:53" s="117" customFormat="1" ht="17.100000000000001" customHeight="1" x14ac:dyDescent="0.25">
      <c r="A623" s="68"/>
      <c r="B623" s="119"/>
      <c r="C623" s="74" t="s">
        <v>680</v>
      </c>
      <c r="D623" s="85" t="s">
        <v>504</v>
      </c>
      <c r="E623" s="75"/>
      <c r="F623" s="151"/>
      <c r="G623" s="318"/>
      <c r="H623" s="119"/>
      <c r="I623" s="138"/>
      <c r="J623" s="111"/>
      <c r="K623" s="111"/>
      <c r="L623" s="111"/>
      <c r="M623" s="111"/>
      <c r="N623" s="111"/>
      <c r="O623" s="111"/>
      <c r="P623" s="327">
        <v>1</v>
      </c>
      <c r="Q623" s="111"/>
      <c r="R623" s="111"/>
      <c r="S623" s="327"/>
      <c r="T623" s="111"/>
      <c r="U623" s="111"/>
      <c r="V623" s="369"/>
      <c r="W623" s="391"/>
      <c r="X623" s="17"/>
      <c r="Y623" s="328">
        <f t="shared" ref="Y623:Y624" si="767">P623+S623+V623</f>
        <v>1</v>
      </c>
      <c r="Z623" s="19">
        <f>IF(Y$628=0,0,Y623/Y$628)</f>
        <v>0.5</v>
      </c>
      <c r="AA623" s="201"/>
      <c r="AB623" s="201"/>
      <c r="AC623" s="84"/>
      <c r="AE623" s="111"/>
      <c r="AF623" s="111"/>
      <c r="AG623" s="111"/>
      <c r="AH623" s="545"/>
      <c r="AI623" s="131"/>
      <c r="AK623" s="111"/>
      <c r="AL623" s="111"/>
      <c r="AM623" s="111"/>
      <c r="AN623" s="545"/>
      <c r="AO623" s="131"/>
      <c r="AQ623" s="111"/>
      <c r="AR623" s="111"/>
      <c r="AS623" s="111"/>
      <c r="AT623" s="545"/>
      <c r="AU623" s="131"/>
      <c r="AW623" s="111"/>
      <c r="AX623" s="111"/>
      <c r="AY623" s="111"/>
      <c r="AZ623" s="545"/>
      <c r="BA623" s="131"/>
    </row>
    <row r="624" spans="1:53" s="117" customFormat="1" ht="17.100000000000001" customHeight="1" x14ac:dyDescent="0.25">
      <c r="A624" s="68"/>
      <c r="B624" s="119"/>
      <c r="C624" s="74" t="s">
        <v>681</v>
      </c>
      <c r="D624" s="85" t="s">
        <v>505</v>
      </c>
      <c r="E624" s="75"/>
      <c r="F624" s="151"/>
      <c r="G624" s="318"/>
      <c r="H624" s="119"/>
      <c r="I624" s="138"/>
      <c r="J624" s="111"/>
      <c r="K624" s="111"/>
      <c r="L624" s="111"/>
      <c r="M624" s="111"/>
      <c r="N624" s="111"/>
      <c r="O624" s="111"/>
      <c r="P624" s="329"/>
      <c r="Q624" s="111"/>
      <c r="R624" s="111"/>
      <c r="S624" s="329"/>
      <c r="T624" s="111"/>
      <c r="U624" s="111"/>
      <c r="V624" s="370"/>
      <c r="W624" s="391"/>
      <c r="X624" s="17"/>
      <c r="Y624" s="328">
        <f t="shared" si="767"/>
        <v>0</v>
      </c>
      <c r="Z624" s="19">
        <f t="shared" ref="Z624:Z628" si="768">IF(Y$628=0,0,Y624/Y$628)</f>
        <v>0</v>
      </c>
      <c r="AA624" s="201"/>
      <c r="AB624" s="201"/>
      <c r="AC624" s="84"/>
      <c r="AE624" s="111"/>
      <c r="AF624" s="111"/>
      <c r="AG624" s="111"/>
      <c r="AH624" s="545"/>
      <c r="AI624" s="131"/>
      <c r="AK624" s="111"/>
      <c r="AL624" s="111"/>
      <c r="AM624" s="111"/>
      <c r="AN624" s="545"/>
      <c r="AO624" s="131"/>
      <c r="AQ624" s="111"/>
      <c r="AR624" s="111"/>
      <c r="AS624" s="111"/>
      <c r="AT624" s="545"/>
      <c r="AU624" s="131"/>
      <c r="AW624" s="111"/>
      <c r="AX624" s="111"/>
      <c r="AY624" s="111"/>
      <c r="AZ624" s="545"/>
      <c r="BA624" s="131"/>
    </row>
    <row r="625" spans="1:53" s="117" customFormat="1" ht="17.100000000000001" customHeight="1" x14ac:dyDescent="0.25">
      <c r="A625" s="68"/>
      <c r="B625" s="119"/>
      <c r="C625" s="74" t="s">
        <v>682</v>
      </c>
      <c r="D625" s="85" t="s">
        <v>683</v>
      </c>
      <c r="E625" s="75"/>
      <c r="F625" s="151"/>
      <c r="G625" s="318"/>
      <c r="H625" s="119"/>
      <c r="I625" s="138"/>
      <c r="J625" s="111"/>
      <c r="K625" s="111"/>
      <c r="L625" s="111"/>
      <c r="M625" s="111"/>
      <c r="N625" s="111"/>
      <c r="O625" s="111"/>
      <c r="P625" s="327"/>
      <c r="Q625" s="111"/>
      <c r="R625" s="111"/>
      <c r="S625" s="327"/>
      <c r="T625" s="111"/>
      <c r="U625" s="111"/>
      <c r="V625" s="369"/>
      <c r="W625" s="391"/>
      <c r="X625" s="17"/>
      <c r="Y625" s="328">
        <f>P625+S625+V625</f>
        <v>0</v>
      </c>
      <c r="Z625" s="19">
        <f t="shared" si="768"/>
        <v>0</v>
      </c>
      <c r="AA625" s="201"/>
      <c r="AB625" s="201"/>
      <c r="AC625" s="84"/>
      <c r="AE625" s="111"/>
      <c r="AF625" s="111"/>
      <c r="AG625" s="111"/>
      <c r="AH625" s="545"/>
      <c r="AI625" s="131"/>
      <c r="AK625" s="111"/>
      <c r="AL625" s="111"/>
      <c r="AM625" s="111"/>
      <c r="AN625" s="545"/>
      <c r="AO625" s="131"/>
      <c r="AQ625" s="111"/>
      <c r="AR625" s="111"/>
      <c r="AS625" s="111"/>
      <c r="AT625" s="545"/>
      <c r="AU625" s="131"/>
      <c r="AW625" s="111"/>
      <c r="AX625" s="111"/>
      <c r="AY625" s="111"/>
      <c r="AZ625" s="545"/>
      <c r="BA625" s="131"/>
    </row>
    <row r="626" spans="1:53" s="117" customFormat="1" ht="17.100000000000001" customHeight="1" x14ac:dyDescent="0.25">
      <c r="A626" s="68"/>
      <c r="B626" s="119"/>
      <c r="C626" s="74" t="s">
        <v>684</v>
      </c>
      <c r="D626" s="85" t="s">
        <v>685</v>
      </c>
      <c r="E626" s="75"/>
      <c r="F626" s="151"/>
      <c r="G626" s="318"/>
      <c r="H626" s="119"/>
      <c r="I626" s="138"/>
      <c r="J626" s="111"/>
      <c r="K626" s="111"/>
      <c r="L626" s="111"/>
      <c r="M626" s="111"/>
      <c r="N626" s="111"/>
      <c r="O626" s="111"/>
      <c r="P626" s="329"/>
      <c r="Q626" s="111"/>
      <c r="R626" s="111"/>
      <c r="S626" s="329"/>
      <c r="T626" s="111"/>
      <c r="U626" s="111"/>
      <c r="V626" s="370"/>
      <c r="W626" s="391"/>
      <c r="X626" s="17"/>
      <c r="Y626" s="328">
        <f t="shared" ref="Y626:Y627" si="769">P626+S626+V626</f>
        <v>0</v>
      </c>
      <c r="Z626" s="19">
        <f t="shared" si="768"/>
        <v>0</v>
      </c>
      <c r="AA626" s="201"/>
      <c r="AB626" s="201"/>
      <c r="AC626" s="84"/>
      <c r="AE626" s="111"/>
      <c r="AF626" s="111"/>
      <c r="AG626" s="111"/>
      <c r="AH626" s="545"/>
      <c r="AI626" s="131"/>
      <c r="AK626" s="111"/>
      <c r="AL626" s="111"/>
      <c r="AM626" s="111"/>
      <c r="AN626" s="545"/>
      <c r="AO626" s="131"/>
      <c r="AQ626" s="111"/>
      <c r="AR626" s="111"/>
      <c r="AS626" s="111"/>
      <c r="AT626" s="545"/>
      <c r="AU626" s="131"/>
      <c r="AW626" s="111"/>
      <c r="AX626" s="111"/>
      <c r="AY626" s="111"/>
      <c r="AZ626" s="545"/>
      <c r="BA626" s="131"/>
    </row>
    <row r="627" spans="1:53" s="117" customFormat="1" ht="17.100000000000001" customHeight="1" x14ac:dyDescent="0.25">
      <c r="A627" s="68"/>
      <c r="B627" s="119"/>
      <c r="C627" s="74" t="s">
        <v>686</v>
      </c>
      <c r="D627" s="85" t="s">
        <v>129</v>
      </c>
      <c r="E627" s="75"/>
      <c r="F627" s="151"/>
      <c r="G627" s="318"/>
      <c r="H627" s="119"/>
      <c r="I627" s="138"/>
      <c r="J627" s="111"/>
      <c r="K627" s="111"/>
      <c r="L627" s="111"/>
      <c r="M627" s="111"/>
      <c r="N627" s="111"/>
      <c r="O627" s="111"/>
      <c r="P627" s="327"/>
      <c r="Q627" s="111"/>
      <c r="R627" s="111"/>
      <c r="S627" s="327">
        <v>1</v>
      </c>
      <c r="T627" s="111"/>
      <c r="U627" s="111"/>
      <c r="V627" s="369"/>
      <c r="W627" s="391"/>
      <c r="X627" s="17"/>
      <c r="Y627" s="328">
        <f t="shared" si="769"/>
        <v>1</v>
      </c>
      <c r="Z627" s="19">
        <f t="shared" si="768"/>
        <v>0.5</v>
      </c>
      <c r="AA627" s="201"/>
      <c r="AB627" s="201"/>
      <c r="AC627" s="84"/>
      <c r="AE627" s="111"/>
      <c r="AF627" s="111"/>
      <c r="AG627" s="111"/>
      <c r="AH627" s="545"/>
      <c r="AI627" s="131"/>
      <c r="AK627" s="111"/>
      <c r="AL627" s="111"/>
      <c r="AM627" s="111"/>
      <c r="AN627" s="545"/>
      <c r="AO627" s="131"/>
      <c r="AQ627" s="111"/>
      <c r="AR627" s="111"/>
      <c r="AS627" s="111"/>
      <c r="AT627" s="545"/>
      <c r="AU627" s="131"/>
      <c r="AW627" s="111"/>
      <c r="AX627" s="111"/>
      <c r="AY627" s="111"/>
      <c r="AZ627" s="545"/>
      <c r="BA627" s="131"/>
    </row>
    <row r="628" spans="1:53" ht="17.100000000000001" customHeight="1" x14ac:dyDescent="0.25">
      <c r="A628" s="40"/>
      <c r="B628" s="40"/>
      <c r="C628" s="77"/>
      <c r="D628" s="134"/>
      <c r="E628" s="134"/>
      <c r="F628" s="134"/>
      <c r="G628" s="134"/>
      <c r="H628" s="540"/>
      <c r="I628" s="229"/>
      <c r="J628" s="80"/>
      <c r="K628" s="80"/>
      <c r="L628" s="80"/>
      <c r="M628" s="80"/>
      <c r="N628" s="81"/>
      <c r="O628" s="81"/>
      <c r="P628" s="82">
        <f>SUM(P623:P627)</f>
        <v>1</v>
      </c>
      <c r="Q628" s="81"/>
      <c r="R628" s="81"/>
      <c r="S628" s="82">
        <f>SUM(S623:S627)</f>
        <v>1</v>
      </c>
      <c r="T628" s="81"/>
      <c r="U628" s="81"/>
      <c r="V628" s="360">
        <f>SUM(V623:V627)</f>
        <v>0</v>
      </c>
      <c r="W628" s="381"/>
      <c r="X628" s="82"/>
      <c r="Y628" s="82">
        <f>SUM(Y623:Y627)</f>
        <v>2</v>
      </c>
      <c r="Z628" s="205">
        <f t="shared" si="768"/>
        <v>1</v>
      </c>
      <c r="AA628" s="205"/>
      <c r="AB628" s="205"/>
      <c r="AC628" s="83"/>
      <c r="AE628" s="80"/>
      <c r="AF628" s="80"/>
      <c r="AG628" s="81"/>
      <c r="AH628" s="82"/>
      <c r="AI628" s="66"/>
      <c r="AK628" s="80"/>
      <c r="AL628" s="80"/>
      <c r="AM628" s="81"/>
      <c r="AN628" s="82"/>
      <c r="AO628" s="66"/>
      <c r="AQ628" s="80"/>
      <c r="AR628" s="80"/>
      <c r="AS628" s="81"/>
      <c r="AT628" s="82"/>
      <c r="AU628" s="66"/>
      <c r="AW628" s="80"/>
      <c r="AX628" s="80"/>
      <c r="AY628" s="81"/>
      <c r="AZ628" s="82"/>
      <c r="BA628" s="66"/>
    </row>
    <row r="629" spans="1:53" s="117" customFormat="1" ht="17.100000000000001" customHeight="1" x14ac:dyDescent="0.25">
      <c r="A629" s="68"/>
      <c r="B629" s="119"/>
      <c r="C629" s="540"/>
      <c r="D629" s="261"/>
      <c r="E629" s="261"/>
      <c r="F629" s="68"/>
      <c r="G629" s="68"/>
      <c r="H629" s="119"/>
      <c r="I629" s="138"/>
      <c r="J629" s="17"/>
      <c r="K629" s="17"/>
      <c r="L629" s="17"/>
      <c r="M629" s="17"/>
      <c r="N629" s="17"/>
      <c r="O629" s="17"/>
      <c r="P629" s="17" t="str">
        <f>IF(P628=1,"OK","NOK")</f>
        <v>OK</v>
      </c>
      <c r="Q629" s="17"/>
      <c r="R629" s="17"/>
      <c r="S629" s="17" t="str">
        <f>IF(S628=1,"OK","NOK")</f>
        <v>OK</v>
      </c>
      <c r="T629" s="17"/>
      <c r="U629" s="17"/>
      <c r="V629" s="359" t="str">
        <f>IF(V628=1,"OK","NOK")</f>
        <v>NOK</v>
      </c>
      <c r="W629" s="382"/>
      <c r="X629" s="539"/>
      <c r="Y629" s="539"/>
      <c r="Z629" s="201"/>
      <c r="AA629" s="201"/>
      <c r="AB629" s="201"/>
      <c r="AC629" s="84"/>
      <c r="AE629" s="46"/>
      <c r="AF629" s="46"/>
      <c r="AG629" s="17"/>
      <c r="AH629" s="539"/>
      <c r="AI629" s="91"/>
      <c r="AK629" s="46"/>
      <c r="AL629" s="46"/>
      <c r="AM629" s="17"/>
      <c r="AN629" s="539"/>
      <c r="AO629" s="91"/>
      <c r="AQ629" s="46"/>
      <c r="AR629" s="46"/>
      <c r="AS629" s="17"/>
      <c r="AT629" s="539"/>
      <c r="AU629" s="91"/>
      <c r="AW629" s="46"/>
      <c r="AX629" s="46"/>
      <c r="AY629" s="17"/>
      <c r="AZ629" s="539"/>
      <c r="BA629" s="91"/>
    </row>
    <row r="630" spans="1:53" ht="17.100000000000001" customHeight="1" x14ac:dyDescent="0.25">
      <c r="A630" s="119"/>
      <c r="B630" s="48" t="s">
        <v>687</v>
      </c>
      <c r="C630" s="50" t="s">
        <v>688</v>
      </c>
      <c r="D630" s="50"/>
      <c r="E630" s="70"/>
      <c r="F630" s="70"/>
      <c r="G630" s="70"/>
      <c r="H630" s="119"/>
      <c r="J630" s="71"/>
      <c r="K630" s="71"/>
      <c r="L630" s="71"/>
      <c r="M630" s="71"/>
      <c r="N630" s="71"/>
      <c r="O630" s="71"/>
      <c r="P630" s="71"/>
      <c r="Q630" s="71"/>
      <c r="R630" s="71"/>
      <c r="S630" s="71"/>
      <c r="T630" s="71"/>
      <c r="U630" s="71"/>
      <c r="V630" s="355"/>
      <c r="W630" s="377"/>
      <c r="X630" s="71"/>
      <c r="Y630" s="72"/>
      <c r="Z630" s="73"/>
      <c r="AA630" s="73"/>
      <c r="AB630" s="73"/>
      <c r="AC630" s="73"/>
      <c r="AE630" s="71"/>
      <c r="AF630" s="71"/>
      <c r="AG630" s="71"/>
      <c r="AH630" s="72"/>
      <c r="AI630" s="73"/>
      <c r="AK630" s="71"/>
      <c r="AL630" s="71"/>
      <c r="AM630" s="71"/>
      <c r="AN630" s="72"/>
      <c r="AO630" s="73"/>
      <c r="AQ630" s="71"/>
      <c r="AR630" s="71"/>
      <c r="AS630" s="71"/>
      <c r="AT630" s="72"/>
      <c r="AU630" s="73"/>
      <c r="AW630" s="71"/>
      <c r="AX630" s="71"/>
      <c r="AY630" s="71"/>
      <c r="AZ630" s="72"/>
      <c r="BA630" s="73"/>
    </row>
    <row r="631" spans="1:53" ht="17.100000000000001" customHeight="1" x14ac:dyDescent="0.25">
      <c r="A631" s="119"/>
      <c r="B631" s="119"/>
      <c r="C631" s="48" t="s">
        <v>689</v>
      </c>
      <c r="D631" s="50" t="s">
        <v>690</v>
      </c>
      <c r="E631" s="70"/>
      <c r="F631" s="70"/>
      <c r="G631" s="70"/>
      <c r="H631" s="119"/>
      <c r="J631" s="71"/>
      <c r="K631" s="71"/>
      <c r="L631" s="71"/>
      <c r="M631" s="71"/>
      <c r="N631" s="71"/>
      <c r="O631" s="71"/>
      <c r="P631" s="71"/>
      <c r="Q631" s="71"/>
      <c r="R631" s="71"/>
      <c r="S631" s="71"/>
      <c r="T631" s="71"/>
      <c r="U631" s="71"/>
      <c r="V631" s="355"/>
      <c r="W631" s="377"/>
      <c r="X631" s="71"/>
      <c r="Y631" s="72"/>
      <c r="Z631" s="73"/>
      <c r="AA631" s="73"/>
      <c r="AB631" s="73"/>
      <c r="AC631" s="73"/>
      <c r="AE631" s="71"/>
      <c r="AF631" s="71"/>
      <c r="AG631" s="71"/>
      <c r="AH631" s="72"/>
      <c r="AI631" s="73"/>
      <c r="AK631" s="71"/>
      <c r="AL631" s="71"/>
      <c r="AM631" s="71"/>
      <c r="AN631" s="72"/>
      <c r="AO631" s="73"/>
      <c r="AQ631" s="71"/>
      <c r="AR631" s="71"/>
      <c r="AS631" s="71"/>
      <c r="AT631" s="72"/>
      <c r="AU631" s="73"/>
      <c r="AW631" s="71"/>
      <c r="AX631" s="71"/>
      <c r="AY631" s="71"/>
      <c r="AZ631" s="72"/>
      <c r="BA631" s="73"/>
    </row>
    <row r="632" spans="1:53" s="117" customFormat="1" ht="17.100000000000001" customHeight="1" x14ac:dyDescent="0.25">
      <c r="A632" s="119"/>
      <c r="B632" s="40"/>
      <c r="C632" s="40"/>
      <c r="D632" s="74" t="s">
        <v>691</v>
      </c>
      <c r="E632" s="75" t="s">
        <v>692</v>
      </c>
      <c r="F632" s="105"/>
      <c r="G632" s="151"/>
      <c r="H632" s="119"/>
      <c r="I632" s="138"/>
      <c r="J632" s="111"/>
      <c r="K632" s="111"/>
      <c r="L632" s="111"/>
      <c r="M632" s="111"/>
      <c r="N632" s="111"/>
      <c r="O632" s="111"/>
      <c r="P632" s="327">
        <v>1</v>
      </c>
      <c r="Q632" s="111"/>
      <c r="R632" s="111"/>
      <c r="S632" s="327"/>
      <c r="T632" s="111"/>
      <c r="U632" s="111"/>
      <c r="V632" s="369"/>
      <c r="W632" s="391"/>
      <c r="X632" s="17"/>
      <c r="Y632" s="328">
        <f t="shared" ref="Y632" si="770">P632+S632+V632</f>
        <v>1</v>
      </c>
      <c r="Z632" s="19">
        <f>IF(Y$636=0,0,Y632/Y$636)</f>
        <v>0.5</v>
      </c>
      <c r="AA632" s="201"/>
      <c r="AB632" s="201"/>
      <c r="AC632" s="84"/>
      <c r="AE632" s="111"/>
      <c r="AF632" s="111"/>
      <c r="AG632" s="111"/>
      <c r="AH632" s="545"/>
      <c r="AI632" s="131"/>
      <c r="AK632" s="111"/>
      <c r="AL632" s="111"/>
      <c r="AM632" s="111"/>
      <c r="AN632" s="545"/>
      <c r="AO632" s="131"/>
      <c r="AQ632" s="111"/>
      <c r="AR632" s="111"/>
      <c r="AS632" s="111"/>
      <c r="AT632" s="545"/>
      <c r="AU632" s="131"/>
      <c r="AW632" s="111"/>
      <c r="AX632" s="111"/>
      <c r="AY632" s="111"/>
      <c r="AZ632" s="545"/>
      <c r="BA632" s="131"/>
    </row>
    <row r="633" spans="1:53" s="117" customFormat="1" ht="17.100000000000001" customHeight="1" x14ac:dyDescent="0.25">
      <c r="A633" s="68"/>
      <c r="B633" s="40"/>
      <c r="C633" s="40"/>
      <c r="D633" s="74" t="s">
        <v>704</v>
      </c>
      <c r="E633" s="85" t="s">
        <v>694</v>
      </c>
      <c r="F633" s="75"/>
      <c r="G633" s="151"/>
      <c r="H633" s="119"/>
      <c r="I633" s="138"/>
      <c r="J633" s="111"/>
      <c r="K633" s="111"/>
      <c r="L633" s="111"/>
      <c r="M633" s="111"/>
      <c r="N633" s="111"/>
      <c r="O633" s="111"/>
      <c r="P633" s="329"/>
      <c r="Q633" s="111"/>
      <c r="R633" s="111"/>
      <c r="S633" s="329"/>
      <c r="T633" s="111"/>
      <c r="U633" s="111"/>
      <c r="V633" s="370"/>
      <c r="W633" s="382"/>
      <c r="X633" s="539"/>
      <c r="Y633" s="539"/>
      <c r="Z633" s="201"/>
      <c r="AA633" s="353">
        <f>MIN(P633,S633,V633)</f>
        <v>0</v>
      </c>
      <c r="AB633" s="353">
        <f>MAX(P633,S633,V633)</f>
        <v>0</v>
      </c>
      <c r="AC633" s="353">
        <f>IF(P633+S633+V633=0,0,AVERAGE(P633,S633,V633))</f>
        <v>0</v>
      </c>
      <c r="AE633" s="111"/>
      <c r="AF633" s="111"/>
      <c r="AG633" s="111"/>
      <c r="AH633" s="545"/>
      <c r="AI633" s="131"/>
      <c r="AK633" s="111"/>
      <c r="AL633" s="111"/>
      <c r="AM633" s="111"/>
      <c r="AN633" s="545"/>
      <c r="AO633" s="131"/>
      <c r="AQ633" s="111"/>
      <c r="AR633" s="111"/>
      <c r="AS633" s="111"/>
      <c r="AT633" s="545"/>
      <c r="AU633" s="131"/>
      <c r="AW633" s="111"/>
      <c r="AX633" s="111"/>
      <c r="AY633" s="111"/>
      <c r="AZ633" s="545"/>
      <c r="BA633" s="131"/>
    </row>
    <row r="634" spans="1:53" ht="17.100000000000001" customHeight="1" x14ac:dyDescent="0.25">
      <c r="A634" s="40"/>
      <c r="B634" s="40"/>
      <c r="C634" s="40"/>
      <c r="D634" s="77" t="s">
        <v>704</v>
      </c>
      <c r="E634" s="134" t="s">
        <v>697</v>
      </c>
      <c r="F634" s="134"/>
      <c r="G634" s="134"/>
      <c r="H634" s="540"/>
      <c r="I634" s="229"/>
      <c r="J634" s="80"/>
      <c r="K634" s="80"/>
      <c r="L634" s="80"/>
      <c r="M634" s="80"/>
      <c r="N634" s="81"/>
      <c r="O634" s="81"/>
      <c r="P634" s="81">
        <f>IF(P633&gt;0,1,0)</f>
        <v>0</v>
      </c>
      <c r="Q634" s="81"/>
      <c r="R634" s="81"/>
      <c r="S634" s="81">
        <f>IF(S633&gt;0,1,0)</f>
        <v>0</v>
      </c>
      <c r="T634" s="81"/>
      <c r="U634" s="81"/>
      <c r="V634" s="356">
        <f>IF(V633&gt;0,1,0)</f>
        <v>0</v>
      </c>
      <c r="W634" s="382"/>
      <c r="X634" s="539"/>
      <c r="Y634" s="328">
        <f t="shared" ref="Y634:Y635" si="771">P634+S634+V634</f>
        <v>0</v>
      </c>
      <c r="Z634" s="19">
        <f t="shared" ref="Z634:Z636" si="772">IF(Y$636=0,0,Y634/Y$636)</f>
        <v>0</v>
      </c>
      <c r="AA634" s="201"/>
      <c r="AB634" s="201"/>
      <c r="AC634" s="84"/>
      <c r="AE634" s="80"/>
      <c r="AF634" s="80"/>
      <c r="AG634" s="81"/>
      <c r="AH634" s="82"/>
      <c r="AI634" s="66"/>
      <c r="AK634" s="80"/>
      <c r="AL634" s="80"/>
      <c r="AM634" s="81"/>
      <c r="AN634" s="82"/>
      <c r="AO634" s="66"/>
      <c r="AQ634" s="80"/>
      <c r="AR634" s="80"/>
      <c r="AS634" s="81"/>
      <c r="AT634" s="82"/>
      <c r="AU634" s="66"/>
      <c r="AW634" s="80"/>
      <c r="AX634" s="80"/>
      <c r="AY634" s="81"/>
      <c r="AZ634" s="82"/>
      <c r="BA634" s="66"/>
    </row>
    <row r="635" spans="1:53" s="117" customFormat="1" ht="17.100000000000001" customHeight="1" x14ac:dyDescent="0.25">
      <c r="A635" s="68"/>
      <c r="B635" s="40"/>
      <c r="C635" s="40"/>
      <c r="D635" s="74" t="s">
        <v>695</v>
      </c>
      <c r="E635" s="85" t="s">
        <v>696</v>
      </c>
      <c r="F635" s="105"/>
      <c r="G635" s="151"/>
      <c r="H635" s="119"/>
      <c r="I635" s="138"/>
      <c r="J635" s="111"/>
      <c r="K635" s="111"/>
      <c r="L635" s="111"/>
      <c r="M635" s="111"/>
      <c r="N635" s="111"/>
      <c r="O635" s="111"/>
      <c r="P635" s="327"/>
      <c r="Q635" s="111"/>
      <c r="R635" s="111"/>
      <c r="S635" s="327">
        <v>1</v>
      </c>
      <c r="T635" s="111"/>
      <c r="U635" s="111"/>
      <c r="V635" s="369"/>
      <c r="W635" s="391"/>
      <c r="X635" s="17"/>
      <c r="Y635" s="328">
        <f t="shared" si="771"/>
        <v>1</v>
      </c>
      <c r="Z635" s="19">
        <f t="shared" si="772"/>
        <v>0.5</v>
      </c>
      <c r="AA635" s="201"/>
      <c r="AB635" s="201"/>
      <c r="AC635" s="84"/>
      <c r="AE635" s="111"/>
      <c r="AF635" s="111"/>
      <c r="AG635" s="111"/>
      <c r="AH635" s="545"/>
      <c r="AI635" s="131"/>
      <c r="AK635" s="111"/>
      <c r="AL635" s="111"/>
      <c r="AM635" s="111"/>
      <c r="AN635" s="545"/>
      <c r="AO635" s="131"/>
      <c r="AQ635" s="111"/>
      <c r="AR635" s="111"/>
      <c r="AS635" s="111"/>
      <c r="AT635" s="545"/>
      <c r="AU635" s="131"/>
      <c r="AW635" s="111"/>
      <c r="AX635" s="111"/>
      <c r="AY635" s="111"/>
      <c r="AZ635" s="545"/>
      <c r="BA635" s="131"/>
    </row>
    <row r="636" spans="1:53" ht="17.100000000000001" customHeight="1" x14ac:dyDescent="0.25">
      <c r="A636" s="40"/>
      <c r="B636" s="40"/>
      <c r="C636" s="77"/>
      <c r="D636" s="134"/>
      <c r="E636" s="134"/>
      <c r="F636" s="134"/>
      <c r="G636" s="134"/>
      <c r="H636" s="540"/>
      <c r="I636" s="229"/>
      <c r="J636" s="80"/>
      <c r="K636" s="80"/>
      <c r="L636" s="80"/>
      <c r="M636" s="80"/>
      <c r="N636" s="81"/>
      <c r="O636" s="81"/>
      <c r="P636" s="82">
        <f>P632+P634+P635</f>
        <v>1</v>
      </c>
      <c r="Q636" s="81"/>
      <c r="R636" s="81"/>
      <c r="S636" s="82">
        <f>S632+S634+S635</f>
        <v>1</v>
      </c>
      <c r="T636" s="81"/>
      <c r="U636" s="81"/>
      <c r="V636" s="360">
        <f>V632+V634+V635</f>
        <v>0</v>
      </c>
      <c r="W636" s="381"/>
      <c r="X636" s="82"/>
      <c r="Y636" s="82">
        <f>SUM(Y630:Y635)</f>
        <v>2</v>
      </c>
      <c r="Z636" s="205">
        <f t="shared" si="772"/>
        <v>1</v>
      </c>
      <c r="AA636" s="205"/>
      <c r="AB636" s="205"/>
      <c r="AC636" s="83"/>
      <c r="AE636" s="80"/>
      <c r="AF636" s="80"/>
      <c r="AG636" s="81"/>
      <c r="AH636" s="82"/>
      <c r="AI636" s="66"/>
      <c r="AK636" s="80"/>
      <c r="AL636" s="80"/>
      <c r="AM636" s="81"/>
      <c r="AN636" s="82"/>
      <c r="AO636" s="66"/>
      <c r="AQ636" s="80"/>
      <c r="AR636" s="80"/>
      <c r="AS636" s="81"/>
      <c r="AT636" s="82"/>
      <c r="AU636" s="66"/>
      <c r="AW636" s="80"/>
      <c r="AX636" s="80"/>
      <c r="AY636" s="81"/>
      <c r="AZ636" s="82"/>
      <c r="BA636" s="66"/>
    </row>
    <row r="637" spans="1:53" s="117" customFormat="1" ht="17.100000000000001" customHeight="1" x14ac:dyDescent="0.25">
      <c r="A637" s="68"/>
      <c r="B637" s="119"/>
      <c r="C637" s="540"/>
      <c r="D637" s="261"/>
      <c r="E637" s="261"/>
      <c r="F637" s="68"/>
      <c r="G637" s="68"/>
      <c r="H637" s="119"/>
      <c r="I637" s="138"/>
      <c r="J637" s="17"/>
      <c r="K637" s="17"/>
      <c r="L637" s="17"/>
      <c r="M637" s="17"/>
      <c r="N637" s="17"/>
      <c r="O637" s="17"/>
      <c r="P637" s="17" t="str">
        <f>IF(P636=1,"OK","NOK")</f>
        <v>OK</v>
      </c>
      <c r="Q637" s="17"/>
      <c r="R637" s="17"/>
      <c r="S637" s="17" t="str">
        <f>IF(S636=1,"OK","NOK")</f>
        <v>OK</v>
      </c>
      <c r="T637" s="17"/>
      <c r="U637" s="17"/>
      <c r="V637" s="359" t="str">
        <f>IF(V636=1,"OK","NOK")</f>
        <v>NOK</v>
      </c>
      <c r="W637" s="382"/>
      <c r="X637" s="539"/>
      <c r="Y637" s="539"/>
      <c r="Z637" s="201"/>
      <c r="AA637" s="201"/>
      <c r="AB637" s="201"/>
      <c r="AC637" s="84"/>
      <c r="AE637" s="46"/>
      <c r="AF637" s="46"/>
      <c r="AG637" s="17"/>
      <c r="AH637" s="539"/>
      <c r="AI637" s="91"/>
      <c r="AK637" s="46"/>
      <c r="AL637" s="46"/>
      <c r="AM637" s="17"/>
      <c r="AN637" s="539"/>
      <c r="AO637" s="91"/>
      <c r="AQ637" s="46"/>
      <c r="AR637" s="46"/>
      <c r="AS637" s="17"/>
      <c r="AT637" s="539"/>
      <c r="AU637" s="91"/>
      <c r="AW637" s="46"/>
      <c r="AX637" s="46"/>
      <c r="AY637" s="17"/>
      <c r="AZ637" s="539"/>
      <c r="BA637" s="91"/>
    </row>
    <row r="638" spans="1:53" ht="17.100000000000001" customHeight="1" x14ac:dyDescent="0.25">
      <c r="A638" s="119"/>
      <c r="B638" s="119"/>
      <c r="C638" s="48" t="s">
        <v>698</v>
      </c>
      <c r="D638" s="551" t="s">
        <v>699</v>
      </c>
      <c r="E638" s="70"/>
      <c r="F638" s="70"/>
      <c r="G638" s="70"/>
      <c r="H638" s="119"/>
      <c r="J638" s="71"/>
      <c r="K638" s="71"/>
      <c r="L638" s="71"/>
      <c r="M638" s="71"/>
      <c r="N638" s="71"/>
      <c r="O638" s="71"/>
      <c r="P638" s="71"/>
      <c r="Q638" s="71"/>
      <c r="R638" s="71"/>
      <c r="S638" s="71"/>
      <c r="T638" s="71"/>
      <c r="U638" s="71"/>
      <c r="V638" s="355"/>
      <c r="W638" s="377"/>
      <c r="X638" s="71"/>
      <c r="Y638" s="72"/>
      <c r="Z638" s="73"/>
      <c r="AA638" s="73"/>
      <c r="AB638" s="73"/>
      <c r="AC638" s="73"/>
      <c r="AE638" s="71"/>
      <c r="AF638" s="71"/>
      <c r="AG638" s="71"/>
      <c r="AH638" s="72"/>
      <c r="AI638" s="73"/>
      <c r="AK638" s="71"/>
      <c r="AL638" s="71"/>
      <c r="AM638" s="71"/>
      <c r="AN638" s="72"/>
      <c r="AO638" s="73"/>
      <c r="AQ638" s="71"/>
      <c r="AR638" s="71"/>
      <c r="AS638" s="71"/>
      <c r="AT638" s="72"/>
      <c r="AU638" s="73"/>
      <c r="AW638" s="71"/>
      <c r="AX638" s="71"/>
      <c r="AY638" s="71"/>
      <c r="AZ638" s="72"/>
      <c r="BA638" s="73"/>
    </row>
    <row r="639" spans="1:53" s="117" customFormat="1" ht="17.100000000000001" customHeight="1" x14ac:dyDescent="0.25">
      <c r="A639" s="119"/>
      <c r="B639" s="40"/>
      <c r="C639" s="40"/>
      <c r="D639" s="74" t="s">
        <v>702</v>
      </c>
      <c r="E639" s="75" t="s">
        <v>692</v>
      </c>
      <c r="F639" s="105"/>
      <c r="G639" s="151"/>
      <c r="H639" s="119"/>
      <c r="I639" s="138"/>
      <c r="J639" s="111"/>
      <c r="K639" s="111"/>
      <c r="L639" s="111"/>
      <c r="M639" s="111"/>
      <c r="N639" s="111"/>
      <c r="O639" s="111"/>
      <c r="P639" s="327">
        <v>1</v>
      </c>
      <c r="Q639" s="111"/>
      <c r="R639" s="111"/>
      <c r="S639" s="327"/>
      <c r="T639" s="111"/>
      <c r="U639" s="111"/>
      <c r="V639" s="369"/>
      <c r="W639" s="391"/>
      <c r="X639" s="17"/>
      <c r="Y639" s="328">
        <f t="shared" ref="Y639" si="773">P639+S639+V639</f>
        <v>1</v>
      </c>
      <c r="Z639" s="19">
        <f>IF(Y$643=0,0,Y639/Y$643)</f>
        <v>0.5</v>
      </c>
      <c r="AA639" s="201"/>
      <c r="AB639" s="201"/>
      <c r="AC639" s="84"/>
      <c r="AE639" s="111"/>
      <c r="AF639" s="111"/>
      <c r="AG639" s="111"/>
      <c r="AH639" s="545"/>
      <c r="AI639" s="131"/>
      <c r="AK639" s="111"/>
      <c r="AL639" s="111"/>
      <c r="AM639" s="111"/>
      <c r="AN639" s="545"/>
      <c r="AO639" s="131"/>
      <c r="AQ639" s="111"/>
      <c r="AR639" s="111"/>
      <c r="AS639" s="111"/>
      <c r="AT639" s="545"/>
      <c r="AU639" s="131"/>
      <c r="AW639" s="111"/>
      <c r="AX639" s="111"/>
      <c r="AY639" s="111"/>
      <c r="AZ639" s="545"/>
      <c r="BA639" s="131"/>
    </row>
    <row r="640" spans="1:53" s="117" customFormat="1" ht="17.100000000000001" customHeight="1" x14ac:dyDescent="0.25">
      <c r="A640" s="68"/>
      <c r="B640" s="40"/>
      <c r="C640" s="40"/>
      <c r="D640" s="74" t="s">
        <v>693</v>
      </c>
      <c r="E640" s="85" t="s">
        <v>694</v>
      </c>
      <c r="F640" s="75"/>
      <c r="G640" s="151"/>
      <c r="H640" s="119"/>
      <c r="I640" s="138"/>
      <c r="J640" s="111"/>
      <c r="K640" s="111"/>
      <c r="L640" s="111"/>
      <c r="M640" s="111"/>
      <c r="N640" s="111"/>
      <c r="O640" s="111"/>
      <c r="P640" s="329"/>
      <c r="Q640" s="111"/>
      <c r="R640" s="111"/>
      <c r="S640" s="329"/>
      <c r="T640" s="111"/>
      <c r="U640" s="111"/>
      <c r="V640" s="370"/>
      <c r="W640" s="382"/>
      <c r="X640" s="539"/>
      <c r="Y640" s="539"/>
      <c r="Z640" s="19"/>
      <c r="AA640" s="353">
        <f>MIN(P640,S640,V640)</f>
        <v>0</v>
      </c>
      <c r="AB640" s="353">
        <f>MAX(P640,S640,V640)</f>
        <v>0</v>
      </c>
      <c r="AC640" s="353">
        <f>IF(P640+S640+V640=0,0,AVERAGE(P640,S640,V640))</f>
        <v>0</v>
      </c>
      <c r="AE640" s="111"/>
      <c r="AF640" s="111"/>
      <c r="AG640" s="111"/>
      <c r="AH640" s="545"/>
      <c r="AI640" s="131"/>
      <c r="AK640" s="111"/>
      <c r="AL640" s="111"/>
      <c r="AM640" s="111"/>
      <c r="AN640" s="545"/>
      <c r="AO640" s="131"/>
      <c r="AQ640" s="111"/>
      <c r="AR640" s="111"/>
      <c r="AS640" s="111"/>
      <c r="AT640" s="545"/>
      <c r="AU640" s="131"/>
      <c r="AW640" s="111"/>
      <c r="AX640" s="111"/>
      <c r="AY640" s="111"/>
      <c r="AZ640" s="545"/>
      <c r="BA640" s="131"/>
    </row>
    <row r="641" spans="1:53" ht="17.100000000000001" customHeight="1" x14ac:dyDescent="0.25">
      <c r="A641" s="40"/>
      <c r="B641" s="40"/>
      <c r="C641" s="40"/>
      <c r="D641" s="77" t="s">
        <v>693</v>
      </c>
      <c r="E641" s="134" t="s">
        <v>697</v>
      </c>
      <c r="F641" s="134"/>
      <c r="G641" s="134"/>
      <c r="H641" s="540"/>
      <c r="I641" s="229"/>
      <c r="J641" s="80"/>
      <c r="K641" s="80"/>
      <c r="L641" s="80"/>
      <c r="M641" s="80"/>
      <c r="N641" s="81"/>
      <c r="O641" s="81"/>
      <c r="P641" s="81">
        <f>IF(P640&gt;0,1,0)</f>
        <v>0</v>
      </c>
      <c r="Q641" s="81"/>
      <c r="R641" s="81"/>
      <c r="S641" s="81">
        <f>IF(S640&gt;0,1,0)</f>
        <v>0</v>
      </c>
      <c r="T641" s="81"/>
      <c r="U641" s="81"/>
      <c r="V641" s="356">
        <f>IF(V640&gt;0,1,0)</f>
        <v>0</v>
      </c>
      <c r="W641" s="382"/>
      <c r="X641" s="539"/>
      <c r="Y641" s="328">
        <f t="shared" ref="Y641:Y642" si="774">P641+S641+V641</f>
        <v>0</v>
      </c>
      <c r="Z641" s="19">
        <f t="shared" ref="Z641:Z643" si="775">IF(Y$643=0,0,Y641/Y$643)</f>
        <v>0</v>
      </c>
      <c r="AA641" s="201"/>
      <c r="AB641" s="201"/>
      <c r="AC641" s="84"/>
      <c r="AE641" s="80"/>
      <c r="AF641" s="80"/>
      <c r="AG641" s="81"/>
      <c r="AH641" s="82"/>
      <c r="AI641" s="66"/>
      <c r="AK641" s="80"/>
      <c r="AL641" s="80"/>
      <c r="AM641" s="81"/>
      <c r="AN641" s="82"/>
      <c r="AO641" s="66"/>
      <c r="AQ641" s="80"/>
      <c r="AR641" s="80"/>
      <c r="AS641" s="81"/>
      <c r="AT641" s="82"/>
      <c r="AU641" s="66"/>
      <c r="AW641" s="80"/>
      <c r="AX641" s="80"/>
      <c r="AY641" s="81"/>
      <c r="AZ641" s="82"/>
      <c r="BA641" s="66"/>
    </row>
    <row r="642" spans="1:53" s="117" customFormat="1" ht="17.100000000000001" customHeight="1" x14ac:dyDescent="0.25">
      <c r="A642" s="68"/>
      <c r="B642" s="40"/>
      <c r="C642" s="40"/>
      <c r="D642" s="74" t="s">
        <v>703</v>
      </c>
      <c r="E642" s="85" t="s">
        <v>696</v>
      </c>
      <c r="F642" s="105"/>
      <c r="G642" s="151"/>
      <c r="H642" s="119"/>
      <c r="I642" s="138"/>
      <c r="J642" s="111"/>
      <c r="K642" s="111"/>
      <c r="L642" s="111"/>
      <c r="M642" s="111"/>
      <c r="N642" s="111"/>
      <c r="O642" s="111"/>
      <c r="P642" s="327"/>
      <c r="Q642" s="111"/>
      <c r="R642" s="111"/>
      <c r="S642" s="327">
        <v>1</v>
      </c>
      <c r="T642" s="111"/>
      <c r="U642" s="111"/>
      <c r="V642" s="369"/>
      <c r="W642" s="391"/>
      <c r="X642" s="17"/>
      <c r="Y642" s="328">
        <f t="shared" si="774"/>
        <v>1</v>
      </c>
      <c r="Z642" s="19">
        <f t="shared" si="775"/>
        <v>0.5</v>
      </c>
      <c r="AA642" s="201"/>
      <c r="AB642" s="201"/>
      <c r="AC642" s="84"/>
      <c r="AE642" s="111"/>
      <c r="AF642" s="111"/>
      <c r="AG642" s="111"/>
      <c r="AH642" s="545"/>
      <c r="AI642" s="131"/>
      <c r="AK642" s="111"/>
      <c r="AL642" s="111"/>
      <c r="AM642" s="111"/>
      <c r="AN642" s="545"/>
      <c r="AO642" s="131"/>
      <c r="AQ642" s="111"/>
      <c r="AR642" s="111"/>
      <c r="AS642" s="111"/>
      <c r="AT642" s="545"/>
      <c r="AU642" s="131"/>
      <c r="AW642" s="111"/>
      <c r="AX642" s="111"/>
      <c r="AY642" s="111"/>
      <c r="AZ642" s="545"/>
      <c r="BA642" s="131"/>
    </row>
    <row r="643" spans="1:53" ht="17.100000000000001" customHeight="1" x14ac:dyDescent="0.25">
      <c r="A643" s="40"/>
      <c r="B643" s="40"/>
      <c r="C643" s="77"/>
      <c r="D643" s="134"/>
      <c r="E643" s="134"/>
      <c r="F643" s="134"/>
      <c r="G643" s="134"/>
      <c r="H643" s="540"/>
      <c r="I643" s="229"/>
      <c r="J643" s="80"/>
      <c r="K643" s="80"/>
      <c r="L643" s="80"/>
      <c r="M643" s="80"/>
      <c r="N643" s="81"/>
      <c r="O643" s="81"/>
      <c r="P643" s="82">
        <f>P639+P641+P642</f>
        <v>1</v>
      </c>
      <c r="Q643" s="81"/>
      <c r="R643" s="81"/>
      <c r="S643" s="82">
        <f>S639+S641+S642</f>
        <v>1</v>
      </c>
      <c r="T643" s="81"/>
      <c r="U643" s="81"/>
      <c r="V643" s="360">
        <f>V639+V641+V642</f>
        <v>0</v>
      </c>
      <c r="W643" s="381"/>
      <c r="X643" s="82"/>
      <c r="Y643" s="82">
        <f>SUM(Y637:Y642)</f>
        <v>2</v>
      </c>
      <c r="Z643" s="205">
        <f t="shared" si="775"/>
        <v>1</v>
      </c>
      <c r="AA643" s="205"/>
      <c r="AB643" s="205"/>
      <c r="AC643" s="83"/>
      <c r="AE643" s="80"/>
      <c r="AF643" s="80"/>
      <c r="AG643" s="81"/>
      <c r="AH643" s="82"/>
      <c r="AI643" s="66"/>
      <c r="AK643" s="80"/>
      <c r="AL643" s="80"/>
      <c r="AM643" s="81"/>
      <c r="AN643" s="82"/>
      <c r="AO643" s="66"/>
      <c r="AQ643" s="80"/>
      <c r="AR643" s="80"/>
      <c r="AS643" s="81"/>
      <c r="AT643" s="82"/>
      <c r="AU643" s="66"/>
      <c r="AW643" s="80"/>
      <c r="AX643" s="80"/>
      <c r="AY643" s="81"/>
      <c r="AZ643" s="82"/>
      <c r="BA643" s="66"/>
    </row>
    <row r="644" spans="1:53" s="117" customFormat="1" ht="17.100000000000001" customHeight="1" x14ac:dyDescent="0.25">
      <c r="A644" s="68"/>
      <c r="B644" s="119"/>
      <c r="C644" s="540"/>
      <c r="D644" s="261"/>
      <c r="E644" s="261"/>
      <c r="F644" s="68"/>
      <c r="G644" s="68"/>
      <c r="H644" s="119"/>
      <c r="I644" s="138"/>
      <c r="J644" s="17"/>
      <c r="K644" s="17"/>
      <c r="L644" s="17"/>
      <c r="M644" s="17"/>
      <c r="N644" s="17"/>
      <c r="O644" s="17"/>
      <c r="P644" s="17" t="str">
        <f>IF(P643=1,"OK","NOK")</f>
        <v>OK</v>
      </c>
      <c r="Q644" s="17"/>
      <c r="R644" s="17"/>
      <c r="S644" s="17" t="str">
        <f>IF(S643=1,"OK","NOK")</f>
        <v>OK</v>
      </c>
      <c r="T644" s="17"/>
      <c r="U644" s="17"/>
      <c r="V644" s="359" t="str">
        <f>IF(V643=1,"OK","NOK")</f>
        <v>NOK</v>
      </c>
      <c r="W644" s="382"/>
      <c r="X644" s="539"/>
      <c r="Y644" s="539"/>
      <c r="Z644" s="201"/>
      <c r="AA644" s="201"/>
      <c r="AB644" s="201"/>
      <c r="AC644" s="84"/>
      <c r="AE644" s="46"/>
      <c r="AF644" s="46"/>
      <c r="AG644" s="17"/>
      <c r="AH644" s="539"/>
      <c r="AI644" s="91"/>
      <c r="AK644" s="46"/>
      <c r="AL644" s="46"/>
      <c r="AM644" s="17"/>
      <c r="AN644" s="539"/>
      <c r="AO644" s="91"/>
      <c r="AQ644" s="46"/>
      <c r="AR644" s="46"/>
      <c r="AS644" s="17"/>
      <c r="AT644" s="539"/>
      <c r="AU644" s="91"/>
      <c r="AW644" s="46"/>
      <c r="AX644" s="46"/>
      <c r="AY644" s="17"/>
      <c r="AZ644" s="539"/>
      <c r="BA644" s="91"/>
    </row>
    <row r="645" spans="1:53" ht="17.100000000000001" customHeight="1" x14ac:dyDescent="0.25">
      <c r="A645" s="119"/>
      <c r="B645" s="119"/>
      <c r="C645" s="48" t="s">
        <v>700</v>
      </c>
      <c r="D645" s="551" t="s">
        <v>701</v>
      </c>
      <c r="E645" s="43"/>
      <c r="F645" s="43"/>
      <c r="G645" s="43"/>
      <c r="H645" s="43"/>
      <c r="I645" s="43"/>
      <c r="J645" s="44"/>
      <c r="K645" s="71"/>
      <c r="L645" s="71"/>
      <c r="M645" s="71"/>
      <c r="N645" s="71"/>
      <c r="O645" s="71"/>
      <c r="P645" s="71"/>
      <c r="Q645" s="71"/>
      <c r="R645" s="71"/>
      <c r="S645" s="71"/>
      <c r="T645" s="71"/>
      <c r="U645" s="71"/>
      <c r="V645" s="355"/>
      <c r="W645" s="377"/>
      <c r="X645" s="71"/>
      <c r="Y645" s="72"/>
      <c r="Z645" s="73"/>
      <c r="AA645" s="73"/>
      <c r="AB645" s="73"/>
      <c r="AC645" s="73"/>
      <c r="AE645" s="71"/>
      <c r="AF645" s="71"/>
      <c r="AG645" s="71"/>
      <c r="AH645" s="72"/>
      <c r="AI645" s="73"/>
      <c r="AK645" s="71"/>
      <c r="AL645" s="71"/>
      <c r="AM645" s="71"/>
      <c r="AN645" s="72"/>
      <c r="AO645" s="73"/>
      <c r="AQ645" s="71"/>
      <c r="AR645" s="71"/>
      <c r="AS645" s="71"/>
      <c r="AT645" s="72"/>
      <c r="AU645" s="73"/>
      <c r="AW645" s="71"/>
      <c r="AX645" s="71"/>
      <c r="AY645" s="71"/>
      <c r="AZ645" s="72"/>
      <c r="BA645" s="73"/>
    </row>
    <row r="646" spans="1:53" s="117" customFormat="1" ht="17.100000000000001" customHeight="1" x14ac:dyDescent="0.25">
      <c r="A646" s="119"/>
      <c r="B646" s="40"/>
      <c r="C646" s="40"/>
      <c r="D646" s="74" t="s">
        <v>705</v>
      </c>
      <c r="E646" s="75" t="s">
        <v>692</v>
      </c>
      <c r="F646" s="105"/>
      <c r="G646" s="151"/>
      <c r="H646" s="119"/>
      <c r="I646" s="138"/>
      <c r="J646" s="111"/>
      <c r="K646" s="111"/>
      <c r="L646" s="111"/>
      <c r="M646" s="111"/>
      <c r="N646" s="111"/>
      <c r="O646" s="111"/>
      <c r="P646" s="327">
        <v>1</v>
      </c>
      <c r="Q646" s="111"/>
      <c r="R646" s="111"/>
      <c r="S646" s="327"/>
      <c r="T646" s="111"/>
      <c r="U646" s="111"/>
      <c r="V646" s="369"/>
      <c r="W646" s="391"/>
      <c r="X646" s="17"/>
      <c r="Y646" s="328">
        <f t="shared" ref="Y646" si="776">P646+S646+V646</f>
        <v>1</v>
      </c>
      <c r="Z646" s="19">
        <f>IF(Y$650=0,0,Y646/Y$650)</f>
        <v>0.5</v>
      </c>
      <c r="AA646" s="201"/>
      <c r="AB646" s="201"/>
      <c r="AC646" s="84"/>
      <c r="AE646" s="111"/>
      <c r="AF646" s="111"/>
      <c r="AG646" s="111"/>
      <c r="AH646" s="545"/>
      <c r="AI646" s="131"/>
      <c r="AK646" s="111"/>
      <c r="AL646" s="111"/>
      <c r="AM646" s="111"/>
      <c r="AN646" s="545"/>
      <c r="AO646" s="131"/>
      <c r="AQ646" s="111"/>
      <c r="AR646" s="111"/>
      <c r="AS646" s="111"/>
      <c r="AT646" s="545"/>
      <c r="AU646" s="131"/>
      <c r="AW646" s="111"/>
      <c r="AX646" s="111"/>
      <c r="AY646" s="111"/>
      <c r="AZ646" s="545"/>
      <c r="BA646" s="131"/>
    </row>
    <row r="647" spans="1:53" s="117" customFormat="1" ht="17.100000000000001" customHeight="1" x14ac:dyDescent="0.25">
      <c r="A647" s="68"/>
      <c r="B647" s="40"/>
      <c r="C647" s="40"/>
      <c r="D647" s="74" t="s">
        <v>706</v>
      </c>
      <c r="E647" s="85" t="s">
        <v>694</v>
      </c>
      <c r="F647" s="75"/>
      <c r="G647" s="151"/>
      <c r="H647" s="119"/>
      <c r="I647" s="138"/>
      <c r="J647" s="111"/>
      <c r="K647" s="111"/>
      <c r="L647" s="111"/>
      <c r="M647" s="111"/>
      <c r="N647" s="111"/>
      <c r="O647" s="111"/>
      <c r="P647" s="329"/>
      <c r="Q647" s="111"/>
      <c r="R647" s="111"/>
      <c r="S647" s="329"/>
      <c r="T647" s="111"/>
      <c r="U647" s="111"/>
      <c r="V647" s="370"/>
      <c r="W647" s="382"/>
      <c r="X647" s="539"/>
      <c r="Y647" s="539"/>
      <c r="Z647" s="201"/>
      <c r="AA647" s="353">
        <f>MIN(P647,S647,V647)</f>
        <v>0</v>
      </c>
      <c r="AB647" s="353">
        <f>MAX(P647,S647,V647)</f>
        <v>0</v>
      </c>
      <c r="AC647" s="353">
        <f>IF(P647+S647+V647=0,0,AVERAGE(P647,S647,V647))</f>
        <v>0</v>
      </c>
      <c r="AE647" s="111"/>
      <c r="AF647" s="111"/>
      <c r="AG647" s="111"/>
      <c r="AH647" s="545"/>
      <c r="AI647" s="131"/>
      <c r="AK647" s="111"/>
      <c r="AL647" s="111"/>
      <c r="AM647" s="111"/>
      <c r="AN647" s="545"/>
      <c r="AO647" s="131"/>
      <c r="AQ647" s="111"/>
      <c r="AR647" s="111"/>
      <c r="AS647" s="111"/>
      <c r="AT647" s="545"/>
      <c r="AU647" s="131"/>
      <c r="AW647" s="111"/>
      <c r="AX647" s="111"/>
      <c r="AY647" s="111"/>
      <c r="AZ647" s="545"/>
      <c r="BA647" s="131"/>
    </row>
    <row r="648" spans="1:53" ht="17.100000000000001" customHeight="1" x14ac:dyDescent="0.25">
      <c r="A648" s="40"/>
      <c r="B648" s="40"/>
      <c r="C648" s="40"/>
      <c r="D648" s="77" t="s">
        <v>706</v>
      </c>
      <c r="E648" s="134" t="s">
        <v>697</v>
      </c>
      <c r="F648" s="134"/>
      <c r="G648" s="134"/>
      <c r="H648" s="540"/>
      <c r="I648" s="229"/>
      <c r="J648" s="80"/>
      <c r="K648" s="80"/>
      <c r="L648" s="80"/>
      <c r="M648" s="80"/>
      <c r="N648" s="81"/>
      <c r="O648" s="81"/>
      <c r="P648" s="81">
        <f>IF(P647&gt;0,1,0)</f>
        <v>0</v>
      </c>
      <c r="Q648" s="81"/>
      <c r="R648" s="81"/>
      <c r="S648" s="81">
        <f>IF(S647&gt;0,1,0)</f>
        <v>0</v>
      </c>
      <c r="T648" s="81"/>
      <c r="U648" s="81"/>
      <c r="V648" s="356">
        <f>IF(V647&gt;0,1,0)</f>
        <v>0</v>
      </c>
      <c r="W648" s="382"/>
      <c r="X648" s="539"/>
      <c r="Y648" s="328">
        <f t="shared" ref="Y648:Y649" si="777">P648+S648+V648</f>
        <v>0</v>
      </c>
      <c r="Z648" s="19">
        <f t="shared" ref="Z648:Z650" si="778">IF(Y$650=0,0,Y648/Y$650)</f>
        <v>0</v>
      </c>
      <c r="AA648" s="201"/>
      <c r="AB648" s="201"/>
      <c r="AC648" s="84"/>
      <c r="AE648" s="80"/>
      <c r="AF648" s="80"/>
      <c r="AG648" s="81"/>
      <c r="AH648" s="82"/>
      <c r="AI648" s="66"/>
      <c r="AK648" s="80"/>
      <c r="AL648" s="80"/>
      <c r="AM648" s="81"/>
      <c r="AN648" s="82"/>
      <c r="AO648" s="66"/>
      <c r="AQ648" s="80"/>
      <c r="AR648" s="80"/>
      <c r="AS648" s="81"/>
      <c r="AT648" s="82"/>
      <c r="AU648" s="66"/>
      <c r="AW648" s="80"/>
      <c r="AX648" s="80"/>
      <c r="AY648" s="81"/>
      <c r="AZ648" s="82"/>
      <c r="BA648" s="66"/>
    </row>
    <row r="649" spans="1:53" s="117" customFormat="1" ht="17.100000000000001" customHeight="1" x14ac:dyDescent="0.25">
      <c r="A649" s="68"/>
      <c r="B649" s="40"/>
      <c r="C649" s="40"/>
      <c r="D649" s="74" t="s">
        <v>707</v>
      </c>
      <c r="E649" s="85" t="s">
        <v>696</v>
      </c>
      <c r="F649" s="105"/>
      <c r="G649" s="151"/>
      <c r="H649" s="119"/>
      <c r="I649" s="138"/>
      <c r="J649" s="111"/>
      <c r="K649" s="111"/>
      <c r="L649" s="111"/>
      <c r="M649" s="111"/>
      <c r="N649" s="111"/>
      <c r="O649" s="111"/>
      <c r="P649" s="327"/>
      <c r="Q649" s="111"/>
      <c r="R649" s="111"/>
      <c r="S649" s="327">
        <v>1</v>
      </c>
      <c r="T649" s="111"/>
      <c r="U649" s="111"/>
      <c r="V649" s="369"/>
      <c r="W649" s="391"/>
      <c r="X649" s="17"/>
      <c r="Y649" s="328">
        <f t="shared" si="777"/>
        <v>1</v>
      </c>
      <c r="Z649" s="19">
        <f t="shared" si="778"/>
        <v>0.5</v>
      </c>
      <c r="AA649" s="201"/>
      <c r="AB649" s="201"/>
      <c r="AC649" s="84"/>
      <c r="AE649" s="111"/>
      <c r="AF649" s="111"/>
      <c r="AG649" s="111"/>
      <c r="AH649" s="545"/>
      <c r="AI649" s="131"/>
      <c r="AK649" s="111"/>
      <c r="AL649" s="111"/>
      <c r="AM649" s="111"/>
      <c r="AN649" s="545"/>
      <c r="AO649" s="131"/>
      <c r="AQ649" s="111"/>
      <c r="AR649" s="111"/>
      <c r="AS649" s="111"/>
      <c r="AT649" s="545"/>
      <c r="AU649" s="131"/>
      <c r="AW649" s="111"/>
      <c r="AX649" s="111"/>
      <c r="AY649" s="111"/>
      <c r="AZ649" s="545"/>
      <c r="BA649" s="131"/>
    </row>
    <row r="650" spans="1:53" ht="17.100000000000001" customHeight="1" x14ac:dyDescent="0.25">
      <c r="A650" s="40"/>
      <c r="B650" s="40"/>
      <c r="C650" s="77"/>
      <c r="D650" s="134"/>
      <c r="E650" s="134"/>
      <c r="F650" s="134"/>
      <c r="G650" s="134"/>
      <c r="H650" s="540"/>
      <c r="I650" s="229"/>
      <c r="J650" s="80"/>
      <c r="K650" s="80"/>
      <c r="L650" s="80"/>
      <c r="M650" s="80"/>
      <c r="N650" s="81"/>
      <c r="O650" s="81"/>
      <c r="P650" s="82">
        <f>P646+P648+P649</f>
        <v>1</v>
      </c>
      <c r="Q650" s="81"/>
      <c r="R650" s="81"/>
      <c r="S650" s="82">
        <f>S646+S648+S649</f>
        <v>1</v>
      </c>
      <c r="T650" s="81"/>
      <c r="U650" s="81"/>
      <c r="V650" s="360">
        <f>V646+V648+V649</f>
        <v>0</v>
      </c>
      <c r="W650" s="381"/>
      <c r="X650" s="82"/>
      <c r="Y650" s="82">
        <f>SUM(Y644:Y649)</f>
        <v>2</v>
      </c>
      <c r="Z650" s="205">
        <f t="shared" si="778"/>
        <v>1</v>
      </c>
      <c r="AA650" s="205"/>
      <c r="AB650" s="205"/>
      <c r="AC650" s="83"/>
      <c r="AE650" s="80"/>
      <c r="AF650" s="80"/>
      <c r="AG650" s="81"/>
      <c r="AH650" s="82"/>
      <c r="AI650" s="66"/>
      <c r="AK650" s="80"/>
      <c r="AL650" s="80"/>
      <c r="AM650" s="81"/>
      <c r="AN650" s="82"/>
      <c r="AO650" s="66"/>
      <c r="AQ650" s="80"/>
      <c r="AR650" s="80"/>
      <c r="AS650" s="81"/>
      <c r="AT650" s="82"/>
      <c r="AU650" s="66"/>
      <c r="AW650" s="80"/>
      <c r="AX650" s="80"/>
      <c r="AY650" s="81"/>
      <c r="AZ650" s="82"/>
      <c r="BA650" s="66"/>
    </row>
    <row r="651" spans="1:53" s="117" customFormat="1" ht="17.100000000000001" customHeight="1" x14ac:dyDescent="0.25">
      <c r="A651" s="68"/>
      <c r="B651" s="119"/>
      <c r="C651" s="540"/>
      <c r="D651" s="261"/>
      <c r="E651" s="261"/>
      <c r="F651" s="68"/>
      <c r="G651" s="68"/>
      <c r="H651" s="119"/>
      <c r="I651" s="138"/>
      <c r="J651" s="17"/>
      <c r="K651" s="17"/>
      <c r="L651" s="17"/>
      <c r="M651" s="17"/>
      <c r="N651" s="17"/>
      <c r="O651" s="17"/>
      <c r="P651" s="17" t="str">
        <f>IF(P650=1,"OK","NOK")</f>
        <v>OK</v>
      </c>
      <c r="Q651" s="17"/>
      <c r="R651" s="17"/>
      <c r="S651" s="17" t="str">
        <f>IF(S650=1,"OK","NOK")</f>
        <v>OK</v>
      </c>
      <c r="T651" s="17"/>
      <c r="U651" s="17"/>
      <c r="V651" s="359" t="str">
        <f>IF(V650=1,"OK","NOK")</f>
        <v>NOK</v>
      </c>
      <c r="W651" s="382"/>
      <c r="X651" s="539"/>
      <c r="Y651" s="539"/>
      <c r="Z651" s="201"/>
      <c r="AA651" s="201"/>
      <c r="AB651" s="201"/>
      <c r="AC651" s="84"/>
      <c r="AE651" s="46"/>
      <c r="AF651" s="46"/>
      <c r="AG651" s="17"/>
      <c r="AH651" s="539"/>
      <c r="AI651" s="91"/>
      <c r="AK651" s="46"/>
      <c r="AL651" s="46"/>
      <c r="AM651" s="17"/>
      <c r="AN651" s="539"/>
      <c r="AO651" s="91"/>
      <c r="AQ651" s="46"/>
      <c r="AR651" s="46"/>
      <c r="AS651" s="17"/>
      <c r="AT651" s="539"/>
      <c r="AU651" s="91"/>
      <c r="AW651" s="46"/>
      <c r="AX651" s="46"/>
      <c r="AY651" s="17"/>
      <c r="AZ651" s="539"/>
      <c r="BA651" s="91"/>
    </row>
    <row r="652" spans="1:53" ht="17.100000000000001" customHeight="1" x14ac:dyDescent="0.25">
      <c r="A652" s="119"/>
      <c r="B652" s="48" t="s">
        <v>708</v>
      </c>
      <c r="C652" s="50" t="s">
        <v>709</v>
      </c>
      <c r="D652" s="50"/>
      <c r="E652" s="70"/>
      <c r="F652" s="70"/>
      <c r="G652" s="70"/>
      <c r="H652" s="119"/>
      <c r="J652" s="71"/>
      <c r="K652" s="71"/>
      <c r="L652" s="71"/>
      <c r="M652" s="71"/>
      <c r="N652" s="71"/>
      <c r="O652" s="71"/>
      <c r="P652" s="71"/>
      <c r="Q652" s="71"/>
      <c r="R652" s="71"/>
      <c r="S652" s="71"/>
      <c r="T652" s="71"/>
      <c r="U652" s="71"/>
      <c r="V652" s="355"/>
      <c r="W652" s="377"/>
      <c r="X652" s="71"/>
      <c r="Y652" s="72"/>
      <c r="Z652" s="73"/>
      <c r="AA652" s="73"/>
      <c r="AB652" s="73"/>
      <c r="AC652" s="73"/>
      <c r="AE652" s="71"/>
      <c r="AF652" s="71"/>
      <c r="AG652" s="71"/>
      <c r="AH652" s="72"/>
      <c r="AI652" s="73"/>
      <c r="AK652" s="71"/>
      <c r="AL652" s="71"/>
      <c r="AM652" s="71"/>
      <c r="AN652" s="72"/>
      <c r="AO652" s="73"/>
      <c r="AQ652" s="71"/>
      <c r="AR652" s="71"/>
      <c r="AS652" s="71"/>
      <c r="AT652" s="72"/>
      <c r="AU652" s="73"/>
      <c r="AW652" s="71"/>
      <c r="AX652" s="71"/>
      <c r="AY652" s="71"/>
      <c r="AZ652" s="72"/>
      <c r="BA652" s="73"/>
    </row>
    <row r="653" spans="1:53" ht="17.100000000000001" customHeight="1" x14ac:dyDescent="0.25">
      <c r="A653" s="119"/>
      <c r="B653" s="119"/>
      <c r="C653" s="48" t="s">
        <v>710</v>
      </c>
      <c r="D653" s="50" t="s">
        <v>711</v>
      </c>
      <c r="E653" s="70"/>
      <c r="F653" s="70"/>
      <c r="G653" s="70"/>
      <c r="H653" s="119"/>
      <c r="J653" s="71"/>
      <c r="K653" s="71"/>
      <c r="L653" s="71"/>
      <c r="M653" s="71"/>
      <c r="N653" s="71"/>
      <c r="O653" s="71"/>
      <c r="P653" s="71"/>
      <c r="Q653" s="71"/>
      <c r="R653" s="71"/>
      <c r="S653" s="71"/>
      <c r="T653" s="71"/>
      <c r="U653" s="71"/>
      <c r="V653" s="355"/>
      <c r="W653" s="377"/>
      <c r="X653" s="71"/>
      <c r="Y653" s="72"/>
      <c r="Z653" s="73"/>
      <c r="AA653" s="73"/>
      <c r="AB653" s="73"/>
      <c r="AC653" s="73"/>
      <c r="AE653" s="71"/>
      <c r="AF653" s="71"/>
      <c r="AG653" s="71"/>
      <c r="AH653" s="72"/>
      <c r="AI653" s="73"/>
      <c r="AK653" s="71"/>
      <c r="AL653" s="71"/>
      <c r="AM653" s="71"/>
      <c r="AN653" s="72"/>
      <c r="AO653" s="73"/>
      <c r="AQ653" s="71"/>
      <c r="AR653" s="71"/>
      <c r="AS653" s="71"/>
      <c r="AT653" s="72"/>
      <c r="AU653" s="73"/>
      <c r="AW653" s="71"/>
      <c r="AX653" s="71"/>
      <c r="AY653" s="71"/>
      <c r="AZ653" s="72"/>
      <c r="BA653" s="73"/>
    </row>
    <row r="654" spans="1:53" s="117" customFormat="1" ht="17.100000000000001" customHeight="1" x14ac:dyDescent="0.25">
      <c r="A654" s="68"/>
      <c r="B654" s="119"/>
      <c r="C654" s="92"/>
      <c r="D654" s="180" t="s">
        <v>712</v>
      </c>
      <c r="E654" s="85" t="s">
        <v>692</v>
      </c>
      <c r="F654" s="75"/>
      <c r="G654" s="151"/>
      <c r="H654" s="119"/>
      <c r="I654" s="138"/>
      <c r="J654" s="111"/>
      <c r="K654" s="111"/>
      <c r="L654" s="111"/>
      <c r="M654" s="111"/>
      <c r="N654" s="111"/>
      <c r="O654" s="111"/>
      <c r="P654" s="327"/>
      <c r="Q654" s="111"/>
      <c r="R654" s="111"/>
      <c r="S654" s="327"/>
      <c r="T654" s="111"/>
      <c r="U654" s="111"/>
      <c r="V654" s="369"/>
      <c r="W654" s="382"/>
      <c r="X654" s="539"/>
      <c r="Y654" s="328">
        <f t="shared" ref="Y654:Y662" si="779">P654+S654+V654</f>
        <v>0</v>
      </c>
      <c r="Z654" s="19">
        <f>IF(Y$663=0,0,Y654/Y$663)</f>
        <v>0</v>
      </c>
      <c r="AA654" s="201"/>
      <c r="AB654" s="201"/>
      <c r="AC654" s="84"/>
      <c r="AE654" s="111"/>
      <c r="AF654" s="111"/>
      <c r="AG654" s="111"/>
      <c r="AH654" s="545"/>
      <c r="AI654" s="131"/>
      <c r="AK654" s="111"/>
      <c r="AL654" s="111"/>
      <c r="AM654" s="111"/>
      <c r="AN654" s="545"/>
      <c r="AO654" s="131"/>
      <c r="AQ654" s="111"/>
      <c r="AR654" s="111"/>
      <c r="AS654" s="111"/>
      <c r="AT654" s="545"/>
      <c r="AU654" s="131"/>
      <c r="AW654" s="111"/>
      <c r="AX654" s="111"/>
      <c r="AY654" s="111"/>
      <c r="AZ654" s="545"/>
      <c r="BA654" s="131"/>
    </row>
    <row r="655" spans="1:53" s="117" customFormat="1" ht="17.100000000000001" customHeight="1" x14ac:dyDescent="0.25">
      <c r="A655" s="68"/>
      <c r="B655" s="119"/>
      <c r="C655" s="92"/>
      <c r="D655" s="180" t="s">
        <v>713</v>
      </c>
      <c r="E655" s="85" t="s">
        <v>512</v>
      </c>
      <c r="F655" s="75"/>
      <c r="G655" s="151"/>
      <c r="H655" s="119"/>
      <c r="I655" s="138"/>
      <c r="J655" s="111"/>
      <c r="K655" s="111"/>
      <c r="L655" s="111"/>
      <c r="M655" s="111"/>
      <c r="N655" s="111"/>
      <c r="O655" s="111"/>
      <c r="P655" s="329"/>
      <c r="Q655" s="111"/>
      <c r="R655" s="111"/>
      <c r="S655" s="329"/>
      <c r="T655" s="111"/>
      <c r="U655" s="111"/>
      <c r="V655" s="370"/>
      <c r="W655" s="382"/>
      <c r="X655" s="539"/>
      <c r="Y655" s="328">
        <f t="shared" si="779"/>
        <v>0</v>
      </c>
      <c r="Z655" s="19">
        <f t="shared" ref="Z655:Z663" si="780">IF(Y$663=0,0,Y655/Y$663)</f>
        <v>0</v>
      </c>
      <c r="AA655" s="201"/>
      <c r="AB655" s="201"/>
      <c r="AC655" s="84"/>
      <c r="AE655" s="111"/>
      <c r="AF655" s="111"/>
      <c r="AG655" s="111"/>
      <c r="AH655" s="545"/>
      <c r="AI655" s="131"/>
      <c r="AK655" s="111"/>
      <c r="AL655" s="111"/>
      <c r="AM655" s="111"/>
      <c r="AN655" s="545"/>
      <c r="AO655" s="131"/>
      <c r="AQ655" s="111"/>
      <c r="AR655" s="111"/>
      <c r="AS655" s="111"/>
      <c r="AT655" s="545"/>
      <c r="AU655" s="131"/>
      <c r="AW655" s="111"/>
      <c r="AX655" s="111"/>
      <c r="AY655" s="111"/>
      <c r="AZ655" s="545"/>
      <c r="BA655" s="131"/>
    </row>
    <row r="656" spans="1:53" s="117" customFormat="1" ht="17.100000000000001" customHeight="1" x14ac:dyDescent="0.25">
      <c r="A656" s="68"/>
      <c r="B656" s="119"/>
      <c r="C656" s="92"/>
      <c r="D656" s="180" t="s">
        <v>714</v>
      </c>
      <c r="E656" s="85" t="s">
        <v>513</v>
      </c>
      <c r="F656" s="75"/>
      <c r="G656" s="151"/>
      <c r="H656" s="119"/>
      <c r="I656" s="138"/>
      <c r="J656" s="111"/>
      <c r="K656" s="111"/>
      <c r="L656" s="111"/>
      <c r="M656" s="111"/>
      <c r="N656" s="111"/>
      <c r="O656" s="111"/>
      <c r="P656" s="327"/>
      <c r="Q656" s="111"/>
      <c r="R656" s="111"/>
      <c r="S656" s="327"/>
      <c r="T656" s="111"/>
      <c r="U656" s="111"/>
      <c r="V656" s="369"/>
      <c r="W656" s="382"/>
      <c r="X656" s="539"/>
      <c r="Y656" s="328">
        <f t="shared" si="779"/>
        <v>0</v>
      </c>
      <c r="Z656" s="19">
        <f t="shared" si="780"/>
        <v>0</v>
      </c>
      <c r="AA656" s="201"/>
      <c r="AB656" s="201"/>
      <c r="AC656" s="84"/>
      <c r="AE656" s="111"/>
      <c r="AF656" s="111"/>
      <c r="AG656" s="111"/>
      <c r="AH656" s="545"/>
      <c r="AI656" s="131"/>
      <c r="AK656" s="111"/>
      <c r="AL656" s="111"/>
      <c r="AM656" s="111"/>
      <c r="AN656" s="545"/>
      <c r="AO656" s="131"/>
      <c r="AQ656" s="111"/>
      <c r="AR656" s="111"/>
      <c r="AS656" s="111"/>
      <c r="AT656" s="545"/>
      <c r="AU656" s="131"/>
      <c r="AW656" s="111"/>
      <c r="AX656" s="111"/>
      <c r="AY656" s="111"/>
      <c r="AZ656" s="545"/>
      <c r="BA656" s="131"/>
    </row>
    <row r="657" spans="1:53" s="117" customFormat="1" ht="17.100000000000001" customHeight="1" x14ac:dyDescent="0.25">
      <c r="A657" s="68"/>
      <c r="B657" s="119"/>
      <c r="C657" s="92"/>
      <c r="D657" s="180" t="s">
        <v>715</v>
      </c>
      <c r="E657" s="85" t="s">
        <v>514</v>
      </c>
      <c r="F657" s="75"/>
      <c r="G657" s="151"/>
      <c r="H657" s="119"/>
      <c r="I657" s="138"/>
      <c r="J657" s="111"/>
      <c r="K657" s="111"/>
      <c r="L657" s="111"/>
      <c r="M657" s="111"/>
      <c r="N657" s="111"/>
      <c r="O657" s="111"/>
      <c r="P657" s="329"/>
      <c r="Q657" s="111"/>
      <c r="R657" s="111"/>
      <c r="S657" s="329"/>
      <c r="T657" s="111"/>
      <c r="U657" s="111"/>
      <c r="V657" s="370"/>
      <c r="W657" s="382"/>
      <c r="X657" s="539"/>
      <c r="Y657" s="328">
        <f t="shared" si="779"/>
        <v>0</v>
      </c>
      <c r="Z657" s="19">
        <f t="shared" si="780"/>
        <v>0</v>
      </c>
      <c r="AA657" s="201"/>
      <c r="AB657" s="201"/>
      <c r="AC657" s="84"/>
      <c r="AE657" s="111"/>
      <c r="AF657" s="111"/>
      <c r="AG657" s="111"/>
      <c r="AH657" s="545"/>
      <c r="AI657" s="131"/>
      <c r="AK657" s="111"/>
      <c r="AL657" s="111"/>
      <c r="AM657" s="111"/>
      <c r="AN657" s="545"/>
      <c r="AO657" s="131"/>
      <c r="AQ657" s="111"/>
      <c r="AR657" s="111"/>
      <c r="AS657" s="111"/>
      <c r="AT657" s="545"/>
      <c r="AU657" s="131"/>
      <c r="AW657" s="111"/>
      <c r="AX657" s="111"/>
      <c r="AY657" s="111"/>
      <c r="AZ657" s="545"/>
      <c r="BA657" s="131"/>
    </row>
    <row r="658" spans="1:53" s="117" customFormat="1" ht="17.100000000000001" customHeight="1" x14ac:dyDescent="0.25">
      <c r="A658" s="68"/>
      <c r="B658" s="119"/>
      <c r="C658" s="92"/>
      <c r="D658" s="180" t="s">
        <v>716</v>
      </c>
      <c r="E658" s="85" t="s">
        <v>357</v>
      </c>
      <c r="F658" s="75"/>
      <c r="G658" s="151"/>
      <c r="H658" s="119"/>
      <c r="I658" s="138"/>
      <c r="J658" s="111"/>
      <c r="K658" s="111"/>
      <c r="L658" s="111"/>
      <c r="M658" s="111"/>
      <c r="N658" s="111"/>
      <c r="O658" s="111"/>
      <c r="P658" s="327"/>
      <c r="Q658" s="111"/>
      <c r="R658" s="111"/>
      <c r="S658" s="327"/>
      <c r="T658" s="111"/>
      <c r="U658" s="111"/>
      <c r="V658" s="369"/>
      <c r="W658" s="382"/>
      <c r="X658" s="539"/>
      <c r="Y658" s="328">
        <f t="shared" si="779"/>
        <v>0</v>
      </c>
      <c r="Z658" s="19">
        <f t="shared" si="780"/>
        <v>0</v>
      </c>
      <c r="AA658" s="201"/>
      <c r="AB658" s="201"/>
      <c r="AC658" s="84"/>
      <c r="AE658" s="111"/>
      <c r="AF658" s="111"/>
      <c r="AG658" s="111"/>
      <c r="AH658" s="545"/>
      <c r="AI658" s="131"/>
      <c r="AK658" s="111"/>
      <c r="AL658" s="111"/>
      <c r="AM658" s="111"/>
      <c r="AN658" s="545"/>
      <c r="AO658" s="131"/>
      <c r="AQ658" s="111"/>
      <c r="AR658" s="111"/>
      <c r="AS658" s="111"/>
      <c r="AT658" s="545"/>
      <c r="AU658" s="131"/>
      <c r="AW658" s="111"/>
      <c r="AX658" s="111"/>
      <c r="AY658" s="111"/>
      <c r="AZ658" s="545"/>
      <c r="BA658" s="131"/>
    </row>
    <row r="659" spans="1:53" s="117" customFormat="1" ht="17.100000000000001" customHeight="1" x14ac:dyDescent="0.25">
      <c r="A659" s="68"/>
      <c r="B659" s="119"/>
      <c r="C659" s="92"/>
      <c r="D659" s="180" t="s">
        <v>717</v>
      </c>
      <c r="E659" s="85" t="s">
        <v>515</v>
      </c>
      <c r="F659" s="75"/>
      <c r="G659" s="151"/>
      <c r="H659" s="119"/>
      <c r="I659" s="138"/>
      <c r="J659" s="111"/>
      <c r="K659" s="111"/>
      <c r="L659" s="111"/>
      <c r="M659" s="111"/>
      <c r="N659" s="111"/>
      <c r="O659" s="111"/>
      <c r="P659" s="329">
        <v>1</v>
      </c>
      <c r="Q659" s="111"/>
      <c r="R659" s="111"/>
      <c r="S659" s="329"/>
      <c r="T659" s="111"/>
      <c r="U659" s="111"/>
      <c r="V659" s="370"/>
      <c r="W659" s="382"/>
      <c r="X659" s="539"/>
      <c r="Y659" s="328">
        <f t="shared" si="779"/>
        <v>1</v>
      </c>
      <c r="Z659" s="19">
        <f t="shared" si="780"/>
        <v>0.5</v>
      </c>
      <c r="AA659" s="201"/>
      <c r="AB659" s="201"/>
      <c r="AC659" s="84"/>
      <c r="AE659" s="111"/>
      <c r="AF659" s="111"/>
      <c r="AG659" s="111"/>
      <c r="AH659" s="545"/>
      <c r="AI659" s="131"/>
      <c r="AK659" s="111"/>
      <c r="AL659" s="111"/>
      <c r="AM659" s="111"/>
      <c r="AN659" s="545"/>
      <c r="AO659" s="131"/>
      <c r="AQ659" s="111"/>
      <c r="AR659" s="111"/>
      <c r="AS659" s="111"/>
      <c r="AT659" s="545"/>
      <c r="AU659" s="131"/>
      <c r="AW659" s="111"/>
      <c r="AX659" s="111"/>
      <c r="AY659" s="111"/>
      <c r="AZ659" s="545"/>
      <c r="BA659" s="131"/>
    </row>
    <row r="660" spans="1:53" s="117" customFormat="1" ht="17.100000000000001" customHeight="1" x14ac:dyDescent="0.25">
      <c r="A660" s="68"/>
      <c r="B660" s="119"/>
      <c r="C660" s="92"/>
      <c r="D660" s="180" t="s">
        <v>718</v>
      </c>
      <c r="E660" s="85" t="s">
        <v>516</v>
      </c>
      <c r="F660" s="75"/>
      <c r="G660" s="151"/>
      <c r="H660" s="119"/>
      <c r="I660" s="138"/>
      <c r="J660" s="111"/>
      <c r="K660" s="111"/>
      <c r="L660" s="111"/>
      <c r="M660" s="111"/>
      <c r="N660" s="111"/>
      <c r="O660" s="111"/>
      <c r="P660" s="327"/>
      <c r="Q660" s="111"/>
      <c r="R660" s="111"/>
      <c r="S660" s="327"/>
      <c r="T660" s="111"/>
      <c r="U660" s="111"/>
      <c r="V660" s="369"/>
      <c r="W660" s="382"/>
      <c r="X660" s="539"/>
      <c r="Y660" s="328">
        <f t="shared" si="779"/>
        <v>0</v>
      </c>
      <c r="Z660" s="19">
        <f t="shared" si="780"/>
        <v>0</v>
      </c>
      <c r="AA660" s="201"/>
      <c r="AB660" s="201"/>
      <c r="AC660" s="84"/>
      <c r="AE660" s="111"/>
      <c r="AF660" s="111"/>
      <c r="AG660" s="111"/>
      <c r="AH660" s="545"/>
      <c r="AI660" s="131"/>
      <c r="AK660" s="111"/>
      <c r="AL660" s="111"/>
      <c r="AM660" s="111"/>
      <c r="AN660" s="545"/>
      <c r="AO660" s="131"/>
      <c r="AQ660" s="111"/>
      <c r="AR660" s="111"/>
      <c r="AS660" s="111"/>
      <c r="AT660" s="545"/>
      <c r="AU660" s="131"/>
      <c r="AW660" s="111"/>
      <c r="AX660" s="111"/>
      <c r="AY660" s="111"/>
      <c r="AZ660" s="545"/>
      <c r="BA660" s="131"/>
    </row>
    <row r="661" spans="1:53" s="117" customFormat="1" ht="17.100000000000001" customHeight="1" x14ac:dyDescent="0.25">
      <c r="A661" s="68"/>
      <c r="B661" s="119"/>
      <c r="C661" s="92"/>
      <c r="D661" s="180" t="s">
        <v>719</v>
      </c>
      <c r="E661" s="85" t="s">
        <v>517</v>
      </c>
      <c r="F661" s="75"/>
      <c r="G661" s="151"/>
      <c r="H661" s="119"/>
      <c r="I661" s="138"/>
      <c r="J661" s="111"/>
      <c r="K661" s="111"/>
      <c r="L661" s="111"/>
      <c r="M661" s="111"/>
      <c r="N661" s="111"/>
      <c r="O661" s="111"/>
      <c r="P661" s="329"/>
      <c r="Q661" s="111"/>
      <c r="R661" s="111"/>
      <c r="S661" s="329"/>
      <c r="T661" s="111"/>
      <c r="U661" s="111"/>
      <c r="V661" s="370"/>
      <c r="W661" s="382"/>
      <c r="X661" s="539"/>
      <c r="Y661" s="328">
        <f t="shared" si="779"/>
        <v>0</v>
      </c>
      <c r="Z661" s="19">
        <f t="shared" si="780"/>
        <v>0</v>
      </c>
      <c r="AA661" s="201"/>
      <c r="AB661" s="201"/>
      <c r="AC661" s="84"/>
      <c r="AE661" s="111"/>
      <c r="AF661" s="111"/>
      <c r="AG661" s="111"/>
      <c r="AH661" s="545"/>
      <c r="AI661" s="131"/>
      <c r="AK661" s="111"/>
      <c r="AL661" s="111"/>
      <c r="AM661" s="111"/>
      <c r="AN661" s="545"/>
      <c r="AO661" s="131"/>
      <c r="AQ661" s="111"/>
      <c r="AR661" s="111"/>
      <c r="AS661" s="111"/>
      <c r="AT661" s="545"/>
      <c r="AU661" s="131"/>
      <c r="AW661" s="111"/>
      <c r="AX661" s="111"/>
      <c r="AY661" s="111"/>
      <c r="AZ661" s="545"/>
      <c r="BA661" s="131"/>
    </row>
    <row r="662" spans="1:53" s="117" customFormat="1" ht="17.100000000000001" customHeight="1" x14ac:dyDescent="0.25">
      <c r="A662" s="68"/>
      <c r="B662" s="119"/>
      <c r="C662" s="92"/>
      <c r="D662" s="180" t="s">
        <v>720</v>
      </c>
      <c r="E662" s="85" t="s">
        <v>129</v>
      </c>
      <c r="F662" s="75"/>
      <c r="G662" s="151"/>
      <c r="H662" s="119"/>
      <c r="I662" s="138"/>
      <c r="J662" s="111"/>
      <c r="K662" s="111"/>
      <c r="L662" s="111"/>
      <c r="M662" s="111"/>
      <c r="N662" s="111"/>
      <c r="O662" s="111"/>
      <c r="P662" s="327"/>
      <c r="Q662" s="111"/>
      <c r="R662" s="111"/>
      <c r="S662" s="327">
        <v>1</v>
      </c>
      <c r="T662" s="111"/>
      <c r="U662" s="111"/>
      <c r="V662" s="369"/>
      <c r="W662" s="382"/>
      <c r="X662" s="539"/>
      <c r="Y662" s="328">
        <f t="shared" si="779"/>
        <v>1</v>
      </c>
      <c r="Z662" s="19">
        <f t="shared" si="780"/>
        <v>0.5</v>
      </c>
      <c r="AA662" s="201"/>
      <c r="AB662" s="201"/>
      <c r="AC662" s="84"/>
      <c r="AE662" s="111"/>
      <c r="AF662" s="111"/>
      <c r="AG662" s="111"/>
      <c r="AH662" s="545"/>
      <c r="AI662" s="131"/>
      <c r="AK662" s="111"/>
      <c r="AL662" s="111"/>
      <c r="AM662" s="111"/>
      <c r="AN662" s="545"/>
      <c r="AO662" s="131"/>
      <c r="AQ662" s="111"/>
      <c r="AR662" s="111"/>
      <c r="AS662" s="111"/>
      <c r="AT662" s="545"/>
      <c r="AU662" s="131"/>
      <c r="AW662" s="111"/>
      <c r="AX662" s="111"/>
      <c r="AY662" s="111"/>
      <c r="AZ662" s="545"/>
      <c r="BA662" s="131"/>
    </row>
    <row r="663" spans="1:53" ht="17.100000000000001" customHeight="1" x14ac:dyDescent="0.25">
      <c r="A663" s="40"/>
      <c r="B663" s="40"/>
      <c r="C663" s="77"/>
      <c r="D663" s="134"/>
      <c r="E663" s="134"/>
      <c r="F663" s="134"/>
      <c r="G663" s="134"/>
      <c r="H663" s="540"/>
      <c r="I663" s="229"/>
      <c r="J663" s="80"/>
      <c r="K663" s="80"/>
      <c r="L663" s="80"/>
      <c r="M663" s="80"/>
      <c r="N663" s="81"/>
      <c r="O663" s="81"/>
      <c r="P663" s="82">
        <f>SUM(P654:P662)</f>
        <v>1</v>
      </c>
      <c r="Q663" s="81"/>
      <c r="R663" s="81"/>
      <c r="S663" s="82">
        <f>SUM(S654:S662)</f>
        <v>1</v>
      </c>
      <c r="T663" s="81"/>
      <c r="U663" s="81"/>
      <c r="V663" s="360">
        <f>SUM(V654:V662)</f>
        <v>0</v>
      </c>
      <c r="W663" s="381"/>
      <c r="X663" s="82"/>
      <c r="Y663" s="82">
        <f>SUM(Y654:Y662)</f>
        <v>2</v>
      </c>
      <c r="Z663" s="205">
        <f t="shared" si="780"/>
        <v>1</v>
      </c>
      <c r="AA663" s="205"/>
      <c r="AB663" s="205"/>
      <c r="AC663" s="83"/>
      <c r="AE663" s="80"/>
      <c r="AF663" s="80"/>
      <c r="AG663" s="81"/>
      <c r="AH663" s="82"/>
      <c r="AI663" s="66"/>
      <c r="AK663" s="80"/>
      <c r="AL663" s="80"/>
      <c r="AM663" s="81"/>
      <c r="AN663" s="82"/>
      <c r="AO663" s="66"/>
      <c r="AQ663" s="80"/>
      <c r="AR663" s="80"/>
      <c r="AS663" s="81"/>
      <c r="AT663" s="82"/>
      <c r="AU663" s="66"/>
      <c r="AW663" s="80"/>
      <c r="AX663" s="80"/>
      <c r="AY663" s="81"/>
      <c r="AZ663" s="82"/>
      <c r="BA663" s="66"/>
    </row>
    <row r="664" spans="1:53" ht="17.100000000000001" customHeight="1" x14ac:dyDescent="0.25">
      <c r="A664" s="119"/>
      <c r="B664" s="119"/>
      <c r="C664" s="48" t="s">
        <v>721</v>
      </c>
      <c r="D664" s="50" t="s">
        <v>722</v>
      </c>
      <c r="E664" s="70"/>
      <c r="F664" s="70"/>
      <c r="G664" s="70"/>
      <c r="H664" s="119"/>
      <c r="J664" s="71"/>
      <c r="K664" s="71"/>
      <c r="L664" s="71"/>
      <c r="M664" s="71"/>
      <c r="N664" s="71"/>
      <c r="O664" s="71"/>
      <c r="P664" s="71"/>
      <c r="Q664" s="71"/>
      <c r="R664" s="71"/>
      <c r="S664" s="71"/>
      <c r="T664" s="71"/>
      <c r="U664" s="71"/>
      <c r="V664" s="355"/>
      <c r="W664" s="377"/>
      <c r="X664" s="71"/>
      <c r="Y664" s="72"/>
      <c r="Z664" s="73"/>
      <c r="AA664" s="73"/>
      <c r="AB664" s="73"/>
      <c r="AC664" s="73"/>
      <c r="AE664" s="71"/>
      <c r="AF664" s="71"/>
      <c r="AG664" s="71"/>
      <c r="AH664" s="72"/>
      <c r="AI664" s="73"/>
      <c r="AK664" s="71"/>
      <c r="AL664" s="71"/>
      <c r="AM664" s="71"/>
      <c r="AN664" s="72"/>
      <c r="AO664" s="73"/>
      <c r="AQ664" s="71"/>
      <c r="AR664" s="71"/>
      <c r="AS664" s="71"/>
      <c r="AT664" s="72"/>
      <c r="AU664" s="73"/>
      <c r="AW664" s="71"/>
      <c r="AX664" s="71"/>
      <c r="AY664" s="71"/>
      <c r="AZ664" s="72"/>
      <c r="BA664" s="73"/>
    </row>
    <row r="665" spans="1:53" s="117" customFormat="1" ht="17.100000000000001" customHeight="1" x14ac:dyDescent="0.25">
      <c r="A665" s="68"/>
      <c r="B665" s="119"/>
      <c r="C665" s="92"/>
      <c r="D665" s="56" t="s">
        <v>723</v>
      </c>
      <c r="E665" s="85" t="s">
        <v>692</v>
      </c>
      <c r="F665" s="75"/>
      <c r="G665" s="151"/>
      <c r="H665" s="119"/>
      <c r="I665" s="138"/>
      <c r="J665" s="111"/>
      <c r="K665" s="111"/>
      <c r="L665" s="111"/>
      <c r="M665" s="111"/>
      <c r="N665" s="111"/>
      <c r="O665" s="111"/>
      <c r="P665" s="327">
        <v>1</v>
      </c>
      <c r="Q665" s="111"/>
      <c r="R665" s="111"/>
      <c r="S665" s="327"/>
      <c r="T665" s="111"/>
      <c r="U665" s="111"/>
      <c r="V665" s="369"/>
      <c r="W665" s="382"/>
      <c r="X665" s="539"/>
      <c r="Y665" s="328">
        <f t="shared" ref="Y665:Y669" si="781">P665+S665+V665</f>
        <v>1</v>
      </c>
      <c r="Z665" s="19">
        <f>IF(Y$670=0,0,Y665/Y$670)</f>
        <v>0.5</v>
      </c>
      <c r="AA665" s="201"/>
      <c r="AB665" s="201"/>
      <c r="AC665" s="84"/>
      <c r="AE665" s="111"/>
      <c r="AF665" s="111"/>
      <c r="AG665" s="111"/>
      <c r="AH665" s="545"/>
      <c r="AI665" s="131"/>
      <c r="AK665" s="111"/>
      <c r="AL665" s="111"/>
      <c r="AM665" s="111"/>
      <c r="AN665" s="545"/>
      <c r="AO665" s="131"/>
      <c r="AQ665" s="111"/>
      <c r="AR665" s="111"/>
      <c r="AS665" s="111"/>
      <c r="AT665" s="545"/>
      <c r="AU665" s="131"/>
      <c r="AW665" s="111"/>
      <c r="AX665" s="111"/>
      <c r="AY665" s="111"/>
      <c r="AZ665" s="545"/>
      <c r="BA665" s="131"/>
    </row>
    <row r="666" spans="1:53" s="117" customFormat="1" ht="17.100000000000001" customHeight="1" x14ac:dyDescent="0.25">
      <c r="A666" s="68"/>
      <c r="B666" s="119"/>
      <c r="C666" s="92"/>
      <c r="D666" s="56" t="s">
        <v>724</v>
      </c>
      <c r="E666" s="85" t="s">
        <v>725</v>
      </c>
      <c r="F666" s="75"/>
      <c r="G666" s="151"/>
      <c r="H666" s="119"/>
      <c r="I666" s="138"/>
      <c r="J666" s="111"/>
      <c r="K666" s="111"/>
      <c r="L666" s="111"/>
      <c r="M666" s="111"/>
      <c r="N666" s="111"/>
      <c r="O666" s="111"/>
      <c r="P666" s="329"/>
      <c r="Q666" s="111"/>
      <c r="R666" s="111"/>
      <c r="S666" s="329"/>
      <c r="T666" s="111"/>
      <c r="U666" s="111"/>
      <c r="V666" s="370"/>
      <c r="W666" s="382"/>
      <c r="X666" s="539"/>
      <c r="Y666" s="328">
        <f t="shared" si="781"/>
        <v>0</v>
      </c>
      <c r="Z666" s="19">
        <f t="shared" ref="Z666:Z670" si="782">IF(Y$670=0,0,Y666/Y$670)</f>
        <v>0</v>
      </c>
      <c r="AA666" s="201"/>
      <c r="AB666" s="201"/>
      <c r="AC666" s="84"/>
      <c r="AE666" s="111"/>
      <c r="AF666" s="111"/>
      <c r="AG666" s="111"/>
      <c r="AH666" s="545"/>
      <c r="AI666" s="131"/>
      <c r="AK666" s="111"/>
      <c r="AL666" s="111"/>
      <c r="AM666" s="111"/>
      <c r="AN666" s="545"/>
      <c r="AO666" s="131"/>
      <c r="AQ666" s="111"/>
      <c r="AR666" s="111"/>
      <c r="AS666" s="111"/>
      <c r="AT666" s="545"/>
      <c r="AU666" s="131"/>
      <c r="AW666" s="111"/>
      <c r="AX666" s="111"/>
      <c r="AY666" s="111"/>
      <c r="AZ666" s="545"/>
      <c r="BA666" s="131"/>
    </row>
    <row r="667" spans="1:53" s="117" customFormat="1" ht="17.100000000000001" customHeight="1" x14ac:dyDescent="0.25">
      <c r="A667" s="68"/>
      <c r="B667" s="119"/>
      <c r="C667" s="92"/>
      <c r="D667" s="56" t="s">
        <v>726</v>
      </c>
      <c r="E667" s="85" t="s">
        <v>727</v>
      </c>
      <c r="F667" s="75"/>
      <c r="G667" s="151"/>
      <c r="H667" s="119"/>
      <c r="I667" s="138"/>
      <c r="J667" s="111"/>
      <c r="K667" s="111"/>
      <c r="L667" s="111"/>
      <c r="M667" s="111"/>
      <c r="N667" s="111"/>
      <c r="O667" s="111"/>
      <c r="P667" s="327"/>
      <c r="Q667" s="111"/>
      <c r="R667" s="111"/>
      <c r="S667" s="327"/>
      <c r="T667" s="111"/>
      <c r="U667" s="111"/>
      <c r="V667" s="369"/>
      <c r="W667" s="382"/>
      <c r="X667" s="539"/>
      <c r="Y667" s="328">
        <f t="shared" si="781"/>
        <v>0</v>
      </c>
      <c r="Z667" s="19">
        <f t="shared" si="782"/>
        <v>0</v>
      </c>
      <c r="AA667" s="201"/>
      <c r="AB667" s="201"/>
      <c r="AC667" s="84"/>
      <c r="AE667" s="111"/>
      <c r="AF667" s="111"/>
      <c r="AG667" s="111"/>
      <c r="AH667" s="545"/>
      <c r="AI667" s="131"/>
      <c r="AK667" s="111"/>
      <c r="AL667" s="111"/>
      <c r="AM667" s="111"/>
      <c r="AN667" s="545"/>
      <c r="AO667" s="131"/>
      <c r="AQ667" s="111"/>
      <c r="AR667" s="111"/>
      <c r="AS667" s="111"/>
      <c r="AT667" s="545"/>
      <c r="AU667" s="131"/>
      <c r="AW667" s="111"/>
      <c r="AX667" s="111"/>
      <c r="AY667" s="111"/>
      <c r="AZ667" s="545"/>
      <c r="BA667" s="131"/>
    </row>
    <row r="668" spans="1:53" s="117" customFormat="1" ht="17.100000000000001" customHeight="1" x14ac:dyDescent="0.25">
      <c r="A668" s="68"/>
      <c r="B668" s="119"/>
      <c r="C668" s="92"/>
      <c r="D668" s="56" t="s">
        <v>728</v>
      </c>
      <c r="E668" s="85" t="s">
        <v>729</v>
      </c>
      <c r="F668" s="75"/>
      <c r="G668" s="151"/>
      <c r="H668" s="119"/>
      <c r="I668" s="138"/>
      <c r="J668" s="111"/>
      <c r="K668" s="111"/>
      <c r="L668" s="111"/>
      <c r="M668" s="111"/>
      <c r="N668" s="111"/>
      <c r="O668" s="111"/>
      <c r="P668" s="329"/>
      <c r="Q668" s="111"/>
      <c r="R668" s="111"/>
      <c r="S668" s="329"/>
      <c r="T668" s="111"/>
      <c r="U668" s="111"/>
      <c r="V668" s="370"/>
      <c r="W668" s="382"/>
      <c r="X668" s="539"/>
      <c r="Y668" s="328">
        <f t="shared" si="781"/>
        <v>0</v>
      </c>
      <c r="Z668" s="19">
        <f t="shared" si="782"/>
        <v>0</v>
      </c>
      <c r="AA668" s="201"/>
      <c r="AB668" s="201"/>
      <c r="AC668" s="84"/>
      <c r="AE668" s="111"/>
      <c r="AF668" s="111"/>
      <c r="AG668" s="111"/>
      <c r="AH668" s="545"/>
      <c r="AI668" s="131"/>
      <c r="AK668" s="111"/>
      <c r="AL668" s="111"/>
      <c r="AM668" s="111"/>
      <c r="AN668" s="545"/>
      <c r="AO668" s="131"/>
      <c r="AQ668" s="111"/>
      <c r="AR668" s="111"/>
      <c r="AS668" s="111"/>
      <c r="AT668" s="545"/>
      <c r="AU668" s="131"/>
      <c r="AW668" s="111"/>
      <c r="AX668" s="111"/>
      <c r="AY668" s="111"/>
      <c r="AZ668" s="545"/>
      <c r="BA668" s="131"/>
    </row>
    <row r="669" spans="1:53" s="117" customFormat="1" ht="17.100000000000001" customHeight="1" x14ac:dyDescent="0.25">
      <c r="A669" s="68"/>
      <c r="B669" s="119"/>
      <c r="C669" s="92"/>
      <c r="D669" s="56" t="s">
        <v>730</v>
      </c>
      <c r="E669" s="85" t="s">
        <v>129</v>
      </c>
      <c r="F669" s="75"/>
      <c r="G669" s="151"/>
      <c r="H669" s="119"/>
      <c r="I669" s="138"/>
      <c r="J669" s="111"/>
      <c r="K669" s="111"/>
      <c r="L669" s="111"/>
      <c r="M669" s="111"/>
      <c r="N669" s="111"/>
      <c r="O669" s="111"/>
      <c r="P669" s="327"/>
      <c r="Q669" s="111"/>
      <c r="R669" s="111"/>
      <c r="S669" s="327">
        <v>1</v>
      </c>
      <c r="T669" s="111"/>
      <c r="U669" s="111"/>
      <c r="V669" s="369"/>
      <c r="W669" s="382"/>
      <c r="X669" s="539"/>
      <c r="Y669" s="328">
        <f t="shared" si="781"/>
        <v>1</v>
      </c>
      <c r="Z669" s="19">
        <f t="shared" si="782"/>
        <v>0.5</v>
      </c>
      <c r="AA669" s="201"/>
      <c r="AB669" s="201"/>
      <c r="AC669" s="84"/>
      <c r="AE669" s="111"/>
      <c r="AF669" s="111"/>
      <c r="AG669" s="111"/>
      <c r="AH669" s="545"/>
      <c r="AI669" s="131"/>
      <c r="AK669" s="111"/>
      <c r="AL669" s="111"/>
      <c r="AM669" s="111"/>
      <c r="AN669" s="545"/>
      <c r="AO669" s="131"/>
      <c r="AQ669" s="111"/>
      <c r="AR669" s="111"/>
      <c r="AS669" s="111"/>
      <c r="AT669" s="545"/>
      <c r="AU669" s="131"/>
      <c r="AW669" s="111"/>
      <c r="AX669" s="111"/>
      <c r="AY669" s="111"/>
      <c r="AZ669" s="545"/>
      <c r="BA669" s="131"/>
    </row>
    <row r="670" spans="1:53" ht="17.100000000000001" customHeight="1" x14ac:dyDescent="0.25">
      <c r="A670" s="40"/>
      <c r="B670" s="40"/>
      <c r="C670" s="77"/>
      <c r="D670" s="134"/>
      <c r="E670" s="134"/>
      <c r="F670" s="134"/>
      <c r="G670" s="134"/>
      <c r="H670" s="540"/>
      <c r="I670" s="229"/>
      <c r="J670" s="80"/>
      <c r="K670" s="80"/>
      <c r="L670" s="80"/>
      <c r="M670" s="80"/>
      <c r="N670" s="81"/>
      <c r="O670" s="81"/>
      <c r="P670" s="82">
        <f>SUM(P665:P669)</f>
        <v>1</v>
      </c>
      <c r="Q670" s="81"/>
      <c r="R670" s="81"/>
      <c r="S670" s="82">
        <f>SUM(S665:S669)</f>
        <v>1</v>
      </c>
      <c r="T670" s="81"/>
      <c r="U670" s="81"/>
      <c r="V670" s="360">
        <f>SUM(V665:V669)</f>
        <v>0</v>
      </c>
      <c r="W670" s="381"/>
      <c r="X670" s="82"/>
      <c r="Y670" s="82">
        <f>SUM(Y665:Y669)</f>
        <v>2</v>
      </c>
      <c r="Z670" s="205">
        <f t="shared" si="782"/>
        <v>1</v>
      </c>
      <c r="AA670" s="205"/>
      <c r="AB670" s="205"/>
      <c r="AC670" s="83"/>
      <c r="AE670" s="80"/>
      <c r="AF670" s="80"/>
      <c r="AG670" s="81"/>
      <c r="AH670" s="82"/>
      <c r="AI670" s="66"/>
      <c r="AK670" s="80"/>
      <c r="AL670" s="80"/>
      <c r="AM670" s="81"/>
      <c r="AN670" s="82"/>
      <c r="AO670" s="66"/>
      <c r="AQ670" s="80"/>
      <c r="AR670" s="80"/>
      <c r="AS670" s="81"/>
      <c r="AT670" s="82"/>
      <c r="AU670" s="66"/>
      <c r="AW670" s="80"/>
      <c r="AX670" s="80"/>
      <c r="AY670" s="81"/>
      <c r="AZ670" s="82"/>
      <c r="BA670" s="66"/>
    </row>
    <row r="671" spans="1:53" s="117" customFormat="1" ht="17.100000000000001" customHeight="1" x14ac:dyDescent="0.25">
      <c r="A671" s="68"/>
      <c r="B671" s="119"/>
      <c r="C671" s="92"/>
      <c r="D671" s="261"/>
      <c r="E671" s="261"/>
      <c r="F671" s="68"/>
      <c r="G671" s="68"/>
      <c r="H671" s="119"/>
      <c r="I671" s="138"/>
      <c r="J671" s="17"/>
      <c r="K671" s="17"/>
      <c r="L671" s="17"/>
      <c r="M671" s="17"/>
      <c r="N671" s="17"/>
      <c r="O671" s="17"/>
      <c r="P671" s="17"/>
      <c r="Q671" s="17"/>
      <c r="R671" s="17"/>
      <c r="S671" s="17"/>
      <c r="T671" s="17"/>
      <c r="U671" s="17"/>
      <c r="V671" s="359"/>
      <c r="W671" s="382"/>
      <c r="X671" s="539"/>
      <c r="Y671" s="539"/>
      <c r="Z671" s="201"/>
      <c r="AA671" s="201"/>
      <c r="AB671" s="201"/>
      <c r="AC671" s="84"/>
      <c r="AE671" s="46"/>
      <c r="AF671" s="46"/>
      <c r="AG671" s="17"/>
      <c r="AH671" s="539"/>
      <c r="AI671" s="91"/>
      <c r="AK671" s="46"/>
      <c r="AL671" s="46"/>
      <c r="AM671" s="17"/>
      <c r="AN671" s="539"/>
      <c r="AO671" s="91"/>
      <c r="AQ671" s="46"/>
      <c r="AR671" s="46"/>
      <c r="AS671" s="17"/>
      <c r="AT671" s="539"/>
      <c r="AU671" s="91"/>
      <c r="AW671" s="46"/>
      <c r="AX671" s="46"/>
      <c r="AY671" s="17"/>
      <c r="AZ671" s="539"/>
      <c r="BA671" s="91"/>
    </row>
    <row r="672" spans="1:53" ht="17.100000000000001" customHeight="1" x14ac:dyDescent="0.25">
      <c r="A672" s="68"/>
      <c r="B672" s="41" t="s">
        <v>1445</v>
      </c>
      <c r="C672" s="69" t="s">
        <v>12</v>
      </c>
      <c r="D672" s="50"/>
      <c r="E672" s="70"/>
      <c r="F672" s="70"/>
      <c r="G672" s="70"/>
      <c r="H672" s="119"/>
      <c r="J672" s="71"/>
      <c r="K672" s="71"/>
      <c r="L672" s="71"/>
      <c r="M672" s="71"/>
      <c r="N672" s="71"/>
      <c r="O672" s="71"/>
      <c r="P672" s="71"/>
      <c r="Q672" s="71"/>
      <c r="R672" s="71"/>
      <c r="S672" s="71"/>
      <c r="T672" s="71"/>
      <c r="U672" s="71"/>
      <c r="V672" s="355"/>
      <c r="W672" s="377"/>
      <c r="X672" s="71"/>
      <c r="Y672" s="72"/>
      <c r="Z672" s="73"/>
      <c r="AA672" s="73"/>
      <c r="AB672" s="73"/>
      <c r="AC672" s="73"/>
      <c r="AE672" s="71"/>
      <c r="AF672" s="71"/>
      <c r="AG672" s="71"/>
      <c r="AH672" s="72"/>
      <c r="AI672" s="73"/>
      <c r="AK672" s="71"/>
      <c r="AL672" s="71"/>
      <c r="AM672" s="71"/>
      <c r="AN672" s="72"/>
      <c r="AO672" s="73"/>
      <c r="AQ672" s="71"/>
      <c r="AR672" s="71"/>
      <c r="AS672" s="71"/>
      <c r="AT672" s="72"/>
      <c r="AU672" s="73"/>
      <c r="AW672" s="71"/>
      <c r="AX672" s="71"/>
      <c r="AY672" s="71"/>
      <c r="AZ672" s="72" t="s">
        <v>4</v>
      </c>
      <c r="BA672" s="73"/>
    </row>
    <row r="686" spans="4:52" s="2" customFormat="1" ht="17.100000000000001" customHeight="1" x14ac:dyDescent="0.25">
      <c r="D686" s="3"/>
      <c r="E686" s="3"/>
      <c r="F686" s="4"/>
      <c r="G686" s="4"/>
      <c r="H686" s="138"/>
      <c r="I686" s="97"/>
      <c r="J686" s="6"/>
      <c r="K686" s="6"/>
      <c r="L686" s="6"/>
      <c r="M686" s="6"/>
      <c r="N686" s="6"/>
      <c r="O686" s="6"/>
      <c r="P686" s="6"/>
      <c r="Q686" s="6"/>
      <c r="R686" s="6"/>
      <c r="S686" s="6"/>
      <c r="T686" s="6"/>
      <c r="U686" s="6"/>
      <c r="V686" s="339"/>
      <c r="W686" s="339"/>
      <c r="X686" s="6"/>
      <c r="Y686" s="206"/>
      <c r="AE686" s="6"/>
      <c r="AF686" s="6"/>
      <c r="AG686" s="6"/>
      <c r="AH686" s="206"/>
      <c r="AJ686" s="213"/>
      <c r="AK686" s="6"/>
      <c r="AL686" s="6"/>
      <c r="AM686" s="6"/>
      <c r="AN686" s="206"/>
      <c r="AP686" s="213"/>
      <c r="AQ686" s="6"/>
      <c r="AR686" s="6"/>
      <c r="AS686" s="6"/>
      <c r="AT686" s="206"/>
      <c r="AV686" s="213"/>
      <c r="AW686" s="6"/>
      <c r="AX686" s="6"/>
      <c r="AY686" s="6"/>
      <c r="AZ686" s="206"/>
    </row>
    <row r="687" spans="4:52" s="2" customFormat="1" ht="17.100000000000001" customHeight="1" x14ac:dyDescent="0.25">
      <c r="D687" s="3"/>
      <c r="E687" s="3"/>
      <c r="F687" s="4"/>
      <c r="G687" s="4"/>
      <c r="H687" s="138"/>
      <c r="I687" s="97"/>
      <c r="J687" s="6"/>
      <c r="K687" s="6"/>
      <c r="L687" s="6"/>
      <c r="M687" s="6"/>
      <c r="N687" s="6"/>
      <c r="O687" s="6"/>
      <c r="P687" s="6"/>
      <c r="Q687" s="6"/>
      <c r="R687" s="6"/>
      <c r="S687" s="6"/>
      <c r="T687" s="6"/>
      <c r="U687" s="6"/>
      <c r="V687" s="339"/>
      <c r="W687" s="339"/>
      <c r="X687" s="6"/>
      <c r="Y687" s="206"/>
      <c r="AE687" s="6"/>
      <c r="AF687" s="6"/>
      <c r="AG687" s="6"/>
      <c r="AH687" s="206"/>
      <c r="AJ687" s="213"/>
      <c r="AK687" s="6"/>
      <c r="AL687" s="6"/>
      <c r="AM687" s="6"/>
      <c r="AN687" s="206"/>
      <c r="AP687" s="213"/>
      <c r="AQ687" s="6"/>
      <c r="AR687" s="6"/>
      <c r="AS687" s="6"/>
      <c r="AT687" s="206"/>
      <c r="AV687" s="213"/>
      <c r="AW687" s="6"/>
      <c r="AX687" s="6"/>
      <c r="AY687" s="6"/>
      <c r="AZ687" s="206"/>
    </row>
    <row r="688" spans="4:52" s="2" customFormat="1" ht="17.100000000000001" customHeight="1" x14ac:dyDescent="0.25">
      <c r="D688" s="3"/>
      <c r="E688" s="3"/>
      <c r="F688" s="4"/>
      <c r="G688" s="4"/>
      <c r="H688" s="138"/>
      <c r="I688" s="97"/>
      <c r="J688" s="6"/>
      <c r="K688" s="6"/>
      <c r="L688" s="6"/>
      <c r="M688" s="6"/>
      <c r="N688" s="6"/>
      <c r="O688" s="6"/>
      <c r="P688" s="6"/>
      <c r="Q688" s="6"/>
      <c r="R688" s="6"/>
      <c r="S688" s="6"/>
      <c r="T688" s="6"/>
      <c r="U688" s="6"/>
      <c r="V688" s="339"/>
      <c r="W688" s="339"/>
      <c r="X688" s="6"/>
      <c r="Y688" s="206"/>
      <c r="AE688" s="6"/>
      <c r="AF688" s="6"/>
      <c r="AG688" s="6"/>
      <c r="AH688" s="206"/>
      <c r="AJ688" s="213"/>
      <c r="AK688" s="6"/>
      <c r="AL688" s="6"/>
      <c r="AM688" s="6"/>
      <c r="AN688" s="206"/>
      <c r="AP688" s="213"/>
      <c r="AQ688" s="6"/>
      <c r="AR688" s="6"/>
      <c r="AS688" s="6"/>
      <c r="AT688" s="206"/>
      <c r="AV688" s="213"/>
      <c r="AW688" s="6"/>
      <c r="AX688" s="6"/>
      <c r="AY688" s="6"/>
      <c r="AZ688" s="206"/>
    </row>
    <row r="689" spans="4:52" s="2" customFormat="1" ht="17.100000000000001" customHeight="1" x14ac:dyDescent="0.25">
      <c r="D689" s="3"/>
      <c r="E689" s="3"/>
      <c r="F689" s="4"/>
      <c r="G689" s="4"/>
      <c r="H689" s="138"/>
      <c r="I689" s="97"/>
      <c r="J689" s="6"/>
      <c r="K689" s="6"/>
      <c r="L689" s="6"/>
      <c r="M689" s="6"/>
      <c r="N689" s="6"/>
      <c r="O689" s="6"/>
      <c r="P689" s="6"/>
      <c r="Q689" s="6"/>
      <c r="R689" s="6"/>
      <c r="S689" s="6"/>
      <c r="T689" s="6"/>
      <c r="U689" s="6"/>
      <c r="V689" s="339"/>
      <c r="W689" s="339"/>
      <c r="X689" s="6"/>
      <c r="Y689" s="206"/>
      <c r="AE689" s="6"/>
      <c r="AF689" s="6"/>
      <c r="AG689" s="6"/>
      <c r="AH689" s="206"/>
      <c r="AJ689" s="213"/>
      <c r="AK689" s="6"/>
      <c r="AL689" s="6"/>
      <c r="AM689" s="6"/>
      <c r="AN689" s="206"/>
      <c r="AP689" s="213"/>
      <c r="AQ689" s="6"/>
      <c r="AR689" s="6"/>
      <c r="AS689" s="6"/>
      <c r="AT689" s="206"/>
      <c r="AV689" s="213"/>
      <c r="AW689" s="6"/>
      <c r="AX689" s="6"/>
      <c r="AY689" s="6"/>
      <c r="AZ689" s="206"/>
    </row>
    <row r="690" spans="4:52" s="2" customFormat="1" ht="17.100000000000001" customHeight="1" x14ac:dyDescent="0.25">
      <c r="D690" s="3"/>
      <c r="E690" s="3"/>
      <c r="F690" s="4"/>
      <c r="G690" s="4"/>
      <c r="H690" s="138"/>
      <c r="I690" s="97"/>
      <c r="J690" s="6"/>
      <c r="K690" s="6"/>
      <c r="L690" s="6"/>
      <c r="M690" s="6"/>
      <c r="N690" s="6"/>
      <c r="O690" s="6"/>
      <c r="P690" s="6"/>
      <c r="Q690" s="6"/>
      <c r="R690" s="6"/>
      <c r="S690" s="6"/>
      <c r="T690" s="6"/>
      <c r="U690" s="6"/>
      <c r="V690" s="339"/>
      <c r="W690" s="339"/>
      <c r="X690" s="6"/>
      <c r="Y690" s="206"/>
      <c r="AE690" s="6"/>
      <c r="AF690" s="6"/>
      <c r="AG690" s="6"/>
      <c r="AH690" s="206"/>
      <c r="AJ690" s="213"/>
      <c r="AK690" s="6"/>
      <c r="AL690" s="6"/>
      <c r="AM690" s="6"/>
      <c r="AN690" s="206"/>
      <c r="AP690" s="213"/>
      <c r="AQ690" s="6"/>
      <c r="AR690" s="6"/>
      <c r="AS690" s="6"/>
      <c r="AT690" s="206"/>
      <c r="AV690" s="213"/>
      <c r="AW690" s="6"/>
      <c r="AX690" s="6"/>
      <c r="AY690" s="6"/>
      <c r="AZ690" s="206"/>
    </row>
    <row r="691" spans="4:52" s="2" customFormat="1" ht="17.100000000000001" customHeight="1" x14ac:dyDescent="0.25">
      <c r="D691" s="3"/>
      <c r="E691" s="3"/>
      <c r="F691" s="4"/>
      <c r="G691" s="4"/>
      <c r="H691" s="138"/>
      <c r="I691" s="97"/>
      <c r="J691" s="6"/>
      <c r="K691" s="6"/>
      <c r="L691" s="6"/>
      <c r="M691" s="6"/>
      <c r="N691" s="6"/>
      <c r="O691" s="6"/>
      <c r="P691" s="6"/>
      <c r="Q691" s="6"/>
      <c r="R691" s="6"/>
      <c r="S691" s="6"/>
      <c r="T691" s="6"/>
      <c r="U691" s="6"/>
      <c r="V691" s="339"/>
      <c r="W691" s="339"/>
      <c r="X691" s="6"/>
      <c r="Y691" s="206"/>
      <c r="AE691" s="6"/>
      <c r="AF691" s="6"/>
      <c r="AG691" s="6"/>
      <c r="AH691" s="206"/>
      <c r="AJ691" s="213"/>
      <c r="AK691" s="6"/>
      <c r="AL691" s="6"/>
      <c r="AM691" s="6"/>
      <c r="AN691" s="206"/>
      <c r="AP691" s="213"/>
      <c r="AQ691" s="6"/>
      <c r="AR691" s="6"/>
      <c r="AS691" s="6"/>
      <c r="AT691" s="206"/>
      <c r="AV691" s="213"/>
      <c r="AW691" s="6"/>
      <c r="AX691" s="6"/>
      <c r="AY691" s="6"/>
      <c r="AZ691" s="206"/>
    </row>
    <row r="692" spans="4:52" s="2" customFormat="1" ht="17.100000000000001" customHeight="1" x14ac:dyDescent="0.25">
      <c r="D692" s="3"/>
      <c r="E692" s="3"/>
      <c r="F692" s="4"/>
      <c r="G692" s="4"/>
      <c r="H692" s="138"/>
      <c r="I692" s="97"/>
      <c r="J692" s="6"/>
      <c r="K692" s="6"/>
      <c r="L692" s="6"/>
      <c r="M692" s="6"/>
      <c r="N692" s="6"/>
      <c r="O692" s="6"/>
      <c r="P692" s="6"/>
      <c r="Q692" s="6"/>
      <c r="R692" s="6"/>
      <c r="S692" s="6"/>
      <c r="T692" s="6"/>
      <c r="U692" s="6"/>
      <c r="V692" s="339"/>
      <c r="W692" s="339"/>
      <c r="X692" s="6"/>
      <c r="Y692" s="206"/>
      <c r="AE692" s="6"/>
      <c r="AF692" s="6"/>
      <c r="AG692" s="6"/>
      <c r="AH692" s="206"/>
      <c r="AJ692" s="213"/>
      <c r="AK692" s="6"/>
      <c r="AL692" s="6"/>
      <c r="AM692" s="6"/>
      <c r="AN692" s="206"/>
      <c r="AP692" s="213"/>
      <c r="AQ692" s="6"/>
      <c r="AR692" s="6"/>
      <c r="AS692" s="6"/>
      <c r="AT692" s="206"/>
      <c r="AV692" s="213"/>
      <c r="AW692" s="6"/>
      <c r="AX692" s="6"/>
      <c r="AY692" s="6"/>
      <c r="AZ692" s="206"/>
    </row>
    <row r="693" spans="4:52" s="2" customFormat="1" ht="17.100000000000001" customHeight="1" x14ac:dyDescent="0.25">
      <c r="D693" s="3"/>
      <c r="E693" s="3"/>
      <c r="F693" s="4"/>
      <c r="G693" s="4"/>
      <c r="H693" s="138"/>
      <c r="I693" s="97"/>
      <c r="J693" s="6"/>
      <c r="K693" s="6"/>
      <c r="L693" s="6"/>
      <c r="M693" s="6"/>
      <c r="N693" s="6"/>
      <c r="O693" s="6"/>
      <c r="P693" s="6"/>
      <c r="Q693" s="6"/>
      <c r="R693" s="6"/>
      <c r="S693" s="6"/>
      <c r="T693" s="6"/>
      <c r="U693" s="6"/>
      <c r="V693" s="339"/>
      <c r="W693" s="339"/>
      <c r="X693" s="6"/>
      <c r="Y693" s="206"/>
      <c r="AE693" s="6"/>
      <c r="AF693" s="6"/>
      <c r="AG693" s="6"/>
      <c r="AH693" s="206"/>
      <c r="AJ693" s="213"/>
      <c r="AK693" s="6"/>
      <c r="AL693" s="6"/>
      <c r="AM693" s="6"/>
      <c r="AN693" s="206"/>
      <c r="AP693" s="213"/>
      <c r="AQ693" s="6"/>
      <c r="AR693" s="6"/>
      <c r="AS693" s="6"/>
      <c r="AT693" s="206"/>
      <c r="AV693" s="213"/>
      <c r="AW693" s="6"/>
      <c r="AX693" s="6"/>
      <c r="AY693" s="6"/>
      <c r="AZ693" s="206"/>
    </row>
    <row r="694" spans="4:52" s="2" customFormat="1" ht="17.100000000000001" customHeight="1" x14ac:dyDescent="0.25">
      <c r="D694" s="3"/>
      <c r="E694" s="3"/>
      <c r="F694" s="4"/>
      <c r="G694" s="4"/>
      <c r="H694" s="138"/>
      <c r="I694" s="97"/>
      <c r="J694" s="6"/>
      <c r="K694" s="6"/>
      <c r="L694" s="6"/>
      <c r="M694" s="6"/>
      <c r="N694" s="6"/>
      <c r="O694" s="6"/>
      <c r="P694" s="6"/>
      <c r="Q694" s="6"/>
      <c r="R694" s="6"/>
      <c r="S694" s="6"/>
      <c r="T694" s="6"/>
      <c r="U694" s="6"/>
      <c r="V694" s="339"/>
      <c r="W694" s="339"/>
      <c r="X694" s="6"/>
      <c r="Y694" s="206"/>
      <c r="AE694" s="6"/>
      <c r="AF694" s="6"/>
      <c r="AG694" s="6"/>
      <c r="AH694" s="206"/>
      <c r="AJ694" s="213"/>
      <c r="AK694" s="6"/>
      <c r="AL694" s="6"/>
      <c r="AM694" s="6"/>
      <c r="AN694" s="206"/>
      <c r="AP694" s="213"/>
      <c r="AQ694" s="6"/>
      <c r="AR694" s="6"/>
      <c r="AS694" s="6"/>
      <c r="AT694" s="206"/>
      <c r="AV694" s="213"/>
      <c r="AW694" s="6"/>
      <c r="AX694" s="6"/>
      <c r="AY694" s="6"/>
      <c r="AZ694" s="206"/>
    </row>
    <row r="695" spans="4:52" s="2" customFormat="1" ht="17.100000000000001" customHeight="1" x14ac:dyDescent="0.25">
      <c r="D695" s="3"/>
      <c r="E695" s="3"/>
      <c r="F695" s="4"/>
      <c r="G695" s="4"/>
      <c r="H695" s="138"/>
      <c r="I695" s="97"/>
      <c r="J695" s="6"/>
      <c r="K695" s="6"/>
      <c r="L695" s="6"/>
      <c r="M695" s="6"/>
      <c r="N695" s="6"/>
      <c r="O695" s="6"/>
      <c r="P695" s="6"/>
      <c r="Q695" s="6"/>
      <c r="R695" s="6"/>
      <c r="S695" s="6"/>
      <c r="T695" s="6"/>
      <c r="U695" s="6"/>
      <c r="V695" s="339"/>
      <c r="W695" s="339"/>
      <c r="X695" s="6"/>
      <c r="Y695" s="206"/>
      <c r="AE695" s="6"/>
      <c r="AF695" s="6"/>
      <c r="AG695" s="6"/>
      <c r="AH695" s="206"/>
      <c r="AJ695" s="213"/>
      <c r="AK695" s="6"/>
      <c r="AL695" s="6"/>
      <c r="AM695" s="6"/>
      <c r="AN695" s="206"/>
      <c r="AP695" s="213"/>
      <c r="AQ695" s="6"/>
      <c r="AR695" s="6"/>
      <c r="AS695" s="6"/>
      <c r="AT695" s="206"/>
      <c r="AV695" s="213"/>
      <c r="AW695" s="6"/>
      <c r="AX695" s="6"/>
      <c r="AY695" s="6"/>
      <c r="AZ695" s="206"/>
    </row>
    <row r="696" spans="4:52" s="2" customFormat="1" ht="17.100000000000001" customHeight="1" x14ac:dyDescent="0.25">
      <c r="D696" s="3"/>
      <c r="E696" s="3"/>
      <c r="F696" s="4"/>
      <c r="G696" s="4"/>
      <c r="H696" s="138"/>
      <c r="I696" s="97"/>
      <c r="J696" s="6"/>
      <c r="K696" s="6"/>
      <c r="L696" s="6"/>
      <c r="M696" s="6"/>
      <c r="N696" s="6"/>
      <c r="O696" s="6"/>
      <c r="P696" s="6"/>
      <c r="Q696" s="6"/>
      <c r="R696" s="6"/>
      <c r="S696" s="6"/>
      <c r="T696" s="6"/>
      <c r="U696" s="6"/>
      <c r="V696" s="339"/>
      <c r="W696" s="339"/>
      <c r="X696" s="6"/>
      <c r="Y696" s="206"/>
      <c r="AE696" s="6"/>
      <c r="AF696" s="6"/>
      <c r="AG696" s="6"/>
      <c r="AH696" s="206"/>
      <c r="AJ696" s="213"/>
      <c r="AK696" s="6"/>
      <c r="AL696" s="6"/>
      <c r="AM696" s="6"/>
      <c r="AN696" s="206"/>
      <c r="AP696" s="213"/>
      <c r="AQ696" s="6"/>
      <c r="AR696" s="6"/>
      <c r="AS696" s="6"/>
      <c r="AT696" s="206"/>
      <c r="AV696" s="213"/>
      <c r="AW696" s="6"/>
      <c r="AX696" s="6"/>
      <c r="AY696" s="6"/>
      <c r="AZ696" s="206"/>
    </row>
    <row r="697" spans="4:52" s="2" customFormat="1" ht="17.100000000000001" customHeight="1" x14ac:dyDescent="0.25">
      <c r="D697" s="3"/>
      <c r="E697" s="3"/>
      <c r="F697" s="4"/>
      <c r="G697" s="4"/>
      <c r="H697" s="138"/>
      <c r="I697" s="97"/>
      <c r="J697" s="6"/>
      <c r="K697" s="6"/>
      <c r="L697" s="6"/>
      <c r="M697" s="6"/>
      <c r="N697" s="6"/>
      <c r="O697" s="6"/>
      <c r="P697" s="6"/>
      <c r="Q697" s="6"/>
      <c r="R697" s="6"/>
      <c r="S697" s="6"/>
      <c r="T697" s="6"/>
      <c r="U697" s="6"/>
      <c r="V697" s="339"/>
      <c r="W697" s="339"/>
      <c r="X697" s="6"/>
      <c r="Y697" s="206"/>
      <c r="AE697" s="6"/>
      <c r="AF697" s="6"/>
      <c r="AG697" s="6"/>
      <c r="AH697" s="206"/>
      <c r="AJ697" s="213"/>
      <c r="AK697" s="6"/>
      <c r="AL697" s="6"/>
      <c r="AM697" s="6"/>
      <c r="AN697" s="206"/>
      <c r="AP697" s="213"/>
      <c r="AQ697" s="6"/>
      <c r="AR697" s="6"/>
      <c r="AS697" s="6"/>
      <c r="AT697" s="206"/>
      <c r="AV697" s="213"/>
      <c r="AW697" s="6"/>
      <c r="AX697" s="6"/>
      <c r="AY697" s="6"/>
      <c r="AZ697" s="206"/>
    </row>
    <row r="698" spans="4:52" s="2" customFormat="1" ht="17.100000000000001" customHeight="1" x14ac:dyDescent="0.25">
      <c r="D698" s="3"/>
      <c r="E698" s="3"/>
      <c r="F698" s="4"/>
      <c r="G698" s="4"/>
      <c r="H698" s="138"/>
      <c r="I698" s="97"/>
      <c r="J698" s="6"/>
      <c r="K698" s="6"/>
      <c r="L698" s="6"/>
      <c r="M698" s="6"/>
      <c r="N698" s="6"/>
      <c r="O698" s="6"/>
      <c r="P698" s="6"/>
      <c r="Q698" s="6"/>
      <c r="R698" s="6"/>
      <c r="S698" s="6"/>
      <c r="T698" s="6"/>
      <c r="U698" s="6"/>
      <c r="V698" s="339"/>
      <c r="W698" s="339"/>
      <c r="X698" s="6"/>
      <c r="Y698" s="206"/>
      <c r="AE698" s="6"/>
      <c r="AF698" s="6"/>
      <c r="AG698" s="6"/>
      <c r="AH698" s="206"/>
      <c r="AJ698" s="213"/>
      <c r="AK698" s="6"/>
      <c r="AL698" s="6"/>
      <c r="AM698" s="6"/>
      <c r="AN698" s="206"/>
      <c r="AP698" s="213"/>
      <c r="AQ698" s="6"/>
      <c r="AR698" s="6"/>
      <c r="AS698" s="6"/>
      <c r="AT698" s="206"/>
      <c r="AV698" s="213"/>
      <c r="AW698" s="6"/>
      <c r="AX698" s="6"/>
      <c r="AY698" s="6"/>
      <c r="AZ698" s="206"/>
    </row>
    <row r="699" spans="4:52" s="2" customFormat="1" ht="17.100000000000001" customHeight="1" x14ac:dyDescent="0.25">
      <c r="D699" s="3"/>
      <c r="E699" s="3"/>
      <c r="F699" s="4"/>
      <c r="G699" s="4"/>
      <c r="H699" s="138"/>
      <c r="I699" s="97"/>
      <c r="J699" s="6"/>
      <c r="K699" s="6"/>
      <c r="L699" s="6"/>
      <c r="M699" s="6"/>
      <c r="N699" s="6"/>
      <c r="O699" s="6"/>
      <c r="P699" s="6"/>
      <c r="Q699" s="6"/>
      <c r="R699" s="6"/>
      <c r="S699" s="6"/>
      <c r="T699" s="6"/>
      <c r="U699" s="6"/>
      <c r="V699" s="339"/>
      <c r="W699" s="339"/>
      <c r="X699" s="6"/>
      <c r="Y699" s="206"/>
      <c r="AE699" s="6"/>
      <c r="AF699" s="6"/>
      <c r="AG699" s="6"/>
      <c r="AH699" s="206"/>
      <c r="AJ699" s="213"/>
      <c r="AK699" s="6"/>
      <c r="AL699" s="6"/>
      <c r="AM699" s="6"/>
      <c r="AN699" s="206"/>
      <c r="AP699" s="213"/>
      <c r="AQ699" s="6"/>
      <c r="AR699" s="6"/>
      <c r="AS699" s="6"/>
      <c r="AT699" s="206"/>
      <c r="AV699" s="213"/>
      <c r="AW699" s="6"/>
      <c r="AX699" s="6"/>
      <c r="AY699" s="6"/>
      <c r="AZ699" s="206"/>
    </row>
    <row r="700" spans="4:52" s="2" customFormat="1" ht="17.100000000000001" customHeight="1" x14ac:dyDescent="0.25">
      <c r="D700" s="3"/>
      <c r="E700" s="3"/>
      <c r="F700" s="4"/>
      <c r="G700" s="4"/>
      <c r="H700" s="138"/>
      <c r="I700" s="97"/>
      <c r="J700" s="6"/>
      <c r="K700" s="6"/>
      <c r="L700" s="6"/>
      <c r="M700" s="6"/>
      <c r="N700" s="6"/>
      <c r="O700" s="6"/>
      <c r="P700" s="6"/>
      <c r="Q700" s="6"/>
      <c r="R700" s="6"/>
      <c r="S700" s="6"/>
      <c r="T700" s="6"/>
      <c r="U700" s="6"/>
      <c r="V700" s="339"/>
      <c r="W700" s="339"/>
      <c r="X700" s="6"/>
      <c r="Y700" s="206"/>
      <c r="AE700" s="6"/>
      <c r="AF700" s="6"/>
      <c r="AG700" s="6"/>
      <c r="AH700" s="206"/>
      <c r="AJ700" s="213"/>
      <c r="AK700" s="6"/>
      <c r="AL700" s="6"/>
      <c r="AM700" s="6"/>
      <c r="AN700" s="206"/>
      <c r="AP700" s="213"/>
      <c r="AQ700" s="6"/>
      <c r="AR700" s="6"/>
      <c r="AS700" s="6"/>
      <c r="AT700" s="206"/>
      <c r="AV700" s="213"/>
      <c r="AW700" s="6"/>
      <c r="AX700" s="6"/>
      <c r="AY700" s="6"/>
      <c r="AZ700" s="206"/>
    </row>
    <row r="701" spans="4:52" s="2" customFormat="1" ht="17.100000000000001" customHeight="1" x14ac:dyDescent="0.25">
      <c r="D701" s="3"/>
      <c r="E701" s="3"/>
      <c r="F701" s="4"/>
      <c r="G701" s="4"/>
      <c r="H701" s="138"/>
      <c r="I701" s="97"/>
      <c r="J701" s="6"/>
      <c r="K701" s="6"/>
      <c r="L701" s="6"/>
      <c r="M701" s="6"/>
      <c r="N701" s="6"/>
      <c r="O701" s="6"/>
      <c r="P701" s="6"/>
      <c r="Q701" s="6"/>
      <c r="R701" s="6"/>
      <c r="S701" s="6"/>
      <c r="T701" s="6"/>
      <c r="U701" s="6"/>
      <c r="V701" s="339"/>
      <c r="W701" s="339"/>
      <c r="X701" s="6"/>
      <c r="Y701" s="206"/>
      <c r="AE701" s="6"/>
      <c r="AF701" s="6"/>
      <c r="AG701" s="6"/>
      <c r="AH701" s="206"/>
      <c r="AJ701" s="213"/>
      <c r="AK701" s="6"/>
      <c r="AL701" s="6"/>
      <c r="AM701" s="6"/>
      <c r="AN701" s="206"/>
      <c r="AP701" s="213"/>
      <c r="AQ701" s="6"/>
      <c r="AR701" s="6"/>
      <c r="AS701" s="6"/>
      <c r="AT701" s="206"/>
      <c r="AV701" s="213"/>
      <c r="AW701" s="6"/>
      <c r="AX701" s="6"/>
      <c r="AY701" s="6"/>
      <c r="AZ701" s="206"/>
    </row>
    <row r="702" spans="4:52" s="2" customFormat="1" ht="17.100000000000001" customHeight="1" x14ac:dyDescent="0.25">
      <c r="D702" s="3"/>
      <c r="E702" s="3"/>
      <c r="F702" s="4"/>
      <c r="G702" s="4"/>
      <c r="H702" s="138"/>
      <c r="I702" s="97"/>
      <c r="J702" s="6"/>
      <c r="K702" s="6"/>
      <c r="L702" s="6"/>
      <c r="M702" s="6"/>
      <c r="N702" s="6"/>
      <c r="O702" s="6"/>
      <c r="P702" s="6"/>
      <c r="Q702" s="6"/>
      <c r="R702" s="6"/>
      <c r="S702" s="6"/>
      <c r="T702" s="6"/>
      <c r="U702" s="6"/>
      <c r="V702" s="339"/>
      <c r="W702" s="339"/>
      <c r="X702" s="6"/>
      <c r="Y702" s="206"/>
      <c r="AE702" s="6"/>
      <c r="AF702" s="6"/>
      <c r="AG702" s="6"/>
      <c r="AH702" s="206"/>
      <c r="AJ702" s="213"/>
      <c r="AK702" s="6"/>
      <c r="AL702" s="6"/>
      <c r="AM702" s="6"/>
      <c r="AN702" s="206"/>
      <c r="AP702" s="213"/>
      <c r="AQ702" s="6"/>
      <c r="AR702" s="6"/>
      <c r="AS702" s="6"/>
      <c r="AT702" s="206"/>
      <c r="AV702" s="213"/>
      <c r="AW702" s="6"/>
      <c r="AX702" s="6"/>
      <c r="AY702" s="6"/>
      <c r="AZ702" s="206"/>
    </row>
    <row r="703" spans="4:52" s="2" customFormat="1" ht="17.100000000000001" customHeight="1" x14ac:dyDescent="0.25">
      <c r="D703" s="3"/>
      <c r="E703" s="3"/>
      <c r="F703" s="4"/>
      <c r="G703" s="4"/>
      <c r="H703" s="138"/>
      <c r="I703" s="97"/>
      <c r="J703" s="6"/>
      <c r="K703" s="6"/>
      <c r="L703" s="6"/>
      <c r="M703" s="6"/>
      <c r="N703" s="6"/>
      <c r="O703" s="6"/>
      <c r="P703" s="6"/>
      <c r="Q703" s="6"/>
      <c r="R703" s="6"/>
      <c r="S703" s="6"/>
      <c r="T703" s="6"/>
      <c r="U703" s="6"/>
      <c r="V703" s="339"/>
      <c r="W703" s="339"/>
      <c r="X703" s="6"/>
      <c r="Y703" s="206"/>
      <c r="AE703" s="6"/>
      <c r="AF703" s="6"/>
      <c r="AG703" s="6"/>
      <c r="AH703" s="206"/>
      <c r="AJ703" s="213"/>
      <c r="AK703" s="6"/>
      <c r="AL703" s="6"/>
      <c r="AM703" s="6"/>
      <c r="AN703" s="206"/>
      <c r="AP703" s="213"/>
      <c r="AQ703" s="6"/>
      <c r="AR703" s="6"/>
      <c r="AS703" s="6"/>
      <c r="AT703" s="206"/>
      <c r="AV703" s="213"/>
      <c r="AW703" s="6"/>
      <c r="AX703" s="6"/>
      <c r="AY703" s="6"/>
      <c r="AZ703" s="206"/>
    </row>
    <row r="704" spans="4:52" s="2" customFormat="1" ht="17.100000000000001" customHeight="1" x14ac:dyDescent="0.25">
      <c r="D704" s="3"/>
      <c r="E704" s="3"/>
      <c r="F704" s="4"/>
      <c r="G704" s="4"/>
      <c r="H704" s="138"/>
      <c r="I704" s="97"/>
      <c r="J704" s="6"/>
      <c r="K704" s="6"/>
      <c r="L704" s="6"/>
      <c r="M704" s="6"/>
      <c r="N704" s="6"/>
      <c r="O704" s="6"/>
      <c r="P704" s="6"/>
      <c r="Q704" s="6"/>
      <c r="R704" s="6"/>
      <c r="S704" s="6"/>
      <c r="T704" s="6"/>
      <c r="U704" s="6"/>
      <c r="V704" s="339"/>
      <c r="W704" s="339"/>
      <c r="X704" s="6"/>
      <c r="Y704" s="206"/>
      <c r="AE704" s="6"/>
      <c r="AF704" s="6"/>
      <c r="AG704" s="6"/>
      <c r="AH704" s="206"/>
      <c r="AJ704" s="213"/>
      <c r="AK704" s="6"/>
      <c r="AL704" s="6"/>
      <c r="AM704" s="6"/>
      <c r="AN704" s="206"/>
      <c r="AP704" s="213"/>
      <c r="AQ704" s="6"/>
      <c r="AR704" s="6"/>
      <c r="AS704" s="6"/>
      <c r="AT704" s="206"/>
      <c r="AV704" s="213"/>
      <c r="AW704" s="6"/>
      <c r="AX704" s="6"/>
      <c r="AY704" s="6"/>
      <c r="AZ704" s="206"/>
    </row>
    <row r="705" spans="4:52" s="2" customFormat="1" ht="17.100000000000001" customHeight="1" x14ac:dyDescent="0.25">
      <c r="D705" s="3"/>
      <c r="E705" s="3"/>
      <c r="F705" s="4"/>
      <c r="G705" s="4"/>
      <c r="H705" s="138"/>
      <c r="I705" s="97"/>
      <c r="J705" s="6"/>
      <c r="K705" s="6"/>
      <c r="L705" s="6"/>
      <c r="M705" s="6"/>
      <c r="N705" s="6"/>
      <c r="O705" s="6"/>
      <c r="P705" s="6"/>
      <c r="Q705" s="6"/>
      <c r="R705" s="6"/>
      <c r="S705" s="6"/>
      <c r="T705" s="6"/>
      <c r="U705" s="6"/>
      <c r="V705" s="339"/>
      <c r="W705" s="339"/>
      <c r="X705" s="6"/>
      <c r="Y705" s="206"/>
      <c r="AE705" s="6"/>
      <c r="AF705" s="6"/>
      <c r="AG705" s="6"/>
      <c r="AH705" s="206"/>
      <c r="AJ705" s="213"/>
      <c r="AK705" s="6"/>
      <c r="AL705" s="6"/>
      <c r="AM705" s="6"/>
      <c r="AN705" s="206"/>
      <c r="AP705" s="213"/>
      <c r="AQ705" s="6"/>
      <c r="AR705" s="6"/>
      <c r="AS705" s="6"/>
      <c r="AT705" s="206"/>
      <c r="AV705" s="213"/>
      <c r="AW705" s="6"/>
      <c r="AX705" s="6"/>
      <c r="AY705" s="6"/>
      <c r="AZ705" s="206"/>
    </row>
    <row r="706" spans="4:52" s="2" customFormat="1" ht="17.100000000000001" customHeight="1" x14ac:dyDescent="0.25">
      <c r="D706" s="3"/>
      <c r="E706" s="3"/>
      <c r="F706" s="4"/>
      <c r="G706" s="4"/>
      <c r="H706" s="138"/>
      <c r="I706" s="97"/>
      <c r="J706" s="6"/>
      <c r="K706" s="6"/>
      <c r="L706" s="6"/>
      <c r="M706" s="6"/>
      <c r="N706" s="6"/>
      <c r="O706" s="6"/>
      <c r="P706" s="6"/>
      <c r="Q706" s="6"/>
      <c r="R706" s="6"/>
      <c r="S706" s="6"/>
      <c r="T706" s="6"/>
      <c r="U706" s="6"/>
      <c r="V706" s="339"/>
      <c r="W706" s="339"/>
      <c r="X706" s="6"/>
      <c r="Y706" s="206"/>
      <c r="AE706" s="6"/>
      <c r="AF706" s="6"/>
      <c r="AG706" s="6"/>
      <c r="AH706" s="206"/>
      <c r="AJ706" s="213"/>
      <c r="AK706" s="6"/>
      <c r="AL706" s="6"/>
      <c r="AM706" s="6"/>
      <c r="AN706" s="206"/>
      <c r="AP706" s="213"/>
      <c r="AQ706" s="6"/>
      <c r="AR706" s="6"/>
      <c r="AS706" s="6"/>
      <c r="AT706" s="206"/>
      <c r="AV706" s="213"/>
      <c r="AW706" s="6"/>
      <c r="AX706" s="6"/>
      <c r="AY706" s="6"/>
      <c r="AZ706" s="206"/>
    </row>
    <row r="707" spans="4:52" s="2" customFormat="1" ht="17.100000000000001" customHeight="1" x14ac:dyDescent="0.25">
      <c r="D707" s="3"/>
      <c r="E707" s="3"/>
      <c r="F707" s="4"/>
      <c r="G707" s="4"/>
      <c r="H707" s="138"/>
      <c r="I707" s="97"/>
      <c r="J707" s="6"/>
      <c r="K707" s="6"/>
      <c r="L707" s="6"/>
      <c r="M707" s="6"/>
      <c r="N707" s="6"/>
      <c r="O707" s="6"/>
      <c r="P707" s="6"/>
      <c r="Q707" s="6"/>
      <c r="R707" s="6"/>
      <c r="S707" s="6"/>
      <c r="T707" s="6"/>
      <c r="U707" s="6"/>
      <c r="V707" s="339"/>
      <c r="W707" s="339"/>
      <c r="X707" s="6"/>
      <c r="Y707" s="206"/>
      <c r="AE707" s="6"/>
      <c r="AF707" s="6"/>
      <c r="AG707" s="6"/>
      <c r="AH707" s="206"/>
      <c r="AJ707" s="213"/>
      <c r="AK707" s="6"/>
      <c r="AL707" s="6"/>
      <c r="AM707" s="6"/>
      <c r="AN707" s="206"/>
      <c r="AP707" s="213"/>
      <c r="AQ707" s="6"/>
      <c r="AR707" s="6"/>
      <c r="AS707" s="6"/>
      <c r="AT707" s="206"/>
      <c r="AV707" s="213"/>
      <c r="AW707" s="6"/>
      <c r="AX707" s="6"/>
      <c r="AY707" s="6"/>
      <c r="AZ707" s="206"/>
    </row>
    <row r="708" spans="4:52" s="2" customFormat="1" ht="17.100000000000001" customHeight="1" x14ac:dyDescent="0.25">
      <c r="D708" s="3"/>
      <c r="E708" s="3"/>
      <c r="F708" s="4"/>
      <c r="G708" s="4"/>
      <c r="H708" s="138"/>
      <c r="I708" s="97"/>
      <c r="J708" s="6"/>
      <c r="K708" s="6"/>
      <c r="L708" s="6"/>
      <c r="M708" s="6"/>
      <c r="N708" s="6"/>
      <c r="O708" s="6"/>
      <c r="P708" s="6"/>
      <c r="Q708" s="6"/>
      <c r="R708" s="6"/>
      <c r="S708" s="6"/>
      <c r="T708" s="6"/>
      <c r="U708" s="6"/>
      <c r="V708" s="339"/>
      <c r="W708" s="339"/>
      <c r="X708" s="6"/>
      <c r="Y708" s="206"/>
      <c r="AE708" s="6"/>
      <c r="AF708" s="6"/>
      <c r="AG708" s="6"/>
      <c r="AH708" s="206"/>
      <c r="AJ708" s="213"/>
      <c r="AK708" s="6"/>
      <c r="AL708" s="6"/>
      <c r="AM708" s="6"/>
      <c r="AN708" s="206"/>
      <c r="AP708" s="213"/>
      <c r="AQ708" s="6"/>
      <c r="AR708" s="6"/>
      <c r="AS708" s="6"/>
      <c r="AT708" s="206"/>
      <c r="AV708" s="213"/>
      <c r="AW708" s="6"/>
      <c r="AX708" s="6"/>
      <c r="AY708" s="6"/>
      <c r="AZ708" s="206"/>
    </row>
    <row r="709" spans="4:52" s="2" customFormat="1" ht="17.100000000000001" customHeight="1" x14ac:dyDescent="0.25">
      <c r="D709" s="3"/>
      <c r="E709" s="3"/>
      <c r="F709" s="4"/>
      <c r="G709" s="4"/>
      <c r="H709" s="138"/>
      <c r="I709" s="97"/>
      <c r="J709" s="6"/>
      <c r="K709" s="6"/>
      <c r="L709" s="6"/>
      <c r="M709" s="6"/>
      <c r="N709" s="6"/>
      <c r="O709" s="6"/>
      <c r="P709" s="6"/>
      <c r="Q709" s="6"/>
      <c r="R709" s="6"/>
      <c r="S709" s="6"/>
      <c r="T709" s="6"/>
      <c r="U709" s="6"/>
      <c r="V709" s="339"/>
      <c r="W709" s="339"/>
      <c r="X709" s="6"/>
      <c r="Y709" s="206"/>
      <c r="AE709" s="6"/>
      <c r="AF709" s="6"/>
      <c r="AG709" s="6"/>
      <c r="AH709" s="206"/>
      <c r="AJ709" s="213"/>
      <c r="AK709" s="6"/>
      <c r="AL709" s="6"/>
      <c r="AM709" s="6"/>
      <c r="AN709" s="206"/>
      <c r="AP709" s="213"/>
      <c r="AQ709" s="6"/>
      <c r="AR709" s="6"/>
      <c r="AS709" s="6"/>
      <c r="AT709" s="206"/>
      <c r="AV709" s="213"/>
      <c r="AW709" s="6"/>
      <c r="AX709" s="6"/>
      <c r="AY709" s="6"/>
      <c r="AZ709" s="206"/>
    </row>
    <row r="710" spans="4:52" s="2" customFormat="1" ht="17.100000000000001" customHeight="1" x14ac:dyDescent="0.25">
      <c r="D710" s="3"/>
      <c r="E710" s="3"/>
      <c r="F710" s="4"/>
      <c r="G710" s="4"/>
      <c r="H710" s="138"/>
      <c r="I710" s="97"/>
      <c r="J710" s="6"/>
      <c r="K710" s="6"/>
      <c r="L710" s="6"/>
      <c r="M710" s="6"/>
      <c r="N710" s="6"/>
      <c r="O710" s="6"/>
      <c r="P710" s="6"/>
      <c r="Q710" s="6"/>
      <c r="R710" s="6"/>
      <c r="S710" s="6"/>
      <c r="T710" s="6"/>
      <c r="U710" s="6"/>
      <c r="V710" s="339"/>
      <c r="W710" s="339"/>
      <c r="X710" s="6"/>
      <c r="Y710" s="206"/>
      <c r="AE710" s="6"/>
      <c r="AF710" s="6"/>
      <c r="AG710" s="6"/>
      <c r="AH710" s="206"/>
      <c r="AJ710" s="213"/>
      <c r="AK710" s="6"/>
      <c r="AL710" s="6"/>
      <c r="AM710" s="6"/>
      <c r="AN710" s="206"/>
      <c r="AP710" s="213"/>
      <c r="AQ710" s="6"/>
      <c r="AR710" s="6"/>
      <c r="AS710" s="6"/>
      <c r="AT710" s="206"/>
      <c r="AV710" s="213"/>
      <c r="AW710" s="6"/>
      <c r="AX710" s="6"/>
      <c r="AY710" s="6"/>
      <c r="AZ710" s="206"/>
    </row>
    <row r="711" spans="4:52" s="2" customFormat="1" ht="17.100000000000001" customHeight="1" x14ac:dyDescent="0.25">
      <c r="D711" s="3"/>
      <c r="E711" s="3"/>
      <c r="F711" s="4"/>
      <c r="G711" s="4"/>
      <c r="H711" s="138"/>
      <c r="I711" s="97"/>
      <c r="J711" s="6"/>
      <c r="K711" s="6"/>
      <c r="L711" s="6"/>
      <c r="M711" s="6"/>
      <c r="N711" s="6"/>
      <c r="O711" s="6"/>
      <c r="P711" s="6"/>
      <c r="Q711" s="6"/>
      <c r="R711" s="6"/>
      <c r="S711" s="6"/>
      <c r="T711" s="6"/>
      <c r="U711" s="6"/>
      <c r="V711" s="339"/>
      <c r="W711" s="339"/>
      <c r="X711" s="6"/>
      <c r="Y711" s="206"/>
      <c r="AE711" s="6"/>
      <c r="AF711" s="6"/>
      <c r="AG711" s="6"/>
      <c r="AH711" s="206"/>
      <c r="AJ711" s="213"/>
      <c r="AK711" s="6"/>
      <c r="AL711" s="6"/>
      <c r="AM711" s="6"/>
      <c r="AN711" s="206"/>
      <c r="AP711" s="213"/>
      <c r="AQ711" s="6"/>
      <c r="AR711" s="6"/>
      <c r="AS711" s="6"/>
      <c r="AT711" s="206"/>
      <c r="AV711" s="213"/>
      <c r="AW711" s="6"/>
      <c r="AX711" s="6"/>
      <c r="AY711" s="6"/>
      <c r="AZ711" s="206"/>
    </row>
    <row r="712" spans="4:52" s="2" customFormat="1" ht="17.100000000000001" customHeight="1" x14ac:dyDescent="0.25">
      <c r="D712" s="3"/>
      <c r="E712" s="3"/>
      <c r="F712" s="4"/>
      <c r="G712" s="4"/>
      <c r="H712" s="138"/>
      <c r="I712" s="97"/>
      <c r="J712" s="6"/>
      <c r="K712" s="6"/>
      <c r="L712" s="6"/>
      <c r="M712" s="6"/>
      <c r="N712" s="6"/>
      <c r="O712" s="6"/>
      <c r="P712" s="6"/>
      <c r="Q712" s="6"/>
      <c r="R712" s="6"/>
      <c r="S712" s="6"/>
      <c r="T712" s="6"/>
      <c r="U712" s="6"/>
      <c r="V712" s="339"/>
      <c r="W712" s="339"/>
      <c r="X712" s="6"/>
      <c r="Y712" s="206"/>
      <c r="AE712" s="6"/>
      <c r="AF712" s="6"/>
      <c r="AG712" s="6"/>
      <c r="AH712" s="206"/>
      <c r="AJ712" s="213"/>
      <c r="AK712" s="6"/>
      <c r="AL712" s="6"/>
      <c r="AM712" s="6"/>
      <c r="AN712" s="206"/>
      <c r="AP712" s="213"/>
      <c r="AQ712" s="6"/>
      <c r="AR712" s="6"/>
      <c r="AS712" s="6"/>
      <c r="AT712" s="206"/>
      <c r="AV712" s="213"/>
      <c r="AW712" s="6"/>
      <c r="AX712" s="6"/>
      <c r="AY712" s="6"/>
      <c r="AZ712" s="206"/>
    </row>
    <row r="713" spans="4:52" s="2" customFormat="1" ht="17.100000000000001" customHeight="1" x14ac:dyDescent="0.25">
      <c r="D713" s="3"/>
      <c r="E713" s="3"/>
      <c r="F713" s="4"/>
      <c r="G713" s="4"/>
      <c r="H713" s="138"/>
      <c r="I713" s="97"/>
      <c r="J713" s="6"/>
      <c r="K713" s="6"/>
      <c r="L713" s="6"/>
      <c r="M713" s="6"/>
      <c r="N713" s="6"/>
      <c r="O713" s="6"/>
      <c r="P713" s="6"/>
      <c r="Q713" s="6"/>
      <c r="R713" s="6"/>
      <c r="S713" s="6"/>
      <c r="T713" s="6"/>
      <c r="U713" s="6"/>
      <c r="V713" s="339"/>
      <c r="W713" s="339"/>
      <c r="X713" s="6"/>
      <c r="Y713" s="206"/>
      <c r="AE713" s="6"/>
      <c r="AF713" s="6"/>
      <c r="AG713" s="6"/>
      <c r="AH713" s="206"/>
      <c r="AJ713" s="213"/>
      <c r="AK713" s="6"/>
      <c r="AL713" s="6"/>
      <c r="AM713" s="6"/>
      <c r="AN713" s="206"/>
      <c r="AP713" s="213"/>
      <c r="AQ713" s="6"/>
      <c r="AR713" s="6"/>
      <c r="AS713" s="6"/>
      <c r="AT713" s="206"/>
      <c r="AV713" s="213"/>
      <c r="AW713" s="6"/>
      <c r="AX713" s="6"/>
      <c r="AY713" s="6"/>
      <c r="AZ713" s="206"/>
    </row>
    <row r="714" spans="4:52" s="2" customFormat="1" ht="17.100000000000001" customHeight="1" x14ac:dyDescent="0.25">
      <c r="D714" s="3"/>
      <c r="E714" s="3"/>
      <c r="F714" s="4"/>
      <c r="G714" s="4"/>
      <c r="H714" s="138"/>
      <c r="I714" s="97"/>
      <c r="J714" s="6"/>
      <c r="K714" s="6"/>
      <c r="L714" s="6"/>
      <c r="M714" s="6"/>
      <c r="N714" s="6"/>
      <c r="O714" s="6"/>
      <c r="P714" s="6"/>
      <c r="Q714" s="6"/>
      <c r="R714" s="6"/>
      <c r="S714" s="6"/>
      <c r="T714" s="6"/>
      <c r="U714" s="6"/>
      <c r="V714" s="339"/>
      <c r="W714" s="339"/>
      <c r="X714" s="6"/>
      <c r="Y714" s="206"/>
      <c r="AE714" s="6"/>
      <c r="AF714" s="6"/>
      <c r="AG714" s="6"/>
      <c r="AH714" s="206"/>
      <c r="AJ714" s="213"/>
      <c r="AK714" s="6"/>
      <c r="AL714" s="6"/>
      <c r="AM714" s="6"/>
      <c r="AN714" s="206"/>
      <c r="AP714" s="213"/>
      <c r="AQ714" s="6"/>
      <c r="AR714" s="6"/>
      <c r="AS714" s="6"/>
      <c r="AT714" s="206"/>
      <c r="AV714" s="213"/>
      <c r="AW714" s="6"/>
      <c r="AX714" s="6"/>
      <c r="AY714" s="6"/>
      <c r="AZ714" s="206"/>
    </row>
    <row r="715" spans="4:52" s="2" customFormat="1" ht="17.100000000000001" customHeight="1" x14ac:dyDescent="0.25">
      <c r="D715" s="3"/>
      <c r="E715" s="3"/>
      <c r="F715" s="4"/>
      <c r="G715" s="4"/>
      <c r="H715" s="138"/>
      <c r="I715" s="97"/>
      <c r="J715" s="6"/>
      <c r="K715" s="6"/>
      <c r="L715" s="6"/>
      <c r="M715" s="6"/>
      <c r="N715" s="6"/>
      <c r="O715" s="6"/>
      <c r="P715" s="6"/>
      <c r="Q715" s="6"/>
      <c r="R715" s="6"/>
      <c r="S715" s="6"/>
      <c r="T715" s="6"/>
      <c r="U715" s="6"/>
      <c r="V715" s="339"/>
      <c r="W715" s="339"/>
      <c r="X715" s="6"/>
      <c r="Y715" s="206"/>
      <c r="AE715" s="6"/>
      <c r="AF715" s="6"/>
      <c r="AG715" s="6"/>
      <c r="AH715" s="206"/>
      <c r="AJ715" s="213"/>
      <c r="AK715" s="6"/>
      <c r="AL715" s="6"/>
      <c r="AM715" s="6"/>
      <c r="AN715" s="206"/>
      <c r="AP715" s="213"/>
      <c r="AQ715" s="6"/>
      <c r="AR715" s="6"/>
      <c r="AS715" s="6"/>
      <c r="AT715" s="206"/>
      <c r="AV715" s="213"/>
      <c r="AW715" s="6"/>
      <c r="AX715" s="6"/>
      <c r="AY715" s="6"/>
      <c r="AZ715" s="206"/>
    </row>
    <row r="716" spans="4:52" s="2" customFormat="1" ht="17.100000000000001" customHeight="1" x14ac:dyDescent="0.25">
      <c r="D716" s="3"/>
      <c r="E716" s="3"/>
      <c r="F716" s="4"/>
      <c r="G716" s="4"/>
      <c r="H716" s="138"/>
      <c r="I716" s="97"/>
      <c r="J716" s="6"/>
      <c r="K716" s="6"/>
      <c r="L716" s="6"/>
      <c r="M716" s="6"/>
      <c r="N716" s="6"/>
      <c r="O716" s="6"/>
      <c r="P716" s="6"/>
      <c r="Q716" s="6"/>
      <c r="R716" s="6"/>
      <c r="S716" s="6"/>
      <c r="T716" s="6"/>
      <c r="U716" s="6"/>
      <c r="V716" s="339"/>
      <c r="W716" s="339"/>
      <c r="X716" s="6"/>
      <c r="Y716" s="206"/>
      <c r="AE716" s="6"/>
      <c r="AF716" s="6"/>
      <c r="AG716" s="6"/>
      <c r="AH716" s="206"/>
      <c r="AJ716" s="213"/>
      <c r="AK716" s="6"/>
      <c r="AL716" s="6"/>
      <c r="AM716" s="6"/>
      <c r="AN716" s="206"/>
      <c r="AP716" s="213"/>
      <c r="AQ716" s="6"/>
      <c r="AR716" s="6"/>
      <c r="AS716" s="6"/>
      <c r="AT716" s="206"/>
      <c r="AV716" s="213"/>
      <c r="AW716" s="6"/>
      <c r="AX716" s="6"/>
      <c r="AY716" s="6"/>
      <c r="AZ716" s="206"/>
    </row>
    <row r="717" spans="4:52" s="2" customFormat="1" ht="17.100000000000001" customHeight="1" x14ac:dyDescent="0.25">
      <c r="D717" s="3"/>
      <c r="E717" s="3"/>
      <c r="F717" s="4"/>
      <c r="G717" s="4"/>
      <c r="H717" s="138"/>
      <c r="I717" s="97"/>
      <c r="J717" s="6"/>
      <c r="K717" s="6"/>
      <c r="L717" s="6"/>
      <c r="M717" s="6"/>
      <c r="N717" s="6"/>
      <c r="O717" s="6"/>
      <c r="P717" s="6"/>
      <c r="Q717" s="6"/>
      <c r="R717" s="6"/>
      <c r="S717" s="6"/>
      <c r="T717" s="6"/>
      <c r="U717" s="6"/>
      <c r="V717" s="339"/>
      <c r="W717" s="339"/>
      <c r="X717" s="6"/>
      <c r="Y717" s="206"/>
      <c r="AE717" s="6"/>
      <c r="AF717" s="6"/>
      <c r="AG717" s="6"/>
      <c r="AH717" s="206"/>
      <c r="AJ717" s="213"/>
      <c r="AK717" s="6"/>
      <c r="AL717" s="6"/>
      <c r="AM717" s="6"/>
      <c r="AN717" s="206"/>
      <c r="AP717" s="213"/>
      <c r="AQ717" s="6"/>
      <c r="AR717" s="6"/>
      <c r="AS717" s="6"/>
      <c r="AT717" s="206"/>
      <c r="AV717" s="213"/>
      <c r="AW717" s="6"/>
      <c r="AX717" s="6"/>
      <c r="AY717" s="6"/>
      <c r="AZ717" s="206"/>
    </row>
    <row r="718" spans="4:52" s="2" customFormat="1" ht="17.100000000000001" customHeight="1" x14ac:dyDescent="0.25">
      <c r="D718" s="3"/>
      <c r="E718" s="3"/>
      <c r="F718" s="4"/>
      <c r="G718" s="4"/>
      <c r="H718" s="138"/>
      <c r="I718" s="97"/>
      <c r="J718" s="6"/>
      <c r="K718" s="6"/>
      <c r="L718" s="6"/>
      <c r="M718" s="6"/>
      <c r="N718" s="6"/>
      <c r="O718" s="6"/>
      <c r="P718" s="6"/>
      <c r="Q718" s="6"/>
      <c r="R718" s="6"/>
      <c r="S718" s="6"/>
      <c r="T718" s="6"/>
      <c r="U718" s="6"/>
      <c r="V718" s="339"/>
      <c r="W718" s="339"/>
      <c r="X718" s="6"/>
      <c r="Y718" s="206"/>
      <c r="AE718" s="6"/>
      <c r="AF718" s="6"/>
      <c r="AG718" s="6"/>
      <c r="AH718" s="206"/>
      <c r="AJ718" s="213"/>
      <c r="AK718" s="6"/>
      <c r="AL718" s="6"/>
      <c r="AM718" s="6"/>
      <c r="AN718" s="206"/>
      <c r="AP718" s="213"/>
      <c r="AQ718" s="6"/>
      <c r="AR718" s="6"/>
      <c r="AS718" s="6"/>
      <c r="AT718" s="206"/>
      <c r="AV718" s="213"/>
      <c r="AW718" s="6"/>
      <c r="AX718" s="6"/>
      <c r="AY718" s="6"/>
      <c r="AZ718" s="206"/>
    </row>
    <row r="719" spans="4:52" s="2" customFormat="1" ht="17.100000000000001" customHeight="1" x14ac:dyDescent="0.25">
      <c r="D719" s="3"/>
      <c r="E719" s="3"/>
      <c r="F719" s="4"/>
      <c r="G719" s="4"/>
      <c r="H719" s="138"/>
      <c r="I719" s="97"/>
      <c r="J719" s="6"/>
      <c r="K719" s="6"/>
      <c r="L719" s="6"/>
      <c r="M719" s="6"/>
      <c r="N719" s="6"/>
      <c r="O719" s="6"/>
      <c r="P719" s="6"/>
      <c r="Q719" s="6"/>
      <c r="R719" s="6"/>
      <c r="S719" s="6"/>
      <c r="T719" s="6"/>
      <c r="U719" s="6"/>
      <c r="V719" s="339"/>
      <c r="W719" s="339"/>
      <c r="X719" s="6"/>
      <c r="Y719" s="206"/>
      <c r="AE719" s="6"/>
      <c r="AF719" s="6"/>
      <c r="AG719" s="6"/>
      <c r="AH719" s="206"/>
      <c r="AJ719" s="213"/>
      <c r="AK719" s="6"/>
      <c r="AL719" s="6"/>
      <c r="AM719" s="6"/>
      <c r="AN719" s="206"/>
      <c r="AP719" s="213"/>
      <c r="AQ719" s="6"/>
      <c r="AR719" s="6"/>
      <c r="AS719" s="6"/>
      <c r="AT719" s="206"/>
      <c r="AV719" s="213"/>
      <c r="AW719" s="6"/>
      <c r="AX719" s="6"/>
      <c r="AY719" s="6"/>
      <c r="AZ719" s="206"/>
    </row>
    <row r="720" spans="4:52" s="2" customFormat="1" ht="17.100000000000001" customHeight="1" x14ac:dyDescent="0.25">
      <c r="D720" s="3"/>
      <c r="E720" s="3"/>
      <c r="F720" s="4"/>
      <c r="G720" s="4"/>
      <c r="H720" s="138"/>
      <c r="I720" s="97"/>
      <c r="J720" s="6"/>
      <c r="K720" s="6"/>
      <c r="L720" s="6"/>
      <c r="M720" s="6"/>
      <c r="N720" s="6"/>
      <c r="O720" s="6"/>
      <c r="P720" s="6"/>
      <c r="Q720" s="6"/>
      <c r="R720" s="6"/>
      <c r="S720" s="6"/>
      <c r="T720" s="6"/>
      <c r="U720" s="6"/>
      <c r="V720" s="339"/>
      <c r="W720" s="339"/>
      <c r="X720" s="6"/>
      <c r="Y720" s="206"/>
      <c r="AE720" s="6"/>
      <c r="AF720" s="6"/>
      <c r="AG720" s="6"/>
      <c r="AH720" s="206"/>
      <c r="AJ720" s="213"/>
      <c r="AK720" s="6"/>
      <c r="AL720" s="6"/>
      <c r="AM720" s="6"/>
      <c r="AN720" s="206"/>
      <c r="AP720" s="213"/>
      <c r="AQ720" s="6"/>
      <c r="AR720" s="6"/>
      <c r="AS720" s="6"/>
      <c r="AT720" s="206"/>
      <c r="AV720" s="213"/>
      <c r="AW720" s="6"/>
      <c r="AX720" s="6"/>
      <c r="AY720" s="6"/>
      <c r="AZ720" s="206"/>
    </row>
    <row r="721" spans="4:52" s="2" customFormat="1" ht="17.100000000000001" customHeight="1" x14ac:dyDescent="0.25">
      <c r="D721" s="3"/>
      <c r="E721" s="3"/>
      <c r="F721" s="4"/>
      <c r="G721" s="4"/>
      <c r="H721" s="138"/>
      <c r="I721" s="97"/>
      <c r="J721" s="6"/>
      <c r="K721" s="6"/>
      <c r="L721" s="6"/>
      <c r="M721" s="6"/>
      <c r="N721" s="6"/>
      <c r="O721" s="6"/>
      <c r="P721" s="6"/>
      <c r="Q721" s="6"/>
      <c r="R721" s="6"/>
      <c r="S721" s="6"/>
      <c r="T721" s="6"/>
      <c r="U721" s="6"/>
      <c r="V721" s="339"/>
      <c r="W721" s="339"/>
      <c r="X721" s="6"/>
      <c r="Y721" s="206"/>
      <c r="AE721" s="6"/>
      <c r="AF721" s="6"/>
      <c r="AG721" s="6"/>
      <c r="AH721" s="206"/>
      <c r="AJ721" s="213"/>
      <c r="AK721" s="6"/>
      <c r="AL721" s="6"/>
      <c r="AM721" s="6"/>
      <c r="AN721" s="206"/>
      <c r="AP721" s="213"/>
      <c r="AQ721" s="6"/>
      <c r="AR721" s="6"/>
      <c r="AS721" s="6"/>
      <c r="AT721" s="206"/>
      <c r="AV721" s="213"/>
      <c r="AW721" s="6"/>
      <c r="AX721" s="6"/>
      <c r="AY721" s="6"/>
      <c r="AZ721" s="206"/>
    </row>
    <row r="722" spans="4:52" s="2" customFormat="1" ht="17.100000000000001" customHeight="1" x14ac:dyDescent="0.25">
      <c r="D722" s="3"/>
      <c r="E722" s="3"/>
      <c r="F722" s="4"/>
      <c r="G722" s="4"/>
      <c r="H722" s="138"/>
      <c r="I722" s="97"/>
      <c r="J722" s="6"/>
      <c r="K722" s="6"/>
      <c r="L722" s="6"/>
      <c r="M722" s="6"/>
      <c r="N722" s="6"/>
      <c r="O722" s="6"/>
      <c r="P722" s="6"/>
      <c r="Q722" s="6"/>
      <c r="R722" s="6"/>
      <c r="S722" s="6"/>
      <c r="T722" s="6"/>
      <c r="U722" s="6"/>
      <c r="V722" s="339"/>
      <c r="W722" s="339"/>
      <c r="X722" s="6"/>
      <c r="Y722" s="206"/>
      <c r="AE722" s="6"/>
      <c r="AF722" s="6"/>
      <c r="AG722" s="6"/>
      <c r="AH722" s="206"/>
      <c r="AJ722" s="213"/>
      <c r="AK722" s="6"/>
      <c r="AL722" s="6"/>
      <c r="AM722" s="6"/>
      <c r="AN722" s="206"/>
      <c r="AP722" s="213"/>
      <c r="AQ722" s="6"/>
      <c r="AR722" s="6"/>
      <c r="AS722" s="6"/>
      <c r="AT722" s="206"/>
      <c r="AV722" s="213"/>
      <c r="AW722" s="6"/>
      <c r="AX722" s="6"/>
      <c r="AY722" s="6"/>
      <c r="AZ722" s="206"/>
    </row>
    <row r="723" spans="4:52" s="2" customFormat="1" ht="17.100000000000001" customHeight="1" x14ac:dyDescent="0.25">
      <c r="D723" s="3"/>
      <c r="E723" s="3"/>
      <c r="F723" s="4"/>
      <c r="G723" s="4"/>
      <c r="H723" s="138"/>
      <c r="I723" s="97"/>
      <c r="J723" s="6"/>
      <c r="K723" s="6"/>
      <c r="L723" s="6"/>
      <c r="M723" s="6"/>
      <c r="N723" s="6"/>
      <c r="O723" s="6"/>
      <c r="P723" s="6"/>
      <c r="Q723" s="6"/>
      <c r="R723" s="6"/>
      <c r="S723" s="6"/>
      <c r="T723" s="6"/>
      <c r="U723" s="6"/>
      <c r="V723" s="339"/>
      <c r="W723" s="339"/>
      <c r="X723" s="6"/>
      <c r="Y723" s="206"/>
      <c r="AE723" s="6"/>
      <c r="AF723" s="6"/>
      <c r="AG723" s="6"/>
      <c r="AH723" s="206"/>
      <c r="AJ723" s="213"/>
      <c r="AK723" s="6"/>
      <c r="AL723" s="6"/>
      <c r="AM723" s="6"/>
      <c r="AN723" s="206"/>
      <c r="AP723" s="213"/>
      <c r="AQ723" s="6"/>
      <c r="AR723" s="6"/>
      <c r="AS723" s="6"/>
      <c r="AT723" s="206"/>
      <c r="AV723" s="213"/>
      <c r="AW723" s="6"/>
      <c r="AX723" s="6"/>
      <c r="AY723" s="6"/>
      <c r="AZ723" s="206"/>
    </row>
    <row r="724" spans="4:52" s="2" customFormat="1" ht="17.100000000000001" customHeight="1" x14ac:dyDescent="0.25">
      <c r="D724" s="3"/>
      <c r="E724" s="3"/>
      <c r="F724" s="4"/>
      <c r="G724" s="4"/>
      <c r="H724" s="138"/>
      <c r="I724" s="97"/>
      <c r="J724" s="6"/>
      <c r="K724" s="6"/>
      <c r="L724" s="6"/>
      <c r="M724" s="6"/>
      <c r="N724" s="6"/>
      <c r="O724" s="6"/>
      <c r="P724" s="6"/>
      <c r="Q724" s="6"/>
      <c r="R724" s="6"/>
      <c r="S724" s="6"/>
      <c r="T724" s="6"/>
      <c r="U724" s="6"/>
      <c r="V724" s="339"/>
      <c r="W724" s="339"/>
      <c r="X724" s="6"/>
      <c r="Y724" s="206"/>
      <c r="AE724" s="6"/>
      <c r="AF724" s="6"/>
      <c r="AG724" s="6"/>
      <c r="AH724" s="206"/>
      <c r="AJ724" s="213"/>
      <c r="AK724" s="6"/>
      <c r="AL724" s="6"/>
      <c r="AM724" s="6"/>
      <c r="AN724" s="206"/>
      <c r="AP724" s="213"/>
      <c r="AQ724" s="6"/>
      <c r="AR724" s="6"/>
      <c r="AS724" s="6"/>
      <c r="AT724" s="206"/>
      <c r="AV724" s="213"/>
      <c r="AW724" s="6"/>
      <c r="AX724" s="6"/>
      <c r="AY724" s="6"/>
      <c r="AZ724" s="206"/>
    </row>
    <row r="725" spans="4:52" s="2" customFormat="1" ht="17.100000000000001" customHeight="1" x14ac:dyDescent="0.25">
      <c r="D725" s="3"/>
      <c r="E725" s="3"/>
      <c r="F725" s="4"/>
      <c r="G725" s="4"/>
      <c r="H725" s="138"/>
      <c r="I725" s="97"/>
      <c r="J725" s="6"/>
      <c r="K725" s="6"/>
      <c r="L725" s="6"/>
      <c r="M725" s="6"/>
      <c r="N725" s="6"/>
      <c r="O725" s="6"/>
      <c r="P725" s="6"/>
      <c r="Q725" s="6"/>
      <c r="R725" s="6"/>
      <c r="S725" s="6"/>
      <c r="T725" s="6"/>
      <c r="U725" s="6"/>
      <c r="V725" s="339"/>
      <c r="W725" s="339"/>
      <c r="X725" s="6"/>
      <c r="Y725" s="206"/>
      <c r="AE725" s="6"/>
      <c r="AF725" s="6"/>
      <c r="AG725" s="6"/>
      <c r="AH725" s="206"/>
      <c r="AJ725" s="213"/>
      <c r="AK725" s="6"/>
      <c r="AL725" s="6"/>
      <c r="AM725" s="6"/>
      <c r="AN725" s="206"/>
      <c r="AP725" s="213"/>
      <c r="AQ725" s="6"/>
      <c r="AR725" s="6"/>
      <c r="AS725" s="6"/>
      <c r="AT725" s="206"/>
      <c r="AV725" s="213"/>
      <c r="AW725" s="6"/>
      <c r="AX725" s="6"/>
      <c r="AY725" s="6"/>
      <c r="AZ725" s="206"/>
    </row>
    <row r="726" spans="4:52" s="2" customFormat="1" ht="17.100000000000001" customHeight="1" x14ac:dyDescent="0.25">
      <c r="D726" s="3"/>
      <c r="E726" s="3"/>
      <c r="F726" s="4"/>
      <c r="G726" s="4"/>
      <c r="H726" s="138"/>
      <c r="I726" s="97"/>
      <c r="J726" s="6"/>
      <c r="K726" s="6"/>
      <c r="L726" s="6"/>
      <c r="M726" s="6"/>
      <c r="N726" s="6"/>
      <c r="O726" s="6"/>
      <c r="P726" s="6"/>
      <c r="Q726" s="6"/>
      <c r="R726" s="6"/>
      <c r="S726" s="6"/>
      <c r="T726" s="6"/>
      <c r="U726" s="6"/>
      <c r="V726" s="339"/>
      <c r="W726" s="339"/>
      <c r="X726" s="6"/>
      <c r="Y726" s="206"/>
      <c r="AE726" s="6"/>
      <c r="AF726" s="6"/>
      <c r="AG726" s="6"/>
      <c r="AH726" s="206"/>
      <c r="AJ726" s="213"/>
      <c r="AK726" s="6"/>
      <c r="AL726" s="6"/>
      <c r="AM726" s="6"/>
      <c r="AN726" s="206"/>
      <c r="AP726" s="213"/>
      <c r="AQ726" s="6"/>
      <c r="AR726" s="6"/>
      <c r="AS726" s="6"/>
      <c r="AT726" s="206"/>
      <c r="AV726" s="213"/>
      <c r="AW726" s="6"/>
      <c r="AX726" s="6"/>
      <c r="AY726" s="6"/>
      <c r="AZ726" s="206"/>
    </row>
    <row r="727" spans="4:52" s="2" customFormat="1" ht="17.100000000000001" customHeight="1" x14ac:dyDescent="0.25">
      <c r="D727" s="3"/>
      <c r="E727" s="3"/>
      <c r="F727" s="4"/>
      <c r="G727" s="4"/>
      <c r="H727" s="138"/>
      <c r="I727" s="97"/>
      <c r="J727" s="6"/>
      <c r="K727" s="6"/>
      <c r="L727" s="6"/>
      <c r="M727" s="6"/>
      <c r="N727" s="6"/>
      <c r="O727" s="6"/>
      <c r="P727" s="6"/>
      <c r="Q727" s="6"/>
      <c r="R727" s="6"/>
      <c r="S727" s="6"/>
      <c r="T727" s="6"/>
      <c r="U727" s="6"/>
      <c r="V727" s="339"/>
      <c r="W727" s="339"/>
      <c r="X727" s="6"/>
      <c r="Y727" s="206"/>
      <c r="AE727" s="6"/>
      <c r="AF727" s="6"/>
      <c r="AG727" s="6"/>
      <c r="AH727" s="206"/>
      <c r="AJ727" s="213"/>
      <c r="AK727" s="6"/>
      <c r="AL727" s="6"/>
      <c r="AM727" s="6"/>
      <c r="AN727" s="206"/>
      <c r="AP727" s="213"/>
      <c r="AQ727" s="6"/>
      <c r="AR727" s="6"/>
      <c r="AS727" s="6"/>
      <c r="AT727" s="206"/>
      <c r="AV727" s="213"/>
      <c r="AW727" s="6"/>
      <c r="AX727" s="6"/>
      <c r="AY727" s="6"/>
      <c r="AZ727" s="206"/>
    </row>
    <row r="728" spans="4:52" s="2" customFormat="1" ht="17.100000000000001" customHeight="1" x14ac:dyDescent="0.25">
      <c r="D728" s="3"/>
      <c r="E728" s="3"/>
      <c r="F728" s="4"/>
      <c r="G728" s="4"/>
      <c r="H728" s="138"/>
      <c r="I728" s="97"/>
      <c r="J728" s="6"/>
      <c r="K728" s="6"/>
      <c r="L728" s="6"/>
      <c r="M728" s="6"/>
      <c r="N728" s="6"/>
      <c r="O728" s="6"/>
      <c r="P728" s="6"/>
      <c r="Q728" s="6"/>
      <c r="R728" s="6"/>
      <c r="S728" s="6"/>
      <c r="T728" s="6"/>
      <c r="U728" s="6"/>
      <c r="V728" s="339"/>
      <c r="W728" s="339"/>
      <c r="X728" s="6"/>
      <c r="Y728" s="206"/>
      <c r="AE728" s="6"/>
      <c r="AF728" s="6"/>
      <c r="AG728" s="6"/>
      <c r="AH728" s="206"/>
      <c r="AJ728" s="213"/>
      <c r="AK728" s="6"/>
      <c r="AL728" s="6"/>
      <c r="AM728" s="6"/>
      <c r="AN728" s="206"/>
      <c r="AP728" s="213"/>
      <c r="AQ728" s="6"/>
      <c r="AR728" s="6"/>
      <c r="AS728" s="6"/>
      <c r="AT728" s="206"/>
      <c r="AV728" s="213"/>
      <c r="AW728" s="6"/>
      <c r="AX728" s="6"/>
      <c r="AY728" s="6"/>
      <c r="AZ728" s="206"/>
    </row>
    <row r="729" spans="4:52" s="2" customFormat="1" ht="17.100000000000001" customHeight="1" x14ac:dyDescent="0.25">
      <c r="D729" s="3"/>
      <c r="E729" s="3"/>
      <c r="F729" s="4"/>
      <c r="G729" s="4"/>
      <c r="H729" s="138"/>
      <c r="I729" s="97"/>
      <c r="J729" s="6"/>
      <c r="K729" s="6"/>
      <c r="L729" s="6"/>
      <c r="M729" s="6"/>
      <c r="N729" s="6"/>
      <c r="O729" s="6"/>
      <c r="P729" s="6"/>
      <c r="Q729" s="6"/>
      <c r="R729" s="6"/>
      <c r="S729" s="6"/>
      <c r="T729" s="6"/>
      <c r="U729" s="6"/>
      <c r="V729" s="339"/>
      <c r="W729" s="339"/>
      <c r="X729" s="6"/>
      <c r="Y729" s="206"/>
      <c r="AE729" s="6"/>
      <c r="AF729" s="6"/>
      <c r="AG729" s="6"/>
      <c r="AH729" s="206"/>
      <c r="AJ729" s="213"/>
      <c r="AK729" s="6"/>
      <c r="AL729" s="6"/>
      <c r="AM729" s="6"/>
      <c r="AN729" s="206"/>
      <c r="AP729" s="213"/>
      <c r="AQ729" s="6"/>
      <c r="AR729" s="6"/>
      <c r="AS729" s="6"/>
      <c r="AT729" s="206"/>
      <c r="AV729" s="213"/>
      <c r="AW729" s="6"/>
      <c r="AX729" s="6"/>
      <c r="AY729" s="6"/>
      <c r="AZ729" s="206"/>
    </row>
    <row r="730" spans="4:52" s="2" customFormat="1" ht="17.100000000000001" customHeight="1" x14ac:dyDescent="0.25">
      <c r="D730" s="3"/>
      <c r="E730" s="3"/>
      <c r="F730" s="4"/>
      <c r="G730" s="4"/>
      <c r="H730" s="138"/>
      <c r="I730" s="97"/>
      <c r="J730" s="6"/>
      <c r="K730" s="6"/>
      <c r="L730" s="6"/>
      <c r="M730" s="6"/>
      <c r="N730" s="6"/>
      <c r="O730" s="6"/>
      <c r="P730" s="6"/>
      <c r="Q730" s="6"/>
      <c r="R730" s="6"/>
      <c r="S730" s="6"/>
      <c r="T730" s="6"/>
      <c r="U730" s="6"/>
      <c r="V730" s="339"/>
      <c r="W730" s="339"/>
      <c r="X730" s="6"/>
      <c r="Y730" s="206"/>
      <c r="AE730" s="6"/>
      <c r="AF730" s="6"/>
      <c r="AG730" s="6"/>
      <c r="AH730" s="206"/>
      <c r="AJ730" s="213"/>
      <c r="AK730" s="6"/>
      <c r="AL730" s="6"/>
      <c r="AM730" s="6"/>
      <c r="AN730" s="206"/>
      <c r="AP730" s="213"/>
      <c r="AQ730" s="6"/>
      <c r="AR730" s="6"/>
      <c r="AS730" s="6"/>
      <c r="AT730" s="206"/>
      <c r="AV730" s="213"/>
      <c r="AW730" s="6"/>
      <c r="AX730" s="6"/>
      <c r="AY730" s="6"/>
      <c r="AZ730" s="206"/>
    </row>
    <row r="731" spans="4:52" s="2" customFormat="1" ht="17.100000000000001" customHeight="1" x14ac:dyDescent="0.25">
      <c r="D731" s="3"/>
      <c r="E731" s="3"/>
      <c r="F731" s="4"/>
      <c r="G731" s="4"/>
      <c r="H731" s="138"/>
      <c r="I731" s="97"/>
      <c r="J731" s="6"/>
      <c r="K731" s="6"/>
      <c r="L731" s="6"/>
      <c r="M731" s="6"/>
      <c r="N731" s="6"/>
      <c r="O731" s="6"/>
      <c r="P731" s="6"/>
      <c r="Q731" s="6"/>
      <c r="R731" s="6"/>
      <c r="S731" s="6"/>
      <c r="T731" s="6"/>
      <c r="U731" s="6"/>
      <c r="V731" s="339"/>
      <c r="W731" s="339"/>
      <c r="X731" s="6"/>
      <c r="Y731" s="206"/>
      <c r="AE731" s="6"/>
      <c r="AF731" s="6"/>
      <c r="AG731" s="6"/>
      <c r="AH731" s="206"/>
      <c r="AJ731" s="213"/>
      <c r="AK731" s="6"/>
      <c r="AL731" s="6"/>
      <c r="AM731" s="6"/>
      <c r="AN731" s="206"/>
      <c r="AP731" s="213"/>
      <c r="AQ731" s="6"/>
      <c r="AR731" s="6"/>
      <c r="AS731" s="6"/>
      <c r="AT731" s="206"/>
      <c r="AV731" s="213"/>
      <c r="AW731" s="6"/>
      <c r="AX731" s="6"/>
      <c r="AY731" s="6"/>
      <c r="AZ731" s="206"/>
    </row>
    <row r="732" spans="4:52" s="2" customFormat="1" ht="17.100000000000001" customHeight="1" x14ac:dyDescent="0.25">
      <c r="D732" s="3"/>
      <c r="E732" s="3"/>
      <c r="F732" s="4"/>
      <c r="G732" s="4"/>
      <c r="H732" s="138"/>
      <c r="I732" s="97"/>
      <c r="J732" s="6"/>
      <c r="K732" s="6"/>
      <c r="L732" s="6"/>
      <c r="M732" s="6"/>
      <c r="N732" s="6"/>
      <c r="O732" s="6"/>
      <c r="P732" s="6"/>
      <c r="Q732" s="6"/>
      <c r="R732" s="6"/>
      <c r="S732" s="6"/>
      <c r="T732" s="6"/>
      <c r="U732" s="6"/>
      <c r="V732" s="339"/>
      <c r="W732" s="339"/>
      <c r="X732" s="6"/>
      <c r="Y732" s="206"/>
      <c r="AE732" s="6"/>
      <c r="AF732" s="6"/>
      <c r="AG732" s="6"/>
      <c r="AH732" s="206"/>
      <c r="AJ732" s="213"/>
      <c r="AK732" s="6"/>
      <c r="AL732" s="6"/>
      <c r="AM732" s="6"/>
      <c r="AN732" s="206"/>
      <c r="AP732" s="213"/>
      <c r="AQ732" s="6"/>
      <c r="AR732" s="6"/>
      <c r="AS732" s="6"/>
      <c r="AT732" s="206"/>
      <c r="AV732" s="213"/>
      <c r="AW732" s="6"/>
      <c r="AX732" s="6"/>
      <c r="AY732" s="6"/>
      <c r="AZ732" s="206"/>
    </row>
    <row r="733" spans="4:52" s="2" customFormat="1" ht="17.100000000000001" customHeight="1" x14ac:dyDescent="0.25">
      <c r="D733" s="3"/>
      <c r="E733" s="3"/>
      <c r="F733" s="4"/>
      <c r="G733" s="4"/>
      <c r="H733" s="138"/>
      <c r="I733" s="97"/>
      <c r="J733" s="6"/>
      <c r="K733" s="6"/>
      <c r="L733" s="6"/>
      <c r="M733" s="6"/>
      <c r="N733" s="6"/>
      <c r="O733" s="6"/>
      <c r="P733" s="6"/>
      <c r="Q733" s="6"/>
      <c r="R733" s="6"/>
      <c r="S733" s="6"/>
      <c r="T733" s="6"/>
      <c r="U733" s="6"/>
      <c r="V733" s="339"/>
      <c r="W733" s="339"/>
      <c r="X733" s="6"/>
      <c r="Y733" s="206"/>
      <c r="AE733" s="6"/>
      <c r="AF733" s="6"/>
      <c r="AG733" s="6"/>
      <c r="AH733" s="206"/>
      <c r="AJ733" s="213"/>
      <c r="AK733" s="6"/>
      <c r="AL733" s="6"/>
      <c r="AM733" s="6"/>
      <c r="AN733" s="206"/>
      <c r="AP733" s="213"/>
      <c r="AQ733" s="6"/>
      <c r="AR733" s="6"/>
      <c r="AS733" s="6"/>
      <c r="AT733" s="206"/>
      <c r="AV733" s="213"/>
      <c r="AW733" s="6"/>
      <c r="AX733" s="6"/>
      <c r="AY733" s="6"/>
      <c r="AZ733" s="206"/>
    </row>
    <row r="734" spans="4:52" s="2" customFormat="1" ht="17.100000000000001" customHeight="1" x14ac:dyDescent="0.25">
      <c r="D734" s="3"/>
      <c r="E734" s="3"/>
      <c r="F734" s="4"/>
      <c r="G734" s="4"/>
      <c r="H734" s="138"/>
      <c r="I734" s="97"/>
      <c r="J734" s="6"/>
      <c r="K734" s="6"/>
      <c r="L734" s="6"/>
      <c r="M734" s="6"/>
      <c r="N734" s="6"/>
      <c r="O734" s="6"/>
      <c r="P734" s="6"/>
      <c r="Q734" s="6"/>
      <c r="R734" s="6"/>
      <c r="S734" s="6"/>
      <c r="T734" s="6"/>
      <c r="U734" s="6"/>
      <c r="V734" s="339"/>
      <c r="W734" s="339"/>
      <c r="X734" s="6"/>
      <c r="Y734" s="206"/>
      <c r="AE734" s="6"/>
      <c r="AF734" s="6"/>
      <c r="AG734" s="6"/>
      <c r="AH734" s="206"/>
      <c r="AJ734" s="213"/>
      <c r="AK734" s="6"/>
      <c r="AL734" s="6"/>
      <c r="AM734" s="6"/>
      <c r="AN734" s="206"/>
      <c r="AP734" s="213"/>
      <c r="AQ734" s="6"/>
      <c r="AR734" s="6"/>
      <c r="AS734" s="6"/>
      <c r="AT734" s="206"/>
      <c r="AV734" s="213"/>
      <c r="AW734" s="6"/>
      <c r="AX734" s="6"/>
      <c r="AY734" s="6"/>
      <c r="AZ734" s="206"/>
    </row>
    <row r="735" spans="4:52" s="2" customFormat="1" ht="17.100000000000001" customHeight="1" x14ac:dyDescent="0.25">
      <c r="D735" s="3"/>
      <c r="E735" s="3"/>
      <c r="F735" s="4"/>
      <c r="G735" s="4"/>
      <c r="H735" s="138"/>
      <c r="I735" s="97"/>
      <c r="J735" s="6"/>
      <c r="K735" s="6"/>
      <c r="L735" s="6"/>
      <c r="M735" s="6"/>
      <c r="N735" s="6"/>
      <c r="O735" s="6"/>
      <c r="P735" s="6"/>
      <c r="Q735" s="6"/>
      <c r="R735" s="6"/>
      <c r="S735" s="6"/>
      <c r="T735" s="6"/>
      <c r="U735" s="6"/>
      <c r="V735" s="339"/>
      <c r="W735" s="339"/>
      <c r="X735" s="6"/>
      <c r="Y735" s="206"/>
      <c r="AE735" s="6"/>
      <c r="AF735" s="6"/>
      <c r="AG735" s="6"/>
      <c r="AH735" s="206"/>
      <c r="AJ735" s="213"/>
      <c r="AK735" s="6"/>
      <c r="AL735" s="6"/>
      <c r="AM735" s="6"/>
      <c r="AN735" s="206"/>
      <c r="AP735" s="213"/>
      <c r="AQ735" s="6"/>
      <c r="AR735" s="6"/>
      <c r="AS735" s="6"/>
      <c r="AT735" s="206"/>
      <c r="AV735" s="213"/>
      <c r="AW735" s="6"/>
      <c r="AX735" s="6"/>
      <c r="AY735" s="6"/>
      <c r="AZ735" s="206"/>
    </row>
    <row r="736" spans="4:52" s="2" customFormat="1" ht="17.100000000000001" customHeight="1" x14ac:dyDescent="0.25">
      <c r="D736" s="3"/>
      <c r="E736" s="3"/>
      <c r="F736" s="4"/>
      <c r="G736" s="4"/>
      <c r="H736" s="138"/>
      <c r="I736" s="97"/>
      <c r="J736" s="6"/>
      <c r="K736" s="6"/>
      <c r="L736" s="6"/>
      <c r="M736" s="6"/>
      <c r="N736" s="6"/>
      <c r="O736" s="6"/>
      <c r="P736" s="6"/>
      <c r="Q736" s="6"/>
      <c r="R736" s="6"/>
      <c r="S736" s="6"/>
      <c r="T736" s="6"/>
      <c r="U736" s="6"/>
      <c r="V736" s="339"/>
      <c r="W736" s="339"/>
      <c r="X736" s="6"/>
      <c r="Y736" s="206"/>
      <c r="AE736" s="6"/>
      <c r="AF736" s="6"/>
      <c r="AG736" s="6"/>
      <c r="AH736" s="206"/>
      <c r="AJ736" s="213"/>
      <c r="AK736" s="6"/>
      <c r="AL736" s="6"/>
      <c r="AM736" s="6"/>
      <c r="AN736" s="206"/>
      <c r="AP736" s="213"/>
      <c r="AQ736" s="6"/>
      <c r="AR736" s="6"/>
      <c r="AS736" s="6"/>
      <c r="AT736" s="206"/>
      <c r="AV736" s="213"/>
      <c r="AW736" s="6"/>
      <c r="AX736" s="6"/>
      <c r="AY736" s="6"/>
      <c r="AZ736" s="206"/>
    </row>
    <row r="737" spans="4:52" s="2" customFormat="1" ht="17.100000000000001" customHeight="1" x14ac:dyDescent="0.25">
      <c r="D737" s="3"/>
      <c r="E737" s="3"/>
      <c r="F737" s="4"/>
      <c r="G737" s="4"/>
      <c r="H737" s="138"/>
      <c r="I737" s="97"/>
      <c r="J737" s="6"/>
      <c r="K737" s="6"/>
      <c r="L737" s="6"/>
      <c r="M737" s="6"/>
      <c r="N737" s="6"/>
      <c r="O737" s="6"/>
      <c r="P737" s="6"/>
      <c r="Q737" s="6"/>
      <c r="R737" s="6"/>
      <c r="S737" s="6"/>
      <c r="T737" s="6"/>
      <c r="U737" s="6"/>
      <c r="V737" s="339"/>
      <c r="W737" s="339"/>
      <c r="X737" s="6"/>
      <c r="Y737" s="206"/>
      <c r="AE737" s="6"/>
      <c r="AF737" s="6"/>
      <c r="AG737" s="6"/>
      <c r="AH737" s="206"/>
      <c r="AJ737" s="213"/>
      <c r="AK737" s="6"/>
      <c r="AL737" s="6"/>
      <c r="AM737" s="6"/>
      <c r="AN737" s="206"/>
      <c r="AP737" s="213"/>
      <c r="AQ737" s="6"/>
      <c r="AR737" s="6"/>
      <c r="AS737" s="6"/>
      <c r="AT737" s="206"/>
      <c r="AV737" s="213"/>
      <c r="AW737" s="6"/>
      <c r="AX737" s="6"/>
      <c r="AY737" s="6"/>
      <c r="AZ737" s="206"/>
    </row>
    <row r="738" spans="4:52" s="2" customFormat="1" ht="17.100000000000001" customHeight="1" x14ac:dyDescent="0.25">
      <c r="D738" s="3"/>
      <c r="E738" s="3"/>
      <c r="F738" s="4"/>
      <c r="G738" s="4"/>
      <c r="H738" s="138"/>
      <c r="I738" s="97"/>
      <c r="J738" s="6"/>
      <c r="K738" s="6"/>
      <c r="L738" s="6"/>
      <c r="M738" s="6"/>
      <c r="N738" s="6"/>
      <c r="O738" s="6"/>
      <c r="P738" s="6"/>
      <c r="Q738" s="6"/>
      <c r="R738" s="6"/>
      <c r="S738" s="6"/>
      <c r="T738" s="6"/>
      <c r="U738" s="6"/>
      <c r="V738" s="339"/>
      <c r="W738" s="339"/>
      <c r="X738" s="6"/>
      <c r="Y738" s="206"/>
      <c r="AE738" s="6"/>
      <c r="AF738" s="6"/>
      <c r="AG738" s="6"/>
      <c r="AH738" s="206"/>
      <c r="AJ738" s="213"/>
      <c r="AK738" s="6"/>
      <c r="AL738" s="6"/>
      <c r="AM738" s="6"/>
      <c r="AN738" s="206"/>
      <c r="AP738" s="213"/>
      <c r="AQ738" s="6"/>
      <c r="AR738" s="6"/>
      <c r="AS738" s="6"/>
      <c r="AT738" s="206"/>
      <c r="AV738" s="213"/>
      <c r="AW738" s="6"/>
      <c r="AX738" s="6"/>
      <c r="AY738" s="6"/>
      <c r="AZ738" s="206"/>
    </row>
    <row r="739" spans="4:52" s="2" customFormat="1" ht="17.100000000000001" customHeight="1" x14ac:dyDescent="0.25">
      <c r="D739" s="3"/>
      <c r="E739" s="3"/>
      <c r="F739" s="4"/>
      <c r="G739" s="4"/>
      <c r="H739" s="138"/>
      <c r="I739" s="97"/>
      <c r="J739" s="6"/>
      <c r="K739" s="6"/>
      <c r="L739" s="6"/>
      <c r="M739" s="6"/>
      <c r="N739" s="6"/>
      <c r="O739" s="6"/>
      <c r="P739" s="6"/>
      <c r="Q739" s="6"/>
      <c r="R739" s="6"/>
      <c r="S739" s="6"/>
      <c r="T739" s="6"/>
      <c r="U739" s="6"/>
      <c r="V739" s="339"/>
      <c r="W739" s="339"/>
      <c r="X739" s="6"/>
      <c r="Y739" s="206"/>
      <c r="AE739" s="6"/>
      <c r="AF739" s="6"/>
      <c r="AG739" s="6"/>
      <c r="AH739" s="206"/>
      <c r="AJ739" s="213"/>
      <c r="AK739" s="6"/>
      <c r="AL739" s="6"/>
      <c r="AM739" s="6"/>
      <c r="AN739" s="206"/>
      <c r="AP739" s="213"/>
      <c r="AQ739" s="6"/>
      <c r="AR739" s="6"/>
      <c r="AS739" s="6"/>
      <c r="AT739" s="206"/>
      <c r="AV739" s="213"/>
      <c r="AW739" s="6"/>
      <c r="AX739" s="6"/>
      <c r="AY739" s="6"/>
      <c r="AZ739" s="206"/>
    </row>
    <row r="740" spans="4:52" s="2" customFormat="1" ht="17.100000000000001" customHeight="1" x14ac:dyDescent="0.25">
      <c r="D740" s="3"/>
      <c r="E740" s="3"/>
      <c r="F740" s="4"/>
      <c r="G740" s="4"/>
      <c r="H740" s="138"/>
      <c r="I740" s="97"/>
      <c r="J740" s="6"/>
      <c r="K740" s="6"/>
      <c r="L740" s="6"/>
      <c r="M740" s="6"/>
      <c r="N740" s="6"/>
      <c r="O740" s="6"/>
      <c r="P740" s="6"/>
      <c r="Q740" s="6"/>
      <c r="R740" s="6"/>
      <c r="S740" s="6"/>
      <c r="T740" s="6"/>
      <c r="U740" s="6"/>
      <c r="V740" s="339"/>
      <c r="W740" s="339"/>
      <c r="X740" s="6"/>
      <c r="Y740" s="206"/>
      <c r="AE740" s="6"/>
      <c r="AF740" s="6"/>
      <c r="AG740" s="6"/>
      <c r="AH740" s="206"/>
      <c r="AJ740" s="213"/>
      <c r="AK740" s="6"/>
      <c r="AL740" s="6"/>
      <c r="AM740" s="6"/>
      <c r="AN740" s="206"/>
      <c r="AP740" s="213"/>
      <c r="AQ740" s="6"/>
      <c r="AR740" s="6"/>
      <c r="AS740" s="6"/>
      <c r="AT740" s="206"/>
      <c r="AV740" s="213"/>
      <c r="AW740" s="6"/>
      <c r="AX740" s="6"/>
      <c r="AY740" s="6"/>
      <c r="AZ740" s="206"/>
    </row>
    <row r="741" spans="4:52" s="2" customFormat="1" ht="17.100000000000001" customHeight="1" x14ac:dyDescent="0.25">
      <c r="D741" s="3"/>
      <c r="E741" s="3"/>
      <c r="F741" s="4"/>
      <c r="G741" s="4"/>
      <c r="H741" s="138"/>
      <c r="I741" s="97"/>
      <c r="J741" s="6"/>
      <c r="K741" s="6"/>
      <c r="L741" s="6"/>
      <c r="M741" s="6"/>
      <c r="N741" s="6"/>
      <c r="O741" s="6"/>
      <c r="P741" s="6"/>
      <c r="Q741" s="6"/>
      <c r="R741" s="6"/>
      <c r="S741" s="6"/>
      <c r="T741" s="6"/>
      <c r="U741" s="6"/>
      <c r="V741" s="339"/>
      <c r="W741" s="339"/>
      <c r="X741" s="6"/>
      <c r="Y741" s="206"/>
      <c r="AE741" s="6"/>
      <c r="AF741" s="6"/>
      <c r="AG741" s="6"/>
      <c r="AH741" s="206"/>
      <c r="AJ741" s="213"/>
      <c r="AK741" s="6"/>
      <c r="AL741" s="6"/>
      <c r="AM741" s="6"/>
      <c r="AN741" s="206"/>
      <c r="AP741" s="213"/>
      <c r="AQ741" s="6"/>
      <c r="AR741" s="6"/>
      <c r="AS741" s="6"/>
      <c r="AT741" s="206"/>
      <c r="AV741" s="213"/>
      <c r="AW741" s="6"/>
      <c r="AX741" s="6"/>
      <c r="AY741" s="6"/>
      <c r="AZ741" s="206"/>
    </row>
    <row r="742" spans="4:52" s="2" customFormat="1" ht="17.100000000000001" customHeight="1" x14ac:dyDescent="0.25">
      <c r="D742" s="3"/>
      <c r="E742" s="3"/>
      <c r="F742" s="4"/>
      <c r="G742" s="4"/>
      <c r="H742" s="138"/>
      <c r="I742" s="97"/>
      <c r="J742" s="6"/>
      <c r="K742" s="6"/>
      <c r="L742" s="6"/>
      <c r="M742" s="6"/>
      <c r="N742" s="6"/>
      <c r="O742" s="6"/>
      <c r="P742" s="6"/>
      <c r="Q742" s="6"/>
      <c r="R742" s="6"/>
      <c r="S742" s="6"/>
      <c r="T742" s="6"/>
      <c r="U742" s="6"/>
      <c r="V742" s="339"/>
      <c r="W742" s="339"/>
      <c r="X742" s="6"/>
      <c r="Y742" s="206"/>
      <c r="AE742" s="6"/>
      <c r="AF742" s="6"/>
      <c r="AG742" s="6"/>
      <c r="AH742" s="206"/>
      <c r="AJ742" s="213"/>
      <c r="AK742" s="6"/>
      <c r="AL742" s="6"/>
      <c r="AM742" s="6"/>
      <c r="AN742" s="206"/>
      <c r="AP742" s="213"/>
      <c r="AQ742" s="6"/>
      <c r="AR742" s="6"/>
      <c r="AS742" s="6"/>
      <c r="AT742" s="206"/>
      <c r="AV742" s="213"/>
      <c r="AW742" s="6"/>
      <c r="AX742" s="6"/>
      <c r="AY742" s="6"/>
      <c r="AZ742" s="206"/>
    </row>
    <row r="743" spans="4:52" s="2" customFormat="1" ht="17.100000000000001" customHeight="1" x14ac:dyDescent="0.25">
      <c r="D743" s="3"/>
      <c r="E743" s="3"/>
      <c r="F743" s="4"/>
      <c r="G743" s="4"/>
      <c r="H743" s="138"/>
      <c r="I743" s="97"/>
      <c r="J743" s="6"/>
      <c r="K743" s="6"/>
      <c r="L743" s="6"/>
      <c r="M743" s="6"/>
      <c r="N743" s="6"/>
      <c r="O743" s="6"/>
      <c r="P743" s="6"/>
      <c r="Q743" s="6"/>
      <c r="R743" s="6"/>
      <c r="S743" s="6"/>
      <c r="T743" s="6"/>
      <c r="U743" s="6"/>
      <c r="V743" s="339"/>
      <c r="W743" s="339"/>
      <c r="X743" s="6"/>
      <c r="Y743" s="206"/>
      <c r="AE743" s="6"/>
      <c r="AF743" s="6"/>
      <c r="AG743" s="6"/>
      <c r="AH743" s="206"/>
      <c r="AJ743" s="213"/>
      <c r="AK743" s="6"/>
      <c r="AL743" s="6"/>
      <c r="AM743" s="6"/>
      <c r="AN743" s="206"/>
      <c r="AP743" s="213"/>
      <c r="AQ743" s="6"/>
      <c r="AR743" s="6"/>
      <c r="AS743" s="6"/>
      <c r="AT743" s="206"/>
      <c r="AV743" s="213"/>
      <c r="AW743" s="6"/>
      <c r="AX743" s="6"/>
      <c r="AY743" s="6"/>
      <c r="AZ743" s="206"/>
    </row>
    <row r="744" spans="4:52" s="2" customFormat="1" ht="17.100000000000001" customHeight="1" x14ac:dyDescent="0.25">
      <c r="D744" s="3"/>
      <c r="E744" s="3"/>
      <c r="F744" s="4"/>
      <c r="G744" s="4"/>
      <c r="H744" s="138"/>
      <c r="I744" s="97"/>
      <c r="J744" s="6"/>
      <c r="K744" s="6"/>
      <c r="L744" s="6"/>
      <c r="M744" s="6"/>
      <c r="N744" s="6"/>
      <c r="O744" s="6"/>
      <c r="P744" s="6"/>
      <c r="Q744" s="6"/>
      <c r="R744" s="6"/>
      <c r="S744" s="6"/>
      <c r="T744" s="6"/>
      <c r="U744" s="6"/>
      <c r="V744" s="339"/>
      <c r="W744" s="339"/>
      <c r="X744" s="6"/>
      <c r="Y744" s="206"/>
      <c r="AE744" s="6"/>
      <c r="AF744" s="6"/>
      <c r="AG744" s="6"/>
      <c r="AH744" s="206"/>
      <c r="AJ744" s="213"/>
      <c r="AK744" s="6"/>
      <c r="AL744" s="6"/>
      <c r="AM744" s="6"/>
      <c r="AN744" s="206"/>
      <c r="AP744" s="213"/>
      <c r="AQ744" s="6"/>
      <c r="AR744" s="6"/>
      <c r="AS744" s="6"/>
      <c r="AT744" s="206"/>
      <c r="AV744" s="213"/>
      <c r="AW744" s="6"/>
      <c r="AX744" s="6"/>
      <c r="AY744" s="6"/>
      <c r="AZ744" s="206"/>
    </row>
    <row r="745" spans="4:52" s="2" customFormat="1" ht="17.100000000000001" customHeight="1" x14ac:dyDescent="0.25">
      <c r="D745" s="3"/>
      <c r="E745" s="3"/>
      <c r="F745" s="4"/>
      <c r="G745" s="4"/>
      <c r="H745" s="138"/>
      <c r="I745" s="97"/>
      <c r="J745" s="6"/>
      <c r="K745" s="6"/>
      <c r="L745" s="6"/>
      <c r="M745" s="6"/>
      <c r="N745" s="6"/>
      <c r="O745" s="6"/>
      <c r="P745" s="6"/>
      <c r="Q745" s="6"/>
      <c r="R745" s="6"/>
      <c r="S745" s="6"/>
      <c r="T745" s="6"/>
      <c r="U745" s="6"/>
      <c r="V745" s="339"/>
      <c r="W745" s="339"/>
      <c r="X745" s="6"/>
      <c r="Y745" s="206"/>
      <c r="AE745" s="6"/>
      <c r="AF745" s="6"/>
      <c r="AG745" s="6"/>
      <c r="AH745" s="206"/>
      <c r="AJ745" s="213"/>
      <c r="AK745" s="6"/>
      <c r="AL745" s="6"/>
      <c r="AM745" s="6"/>
      <c r="AN745" s="206"/>
      <c r="AP745" s="213"/>
      <c r="AQ745" s="6"/>
      <c r="AR745" s="6"/>
      <c r="AS745" s="6"/>
      <c r="AT745" s="206"/>
      <c r="AV745" s="213"/>
      <c r="AW745" s="6"/>
      <c r="AX745" s="6"/>
      <c r="AY745" s="6"/>
      <c r="AZ745" s="206"/>
    </row>
    <row r="746" spans="4:52" s="2" customFormat="1" ht="17.100000000000001" customHeight="1" x14ac:dyDescent="0.25">
      <c r="D746" s="3"/>
      <c r="E746" s="3"/>
      <c r="F746" s="4"/>
      <c r="G746" s="4"/>
      <c r="H746" s="138"/>
      <c r="I746" s="97"/>
      <c r="J746" s="6"/>
      <c r="K746" s="6"/>
      <c r="L746" s="6"/>
      <c r="M746" s="6"/>
      <c r="N746" s="6"/>
      <c r="O746" s="6"/>
      <c r="P746" s="6"/>
      <c r="Q746" s="6"/>
      <c r="R746" s="6"/>
      <c r="S746" s="6"/>
      <c r="T746" s="6"/>
      <c r="U746" s="6"/>
      <c r="V746" s="339"/>
      <c r="W746" s="339"/>
      <c r="X746" s="6"/>
      <c r="Y746" s="206"/>
      <c r="AE746" s="6"/>
      <c r="AF746" s="6"/>
      <c r="AG746" s="6"/>
      <c r="AH746" s="206"/>
      <c r="AJ746" s="213"/>
      <c r="AK746" s="6"/>
      <c r="AL746" s="6"/>
      <c r="AM746" s="6"/>
      <c r="AN746" s="206"/>
      <c r="AP746" s="213"/>
      <c r="AQ746" s="6"/>
      <c r="AR746" s="6"/>
      <c r="AS746" s="6"/>
      <c r="AT746" s="206"/>
      <c r="AV746" s="213"/>
      <c r="AW746" s="6"/>
      <c r="AX746" s="6"/>
      <c r="AY746" s="6"/>
      <c r="AZ746" s="206"/>
    </row>
    <row r="747" spans="4:52" s="2" customFormat="1" ht="17.100000000000001" customHeight="1" x14ac:dyDescent="0.25">
      <c r="D747" s="3"/>
      <c r="E747" s="3"/>
      <c r="F747" s="4"/>
      <c r="G747" s="4"/>
      <c r="H747" s="138"/>
      <c r="I747" s="97"/>
      <c r="J747" s="6"/>
      <c r="K747" s="6"/>
      <c r="L747" s="6"/>
      <c r="M747" s="6"/>
      <c r="N747" s="6"/>
      <c r="O747" s="6"/>
      <c r="P747" s="6"/>
      <c r="Q747" s="6"/>
      <c r="R747" s="6"/>
      <c r="S747" s="6"/>
      <c r="T747" s="6"/>
      <c r="U747" s="6"/>
      <c r="V747" s="339"/>
      <c r="W747" s="339"/>
      <c r="X747" s="6"/>
      <c r="Y747" s="206"/>
      <c r="AE747" s="6"/>
      <c r="AF747" s="6"/>
      <c r="AG747" s="6"/>
      <c r="AH747" s="206"/>
      <c r="AJ747" s="213"/>
      <c r="AK747" s="6"/>
      <c r="AL747" s="6"/>
      <c r="AM747" s="6"/>
      <c r="AN747" s="206"/>
      <c r="AP747" s="213"/>
      <c r="AQ747" s="6"/>
      <c r="AR747" s="6"/>
      <c r="AS747" s="6"/>
      <c r="AT747" s="206"/>
      <c r="AV747" s="213"/>
      <c r="AW747" s="6"/>
      <c r="AX747" s="6"/>
      <c r="AY747" s="6"/>
      <c r="AZ747" s="206"/>
    </row>
    <row r="748" spans="4:52" s="2" customFormat="1" ht="17.100000000000001" customHeight="1" x14ac:dyDescent="0.25">
      <c r="D748" s="3"/>
      <c r="E748" s="3"/>
      <c r="F748" s="4"/>
      <c r="G748" s="4"/>
      <c r="H748" s="138"/>
      <c r="I748" s="97"/>
      <c r="J748" s="6"/>
      <c r="K748" s="6"/>
      <c r="L748" s="6"/>
      <c r="M748" s="6"/>
      <c r="N748" s="6"/>
      <c r="O748" s="6"/>
      <c r="P748" s="6"/>
      <c r="Q748" s="6"/>
      <c r="R748" s="6"/>
      <c r="S748" s="6"/>
      <c r="T748" s="6"/>
      <c r="U748" s="6"/>
      <c r="V748" s="339"/>
      <c r="W748" s="339"/>
      <c r="X748" s="6"/>
      <c r="Y748" s="206"/>
      <c r="AE748" s="6"/>
      <c r="AF748" s="6"/>
      <c r="AG748" s="6"/>
      <c r="AH748" s="206"/>
      <c r="AJ748" s="213"/>
      <c r="AK748" s="6"/>
      <c r="AL748" s="6"/>
      <c r="AM748" s="6"/>
      <c r="AN748" s="206"/>
      <c r="AP748" s="213"/>
      <c r="AQ748" s="6"/>
      <c r="AR748" s="6"/>
      <c r="AS748" s="6"/>
      <c r="AT748" s="206"/>
      <c r="AV748" s="213"/>
      <c r="AW748" s="6"/>
      <c r="AX748" s="6"/>
      <c r="AY748" s="6"/>
      <c r="AZ748" s="206"/>
    </row>
    <row r="749" spans="4:52" s="2" customFormat="1" ht="17.100000000000001" customHeight="1" x14ac:dyDescent="0.25">
      <c r="D749" s="3"/>
      <c r="E749" s="3"/>
      <c r="F749" s="4"/>
      <c r="G749" s="4"/>
      <c r="H749" s="138"/>
      <c r="I749" s="97"/>
      <c r="J749" s="6"/>
      <c r="K749" s="6"/>
      <c r="L749" s="6"/>
      <c r="M749" s="6"/>
      <c r="N749" s="6"/>
      <c r="O749" s="6"/>
      <c r="P749" s="6"/>
      <c r="Q749" s="6"/>
      <c r="R749" s="6"/>
      <c r="S749" s="6"/>
      <c r="T749" s="6"/>
      <c r="U749" s="6"/>
      <c r="V749" s="339"/>
      <c r="W749" s="339"/>
      <c r="X749" s="6"/>
      <c r="Y749" s="206"/>
      <c r="AE749" s="6"/>
      <c r="AF749" s="6"/>
      <c r="AG749" s="6"/>
      <c r="AH749" s="206"/>
      <c r="AJ749" s="213"/>
      <c r="AK749" s="6"/>
      <c r="AL749" s="6"/>
      <c r="AM749" s="6"/>
      <c r="AN749" s="206"/>
      <c r="AP749" s="213"/>
      <c r="AQ749" s="6"/>
      <c r="AR749" s="6"/>
      <c r="AS749" s="6"/>
      <c r="AT749" s="206"/>
      <c r="AV749" s="213"/>
      <c r="AW749" s="6"/>
      <c r="AX749" s="6"/>
      <c r="AY749" s="6"/>
      <c r="AZ749" s="206"/>
    </row>
    <row r="750" spans="4:52" s="2" customFormat="1" ht="17.100000000000001" customHeight="1" x14ac:dyDescent="0.25">
      <c r="D750" s="3"/>
      <c r="E750" s="3"/>
      <c r="F750" s="4"/>
      <c r="G750" s="4"/>
      <c r="H750" s="138"/>
      <c r="I750" s="97"/>
      <c r="J750" s="6"/>
      <c r="K750" s="6"/>
      <c r="L750" s="6"/>
      <c r="M750" s="6"/>
      <c r="N750" s="6"/>
      <c r="O750" s="6"/>
      <c r="P750" s="6"/>
      <c r="Q750" s="6"/>
      <c r="R750" s="6"/>
      <c r="S750" s="6"/>
      <c r="T750" s="6"/>
      <c r="U750" s="6"/>
      <c r="V750" s="339"/>
      <c r="W750" s="339"/>
      <c r="X750" s="6"/>
      <c r="Y750" s="206"/>
      <c r="AE750" s="6"/>
      <c r="AF750" s="6"/>
      <c r="AG750" s="6"/>
      <c r="AH750" s="206"/>
      <c r="AJ750" s="213"/>
      <c r="AK750" s="6"/>
      <c r="AL750" s="6"/>
      <c r="AM750" s="6"/>
      <c r="AN750" s="206"/>
      <c r="AP750" s="213"/>
      <c r="AQ750" s="6"/>
      <c r="AR750" s="6"/>
      <c r="AS750" s="6"/>
      <c r="AT750" s="206"/>
      <c r="AV750" s="213"/>
      <c r="AW750" s="6"/>
      <c r="AX750" s="6"/>
      <c r="AY750" s="6"/>
      <c r="AZ750" s="206"/>
    </row>
    <row r="751" spans="4:52" s="2" customFormat="1" ht="17.100000000000001" customHeight="1" x14ac:dyDescent="0.25">
      <c r="D751" s="3"/>
      <c r="E751" s="3"/>
      <c r="F751" s="4"/>
      <c r="G751" s="4"/>
      <c r="H751" s="138"/>
      <c r="I751" s="97"/>
      <c r="J751" s="6"/>
      <c r="K751" s="6"/>
      <c r="L751" s="6"/>
      <c r="M751" s="6"/>
      <c r="N751" s="6"/>
      <c r="O751" s="6"/>
      <c r="P751" s="6"/>
      <c r="Q751" s="6"/>
      <c r="R751" s="6"/>
      <c r="S751" s="6"/>
      <c r="T751" s="6"/>
      <c r="U751" s="6"/>
      <c r="V751" s="339"/>
      <c r="W751" s="339"/>
      <c r="X751" s="6"/>
      <c r="Y751" s="206"/>
      <c r="AE751" s="6"/>
      <c r="AF751" s="6"/>
      <c r="AG751" s="6"/>
      <c r="AH751" s="206"/>
      <c r="AJ751" s="213"/>
      <c r="AK751" s="6"/>
      <c r="AL751" s="6"/>
      <c r="AM751" s="6"/>
      <c r="AN751" s="206"/>
      <c r="AP751" s="213"/>
      <c r="AQ751" s="6"/>
      <c r="AR751" s="6"/>
      <c r="AS751" s="6"/>
      <c r="AT751" s="206"/>
      <c r="AV751" s="213"/>
      <c r="AW751" s="6"/>
      <c r="AX751" s="6"/>
      <c r="AY751" s="6"/>
      <c r="AZ751" s="206"/>
    </row>
    <row r="752" spans="4:52" s="2" customFormat="1" ht="17.100000000000001" customHeight="1" x14ac:dyDescent="0.25">
      <c r="D752" s="3"/>
      <c r="E752" s="3"/>
      <c r="F752" s="4"/>
      <c r="G752" s="4"/>
      <c r="H752" s="138"/>
      <c r="I752" s="97"/>
      <c r="J752" s="6"/>
      <c r="K752" s="6"/>
      <c r="L752" s="6"/>
      <c r="M752" s="6"/>
      <c r="N752" s="6"/>
      <c r="O752" s="6"/>
      <c r="P752" s="6"/>
      <c r="Q752" s="6"/>
      <c r="R752" s="6"/>
      <c r="S752" s="6"/>
      <c r="T752" s="6"/>
      <c r="U752" s="6"/>
      <c r="V752" s="339"/>
      <c r="W752" s="339"/>
      <c r="X752" s="6"/>
      <c r="Y752" s="206"/>
      <c r="AE752" s="6"/>
      <c r="AF752" s="6"/>
      <c r="AG752" s="6"/>
      <c r="AH752" s="206"/>
      <c r="AJ752" s="213"/>
      <c r="AK752" s="6"/>
      <c r="AL752" s="6"/>
      <c r="AM752" s="6"/>
      <c r="AN752" s="206"/>
      <c r="AP752" s="213"/>
      <c r="AQ752" s="6"/>
      <c r="AR752" s="6"/>
      <c r="AS752" s="6"/>
      <c r="AT752" s="206"/>
      <c r="AV752" s="213"/>
      <c r="AW752" s="6"/>
      <c r="AX752" s="6"/>
      <c r="AY752" s="6"/>
      <c r="AZ752" s="206"/>
    </row>
    <row r="753" spans="4:52" s="2" customFormat="1" ht="17.100000000000001" customHeight="1" x14ac:dyDescent="0.25">
      <c r="D753" s="3"/>
      <c r="E753" s="3"/>
      <c r="F753" s="4"/>
      <c r="G753" s="4"/>
      <c r="H753" s="138"/>
      <c r="I753" s="97"/>
      <c r="J753" s="6"/>
      <c r="K753" s="6"/>
      <c r="L753" s="6"/>
      <c r="M753" s="6"/>
      <c r="N753" s="6"/>
      <c r="O753" s="6"/>
      <c r="P753" s="6"/>
      <c r="Q753" s="6"/>
      <c r="R753" s="6"/>
      <c r="S753" s="6"/>
      <c r="T753" s="6"/>
      <c r="U753" s="6"/>
      <c r="V753" s="339"/>
      <c r="W753" s="339"/>
      <c r="X753" s="6"/>
      <c r="Y753" s="206"/>
      <c r="AE753" s="6"/>
      <c r="AF753" s="6"/>
      <c r="AG753" s="6"/>
      <c r="AH753" s="206"/>
      <c r="AJ753" s="213"/>
      <c r="AK753" s="6"/>
      <c r="AL753" s="6"/>
      <c r="AM753" s="6"/>
      <c r="AN753" s="206"/>
      <c r="AP753" s="213"/>
      <c r="AQ753" s="6"/>
      <c r="AR753" s="6"/>
      <c r="AS753" s="6"/>
      <c r="AT753" s="206"/>
      <c r="AV753" s="213"/>
      <c r="AW753" s="6"/>
      <c r="AX753" s="6"/>
      <c r="AY753" s="6"/>
      <c r="AZ753" s="206"/>
    </row>
    <row r="754" spans="4:52" s="2" customFormat="1" ht="17.100000000000001" customHeight="1" x14ac:dyDescent="0.25">
      <c r="D754" s="3"/>
      <c r="E754" s="3"/>
      <c r="F754" s="4"/>
      <c r="G754" s="4"/>
      <c r="H754" s="138"/>
      <c r="I754" s="97"/>
      <c r="J754" s="6"/>
      <c r="K754" s="6"/>
      <c r="L754" s="6"/>
      <c r="M754" s="6"/>
      <c r="N754" s="6"/>
      <c r="O754" s="6"/>
      <c r="P754" s="6"/>
      <c r="Q754" s="6"/>
      <c r="R754" s="6"/>
      <c r="S754" s="6"/>
      <c r="T754" s="6"/>
      <c r="U754" s="6"/>
      <c r="V754" s="339"/>
      <c r="W754" s="339"/>
      <c r="X754" s="6"/>
      <c r="Y754" s="206"/>
      <c r="AE754" s="6"/>
      <c r="AF754" s="6"/>
      <c r="AG754" s="6"/>
      <c r="AH754" s="206"/>
      <c r="AJ754" s="213"/>
      <c r="AK754" s="6"/>
      <c r="AL754" s="6"/>
      <c r="AM754" s="6"/>
      <c r="AN754" s="206"/>
      <c r="AP754" s="213"/>
      <c r="AQ754" s="6"/>
      <c r="AR754" s="6"/>
      <c r="AS754" s="6"/>
      <c r="AT754" s="206"/>
      <c r="AV754" s="213"/>
      <c r="AW754" s="6"/>
      <c r="AX754" s="6"/>
      <c r="AY754" s="6"/>
      <c r="AZ754" s="206"/>
    </row>
    <row r="755" spans="4:52" s="2" customFormat="1" ht="17.100000000000001" customHeight="1" x14ac:dyDescent="0.25">
      <c r="D755" s="3"/>
      <c r="E755" s="3"/>
      <c r="F755" s="4"/>
      <c r="G755" s="4"/>
      <c r="H755" s="138"/>
      <c r="I755" s="97"/>
      <c r="J755" s="6"/>
      <c r="K755" s="6"/>
      <c r="L755" s="6"/>
      <c r="M755" s="6"/>
      <c r="N755" s="6"/>
      <c r="O755" s="6"/>
      <c r="P755" s="6"/>
      <c r="Q755" s="6"/>
      <c r="R755" s="6"/>
      <c r="S755" s="6"/>
      <c r="T755" s="6"/>
      <c r="U755" s="6"/>
      <c r="V755" s="339"/>
      <c r="W755" s="339"/>
      <c r="X755" s="6"/>
      <c r="Y755" s="206"/>
      <c r="AE755" s="6"/>
      <c r="AF755" s="6"/>
      <c r="AG755" s="6"/>
      <c r="AH755" s="206"/>
      <c r="AJ755" s="213"/>
      <c r="AK755" s="6"/>
      <c r="AL755" s="6"/>
      <c r="AM755" s="6"/>
      <c r="AN755" s="206"/>
      <c r="AP755" s="213"/>
      <c r="AQ755" s="6"/>
      <c r="AR755" s="6"/>
      <c r="AS755" s="6"/>
      <c r="AT755" s="206"/>
      <c r="AV755" s="213"/>
      <c r="AW755" s="6"/>
      <c r="AX755" s="6"/>
      <c r="AY755" s="6"/>
      <c r="AZ755" s="206"/>
    </row>
    <row r="756" spans="4:52" s="2" customFormat="1" ht="17.100000000000001" customHeight="1" x14ac:dyDescent="0.25">
      <c r="D756" s="3"/>
      <c r="E756" s="3"/>
      <c r="F756" s="4"/>
      <c r="G756" s="4"/>
      <c r="H756" s="138"/>
      <c r="I756" s="97"/>
      <c r="J756" s="6"/>
      <c r="K756" s="6"/>
      <c r="L756" s="6"/>
      <c r="M756" s="6"/>
      <c r="N756" s="6"/>
      <c r="O756" s="6"/>
      <c r="P756" s="6"/>
      <c r="Q756" s="6"/>
      <c r="R756" s="6"/>
      <c r="S756" s="6"/>
      <c r="T756" s="6"/>
      <c r="U756" s="6"/>
      <c r="V756" s="339"/>
      <c r="W756" s="339"/>
      <c r="X756" s="6"/>
      <c r="Y756" s="206"/>
      <c r="AE756" s="6"/>
      <c r="AF756" s="6"/>
      <c r="AG756" s="6"/>
      <c r="AH756" s="206"/>
      <c r="AJ756" s="213"/>
      <c r="AK756" s="6"/>
      <c r="AL756" s="6"/>
      <c r="AM756" s="6"/>
      <c r="AN756" s="206"/>
      <c r="AP756" s="213"/>
      <c r="AQ756" s="6"/>
      <c r="AR756" s="6"/>
      <c r="AS756" s="6"/>
      <c r="AT756" s="206"/>
      <c r="AV756" s="213"/>
      <c r="AW756" s="6"/>
      <c r="AX756" s="6"/>
      <c r="AY756" s="6"/>
      <c r="AZ756" s="206"/>
    </row>
    <row r="757" spans="4:52" s="2" customFormat="1" ht="17.100000000000001" customHeight="1" x14ac:dyDescent="0.25">
      <c r="D757" s="3"/>
      <c r="E757" s="3"/>
      <c r="F757" s="4"/>
      <c r="G757" s="4"/>
      <c r="H757" s="138"/>
      <c r="I757" s="97"/>
      <c r="J757" s="6"/>
      <c r="K757" s="6"/>
      <c r="L757" s="6"/>
      <c r="M757" s="6"/>
      <c r="N757" s="6"/>
      <c r="O757" s="6"/>
      <c r="P757" s="6"/>
      <c r="Q757" s="6"/>
      <c r="R757" s="6"/>
      <c r="S757" s="6"/>
      <c r="T757" s="6"/>
      <c r="U757" s="6"/>
      <c r="V757" s="339"/>
      <c r="W757" s="339"/>
      <c r="X757" s="6"/>
      <c r="Y757" s="206"/>
      <c r="AE757" s="6"/>
      <c r="AF757" s="6"/>
      <c r="AG757" s="6"/>
      <c r="AH757" s="206"/>
      <c r="AJ757" s="213"/>
      <c r="AK757" s="6"/>
      <c r="AL757" s="6"/>
      <c r="AM757" s="6"/>
      <c r="AN757" s="206"/>
      <c r="AP757" s="213"/>
      <c r="AQ757" s="6"/>
      <c r="AR757" s="6"/>
      <c r="AS757" s="6"/>
      <c r="AT757" s="206"/>
      <c r="AV757" s="213"/>
      <c r="AW757" s="6"/>
      <c r="AX757" s="6"/>
      <c r="AY757" s="6"/>
      <c r="AZ757" s="206"/>
    </row>
    <row r="758" spans="4:52" s="2" customFormat="1" ht="17.100000000000001" customHeight="1" x14ac:dyDescent="0.25">
      <c r="D758" s="3"/>
      <c r="E758" s="3"/>
      <c r="F758" s="4"/>
      <c r="G758" s="4"/>
      <c r="H758" s="138"/>
      <c r="I758" s="97"/>
      <c r="J758" s="6"/>
      <c r="K758" s="6"/>
      <c r="L758" s="6"/>
      <c r="M758" s="6"/>
      <c r="N758" s="6"/>
      <c r="O758" s="6"/>
      <c r="P758" s="6"/>
      <c r="Q758" s="6"/>
      <c r="R758" s="6"/>
      <c r="S758" s="6"/>
      <c r="T758" s="6"/>
      <c r="U758" s="6"/>
      <c r="V758" s="339"/>
      <c r="W758" s="339"/>
      <c r="X758" s="6"/>
      <c r="Y758" s="206"/>
      <c r="AE758" s="6"/>
      <c r="AF758" s="6"/>
      <c r="AG758" s="6"/>
      <c r="AH758" s="206"/>
      <c r="AJ758" s="213"/>
      <c r="AK758" s="6"/>
      <c r="AL758" s="6"/>
      <c r="AM758" s="6"/>
      <c r="AN758" s="206"/>
      <c r="AP758" s="213"/>
      <c r="AQ758" s="6"/>
      <c r="AR758" s="6"/>
      <c r="AS758" s="6"/>
      <c r="AT758" s="206"/>
      <c r="AV758" s="213"/>
      <c r="AW758" s="6"/>
      <c r="AX758" s="6"/>
      <c r="AY758" s="6"/>
      <c r="AZ758" s="206"/>
    </row>
    <row r="759" spans="4:52" s="2" customFormat="1" ht="17.100000000000001" customHeight="1" x14ac:dyDescent="0.25">
      <c r="D759" s="3"/>
      <c r="E759" s="3"/>
      <c r="F759" s="4"/>
      <c r="G759" s="4"/>
      <c r="H759" s="138"/>
      <c r="I759" s="97"/>
      <c r="J759" s="6"/>
      <c r="K759" s="6"/>
      <c r="L759" s="6"/>
      <c r="M759" s="6"/>
      <c r="N759" s="6"/>
      <c r="O759" s="6"/>
      <c r="P759" s="6"/>
      <c r="Q759" s="6"/>
      <c r="R759" s="6"/>
      <c r="S759" s="6"/>
      <c r="T759" s="6"/>
      <c r="U759" s="6"/>
      <c r="V759" s="339"/>
      <c r="W759" s="339"/>
      <c r="X759" s="6"/>
      <c r="Y759" s="206"/>
      <c r="AE759" s="6"/>
      <c r="AF759" s="6"/>
      <c r="AG759" s="6"/>
      <c r="AH759" s="206"/>
      <c r="AJ759" s="213"/>
      <c r="AK759" s="6"/>
      <c r="AL759" s="6"/>
      <c r="AM759" s="6"/>
      <c r="AN759" s="206"/>
      <c r="AP759" s="213"/>
      <c r="AQ759" s="6"/>
      <c r="AR759" s="6"/>
      <c r="AS759" s="6"/>
      <c r="AT759" s="206"/>
      <c r="AV759" s="213"/>
      <c r="AW759" s="6"/>
      <c r="AX759" s="6"/>
      <c r="AY759" s="6"/>
      <c r="AZ759" s="206"/>
    </row>
    <row r="760" spans="4:52" s="2" customFormat="1" ht="17.100000000000001" customHeight="1" x14ac:dyDescent="0.25">
      <c r="D760" s="3"/>
      <c r="E760" s="3"/>
      <c r="F760" s="4"/>
      <c r="G760" s="4"/>
      <c r="H760" s="138"/>
      <c r="I760" s="97"/>
      <c r="J760" s="6"/>
      <c r="K760" s="6"/>
      <c r="L760" s="6"/>
      <c r="M760" s="6"/>
      <c r="N760" s="6"/>
      <c r="O760" s="6"/>
      <c r="P760" s="6"/>
      <c r="Q760" s="6"/>
      <c r="R760" s="6"/>
      <c r="S760" s="6"/>
      <c r="T760" s="6"/>
      <c r="U760" s="6"/>
      <c r="V760" s="339"/>
      <c r="W760" s="339"/>
      <c r="X760" s="6"/>
      <c r="Y760" s="206"/>
      <c r="AE760" s="6"/>
      <c r="AF760" s="6"/>
      <c r="AG760" s="6"/>
      <c r="AH760" s="206"/>
      <c r="AJ760" s="213"/>
      <c r="AK760" s="6"/>
      <c r="AL760" s="6"/>
      <c r="AM760" s="6"/>
      <c r="AN760" s="206"/>
      <c r="AP760" s="213"/>
      <c r="AQ760" s="6"/>
      <c r="AR760" s="6"/>
      <c r="AS760" s="6"/>
      <c r="AT760" s="206"/>
      <c r="AV760" s="213"/>
      <c r="AW760" s="6"/>
      <c r="AX760" s="6"/>
      <c r="AY760" s="6"/>
      <c r="AZ760" s="206"/>
    </row>
    <row r="761" spans="4:52" s="2" customFormat="1" ht="17.100000000000001" customHeight="1" x14ac:dyDescent="0.25">
      <c r="D761" s="3"/>
      <c r="E761" s="3"/>
      <c r="F761" s="4"/>
      <c r="G761" s="4"/>
      <c r="H761" s="138"/>
      <c r="I761" s="97"/>
      <c r="J761" s="6"/>
      <c r="K761" s="6"/>
      <c r="L761" s="6"/>
      <c r="M761" s="6"/>
      <c r="N761" s="6"/>
      <c r="O761" s="6"/>
      <c r="P761" s="6"/>
      <c r="Q761" s="6"/>
      <c r="R761" s="6"/>
      <c r="S761" s="6"/>
      <c r="T761" s="6"/>
      <c r="U761" s="6"/>
      <c r="V761" s="339"/>
      <c r="W761" s="339"/>
      <c r="X761" s="6"/>
      <c r="Y761" s="206"/>
      <c r="AE761" s="6"/>
      <c r="AF761" s="6"/>
      <c r="AG761" s="6"/>
      <c r="AH761" s="206"/>
      <c r="AJ761" s="213"/>
      <c r="AK761" s="6"/>
      <c r="AL761" s="6"/>
      <c r="AM761" s="6"/>
      <c r="AN761" s="206"/>
      <c r="AP761" s="213"/>
      <c r="AQ761" s="6"/>
      <c r="AR761" s="6"/>
      <c r="AS761" s="6"/>
      <c r="AT761" s="206"/>
      <c r="AV761" s="213"/>
      <c r="AW761" s="6"/>
      <c r="AX761" s="6"/>
      <c r="AY761" s="6"/>
      <c r="AZ761" s="206"/>
    </row>
    <row r="762" spans="4:52" s="2" customFormat="1" ht="17.100000000000001" customHeight="1" x14ac:dyDescent="0.25">
      <c r="D762" s="3"/>
      <c r="E762" s="3"/>
      <c r="F762" s="4"/>
      <c r="G762" s="4"/>
      <c r="H762" s="138"/>
      <c r="I762" s="97"/>
      <c r="J762" s="6"/>
      <c r="K762" s="6"/>
      <c r="L762" s="6"/>
      <c r="M762" s="6"/>
      <c r="N762" s="6"/>
      <c r="O762" s="6"/>
      <c r="P762" s="6"/>
      <c r="Q762" s="6"/>
      <c r="R762" s="6"/>
      <c r="S762" s="6"/>
      <c r="T762" s="6"/>
      <c r="U762" s="6"/>
      <c r="V762" s="339"/>
      <c r="W762" s="339"/>
      <c r="X762" s="6"/>
      <c r="Y762" s="206"/>
      <c r="AE762" s="6"/>
      <c r="AF762" s="6"/>
      <c r="AG762" s="6"/>
      <c r="AH762" s="206"/>
      <c r="AJ762" s="213"/>
      <c r="AK762" s="6"/>
      <c r="AL762" s="6"/>
      <c r="AM762" s="6"/>
      <c r="AN762" s="206"/>
      <c r="AP762" s="213"/>
      <c r="AQ762" s="6"/>
      <c r="AR762" s="6"/>
      <c r="AS762" s="6"/>
      <c r="AT762" s="206"/>
      <c r="AV762" s="213"/>
      <c r="AW762" s="6"/>
      <c r="AX762" s="6"/>
      <c r="AY762" s="6"/>
      <c r="AZ762" s="206"/>
    </row>
    <row r="763" spans="4:52" s="2" customFormat="1" ht="17.100000000000001" customHeight="1" x14ac:dyDescent="0.25">
      <c r="D763" s="3"/>
      <c r="E763" s="3"/>
      <c r="F763" s="4"/>
      <c r="G763" s="4"/>
      <c r="H763" s="138"/>
      <c r="I763" s="97"/>
      <c r="J763" s="6"/>
      <c r="K763" s="6"/>
      <c r="L763" s="6"/>
      <c r="M763" s="6"/>
      <c r="N763" s="6"/>
      <c r="O763" s="6"/>
      <c r="P763" s="6"/>
      <c r="Q763" s="6"/>
      <c r="R763" s="6"/>
      <c r="S763" s="6"/>
      <c r="T763" s="6"/>
      <c r="U763" s="6"/>
      <c r="V763" s="339"/>
      <c r="W763" s="339"/>
      <c r="X763" s="6"/>
      <c r="Y763" s="206"/>
      <c r="AE763" s="6"/>
      <c r="AF763" s="6"/>
      <c r="AG763" s="6"/>
      <c r="AH763" s="206"/>
      <c r="AJ763" s="213"/>
      <c r="AK763" s="6"/>
      <c r="AL763" s="6"/>
      <c r="AM763" s="6"/>
      <c r="AN763" s="206"/>
      <c r="AP763" s="213"/>
      <c r="AQ763" s="6"/>
      <c r="AR763" s="6"/>
      <c r="AS763" s="6"/>
      <c r="AT763" s="206"/>
      <c r="AV763" s="213"/>
      <c r="AW763" s="6"/>
      <c r="AX763" s="6"/>
      <c r="AY763" s="6"/>
      <c r="AZ763" s="206"/>
    </row>
    <row r="764" spans="4:52" s="2" customFormat="1" ht="17.100000000000001" customHeight="1" x14ac:dyDescent="0.25">
      <c r="D764" s="3"/>
      <c r="E764" s="3"/>
      <c r="F764" s="4"/>
      <c r="G764" s="4"/>
      <c r="H764" s="138"/>
      <c r="I764" s="97"/>
      <c r="J764" s="6"/>
      <c r="K764" s="6"/>
      <c r="L764" s="6"/>
      <c r="M764" s="6"/>
      <c r="N764" s="6"/>
      <c r="O764" s="6"/>
      <c r="P764" s="6"/>
      <c r="Q764" s="6"/>
      <c r="R764" s="6"/>
      <c r="S764" s="6"/>
      <c r="T764" s="6"/>
      <c r="U764" s="6"/>
      <c r="V764" s="339"/>
      <c r="W764" s="339"/>
      <c r="X764" s="6"/>
      <c r="Y764" s="206"/>
      <c r="AE764" s="6"/>
      <c r="AF764" s="6"/>
      <c r="AG764" s="6"/>
      <c r="AH764" s="206"/>
      <c r="AJ764" s="213"/>
      <c r="AK764" s="6"/>
      <c r="AL764" s="6"/>
      <c r="AM764" s="6"/>
      <c r="AN764" s="206"/>
      <c r="AP764" s="213"/>
      <c r="AQ764" s="6"/>
      <c r="AR764" s="6"/>
      <c r="AS764" s="6"/>
      <c r="AT764" s="206"/>
      <c r="AV764" s="213"/>
      <c r="AW764" s="6"/>
      <c r="AX764" s="6"/>
      <c r="AY764" s="6"/>
      <c r="AZ764" s="206"/>
    </row>
    <row r="765" spans="4:52" s="2" customFormat="1" ht="17.100000000000001" customHeight="1" x14ac:dyDescent="0.25">
      <c r="D765" s="3"/>
      <c r="E765" s="3"/>
      <c r="F765" s="4"/>
      <c r="G765" s="4"/>
      <c r="H765" s="138"/>
      <c r="I765" s="97"/>
      <c r="J765" s="6"/>
      <c r="K765" s="6"/>
      <c r="L765" s="6"/>
      <c r="M765" s="6"/>
      <c r="N765" s="6"/>
      <c r="O765" s="6"/>
      <c r="P765" s="6"/>
      <c r="Q765" s="6"/>
      <c r="R765" s="6"/>
      <c r="S765" s="6"/>
      <c r="T765" s="6"/>
      <c r="U765" s="6"/>
      <c r="V765" s="339"/>
      <c r="W765" s="339"/>
      <c r="X765" s="6"/>
      <c r="Y765" s="206"/>
      <c r="AE765" s="6"/>
      <c r="AF765" s="6"/>
      <c r="AG765" s="6"/>
      <c r="AH765" s="206"/>
      <c r="AJ765" s="213"/>
      <c r="AK765" s="6"/>
      <c r="AL765" s="6"/>
      <c r="AM765" s="6"/>
      <c r="AN765" s="206"/>
      <c r="AP765" s="213"/>
      <c r="AQ765" s="6"/>
      <c r="AR765" s="6"/>
      <c r="AS765" s="6"/>
      <c r="AT765" s="206"/>
      <c r="AV765" s="213"/>
      <c r="AW765" s="6"/>
      <c r="AX765" s="6"/>
      <c r="AY765" s="6"/>
      <c r="AZ765" s="206"/>
    </row>
    <row r="766" spans="4:52" s="2" customFormat="1" ht="17.100000000000001" customHeight="1" x14ac:dyDescent="0.25">
      <c r="D766" s="3"/>
      <c r="E766" s="3"/>
      <c r="F766" s="4"/>
      <c r="G766" s="4"/>
      <c r="H766" s="138"/>
      <c r="I766" s="97"/>
      <c r="J766" s="6"/>
      <c r="K766" s="6"/>
      <c r="L766" s="6"/>
      <c r="M766" s="6"/>
      <c r="N766" s="6"/>
      <c r="O766" s="6"/>
      <c r="P766" s="6"/>
      <c r="Q766" s="6"/>
      <c r="R766" s="6"/>
      <c r="S766" s="6"/>
      <c r="T766" s="6"/>
      <c r="U766" s="6"/>
      <c r="V766" s="339"/>
      <c r="W766" s="339"/>
      <c r="X766" s="6"/>
      <c r="Y766" s="206"/>
      <c r="AE766" s="6"/>
      <c r="AF766" s="6"/>
      <c r="AG766" s="6"/>
      <c r="AH766" s="206"/>
      <c r="AJ766" s="213"/>
      <c r="AK766" s="6"/>
      <c r="AL766" s="6"/>
      <c r="AM766" s="6"/>
      <c r="AN766" s="206"/>
      <c r="AP766" s="213"/>
      <c r="AQ766" s="6"/>
      <c r="AR766" s="6"/>
      <c r="AS766" s="6"/>
      <c r="AT766" s="206"/>
      <c r="AV766" s="213"/>
      <c r="AW766" s="6"/>
      <c r="AX766" s="6"/>
      <c r="AY766" s="6"/>
      <c r="AZ766" s="206"/>
    </row>
    <row r="767" spans="4:52" s="2" customFormat="1" ht="17.100000000000001" customHeight="1" x14ac:dyDescent="0.25">
      <c r="D767" s="3"/>
      <c r="E767" s="3"/>
      <c r="F767" s="4"/>
      <c r="G767" s="4"/>
      <c r="H767" s="138"/>
      <c r="I767" s="97"/>
      <c r="J767" s="6"/>
      <c r="K767" s="6"/>
      <c r="L767" s="6"/>
      <c r="M767" s="6"/>
      <c r="N767" s="6"/>
      <c r="O767" s="6"/>
      <c r="P767" s="6"/>
      <c r="Q767" s="6"/>
      <c r="R767" s="6"/>
      <c r="S767" s="6"/>
      <c r="T767" s="6"/>
      <c r="U767" s="6"/>
      <c r="V767" s="339"/>
      <c r="W767" s="339"/>
      <c r="X767" s="6"/>
      <c r="Y767" s="206"/>
      <c r="AE767" s="6"/>
      <c r="AF767" s="6"/>
      <c r="AG767" s="6"/>
      <c r="AH767" s="206"/>
      <c r="AJ767" s="213"/>
      <c r="AK767" s="6"/>
      <c r="AL767" s="6"/>
      <c r="AM767" s="6"/>
      <c r="AN767" s="206"/>
      <c r="AP767" s="213"/>
      <c r="AQ767" s="6"/>
      <c r="AR767" s="6"/>
      <c r="AS767" s="6"/>
      <c r="AT767" s="206"/>
      <c r="AV767" s="213"/>
      <c r="AW767" s="6"/>
      <c r="AX767" s="6"/>
      <c r="AY767" s="6"/>
      <c r="AZ767" s="206"/>
    </row>
    <row r="768" spans="4:52" s="2" customFormat="1" ht="17.100000000000001" customHeight="1" x14ac:dyDescent="0.25">
      <c r="D768" s="3"/>
      <c r="E768" s="3"/>
      <c r="F768" s="4"/>
      <c r="G768" s="4"/>
      <c r="H768" s="138"/>
      <c r="I768" s="97"/>
      <c r="J768" s="6"/>
      <c r="K768" s="6"/>
      <c r="L768" s="6"/>
      <c r="M768" s="6"/>
      <c r="N768" s="6"/>
      <c r="O768" s="6"/>
      <c r="P768" s="6"/>
      <c r="Q768" s="6"/>
      <c r="R768" s="6"/>
      <c r="S768" s="6"/>
      <c r="T768" s="6"/>
      <c r="U768" s="6"/>
      <c r="V768" s="339"/>
      <c r="W768" s="339"/>
      <c r="X768" s="6"/>
      <c r="Y768" s="206"/>
      <c r="AE768" s="6"/>
      <c r="AF768" s="6"/>
      <c r="AG768" s="6"/>
      <c r="AH768" s="206"/>
      <c r="AJ768" s="213"/>
      <c r="AK768" s="6"/>
      <c r="AL768" s="6"/>
      <c r="AM768" s="6"/>
      <c r="AN768" s="206"/>
      <c r="AP768" s="213"/>
      <c r="AQ768" s="6"/>
      <c r="AR768" s="6"/>
      <c r="AS768" s="6"/>
      <c r="AT768" s="206"/>
      <c r="AV768" s="213"/>
      <c r="AW768" s="6"/>
      <c r="AX768" s="6"/>
      <c r="AY768" s="6"/>
      <c r="AZ768" s="206"/>
    </row>
    <row r="769" spans="4:52" s="2" customFormat="1" ht="17.100000000000001" customHeight="1" x14ac:dyDescent="0.25">
      <c r="D769" s="3"/>
      <c r="E769" s="3"/>
      <c r="F769" s="4"/>
      <c r="G769" s="4"/>
      <c r="H769" s="138"/>
      <c r="I769" s="97"/>
      <c r="J769" s="6"/>
      <c r="K769" s="6"/>
      <c r="L769" s="6"/>
      <c r="M769" s="6"/>
      <c r="N769" s="6"/>
      <c r="O769" s="6"/>
      <c r="P769" s="6"/>
      <c r="Q769" s="6"/>
      <c r="R769" s="6"/>
      <c r="S769" s="6"/>
      <c r="T769" s="6"/>
      <c r="U769" s="6"/>
      <c r="V769" s="339"/>
      <c r="W769" s="339"/>
      <c r="X769" s="6"/>
      <c r="Y769" s="206"/>
      <c r="AE769" s="6"/>
      <c r="AF769" s="6"/>
      <c r="AG769" s="6"/>
      <c r="AH769" s="206"/>
      <c r="AJ769" s="213"/>
      <c r="AK769" s="6"/>
      <c r="AL769" s="6"/>
      <c r="AM769" s="6"/>
      <c r="AN769" s="206"/>
      <c r="AP769" s="213"/>
      <c r="AQ769" s="6"/>
      <c r="AR769" s="6"/>
      <c r="AS769" s="6"/>
      <c r="AT769" s="206"/>
      <c r="AV769" s="213"/>
      <c r="AW769" s="6"/>
      <c r="AX769" s="6"/>
      <c r="AY769" s="6"/>
      <c r="AZ769" s="206"/>
    </row>
    <row r="770" spans="4:52" s="2" customFormat="1" ht="17.100000000000001" customHeight="1" x14ac:dyDescent="0.25">
      <c r="D770" s="3"/>
      <c r="E770" s="3"/>
      <c r="F770" s="4"/>
      <c r="G770" s="4"/>
      <c r="H770" s="138"/>
      <c r="I770" s="97"/>
      <c r="J770" s="6"/>
      <c r="K770" s="6"/>
      <c r="L770" s="6"/>
      <c r="M770" s="6"/>
      <c r="N770" s="6"/>
      <c r="O770" s="6"/>
      <c r="P770" s="6"/>
      <c r="Q770" s="6"/>
      <c r="R770" s="6"/>
      <c r="S770" s="6"/>
      <c r="T770" s="6"/>
      <c r="U770" s="6"/>
      <c r="V770" s="339"/>
      <c r="W770" s="339"/>
      <c r="X770" s="6"/>
      <c r="Y770" s="206"/>
      <c r="AE770" s="6"/>
      <c r="AF770" s="6"/>
      <c r="AG770" s="6"/>
      <c r="AH770" s="206"/>
      <c r="AJ770" s="213"/>
      <c r="AK770" s="6"/>
      <c r="AL770" s="6"/>
      <c r="AM770" s="6"/>
      <c r="AN770" s="206"/>
      <c r="AP770" s="213"/>
      <c r="AQ770" s="6"/>
      <c r="AR770" s="6"/>
      <c r="AS770" s="6"/>
      <c r="AT770" s="206"/>
      <c r="AV770" s="213"/>
      <c r="AW770" s="6"/>
      <c r="AX770" s="6"/>
      <c r="AY770" s="6"/>
      <c r="AZ770" s="206"/>
    </row>
    <row r="771" spans="4:52" s="2" customFormat="1" ht="17.100000000000001" customHeight="1" x14ac:dyDescent="0.25">
      <c r="D771" s="3"/>
      <c r="E771" s="3"/>
      <c r="F771" s="4"/>
      <c r="G771" s="4"/>
      <c r="H771" s="138"/>
      <c r="I771" s="97"/>
      <c r="J771" s="6"/>
      <c r="K771" s="6"/>
      <c r="L771" s="6"/>
      <c r="M771" s="6"/>
      <c r="N771" s="6"/>
      <c r="O771" s="6"/>
      <c r="P771" s="6"/>
      <c r="Q771" s="6"/>
      <c r="R771" s="6"/>
      <c r="S771" s="6"/>
      <c r="T771" s="6"/>
      <c r="U771" s="6"/>
      <c r="V771" s="339"/>
      <c r="W771" s="339"/>
      <c r="X771" s="6"/>
      <c r="Y771" s="206"/>
      <c r="AE771" s="6"/>
      <c r="AF771" s="6"/>
      <c r="AG771" s="6"/>
      <c r="AH771" s="206"/>
      <c r="AJ771" s="213"/>
      <c r="AK771" s="6"/>
      <c r="AL771" s="6"/>
      <c r="AM771" s="6"/>
      <c r="AN771" s="206"/>
      <c r="AP771" s="213"/>
      <c r="AQ771" s="6"/>
      <c r="AR771" s="6"/>
      <c r="AS771" s="6"/>
      <c r="AT771" s="206"/>
      <c r="AV771" s="213"/>
      <c r="AW771" s="6"/>
      <c r="AX771" s="6"/>
      <c r="AY771" s="6"/>
      <c r="AZ771" s="206"/>
    </row>
    <row r="772" spans="4:52" s="2" customFormat="1" ht="17.100000000000001" customHeight="1" x14ac:dyDescent="0.25">
      <c r="D772" s="3"/>
      <c r="E772" s="3"/>
      <c r="F772" s="4"/>
      <c r="G772" s="4"/>
      <c r="H772" s="138"/>
      <c r="I772" s="97"/>
      <c r="J772" s="6"/>
      <c r="K772" s="6"/>
      <c r="L772" s="6"/>
      <c r="M772" s="6"/>
      <c r="N772" s="6"/>
      <c r="O772" s="6"/>
      <c r="P772" s="6"/>
      <c r="Q772" s="6"/>
      <c r="R772" s="6"/>
      <c r="S772" s="6"/>
      <c r="T772" s="6"/>
      <c r="U772" s="6"/>
      <c r="V772" s="339"/>
      <c r="W772" s="339"/>
      <c r="X772" s="6"/>
      <c r="Y772" s="206"/>
      <c r="AE772" s="6"/>
      <c r="AF772" s="6"/>
      <c r="AG772" s="6"/>
      <c r="AH772" s="206"/>
      <c r="AJ772" s="213"/>
      <c r="AK772" s="6"/>
      <c r="AL772" s="6"/>
      <c r="AM772" s="6"/>
      <c r="AN772" s="206"/>
      <c r="AP772" s="213"/>
      <c r="AQ772" s="6"/>
      <c r="AR772" s="6"/>
      <c r="AS772" s="6"/>
      <c r="AT772" s="206"/>
      <c r="AV772" s="213"/>
      <c r="AW772" s="6"/>
      <c r="AX772" s="6"/>
      <c r="AY772" s="6"/>
      <c r="AZ772" s="206"/>
    </row>
    <row r="773" spans="4:52" s="2" customFormat="1" ht="17.100000000000001" customHeight="1" x14ac:dyDescent="0.25">
      <c r="D773" s="3"/>
      <c r="E773" s="3"/>
      <c r="F773" s="4"/>
      <c r="G773" s="4"/>
      <c r="H773" s="138"/>
      <c r="I773" s="97"/>
      <c r="J773" s="6"/>
      <c r="K773" s="6"/>
      <c r="L773" s="6"/>
      <c r="M773" s="6"/>
      <c r="N773" s="6"/>
      <c r="O773" s="6"/>
      <c r="P773" s="6"/>
      <c r="Q773" s="6"/>
      <c r="R773" s="6"/>
      <c r="S773" s="6"/>
      <c r="T773" s="6"/>
      <c r="U773" s="6"/>
      <c r="V773" s="339"/>
      <c r="W773" s="339"/>
      <c r="X773" s="6"/>
      <c r="Y773" s="206"/>
      <c r="AE773" s="6"/>
      <c r="AF773" s="6"/>
      <c r="AG773" s="6"/>
      <c r="AH773" s="206"/>
      <c r="AJ773" s="213"/>
      <c r="AK773" s="6"/>
      <c r="AL773" s="6"/>
      <c r="AM773" s="6"/>
      <c r="AN773" s="206"/>
      <c r="AP773" s="213"/>
      <c r="AQ773" s="6"/>
      <c r="AR773" s="6"/>
      <c r="AS773" s="6"/>
      <c r="AT773" s="206"/>
      <c r="AV773" s="213"/>
      <c r="AW773" s="6"/>
      <c r="AX773" s="6"/>
      <c r="AY773" s="6"/>
      <c r="AZ773" s="206"/>
    </row>
    <row r="774" spans="4:52" s="2" customFormat="1" ht="17.100000000000001" customHeight="1" x14ac:dyDescent="0.25">
      <c r="D774" s="3"/>
      <c r="E774" s="3"/>
      <c r="F774" s="4"/>
      <c r="G774" s="4"/>
      <c r="H774" s="138"/>
      <c r="I774" s="97"/>
      <c r="J774" s="6"/>
      <c r="K774" s="6"/>
      <c r="L774" s="6"/>
      <c r="M774" s="6"/>
      <c r="N774" s="6"/>
      <c r="O774" s="6"/>
      <c r="P774" s="6"/>
      <c r="Q774" s="6"/>
      <c r="R774" s="6"/>
      <c r="S774" s="6"/>
      <c r="T774" s="6"/>
      <c r="U774" s="6"/>
      <c r="V774" s="339"/>
      <c r="W774" s="339"/>
      <c r="X774" s="6"/>
      <c r="Y774" s="206"/>
      <c r="AE774" s="6"/>
      <c r="AF774" s="6"/>
      <c r="AG774" s="6"/>
      <c r="AH774" s="206"/>
      <c r="AJ774" s="213"/>
      <c r="AK774" s="6"/>
      <c r="AL774" s="6"/>
      <c r="AM774" s="6"/>
      <c r="AN774" s="206"/>
      <c r="AP774" s="213"/>
      <c r="AQ774" s="6"/>
      <c r="AR774" s="6"/>
      <c r="AS774" s="6"/>
      <c r="AT774" s="206"/>
      <c r="AV774" s="213"/>
      <c r="AW774" s="6"/>
      <c r="AX774" s="6"/>
      <c r="AY774" s="6"/>
      <c r="AZ774" s="206"/>
    </row>
    <row r="775" spans="4:52" s="2" customFormat="1" ht="17.100000000000001" customHeight="1" x14ac:dyDescent="0.25">
      <c r="D775" s="3"/>
      <c r="E775" s="3"/>
      <c r="F775" s="4"/>
      <c r="G775" s="4"/>
      <c r="H775" s="138"/>
      <c r="I775" s="97"/>
      <c r="J775" s="6"/>
      <c r="K775" s="6"/>
      <c r="L775" s="6"/>
      <c r="M775" s="6"/>
      <c r="N775" s="6"/>
      <c r="O775" s="6"/>
      <c r="P775" s="6"/>
      <c r="Q775" s="6"/>
      <c r="R775" s="6"/>
      <c r="S775" s="6"/>
      <c r="T775" s="6"/>
      <c r="U775" s="6"/>
      <c r="V775" s="339"/>
      <c r="W775" s="339"/>
      <c r="X775" s="6"/>
      <c r="Y775" s="206"/>
      <c r="AE775" s="6"/>
      <c r="AF775" s="6"/>
      <c r="AG775" s="6"/>
      <c r="AH775" s="206"/>
      <c r="AJ775" s="213"/>
      <c r="AK775" s="6"/>
      <c r="AL775" s="6"/>
      <c r="AM775" s="6"/>
      <c r="AN775" s="206"/>
      <c r="AP775" s="213"/>
      <c r="AQ775" s="6"/>
      <c r="AR775" s="6"/>
      <c r="AS775" s="6"/>
      <c r="AT775" s="206"/>
      <c r="AV775" s="213"/>
      <c r="AW775" s="6"/>
      <c r="AX775" s="6"/>
      <c r="AY775" s="6"/>
      <c r="AZ775" s="206"/>
    </row>
    <row r="776" spans="4:52" s="2" customFormat="1" ht="17.100000000000001" customHeight="1" x14ac:dyDescent="0.25">
      <c r="D776" s="3"/>
      <c r="E776" s="3"/>
      <c r="F776" s="4"/>
      <c r="G776" s="4"/>
      <c r="H776" s="138"/>
      <c r="I776" s="97"/>
      <c r="J776" s="6"/>
      <c r="K776" s="6"/>
      <c r="L776" s="6"/>
      <c r="M776" s="6"/>
      <c r="N776" s="6"/>
      <c r="O776" s="6"/>
      <c r="P776" s="6"/>
      <c r="Q776" s="6"/>
      <c r="R776" s="6"/>
      <c r="S776" s="6"/>
      <c r="T776" s="6"/>
      <c r="U776" s="6"/>
      <c r="V776" s="339"/>
      <c r="W776" s="339"/>
      <c r="X776" s="6"/>
      <c r="Y776" s="206"/>
      <c r="AE776" s="6"/>
      <c r="AF776" s="6"/>
      <c r="AG776" s="6"/>
      <c r="AH776" s="206"/>
      <c r="AJ776" s="213"/>
      <c r="AK776" s="6"/>
      <c r="AL776" s="6"/>
      <c r="AM776" s="6"/>
      <c r="AN776" s="206"/>
      <c r="AP776" s="213"/>
      <c r="AQ776" s="6"/>
      <c r="AR776" s="6"/>
      <c r="AS776" s="6"/>
      <c r="AT776" s="206"/>
      <c r="AV776" s="213"/>
      <c r="AW776" s="6"/>
      <c r="AX776" s="6"/>
      <c r="AY776" s="6"/>
      <c r="AZ776" s="206"/>
    </row>
    <row r="777" spans="4:52" s="2" customFormat="1" ht="17.100000000000001" customHeight="1" x14ac:dyDescent="0.25">
      <c r="D777" s="3"/>
      <c r="E777" s="3"/>
      <c r="F777" s="4"/>
      <c r="G777" s="4"/>
      <c r="H777" s="138"/>
      <c r="I777" s="97"/>
      <c r="J777" s="6"/>
      <c r="K777" s="6"/>
      <c r="L777" s="6"/>
      <c r="M777" s="6"/>
      <c r="N777" s="6"/>
      <c r="O777" s="6"/>
      <c r="P777" s="6"/>
      <c r="Q777" s="6"/>
      <c r="R777" s="6"/>
      <c r="S777" s="6"/>
      <c r="T777" s="6"/>
      <c r="U777" s="6"/>
      <c r="V777" s="339"/>
      <c r="W777" s="339"/>
      <c r="X777" s="6"/>
      <c r="Y777" s="206"/>
      <c r="AE777" s="6"/>
      <c r="AF777" s="6"/>
      <c r="AG777" s="6"/>
      <c r="AH777" s="206"/>
      <c r="AJ777" s="213"/>
      <c r="AK777" s="6"/>
      <c r="AL777" s="6"/>
      <c r="AM777" s="6"/>
      <c r="AN777" s="206"/>
      <c r="AP777" s="213"/>
      <c r="AQ777" s="6"/>
      <c r="AR777" s="6"/>
      <c r="AS777" s="6"/>
      <c r="AT777" s="206"/>
      <c r="AV777" s="213"/>
      <c r="AW777" s="6"/>
      <c r="AX777" s="6"/>
      <c r="AY777" s="6"/>
      <c r="AZ777" s="206"/>
    </row>
    <row r="778" spans="4:52" s="2" customFormat="1" ht="17.100000000000001" customHeight="1" x14ac:dyDescent="0.25">
      <c r="D778" s="3"/>
      <c r="E778" s="3"/>
      <c r="F778" s="4"/>
      <c r="G778" s="4"/>
      <c r="H778" s="138"/>
      <c r="I778" s="97"/>
      <c r="J778" s="6"/>
      <c r="K778" s="6"/>
      <c r="L778" s="6"/>
      <c r="M778" s="6"/>
      <c r="N778" s="6"/>
      <c r="O778" s="6"/>
      <c r="P778" s="6"/>
      <c r="Q778" s="6"/>
      <c r="R778" s="6"/>
      <c r="S778" s="6"/>
      <c r="T778" s="6"/>
      <c r="U778" s="6"/>
      <c r="V778" s="339"/>
      <c r="W778" s="339"/>
      <c r="X778" s="6"/>
      <c r="Y778" s="206"/>
      <c r="AE778" s="6"/>
      <c r="AF778" s="6"/>
      <c r="AG778" s="6"/>
      <c r="AH778" s="206"/>
      <c r="AJ778" s="213"/>
      <c r="AK778" s="6"/>
      <c r="AL778" s="6"/>
      <c r="AM778" s="6"/>
      <c r="AN778" s="206"/>
      <c r="AP778" s="213"/>
      <c r="AQ778" s="6"/>
      <c r="AR778" s="6"/>
      <c r="AS778" s="6"/>
      <c r="AT778" s="206"/>
      <c r="AV778" s="213"/>
      <c r="AW778" s="6"/>
      <c r="AX778" s="6"/>
      <c r="AY778" s="6"/>
      <c r="AZ778" s="206"/>
    </row>
    <row r="779" spans="4:52" s="2" customFormat="1" ht="17.100000000000001" customHeight="1" x14ac:dyDescent="0.25">
      <c r="D779" s="3"/>
      <c r="E779" s="3"/>
      <c r="F779" s="4"/>
      <c r="G779" s="4"/>
      <c r="H779" s="138"/>
      <c r="I779" s="97"/>
      <c r="J779" s="6"/>
      <c r="K779" s="6"/>
      <c r="L779" s="6"/>
      <c r="M779" s="6"/>
      <c r="N779" s="6"/>
      <c r="O779" s="6"/>
      <c r="P779" s="6"/>
      <c r="Q779" s="6"/>
      <c r="R779" s="6"/>
      <c r="S779" s="6"/>
      <c r="T779" s="6"/>
      <c r="U779" s="6"/>
      <c r="V779" s="339"/>
      <c r="W779" s="339"/>
      <c r="X779" s="6"/>
      <c r="Y779" s="206"/>
      <c r="AE779" s="6"/>
      <c r="AF779" s="6"/>
      <c r="AG779" s="6"/>
      <c r="AH779" s="206"/>
      <c r="AJ779" s="213"/>
      <c r="AK779" s="6"/>
      <c r="AL779" s="6"/>
      <c r="AM779" s="6"/>
      <c r="AN779" s="206"/>
      <c r="AP779" s="213"/>
      <c r="AQ779" s="6"/>
      <c r="AR779" s="6"/>
      <c r="AS779" s="6"/>
      <c r="AT779" s="206"/>
      <c r="AV779" s="213"/>
      <c r="AW779" s="6"/>
      <c r="AX779" s="6"/>
      <c r="AY779" s="6"/>
      <c r="AZ779" s="206"/>
    </row>
    <row r="780" spans="4:52" s="2" customFormat="1" ht="17.100000000000001" customHeight="1" x14ac:dyDescent="0.25">
      <c r="D780" s="3"/>
      <c r="E780" s="3"/>
      <c r="F780" s="4"/>
      <c r="G780" s="4"/>
      <c r="H780" s="138"/>
      <c r="I780" s="97"/>
      <c r="J780" s="6"/>
      <c r="K780" s="6"/>
      <c r="L780" s="6"/>
      <c r="M780" s="6"/>
      <c r="N780" s="6"/>
      <c r="O780" s="6"/>
      <c r="P780" s="6"/>
      <c r="Q780" s="6"/>
      <c r="R780" s="6"/>
      <c r="S780" s="6"/>
      <c r="T780" s="6"/>
      <c r="U780" s="6"/>
      <c r="V780" s="339"/>
      <c r="W780" s="339"/>
      <c r="X780" s="6"/>
      <c r="Y780" s="206"/>
      <c r="AE780" s="6"/>
      <c r="AF780" s="6"/>
      <c r="AG780" s="6"/>
      <c r="AH780" s="206"/>
      <c r="AJ780" s="213"/>
      <c r="AK780" s="6"/>
      <c r="AL780" s="6"/>
      <c r="AM780" s="6"/>
      <c r="AN780" s="206"/>
      <c r="AP780" s="213"/>
      <c r="AQ780" s="6"/>
      <c r="AR780" s="6"/>
      <c r="AS780" s="6"/>
      <c r="AT780" s="206"/>
      <c r="AV780" s="213"/>
      <c r="AW780" s="6"/>
      <c r="AX780" s="6"/>
      <c r="AY780" s="6"/>
      <c r="AZ780" s="206"/>
    </row>
    <row r="781" spans="4:52" s="2" customFormat="1" ht="17.100000000000001" customHeight="1" x14ac:dyDescent="0.25">
      <c r="D781" s="3"/>
      <c r="E781" s="3"/>
      <c r="F781" s="4"/>
      <c r="G781" s="4"/>
      <c r="H781" s="138"/>
      <c r="I781" s="97"/>
      <c r="J781" s="6"/>
      <c r="K781" s="6"/>
      <c r="L781" s="6"/>
      <c r="M781" s="6"/>
      <c r="N781" s="6"/>
      <c r="O781" s="6"/>
      <c r="P781" s="6"/>
      <c r="Q781" s="6"/>
      <c r="R781" s="6"/>
      <c r="S781" s="6"/>
      <c r="T781" s="6"/>
      <c r="U781" s="6"/>
      <c r="V781" s="339"/>
      <c r="W781" s="339"/>
      <c r="X781" s="6"/>
      <c r="Y781" s="206"/>
      <c r="AE781" s="6"/>
      <c r="AF781" s="6"/>
      <c r="AG781" s="6"/>
      <c r="AH781" s="206"/>
      <c r="AJ781" s="213"/>
      <c r="AK781" s="6"/>
      <c r="AL781" s="6"/>
      <c r="AM781" s="6"/>
      <c r="AN781" s="206"/>
      <c r="AP781" s="213"/>
      <c r="AQ781" s="6"/>
      <c r="AR781" s="6"/>
      <c r="AS781" s="6"/>
      <c r="AT781" s="206"/>
      <c r="AV781" s="213"/>
      <c r="AW781" s="6"/>
      <c r="AX781" s="6"/>
      <c r="AY781" s="6"/>
      <c r="AZ781" s="206"/>
    </row>
    <row r="782" spans="4:52" s="2" customFormat="1" ht="17.100000000000001" customHeight="1" x14ac:dyDescent="0.25">
      <c r="D782" s="3"/>
      <c r="E782" s="3"/>
      <c r="F782" s="4"/>
      <c r="G782" s="4"/>
      <c r="H782" s="138"/>
      <c r="I782" s="97"/>
      <c r="J782" s="6"/>
      <c r="K782" s="6"/>
      <c r="L782" s="6"/>
      <c r="M782" s="6"/>
      <c r="N782" s="6"/>
      <c r="O782" s="6"/>
      <c r="P782" s="6"/>
      <c r="Q782" s="6"/>
      <c r="R782" s="6"/>
      <c r="S782" s="6"/>
      <c r="T782" s="6"/>
      <c r="U782" s="6"/>
      <c r="V782" s="339"/>
      <c r="W782" s="339"/>
      <c r="X782" s="6"/>
      <c r="Y782" s="206"/>
      <c r="AE782" s="6"/>
      <c r="AF782" s="6"/>
      <c r="AG782" s="6"/>
      <c r="AH782" s="206"/>
      <c r="AJ782" s="213"/>
      <c r="AK782" s="6"/>
      <c r="AL782" s="6"/>
      <c r="AM782" s="6"/>
      <c r="AN782" s="206"/>
      <c r="AP782" s="213"/>
      <c r="AQ782" s="6"/>
      <c r="AR782" s="6"/>
      <c r="AS782" s="6"/>
      <c r="AT782" s="206"/>
      <c r="AV782" s="213"/>
      <c r="AW782" s="6"/>
      <c r="AX782" s="6"/>
      <c r="AY782" s="6"/>
      <c r="AZ782" s="206"/>
    </row>
    <row r="783" spans="4:52" s="2" customFormat="1" ht="17.100000000000001" customHeight="1" x14ac:dyDescent="0.25">
      <c r="D783" s="3"/>
      <c r="E783" s="3"/>
      <c r="F783" s="4"/>
      <c r="G783" s="4"/>
      <c r="H783" s="138"/>
      <c r="I783" s="97"/>
      <c r="J783" s="6"/>
      <c r="K783" s="6"/>
      <c r="L783" s="6"/>
      <c r="M783" s="6"/>
      <c r="N783" s="6"/>
      <c r="O783" s="6"/>
      <c r="P783" s="6"/>
      <c r="Q783" s="6"/>
      <c r="R783" s="6"/>
      <c r="S783" s="6"/>
      <c r="T783" s="6"/>
      <c r="U783" s="6"/>
      <c r="V783" s="339"/>
      <c r="W783" s="339"/>
      <c r="X783" s="6"/>
      <c r="Y783" s="206"/>
      <c r="AE783" s="6"/>
      <c r="AF783" s="6"/>
      <c r="AG783" s="6"/>
      <c r="AH783" s="206"/>
      <c r="AJ783" s="213"/>
      <c r="AK783" s="6"/>
      <c r="AL783" s="6"/>
      <c r="AM783" s="6"/>
      <c r="AN783" s="206"/>
      <c r="AP783" s="213"/>
      <c r="AQ783" s="6"/>
      <c r="AR783" s="6"/>
      <c r="AS783" s="6"/>
      <c r="AT783" s="206"/>
      <c r="AV783" s="213"/>
      <c r="AW783" s="6"/>
      <c r="AX783" s="6"/>
      <c r="AY783" s="6"/>
      <c r="AZ783" s="206"/>
    </row>
    <row r="784" spans="4:52" s="2" customFormat="1" ht="17.100000000000001" customHeight="1" x14ac:dyDescent="0.25">
      <c r="D784" s="3"/>
      <c r="E784" s="3"/>
      <c r="F784" s="4"/>
      <c r="G784" s="4"/>
      <c r="H784" s="138"/>
      <c r="I784" s="97"/>
      <c r="J784" s="6"/>
      <c r="K784" s="6"/>
      <c r="L784" s="6"/>
      <c r="M784" s="6"/>
      <c r="N784" s="6"/>
      <c r="O784" s="6"/>
      <c r="P784" s="6"/>
      <c r="Q784" s="6"/>
      <c r="R784" s="6"/>
      <c r="S784" s="6"/>
      <c r="T784" s="6"/>
      <c r="U784" s="6"/>
      <c r="V784" s="339"/>
      <c r="W784" s="339"/>
      <c r="X784" s="6"/>
      <c r="Y784" s="206"/>
      <c r="AE784" s="6"/>
      <c r="AF784" s="6"/>
      <c r="AG784" s="6"/>
      <c r="AH784" s="206"/>
      <c r="AJ784" s="213"/>
      <c r="AK784" s="6"/>
      <c r="AL784" s="6"/>
      <c r="AM784" s="6"/>
      <c r="AN784" s="206"/>
      <c r="AP784" s="213"/>
      <c r="AQ784" s="6"/>
      <c r="AR784" s="6"/>
      <c r="AS784" s="6"/>
      <c r="AT784" s="206"/>
      <c r="AV784" s="213"/>
      <c r="AW784" s="6"/>
      <c r="AX784" s="6"/>
      <c r="AY784" s="6"/>
      <c r="AZ784" s="206"/>
    </row>
    <row r="785" spans="4:52" s="2" customFormat="1" ht="17.100000000000001" customHeight="1" x14ac:dyDescent="0.25">
      <c r="D785" s="3"/>
      <c r="E785" s="3"/>
      <c r="F785" s="4"/>
      <c r="G785" s="4"/>
      <c r="H785" s="138"/>
      <c r="I785" s="97"/>
      <c r="J785" s="6"/>
      <c r="K785" s="6"/>
      <c r="L785" s="6"/>
      <c r="M785" s="6"/>
      <c r="N785" s="6"/>
      <c r="O785" s="6"/>
      <c r="P785" s="6"/>
      <c r="Q785" s="6"/>
      <c r="R785" s="6"/>
      <c r="S785" s="6"/>
      <c r="T785" s="6"/>
      <c r="U785" s="6"/>
      <c r="V785" s="339"/>
      <c r="W785" s="339"/>
      <c r="X785" s="6"/>
      <c r="Y785" s="206"/>
      <c r="AE785" s="6"/>
      <c r="AF785" s="6"/>
      <c r="AG785" s="6"/>
      <c r="AH785" s="206"/>
      <c r="AJ785" s="213"/>
      <c r="AK785" s="6"/>
      <c r="AL785" s="6"/>
      <c r="AM785" s="6"/>
      <c r="AN785" s="206"/>
      <c r="AP785" s="213"/>
      <c r="AQ785" s="6"/>
      <c r="AR785" s="6"/>
      <c r="AS785" s="6"/>
      <c r="AT785" s="206"/>
      <c r="AV785" s="213"/>
      <c r="AW785" s="6"/>
      <c r="AX785" s="6"/>
      <c r="AY785" s="6"/>
      <c r="AZ785" s="206"/>
    </row>
    <row r="786" spans="4:52" s="2" customFormat="1" ht="17.100000000000001" customHeight="1" x14ac:dyDescent="0.25">
      <c r="D786" s="3"/>
      <c r="E786" s="3"/>
      <c r="F786" s="4"/>
      <c r="G786" s="4"/>
      <c r="H786" s="138"/>
      <c r="I786" s="97"/>
      <c r="J786" s="6"/>
      <c r="K786" s="6"/>
      <c r="L786" s="6"/>
      <c r="M786" s="6"/>
      <c r="N786" s="6"/>
      <c r="O786" s="6"/>
      <c r="P786" s="6"/>
      <c r="Q786" s="6"/>
      <c r="R786" s="6"/>
      <c r="S786" s="6"/>
      <c r="T786" s="6"/>
      <c r="U786" s="6"/>
      <c r="V786" s="339"/>
      <c r="W786" s="339"/>
      <c r="X786" s="6"/>
      <c r="Y786" s="206"/>
      <c r="AE786" s="6"/>
      <c r="AF786" s="6"/>
      <c r="AG786" s="6"/>
      <c r="AH786" s="206"/>
      <c r="AJ786" s="213"/>
      <c r="AK786" s="6"/>
      <c r="AL786" s="6"/>
      <c r="AM786" s="6"/>
      <c r="AN786" s="206"/>
      <c r="AP786" s="213"/>
      <c r="AQ786" s="6"/>
      <c r="AR786" s="6"/>
      <c r="AS786" s="6"/>
      <c r="AT786" s="206"/>
      <c r="AV786" s="213"/>
      <c r="AW786" s="6"/>
      <c r="AX786" s="6"/>
      <c r="AY786" s="6"/>
      <c r="AZ786" s="206"/>
    </row>
    <row r="787" spans="4:52" s="2" customFormat="1" ht="17.100000000000001" customHeight="1" x14ac:dyDescent="0.25">
      <c r="D787" s="3"/>
      <c r="E787" s="3"/>
      <c r="F787" s="4"/>
      <c r="G787" s="4"/>
      <c r="H787" s="138"/>
      <c r="I787" s="97"/>
      <c r="J787" s="6"/>
      <c r="K787" s="6"/>
      <c r="L787" s="6"/>
      <c r="M787" s="6"/>
      <c r="N787" s="6"/>
      <c r="O787" s="6"/>
      <c r="P787" s="6"/>
      <c r="Q787" s="6"/>
      <c r="R787" s="6"/>
      <c r="S787" s="6"/>
      <c r="T787" s="6"/>
      <c r="U787" s="6"/>
      <c r="V787" s="339"/>
      <c r="W787" s="339"/>
      <c r="X787" s="6"/>
      <c r="Y787" s="206"/>
      <c r="AE787" s="6"/>
      <c r="AF787" s="6"/>
      <c r="AG787" s="6"/>
      <c r="AH787" s="206"/>
      <c r="AJ787" s="213"/>
      <c r="AK787" s="6"/>
      <c r="AL787" s="6"/>
      <c r="AM787" s="6"/>
      <c r="AN787" s="206"/>
      <c r="AP787" s="213"/>
      <c r="AQ787" s="6"/>
      <c r="AR787" s="6"/>
      <c r="AS787" s="6"/>
      <c r="AT787" s="206"/>
      <c r="AV787" s="213"/>
      <c r="AW787" s="6"/>
      <c r="AX787" s="6"/>
      <c r="AY787" s="6"/>
      <c r="AZ787" s="206"/>
    </row>
    <row r="788" spans="4:52" s="2" customFormat="1" ht="17.100000000000001" customHeight="1" x14ac:dyDescent="0.25">
      <c r="D788" s="3"/>
      <c r="E788" s="3"/>
      <c r="F788" s="4"/>
      <c r="G788" s="4"/>
      <c r="H788" s="138"/>
      <c r="I788" s="97"/>
      <c r="J788" s="6"/>
      <c r="K788" s="6"/>
      <c r="L788" s="6"/>
      <c r="M788" s="6"/>
      <c r="N788" s="6"/>
      <c r="O788" s="6"/>
      <c r="P788" s="6"/>
      <c r="Q788" s="6"/>
      <c r="R788" s="6"/>
      <c r="S788" s="6"/>
      <c r="T788" s="6"/>
      <c r="U788" s="6"/>
      <c r="V788" s="339"/>
      <c r="W788" s="339"/>
      <c r="X788" s="6"/>
      <c r="Y788" s="206"/>
      <c r="AE788" s="6"/>
      <c r="AF788" s="6"/>
      <c r="AG788" s="6"/>
      <c r="AH788" s="206"/>
      <c r="AJ788" s="213"/>
      <c r="AK788" s="6"/>
      <c r="AL788" s="6"/>
      <c r="AM788" s="6"/>
      <c r="AN788" s="206"/>
      <c r="AP788" s="213"/>
      <c r="AQ788" s="6"/>
      <c r="AR788" s="6"/>
      <c r="AS788" s="6"/>
      <c r="AT788" s="206"/>
      <c r="AV788" s="213"/>
      <c r="AW788" s="6"/>
      <c r="AX788" s="6"/>
      <c r="AY788" s="6"/>
      <c r="AZ788" s="206"/>
    </row>
    <row r="789" spans="4:52" s="2" customFormat="1" ht="17.100000000000001" customHeight="1" x14ac:dyDescent="0.25">
      <c r="D789" s="3"/>
      <c r="E789" s="3"/>
      <c r="F789" s="4"/>
      <c r="G789" s="4"/>
      <c r="H789" s="138"/>
      <c r="I789" s="97"/>
      <c r="J789" s="6"/>
      <c r="K789" s="6"/>
      <c r="L789" s="6"/>
      <c r="M789" s="6"/>
      <c r="N789" s="6"/>
      <c r="O789" s="6"/>
      <c r="P789" s="6"/>
      <c r="Q789" s="6"/>
      <c r="R789" s="6"/>
      <c r="S789" s="6"/>
      <c r="T789" s="6"/>
      <c r="U789" s="6"/>
      <c r="V789" s="339"/>
      <c r="W789" s="339"/>
      <c r="X789" s="6"/>
      <c r="Y789" s="206"/>
      <c r="AE789" s="6"/>
      <c r="AF789" s="6"/>
      <c r="AG789" s="6"/>
      <c r="AH789" s="206"/>
      <c r="AJ789" s="213"/>
      <c r="AK789" s="6"/>
      <c r="AL789" s="6"/>
      <c r="AM789" s="6"/>
      <c r="AN789" s="206"/>
      <c r="AP789" s="213"/>
      <c r="AQ789" s="6"/>
      <c r="AR789" s="6"/>
      <c r="AS789" s="6"/>
      <c r="AT789" s="206"/>
      <c r="AV789" s="213"/>
      <c r="AW789" s="6"/>
      <c r="AX789" s="6"/>
      <c r="AY789" s="6"/>
      <c r="AZ789" s="206"/>
    </row>
    <row r="790" spans="4:52" s="2" customFormat="1" ht="17.100000000000001" customHeight="1" x14ac:dyDescent="0.25">
      <c r="D790" s="3"/>
      <c r="E790" s="3"/>
      <c r="F790" s="4"/>
      <c r="G790" s="4"/>
      <c r="H790" s="138"/>
      <c r="I790" s="97"/>
      <c r="J790" s="6"/>
      <c r="K790" s="6"/>
      <c r="L790" s="6"/>
      <c r="M790" s="6"/>
      <c r="N790" s="6"/>
      <c r="O790" s="6"/>
      <c r="P790" s="6"/>
      <c r="Q790" s="6"/>
      <c r="R790" s="6"/>
      <c r="S790" s="6"/>
      <c r="T790" s="6"/>
      <c r="U790" s="6"/>
      <c r="V790" s="339"/>
      <c r="W790" s="339"/>
      <c r="X790" s="6"/>
      <c r="Y790" s="206"/>
      <c r="AE790" s="6"/>
      <c r="AF790" s="6"/>
      <c r="AG790" s="6"/>
      <c r="AH790" s="206"/>
      <c r="AJ790" s="213"/>
      <c r="AK790" s="6"/>
      <c r="AL790" s="6"/>
      <c r="AM790" s="6"/>
      <c r="AN790" s="206"/>
      <c r="AP790" s="213"/>
      <c r="AQ790" s="6"/>
      <c r="AR790" s="6"/>
      <c r="AS790" s="6"/>
      <c r="AT790" s="206"/>
      <c r="AV790" s="213"/>
      <c r="AW790" s="6"/>
      <c r="AX790" s="6"/>
      <c r="AY790" s="6"/>
      <c r="AZ790" s="206"/>
    </row>
    <row r="791" spans="4:52" s="2" customFormat="1" ht="17.100000000000001" customHeight="1" x14ac:dyDescent="0.25">
      <c r="D791" s="3"/>
      <c r="E791" s="3"/>
      <c r="F791" s="4"/>
      <c r="G791" s="4"/>
      <c r="H791" s="138"/>
      <c r="I791" s="97"/>
      <c r="J791" s="6"/>
      <c r="K791" s="6"/>
      <c r="L791" s="6"/>
      <c r="M791" s="6"/>
      <c r="N791" s="6"/>
      <c r="O791" s="6"/>
      <c r="P791" s="6"/>
      <c r="Q791" s="6"/>
      <c r="R791" s="6"/>
      <c r="S791" s="6"/>
      <c r="T791" s="6"/>
      <c r="U791" s="6"/>
      <c r="V791" s="339"/>
      <c r="W791" s="339"/>
      <c r="X791" s="6"/>
      <c r="Y791" s="206"/>
      <c r="AE791" s="6"/>
      <c r="AF791" s="6"/>
      <c r="AG791" s="6"/>
      <c r="AH791" s="206"/>
      <c r="AJ791" s="213"/>
      <c r="AK791" s="6"/>
      <c r="AL791" s="6"/>
      <c r="AM791" s="6"/>
      <c r="AN791" s="206"/>
      <c r="AP791" s="213"/>
      <c r="AQ791" s="6"/>
      <c r="AR791" s="6"/>
      <c r="AS791" s="6"/>
      <c r="AT791" s="206"/>
      <c r="AV791" s="213"/>
      <c r="AW791" s="6"/>
      <c r="AX791" s="6"/>
      <c r="AY791" s="6"/>
      <c r="AZ791" s="206"/>
    </row>
    <row r="792" spans="4:52" s="2" customFormat="1" ht="17.100000000000001" customHeight="1" x14ac:dyDescent="0.25">
      <c r="D792" s="3"/>
      <c r="E792" s="3"/>
      <c r="F792" s="4"/>
      <c r="G792" s="4"/>
      <c r="H792" s="138"/>
      <c r="I792" s="97"/>
      <c r="J792" s="6"/>
      <c r="K792" s="6"/>
      <c r="L792" s="6"/>
      <c r="M792" s="6"/>
      <c r="N792" s="6"/>
      <c r="O792" s="6"/>
      <c r="P792" s="6"/>
      <c r="Q792" s="6"/>
      <c r="R792" s="6"/>
      <c r="S792" s="6"/>
      <c r="T792" s="6"/>
      <c r="U792" s="6"/>
      <c r="V792" s="339"/>
      <c r="W792" s="339"/>
      <c r="X792" s="6"/>
      <c r="Y792" s="206"/>
      <c r="AE792" s="6"/>
      <c r="AF792" s="6"/>
      <c r="AG792" s="6"/>
      <c r="AH792" s="206"/>
      <c r="AJ792" s="213"/>
      <c r="AK792" s="6"/>
      <c r="AL792" s="6"/>
      <c r="AM792" s="6"/>
      <c r="AN792" s="206"/>
      <c r="AP792" s="213"/>
      <c r="AQ792" s="6"/>
      <c r="AR792" s="6"/>
      <c r="AS792" s="6"/>
      <c r="AT792" s="206"/>
      <c r="AV792" s="213"/>
      <c r="AW792" s="6"/>
      <c r="AX792" s="6"/>
      <c r="AY792" s="6"/>
      <c r="AZ792" s="206"/>
    </row>
    <row r="793" spans="4:52" s="2" customFormat="1" ht="17.100000000000001" customHeight="1" x14ac:dyDescent="0.25">
      <c r="D793" s="3"/>
      <c r="E793" s="3"/>
      <c r="F793" s="4"/>
      <c r="G793" s="4"/>
      <c r="H793" s="138"/>
      <c r="I793" s="97"/>
      <c r="J793" s="6"/>
      <c r="K793" s="6"/>
      <c r="L793" s="6"/>
      <c r="M793" s="6"/>
      <c r="N793" s="6"/>
      <c r="O793" s="6"/>
      <c r="P793" s="6"/>
      <c r="Q793" s="6"/>
      <c r="R793" s="6"/>
      <c r="S793" s="6"/>
      <c r="T793" s="6"/>
      <c r="U793" s="6"/>
      <c r="V793" s="339"/>
      <c r="W793" s="339"/>
      <c r="X793" s="6"/>
      <c r="Y793" s="206"/>
      <c r="AE793" s="6"/>
      <c r="AF793" s="6"/>
      <c r="AG793" s="6"/>
      <c r="AH793" s="206"/>
      <c r="AJ793" s="213"/>
      <c r="AK793" s="6"/>
      <c r="AL793" s="6"/>
      <c r="AM793" s="6"/>
      <c r="AN793" s="206"/>
      <c r="AP793" s="213"/>
      <c r="AQ793" s="6"/>
      <c r="AR793" s="6"/>
      <c r="AS793" s="6"/>
      <c r="AT793" s="206"/>
      <c r="AV793" s="213"/>
      <c r="AW793" s="6"/>
      <c r="AX793" s="6"/>
      <c r="AY793" s="6"/>
      <c r="AZ793" s="206"/>
    </row>
    <row r="794" spans="4:52" s="2" customFormat="1" ht="17.100000000000001" customHeight="1" x14ac:dyDescent="0.25">
      <c r="D794" s="3"/>
      <c r="E794" s="3"/>
      <c r="F794" s="4"/>
      <c r="G794" s="4"/>
      <c r="H794" s="138"/>
      <c r="I794" s="97"/>
      <c r="J794" s="6"/>
      <c r="K794" s="6"/>
      <c r="L794" s="6"/>
      <c r="M794" s="6"/>
      <c r="N794" s="6"/>
      <c r="O794" s="6"/>
      <c r="P794" s="6"/>
      <c r="Q794" s="6"/>
      <c r="R794" s="6"/>
      <c r="S794" s="6"/>
      <c r="T794" s="6"/>
      <c r="U794" s="6"/>
      <c r="V794" s="339"/>
      <c r="W794" s="339"/>
      <c r="X794" s="6"/>
      <c r="Y794" s="206"/>
      <c r="AE794" s="6"/>
      <c r="AF794" s="6"/>
      <c r="AG794" s="6"/>
      <c r="AH794" s="206"/>
      <c r="AJ794" s="213"/>
      <c r="AK794" s="6"/>
      <c r="AL794" s="6"/>
      <c r="AM794" s="6"/>
      <c r="AN794" s="206"/>
      <c r="AP794" s="213"/>
      <c r="AQ794" s="6"/>
      <c r="AR794" s="6"/>
      <c r="AS794" s="6"/>
      <c r="AT794" s="206"/>
      <c r="AV794" s="213"/>
      <c r="AW794" s="6"/>
      <c r="AX794" s="6"/>
      <c r="AY794" s="6"/>
      <c r="AZ794" s="206"/>
    </row>
    <row r="795" spans="4:52" s="2" customFormat="1" ht="17.100000000000001" customHeight="1" x14ac:dyDescent="0.25">
      <c r="D795" s="3"/>
      <c r="E795" s="3"/>
      <c r="F795" s="4"/>
      <c r="G795" s="4"/>
      <c r="H795" s="138"/>
      <c r="I795" s="97"/>
      <c r="J795" s="6"/>
      <c r="K795" s="6"/>
      <c r="L795" s="6"/>
      <c r="M795" s="6"/>
      <c r="N795" s="6"/>
      <c r="O795" s="6"/>
      <c r="P795" s="6"/>
      <c r="Q795" s="6"/>
      <c r="R795" s="6"/>
      <c r="S795" s="6"/>
      <c r="T795" s="6"/>
      <c r="U795" s="6"/>
      <c r="V795" s="339"/>
      <c r="W795" s="339"/>
      <c r="X795" s="6"/>
      <c r="Y795" s="206"/>
      <c r="AE795" s="6"/>
      <c r="AF795" s="6"/>
      <c r="AG795" s="6"/>
      <c r="AH795" s="206"/>
      <c r="AJ795" s="213"/>
      <c r="AK795" s="6"/>
      <c r="AL795" s="6"/>
      <c r="AM795" s="6"/>
      <c r="AN795" s="206"/>
      <c r="AP795" s="213"/>
      <c r="AQ795" s="6"/>
      <c r="AR795" s="6"/>
      <c r="AS795" s="6"/>
      <c r="AT795" s="206"/>
      <c r="AV795" s="213"/>
      <c r="AW795" s="6"/>
      <c r="AX795" s="6"/>
      <c r="AY795" s="6"/>
      <c r="AZ795" s="206"/>
    </row>
    <row r="796" spans="4:52" s="2" customFormat="1" ht="17.100000000000001" customHeight="1" x14ac:dyDescent="0.25">
      <c r="D796" s="3"/>
      <c r="E796" s="3"/>
      <c r="F796" s="4"/>
      <c r="G796" s="4"/>
      <c r="H796" s="138"/>
      <c r="I796" s="97"/>
      <c r="J796" s="6"/>
      <c r="K796" s="6"/>
      <c r="L796" s="6"/>
      <c r="M796" s="6"/>
      <c r="N796" s="6"/>
      <c r="O796" s="6"/>
      <c r="P796" s="6"/>
      <c r="Q796" s="6"/>
      <c r="R796" s="6"/>
      <c r="S796" s="6"/>
      <c r="T796" s="6"/>
      <c r="U796" s="6"/>
      <c r="V796" s="339"/>
      <c r="W796" s="339"/>
      <c r="X796" s="6"/>
      <c r="Y796" s="206"/>
      <c r="AE796" s="6"/>
      <c r="AF796" s="6"/>
      <c r="AG796" s="6"/>
      <c r="AH796" s="206"/>
      <c r="AJ796" s="213"/>
      <c r="AK796" s="6"/>
      <c r="AL796" s="6"/>
      <c r="AM796" s="6"/>
      <c r="AN796" s="206"/>
      <c r="AP796" s="213"/>
      <c r="AQ796" s="6"/>
      <c r="AR796" s="6"/>
      <c r="AS796" s="6"/>
      <c r="AT796" s="206"/>
      <c r="AV796" s="213"/>
      <c r="AW796" s="6"/>
      <c r="AX796" s="6"/>
      <c r="AY796" s="6"/>
      <c r="AZ796" s="206"/>
    </row>
    <row r="797" spans="4:52" s="2" customFormat="1" ht="17.100000000000001" customHeight="1" x14ac:dyDescent="0.25">
      <c r="D797" s="3"/>
      <c r="E797" s="3"/>
      <c r="F797" s="4"/>
      <c r="G797" s="4"/>
      <c r="H797" s="138"/>
      <c r="I797" s="97"/>
      <c r="J797" s="6"/>
      <c r="K797" s="6"/>
      <c r="L797" s="6"/>
      <c r="M797" s="6"/>
      <c r="N797" s="6"/>
      <c r="O797" s="6"/>
      <c r="P797" s="6"/>
      <c r="Q797" s="6"/>
      <c r="R797" s="6"/>
      <c r="S797" s="6"/>
      <c r="T797" s="6"/>
      <c r="U797" s="6"/>
      <c r="V797" s="339"/>
      <c r="W797" s="339"/>
      <c r="X797" s="6"/>
      <c r="Y797" s="206"/>
      <c r="AE797" s="6"/>
      <c r="AF797" s="6"/>
      <c r="AG797" s="6"/>
      <c r="AH797" s="206"/>
      <c r="AJ797" s="213"/>
      <c r="AK797" s="6"/>
      <c r="AL797" s="6"/>
      <c r="AM797" s="6"/>
      <c r="AN797" s="206"/>
      <c r="AP797" s="213"/>
      <c r="AQ797" s="6"/>
      <c r="AR797" s="6"/>
      <c r="AS797" s="6"/>
      <c r="AT797" s="206"/>
      <c r="AV797" s="213"/>
      <c r="AW797" s="6"/>
      <c r="AX797" s="6"/>
      <c r="AY797" s="6"/>
      <c r="AZ797" s="206"/>
    </row>
    <row r="798" spans="4:52" s="2" customFormat="1" ht="17.100000000000001" customHeight="1" x14ac:dyDescent="0.25">
      <c r="D798" s="3"/>
      <c r="E798" s="3"/>
      <c r="F798" s="4"/>
      <c r="G798" s="4"/>
      <c r="H798" s="138"/>
      <c r="I798" s="97"/>
      <c r="J798" s="6"/>
      <c r="K798" s="6"/>
      <c r="L798" s="6"/>
      <c r="M798" s="6"/>
      <c r="N798" s="6"/>
      <c r="O798" s="6"/>
      <c r="P798" s="6"/>
      <c r="Q798" s="6"/>
      <c r="R798" s="6"/>
      <c r="S798" s="6"/>
      <c r="T798" s="6"/>
      <c r="U798" s="6"/>
      <c r="V798" s="339"/>
      <c r="W798" s="339"/>
      <c r="X798" s="6"/>
      <c r="Y798" s="206"/>
      <c r="AE798" s="6"/>
      <c r="AF798" s="6"/>
      <c r="AG798" s="6"/>
      <c r="AH798" s="206"/>
      <c r="AJ798" s="213"/>
      <c r="AK798" s="6"/>
      <c r="AL798" s="6"/>
      <c r="AM798" s="6"/>
      <c r="AN798" s="206"/>
      <c r="AP798" s="213"/>
      <c r="AQ798" s="6"/>
      <c r="AR798" s="6"/>
      <c r="AS798" s="6"/>
      <c r="AT798" s="206"/>
      <c r="AV798" s="213"/>
      <c r="AW798" s="6"/>
      <c r="AX798" s="6"/>
      <c r="AY798" s="6"/>
      <c r="AZ798" s="206"/>
    </row>
    <row r="799" spans="4:52" s="2" customFormat="1" ht="17.100000000000001" customHeight="1" x14ac:dyDescent="0.25">
      <c r="D799" s="3"/>
      <c r="E799" s="3"/>
      <c r="F799" s="4"/>
      <c r="G799" s="4"/>
      <c r="H799" s="138"/>
      <c r="I799" s="97"/>
      <c r="J799" s="6"/>
      <c r="K799" s="6"/>
      <c r="L799" s="6"/>
      <c r="M799" s="6"/>
      <c r="N799" s="6"/>
      <c r="O799" s="6"/>
      <c r="P799" s="6"/>
      <c r="Q799" s="6"/>
      <c r="R799" s="6"/>
      <c r="S799" s="6"/>
      <c r="T799" s="6"/>
      <c r="U799" s="6"/>
      <c r="V799" s="339"/>
      <c r="W799" s="339"/>
      <c r="X799" s="6"/>
      <c r="Y799" s="206"/>
      <c r="AE799" s="6"/>
      <c r="AF799" s="6"/>
      <c r="AG799" s="6"/>
      <c r="AH799" s="206"/>
      <c r="AJ799" s="213"/>
      <c r="AK799" s="6"/>
      <c r="AL799" s="6"/>
      <c r="AM799" s="6"/>
      <c r="AN799" s="206"/>
      <c r="AP799" s="213"/>
      <c r="AQ799" s="6"/>
      <c r="AR799" s="6"/>
      <c r="AS799" s="6"/>
      <c r="AT799" s="206"/>
      <c r="AV799" s="213"/>
      <c r="AW799" s="6"/>
      <c r="AX799" s="6"/>
      <c r="AY799" s="6"/>
      <c r="AZ799" s="206"/>
    </row>
    <row r="800" spans="4:52" s="2" customFormat="1" ht="17.100000000000001" customHeight="1" x14ac:dyDescent="0.25">
      <c r="D800" s="3"/>
      <c r="E800" s="3"/>
      <c r="F800" s="4"/>
      <c r="G800" s="4"/>
      <c r="H800" s="138"/>
      <c r="I800" s="97"/>
      <c r="J800" s="6"/>
      <c r="K800" s="6"/>
      <c r="L800" s="6"/>
      <c r="M800" s="6"/>
      <c r="N800" s="6"/>
      <c r="O800" s="6"/>
      <c r="P800" s="6"/>
      <c r="Q800" s="6"/>
      <c r="R800" s="6"/>
      <c r="S800" s="6"/>
      <c r="T800" s="6"/>
      <c r="U800" s="6"/>
      <c r="V800" s="339"/>
      <c r="W800" s="339"/>
      <c r="X800" s="6"/>
      <c r="Y800" s="206"/>
      <c r="AE800" s="6"/>
      <c r="AF800" s="6"/>
      <c r="AG800" s="6"/>
      <c r="AH800" s="206"/>
      <c r="AJ800" s="213"/>
      <c r="AK800" s="6"/>
      <c r="AL800" s="6"/>
      <c r="AM800" s="6"/>
      <c r="AN800" s="206"/>
      <c r="AP800" s="213"/>
      <c r="AQ800" s="6"/>
      <c r="AR800" s="6"/>
      <c r="AS800" s="6"/>
      <c r="AT800" s="206"/>
      <c r="AV800" s="213"/>
      <c r="AW800" s="6"/>
      <c r="AX800" s="6"/>
      <c r="AY800" s="6"/>
      <c r="AZ800" s="206"/>
    </row>
    <row r="801" spans="4:52" s="2" customFormat="1" ht="17.100000000000001" customHeight="1" x14ac:dyDescent="0.25">
      <c r="D801" s="3"/>
      <c r="E801" s="3"/>
      <c r="F801" s="4"/>
      <c r="G801" s="4"/>
      <c r="H801" s="138"/>
      <c r="I801" s="97"/>
      <c r="J801" s="6"/>
      <c r="K801" s="6"/>
      <c r="L801" s="6"/>
      <c r="M801" s="6"/>
      <c r="N801" s="6"/>
      <c r="O801" s="6"/>
      <c r="P801" s="6"/>
      <c r="Q801" s="6"/>
      <c r="R801" s="6"/>
      <c r="S801" s="6"/>
      <c r="T801" s="6"/>
      <c r="U801" s="6"/>
      <c r="V801" s="339"/>
      <c r="W801" s="339"/>
      <c r="X801" s="6"/>
      <c r="Y801" s="206"/>
      <c r="AE801" s="6"/>
      <c r="AF801" s="6"/>
      <c r="AG801" s="6"/>
      <c r="AH801" s="206"/>
      <c r="AJ801" s="213"/>
      <c r="AK801" s="6"/>
      <c r="AL801" s="6"/>
      <c r="AM801" s="6"/>
      <c r="AN801" s="206"/>
      <c r="AP801" s="213"/>
      <c r="AQ801" s="6"/>
      <c r="AR801" s="6"/>
      <c r="AS801" s="6"/>
      <c r="AT801" s="206"/>
      <c r="AV801" s="213"/>
      <c r="AW801" s="6"/>
      <c r="AX801" s="6"/>
      <c r="AY801" s="6"/>
      <c r="AZ801" s="206"/>
    </row>
    <row r="802" spans="4:52" s="2" customFormat="1" ht="17.100000000000001" customHeight="1" x14ac:dyDescent="0.25">
      <c r="D802" s="3"/>
      <c r="E802" s="3"/>
      <c r="F802" s="4"/>
      <c r="G802" s="4"/>
      <c r="H802" s="138"/>
      <c r="I802" s="97"/>
      <c r="J802" s="6"/>
      <c r="K802" s="6"/>
      <c r="L802" s="6"/>
      <c r="M802" s="6"/>
      <c r="N802" s="6"/>
      <c r="O802" s="6"/>
      <c r="P802" s="6"/>
      <c r="Q802" s="6"/>
      <c r="R802" s="6"/>
      <c r="S802" s="6"/>
      <c r="T802" s="6"/>
      <c r="U802" s="6"/>
      <c r="V802" s="339"/>
      <c r="W802" s="339"/>
      <c r="X802" s="6"/>
      <c r="Y802" s="206"/>
      <c r="AE802" s="6"/>
      <c r="AF802" s="6"/>
      <c r="AG802" s="6"/>
      <c r="AH802" s="206"/>
      <c r="AJ802" s="213"/>
      <c r="AK802" s="6"/>
      <c r="AL802" s="6"/>
      <c r="AM802" s="6"/>
      <c r="AN802" s="206"/>
      <c r="AP802" s="213"/>
      <c r="AQ802" s="6"/>
      <c r="AR802" s="6"/>
      <c r="AS802" s="6"/>
      <c r="AT802" s="206"/>
      <c r="AV802" s="213"/>
      <c r="AW802" s="6"/>
      <c r="AX802" s="6"/>
      <c r="AY802" s="6"/>
      <c r="AZ802" s="206"/>
    </row>
    <row r="803" spans="4:52" s="2" customFormat="1" ht="17.100000000000001" customHeight="1" x14ac:dyDescent="0.25">
      <c r="D803" s="3"/>
      <c r="E803" s="3"/>
      <c r="F803" s="4"/>
      <c r="G803" s="4"/>
      <c r="H803" s="138"/>
      <c r="I803" s="97"/>
      <c r="J803" s="6"/>
      <c r="K803" s="6"/>
      <c r="L803" s="6"/>
      <c r="M803" s="6"/>
      <c r="N803" s="6"/>
      <c r="O803" s="6"/>
      <c r="P803" s="6"/>
      <c r="Q803" s="6"/>
      <c r="R803" s="6"/>
      <c r="S803" s="6"/>
      <c r="T803" s="6"/>
      <c r="U803" s="6"/>
      <c r="V803" s="339"/>
      <c r="W803" s="339"/>
      <c r="X803" s="6"/>
      <c r="Y803" s="206"/>
      <c r="AE803" s="6"/>
      <c r="AF803" s="6"/>
      <c r="AG803" s="6"/>
      <c r="AH803" s="206"/>
      <c r="AJ803" s="213"/>
      <c r="AK803" s="6"/>
      <c r="AL803" s="6"/>
      <c r="AM803" s="6"/>
      <c r="AN803" s="206"/>
      <c r="AP803" s="213"/>
      <c r="AQ803" s="6"/>
      <c r="AR803" s="6"/>
      <c r="AS803" s="6"/>
      <c r="AT803" s="206"/>
      <c r="AV803" s="213"/>
      <c r="AW803" s="6"/>
      <c r="AX803" s="6"/>
      <c r="AY803" s="6"/>
      <c r="AZ803" s="206"/>
    </row>
    <row r="804" spans="4:52" s="2" customFormat="1" ht="17.100000000000001" customHeight="1" x14ac:dyDescent="0.25">
      <c r="D804" s="3"/>
      <c r="E804" s="3"/>
      <c r="F804" s="4"/>
      <c r="G804" s="4"/>
      <c r="H804" s="138"/>
      <c r="I804" s="97"/>
      <c r="J804" s="6"/>
      <c r="K804" s="6"/>
      <c r="L804" s="6"/>
      <c r="M804" s="6"/>
      <c r="N804" s="6"/>
      <c r="O804" s="6"/>
      <c r="P804" s="6"/>
      <c r="Q804" s="6"/>
      <c r="R804" s="6"/>
      <c r="S804" s="6"/>
      <c r="T804" s="6"/>
      <c r="U804" s="6"/>
      <c r="V804" s="339"/>
      <c r="W804" s="339"/>
      <c r="X804" s="6"/>
      <c r="Y804" s="206"/>
      <c r="AE804" s="6"/>
      <c r="AF804" s="6"/>
      <c r="AG804" s="6"/>
      <c r="AH804" s="206"/>
      <c r="AJ804" s="213"/>
      <c r="AK804" s="6"/>
      <c r="AL804" s="6"/>
      <c r="AM804" s="6"/>
      <c r="AN804" s="206"/>
      <c r="AP804" s="213"/>
      <c r="AQ804" s="6"/>
      <c r="AR804" s="6"/>
      <c r="AS804" s="6"/>
      <c r="AT804" s="206"/>
      <c r="AV804" s="213"/>
      <c r="AW804" s="6"/>
      <c r="AX804" s="6"/>
      <c r="AY804" s="6"/>
      <c r="AZ804" s="206"/>
    </row>
    <row r="805" spans="4:52" s="2" customFormat="1" ht="17.100000000000001" customHeight="1" x14ac:dyDescent="0.25">
      <c r="D805" s="3"/>
      <c r="E805" s="3"/>
      <c r="F805" s="4"/>
      <c r="G805" s="4"/>
      <c r="H805" s="138"/>
      <c r="I805" s="97"/>
      <c r="J805" s="6"/>
      <c r="K805" s="6"/>
      <c r="L805" s="6"/>
      <c r="M805" s="6"/>
      <c r="N805" s="6"/>
      <c r="O805" s="6"/>
      <c r="P805" s="6"/>
      <c r="Q805" s="6"/>
      <c r="R805" s="6"/>
      <c r="S805" s="6"/>
      <c r="T805" s="6"/>
      <c r="U805" s="6"/>
      <c r="V805" s="339"/>
      <c r="W805" s="339"/>
      <c r="X805" s="6"/>
      <c r="Y805" s="206"/>
      <c r="AE805" s="6"/>
      <c r="AF805" s="6"/>
      <c r="AG805" s="6"/>
      <c r="AH805" s="206"/>
      <c r="AJ805" s="213"/>
      <c r="AK805" s="6"/>
      <c r="AL805" s="6"/>
      <c r="AM805" s="6"/>
      <c r="AN805" s="206"/>
      <c r="AP805" s="213"/>
      <c r="AQ805" s="6"/>
      <c r="AR805" s="6"/>
      <c r="AS805" s="6"/>
      <c r="AT805" s="206"/>
      <c r="AV805" s="213"/>
      <c r="AW805" s="6"/>
      <c r="AX805" s="6"/>
      <c r="AY805" s="6"/>
      <c r="AZ805" s="206"/>
    </row>
    <row r="806" spans="4:52" s="2" customFormat="1" ht="17.100000000000001" customHeight="1" x14ac:dyDescent="0.25">
      <c r="D806" s="3"/>
      <c r="E806" s="3"/>
      <c r="F806" s="4"/>
      <c r="G806" s="4"/>
      <c r="H806" s="138"/>
      <c r="I806" s="97"/>
      <c r="J806" s="6"/>
      <c r="K806" s="6"/>
      <c r="L806" s="6"/>
      <c r="M806" s="6"/>
      <c r="N806" s="6"/>
      <c r="O806" s="6"/>
      <c r="P806" s="6"/>
      <c r="Q806" s="6"/>
      <c r="R806" s="6"/>
      <c r="S806" s="6"/>
      <c r="T806" s="6"/>
      <c r="U806" s="6"/>
      <c r="V806" s="339"/>
      <c r="W806" s="339"/>
      <c r="X806" s="6"/>
      <c r="Y806" s="206"/>
      <c r="AE806" s="6"/>
      <c r="AF806" s="6"/>
      <c r="AG806" s="6"/>
      <c r="AH806" s="206"/>
      <c r="AJ806" s="213"/>
      <c r="AK806" s="6"/>
      <c r="AL806" s="6"/>
      <c r="AM806" s="6"/>
      <c r="AN806" s="206"/>
      <c r="AP806" s="213"/>
      <c r="AQ806" s="6"/>
      <c r="AR806" s="6"/>
      <c r="AS806" s="6"/>
      <c r="AT806" s="206"/>
      <c r="AV806" s="213"/>
      <c r="AW806" s="6"/>
      <c r="AX806" s="6"/>
      <c r="AY806" s="6"/>
      <c r="AZ806" s="206"/>
    </row>
    <row r="807" spans="4:52" s="2" customFormat="1" ht="17.100000000000001" customHeight="1" x14ac:dyDescent="0.25">
      <c r="D807" s="3"/>
      <c r="E807" s="3"/>
      <c r="F807" s="4"/>
      <c r="G807" s="4"/>
      <c r="H807" s="138"/>
      <c r="I807" s="97"/>
      <c r="J807" s="6"/>
      <c r="K807" s="6"/>
      <c r="L807" s="6"/>
      <c r="M807" s="6"/>
      <c r="N807" s="6"/>
      <c r="O807" s="6"/>
      <c r="P807" s="6"/>
      <c r="Q807" s="6"/>
      <c r="R807" s="6"/>
      <c r="S807" s="6"/>
      <c r="T807" s="6"/>
      <c r="U807" s="6"/>
      <c r="V807" s="339"/>
      <c r="W807" s="339"/>
      <c r="X807" s="6"/>
      <c r="Y807" s="206"/>
      <c r="AE807" s="6"/>
      <c r="AF807" s="6"/>
      <c r="AG807" s="6"/>
      <c r="AH807" s="206"/>
      <c r="AJ807" s="213"/>
      <c r="AK807" s="6"/>
      <c r="AL807" s="6"/>
      <c r="AM807" s="6"/>
      <c r="AN807" s="206"/>
      <c r="AP807" s="213"/>
      <c r="AQ807" s="6"/>
      <c r="AR807" s="6"/>
      <c r="AS807" s="6"/>
      <c r="AT807" s="206"/>
      <c r="AV807" s="213"/>
      <c r="AW807" s="6"/>
      <c r="AX807" s="6"/>
      <c r="AY807" s="6"/>
      <c r="AZ807" s="206"/>
    </row>
    <row r="808" spans="4:52" s="2" customFormat="1" ht="17.100000000000001" customHeight="1" x14ac:dyDescent="0.25">
      <c r="D808" s="3"/>
      <c r="E808" s="3"/>
      <c r="F808" s="4"/>
      <c r="G808" s="4"/>
      <c r="H808" s="138"/>
      <c r="I808" s="97"/>
      <c r="J808" s="6"/>
      <c r="K808" s="6"/>
      <c r="L808" s="6"/>
      <c r="M808" s="6"/>
      <c r="N808" s="6"/>
      <c r="O808" s="6"/>
      <c r="P808" s="6"/>
      <c r="Q808" s="6"/>
      <c r="R808" s="6"/>
      <c r="S808" s="6"/>
      <c r="T808" s="6"/>
      <c r="U808" s="6"/>
      <c r="V808" s="339"/>
      <c r="W808" s="339"/>
      <c r="X808" s="6"/>
      <c r="Y808" s="206"/>
      <c r="AE808" s="6"/>
      <c r="AF808" s="6"/>
      <c r="AG808" s="6"/>
      <c r="AH808" s="206"/>
      <c r="AJ808" s="213"/>
      <c r="AK808" s="6"/>
      <c r="AL808" s="6"/>
      <c r="AM808" s="6"/>
      <c r="AN808" s="206"/>
      <c r="AP808" s="213"/>
      <c r="AQ808" s="6"/>
      <c r="AR808" s="6"/>
      <c r="AS808" s="6"/>
      <c r="AT808" s="206"/>
      <c r="AV808" s="213"/>
      <c r="AW808" s="6"/>
      <c r="AX808" s="6"/>
      <c r="AY808" s="6"/>
      <c r="AZ808" s="206"/>
    </row>
    <row r="809" spans="4:52" s="2" customFormat="1" ht="17.100000000000001" customHeight="1" x14ac:dyDescent="0.25">
      <c r="D809" s="3"/>
      <c r="E809" s="3"/>
      <c r="F809" s="4"/>
      <c r="G809" s="4"/>
      <c r="H809" s="138"/>
      <c r="I809" s="97"/>
      <c r="J809" s="6"/>
      <c r="K809" s="6"/>
      <c r="L809" s="6"/>
      <c r="M809" s="6"/>
      <c r="N809" s="6"/>
      <c r="O809" s="6"/>
      <c r="P809" s="6"/>
      <c r="Q809" s="6"/>
      <c r="R809" s="6"/>
      <c r="S809" s="6"/>
      <c r="T809" s="6"/>
      <c r="U809" s="6"/>
      <c r="V809" s="339"/>
      <c r="W809" s="339"/>
      <c r="X809" s="6"/>
      <c r="Y809" s="206"/>
      <c r="AE809" s="6"/>
      <c r="AF809" s="6"/>
      <c r="AG809" s="6"/>
      <c r="AH809" s="206"/>
      <c r="AJ809" s="213"/>
      <c r="AK809" s="6"/>
      <c r="AL809" s="6"/>
      <c r="AM809" s="6"/>
      <c r="AN809" s="206"/>
      <c r="AP809" s="213"/>
      <c r="AQ809" s="6"/>
      <c r="AR809" s="6"/>
      <c r="AS809" s="6"/>
      <c r="AT809" s="206"/>
      <c r="AV809" s="213"/>
      <c r="AW809" s="6"/>
      <c r="AX809" s="6"/>
      <c r="AY809" s="6"/>
      <c r="AZ809" s="206"/>
    </row>
    <row r="810" spans="4:52" s="2" customFormat="1" ht="17.100000000000001" customHeight="1" x14ac:dyDescent="0.25">
      <c r="D810" s="3"/>
      <c r="E810" s="3"/>
      <c r="F810" s="4"/>
      <c r="G810" s="4"/>
      <c r="H810" s="138"/>
      <c r="I810" s="97"/>
      <c r="J810" s="6"/>
      <c r="K810" s="6"/>
      <c r="L810" s="6"/>
      <c r="M810" s="6"/>
      <c r="N810" s="6"/>
      <c r="O810" s="6"/>
      <c r="P810" s="6"/>
      <c r="Q810" s="6"/>
      <c r="R810" s="6"/>
      <c r="S810" s="6"/>
      <c r="T810" s="6"/>
      <c r="U810" s="6"/>
      <c r="V810" s="339"/>
      <c r="W810" s="339"/>
      <c r="X810" s="6"/>
      <c r="Y810" s="206"/>
      <c r="AE810" s="6"/>
      <c r="AF810" s="6"/>
      <c r="AG810" s="6"/>
      <c r="AH810" s="206"/>
      <c r="AJ810" s="213"/>
      <c r="AK810" s="6"/>
      <c r="AL810" s="6"/>
      <c r="AM810" s="6"/>
      <c r="AN810" s="206"/>
      <c r="AP810" s="213"/>
      <c r="AQ810" s="6"/>
      <c r="AR810" s="6"/>
      <c r="AS810" s="6"/>
      <c r="AT810" s="206"/>
      <c r="AV810" s="213"/>
      <c r="AW810" s="6"/>
      <c r="AX810" s="6"/>
      <c r="AY810" s="6"/>
      <c r="AZ810" s="206"/>
    </row>
    <row r="811" spans="4:52" s="2" customFormat="1" ht="17.100000000000001" customHeight="1" x14ac:dyDescent="0.25">
      <c r="D811" s="3"/>
      <c r="E811" s="3"/>
      <c r="F811" s="4"/>
      <c r="G811" s="4"/>
      <c r="H811" s="138"/>
      <c r="I811" s="97"/>
      <c r="J811" s="6"/>
      <c r="K811" s="6"/>
      <c r="L811" s="6"/>
      <c r="M811" s="6"/>
      <c r="N811" s="6"/>
      <c r="O811" s="6"/>
      <c r="P811" s="6"/>
      <c r="Q811" s="6"/>
      <c r="R811" s="6"/>
      <c r="S811" s="6"/>
      <c r="T811" s="6"/>
      <c r="U811" s="6"/>
      <c r="V811" s="339"/>
      <c r="W811" s="339"/>
      <c r="X811" s="6"/>
      <c r="Y811" s="206"/>
      <c r="AE811" s="6"/>
      <c r="AF811" s="6"/>
      <c r="AG811" s="6"/>
      <c r="AH811" s="206"/>
      <c r="AJ811" s="213"/>
      <c r="AK811" s="6"/>
      <c r="AL811" s="6"/>
      <c r="AM811" s="6"/>
      <c r="AN811" s="206"/>
      <c r="AP811" s="213"/>
      <c r="AQ811" s="6"/>
      <c r="AR811" s="6"/>
      <c r="AS811" s="6"/>
      <c r="AT811" s="206"/>
      <c r="AV811" s="213"/>
      <c r="AW811" s="6"/>
      <c r="AX811" s="6"/>
      <c r="AY811" s="6"/>
      <c r="AZ811" s="206"/>
    </row>
    <row r="812" spans="4:52" s="2" customFormat="1" ht="17.100000000000001" customHeight="1" x14ac:dyDescent="0.25">
      <c r="D812" s="3"/>
      <c r="E812" s="3"/>
      <c r="F812" s="4"/>
      <c r="G812" s="4"/>
      <c r="H812" s="138"/>
      <c r="I812" s="97"/>
      <c r="J812" s="6"/>
      <c r="K812" s="6"/>
      <c r="L812" s="6"/>
      <c r="M812" s="6"/>
      <c r="N812" s="6"/>
      <c r="O812" s="6"/>
      <c r="P812" s="6"/>
      <c r="Q812" s="6"/>
      <c r="R812" s="6"/>
      <c r="S812" s="6"/>
      <c r="T812" s="6"/>
      <c r="U812" s="6"/>
      <c r="V812" s="339"/>
      <c r="W812" s="339"/>
      <c r="X812" s="6"/>
      <c r="Y812" s="206"/>
      <c r="AE812" s="6"/>
      <c r="AF812" s="6"/>
      <c r="AG812" s="6"/>
      <c r="AH812" s="206"/>
      <c r="AJ812" s="213"/>
      <c r="AK812" s="6"/>
      <c r="AL812" s="6"/>
      <c r="AM812" s="6"/>
      <c r="AN812" s="206"/>
      <c r="AP812" s="213"/>
      <c r="AQ812" s="6"/>
      <c r="AR812" s="6"/>
      <c r="AS812" s="6"/>
      <c r="AT812" s="206"/>
      <c r="AV812" s="213"/>
      <c r="AW812" s="6"/>
      <c r="AX812" s="6"/>
      <c r="AY812" s="6"/>
      <c r="AZ812" s="206"/>
    </row>
    <row r="813" spans="4:52" s="2" customFormat="1" ht="17.100000000000001" customHeight="1" x14ac:dyDescent="0.25">
      <c r="D813" s="3"/>
      <c r="E813" s="3"/>
      <c r="F813" s="4"/>
      <c r="G813" s="4"/>
      <c r="H813" s="138"/>
      <c r="I813" s="97"/>
      <c r="J813" s="6"/>
      <c r="K813" s="6"/>
      <c r="L813" s="6"/>
      <c r="M813" s="6"/>
      <c r="N813" s="6"/>
      <c r="O813" s="6"/>
      <c r="P813" s="6"/>
      <c r="Q813" s="6"/>
      <c r="R813" s="6"/>
      <c r="S813" s="6"/>
      <c r="T813" s="6"/>
      <c r="U813" s="6"/>
      <c r="V813" s="339"/>
      <c r="W813" s="339"/>
      <c r="X813" s="6"/>
      <c r="Y813" s="206"/>
      <c r="AE813" s="6"/>
      <c r="AF813" s="6"/>
      <c r="AG813" s="6"/>
      <c r="AH813" s="206"/>
      <c r="AJ813" s="213"/>
      <c r="AK813" s="6"/>
      <c r="AL813" s="6"/>
      <c r="AM813" s="6"/>
      <c r="AN813" s="206"/>
      <c r="AP813" s="213"/>
      <c r="AQ813" s="6"/>
      <c r="AR813" s="6"/>
      <c r="AS813" s="6"/>
      <c r="AT813" s="206"/>
      <c r="AV813" s="213"/>
      <c r="AW813" s="6"/>
      <c r="AX813" s="6"/>
      <c r="AY813" s="6"/>
      <c r="AZ813" s="206"/>
    </row>
    <row r="814" spans="4:52" s="2" customFormat="1" ht="17.100000000000001" customHeight="1" x14ac:dyDescent="0.25">
      <c r="D814" s="3"/>
      <c r="E814" s="3"/>
      <c r="F814" s="4"/>
      <c r="G814" s="4"/>
      <c r="H814" s="138"/>
      <c r="I814" s="97"/>
      <c r="J814" s="6"/>
      <c r="K814" s="6"/>
      <c r="L814" s="6"/>
      <c r="M814" s="6"/>
      <c r="N814" s="6"/>
      <c r="O814" s="6"/>
      <c r="P814" s="6"/>
      <c r="Q814" s="6"/>
      <c r="R814" s="6"/>
      <c r="S814" s="6"/>
      <c r="T814" s="6"/>
      <c r="U814" s="6"/>
      <c r="V814" s="339"/>
      <c r="W814" s="339"/>
      <c r="X814" s="6"/>
      <c r="Y814" s="206"/>
      <c r="AE814" s="6"/>
      <c r="AF814" s="6"/>
      <c r="AG814" s="6"/>
      <c r="AH814" s="206"/>
      <c r="AJ814" s="213"/>
      <c r="AK814" s="6"/>
      <c r="AL814" s="6"/>
      <c r="AM814" s="6"/>
      <c r="AN814" s="206"/>
      <c r="AP814" s="213"/>
      <c r="AQ814" s="6"/>
      <c r="AR814" s="6"/>
      <c r="AS814" s="6"/>
      <c r="AT814" s="206"/>
      <c r="AV814" s="213"/>
      <c r="AW814" s="6"/>
      <c r="AX814" s="6"/>
      <c r="AY814" s="6"/>
      <c r="AZ814" s="206"/>
    </row>
    <row r="815" spans="4:52" s="2" customFormat="1" ht="17.100000000000001" customHeight="1" x14ac:dyDescent="0.25">
      <c r="D815" s="3"/>
      <c r="E815" s="3"/>
      <c r="F815" s="4"/>
      <c r="G815" s="4"/>
      <c r="H815" s="138"/>
      <c r="I815" s="97"/>
      <c r="J815" s="6"/>
      <c r="K815" s="6"/>
      <c r="L815" s="6"/>
      <c r="M815" s="6"/>
      <c r="N815" s="6"/>
      <c r="O815" s="6"/>
      <c r="P815" s="6"/>
      <c r="Q815" s="6"/>
      <c r="R815" s="6"/>
      <c r="S815" s="6"/>
      <c r="T815" s="6"/>
      <c r="U815" s="6"/>
      <c r="V815" s="339"/>
      <c r="W815" s="339"/>
      <c r="X815" s="6"/>
      <c r="Y815" s="206"/>
      <c r="AE815" s="6"/>
      <c r="AF815" s="6"/>
      <c r="AG815" s="6"/>
      <c r="AH815" s="206"/>
      <c r="AJ815" s="213"/>
      <c r="AK815" s="6"/>
      <c r="AL815" s="6"/>
      <c r="AM815" s="6"/>
      <c r="AN815" s="206"/>
      <c r="AP815" s="213"/>
      <c r="AQ815" s="6"/>
      <c r="AR815" s="6"/>
      <c r="AS815" s="6"/>
      <c r="AT815" s="206"/>
      <c r="AV815" s="213"/>
      <c r="AW815" s="6"/>
      <c r="AX815" s="6"/>
      <c r="AY815" s="6"/>
      <c r="AZ815" s="206"/>
    </row>
    <row r="816" spans="4:52" s="2" customFormat="1" ht="17.100000000000001" customHeight="1" x14ac:dyDescent="0.25">
      <c r="D816" s="3"/>
      <c r="E816" s="3"/>
      <c r="F816" s="4"/>
      <c r="G816" s="4"/>
      <c r="H816" s="138"/>
      <c r="I816" s="97"/>
      <c r="J816" s="6"/>
      <c r="K816" s="6"/>
      <c r="L816" s="6"/>
      <c r="M816" s="6"/>
      <c r="N816" s="6"/>
      <c r="O816" s="6"/>
      <c r="P816" s="6"/>
      <c r="Q816" s="6"/>
      <c r="R816" s="6"/>
      <c r="S816" s="6"/>
      <c r="T816" s="6"/>
      <c r="U816" s="6"/>
      <c r="V816" s="339"/>
      <c r="W816" s="339"/>
      <c r="X816" s="6"/>
      <c r="Y816" s="206"/>
      <c r="AE816" s="6"/>
      <c r="AF816" s="6"/>
      <c r="AG816" s="6"/>
      <c r="AH816" s="206"/>
      <c r="AJ816" s="213"/>
      <c r="AK816" s="6"/>
      <c r="AL816" s="6"/>
      <c r="AM816" s="6"/>
      <c r="AN816" s="206"/>
      <c r="AP816" s="213"/>
      <c r="AQ816" s="6"/>
      <c r="AR816" s="6"/>
      <c r="AS816" s="6"/>
      <c r="AT816" s="206"/>
      <c r="AV816" s="213"/>
      <c r="AW816" s="6"/>
      <c r="AX816" s="6"/>
      <c r="AY816" s="6"/>
      <c r="AZ816" s="206"/>
    </row>
    <row r="817" spans="4:52" s="2" customFormat="1" ht="17.100000000000001" customHeight="1" x14ac:dyDescent="0.25">
      <c r="D817" s="3"/>
      <c r="E817" s="3"/>
      <c r="F817" s="4"/>
      <c r="G817" s="4"/>
      <c r="H817" s="138"/>
      <c r="I817" s="97"/>
      <c r="J817" s="6"/>
      <c r="K817" s="6"/>
      <c r="L817" s="6"/>
      <c r="M817" s="6"/>
      <c r="N817" s="6"/>
      <c r="O817" s="6"/>
      <c r="P817" s="6"/>
      <c r="Q817" s="6"/>
      <c r="R817" s="6"/>
      <c r="S817" s="6"/>
      <c r="T817" s="6"/>
      <c r="U817" s="6"/>
      <c r="V817" s="339"/>
      <c r="W817" s="339"/>
      <c r="X817" s="6"/>
      <c r="Y817" s="206"/>
      <c r="AE817" s="6"/>
      <c r="AF817" s="6"/>
      <c r="AG817" s="6"/>
      <c r="AH817" s="206"/>
      <c r="AJ817" s="213"/>
      <c r="AK817" s="6"/>
      <c r="AL817" s="6"/>
      <c r="AM817" s="6"/>
      <c r="AN817" s="206"/>
      <c r="AP817" s="213"/>
      <c r="AQ817" s="6"/>
      <c r="AR817" s="6"/>
      <c r="AS817" s="6"/>
      <c r="AT817" s="206"/>
      <c r="AV817" s="213"/>
      <c r="AW817" s="6"/>
      <c r="AX817" s="6"/>
      <c r="AY817" s="6"/>
      <c r="AZ817" s="206"/>
    </row>
    <row r="818" spans="4:52" s="2" customFormat="1" ht="17.100000000000001" customHeight="1" x14ac:dyDescent="0.25">
      <c r="D818" s="3"/>
      <c r="E818" s="3"/>
      <c r="F818" s="4"/>
      <c r="G818" s="4"/>
      <c r="H818" s="138"/>
      <c r="I818" s="97"/>
      <c r="J818" s="6"/>
      <c r="K818" s="6"/>
      <c r="L818" s="6"/>
      <c r="M818" s="6"/>
      <c r="N818" s="6"/>
      <c r="O818" s="6"/>
      <c r="P818" s="6"/>
      <c r="Q818" s="6"/>
      <c r="R818" s="6"/>
      <c r="S818" s="6"/>
      <c r="T818" s="6"/>
      <c r="U818" s="6"/>
      <c r="V818" s="339"/>
      <c r="W818" s="339"/>
      <c r="X818" s="6"/>
      <c r="Y818" s="206"/>
      <c r="AE818" s="6"/>
      <c r="AF818" s="6"/>
      <c r="AG818" s="6"/>
      <c r="AH818" s="206"/>
      <c r="AJ818" s="213"/>
      <c r="AK818" s="6"/>
      <c r="AL818" s="6"/>
      <c r="AM818" s="6"/>
      <c r="AN818" s="206"/>
      <c r="AP818" s="213"/>
      <c r="AQ818" s="6"/>
      <c r="AR818" s="6"/>
      <c r="AS818" s="6"/>
      <c r="AT818" s="206"/>
      <c r="AV818" s="213"/>
      <c r="AW818" s="6"/>
      <c r="AX818" s="6"/>
      <c r="AY818" s="6"/>
      <c r="AZ818" s="206"/>
    </row>
    <row r="819" spans="4:52" s="2" customFormat="1" ht="17.100000000000001" customHeight="1" x14ac:dyDescent="0.25">
      <c r="D819" s="3"/>
      <c r="E819" s="3"/>
      <c r="F819" s="4"/>
      <c r="G819" s="4"/>
      <c r="H819" s="138"/>
      <c r="I819" s="97"/>
      <c r="J819" s="6"/>
      <c r="K819" s="6"/>
      <c r="L819" s="6"/>
      <c r="M819" s="6"/>
      <c r="N819" s="6"/>
      <c r="O819" s="6"/>
      <c r="P819" s="6"/>
      <c r="Q819" s="6"/>
      <c r="R819" s="6"/>
      <c r="S819" s="6"/>
      <c r="T819" s="6"/>
      <c r="U819" s="6"/>
      <c r="V819" s="339"/>
      <c r="W819" s="339"/>
      <c r="X819" s="6"/>
      <c r="Y819" s="206"/>
      <c r="AE819" s="6"/>
      <c r="AF819" s="6"/>
      <c r="AG819" s="6"/>
      <c r="AH819" s="206"/>
      <c r="AJ819" s="213"/>
      <c r="AK819" s="6"/>
      <c r="AL819" s="6"/>
      <c r="AM819" s="6"/>
      <c r="AN819" s="206"/>
      <c r="AP819" s="213"/>
      <c r="AQ819" s="6"/>
      <c r="AR819" s="6"/>
      <c r="AS819" s="6"/>
      <c r="AT819" s="206"/>
      <c r="AV819" s="213"/>
      <c r="AW819" s="6"/>
      <c r="AX819" s="6"/>
      <c r="AY819" s="6"/>
      <c r="AZ819" s="206"/>
    </row>
    <row r="820" spans="4:52" s="2" customFormat="1" ht="17.100000000000001" customHeight="1" x14ac:dyDescent="0.25">
      <c r="D820" s="3"/>
      <c r="E820" s="3"/>
      <c r="F820" s="4"/>
      <c r="G820" s="4"/>
      <c r="H820" s="138"/>
      <c r="I820" s="97"/>
      <c r="J820" s="6"/>
      <c r="K820" s="6"/>
      <c r="L820" s="6"/>
      <c r="M820" s="6"/>
      <c r="N820" s="6"/>
      <c r="O820" s="6"/>
      <c r="P820" s="6"/>
      <c r="Q820" s="6"/>
      <c r="R820" s="6"/>
      <c r="S820" s="6"/>
      <c r="T820" s="6"/>
      <c r="U820" s="6"/>
      <c r="V820" s="339"/>
      <c r="W820" s="339"/>
      <c r="X820" s="6"/>
      <c r="Y820" s="206"/>
      <c r="AE820" s="6"/>
      <c r="AF820" s="6"/>
      <c r="AG820" s="6"/>
      <c r="AH820" s="206"/>
      <c r="AJ820" s="213"/>
      <c r="AK820" s="6"/>
      <c r="AL820" s="6"/>
      <c r="AM820" s="6"/>
      <c r="AN820" s="206"/>
      <c r="AP820" s="213"/>
      <c r="AQ820" s="6"/>
      <c r="AR820" s="6"/>
      <c r="AS820" s="6"/>
      <c r="AT820" s="206"/>
      <c r="AV820" s="213"/>
      <c r="AW820" s="6"/>
      <c r="AX820" s="6"/>
      <c r="AY820" s="6"/>
      <c r="AZ820" s="206"/>
    </row>
    <row r="821" spans="4:52" s="2" customFormat="1" ht="17.100000000000001" customHeight="1" x14ac:dyDescent="0.25">
      <c r="D821" s="3"/>
      <c r="E821" s="3"/>
      <c r="F821" s="4"/>
      <c r="G821" s="4"/>
      <c r="H821" s="138"/>
      <c r="I821" s="97"/>
      <c r="J821" s="6"/>
      <c r="K821" s="6"/>
      <c r="L821" s="6"/>
      <c r="M821" s="6"/>
      <c r="N821" s="6"/>
      <c r="O821" s="6"/>
      <c r="P821" s="6"/>
      <c r="Q821" s="6"/>
      <c r="R821" s="6"/>
      <c r="S821" s="6"/>
      <c r="T821" s="6"/>
      <c r="U821" s="6"/>
      <c r="V821" s="339"/>
      <c r="W821" s="339"/>
      <c r="X821" s="6"/>
      <c r="Y821" s="206"/>
      <c r="AE821" s="6"/>
      <c r="AF821" s="6"/>
      <c r="AG821" s="6"/>
      <c r="AH821" s="206"/>
      <c r="AJ821" s="213"/>
      <c r="AK821" s="6"/>
      <c r="AL821" s="6"/>
      <c r="AM821" s="6"/>
      <c r="AN821" s="206"/>
      <c r="AP821" s="213"/>
      <c r="AQ821" s="6"/>
      <c r="AR821" s="6"/>
      <c r="AS821" s="6"/>
      <c r="AT821" s="206"/>
      <c r="AV821" s="213"/>
      <c r="AW821" s="6"/>
      <c r="AX821" s="6"/>
      <c r="AY821" s="6"/>
      <c r="AZ821" s="206"/>
    </row>
    <row r="822" spans="4:52" s="2" customFormat="1" ht="17.100000000000001" customHeight="1" x14ac:dyDescent="0.25">
      <c r="D822" s="3"/>
      <c r="E822" s="3"/>
      <c r="F822" s="4"/>
      <c r="G822" s="4"/>
      <c r="H822" s="138"/>
      <c r="I822" s="97"/>
      <c r="J822" s="6"/>
      <c r="K822" s="6"/>
      <c r="L822" s="6"/>
      <c r="M822" s="6"/>
      <c r="N822" s="6"/>
      <c r="O822" s="6"/>
      <c r="P822" s="6"/>
      <c r="Q822" s="6"/>
      <c r="R822" s="6"/>
      <c r="S822" s="6"/>
      <c r="T822" s="6"/>
      <c r="U822" s="6"/>
      <c r="V822" s="339"/>
      <c r="W822" s="339"/>
      <c r="X822" s="6"/>
      <c r="Y822" s="206"/>
      <c r="AE822" s="6"/>
      <c r="AF822" s="6"/>
      <c r="AG822" s="6"/>
      <c r="AH822" s="206"/>
      <c r="AJ822" s="213"/>
      <c r="AK822" s="6"/>
      <c r="AL822" s="6"/>
      <c r="AM822" s="6"/>
      <c r="AN822" s="206"/>
      <c r="AP822" s="213"/>
      <c r="AQ822" s="6"/>
      <c r="AR822" s="6"/>
      <c r="AS822" s="6"/>
      <c r="AT822" s="206"/>
      <c r="AV822" s="213"/>
      <c r="AW822" s="6"/>
      <c r="AX822" s="6"/>
      <c r="AY822" s="6"/>
      <c r="AZ822" s="206"/>
    </row>
    <row r="823" spans="4:52" s="2" customFormat="1" ht="17.100000000000001" customHeight="1" x14ac:dyDescent="0.25">
      <c r="D823" s="3"/>
      <c r="E823" s="3"/>
      <c r="F823" s="4"/>
      <c r="G823" s="4"/>
      <c r="H823" s="138"/>
      <c r="I823" s="97"/>
      <c r="J823" s="6"/>
      <c r="K823" s="6"/>
      <c r="L823" s="6"/>
      <c r="M823" s="6"/>
      <c r="N823" s="6"/>
      <c r="O823" s="6"/>
      <c r="P823" s="6"/>
      <c r="Q823" s="6"/>
      <c r="R823" s="6"/>
      <c r="S823" s="6"/>
      <c r="T823" s="6"/>
      <c r="U823" s="6"/>
      <c r="V823" s="339"/>
      <c r="W823" s="339"/>
      <c r="X823" s="6"/>
      <c r="Y823" s="206"/>
      <c r="AE823" s="6"/>
      <c r="AF823" s="6"/>
      <c r="AG823" s="6"/>
      <c r="AH823" s="206"/>
      <c r="AJ823" s="213"/>
      <c r="AK823" s="6"/>
      <c r="AL823" s="6"/>
      <c r="AM823" s="6"/>
      <c r="AN823" s="206"/>
      <c r="AP823" s="213"/>
      <c r="AQ823" s="6"/>
      <c r="AR823" s="6"/>
      <c r="AS823" s="6"/>
      <c r="AT823" s="206"/>
      <c r="AV823" s="213"/>
      <c r="AW823" s="6"/>
      <c r="AX823" s="6"/>
      <c r="AY823" s="6"/>
      <c r="AZ823" s="206"/>
    </row>
    <row r="824" spans="4:52" s="2" customFormat="1" ht="17.100000000000001" customHeight="1" x14ac:dyDescent="0.25">
      <c r="D824" s="3"/>
      <c r="E824" s="3"/>
      <c r="F824" s="4"/>
      <c r="G824" s="4"/>
      <c r="H824" s="138"/>
      <c r="I824" s="97"/>
      <c r="J824" s="6"/>
      <c r="K824" s="6"/>
      <c r="L824" s="6"/>
      <c r="M824" s="6"/>
      <c r="N824" s="6"/>
      <c r="O824" s="6"/>
      <c r="P824" s="6"/>
      <c r="Q824" s="6"/>
      <c r="R824" s="6"/>
      <c r="S824" s="6"/>
      <c r="T824" s="6"/>
      <c r="U824" s="6"/>
      <c r="V824" s="339"/>
      <c r="W824" s="339"/>
      <c r="X824" s="6"/>
      <c r="Y824" s="206"/>
      <c r="AE824" s="6"/>
      <c r="AF824" s="6"/>
      <c r="AG824" s="6"/>
      <c r="AH824" s="206"/>
      <c r="AJ824" s="213"/>
      <c r="AK824" s="6"/>
      <c r="AL824" s="6"/>
      <c r="AM824" s="6"/>
      <c r="AN824" s="206"/>
      <c r="AP824" s="213"/>
      <c r="AQ824" s="6"/>
      <c r="AR824" s="6"/>
      <c r="AS824" s="6"/>
      <c r="AT824" s="206"/>
      <c r="AV824" s="213"/>
      <c r="AW824" s="6"/>
      <c r="AX824" s="6"/>
      <c r="AY824" s="6"/>
      <c r="AZ824" s="206"/>
    </row>
    <row r="825" spans="4:52" s="2" customFormat="1" ht="17.100000000000001" customHeight="1" x14ac:dyDescent="0.25">
      <c r="D825" s="3"/>
      <c r="E825" s="3"/>
      <c r="F825" s="4"/>
      <c r="G825" s="4"/>
      <c r="H825" s="138"/>
      <c r="I825" s="97"/>
      <c r="J825" s="6"/>
      <c r="K825" s="6"/>
      <c r="L825" s="6"/>
      <c r="M825" s="6"/>
      <c r="N825" s="6"/>
      <c r="O825" s="6"/>
      <c r="P825" s="6"/>
      <c r="Q825" s="6"/>
      <c r="R825" s="6"/>
      <c r="S825" s="6"/>
      <c r="T825" s="6"/>
      <c r="U825" s="6"/>
      <c r="V825" s="339"/>
      <c r="W825" s="339"/>
      <c r="X825" s="6"/>
      <c r="Y825" s="206"/>
      <c r="AE825" s="6"/>
      <c r="AF825" s="6"/>
      <c r="AG825" s="6"/>
      <c r="AH825" s="206"/>
      <c r="AJ825" s="213"/>
      <c r="AK825" s="6"/>
      <c r="AL825" s="6"/>
      <c r="AM825" s="6"/>
      <c r="AN825" s="206"/>
      <c r="AP825" s="213"/>
      <c r="AQ825" s="6"/>
      <c r="AR825" s="6"/>
      <c r="AS825" s="6"/>
      <c r="AT825" s="206"/>
      <c r="AV825" s="213"/>
      <c r="AW825" s="6"/>
      <c r="AX825" s="6"/>
      <c r="AY825" s="6"/>
      <c r="AZ825" s="206"/>
    </row>
    <row r="826" spans="4:52" s="2" customFormat="1" ht="17.100000000000001" customHeight="1" x14ac:dyDescent="0.25">
      <c r="D826" s="3"/>
      <c r="E826" s="3"/>
      <c r="F826" s="4"/>
      <c r="G826" s="4"/>
      <c r="H826" s="138"/>
      <c r="I826" s="97"/>
      <c r="J826" s="6"/>
      <c r="K826" s="6"/>
      <c r="L826" s="6"/>
      <c r="M826" s="6"/>
      <c r="N826" s="6"/>
      <c r="O826" s="6"/>
      <c r="P826" s="6"/>
      <c r="Q826" s="6"/>
      <c r="R826" s="6"/>
      <c r="S826" s="6"/>
      <c r="T826" s="6"/>
      <c r="U826" s="6"/>
      <c r="V826" s="339"/>
      <c r="W826" s="339"/>
      <c r="X826" s="6"/>
      <c r="Y826" s="206"/>
      <c r="AE826" s="6"/>
      <c r="AF826" s="6"/>
      <c r="AG826" s="6"/>
      <c r="AH826" s="206"/>
      <c r="AJ826" s="213"/>
      <c r="AK826" s="6"/>
      <c r="AL826" s="6"/>
      <c r="AM826" s="6"/>
      <c r="AN826" s="206"/>
      <c r="AP826" s="213"/>
      <c r="AQ826" s="6"/>
      <c r="AR826" s="6"/>
      <c r="AS826" s="6"/>
      <c r="AT826" s="206"/>
      <c r="AV826" s="213"/>
      <c r="AW826" s="6"/>
      <c r="AX826" s="6"/>
      <c r="AY826" s="6"/>
      <c r="AZ826" s="206"/>
    </row>
    <row r="827" spans="4:52" s="2" customFormat="1" ht="17.100000000000001" customHeight="1" x14ac:dyDescent="0.25">
      <c r="D827" s="3"/>
      <c r="E827" s="3"/>
      <c r="F827" s="4"/>
      <c r="G827" s="4"/>
      <c r="H827" s="138"/>
      <c r="I827" s="97"/>
      <c r="J827" s="6"/>
      <c r="K827" s="6"/>
      <c r="L827" s="6"/>
      <c r="M827" s="6"/>
      <c r="N827" s="6"/>
      <c r="O827" s="6"/>
      <c r="P827" s="6"/>
      <c r="Q827" s="6"/>
      <c r="R827" s="6"/>
      <c r="S827" s="6"/>
      <c r="T827" s="6"/>
      <c r="U827" s="6"/>
      <c r="V827" s="339"/>
      <c r="W827" s="339"/>
      <c r="X827" s="6"/>
      <c r="Y827" s="206"/>
      <c r="AE827" s="6"/>
      <c r="AF827" s="6"/>
      <c r="AG827" s="6"/>
      <c r="AH827" s="206"/>
      <c r="AJ827" s="213"/>
      <c r="AK827" s="6"/>
      <c r="AL827" s="6"/>
      <c r="AM827" s="6"/>
      <c r="AN827" s="206"/>
      <c r="AP827" s="213"/>
      <c r="AQ827" s="6"/>
      <c r="AR827" s="6"/>
      <c r="AS827" s="6"/>
      <c r="AT827" s="206"/>
      <c r="AV827" s="213"/>
      <c r="AW827" s="6"/>
      <c r="AX827" s="6"/>
      <c r="AY827" s="6"/>
      <c r="AZ827" s="206"/>
    </row>
    <row r="828" spans="4:52" s="2" customFormat="1" ht="17.100000000000001" customHeight="1" x14ac:dyDescent="0.25">
      <c r="D828" s="3"/>
      <c r="E828" s="3"/>
      <c r="F828" s="4"/>
      <c r="G828" s="4"/>
      <c r="H828" s="138"/>
      <c r="I828" s="97"/>
      <c r="J828" s="6"/>
      <c r="K828" s="6"/>
      <c r="L828" s="6"/>
      <c r="M828" s="6"/>
      <c r="N828" s="6"/>
      <c r="O828" s="6"/>
      <c r="P828" s="6"/>
      <c r="Q828" s="6"/>
      <c r="R828" s="6"/>
      <c r="S828" s="6"/>
      <c r="T828" s="6"/>
      <c r="U828" s="6"/>
      <c r="V828" s="339"/>
      <c r="W828" s="339"/>
      <c r="X828" s="6"/>
      <c r="Y828" s="206"/>
      <c r="AE828" s="6"/>
      <c r="AF828" s="6"/>
      <c r="AG828" s="6"/>
      <c r="AH828" s="206"/>
      <c r="AJ828" s="213"/>
      <c r="AK828" s="6"/>
      <c r="AL828" s="6"/>
      <c r="AM828" s="6"/>
      <c r="AN828" s="206"/>
      <c r="AP828" s="213"/>
      <c r="AQ828" s="6"/>
      <c r="AR828" s="6"/>
      <c r="AS828" s="6"/>
      <c r="AT828" s="206"/>
      <c r="AV828" s="213"/>
      <c r="AW828" s="6"/>
      <c r="AX828" s="6"/>
      <c r="AY828" s="6"/>
      <c r="AZ828" s="206"/>
    </row>
    <row r="829" spans="4:52" s="2" customFormat="1" ht="17.100000000000001" customHeight="1" x14ac:dyDescent="0.25">
      <c r="D829" s="3"/>
      <c r="E829" s="3"/>
      <c r="F829" s="4"/>
      <c r="G829" s="4"/>
      <c r="H829" s="138"/>
      <c r="I829" s="97"/>
      <c r="J829" s="6"/>
      <c r="K829" s="6"/>
      <c r="L829" s="6"/>
      <c r="M829" s="6"/>
      <c r="N829" s="6"/>
      <c r="O829" s="6"/>
      <c r="P829" s="6"/>
      <c r="Q829" s="6"/>
      <c r="R829" s="6"/>
      <c r="S829" s="6"/>
      <c r="T829" s="6"/>
      <c r="U829" s="6"/>
      <c r="V829" s="339"/>
      <c r="W829" s="339"/>
      <c r="X829" s="6"/>
      <c r="Y829" s="206"/>
      <c r="AE829" s="6"/>
      <c r="AF829" s="6"/>
      <c r="AG829" s="6"/>
      <c r="AH829" s="206"/>
      <c r="AJ829" s="213"/>
      <c r="AK829" s="6"/>
      <c r="AL829" s="6"/>
      <c r="AM829" s="6"/>
      <c r="AN829" s="206"/>
      <c r="AP829" s="213"/>
      <c r="AQ829" s="6"/>
      <c r="AR829" s="6"/>
      <c r="AS829" s="6"/>
      <c r="AT829" s="206"/>
      <c r="AV829" s="213"/>
      <c r="AW829" s="6"/>
      <c r="AX829" s="6"/>
      <c r="AY829" s="6"/>
      <c r="AZ829" s="206"/>
    </row>
    <row r="830" spans="4:52" s="2" customFormat="1" ht="17.100000000000001" customHeight="1" x14ac:dyDescent="0.25">
      <c r="D830" s="3"/>
      <c r="E830" s="3"/>
      <c r="F830" s="4"/>
      <c r="G830" s="4"/>
      <c r="H830" s="138"/>
      <c r="I830" s="97"/>
      <c r="J830" s="6"/>
      <c r="K830" s="6"/>
      <c r="L830" s="6"/>
      <c r="M830" s="6"/>
      <c r="N830" s="6"/>
      <c r="O830" s="6"/>
      <c r="P830" s="6"/>
      <c r="Q830" s="6"/>
      <c r="R830" s="6"/>
      <c r="S830" s="6"/>
      <c r="T830" s="6"/>
      <c r="U830" s="6"/>
      <c r="V830" s="339"/>
      <c r="W830" s="339"/>
      <c r="X830" s="6"/>
      <c r="Y830" s="206"/>
      <c r="AE830" s="6"/>
      <c r="AF830" s="6"/>
      <c r="AG830" s="6"/>
      <c r="AH830" s="206"/>
      <c r="AJ830" s="213"/>
      <c r="AK830" s="6"/>
      <c r="AL830" s="6"/>
      <c r="AM830" s="6"/>
      <c r="AN830" s="206"/>
      <c r="AP830" s="213"/>
      <c r="AQ830" s="6"/>
      <c r="AR830" s="6"/>
      <c r="AS830" s="6"/>
      <c r="AT830" s="206"/>
      <c r="AV830" s="213"/>
      <c r="AW830" s="6"/>
      <c r="AX830" s="6"/>
      <c r="AY830" s="6"/>
      <c r="AZ830" s="206"/>
    </row>
    <row r="831" spans="4:52" s="2" customFormat="1" ht="17.100000000000001" customHeight="1" x14ac:dyDescent="0.25">
      <c r="D831" s="3"/>
      <c r="E831" s="3"/>
      <c r="F831" s="4"/>
      <c r="G831" s="4"/>
      <c r="H831" s="138"/>
      <c r="I831" s="97"/>
      <c r="J831" s="6"/>
      <c r="K831" s="6"/>
      <c r="L831" s="6"/>
      <c r="M831" s="6"/>
      <c r="N831" s="6"/>
      <c r="O831" s="6"/>
      <c r="P831" s="6"/>
      <c r="Q831" s="6"/>
      <c r="R831" s="6"/>
      <c r="S831" s="6"/>
      <c r="T831" s="6"/>
      <c r="U831" s="6"/>
      <c r="V831" s="339"/>
      <c r="W831" s="339"/>
      <c r="X831" s="6"/>
      <c r="Y831" s="206"/>
      <c r="AE831" s="6"/>
      <c r="AF831" s="6"/>
      <c r="AG831" s="6"/>
      <c r="AH831" s="206"/>
      <c r="AJ831" s="213"/>
      <c r="AK831" s="6"/>
      <c r="AL831" s="6"/>
      <c r="AM831" s="6"/>
      <c r="AN831" s="206"/>
      <c r="AP831" s="213"/>
      <c r="AQ831" s="6"/>
      <c r="AR831" s="6"/>
      <c r="AS831" s="6"/>
      <c r="AT831" s="206"/>
      <c r="AV831" s="213"/>
      <c r="AW831" s="6"/>
      <c r="AX831" s="6"/>
      <c r="AY831" s="6"/>
      <c r="AZ831" s="206"/>
    </row>
    <row r="832" spans="4:52" s="2" customFormat="1" ht="17.100000000000001" customHeight="1" x14ac:dyDescent="0.25">
      <c r="D832" s="3"/>
      <c r="E832" s="3"/>
      <c r="F832" s="4"/>
      <c r="G832" s="4"/>
      <c r="H832" s="138"/>
      <c r="I832" s="97"/>
      <c r="J832" s="6"/>
      <c r="K832" s="6"/>
      <c r="L832" s="6"/>
      <c r="M832" s="6"/>
      <c r="N832" s="6"/>
      <c r="O832" s="6"/>
      <c r="P832" s="6"/>
      <c r="Q832" s="6"/>
      <c r="R832" s="6"/>
      <c r="S832" s="6"/>
      <c r="T832" s="6"/>
      <c r="U832" s="6"/>
      <c r="V832" s="339"/>
      <c r="W832" s="339"/>
      <c r="X832" s="6"/>
      <c r="Y832" s="206"/>
      <c r="AE832" s="6"/>
      <c r="AF832" s="6"/>
      <c r="AG832" s="6"/>
      <c r="AH832" s="206"/>
      <c r="AJ832" s="213"/>
      <c r="AK832" s="6"/>
      <c r="AL832" s="6"/>
      <c r="AM832" s="6"/>
      <c r="AN832" s="206"/>
      <c r="AP832" s="213"/>
      <c r="AQ832" s="6"/>
      <c r="AR832" s="6"/>
      <c r="AS832" s="6"/>
      <c r="AT832" s="206"/>
      <c r="AV832" s="213"/>
      <c r="AW832" s="6"/>
      <c r="AX832" s="6"/>
      <c r="AY832" s="6"/>
      <c r="AZ832" s="206"/>
    </row>
    <row r="833" spans="4:52" s="2" customFormat="1" ht="17.100000000000001" customHeight="1" x14ac:dyDescent="0.25">
      <c r="D833" s="3"/>
      <c r="E833" s="3"/>
      <c r="F833" s="4"/>
      <c r="G833" s="4"/>
      <c r="H833" s="138"/>
      <c r="I833" s="97"/>
      <c r="J833" s="6"/>
      <c r="K833" s="6"/>
      <c r="L833" s="6"/>
      <c r="M833" s="6"/>
      <c r="N833" s="6"/>
      <c r="O833" s="6"/>
      <c r="P833" s="6"/>
      <c r="Q833" s="6"/>
      <c r="R833" s="6"/>
      <c r="S833" s="6"/>
      <c r="T833" s="6"/>
      <c r="U833" s="6"/>
      <c r="V833" s="339"/>
      <c r="W833" s="339"/>
      <c r="X833" s="6"/>
      <c r="Y833" s="206"/>
      <c r="AE833" s="6"/>
      <c r="AF833" s="6"/>
      <c r="AG833" s="6"/>
      <c r="AH833" s="206"/>
      <c r="AJ833" s="213"/>
      <c r="AK833" s="6"/>
      <c r="AL833" s="6"/>
      <c r="AM833" s="6"/>
      <c r="AN833" s="206"/>
      <c r="AP833" s="213"/>
      <c r="AQ833" s="6"/>
      <c r="AR833" s="6"/>
      <c r="AS833" s="6"/>
      <c r="AT833" s="206"/>
      <c r="AV833" s="213"/>
      <c r="AW833" s="6"/>
      <c r="AX833" s="6"/>
      <c r="AY833" s="6"/>
      <c r="AZ833" s="206"/>
    </row>
    <row r="834" spans="4:52" s="2" customFormat="1" ht="17.100000000000001" customHeight="1" x14ac:dyDescent="0.25">
      <c r="D834" s="3"/>
      <c r="E834" s="3"/>
      <c r="F834" s="4"/>
      <c r="G834" s="4"/>
      <c r="H834" s="138"/>
      <c r="I834" s="97"/>
      <c r="J834" s="6"/>
      <c r="K834" s="6"/>
      <c r="L834" s="6"/>
      <c r="M834" s="6"/>
      <c r="N834" s="6"/>
      <c r="O834" s="6"/>
      <c r="P834" s="6"/>
      <c r="Q834" s="6"/>
      <c r="R834" s="6"/>
      <c r="S834" s="6"/>
      <c r="T834" s="6"/>
      <c r="U834" s="6"/>
      <c r="V834" s="339"/>
      <c r="W834" s="339"/>
      <c r="X834" s="6"/>
      <c r="Y834" s="206"/>
      <c r="AE834" s="6"/>
      <c r="AF834" s="6"/>
      <c r="AG834" s="6"/>
      <c r="AH834" s="206"/>
      <c r="AJ834" s="213"/>
      <c r="AK834" s="6"/>
      <c r="AL834" s="6"/>
      <c r="AM834" s="6"/>
      <c r="AN834" s="206"/>
      <c r="AP834" s="213"/>
      <c r="AQ834" s="6"/>
      <c r="AR834" s="6"/>
      <c r="AS834" s="6"/>
      <c r="AT834" s="206"/>
      <c r="AV834" s="213"/>
      <c r="AW834" s="6"/>
      <c r="AX834" s="6"/>
      <c r="AY834" s="6"/>
      <c r="AZ834" s="206"/>
    </row>
    <row r="835" spans="4:52" s="2" customFormat="1" ht="17.100000000000001" customHeight="1" x14ac:dyDescent="0.25">
      <c r="D835" s="3"/>
      <c r="E835" s="3"/>
      <c r="F835" s="4"/>
      <c r="G835" s="4"/>
      <c r="H835" s="138"/>
      <c r="I835" s="97"/>
      <c r="J835" s="6"/>
      <c r="K835" s="6"/>
      <c r="L835" s="6"/>
      <c r="M835" s="6"/>
      <c r="N835" s="6"/>
      <c r="O835" s="6"/>
      <c r="P835" s="6"/>
      <c r="Q835" s="6"/>
      <c r="R835" s="6"/>
      <c r="S835" s="6"/>
      <c r="T835" s="6"/>
      <c r="U835" s="6"/>
      <c r="V835" s="339"/>
      <c r="W835" s="339"/>
      <c r="X835" s="6"/>
      <c r="Y835" s="206"/>
      <c r="AE835" s="6"/>
      <c r="AF835" s="6"/>
      <c r="AG835" s="6"/>
      <c r="AH835" s="206"/>
      <c r="AJ835" s="213"/>
      <c r="AK835" s="6"/>
      <c r="AL835" s="6"/>
      <c r="AM835" s="6"/>
      <c r="AN835" s="206"/>
      <c r="AP835" s="213"/>
      <c r="AQ835" s="6"/>
      <c r="AR835" s="6"/>
      <c r="AS835" s="6"/>
      <c r="AT835" s="206"/>
      <c r="AV835" s="213"/>
      <c r="AW835" s="6"/>
      <c r="AX835" s="6"/>
      <c r="AY835" s="6"/>
      <c r="AZ835" s="206"/>
    </row>
    <row r="836" spans="4:52" s="2" customFormat="1" ht="17.100000000000001" customHeight="1" x14ac:dyDescent="0.25">
      <c r="D836" s="3"/>
      <c r="E836" s="3"/>
      <c r="F836" s="4"/>
      <c r="G836" s="4"/>
      <c r="H836" s="138"/>
      <c r="I836" s="97"/>
      <c r="J836" s="6"/>
      <c r="K836" s="6"/>
      <c r="L836" s="6"/>
      <c r="M836" s="6"/>
      <c r="N836" s="6"/>
      <c r="O836" s="6"/>
      <c r="P836" s="6"/>
      <c r="Q836" s="6"/>
      <c r="R836" s="6"/>
      <c r="S836" s="6"/>
      <c r="T836" s="6"/>
      <c r="U836" s="6"/>
      <c r="V836" s="339"/>
      <c r="W836" s="339"/>
      <c r="X836" s="6"/>
      <c r="Y836" s="206"/>
      <c r="AE836" s="6"/>
      <c r="AF836" s="6"/>
      <c r="AG836" s="6"/>
      <c r="AH836" s="206"/>
      <c r="AJ836" s="213"/>
      <c r="AK836" s="6"/>
      <c r="AL836" s="6"/>
      <c r="AM836" s="6"/>
      <c r="AN836" s="206"/>
      <c r="AP836" s="213"/>
      <c r="AQ836" s="6"/>
      <c r="AR836" s="6"/>
      <c r="AS836" s="6"/>
      <c r="AT836" s="206"/>
      <c r="AV836" s="213"/>
      <c r="AW836" s="6"/>
      <c r="AX836" s="6"/>
      <c r="AY836" s="6"/>
      <c r="AZ836" s="206"/>
    </row>
    <row r="837" spans="4:52" s="2" customFormat="1" ht="17.100000000000001" customHeight="1" x14ac:dyDescent="0.25">
      <c r="D837" s="3"/>
      <c r="E837" s="3"/>
      <c r="F837" s="4"/>
      <c r="G837" s="4"/>
      <c r="H837" s="138"/>
      <c r="I837" s="97"/>
      <c r="J837" s="6"/>
      <c r="K837" s="6"/>
      <c r="L837" s="6"/>
      <c r="M837" s="6"/>
      <c r="N837" s="6"/>
      <c r="O837" s="6"/>
      <c r="P837" s="6"/>
      <c r="Q837" s="6"/>
      <c r="R837" s="6"/>
      <c r="S837" s="6"/>
      <c r="T837" s="6"/>
      <c r="U837" s="6"/>
      <c r="V837" s="339"/>
      <c r="W837" s="339"/>
      <c r="X837" s="6"/>
      <c r="Y837" s="206"/>
      <c r="AE837" s="6"/>
      <c r="AF837" s="6"/>
      <c r="AG837" s="6"/>
      <c r="AH837" s="206"/>
      <c r="AJ837" s="213"/>
      <c r="AK837" s="6"/>
      <c r="AL837" s="6"/>
      <c r="AM837" s="6"/>
      <c r="AN837" s="206"/>
      <c r="AP837" s="213"/>
      <c r="AQ837" s="6"/>
      <c r="AR837" s="6"/>
      <c r="AS837" s="6"/>
      <c r="AT837" s="206"/>
      <c r="AV837" s="213"/>
      <c r="AW837" s="6"/>
      <c r="AX837" s="6"/>
      <c r="AY837" s="6"/>
      <c r="AZ837" s="206"/>
    </row>
    <row r="838" spans="4:52" s="2" customFormat="1" ht="17.100000000000001" customHeight="1" x14ac:dyDescent="0.25">
      <c r="D838" s="3"/>
      <c r="E838" s="3"/>
      <c r="F838" s="4"/>
      <c r="G838" s="4"/>
      <c r="H838" s="138"/>
      <c r="I838" s="97"/>
      <c r="J838" s="6"/>
      <c r="K838" s="6"/>
      <c r="L838" s="6"/>
      <c r="M838" s="6"/>
      <c r="N838" s="6"/>
      <c r="O838" s="6"/>
      <c r="P838" s="6"/>
      <c r="Q838" s="6"/>
      <c r="R838" s="6"/>
      <c r="S838" s="6"/>
      <c r="T838" s="6"/>
      <c r="U838" s="6"/>
      <c r="V838" s="339"/>
      <c r="W838" s="339"/>
      <c r="X838" s="6"/>
      <c r="Y838" s="206"/>
      <c r="AE838" s="6"/>
      <c r="AF838" s="6"/>
      <c r="AG838" s="6"/>
      <c r="AH838" s="206"/>
      <c r="AJ838" s="213"/>
      <c r="AK838" s="6"/>
      <c r="AL838" s="6"/>
      <c r="AM838" s="6"/>
      <c r="AN838" s="206"/>
      <c r="AP838" s="213"/>
      <c r="AQ838" s="6"/>
      <c r="AR838" s="6"/>
      <c r="AS838" s="6"/>
      <c r="AT838" s="206"/>
      <c r="AV838" s="213"/>
      <c r="AW838" s="6"/>
      <c r="AX838" s="6"/>
      <c r="AY838" s="6"/>
      <c r="AZ838" s="206"/>
    </row>
    <row r="839" spans="4:52" s="2" customFormat="1" ht="17.100000000000001" customHeight="1" x14ac:dyDescent="0.25">
      <c r="D839" s="3"/>
      <c r="E839" s="3"/>
      <c r="F839" s="4"/>
      <c r="G839" s="4"/>
      <c r="H839" s="138"/>
      <c r="I839" s="97"/>
      <c r="J839" s="6"/>
      <c r="K839" s="6"/>
      <c r="L839" s="6"/>
      <c r="M839" s="6"/>
      <c r="N839" s="6"/>
      <c r="O839" s="6"/>
      <c r="P839" s="6"/>
      <c r="Q839" s="6"/>
      <c r="R839" s="6"/>
      <c r="S839" s="6"/>
      <c r="T839" s="6"/>
      <c r="U839" s="6"/>
      <c r="V839" s="339"/>
      <c r="W839" s="339"/>
      <c r="X839" s="6"/>
      <c r="Y839" s="206"/>
      <c r="AE839" s="6"/>
      <c r="AF839" s="6"/>
      <c r="AG839" s="6"/>
      <c r="AH839" s="206"/>
      <c r="AJ839" s="213"/>
      <c r="AK839" s="6"/>
      <c r="AL839" s="6"/>
      <c r="AM839" s="6"/>
      <c r="AN839" s="206"/>
      <c r="AP839" s="213"/>
      <c r="AQ839" s="6"/>
      <c r="AR839" s="6"/>
      <c r="AS839" s="6"/>
      <c r="AT839" s="206"/>
      <c r="AV839" s="213"/>
      <c r="AW839" s="6"/>
      <c r="AX839" s="6"/>
      <c r="AY839" s="6"/>
      <c r="AZ839" s="206"/>
    </row>
    <row r="840" spans="4:52" s="2" customFormat="1" ht="17.100000000000001" customHeight="1" x14ac:dyDescent="0.25">
      <c r="D840" s="3"/>
      <c r="E840" s="3"/>
      <c r="F840" s="4"/>
      <c r="G840" s="4"/>
      <c r="H840" s="138"/>
      <c r="I840" s="97"/>
      <c r="J840" s="6"/>
      <c r="K840" s="6"/>
      <c r="L840" s="6"/>
      <c r="M840" s="6"/>
      <c r="N840" s="6"/>
      <c r="O840" s="6"/>
      <c r="P840" s="6"/>
      <c r="Q840" s="6"/>
      <c r="R840" s="6"/>
      <c r="S840" s="6"/>
      <c r="T840" s="6"/>
      <c r="U840" s="6"/>
      <c r="V840" s="339"/>
      <c r="W840" s="339"/>
      <c r="X840" s="6"/>
      <c r="Y840" s="206"/>
      <c r="AE840" s="6"/>
      <c r="AF840" s="6"/>
      <c r="AG840" s="6"/>
      <c r="AH840" s="206"/>
      <c r="AJ840" s="213"/>
      <c r="AK840" s="6"/>
      <c r="AL840" s="6"/>
      <c r="AM840" s="6"/>
      <c r="AN840" s="206"/>
      <c r="AP840" s="213"/>
      <c r="AQ840" s="6"/>
      <c r="AR840" s="6"/>
      <c r="AS840" s="6"/>
      <c r="AT840" s="206"/>
      <c r="AV840" s="213"/>
      <c r="AW840" s="6"/>
      <c r="AX840" s="6"/>
      <c r="AY840" s="6"/>
      <c r="AZ840" s="206"/>
    </row>
  </sheetData>
  <dataConsolidate/>
  <mergeCells count="19">
    <mergeCell ref="AQ10:AU10"/>
    <mergeCell ref="AW10:BA10"/>
    <mergeCell ref="E382:G382"/>
    <mergeCell ref="E384:G384"/>
    <mergeCell ref="E446:G446"/>
    <mergeCell ref="E447:G447"/>
    <mergeCell ref="AE8:AO8"/>
    <mergeCell ref="J9:M9"/>
    <mergeCell ref="N9:P9"/>
    <mergeCell ref="Q9:S9"/>
    <mergeCell ref="T9:V9"/>
    <mergeCell ref="AE10:AI10"/>
    <mergeCell ref="AK10:AO10"/>
    <mergeCell ref="W8:Y9"/>
    <mergeCell ref="L6:M6"/>
    <mergeCell ref="J8:M8"/>
    <mergeCell ref="N8:P8"/>
    <mergeCell ref="Q8:S8"/>
    <mergeCell ref="T8:V8"/>
  </mergeCells>
  <pageMargins left="0.7" right="0.7" top="0.75" bottom="0.75" header="0.3" footer="0.3"/>
  <pageSetup paperSize="9" scale="70" fitToHeight="5" orientation="portrait" r:id="rId1"/>
  <headerFooter>
    <oddFooter>&amp;L&amp;10SANITATION DEMAND AND SUPPLY STUDY&amp;C&amp;10&amp;P&amp;R&amp;10HOUSEHOLDS WITH TOILET</oddFooter>
  </headerFooter>
  <rowBreaks count="4" manualBreakCount="4">
    <brk id="89" max="10" man="1"/>
    <brk id="212" max="10" man="1"/>
    <brk id="373" max="10" man="1"/>
    <brk id="567" max="10" man="1"/>
  </rowBreaks>
  <ignoredErrors>
    <ignoredError sqref="AA318:AC320 W365:W367 AA365:AC367 W602:AC604"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BH840"/>
  <sheetViews>
    <sheetView zoomScale="80" zoomScaleNormal="80" workbookViewId="0">
      <pane xSplit="7" ySplit="11" topLeftCell="H12" activePane="bottomRight" state="frozen"/>
      <selection activeCell="W396" sqref="W396:X399"/>
      <selection pane="topRight" activeCell="W396" sqref="W396:X399"/>
      <selection pane="bottomLeft" activeCell="W396" sqref="W396:X399"/>
      <selection pane="bottomRight" activeCell="O5" sqref="O5"/>
    </sheetView>
  </sheetViews>
  <sheetFormatPr defaultRowHeight="17.100000000000001" customHeight="1" x14ac:dyDescent="0.25"/>
  <cols>
    <col min="1" max="2" width="4.7109375" style="2" customWidth="1"/>
    <col min="3" max="3" width="6.7109375" style="2" customWidth="1"/>
    <col min="4" max="4" width="7.7109375" style="3" customWidth="1"/>
    <col min="5" max="5" width="4.7109375" style="3" customWidth="1"/>
    <col min="6" max="6" width="30.7109375" style="4" customWidth="1"/>
    <col min="7" max="7" width="3.7109375" style="4" customWidth="1"/>
    <col min="8" max="8" width="4.42578125" style="138" customWidth="1"/>
    <col min="9" max="9" width="3.7109375" style="97" customWidth="1"/>
    <col min="10" max="21" width="10.7109375" style="6" customWidth="1"/>
    <col min="22" max="23" width="10.7109375" style="339" customWidth="1"/>
    <col min="24" max="24" width="10.7109375" style="6" customWidth="1"/>
    <col min="25" max="25" width="10.7109375" style="7" customWidth="1"/>
    <col min="26" max="29" width="10.7109375" style="3" customWidth="1"/>
    <col min="30" max="30" width="8.7109375" style="3" customWidth="1"/>
    <col min="31" max="33" width="9.7109375" style="8" customWidth="1"/>
    <col min="34" max="34" width="9.7109375" style="7" customWidth="1"/>
    <col min="35" max="35" width="9.7109375" style="3" customWidth="1"/>
    <col min="36" max="36" width="8.7109375" style="117" customWidth="1"/>
    <col min="37" max="39" width="9.7109375" style="8" customWidth="1"/>
    <col min="40" max="40" width="9.7109375" style="7" customWidth="1"/>
    <col min="41" max="41" width="9.7109375" style="3" customWidth="1"/>
    <col min="42" max="42" width="8.7109375" style="117" customWidth="1"/>
    <col min="43" max="45" width="9.7109375" style="8" customWidth="1"/>
    <col min="46" max="46" width="9.7109375" style="7" customWidth="1"/>
    <col min="47" max="47" width="9.7109375" style="3" customWidth="1"/>
    <col min="48" max="48" width="8.7109375" style="117" customWidth="1"/>
    <col min="49" max="51" width="9.7109375" style="8" customWidth="1"/>
    <col min="52" max="52" width="9.7109375" style="7" customWidth="1"/>
    <col min="53" max="53" width="9.7109375" style="3" customWidth="1"/>
    <col min="54" max="16384" width="9.140625" style="3"/>
  </cols>
  <sheetData>
    <row r="1" spans="1:53" ht="17.100000000000001" customHeight="1" x14ac:dyDescent="0.25">
      <c r="A1" s="1" t="s">
        <v>363</v>
      </c>
      <c r="J1" s="5" t="s">
        <v>883</v>
      </c>
      <c r="V1" s="6"/>
      <c r="W1" s="6"/>
    </row>
    <row r="2" spans="1:53" ht="17.100000000000001" customHeight="1" x14ac:dyDescent="0.25">
      <c r="A2" s="1" t="str">
        <f>'STUDY VILLAGES'!U7</f>
        <v>KAMPOT PROVINCE</v>
      </c>
      <c r="J2" s="5"/>
      <c r="V2" s="6"/>
      <c r="W2" s="6"/>
    </row>
    <row r="3" spans="1:53" ht="17.100000000000001" customHeight="1" x14ac:dyDescent="0.25">
      <c r="A3" s="1" t="str">
        <f>'STUDY VILLAGES'!U8</f>
        <v>BANTEAY MEAS DISTRICT</v>
      </c>
      <c r="J3" s="268" t="s">
        <v>555</v>
      </c>
      <c r="K3" s="95"/>
      <c r="L3" s="267" t="str">
        <f>'STUDY VILLAGES'!B14</f>
        <v>TNAOT CHEUNG SRANG</v>
      </c>
      <c r="M3" s="267"/>
      <c r="V3" s="6"/>
      <c r="W3" s="6"/>
    </row>
    <row r="4" spans="1:53" ht="12.75" x14ac:dyDescent="0.25">
      <c r="A4" s="3"/>
      <c r="B4" s="3"/>
      <c r="C4" s="3"/>
      <c r="F4" s="3"/>
      <c r="G4" s="3"/>
      <c r="H4" s="213"/>
      <c r="J4" s="3"/>
      <c r="K4" s="3"/>
      <c r="L4" s="3"/>
      <c r="M4" s="3"/>
      <c r="N4" s="3"/>
      <c r="O4" s="3"/>
      <c r="P4" s="3"/>
      <c r="V4" s="6"/>
      <c r="W4" s="6"/>
    </row>
    <row r="5" spans="1:53" ht="21" x14ac:dyDescent="0.25">
      <c r="A5" s="1" t="s">
        <v>743</v>
      </c>
      <c r="J5" s="9" t="s">
        <v>1</v>
      </c>
      <c r="K5" s="10"/>
      <c r="L5" s="653"/>
      <c r="M5" s="397"/>
      <c r="N5" s="3"/>
      <c r="O5" s="519" t="s">
        <v>1072</v>
      </c>
      <c r="P5" s="3"/>
      <c r="Q5" s="1105" t="s">
        <v>1399</v>
      </c>
      <c r="V5" s="6"/>
      <c r="W5" s="6"/>
    </row>
    <row r="6" spans="1:53" ht="21" customHeight="1" x14ac:dyDescent="0.25">
      <c r="A6" s="444" t="s">
        <v>618</v>
      </c>
      <c r="J6" s="11" t="s">
        <v>2</v>
      </c>
      <c r="K6" s="10"/>
      <c r="L6" s="1379"/>
      <c r="M6" s="1379"/>
      <c r="N6" s="3"/>
      <c r="O6" s="3"/>
      <c r="P6" s="3"/>
      <c r="Q6" s="1308">
        <f>1.5*2.1*1.5</f>
        <v>4.7250000000000005</v>
      </c>
      <c r="R6" s="6">
        <f>1.4*1.6*1.5</f>
        <v>3.3599999999999994</v>
      </c>
      <c r="V6" s="6"/>
      <c r="W6" s="6"/>
    </row>
    <row r="7" spans="1:53" ht="9.9499999999999993" customHeight="1" x14ac:dyDescent="0.25">
      <c r="A7" s="12"/>
      <c r="B7" s="13"/>
      <c r="C7" s="14"/>
      <c r="D7" s="15"/>
      <c r="E7" s="16"/>
      <c r="F7" s="16"/>
      <c r="G7" s="16"/>
      <c r="H7" s="214"/>
      <c r="I7" s="16"/>
      <c r="V7" s="6"/>
      <c r="W7" s="6"/>
    </row>
    <row r="8" spans="1:53" ht="17.100000000000001" customHeight="1" x14ac:dyDescent="0.25">
      <c r="D8" s="2"/>
      <c r="E8" s="2"/>
      <c r="F8" s="21"/>
      <c r="G8" s="21"/>
      <c r="H8" s="12"/>
      <c r="I8" s="138"/>
      <c r="J8" s="1384" t="s">
        <v>541</v>
      </c>
      <c r="K8" s="1385"/>
      <c r="L8" s="1385"/>
      <c r="M8" s="1386"/>
      <c r="N8" s="1384" t="s">
        <v>364</v>
      </c>
      <c r="O8" s="1385"/>
      <c r="P8" s="1386"/>
      <c r="Q8" s="1384" t="s">
        <v>365</v>
      </c>
      <c r="R8" s="1385"/>
      <c r="S8" s="1386"/>
      <c r="T8" s="1384" t="s">
        <v>366</v>
      </c>
      <c r="U8" s="1385"/>
      <c r="V8" s="1385"/>
      <c r="W8" s="1396" t="s">
        <v>4</v>
      </c>
      <c r="X8" s="1397"/>
      <c r="Y8" s="1397"/>
      <c r="AE8" s="1383" t="s">
        <v>731</v>
      </c>
      <c r="AF8" s="1383"/>
      <c r="AG8" s="1383"/>
      <c r="AH8" s="1383"/>
      <c r="AI8" s="1383"/>
      <c r="AJ8" s="1383"/>
      <c r="AK8" s="1383"/>
      <c r="AL8" s="1383"/>
      <c r="AM8" s="1383"/>
      <c r="AN8" s="1383"/>
      <c r="AO8" s="1383"/>
      <c r="AP8" s="3"/>
      <c r="AV8" s="3"/>
    </row>
    <row r="9" spans="1:53" ht="17.100000000000001" customHeight="1" x14ac:dyDescent="0.25">
      <c r="D9" s="2"/>
      <c r="E9" s="2"/>
      <c r="F9" s="21"/>
      <c r="G9" s="21"/>
      <c r="H9" s="12"/>
      <c r="I9" s="138"/>
      <c r="J9" s="1384" t="s">
        <v>542</v>
      </c>
      <c r="K9" s="1385"/>
      <c r="L9" s="1385"/>
      <c r="M9" s="1386"/>
      <c r="N9" s="1387" t="str">
        <f>'STUDY VILLAGES'!C14</f>
        <v>Kouk Veaeng</v>
      </c>
      <c r="O9" s="1388"/>
      <c r="P9" s="1389"/>
      <c r="Q9" s="1387" t="str">
        <f>'STUDY VILLAGES'!F14</f>
        <v>Ruessei Chum</v>
      </c>
      <c r="R9" s="1388"/>
      <c r="S9" s="1389"/>
      <c r="T9" s="1387" t="str">
        <f>'STUDY VILLAGES'!I14</f>
        <v>Ta Lang</v>
      </c>
      <c r="U9" s="1388"/>
      <c r="V9" s="1389"/>
      <c r="W9" s="1396"/>
      <c r="X9" s="1397"/>
      <c r="Y9" s="1397"/>
      <c r="AB9" s="513" t="s">
        <v>900</v>
      </c>
      <c r="AC9" s="514">
        <f>SUM(AA10:AC10)</f>
        <v>3</v>
      </c>
    </row>
    <row r="10" spans="1:53" ht="17.100000000000001" customHeight="1" x14ac:dyDescent="0.25">
      <c r="A10" s="21"/>
      <c r="B10" s="21"/>
      <c r="C10" s="21"/>
      <c r="D10" s="4"/>
      <c r="E10" s="4"/>
      <c r="G10" s="22"/>
      <c r="H10" s="166"/>
      <c r="I10" s="208"/>
      <c r="J10" s="334" t="s">
        <v>733</v>
      </c>
      <c r="K10" s="334" t="s">
        <v>734</v>
      </c>
      <c r="L10" s="334" t="s">
        <v>657</v>
      </c>
      <c r="M10" s="334" t="s">
        <v>320</v>
      </c>
      <c r="N10" s="334" t="s">
        <v>735</v>
      </c>
      <c r="O10" s="334" t="s">
        <v>657</v>
      </c>
      <c r="P10" s="334" t="s">
        <v>320</v>
      </c>
      <c r="Q10" s="334" t="s">
        <v>735</v>
      </c>
      <c r="R10" s="334" t="s">
        <v>657</v>
      </c>
      <c r="S10" s="334" t="s">
        <v>320</v>
      </c>
      <c r="T10" s="334" t="s">
        <v>735</v>
      </c>
      <c r="U10" s="334" t="s">
        <v>657</v>
      </c>
      <c r="V10" s="544" t="s">
        <v>320</v>
      </c>
      <c r="W10" s="375" t="s">
        <v>735</v>
      </c>
      <c r="X10" s="335" t="s">
        <v>657</v>
      </c>
      <c r="Y10" s="410" t="s">
        <v>4</v>
      </c>
      <c r="AA10" s="2">
        <f>IF(P20&gt;0,1,0)</f>
        <v>1</v>
      </c>
      <c r="AB10" s="2">
        <f>IF(S20&gt;0,1,0)</f>
        <v>1</v>
      </c>
      <c r="AC10" s="2">
        <f>IF(V20&gt;0,1,0)</f>
        <v>1</v>
      </c>
      <c r="AE10" s="1400" t="s">
        <v>733</v>
      </c>
      <c r="AF10" s="1401"/>
      <c r="AG10" s="1401"/>
      <c r="AH10" s="1401"/>
      <c r="AI10" s="1402"/>
      <c r="AK10" s="1390" t="s">
        <v>734</v>
      </c>
      <c r="AL10" s="1391"/>
      <c r="AM10" s="1391"/>
      <c r="AN10" s="1391"/>
      <c r="AO10" s="1392"/>
      <c r="AQ10" s="1380" t="s">
        <v>732</v>
      </c>
      <c r="AR10" s="1381"/>
      <c r="AS10" s="1381"/>
      <c r="AT10" s="1381"/>
      <c r="AU10" s="1382"/>
      <c r="AW10" s="1393" t="s">
        <v>556</v>
      </c>
      <c r="AX10" s="1394"/>
      <c r="AY10" s="1394"/>
      <c r="AZ10" s="1394"/>
      <c r="BA10" s="1395"/>
    </row>
    <row r="11" spans="1:53" s="32" customFormat="1" ht="17.100000000000001" customHeight="1" thickBot="1" x14ac:dyDescent="0.3">
      <c r="A11" s="24">
        <v>0</v>
      </c>
      <c r="B11" s="25" t="s">
        <v>3</v>
      </c>
      <c r="C11" s="26"/>
      <c r="D11" s="27"/>
      <c r="E11" s="27"/>
      <c r="F11" s="27"/>
      <c r="G11" s="28"/>
      <c r="H11" s="215"/>
      <c r="I11" s="228"/>
      <c r="J11" s="29"/>
      <c r="K11" s="29"/>
      <c r="L11" s="29"/>
      <c r="M11" s="29"/>
      <c r="N11" s="29"/>
      <c r="O11" s="29"/>
      <c r="P11" s="29"/>
      <c r="Q11" s="29"/>
      <c r="R11" s="29"/>
      <c r="S11" s="29"/>
      <c r="T11" s="29"/>
      <c r="U11" s="29"/>
      <c r="V11" s="354"/>
      <c r="W11" s="376"/>
      <c r="X11" s="29"/>
      <c r="Y11" s="30"/>
      <c r="Z11" s="31" t="s">
        <v>5</v>
      </c>
      <c r="AA11" s="31" t="s">
        <v>181</v>
      </c>
      <c r="AB11" s="31" t="s">
        <v>182</v>
      </c>
      <c r="AC11" s="31" t="s">
        <v>6</v>
      </c>
      <c r="AE11" s="33" t="s">
        <v>181</v>
      </c>
      <c r="AF11" s="33" t="s">
        <v>182</v>
      </c>
      <c r="AG11" s="33" t="s">
        <v>6</v>
      </c>
      <c r="AH11" s="33" t="s">
        <v>4</v>
      </c>
      <c r="AI11" s="34" t="s">
        <v>5</v>
      </c>
      <c r="AJ11" s="406"/>
      <c r="AK11" s="36" t="s">
        <v>181</v>
      </c>
      <c r="AL11" s="36" t="s">
        <v>182</v>
      </c>
      <c r="AM11" s="36" t="s">
        <v>6</v>
      </c>
      <c r="AN11" s="36" t="s">
        <v>4</v>
      </c>
      <c r="AO11" s="37" t="s">
        <v>5</v>
      </c>
      <c r="AP11" s="406"/>
      <c r="AQ11" s="398" t="s">
        <v>181</v>
      </c>
      <c r="AR11" s="398" t="s">
        <v>182</v>
      </c>
      <c r="AS11" s="398" t="s">
        <v>6</v>
      </c>
      <c r="AT11" s="398" t="s">
        <v>4</v>
      </c>
      <c r="AU11" s="399" t="s">
        <v>5</v>
      </c>
      <c r="AV11" s="406"/>
      <c r="AW11" s="400" t="s">
        <v>181</v>
      </c>
      <c r="AX11" s="400" t="s">
        <v>182</v>
      </c>
      <c r="AY11" s="400" t="s">
        <v>6</v>
      </c>
      <c r="AZ11" s="400" t="s">
        <v>4</v>
      </c>
      <c r="BA11" s="401" t="s">
        <v>5</v>
      </c>
    </row>
    <row r="12" spans="1:53" ht="17.100000000000001" customHeight="1" x14ac:dyDescent="0.25">
      <c r="A12" s="40"/>
      <c r="B12" s="414">
        <v>0</v>
      </c>
      <c r="C12" s="42" t="s">
        <v>367</v>
      </c>
      <c r="D12" s="43"/>
      <c r="E12" s="43"/>
      <c r="F12" s="43"/>
      <c r="G12" s="44"/>
      <c r="H12" s="219"/>
      <c r="I12" s="229"/>
      <c r="J12" s="577"/>
      <c r="K12" s="577"/>
      <c r="L12" s="578"/>
      <c r="M12" s="578"/>
      <c r="N12" s="578"/>
      <c r="O12" s="578"/>
      <c r="P12" s="578"/>
      <c r="Q12" s="578"/>
      <c r="R12" s="578"/>
      <c r="S12" s="578"/>
      <c r="T12" s="578"/>
      <c r="U12" s="578"/>
      <c r="V12" s="579"/>
      <c r="W12" s="580"/>
      <c r="X12" s="578"/>
      <c r="Y12" s="220"/>
      <c r="Z12" s="51"/>
      <c r="AA12" s="51"/>
      <c r="AB12" s="51"/>
      <c r="AC12" s="51"/>
      <c r="AE12" s="52"/>
      <c r="AF12" s="52"/>
      <c r="AG12" s="52"/>
      <c r="AH12" s="53"/>
      <c r="AI12" s="54"/>
      <c r="AK12" s="52"/>
      <c r="AL12" s="52"/>
      <c r="AM12" s="52"/>
      <c r="AN12" s="53"/>
      <c r="AO12" s="54"/>
      <c r="AQ12" s="52"/>
      <c r="AR12" s="52"/>
      <c r="AS12" s="52"/>
      <c r="AT12" s="53"/>
      <c r="AU12" s="54"/>
      <c r="AW12" s="52"/>
      <c r="AX12" s="52"/>
      <c r="AY12" s="52"/>
      <c r="AZ12" s="53"/>
      <c r="BA12" s="54"/>
    </row>
    <row r="13" spans="1:53" ht="17.100000000000001" customHeight="1" x14ac:dyDescent="0.25">
      <c r="A13" s="47"/>
      <c r="B13" s="55"/>
      <c r="C13" s="56" t="s">
        <v>626</v>
      </c>
      <c r="D13" s="57" t="s">
        <v>368</v>
      </c>
      <c r="E13" s="58"/>
      <c r="F13" s="58"/>
      <c r="G13" s="59"/>
      <c r="H13" s="218">
        <v>1</v>
      </c>
      <c r="I13" s="229"/>
      <c r="J13" s="581"/>
      <c r="K13" s="581"/>
      <c r="L13" s="582"/>
      <c r="M13" s="17">
        <f>SUM(J13:L13)</f>
        <v>0</v>
      </c>
      <c r="N13" s="111"/>
      <c r="O13" s="111"/>
      <c r="P13" s="111"/>
      <c r="Q13" s="111"/>
      <c r="R13" s="111"/>
      <c r="S13" s="111"/>
      <c r="T13" s="111"/>
      <c r="U13" s="111"/>
      <c r="V13" s="358"/>
      <c r="W13" s="391">
        <f>J13+K13+N13+Q13+T13</f>
        <v>0</v>
      </c>
      <c r="X13" s="17">
        <f>L13+O13+R13+U13</f>
        <v>0</v>
      </c>
      <c r="Y13" s="18">
        <f>SUM(W13:X13)</f>
        <v>0</v>
      </c>
      <c r="Z13" s="19">
        <f>IF(Y$15=0,0,Y13/Y$15)</f>
        <v>0</v>
      </c>
      <c r="AA13" s="19"/>
      <c r="AB13" s="19"/>
      <c r="AC13" s="20"/>
      <c r="AE13" s="17"/>
      <c r="AF13" s="17"/>
      <c r="AG13" s="17"/>
      <c r="AH13" s="18">
        <f>J13</f>
        <v>0</v>
      </c>
      <c r="AI13" s="19">
        <f>IF(AH$15=0,0,AH13/AH$15)</f>
        <v>0</v>
      </c>
      <c r="AK13" s="17"/>
      <c r="AL13" s="17"/>
      <c r="AM13" s="17"/>
      <c r="AN13" s="18">
        <f>K13</f>
        <v>0</v>
      </c>
      <c r="AO13" s="19">
        <f>IF(AN$15=0,0,AN13/AN$15)</f>
        <v>0</v>
      </c>
      <c r="AQ13" s="17"/>
      <c r="AR13" s="17"/>
      <c r="AS13" s="17"/>
      <c r="AT13" s="18">
        <f>W13</f>
        <v>0</v>
      </c>
      <c r="AU13" s="19">
        <f>IF(AT$15=0,0,AT13/AT$15)</f>
        <v>0</v>
      </c>
      <c r="AW13" s="17"/>
      <c r="AX13" s="17"/>
      <c r="AY13" s="17"/>
      <c r="AZ13" s="18">
        <f>X13</f>
        <v>0</v>
      </c>
      <c r="BA13" s="19">
        <f>IF(AZ$15=0,0,AZ13/AZ$15)</f>
        <v>0</v>
      </c>
    </row>
    <row r="14" spans="1:53" ht="17.100000000000001" customHeight="1" x14ac:dyDescent="0.25">
      <c r="A14" s="47"/>
      <c r="B14" s="55"/>
      <c r="C14" s="56" t="s">
        <v>627</v>
      </c>
      <c r="D14" s="57" t="s">
        <v>369</v>
      </c>
      <c r="E14" s="58"/>
      <c r="F14" s="58"/>
      <c r="G14" s="59"/>
      <c r="H14" s="218">
        <v>1</v>
      </c>
      <c r="I14" s="229"/>
      <c r="J14" s="583"/>
      <c r="K14" s="583"/>
      <c r="L14" s="584"/>
      <c r="M14" s="17">
        <f>SUM(J14:L14)</f>
        <v>0</v>
      </c>
      <c r="N14" s="111"/>
      <c r="O14" s="111"/>
      <c r="P14" s="111"/>
      <c r="Q14" s="111"/>
      <c r="R14" s="111"/>
      <c r="S14" s="111"/>
      <c r="T14" s="111"/>
      <c r="U14" s="111"/>
      <c r="V14" s="358"/>
      <c r="W14" s="391">
        <f>J14+K14+N14+Q14+T14</f>
        <v>0</v>
      </c>
      <c r="X14" s="17">
        <f>L14+O14+R14+U14</f>
        <v>0</v>
      </c>
      <c r="Y14" s="18">
        <f>SUM(W14:X14)</f>
        <v>0</v>
      </c>
      <c r="Z14" s="19">
        <f>IF(Y$15=0,0,Y14/Y$15)</f>
        <v>0</v>
      </c>
      <c r="AA14" s="19"/>
      <c r="AB14" s="19"/>
      <c r="AC14" s="20"/>
      <c r="AE14" s="17"/>
      <c r="AF14" s="17"/>
      <c r="AG14" s="17"/>
      <c r="AH14" s="18">
        <f>J14</f>
        <v>0</v>
      </c>
      <c r="AI14" s="19">
        <f>IF(AH$15=0,0,AH14/AH$15)</f>
        <v>0</v>
      </c>
      <c r="AK14" s="17"/>
      <c r="AL14" s="17"/>
      <c r="AM14" s="17"/>
      <c r="AN14" s="18">
        <f>K14</f>
        <v>0</v>
      </c>
      <c r="AO14" s="19">
        <f>IF(AN$15=0,0,AN14/AN$15)</f>
        <v>0</v>
      </c>
      <c r="AQ14" s="17"/>
      <c r="AR14" s="17"/>
      <c r="AS14" s="17"/>
      <c r="AT14" s="18">
        <f>W14</f>
        <v>0</v>
      </c>
      <c r="AU14" s="19">
        <f>IF(AT$15=0,0,AT14/AT$15)</f>
        <v>0</v>
      </c>
      <c r="AW14" s="17"/>
      <c r="AX14" s="17"/>
      <c r="AY14" s="17"/>
      <c r="AZ14" s="18">
        <f>X14</f>
        <v>0</v>
      </c>
      <c r="BA14" s="19">
        <f>IF(AZ$15=0,0,AZ14/AZ$15)</f>
        <v>0</v>
      </c>
    </row>
    <row r="15" spans="1:53" ht="17.100000000000001" customHeight="1" x14ac:dyDescent="0.25">
      <c r="A15" s="47"/>
      <c r="B15" s="47"/>
      <c r="C15" s="252"/>
      <c r="D15" s="62"/>
      <c r="E15" s="62"/>
      <c r="F15" s="62"/>
      <c r="G15" s="63"/>
      <c r="H15" s="216"/>
      <c r="I15" s="229"/>
      <c r="J15" s="64">
        <f>SUM(J13:J14)</f>
        <v>0</v>
      </c>
      <c r="K15" s="64">
        <f t="shared" ref="K15:M15" si="0">SUM(K13:K14)</f>
        <v>0</v>
      </c>
      <c r="L15" s="64">
        <f t="shared" si="0"/>
        <v>0</v>
      </c>
      <c r="M15" s="64">
        <f t="shared" si="0"/>
        <v>0</v>
      </c>
      <c r="N15" s="64"/>
      <c r="O15" s="64"/>
      <c r="P15" s="64"/>
      <c r="Q15" s="81"/>
      <c r="R15" s="81"/>
      <c r="S15" s="81"/>
      <c r="T15" s="81"/>
      <c r="U15" s="81"/>
      <c r="V15" s="356"/>
      <c r="W15" s="381">
        <f>SUM(W13:W14)</f>
        <v>0</v>
      </c>
      <c r="X15" s="82">
        <f t="shared" ref="X15:Y15" si="1">SUM(X13:X14)</f>
        <v>0</v>
      </c>
      <c r="Y15" s="82">
        <f t="shared" si="1"/>
        <v>0</v>
      </c>
      <c r="Z15" s="205">
        <f>IF(Y$15=0,0,Y15/Y$15)</f>
        <v>0</v>
      </c>
      <c r="AA15" s="205"/>
      <c r="AB15" s="205"/>
      <c r="AC15" s="83"/>
      <c r="AE15" s="67"/>
      <c r="AF15" s="67"/>
      <c r="AG15" s="67"/>
      <c r="AH15" s="65">
        <f>SUM(AH13:AH14)</f>
        <v>0</v>
      </c>
      <c r="AI15" s="66">
        <f>IF(AH$15=0,0,AH15/AH$15)</f>
        <v>0</v>
      </c>
      <c r="AK15" s="67"/>
      <c r="AL15" s="67"/>
      <c r="AM15" s="67"/>
      <c r="AN15" s="65">
        <f>SUM(AN13:AN14)</f>
        <v>0</v>
      </c>
      <c r="AO15" s="66">
        <f>IF(AN$15=0,0,AN15/AN$15)</f>
        <v>0</v>
      </c>
      <c r="AQ15" s="67"/>
      <c r="AR15" s="67"/>
      <c r="AS15" s="67"/>
      <c r="AT15" s="65">
        <f>SUM(AT13:AT14)</f>
        <v>0</v>
      </c>
      <c r="AU15" s="66">
        <f>IF(AT$15=0,0,AT15/AT$15)</f>
        <v>0</v>
      </c>
      <c r="AW15" s="67"/>
      <c r="AX15" s="67"/>
      <c r="AY15" s="67"/>
      <c r="AZ15" s="65">
        <f>SUM(AZ13:AZ14)</f>
        <v>0</v>
      </c>
      <c r="BA15" s="66">
        <f>IF(AZ$15=0,0,AZ15/AZ$15)</f>
        <v>0</v>
      </c>
    </row>
    <row r="16" spans="1:53" s="117" customFormat="1" ht="17.100000000000001" customHeight="1" x14ac:dyDescent="0.25">
      <c r="A16" s="186"/>
      <c r="B16" s="253"/>
      <c r="C16" s="254"/>
      <c r="D16" s="255"/>
      <c r="E16" s="93"/>
      <c r="F16" s="93"/>
      <c r="G16" s="209"/>
      <c r="H16" s="540"/>
      <c r="I16" s="12"/>
      <c r="J16" s="198"/>
      <c r="K16" s="585"/>
      <c r="L16" s="17"/>
      <c r="M16" s="17"/>
      <c r="N16" s="17"/>
      <c r="O16" s="17"/>
      <c r="P16" s="17"/>
      <c r="Q16" s="17"/>
      <c r="R16" s="17"/>
      <c r="S16" s="17"/>
      <c r="T16" s="17"/>
      <c r="U16" s="17"/>
      <c r="V16" s="359"/>
      <c r="W16" s="395">
        <f>IF($Y$15=0,0,W15/$Y$15)</f>
        <v>0</v>
      </c>
      <c r="X16" s="91">
        <f>IF($Y$15=0,0,X15/$Y$15)</f>
        <v>0</v>
      </c>
      <c r="Y16" s="201">
        <f>IF($Y$15=0,0,Y15/$Y$15)</f>
        <v>0</v>
      </c>
      <c r="Z16" s="201"/>
      <c r="AA16" s="201"/>
      <c r="AB16" s="201"/>
      <c r="AC16" s="84"/>
      <c r="AE16" s="256"/>
      <c r="AF16" s="256"/>
      <c r="AG16" s="256"/>
      <c r="AH16" s="257"/>
      <c r="AI16" s="91"/>
      <c r="AK16" s="256"/>
      <c r="AL16" s="256"/>
      <c r="AM16" s="256"/>
      <c r="AN16" s="257"/>
      <c r="AO16" s="91"/>
      <c r="AQ16" s="256"/>
      <c r="AR16" s="256"/>
      <c r="AS16" s="256"/>
      <c r="AT16" s="257"/>
      <c r="AU16" s="91"/>
      <c r="AW16" s="256"/>
      <c r="AX16" s="256"/>
      <c r="AY16" s="256"/>
      <c r="AZ16" s="257"/>
      <c r="BA16" s="91"/>
    </row>
    <row r="17" spans="1:60" ht="17.100000000000001" customHeight="1" x14ac:dyDescent="0.25">
      <c r="A17" s="40"/>
      <c r="B17" s="41">
        <v>0.1</v>
      </c>
      <c r="C17" s="42" t="s">
        <v>628</v>
      </c>
      <c r="D17" s="43"/>
      <c r="E17" s="43"/>
      <c r="F17" s="43"/>
      <c r="G17" s="44"/>
      <c r="H17" s="219"/>
      <c r="I17" s="229"/>
      <c r="J17" s="586"/>
      <c r="K17" s="586"/>
      <c r="L17" s="71"/>
      <c r="M17" s="71"/>
      <c r="N17" s="71"/>
      <c r="O17" s="71"/>
      <c r="P17" s="71"/>
      <c r="Q17" s="71"/>
      <c r="R17" s="71"/>
      <c r="S17" s="71"/>
      <c r="T17" s="71"/>
      <c r="U17" s="71"/>
      <c r="V17" s="355"/>
      <c r="W17" s="377"/>
      <c r="X17" s="71"/>
      <c r="Y17" s="72"/>
      <c r="Z17" s="73"/>
      <c r="AA17" s="73"/>
      <c r="AB17" s="73"/>
      <c r="AC17" s="73"/>
      <c r="AE17" s="52"/>
      <c r="AF17" s="52"/>
      <c r="AG17" s="52"/>
      <c r="AH17" s="53"/>
      <c r="AI17" s="54"/>
      <c r="AK17" s="52"/>
      <c r="AL17" s="52"/>
      <c r="AM17" s="52"/>
      <c r="AN17" s="53"/>
      <c r="AO17" s="54"/>
      <c r="AQ17" s="52"/>
      <c r="AR17" s="52"/>
      <c r="AS17" s="52"/>
      <c r="AT17" s="53"/>
      <c r="AU17" s="54"/>
      <c r="AW17" s="52"/>
      <c r="AX17" s="52"/>
      <c r="AY17" s="52"/>
      <c r="AZ17" s="53"/>
      <c r="BA17" s="54"/>
    </row>
    <row r="18" spans="1:60" ht="17.100000000000001" customHeight="1" x14ac:dyDescent="0.25">
      <c r="A18" s="47"/>
      <c r="B18" s="55"/>
      <c r="C18" s="56" t="s">
        <v>371</v>
      </c>
      <c r="D18" s="120" t="s">
        <v>629</v>
      </c>
      <c r="E18" s="58"/>
      <c r="F18" s="58"/>
      <c r="G18" s="59"/>
      <c r="H18" s="216"/>
      <c r="I18" s="229"/>
      <c r="J18" s="174"/>
      <c r="K18" s="174"/>
      <c r="L18" s="111"/>
      <c r="M18" s="111"/>
      <c r="N18" s="60">
        <v>1</v>
      </c>
      <c r="O18" s="60">
        <v>2</v>
      </c>
      <c r="P18" s="17">
        <f>SUM(N18:O18)</f>
        <v>3</v>
      </c>
      <c r="Q18" s="60">
        <v>1</v>
      </c>
      <c r="R18" s="60">
        <v>1</v>
      </c>
      <c r="S18" s="17">
        <f>SUM(Q18:R18)</f>
        <v>2</v>
      </c>
      <c r="T18" s="60"/>
      <c r="U18" s="60">
        <v>6</v>
      </c>
      <c r="V18" s="359">
        <f>SUM(T18:U18)</f>
        <v>6</v>
      </c>
      <c r="W18" s="391">
        <f t="shared" ref="W18:W19" si="2">J18+K18+N18+Q18+T18</f>
        <v>2</v>
      </c>
      <c r="X18" s="17">
        <f t="shared" ref="X18:X19" si="3">L18+O18+R18+U18</f>
        <v>9</v>
      </c>
      <c r="Y18" s="18">
        <f>SUM(W18:X18)</f>
        <v>11</v>
      </c>
      <c r="Z18" s="19">
        <f>IF(Y$20=0,0,Y18/Y$20)</f>
        <v>0.52380952380952384</v>
      </c>
      <c r="AA18" s="19"/>
      <c r="AB18" s="19"/>
      <c r="AC18" s="20"/>
      <c r="AE18" s="17"/>
      <c r="AF18" s="17"/>
      <c r="AG18" s="17"/>
      <c r="AH18" s="18">
        <f>J18</f>
        <v>0</v>
      </c>
      <c r="AI18" s="19">
        <f>IF(AH$15=0,0,AH18/AH$15)</f>
        <v>0</v>
      </c>
      <c r="AK18" s="17"/>
      <c r="AL18" s="17"/>
      <c r="AM18" s="17"/>
      <c r="AN18" s="18">
        <f>K18</f>
        <v>0</v>
      </c>
      <c r="AO18" s="19">
        <f>IF(AN$20=0,0,AN18/AN$20)</f>
        <v>0</v>
      </c>
      <c r="AQ18" s="17"/>
      <c r="AR18" s="17"/>
      <c r="AS18" s="17"/>
      <c r="AT18" s="18">
        <f>W18</f>
        <v>2</v>
      </c>
      <c r="AU18" s="19">
        <f>IF(AT$20=0,0,AT18/AT$20)</f>
        <v>1</v>
      </c>
      <c r="AW18" s="17"/>
      <c r="AX18" s="17"/>
      <c r="AY18" s="17"/>
      <c r="AZ18" s="18">
        <f>X18</f>
        <v>9</v>
      </c>
      <c r="BA18" s="19">
        <f>IF(AZ$20=0,0,AZ18/AZ$20)</f>
        <v>0.47368421052631576</v>
      </c>
    </row>
    <row r="19" spans="1:60" ht="17.100000000000001" customHeight="1" x14ac:dyDescent="0.25">
      <c r="A19" s="47"/>
      <c r="B19" s="55"/>
      <c r="C19" s="56" t="s">
        <v>372</v>
      </c>
      <c r="D19" s="120" t="s">
        <v>630</v>
      </c>
      <c r="E19" s="58"/>
      <c r="F19" s="58"/>
      <c r="G19" s="59"/>
      <c r="H19" s="216"/>
      <c r="I19" s="229"/>
      <c r="J19" s="174"/>
      <c r="K19" s="174"/>
      <c r="L19" s="111"/>
      <c r="M19" s="111"/>
      <c r="N19" s="61"/>
      <c r="O19" s="61">
        <v>3</v>
      </c>
      <c r="P19" s="17">
        <f>SUM(N19:O19)</f>
        <v>3</v>
      </c>
      <c r="Q19" s="61"/>
      <c r="R19" s="61">
        <v>3</v>
      </c>
      <c r="S19" s="17">
        <f>SUM(Q19:R19)</f>
        <v>3</v>
      </c>
      <c r="T19" s="61"/>
      <c r="U19" s="61">
        <v>4</v>
      </c>
      <c r="V19" s="359">
        <f>SUM(T19:U19)</f>
        <v>4</v>
      </c>
      <c r="W19" s="391">
        <f t="shared" si="2"/>
        <v>0</v>
      </c>
      <c r="X19" s="17">
        <f t="shared" si="3"/>
        <v>10</v>
      </c>
      <c r="Y19" s="18">
        <f>SUM(W19:X19)</f>
        <v>10</v>
      </c>
      <c r="Z19" s="19">
        <f t="shared" ref="Z19:Z20" si="4">IF(Y$20=0,0,Y19/Y$20)</f>
        <v>0.47619047619047616</v>
      </c>
      <c r="AA19" s="19"/>
      <c r="AB19" s="19"/>
      <c r="AC19" s="20"/>
      <c r="AE19" s="17"/>
      <c r="AF19" s="17"/>
      <c r="AG19" s="17"/>
      <c r="AH19" s="18">
        <f>J19</f>
        <v>0</v>
      </c>
      <c r="AI19" s="19">
        <f>IF(AH$15=0,0,AH19/AH$15)</f>
        <v>0</v>
      </c>
      <c r="AK19" s="17"/>
      <c r="AL19" s="17"/>
      <c r="AM19" s="17"/>
      <c r="AN19" s="18">
        <f>K19</f>
        <v>0</v>
      </c>
      <c r="AO19" s="19">
        <f t="shared" ref="AO19:AO20" si="5">IF(AN$20=0,0,AN19/AN$20)</f>
        <v>0</v>
      </c>
      <c r="AQ19" s="17"/>
      <c r="AR19" s="17"/>
      <c r="AS19" s="17"/>
      <c r="AT19" s="18">
        <f>W19</f>
        <v>0</v>
      </c>
      <c r="AU19" s="19">
        <f t="shared" ref="AU19:AU20" si="6">IF(AT$20=0,0,AT19/AT$20)</f>
        <v>0</v>
      </c>
      <c r="AW19" s="17"/>
      <c r="AX19" s="17"/>
      <c r="AY19" s="17"/>
      <c r="AZ19" s="18">
        <f>X19</f>
        <v>10</v>
      </c>
      <c r="BA19" s="19">
        <f t="shared" ref="BA19:BA20" si="7">IF(AZ$20=0,0,AZ19/AZ$20)</f>
        <v>0.52631578947368418</v>
      </c>
    </row>
    <row r="20" spans="1:60" ht="17.100000000000001" customHeight="1" x14ac:dyDescent="0.25">
      <c r="A20" s="47"/>
      <c r="B20" s="47"/>
      <c r="C20" s="252"/>
      <c r="D20" s="62"/>
      <c r="E20" s="62"/>
      <c r="F20" s="62"/>
      <c r="G20" s="63"/>
      <c r="H20" s="216"/>
      <c r="I20" s="229"/>
      <c r="J20" s="64"/>
      <c r="K20" s="64"/>
      <c r="L20" s="64"/>
      <c r="M20" s="64"/>
      <c r="N20" s="64">
        <f>SUM(N18:N19)</f>
        <v>1</v>
      </c>
      <c r="O20" s="64">
        <f t="shared" ref="O20:V20" si="8">SUM(O18:O19)</f>
        <v>5</v>
      </c>
      <c r="P20" s="64">
        <f t="shared" si="8"/>
        <v>6</v>
      </c>
      <c r="Q20" s="64">
        <f t="shared" si="8"/>
        <v>1</v>
      </c>
      <c r="R20" s="64">
        <f t="shared" si="8"/>
        <v>4</v>
      </c>
      <c r="S20" s="64">
        <f t="shared" si="8"/>
        <v>5</v>
      </c>
      <c r="T20" s="64">
        <f t="shared" si="8"/>
        <v>0</v>
      </c>
      <c r="U20" s="64">
        <f t="shared" si="8"/>
        <v>10</v>
      </c>
      <c r="V20" s="64">
        <f t="shared" si="8"/>
        <v>10</v>
      </c>
      <c r="W20" s="381">
        <f>SUM(W18:W19)</f>
        <v>2</v>
      </c>
      <c r="X20" s="82">
        <f t="shared" ref="X20:Y20" si="9">SUM(X18:X19)</f>
        <v>19</v>
      </c>
      <c r="Y20" s="82">
        <f t="shared" si="9"/>
        <v>21</v>
      </c>
      <c r="Z20" s="205">
        <f t="shared" si="4"/>
        <v>1</v>
      </c>
      <c r="AA20" s="205"/>
      <c r="AB20" s="205"/>
      <c r="AC20" s="83"/>
      <c r="AE20" s="67"/>
      <c r="AF20" s="67"/>
      <c r="AG20" s="67"/>
      <c r="AH20" s="65">
        <f>SUM(AH18:AH19)</f>
        <v>0</v>
      </c>
      <c r="AI20" s="66">
        <f>IF(AH$15=0,0,AH20/AH$15)</f>
        <v>0</v>
      </c>
      <c r="AK20" s="67"/>
      <c r="AL20" s="67"/>
      <c r="AM20" s="67"/>
      <c r="AN20" s="65">
        <f>SUM(AN18:AN19)</f>
        <v>0</v>
      </c>
      <c r="AO20" s="66">
        <f t="shared" si="5"/>
        <v>0</v>
      </c>
      <c r="AQ20" s="67"/>
      <c r="AR20" s="67"/>
      <c r="AS20" s="67"/>
      <c r="AT20" s="65">
        <f>SUM(AT18:AT19)</f>
        <v>2</v>
      </c>
      <c r="AU20" s="66">
        <f t="shared" si="6"/>
        <v>1</v>
      </c>
      <c r="AW20" s="67"/>
      <c r="AX20" s="67"/>
      <c r="AY20" s="67"/>
      <c r="AZ20" s="65">
        <f>SUM(AZ18:AZ19)</f>
        <v>19</v>
      </c>
      <c r="BA20" s="66">
        <f t="shared" si="7"/>
        <v>1</v>
      </c>
    </row>
    <row r="21" spans="1:60" s="117" customFormat="1" ht="17.100000000000001" customHeight="1" x14ac:dyDescent="0.25">
      <c r="A21" s="186"/>
      <c r="B21" s="253"/>
      <c r="C21" s="254"/>
      <c r="D21" s="255"/>
      <c r="E21" s="93"/>
      <c r="F21" s="93"/>
      <c r="G21" s="209"/>
      <c r="H21" s="540"/>
      <c r="I21" s="12"/>
      <c r="J21" s="198"/>
      <c r="K21" s="585"/>
      <c r="L21" s="17"/>
      <c r="M21" s="17"/>
      <c r="N21" s="17"/>
      <c r="O21" s="17"/>
      <c r="P21" s="17"/>
      <c r="Q21" s="17"/>
      <c r="R21" s="17"/>
      <c r="S21" s="17"/>
      <c r="T21" s="17"/>
      <c r="U21" s="17"/>
      <c r="V21" s="359"/>
      <c r="W21" s="395">
        <f>IF($Y$20=0,0,W20/$Y$20)</f>
        <v>9.5238095238095233E-2</v>
      </c>
      <c r="X21" s="91">
        <f>IF($Y$20=0,0,X20/$Y$20)</f>
        <v>0.90476190476190477</v>
      </c>
      <c r="Y21" s="201">
        <f>IF($Y$20=0,0,Y20/$Y$20)</f>
        <v>1</v>
      </c>
      <c r="Z21" s="201"/>
      <c r="AA21" s="201"/>
      <c r="AB21" s="201"/>
      <c r="AC21" s="84"/>
      <c r="AE21" s="256"/>
      <c r="AF21" s="256"/>
      <c r="AG21" s="256"/>
      <c r="AH21" s="257"/>
      <c r="AI21" s="91"/>
      <c r="AK21" s="256"/>
      <c r="AL21" s="256"/>
      <c r="AM21" s="256"/>
      <c r="AN21" s="257"/>
      <c r="AO21" s="91"/>
      <c r="AQ21" s="256"/>
      <c r="AR21" s="256"/>
      <c r="AS21" s="256"/>
      <c r="AT21" s="257"/>
      <c r="AU21" s="91"/>
      <c r="AW21" s="256"/>
      <c r="AX21" s="256"/>
      <c r="AY21" s="256"/>
      <c r="AZ21" s="257"/>
      <c r="BA21" s="91"/>
      <c r="BC21" s="3"/>
      <c r="BD21" s="3"/>
      <c r="BE21" s="3"/>
      <c r="BF21" s="3"/>
      <c r="BG21" s="3"/>
      <c r="BH21" s="3"/>
    </row>
    <row r="22" spans="1:60" ht="17.100000000000001" customHeight="1" x14ac:dyDescent="0.25">
      <c r="A22" s="68"/>
      <c r="B22" s="41">
        <v>0.2</v>
      </c>
      <c r="C22" s="69" t="s">
        <v>370</v>
      </c>
      <c r="D22" s="50"/>
      <c r="E22" s="70"/>
      <c r="F22" s="70"/>
      <c r="G22" s="70"/>
      <c r="H22" s="119"/>
      <c r="J22" s="71"/>
      <c r="K22" s="71"/>
      <c r="L22" s="71"/>
      <c r="M22" s="71"/>
      <c r="N22" s="71"/>
      <c r="O22" s="71"/>
      <c r="P22" s="71"/>
      <c r="Q22" s="71"/>
      <c r="R22" s="71"/>
      <c r="S22" s="71"/>
      <c r="T22" s="71"/>
      <c r="U22" s="71"/>
      <c r="V22" s="355"/>
      <c r="W22" s="377"/>
      <c r="X22" s="71"/>
      <c r="Y22" s="72"/>
      <c r="Z22" s="73"/>
      <c r="AA22" s="73"/>
      <c r="AB22" s="73"/>
      <c r="AC22" s="73"/>
      <c r="AE22" s="71"/>
      <c r="AF22" s="71"/>
      <c r="AG22" s="71"/>
      <c r="AH22" s="72"/>
      <c r="AI22" s="73"/>
      <c r="AK22" s="71"/>
      <c r="AL22" s="71"/>
      <c r="AM22" s="71"/>
      <c r="AN22" s="72"/>
      <c r="AO22" s="73"/>
      <c r="AQ22" s="71"/>
      <c r="AR22" s="71"/>
      <c r="AS22" s="71"/>
      <c r="AT22" s="72"/>
      <c r="AU22" s="73"/>
      <c r="AW22" s="71"/>
      <c r="AX22" s="71"/>
      <c r="AY22" s="71"/>
      <c r="AZ22" s="72"/>
      <c r="BA22" s="73"/>
    </row>
    <row r="23" spans="1:60" ht="17.100000000000001" customHeight="1" x14ac:dyDescent="0.25">
      <c r="A23" s="40"/>
      <c r="B23" s="40"/>
      <c r="C23" s="74" t="s">
        <v>7</v>
      </c>
      <c r="D23" s="542" t="s">
        <v>9</v>
      </c>
      <c r="E23" s="75"/>
      <c r="F23" s="75"/>
      <c r="G23" s="76"/>
      <c r="H23" s="589">
        <v>5</v>
      </c>
      <c r="I23" s="229"/>
      <c r="J23" s="581"/>
      <c r="K23" s="581"/>
      <c r="L23" s="582"/>
      <c r="M23" s="17">
        <f t="shared" ref="M23:M25" si="10">SUM(J23:L23)</f>
        <v>0</v>
      </c>
      <c r="N23" s="111"/>
      <c r="O23" s="111"/>
      <c r="P23" s="111"/>
      <c r="Q23" s="111"/>
      <c r="R23" s="111"/>
      <c r="S23" s="111"/>
      <c r="T23" s="111"/>
      <c r="U23" s="111"/>
      <c r="V23" s="358"/>
      <c r="W23" s="391">
        <f t="shared" ref="W23:W25" si="11">J23+K23+N23+Q23+T23</f>
        <v>0</v>
      </c>
      <c r="X23" s="17">
        <f t="shared" ref="X23:X25" si="12">L23+O23+R23+U23</f>
        <v>0</v>
      </c>
      <c r="Y23" s="18">
        <f>SUM(W23:X23)</f>
        <v>0</v>
      </c>
      <c r="Z23" s="19">
        <f>IF(Y$26=0,0,Y23/Y$26)</f>
        <v>0</v>
      </c>
      <c r="AA23" s="19"/>
      <c r="AB23" s="19"/>
      <c r="AC23" s="20"/>
      <c r="AE23" s="17"/>
      <c r="AF23" s="17"/>
      <c r="AG23" s="17"/>
      <c r="AH23" s="18">
        <f>J23</f>
        <v>0</v>
      </c>
      <c r="AI23" s="19">
        <f>IF(AH$26=0,0,AH23/AH$26)</f>
        <v>0</v>
      </c>
      <c r="AK23" s="17"/>
      <c r="AL23" s="17"/>
      <c r="AM23" s="17"/>
      <c r="AN23" s="18">
        <f>K23</f>
        <v>0</v>
      </c>
      <c r="AO23" s="19">
        <f>IF(AN$26=0,0,AN23/AN$26)</f>
        <v>0</v>
      </c>
      <c r="AQ23" s="17"/>
      <c r="AR23" s="17"/>
      <c r="AS23" s="17"/>
      <c r="AT23" s="18">
        <f>W23</f>
        <v>0</v>
      </c>
      <c r="AU23" s="19">
        <f>IF(AT$26=0,0,AT23/AT$26)</f>
        <v>0</v>
      </c>
      <c r="AW23" s="17"/>
      <c r="AX23" s="17"/>
      <c r="AY23" s="17"/>
      <c r="AZ23" s="18">
        <f>X23</f>
        <v>0</v>
      </c>
      <c r="BA23" s="19">
        <f>IF(AZ$26=0,0,AZ23/AZ$26)</f>
        <v>0</v>
      </c>
    </row>
    <row r="24" spans="1:60" ht="17.100000000000001" customHeight="1" x14ac:dyDescent="0.25">
      <c r="A24" s="40"/>
      <c r="B24" s="40"/>
      <c r="C24" s="74" t="s">
        <v>8</v>
      </c>
      <c r="D24" s="542" t="s">
        <v>10</v>
      </c>
      <c r="E24" s="75"/>
      <c r="F24" s="75"/>
      <c r="G24" s="76"/>
      <c r="H24" s="211"/>
      <c r="I24" s="229"/>
      <c r="J24" s="583"/>
      <c r="K24" s="583"/>
      <c r="L24" s="584"/>
      <c r="M24" s="17">
        <f t="shared" si="10"/>
        <v>0</v>
      </c>
      <c r="N24" s="111"/>
      <c r="O24" s="111"/>
      <c r="P24" s="111"/>
      <c r="Q24" s="111"/>
      <c r="R24" s="111"/>
      <c r="S24" s="111"/>
      <c r="T24" s="111"/>
      <c r="U24" s="111"/>
      <c r="V24" s="358"/>
      <c r="W24" s="391">
        <f t="shared" si="11"/>
        <v>0</v>
      </c>
      <c r="X24" s="17">
        <f t="shared" si="12"/>
        <v>0</v>
      </c>
      <c r="Y24" s="18">
        <f>SUM(W24:X24)</f>
        <v>0</v>
      </c>
      <c r="Z24" s="19">
        <f t="shared" ref="Z24:Z25" si="13">IF(Y$26=0,0,Y24/Y$26)</f>
        <v>0</v>
      </c>
      <c r="AA24" s="19"/>
      <c r="AB24" s="19"/>
      <c r="AC24" s="20"/>
      <c r="AE24" s="17"/>
      <c r="AF24" s="17"/>
      <c r="AG24" s="17"/>
      <c r="AH24" s="18">
        <f t="shared" ref="AH24:AH25" si="14">J24</f>
        <v>0</v>
      </c>
      <c r="AI24" s="19">
        <f t="shared" ref="AI24:AI26" si="15">IF(AH$26=0,0,AH24/AH$26)</f>
        <v>0</v>
      </c>
      <c r="AK24" s="17"/>
      <c r="AL24" s="17"/>
      <c r="AM24" s="17"/>
      <c r="AN24" s="18">
        <f t="shared" ref="AN24:AN25" si="16">K24</f>
        <v>0</v>
      </c>
      <c r="AO24" s="19">
        <f t="shared" ref="AO24:AO26" si="17">IF(AN$26=0,0,AN24/AN$26)</f>
        <v>0</v>
      </c>
      <c r="AQ24" s="17"/>
      <c r="AR24" s="17"/>
      <c r="AS24" s="17"/>
      <c r="AT24" s="18">
        <f t="shared" ref="AT24:AT25" si="18">W24</f>
        <v>0</v>
      </c>
      <c r="AU24" s="19">
        <f t="shared" ref="AU24:AU26" si="19">IF(AT$26=0,0,AT24/AT$26)</f>
        <v>0</v>
      </c>
      <c r="AW24" s="17"/>
      <c r="AX24" s="17"/>
      <c r="AY24" s="17"/>
      <c r="AZ24" s="18">
        <f t="shared" ref="AZ24:AZ25" si="20">X24</f>
        <v>0</v>
      </c>
      <c r="BA24" s="19">
        <f t="shared" ref="BA24:BA26" si="21">IF(AZ$26=0,0,AZ24/AZ$26)</f>
        <v>0</v>
      </c>
    </row>
    <row r="25" spans="1:60" ht="17.100000000000001" customHeight="1" x14ac:dyDescent="0.25">
      <c r="A25" s="40"/>
      <c r="B25" s="40"/>
      <c r="C25" s="74" t="s">
        <v>531</v>
      </c>
      <c r="D25" s="542" t="s">
        <v>530</v>
      </c>
      <c r="E25" s="75"/>
      <c r="F25" s="75"/>
      <c r="G25" s="76"/>
      <c r="H25" s="211"/>
      <c r="I25" s="229"/>
      <c r="J25" s="581"/>
      <c r="K25" s="581"/>
      <c r="L25" s="582"/>
      <c r="M25" s="17">
        <f t="shared" si="10"/>
        <v>0</v>
      </c>
      <c r="N25" s="111"/>
      <c r="O25" s="111"/>
      <c r="P25" s="111"/>
      <c r="Q25" s="111"/>
      <c r="R25" s="111"/>
      <c r="S25" s="111"/>
      <c r="T25" s="111"/>
      <c r="U25" s="111"/>
      <c r="V25" s="358"/>
      <c r="W25" s="391">
        <f t="shared" si="11"/>
        <v>0</v>
      </c>
      <c r="X25" s="17">
        <f t="shared" si="12"/>
        <v>0</v>
      </c>
      <c r="Y25" s="18">
        <f>SUM(W25:X25)</f>
        <v>0</v>
      </c>
      <c r="Z25" s="19">
        <f t="shared" si="13"/>
        <v>0</v>
      </c>
      <c r="AA25" s="19"/>
      <c r="AB25" s="19"/>
      <c r="AC25" s="20"/>
      <c r="AE25" s="17"/>
      <c r="AF25" s="17"/>
      <c r="AG25" s="17"/>
      <c r="AH25" s="18">
        <f t="shared" si="14"/>
        <v>0</v>
      </c>
      <c r="AI25" s="19">
        <f t="shared" si="15"/>
        <v>0</v>
      </c>
      <c r="AK25" s="17"/>
      <c r="AL25" s="17"/>
      <c r="AM25" s="17"/>
      <c r="AN25" s="18">
        <f t="shared" si="16"/>
        <v>0</v>
      </c>
      <c r="AO25" s="19">
        <f t="shared" si="17"/>
        <v>0</v>
      </c>
      <c r="AQ25" s="17"/>
      <c r="AR25" s="17"/>
      <c r="AS25" s="17"/>
      <c r="AT25" s="18">
        <f t="shared" si="18"/>
        <v>0</v>
      </c>
      <c r="AU25" s="19">
        <f t="shared" si="19"/>
        <v>0</v>
      </c>
      <c r="AW25" s="17"/>
      <c r="AX25" s="17"/>
      <c r="AY25" s="17"/>
      <c r="AZ25" s="18">
        <f t="shared" si="20"/>
        <v>0</v>
      </c>
      <c r="BA25" s="19">
        <f t="shared" si="21"/>
        <v>0</v>
      </c>
    </row>
    <row r="26" spans="1:60" ht="17.100000000000001" customHeight="1" x14ac:dyDescent="0.25">
      <c r="A26" s="40"/>
      <c r="B26" s="40"/>
      <c r="C26" s="77"/>
      <c r="D26" s="78"/>
      <c r="E26" s="78"/>
      <c r="F26" s="78"/>
      <c r="G26" s="79"/>
      <c r="H26" s="211"/>
      <c r="I26" s="230"/>
      <c r="J26" s="80">
        <f>SUM(J23:J25)</f>
        <v>0</v>
      </c>
      <c r="K26" s="80">
        <f t="shared" ref="K26:M26" si="22">SUM(K23:K25)</f>
        <v>0</v>
      </c>
      <c r="L26" s="80">
        <f t="shared" si="22"/>
        <v>0</v>
      </c>
      <c r="M26" s="80">
        <f t="shared" si="22"/>
        <v>0</v>
      </c>
      <c r="N26" s="80"/>
      <c r="O26" s="80"/>
      <c r="P26" s="80"/>
      <c r="Q26" s="81"/>
      <c r="R26" s="81"/>
      <c r="S26" s="81"/>
      <c r="T26" s="81"/>
      <c r="U26" s="81"/>
      <c r="V26" s="356"/>
      <c r="W26" s="381">
        <f>SUM(W23:W25)</f>
        <v>0</v>
      </c>
      <c r="X26" s="82">
        <f t="shared" ref="X26:Y26" si="23">SUM(X23:X25)</f>
        <v>0</v>
      </c>
      <c r="Y26" s="82">
        <f t="shared" si="23"/>
        <v>0</v>
      </c>
      <c r="Z26" s="205">
        <f>IF(Y$26=0,0,Y26/Y$26)</f>
        <v>0</v>
      </c>
      <c r="AA26" s="205"/>
      <c r="AB26" s="205"/>
      <c r="AC26" s="83"/>
      <c r="AE26" s="67"/>
      <c r="AF26" s="67"/>
      <c r="AG26" s="67"/>
      <c r="AH26" s="65">
        <f>SUM(AH23:AH25)</f>
        <v>0</v>
      </c>
      <c r="AI26" s="66">
        <f t="shared" si="15"/>
        <v>0</v>
      </c>
      <c r="AK26" s="67"/>
      <c r="AL26" s="67"/>
      <c r="AM26" s="67"/>
      <c r="AN26" s="65">
        <f>SUM(AN23:AN25)</f>
        <v>0</v>
      </c>
      <c r="AO26" s="66">
        <f t="shared" si="17"/>
        <v>0</v>
      </c>
      <c r="AQ26" s="67"/>
      <c r="AR26" s="67"/>
      <c r="AS26" s="67"/>
      <c r="AT26" s="65">
        <f>SUM(AT23:AT25)</f>
        <v>0</v>
      </c>
      <c r="AU26" s="66">
        <f t="shared" si="19"/>
        <v>0</v>
      </c>
      <c r="AW26" s="67"/>
      <c r="AX26" s="67"/>
      <c r="AY26" s="67"/>
      <c r="AZ26" s="65">
        <f>SUM(AZ23:AZ25)</f>
        <v>0</v>
      </c>
      <c r="BA26" s="66">
        <f t="shared" si="21"/>
        <v>0</v>
      </c>
    </row>
    <row r="27" spans="1:60" s="97" customFormat="1" ht="17.100000000000001" customHeight="1" x14ac:dyDescent="0.25">
      <c r="A27" s="68"/>
      <c r="B27" s="68"/>
      <c r="C27" s="92"/>
      <c r="D27" s="93"/>
      <c r="E27" s="93"/>
      <c r="F27" s="93"/>
      <c r="G27" s="93"/>
      <c r="H27" s="165"/>
      <c r="I27" s="12"/>
      <c r="J27" s="94" t="str">
        <f>IF(J26=J$15,"OK","NOK")</f>
        <v>OK</v>
      </c>
      <c r="K27" s="94" t="str">
        <f t="shared" ref="K27:L27" si="24">IF(K26=K$15,"OK","NOK")</f>
        <v>OK</v>
      </c>
      <c r="L27" s="94" t="str">
        <f t="shared" si="24"/>
        <v>OK</v>
      </c>
      <c r="M27" s="95"/>
      <c r="N27" s="95"/>
      <c r="O27" s="95"/>
      <c r="P27" s="95"/>
      <c r="Q27" s="95"/>
      <c r="R27" s="95"/>
      <c r="S27" s="95"/>
      <c r="T27" s="95"/>
      <c r="U27" s="95"/>
      <c r="V27" s="95"/>
      <c r="W27" s="378"/>
      <c r="X27" s="95"/>
      <c r="Y27" s="96"/>
      <c r="AE27" s="98"/>
      <c r="AF27" s="98"/>
      <c r="AG27" s="98"/>
      <c r="AH27" s="99"/>
      <c r="AI27" s="100"/>
      <c r="AJ27" s="407"/>
      <c r="AK27" s="98"/>
      <c r="AL27" s="98"/>
      <c r="AM27" s="98"/>
      <c r="AN27" s="99"/>
      <c r="AO27" s="100"/>
      <c r="AP27" s="407"/>
      <c r="AQ27" s="98"/>
      <c r="AR27" s="98"/>
      <c r="AS27" s="98"/>
      <c r="AT27" s="99"/>
      <c r="AU27" s="100"/>
      <c r="AV27" s="407"/>
      <c r="AW27" s="98"/>
      <c r="AX27" s="98"/>
      <c r="AY27" s="98"/>
      <c r="AZ27" s="99"/>
      <c r="BA27" s="100"/>
      <c r="BC27" s="3"/>
      <c r="BD27" s="3"/>
      <c r="BE27" s="3"/>
      <c r="BF27" s="3"/>
      <c r="BG27" s="3"/>
      <c r="BH27" s="3"/>
    </row>
    <row r="28" spans="1:60" s="32" customFormat="1" ht="16.5" thickBot="1" x14ac:dyDescent="0.3">
      <c r="A28" s="24" t="s">
        <v>13</v>
      </c>
      <c r="B28" s="25" t="s">
        <v>14</v>
      </c>
      <c r="C28" s="26"/>
      <c r="D28" s="27"/>
      <c r="E28" s="27"/>
      <c r="F28" s="27"/>
      <c r="G28" s="28"/>
      <c r="H28" s="215"/>
      <c r="I28" s="228"/>
      <c r="J28" s="101"/>
      <c r="K28" s="101"/>
      <c r="L28" s="101"/>
      <c r="M28" s="101"/>
      <c r="N28" s="101"/>
      <c r="O28" s="101"/>
      <c r="P28" s="101"/>
      <c r="Q28" s="101"/>
      <c r="R28" s="101"/>
      <c r="S28" s="101"/>
      <c r="T28" s="101"/>
      <c r="U28" s="101"/>
      <c r="V28" s="357"/>
      <c r="W28" s="379"/>
      <c r="X28" s="101"/>
      <c r="Y28" s="30" t="s">
        <v>4</v>
      </c>
      <c r="Z28" s="31" t="s">
        <v>5</v>
      </c>
      <c r="AA28" s="31"/>
      <c r="AB28" s="31"/>
      <c r="AC28" s="31"/>
      <c r="AE28" s="33" t="s">
        <v>181</v>
      </c>
      <c r="AF28" s="33" t="s">
        <v>182</v>
      </c>
      <c r="AG28" s="33" t="s">
        <v>6</v>
      </c>
      <c r="AH28" s="33" t="s">
        <v>4</v>
      </c>
      <c r="AI28" s="34" t="s">
        <v>5</v>
      </c>
      <c r="AJ28" s="408"/>
      <c r="AK28" s="36" t="s">
        <v>181</v>
      </c>
      <c r="AL28" s="36" t="s">
        <v>182</v>
      </c>
      <c r="AM28" s="36" t="s">
        <v>6</v>
      </c>
      <c r="AN28" s="36" t="s">
        <v>4</v>
      </c>
      <c r="AO28" s="37" t="s">
        <v>5</v>
      </c>
      <c r="AP28" s="408"/>
      <c r="AQ28" s="398"/>
      <c r="AR28" s="398"/>
      <c r="AS28" s="398"/>
      <c r="AT28" s="398"/>
      <c r="AU28" s="399"/>
      <c r="AV28" s="408"/>
      <c r="AW28" s="400" t="s">
        <v>181</v>
      </c>
      <c r="AX28" s="400" t="s">
        <v>182</v>
      </c>
      <c r="AY28" s="400" t="s">
        <v>6</v>
      </c>
      <c r="AZ28" s="400" t="s">
        <v>4</v>
      </c>
      <c r="BA28" s="401" t="s">
        <v>5</v>
      </c>
      <c r="BC28" s="3"/>
      <c r="BD28" s="3"/>
      <c r="BE28" s="3"/>
      <c r="BF28" s="3"/>
      <c r="BG28" s="3"/>
      <c r="BH28" s="3"/>
    </row>
    <row r="29" spans="1:60" ht="17.100000000000001" customHeight="1" x14ac:dyDescent="0.25">
      <c r="A29" s="68"/>
      <c r="B29" s="41" t="s">
        <v>15</v>
      </c>
      <c r="C29" s="69" t="s">
        <v>16</v>
      </c>
      <c r="D29" s="50"/>
      <c r="E29" s="70"/>
      <c r="F29" s="70"/>
      <c r="G29" s="70"/>
      <c r="H29" s="589">
        <v>8</v>
      </c>
      <c r="J29" s="71"/>
      <c r="K29" s="71"/>
      <c r="L29" s="71"/>
      <c r="M29" s="71"/>
      <c r="N29" s="71"/>
      <c r="O29" s="71"/>
      <c r="P29" s="71"/>
      <c r="Q29" s="71"/>
      <c r="R29" s="71"/>
      <c r="S29" s="71"/>
      <c r="T29" s="71"/>
      <c r="U29" s="71"/>
      <c r="V29" s="355"/>
      <c r="W29" s="377"/>
      <c r="X29" s="71"/>
      <c r="Y29" s="72"/>
      <c r="Z29" s="73"/>
      <c r="AA29" s="73"/>
      <c r="AB29" s="73"/>
      <c r="AC29" s="73"/>
      <c r="AE29" s="71"/>
      <c r="AF29" s="71"/>
      <c r="AG29" s="71"/>
      <c r="AH29" s="72"/>
      <c r="AI29" s="73"/>
      <c r="AK29" s="71"/>
      <c r="AL29" s="71"/>
      <c r="AM29" s="71"/>
      <c r="AN29" s="72"/>
      <c r="AO29" s="73"/>
      <c r="AQ29" s="71"/>
      <c r="AR29" s="71"/>
      <c r="AS29" s="71"/>
      <c r="AT29" s="72"/>
      <c r="AU29" s="73"/>
      <c r="AW29" s="71"/>
      <c r="AX29" s="71"/>
      <c r="AY29" s="71"/>
      <c r="AZ29" s="72"/>
      <c r="BA29" s="73"/>
    </row>
    <row r="30" spans="1:60" ht="17.100000000000001" customHeight="1" x14ac:dyDescent="0.25">
      <c r="A30" s="102"/>
      <c r="B30" s="102"/>
      <c r="C30" s="103" t="s">
        <v>17</v>
      </c>
      <c r="D30" s="104" t="s">
        <v>609</v>
      </c>
      <c r="E30" s="105"/>
      <c r="F30" s="105"/>
      <c r="G30" s="106"/>
      <c r="H30" s="210"/>
      <c r="I30" s="231"/>
      <c r="J30" s="198">
        <f>J15</f>
        <v>0</v>
      </c>
      <c r="K30" s="198"/>
      <c r="L30" s="17"/>
      <c r="M30" s="17">
        <f t="shared" ref="M30:M32" si="25">SUM(J30:L30)</f>
        <v>0</v>
      </c>
      <c r="N30" s="111"/>
      <c r="O30" s="111"/>
      <c r="P30" s="111"/>
      <c r="Q30" s="111"/>
      <c r="R30" s="111"/>
      <c r="S30" s="111"/>
      <c r="T30" s="111"/>
      <c r="U30" s="111"/>
      <c r="V30" s="358"/>
      <c r="W30" s="391">
        <f t="shared" ref="W30:W32" si="26">J30+K30+N30+Q30+T30</f>
        <v>0</v>
      </c>
      <c r="X30" s="17">
        <f t="shared" ref="X30:X32" si="27">L30+O30+R30+U30</f>
        <v>0</v>
      </c>
      <c r="Y30" s="18">
        <f>SUM(W30:X30)</f>
        <v>0</v>
      </c>
      <c r="Z30" s="19">
        <f>IF(Y$33=0,0,Y30/Y$33)</f>
        <v>0</v>
      </c>
      <c r="AA30" s="19"/>
      <c r="AB30" s="19"/>
      <c r="AC30" s="20"/>
      <c r="AE30" s="17"/>
      <c r="AF30" s="17"/>
      <c r="AG30" s="17"/>
      <c r="AH30" s="18">
        <f t="shared" ref="AH30:AH32" si="28">J30</f>
        <v>0</v>
      </c>
      <c r="AI30" s="19">
        <f>IF(AH$33=0,0,AH30/AH$33)</f>
        <v>0</v>
      </c>
      <c r="AK30" s="17"/>
      <c r="AL30" s="17"/>
      <c r="AM30" s="17"/>
      <c r="AN30" s="18">
        <f t="shared" ref="AN30:AN32" si="29">K30</f>
        <v>0</v>
      </c>
      <c r="AO30" s="19">
        <f>IF(AN$33=0,0,AN30/AN$33)</f>
        <v>0</v>
      </c>
      <c r="AQ30" s="17"/>
      <c r="AR30" s="17"/>
      <c r="AS30" s="17"/>
      <c r="AT30" s="18">
        <f t="shared" ref="AT30:AT32" si="30">W30</f>
        <v>0</v>
      </c>
      <c r="AU30" s="19">
        <f>IF(AT$33=0,0,AT30/AT$33)</f>
        <v>0</v>
      </c>
      <c r="AW30" s="17"/>
      <c r="AX30" s="17"/>
      <c r="AY30" s="17"/>
      <c r="AZ30" s="18">
        <f t="shared" ref="AZ30:AZ32" si="31">X30</f>
        <v>0</v>
      </c>
      <c r="BA30" s="19">
        <f>IF(AZ$33=0,0,AZ30/AZ$33)</f>
        <v>0</v>
      </c>
    </row>
    <row r="31" spans="1:60" ht="17.100000000000001" customHeight="1" x14ac:dyDescent="0.25">
      <c r="A31" s="102"/>
      <c r="B31" s="102"/>
      <c r="C31" s="103" t="s">
        <v>18</v>
      </c>
      <c r="D31" s="104" t="s">
        <v>610</v>
      </c>
      <c r="E31" s="105"/>
      <c r="F31" s="105"/>
      <c r="G31" s="106"/>
      <c r="H31" s="210"/>
      <c r="I31" s="231"/>
      <c r="J31" s="198"/>
      <c r="K31" s="198">
        <f>K15</f>
        <v>0</v>
      </c>
      <c r="L31" s="17"/>
      <c r="M31" s="17">
        <f t="shared" si="25"/>
        <v>0</v>
      </c>
      <c r="N31" s="111"/>
      <c r="O31" s="111"/>
      <c r="P31" s="111"/>
      <c r="Q31" s="111"/>
      <c r="R31" s="111"/>
      <c r="S31" s="111"/>
      <c r="T31" s="111"/>
      <c r="U31" s="111"/>
      <c r="V31" s="358"/>
      <c r="W31" s="391">
        <f t="shared" si="26"/>
        <v>0</v>
      </c>
      <c r="X31" s="17">
        <f t="shared" si="27"/>
        <v>0</v>
      </c>
      <c r="Y31" s="18">
        <f>SUM(W31:X31)</f>
        <v>0</v>
      </c>
      <c r="Z31" s="19">
        <f t="shared" ref="Z31:Z33" si="32">IF(Y$33=0,0,Y31/Y$33)</f>
        <v>0</v>
      </c>
      <c r="AA31" s="19"/>
      <c r="AB31" s="19"/>
      <c r="AC31" s="20"/>
      <c r="AE31" s="17"/>
      <c r="AF31" s="17"/>
      <c r="AG31" s="17"/>
      <c r="AH31" s="18">
        <f t="shared" si="28"/>
        <v>0</v>
      </c>
      <c r="AI31" s="19">
        <f>IF(AH$33=0,0,AH31/AH$33)</f>
        <v>0</v>
      </c>
      <c r="AK31" s="17"/>
      <c r="AL31" s="17"/>
      <c r="AM31" s="17"/>
      <c r="AN31" s="18">
        <f t="shared" si="29"/>
        <v>0</v>
      </c>
      <c r="AO31" s="19">
        <f>IF(AN$33=0,0,AN31/AN$33)</f>
        <v>0</v>
      </c>
      <c r="AQ31" s="17"/>
      <c r="AR31" s="17"/>
      <c r="AS31" s="17"/>
      <c r="AT31" s="18">
        <f t="shared" si="30"/>
        <v>0</v>
      </c>
      <c r="AU31" s="19">
        <f>IF(AT$33=0,0,AT31/AT$33)</f>
        <v>0</v>
      </c>
      <c r="AW31" s="17"/>
      <c r="AX31" s="17"/>
      <c r="AY31" s="17"/>
      <c r="AZ31" s="18">
        <f t="shared" si="31"/>
        <v>0</v>
      </c>
      <c r="BA31" s="19">
        <f>IF(AZ$33=0,0,AZ31/AZ$33)</f>
        <v>0</v>
      </c>
    </row>
    <row r="32" spans="1:60" ht="17.100000000000001" customHeight="1" x14ac:dyDescent="0.25">
      <c r="A32" s="102"/>
      <c r="B32" s="102"/>
      <c r="C32" s="103" t="s">
        <v>19</v>
      </c>
      <c r="D32" s="104" t="s">
        <v>611</v>
      </c>
      <c r="E32" s="105"/>
      <c r="F32" s="105"/>
      <c r="G32" s="106"/>
      <c r="H32" s="210"/>
      <c r="I32" s="231"/>
      <c r="J32" s="198"/>
      <c r="K32" s="198"/>
      <c r="L32" s="17">
        <f>L15</f>
        <v>0</v>
      </c>
      <c r="M32" s="17">
        <f t="shared" si="25"/>
        <v>0</v>
      </c>
      <c r="N32" s="111"/>
      <c r="O32" s="111"/>
      <c r="P32" s="111"/>
      <c r="Q32" s="111"/>
      <c r="R32" s="111"/>
      <c r="S32" s="111"/>
      <c r="T32" s="111"/>
      <c r="U32" s="111"/>
      <c r="V32" s="358"/>
      <c r="W32" s="391">
        <f t="shared" si="26"/>
        <v>0</v>
      </c>
      <c r="X32" s="17">
        <f t="shared" si="27"/>
        <v>0</v>
      </c>
      <c r="Y32" s="18">
        <f>SUM(W32:X32)</f>
        <v>0</v>
      </c>
      <c r="Z32" s="19">
        <f t="shared" si="32"/>
        <v>0</v>
      </c>
      <c r="AA32" s="19"/>
      <c r="AB32" s="19"/>
      <c r="AC32" s="20"/>
      <c r="AE32" s="17"/>
      <c r="AF32" s="17"/>
      <c r="AG32" s="17"/>
      <c r="AH32" s="18">
        <f t="shared" si="28"/>
        <v>0</v>
      </c>
      <c r="AI32" s="19">
        <f>IF(AH$33=0,0,AH32/AH$33)</f>
        <v>0</v>
      </c>
      <c r="AK32" s="17"/>
      <c r="AL32" s="17"/>
      <c r="AM32" s="17"/>
      <c r="AN32" s="18">
        <f t="shared" si="29"/>
        <v>0</v>
      </c>
      <c r="AO32" s="19">
        <f>IF(AN$33=0,0,AN32/AN$33)</f>
        <v>0</v>
      </c>
      <c r="AQ32" s="17"/>
      <c r="AR32" s="17"/>
      <c r="AS32" s="17"/>
      <c r="AT32" s="18">
        <f t="shared" si="30"/>
        <v>0</v>
      </c>
      <c r="AU32" s="19">
        <f>IF(AT$33=0,0,AT32/AT$33)</f>
        <v>0</v>
      </c>
      <c r="AW32" s="17"/>
      <c r="AX32" s="17"/>
      <c r="AY32" s="17"/>
      <c r="AZ32" s="18">
        <f t="shared" si="31"/>
        <v>0</v>
      </c>
      <c r="BA32" s="19">
        <f>IF(AZ$33=0,0,AZ32/AZ$33)</f>
        <v>0</v>
      </c>
    </row>
    <row r="33" spans="1:53" ht="17.100000000000001" customHeight="1" x14ac:dyDescent="0.25">
      <c r="A33" s="40"/>
      <c r="B33" s="40"/>
      <c r="C33" s="77"/>
      <c r="D33" s="78"/>
      <c r="E33" s="78"/>
      <c r="F33" s="78"/>
      <c r="G33" s="79"/>
      <c r="H33" s="217"/>
      <c r="I33" s="230"/>
      <c r="J33" s="80">
        <f>SUM(J30:J32)</f>
        <v>0</v>
      </c>
      <c r="K33" s="80">
        <f t="shared" ref="K33:M33" si="33">SUM(K30:K32)</f>
        <v>0</v>
      </c>
      <c r="L33" s="80">
        <f t="shared" si="33"/>
        <v>0</v>
      </c>
      <c r="M33" s="80">
        <f t="shared" si="33"/>
        <v>0</v>
      </c>
      <c r="N33" s="81"/>
      <c r="O33" s="81"/>
      <c r="P33" s="81"/>
      <c r="Q33" s="81"/>
      <c r="R33" s="81"/>
      <c r="S33" s="81"/>
      <c r="T33" s="81"/>
      <c r="U33" s="81"/>
      <c r="V33" s="356"/>
      <c r="W33" s="381">
        <f>SUM(W30:W32)</f>
        <v>0</v>
      </c>
      <c r="X33" s="82">
        <f t="shared" ref="X33:Y33" si="34">SUM(X30:X32)</f>
        <v>0</v>
      </c>
      <c r="Y33" s="82">
        <f t="shared" si="34"/>
        <v>0</v>
      </c>
      <c r="Z33" s="205">
        <f t="shared" si="32"/>
        <v>0</v>
      </c>
      <c r="AA33" s="205"/>
      <c r="AB33" s="205"/>
      <c r="AC33" s="83"/>
      <c r="AE33" s="107"/>
      <c r="AF33" s="107"/>
      <c r="AG33" s="107"/>
      <c r="AH33" s="82">
        <f>SUM(AH30:AH32)</f>
        <v>0</v>
      </c>
      <c r="AI33" s="66">
        <f>IF(AH$33=0,0,AH33/AH$33)</f>
        <v>0</v>
      </c>
      <c r="AK33" s="107"/>
      <c r="AL33" s="107"/>
      <c r="AM33" s="107"/>
      <c r="AN33" s="82">
        <f>SUM(AN30:AN32)</f>
        <v>0</v>
      </c>
      <c r="AO33" s="66">
        <f>IF(AN$33=0,0,AN33/AN$33)</f>
        <v>0</v>
      </c>
      <c r="AQ33" s="107"/>
      <c r="AR33" s="107"/>
      <c r="AS33" s="107"/>
      <c r="AT33" s="82">
        <f>SUM(AT30:AT32)</f>
        <v>0</v>
      </c>
      <c r="AU33" s="66">
        <f>IF(AT$33=0,0,AT33/AT$33)</f>
        <v>0</v>
      </c>
      <c r="AW33" s="107"/>
      <c r="AX33" s="107"/>
      <c r="AY33" s="107"/>
      <c r="AZ33" s="82">
        <f>SUM(AZ30:AZ32)</f>
        <v>0</v>
      </c>
      <c r="BA33" s="66">
        <f>IF(AZ$33=0,0,AZ33/AZ$33)</f>
        <v>0</v>
      </c>
    </row>
    <row r="34" spans="1:53" s="97" customFormat="1" ht="17.100000000000001" customHeight="1" x14ac:dyDescent="0.25">
      <c r="A34" s="68"/>
      <c r="B34" s="68"/>
      <c r="C34" s="92"/>
      <c r="D34" s="93"/>
      <c r="E34" s="93"/>
      <c r="F34" s="93"/>
      <c r="G34" s="93"/>
      <c r="H34" s="92"/>
      <c r="I34" s="12"/>
      <c r="J34" s="94"/>
      <c r="K34" s="94"/>
      <c r="L34" s="94"/>
      <c r="M34" s="95"/>
      <c r="N34" s="95"/>
      <c r="O34" s="95"/>
      <c r="P34" s="95"/>
      <c r="Q34" s="95"/>
      <c r="R34" s="95"/>
      <c r="S34" s="95"/>
      <c r="T34" s="95"/>
      <c r="U34" s="95"/>
      <c r="V34" s="95"/>
      <c r="W34" s="378"/>
      <c r="X34" s="95"/>
      <c r="Y34" s="96"/>
      <c r="AE34" s="109"/>
      <c r="AF34" s="109"/>
      <c r="AG34" s="109"/>
      <c r="AH34" s="96"/>
      <c r="AK34" s="109"/>
      <c r="AL34" s="109"/>
      <c r="AM34" s="109"/>
      <c r="AN34" s="96"/>
      <c r="AQ34" s="109"/>
      <c r="AR34" s="109"/>
      <c r="AS34" s="109"/>
      <c r="AT34" s="96"/>
      <c r="AW34" s="109"/>
      <c r="AX34" s="109"/>
      <c r="AY34" s="109"/>
      <c r="AZ34" s="96"/>
    </row>
    <row r="35" spans="1:53" s="32" customFormat="1" ht="16.5" thickBot="1" x14ac:dyDescent="0.3">
      <c r="A35" s="24" t="s">
        <v>20</v>
      </c>
      <c r="B35" s="25" t="s">
        <v>21</v>
      </c>
      <c r="C35" s="26"/>
      <c r="D35" s="27"/>
      <c r="E35" s="27"/>
      <c r="F35" s="27"/>
      <c r="G35" s="28"/>
      <c r="H35" s="215"/>
      <c r="I35" s="228"/>
      <c r="J35" s="101"/>
      <c r="K35" s="101"/>
      <c r="L35" s="101"/>
      <c r="M35" s="101"/>
      <c r="N35" s="101"/>
      <c r="O35" s="101"/>
      <c r="P35" s="101"/>
      <c r="Q35" s="101"/>
      <c r="R35" s="101"/>
      <c r="S35" s="101"/>
      <c r="T35" s="101"/>
      <c r="U35" s="101"/>
      <c r="V35" s="357"/>
      <c r="W35" s="379"/>
      <c r="X35" s="101"/>
      <c r="Y35" s="30" t="s">
        <v>4</v>
      </c>
      <c r="Z35" s="31" t="s">
        <v>5</v>
      </c>
      <c r="AA35" s="31" t="s">
        <v>181</v>
      </c>
      <c r="AB35" s="31" t="s">
        <v>182</v>
      </c>
      <c r="AC35" s="31" t="s">
        <v>6</v>
      </c>
      <c r="AE35" s="33" t="s">
        <v>181</v>
      </c>
      <c r="AF35" s="33" t="s">
        <v>182</v>
      </c>
      <c r="AG35" s="33" t="s">
        <v>6</v>
      </c>
      <c r="AH35" s="33" t="s">
        <v>4</v>
      </c>
      <c r="AI35" s="34" t="s">
        <v>5</v>
      </c>
      <c r="AJ35" s="408"/>
      <c r="AK35" s="36" t="s">
        <v>181</v>
      </c>
      <c r="AL35" s="36" t="s">
        <v>182</v>
      </c>
      <c r="AM35" s="36" t="s">
        <v>6</v>
      </c>
      <c r="AN35" s="36" t="s">
        <v>4</v>
      </c>
      <c r="AO35" s="37" t="s">
        <v>5</v>
      </c>
      <c r="AP35" s="408"/>
      <c r="AQ35" s="36"/>
      <c r="AR35" s="36"/>
      <c r="AS35" s="36"/>
      <c r="AT35" s="36"/>
      <c r="AU35" s="37"/>
      <c r="AV35" s="408"/>
      <c r="AW35" s="38" t="s">
        <v>181</v>
      </c>
      <c r="AX35" s="38" t="s">
        <v>182</v>
      </c>
      <c r="AY35" s="38" t="s">
        <v>6</v>
      </c>
      <c r="AZ35" s="38" t="s">
        <v>4</v>
      </c>
      <c r="BA35" s="39" t="s">
        <v>5</v>
      </c>
    </row>
    <row r="36" spans="1:53" ht="17.100000000000001" customHeight="1" x14ac:dyDescent="0.25">
      <c r="A36" s="119"/>
      <c r="B36" s="41" t="s">
        <v>22</v>
      </c>
      <c r="C36" s="332" t="s">
        <v>23</v>
      </c>
      <c r="D36" s="50"/>
      <c r="E36" s="70"/>
      <c r="F36" s="70"/>
      <c r="G36" s="70"/>
      <c r="H36" s="589">
        <v>9</v>
      </c>
      <c r="J36" s="71"/>
      <c r="K36" s="71"/>
      <c r="L36" s="71"/>
      <c r="M36" s="71"/>
      <c r="N36" s="71"/>
      <c r="O36" s="71"/>
      <c r="P36" s="71"/>
      <c r="Q36" s="71"/>
      <c r="R36" s="71"/>
      <c r="S36" s="71"/>
      <c r="T36" s="71"/>
      <c r="U36" s="71"/>
      <c r="V36" s="355"/>
      <c r="W36" s="377"/>
      <c r="X36" s="71"/>
      <c r="Y36" s="72"/>
      <c r="Z36" s="73"/>
      <c r="AA36" s="73"/>
      <c r="AB36" s="73"/>
      <c r="AC36" s="73"/>
      <c r="AE36" s="71"/>
      <c r="AF36" s="71"/>
      <c r="AG36" s="71"/>
      <c r="AH36" s="72"/>
      <c r="AI36" s="73"/>
      <c r="AK36" s="71"/>
      <c r="AL36" s="71"/>
      <c r="AM36" s="71"/>
      <c r="AN36" s="72"/>
      <c r="AO36" s="73"/>
      <c r="AQ36" s="71"/>
      <c r="AR36" s="71"/>
      <c r="AS36" s="71"/>
      <c r="AT36" s="72"/>
      <c r="AU36" s="73"/>
      <c r="AW36" s="71"/>
      <c r="AX36" s="71"/>
      <c r="AY36" s="71"/>
      <c r="AZ36" s="72"/>
      <c r="BA36" s="73"/>
    </row>
    <row r="37" spans="1:53" ht="17.100000000000001" customHeight="1" x14ac:dyDescent="0.25">
      <c r="A37" s="119"/>
      <c r="B37" s="540"/>
      <c r="C37" s="103" t="s">
        <v>631</v>
      </c>
      <c r="D37" s="313" t="s">
        <v>658</v>
      </c>
      <c r="E37" s="108"/>
      <c r="F37" s="108"/>
      <c r="G37" s="108"/>
      <c r="H37" s="119"/>
      <c r="J37" s="111"/>
      <c r="K37" s="111"/>
      <c r="L37" s="111"/>
      <c r="M37" s="111"/>
      <c r="N37" s="111"/>
      <c r="O37" s="111"/>
      <c r="P37" s="111"/>
      <c r="Q37" s="111"/>
      <c r="R37" s="111"/>
      <c r="S37" s="111"/>
      <c r="T37" s="111"/>
      <c r="U37" s="111"/>
      <c r="V37" s="358"/>
      <c r="W37" s="380"/>
      <c r="X37" s="111"/>
      <c r="Y37" s="112"/>
      <c r="Z37" s="113"/>
      <c r="AA37" s="113"/>
      <c r="AB37" s="113"/>
      <c r="AC37" s="113"/>
      <c r="AE37" s="111"/>
      <c r="AF37" s="111"/>
      <c r="AG37" s="111"/>
      <c r="AH37" s="112"/>
      <c r="AI37" s="113"/>
      <c r="AK37" s="111"/>
      <c r="AL37" s="111"/>
      <c r="AM37" s="111"/>
      <c r="AN37" s="112"/>
      <c r="AO37" s="113"/>
      <c r="AQ37" s="111"/>
      <c r="AR37" s="111"/>
      <c r="AS37" s="111"/>
      <c r="AT37" s="112"/>
      <c r="AU37" s="113"/>
      <c r="AW37" s="111"/>
      <c r="AX37" s="111"/>
      <c r="AY37" s="111"/>
      <c r="AZ37" s="112"/>
      <c r="BA37" s="113"/>
    </row>
    <row r="38" spans="1:53" ht="17.100000000000001" customHeight="1" x14ac:dyDescent="0.25">
      <c r="A38" s="47"/>
      <c r="B38" s="55"/>
      <c r="C38" s="56"/>
      <c r="D38" s="120" t="s">
        <v>632</v>
      </c>
      <c r="E38" s="58" t="s">
        <v>659</v>
      </c>
      <c r="F38" s="58"/>
      <c r="G38" s="59"/>
      <c r="H38" s="216"/>
      <c r="I38" s="229"/>
      <c r="J38" s="174"/>
      <c r="K38" s="174"/>
      <c r="L38" s="111"/>
      <c r="M38" s="111"/>
      <c r="N38" s="60">
        <v>1</v>
      </c>
      <c r="O38" s="60">
        <v>2</v>
      </c>
      <c r="P38" s="17">
        <f>SUM(N38:O38)</f>
        <v>3</v>
      </c>
      <c r="Q38" s="60"/>
      <c r="R38" s="60">
        <v>3</v>
      </c>
      <c r="S38" s="17">
        <f>SUM(Q38:R38)</f>
        <v>3</v>
      </c>
      <c r="T38" s="60"/>
      <c r="U38" s="60"/>
      <c r="V38" s="17">
        <f>SUM(T38:U38)</f>
        <v>0</v>
      </c>
      <c r="W38" s="391">
        <f t="shared" ref="W38:W40" si="35">J38+K38+N38+Q38+T38</f>
        <v>1</v>
      </c>
      <c r="X38" s="17">
        <f t="shared" ref="X38:X40" si="36">L38+O38+R38+U38</f>
        <v>5</v>
      </c>
      <c r="Y38" s="18">
        <f>SUM(W38:X38)</f>
        <v>6</v>
      </c>
      <c r="Z38" s="19">
        <f>IF(Y$41=0,0,Y38/Y$41)</f>
        <v>0.2857142857142857</v>
      </c>
      <c r="AA38" s="19"/>
      <c r="AB38" s="19"/>
      <c r="AC38" s="20"/>
      <c r="AE38" s="111"/>
      <c r="AF38" s="111"/>
      <c r="AG38" s="111"/>
      <c r="AH38" s="545"/>
      <c r="AI38" s="131"/>
      <c r="AK38" s="111"/>
      <c r="AL38" s="111"/>
      <c r="AM38" s="111"/>
      <c r="AN38" s="545"/>
      <c r="AO38" s="131"/>
      <c r="AQ38" s="17"/>
      <c r="AR38" s="17"/>
      <c r="AS38" s="17"/>
      <c r="AT38" s="18">
        <f>W38</f>
        <v>1</v>
      </c>
      <c r="AU38" s="19">
        <f>IF(AT$41=0,0,AT38/AT$41)</f>
        <v>0.5</v>
      </c>
      <c r="AW38" s="17"/>
      <c r="AX38" s="17"/>
      <c r="AY38" s="17"/>
      <c r="AZ38" s="18">
        <f>X38</f>
        <v>5</v>
      </c>
      <c r="BA38" s="19">
        <f>IF(AZ$41=0,0,AZ38/AZ$41)</f>
        <v>0.26315789473684209</v>
      </c>
    </row>
    <row r="39" spans="1:53" ht="17.100000000000001" customHeight="1" x14ac:dyDescent="0.25">
      <c r="A39" s="47"/>
      <c r="B39" s="55"/>
      <c r="C39" s="56"/>
      <c r="D39" s="120" t="s">
        <v>633</v>
      </c>
      <c r="E39" s="58" t="s">
        <v>634</v>
      </c>
      <c r="F39" s="58"/>
      <c r="G39" s="59"/>
      <c r="H39" s="216"/>
      <c r="I39" s="229"/>
      <c r="J39" s="174"/>
      <c r="K39" s="174"/>
      <c r="L39" s="111"/>
      <c r="M39" s="111"/>
      <c r="N39" s="61"/>
      <c r="O39" s="61"/>
      <c r="P39" s="17">
        <f t="shared" ref="P39:P40" si="37">SUM(N39:O39)</f>
        <v>0</v>
      </c>
      <c r="Q39" s="61">
        <v>1</v>
      </c>
      <c r="R39" s="61">
        <v>1</v>
      </c>
      <c r="S39" s="17">
        <f t="shared" ref="S39:S40" si="38">SUM(Q39:R39)</f>
        <v>2</v>
      </c>
      <c r="T39" s="61"/>
      <c r="U39" s="61"/>
      <c r="V39" s="17">
        <f t="shared" ref="V39:V40" si="39">SUM(T39:U39)</f>
        <v>0</v>
      </c>
      <c r="W39" s="391">
        <f t="shared" si="35"/>
        <v>1</v>
      </c>
      <c r="X39" s="17">
        <f t="shared" si="36"/>
        <v>1</v>
      </c>
      <c r="Y39" s="18">
        <f>SUM(W39:X39)</f>
        <v>2</v>
      </c>
      <c r="Z39" s="19">
        <f>IF(Y$41=0,0,Y39/Y$41)</f>
        <v>9.5238095238095233E-2</v>
      </c>
      <c r="AA39" s="19"/>
      <c r="AB39" s="19"/>
      <c r="AC39" s="20"/>
      <c r="AE39" s="111"/>
      <c r="AF39" s="111"/>
      <c r="AG39" s="111"/>
      <c r="AH39" s="545"/>
      <c r="AI39" s="131"/>
      <c r="AK39" s="111"/>
      <c r="AL39" s="111"/>
      <c r="AM39" s="111"/>
      <c r="AN39" s="545"/>
      <c r="AO39" s="131"/>
      <c r="AQ39" s="17"/>
      <c r="AR39" s="17"/>
      <c r="AS39" s="17"/>
      <c r="AT39" s="18">
        <f>W39</f>
        <v>1</v>
      </c>
      <c r="AU39" s="19">
        <f>IF(AT$41=0,0,AT39/AT$41)</f>
        <v>0.5</v>
      </c>
      <c r="AW39" s="17"/>
      <c r="AX39" s="17"/>
      <c r="AY39" s="17"/>
      <c r="AZ39" s="18">
        <f>X39</f>
        <v>1</v>
      </c>
      <c r="BA39" s="19">
        <f>IF(AZ$41=0,0,AZ39/AZ$41)</f>
        <v>5.2631578947368418E-2</v>
      </c>
    </row>
    <row r="40" spans="1:53" ht="17.100000000000001" customHeight="1" x14ac:dyDescent="0.25">
      <c r="A40" s="47"/>
      <c r="B40" s="55"/>
      <c r="C40" s="56"/>
      <c r="D40" s="120" t="s">
        <v>744</v>
      </c>
      <c r="E40" s="58" t="s">
        <v>745</v>
      </c>
      <c r="F40" s="58"/>
      <c r="G40" s="59"/>
      <c r="H40" s="216"/>
      <c r="I40" s="229"/>
      <c r="J40" s="174"/>
      <c r="K40" s="174"/>
      <c r="L40" s="111"/>
      <c r="M40" s="111"/>
      <c r="N40" s="60"/>
      <c r="O40" s="60">
        <v>3</v>
      </c>
      <c r="P40" s="17">
        <f t="shared" si="37"/>
        <v>3</v>
      </c>
      <c r="Q40" s="60"/>
      <c r="R40" s="60"/>
      <c r="S40" s="17">
        <f t="shared" si="38"/>
        <v>0</v>
      </c>
      <c r="T40" s="60"/>
      <c r="U40" s="60">
        <v>10</v>
      </c>
      <c r="V40" s="17">
        <f t="shared" si="39"/>
        <v>10</v>
      </c>
      <c r="W40" s="391">
        <f t="shared" si="35"/>
        <v>0</v>
      </c>
      <c r="X40" s="17">
        <f t="shared" si="36"/>
        <v>13</v>
      </c>
      <c r="Y40" s="18">
        <f>SUM(W40:X40)</f>
        <v>13</v>
      </c>
      <c r="Z40" s="19">
        <f>IF(Y$41=0,0,Y40/Y$41)</f>
        <v>0.61904761904761907</v>
      </c>
      <c r="AA40" s="19"/>
      <c r="AB40" s="19"/>
      <c r="AC40" s="20"/>
      <c r="AE40" s="111"/>
      <c r="AF40" s="111"/>
      <c r="AG40" s="111"/>
      <c r="AH40" s="545"/>
      <c r="AI40" s="131"/>
      <c r="AK40" s="111"/>
      <c r="AL40" s="111"/>
      <c r="AM40" s="111"/>
      <c r="AN40" s="545"/>
      <c r="AO40" s="131"/>
      <c r="AQ40" s="17"/>
      <c r="AR40" s="17"/>
      <c r="AS40" s="17"/>
      <c r="AT40" s="18">
        <f>W40</f>
        <v>0</v>
      </c>
      <c r="AU40" s="19">
        <f>IF(AT$41=0,0,AT40/AT$41)</f>
        <v>0</v>
      </c>
      <c r="AW40" s="17"/>
      <c r="AX40" s="17"/>
      <c r="AY40" s="17"/>
      <c r="AZ40" s="18">
        <f>X40</f>
        <v>13</v>
      </c>
      <c r="BA40" s="19">
        <f>IF(AZ$41=0,0,AZ40/AZ$41)</f>
        <v>0.68421052631578949</v>
      </c>
    </row>
    <row r="41" spans="1:53" ht="17.100000000000001" customHeight="1" x14ac:dyDescent="0.25">
      <c r="A41" s="40"/>
      <c r="B41" s="40"/>
      <c r="C41" s="77"/>
      <c r="D41" s="78"/>
      <c r="E41" s="78"/>
      <c r="F41" s="78"/>
      <c r="G41" s="78"/>
      <c r="H41" s="242"/>
      <c r="I41" s="230"/>
      <c r="J41" s="80"/>
      <c r="K41" s="80"/>
      <c r="L41" s="80"/>
      <c r="M41" s="80"/>
      <c r="N41" s="64">
        <f>SUM(N38:N40)</f>
        <v>1</v>
      </c>
      <c r="O41" s="64">
        <f t="shared" ref="O41:V41" si="40">SUM(O38:O40)</f>
        <v>5</v>
      </c>
      <c r="P41" s="64">
        <f t="shared" si="40"/>
        <v>6</v>
      </c>
      <c r="Q41" s="64">
        <f t="shared" si="40"/>
        <v>1</v>
      </c>
      <c r="R41" s="64">
        <f t="shared" si="40"/>
        <v>4</v>
      </c>
      <c r="S41" s="64">
        <f t="shared" si="40"/>
        <v>5</v>
      </c>
      <c r="T41" s="64">
        <f t="shared" si="40"/>
        <v>0</v>
      </c>
      <c r="U41" s="64">
        <f t="shared" si="40"/>
        <v>10</v>
      </c>
      <c r="V41" s="64">
        <f t="shared" si="40"/>
        <v>10</v>
      </c>
      <c r="W41" s="381">
        <f>SUM(W38:W40)</f>
        <v>2</v>
      </c>
      <c r="X41" s="82">
        <f t="shared" ref="X41:Y41" si="41">SUM(X38:X40)</f>
        <v>19</v>
      </c>
      <c r="Y41" s="82">
        <f t="shared" si="41"/>
        <v>21</v>
      </c>
      <c r="Z41" s="205">
        <f>IF(Y$41=0,0,Y41/Y$41)</f>
        <v>1</v>
      </c>
      <c r="AA41" s="205"/>
      <c r="AB41" s="205"/>
      <c r="AC41" s="83"/>
      <c r="AE41" s="81"/>
      <c r="AF41" s="81"/>
      <c r="AG41" s="81"/>
      <c r="AH41" s="82"/>
      <c r="AI41" s="66"/>
      <c r="AK41" s="81"/>
      <c r="AL41" s="81"/>
      <c r="AM41" s="81"/>
      <c r="AN41" s="82"/>
      <c r="AO41" s="66"/>
      <c r="AQ41" s="81"/>
      <c r="AR41" s="81"/>
      <c r="AS41" s="81"/>
      <c r="AT41" s="82">
        <f>SUM(AT38:AT40)</f>
        <v>2</v>
      </c>
      <c r="AU41" s="66">
        <f>IF(AT$41=0,0,AT41/AT$41)</f>
        <v>1</v>
      </c>
      <c r="AW41" s="81"/>
      <c r="AX41" s="81"/>
      <c r="AY41" s="81"/>
      <c r="AZ41" s="82">
        <f>SUM(AZ38:AZ40)</f>
        <v>19</v>
      </c>
      <c r="BA41" s="66">
        <f>IF(AZ$41=0,0,AZ41/AZ$41)</f>
        <v>1</v>
      </c>
    </row>
    <row r="42" spans="1:53" s="117" customFormat="1" ht="17.100000000000001" customHeight="1" x14ac:dyDescent="0.25">
      <c r="A42" s="119"/>
      <c r="B42" s="119"/>
      <c r="C42" s="540"/>
      <c r="D42" s="212"/>
      <c r="E42" s="212"/>
      <c r="F42" s="212"/>
      <c r="G42" s="212"/>
      <c r="H42" s="242"/>
      <c r="I42" s="230"/>
      <c r="J42" s="17"/>
      <c r="K42" s="17"/>
      <c r="L42" s="17"/>
      <c r="M42" s="17"/>
      <c r="N42" s="17" t="str">
        <f>IF(N41=N$20,"OK","NOK")</f>
        <v>OK</v>
      </c>
      <c r="O42" s="17" t="str">
        <f>IF(O41=O$20,"OK","NOK")</f>
        <v>OK</v>
      </c>
      <c r="P42" s="17"/>
      <c r="Q42" s="17" t="str">
        <f>IF(Q41=Q$20,"OK","NOK")</f>
        <v>OK</v>
      </c>
      <c r="R42" s="17" t="str">
        <f>IF(R41=R$20,"OK","NOK")</f>
        <v>OK</v>
      </c>
      <c r="S42" s="17"/>
      <c r="T42" s="17" t="str">
        <f>IF(T41=T$20,"OK","NOK")</f>
        <v>OK</v>
      </c>
      <c r="U42" s="17" t="str">
        <f>IF(U41=U$20,"OK","NOK")</f>
        <v>OK</v>
      </c>
      <c r="V42" s="359"/>
      <c r="W42" s="395">
        <f>IF($Y$41=0,0,W41/$Y$41)</f>
        <v>9.5238095238095233E-2</v>
      </c>
      <c r="X42" s="91">
        <f>IF($Y$41=0,0,X41/$Y$41)</f>
        <v>0.90476190476190477</v>
      </c>
      <c r="Y42" s="201">
        <f>IF($Y$41=0,0,Y41/$Y$41)</f>
        <v>1</v>
      </c>
      <c r="Z42" s="201"/>
      <c r="AA42" s="201"/>
      <c r="AB42" s="201"/>
      <c r="AC42" s="84"/>
      <c r="AE42" s="17"/>
      <c r="AF42" s="17"/>
      <c r="AG42" s="17"/>
      <c r="AH42" s="539"/>
      <c r="AI42" s="91"/>
      <c r="AK42" s="17"/>
      <c r="AL42" s="17"/>
      <c r="AM42" s="17"/>
      <c r="AN42" s="539"/>
      <c r="AO42" s="91"/>
      <c r="AQ42" s="17"/>
      <c r="AR42" s="17"/>
      <c r="AS42" s="17"/>
      <c r="AT42" s="539"/>
      <c r="AU42" s="91"/>
      <c r="AW42" s="17"/>
      <c r="AX42" s="17"/>
      <c r="AY42" s="17"/>
      <c r="AZ42" s="539"/>
      <c r="BA42" s="91"/>
    </row>
    <row r="43" spans="1:53" ht="17.100000000000001" customHeight="1" x14ac:dyDescent="0.25">
      <c r="A43" s="68"/>
      <c r="B43" s="540"/>
      <c r="C43" s="103" t="s">
        <v>24</v>
      </c>
      <c r="D43" s="110" t="s">
        <v>373</v>
      </c>
      <c r="E43" s="108"/>
      <c r="F43" s="108"/>
      <c r="G43" s="108"/>
      <c r="H43" s="589">
        <v>9</v>
      </c>
      <c r="J43" s="111"/>
      <c r="K43" s="111"/>
      <c r="L43" s="111"/>
      <c r="M43" s="111"/>
      <c r="N43" s="111"/>
      <c r="O43" s="111"/>
      <c r="P43" s="111"/>
      <c r="Q43" s="111"/>
      <c r="R43" s="111"/>
      <c r="S43" s="111"/>
      <c r="T43" s="111"/>
      <c r="U43" s="111"/>
      <c r="V43" s="358"/>
      <c r="W43" s="380"/>
      <c r="X43" s="111"/>
      <c r="Y43" s="112"/>
      <c r="Z43" s="113"/>
      <c r="AA43" s="113"/>
      <c r="AB43" s="113"/>
      <c r="AC43" s="113"/>
      <c r="AE43" s="111"/>
      <c r="AF43" s="111"/>
      <c r="AG43" s="111"/>
      <c r="AH43" s="112"/>
      <c r="AI43" s="113"/>
      <c r="AK43" s="111"/>
      <c r="AL43" s="111"/>
      <c r="AM43" s="111"/>
      <c r="AN43" s="112"/>
      <c r="AO43" s="113"/>
      <c r="AQ43" s="111"/>
      <c r="AR43" s="111"/>
      <c r="AS43" s="111"/>
      <c r="AT43" s="112"/>
      <c r="AU43" s="113"/>
      <c r="AW43" s="111"/>
      <c r="AX43" s="111"/>
      <c r="AY43" s="111"/>
      <c r="AZ43" s="112"/>
      <c r="BA43" s="113"/>
    </row>
    <row r="44" spans="1:53" ht="17.100000000000001" customHeight="1" x14ac:dyDescent="0.25">
      <c r="A44" s="68"/>
      <c r="B44" s="540"/>
      <c r="C44" s="23"/>
      <c r="D44" s="202" t="s">
        <v>25</v>
      </c>
      <c r="E44" s="85" t="s">
        <v>384</v>
      </c>
      <c r="F44" s="75"/>
      <c r="G44" s="75"/>
      <c r="H44" s="119"/>
      <c r="J44" s="581"/>
      <c r="K44" s="581"/>
      <c r="L44" s="582"/>
      <c r="M44" s="17">
        <f t="shared" ref="M44:M57" si="42">SUM(J44:L44)</f>
        <v>0</v>
      </c>
      <c r="N44" s="111"/>
      <c r="O44" s="111"/>
      <c r="P44" s="111"/>
      <c r="Q44" s="111"/>
      <c r="R44" s="111"/>
      <c r="S44" s="111"/>
      <c r="T44" s="111"/>
      <c r="U44" s="111"/>
      <c r="V44" s="358"/>
      <c r="W44" s="391">
        <f t="shared" ref="W44:W57" si="43">J44+K44+N44+Q44+T44</f>
        <v>0</v>
      </c>
      <c r="X44" s="17">
        <f t="shared" ref="X44:X57" si="44">L44+O44+R44+U44</f>
        <v>0</v>
      </c>
      <c r="Y44" s="18">
        <f t="shared" ref="Y44:Y57" si="45">SUM(W44:X44)</f>
        <v>0</v>
      </c>
      <c r="Z44" s="19">
        <f>IF(Y$58=0,0,Y44/Y$58)</f>
        <v>0</v>
      </c>
      <c r="AA44" s="19"/>
      <c r="AB44" s="19"/>
      <c r="AC44" s="84"/>
      <c r="AE44" s="17"/>
      <c r="AF44" s="17"/>
      <c r="AG44" s="17"/>
      <c r="AH44" s="18">
        <f t="shared" ref="AH44:AH57" si="46">J44</f>
        <v>0</v>
      </c>
      <c r="AI44" s="19">
        <f>IF(AH$58=0,0,AH44/AH$58)</f>
        <v>0</v>
      </c>
      <c r="AK44" s="17"/>
      <c r="AL44" s="17"/>
      <c r="AM44" s="17"/>
      <c r="AN44" s="18">
        <f t="shared" ref="AN44:AN57" si="47">K44</f>
        <v>0</v>
      </c>
      <c r="AO44" s="19">
        <f>IF(AN$58=0,0,AN44/AN$58)</f>
        <v>0</v>
      </c>
      <c r="AQ44" s="17"/>
      <c r="AR44" s="17"/>
      <c r="AS44" s="17"/>
      <c r="AT44" s="18">
        <f t="shared" ref="AT44:AT57" si="48">W44</f>
        <v>0</v>
      </c>
      <c r="AU44" s="19">
        <f>IF(AT$58=0,0,AT44/AT$58)</f>
        <v>0</v>
      </c>
      <c r="AW44" s="17"/>
      <c r="AX44" s="17"/>
      <c r="AY44" s="17"/>
      <c r="AZ44" s="18">
        <f t="shared" ref="AZ44:AZ57" si="49">X44</f>
        <v>0</v>
      </c>
      <c r="BA44" s="19">
        <f>IF(AZ$58=0,0,AZ44/AZ$58)</f>
        <v>0</v>
      </c>
    </row>
    <row r="45" spans="1:53" ht="17.100000000000001" customHeight="1" x14ac:dyDescent="0.25">
      <c r="A45" s="68"/>
      <c r="B45" s="540"/>
      <c r="C45" s="23"/>
      <c r="D45" s="202" t="s">
        <v>27</v>
      </c>
      <c r="E45" s="85" t="s">
        <v>385</v>
      </c>
      <c r="F45" s="75"/>
      <c r="G45" s="75"/>
      <c r="H45" s="119"/>
      <c r="J45" s="583"/>
      <c r="K45" s="583"/>
      <c r="L45" s="584"/>
      <c r="M45" s="17">
        <f t="shared" si="42"/>
        <v>0</v>
      </c>
      <c r="N45" s="111"/>
      <c r="O45" s="111"/>
      <c r="P45" s="111"/>
      <c r="Q45" s="111"/>
      <c r="R45" s="111"/>
      <c r="S45" s="111"/>
      <c r="T45" s="111"/>
      <c r="U45" s="111"/>
      <c r="V45" s="358"/>
      <c r="W45" s="391">
        <f t="shared" si="43"/>
        <v>0</v>
      </c>
      <c r="X45" s="17">
        <f t="shared" si="44"/>
        <v>0</v>
      </c>
      <c r="Y45" s="18">
        <f t="shared" si="45"/>
        <v>0</v>
      </c>
      <c r="Z45" s="19">
        <f t="shared" ref="Z45:Z58" si="50">IF(Y$58=0,0,Y45/Y$58)</f>
        <v>0</v>
      </c>
      <c r="AA45" s="19"/>
      <c r="AB45" s="19"/>
      <c r="AC45" s="84"/>
      <c r="AE45" s="17"/>
      <c r="AF45" s="17"/>
      <c r="AG45" s="17"/>
      <c r="AH45" s="18">
        <f t="shared" si="46"/>
        <v>0</v>
      </c>
      <c r="AI45" s="19">
        <f t="shared" ref="AI45:AI58" si="51">IF(AH$58=0,0,AH45/AH$58)</f>
        <v>0</v>
      </c>
      <c r="AK45" s="17"/>
      <c r="AL45" s="17"/>
      <c r="AM45" s="17"/>
      <c r="AN45" s="18">
        <f t="shared" si="47"/>
        <v>0</v>
      </c>
      <c r="AO45" s="19">
        <f t="shared" ref="AO45:AO58" si="52">IF(AN$58=0,0,AN45/AN$58)</f>
        <v>0</v>
      </c>
      <c r="AQ45" s="17"/>
      <c r="AR45" s="17"/>
      <c r="AS45" s="17"/>
      <c r="AT45" s="18">
        <f t="shared" si="48"/>
        <v>0</v>
      </c>
      <c r="AU45" s="19">
        <f t="shared" ref="AU45:AU58" si="53">IF(AT$58=0,0,AT45/AT$58)</f>
        <v>0</v>
      </c>
      <c r="AW45" s="17"/>
      <c r="AX45" s="17"/>
      <c r="AY45" s="17"/>
      <c r="AZ45" s="18">
        <f t="shared" si="49"/>
        <v>0</v>
      </c>
      <c r="BA45" s="19">
        <f t="shared" ref="BA45:BA58" si="54">IF(AZ$58=0,0,AZ45/AZ$58)</f>
        <v>0</v>
      </c>
    </row>
    <row r="46" spans="1:53" ht="17.100000000000001" customHeight="1" x14ac:dyDescent="0.25">
      <c r="A46" s="68"/>
      <c r="B46" s="540"/>
      <c r="C46" s="23"/>
      <c r="D46" s="202" t="s">
        <v>29</v>
      </c>
      <c r="E46" s="85" t="s">
        <v>386</v>
      </c>
      <c r="F46" s="75"/>
      <c r="G46" s="75"/>
      <c r="H46" s="119"/>
      <c r="J46" s="581"/>
      <c r="K46" s="581"/>
      <c r="L46" s="582"/>
      <c r="M46" s="17">
        <f t="shared" si="42"/>
        <v>0</v>
      </c>
      <c r="N46" s="111"/>
      <c r="O46" s="111"/>
      <c r="P46" s="111"/>
      <c r="Q46" s="111"/>
      <c r="R46" s="111"/>
      <c r="S46" s="111"/>
      <c r="T46" s="111"/>
      <c r="U46" s="111"/>
      <c r="V46" s="358"/>
      <c r="W46" s="391">
        <f t="shared" si="43"/>
        <v>0</v>
      </c>
      <c r="X46" s="17">
        <f t="shared" si="44"/>
        <v>0</v>
      </c>
      <c r="Y46" s="18">
        <f t="shared" si="45"/>
        <v>0</v>
      </c>
      <c r="Z46" s="19">
        <f t="shared" si="50"/>
        <v>0</v>
      </c>
      <c r="AA46" s="19"/>
      <c r="AB46" s="19"/>
      <c r="AC46" s="84"/>
      <c r="AE46" s="17"/>
      <c r="AF46" s="17"/>
      <c r="AG46" s="17"/>
      <c r="AH46" s="18">
        <f t="shared" si="46"/>
        <v>0</v>
      </c>
      <c r="AI46" s="19">
        <f t="shared" si="51"/>
        <v>0</v>
      </c>
      <c r="AK46" s="17"/>
      <c r="AL46" s="17"/>
      <c r="AM46" s="17"/>
      <c r="AN46" s="18">
        <f t="shared" si="47"/>
        <v>0</v>
      </c>
      <c r="AO46" s="19">
        <f t="shared" si="52"/>
        <v>0</v>
      </c>
      <c r="AQ46" s="17"/>
      <c r="AR46" s="17"/>
      <c r="AS46" s="17"/>
      <c r="AT46" s="18">
        <f t="shared" si="48"/>
        <v>0</v>
      </c>
      <c r="AU46" s="19">
        <f t="shared" si="53"/>
        <v>0</v>
      </c>
      <c r="AW46" s="17"/>
      <c r="AX46" s="17"/>
      <c r="AY46" s="17"/>
      <c r="AZ46" s="18">
        <f t="shared" si="49"/>
        <v>0</v>
      </c>
      <c r="BA46" s="19">
        <f t="shared" si="54"/>
        <v>0</v>
      </c>
    </row>
    <row r="47" spans="1:53" ht="17.100000000000001" customHeight="1" x14ac:dyDescent="0.25">
      <c r="A47" s="68"/>
      <c r="B47" s="540"/>
      <c r="C47" s="23"/>
      <c r="D47" s="202" t="s">
        <v>31</v>
      </c>
      <c r="E47" s="85" t="s">
        <v>533</v>
      </c>
      <c r="F47" s="75"/>
      <c r="G47" s="75"/>
      <c r="H47" s="119"/>
      <c r="J47" s="583"/>
      <c r="K47" s="583"/>
      <c r="L47" s="584"/>
      <c r="M47" s="17">
        <f t="shared" si="42"/>
        <v>0</v>
      </c>
      <c r="N47" s="111"/>
      <c r="O47" s="111"/>
      <c r="P47" s="111"/>
      <c r="Q47" s="111"/>
      <c r="R47" s="111"/>
      <c r="S47" s="111"/>
      <c r="T47" s="111"/>
      <c r="U47" s="111"/>
      <c r="V47" s="358"/>
      <c r="W47" s="391">
        <f t="shared" si="43"/>
        <v>0</v>
      </c>
      <c r="X47" s="17">
        <f t="shared" si="44"/>
        <v>0</v>
      </c>
      <c r="Y47" s="18">
        <f t="shared" si="45"/>
        <v>0</v>
      </c>
      <c r="Z47" s="19">
        <f t="shared" si="50"/>
        <v>0</v>
      </c>
      <c r="AA47" s="19"/>
      <c r="AB47" s="19"/>
      <c r="AC47" s="84"/>
      <c r="AE47" s="17"/>
      <c r="AF47" s="17"/>
      <c r="AG47" s="17"/>
      <c r="AH47" s="18">
        <f t="shared" si="46"/>
        <v>0</v>
      </c>
      <c r="AI47" s="19">
        <f t="shared" si="51"/>
        <v>0</v>
      </c>
      <c r="AK47" s="17"/>
      <c r="AL47" s="17"/>
      <c r="AM47" s="17"/>
      <c r="AN47" s="18">
        <f t="shared" si="47"/>
        <v>0</v>
      </c>
      <c r="AO47" s="19">
        <f t="shared" si="52"/>
        <v>0</v>
      </c>
      <c r="AQ47" s="17"/>
      <c r="AR47" s="17"/>
      <c r="AS47" s="17"/>
      <c r="AT47" s="18">
        <f t="shared" si="48"/>
        <v>0</v>
      </c>
      <c r="AU47" s="19">
        <f t="shared" si="53"/>
        <v>0</v>
      </c>
      <c r="AW47" s="17"/>
      <c r="AX47" s="17"/>
      <c r="AY47" s="17"/>
      <c r="AZ47" s="18">
        <f t="shared" si="49"/>
        <v>0</v>
      </c>
      <c r="BA47" s="19">
        <f t="shared" si="54"/>
        <v>0</v>
      </c>
    </row>
    <row r="48" spans="1:53" ht="17.100000000000001" customHeight="1" x14ac:dyDescent="0.25">
      <c r="A48" s="68"/>
      <c r="B48" s="540"/>
      <c r="C48" s="93"/>
      <c r="D48" s="202" t="s">
        <v>374</v>
      </c>
      <c r="E48" s="85" t="s">
        <v>534</v>
      </c>
      <c r="F48" s="75"/>
      <c r="G48" s="75"/>
      <c r="H48" s="119"/>
      <c r="J48" s="581"/>
      <c r="K48" s="581"/>
      <c r="L48" s="582"/>
      <c r="M48" s="17">
        <f t="shared" si="42"/>
        <v>0</v>
      </c>
      <c r="N48" s="111"/>
      <c r="O48" s="111"/>
      <c r="P48" s="111"/>
      <c r="Q48" s="111"/>
      <c r="R48" s="111"/>
      <c r="S48" s="111"/>
      <c r="T48" s="111"/>
      <c r="U48" s="111"/>
      <c r="V48" s="358"/>
      <c r="W48" s="391">
        <f t="shared" si="43"/>
        <v>0</v>
      </c>
      <c r="X48" s="17">
        <f t="shared" si="44"/>
        <v>0</v>
      </c>
      <c r="Y48" s="18">
        <f t="shared" si="45"/>
        <v>0</v>
      </c>
      <c r="Z48" s="19">
        <f t="shared" si="50"/>
        <v>0</v>
      </c>
      <c r="AA48" s="19"/>
      <c r="AB48" s="19"/>
      <c r="AC48" s="84"/>
      <c r="AE48" s="17"/>
      <c r="AF48" s="17"/>
      <c r="AG48" s="17"/>
      <c r="AH48" s="18">
        <f t="shared" si="46"/>
        <v>0</v>
      </c>
      <c r="AI48" s="19">
        <f t="shared" si="51"/>
        <v>0</v>
      </c>
      <c r="AK48" s="17"/>
      <c r="AL48" s="17"/>
      <c r="AM48" s="17"/>
      <c r="AN48" s="18">
        <f t="shared" si="47"/>
        <v>0</v>
      </c>
      <c r="AO48" s="19">
        <f t="shared" si="52"/>
        <v>0</v>
      </c>
      <c r="AQ48" s="17"/>
      <c r="AR48" s="17"/>
      <c r="AS48" s="17"/>
      <c r="AT48" s="18">
        <f t="shared" si="48"/>
        <v>0</v>
      </c>
      <c r="AU48" s="19">
        <f t="shared" si="53"/>
        <v>0</v>
      </c>
      <c r="AW48" s="17"/>
      <c r="AX48" s="17"/>
      <c r="AY48" s="17"/>
      <c r="AZ48" s="18">
        <f t="shared" si="49"/>
        <v>0</v>
      </c>
      <c r="BA48" s="19">
        <f t="shared" si="54"/>
        <v>0</v>
      </c>
    </row>
    <row r="49" spans="1:53" ht="17.100000000000001" customHeight="1" x14ac:dyDescent="0.25">
      <c r="A49" s="68"/>
      <c r="B49" s="540"/>
      <c r="C49" s="93"/>
      <c r="D49" s="202" t="s">
        <v>375</v>
      </c>
      <c r="E49" s="85" t="s">
        <v>535</v>
      </c>
      <c r="F49" s="75"/>
      <c r="G49" s="75"/>
      <c r="H49" s="119"/>
      <c r="J49" s="583"/>
      <c r="K49" s="583"/>
      <c r="L49" s="584"/>
      <c r="M49" s="17">
        <f t="shared" si="42"/>
        <v>0</v>
      </c>
      <c r="N49" s="111"/>
      <c r="O49" s="111"/>
      <c r="P49" s="111"/>
      <c r="Q49" s="111"/>
      <c r="R49" s="111"/>
      <c r="S49" s="111"/>
      <c r="T49" s="111"/>
      <c r="U49" s="111"/>
      <c r="V49" s="358"/>
      <c r="W49" s="391">
        <f t="shared" si="43"/>
        <v>0</v>
      </c>
      <c r="X49" s="17">
        <f t="shared" si="44"/>
        <v>0</v>
      </c>
      <c r="Y49" s="18">
        <f t="shared" si="45"/>
        <v>0</v>
      </c>
      <c r="Z49" s="19">
        <f t="shared" si="50"/>
        <v>0</v>
      </c>
      <c r="AA49" s="19"/>
      <c r="AB49" s="19"/>
      <c r="AC49" s="84"/>
      <c r="AE49" s="17"/>
      <c r="AF49" s="17"/>
      <c r="AG49" s="17"/>
      <c r="AH49" s="18">
        <f t="shared" si="46"/>
        <v>0</v>
      </c>
      <c r="AI49" s="19">
        <f t="shared" si="51"/>
        <v>0</v>
      </c>
      <c r="AK49" s="17"/>
      <c r="AL49" s="17"/>
      <c r="AM49" s="17"/>
      <c r="AN49" s="18">
        <f t="shared" si="47"/>
        <v>0</v>
      </c>
      <c r="AO49" s="19">
        <f t="shared" si="52"/>
        <v>0</v>
      </c>
      <c r="AQ49" s="17"/>
      <c r="AR49" s="17"/>
      <c r="AS49" s="17"/>
      <c r="AT49" s="18">
        <f t="shared" si="48"/>
        <v>0</v>
      </c>
      <c r="AU49" s="19">
        <f t="shared" si="53"/>
        <v>0</v>
      </c>
      <c r="AW49" s="17"/>
      <c r="AX49" s="17"/>
      <c r="AY49" s="17"/>
      <c r="AZ49" s="18">
        <f t="shared" si="49"/>
        <v>0</v>
      </c>
      <c r="BA49" s="19">
        <f t="shared" si="54"/>
        <v>0</v>
      </c>
    </row>
    <row r="50" spans="1:53" ht="17.100000000000001" customHeight="1" x14ac:dyDescent="0.25">
      <c r="A50" s="68"/>
      <c r="B50" s="540"/>
      <c r="C50" s="93"/>
      <c r="D50" s="202" t="s">
        <v>376</v>
      </c>
      <c r="E50" s="85" t="s">
        <v>387</v>
      </c>
      <c r="F50" s="75"/>
      <c r="G50" s="75"/>
      <c r="H50" s="119"/>
      <c r="J50" s="581"/>
      <c r="K50" s="581"/>
      <c r="L50" s="582"/>
      <c r="M50" s="17">
        <f t="shared" si="42"/>
        <v>0</v>
      </c>
      <c r="N50" s="111"/>
      <c r="O50" s="111"/>
      <c r="P50" s="111"/>
      <c r="Q50" s="111"/>
      <c r="R50" s="111"/>
      <c r="S50" s="111"/>
      <c r="T50" s="111"/>
      <c r="U50" s="111"/>
      <c r="V50" s="358"/>
      <c r="W50" s="391">
        <f t="shared" si="43"/>
        <v>0</v>
      </c>
      <c r="X50" s="17">
        <f t="shared" si="44"/>
        <v>0</v>
      </c>
      <c r="Y50" s="18">
        <f t="shared" si="45"/>
        <v>0</v>
      </c>
      <c r="Z50" s="19">
        <f t="shared" si="50"/>
        <v>0</v>
      </c>
      <c r="AA50" s="19"/>
      <c r="AB50" s="19"/>
      <c r="AC50" s="84"/>
      <c r="AE50" s="17"/>
      <c r="AF50" s="17"/>
      <c r="AG50" s="17"/>
      <c r="AH50" s="18">
        <f t="shared" si="46"/>
        <v>0</v>
      </c>
      <c r="AI50" s="19">
        <f t="shared" si="51"/>
        <v>0</v>
      </c>
      <c r="AK50" s="17"/>
      <c r="AL50" s="17"/>
      <c r="AM50" s="17"/>
      <c r="AN50" s="18">
        <f t="shared" si="47"/>
        <v>0</v>
      </c>
      <c r="AO50" s="19">
        <f t="shared" si="52"/>
        <v>0</v>
      </c>
      <c r="AQ50" s="17"/>
      <c r="AR50" s="17"/>
      <c r="AS50" s="17"/>
      <c r="AT50" s="18">
        <f t="shared" si="48"/>
        <v>0</v>
      </c>
      <c r="AU50" s="19">
        <f t="shared" si="53"/>
        <v>0</v>
      </c>
      <c r="AW50" s="17"/>
      <c r="AX50" s="17"/>
      <c r="AY50" s="17"/>
      <c r="AZ50" s="18">
        <f t="shared" si="49"/>
        <v>0</v>
      </c>
      <c r="BA50" s="19">
        <f t="shared" si="54"/>
        <v>0</v>
      </c>
    </row>
    <row r="51" spans="1:53" ht="17.100000000000001" customHeight="1" x14ac:dyDescent="0.25">
      <c r="A51" s="68"/>
      <c r="B51" s="540"/>
      <c r="C51" s="93"/>
      <c r="D51" s="202" t="s">
        <v>377</v>
      </c>
      <c r="E51" s="85" t="s">
        <v>388</v>
      </c>
      <c r="F51" s="75"/>
      <c r="G51" s="75"/>
      <c r="H51" s="119"/>
      <c r="J51" s="583"/>
      <c r="K51" s="583"/>
      <c r="L51" s="584"/>
      <c r="M51" s="17">
        <f t="shared" si="42"/>
        <v>0</v>
      </c>
      <c r="N51" s="111"/>
      <c r="O51" s="111"/>
      <c r="P51" s="111"/>
      <c r="Q51" s="111"/>
      <c r="R51" s="111"/>
      <c r="S51" s="111"/>
      <c r="T51" s="111"/>
      <c r="U51" s="111"/>
      <c r="V51" s="358"/>
      <c r="W51" s="391">
        <f t="shared" si="43"/>
        <v>0</v>
      </c>
      <c r="X51" s="17">
        <f t="shared" si="44"/>
        <v>0</v>
      </c>
      <c r="Y51" s="18">
        <f t="shared" si="45"/>
        <v>0</v>
      </c>
      <c r="Z51" s="19">
        <f t="shared" si="50"/>
        <v>0</v>
      </c>
      <c r="AA51" s="19"/>
      <c r="AB51" s="19"/>
      <c r="AC51" s="84"/>
      <c r="AE51" s="17"/>
      <c r="AF51" s="17"/>
      <c r="AG51" s="17"/>
      <c r="AH51" s="18">
        <f t="shared" si="46"/>
        <v>0</v>
      </c>
      <c r="AI51" s="19">
        <f t="shared" si="51"/>
        <v>0</v>
      </c>
      <c r="AK51" s="17"/>
      <c r="AL51" s="17"/>
      <c r="AM51" s="17"/>
      <c r="AN51" s="18">
        <f t="shared" si="47"/>
        <v>0</v>
      </c>
      <c r="AO51" s="19">
        <f t="shared" si="52"/>
        <v>0</v>
      </c>
      <c r="AQ51" s="17"/>
      <c r="AR51" s="17"/>
      <c r="AS51" s="17"/>
      <c r="AT51" s="18">
        <f t="shared" si="48"/>
        <v>0</v>
      </c>
      <c r="AU51" s="19">
        <f t="shared" si="53"/>
        <v>0</v>
      </c>
      <c r="AW51" s="17"/>
      <c r="AX51" s="17"/>
      <c r="AY51" s="17"/>
      <c r="AZ51" s="18">
        <f t="shared" si="49"/>
        <v>0</v>
      </c>
      <c r="BA51" s="19">
        <f t="shared" si="54"/>
        <v>0</v>
      </c>
    </row>
    <row r="52" spans="1:53" ht="17.100000000000001" customHeight="1" x14ac:dyDescent="0.25">
      <c r="A52" s="68"/>
      <c r="B52" s="540"/>
      <c r="C52" s="93"/>
      <c r="D52" s="202" t="s">
        <v>378</v>
      </c>
      <c r="E52" s="85" t="s">
        <v>532</v>
      </c>
      <c r="F52" s="75"/>
      <c r="G52" s="75"/>
      <c r="H52" s="119"/>
      <c r="J52" s="581"/>
      <c r="K52" s="581"/>
      <c r="L52" s="582"/>
      <c r="M52" s="17">
        <f t="shared" si="42"/>
        <v>0</v>
      </c>
      <c r="N52" s="111"/>
      <c r="O52" s="111"/>
      <c r="P52" s="111"/>
      <c r="Q52" s="111"/>
      <c r="R52" s="111"/>
      <c r="S52" s="111"/>
      <c r="T52" s="111"/>
      <c r="U52" s="111"/>
      <c r="V52" s="358"/>
      <c r="W52" s="391">
        <f t="shared" si="43"/>
        <v>0</v>
      </c>
      <c r="X52" s="17">
        <f t="shared" si="44"/>
        <v>0</v>
      </c>
      <c r="Y52" s="18">
        <f t="shared" si="45"/>
        <v>0</v>
      </c>
      <c r="Z52" s="19">
        <f t="shared" si="50"/>
        <v>0</v>
      </c>
      <c r="AA52" s="19"/>
      <c r="AB52" s="19"/>
      <c r="AC52" s="84"/>
      <c r="AE52" s="17"/>
      <c r="AF52" s="17"/>
      <c r="AG52" s="17"/>
      <c r="AH52" s="18">
        <f t="shared" si="46"/>
        <v>0</v>
      </c>
      <c r="AI52" s="19">
        <f t="shared" si="51"/>
        <v>0</v>
      </c>
      <c r="AK52" s="17"/>
      <c r="AL52" s="17"/>
      <c r="AM52" s="17"/>
      <c r="AN52" s="18">
        <f t="shared" si="47"/>
        <v>0</v>
      </c>
      <c r="AO52" s="19">
        <f t="shared" si="52"/>
        <v>0</v>
      </c>
      <c r="AQ52" s="17"/>
      <c r="AR52" s="17"/>
      <c r="AS52" s="17"/>
      <c r="AT52" s="18">
        <f t="shared" si="48"/>
        <v>0</v>
      </c>
      <c r="AU52" s="19">
        <f t="shared" si="53"/>
        <v>0</v>
      </c>
      <c r="AW52" s="17"/>
      <c r="AX52" s="17"/>
      <c r="AY52" s="17"/>
      <c r="AZ52" s="18">
        <f t="shared" si="49"/>
        <v>0</v>
      </c>
      <c r="BA52" s="19">
        <f t="shared" si="54"/>
        <v>0</v>
      </c>
    </row>
    <row r="53" spans="1:53" ht="17.100000000000001" customHeight="1" x14ac:dyDescent="0.25">
      <c r="A53" s="68"/>
      <c r="B53" s="540"/>
      <c r="C53" s="93"/>
      <c r="D53" s="202" t="s">
        <v>379</v>
      </c>
      <c r="E53" s="85" t="s">
        <v>389</v>
      </c>
      <c r="F53" s="75"/>
      <c r="G53" s="105"/>
      <c r="H53" s="119"/>
      <c r="J53" s="583"/>
      <c r="K53" s="583"/>
      <c r="L53" s="584"/>
      <c r="M53" s="17">
        <f t="shared" si="42"/>
        <v>0</v>
      </c>
      <c r="N53" s="111"/>
      <c r="O53" s="111"/>
      <c r="P53" s="111"/>
      <c r="Q53" s="111"/>
      <c r="R53" s="111"/>
      <c r="S53" s="111"/>
      <c r="T53" s="111"/>
      <c r="U53" s="111"/>
      <c r="V53" s="358"/>
      <c r="W53" s="391">
        <f t="shared" si="43"/>
        <v>0</v>
      </c>
      <c r="X53" s="17">
        <f t="shared" si="44"/>
        <v>0</v>
      </c>
      <c r="Y53" s="18">
        <f t="shared" si="45"/>
        <v>0</v>
      </c>
      <c r="Z53" s="19">
        <f t="shared" si="50"/>
        <v>0</v>
      </c>
      <c r="AA53" s="19"/>
      <c r="AB53" s="19"/>
      <c r="AC53" s="84"/>
      <c r="AE53" s="17"/>
      <c r="AF53" s="17"/>
      <c r="AG53" s="17"/>
      <c r="AH53" s="18">
        <f t="shared" si="46"/>
        <v>0</v>
      </c>
      <c r="AI53" s="19">
        <f t="shared" si="51"/>
        <v>0</v>
      </c>
      <c r="AK53" s="17"/>
      <c r="AL53" s="17"/>
      <c r="AM53" s="17"/>
      <c r="AN53" s="18">
        <f t="shared" si="47"/>
        <v>0</v>
      </c>
      <c r="AO53" s="19">
        <f t="shared" si="52"/>
        <v>0</v>
      </c>
      <c r="AQ53" s="17"/>
      <c r="AR53" s="17"/>
      <c r="AS53" s="17"/>
      <c r="AT53" s="18">
        <f t="shared" si="48"/>
        <v>0</v>
      </c>
      <c r="AU53" s="19">
        <f t="shared" si="53"/>
        <v>0</v>
      </c>
      <c r="AW53" s="17"/>
      <c r="AX53" s="17"/>
      <c r="AY53" s="17"/>
      <c r="AZ53" s="18">
        <f t="shared" si="49"/>
        <v>0</v>
      </c>
      <c r="BA53" s="19">
        <f t="shared" si="54"/>
        <v>0</v>
      </c>
    </row>
    <row r="54" spans="1:53" ht="17.100000000000001" customHeight="1" x14ac:dyDescent="0.25">
      <c r="A54" s="68"/>
      <c r="B54" s="540"/>
      <c r="C54" s="93"/>
      <c r="D54" s="202" t="s">
        <v>380</v>
      </c>
      <c r="E54" s="85" t="s">
        <v>390</v>
      </c>
      <c r="F54" s="75"/>
      <c r="G54" s="105"/>
      <c r="H54" s="119"/>
      <c r="J54" s="581"/>
      <c r="K54" s="581"/>
      <c r="L54" s="582"/>
      <c r="M54" s="17">
        <f t="shared" si="42"/>
        <v>0</v>
      </c>
      <c r="N54" s="111"/>
      <c r="O54" s="111"/>
      <c r="P54" s="111"/>
      <c r="Q54" s="111"/>
      <c r="R54" s="111"/>
      <c r="S54" s="111"/>
      <c r="T54" s="111"/>
      <c r="U54" s="111"/>
      <c r="V54" s="358"/>
      <c r="W54" s="391">
        <f t="shared" si="43"/>
        <v>0</v>
      </c>
      <c r="X54" s="17">
        <f t="shared" si="44"/>
        <v>0</v>
      </c>
      <c r="Y54" s="18">
        <f t="shared" si="45"/>
        <v>0</v>
      </c>
      <c r="Z54" s="19">
        <f t="shared" si="50"/>
        <v>0</v>
      </c>
      <c r="AA54" s="19"/>
      <c r="AB54" s="19"/>
      <c r="AC54" s="84"/>
      <c r="AE54" s="17"/>
      <c r="AF54" s="17"/>
      <c r="AG54" s="17"/>
      <c r="AH54" s="18">
        <f t="shared" si="46"/>
        <v>0</v>
      </c>
      <c r="AI54" s="19">
        <f t="shared" si="51"/>
        <v>0</v>
      </c>
      <c r="AK54" s="17"/>
      <c r="AL54" s="17"/>
      <c r="AM54" s="17"/>
      <c r="AN54" s="18">
        <f t="shared" si="47"/>
        <v>0</v>
      </c>
      <c r="AO54" s="19">
        <f t="shared" si="52"/>
        <v>0</v>
      </c>
      <c r="AQ54" s="17"/>
      <c r="AR54" s="17"/>
      <c r="AS54" s="17"/>
      <c r="AT54" s="18">
        <f t="shared" si="48"/>
        <v>0</v>
      </c>
      <c r="AU54" s="19">
        <f t="shared" si="53"/>
        <v>0</v>
      </c>
      <c r="AW54" s="17"/>
      <c r="AX54" s="17"/>
      <c r="AY54" s="17"/>
      <c r="AZ54" s="18">
        <f t="shared" si="49"/>
        <v>0</v>
      </c>
      <c r="BA54" s="19">
        <f t="shared" si="54"/>
        <v>0</v>
      </c>
    </row>
    <row r="55" spans="1:53" ht="17.100000000000001" customHeight="1" x14ac:dyDescent="0.25">
      <c r="A55" s="68"/>
      <c r="B55" s="540"/>
      <c r="C55" s="93"/>
      <c r="D55" s="202" t="s">
        <v>381</v>
      </c>
      <c r="E55" s="85" t="s">
        <v>536</v>
      </c>
      <c r="F55" s="75"/>
      <c r="G55" s="105"/>
      <c r="H55" s="119"/>
      <c r="J55" s="583"/>
      <c r="K55" s="583"/>
      <c r="L55" s="584"/>
      <c r="M55" s="17">
        <f t="shared" si="42"/>
        <v>0</v>
      </c>
      <c r="N55" s="111"/>
      <c r="O55" s="111"/>
      <c r="P55" s="111"/>
      <c r="Q55" s="111"/>
      <c r="R55" s="111"/>
      <c r="S55" s="111"/>
      <c r="T55" s="111"/>
      <c r="U55" s="111"/>
      <c r="V55" s="358"/>
      <c r="W55" s="391">
        <f t="shared" si="43"/>
        <v>0</v>
      </c>
      <c r="X55" s="17">
        <f t="shared" si="44"/>
        <v>0</v>
      </c>
      <c r="Y55" s="18">
        <f t="shared" si="45"/>
        <v>0</v>
      </c>
      <c r="Z55" s="19">
        <f t="shared" si="50"/>
        <v>0</v>
      </c>
      <c r="AA55" s="19"/>
      <c r="AB55" s="19"/>
      <c r="AC55" s="84"/>
      <c r="AE55" s="17"/>
      <c r="AF55" s="17"/>
      <c r="AG55" s="17"/>
      <c r="AH55" s="18">
        <f t="shared" si="46"/>
        <v>0</v>
      </c>
      <c r="AI55" s="19">
        <f t="shared" si="51"/>
        <v>0</v>
      </c>
      <c r="AK55" s="17"/>
      <c r="AL55" s="17"/>
      <c r="AM55" s="17"/>
      <c r="AN55" s="18">
        <f t="shared" si="47"/>
        <v>0</v>
      </c>
      <c r="AO55" s="19">
        <f t="shared" si="52"/>
        <v>0</v>
      </c>
      <c r="AQ55" s="17"/>
      <c r="AR55" s="17"/>
      <c r="AS55" s="17"/>
      <c r="AT55" s="18">
        <f t="shared" si="48"/>
        <v>0</v>
      </c>
      <c r="AU55" s="19">
        <f t="shared" si="53"/>
        <v>0</v>
      </c>
      <c r="AW55" s="17"/>
      <c r="AX55" s="17"/>
      <c r="AY55" s="17"/>
      <c r="AZ55" s="18">
        <f t="shared" si="49"/>
        <v>0</v>
      </c>
      <c r="BA55" s="19">
        <f t="shared" si="54"/>
        <v>0</v>
      </c>
    </row>
    <row r="56" spans="1:53" ht="17.100000000000001" customHeight="1" x14ac:dyDescent="0.25">
      <c r="A56" s="68"/>
      <c r="B56" s="540"/>
      <c r="C56" s="93"/>
      <c r="D56" s="202" t="s">
        <v>382</v>
      </c>
      <c r="E56" s="85" t="s">
        <v>391</v>
      </c>
      <c r="F56" s="75"/>
      <c r="G56" s="105"/>
      <c r="H56" s="119"/>
      <c r="J56" s="581"/>
      <c r="K56" s="581"/>
      <c r="L56" s="582"/>
      <c r="M56" s="17">
        <f t="shared" si="42"/>
        <v>0</v>
      </c>
      <c r="N56" s="111"/>
      <c r="O56" s="111"/>
      <c r="P56" s="111"/>
      <c r="Q56" s="111"/>
      <c r="R56" s="111"/>
      <c r="S56" s="111"/>
      <c r="T56" s="111"/>
      <c r="U56" s="111"/>
      <c r="V56" s="358"/>
      <c r="W56" s="391">
        <f t="shared" si="43"/>
        <v>0</v>
      </c>
      <c r="X56" s="17">
        <f t="shared" si="44"/>
        <v>0</v>
      </c>
      <c r="Y56" s="18">
        <f t="shared" si="45"/>
        <v>0</v>
      </c>
      <c r="Z56" s="19">
        <f t="shared" si="50"/>
        <v>0</v>
      </c>
      <c r="AA56" s="19"/>
      <c r="AB56" s="19"/>
      <c r="AC56" s="84"/>
      <c r="AE56" s="17"/>
      <c r="AF56" s="17"/>
      <c r="AG56" s="17"/>
      <c r="AH56" s="18">
        <f t="shared" si="46"/>
        <v>0</v>
      </c>
      <c r="AI56" s="19">
        <f t="shared" si="51"/>
        <v>0</v>
      </c>
      <c r="AK56" s="17"/>
      <c r="AL56" s="17"/>
      <c r="AM56" s="17"/>
      <c r="AN56" s="18">
        <f t="shared" si="47"/>
        <v>0</v>
      </c>
      <c r="AO56" s="19">
        <f t="shared" si="52"/>
        <v>0</v>
      </c>
      <c r="AQ56" s="17"/>
      <c r="AR56" s="17"/>
      <c r="AS56" s="17"/>
      <c r="AT56" s="18">
        <f t="shared" si="48"/>
        <v>0</v>
      </c>
      <c r="AU56" s="19">
        <f t="shared" si="53"/>
        <v>0</v>
      </c>
      <c r="AW56" s="17"/>
      <c r="AX56" s="17"/>
      <c r="AY56" s="17"/>
      <c r="AZ56" s="18">
        <f t="shared" si="49"/>
        <v>0</v>
      </c>
      <c r="BA56" s="19">
        <f t="shared" si="54"/>
        <v>0</v>
      </c>
    </row>
    <row r="57" spans="1:53" ht="17.100000000000001" customHeight="1" x14ac:dyDescent="0.25">
      <c r="A57" s="68"/>
      <c r="B57" s="540"/>
      <c r="C57" s="93"/>
      <c r="D57" s="202" t="s">
        <v>383</v>
      </c>
      <c r="E57" s="85" t="s">
        <v>392</v>
      </c>
      <c r="F57" s="75"/>
      <c r="G57" s="105"/>
      <c r="H57" s="119"/>
      <c r="J57" s="583"/>
      <c r="K57" s="583"/>
      <c r="L57" s="584"/>
      <c r="M57" s="17">
        <f t="shared" si="42"/>
        <v>0</v>
      </c>
      <c r="N57" s="111"/>
      <c r="O57" s="111"/>
      <c r="P57" s="111"/>
      <c r="Q57" s="111"/>
      <c r="R57" s="111"/>
      <c r="S57" s="111"/>
      <c r="T57" s="111"/>
      <c r="U57" s="111"/>
      <c r="V57" s="358"/>
      <c r="W57" s="391">
        <f t="shared" si="43"/>
        <v>0</v>
      </c>
      <c r="X57" s="17">
        <f t="shared" si="44"/>
        <v>0</v>
      </c>
      <c r="Y57" s="18">
        <f t="shared" si="45"/>
        <v>0</v>
      </c>
      <c r="Z57" s="19">
        <f t="shared" si="50"/>
        <v>0</v>
      </c>
      <c r="AA57" s="19"/>
      <c r="AB57" s="19"/>
      <c r="AC57" s="84"/>
      <c r="AE57" s="17"/>
      <c r="AF57" s="17"/>
      <c r="AG57" s="17"/>
      <c r="AH57" s="18">
        <f t="shared" si="46"/>
        <v>0</v>
      </c>
      <c r="AI57" s="19">
        <f t="shared" si="51"/>
        <v>0</v>
      </c>
      <c r="AK57" s="17"/>
      <c r="AL57" s="17"/>
      <c r="AM57" s="17"/>
      <c r="AN57" s="18">
        <f t="shared" si="47"/>
        <v>0</v>
      </c>
      <c r="AO57" s="19">
        <f t="shared" si="52"/>
        <v>0</v>
      </c>
      <c r="AQ57" s="17"/>
      <c r="AR57" s="17"/>
      <c r="AS57" s="17"/>
      <c r="AT57" s="18">
        <f t="shared" si="48"/>
        <v>0</v>
      </c>
      <c r="AU57" s="19">
        <f t="shared" si="53"/>
        <v>0</v>
      </c>
      <c r="AW57" s="17"/>
      <c r="AX57" s="17"/>
      <c r="AY57" s="17"/>
      <c r="AZ57" s="18">
        <f t="shared" si="49"/>
        <v>0</v>
      </c>
      <c r="BA57" s="19">
        <f t="shared" si="54"/>
        <v>0</v>
      </c>
    </row>
    <row r="58" spans="1:53" ht="17.100000000000001" customHeight="1" x14ac:dyDescent="0.25">
      <c r="A58" s="40"/>
      <c r="B58" s="40"/>
      <c r="C58" s="77"/>
      <c r="D58" s="78"/>
      <c r="E58" s="78"/>
      <c r="F58" s="78"/>
      <c r="G58" s="78"/>
      <c r="H58" s="242"/>
      <c r="I58" s="230"/>
      <c r="J58" s="80">
        <f>SUM(J44:J57)</f>
        <v>0</v>
      </c>
      <c r="K58" s="80">
        <f t="shared" ref="K58:M58" si="55">SUM(K44:K57)</f>
        <v>0</v>
      </c>
      <c r="L58" s="80">
        <f t="shared" si="55"/>
        <v>0</v>
      </c>
      <c r="M58" s="80">
        <f t="shared" si="55"/>
        <v>0</v>
      </c>
      <c r="N58" s="80"/>
      <c r="O58" s="80"/>
      <c r="P58" s="80"/>
      <c r="Q58" s="81"/>
      <c r="R58" s="81"/>
      <c r="S58" s="81"/>
      <c r="T58" s="81"/>
      <c r="U58" s="81"/>
      <c r="V58" s="356"/>
      <c r="W58" s="381">
        <f>SUM(W44:W57)</f>
        <v>0</v>
      </c>
      <c r="X58" s="82">
        <f t="shared" ref="X58:Y58" si="56">SUM(X44:X57)</f>
        <v>0</v>
      </c>
      <c r="Y58" s="82">
        <f t="shared" si="56"/>
        <v>0</v>
      </c>
      <c r="Z58" s="205">
        <f t="shared" si="50"/>
        <v>0</v>
      </c>
      <c r="AA58" s="205"/>
      <c r="AB58" s="205"/>
      <c r="AC58" s="83"/>
      <c r="AE58" s="81"/>
      <c r="AF58" s="81"/>
      <c r="AG58" s="81"/>
      <c r="AH58" s="82">
        <f>SUM(AH44:AH57)</f>
        <v>0</v>
      </c>
      <c r="AI58" s="66">
        <f t="shared" si="51"/>
        <v>0</v>
      </c>
      <c r="AK58" s="81"/>
      <c r="AL58" s="81"/>
      <c r="AM58" s="81"/>
      <c r="AN58" s="82">
        <f>SUM(AN44:AN57)</f>
        <v>0</v>
      </c>
      <c r="AO58" s="66">
        <f t="shared" si="52"/>
        <v>0</v>
      </c>
      <c r="AQ58" s="81"/>
      <c r="AR58" s="81"/>
      <c r="AS58" s="81"/>
      <c r="AT58" s="82">
        <f>SUM(AT44:AT57)</f>
        <v>0</v>
      </c>
      <c r="AU58" s="66">
        <f t="shared" si="53"/>
        <v>0</v>
      </c>
      <c r="AW58" s="81"/>
      <c r="AX58" s="81"/>
      <c r="AY58" s="81"/>
      <c r="AZ58" s="82">
        <f>SUM(AZ44:AZ57)</f>
        <v>0</v>
      </c>
      <c r="BA58" s="66">
        <f t="shared" si="54"/>
        <v>0</v>
      </c>
    </row>
    <row r="59" spans="1:53" s="117" customFormat="1" ht="17.100000000000001" customHeight="1" x14ac:dyDescent="0.25">
      <c r="A59" s="119"/>
      <c r="B59" s="119"/>
      <c r="C59" s="540"/>
      <c r="D59" s="212"/>
      <c r="E59" s="212"/>
      <c r="F59" s="212"/>
      <c r="G59" s="212"/>
      <c r="H59" s="242"/>
      <c r="I59" s="230"/>
      <c r="J59" s="17" t="str">
        <f>IF(J58=J$15,"OK","NOK")</f>
        <v>OK</v>
      </c>
      <c r="K59" s="17" t="str">
        <f t="shared" ref="K59:L59" si="57">IF(K58=K$15,"OK","NOK")</f>
        <v>OK</v>
      </c>
      <c r="L59" s="17" t="str">
        <f t="shared" si="57"/>
        <v>OK</v>
      </c>
      <c r="M59" s="17"/>
      <c r="N59" s="17"/>
      <c r="O59" s="17"/>
      <c r="P59" s="17"/>
      <c r="Q59" s="17"/>
      <c r="R59" s="17"/>
      <c r="S59" s="17"/>
      <c r="T59" s="17"/>
      <c r="U59" s="17"/>
      <c r="V59" s="359"/>
      <c r="W59" s="382"/>
      <c r="X59" s="539"/>
      <c r="Y59" s="539"/>
      <c r="Z59" s="201"/>
      <c r="AA59" s="201"/>
      <c r="AB59" s="201"/>
      <c r="AC59" s="84"/>
      <c r="AE59" s="17"/>
      <c r="AF59" s="17"/>
      <c r="AG59" s="17"/>
      <c r="AH59" s="539"/>
      <c r="AI59" s="91"/>
      <c r="AK59" s="17"/>
      <c r="AL59" s="17"/>
      <c r="AM59" s="17"/>
      <c r="AN59" s="539"/>
      <c r="AO59" s="91"/>
      <c r="AQ59" s="17"/>
      <c r="AR59" s="17"/>
      <c r="AS59" s="17"/>
      <c r="AT59" s="539"/>
      <c r="AU59" s="91"/>
      <c r="AW59" s="17"/>
      <c r="AX59" s="17"/>
      <c r="AY59" s="17"/>
      <c r="AZ59" s="539"/>
      <c r="BA59" s="91"/>
    </row>
    <row r="60" spans="1:53" ht="17.100000000000001" customHeight="1" x14ac:dyDescent="0.25">
      <c r="A60" s="102"/>
      <c r="B60" s="102"/>
      <c r="C60" s="103" t="s">
        <v>33</v>
      </c>
      <c r="D60" s="110" t="s">
        <v>736</v>
      </c>
      <c r="E60" s="108"/>
      <c r="F60" s="108"/>
      <c r="G60" s="108"/>
      <c r="H60" s="258"/>
      <c r="I60" s="232"/>
      <c r="J60" s="111"/>
      <c r="K60" s="111"/>
      <c r="L60" s="111"/>
      <c r="M60" s="111"/>
      <c r="N60" s="111"/>
      <c r="O60" s="111"/>
      <c r="P60" s="111"/>
      <c r="Q60" s="111"/>
      <c r="R60" s="111"/>
      <c r="S60" s="111"/>
      <c r="T60" s="111"/>
      <c r="U60" s="111"/>
      <c r="V60" s="358"/>
      <c r="W60" s="380"/>
      <c r="X60" s="111"/>
      <c r="Y60" s="112"/>
      <c r="Z60" s="113"/>
      <c r="AA60" s="113"/>
      <c r="AB60" s="113"/>
      <c r="AC60" s="113"/>
      <c r="AE60" s="114"/>
      <c r="AF60" s="114"/>
      <c r="AG60" s="114"/>
      <c r="AH60" s="112"/>
      <c r="AI60" s="113"/>
      <c r="AK60" s="114"/>
      <c r="AL60" s="114"/>
      <c r="AM60" s="114"/>
      <c r="AN60" s="112"/>
      <c r="AO60" s="113"/>
      <c r="AQ60" s="114"/>
      <c r="AR60" s="114"/>
      <c r="AS60" s="114"/>
      <c r="AT60" s="112"/>
      <c r="AU60" s="113"/>
      <c r="AW60" s="114"/>
      <c r="AX60" s="114"/>
      <c r="AY60" s="114"/>
      <c r="AZ60" s="112"/>
      <c r="BA60" s="113"/>
    </row>
    <row r="61" spans="1:53" s="117" customFormat="1" ht="17.100000000000001" customHeight="1" x14ac:dyDescent="0.25">
      <c r="A61" s="540"/>
      <c r="B61" s="23"/>
      <c r="C61" s="23"/>
      <c r="D61" s="74" t="s">
        <v>34</v>
      </c>
      <c r="E61" s="75" t="s">
        <v>26</v>
      </c>
      <c r="F61" s="75"/>
      <c r="G61" s="75"/>
      <c r="H61" s="540"/>
      <c r="I61" s="229"/>
      <c r="J61" s="152"/>
      <c r="K61" s="152"/>
      <c r="L61" s="111"/>
      <c r="M61" s="111"/>
      <c r="N61" s="60">
        <v>1</v>
      </c>
      <c r="O61" s="60">
        <v>5</v>
      </c>
      <c r="P61" s="17">
        <f>SUM(N61:O61)</f>
        <v>6</v>
      </c>
      <c r="Q61" s="60"/>
      <c r="R61" s="60">
        <v>4</v>
      </c>
      <c r="S61" s="17">
        <f>SUM(Q61:R61)</f>
        <v>4</v>
      </c>
      <c r="T61" s="60"/>
      <c r="U61" s="60">
        <v>10</v>
      </c>
      <c r="V61" s="359">
        <f>SUM(T61:U61)</f>
        <v>10</v>
      </c>
      <c r="W61" s="391">
        <f t="shared" ref="W61:W64" si="58">J61+K61+N61+Q61+T61</f>
        <v>1</v>
      </c>
      <c r="X61" s="17">
        <f t="shared" ref="X61:X64" si="59">L61+O61+R61+U61</f>
        <v>19</v>
      </c>
      <c r="Y61" s="18">
        <f>SUM(W61:X61)</f>
        <v>20</v>
      </c>
      <c r="Z61" s="19">
        <f>IF(Y$65=0,0,Y61/Y$65)</f>
        <v>0.95238095238095233</v>
      </c>
      <c r="AA61" s="19"/>
      <c r="AB61" s="19"/>
      <c r="AC61" s="84"/>
      <c r="AE61" s="111"/>
      <c r="AF61" s="111"/>
      <c r="AG61" s="111"/>
      <c r="AH61" s="112"/>
      <c r="AI61" s="113"/>
      <c r="AK61" s="111"/>
      <c r="AL61" s="111"/>
      <c r="AM61" s="111"/>
      <c r="AN61" s="112"/>
      <c r="AO61" s="113"/>
      <c r="AQ61" s="17"/>
      <c r="AR61" s="17"/>
      <c r="AS61" s="17"/>
      <c r="AT61" s="18">
        <f>W61</f>
        <v>1</v>
      </c>
      <c r="AU61" s="19">
        <f>IF(AT$65=0,0,AT61/AT$65)</f>
        <v>0.5</v>
      </c>
      <c r="AW61" s="17"/>
      <c r="AX61" s="17"/>
      <c r="AY61" s="17"/>
      <c r="AZ61" s="18">
        <f>X61</f>
        <v>19</v>
      </c>
      <c r="BA61" s="19">
        <f>IF(AZ$65=0,0,AZ61/AZ$65)</f>
        <v>1</v>
      </c>
    </row>
    <row r="62" spans="1:53" s="117" customFormat="1" ht="17.100000000000001" customHeight="1" x14ac:dyDescent="0.25">
      <c r="A62" s="540"/>
      <c r="B62" s="23"/>
      <c r="C62" s="23"/>
      <c r="D62" s="74" t="s">
        <v>36</v>
      </c>
      <c r="E62" s="75" t="s">
        <v>28</v>
      </c>
      <c r="F62" s="75"/>
      <c r="G62" s="75"/>
      <c r="H62" s="540"/>
      <c r="I62" s="229"/>
      <c r="J62" s="152"/>
      <c r="K62" s="152"/>
      <c r="L62" s="111"/>
      <c r="M62" s="111"/>
      <c r="N62" s="61"/>
      <c r="O62" s="61"/>
      <c r="P62" s="17">
        <f>SUM(N62:O62)</f>
        <v>0</v>
      </c>
      <c r="Q62" s="61"/>
      <c r="R62" s="61"/>
      <c r="S62" s="17">
        <f>SUM(Q62:R62)</f>
        <v>0</v>
      </c>
      <c r="T62" s="61"/>
      <c r="U62" s="61"/>
      <c r="V62" s="359">
        <f>SUM(T62:U62)</f>
        <v>0</v>
      </c>
      <c r="W62" s="391">
        <f t="shared" si="58"/>
        <v>0</v>
      </c>
      <c r="X62" s="17">
        <f t="shared" si="59"/>
        <v>0</v>
      </c>
      <c r="Y62" s="18">
        <f>SUM(W62:X62)</f>
        <v>0</v>
      </c>
      <c r="Z62" s="19">
        <f t="shared" ref="Z62:Z65" si="60">IF(Y$65=0,0,Y62/Y$65)</f>
        <v>0</v>
      </c>
      <c r="AA62" s="19"/>
      <c r="AB62" s="19"/>
      <c r="AC62" s="84"/>
      <c r="AE62" s="111"/>
      <c r="AF62" s="111"/>
      <c r="AG62" s="111"/>
      <c r="AH62" s="112"/>
      <c r="AI62" s="113"/>
      <c r="AK62" s="111"/>
      <c r="AL62" s="111"/>
      <c r="AM62" s="111"/>
      <c r="AN62" s="112"/>
      <c r="AO62" s="113"/>
      <c r="AQ62" s="17"/>
      <c r="AR62" s="17"/>
      <c r="AS62" s="17"/>
      <c r="AT62" s="18">
        <f t="shared" ref="AT62:AT64" si="61">W62</f>
        <v>0</v>
      </c>
      <c r="AU62" s="19">
        <f t="shared" ref="AU62:AU65" si="62">IF(AT$65=0,0,AT62/AT$65)</f>
        <v>0</v>
      </c>
      <c r="AW62" s="17"/>
      <c r="AX62" s="17"/>
      <c r="AY62" s="17"/>
      <c r="AZ62" s="18">
        <f t="shared" ref="AZ62:AZ64" si="63">X62</f>
        <v>0</v>
      </c>
      <c r="BA62" s="19">
        <f t="shared" ref="BA62:BA65" si="64">IF(AZ$65=0,0,AZ62/AZ$65)</f>
        <v>0</v>
      </c>
    </row>
    <row r="63" spans="1:53" s="117" customFormat="1" ht="17.100000000000001" customHeight="1" x14ac:dyDescent="0.25">
      <c r="A63" s="540"/>
      <c r="B63" s="23"/>
      <c r="C63" s="23"/>
      <c r="D63" s="74" t="s">
        <v>38</v>
      </c>
      <c r="E63" s="75" t="s">
        <v>30</v>
      </c>
      <c r="F63" s="75"/>
      <c r="G63" s="75"/>
      <c r="H63" s="540"/>
      <c r="I63" s="229"/>
      <c r="J63" s="152"/>
      <c r="K63" s="152"/>
      <c r="L63" s="111"/>
      <c r="M63" s="111"/>
      <c r="N63" s="60"/>
      <c r="O63" s="60"/>
      <c r="P63" s="17">
        <f>SUM(N63:O63)</f>
        <v>0</v>
      </c>
      <c r="Q63" s="60">
        <v>1</v>
      </c>
      <c r="R63" s="60"/>
      <c r="S63" s="17">
        <f>SUM(Q63:R63)</f>
        <v>1</v>
      </c>
      <c r="T63" s="60"/>
      <c r="U63" s="60"/>
      <c r="V63" s="359">
        <f>SUM(T63:U63)</f>
        <v>0</v>
      </c>
      <c r="W63" s="391">
        <f t="shared" si="58"/>
        <v>1</v>
      </c>
      <c r="X63" s="17">
        <f t="shared" si="59"/>
        <v>0</v>
      </c>
      <c r="Y63" s="18">
        <f>SUM(W63:X63)</f>
        <v>1</v>
      </c>
      <c r="Z63" s="19">
        <f t="shared" si="60"/>
        <v>4.7619047619047616E-2</v>
      </c>
      <c r="AA63" s="19"/>
      <c r="AB63" s="19"/>
      <c r="AC63" s="84"/>
      <c r="AE63" s="111"/>
      <c r="AF63" s="111"/>
      <c r="AG63" s="111"/>
      <c r="AH63" s="112"/>
      <c r="AI63" s="113"/>
      <c r="AK63" s="111"/>
      <c r="AL63" s="111"/>
      <c r="AM63" s="111"/>
      <c r="AN63" s="112"/>
      <c r="AO63" s="113"/>
      <c r="AQ63" s="17"/>
      <c r="AR63" s="17"/>
      <c r="AS63" s="17"/>
      <c r="AT63" s="18">
        <f t="shared" si="61"/>
        <v>1</v>
      </c>
      <c r="AU63" s="19">
        <f t="shared" si="62"/>
        <v>0.5</v>
      </c>
      <c r="AW63" s="17"/>
      <c r="AX63" s="17"/>
      <c r="AY63" s="17"/>
      <c r="AZ63" s="18">
        <f t="shared" si="63"/>
        <v>0</v>
      </c>
      <c r="BA63" s="19">
        <f t="shared" si="64"/>
        <v>0</v>
      </c>
    </row>
    <row r="64" spans="1:53" s="117" customFormat="1" ht="17.100000000000001" customHeight="1" x14ac:dyDescent="0.25">
      <c r="A64" s="540"/>
      <c r="B64" s="23"/>
      <c r="C64" s="23"/>
      <c r="D64" s="74" t="s">
        <v>40</v>
      </c>
      <c r="E64" s="75" t="s">
        <v>32</v>
      </c>
      <c r="F64" s="75"/>
      <c r="G64" s="75"/>
      <c r="H64" s="540"/>
      <c r="I64" s="229"/>
      <c r="J64" s="152"/>
      <c r="K64" s="152"/>
      <c r="L64" s="111"/>
      <c r="M64" s="111"/>
      <c r="N64" s="61"/>
      <c r="O64" s="61"/>
      <c r="P64" s="17">
        <f>SUM(N64:O64)</f>
        <v>0</v>
      </c>
      <c r="Q64" s="61"/>
      <c r="R64" s="61"/>
      <c r="S64" s="17">
        <f>SUM(Q64:R64)</f>
        <v>0</v>
      </c>
      <c r="T64" s="61"/>
      <c r="U64" s="61"/>
      <c r="V64" s="359">
        <f>SUM(T64:U64)</f>
        <v>0</v>
      </c>
      <c r="W64" s="391">
        <f t="shared" si="58"/>
        <v>0</v>
      </c>
      <c r="X64" s="17">
        <f t="shared" si="59"/>
        <v>0</v>
      </c>
      <c r="Y64" s="18">
        <f>SUM(W64:X64)</f>
        <v>0</v>
      </c>
      <c r="Z64" s="19">
        <f t="shared" si="60"/>
        <v>0</v>
      </c>
      <c r="AA64" s="19"/>
      <c r="AB64" s="19"/>
      <c r="AC64" s="84"/>
      <c r="AE64" s="111"/>
      <c r="AF64" s="111"/>
      <c r="AG64" s="111"/>
      <c r="AH64" s="112"/>
      <c r="AI64" s="113"/>
      <c r="AK64" s="111"/>
      <c r="AL64" s="111"/>
      <c r="AM64" s="111"/>
      <c r="AN64" s="112"/>
      <c r="AO64" s="113"/>
      <c r="AQ64" s="17"/>
      <c r="AR64" s="17"/>
      <c r="AS64" s="17"/>
      <c r="AT64" s="18">
        <f t="shared" si="61"/>
        <v>0</v>
      </c>
      <c r="AU64" s="19">
        <f t="shared" si="62"/>
        <v>0</v>
      </c>
      <c r="AW64" s="17"/>
      <c r="AX64" s="17"/>
      <c r="AY64" s="17"/>
      <c r="AZ64" s="18">
        <f t="shared" si="63"/>
        <v>0</v>
      </c>
      <c r="BA64" s="19">
        <f t="shared" si="64"/>
        <v>0</v>
      </c>
    </row>
    <row r="65" spans="1:53" ht="17.100000000000001" customHeight="1" x14ac:dyDescent="0.25">
      <c r="A65" s="40"/>
      <c r="B65" s="40"/>
      <c r="C65" s="77"/>
      <c r="D65" s="78"/>
      <c r="E65" s="78"/>
      <c r="F65" s="78"/>
      <c r="G65" s="78"/>
      <c r="H65" s="242"/>
      <c r="I65" s="230"/>
      <c r="J65" s="80"/>
      <c r="K65" s="80"/>
      <c r="L65" s="81"/>
      <c r="M65" s="81"/>
      <c r="N65" s="81">
        <f t="shared" ref="N65:Y65" si="65">SUM(N61:N64)</f>
        <v>1</v>
      </c>
      <c r="O65" s="81">
        <f t="shared" si="65"/>
        <v>5</v>
      </c>
      <c r="P65" s="81">
        <f t="shared" si="65"/>
        <v>6</v>
      </c>
      <c r="Q65" s="81">
        <f t="shared" si="65"/>
        <v>1</v>
      </c>
      <c r="R65" s="81">
        <f t="shared" si="65"/>
        <v>4</v>
      </c>
      <c r="S65" s="81">
        <f t="shared" si="65"/>
        <v>5</v>
      </c>
      <c r="T65" s="81">
        <f t="shared" si="65"/>
        <v>0</v>
      </c>
      <c r="U65" s="81">
        <f t="shared" si="65"/>
        <v>10</v>
      </c>
      <c r="V65" s="81">
        <f t="shared" si="65"/>
        <v>10</v>
      </c>
      <c r="W65" s="381">
        <f t="shared" si="65"/>
        <v>2</v>
      </c>
      <c r="X65" s="82">
        <f t="shared" si="65"/>
        <v>19</v>
      </c>
      <c r="Y65" s="82">
        <f t="shared" si="65"/>
        <v>21</v>
      </c>
      <c r="Z65" s="205">
        <f t="shared" si="60"/>
        <v>1</v>
      </c>
      <c r="AA65" s="205"/>
      <c r="AB65" s="205"/>
      <c r="AC65" s="83"/>
      <c r="AE65" s="81"/>
      <c r="AF65" s="81"/>
      <c r="AG65" s="81"/>
      <c r="AH65" s="82"/>
      <c r="AI65" s="66"/>
      <c r="AK65" s="81"/>
      <c r="AL65" s="81"/>
      <c r="AM65" s="81"/>
      <c r="AN65" s="82"/>
      <c r="AO65" s="66"/>
      <c r="AQ65" s="81"/>
      <c r="AR65" s="81"/>
      <c r="AS65" s="81"/>
      <c r="AT65" s="82">
        <f>SUM(AT61:AT64)</f>
        <v>2</v>
      </c>
      <c r="AU65" s="66">
        <f t="shared" si="62"/>
        <v>1</v>
      </c>
      <c r="AW65" s="81"/>
      <c r="AX65" s="81"/>
      <c r="AY65" s="81"/>
      <c r="AZ65" s="82">
        <f>SUM(AZ61:AZ64)</f>
        <v>19</v>
      </c>
      <c r="BA65" s="66">
        <f t="shared" si="64"/>
        <v>1</v>
      </c>
    </row>
    <row r="66" spans="1:53" s="117" customFormat="1" ht="17.100000000000001" customHeight="1" x14ac:dyDescent="0.25">
      <c r="A66" s="119"/>
      <c r="B66" s="119"/>
      <c r="C66" s="540"/>
      <c r="D66" s="212"/>
      <c r="E66" s="212"/>
      <c r="F66" s="212"/>
      <c r="G66" s="212"/>
      <c r="H66" s="242"/>
      <c r="I66" s="230"/>
      <c r="J66" s="17"/>
      <c r="K66" s="17"/>
      <c r="L66" s="17"/>
      <c r="M66" s="17"/>
      <c r="N66" s="17" t="str">
        <f>IF(N65=N$20,"OK","NOK")</f>
        <v>OK</v>
      </c>
      <c r="O66" s="17" t="str">
        <f>IF(O65=O$20,"OK","NOK")</f>
        <v>OK</v>
      </c>
      <c r="P66" s="17"/>
      <c r="Q66" s="17" t="str">
        <f>IF(Q65=Q$20,"OK","NOK")</f>
        <v>OK</v>
      </c>
      <c r="R66" s="17" t="str">
        <f>IF(R65=R$20,"OK","NOK")</f>
        <v>OK</v>
      </c>
      <c r="S66" s="17"/>
      <c r="T66" s="17" t="str">
        <f>IF(T65=T$20,"OK","NOK")</f>
        <v>OK</v>
      </c>
      <c r="U66" s="17" t="str">
        <f>IF(U65=U$20,"OK","NOK")</f>
        <v>OK</v>
      </c>
      <c r="V66" s="359"/>
      <c r="W66" s="382"/>
      <c r="X66" s="539"/>
      <c r="Y66" s="539"/>
      <c r="Z66" s="201"/>
      <c r="AA66" s="201"/>
      <c r="AB66" s="201"/>
      <c r="AC66" s="84"/>
      <c r="AE66" s="17"/>
      <c r="AF66" s="17"/>
      <c r="AG66" s="17"/>
      <c r="AH66" s="539"/>
      <c r="AI66" s="91"/>
      <c r="AK66" s="17"/>
      <c r="AL66" s="17"/>
      <c r="AM66" s="17"/>
      <c r="AN66" s="539"/>
      <c r="AO66" s="91"/>
      <c r="AQ66" s="17"/>
      <c r="AR66" s="17"/>
      <c r="AS66" s="17"/>
      <c r="AT66" s="539"/>
      <c r="AU66" s="91"/>
      <c r="AW66" s="17"/>
      <c r="AX66" s="17"/>
      <c r="AY66" s="17"/>
      <c r="AZ66" s="539"/>
      <c r="BA66" s="91"/>
    </row>
    <row r="67" spans="1:53" ht="17.100000000000001" customHeight="1" x14ac:dyDescent="0.25">
      <c r="A67" s="102"/>
      <c r="B67" s="23"/>
      <c r="C67" s="103" t="s">
        <v>393</v>
      </c>
      <c r="D67" s="110" t="s">
        <v>737</v>
      </c>
      <c r="E67" s="313"/>
      <c r="F67" s="313"/>
      <c r="G67" s="313"/>
      <c r="H67" s="313"/>
      <c r="I67" s="313"/>
      <c r="J67" s="314"/>
      <c r="K67" s="111"/>
      <c r="L67" s="111"/>
      <c r="M67" s="111"/>
      <c r="N67" s="111"/>
      <c r="O67" s="111"/>
      <c r="P67" s="111"/>
      <c r="Q67" s="111"/>
      <c r="R67" s="111"/>
      <c r="S67" s="111"/>
      <c r="T67" s="111"/>
      <c r="U67" s="111"/>
      <c r="V67" s="358"/>
      <c r="W67" s="380"/>
      <c r="X67" s="111"/>
      <c r="Y67" s="112"/>
      <c r="Z67" s="113"/>
      <c r="AA67" s="113"/>
      <c r="AB67" s="113"/>
      <c r="AC67" s="113"/>
      <c r="AE67" s="114"/>
      <c r="AF67" s="114"/>
      <c r="AG67" s="114"/>
      <c r="AH67" s="112"/>
      <c r="AI67" s="113"/>
      <c r="AK67" s="114"/>
      <c r="AL67" s="114"/>
      <c r="AM67" s="114"/>
      <c r="AN67" s="112"/>
      <c r="AO67" s="113"/>
      <c r="AQ67" s="114"/>
      <c r="AR67" s="114"/>
      <c r="AS67" s="114"/>
      <c r="AT67" s="112"/>
      <c r="AU67" s="113"/>
      <c r="AW67" s="114"/>
      <c r="AX67" s="114"/>
      <c r="AY67" s="114"/>
      <c r="AZ67" s="112"/>
      <c r="BA67" s="113"/>
    </row>
    <row r="68" spans="1:53" ht="17.100000000000001" customHeight="1" x14ac:dyDescent="0.25">
      <c r="A68" s="102"/>
      <c r="B68" s="118"/>
      <c r="C68" s="118"/>
      <c r="D68" s="103" t="s">
        <v>394</v>
      </c>
      <c r="E68" s="108" t="s">
        <v>35</v>
      </c>
      <c r="F68" s="108"/>
      <c r="G68" s="108"/>
      <c r="H68" s="258"/>
      <c r="I68" s="232"/>
      <c r="J68" s="152"/>
      <c r="K68" s="152"/>
      <c r="L68" s="111"/>
      <c r="M68" s="111"/>
      <c r="N68" s="60">
        <v>1</v>
      </c>
      <c r="O68" s="60">
        <v>5</v>
      </c>
      <c r="P68" s="17">
        <f>SUM(N68:O68)</f>
        <v>6</v>
      </c>
      <c r="Q68" s="60">
        <v>1</v>
      </c>
      <c r="R68" s="60">
        <v>4</v>
      </c>
      <c r="S68" s="17">
        <f>SUM(Q68:R68)</f>
        <v>5</v>
      </c>
      <c r="T68" s="60"/>
      <c r="U68" s="60">
        <v>10</v>
      </c>
      <c r="V68" s="359">
        <f>SUM(T68:U68)</f>
        <v>10</v>
      </c>
      <c r="W68" s="391">
        <f t="shared" ref="W68:W72" si="66">J68+K68+N68+Q68+T68</f>
        <v>2</v>
      </c>
      <c r="X68" s="17">
        <f t="shared" ref="X68:X72" si="67">L68+O68+R68+U68</f>
        <v>19</v>
      </c>
      <c r="Y68" s="18">
        <f>SUM(W68:X68)</f>
        <v>21</v>
      </c>
      <c r="Z68" s="19">
        <f>IF(Y$73=0,0,Y68/Y$73)</f>
        <v>1</v>
      </c>
      <c r="AA68" s="19"/>
      <c r="AB68" s="19"/>
      <c r="AC68" s="20"/>
      <c r="AE68" s="111"/>
      <c r="AF68" s="111"/>
      <c r="AG68" s="111"/>
      <c r="AH68" s="112"/>
      <c r="AI68" s="113"/>
      <c r="AK68" s="111"/>
      <c r="AL68" s="111"/>
      <c r="AM68" s="111"/>
      <c r="AN68" s="112"/>
      <c r="AO68" s="113"/>
      <c r="AQ68" s="17"/>
      <c r="AR68" s="17"/>
      <c r="AS68" s="17"/>
      <c r="AT68" s="18">
        <f t="shared" ref="AT68:AT72" si="68">W68</f>
        <v>2</v>
      </c>
      <c r="AU68" s="19">
        <f>IF(AT$73=0,0,AT68/AT$73)</f>
        <v>1</v>
      </c>
      <c r="AW68" s="17"/>
      <c r="AX68" s="17"/>
      <c r="AY68" s="17"/>
      <c r="AZ68" s="18">
        <f t="shared" ref="AZ68:AZ72" si="69">X68</f>
        <v>19</v>
      </c>
      <c r="BA68" s="19">
        <f>IF(AZ$73=0,0,AZ68/AZ$73)</f>
        <v>1</v>
      </c>
    </row>
    <row r="69" spans="1:53" ht="17.100000000000001" customHeight="1" x14ac:dyDescent="0.25">
      <c r="A69" s="102"/>
      <c r="B69" s="118"/>
      <c r="C69" s="118"/>
      <c r="D69" s="103" t="s">
        <v>395</v>
      </c>
      <c r="E69" s="108" t="s">
        <v>37</v>
      </c>
      <c r="F69" s="108"/>
      <c r="G69" s="108"/>
      <c r="H69" s="258"/>
      <c r="I69" s="232"/>
      <c r="J69" s="152"/>
      <c r="K69" s="152"/>
      <c r="L69" s="111"/>
      <c r="M69" s="111"/>
      <c r="N69" s="61"/>
      <c r="O69" s="61"/>
      <c r="P69" s="17">
        <f>SUM(N69:O69)</f>
        <v>0</v>
      </c>
      <c r="Q69" s="61"/>
      <c r="R69" s="61"/>
      <c r="S69" s="17">
        <f>SUM(Q69:R69)</f>
        <v>0</v>
      </c>
      <c r="T69" s="61"/>
      <c r="U69" s="61"/>
      <c r="V69" s="359">
        <f>SUM(T69:U69)</f>
        <v>0</v>
      </c>
      <c r="W69" s="391">
        <f t="shared" si="66"/>
        <v>0</v>
      </c>
      <c r="X69" s="17">
        <f t="shared" si="67"/>
        <v>0</v>
      </c>
      <c r="Y69" s="18">
        <f>SUM(W69:X69)</f>
        <v>0</v>
      </c>
      <c r="Z69" s="19">
        <f t="shared" ref="Z69:Z73" si="70">IF(Y$73=0,0,Y69/Y$73)</f>
        <v>0</v>
      </c>
      <c r="AA69" s="19"/>
      <c r="AB69" s="19"/>
      <c r="AC69" s="20"/>
      <c r="AE69" s="111"/>
      <c r="AF69" s="111"/>
      <c r="AG69" s="111"/>
      <c r="AH69" s="112"/>
      <c r="AI69" s="113"/>
      <c r="AK69" s="111"/>
      <c r="AL69" s="111"/>
      <c r="AM69" s="111"/>
      <c r="AN69" s="112"/>
      <c r="AO69" s="113"/>
      <c r="AQ69" s="17"/>
      <c r="AR69" s="17"/>
      <c r="AS69" s="17"/>
      <c r="AT69" s="18">
        <f t="shared" si="68"/>
        <v>0</v>
      </c>
      <c r="AU69" s="19">
        <f t="shared" ref="AU69:AU73" si="71">IF(AT$73=0,0,AT69/AT$73)</f>
        <v>0</v>
      </c>
      <c r="AW69" s="17"/>
      <c r="AX69" s="17"/>
      <c r="AY69" s="17"/>
      <c r="AZ69" s="18">
        <f t="shared" si="69"/>
        <v>0</v>
      </c>
      <c r="BA69" s="19">
        <f t="shared" ref="BA69:BA72" si="72">IF(AZ$65=0,0,AZ69/AZ$65)</f>
        <v>0</v>
      </c>
    </row>
    <row r="70" spans="1:53" ht="17.100000000000001" customHeight="1" x14ac:dyDescent="0.25">
      <c r="A70" s="102"/>
      <c r="B70" s="118"/>
      <c r="C70" s="118"/>
      <c r="D70" s="103" t="s">
        <v>396</v>
      </c>
      <c r="E70" s="108" t="s">
        <v>39</v>
      </c>
      <c r="F70" s="108"/>
      <c r="G70" s="108"/>
      <c r="H70" s="258"/>
      <c r="I70" s="232"/>
      <c r="J70" s="152"/>
      <c r="K70" s="152"/>
      <c r="L70" s="111"/>
      <c r="M70" s="111"/>
      <c r="N70" s="60"/>
      <c r="O70" s="60"/>
      <c r="P70" s="17">
        <f>SUM(N70:O70)</f>
        <v>0</v>
      </c>
      <c r="Q70" s="60"/>
      <c r="R70" s="60"/>
      <c r="S70" s="17">
        <f>SUM(Q70:R70)</f>
        <v>0</v>
      </c>
      <c r="T70" s="60"/>
      <c r="U70" s="60"/>
      <c r="V70" s="359">
        <f>SUM(T70:U70)</f>
        <v>0</v>
      </c>
      <c r="W70" s="391">
        <f t="shared" si="66"/>
        <v>0</v>
      </c>
      <c r="X70" s="17">
        <f t="shared" si="67"/>
        <v>0</v>
      </c>
      <c r="Y70" s="18">
        <f>SUM(W70:X70)</f>
        <v>0</v>
      </c>
      <c r="Z70" s="19">
        <f t="shared" si="70"/>
        <v>0</v>
      </c>
      <c r="AA70" s="19"/>
      <c r="AB70" s="19"/>
      <c r="AC70" s="20"/>
      <c r="AE70" s="111"/>
      <c r="AF70" s="111"/>
      <c r="AG70" s="111"/>
      <c r="AH70" s="112"/>
      <c r="AI70" s="113"/>
      <c r="AK70" s="111"/>
      <c r="AL70" s="111"/>
      <c r="AM70" s="111"/>
      <c r="AN70" s="112"/>
      <c r="AO70" s="113"/>
      <c r="AQ70" s="17"/>
      <c r="AR70" s="17"/>
      <c r="AS70" s="17"/>
      <c r="AT70" s="18">
        <f t="shared" si="68"/>
        <v>0</v>
      </c>
      <c r="AU70" s="19">
        <f t="shared" si="71"/>
        <v>0</v>
      </c>
      <c r="AW70" s="17"/>
      <c r="AX70" s="17"/>
      <c r="AY70" s="17"/>
      <c r="AZ70" s="18">
        <f t="shared" si="69"/>
        <v>0</v>
      </c>
      <c r="BA70" s="19">
        <f t="shared" si="72"/>
        <v>0</v>
      </c>
    </row>
    <row r="71" spans="1:53" ht="17.100000000000001" customHeight="1" x14ac:dyDescent="0.25">
      <c r="A71" s="102"/>
      <c r="B71" s="118"/>
      <c r="C71" s="118"/>
      <c r="D71" s="103" t="s">
        <v>397</v>
      </c>
      <c r="E71" s="108" t="s">
        <v>41</v>
      </c>
      <c r="F71" s="108"/>
      <c r="G71" s="108"/>
      <c r="H71" s="258"/>
      <c r="I71" s="232"/>
      <c r="J71" s="152"/>
      <c r="K71" s="152"/>
      <c r="L71" s="111"/>
      <c r="M71" s="111"/>
      <c r="N71" s="61"/>
      <c r="O71" s="61"/>
      <c r="P71" s="17">
        <f>SUM(N71:O71)</f>
        <v>0</v>
      </c>
      <c r="Q71" s="61"/>
      <c r="R71" s="61"/>
      <c r="S71" s="17">
        <f>SUM(Q71:R71)</f>
        <v>0</v>
      </c>
      <c r="T71" s="61"/>
      <c r="U71" s="61"/>
      <c r="V71" s="359">
        <f>SUM(T71:U71)</f>
        <v>0</v>
      </c>
      <c r="W71" s="391">
        <f t="shared" si="66"/>
        <v>0</v>
      </c>
      <c r="X71" s="17">
        <f t="shared" si="67"/>
        <v>0</v>
      </c>
      <c r="Y71" s="18">
        <f>SUM(W71:X71)</f>
        <v>0</v>
      </c>
      <c r="Z71" s="19">
        <f t="shared" si="70"/>
        <v>0</v>
      </c>
      <c r="AA71" s="19"/>
      <c r="AB71" s="19"/>
      <c r="AC71" s="20"/>
      <c r="AE71" s="111"/>
      <c r="AF71" s="111"/>
      <c r="AG71" s="111"/>
      <c r="AH71" s="112"/>
      <c r="AI71" s="113"/>
      <c r="AK71" s="111"/>
      <c r="AL71" s="111"/>
      <c r="AM71" s="111"/>
      <c r="AN71" s="112"/>
      <c r="AO71" s="113"/>
      <c r="AQ71" s="17"/>
      <c r="AR71" s="17"/>
      <c r="AS71" s="17"/>
      <c r="AT71" s="18">
        <f t="shared" si="68"/>
        <v>0</v>
      </c>
      <c r="AU71" s="19">
        <f t="shared" si="71"/>
        <v>0</v>
      </c>
      <c r="AW71" s="17"/>
      <c r="AX71" s="17"/>
      <c r="AY71" s="17"/>
      <c r="AZ71" s="18">
        <f t="shared" si="69"/>
        <v>0</v>
      </c>
      <c r="BA71" s="19">
        <f t="shared" si="72"/>
        <v>0</v>
      </c>
    </row>
    <row r="72" spans="1:53" ht="17.100000000000001" customHeight="1" x14ac:dyDescent="0.25">
      <c r="A72" s="102"/>
      <c r="B72" s="118"/>
      <c r="C72" s="118"/>
      <c r="D72" s="103" t="s">
        <v>398</v>
      </c>
      <c r="E72" s="108" t="s">
        <v>42</v>
      </c>
      <c r="F72" s="108"/>
      <c r="G72" s="108"/>
      <c r="H72" s="258"/>
      <c r="I72" s="232"/>
      <c r="J72" s="152"/>
      <c r="K72" s="152"/>
      <c r="L72" s="111"/>
      <c r="M72" s="111"/>
      <c r="N72" s="60"/>
      <c r="O72" s="60"/>
      <c r="P72" s="17">
        <f>SUM(N72:O72)</f>
        <v>0</v>
      </c>
      <c r="Q72" s="60"/>
      <c r="R72" s="60"/>
      <c r="S72" s="17">
        <f>SUM(Q72:R72)</f>
        <v>0</v>
      </c>
      <c r="T72" s="60"/>
      <c r="U72" s="60"/>
      <c r="V72" s="359">
        <f>SUM(T72:U72)</f>
        <v>0</v>
      </c>
      <c r="W72" s="391">
        <f t="shared" si="66"/>
        <v>0</v>
      </c>
      <c r="X72" s="17">
        <f t="shared" si="67"/>
        <v>0</v>
      </c>
      <c r="Y72" s="18">
        <f>SUM(W72:X72)</f>
        <v>0</v>
      </c>
      <c r="Z72" s="19">
        <f t="shared" si="70"/>
        <v>0</v>
      </c>
      <c r="AA72" s="19"/>
      <c r="AB72" s="19"/>
      <c r="AC72" s="20"/>
      <c r="AE72" s="111"/>
      <c r="AF72" s="111"/>
      <c r="AG72" s="111"/>
      <c r="AH72" s="112"/>
      <c r="AI72" s="113"/>
      <c r="AK72" s="111"/>
      <c r="AL72" s="111"/>
      <c r="AM72" s="111"/>
      <c r="AN72" s="112"/>
      <c r="AO72" s="113"/>
      <c r="AQ72" s="17"/>
      <c r="AR72" s="17"/>
      <c r="AS72" s="17"/>
      <c r="AT72" s="18">
        <f t="shared" si="68"/>
        <v>0</v>
      </c>
      <c r="AU72" s="19">
        <f t="shared" si="71"/>
        <v>0</v>
      </c>
      <c r="AW72" s="17"/>
      <c r="AX72" s="17"/>
      <c r="AY72" s="17"/>
      <c r="AZ72" s="18">
        <f t="shared" si="69"/>
        <v>0</v>
      </c>
      <c r="BA72" s="19">
        <f t="shared" si="72"/>
        <v>0</v>
      </c>
    </row>
    <row r="73" spans="1:53" ht="17.100000000000001" customHeight="1" x14ac:dyDescent="0.25">
      <c r="A73" s="40"/>
      <c r="B73" s="40"/>
      <c r="C73" s="77"/>
      <c r="D73" s="78"/>
      <c r="E73" s="78"/>
      <c r="F73" s="78"/>
      <c r="G73" s="78"/>
      <c r="H73" s="242"/>
      <c r="I73" s="230"/>
      <c r="J73" s="80"/>
      <c r="K73" s="80"/>
      <c r="L73" s="81"/>
      <c r="M73" s="81"/>
      <c r="N73" s="81">
        <f t="shared" ref="N73:X73" si="73">SUM(N68:N72)</f>
        <v>1</v>
      </c>
      <c r="O73" s="81">
        <f t="shared" si="73"/>
        <v>5</v>
      </c>
      <c r="P73" s="81">
        <f t="shared" si="73"/>
        <v>6</v>
      </c>
      <c r="Q73" s="81">
        <f t="shared" si="73"/>
        <v>1</v>
      </c>
      <c r="R73" s="81">
        <f t="shared" si="73"/>
        <v>4</v>
      </c>
      <c r="S73" s="81">
        <f t="shared" si="73"/>
        <v>5</v>
      </c>
      <c r="T73" s="81">
        <f t="shared" si="73"/>
        <v>0</v>
      </c>
      <c r="U73" s="81">
        <f t="shared" si="73"/>
        <v>10</v>
      </c>
      <c r="V73" s="81">
        <f t="shared" si="73"/>
        <v>10</v>
      </c>
      <c r="W73" s="381">
        <f t="shared" si="73"/>
        <v>2</v>
      </c>
      <c r="X73" s="82">
        <f t="shared" si="73"/>
        <v>19</v>
      </c>
      <c r="Y73" s="82">
        <f>SUM(Y68:Y72)</f>
        <v>21</v>
      </c>
      <c r="Z73" s="205">
        <f t="shared" si="70"/>
        <v>1</v>
      </c>
      <c r="AA73" s="205"/>
      <c r="AB73" s="205"/>
      <c r="AC73" s="83"/>
      <c r="AE73" s="81"/>
      <c r="AF73" s="81"/>
      <c r="AG73" s="81"/>
      <c r="AH73" s="82"/>
      <c r="AI73" s="66"/>
      <c r="AK73" s="81"/>
      <c r="AL73" s="81"/>
      <c r="AM73" s="81"/>
      <c r="AN73" s="82"/>
      <c r="AO73" s="66"/>
      <c r="AQ73" s="81"/>
      <c r="AR73" s="81"/>
      <c r="AS73" s="81"/>
      <c r="AT73" s="82">
        <f>SUM(AT68:AT72)</f>
        <v>2</v>
      </c>
      <c r="AU73" s="66">
        <f t="shared" si="71"/>
        <v>1</v>
      </c>
      <c r="AW73" s="81"/>
      <c r="AX73" s="81"/>
      <c r="AY73" s="81"/>
      <c r="AZ73" s="82">
        <f>SUM(AZ68:AZ72)</f>
        <v>19</v>
      </c>
      <c r="BA73" s="66">
        <f t="shared" ref="BA73" si="74">IF(AZ$73=0,0,AZ73/AZ$73)</f>
        <v>1</v>
      </c>
    </row>
    <row r="74" spans="1:53" s="117" customFormat="1" ht="17.100000000000001" customHeight="1" x14ac:dyDescent="0.25">
      <c r="A74" s="119"/>
      <c r="B74" s="119"/>
      <c r="C74" s="540"/>
      <c r="D74" s="212"/>
      <c r="E74" s="212"/>
      <c r="F74" s="212"/>
      <c r="G74" s="212"/>
      <c r="H74" s="242"/>
      <c r="I74" s="230"/>
      <c r="J74" s="17"/>
      <c r="K74" s="17"/>
      <c r="L74" s="17"/>
      <c r="M74" s="17"/>
      <c r="N74" s="17" t="str">
        <f>IF(N73=N$20,"OK","NOK")</f>
        <v>OK</v>
      </c>
      <c r="O74" s="17" t="str">
        <f>IF(O73=O$20,"OK","NOK")</f>
        <v>OK</v>
      </c>
      <c r="P74" s="17"/>
      <c r="Q74" s="17" t="str">
        <f>IF(Q73=Q$20,"OK","NOK")</f>
        <v>OK</v>
      </c>
      <c r="R74" s="17" t="str">
        <f>IF(R73=R$20,"OK","NOK")</f>
        <v>OK</v>
      </c>
      <c r="S74" s="17"/>
      <c r="T74" s="17" t="str">
        <f>IF(T73=T$20,"OK","NOK")</f>
        <v>OK</v>
      </c>
      <c r="U74" s="17" t="str">
        <f>IF(U73=U$20,"OK","NOK")</f>
        <v>OK</v>
      </c>
      <c r="V74" s="359"/>
      <c r="W74" s="382"/>
      <c r="X74" s="539"/>
      <c r="Y74" s="539"/>
      <c r="Z74" s="201"/>
      <c r="AA74" s="201"/>
      <c r="AB74" s="201"/>
      <c r="AC74" s="84"/>
      <c r="AE74" s="17"/>
      <c r="AF74" s="17"/>
      <c r="AG74" s="17"/>
      <c r="AH74" s="539"/>
      <c r="AI74" s="91"/>
      <c r="AK74" s="17"/>
      <c r="AL74" s="17"/>
      <c r="AM74" s="17"/>
      <c r="AN74" s="539"/>
      <c r="AO74" s="91"/>
      <c r="AQ74" s="17"/>
      <c r="AR74" s="17"/>
      <c r="AS74" s="17"/>
      <c r="AT74" s="539"/>
      <c r="AU74" s="91"/>
      <c r="AW74" s="17"/>
      <c r="AX74" s="17"/>
      <c r="AY74" s="17"/>
      <c r="AZ74" s="539"/>
      <c r="BA74" s="91"/>
    </row>
    <row r="75" spans="1:53" ht="17.100000000000001" customHeight="1" x14ac:dyDescent="0.25">
      <c r="A75" s="68"/>
      <c r="B75" s="41" t="s">
        <v>43</v>
      </c>
      <c r="C75" s="69" t="s">
        <v>44</v>
      </c>
      <c r="D75" s="50"/>
      <c r="E75" s="70"/>
      <c r="F75" s="70"/>
      <c r="G75" s="70"/>
      <c r="H75" s="119"/>
      <c r="J75" s="71"/>
      <c r="K75" s="71"/>
      <c r="L75" s="71"/>
      <c r="M75" s="71"/>
      <c r="N75" s="71"/>
      <c r="O75" s="71"/>
      <c r="P75" s="71"/>
      <c r="Q75" s="71"/>
      <c r="R75" s="71"/>
      <c r="S75" s="71"/>
      <c r="T75" s="71"/>
      <c r="U75" s="71"/>
      <c r="V75" s="355"/>
      <c r="W75" s="377"/>
      <c r="X75" s="71"/>
      <c r="Y75" s="72"/>
      <c r="Z75" s="73"/>
      <c r="AA75" s="73"/>
      <c r="AB75" s="73"/>
      <c r="AC75" s="73"/>
      <c r="AE75" s="71"/>
      <c r="AF75" s="71"/>
      <c r="AG75" s="71"/>
      <c r="AH75" s="72"/>
      <c r="AI75" s="73"/>
      <c r="AK75" s="71"/>
      <c r="AL75" s="71"/>
      <c r="AM75" s="71"/>
      <c r="AN75" s="72"/>
      <c r="AO75" s="73"/>
      <c r="AQ75" s="71"/>
      <c r="AR75" s="71"/>
      <c r="AS75" s="71"/>
      <c r="AT75" s="72"/>
      <c r="AU75" s="73"/>
      <c r="AW75" s="71"/>
      <c r="AX75" s="71"/>
      <c r="AY75" s="71"/>
      <c r="AZ75" s="72"/>
      <c r="BA75" s="73"/>
    </row>
    <row r="76" spans="1:53" ht="17.100000000000001" customHeight="1" x14ac:dyDescent="0.25">
      <c r="A76" s="102"/>
      <c r="B76" s="102"/>
      <c r="C76" s="103" t="s">
        <v>45</v>
      </c>
      <c r="D76" s="108" t="s">
        <v>46</v>
      </c>
      <c r="E76" s="108"/>
      <c r="F76" s="108"/>
      <c r="G76" s="108"/>
      <c r="H76" s="258"/>
      <c r="I76" s="232"/>
      <c r="J76" s="111"/>
      <c r="K76" s="111"/>
      <c r="L76" s="111"/>
      <c r="M76" s="111"/>
      <c r="N76" s="111"/>
      <c r="O76" s="111"/>
      <c r="P76" s="111"/>
      <c r="Q76" s="111"/>
      <c r="R76" s="111"/>
      <c r="S76" s="111"/>
      <c r="T76" s="111"/>
      <c r="U76" s="111"/>
      <c r="V76" s="358"/>
      <c r="W76" s="380"/>
      <c r="X76" s="111"/>
      <c r="Y76" s="112"/>
      <c r="Z76" s="113"/>
      <c r="AA76" s="113"/>
      <c r="AB76" s="113"/>
      <c r="AC76" s="113"/>
      <c r="AE76" s="114"/>
      <c r="AF76" s="114"/>
      <c r="AG76" s="114"/>
      <c r="AH76" s="112"/>
      <c r="AI76" s="113"/>
      <c r="AK76" s="114"/>
      <c r="AL76" s="114"/>
      <c r="AM76" s="114"/>
      <c r="AN76" s="112"/>
      <c r="AO76" s="113"/>
      <c r="AQ76" s="114"/>
      <c r="AR76" s="114"/>
      <c r="AS76" s="114"/>
      <c r="AT76" s="112"/>
      <c r="AU76" s="113"/>
      <c r="AW76" s="114"/>
      <c r="AX76" s="114"/>
      <c r="AY76" s="114"/>
      <c r="AZ76" s="112"/>
      <c r="BA76" s="113"/>
    </row>
    <row r="77" spans="1:53" ht="17.100000000000001" customHeight="1" x14ac:dyDescent="0.25">
      <c r="A77" s="102"/>
      <c r="B77" s="102"/>
      <c r="C77" s="102"/>
      <c r="D77" s="103" t="s">
        <v>47</v>
      </c>
      <c r="E77" s="108" t="s">
        <v>35</v>
      </c>
      <c r="F77" s="108"/>
      <c r="G77" s="108"/>
      <c r="H77" s="258"/>
      <c r="I77" s="232"/>
      <c r="J77" s="152"/>
      <c r="K77" s="152"/>
      <c r="L77" s="111"/>
      <c r="M77" s="111"/>
      <c r="N77" s="152"/>
      <c r="O77" s="111"/>
      <c r="P77" s="60">
        <v>1</v>
      </c>
      <c r="Q77" s="152"/>
      <c r="R77" s="111"/>
      <c r="S77" s="60">
        <v>1</v>
      </c>
      <c r="T77" s="152"/>
      <c r="U77" s="111"/>
      <c r="V77" s="361">
        <v>1</v>
      </c>
      <c r="W77" s="391"/>
      <c r="X77" s="17"/>
      <c r="Y77" s="18">
        <f>M77+P77+S77+V77</f>
        <v>3</v>
      </c>
      <c r="Z77" s="19">
        <f>IF(Y$81=0,0,Y77/Y$81)</f>
        <v>1</v>
      </c>
      <c r="AA77" s="19"/>
      <c r="AB77" s="19"/>
      <c r="AC77" s="20"/>
      <c r="AE77" s="111"/>
      <c r="AF77" s="111"/>
      <c r="AG77" s="111"/>
      <c r="AH77" s="545"/>
      <c r="AI77" s="131"/>
      <c r="AK77" s="111"/>
      <c r="AL77" s="111"/>
      <c r="AM77" s="111"/>
      <c r="AN77" s="545"/>
      <c r="AO77" s="131"/>
      <c r="AQ77" s="111"/>
      <c r="AR77" s="111"/>
      <c r="AS77" s="111"/>
      <c r="AT77" s="545"/>
      <c r="AU77" s="131"/>
      <c r="AW77" s="111"/>
      <c r="AX77" s="111"/>
      <c r="AY77" s="111"/>
      <c r="AZ77" s="545"/>
      <c r="BA77" s="131"/>
    </row>
    <row r="78" spans="1:53" ht="17.100000000000001" customHeight="1" x14ac:dyDescent="0.25">
      <c r="A78" s="102"/>
      <c r="B78" s="102"/>
      <c r="C78" s="102"/>
      <c r="D78" s="103" t="s">
        <v>48</v>
      </c>
      <c r="E78" s="108" t="s">
        <v>49</v>
      </c>
      <c r="F78" s="108"/>
      <c r="G78" s="108"/>
      <c r="H78" s="258"/>
      <c r="I78" s="232"/>
      <c r="J78" s="152"/>
      <c r="K78" s="152"/>
      <c r="L78" s="111"/>
      <c r="M78" s="111"/>
      <c r="N78" s="152"/>
      <c r="O78" s="111"/>
      <c r="P78" s="61"/>
      <c r="Q78" s="152"/>
      <c r="R78" s="111"/>
      <c r="S78" s="61"/>
      <c r="T78" s="152"/>
      <c r="U78" s="111"/>
      <c r="V78" s="362"/>
      <c r="W78" s="391"/>
      <c r="X78" s="17"/>
      <c r="Y78" s="18">
        <f t="shared" ref="Y78:Y80" si="75">M78+P78+S78+V78</f>
        <v>0</v>
      </c>
      <c r="Z78" s="19">
        <f t="shared" ref="Z78:Z81" si="76">IF(Y$81=0,0,Y78/Y$81)</f>
        <v>0</v>
      </c>
      <c r="AA78" s="19"/>
      <c r="AB78" s="19"/>
      <c r="AC78" s="20"/>
      <c r="AE78" s="111"/>
      <c r="AF78" s="111"/>
      <c r="AG78" s="111"/>
      <c r="AH78" s="545"/>
      <c r="AI78" s="131"/>
      <c r="AK78" s="111"/>
      <c r="AL78" s="111"/>
      <c r="AM78" s="111"/>
      <c r="AN78" s="545"/>
      <c r="AO78" s="131"/>
      <c r="AQ78" s="111"/>
      <c r="AR78" s="111"/>
      <c r="AS78" s="111"/>
      <c r="AT78" s="545"/>
      <c r="AU78" s="131"/>
      <c r="AW78" s="111"/>
      <c r="AX78" s="111"/>
      <c r="AY78" s="111"/>
      <c r="AZ78" s="545"/>
      <c r="BA78" s="131"/>
    </row>
    <row r="79" spans="1:53" ht="17.100000000000001" customHeight="1" x14ac:dyDescent="0.25">
      <c r="A79" s="102"/>
      <c r="B79" s="102"/>
      <c r="C79" s="102"/>
      <c r="D79" s="103" t="s">
        <v>50</v>
      </c>
      <c r="E79" s="108" t="s">
        <v>51</v>
      </c>
      <c r="F79" s="108"/>
      <c r="G79" s="108"/>
      <c r="H79" s="258"/>
      <c r="I79" s="232"/>
      <c r="J79" s="152"/>
      <c r="K79" s="152"/>
      <c r="L79" s="111"/>
      <c r="M79" s="111"/>
      <c r="N79" s="152"/>
      <c r="O79" s="111"/>
      <c r="P79" s="60"/>
      <c r="Q79" s="152"/>
      <c r="R79" s="111"/>
      <c r="S79" s="60"/>
      <c r="T79" s="152"/>
      <c r="U79" s="111"/>
      <c r="V79" s="361"/>
      <c r="W79" s="391"/>
      <c r="X79" s="17"/>
      <c r="Y79" s="18">
        <f t="shared" si="75"/>
        <v>0</v>
      </c>
      <c r="Z79" s="19">
        <f t="shared" si="76"/>
        <v>0</v>
      </c>
      <c r="AA79" s="19"/>
      <c r="AB79" s="19"/>
      <c r="AC79" s="20"/>
      <c r="AE79" s="111"/>
      <c r="AF79" s="111"/>
      <c r="AG79" s="111"/>
      <c r="AH79" s="545"/>
      <c r="AI79" s="131"/>
      <c r="AK79" s="111"/>
      <c r="AL79" s="111"/>
      <c r="AM79" s="111"/>
      <c r="AN79" s="545"/>
      <c r="AO79" s="131"/>
      <c r="AQ79" s="111"/>
      <c r="AR79" s="111"/>
      <c r="AS79" s="111"/>
      <c r="AT79" s="545"/>
      <c r="AU79" s="131"/>
      <c r="AW79" s="111"/>
      <c r="AX79" s="111"/>
      <c r="AY79" s="111"/>
      <c r="AZ79" s="545"/>
      <c r="BA79" s="131"/>
    </row>
    <row r="80" spans="1:53" ht="17.100000000000001" customHeight="1" x14ac:dyDescent="0.25">
      <c r="A80" s="102"/>
      <c r="B80" s="102"/>
      <c r="C80" s="102"/>
      <c r="D80" s="103" t="s">
        <v>52</v>
      </c>
      <c r="E80" s="108" t="s">
        <v>53</v>
      </c>
      <c r="F80" s="108"/>
      <c r="G80" s="108"/>
      <c r="H80" s="258"/>
      <c r="I80" s="232"/>
      <c r="J80" s="152"/>
      <c r="K80" s="152"/>
      <c r="L80" s="111"/>
      <c r="M80" s="111"/>
      <c r="N80" s="152"/>
      <c r="O80" s="111"/>
      <c r="P80" s="61"/>
      <c r="Q80" s="152"/>
      <c r="R80" s="111"/>
      <c r="S80" s="61"/>
      <c r="T80" s="152"/>
      <c r="U80" s="111"/>
      <c r="V80" s="362"/>
      <c r="W80" s="391"/>
      <c r="X80" s="17"/>
      <c r="Y80" s="18">
        <f t="shared" si="75"/>
        <v>0</v>
      </c>
      <c r="Z80" s="19">
        <f t="shared" si="76"/>
        <v>0</v>
      </c>
      <c r="AA80" s="19"/>
      <c r="AB80" s="19"/>
      <c r="AC80" s="20"/>
      <c r="AE80" s="111"/>
      <c r="AF80" s="111"/>
      <c r="AG80" s="111"/>
      <c r="AH80" s="545"/>
      <c r="AI80" s="131"/>
      <c r="AK80" s="111"/>
      <c r="AL80" s="111"/>
      <c r="AM80" s="111"/>
      <c r="AN80" s="545"/>
      <c r="AO80" s="131"/>
      <c r="AQ80" s="111"/>
      <c r="AR80" s="111"/>
      <c r="AS80" s="111"/>
      <c r="AT80" s="545"/>
      <c r="AU80" s="131"/>
      <c r="AW80" s="111"/>
      <c r="AX80" s="111"/>
      <c r="AY80" s="111"/>
      <c r="AZ80" s="545"/>
      <c r="BA80" s="131"/>
    </row>
    <row r="81" spans="1:53" ht="17.100000000000001" customHeight="1" x14ac:dyDescent="0.25">
      <c r="A81" s="40"/>
      <c r="B81" s="40"/>
      <c r="C81" s="77"/>
      <c r="D81" s="78"/>
      <c r="E81" s="78"/>
      <c r="F81" s="78"/>
      <c r="G81" s="78"/>
      <c r="H81" s="242"/>
      <c r="I81" s="230"/>
      <c r="J81" s="80"/>
      <c r="K81" s="80"/>
      <c r="L81" s="81"/>
      <c r="M81" s="81"/>
      <c r="N81" s="81"/>
      <c r="O81" s="81"/>
      <c r="P81" s="82">
        <f>SUM(P77:P80)</f>
        <v>1</v>
      </c>
      <c r="Q81" s="81"/>
      <c r="R81" s="81"/>
      <c r="S81" s="82">
        <f>SUM(S77:S80)</f>
        <v>1</v>
      </c>
      <c r="T81" s="81"/>
      <c r="U81" s="81"/>
      <c r="V81" s="360">
        <f>SUM(V77:V80)</f>
        <v>1</v>
      </c>
      <c r="W81" s="381"/>
      <c r="X81" s="82"/>
      <c r="Y81" s="82">
        <f t="shared" ref="Y81" si="77">SUM(Y77:Y80)</f>
        <v>3</v>
      </c>
      <c r="Z81" s="205">
        <f t="shared" si="76"/>
        <v>1</v>
      </c>
      <c r="AA81" s="205"/>
      <c r="AB81" s="205"/>
      <c r="AC81" s="83"/>
      <c r="AE81" s="81"/>
      <c r="AF81" s="81"/>
      <c r="AG81" s="81"/>
      <c r="AH81" s="82"/>
      <c r="AI81" s="66"/>
      <c r="AK81" s="81"/>
      <c r="AL81" s="81"/>
      <c r="AM81" s="81"/>
      <c r="AN81" s="82"/>
      <c r="AO81" s="66"/>
      <c r="AQ81" s="81"/>
      <c r="AR81" s="81"/>
      <c r="AS81" s="81"/>
      <c r="AT81" s="82"/>
      <c r="AU81" s="66"/>
      <c r="AW81" s="81"/>
      <c r="AX81" s="81"/>
      <c r="AY81" s="81"/>
      <c r="AZ81" s="82"/>
      <c r="BA81" s="66"/>
    </row>
    <row r="82" spans="1:53" s="117" customFormat="1" ht="17.100000000000001" customHeight="1" x14ac:dyDescent="0.25">
      <c r="A82" s="119"/>
      <c r="B82" s="119"/>
      <c r="C82" s="540"/>
      <c r="D82" s="212"/>
      <c r="E82" s="212"/>
      <c r="F82" s="212"/>
      <c r="G82" s="212"/>
      <c r="H82" s="242"/>
      <c r="I82" s="230"/>
      <c r="J82" s="17"/>
      <c r="K82" s="17"/>
      <c r="L82" s="17"/>
      <c r="M82" s="17"/>
      <c r="N82" s="17"/>
      <c r="O82" s="17"/>
      <c r="P82" s="359" t="str">
        <f>IF(P$20=0,"",IF(P81=1,"OK","NOK"))</f>
        <v>OK</v>
      </c>
      <c r="Q82" s="17"/>
      <c r="R82" s="17"/>
      <c r="S82" s="359" t="str">
        <f>IF(S$20=0,"",IF(S81=1,"OK","NOK"))</f>
        <v>OK</v>
      </c>
      <c r="T82" s="17"/>
      <c r="U82" s="17"/>
      <c r="V82" s="359" t="str">
        <f>IF(V$20=0,"",IF(V81=1,"OK","NOK"))</f>
        <v>OK</v>
      </c>
      <c r="W82" s="382"/>
      <c r="X82" s="539"/>
      <c r="Y82" s="539"/>
      <c r="Z82" s="201"/>
      <c r="AA82" s="201"/>
      <c r="AB82" s="201"/>
      <c r="AC82" s="84"/>
      <c r="AE82" s="17"/>
      <c r="AF82" s="17"/>
      <c r="AG82" s="17"/>
      <c r="AH82" s="539"/>
      <c r="AI82" s="91"/>
      <c r="AK82" s="17"/>
      <c r="AL82" s="17"/>
      <c r="AM82" s="17"/>
      <c r="AN82" s="539"/>
      <c r="AO82" s="91"/>
      <c r="AQ82" s="17"/>
      <c r="AR82" s="17"/>
      <c r="AS82" s="17"/>
      <c r="AT82" s="539"/>
      <c r="AU82" s="91"/>
      <c r="AW82" s="17"/>
      <c r="AX82" s="17"/>
      <c r="AY82" s="17"/>
      <c r="AZ82" s="539"/>
      <c r="BA82" s="91"/>
    </row>
    <row r="83" spans="1:53" ht="17.100000000000001" customHeight="1" x14ac:dyDescent="0.25">
      <c r="A83" s="102"/>
      <c r="B83" s="102"/>
      <c r="C83" s="103" t="s">
        <v>54</v>
      </c>
      <c r="D83" s="108" t="s">
        <v>55</v>
      </c>
      <c r="E83" s="108"/>
      <c r="F83" s="108"/>
      <c r="G83" s="108"/>
      <c r="H83" s="258"/>
      <c r="I83" s="232"/>
      <c r="J83" s="111"/>
      <c r="K83" s="111"/>
      <c r="L83" s="111"/>
      <c r="M83" s="111"/>
      <c r="N83" s="111"/>
      <c r="O83" s="111"/>
      <c r="P83" s="111"/>
      <c r="Q83" s="111"/>
      <c r="R83" s="111"/>
      <c r="S83" s="111"/>
      <c r="T83" s="111"/>
      <c r="U83" s="111"/>
      <c r="V83" s="358"/>
      <c r="W83" s="380"/>
      <c r="X83" s="111"/>
      <c r="Y83" s="112"/>
      <c r="Z83" s="113"/>
      <c r="AA83" s="113"/>
      <c r="AB83" s="113"/>
      <c r="AC83" s="113"/>
      <c r="AE83" s="114"/>
      <c r="AF83" s="114"/>
      <c r="AG83" s="114"/>
      <c r="AH83" s="112"/>
      <c r="AI83" s="113"/>
      <c r="AK83" s="114"/>
      <c r="AL83" s="114"/>
      <c r="AM83" s="114"/>
      <c r="AN83" s="112"/>
      <c r="AO83" s="113"/>
      <c r="AQ83" s="114"/>
      <c r="AR83" s="114"/>
      <c r="AS83" s="114"/>
      <c r="AT83" s="112"/>
      <c r="AU83" s="113"/>
      <c r="AW83" s="114"/>
      <c r="AX83" s="114"/>
      <c r="AY83" s="114"/>
      <c r="AZ83" s="112"/>
      <c r="BA83" s="113"/>
    </row>
    <row r="84" spans="1:53" ht="17.100000000000001" customHeight="1" x14ac:dyDescent="0.25">
      <c r="A84" s="102"/>
      <c r="B84" s="118"/>
      <c r="C84" s="118"/>
      <c r="D84" s="103" t="s">
        <v>56</v>
      </c>
      <c r="E84" s="108" t="s">
        <v>35</v>
      </c>
      <c r="F84" s="108"/>
      <c r="G84" s="108"/>
      <c r="H84" s="258"/>
      <c r="I84" s="232"/>
      <c r="J84" s="152"/>
      <c r="K84" s="152"/>
      <c r="L84" s="111"/>
      <c r="M84" s="111"/>
      <c r="N84" s="152"/>
      <c r="O84" s="111"/>
      <c r="P84" s="60">
        <v>1</v>
      </c>
      <c r="Q84" s="152"/>
      <c r="R84" s="111"/>
      <c r="S84" s="60">
        <v>1</v>
      </c>
      <c r="T84" s="152"/>
      <c r="U84" s="111"/>
      <c r="V84" s="361">
        <v>1</v>
      </c>
      <c r="W84" s="391"/>
      <c r="X84" s="17"/>
      <c r="Y84" s="18">
        <f>M84+P84+S84+V84</f>
        <v>3</v>
      </c>
      <c r="Z84" s="19">
        <f>IF(Y$88=0,0,Y84/Y$88)</f>
        <v>1</v>
      </c>
      <c r="AA84" s="19"/>
      <c r="AB84" s="19"/>
      <c r="AC84" s="20"/>
      <c r="AE84" s="111"/>
      <c r="AF84" s="111"/>
      <c r="AG84" s="111"/>
      <c r="AH84" s="545"/>
      <c r="AI84" s="131"/>
      <c r="AK84" s="111"/>
      <c r="AL84" s="111"/>
      <c r="AM84" s="111"/>
      <c r="AN84" s="545"/>
      <c r="AO84" s="131"/>
      <c r="AQ84" s="111"/>
      <c r="AR84" s="111"/>
      <c r="AS84" s="111"/>
      <c r="AT84" s="545"/>
      <c r="AU84" s="131"/>
      <c r="AW84" s="111"/>
      <c r="AX84" s="111"/>
      <c r="AY84" s="111"/>
      <c r="AZ84" s="545"/>
      <c r="BA84" s="131"/>
    </row>
    <row r="85" spans="1:53" ht="17.100000000000001" customHeight="1" x14ac:dyDescent="0.25">
      <c r="A85" s="102"/>
      <c r="B85" s="118"/>
      <c r="C85" s="118"/>
      <c r="D85" s="103" t="s">
        <v>57</v>
      </c>
      <c r="E85" s="108" t="s">
        <v>58</v>
      </c>
      <c r="F85" s="108"/>
      <c r="G85" s="108"/>
      <c r="H85" s="258"/>
      <c r="I85" s="232"/>
      <c r="J85" s="152"/>
      <c r="K85" s="152"/>
      <c r="L85" s="111"/>
      <c r="M85" s="111"/>
      <c r="N85" s="152"/>
      <c r="O85" s="111"/>
      <c r="P85" s="61"/>
      <c r="Q85" s="152"/>
      <c r="R85" s="111"/>
      <c r="S85" s="61"/>
      <c r="T85" s="152"/>
      <c r="U85" s="111"/>
      <c r="V85" s="362"/>
      <c r="W85" s="391"/>
      <c r="X85" s="17"/>
      <c r="Y85" s="18">
        <f t="shared" ref="Y85:Y87" si="78">M85+P85+S85+V85</f>
        <v>0</v>
      </c>
      <c r="Z85" s="19">
        <f t="shared" ref="Z85:Z88" si="79">IF(Y$88=0,0,Y85/Y$88)</f>
        <v>0</v>
      </c>
      <c r="AA85" s="19"/>
      <c r="AB85" s="19"/>
      <c r="AC85" s="20"/>
      <c r="AE85" s="111"/>
      <c r="AF85" s="111"/>
      <c r="AG85" s="111"/>
      <c r="AH85" s="545"/>
      <c r="AI85" s="131"/>
      <c r="AK85" s="111"/>
      <c r="AL85" s="111"/>
      <c r="AM85" s="111"/>
      <c r="AN85" s="545"/>
      <c r="AO85" s="131"/>
      <c r="AQ85" s="111"/>
      <c r="AR85" s="111"/>
      <c r="AS85" s="111"/>
      <c r="AT85" s="545"/>
      <c r="AU85" s="131"/>
      <c r="AW85" s="111"/>
      <c r="AX85" s="111"/>
      <c r="AY85" s="111"/>
      <c r="AZ85" s="545"/>
      <c r="BA85" s="131"/>
    </row>
    <row r="86" spans="1:53" ht="17.100000000000001" customHeight="1" x14ac:dyDescent="0.25">
      <c r="A86" s="102"/>
      <c r="B86" s="118"/>
      <c r="C86" s="118"/>
      <c r="D86" s="103" t="s">
        <v>59</v>
      </c>
      <c r="E86" s="108" t="s">
        <v>60</v>
      </c>
      <c r="F86" s="108"/>
      <c r="G86" s="108"/>
      <c r="H86" s="258"/>
      <c r="I86" s="232"/>
      <c r="J86" s="152"/>
      <c r="K86" s="152"/>
      <c r="L86" s="111"/>
      <c r="M86" s="111"/>
      <c r="N86" s="152"/>
      <c r="O86" s="111"/>
      <c r="P86" s="60"/>
      <c r="Q86" s="152"/>
      <c r="R86" s="111"/>
      <c r="S86" s="60"/>
      <c r="T86" s="152"/>
      <c r="U86" s="111"/>
      <c r="V86" s="361"/>
      <c r="W86" s="391"/>
      <c r="X86" s="17"/>
      <c r="Y86" s="18">
        <f t="shared" si="78"/>
        <v>0</v>
      </c>
      <c r="Z86" s="19">
        <f t="shared" si="79"/>
        <v>0</v>
      </c>
      <c r="AA86" s="19"/>
      <c r="AB86" s="19"/>
      <c r="AC86" s="20"/>
      <c r="AE86" s="111"/>
      <c r="AF86" s="111"/>
      <c r="AG86" s="111"/>
      <c r="AH86" s="545"/>
      <c r="AI86" s="131"/>
      <c r="AK86" s="111"/>
      <c r="AL86" s="111"/>
      <c r="AM86" s="111"/>
      <c r="AN86" s="545"/>
      <c r="AO86" s="131"/>
      <c r="AQ86" s="111"/>
      <c r="AR86" s="111"/>
      <c r="AS86" s="111"/>
      <c r="AT86" s="545"/>
      <c r="AU86" s="131"/>
      <c r="AW86" s="111"/>
      <c r="AX86" s="111"/>
      <c r="AY86" s="111"/>
      <c r="AZ86" s="545"/>
      <c r="BA86" s="131"/>
    </row>
    <row r="87" spans="1:53" ht="17.100000000000001" customHeight="1" x14ac:dyDescent="0.25">
      <c r="A87" s="102"/>
      <c r="B87" s="118"/>
      <c r="C87" s="118"/>
      <c r="D87" s="103" t="s">
        <v>61</v>
      </c>
      <c r="E87" s="108" t="s">
        <v>62</v>
      </c>
      <c r="F87" s="108"/>
      <c r="G87" s="108"/>
      <c r="H87" s="258"/>
      <c r="I87" s="232"/>
      <c r="J87" s="152"/>
      <c r="K87" s="152"/>
      <c r="L87" s="111"/>
      <c r="M87" s="111"/>
      <c r="N87" s="152"/>
      <c r="O87" s="111"/>
      <c r="P87" s="61"/>
      <c r="Q87" s="152"/>
      <c r="R87" s="111"/>
      <c r="S87" s="61"/>
      <c r="T87" s="152"/>
      <c r="U87" s="111"/>
      <c r="V87" s="362"/>
      <c r="W87" s="391"/>
      <c r="X87" s="17"/>
      <c r="Y87" s="18">
        <f t="shared" si="78"/>
        <v>0</v>
      </c>
      <c r="Z87" s="19">
        <f t="shared" si="79"/>
        <v>0</v>
      </c>
      <c r="AA87" s="19"/>
      <c r="AB87" s="19"/>
      <c r="AC87" s="20"/>
      <c r="AE87" s="111"/>
      <c r="AF87" s="111"/>
      <c r="AG87" s="111"/>
      <c r="AH87" s="545"/>
      <c r="AI87" s="131"/>
      <c r="AK87" s="111"/>
      <c r="AL87" s="111"/>
      <c r="AM87" s="111"/>
      <c r="AN87" s="545"/>
      <c r="AO87" s="131"/>
      <c r="AQ87" s="111"/>
      <c r="AR87" s="111"/>
      <c r="AS87" s="111"/>
      <c r="AT87" s="545"/>
      <c r="AU87" s="131"/>
      <c r="AW87" s="111"/>
      <c r="AX87" s="111"/>
      <c r="AY87" s="111"/>
      <c r="AZ87" s="545"/>
      <c r="BA87" s="131"/>
    </row>
    <row r="88" spans="1:53" ht="17.100000000000001" customHeight="1" x14ac:dyDescent="0.25">
      <c r="A88" s="40"/>
      <c r="B88" s="40"/>
      <c r="C88" s="77"/>
      <c r="D88" s="78"/>
      <c r="E88" s="78"/>
      <c r="F88" s="78"/>
      <c r="G88" s="78"/>
      <c r="H88" s="242"/>
      <c r="I88" s="230"/>
      <c r="J88" s="80"/>
      <c r="K88" s="80"/>
      <c r="L88" s="81"/>
      <c r="M88" s="81"/>
      <c r="N88" s="81"/>
      <c r="O88" s="81"/>
      <c r="P88" s="82">
        <f>SUM(P84:P87)</f>
        <v>1</v>
      </c>
      <c r="Q88" s="81"/>
      <c r="R88" s="81"/>
      <c r="S88" s="82">
        <f>SUM(S84:S87)</f>
        <v>1</v>
      </c>
      <c r="T88" s="81"/>
      <c r="U88" s="81"/>
      <c r="V88" s="360">
        <f>SUM(V84:V87)</f>
        <v>1</v>
      </c>
      <c r="W88" s="381"/>
      <c r="X88" s="82"/>
      <c r="Y88" s="82">
        <f t="shared" ref="Y88" si="80">SUM(Y84:Y87)</f>
        <v>3</v>
      </c>
      <c r="Z88" s="205">
        <f t="shared" si="79"/>
        <v>1</v>
      </c>
      <c r="AA88" s="205"/>
      <c r="AB88" s="205"/>
      <c r="AC88" s="83"/>
      <c r="AE88" s="81"/>
      <c r="AF88" s="81"/>
      <c r="AG88" s="81"/>
      <c r="AH88" s="82"/>
      <c r="AI88" s="66"/>
      <c r="AK88" s="81"/>
      <c r="AL88" s="81"/>
      <c r="AM88" s="81"/>
      <c r="AN88" s="82"/>
      <c r="AO88" s="66"/>
      <c r="AQ88" s="81"/>
      <c r="AR88" s="81"/>
      <c r="AS88" s="81"/>
      <c r="AT88" s="82"/>
      <c r="AU88" s="66"/>
      <c r="AW88" s="81"/>
      <c r="AX88" s="81"/>
      <c r="AY88" s="81"/>
      <c r="AZ88" s="82"/>
      <c r="BA88" s="66"/>
    </row>
    <row r="89" spans="1:53" s="117" customFormat="1" ht="17.100000000000001" customHeight="1" x14ac:dyDescent="0.25">
      <c r="A89" s="119"/>
      <c r="B89" s="119"/>
      <c r="C89" s="540"/>
      <c r="D89" s="212"/>
      <c r="E89" s="212"/>
      <c r="F89" s="212"/>
      <c r="G89" s="212"/>
      <c r="H89" s="242"/>
      <c r="I89" s="230"/>
      <c r="J89" s="17"/>
      <c r="K89" s="17"/>
      <c r="L89" s="17"/>
      <c r="M89" s="17"/>
      <c r="N89" s="17"/>
      <c r="O89" s="17"/>
      <c r="P89" s="359" t="str">
        <f>IF(P$20=0,"",IF(P88=1,"OK","NOK"))</f>
        <v>OK</v>
      </c>
      <c r="Q89" s="17"/>
      <c r="R89" s="17"/>
      <c r="S89" s="359" t="str">
        <f>IF(S$20=0,"",IF(S88=1,"OK","NOK"))</f>
        <v>OK</v>
      </c>
      <c r="T89" s="17"/>
      <c r="U89" s="17"/>
      <c r="V89" s="359" t="str">
        <f>IF(V$20=0,"",IF(V88=1,"OK","NOK"))</f>
        <v>OK</v>
      </c>
      <c r="W89" s="382"/>
      <c r="X89" s="539"/>
      <c r="Y89" s="539"/>
      <c r="Z89" s="201"/>
      <c r="AA89" s="201"/>
      <c r="AB89" s="201"/>
      <c r="AC89" s="84"/>
      <c r="AE89" s="17"/>
      <c r="AF89" s="17"/>
      <c r="AG89" s="17"/>
      <c r="AH89" s="539"/>
      <c r="AI89" s="91"/>
      <c r="AK89" s="17"/>
      <c r="AL89" s="17"/>
      <c r="AM89" s="17"/>
      <c r="AN89" s="539"/>
      <c r="AO89" s="91"/>
      <c r="AQ89" s="17"/>
      <c r="AR89" s="17"/>
      <c r="AS89" s="17"/>
      <c r="AT89" s="539"/>
      <c r="AU89" s="91"/>
      <c r="AW89" s="17"/>
      <c r="AX89" s="17"/>
      <c r="AY89" s="17"/>
      <c r="AZ89" s="539"/>
      <c r="BA89" s="91"/>
    </row>
    <row r="90" spans="1:53" ht="17.100000000000001" customHeight="1" x14ac:dyDescent="0.25">
      <c r="A90" s="68"/>
      <c r="B90" s="41" t="s">
        <v>63</v>
      </c>
      <c r="C90" s="69" t="s">
        <v>64</v>
      </c>
      <c r="D90" s="50"/>
      <c r="E90" s="70"/>
      <c r="F90" s="70"/>
      <c r="G90" s="70"/>
      <c r="H90" s="119"/>
      <c r="J90" s="71"/>
      <c r="K90" s="71"/>
      <c r="L90" s="71"/>
      <c r="M90" s="71"/>
      <c r="N90" s="71"/>
      <c r="O90" s="71"/>
      <c r="P90" s="71"/>
      <c r="Q90" s="71"/>
      <c r="R90" s="71"/>
      <c r="S90" s="71"/>
      <c r="T90" s="71"/>
      <c r="U90" s="71"/>
      <c r="V90" s="355"/>
      <c r="W90" s="377"/>
      <c r="X90" s="71"/>
      <c r="Y90" s="72"/>
      <c r="Z90" s="73"/>
      <c r="AA90" s="73"/>
      <c r="AB90" s="73"/>
      <c r="AC90" s="73"/>
      <c r="AE90" s="71"/>
      <c r="AF90" s="71"/>
      <c r="AG90" s="71"/>
      <c r="AH90" s="72"/>
      <c r="AI90" s="73"/>
      <c r="AK90" s="71"/>
      <c r="AL90" s="71"/>
      <c r="AM90" s="71"/>
      <c r="AN90" s="72"/>
      <c r="AO90" s="73"/>
      <c r="AQ90" s="71"/>
      <c r="AR90" s="71"/>
      <c r="AS90" s="71"/>
      <c r="AT90" s="72"/>
      <c r="AU90" s="73"/>
      <c r="AW90" s="71"/>
      <c r="AX90" s="71"/>
      <c r="AY90" s="71"/>
      <c r="AZ90" s="72"/>
      <c r="BA90" s="73"/>
    </row>
    <row r="91" spans="1:53" ht="17.100000000000001" customHeight="1" x14ac:dyDescent="0.25">
      <c r="A91" s="102"/>
      <c r="B91" s="102"/>
      <c r="C91" s="103" t="s">
        <v>65</v>
      </c>
      <c r="D91" s="108" t="s">
        <v>66</v>
      </c>
      <c r="E91" s="108"/>
      <c r="F91" s="108"/>
      <c r="G91" s="108"/>
      <c r="H91" s="258"/>
      <c r="I91" s="232"/>
      <c r="J91" s="111"/>
      <c r="K91" s="111"/>
      <c r="L91" s="111"/>
      <c r="M91" s="111"/>
      <c r="N91" s="111"/>
      <c r="O91" s="111"/>
      <c r="P91" s="111"/>
      <c r="Q91" s="111"/>
      <c r="R91" s="111"/>
      <c r="S91" s="111"/>
      <c r="T91" s="111"/>
      <c r="U91" s="111"/>
      <c r="V91" s="358"/>
      <c r="W91" s="380"/>
      <c r="X91" s="111"/>
      <c r="Y91" s="112"/>
      <c r="Z91" s="113"/>
      <c r="AA91" s="113"/>
      <c r="AB91" s="113"/>
      <c r="AC91" s="113"/>
      <c r="AE91" s="114"/>
      <c r="AF91" s="114"/>
      <c r="AG91" s="114"/>
      <c r="AH91" s="112"/>
      <c r="AI91" s="113"/>
      <c r="AK91" s="114"/>
      <c r="AL91" s="114"/>
      <c r="AM91" s="114"/>
      <c r="AN91" s="112"/>
      <c r="AO91" s="113"/>
      <c r="AQ91" s="114"/>
      <c r="AR91" s="114"/>
      <c r="AS91" s="114"/>
      <c r="AT91" s="112"/>
      <c r="AU91" s="113"/>
      <c r="AW91" s="114"/>
      <c r="AX91" s="114"/>
      <c r="AY91" s="114"/>
      <c r="AZ91" s="112"/>
      <c r="BA91" s="113"/>
    </row>
    <row r="92" spans="1:53" ht="17.100000000000001" customHeight="1" x14ac:dyDescent="0.25">
      <c r="A92" s="102"/>
      <c r="B92" s="118"/>
      <c r="C92" s="118"/>
      <c r="D92" s="103" t="s">
        <v>67</v>
      </c>
      <c r="E92" s="110" t="s">
        <v>68</v>
      </c>
      <c r="F92" s="313"/>
      <c r="G92" s="314"/>
      <c r="H92" s="259"/>
      <c r="I92" s="233"/>
      <c r="J92" s="152"/>
      <c r="K92" s="152"/>
      <c r="L92" s="152"/>
      <c r="M92" s="152"/>
      <c r="N92" s="152"/>
      <c r="O92" s="111"/>
      <c r="P92" s="60">
        <v>1</v>
      </c>
      <c r="Q92" s="152"/>
      <c r="R92" s="111"/>
      <c r="S92" s="60">
        <v>1</v>
      </c>
      <c r="T92" s="152"/>
      <c r="U92" s="111"/>
      <c r="V92" s="361">
        <v>1</v>
      </c>
      <c r="W92" s="391"/>
      <c r="X92" s="17"/>
      <c r="Y92" s="18">
        <f>M92+P92+S92+V92</f>
        <v>3</v>
      </c>
      <c r="Z92" s="19">
        <f>IF(Y$96=0,0,Y92/Y$96)</f>
        <v>1</v>
      </c>
      <c r="AA92" s="19"/>
      <c r="AB92" s="19"/>
      <c r="AC92" s="20"/>
      <c r="AE92" s="111"/>
      <c r="AF92" s="111"/>
      <c r="AG92" s="111"/>
      <c r="AH92" s="545"/>
      <c r="AI92" s="131"/>
      <c r="AK92" s="111"/>
      <c r="AL92" s="111"/>
      <c r="AM92" s="111"/>
      <c r="AN92" s="545"/>
      <c r="AO92" s="131"/>
      <c r="AQ92" s="111"/>
      <c r="AR92" s="111"/>
      <c r="AS92" s="111"/>
      <c r="AT92" s="545"/>
      <c r="AU92" s="131"/>
      <c r="AW92" s="111"/>
      <c r="AX92" s="111"/>
      <c r="AY92" s="111"/>
      <c r="AZ92" s="545"/>
      <c r="BA92" s="131"/>
    </row>
    <row r="93" spans="1:53" ht="17.100000000000001" customHeight="1" x14ac:dyDescent="0.25">
      <c r="A93" s="102"/>
      <c r="B93" s="118"/>
      <c r="C93" s="118"/>
      <c r="D93" s="103" t="s">
        <v>69</v>
      </c>
      <c r="E93" s="110" t="s">
        <v>70</v>
      </c>
      <c r="F93" s="226"/>
      <c r="G93" s="226"/>
      <c r="H93" s="260"/>
      <c r="I93" s="234"/>
      <c r="J93" s="152"/>
      <c r="K93" s="152"/>
      <c r="L93" s="111"/>
      <c r="M93" s="111"/>
      <c r="N93" s="152"/>
      <c r="O93" s="111"/>
      <c r="P93" s="61"/>
      <c r="Q93" s="152"/>
      <c r="R93" s="111"/>
      <c r="S93" s="61"/>
      <c r="T93" s="152"/>
      <c r="U93" s="111"/>
      <c r="V93" s="362"/>
      <c r="W93" s="391"/>
      <c r="X93" s="17"/>
      <c r="Y93" s="18">
        <f t="shared" ref="Y93:Y95" si="81">M93+P93+S93+V93</f>
        <v>0</v>
      </c>
      <c r="Z93" s="19">
        <f t="shared" ref="Z93:Z96" si="82">IF(Y$96=0,0,Y93/Y$96)</f>
        <v>0</v>
      </c>
      <c r="AA93" s="19"/>
      <c r="AB93" s="19"/>
      <c r="AC93" s="20"/>
      <c r="AE93" s="111"/>
      <c r="AF93" s="111"/>
      <c r="AG93" s="111"/>
      <c r="AH93" s="545"/>
      <c r="AI93" s="131"/>
      <c r="AK93" s="111"/>
      <c r="AL93" s="111"/>
      <c r="AM93" s="111"/>
      <c r="AN93" s="545"/>
      <c r="AO93" s="131"/>
      <c r="AQ93" s="111"/>
      <c r="AR93" s="111"/>
      <c r="AS93" s="111"/>
      <c r="AT93" s="545"/>
      <c r="AU93" s="131"/>
      <c r="AW93" s="111"/>
      <c r="AX93" s="111"/>
      <c r="AY93" s="111"/>
      <c r="AZ93" s="545"/>
      <c r="BA93" s="131"/>
    </row>
    <row r="94" spans="1:53" ht="17.100000000000001" customHeight="1" x14ac:dyDescent="0.25">
      <c r="A94" s="102"/>
      <c r="B94" s="118"/>
      <c r="C94" s="118"/>
      <c r="D94" s="103" t="s">
        <v>71</v>
      </c>
      <c r="E94" s="110" t="s">
        <v>72</v>
      </c>
      <c r="F94" s="226"/>
      <c r="G94" s="226"/>
      <c r="H94" s="260"/>
      <c r="I94" s="234"/>
      <c r="J94" s="152"/>
      <c r="K94" s="152"/>
      <c r="L94" s="111"/>
      <c r="M94" s="111"/>
      <c r="N94" s="152"/>
      <c r="O94" s="111"/>
      <c r="P94" s="60"/>
      <c r="Q94" s="152"/>
      <c r="R94" s="111"/>
      <c r="S94" s="60"/>
      <c r="T94" s="152"/>
      <c r="U94" s="111"/>
      <c r="V94" s="361"/>
      <c r="W94" s="391"/>
      <c r="X94" s="17"/>
      <c r="Y94" s="18">
        <f t="shared" si="81"/>
        <v>0</v>
      </c>
      <c r="Z94" s="19">
        <f t="shared" si="82"/>
        <v>0</v>
      </c>
      <c r="AA94" s="19"/>
      <c r="AB94" s="19"/>
      <c r="AC94" s="20"/>
      <c r="AE94" s="111"/>
      <c r="AF94" s="111"/>
      <c r="AG94" s="111"/>
      <c r="AH94" s="545"/>
      <c r="AI94" s="131"/>
      <c r="AK94" s="111"/>
      <c r="AL94" s="111"/>
      <c r="AM94" s="111"/>
      <c r="AN94" s="545"/>
      <c r="AO94" s="131"/>
      <c r="AQ94" s="111"/>
      <c r="AR94" s="111"/>
      <c r="AS94" s="111"/>
      <c r="AT94" s="545"/>
      <c r="AU94" s="131"/>
      <c r="AW94" s="111"/>
      <c r="AX94" s="111"/>
      <c r="AY94" s="111"/>
      <c r="AZ94" s="545"/>
      <c r="BA94" s="131"/>
    </row>
    <row r="95" spans="1:53" ht="17.100000000000001" customHeight="1" x14ac:dyDescent="0.25">
      <c r="A95" s="102"/>
      <c r="B95" s="118"/>
      <c r="C95" s="118"/>
      <c r="D95" s="103" t="s">
        <v>73</v>
      </c>
      <c r="E95" s="278" t="s">
        <v>561</v>
      </c>
      <c r="F95" s="313"/>
      <c r="G95" s="314"/>
      <c r="H95" s="259"/>
      <c r="I95" s="233"/>
      <c r="J95" s="152"/>
      <c r="K95" s="152"/>
      <c r="L95" s="111"/>
      <c r="M95" s="111"/>
      <c r="N95" s="152"/>
      <c r="O95" s="111"/>
      <c r="P95" s="61"/>
      <c r="Q95" s="152"/>
      <c r="R95" s="111"/>
      <c r="S95" s="61"/>
      <c r="T95" s="152"/>
      <c r="U95" s="111"/>
      <c r="V95" s="362"/>
      <c r="W95" s="391"/>
      <c r="X95" s="17"/>
      <c r="Y95" s="18">
        <f t="shared" si="81"/>
        <v>0</v>
      </c>
      <c r="Z95" s="19">
        <f t="shared" si="82"/>
        <v>0</v>
      </c>
      <c r="AA95" s="19"/>
      <c r="AB95" s="19"/>
      <c r="AC95" s="20"/>
      <c r="AE95" s="111"/>
      <c r="AF95" s="111"/>
      <c r="AG95" s="111"/>
      <c r="AH95" s="545"/>
      <c r="AI95" s="131"/>
      <c r="AK95" s="111"/>
      <c r="AL95" s="111"/>
      <c r="AM95" s="111"/>
      <c r="AN95" s="545"/>
      <c r="AO95" s="131"/>
      <c r="AQ95" s="111"/>
      <c r="AR95" s="111"/>
      <c r="AS95" s="111"/>
      <c r="AT95" s="545"/>
      <c r="AU95" s="131"/>
      <c r="AW95" s="111"/>
      <c r="AX95" s="111"/>
      <c r="AY95" s="111"/>
      <c r="AZ95" s="545"/>
      <c r="BA95" s="131"/>
    </row>
    <row r="96" spans="1:53" ht="17.100000000000001" customHeight="1" x14ac:dyDescent="0.25">
      <c r="A96" s="40"/>
      <c r="B96" s="40"/>
      <c r="C96" s="77"/>
      <c r="D96" s="78"/>
      <c r="E96" s="78"/>
      <c r="F96" s="78"/>
      <c r="G96" s="78"/>
      <c r="H96" s="242"/>
      <c r="I96" s="230"/>
      <c r="J96" s="80"/>
      <c r="K96" s="80"/>
      <c r="L96" s="81"/>
      <c r="M96" s="81"/>
      <c r="N96" s="81"/>
      <c r="O96" s="81"/>
      <c r="P96" s="82">
        <f>SUM(P92:P95)</f>
        <v>1</v>
      </c>
      <c r="Q96" s="81"/>
      <c r="R96" s="81"/>
      <c r="S96" s="82">
        <f>SUM(S92:S95)</f>
        <v>1</v>
      </c>
      <c r="T96" s="81"/>
      <c r="U96" s="81"/>
      <c r="V96" s="360">
        <f>SUM(V92:V95)</f>
        <v>1</v>
      </c>
      <c r="W96" s="381"/>
      <c r="X96" s="82"/>
      <c r="Y96" s="82">
        <f t="shared" ref="Y96" si="83">SUM(Y92:Y95)</f>
        <v>3</v>
      </c>
      <c r="Z96" s="205">
        <f t="shared" si="82"/>
        <v>1</v>
      </c>
      <c r="AA96" s="205"/>
      <c r="AB96" s="205"/>
      <c r="AC96" s="83"/>
      <c r="AE96" s="81"/>
      <c r="AF96" s="81"/>
      <c r="AG96" s="81"/>
      <c r="AH96" s="82"/>
      <c r="AI96" s="66"/>
      <c r="AK96" s="81"/>
      <c r="AL96" s="81"/>
      <c r="AM96" s="81"/>
      <c r="AN96" s="82"/>
      <c r="AO96" s="66"/>
      <c r="AQ96" s="81"/>
      <c r="AR96" s="81"/>
      <c r="AS96" s="81"/>
      <c r="AT96" s="82"/>
      <c r="AU96" s="66"/>
      <c r="AW96" s="81"/>
      <c r="AX96" s="81"/>
      <c r="AY96" s="81"/>
      <c r="AZ96" s="82"/>
      <c r="BA96" s="66"/>
    </row>
    <row r="97" spans="1:53" s="117" customFormat="1" ht="17.100000000000001" customHeight="1" x14ac:dyDescent="0.25">
      <c r="A97" s="119"/>
      <c r="B97" s="119"/>
      <c r="C97" s="540"/>
      <c r="D97" s="212"/>
      <c r="E97" s="212"/>
      <c r="F97" s="212"/>
      <c r="G97" s="212"/>
      <c r="H97" s="242"/>
      <c r="I97" s="230"/>
      <c r="J97" s="17"/>
      <c r="K97" s="17"/>
      <c r="L97" s="17"/>
      <c r="M97" s="17"/>
      <c r="N97" s="17"/>
      <c r="O97" s="17"/>
      <c r="P97" s="359" t="str">
        <f>IF(P$20=0,"",IF(P96=1,"OK","NOK"))</f>
        <v>OK</v>
      </c>
      <c r="Q97" s="17"/>
      <c r="R97" s="17"/>
      <c r="S97" s="359" t="str">
        <f>IF(S$20=0,"",IF(S96=1,"OK","NOK"))</f>
        <v>OK</v>
      </c>
      <c r="T97" s="17"/>
      <c r="U97" s="17"/>
      <c r="V97" s="359" t="str">
        <f>IF(V$20=0,"",IF(V96=1,"OK","NOK"))</f>
        <v>OK</v>
      </c>
      <c r="W97" s="382"/>
      <c r="X97" s="539"/>
      <c r="Y97" s="539"/>
      <c r="Z97" s="201"/>
      <c r="AA97" s="201"/>
      <c r="AB97" s="201"/>
      <c r="AC97" s="84"/>
      <c r="AE97" s="17"/>
      <c r="AF97" s="17"/>
      <c r="AG97" s="17"/>
      <c r="AH97" s="539"/>
      <c r="AI97" s="91"/>
      <c r="AK97" s="17"/>
      <c r="AL97" s="17"/>
      <c r="AM97" s="17"/>
      <c r="AN97" s="539"/>
      <c r="AO97" s="91"/>
      <c r="AQ97" s="17"/>
      <c r="AR97" s="17"/>
      <c r="AS97" s="17"/>
      <c r="AT97" s="539"/>
      <c r="AU97" s="91"/>
      <c r="AW97" s="17"/>
      <c r="AX97" s="17"/>
      <c r="AY97" s="17"/>
      <c r="AZ97" s="539"/>
      <c r="BA97" s="91"/>
    </row>
    <row r="98" spans="1:53" ht="17.100000000000001" customHeight="1" x14ac:dyDescent="0.25">
      <c r="A98" s="68"/>
      <c r="B98" s="41" t="s">
        <v>74</v>
      </c>
      <c r="C98" s="69" t="s">
        <v>12</v>
      </c>
      <c r="D98" s="50"/>
      <c r="E98" s="70"/>
      <c r="F98" s="70"/>
      <c r="G98" s="70"/>
      <c r="H98" s="119"/>
      <c r="J98" s="71"/>
      <c r="K98" s="71"/>
      <c r="L98" s="71"/>
      <c r="M98" s="71"/>
      <c r="N98" s="71"/>
      <c r="O98" s="71"/>
      <c r="P98" s="71"/>
      <c r="Q98" s="71"/>
      <c r="R98" s="71"/>
      <c r="S98" s="71"/>
      <c r="T98" s="71"/>
      <c r="U98" s="71"/>
      <c r="V98" s="355"/>
      <c r="W98" s="377"/>
      <c r="X98" s="71"/>
      <c r="Y98" s="72"/>
      <c r="Z98" s="73"/>
      <c r="AA98" s="73"/>
      <c r="AB98" s="73"/>
      <c r="AC98" s="73"/>
      <c r="AE98" s="71"/>
      <c r="AF98" s="71"/>
      <c r="AG98" s="71"/>
      <c r="AH98" s="72"/>
      <c r="AI98" s="73"/>
      <c r="AK98" s="71"/>
      <c r="AL98" s="71"/>
      <c r="AM98" s="71"/>
      <c r="AN98" s="72"/>
      <c r="AO98" s="73"/>
      <c r="AQ98" s="71"/>
      <c r="AR98" s="71"/>
      <c r="AS98" s="71"/>
      <c r="AT98" s="72"/>
      <c r="AU98" s="73"/>
      <c r="AW98" s="71"/>
      <c r="AX98" s="71"/>
      <c r="AY98" s="71"/>
      <c r="AZ98" s="72"/>
      <c r="BA98" s="73"/>
    </row>
    <row r="99" spans="1:53" s="97" customFormat="1" ht="17.100000000000001" customHeight="1" x14ac:dyDescent="0.25">
      <c r="A99" s="119"/>
      <c r="B99" s="119"/>
      <c r="C99" s="120" t="s">
        <v>895</v>
      </c>
      <c r="D99" s="85"/>
      <c r="E99" s="75"/>
      <c r="F99" s="75"/>
      <c r="G99" s="75"/>
      <c r="H99" s="540"/>
      <c r="I99" s="229"/>
      <c r="J99" s="111"/>
      <c r="K99" s="111"/>
      <c r="L99" s="111"/>
      <c r="M99" s="111"/>
      <c r="N99" s="111"/>
      <c r="O99" s="111"/>
      <c r="P99" s="111"/>
      <c r="Q99" s="111"/>
      <c r="R99" s="111"/>
      <c r="S99" s="111"/>
      <c r="T99" s="111"/>
      <c r="U99" s="111"/>
      <c r="V99" s="358"/>
      <c r="W99" s="380"/>
      <c r="X99" s="111"/>
      <c r="Y99" s="112"/>
      <c r="Z99" s="113"/>
      <c r="AA99" s="113"/>
      <c r="AB99" s="113"/>
      <c r="AC99" s="113"/>
      <c r="AE99" s="114"/>
      <c r="AF99" s="114"/>
      <c r="AG99" s="114"/>
      <c r="AH99" s="112"/>
      <c r="AI99" s="113"/>
      <c r="AK99" s="114"/>
      <c r="AL99" s="114"/>
      <c r="AM99" s="114"/>
      <c r="AN99" s="112"/>
      <c r="AO99" s="113"/>
      <c r="AQ99" s="114"/>
      <c r="AR99" s="114"/>
      <c r="AS99" s="114"/>
      <c r="AT99" s="112"/>
      <c r="AU99" s="113"/>
      <c r="AW99" s="114"/>
      <c r="AX99" s="114"/>
      <c r="AY99" s="114"/>
      <c r="AZ99" s="112"/>
      <c r="BA99" s="113"/>
    </row>
    <row r="100" spans="1:53" s="97" customFormat="1" ht="17.100000000000001" customHeight="1" x14ac:dyDescent="0.25">
      <c r="A100" s="119"/>
      <c r="B100" s="119"/>
      <c r="C100" s="540"/>
      <c r="D100" s="121" t="s">
        <v>75</v>
      </c>
      <c r="E100" s="122"/>
      <c r="F100" s="122"/>
      <c r="G100" s="122"/>
      <c r="H100" s="540"/>
      <c r="I100" s="229"/>
      <c r="J100" s="123"/>
      <c r="K100" s="123"/>
      <c r="L100" s="123"/>
      <c r="M100" s="123"/>
      <c r="N100" s="123"/>
      <c r="O100" s="123"/>
      <c r="P100" s="123"/>
      <c r="Q100" s="123"/>
      <c r="R100" s="123"/>
      <c r="S100" s="123"/>
      <c r="T100" s="123"/>
      <c r="U100" s="123"/>
      <c r="V100" s="363"/>
      <c r="W100" s="383"/>
      <c r="X100" s="123"/>
      <c r="Y100" s="124"/>
      <c r="Z100" s="125"/>
      <c r="AA100" s="125"/>
      <c r="AB100" s="125"/>
      <c r="AC100" s="125"/>
      <c r="AE100" s="126"/>
      <c r="AF100" s="126"/>
      <c r="AG100" s="126"/>
      <c r="AH100" s="124"/>
      <c r="AI100" s="125"/>
      <c r="AK100" s="126"/>
      <c r="AL100" s="126"/>
      <c r="AM100" s="126"/>
      <c r="AN100" s="124"/>
      <c r="AO100" s="125"/>
      <c r="AQ100" s="126"/>
      <c r="AR100" s="126"/>
      <c r="AS100" s="126"/>
      <c r="AT100" s="124"/>
      <c r="AU100" s="125"/>
      <c r="AW100" s="126"/>
      <c r="AX100" s="126"/>
      <c r="AY100" s="126"/>
      <c r="AZ100" s="124"/>
      <c r="BA100" s="125"/>
    </row>
    <row r="101" spans="1:53" s="97" customFormat="1" ht="17.100000000000001" customHeight="1" x14ac:dyDescent="0.25">
      <c r="A101" s="137"/>
      <c r="B101" s="137"/>
      <c r="C101" s="928"/>
      <c r="D101" s="941" t="s">
        <v>1438</v>
      </c>
      <c r="E101" s="122"/>
      <c r="F101" s="122"/>
      <c r="G101" s="122"/>
      <c r="H101" s="928"/>
      <c r="I101" s="229"/>
      <c r="J101" s="123"/>
      <c r="K101" s="123"/>
      <c r="L101" s="123"/>
      <c r="M101" s="123"/>
      <c r="N101" s="123">
        <f>N40</f>
        <v>0</v>
      </c>
      <c r="O101" s="123">
        <f>O40</f>
        <v>3</v>
      </c>
      <c r="P101" s="942">
        <f>SUM(N101:O101)</f>
        <v>3</v>
      </c>
      <c r="Q101" s="123">
        <f>Q40</f>
        <v>0</v>
      </c>
      <c r="R101" s="123">
        <f>R40</f>
        <v>0</v>
      </c>
      <c r="S101" s="942">
        <f>SUM(Q101:R101)</f>
        <v>0</v>
      </c>
      <c r="T101" s="123">
        <f>T40</f>
        <v>0</v>
      </c>
      <c r="U101" s="123">
        <f>U40</f>
        <v>10</v>
      </c>
      <c r="V101" s="942">
        <f>SUM(T101:U101)</f>
        <v>10</v>
      </c>
      <c r="W101" s="383"/>
      <c r="X101" s="123"/>
      <c r="Y101" s="129"/>
      <c r="Z101" s="125"/>
      <c r="AA101" s="125"/>
      <c r="AB101" s="125"/>
      <c r="AC101" s="125"/>
      <c r="AE101" s="126"/>
      <c r="AF101" s="126"/>
      <c r="AG101" s="126"/>
      <c r="AH101" s="124"/>
      <c r="AI101" s="125"/>
      <c r="AK101" s="126"/>
      <c r="AL101" s="126"/>
      <c r="AM101" s="126"/>
      <c r="AN101" s="124"/>
      <c r="AO101" s="125"/>
      <c r="AQ101" s="126"/>
      <c r="AR101" s="126"/>
      <c r="AS101" s="126"/>
      <c r="AT101" s="124"/>
      <c r="AU101" s="125"/>
      <c r="AW101" s="126"/>
      <c r="AX101" s="126"/>
      <c r="AY101" s="126"/>
      <c r="AZ101" s="124"/>
      <c r="BA101" s="125"/>
    </row>
    <row r="102" spans="1:53" s="97" customFormat="1" ht="17.100000000000001" customHeight="1" x14ac:dyDescent="0.25">
      <c r="A102" s="137"/>
      <c r="B102" s="119"/>
      <c r="C102" s="928"/>
      <c r="D102" s="127" t="s">
        <v>76</v>
      </c>
      <c r="E102" s="128"/>
      <c r="F102" s="122"/>
      <c r="G102" s="122"/>
      <c r="H102" s="928"/>
      <c r="I102" s="229"/>
      <c r="J102" s="123"/>
      <c r="K102" s="123"/>
      <c r="L102" s="123"/>
      <c r="M102" s="123"/>
      <c r="N102" s="943">
        <f>N63</f>
        <v>0</v>
      </c>
      <c r="O102" s="943">
        <f>O63</f>
        <v>0</v>
      </c>
      <c r="P102" s="942">
        <f>SUM(N102:O102)</f>
        <v>0</v>
      </c>
      <c r="Q102" s="943">
        <f>Q63</f>
        <v>1</v>
      </c>
      <c r="R102" s="943">
        <f>R63</f>
        <v>0</v>
      </c>
      <c r="S102" s="942">
        <f>SUM(Q102:R102)</f>
        <v>1</v>
      </c>
      <c r="T102" s="943">
        <f>T63</f>
        <v>0</v>
      </c>
      <c r="U102" s="943">
        <f>U63</f>
        <v>0</v>
      </c>
      <c r="V102" s="942">
        <f>SUM(T102:U102)</f>
        <v>0</v>
      </c>
      <c r="W102" s="383"/>
      <c r="X102" s="123"/>
      <c r="Y102" s="129"/>
      <c r="Z102" s="125"/>
      <c r="AA102" s="125"/>
      <c r="AB102" s="125"/>
      <c r="AC102" s="125"/>
      <c r="AE102" s="123"/>
      <c r="AF102" s="123"/>
      <c r="AG102" s="123"/>
      <c r="AH102" s="124"/>
      <c r="AI102" s="125"/>
      <c r="AK102" s="123"/>
      <c r="AL102" s="123"/>
      <c r="AM102" s="123"/>
      <c r="AN102" s="124"/>
      <c r="AO102" s="125"/>
      <c r="AQ102" s="123"/>
      <c r="AR102" s="123"/>
      <c r="AS102" s="123"/>
      <c r="AT102" s="124"/>
      <c r="AU102" s="125"/>
      <c r="AW102" s="123"/>
      <c r="AX102" s="123"/>
      <c r="AY102" s="123"/>
      <c r="AZ102" s="124"/>
      <c r="BA102" s="125"/>
    </row>
    <row r="103" spans="1:53" s="97" customFormat="1" ht="17.100000000000001" customHeight="1" x14ac:dyDescent="0.25">
      <c r="A103" s="137"/>
      <c r="B103" s="119"/>
      <c r="C103" s="928"/>
      <c r="D103" s="127" t="s">
        <v>77</v>
      </c>
      <c r="E103" s="128"/>
      <c r="F103" s="122"/>
      <c r="G103" s="122"/>
      <c r="H103" s="928"/>
      <c r="I103" s="229"/>
      <c r="J103" s="123"/>
      <c r="K103" s="123"/>
      <c r="L103" s="123"/>
      <c r="M103" s="123"/>
      <c r="N103" s="943">
        <f>N64</f>
        <v>0</v>
      </c>
      <c r="O103" s="943">
        <f>O64</f>
        <v>0</v>
      </c>
      <c r="P103" s="942">
        <f t="shared" ref="P103:P107" si="84">SUM(N103:O103)</f>
        <v>0</v>
      </c>
      <c r="Q103" s="943">
        <f>Q64</f>
        <v>0</v>
      </c>
      <c r="R103" s="943">
        <f>R64</f>
        <v>0</v>
      </c>
      <c r="S103" s="942">
        <f t="shared" ref="S103:S107" si="85">SUM(Q103:R103)</f>
        <v>0</v>
      </c>
      <c r="T103" s="943">
        <f>T64</f>
        <v>0</v>
      </c>
      <c r="U103" s="943">
        <f>U64</f>
        <v>0</v>
      </c>
      <c r="V103" s="942">
        <f t="shared" ref="V103:V107" si="86">SUM(T103:U103)</f>
        <v>0</v>
      </c>
      <c r="W103" s="383"/>
      <c r="X103" s="123"/>
      <c r="Y103" s="129"/>
      <c r="Z103" s="125"/>
      <c r="AA103" s="125"/>
      <c r="AB103" s="125"/>
      <c r="AC103" s="125"/>
      <c r="AE103" s="123"/>
      <c r="AF103" s="123"/>
      <c r="AG103" s="123"/>
      <c r="AH103" s="124"/>
      <c r="AI103" s="125"/>
      <c r="AK103" s="123"/>
      <c r="AL103" s="123"/>
      <c r="AM103" s="123"/>
      <c r="AN103" s="124"/>
      <c r="AO103" s="125"/>
      <c r="AQ103" s="123"/>
      <c r="AR103" s="123"/>
      <c r="AS103" s="123"/>
      <c r="AT103" s="124"/>
      <c r="AU103" s="125"/>
      <c r="AW103" s="123"/>
      <c r="AX103" s="123"/>
      <c r="AY103" s="123"/>
      <c r="AZ103" s="124"/>
      <c r="BA103" s="125"/>
    </row>
    <row r="104" spans="1:53" s="97" customFormat="1" ht="17.100000000000001" customHeight="1" x14ac:dyDescent="0.25">
      <c r="A104" s="137"/>
      <c r="B104" s="119"/>
      <c r="C104" s="928"/>
      <c r="D104" s="127" t="s">
        <v>78</v>
      </c>
      <c r="E104" s="128"/>
      <c r="F104" s="122"/>
      <c r="G104" s="122"/>
      <c r="H104" s="928"/>
      <c r="I104" s="229"/>
      <c r="J104" s="123"/>
      <c r="K104" s="123"/>
      <c r="L104" s="123"/>
      <c r="M104" s="123"/>
      <c r="N104" s="943">
        <f>N71</f>
        <v>0</v>
      </c>
      <c r="O104" s="943">
        <f>O71</f>
        <v>0</v>
      </c>
      <c r="P104" s="942">
        <f t="shared" si="84"/>
        <v>0</v>
      </c>
      <c r="Q104" s="943">
        <f>Q71</f>
        <v>0</v>
      </c>
      <c r="R104" s="943">
        <f>R71</f>
        <v>0</v>
      </c>
      <c r="S104" s="942">
        <f t="shared" si="85"/>
        <v>0</v>
      </c>
      <c r="T104" s="943">
        <f>T71</f>
        <v>0</v>
      </c>
      <c r="U104" s="943">
        <f>U71</f>
        <v>0</v>
      </c>
      <c r="V104" s="942">
        <f t="shared" si="86"/>
        <v>0</v>
      </c>
      <c r="W104" s="383"/>
      <c r="X104" s="123"/>
      <c r="Y104" s="129"/>
      <c r="Z104" s="125"/>
      <c r="AA104" s="125"/>
      <c r="AB104" s="125"/>
      <c r="AC104" s="125"/>
      <c r="AE104" s="123"/>
      <c r="AF104" s="123"/>
      <c r="AG104" s="123"/>
      <c r="AH104" s="124"/>
      <c r="AI104" s="125"/>
      <c r="AK104" s="123"/>
      <c r="AL104" s="123"/>
      <c r="AM104" s="123"/>
      <c r="AN104" s="124"/>
      <c r="AO104" s="125"/>
      <c r="AQ104" s="123"/>
      <c r="AR104" s="123"/>
      <c r="AS104" s="123"/>
      <c r="AT104" s="124"/>
      <c r="AU104" s="125"/>
      <c r="AW104" s="123"/>
      <c r="AX104" s="123"/>
      <c r="AY104" s="123"/>
      <c r="AZ104" s="124"/>
      <c r="BA104" s="125"/>
    </row>
    <row r="105" spans="1:53" s="97" customFormat="1" ht="17.100000000000001" customHeight="1" x14ac:dyDescent="0.25">
      <c r="A105" s="137"/>
      <c r="B105" s="119"/>
      <c r="C105" s="928"/>
      <c r="D105" s="127" t="s">
        <v>79</v>
      </c>
      <c r="E105" s="122"/>
      <c r="F105" s="122"/>
      <c r="G105" s="122"/>
      <c r="H105" s="928"/>
      <c r="I105" s="229"/>
      <c r="J105" s="123"/>
      <c r="K105" s="123"/>
      <c r="L105" s="123"/>
      <c r="M105" s="123"/>
      <c r="N105" s="943">
        <f>N72</f>
        <v>0</v>
      </c>
      <c r="O105" s="943">
        <f>O72</f>
        <v>0</v>
      </c>
      <c r="P105" s="942">
        <f t="shared" si="84"/>
        <v>0</v>
      </c>
      <c r="Q105" s="943">
        <f>Q72</f>
        <v>0</v>
      </c>
      <c r="R105" s="943">
        <f>R72</f>
        <v>0</v>
      </c>
      <c r="S105" s="942">
        <f t="shared" si="85"/>
        <v>0</v>
      </c>
      <c r="T105" s="943">
        <f>T72</f>
        <v>0</v>
      </c>
      <c r="U105" s="943">
        <f>U72</f>
        <v>0</v>
      </c>
      <c r="V105" s="942">
        <f t="shared" si="86"/>
        <v>0</v>
      </c>
      <c r="W105" s="383"/>
      <c r="X105" s="123"/>
      <c r="Y105" s="129"/>
      <c r="Z105" s="125"/>
      <c r="AA105" s="125"/>
      <c r="AB105" s="125"/>
      <c r="AC105" s="125"/>
      <c r="AE105" s="123"/>
      <c r="AF105" s="123"/>
      <c r="AG105" s="123"/>
      <c r="AH105" s="124"/>
      <c r="AI105" s="125"/>
      <c r="AK105" s="123"/>
      <c r="AL105" s="123"/>
      <c r="AM105" s="123"/>
      <c r="AN105" s="124"/>
      <c r="AO105" s="125"/>
      <c r="AQ105" s="123"/>
      <c r="AR105" s="123"/>
      <c r="AS105" s="123"/>
      <c r="AT105" s="124"/>
      <c r="AU105" s="125"/>
      <c r="AW105" s="123"/>
      <c r="AX105" s="123"/>
      <c r="AY105" s="123"/>
      <c r="AZ105" s="124"/>
      <c r="BA105" s="125"/>
    </row>
    <row r="106" spans="1:53" s="97" customFormat="1" ht="17.100000000000001" customHeight="1" x14ac:dyDescent="0.25">
      <c r="A106" s="137"/>
      <c r="B106" s="137"/>
      <c r="C106" s="928"/>
      <c r="D106" s="127" t="s">
        <v>81</v>
      </c>
      <c r="E106" s="122"/>
      <c r="F106" s="122"/>
      <c r="G106" s="122"/>
      <c r="H106" s="928"/>
      <c r="I106" s="229"/>
      <c r="J106" s="123"/>
      <c r="K106" s="123"/>
      <c r="L106" s="123"/>
      <c r="M106" s="123"/>
      <c r="N106" s="943">
        <f>SUM(N101:N105)</f>
        <v>0</v>
      </c>
      <c r="O106" s="943">
        <f>SUM(O101:O105)</f>
        <v>3</v>
      </c>
      <c r="P106" s="942">
        <f t="shared" si="84"/>
        <v>3</v>
      </c>
      <c r="Q106" s="943">
        <f>SUM(Q101:Q105)</f>
        <v>1</v>
      </c>
      <c r="R106" s="943">
        <f>SUM(R101:R105)</f>
        <v>0</v>
      </c>
      <c r="S106" s="942">
        <f t="shared" si="85"/>
        <v>1</v>
      </c>
      <c r="T106" s="943">
        <f>SUM(T101:T105)</f>
        <v>0</v>
      </c>
      <c r="U106" s="943">
        <f>SUM(U101:U105)</f>
        <v>10</v>
      </c>
      <c r="V106" s="942">
        <f t="shared" si="86"/>
        <v>10</v>
      </c>
      <c r="W106" s="383"/>
      <c r="X106" s="123"/>
      <c r="Y106" s="129"/>
      <c r="Z106" s="125"/>
      <c r="AA106" s="125"/>
      <c r="AB106" s="125"/>
      <c r="AC106" s="125"/>
      <c r="AE106" s="123"/>
      <c r="AF106" s="123"/>
      <c r="AG106" s="123"/>
      <c r="AH106" s="124"/>
      <c r="AI106" s="125"/>
      <c r="AK106" s="123"/>
      <c r="AL106" s="123"/>
      <c r="AM106" s="123"/>
      <c r="AN106" s="124"/>
      <c r="AO106" s="125"/>
      <c r="AQ106" s="123"/>
      <c r="AR106" s="123"/>
      <c r="AS106" s="123"/>
      <c r="AT106" s="124"/>
      <c r="AU106" s="125"/>
      <c r="AW106" s="123"/>
      <c r="AX106" s="123"/>
      <c r="AY106" s="123"/>
      <c r="AZ106" s="124"/>
      <c r="BA106" s="125"/>
    </row>
    <row r="107" spans="1:53" s="97" customFormat="1" ht="17.100000000000001" customHeight="1" x14ac:dyDescent="0.25">
      <c r="A107" s="137"/>
      <c r="B107" s="137"/>
      <c r="C107" s="928"/>
      <c r="D107" s="127" t="s">
        <v>1439</v>
      </c>
      <c r="E107" s="122"/>
      <c r="F107" s="122"/>
      <c r="G107" s="122"/>
      <c r="H107" s="928"/>
      <c r="I107" s="229"/>
      <c r="J107" s="123"/>
      <c r="K107" s="123"/>
      <c r="L107" s="123"/>
      <c r="M107" s="123"/>
      <c r="N107" s="943">
        <f>N20*3</f>
        <v>3</v>
      </c>
      <c r="O107" s="943">
        <f>O20*3</f>
        <v>15</v>
      </c>
      <c r="P107" s="942">
        <f t="shared" si="84"/>
        <v>18</v>
      </c>
      <c r="Q107" s="943">
        <f>Q20*3</f>
        <v>3</v>
      </c>
      <c r="R107" s="943">
        <f>R20*3</f>
        <v>12</v>
      </c>
      <c r="S107" s="942">
        <f t="shared" si="85"/>
        <v>15</v>
      </c>
      <c r="T107" s="943">
        <f>T20*3</f>
        <v>0</v>
      </c>
      <c r="U107" s="943">
        <f>U20*3</f>
        <v>30</v>
      </c>
      <c r="V107" s="942">
        <f t="shared" si="86"/>
        <v>30</v>
      </c>
      <c r="W107" s="383"/>
      <c r="X107" s="123"/>
      <c r="Y107" s="129"/>
      <c r="Z107" s="125"/>
      <c r="AA107" s="125"/>
      <c r="AB107" s="125"/>
      <c r="AC107" s="125"/>
      <c r="AE107" s="123"/>
      <c r="AF107" s="123"/>
      <c r="AG107" s="123"/>
      <c r="AH107" s="124"/>
      <c r="AI107" s="125"/>
      <c r="AK107" s="123"/>
      <c r="AL107" s="123"/>
      <c r="AM107" s="123"/>
      <c r="AN107" s="124"/>
      <c r="AO107" s="125"/>
      <c r="AQ107" s="123"/>
      <c r="AR107" s="123"/>
      <c r="AS107" s="123"/>
      <c r="AT107" s="124"/>
      <c r="AU107" s="125"/>
      <c r="AW107" s="123"/>
      <c r="AX107" s="123"/>
      <c r="AY107" s="123"/>
      <c r="AZ107" s="124"/>
      <c r="BA107" s="125"/>
    </row>
    <row r="108" spans="1:53" s="97" customFormat="1" ht="17.100000000000001" customHeight="1" x14ac:dyDescent="0.25">
      <c r="A108" s="137"/>
      <c r="B108" s="137"/>
      <c r="C108" s="928"/>
      <c r="D108" s="127" t="s">
        <v>1440</v>
      </c>
      <c r="E108" s="122"/>
      <c r="F108" s="122"/>
      <c r="G108" s="122"/>
      <c r="H108" s="928"/>
      <c r="I108" s="229"/>
      <c r="J108" s="123"/>
      <c r="K108" s="123"/>
      <c r="L108" s="123"/>
      <c r="M108" s="123"/>
      <c r="N108" s="130">
        <f>IF(N107=0,0,N106/N107)</f>
        <v>0</v>
      </c>
      <c r="O108" s="130">
        <f t="shared" ref="O108:V108" si="87">IF(O107=0,0,O106/O107)</f>
        <v>0.2</v>
      </c>
      <c r="P108" s="130">
        <f t="shared" si="87"/>
        <v>0.16666666666666666</v>
      </c>
      <c r="Q108" s="130">
        <f t="shared" si="87"/>
        <v>0.33333333333333331</v>
      </c>
      <c r="R108" s="130">
        <f t="shared" si="87"/>
        <v>0</v>
      </c>
      <c r="S108" s="130">
        <f t="shared" si="87"/>
        <v>6.6666666666666666E-2</v>
      </c>
      <c r="T108" s="130">
        <f t="shared" si="87"/>
        <v>0</v>
      </c>
      <c r="U108" s="130">
        <f t="shared" si="87"/>
        <v>0.33333333333333331</v>
      </c>
      <c r="V108" s="130">
        <f t="shared" si="87"/>
        <v>0.33333333333333331</v>
      </c>
      <c r="W108" s="383"/>
      <c r="X108" s="123"/>
      <c r="Y108" s="129"/>
      <c r="Z108" s="125"/>
      <c r="AA108" s="125"/>
      <c r="AB108" s="125"/>
      <c r="AC108" s="125"/>
      <c r="AE108" s="123"/>
      <c r="AF108" s="123"/>
      <c r="AG108" s="123"/>
      <c r="AH108" s="124"/>
      <c r="AI108" s="125"/>
      <c r="AK108" s="123"/>
      <c r="AL108" s="123"/>
      <c r="AM108" s="123"/>
      <c r="AN108" s="124"/>
      <c r="AO108" s="125"/>
      <c r="AQ108" s="123"/>
      <c r="AR108" s="123"/>
      <c r="AS108" s="123"/>
      <c r="AT108" s="124"/>
      <c r="AU108" s="125"/>
      <c r="AW108" s="123"/>
      <c r="AX108" s="123"/>
      <c r="AY108" s="123"/>
      <c r="AZ108" s="124"/>
      <c r="BA108" s="125"/>
    </row>
    <row r="109" spans="1:53" s="97" customFormat="1" ht="17.100000000000001" customHeight="1" x14ac:dyDescent="0.25">
      <c r="A109" s="137"/>
      <c r="B109" s="119"/>
      <c r="C109" s="103" t="s">
        <v>80</v>
      </c>
      <c r="D109" s="85" t="s">
        <v>896</v>
      </c>
      <c r="E109" s="75"/>
      <c r="F109" s="75"/>
      <c r="G109" s="75"/>
      <c r="H109" s="1310"/>
      <c r="I109" s="229"/>
      <c r="J109" s="1309"/>
      <c r="K109" s="1309"/>
      <c r="L109" s="1309"/>
      <c r="M109" s="1309"/>
      <c r="N109" s="1309"/>
      <c r="O109" s="1309"/>
      <c r="P109" s="1309">
        <f>IF(P108&gt;=0.5,1,0)</f>
        <v>0</v>
      </c>
      <c r="Q109" s="1309"/>
      <c r="R109" s="1309"/>
      <c r="S109" s="1309">
        <f>IF(S108&gt;=0.5,1,0)</f>
        <v>0</v>
      </c>
      <c r="T109" s="1309"/>
      <c r="U109" s="1309"/>
      <c r="V109" s="1309">
        <f>IF(V108&gt;=0.5,1,0)</f>
        <v>0</v>
      </c>
      <c r="W109" s="382"/>
      <c r="X109" s="1309"/>
      <c r="Y109" s="1309">
        <f t="shared" ref="Y109" si="88">M109+P109+S109+V109</f>
        <v>0</v>
      </c>
      <c r="Z109" s="91"/>
      <c r="AA109" s="91"/>
      <c r="AB109" s="91"/>
      <c r="AC109" s="84"/>
      <c r="AE109" s="1309"/>
      <c r="AF109" s="1309"/>
      <c r="AG109" s="1309"/>
      <c r="AH109" s="1309"/>
      <c r="AI109" s="91"/>
      <c r="AK109" s="1309"/>
      <c r="AL109" s="1309"/>
      <c r="AM109" s="1309"/>
      <c r="AN109" s="1309"/>
      <c r="AO109" s="91"/>
      <c r="AQ109" s="1309"/>
      <c r="AR109" s="1309"/>
      <c r="AS109" s="1309"/>
      <c r="AT109" s="1309"/>
      <c r="AU109" s="91"/>
      <c r="AW109" s="1309"/>
      <c r="AX109" s="1309"/>
      <c r="AY109" s="1309"/>
      <c r="AZ109" s="1309"/>
      <c r="BA109" s="91"/>
    </row>
    <row r="110" spans="1:53" s="97" customFormat="1" ht="16.5" customHeight="1" x14ac:dyDescent="0.25">
      <c r="A110" s="119"/>
      <c r="B110" s="119"/>
      <c r="C110" s="928"/>
      <c r="D110" s="121" t="s">
        <v>82</v>
      </c>
      <c r="E110" s="122"/>
      <c r="F110" s="122"/>
      <c r="G110" s="122"/>
      <c r="H110" s="928"/>
      <c r="I110" s="229"/>
      <c r="J110" s="123"/>
      <c r="K110" s="123"/>
      <c r="L110" s="123"/>
      <c r="M110" s="123"/>
      <c r="N110" s="123"/>
      <c r="O110" s="123"/>
      <c r="P110" s="123"/>
      <c r="Q110" s="123"/>
      <c r="R110" s="123"/>
      <c r="S110" s="123"/>
      <c r="T110" s="123"/>
      <c r="U110" s="123"/>
      <c r="V110" s="363"/>
      <c r="W110" s="383"/>
      <c r="X110" s="123"/>
      <c r="Y110" s="124"/>
      <c r="Z110" s="125"/>
      <c r="AA110" s="125"/>
      <c r="AB110" s="125"/>
      <c r="AC110" s="125"/>
      <c r="AE110" s="126"/>
      <c r="AF110" s="126"/>
      <c r="AG110" s="126"/>
      <c r="AH110" s="124"/>
      <c r="AI110" s="125"/>
      <c r="AK110" s="126"/>
      <c r="AL110" s="126"/>
      <c r="AM110" s="126"/>
      <c r="AN110" s="124"/>
      <c r="AO110" s="125"/>
      <c r="AQ110" s="126"/>
      <c r="AR110" s="126"/>
      <c r="AS110" s="126"/>
      <c r="AT110" s="124"/>
      <c r="AU110" s="125"/>
      <c r="AW110" s="126"/>
      <c r="AX110" s="126"/>
      <c r="AY110" s="126"/>
      <c r="AZ110" s="124"/>
      <c r="BA110" s="125"/>
    </row>
    <row r="111" spans="1:53" s="97" customFormat="1" ht="17.100000000000001" customHeight="1" x14ac:dyDescent="0.25">
      <c r="A111" s="119"/>
      <c r="B111" s="119"/>
      <c r="C111" s="928"/>
      <c r="D111" s="127" t="s">
        <v>910</v>
      </c>
      <c r="E111" s="122"/>
      <c r="F111" s="122"/>
      <c r="G111" s="122"/>
      <c r="H111" s="928"/>
      <c r="I111" s="229"/>
      <c r="J111" s="123"/>
      <c r="K111" s="123"/>
      <c r="L111" s="123"/>
      <c r="M111" s="123"/>
      <c r="N111" s="123"/>
      <c r="O111" s="123"/>
      <c r="P111" s="129">
        <f>P80</f>
        <v>0</v>
      </c>
      <c r="Q111" s="123"/>
      <c r="R111" s="123"/>
      <c r="S111" s="129">
        <f>S80</f>
        <v>0</v>
      </c>
      <c r="T111" s="123"/>
      <c r="U111" s="123"/>
      <c r="V111" s="129">
        <f>V80</f>
        <v>0</v>
      </c>
      <c r="W111" s="383"/>
      <c r="X111" s="123"/>
      <c r="Y111" s="124"/>
      <c r="Z111" s="125"/>
      <c r="AA111" s="125"/>
      <c r="AB111" s="125"/>
      <c r="AC111" s="125"/>
      <c r="AE111" s="126"/>
      <c r="AF111" s="126"/>
      <c r="AG111" s="126"/>
      <c r="AH111" s="124"/>
      <c r="AI111" s="125"/>
      <c r="AK111" s="126"/>
      <c r="AL111" s="126"/>
      <c r="AM111" s="126"/>
      <c r="AN111" s="124"/>
      <c r="AO111" s="125"/>
      <c r="AQ111" s="126"/>
      <c r="AR111" s="126"/>
      <c r="AS111" s="126"/>
      <c r="AT111" s="124"/>
      <c r="AU111" s="125"/>
      <c r="AW111" s="126"/>
      <c r="AX111" s="126"/>
      <c r="AY111" s="126"/>
      <c r="AZ111" s="124"/>
      <c r="BA111" s="125"/>
    </row>
    <row r="112" spans="1:53" s="97" customFormat="1" ht="17.100000000000001" customHeight="1" x14ac:dyDescent="0.25">
      <c r="A112" s="119"/>
      <c r="B112" s="119"/>
      <c r="C112" s="928"/>
      <c r="D112" s="127" t="s">
        <v>83</v>
      </c>
      <c r="E112" s="122"/>
      <c r="F112" s="122"/>
      <c r="G112" s="122"/>
      <c r="H112" s="928"/>
      <c r="I112" s="229"/>
      <c r="J112" s="123"/>
      <c r="K112" s="123"/>
      <c r="L112" s="123"/>
      <c r="M112" s="123"/>
      <c r="N112" s="123"/>
      <c r="O112" s="123"/>
      <c r="P112" s="129">
        <f t="shared" ref="P112:P114" si="89">P85</f>
        <v>0</v>
      </c>
      <c r="Q112" s="123"/>
      <c r="R112" s="123"/>
      <c r="S112" s="129">
        <f>S85</f>
        <v>0</v>
      </c>
      <c r="T112" s="123"/>
      <c r="U112" s="123"/>
      <c r="V112" s="129">
        <f>V85</f>
        <v>0</v>
      </c>
      <c r="W112" s="383"/>
      <c r="X112" s="123"/>
      <c r="Y112" s="129"/>
      <c r="Z112" s="125"/>
      <c r="AA112" s="125"/>
      <c r="AB112" s="125"/>
      <c r="AC112" s="125"/>
      <c r="AE112" s="123"/>
      <c r="AF112" s="123"/>
      <c r="AG112" s="123"/>
      <c r="AH112" s="124"/>
      <c r="AI112" s="125"/>
      <c r="AK112" s="123"/>
      <c r="AL112" s="123"/>
      <c r="AM112" s="123"/>
      <c r="AN112" s="124"/>
      <c r="AO112" s="125"/>
      <c r="AQ112" s="123"/>
      <c r="AR112" s="123"/>
      <c r="AS112" s="123"/>
      <c r="AT112" s="124"/>
      <c r="AU112" s="125"/>
      <c r="AW112" s="123"/>
      <c r="AX112" s="123"/>
      <c r="AY112" s="123"/>
      <c r="AZ112" s="124"/>
      <c r="BA112" s="125"/>
    </row>
    <row r="113" spans="1:53" s="97" customFormat="1" ht="17.100000000000001" customHeight="1" x14ac:dyDescent="0.25">
      <c r="A113" s="119"/>
      <c r="B113" s="119"/>
      <c r="C113" s="928"/>
      <c r="D113" s="127" t="s">
        <v>84</v>
      </c>
      <c r="E113" s="122"/>
      <c r="F113" s="122"/>
      <c r="G113" s="122"/>
      <c r="H113" s="928"/>
      <c r="I113" s="229"/>
      <c r="J113" s="123"/>
      <c r="K113" s="123"/>
      <c r="L113" s="123"/>
      <c r="M113" s="123"/>
      <c r="N113" s="123"/>
      <c r="O113" s="123"/>
      <c r="P113" s="129">
        <f t="shared" si="89"/>
        <v>0</v>
      </c>
      <c r="Q113" s="123"/>
      <c r="R113" s="123"/>
      <c r="S113" s="129">
        <f>S86</f>
        <v>0</v>
      </c>
      <c r="T113" s="123"/>
      <c r="U113" s="123"/>
      <c r="V113" s="129">
        <f>V86</f>
        <v>0</v>
      </c>
      <c r="W113" s="383"/>
      <c r="X113" s="123"/>
      <c r="Y113" s="129"/>
      <c r="Z113" s="125"/>
      <c r="AA113" s="125"/>
      <c r="AB113" s="125"/>
      <c r="AC113" s="125"/>
      <c r="AE113" s="123"/>
      <c r="AF113" s="123"/>
      <c r="AG113" s="123"/>
      <c r="AH113" s="124"/>
      <c r="AI113" s="125"/>
      <c r="AK113" s="123"/>
      <c r="AL113" s="123"/>
      <c r="AM113" s="123"/>
      <c r="AN113" s="124"/>
      <c r="AO113" s="125"/>
      <c r="AQ113" s="123"/>
      <c r="AR113" s="123"/>
      <c r="AS113" s="123"/>
      <c r="AT113" s="124"/>
      <c r="AU113" s="125"/>
      <c r="AW113" s="123"/>
      <c r="AX113" s="123"/>
      <c r="AY113" s="123"/>
      <c r="AZ113" s="124"/>
      <c r="BA113" s="125"/>
    </row>
    <row r="114" spans="1:53" s="97" customFormat="1" ht="17.100000000000001" customHeight="1" x14ac:dyDescent="0.25">
      <c r="A114" s="119"/>
      <c r="B114" s="119"/>
      <c r="C114" s="928"/>
      <c r="D114" s="127" t="s">
        <v>85</v>
      </c>
      <c r="E114" s="122"/>
      <c r="F114" s="122"/>
      <c r="G114" s="122"/>
      <c r="H114" s="928"/>
      <c r="I114" s="229"/>
      <c r="J114" s="123"/>
      <c r="K114" s="123"/>
      <c r="L114" s="123"/>
      <c r="M114" s="123"/>
      <c r="N114" s="123"/>
      <c r="O114" s="123"/>
      <c r="P114" s="129">
        <f t="shared" si="89"/>
        <v>0</v>
      </c>
      <c r="Q114" s="123"/>
      <c r="R114" s="123"/>
      <c r="S114" s="129">
        <f>S87</f>
        <v>0</v>
      </c>
      <c r="T114" s="123"/>
      <c r="U114" s="123"/>
      <c r="V114" s="129">
        <f>V87</f>
        <v>0</v>
      </c>
      <c r="W114" s="383"/>
      <c r="X114" s="123"/>
      <c r="Y114" s="129"/>
      <c r="Z114" s="125"/>
      <c r="AA114" s="125"/>
      <c r="AB114" s="125"/>
      <c r="AC114" s="125"/>
      <c r="AE114" s="123"/>
      <c r="AF114" s="123"/>
      <c r="AG114" s="123"/>
      <c r="AH114" s="124"/>
      <c r="AI114" s="125"/>
      <c r="AK114" s="123"/>
      <c r="AL114" s="123"/>
      <c r="AM114" s="123"/>
      <c r="AN114" s="124"/>
      <c r="AO114" s="125"/>
      <c r="AQ114" s="123"/>
      <c r="AR114" s="123"/>
      <c r="AS114" s="123"/>
      <c r="AT114" s="124"/>
      <c r="AU114" s="125"/>
      <c r="AW114" s="123"/>
      <c r="AX114" s="123"/>
      <c r="AY114" s="123"/>
      <c r="AZ114" s="124"/>
      <c r="BA114" s="125"/>
    </row>
    <row r="115" spans="1:53" s="97" customFormat="1" ht="17.100000000000001" customHeight="1" x14ac:dyDescent="0.25">
      <c r="A115" s="119"/>
      <c r="B115" s="119"/>
      <c r="C115" s="103" t="s">
        <v>86</v>
      </c>
      <c r="D115" s="85" t="s">
        <v>907</v>
      </c>
      <c r="E115" s="75"/>
      <c r="F115" s="75"/>
      <c r="G115" s="75"/>
      <c r="H115" s="540"/>
      <c r="I115" s="229"/>
      <c r="J115" s="545"/>
      <c r="K115" s="545"/>
      <c r="L115" s="545"/>
      <c r="M115" s="545"/>
      <c r="N115" s="545"/>
      <c r="O115" s="545"/>
      <c r="P115" s="545"/>
      <c r="Q115" s="545"/>
      <c r="R115" s="545"/>
      <c r="S115" s="545"/>
      <c r="T115" s="545"/>
      <c r="U115" s="545"/>
      <c r="V115" s="545"/>
      <c r="W115" s="385"/>
      <c r="X115" s="545"/>
      <c r="Y115" s="545"/>
      <c r="Z115" s="131"/>
      <c r="AA115" s="131"/>
      <c r="AB115" s="131"/>
      <c r="AC115" s="113"/>
      <c r="AE115" s="539"/>
      <c r="AF115" s="539"/>
      <c r="AG115" s="539"/>
      <c r="AH115" s="539"/>
      <c r="AI115" s="91"/>
      <c r="AK115" s="539"/>
      <c r="AL115" s="539"/>
      <c r="AM115" s="539"/>
      <c r="AN115" s="539"/>
      <c r="AO115" s="91"/>
      <c r="AQ115" s="539"/>
      <c r="AR115" s="539"/>
      <c r="AS115" s="539"/>
      <c r="AT115" s="539"/>
      <c r="AU115" s="91"/>
      <c r="AW115" s="539"/>
      <c r="AX115" s="539"/>
      <c r="AY115" s="539"/>
      <c r="AZ115" s="539"/>
      <c r="BA115" s="91"/>
    </row>
    <row r="116" spans="1:53" s="97" customFormat="1" ht="17.100000000000001" customHeight="1" x14ac:dyDescent="0.25">
      <c r="A116" s="119"/>
      <c r="B116" s="119"/>
      <c r="C116" s="119"/>
      <c r="D116" s="74" t="s">
        <v>905</v>
      </c>
      <c r="E116" s="75" t="s">
        <v>908</v>
      </c>
      <c r="F116" s="75"/>
      <c r="G116" s="75"/>
      <c r="H116" s="540"/>
      <c r="I116" s="229"/>
      <c r="J116" s="539"/>
      <c r="K116" s="539"/>
      <c r="L116" s="539"/>
      <c r="M116" s="539"/>
      <c r="N116" s="539"/>
      <c r="O116" s="539"/>
      <c r="P116" s="539">
        <f>IF(SUM(P111:P112)&gt;=1,1,0)</f>
        <v>0</v>
      </c>
      <c r="Q116" s="539"/>
      <c r="R116" s="539"/>
      <c r="S116" s="539">
        <f>IF(SUM(S111:S112)&gt;=1,1,0)</f>
        <v>0</v>
      </c>
      <c r="T116" s="539"/>
      <c r="U116" s="539"/>
      <c r="V116" s="539">
        <f>IF(SUM(V111:V112)&gt;=1,1,0)</f>
        <v>0</v>
      </c>
      <c r="W116" s="382"/>
      <c r="X116" s="539"/>
      <c r="Y116" s="539">
        <f t="shared" ref="Y116:Y121" si="90">M116+P116+S116+V116</f>
        <v>0</v>
      </c>
      <c r="Z116" s="91"/>
      <c r="AA116" s="91"/>
      <c r="AB116" s="91"/>
      <c r="AC116" s="84"/>
      <c r="AE116" s="539"/>
      <c r="AF116" s="539"/>
      <c r="AG116" s="539"/>
      <c r="AH116" s="539"/>
      <c r="AI116" s="91"/>
      <c r="AK116" s="539"/>
      <c r="AL116" s="539"/>
      <c r="AM116" s="539"/>
      <c r="AN116" s="539"/>
      <c r="AO116" s="91"/>
      <c r="AQ116" s="539"/>
      <c r="AR116" s="539"/>
      <c r="AS116" s="539"/>
      <c r="AT116" s="539"/>
      <c r="AU116" s="91"/>
      <c r="AW116" s="539"/>
      <c r="AX116" s="539"/>
      <c r="AY116" s="539"/>
      <c r="AZ116" s="539"/>
      <c r="BA116" s="91"/>
    </row>
    <row r="117" spans="1:53" s="97" customFormat="1" ht="17.100000000000001" customHeight="1" x14ac:dyDescent="0.25">
      <c r="A117" s="119"/>
      <c r="B117" s="119"/>
      <c r="C117" s="119"/>
      <c r="D117" s="74" t="s">
        <v>906</v>
      </c>
      <c r="E117" s="75" t="s">
        <v>909</v>
      </c>
      <c r="F117" s="75"/>
      <c r="G117" s="75"/>
      <c r="H117" s="540"/>
      <c r="I117" s="229"/>
      <c r="J117" s="539"/>
      <c r="K117" s="539"/>
      <c r="L117" s="539"/>
      <c r="M117" s="539"/>
      <c r="N117" s="539"/>
      <c r="O117" s="539"/>
      <c r="P117" s="539">
        <f>IF(SUM(P113:P114)&gt;=1,1,0)</f>
        <v>0</v>
      </c>
      <c r="Q117" s="539"/>
      <c r="R117" s="539"/>
      <c r="S117" s="539">
        <f>IF(SUM(S113:S114)&gt;=1,1,0)</f>
        <v>0</v>
      </c>
      <c r="T117" s="539"/>
      <c r="U117" s="539"/>
      <c r="V117" s="539">
        <f>IF(SUM(V113:V114)&gt;=1,1,0)</f>
        <v>0</v>
      </c>
      <c r="W117" s="382"/>
      <c r="X117" s="539"/>
      <c r="Y117" s="539">
        <f t="shared" si="90"/>
        <v>0</v>
      </c>
      <c r="Z117" s="91"/>
      <c r="AA117" s="91"/>
      <c r="AB117" s="91"/>
      <c r="AC117" s="84"/>
      <c r="AE117" s="539"/>
      <c r="AF117" s="539"/>
      <c r="AG117" s="539"/>
      <c r="AH117" s="539"/>
      <c r="AI117" s="91"/>
      <c r="AK117" s="539"/>
      <c r="AL117" s="539"/>
      <c r="AM117" s="539"/>
      <c r="AN117" s="539"/>
      <c r="AO117" s="91"/>
      <c r="AQ117" s="539"/>
      <c r="AR117" s="539"/>
      <c r="AS117" s="539"/>
      <c r="AT117" s="539"/>
      <c r="AU117" s="91"/>
      <c r="AW117" s="539"/>
      <c r="AX117" s="539"/>
      <c r="AY117" s="539"/>
      <c r="AZ117" s="539"/>
      <c r="BA117" s="91"/>
    </row>
    <row r="118" spans="1:53" s="97" customFormat="1" ht="17.100000000000001" customHeight="1" x14ac:dyDescent="0.25">
      <c r="A118" s="119"/>
      <c r="B118" s="119"/>
      <c r="C118" s="540"/>
      <c r="D118" s="121" t="s">
        <v>88</v>
      </c>
      <c r="E118" s="122"/>
      <c r="F118" s="122"/>
      <c r="G118" s="122"/>
      <c r="H118" s="540"/>
      <c r="I118" s="229"/>
      <c r="J118" s="123"/>
      <c r="K118" s="123"/>
      <c r="L118" s="123"/>
      <c r="M118" s="123"/>
      <c r="N118" s="123"/>
      <c r="O118" s="123"/>
      <c r="P118" s="123"/>
      <c r="Q118" s="123"/>
      <c r="R118" s="123"/>
      <c r="S118" s="123"/>
      <c r="T118" s="123"/>
      <c r="U118" s="123"/>
      <c r="V118" s="363"/>
      <c r="W118" s="383"/>
      <c r="X118" s="123"/>
      <c r="Y118" s="124"/>
      <c r="Z118" s="125"/>
      <c r="AA118" s="125"/>
      <c r="AB118" s="125"/>
      <c r="AC118" s="125"/>
      <c r="AE118" s="126"/>
      <c r="AF118" s="126"/>
      <c r="AG118" s="126"/>
      <c r="AH118" s="124"/>
      <c r="AI118" s="125"/>
      <c r="AK118" s="126"/>
      <c r="AL118" s="126"/>
      <c r="AM118" s="126"/>
      <c r="AN118" s="124"/>
      <c r="AO118" s="125"/>
      <c r="AQ118" s="126"/>
      <c r="AR118" s="126"/>
      <c r="AS118" s="126"/>
      <c r="AT118" s="124"/>
      <c r="AU118" s="125"/>
      <c r="AW118" s="126"/>
      <c r="AX118" s="126"/>
      <c r="AY118" s="126"/>
      <c r="AZ118" s="124"/>
      <c r="BA118" s="125"/>
    </row>
    <row r="119" spans="1:53" s="97" customFormat="1" ht="17.100000000000001" customHeight="1" x14ac:dyDescent="0.25">
      <c r="A119" s="119"/>
      <c r="B119" s="119"/>
      <c r="C119" s="540"/>
      <c r="D119" s="127" t="s">
        <v>90</v>
      </c>
      <c r="E119" s="122"/>
      <c r="F119" s="122"/>
      <c r="G119" s="279"/>
      <c r="H119" s="540"/>
      <c r="I119" s="229"/>
      <c r="J119" s="123"/>
      <c r="K119" s="123"/>
      <c r="L119" s="123"/>
      <c r="M119" s="123"/>
      <c r="N119" s="123"/>
      <c r="O119" s="123"/>
      <c r="P119" s="123">
        <f>P92</f>
        <v>1</v>
      </c>
      <c r="Q119" s="123"/>
      <c r="R119" s="123"/>
      <c r="S119" s="123">
        <f>S92</f>
        <v>1</v>
      </c>
      <c r="T119" s="123"/>
      <c r="U119" s="123"/>
      <c r="V119" s="123">
        <f>V92</f>
        <v>1</v>
      </c>
      <c r="W119" s="383"/>
      <c r="X119" s="123"/>
      <c r="Y119" s="123">
        <f t="shared" si="90"/>
        <v>3</v>
      </c>
      <c r="Z119" s="125"/>
      <c r="AA119" s="125"/>
      <c r="AB119" s="125"/>
      <c r="AC119" s="125"/>
      <c r="AE119" s="123"/>
      <c r="AF119" s="123"/>
      <c r="AG119" s="123"/>
      <c r="AH119" s="124"/>
      <c r="AI119" s="125"/>
      <c r="AK119" s="123"/>
      <c r="AL119" s="123"/>
      <c r="AM119" s="123"/>
      <c r="AN119" s="124"/>
      <c r="AO119" s="125"/>
      <c r="AQ119" s="123"/>
      <c r="AR119" s="123"/>
      <c r="AS119" s="123"/>
      <c r="AT119" s="124"/>
      <c r="AU119" s="125"/>
      <c r="AW119" s="123"/>
      <c r="AX119" s="123"/>
      <c r="AY119" s="123"/>
      <c r="AZ119" s="124"/>
      <c r="BA119" s="125"/>
    </row>
    <row r="120" spans="1:53" s="97" customFormat="1" ht="17.100000000000001" customHeight="1" x14ac:dyDescent="0.25">
      <c r="A120" s="119"/>
      <c r="B120" s="119"/>
      <c r="C120" s="540"/>
      <c r="D120" s="127" t="s">
        <v>89</v>
      </c>
      <c r="E120" s="122"/>
      <c r="F120" s="128"/>
      <c r="G120" s="279"/>
      <c r="H120" s="540"/>
      <c r="I120" s="229"/>
      <c r="J120" s="123"/>
      <c r="K120" s="123"/>
      <c r="L120" s="123"/>
      <c r="M120" s="123"/>
      <c r="N120" s="123"/>
      <c r="O120" s="123"/>
      <c r="P120" s="123">
        <f>SUM(P93:P95)</f>
        <v>0</v>
      </c>
      <c r="Q120" s="123"/>
      <c r="R120" s="123"/>
      <c r="S120" s="123">
        <f>SUM(S93:S95)</f>
        <v>0</v>
      </c>
      <c r="T120" s="123"/>
      <c r="U120" s="123"/>
      <c r="V120" s="123">
        <f>SUM(V93:V95)</f>
        <v>0</v>
      </c>
      <c r="W120" s="383"/>
      <c r="X120" s="123"/>
      <c r="Y120" s="123">
        <f t="shared" si="90"/>
        <v>0</v>
      </c>
      <c r="Z120" s="125"/>
      <c r="AA120" s="125"/>
      <c r="AB120" s="125"/>
      <c r="AC120" s="125"/>
      <c r="AE120" s="123"/>
      <c r="AF120" s="123"/>
      <c r="AG120" s="123"/>
      <c r="AH120" s="124"/>
      <c r="AI120" s="125"/>
      <c r="AK120" s="123"/>
      <c r="AL120" s="123"/>
      <c r="AM120" s="123"/>
      <c r="AN120" s="124"/>
      <c r="AO120" s="125"/>
      <c r="AQ120" s="123"/>
      <c r="AR120" s="123"/>
      <c r="AS120" s="123"/>
      <c r="AT120" s="124"/>
      <c r="AU120" s="125"/>
      <c r="AW120" s="123"/>
      <c r="AX120" s="123"/>
      <c r="AY120" s="123"/>
      <c r="AZ120" s="124"/>
      <c r="BA120" s="125"/>
    </row>
    <row r="121" spans="1:53" s="97" customFormat="1" ht="17.100000000000001" customHeight="1" x14ac:dyDescent="0.25">
      <c r="A121" s="119"/>
      <c r="B121" s="119"/>
      <c r="C121" s="540"/>
      <c r="D121" s="127" t="s">
        <v>91</v>
      </c>
      <c r="E121" s="122"/>
      <c r="F121" s="122"/>
      <c r="G121" s="279"/>
      <c r="H121" s="540"/>
      <c r="I121" s="229"/>
      <c r="J121" s="129"/>
      <c r="K121" s="129"/>
      <c r="L121" s="129"/>
      <c r="M121" s="129"/>
      <c r="N121" s="129"/>
      <c r="O121" s="129"/>
      <c r="P121" s="129">
        <f t="shared" ref="P121" si="91">IF(P119=1,0,IF(P120=1,1,0))</f>
        <v>0</v>
      </c>
      <c r="Q121" s="129"/>
      <c r="R121" s="129"/>
      <c r="S121" s="129">
        <f t="shared" ref="S121" si="92">IF(S119=1,0,IF(S120=1,1,0))</f>
        <v>0</v>
      </c>
      <c r="T121" s="129"/>
      <c r="U121" s="129"/>
      <c r="V121" s="129">
        <f t="shared" ref="V121" si="93">IF(V119=1,0,IF(V120=1,1,0))</f>
        <v>0</v>
      </c>
      <c r="W121" s="384"/>
      <c r="X121" s="129"/>
      <c r="Y121" s="129">
        <f t="shared" si="90"/>
        <v>0</v>
      </c>
      <c r="Z121" s="130"/>
      <c r="AA121" s="130"/>
      <c r="AB121" s="130"/>
      <c r="AC121" s="125"/>
      <c r="AE121" s="129"/>
      <c r="AF121" s="129"/>
      <c r="AG121" s="129"/>
      <c r="AH121" s="129"/>
      <c r="AI121" s="130"/>
      <c r="AK121" s="129"/>
      <c r="AL121" s="129"/>
      <c r="AM121" s="129"/>
      <c r="AN121" s="129"/>
      <c r="AO121" s="130"/>
      <c r="AQ121" s="129"/>
      <c r="AR121" s="129"/>
      <c r="AS121" s="129"/>
      <c r="AT121" s="129"/>
      <c r="AU121" s="130"/>
      <c r="AW121" s="129"/>
      <c r="AX121" s="129"/>
      <c r="AY121" s="129"/>
      <c r="AZ121" s="129"/>
      <c r="BA121" s="130"/>
    </row>
    <row r="122" spans="1:53" s="97" customFormat="1" ht="17.100000000000001" customHeight="1" x14ac:dyDescent="0.25">
      <c r="A122" s="119"/>
      <c r="B122" s="119"/>
      <c r="C122" s="103" t="s">
        <v>92</v>
      </c>
      <c r="D122" s="85" t="s">
        <v>914</v>
      </c>
      <c r="E122" s="75"/>
      <c r="F122" s="75"/>
      <c r="G122" s="75"/>
      <c r="H122" s="540"/>
      <c r="I122" s="229"/>
      <c r="J122" s="539"/>
      <c r="K122" s="539"/>
      <c r="L122" s="539"/>
      <c r="M122" s="539"/>
      <c r="N122" s="539"/>
      <c r="O122" s="539"/>
      <c r="P122" s="539">
        <f>P121</f>
        <v>0</v>
      </c>
      <c r="Q122" s="539"/>
      <c r="R122" s="539"/>
      <c r="S122" s="539">
        <f>S121</f>
        <v>0</v>
      </c>
      <c r="T122" s="539"/>
      <c r="U122" s="539"/>
      <c r="V122" s="539">
        <f>V121</f>
        <v>0</v>
      </c>
      <c r="W122" s="382"/>
      <c r="X122" s="539"/>
      <c r="Y122" s="539">
        <f>SUM(J122:X122)</f>
        <v>0</v>
      </c>
      <c r="Z122" s="91"/>
      <c r="AA122" s="91"/>
      <c r="AB122" s="91"/>
      <c r="AC122" s="84"/>
      <c r="AE122" s="539"/>
      <c r="AF122" s="539"/>
      <c r="AG122" s="539"/>
      <c r="AH122" s="539"/>
      <c r="AI122" s="91"/>
      <c r="AK122" s="539"/>
      <c r="AL122" s="539"/>
      <c r="AM122" s="539"/>
      <c r="AN122" s="539"/>
      <c r="AO122" s="91"/>
      <c r="AQ122" s="539"/>
      <c r="AR122" s="539"/>
      <c r="AS122" s="539"/>
      <c r="AT122" s="539"/>
      <c r="AU122" s="91"/>
      <c r="AW122" s="539"/>
      <c r="AX122" s="539"/>
      <c r="AY122" s="539"/>
      <c r="AZ122" s="539"/>
      <c r="BA122" s="91"/>
    </row>
    <row r="123" spans="1:53" s="97" customFormat="1" ht="17.100000000000001" customHeight="1" x14ac:dyDescent="0.25">
      <c r="A123" s="119"/>
      <c r="B123" s="119"/>
      <c r="C123" s="103" t="s">
        <v>93</v>
      </c>
      <c r="D123" s="85" t="s">
        <v>94</v>
      </c>
      <c r="E123" s="75"/>
      <c r="F123" s="75"/>
      <c r="G123" s="75"/>
      <c r="H123" s="928"/>
      <c r="I123" s="229"/>
      <c r="J123" s="932"/>
      <c r="K123" s="932"/>
      <c r="L123" s="932"/>
      <c r="M123" s="932"/>
      <c r="N123" s="932"/>
      <c r="O123" s="932"/>
      <c r="P123" s="932"/>
      <c r="Q123" s="932"/>
      <c r="R123" s="932"/>
      <c r="S123" s="932"/>
      <c r="T123" s="932"/>
      <c r="U123" s="932"/>
      <c r="V123" s="364"/>
      <c r="W123" s="385"/>
      <c r="X123" s="932"/>
      <c r="Y123" s="932"/>
      <c r="Z123" s="131"/>
      <c r="AA123" s="131"/>
      <c r="AB123" s="131"/>
      <c r="AC123" s="113"/>
      <c r="AE123" s="114"/>
      <c r="AF123" s="114"/>
      <c r="AG123" s="114"/>
      <c r="AH123" s="112"/>
      <c r="AI123" s="113"/>
      <c r="AK123" s="114"/>
      <c r="AL123" s="114"/>
      <c r="AM123" s="114"/>
      <c r="AN123" s="112"/>
      <c r="AO123" s="113"/>
      <c r="AQ123" s="114"/>
      <c r="AR123" s="114"/>
      <c r="AS123" s="114"/>
      <c r="AT123" s="112"/>
      <c r="AU123" s="113"/>
      <c r="AW123" s="114"/>
      <c r="AX123" s="114"/>
      <c r="AY123" s="114"/>
      <c r="AZ123" s="112"/>
      <c r="BA123" s="113"/>
    </row>
    <row r="124" spans="1:53" s="97" customFormat="1" ht="17.100000000000001" customHeight="1" x14ac:dyDescent="0.25">
      <c r="A124" s="137"/>
      <c r="B124" s="119"/>
      <c r="C124" s="132"/>
      <c r="D124" s="133" t="s">
        <v>95</v>
      </c>
      <c r="E124" s="134"/>
      <c r="F124" s="134"/>
      <c r="G124" s="134"/>
      <c r="H124" s="928"/>
      <c r="I124" s="229"/>
      <c r="J124" s="82"/>
      <c r="K124" s="82" t="str">
        <f>IF(SUM(K30:K32)=1,1-SUM(K125:K127),"")</f>
        <v/>
      </c>
      <c r="L124" s="82" t="str">
        <f>IF(SUM(L30:L32)=1,1-SUM(L125:L127),"")</f>
        <v/>
      </c>
      <c r="M124" s="82"/>
      <c r="N124" s="82"/>
      <c r="O124" s="82"/>
      <c r="P124" s="82">
        <f>IF(P20=0,0,IF(P109+P116+P117+P122=0,1,0))</f>
        <v>1</v>
      </c>
      <c r="Q124" s="82"/>
      <c r="R124" s="82"/>
      <c r="S124" s="82">
        <f>IF(S20=0,0,IF(S109+S116+S117+S122=0,1,0))</f>
        <v>1</v>
      </c>
      <c r="T124" s="82"/>
      <c r="U124" s="82"/>
      <c r="V124" s="82">
        <f>IF(V20=0,0,IF(V109+V116+V117+V122=0,1,0))</f>
        <v>1</v>
      </c>
      <c r="W124" s="381"/>
      <c r="X124" s="82" t="str">
        <f>IF(SUM(X30:X32)=1,1-SUM(X125:X127),"")</f>
        <v/>
      </c>
      <c r="Y124" s="82">
        <f>P124+S124+V124</f>
        <v>3</v>
      </c>
      <c r="Z124" s="66">
        <f>IF(Y$128=0,0,Y124/Y$128)</f>
        <v>1</v>
      </c>
      <c r="AA124" s="66"/>
      <c r="AB124" s="66"/>
      <c r="AC124" s="83"/>
      <c r="AE124" s="82"/>
      <c r="AF124" s="82"/>
      <c r="AG124" s="82"/>
      <c r="AH124" s="82"/>
      <c r="AI124" s="66"/>
      <c r="AK124" s="82"/>
      <c r="AL124" s="82"/>
      <c r="AM124" s="82"/>
      <c r="AN124" s="82"/>
      <c r="AO124" s="66"/>
      <c r="AQ124" s="82"/>
      <c r="AR124" s="82"/>
      <c r="AS124" s="82"/>
      <c r="AT124" s="82"/>
      <c r="AU124" s="66"/>
      <c r="AW124" s="82"/>
      <c r="AX124" s="82"/>
      <c r="AY124" s="82"/>
      <c r="AZ124" s="82"/>
      <c r="BA124" s="66"/>
    </row>
    <row r="125" spans="1:53" s="97" customFormat="1" ht="17.100000000000001" customHeight="1" x14ac:dyDescent="0.25">
      <c r="A125" s="119"/>
      <c r="B125" s="119"/>
      <c r="C125" s="135"/>
      <c r="D125" s="133" t="s">
        <v>96</v>
      </c>
      <c r="E125" s="134"/>
      <c r="F125" s="134"/>
      <c r="G125" s="134"/>
      <c r="H125" s="928"/>
      <c r="I125" s="229"/>
      <c r="J125" s="82"/>
      <c r="K125" s="82"/>
      <c r="L125" s="82"/>
      <c r="M125" s="82"/>
      <c r="N125" s="82"/>
      <c r="O125" s="82"/>
      <c r="P125" s="82">
        <f>IF(P109+P116+P117+P122=1,1,0)</f>
        <v>0</v>
      </c>
      <c r="Q125" s="82"/>
      <c r="R125" s="82"/>
      <c r="S125" s="82">
        <f>IF(S109+S116+S117+S122=1,1,0)</f>
        <v>0</v>
      </c>
      <c r="T125" s="82"/>
      <c r="U125" s="82"/>
      <c r="V125" s="82">
        <f>IF(V109+V116+V117+V122=1,1,0)</f>
        <v>0</v>
      </c>
      <c r="W125" s="381"/>
      <c r="X125" s="82"/>
      <c r="Y125" s="82">
        <f t="shared" ref="Y125:Y127" si="94">P125+S125+V125</f>
        <v>0</v>
      </c>
      <c r="Z125" s="66">
        <f>IF(Y$128=0,0,Y125/Y$128)</f>
        <v>0</v>
      </c>
      <c r="AA125" s="66"/>
      <c r="AB125" s="66"/>
      <c r="AC125" s="83"/>
      <c r="AE125" s="82"/>
      <c r="AF125" s="82"/>
      <c r="AG125" s="82"/>
      <c r="AH125" s="82"/>
      <c r="AI125" s="66"/>
      <c r="AK125" s="82"/>
      <c r="AL125" s="82"/>
      <c r="AM125" s="82"/>
      <c r="AN125" s="82"/>
      <c r="AO125" s="66"/>
      <c r="AQ125" s="82"/>
      <c r="AR125" s="82"/>
      <c r="AS125" s="82"/>
      <c r="AT125" s="82"/>
      <c r="AU125" s="66"/>
      <c r="AW125" s="82"/>
      <c r="AX125" s="82"/>
      <c r="AY125" s="82"/>
      <c r="AZ125" s="82"/>
      <c r="BA125" s="66"/>
    </row>
    <row r="126" spans="1:53" s="97" customFormat="1" ht="17.100000000000001" customHeight="1" x14ac:dyDescent="0.25">
      <c r="A126" s="119"/>
      <c r="B126" s="119"/>
      <c r="C126" s="136"/>
      <c r="D126" s="133" t="s">
        <v>97</v>
      </c>
      <c r="E126" s="134"/>
      <c r="F126" s="134"/>
      <c r="G126" s="134"/>
      <c r="H126" s="928"/>
      <c r="I126" s="229"/>
      <c r="J126" s="82"/>
      <c r="K126" s="82"/>
      <c r="L126" s="82"/>
      <c r="M126" s="82"/>
      <c r="N126" s="82"/>
      <c r="O126" s="82"/>
      <c r="P126" s="82">
        <f>IF(P109+P116+P117+P122=2,1,0)</f>
        <v>0</v>
      </c>
      <c r="Q126" s="82"/>
      <c r="R126" s="82"/>
      <c r="S126" s="82">
        <f>IF(S109+S116+S117+S122=2,1,0)</f>
        <v>0</v>
      </c>
      <c r="T126" s="82"/>
      <c r="U126" s="82"/>
      <c r="V126" s="82">
        <f>IF(V109+V116+V117+V122=2,1,0)</f>
        <v>0</v>
      </c>
      <c r="W126" s="381"/>
      <c r="X126" s="82"/>
      <c r="Y126" s="82">
        <f t="shared" si="94"/>
        <v>0</v>
      </c>
      <c r="Z126" s="66">
        <f>IF(Y$128=0,0,Y126/Y$128)</f>
        <v>0</v>
      </c>
      <c r="AA126" s="66"/>
      <c r="AB126" s="66"/>
      <c r="AC126" s="83"/>
      <c r="AE126" s="82"/>
      <c r="AF126" s="82"/>
      <c r="AG126" s="82"/>
      <c r="AH126" s="82"/>
      <c r="AI126" s="66"/>
      <c r="AK126" s="82"/>
      <c r="AL126" s="82"/>
      <c r="AM126" s="82"/>
      <c r="AN126" s="82"/>
      <c r="AO126" s="66"/>
      <c r="AQ126" s="82"/>
      <c r="AR126" s="82"/>
      <c r="AS126" s="82"/>
      <c r="AT126" s="82"/>
      <c r="AU126" s="66"/>
      <c r="AW126" s="82"/>
      <c r="AX126" s="82"/>
      <c r="AY126" s="82"/>
      <c r="AZ126" s="82"/>
      <c r="BA126" s="66"/>
    </row>
    <row r="127" spans="1:53" s="97" customFormat="1" ht="17.100000000000001" customHeight="1" x14ac:dyDescent="0.25">
      <c r="A127" s="119"/>
      <c r="B127" s="119"/>
      <c r="C127" s="137"/>
      <c r="D127" s="133" t="s">
        <v>98</v>
      </c>
      <c r="E127" s="134"/>
      <c r="F127" s="134"/>
      <c r="G127" s="134"/>
      <c r="H127" s="928"/>
      <c r="I127" s="229"/>
      <c r="J127" s="82"/>
      <c r="K127" s="82"/>
      <c r="L127" s="82"/>
      <c r="M127" s="82"/>
      <c r="N127" s="82"/>
      <c r="O127" s="82"/>
      <c r="P127" s="82">
        <f>IF(P109+P116+P117+P122=3,1,0)</f>
        <v>0</v>
      </c>
      <c r="Q127" s="82"/>
      <c r="R127" s="82"/>
      <c r="S127" s="82">
        <f>IF(S109+S116+S117+S122=3,1,0)</f>
        <v>0</v>
      </c>
      <c r="T127" s="82"/>
      <c r="U127" s="82"/>
      <c r="V127" s="82">
        <f>IF(V109+V116+V117+V122=3,1,0)</f>
        <v>0</v>
      </c>
      <c r="W127" s="381"/>
      <c r="X127" s="82"/>
      <c r="Y127" s="82">
        <f t="shared" si="94"/>
        <v>0</v>
      </c>
      <c r="Z127" s="66">
        <f>IF(Y$128=0,0,Y127/Y$128)</f>
        <v>0</v>
      </c>
      <c r="AA127" s="66"/>
      <c r="AB127" s="66"/>
      <c r="AC127" s="83"/>
      <c r="AE127" s="82"/>
      <c r="AF127" s="82"/>
      <c r="AG127" s="82"/>
      <c r="AH127" s="82"/>
      <c r="AI127" s="66"/>
      <c r="AK127" s="82"/>
      <c r="AL127" s="82"/>
      <c r="AM127" s="82"/>
      <c r="AN127" s="82"/>
      <c r="AO127" s="66"/>
      <c r="AQ127" s="82"/>
      <c r="AR127" s="82"/>
      <c r="AS127" s="82"/>
      <c r="AT127" s="82"/>
      <c r="AU127" s="66"/>
      <c r="AW127" s="82"/>
      <c r="AX127" s="82"/>
      <c r="AY127" s="82"/>
      <c r="AZ127" s="82"/>
      <c r="BA127" s="66"/>
    </row>
    <row r="128" spans="1:53" s="97" customFormat="1" ht="17.100000000000001" customHeight="1" x14ac:dyDescent="0.25">
      <c r="A128" s="119"/>
      <c r="B128" s="119"/>
      <c r="C128" s="928"/>
      <c r="D128" s="133"/>
      <c r="E128" s="134"/>
      <c r="F128" s="134"/>
      <c r="G128" s="134"/>
      <c r="H128" s="928"/>
      <c r="I128" s="229"/>
      <c r="J128" s="82"/>
      <c r="K128" s="82"/>
      <c r="L128" s="82"/>
      <c r="M128" s="82"/>
      <c r="N128" s="82"/>
      <c r="O128" s="82"/>
      <c r="P128" s="82"/>
      <c r="Q128" s="82"/>
      <c r="R128" s="82"/>
      <c r="S128" s="82"/>
      <c r="T128" s="82"/>
      <c r="U128" s="82"/>
      <c r="V128" s="360"/>
      <c r="W128" s="381"/>
      <c r="X128" s="82"/>
      <c r="Y128" s="82">
        <f>SUM(Y124:Y127)</f>
        <v>3</v>
      </c>
      <c r="Z128" s="66">
        <f>IF(Y$128=0,0,Y128/Y$128)</f>
        <v>1</v>
      </c>
      <c r="AA128" s="66"/>
      <c r="AB128" s="66"/>
      <c r="AC128" s="83"/>
      <c r="AE128" s="82"/>
      <c r="AF128" s="82"/>
      <c r="AG128" s="82"/>
      <c r="AH128" s="82"/>
      <c r="AI128" s="66"/>
      <c r="AK128" s="82"/>
      <c r="AL128" s="82"/>
      <c r="AM128" s="82"/>
      <c r="AN128" s="82"/>
      <c r="AO128" s="66"/>
      <c r="AQ128" s="82"/>
      <c r="AR128" s="82"/>
      <c r="AS128" s="82"/>
      <c r="AT128" s="82"/>
      <c r="AU128" s="66"/>
      <c r="AW128" s="82"/>
      <c r="AX128" s="82"/>
      <c r="AY128" s="82"/>
      <c r="AZ128" s="82"/>
      <c r="BA128" s="66"/>
    </row>
    <row r="129" spans="1:53" s="97" customFormat="1" ht="17.100000000000001" customHeight="1" x14ac:dyDescent="0.25">
      <c r="A129" s="119"/>
      <c r="B129" s="119"/>
      <c r="C129" s="928"/>
      <c r="D129" s="127" t="s">
        <v>81</v>
      </c>
      <c r="E129" s="122"/>
      <c r="F129" s="122"/>
      <c r="G129" s="122"/>
      <c r="H129" s="928"/>
      <c r="I129" s="229"/>
      <c r="J129" s="123"/>
      <c r="K129" s="123"/>
      <c r="L129" s="123"/>
      <c r="M129" s="123"/>
      <c r="N129" s="123"/>
      <c r="O129" s="123"/>
      <c r="P129" s="123">
        <f t="shared" ref="P129" si="95">P109</f>
        <v>0</v>
      </c>
      <c r="Q129" s="123"/>
      <c r="R129" s="123"/>
      <c r="S129" s="123">
        <f t="shared" ref="S129" si="96">S109</f>
        <v>0</v>
      </c>
      <c r="T129" s="123"/>
      <c r="U129" s="123"/>
      <c r="V129" s="123">
        <f t="shared" ref="V129" si="97">V109</f>
        <v>0</v>
      </c>
      <c r="W129" s="383"/>
      <c r="X129" s="123"/>
      <c r="Y129" s="123">
        <f t="shared" ref="Y129" si="98">Y109</f>
        <v>0</v>
      </c>
      <c r="Z129" s="525"/>
      <c r="AA129" s="125"/>
      <c r="AB129" s="125"/>
      <c r="AC129" s="125"/>
      <c r="AE129" s="123"/>
      <c r="AF129" s="123"/>
      <c r="AG129" s="123"/>
      <c r="AH129" s="124"/>
      <c r="AI129" s="125"/>
      <c r="AK129" s="123"/>
      <c r="AL129" s="123"/>
      <c r="AM129" s="123"/>
      <c r="AN129" s="124"/>
      <c r="AO129" s="125"/>
      <c r="AQ129" s="123"/>
      <c r="AR129" s="123"/>
      <c r="AS129" s="123"/>
      <c r="AT129" s="124"/>
      <c r="AU129" s="125"/>
      <c r="AW129" s="123"/>
      <c r="AX129" s="123"/>
      <c r="AY129" s="123"/>
      <c r="AZ129" s="124"/>
      <c r="BA129" s="125"/>
    </row>
    <row r="130" spans="1:53" s="97" customFormat="1" ht="17.100000000000001" customHeight="1" x14ac:dyDescent="0.25">
      <c r="A130" s="119"/>
      <c r="B130" s="119"/>
      <c r="C130" s="1310"/>
      <c r="D130" s="127" t="s">
        <v>87</v>
      </c>
      <c r="E130" s="122"/>
      <c r="F130" s="122"/>
      <c r="G130" s="122"/>
      <c r="H130" s="1310"/>
      <c r="I130" s="229"/>
      <c r="J130" s="123"/>
      <c r="K130" s="123"/>
      <c r="L130" s="123"/>
      <c r="M130" s="123"/>
      <c r="N130" s="123"/>
      <c r="O130" s="123"/>
      <c r="P130" s="123">
        <f>P116+P117</f>
        <v>0</v>
      </c>
      <c r="Q130" s="123"/>
      <c r="R130" s="123"/>
      <c r="S130" s="123">
        <f>S116+S117</f>
        <v>0</v>
      </c>
      <c r="T130" s="123"/>
      <c r="U130" s="123"/>
      <c r="V130" s="123">
        <f>V116+V117</f>
        <v>0</v>
      </c>
      <c r="W130" s="383"/>
      <c r="X130" s="123"/>
      <c r="Y130" s="123">
        <f>Y116+Y117</f>
        <v>0</v>
      </c>
      <c r="Z130" s="525"/>
      <c r="AA130" s="125"/>
      <c r="AB130" s="125"/>
      <c r="AC130" s="125"/>
      <c r="AE130" s="123"/>
      <c r="AF130" s="123"/>
      <c r="AG130" s="123"/>
      <c r="AH130" s="124"/>
      <c r="AI130" s="125"/>
      <c r="AK130" s="123"/>
      <c r="AL130" s="123"/>
      <c r="AM130" s="123"/>
      <c r="AN130" s="124"/>
      <c r="AO130" s="125"/>
      <c r="AQ130" s="123"/>
      <c r="AR130" s="123"/>
      <c r="AS130" s="123"/>
      <c r="AT130" s="124"/>
      <c r="AU130" s="125"/>
      <c r="AW130" s="123"/>
      <c r="AX130" s="123"/>
      <c r="AY130" s="123"/>
      <c r="AZ130" s="124"/>
      <c r="BA130" s="125"/>
    </row>
    <row r="131" spans="1:53" s="97" customFormat="1" ht="17.100000000000001" customHeight="1" x14ac:dyDescent="0.25">
      <c r="A131" s="119"/>
      <c r="B131" s="119"/>
      <c r="C131" s="928"/>
      <c r="D131" s="127" t="s">
        <v>923</v>
      </c>
      <c r="E131" s="122"/>
      <c r="F131" s="122"/>
      <c r="G131" s="122"/>
      <c r="H131" s="928"/>
      <c r="I131" s="229"/>
      <c r="J131" s="123"/>
      <c r="K131" s="123"/>
      <c r="L131" s="123"/>
      <c r="M131" s="123"/>
      <c r="N131" s="123"/>
      <c r="O131" s="123"/>
      <c r="P131" s="123"/>
      <c r="Q131" s="123"/>
      <c r="R131" s="123"/>
      <c r="S131" s="123"/>
      <c r="T131" s="123"/>
      <c r="U131" s="123"/>
      <c r="V131" s="123"/>
      <c r="W131" s="383"/>
      <c r="X131" s="123"/>
      <c r="Y131" s="123"/>
      <c r="Z131" s="525"/>
      <c r="AA131" s="130"/>
      <c r="AB131" s="130"/>
      <c r="AC131" s="125"/>
      <c r="AE131" s="123"/>
      <c r="AF131" s="123"/>
      <c r="AG131" s="123"/>
      <c r="AH131" s="129"/>
      <c r="AI131" s="130"/>
      <c r="AK131" s="123"/>
      <c r="AL131" s="123"/>
      <c r="AM131" s="123"/>
      <c r="AN131" s="129"/>
      <c r="AO131" s="130"/>
      <c r="AQ131" s="123"/>
      <c r="AR131" s="123"/>
      <c r="AS131" s="123"/>
      <c r="AT131" s="129"/>
      <c r="AU131" s="130"/>
      <c r="AW131" s="123"/>
      <c r="AX131" s="123"/>
      <c r="AY131" s="123"/>
      <c r="AZ131" s="129"/>
      <c r="BA131" s="130"/>
    </row>
    <row r="132" spans="1:53" s="97" customFormat="1" ht="17.100000000000001" customHeight="1" x14ac:dyDescent="0.25">
      <c r="A132" s="119"/>
      <c r="B132" s="119"/>
      <c r="C132" s="928"/>
      <c r="D132" s="127" t="s">
        <v>922</v>
      </c>
      <c r="E132" s="122"/>
      <c r="F132" s="122"/>
      <c r="G132" s="122"/>
      <c r="H132" s="928"/>
      <c r="I132" s="229"/>
      <c r="J132" s="123"/>
      <c r="K132" s="123"/>
      <c r="L132" s="123"/>
      <c r="M132" s="123"/>
      <c r="N132" s="123"/>
      <c r="O132" s="123"/>
      <c r="P132" s="123">
        <f t="shared" ref="P132" si="99">SUM(P129:P131)</f>
        <v>0</v>
      </c>
      <c r="Q132" s="123"/>
      <c r="R132" s="123"/>
      <c r="S132" s="123">
        <f t="shared" ref="S132" si="100">SUM(S129:S131)</f>
        <v>0</v>
      </c>
      <c r="T132" s="123"/>
      <c r="U132" s="123"/>
      <c r="V132" s="123">
        <f t="shared" ref="V132" si="101">SUM(V129:V131)</f>
        <v>0</v>
      </c>
      <c r="W132" s="383"/>
      <c r="X132" s="123"/>
      <c r="Y132" s="123">
        <f t="shared" ref="Y132:Y133" si="102">SUM(Y129:Y131)</f>
        <v>0</v>
      </c>
      <c r="Z132" s="525"/>
      <c r="AA132" s="125"/>
      <c r="AB132" s="125"/>
      <c r="AC132" s="125"/>
      <c r="AE132" s="123"/>
      <c r="AF132" s="123"/>
      <c r="AG132" s="123"/>
      <c r="AH132" s="124"/>
      <c r="AI132" s="125"/>
      <c r="AK132" s="123"/>
      <c r="AL132" s="123"/>
      <c r="AM132" s="123"/>
      <c r="AN132" s="124"/>
      <c r="AO132" s="125"/>
      <c r="AQ132" s="123"/>
      <c r="AR132" s="123"/>
      <c r="AS132" s="123"/>
      <c r="AT132" s="124"/>
      <c r="AU132" s="125"/>
      <c r="AW132" s="123"/>
      <c r="AX132" s="123"/>
      <c r="AY132" s="123"/>
      <c r="AZ132" s="124"/>
      <c r="BA132" s="125"/>
    </row>
    <row r="133" spans="1:53" s="97" customFormat="1" ht="17.100000000000001" customHeight="1" x14ac:dyDescent="0.25">
      <c r="A133" s="119"/>
      <c r="B133" s="119"/>
      <c r="C133" s="103" t="s">
        <v>99</v>
      </c>
      <c r="D133" s="85" t="s">
        <v>921</v>
      </c>
      <c r="E133" s="75"/>
      <c r="F133" s="75"/>
      <c r="G133" s="75"/>
      <c r="H133" s="928"/>
      <c r="I133" s="229"/>
      <c r="J133" s="927"/>
      <c r="K133" s="927"/>
      <c r="L133" s="927"/>
      <c r="M133" s="927"/>
      <c r="N133" s="927"/>
      <c r="O133" s="927"/>
      <c r="P133" s="927">
        <f t="shared" ref="P133" si="103">IF(P132&gt;=1,1,0)</f>
        <v>0</v>
      </c>
      <c r="Q133" s="927"/>
      <c r="R133" s="927"/>
      <c r="S133" s="927">
        <f t="shared" ref="S133" si="104">IF(S132&gt;=1,1,0)</f>
        <v>0</v>
      </c>
      <c r="T133" s="927"/>
      <c r="U133" s="927"/>
      <c r="V133" s="927">
        <f t="shared" ref="V133" si="105">IF(V132&gt;=1,1,0)</f>
        <v>0</v>
      </c>
      <c r="W133" s="382"/>
      <c r="X133" s="927"/>
      <c r="Y133" s="927">
        <f t="shared" si="102"/>
        <v>0</v>
      </c>
      <c r="Z133" s="91"/>
      <c r="AA133" s="91"/>
      <c r="AB133" s="91"/>
      <c r="AC133" s="84"/>
      <c r="AE133" s="927"/>
      <c r="AF133" s="927"/>
      <c r="AG133" s="927"/>
      <c r="AH133" s="927"/>
      <c r="AI133" s="91"/>
      <c r="AK133" s="927"/>
      <c r="AL133" s="927"/>
      <c r="AM133" s="927"/>
      <c r="AN133" s="927"/>
      <c r="AO133" s="91"/>
      <c r="AQ133" s="927"/>
      <c r="AR133" s="927"/>
      <c r="AS133" s="927"/>
      <c r="AT133" s="927"/>
      <c r="AU133" s="91"/>
      <c r="AW133" s="927"/>
      <c r="AX133" s="927"/>
      <c r="AY133" s="927"/>
      <c r="AZ133" s="927"/>
      <c r="BA133" s="91"/>
    </row>
    <row r="134" spans="1:53" s="97" customFormat="1" ht="17.100000000000001" customHeight="1" x14ac:dyDescent="0.25">
      <c r="A134" s="138"/>
      <c r="B134" s="138"/>
      <c r="C134" s="139"/>
      <c r="D134" s="12"/>
      <c r="E134" s="12"/>
      <c r="F134" s="12"/>
      <c r="G134" s="12"/>
      <c r="H134" s="139"/>
      <c r="I134" s="12"/>
      <c r="J134" s="95"/>
      <c r="K134" s="95"/>
      <c r="L134" s="95"/>
      <c r="M134" s="95"/>
      <c r="N134" s="95"/>
      <c r="O134" s="95"/>
      <c r="P134" s="95"/>
      <c r="Q134" s="95"/>
      <c r="R134" s="95"/>
      <c r="S134" s="95"/>
      <c r="T134" s="95"/>
      <c r="U134" s="95"/>
      <c r="V134" s="95"/>
      <c r="W134" s="378"/>
      <c r="X134" s="95"/>
      <c r="Y134" s="96"/>
      <c r="AE134" s="109"/>
      <c r="AF134" s="109"/>
      <c r="AG134" s="109"/>
      <c r="AH134" s="96"/>
      <c r="AK134" s="109"/>
      <c r="AL134" s="109"/>
      <c r="AM134" s="109"/>
      <c r="AN134" s="96"/>
      <c r="AQ134" s="109"/>
      <c r="AR134" s="109"/>
      <c r="AS134" s="109"/>
      <c r="AT134" s="96"/>
      <c r="AW134" s="109"/>
      <c r="AX134" s="109"/>
      <c r="AY134" s="109"/>
      <c r="AZ134" s="96"/>
    </row>
    <row r="135" spans="1:53" s="32" customFormat="1" ht="16.5" thickBot="1" x14ac:dyDescent="0.3">
      <c r="A135" s="24" t="s">
        <v>100</v>
      </c>
      <c r="B135" s="25" t="s">
        <v>101</v>
      </c>
      <c r="C135" s="26"/>
      <c r="D135" s="27"/>
      <c r="E135" s="27"/>
      <c r="F135" s="27"/>
      <c r="G135" s="28"/>
      <c r="H135" s="215"/>
      <c r="I135" s="228"/>
      <c r="J135" s="140"/>
      <c r="K135" s="140"/>
      <c r="L135" s="140"/>
      <c r="M135" s="140"/>
      <c r="N135" s="140"/>
      <c r="O135" s="140"/>
      <c r="P135" s="140"/>
      <c r="Q135" s="140"/>
      <c r="R135" s="140"/>
      <c r="S135" s="140"/>
      <c r="T135" s="140"/>
      <c r="U135" s="140"/>
      <c r="V135" s="365"/>
      <c r="W135" s="379"/>
      <c r="X135" s="140"/>
      <c r="Y135" s="30" t="s">
        <v>4</v>
      </c>
      <c r="Z135" s="31" t="s">
        <v>5</v>
      </c>
      <c r="AA135" s="31" t="s">
        <v>181</v>
      </c>
      <c r="AB135" s="31" t="s">
        <v>182</v>
      </c>
      <c r="AC135" s="31" t="s">
        <v>6</v>
      </c>
      <c r="AE135" s="33" t="s">
        <v>181</v>
      </c>
      <c r="AF135" s="33" t="s">
        <v>182</v>
      </c>
      <c r="AG135" s="33" t="s">
        <v>6</v>
      </c>
      <c r="AH135" s="33" t="s">
        <v>4</v>
      </c>
      <c r="AI135" s="34" t="s">
        <v>5</v>
      </c>
      <c r="AJ135" s="408"/>
      <c r="AK135" s="36" t="s">
        <v>181</v>
      </c>
      <c r="AL135" s="36" t="s">
        <v>182</v>
      </c>
      <c r="AM135" s="36" t="s">
        <v>6</v>
      </c>
      <c r="AN135" s="36" t="s">
        <v>4</v>
      </c>
      <c r="AO135" s="37" t="s">
        <v>5</v>
      </c>
      <c r="AP135" s="408"/>
      <c r="AQ135" s="36"/>
      <c r="AR135" s="36"/>
      <c r="AS135" s="36"/>
      <c r="AT135" s="36"/>
      <c r="AU135" s="37"/>
      <c r="AV135" s="408"/>
      <c r="AW135" s="38" t="s">
        <v>181</v>
      </c>
      <c r="AX135" s="38" t="s">
        <v>182</v>
      </c>
      <c r="AY135" s="38" t="s">
        <v>6</v>
      </c>
      <c r="AZ135" s="38" t="s">
        <v>4</v>
      </c>
      <c r="BA135" s="39" t="s">
        <v>5</v>
      </c>
    </row>
    <row r="136" spans="1:53" ht="17.100000000000001" customHeight="1" x14ac:dyDescent="0.25">
      <c r="A136" s="68"/>
      <c r="B136" s="41" t="s">
        <v>102</v>
      </c>
      <c r="C136" s="69" t="s">
        <v>103</v>
      </c>
      <c r="D136" s="50"/>
      <c r="E136" s="70"/>
      <c r="F136" s="70"/>
      <c r="G136" s="70"/>
      <c r="H136" s="263">
        <v>2</v>
      </c>
      <c r="J136" s="71"/>
      <c r="K136" s="71"/>
      <c r="L136" s="71"/>
      <c r="M136" s="71"/>
      <c r="N136" s="71"/>
      <c r="O136" s="71"/>
      <c r="P136" s="71"/>
      <c r="Q136" s="71"/>
      <c r="R136" s="71"/>
      <c r="S136" s="71"/>
      <c r="T136" s="71"/>
      <c r="U136" s="71"/>
      <c r="V136" s="355"/>
      <c r="W136" s="377"/>
      <c r="X136" s="71"/>
      <c r="Y136" s="72"/>
      <c r="Z136" s="73"/>
      <c r="AA136" s="73"/>
      <c r="AB136" s="73"/>
      <c r="AC136" s="73"/>
      <c r="AE136" s="71"/>
      <c r="AF136" s="71"/>
      <c r="AG136" s="71"/>
      <c r="AH136" s="72"/>
      <c r="AI136" s="73"/>
      <c r="AK136" s="71"/>
      <c r="AL136" s="71"/>
      <c r="AM136" s="71"/>
      <c r="AN136" s="72"/>
      <c r="AO136" s="73"/>
      <c r="AQ136" s="71"/>
      <c r="AR136" s="71"/>
      <c r="AS136" s="71"/>
      <c r="AT136" s="72"/>
      <c r="AU136" s="73"/>
      <c r="AW136" s="71"/>
      <c r="AX136" s="71"/>
      <c r="AY136" s="71"/>
      <c r="AZ136" s="72"/>
      <c r="BA136" s="73"/>
    </row>
    <row r="137" spans="1:53" ht="17.100000000000001" customHeight="1" x14ac:dyDescent="0.25">
      <c r="A137" s="40"/>
      <c r="B137" s="40"/>
      <c r="C137" s="74" t="s">
        <v>104</v>
      </c>
      <c r="D137" s="75" t="s">
        <v>404</v>
      </c>
      <c r="E137" s="75"/>
      <c r="F137" s="75"/>
      <c r="G137" s="542"/>
      <c r="H137" s="540"/>
      <c r="I137" s="235"/>
      <c r="J137" s="581"/>
      <c r="K137" s="581"/>
      <c r="L137" s="582"/>
      <c r="M137" s="17">
        <f t="shared" ref="M137:M146" si="106">SUM(J137:L137)</f>
        <v>0</v>
      </c>
      <c r="N137" s="111"/>
      <c r="O137" s="111"/>
      <c r="P137" s="111"/>
      <c r="Q137" s="111"/>
      <c r="R137" s="111"/>
      <c r="S137" s="111"/>
      <c r="T137" s="111"/>
      <c r="U137" s="111"/>
      <c r="V137" s="358"/>
      <c r="W137" s="391">
        <f t="shared" ref="W137:W146" si="107">J137+K137+N137+Q137+T137</f>
        <v>0</v>
      </c>
      <c r="X137" s="17">
        <f t="shared" ref="X137:X146" si="108">L137+O137+R137+U137</f>
        <v>0</v>
      </c>
      <c r="Y137" s="18">
        <f t="shared" ref="Y137:Y146" si="109">SUM(W137:X137)</f>
        <v>0</v>
      </c>
      <c r="Z137" s="19">
        <f>IF(Y$147=0,0,Y137/Y$147)</f>
        <v>0</v>
      </c>
      <c r="AA137" s="19"/>
      <c r="AB137" s="19"/>
      <c r="AC137" s="20"/>
      <c r="AE137" s="17"/>
      <c r="AF137" s="17"/>
      <c r="AG137" s="17"/>
      <c r="AH137" s="18">
        <f t="shared" ref="AH137:AH146" si="110">J137</f>
        <v>0</v>
      </c>
      <c r="AI137" s="19">
        <f>IF(AH$147=0,0,AH137/AH$147)</f>
        <v>0</v>
      </c>
      <c r="AK137" s="17"/>
      <c r="AL137" s="17"/>
      <c r="AM137" s="17"/>
      <c r="AN137" s="18">
        <f t="shared" ref="AN137:AN146" si="111">K137</f>
        <v>0</v>
      </c>
      <c r="AO137" s="19">
        <f>IF(AN$147=0,0,AN137/AN$147)</f>
        <v>0</v>
      </c>
      <c r="AQ137" s="17"/>
      <c r="AR137" s="17"/>
      <c r="AS137" s="17"/>
      <c r="AT137" s="18">
        <f t="shared" ref="AT137:AT146" si="112">W137</f>
        <v>0</v>
      </c>
      <c r="AU137" s="19">
        <f>IF(AT$147=0,0,AT137/AT$147)</f>
        <v>0</v>
      </c>
      <c r="AW137" s="17"/>
      <c r="AX137" s="17"/>
      <c r="AY137" s="17"/>
      <c r="AZ137" s="18">
        <f t="shared" ref="AZ137:AZ146" si="113">X137</f>
        <v>0</v>
      </c>
      <c r="BA137" s="19">
        <f>IF(AZ$147=0,0,AZ137/AZ$147)</f>
        <v>0</v>
      </c>
    </row>
    <row r="138" spans="1:53" ht="17.100000000000001" customHeight="1" x14ac:dyDescent="0.25">
      <c r="A138" s="40"/>
      <c r="B138" s="40"/>
      <c r="C138" s="74" t="s">
        <v>105</v>
      </c>
      <c r="D138" s="75" t="s">
        <v>405</v>
      </c>
      <c r="E138" s="75"/>
      <c r="F138" s="75"/>
      <c r="G138" s="542"/>
      <c r="H138" s="540"/>
      <c r="I138" s="235"/>
      <c r="J138" s="583"/>
      <c r="K138" s="583"/>
      <c r="L138" s="584"/>
      <c r="M138" s="17">
        <f t="shared" si="106"/>
        <v>0</v>
      </c>
      <c r="N138" s="111"/>
      <c r="O138" s="111"/>
      <c r="P138" s="111"/>
      <c r="Q138" s="111"/>
      <c r="R138" s="111"/>
      <c r="S138" s="111"/>
      <c r="T138" s="111"/>
      <c r="U138" s="111"/>
      <c r="V138" s="358"/>
      <c r="W138" s="391">
        <f t="shared" si="107"/>
        <v>0</v>
      </c>
      <c r="X138" s="17">
        <f t="shared" si="108"/>
        <v>0</v>
      </c>
      <c r="Y138" s="18">
        <f t="shared" si="109"/>
        <v>0</v>
      </c>
      <c r="Z138" s="19">
        <f t="shared" ref="Z138:Z146" si="114">IF(Y$147=0,0,Y138/Y$147)</f>
        <v>0</v>
      </c>
      <c r="AA138" s="19"/>
      <c r="AB138" s="19"/>
      <c r="AC138" s="20"/>
      <c r="AE138" s="17"/>
      <c r="AF138" s="17"/>
      <c r="AG138" s="17"/>
      <c r="AH138" s="18">
        <f t="shared" si="110"/>
        <v>0</v>
      </c>
      <c r="AI138" s="19">
        <f t="shared" ref="AI138:AI147" si="115">IF(AH$147=0,0,AH138/AH$147)</f>
        <v>0</v>
      </c>
      <c r="AK138" s="17"/>
      <c r="AL138" s="17"/>
      <c r="AM138" s="17"/>
      <c r="AN138" s="18">
        <f t="shared" si="111"/>
        <v>0</v>
      </c>
      <c r="AO138" s="19">
        <f t="shared" ref="AO138:AO147" si="116">IF(AN$147=0,0,AN138/AN$147)</f>
        <v>0</v>
      </c>
      <c r="AQ138" s="17"/>
      <c r="AR138" s="17"/>
      <c r="AS138" s="17"/>
      <c r="AT138" s="18">
        <f t="shared" si="112"/>
        <v>0</v>
      </c>
      <c r="AU138" s="19">
        <f t="shared" ref="AU138:AU147" si="117">IF(AT$147=0,0,AT138/AT$147)</f>
        <v>0</v>
      </c>
      <c r="AW138" s="17"/>
      <c r="AX138" s="17"/>
      <c r="AY138" s="17"/>
      <c r="AZ138" s="18">
        <f t="shared" si="113"/>
        <v>0</v>
      </c>
      <c r="BA138" s="19">
        <f t="shared" ref="BA138:BA147" si="118">IF(AZ$147=0,0,AZ138/AZ$147)</f>
        <v>0</v>
      </c>
    </row>
    <row r="139" spans="1:53" ht="17.100000000000001" customHeight="1" x14ac:dyDescent="0.25">
      <c r="A139" s="40"/>
      <c r="B139" s="40"/>
      <c r="C139" s="74" t="s">
        <v>106</v>
      </c>
      <c r="D139" s="75" t="s">
        <v>406</v>
      </c>
      <c r="E139" s="75"/>
      <c r="F139" s="75"/>
      <c r="G139" s="542"/>
      <c r="H139" s="540"/>
      <c r="I139" s="235"/>
      <c r="J139" s="581"/>
      <c r="K139" s="581"/>
      <c r="L139" s="582"/>
      <c r="M139" s="17">
        <f t="shared" si="106"/>
        <v>0</v>
      </c>
      <c r="N139" s="111"/>
      <c r="O139" s="111"/>
      <c r="P139" s="111"/>
      <c r="Q139" s="111"/>
      <c r="R139" s="111"/>
      <c r="S139" s="111"/>
      <c r="T139" s="111"/>
      <c r="U139" s="111"/>
      <c r="V139" s="358"/>
      <c r="W139" s="391">
        <f t="shared" si="107"/>
        <v>0</v>
      </c>
      <c r="X139" s="17">
        <f t="shared" si="108"/>
        <v>0</v>
      </c>
      <c r="Y139" s="18">
        <f t="shared" si="109"/>
        <v>0</v>
      </c>
      <c r="Z139" s="19">
        <f t="shared" si="114"/>
        <v>0</v>
      </c>
      <c r="AA139" s="19"/>
      <c r="AB139" s="19"/>
      <c r="AC139" s="20"/>
      <c r="AE139" s="17"/>
      <c r="AF139" s="17"/>
      <c r="AG139" s="17"/>
      <c r="AH139" s="18">
        <f t="shared" si="110"/>
        <v>0</v>
      </c>
      <c r="AI139" s="19">
        <f t="shared" si="115"/>
        <v>0</v>
      </c>
      <c r="AK139" s="17"/>
      <c r="AL139" s="17"/>
      <c r="AM139" s="17"/>
      <c r="AN139" s="18">
        <f t="shared" si="111"/>
        <v>0</v>
      </c>
      <c r="AO139" s="19">
        <f t="shared" si="116"/>
        <v>0</v>
      </c>
      <c r="AQ139" s="17"/>
      <c r="AR139" s="17"/>
      <c r="AS139" s="17"/>
      <c r="AT139" s="18">
        <f t="shared" si="112"/>
        <v>0</v>
      </c>
      <c r="AU139" s="19">
        <f t="shared" si="117"/>
        <v>0</v>
      </c>
      <c r="AW139" s="17"/>
      <c r="AX139" s="17"/>
      <c r="AY139" s="17"/>
      <c r="AZ139" s="18">
        <f t="shared" si="113"/>
        <v>0</v>
      </c>
      <c r="BA139" s="19">
        <f t="shared" si="118"/>
        <v>0</v>
      </c>
    </row>
    <row r="140" spans="1:53" ht="17.100000000000001" customHeight="1" x14ac:dyDescent="0.25">
      <c r="A140" s="40"/>
      <c r="B140" s="40"/>
      <c r="C140" s="74" t="s">
        <v>107</v>
      </c>
      <c r="D140" s="75" t="s">
        <v>407</v>
      </c>
      <c r="E140" s="75"/>
      <c r="F140" s="75"/>
      <c r="G140" s="75"/>
      <c r="H140" s="540"/>
      <c r="I140" s="229"/>
      <c r="J140" s="583"/>
      <c r="K140" s="583"/>
      <c r="L140" s="584"/>
      <c r="M140" s="17">
        <f t="shared" si="106"/>
        <v>0</v>
      </c>
      <c r="N140" s="111"/>
      <c r="O140" s="111"/>
      <c r="P140" s="111"/>
      <c r="Q140" s="111"/>
      <c r="R140" s="111"/>
      <c r="S140" s="111"/>
      <c r="T140" s="111"/>
      <c r="U140" s="111"/>
      <c r="V140" s="358"/>
      <c r="W140" s="391">
        <f t="shared" si="107"/>
        <v>0</v>
      </c>
      <c r="X140" s="17">
        <f t="shared" si="108"/>
        <v>0</v>
      </c>
      <c r="Y140" s="18">
        <f t="shared" si="109"/>
        <v>0</v>
      </c>
      <c r="Z140" s="19">
        <f t="shared" si="114"/>
        <v>0</v>
      </c>
      <c r="AA140" s="19"/>
      <c r="AB140" s="19"/>
      <c r="AC140" s="20"/>
      <c r="AE140" s="17"/>
      <c r="AF140" s="17"/>
      <c r="AG140" s="17"/>
      <c r="AH140" s="18">
        <f t="shared" si="110"/>
        <v>0</v>
      </c>
      <c r="AI140" s="19">
        <f t="shared" si="115"/>
        <v>0</v>
      </c>
      <c r="AK140" s="17"/>
      <c r="AL140" s="17"/>
      <c r="AM140" s="17"/>
      <c r="AN140" s="18">
        <f t="shared" si="111"/>
        <v>0</v>
      </c>
      <c r="AO140" s="19">
        <f t="shared" si="116"/>
        <v>0</v>
      </c>
      <c r="AQ140" s="17"/>
      <c r="AR140" s="17"/>
      <c r="AS140" s="17"/>
      <c r="AT140" s="18">
        <f t="shared" si="112"/>
        <v>0</v>
      </c>
      <c r="AU140" s="19">
        <f t="shared" si="117"/>
        <v>0</v>
      </c>
      <c r="AW140" s="17"/>
      <c r="AX140" s="17"/>
      <c r="AY140" s="17"/>
      <c r="AZ140" s="18">
        <f t="shared" si="113"/>
        <v>0</v>
      </c>
      <c r="BA140" s="19">
        <f t="shared" si="118"/>
        <v>0</v>
      </c>
    </row>
    <row r="141" spans="1:53" ht="17.100000000000001" customHeight="1" x14ac:dyDescent="0.25">
      <c r="A141" s="40"/>
      <c r="B141" s="40"/>
      <c r="C141" s="56" t="s">
        <v>108</v>
      </c>
      <c r="D141" s="75" t="s">
        <v>408</v>
      </c>
      <c r="E141" s="542"/>
      <c r="F141" s="542"/>
      <c r="G141" s="542"/>
      <c r="H141" s="540"/>
      <c r="I141" s="235"/>
      <c r="J141" s="581"/>
      <c r="K141" s="581"/>
      <c r="L141" s="582"/>
      <c r="M141" s="17">
        <f t="shared" si="106"/>
        <v>0</v>
      </c>
      <c r="N141" s="111"/>
      <c r="O141" s="111"/>
      <c r="P141" s="111"/>
      <c r="Q141" s="111"/>
      <c r="R141" s="111"/>
      <c r="S141" s="111"/>
      <c r="T141" s="111"/>
      <c r="U141" s="111"/>
      <c r="V141" s="358"/>
      <c r="W141" s="391">
        <f t="shared" si="107"/>
        <v>0</v>
      </c>
      <c r="X141" s="17">
        <f t="shared" si="108"/>
        <v>0</v>
      </c>
      <c r="Y141" s="18">
        <f t="shared" si="109"/>
        <v>0</v>
      </c>
      <c r="Z141" s="19">
        <f t="shared" si="114"/>
        <v>0</v>
      </c>
      <c r="AA141" s="19"/>
      <c r="AB141" s="19"/>
      <c r="AC141" s="20"/>
      <c r="AE141" s="17"/>
      <c r="AF141" s="17"/>
      <c r="AG141" s="17"/>
      <c r="AH141" s="18">
        <f t="shared" si="110"/>
        <v>0</v>
      </c>
      <c r="AI141" s="19">
        <f t="shared" si="115"/>
        <v>0</v>
      </c>
      <c r="AK141" s="17"/>
      <c r="AL141" s="17"/>
      <c r="AM141" s="17"/>
      <c r="AN141" s="18">
        <f t="shared" si="111"/>
        <v>0</v>
      </c>
      <c r="AO141" s="19">
        <f t="shared" si="116"/>
        <v>0</v>
      </c>
      <c r="AQ141" s="17"/>
      <c r="AR141" s="17"/>
      <c r="AS141" s="17"/>
      <c r="AT141" s="18">
        <f t="shared" si="112"/>
        <v>0</v>
      </c>
      <c r="AU141" s="19">
        <f t="shared" si="117"/>
        <v>0</v>
      </c>
      <c r="AW141" s="17"/>
      <c r="AX141" s="17"/>
      <c r="AY141" s="17"/>
      <c r="AZ141" s="18">
        <f t="shared" si="113"/>
        <v>0</v>
      </c>
      <c r="BA141" s="19">
        <f t="shared" si="118"/>
        <v>0</v>
      </c>
    </row>
    <row r="142" spans="1:53" ht="17.100000000000001" customHeight="1" x14ac:dyDescent="0.25">
      <c r="A142" s="40"/>
      <c r="B142" s="40"/>
      <c r="C142" s="74" t="s">
        <v>399</v>
      </c>
      <c r="D142" s="75" t="s">
        <v>409</v>
      </c>
      <c r="E142" s="150"/>
      <c r="F142" s="151"/>
      <c r="G142" s="151"/>
      <c r="H142" s="119"/>
      <c r="I142" s="236"/>
      <c r="J142" s="583"/>
      <c r="K142" s="583"/>
      <c r="L142" s="584"/>
      <c r="M142" s="17">
        <f t="shared" si="106"/>
        <v>0</v>
      </c>
      <c r="N142" s="111"/>
      <c r="O142" s="111"/>
      <c r="P142" s="111"/>
      <c r="Q142" s="111"/>
      <c r="R142" s="111"/>
      <c r="S142" s="111"/>
      <c r="T142" s="111"/>
      <c r="U142" s="111"/>
      <c r="V142" s="358"/>
      <c r="W142" s="391">
        <f t="shared" si="107"/>
        <v>0</v>
      </c>
      <c r="X142" s="17">
        <f t="shared" si="108"/>
        <v>0</v>
      </c>
      <c r="Y142" s="18">
        <f t="shared" si="109"/>
        <v>0</v>
      </c>
      <c r="Z142" s="19">
        <f t="shared" si="114"/>
        <v>0</v>
      </c>
      <c r="AA142" s="19"/>
      <c r="AB142" s="19"/>
      <c r="AC142" s="20"/>
      <c r="AE142" s="17"/>
      <c r="AF142" s="17"/>
      <c r="AG142" s="17"/>
      <c r="AH142" s="18">
        <f t="shared" si="110"/>
        <v>0</v>
      </c>
      <c r="AI142" s="19">
        <f t="shared" si="115"/>
        <v>0</v>
      </c>
      <c r="AK142" s="17"/>
      <c r="AL142" s="17"/>
      <c r="AM142" s="17"/>
      <c r="AN142" s="18">
        <f t="shared" si="111"/>
        <v>0</v>
      </c>
      <c r="AO142" s="19">
        <f t="shared" si="116"/>
        <v>0</v>
      </c>
      <c r="AQ142" s="17"/>
      <c r="AR142" s="17"/>
      <c r="AS142" s="17"/>
      <c r="AT142" s="18">
        <f t="shared" si="112"/>
        <v>0</v>
      </c>
      <c r="AU142" s="19">
        <f t="shared" si="117"/>
        <v>0</v>
      </c>
      <c r="AW142" s="17"/>
      <c r="AX142" s="17"/>
      <c r="AY142" s="17"/>
      <c r="AZ142" s="18">
        <f t="shared" si="113"/>
        <v>0</v>
      </c>
      <c r="BA142" s="19">
        <f t="shared" si="118"/>
        <v>0</v>
      </c>
    </row>
    <row r="143" spans="1:53" ht="17.100000000000001" customHeight="1" x14ac:dyDescent="0.25">
      <c r="A143" s="40"/>
      <c r="B143" s="40"/>
      <c r="C143" s="56" t="s">
        <v>400</v>
      </c>
      <c r="D143" s="75" t="s">
        <v>410</v>
      </c>
      <c r="E143" s="150"/>
      <c r="F143" s="151"/>
      <c r="G143" s="151"/>
      <c r="H143" s="119"/>
      <c r="I143" s="236"/>
      <c r="J143" s="581"/>
      <c r="K143" s="581"/>
      <c r="L143" s="582"/>
      <c r="M143" s="17">
        <f t="shared" si="106"/>
        <v>0</v>
      </c>
      <c r="N143" s="111"/>
      <c r="O143" s="111"/>
      <c r="P143" s="111"/>
      <c r="Q143" s="111"/>
      <c r="R143" s="111"/>
      <c r="S143" s="111"/>
      <c r="T143" s="111"/>
      <c r="U143" s="111"/>
      <c r="V143" s="358"/>
      <c r="W143" s="391">
        <f t="shared" si="107"/>
        <v>0</v>
      </c>
      <c r="X143" s="17">
        <f t="shared" si="108"/>
        <v>0</v>
      </c>
      <c r="Y143" s="18">
        <f t="shared" si="109"/>
        <v>0</v>
      </c>
      <c r="Z143" s="19">
        <f t="shared" si="114"/>
        <v>0</v>
      </c>
      <c r="AA143" s="19"/>
      <c r="AB143" s="19"/>
      <c r="AC143" s="20"/>
      <c r="AE143" s="17"/>
      <c r="AF143" s="17"/>
      <c r="AG143" s="17"/>
      <c r="AH143" s="18">
        <f t="shared" si="110"/>
        <v>0</v>
      </c>
      <c r="AI143" s="19">
        <f t="shared" si="115"/>
        <v>0</v>
      </c>
      <c r="AK143" s="17"/>
      <c r="AL143" s="17"/>
      <c r="AM143" s="17"/>
      <c r="AN143" s="18">
        <f t="shared" si="111"/>
        <v>0</v>
      </c>
      <c r="AO143" s="19">
        <f t="shared" si="116"/>
        <v>0</v>
      </c>
      <c r="AQ143" s="17"/>
      <c r="AR143" s="17"/>
      <c r="AS143" s="17"/>
      <c r="AT143" s="18">
        <f t="shared" si="112"/>
        <v>0</v>
      </c>
      <c r="AU143" s="19">
        <f t="shared" si="117"/>
        <v>0</v>
      </c>
      <c r="AW143" s="17"/>
      <c r="AX143" s="17"/>
      <c r="AY143" s="17"/>
      <c r="AZ143" s="18">
        <f t="shared" si="113"/>
        <v>0</v>
      </c>
      <c r="BA143" s="19">
        <f t="shared" si="118"/>
        <v>0</v>
      </c>
    </row>
    <row r="144" spans="1:53" ht="17.100000000000001" customHeight="1" x14ac:dyDescent="0.25">
      <c r="A144" s="40"/>
      <c r="B144" s="40"/>
      <c r="C144" s="74" t="s">
        <v>401</v>
      </c>
      <c r="D144" s="75" t="s">
        <v>411</v>
      </c>
      <c r="E144" s="150"/>
      <c r="F144" s="151"/>
      <c r="G144" s="151"/>
      <c r="H144" s="119"/>
      <c r="I144" s="236"/>
      <c r="J144" s="583"/>
      <c r="K144" s="583"/>
      <c r="L144" s="584"/>
      <c r="M144" s="17">
        <f t="shared" si="106"/>
        <v>0</v>
      </c>
      <c r="N144" s="111"/>
      <c r="O144" s="111"/>
      <c r="P144" s="111"/>
      <c r="Q144" s="111"/>
      <c r="R144" s="111"/>
      <c r="S144" s="111"/>
      <c r="T144" s="111"/>
      <c r="U144" s="111"/>
      <c r="V144" s="358"/>
      <c r="W144" s="391">
        <f t="shared" si="107"/>
        <v>0</v>
      </c>
      <c r="X144" s="17">
        <f t="shared" si="108"/>
        <v>0</v>
      </c>
      <c r="Y144" s="18">
        <f t="shared" si="109"/>
        <v>0</v>
      </c>
      <c r="Z144" s="19">
        <f t="shared" si="114"/>
        <v>0</v>
      </c>
      <c r="AA144" s="19"/>
      <c r="AB144" s="19"/>
      <c r="AC144" s="20"/>
      <c r="AE144" s="17"/>
      <c r="AF144" s="17"/>
      <c r="AG144" s="17"/>
      <c r="AH144" s="18">
        <f t="shared" si="110"/>
        <v>0</v>
      </c>
      <c r="AI144" s="19">
        <f t="shared" si="115"/>
        <v>0</v>
      </c>
      <c r="AK144" s="17"/>
      <c r="AL144" s="17"/>
      <c r="AM144" s="17"/>
      <c r="AN144" s="18">
        <f t="shared" si="111"/>
        <v>0</v>
      </c>
      <c r="AO144" s="19">
        <f t="shared" si="116"/>
        <v>0</v>
      </c>
      <c r="AQ144" s="17"/>
      <c r="AR144" s="17"/>
      <c r="AS144" s="17"/>
      <c r="AT144" s="18">
        <f t="shared" si="112"/>
        <v>0</v>
      </c>
      <c r="AU144" s="19">
        <f t="shared" si="117"/>
        <v>0</v>
      </c>
      <c r="AW144" s="17"/>
      <c r="AX144" s="17"/>
      <c r="AY144" s="17"/>
      <c r="AZ144" s="18">
        <f t="shared" si="113"/>
        <v>0</v>
      </c>
      <c r="BA144" s="19">
        <f t="shared" si="118"/>
        <v>0</v>
      </c>
    </row>
    <row r="145" spans="1:53" ht="17.100000000000001" customHeight="1" x14ac:dyDescent="0.25">
      <c r="A145" s="40"/>
      <c r="B145" s="40"/>
      <c r="C145" s="56" t="s">
        <v>402</v>
      </c>
      <c r="D145" s="75" t="s">
        <v>412</v>
      </c>
      <c r="E145" s="150"/>
      <c r="F145" s="151"/>
      <c r="G145" s="151"/>
      <c r="H145" s="119"/>
      <c r="I145" s="236"/>
      <c r="J145" s="581"/>
      <c r="K145" s="581"/>
      <c r="L145" s="582"/>
      <c r="M145" s="17">
        <f t="shared" si="106"/>
        <v>0</v>
      </c>
      <c r="N145" s="111"/>
      <c r="O145" s="111"/>
      <c r="P145" s="111"/>
      <c r="Q145" s="111"/>
      <c r="R145" s="111"/>
      <c r="S145" s="111"/>
      <c r="T145" s="111"/>
      <c r="U145" s="111"/>
      <c r="V145" s="358"/>
      <c r="W145" s="391">
        <f t="shared" si="107"/>
        <v>0</v>
      </c>
      <c r="X145" s="17">
        <f t="shared" si="108"/>
        <v>0</v>
      </c>
      <c r="Y145" s="18">
        <f t="shared" si="109"/>
        <v>0</v>
      </c>
      <c r="Z145" s="19">
        <f t="shared" si="114"/>
        <v>0</v>
      </c>
      <c r="AA145" s="19"/>
      <c r="AB145" s="19"/>
      <c r="AC145" s="20"/>
      <c r="AE145" s="17"/>
      <c r="AF145" s="17"/>
      <c r="AG145" s="17"/>
      <c r="AH145" s="18">
        <f t="shared" si="110"/>
        <v>0</v>
      </c>
      <c r="AI145" s="19">
        <f t="shared" si="115"/>
        <v>0</v>
      </c>
      <c r="AK145" s="17"/>
      <c r="AL145" s="17"/>
      <c r="AM145" s="17"/>
      <c r="AN145" s="18">
        <f t="shared" si="111"/>
        <v>0</v>
      </c>
      <c r="AO145" s="19">
        <f t="shared" si="116"/>
        <v>0</v>
      </c>
      <c r="AQ145" s="17"/>
      <c r="AR145" s="17"/>
      <c r="AS145" s="17"/>
      <c r="AT145" s="18">
        <f t="shared" si="112"/>
        <v>0</v>
      </c>
      <c r="AU145" s="19">
        <f t="shared" si="117"/>
        <v>0</v>
      </c>
      <c r="AW145" s="17"/>
      <c r="AX145" s="17"/>
      <c r="AY145" s="17"/>
      <c r="AZ145" s="18">
        <f t="shared" si="113"/>
        <v>0</v>
      </c>
      <c r="BA145" s="19">
        <f t="shared" si="118"/>
        <v>0</v>
      </c>
    </row>
    <row r="146" spans="1:53" ht="17.100000000000001" customHeight="1" x14ac:dyDescent="0.25">
      <c r="A146" s="40"/>
      <c r="B146" s="40"/>
      <c r="C146" s="74" t="s">
        <v>403</v>
      </c>
      <c r="D146" s="75" t="s">
        <v>392</v>
      </c>
      <c r="E146" s="150"/>
      <c r="F146" s="151"/>
      <c r="G146" s="151"/>
      <c r="H146" s="119"/>
      <c r="I146" s="236"/>
      <c r="J146" s="583"/>
      <c r="K146" s="583"/>
      <c r="L146" s="584"/>
      <c r="M146" s="17">
        <f t="shared" si="106"/>
        <v>0</v>
      </c>
      <c r="N146" s="111"/>
      <c r="O146" s="111"/>
      <c r="P146" s="111"/>
      <c r="Q146" s="111"/>
      <c r="R146" s="111"/>
      <c r="S146" s="111"/>
      <c r="T146" s="111"/>
      <c r="U146" s="111"/>
      <c r="V146" s="358"/>
      <c r="W146" s="391">
        <f t="shared" si="107"/>
        <v>0</v>
      </c>
      <c r="X146" s="17">
        <f t="shared" si="108"/>
        <v>0</v>
      </c>
      <c r="Y146" s="18">
        <f t="shared" si="109"/>
        <v>0</v>
      </c>
      <c r="Z146" s="19">
        <f t="shared" si="114"/>
        <v>0</v>
      </c>
      <c r="AA146" s="19"/>
      <c r="AB146" s="19"/>
      <c r="AC146" s="20"/>
      <c r="AE146" s="17"/>
      <c r="AF146" s="17"/>
      <c r="AG146" s="17"/>
      <c r="AH146" s="18">
        <f t="shared" si="110"/>
        <v>0</v>
      </c>
      <c r="AI146" s="19">
        <f t="shared" si="115"/>
        <v>0</v>
      </c>
      <c r="AK146" s="17"/>
      <c r="AL146" s="17"/>
      <c r="AM146" s="17"/>
      <c r="AN146" s="18">
        <f t="shared" si="111"/>
        <v>0</v>
      </c>
      <c r="AO146" s="19">
        <f t="shared" si="116"/>
        <v>0</v>
      </c>
      <c r="AQ146" s="17"/>
      <c r="AR146" s="17"/>
      <c r="AS146" s="17"/>
      <c r="AT146" s="18">
        <f t="shared" si="112"/>
        <v>0</v>
      </c>
      <c r="AU146" s="19">
        <f t="shared" si="117"/>
        <v>0</v>
      </c>
      <c r="AW146" s="17"/>
      <c r="AX146" s="17"/>
      <c r="AY146" s="17"/>
      <c r="AZ146" s="18">
        <f t="shared" si="113"/>
        <v>0</v>
      </c>
      <c r="BA146" s="19">
        <f t="shared" si="118"/>
        <v>0</v>
      </c>
    </row>
    <row r="147" spans="1:53" ht="17.100000000000001" customHeight="1" x14ac:dyDescent="0.25">
      <c r="A147" s="40"/>
      <c r="B147" s="40"/>
      <c r="C147" s="77"/>
      <c r="D147" s="144"/>
      <c r="E147" s="144"/>
      <c r="F147" s="145"/>
      <c r="G147" s="145"/>
      <c r="H147" s="119"/>
      <c r="I147" s="236"/>
      <c r="J147" s="80">
        <f>SUM(J137:J146)</f>
        <v>0</v>
      </c>
      <c r="K147" s="80">
        <f t="shared" ref="K147:M147" si="119">SUM(K137:K146)</f>
        <v>0</v>
      </c>
      <c r="L147" s="80">
        <f t="shared" si="119"/>
        <v>0</v>
      </c>
      <c r="M147" s="80">
        <f t="shared" si="119"/>
        <v>0</v>
      </c>
      <c r="N147" s="80"/>
      <c r="O147" s="80"/>
      <c r="P147" s="80"/>
      <c r="Q147" s="81"/>
      <c r="R147" s="81"/>
      <c r="S147" s="81"/>
      <c r="T147" s="81"/>
      <c r="U147" s="81"/>
      <c r="V147" s="356"/>
      <c r="W147" s="381">
        <f>SUM(W138:W146)</f>
        <v>0</v>
      </c>
      <c r="X147" s="82">
        <f t="shared" ref="X147:Y147" si="120">SUM(X138:X146)</f>
        <v>0</v>
      </c>
      <c r="Y147" s="82">
        <f t="shared" si="120"/>
        <v>0</v>
      </c>
      <c r="Z147" s="205">
        <f>IF(Y$147=0,0,Y147/Y$147)</f>
        <v>0</v>
      </c>
      <c r="AA147" s="205"/>
      <c r="AB147" s="205"/>
      <c r="AC147" s="83"/>
      <c r="AE147" s="80"/>
      <c r="AF147" s="80"/>
      <c r="AG147" s="81"/>
      <c r="AH147" s="82">
        <f>SUM(AH137:AH146)</f>
        <v>0</v>
      </c>
      <c r="AI147" s="66">
        <f t="shared" si="115"/>
        <v>0</v>
      </c>
      <c r="AK147" s="80"/>
      <c r="AL147" s="80"/>
      <c r="AM147" s="81"/>
      <c r="AN147" s="82">
        <f>SUM(AN137:AN146)</f>
        <v>0</v>
      </c>
      <c r="AO147" s="66">
        <f t="shared" si="116"/>
        <v>0</v>
      </c>
      <c r="AQ147" s="80"/>
      <c r="AR147" s="80"/>
      <c r="AS147" s="81"/>
      <c r="AT147" s="82"/>
      <c r="AU147" s="66">
        <f t="shared" si="117"/>
        <v>0</v>
      </c>
      <c r="AW147" s="80"/>
      <c r="AX147" s="80"/>
      <c r="AY147" s="81"/>
      <c r="AZ147" s="82">
        <f>SUM(AZ137:AZ146)</f>
        <v>0</v>
      </c>
      <c r="BA147" s="66">
        <f t="shared" si="118"/>
        <v>0</v>
      </c>
    </row>
    <row r="148" spans="1:53" s="117" customFormat="1" ht="17.100000000000001" customHeight="1" x14ac:dyDescent="0.25">
      <c r="A148" s="68"/>
      <c r="B148" s="119"/>
      <c r="C148" s="540"/>
      <c r="D148" s="261"/>
      <c r="E148" s="261"/>
      <c r="F148" s="68"/>
      <c r="G148" s="68"/>
      <c r="H148" s="119"/>
      <c r="I148" s="138"/>
      <c r="J148" s="17" t="str">
        <f>IF(J147=J$15,"OK","NOK")</f>
        <v>OK</v>
      </c>
      <c r="K148" s="17" t="str">
        <f t="shared" ref="K148:L148" si="121">IF(K147=K$15,"OK","NOK")</f>
        <v>OK</v>
      </c>
      <c r="L148" s="17" t="str">
        <f t="shared" si="121"/>
        <v>OK</v>
      </c>
      <c r="M148" s="17"/>
      <c r="N148" s="17"/>
      <c r="O148" s="17"/>
      <c r="P148" s="17"/>
      <c r="Q148" s="17"/>
      <c r="R148" s="17"/>
      <c r="S148" s="17"/>
      <c r="T148" s="17"/>
      <c r="U148" s="17"/>
      <c r="V148" s="359"/>
      <c r="W148" s="382"/>
      <c r="X148" s="539"/>
      <c r="Y148" s="539"/>
      <c r="Z148" s="201"/>
      <c r="AA148" s="201"/>
      <c r="AB148" s="201"/>
      <c r="AC148" s="84"/>
      <c r="AE148" s="46"/>
      <c r="AF148" s="46"/>
      <c r="AG148" s="17"/>
      <c r="AH148" s="539"/>
      <c r="AI148" s="91"/>
      <c r="AK148" s="46"/>
      <c r="AL148" s="46"/>
      <c r="AM148" s="17"/>
      <c r="AN148" s="539"/>
      <c r="AO148" s="91"/>
      <c r="AQ148" s="46"/>
      <c r="AR148" s="46"/>
      <c r="AS148" s="17"/>
      <c r="AT148" s="539"/>
      <c r="AU148" s="91"/>
      <c r="AW148" s="46"/>
      <c r="AX148" s="46"/>
      <c r="AY148" s="17"/>
      <c r="AZ148" s="539"/>
      <c r="BA148" s="91"/>
    </row>
    <row r="149" spans="1:53" ht="17.100000000000001" customHeight="1" x14ac:dyDescent="0.25">
      <c r="A149" s="68"/>
      <c r="B149" s="41" t="s">
        <v>110</v>
      </c>
      <c r="C149" s="69" t="s">
        <v>111</v>
      </c>
      <c r="D149" s="50"/>
      <c r="E149" s="70"/>
      <c r="F149" s="70"/>
      <c r="G149" s="70"/>
      <c r="H149" s="119"/>
      <c r="J149" s="71"/>
      <c r="K149" s="71"/>
      <c r="L149" s="71"/>
      <c r="M149" s="71"/>
      <c r="N149" s="71"/>
      <c r="O149" s="71"/>
      <c r="P149" s="71"/>
      <c r="Q149" s="71"/>
      <c r="R149" s="71"/>
      <c r="S149" s="71"/>
      <c r="T149" s="71"/>
      <c r="U149" s="71"/>
      <c r="V149" s="355"/>
      <c r="W149" s="377"/>
      <c r="X149" s="71"/>
      <c r="Y149" s="72"/>
      <c r="Z149" s="73"/>
      <c r="AA149" s="73"/>
      <c r="AB149" s="73"/>
      <c r="AC149" s="73"/>
      <c r="AE149" s="71"/>
      <c r="AF149" s="71"/>
      <c r="AG149" s="71"/>
      <c r="AH149" s="72"/>
      <c r="AI149" s="73"/>
      <c r="AK149" s="71"/>
      <c r="AL149" s="71"/>
      <c r="AM149" s="71"/>
      <c r="AN149" s="72"/>
      <c r="AO149" s="73"/>
      <c r="AQ149" s="71"/>
      <c r="AR149" s="71"/>
      <c r="AS149" s="71"/>
      <c r="AT149" s="72"/>
      <c r="AU149" s="73"/>
      <c r="AW149" s="71"/>
      <c r="AX149" s="71"/>
      <c r="AY149" s="71"/>
      <c r="AZ149" s="72"/>
      <c r="BA149" s="73"/>
    </row>
    <row r="150" spans="1:53" ht="17.100000000000001" customHeight="1" x14ac:dyDescent="0.25">
      <c r="A150" s="40"/>
      <c r="B150" s="40"/>
      <c r="C150" s="141" t="s">
        <v>112</v>
      </c>
      <c r="D150" s="85" t="s">
        <v>113</v>
      </c>
      <c r="E150" s="75"/>
      <c r="F150" s="75"/>
      <c r="G150" s="75"/>
      <c r="H150" s="540"/>
      <c r="I150" s="229"/>
      <c r="J150" s="111"/>
      <c r="K150" s="111"/>
      <c r="L150" s="111"/>
      <c r="M150" s="111"/>
      <c r="N150" s="60"/>
      <c r="O150" s="60"/>
      <c r="P150" s="17">
        <f>SUM(N150:O150)</f>
        <v>0</v>
      </c>
      <c r="Q150" s="60">
        <v>1</v>
      </c>
      <c r="R150" s="60">
        <v>1</v>
      </c>
      <c r="S150" s="17">
        <f>SUM(Q150:R150)</f>
        <v>2</v>
      </c>
      <c r="T150" s="60"/>
      <c r="U150" s="60"/>
      <c r="V150" s="359">
        <f>SUM(T150:U150)</f>
        <v>0</v>
      </c>
      <c r="W150" s="391">
        <f t="shared" ref="W150:W151" si="122">J150+K150+N150+Q150+T150</f>
        <v>1</v>
      </c>
      <c r="X150" s="17">
        <f t="shared" ref="X150:X151" si="123">L150+O150+R150+U150</f>
        <v>1</v>
      </c>
      <c r="Y150" s="18">
        <f>SUM(W150:X150)</f>
        <v>2</v>
      </c>
      <c r="Z150" s="19">
        <f>IF(Y$152=0,0,Y150/Y$152)</f>
        <v>9.5238095238095233E-2</v>
      </c>
      <c r="AA150" s="19"/>
      <c r="AB150" s="19"/>
      <c r="AC150" s="20"/>
      <c r="AE150" s="111"/>
      <c r="AF150" s="111"/>
      <c r="AG150" s="111"/>
      <c r="AH150" s="112"/>
      <c r="AI150" s="113"/>
      <c r="AK150" s="111"/>
      <c r="AL150" s="111"/>
      <c r="AM150" s="111"/>
      <c r="AN150" s="112"/>
      <c r="AO150" s="113"/>
      <c r="AQ150" s="17"/>
      <c r="AR150" s="17"/>
      <c r="AS150" s="17"/>
      <c r="AT150" s="18">
        <f t="shared" ref="AT150:AT151" si="124">W150</f>
        <v>1</v>
      </c>
      <c r="AU150" s="19">
        <f>IF(AT$152=0,0,AT150/AT$152)</f>
        <v>0.5</v>
      </c>
      <c r="AW150" s="17"/>
      <c r="AX150" s="17"/>
      <c r="AY150" s="17"/>
      <c r="AZ150" s="18">
        <f t="shared" ref="AZ150:AZ151" si="125">X150</f>
        <v>1</v>
      </c>
      <c r="BA150" s="19">
        <f>IF(AZ$152=0,0,AZ150/AZ$152)</f>
        <v>5.2631578947368418E-2</v>
      </c>
    </row>
    <row r="151" spans="1:53" ht="17.100000000000001" customHeight="1" x14ac:dyDescent="0.25">
      <c r="A151" s="40"/>
      <c r="B151" s="40"/>
      <c r="C151" s="141" t="s">
        <v>114</v>
      </c>
      <c r="D151" s="146" t="s">
        <v>115</v>
      </c>
      <c r="E151" s="75"/>
      <c r="F151" s="75"/>
      <c r="G151" s="75"/>
      <c r="H151" s="540"/>
      <c r="I151" s="229"/>
      <c r="J151" s="111"/>
      <c r="K151" s="111"/>
      <c r="L151" s="111"/>
      <c r="M151" s="111"/>
      <c r="N151" s="61">
        <v>1</v>
      </c>
      <c r="O151" s="61">
        <v>5</v>
      </c>
      <c r="P151" s="17">
        <f>SUM(N151:O151)</f>
        <v>6</v>
      </c>
      <c r="Q151" s="61"/>
      <c r="R151" s="61">
        <v>3</v>
      </c>
      <c r="S151" s="17">
        <f>SUM(Q151:R151)</f>
        <v>3</v>
      </c>
      <c r="T151" s="61"/>
      <c r="U151" s="61">
        <v>10</v>
      </c>
      <c r="V151" s="359">
        <f>SUM(T151:U151)</f>
        <v>10</v>
      </c>
      <c r="W151" s="391">
        <f t="shared" si="122"/>
        <v>1</v>
      </c>
      <c r="X151" s="17">
        <f t="shared" si="123"/>
        <v>18</v>
      </c>
      <c r="Y151" s="18">
        <f>SUM(W151:X151)</f>
        <v>19</v>
      </c>
      <c r="Z151" s="19">
        <f>IF(Y$152=0,0,Y151/Y$152)</f>
        <v>0.90476190476190477</v>
      </c>
      <c r="AA151" s="19"/>
      <c r="AB151" s="19"/>
      <c r="AC151" s="20"/>
      <c r="AE151" s="111"/>
      <c r="AF151" s="111"/>
      <c r="AG151" s="111"/>
      <c r="AH151" s="112"/>
      <c r="AI151" s="113"/>
      <c r="AK151" s="111"/>
      <c r="AL151" s="111"/>
      <c r="AM151" s="111"/>
      <c r="AN151" s="112"/>
      <c r="AO151" s="113"/>
      <c r="AQ151" s="17"/>
      <c r="AR151" s="17"/>
      <c r="AS151" s="17"/>
      <c r="AT151" s="18">
        <f t="shared" si="124"/>
        <v>1</v>
      </c>
      <c r="AU151" s="19">
        <f t="shared" ref="AU151:AU152" si="126">IF(AT$152=0,0,AT151/AT$152)</f>
        <v>0.5</v>
      </c>
      <c r="AW151" s="17"/>
      <c r="AX151" s="17"/>
      <c r="AY151" s="17"/>
      <c r="AZ151" s="18">
        <f t="shared" si="125"/>
        <v>18</v>
      </c>
      <c r="BA151" s="19">
        <f t="shared" ref="BA151:BA152" si="127">IF(AZ$152=0,0,AZ151/AZ$152)</f>
        <v>0.94736842105263153</v>
      </c>
    </row>
    <row r="152" spans="1:53" ht="17.100000000000001" customHeight="1" x14ac:dyDescent="0.25">
      <c r="A152" s="40"/>
      <c r="B152" s="40"/>
      <c r="C152" s="77"/>
      <c r="D152" s="144"/>
      <c r="E152" s="144"/>
      <c r="F152" s="145"/>
      <c r="G152" s="145"/>
      <c r="H152" s="119"/>
      <c r="I152" s="236"/>
      <c r="J152" s="80"/>
      <c r="K152" s="80"/>
      <c r="L152" s="81"/>
      <c r="M152" s="81"/>
      <c r="N152" s="81">
        <f t="shared" ref="N152:Y152" si="128">SUM(N150:N151)</f>
        <v>1</v>
      </c>
      <c r="O152" s="81">
        <f t="shared" si="128"/>
        <v>5</v>
      </c>
      <c r="P152" s="81">
        <f t="shared" si="128"/>
        <v>6</v>
      </c>
      <c r="Q152" s="81">
        <f t="shared" si="128"/>
        <v>1</v>
      </c>
      <c r="R152" s="81">
        <f t="shared" si="128"/>
        <v>4</v>
      </c>
      <c r="S152" s="81">
        <f t="shared" si="128"/>
        <v>5</v>
      </c>
      <c r="T152" s="81">
        <f t="shared" si="128"/>
        <v>0</v>
      </c>
      <c r="U152" s="81">
        <f t="shared" si="128"/>
        <v>10</v>
      </c>
      <c r="V152" s="81">
        <f t="shared" si="128"/>
        <v>10</v>
      </c>
      <c r="W152" s="381">
        <f t="shared" si="128"/>
        <v>2</v>
      </c>
      <c r="X152" s="82">
        <f t="shared" si="128"/>
        <v>19</v>
      </c>
      <c r="Y152" s="82">
        <f t="shared" si="128"/>
        <v>21</v>
      </c>
      <c r="Z152" s="205">
        <f t="shared" ref="Z152" si="129">IF(Y$152=0,0,Y152/Y$152)</f>
        <v>1</v>
      </c>
      <c r="AA152" s="205"/>
      <c r="AB152" s="205"/>
      <c r="AC152" s="83"/>
      <c r="AE152" s="80"/>
      <c r="AF152" s="80"/>
      <c r="AG152" s="81"/>
      <c r="AH152" s="82"/>
      <c r="AI152" s="66"/>
      <c r="AK152" s="80"/>
      <c r="AL152" s="80"/>
      <c r="AM152" s="81"/>
      <c r="AN152" s="82"/>
      <c r="AO152" s="66"/>
      <c r="AQ152" s="80"/>
      <c r="AR152" s="80"/>
      <c r="AS152" s="81"/>
      <c r="AT152" s="82">
        <f>SUM(AT150:AT151)</f>
        <v>2</v>
      </c>
      <c r="AU152" s="66">
        <f t="shared" si="126"/>
        <v>1</v>
      </c>
      <c r="AW152" s="80"/>
      <c r="AX152" s="80"/>
      <c r="AY152" s="81"/>
      <c r="AZ152" s="82">
        <f>SUM(AZ150:AZ151)</f>
        <v>19</v>
      </c>
      <c r="BA152" s="66">
        <f t="shared" si="127"/>
        <v>1</v>
      </c>
    </row>
    <row r="153" spans="1:53" s="117" customFormat="1" ht="17.100000000000001" customHeight="1" x14ac:dyDescent="0.25">
      <c r="A153" s="68"/>
      <c r="B153" s="119"/>
      <c r="C153" s="540"/>
      <c r="D153" s="261"/>
      <c r="E153" s="261"/>
      <c r="F153" s="68"/>
      <c r="G153" s="68"/>
      <c r="H153" s="119"/>
      <c r="I153" s="138"/>
      <c r="J153" s="17"/>
      <c r="K153" s="17"/>
      <c r="L153" s="17"/>
      <c r="M153" s="17"/>
      <c r="N153" s="17" t="str">
        <f>IF(N152=N$20,"OK","NOK")</f>
        <v>OK</v>
      </c>
      <c r="O153" s="17" t="str">
        <f>IF(O152=O$20,"OK","NOK")</f>
        <v>OK</v>
      </c>
      <c r="P153" s="17"/>
      <c r="Q153" s="17" t="str">
        <f>IF(Q152=Q$20,"OK","NOK")</f>
        <v>OK</v>
      </c>
      <c r="R153" s="17" t="str">
        <f>IF(R152=R$20,"OK","NOK")</f>
        <v>OK</v>
      </c>
      <c r="S153" s="17"/>
      <c r="T153" s="17" t="str">
        <f>IF(T152=T$20,"OK","NOK")</f>
        <v>OK</v>
      </c>
      <c r="U153" s="17" t="str">
        <f>IF(U152=U$20,"OK","NOK")</f>
        <v>OK</v>
      </c>
      <c r="V153" s="359"/>
      <c r="W153" s="382"/>
      <c r="X153" s="539"/>
      <c r="Y153" s="539"/>
      <c r="Z153" s="201"/>
      <c r="AA153" s="201"/>
      <c r="AB153" s="201"/>
      <c r="AC153" s="84"/>
      <c r="AE153" s="46"/>
      <c r="AF153" s="46"/>
      <c r="AG153" s="17"/>
      <c r="AH153" s="539"/>
      <c r="AI153" s="91"/>
      <c r="AK153" s="46"/>
      <c r="AL153" s="46"/>
      <c r="AM153" s="17"/>
      <c r="AN153" s="539"/>
      <c r="AO153" s="91"/>
      <c r="AQ153" s="46"/>
      <c r="AR153" s="46"/>
      <c r="AS153" s="17"/>
      <c r="AT153" s="539"/>
      <c r="AU153" s="91"/>
      <c r="AW153" s="46"/>
      <c r="AX153" s="46"/>
      <c r="AY153" s="17"/>
      <c r="AZ153" s="539"/>
      <c r="BA153" s="91"/>
    </row>
    <row r="154" spans="1:53" ht="17.100000000000001" customHeight="1" x14ac:dyDescent="0.25">
      <c r="A154" s="68"/>
      <c r="B154" s="41" t="s">
        <v>116</v>
      </c>
      <c r="C154" s="69" t="s">
        <v>427</v>
      </c>
      <c r="D154" s="50"/>
      <c r="E154" s="70"/>
      <c r="F154" s="70"/>
      <c r="G154" s="70"/>
      <c r="H154" s="243">
        <v>34</v>
      </c>
      <c r="J154" s="71"/>
      <c r="K154" s="71"/>
      <c r="L154" s="71"/>
      <c r="M154" s="71"/>
      <c r="N154" s="71"/>
      <c r="O154" s="71"/>
      <c r="P154" s="71"/>
      <c r="Q154" s="71"/>
      <c r="R154" s="71"/>
      <c r="S154" s="71"/>
      <c r="T154" s="71"/>
      <c r="U154" s="71"/>
      <c r="V154" s="355"/>
      <c r="W154" s="377"/>
      <c r="X154" s="71"/>
      <c r="Y154" s="72"/>
      <c r="Z154" s="73"/>
      <c r="AA154" s="73"/>
      <c r="AB154" s="73"/>
      <c r="AC154" s="73"/>
      <c r="AE154" s="71"/>
      <c r="AF154" s="71"/>
      <c r="AG154" s="71"/>
      <c r="AH154" s="72"/>
      <c r="AI154" s="73"/>
      <c r="AK154" s="71"/>
      <c r="AL154" s="71"/>
      <c r="AM154" s="71"/>
      <c r="AN154" s="72"/>
      <c r="AO154" s="73"/>
      <c r="AQ154" s="71"/>
      <c r="AR154" s="71"/>
      <c r="AS154" s="71"/>
      <c r="AT154" s="72"/>
      <c r="AU154" s="73"/>
      <c r="AW154" s="71"/>
      <c r="AX154" s="71"/>
      <c r="AY154" s="71"/>
      <c r="AZ154" s="72"/>
      <c r="BA154" s="73"/>
    </row>
    <row r="155" spans="1:53" ht="17.100000000000001" customHeight="1" x14ac:dyDescent="0.25">
      <c r="A155" s="40"/>
      <c r="B155" s="40"/>
      <c r="C155" s="141" t="s">
        <v>117</v>
      </c>
      <c r="D155" s="85" t="s">
        <v>428</v>
      </c>
      <c r="E155" s="75"/>
      <c r="F155" s="75"/>
      <c r="G155" s="75"/>
      <c r="H155" s="540"/>
      <c r="I155" s="229"/>
      <c r="J155" s="581"/>
      <c r="K155" s="581"/>
      <c r="L155" s="582"/>
      <c r="M155" s="17">
        <f t="shared" ref="M155:M160" si="130">SUM(J155:L155)</f>
        <v>0</v>
      </c>
      <c r="N155" s="111"/>
      <c r="O155" s="111"/>
      <c r="P155" s="111"/>
      <c r="Q155" s="111"/>
      <c r="R155" s="111"/>
      <c r="S155" s="111"/>
      <c r="T155" s="111"/>
      <c r="U155" s="111"/>
      <c r="V155" s="358"/>
      <c r="W155" s="391">
        <f t="shared" ref="W155:W160" si="131">J155+K155+N155+Q155+T155</f>
        <v>0</v>
      </c>
      <c r="X155" s="17">
        <f t="shared" ref="X155:X160" si="132">L155+O155+R155+U155</f>
        <v>0</v>
      </c>
      <c r="Y155" s="18">
        <f t="shared" ref="Y155:Y160" si="133">SUM(W155:X155)</f>
        <v>0</v>
      </c>
      <c r="Z155" s="19">
        <f>IF($Y$161=0,0,Y155/$Y$161)</f>
        <v>0</v>
      </c>
      <c r="AA155" s="19"/>
      <c r="AB155" s="19"/>
      <c r="AC155" s="20"/>
      <c r="AE155" s="17"/>
      <c r="AF155" s="17"/>
      <c r="AG155" s="17"/>
      <c r="AH155" s="18">
        <f t="shared" ref="AH155:AH160" si="134">J155</f>
        <v>0</v>
      </c>
      <c r="AI155" s="19">
        <f>IF(AH$161=0,0,AH155/AH$161)</f>
        <v>0</v>
      </c>
      <c r="AK155" s="17"/>
      <c r="AL155" s="17"/>
      <c r="AM155" s="17"/>
      <c r="AN155" s="18">
        <f t="shared" ref="AN155:AN160" si="135">K155</f>
        <v>0</v>
      </c>
      <c r="AO155" s="19">
        <f>IF(AN$161=0,0,AN155/AN$161)</f>
        <v>0</v>
      </c>
      <c r="AQ155" s="17"/>
      <c r="AR155" s="17"/>
      <c r="AS155" s="17"/>
      <c r="AT155" s="18">
        <f t="shared" ref="AT155:AT160" si="136">W155</f>
        <v>0</v>
      </c>
      <c r="AU155" s="19">
        <f>IF(AT$161=0,0,AT155/AT$161)</f>
        <v>0</v>
      </c>
      <c r="AW155" s="17"/>
      <c r="AX155" s="17"/>
      <c r="AY155" s="17"/>
      <c r="AZ155" s="18">
        <f t="shared" ref="AZ155:AZ160" si="137">X155</f>
        <v>0</v>
      </c>
      <c r="BA155" s="19">
        <f>IF(AZ$161=0,0,AZ155/AZ$161)</f>
        <v>0</v>
      </c>
    </row>
    <row r="156" spans="1:53" ht="17.100000000000001" customHeight="1" x14ac:dyDescent="0.25">
      <c r="A156" s="40"/>
      <c r="B156" s="40"/>
      <c r="C156" s="141" t="s">
        <v>118</v>
      </c>
      <c r="D156" s="85" t="s">
        <v>429</v>
      </c>
      <c r="E156" s="75"/>
      <c r="F156" s="75"/>
      <c r="G156" s="75"/>
      <c r="H156" s="540"/>
      <c r="I156" s="229"/>
      <c r="J156" s="583"/>
      <c r="K156" s="583"/>
      <c r="L156" s="584"/>
      <c r="M156" s="17">
        <f t="shared" si="130"/>
        <v>0</v>
      </c>
      <c r="N156" s="111"/>
      <c r="O156" s="111"/>
      <c r="P156" s="111"/>
      <c r="Q156" s="111"/>
      <c r="R156" s="111"/>
      <c r="S156" s="111"/>
      <c r="T156" s="111"/>
      <c r="U156" s="111"/>
      <c r="V156" s="358"/>
      <c r="W156" s="391">
        <f t="shared" si="131"/>
        <v>0</v>
      </c>
      <c r="X156" s="17">
        <f t="shared" si="132"/>
        <v>0</v>
      </c>
      <c r="Y156" s="18">
        <f t="shared" si="133"/>
        <v>0</v>
      </c>
      <c r="Z156" s="19">
        <f t="shared" ref="Z156:Z161" si="138">IF($Y$161=0,0,Y156/$Y$161)</f>
        <v>0</v>
      </c>
      <c r="AA156" s="19"/>
      <c r="AB156" s="19"/>
      <c r="AC156" s="20"/>
      <c r="AE156" s="17"/>
      <c r="AF156" s="17"/>
      <c r="AG156" s="17"/>
      <c r="AH156" s="18">
        <f t="shared" si="134"/>
        <v>0</v>
      </c>
      <c r="AI156" s="19">
        <f t="shared" ref="AI156:AI161" si="139">IF(AH$161=0,0,AH156/AH$161)</f>
        <v>0</v>
      </c>
      <c r="AK156" s="17"/>
      <c r="AL156" s="17"/>
      <c r="AM156" s="17"/>
      <c r="AN156" s="18">
        <f t="shared" si="135"/>
        <v>0</v>
      </c>
      <c r="AO156" s="19">
        <f t="shared" ref="AO156:AO161" si="140">IF(AN$161=0,0,AN156/AN$161)</f>
        <v>0</v>
      </c>
      <c r="AQ156" s="17"/>
      <c r="AR156" s="17"/>
      <c r="AS156" s="17"/>
      <c r="AT156" s="18">
        <f t="shared" si="136"/>
        <v>0</v>
      </c>
      <c r="AU156" s="19">
        <f t="shared" ref="AU156:AU161" si="141">IF(AT$161=0,0,AT156/AT$161)</f>
        <v>0</v>
      </c>
      <c r="AW156" s="17"/>
      <c r="AX156" s="17"/>
      <c r="AY156" s="17"/>
      <c r="AZ156" s="18">
        <f t="shared" si="137"/>
        <v>0</v>
      </c>
      <c r="BA156" s="19">
        <f t="shared" ref="BA156:BA161" si="142">IF(AZ$161=0,0,AZ156/AZ$161)</f>
        <v>0</v>
      </c>
    </row>
    <row r="157" spans="1:53" ht="17.100000000000001" customHeight="1" x14ac:dyDescent="0.25">
      <c r="A157" s="40"/>
      <c r="B157" s="40"/>
      <c r="C157" s="141" t="s">
        <v>119</v>
      </c>
      <c r="D157" s="85" t="s">
        <v>430</v>
      </c>
      <c r="E157" s="75"/>
      <c r="F157" s="75"/>
      <c r="G157" s="75"/>
      <c r="H157" s="540"/>
      <c r="I157" s="229"/>
      <c r="J157" s="581"/>
      <c r="K157" s="581"/>
      <c r="L157" s="582"/>
      <c r="M157" s="17">
        <f t="shared" si="130"/>
        <v>0</v>
      </c>
      <c r="N157" s="111"/>
      <c r="O157" s="111"/>
      <c r="P157" s="111"/>
      <c r="Q157" s="111"/>
      <c r="R157" s="111"/>
      <c r="S157" s="111"/>
      <c r="T157" s="111"/>
      <c r="U157" s="111"/>
      <c r="V157" s="358"/>
      <c r="W157" s="391">
        <f t="shared" si="131"/>
        <v>0</v>
      </c>
      <c r="X157" s="17">
        <f t="shared" si="132"/>
        <v>0</v>
      </c>
      <c r="Y157" s="18">
        <f t="shared" si="133"/>
        <v>0</v>
      </c>
      <c r="Z157" s="19">
        <f t="shared" si="138"/>
        <v>0</v>
      </c>
      <c r="AA157" s="19"/>
      <c r="AB157" s="19"/>
      <c r="AC157" s="20"/>
      <c r="AE157" s="17"/>
      <c r="AF157" s="17"/>
      <c r="AG157" s="17"/>
      <c r="AH157" s="18">
        <f t="shared" si="134"/>
        <v>0</v>
      </c>
      <c r="AI157" s="19">
        <f t="shared" si="139"/>
        <v>0</v>
      </c>
      <c r="AK157" s="17"/>
      <c r="AL157" s="17"/>
      <c r="AM157" s="17"/>
      <c r="AN157" s="18">
        <f t="shared" si="135"/>
        <v>0</v>
      </c>
      <c r="AO157" s="19">
        <f t="shared" si="140"/>
        <v>0</v>
      </c>
      <c r="AQ157" s="17"/>
      <c r="AR157" s="17"/>
      <c r="AS157" s="17"/>
      <c r="AT157" s="18">
        <f t="shared" si="136"/>
        <v>0</v>
      </c>
      <c r="AU157" s="19">
        <f t="shared" si="141"/>
        <v>0</v>
      </c>
      <c r="AW157" s="17"/>
      <c r="AX157" s="17"/>
      <c r="AY157" s="17"/>
      <c r="AZ157" s="18">
        <f t="shared" si="137"/>
        <v>0</v>
      </c>
      <c r="BA157" s="19">
        <f t="shared" si="142"/>
        <v>0</v>
      </c>
    </row>
    <row r="158" spans="1:53" ht="17.100000000000001" customHeight="1" x14ac:dyDescent="0.25">
      <c r="A158" s="40"/>
      <c r="B158" s="40"/>
      <c r="C158" s="141" t="s">
        <v>120</v>
      </c>
      <c r="D158" s="85" t="s">
        <v>431</v>
      </c>
      <c r="E158" s="75"/>
      <c r="F158" s="75"/>
      <c r="G158" s="75"/>
      <c r="H158" s="540"/>
      <c r="I158" s="229"/>
      <c r="J158" s="583"/>
      <c r="K158" s="583"/>
      <c r="L158" s="584"/>
      <c r="M158" s="17">
        <f t="shared" si="130"/>
        <v>0</v>
      </c>
      <c r="N158" s="111"/>
      <c r="O158" s="111"/>
      <c r="P158" s="111"/>
      <c r="Q158" s="111"/>
      <c r="R158" s="111"/>
      <c r="S158" s="111"/>
      <c r="T158" s="111"/>
      <c r="U158" s="111"/>
      <c r="V158" s="358"/>
      <c r="W158" s="391">
        <f t="shared" si="131"/>
        <v>0</v>
      </c>
      <c r="X158" s="17">
        <f t="shared" si="132"/>
        <v>0</v>
      </c>
      <c r="Y158" s="18">
        <f t="shared" si="133"/>
        <v>0</v>
      </c>
      <c r="Z158" s="19">
        <f t="shared" si="138"/>
        <v>0</v>
      </c>
      <c r="AA158" s="19"/>
      <c r="AB158" s="19"/>
      <c r="AC158" s="20"/>
      <c r="AE158" s="17"/>
      <c r="AF158" s="17"/>
      <c r="AG158" s="17"/>
      <c r="AH158" s="18">
        <f t="shared" si="134"/>
        <v>0</v>
      </c>
      <c r="AI158" s="19">
        <f t="shared" si="139"/>
        <v>0</v>
      </c>
      <c r="AK158" s="17"/>
      <c r="AL158" s="17"/>
      <c r="AM158" s="17"/>
      <c r="AN158" s="18">
        <f t="shared" si="135"/>
        <v>0</v>
      </c>
      <c r="AO158" s="19">
        <f t="shared" si="140"/>
        <v>0</v>
      </c>
      <c r="AQ158" s="17"/>
      <c r="AR158" s="17"/>
      <c r="AS158" s="17"/>
      <c r="AT158" s="18">
        <f t="shared" si="136"/>
        <v>0</v>
      </c>
      <c r="AU158" s="19">
        <f t="shared" si="141"/>
        <v>0</v>
      </c>
      <c r="AW158" s="17"/>
      <c r="AX158" s="17"/>
      <c r="AY158" s="17"/>
      <c r="AZ158" s="18">
        <f t="shared" si="137"/>
        <v>0</v>
      </c>
      <c r="BA158" s="19">
        <f t="shared" si="142"/>
        <v>0</v>
      </c>
    </row>
    <row r="159" spans="1:53" ht="17.100000000000001" customHeight="1" x14ac:dyDescent="0.25">
      <c r="A159" s="40"/>
      <c r="B159" s="40"/>
      <c r="C159" s="141" t="s">
        <v>121</v>
      </c>
      <c r="D159" s="85" t="s">
        <v>432</v>
      </c>
      <c r="E159" s="75"/>
      <c r="F159" s="75"/>
      <c r="G159" s="75"/>
      <c r="H159" s="540"/>
      <c r="I159" s="229"/>
      <c r="J159" s="581"/>
      <c r="K159" s="581"/>
      <c r="L159" s="582"/>
      <c r="M159" s="17">
        <f t="shared" si="130"/>
        <v>0</v>
      </c>
      <c r="N159" s="111"/>
      <c r="O159" s="111"/>
      <c r="P159" s="111"/>
      <c r="Q159" s="111"/>
      <c r="R159" s="111"/>
      <c r="S159" s="111"/>
      <c r="T159" s="111"/>
      <c r="U159" s="111"/>
      <c r="V159" s="358"/>
      <c r="W159" s="391">
        <f t="shared" si="131"/>
        <v>0</v>
      </c>
      <c r="X159" s="17">
        <f t="shared" si="132"/>
        <v>0</v>
      </c>
      <c r="Y159" s="18">
        <f t="shared" si="133"/>
        <v>0</v>
      </c>
      <c r="Z159" s="19">
        <f t="shared" si="138"/>
        <v>0</v>
      </c>
      <c r="AA159" s="19"/>
      <c r="AB159" s="19"/>
      <c r="AC159" s="20"/>
      <c r="AE159" s="17"/>
      <c r="AF159" s="17"/>
      <c r="AG159" s="17"/>
      <c r="AH159" s="18">
        <f t="shared" si="134"/>
        <v>0</v>
      </c>
      <c r="AI159" s="19">
        <f t="shared" si="139"/>
        <v>0</v>
      </c>
      <c r="AK159" s="17"/>
      <c r="AL159" s="17"/>
      <c r="AM159" s="17"/>
      <c r="AN159" s="18">
        <f t="shared" si="135"/>
        <v>0</v>
      </c>
      <c r="AO159" s="19">
        <f t="shared" si="140"/>
        <v>0</v>
      </c>
      <c r="AQ159" s="17"/>
      <c r="AR159" s="17"/>
      <c r="AS159" s="17"/>
      <c r="AT159" s="18">
        <f t="shared" si="136"/>
        <v>0</v>
      </c>
      <c r="AU159" s="19">
        <f t="shared" si="141"/>
        <v>0</v>
      </c>
      <c r="AW159" s="17"/>
      <c r="AX159" s="17"/>
      <c r="AY159" s="17"/>
      <c r="AZ159" s="18">
        <f t="shared" si="137"/>
        <v>0</v>
      </c>
      <c r="BA159" s="19">
        <f t="shared" si="142"/>
        <v>0</v>
      </c>
    </row>
    <row r="160" spans="1:53" ht="17.100000000000001" customHeight="1" x14ac:dyDescent="0.25">
      <c r="A160" s="40"/>
      <c r="B160" s="40"/>
      <c r="C160" s="141" t="s">
        <v>122</v>
      </c>
      <c r="D160" s="85" t="s">
        <v>129</v>
      </c>
      <c r="E160" s="75"/>
      <c r="F160" s="75"/>
      <c r="G160" s="75"/>
      <c r="H160" s="540"/>
      <c r="I160" s="229"/>
      <c r="J160" s="583"/>
      <c r="K160" s="583"/>
      <c r="L160" s="584"/>
      <c r="M160" s="17">
        <f t="shared" si="130"/>
        <v>0</v>
      </c>
      <c r="N160" s="111"/>
      <c r="O160" s="111"/>
      <c r="P160" s="111"/>
      <c r="Q160" s="111"/>
      <c r="R160" s="111"/>
      <c r="S160" s="111"/>
      <c r="T160" s="111"/>
      <c r="U160" s="111"/>
      <c r="V160" s="358"/>
      <c r="W160" s="391">
        <f t="shared" si="131"/>
        <v>0</v>
      </c>
      <c r="X160" s="17">
        <f t="shared" si="132"/>
        <v>0</v>
      </c>
      <c r="Y160" s="18">
        <f t="shared" si="133"/>
        <v>0</v>
      </c>
      <c r="Z160" s="19">
        <f t="shared" si="138"/>
        <v>0</v>
      </c>
      <c r="AA160" s="19"/>
      <c r="AB160" s="19"/>
      <c r="AC160" s="20"/>
      <c r="AE160" s="17"/>
      <c r="AF160" s="17"/>
      <c r="AG160" s="17"/>
      <c r="AH160" s="18">
        <f t="shared" si="134"/>
        <v>0</v>
      </c>
      <c r="AI160" s="19">
        <f t="shared" si="139"/>
        <v>0</v>
      </c>
      <c r="AK160" s="17"/>
      <c r="AL160" s="17"/>
      <c r="AM160" s="17"/>
      <c r="AN160" s="18">
        <f t="shared" si="135"/>
        <v>0</v>
      </c>
      <c r="AO160" s="19">
        <f t="shared" si="140"/>
        <v>0</v>
      </c>
      <c r="AQ160" s="17"/>
      <c r="AR160" s="17"/>
      <c r="AS160" s="17"/>
      <c r="AT160" s="18">
        <f t="shared" si="136"/>
        <v>0</v>
      </c>
      <c r="AU160" s="19">
        <f t="shared" si="141"/>
        <v>0</v>
      </c>
      <c r="AW160" s="17"/>
      <c r="AX160" s="17"/>
      <c r="AY160" s="17"/>
      <c r="AZ160" s="18">
        <f t="shared" si="137"/>
        <v>0</v>
      </c>
      <c r="BA160" s="19">
        <f t="shared" si="142"/>
        <v>0</v>
      </c>
    </row>
    <row r="161" spans="1:53" ht="17.100000000000001" customHeight="1" x14ac:dyDescent="0.25">
      <c r="A161" s="40"/>
      <c r="B161" s="40"/>
      <c r="C161" s="77"/>
      <c r="D161" s="144"/>
      <c r="E161" s="144"/>
      <c r="F161" s="145"/>
      <c r="G161" s="145"/>
      <c r="H161" s="119"/>
      <c r="I161" s="236"/>
      <c r="J161" s="64">
        <f>SUM(J155:J160)</f>
        <v>0</v>
      </c>
      <c r="K161" s="64">
        <f t="shared" ref="K161:M161" si="143">SUM(K155:K160)</f>
        <v>0</v>
      </c>
      <c r="L161" s="64">
        <f t="shared" si="143"/>
        <v>0</v>
      </c>
      <c r="M161" s="64">
        <f t="shared" si="143"/>
        <v>0</v>
      </c>
      <c r="N161" s="64"/>
      <c r="O161" s="64"/>
      <c r="P161" s="64"/>
      <c r="Q161" s="81"/>
      <c r="R161" s="81"/>
      <c r="S161" s="81"/>
      <c r="T161" s="81"/>
      <c r="U161" s="81"/>
      <c r="V161" s="356"/>
      <c r="W161" s="381">
        <f>SUM(W155:W160)</f>
        <v>0</v>
      </c>
      <c r="X161" s="82">
        <f t="shared" ref="X161:Y161" si="144">SUM(X155:X160)</f>
        <v>0</v>
      </c>
      <c r="Y161" s="82">
        <f t="shared" si="144"/>
        <v>0</v>
      </c>
      <c r="Z161" s="205">
        <f t="shared" si="138"/>
        <v>0</v>
      </c>
      <c r="AA161" s="205"/>
      <c r="AB161" s="205"/>
      <c r="AC161" s="83"/>
      <c r="AE161" s="80"/>
      <c r="AF161" s="80"/>
      <c r="AG161" s="81"/>
      <c r="AH161" s="82">
        <f>SUM(AH155:AH160)</f>
        <v>0</v>
      </c>
      <c r="AI161" s="66">
        <f t="shared" si="139"/>
        <v>0</v>
      </c>
      <c r="AK161" s="80"/>
      <c r="AL161" s="80"/>
      <c r="AM161" s="81"/>
      <c r="AN161" s="82">
        <f>SUM(AN155:AN160)</f>
        <v>0</v>
      </c>
      <c r="AO161" s="66">
        <f t="shared" si="140"/>
        <v>0</v>
      </c>
      <c r="AQ161" s="80"/>
      <c r="AR161" s="80"/>
      <c r="AS161" s="81"/>
      <c r="AT161" s="82">
        <f>SUM(AT155:AT160)</f>
        <v>0</v>
      </c>
      <c r="AU161" s="66">
        <f t="shared" si="141"/>
        <v>0</v>
      </c>
      <c r="AW161" s="80"/>
      <c r="AX161" s="80"/>
      <c r="AY161" s="81"/>
      <c r="AZ161" s="82">
        <f>SUM(AZ155:AZ160)</f>
        <v>0</v>
      </c>
      <c r="BA161" s="66">
        <f t="shared" si="142"/>
        <v>0</v>
      </c>
    </row>
    <row r="162" spans="1:53" s="117" customFormat="1" ht="17.100000000000001" customHeight="1" x14ac:dyDescent="0.25">
      <c r="A162" s="68"/>
      <c r="B162" s="119"/>
      <c r="C162" s="540"/>
      <c r="D162" s="261"/>
      <c r="E162" s="261"/>
      <c r="F162" s="68"/>
      <c r="G162" s="68"/>
      <c r="H162" s="119"/>
      <c r="I162" s="138"/>
      <c r="J162" s="17" t="str">
        <f>IF(J161=J$15,"OK","NOK")</f>
        <v>OK</v>
      </c>
      <c r="K162" s="17" t="str">
        <f t="shared" ref="K162:L162" si="145">IF(K161=K$15,"OK","NOK")</f>
        <v>OK</v>
      </c>
      <c r="L162" s="17" t="str">
        <f t="shared" si="145"/>
        <v>OK</v>
      </c>
      <c r="M162" s="17"/>
      <c r="N162" s="17"/>
      <c r="O162" s="17"/>
      <c r="P162" s="17"/>
      <c r="Q162" s="17"/>
      <c r="R162" s="17"/>
      <c r="S162" s="17"/>
      <c r="T162" s="17"/>
      <c r="U162" s="17"/>
      <c r="V162" s="359"/>
      <c r="W162" s="382"/>
      <c r="X162" s="539"/>
      <c r="Y162" s="539"/>
      <c r="Z162" s="201"/>
      <c r="AA162" s="201"/>
      <c r="AB162" s="201"/>
      <c r="AC162" s="84"/>
      <c r="AE162" s="46"/>
      <c r="AF162" s="46"/>
      <c r="AG162" s="17"/>
      <c r="AH162" s="539"/>
      <c r="AI162" s="91"/>
      <c r="AK162" s="46"/>
      <c r="AL162" s="46"/>
      <c r="AM162" s="17"/>
      <c r="AN162" s="539"/>
      <c r="AO162" s="91"/>
      <c r="AQ162" s="46"/>
      <c r="AR162" s="46"/>
      <c r="AS162" s="17"/>
      <c r="AT162" s="539"/>
      <c r="AU162" s="91"/>
      <c r="AW162" s="46"/>
      <c r="AX162" s="46"/>
      <c r="AY162" s="17"/>
      <c r="AZ162" s="539"/>
      <c r="BA162" s="91"/>
    </row>
    <row r="163" spans="1:53" ht="17.100000000000001" customHeight="1" x14ac:dyDescent="0.25">
      <c r="A163" s="68"/>
      <c r="B163" s="41" t="s">
        <v>123</v>
      </c>
      <c r="C163" s="49" t="s">
        <v>426</v>
      </c>
      <c r="D163" s="50"/>
      <c r="E163" s="70"/>
      <c r="F163" s="70"/>
      <c r="G163" s="70"/>
      <c r="H163" s="243">
        <v>8</v>
      </c>
      <c r="J163" s="71"/>
      <c r="K163" s="71"/>
      <c r="L163" s="71"/>
      <c r="M163" s="71"/>
      <c r="N163" s="71"/>
      <c r="O163" s="71"/>
      <c r="P163" s="71"/>
      <c r="Q163" s="71"/>
      <c r="R163" s="71"/>
      <c r="S163" s="71"/>
      <c r="T163" s="71"/>
      <c r="U163" s="71"/>
      <c r="V163" s="355"/>
      <c r="W163" s="377"/>
      <c r="X163" s="71"/>
      <c r="Y163" s="72"/>
      <c r="Z163" s="73"/>
      <c r="AA163" s="73"/>
      <c r="AB163" s="73"/>
      <c r="AC163" s="73"/>
      <c r="AE163" s="71"/>
      <c r="AF163" s="71"/>
      <c r="AG163" s="71"/>
      <c r="AH163" s="72"/>
      <c r="AI163" s="73"/>
      <c r="AK163" s="71"/>
      <c r="AL163" s="71"/>
      <c r="AM163" s="71"/>
      <c r="AN163" s="72"/>
      <c r="AO163" s="73"/>
      <c r="AQ163" s="71"/>
      <c r="AR163" s="71"/>
      <c r="AS163" s="71"/>
      <c r="AT163" s="72"/>
      <c r="AU163" s="73"/>
      <c r="AW163" s="71"/>
      <c r="AX163" s="71"/>
      <c r="AY163" s="71"/>
      <c r="AZ163" s="72"/>
      <c r="BA163" s="73"/>
    </row>
    <row r="164" spans="1:53" ht="17.100000000000001" customHeight="1" x14ac:dyDescent="0.25">
      <c r="A164" s="40"/>
      <c r="B164" s="40"/>
      <c r="C164" s="74" t="s">
        <v>125</v>
      </c>
      <c r="D164" s="75" t="s">
        <v>148</v>
      </c>
      <c r="E164" s="75"/>
      <c r="F164" s="75"/>
      <c r="G164" s="75"/>
      <c r="H164" s="540"/>
      <c r="I164" s="229"/>
      <c r="J164" s="581"/>
      <c r="K164" s="581"/>
      <c r="L164" s="582"/>
      <c r="M164" s="17">
        <f t="shared" ref="M164:M165" si="146">SUM(J164:L164)</f>
        <v>0</v>
      </c>
      <c r="N164" s="111"/>
      <c r="O164" s="111"/>
      <c r="P164" s="111"/>
      <c r="Q164" s="111"/>
      <c r="R164" s="111"/>
      <c r="S164" s="111"/>
      <c r="T164" s="111"/>
      <c r="U164" s="111"/>
      <c r="V164" s="358"/>
      <c r="W164" s="391">
        <f t="shared" ref="W164:W165" si="147">J164+K164+N164+Q164+T164</f>
        <v>0</v>
      </c>
      <c r="X164" s="17">
        <f t="shared" ref="X164:X165" si="148">L164+O164+R164+U164</f>
        <v>0</v>
      </c>
      <c r="Y164" s="18">
        <f>SUM(W164:X164)</f>
        <v>0</v>
      </c>
      <c r="Z164" s="19">
        <f>IF($Y$166=0,0,Y164/$Y$166)</f>
        <v>0</v>
      </c>
      <c r="AA164" s="19"/>
      <c r="AB164" s="19"/>
      <c r="AC164" s="20"/>
      <c r="AE164" s="17"/>
      <c r="AF164" s="17"/>
      <c r="AG164" s="17"/>
      <c r="AH164" s="18">
        <f t="shared" ref="AH164:AH165" si="149">J164</f>
        <v>0</v>
      </c>
      <c r="AI164" s="19">
        <f>IF(AH$166=0,0,AH164/AH$166)</f>
        <v>0</v>
      </c>
      <c r="AK164" s="17"/>
      <c r="AL164" s="17"/>
      <c r="AM164" s="17"/>
      <c r="AN164" s="18">
        <f t="shared" ref="AN164:AN165" si="150">K164</f>
        <v>0</v>
      </c>
      <c r="AO164" s="19">
        <f>IF(AN$166=0,0,AN164/AN$166)</f>
        <v>0</v>
      </c>
      <c r="AQ164" s="17"/>
      <c r="AR164" s="17"/>
      <c r="AS164" s="17"/>
      <c r="AT164" s="18">
        <f t="shared" ref="AT164:AT165" si="151">W164</f>
        <v>0</v>
      </c>
      <c r="AU164" s="19">
        <f>IF(AT$166=0,0,AT164/AT$166)</f>
        <v>0</v>
      </c>
      <c r="AW164" s="17"/>
      <c r="AX164" s="17"/>
      <c r="AY164" s="17"/>
      <c r="AZ164" s="18">
        <f t="shared" ref="AZ164:AZ165" si="152">X164</f>
        <v>0</v>
      </c>
      <c r="BA164" s="19">
        <f>IF(AZ$166=0,0,AZ164/AZ$166)</f>
        <v>0</v>
      </c>
    </row>
    <row r="165" spans="1:53" ht="17.100000000000001" customHeight="1" x14ac:dyDescent="0.25">
      <c r="A165" s="40"/>
      <c r="B165" s="40"/>
      <c r="C165" s="74" t="s">
        <v>126</v>
      </c>
      <c r="D165" s="75" t="s">
        <v>149</v>
      </c>
      <c r="E165" s="75"/>
      <c r="F165" s="75"/>
      <c r="G165" s="75"/>
      <c r="H165" s="540"/>
      <c r="I165" s="229"/>
      <c r="J165" s="583"/>
      <c r="K165" s="583"/>
      <c r="L165" s="584"/>
      <c r="M165" s="17">
        <f t="shared" si="146"/>
        <v>0</v>
      </c>
      <c r="N165" s="111"/>
      <c r="O165" s="111"/>
      <c r="P165" s="111"/>
      <c r="Q165" s="111"/>
      <c r="R165" s="111"/>
      <c r="S165" s="111"/>
      <c r="T165" s="111"/>
      <c r="U165" s="111"/>
      <c r="V165" s="358"/>
      <c r="W165" s="391">
        <f t="shared" si="147"/>
        <v>0</v>
      </c>
      <c r="X165" s="17">
        <f t="shared" si="148"/>
        <v>0</v>
      </c>
      <c r="Y165" s="18">
        <f>SUM(W165:X165)</f>
        <v>0</v>
      </c>
      <c r="Z165" s="19">
        <f t="shared" ref="Z165:Z166" si="153">IF($Y$166=0,0,Y165/$Y$166)</f>
        <v>0</v>
      </c>
      <c r="AA165" s="19"/>
      <c r="AB165" s="19"/>
      <c r="AC165" s="20"/>
      <c r="AE165" s="17"/>
      <c r="AF165" s="17"/>
      <c r="AG165" s="17"/>
      <c r="AH165" s="18">
        <f t="shared" si="149"/>
        <v>0</v>
      </c>
      <c r="AI165" s="19">
        <f t="shared" ref="AI165:AI166" si="154">IF(AH$166=0,0,AH165/AH$166)</f>
        <v>0</v>
      </c>
      <c r="AK165" s="17"/>
      <c r="AL165" s="17"/>
      <c r="AM165" s="17"/>
      <c r="AN165" s="18">
        <f t="shared" si="150"/>
        <v>0</v>
      </c>
      <c r="AO165" s="19">
        <f t="shared" ref="AO165:AO166" si="155">IF(AN$166=0,0,AN165/AN$166)</f>
        <v>0</v>
      </c>
      <c r="AQ165" s="17"/>
      <c r="AR165" s="17"/>
      <c r="AS165" s="17"/>
      <c r="AT165" s="18">
        <f t="shared" si="151"/>
        <v>0</v>
      </c>
      <c r="AU165" s="19">
        <f t="shared" ref="AU165:AU166" si="156">IF(AT$166=0,0,AT165/AT$166)</f>
        <v>0</v>
      </c>
      <c r="AW165" s="17"/>
      <c r="AX165" s="17"/>
      <c r="AY165" s="17"/>
      <c r="AZ165" s="18">
        <f t="shared" si="152"/>
        <v>0</v>
      </c>
      <c r="BA165" s="19">
        <f t="shared" ref="BA165:BA166" si="157">IF(AZ$166=0,0,AZ165/AZ$166)</f>
        <v>0</v>
      </c>
    </row>
    <row r="166" spans="1:53" ht="17.100000000000001" customHeight="1" x14ac:dyDescent="0.25">
      <c r="A166" s="40"/>
      <c r="B166" s="40"/>
      <c r="C166" s="77"/>
      <c r="D166" s="144"/>
      <c r="E166" s="144"/>
      <c r="F166" s="145"/>
      <c r="G166" s="145"/>
      <c r="H166" s="119"/>
      <c r="I166" s="236"/>
      <c r="J166" s="64">
        <f>SUM(J164:J165)</f>
        <v>0</v>
      </c>
      <c r="K166" s="64">
        <f t="shared" ref="K166:M166" si="158">SUM(K164:K165)</f>
        <v>0</v>
      </c>
      <c r="L166" s="64">
        <f t="shared" si="158"/>
        <v>0</v>
      </c>
      <c r="M166" s="64">
        <f t="shared" si="158"/>
        <v>0</v>
      </c>
      <c r="N166" s="64"/>
      <c r="O166" s="64"/>
      <c r="P166" s="64"/>
      <c r="Q166" s="81"/>
      <c r="R166" s="81"/>
      <c r="S166" s="81"/>
      <c r="T166" s="81"/>
      <c r="U166" s="81"/>
      <c r="V166" s="356"/>
      <c r="W166" s="381">
        <f>SUM(W164:W165)</f>
        <v>0</v>
      </c>
      <c r="X166" s="82">
        <f t="shared" ref="X166:Y166" si="159">SUM(X164:X165)</f>
        <v>0</v>
      </c>
      <c r="Y166" s="82">
        <f t="shared" si="159"/>
        <v>0</v>
      </c>
      <c r="Z166" s="205">
        <f t="shared" si="153"/>
        <v>0</v>
      </c>
      <c r="AA166" s="205"/>
      <c r="AB166" s="205"/>
      <c r="AC166" s="83"/>
      <c r="AE166" s="80"/>
      <c r="AF166" s="80"/>
      <c r="AG166" s="81"/>
      <c r="AH166" s="82">
        <f>SUM(AH164:AH165)</f>
        <v>0</v>
      </c>
      <c r="AI166" s="66">
        <f t="shared" si="154"/>
        <v>0</v>
      </c>
      <c r="AK166" s="80"/>
      <c r="AL166" s="80"/>
      <c r="AM166" s="81"/>
      <c r="AN166" s="82">
        <f>SUM(AN164:AN165)</f>
        <v>0</v>
      </c>
      <c r="AO166" s="66">
        <f t="shared" si="155"/>
        <v>0</v>
      </c>
      <c r="AQ166" s="80"/>
      <c r="AR166" s="80"/>
      <c r="AS166" s="81"/>
      <c r="AT166" s="82">
        <f>SUM(AT164:AT165)</f>
        <v>0</v>
      </c>
      <c r="AU166" s="66">
        <f t="shared" si="156"/>
        <v>0</v>
      </c>
      <c r="AW166" s="80"/>
      <c r="AX166" s="80"/>
      <c r="AY166" s="81"/>
      <c r="AZ166" s="82">
        <f>SUM(AZ164:AZ165)</f>
        <v>0</v>
      </c>
      <c r="BA166" s="66">
        <f t="shared" si="157"/>
        <v>0</v>
      </c>
    </row>
    <row r="167" spans="1:53" s="117" customFormat="1" ht="17.100000000000001" customHeight="1" x14ac:dyDescent="0.25">
      <c r="A167" s="68"/>
      <c r="B167" s="119"/>
      <c r="C167" s="540"/>
      <c r="D167" s="261"/>
      <c r="E167" s="261"/>
      <c r="F167" s="68"/>
      <c r="G167" s="68"/>
      <c r="H167" s="119"/>
      <c r="I167" s="138"/>
      <c r="J167" s="17" t="str">
        <f>IF(J166=J$15,"OK","NOK")</f>
        <v>OK</v>
      </c>
      <c r="K167" s="17" t="str">
        <f t="shared" ref="K167:L167" si="160">IF(K166=K$15,"OK","NOK")</f>
        <v>OK</v>
      </c>
      <c r="L167" s="17" t="str">
        <f t="shared" si="160"/>
        <v>OK</v>
      </c>
      <c r="M167" s="17"/>
      <c r="N167" s="17"/>
      <c r="O167" s="17"/>
      <c r="P167" s="17"/>
      <c r="Q167" s="17"/>
      <c r="R167" s="17"/>
      <c r="S167" s="17"/>
      <c r="T167" s="17"/>
      <c r="U167" s="17"/>
      <c r="V167" s="359"/>
      <c r="W167" s="382"/>
      <c r="X167" s="539"/>
      <c r="Y167" s="539"/>
      <c r="Z167" s="201"/>
      <c r="AA167" s="201"/>
      <c r="AB167" s="201"/>
      <c r="AC167" s="84"/>
      <c r="AE167" s="46"/>
      <c r="AF167" s="46"/>
      <c r="AG167" s="17"/>
      <c r="AH167" s="539"/>
      <c r="AI167" s="91"/>
      <c r="AK167" s="46"/>
      <c r="AL167" s="46"/>
      <c r="AM167" s="17"/>
      <c r="AN167" s="539"/>
      <c r="AO167" s="91"/>
      <c r="AQ167" s="46"/>
      <c r="AR167" s="46"/>
      <c r="AS167" s="17"/>
      <c r="AT167" s="539"/>
      <c r="AU167" s="91"/>
      <c r="AW167" s="46"/>
      <c r="AX167" s="46"/>
      <c r="AY167" s="17"/>
      <c r="AZ167" s="539"/>
      <c r="BA167" s="91"/>
    </row>
    <row r="168" spans="1:53" ht="17.100000000000001" customHeight="1" x14ac:dyDescent="0.25">
      <c r="A168" s="68"/>
      <c r="B168" s="41" t="s">
        <v>130</v>
      </c>
      <c r="C168" s="69" t="s">
        <v>413</v>
      </c>
      <c r="D168" s="50"/>
      <c r="E168" s="70"/>
      <c r="F168" s="70"/>
      <c r="G168" s="70"/>
      <c r="H168" s="119"/>
      <c r="J168" s="71"/>
      <c r="K168" s="71"/>
      <c r="L168" s="71"/>
      <c r="M168" s="71"/>
      <c r="N168" s="71"/>
      <c r="O168" s="71"/>
      <c r="P168" s="71"/>
      <c r="Q168" s="71"/>
      <c r="R168" s="71"/>
      <c r="S168" s="71"/>
      <c r="T168" s="71"/>
      <c r="U168" s="71"/>
      <c r="V168" s="355"/>
      <c r="W168" s="377"/>
      <c r="X168" s="71"/>
      <c r="Y168" s="72"/>
      <c r="Z168" s="73"/>
      <c r="AA168" s="73"/>
      <c r="AB168" s="73"/>
      <c r="AC168" s="73"/>
      <c r="AE168" s="71"/>
      <c r="AF168" s="71"/>
      <c r="AG168" s="71"/>
      <c r="AH168" s="72"/>
      <c r="AI168" s="73"/>
      <c r="AK168" s="71"/>
      <c r="AL168" s="71"/>
      <c r="AM168" s="71"/>
      <c r="AN168" s="72"/>
      <c r="AO168" s="73"/>
      <c r="AQ168" s="71"/>
      <c r="AR168" s="71"/>
      <c r="AS168" s="71"/>
      <c r="AT168" s="72"/>
      <c r="AU168" s="73"/>
      <c r="AW168" s="71"/>
      <c r="AX168" s="71"/>
      <c r="AY168" s="71"/>
      <c r="AZ168" s="72"/>
      <c r="BA168" s="73"/>
    </row>
    <row r="169" spans="1:53" ht="17.100000000000001" customHeight="1" x14ac:dyDescent="0.25">
      <c r="A169" s="40"/>
      <c r="B169" s="40"/>
      <c r="C169" s="74" t="s">
        <v>131</v>
      </c>
      <c r="D169" s="542" t="s">
        <v>457</v>
      </c>
      <c r="E169" s="542"/>
      <c r="F169" s="542"/>
      <c r="G169" s="542"/>
      <c r="H169" s="540"/>
      <c r="I169" s="235"/>
      <c r="J169" s="111"/>
      <c r="K169" s="111"/>
      <c r="L169" s="111"/>
      <c r="M169" s="111"/>
      <c r="N169" s="60"/>
      <c r="O169" s="60"/>
      <c r="P169" s="17">
        <f>SUM(N169:O169)</f>
        <v>0</v>
      </c>
      <c r="Q169" s="60"/>
      <c r="R169" s="60"/>
      <c r="S169" s="17">
        <f>SUM(Q169:R169)</f>
        <v>0</v>
      </c>
      <c r="T169" s="60"/>
      <c r="U169" s="60"/>
      <c r="V169" s="359">
        <f>SUM(T169:U169)</f>
        <v>0</v>
      </c>
      <c r="W169" s="391">
        <f t="shared" ref="W169:W173" si="161">J169+K169+N169+Q169+T169</f>
        <v>0</v>
      </c>
      <c r="X169" s="17">
        <f t="shared" ref="X169:X173" si="162">L169+O169+R169+U169</f>
        <v>0</v>
      </c>
      <c r="Y169" s="18">
        <f>SUM(W169:X169)</f>
        <v>0</v>
      </c>
      <c r="Z169" s="19">
        <f t="shared" ref="Z169:Z174" si="163">IF(Y$174=0,0,Y169/Y$174)</f>
        <v>0</v>
      </c>
      <c r="AA169" s="19"/>
      <c r="AB169" s="19"/>
      <c r="AC169" s="20"/>
      <c r="AE169" s="111"/>
      <c r="AF169" s="111"/>
      <c r="AG169" s="111"/>
      <c r="AH169" s="112"/>
      <c r="AI169" s="113"/>
      <c r="AK169" s="111"/>
      <c r="AL169" s="111"/>
      <c r="AM169" s="111"/>
      <c r="AN169" s="112"/>
      <c r="AO169" s="113"/>
      <c r="AQ169" s="17"/>
      <c r="AR169" s="17"/>
      <c r="AS169" s="17"/>
      <c r="AT169" s="18">
        <f t="shared" ref="AT169:AT173" si="164">W169</f>
        <v>0</v>
      </c>
      <c r="AU169" s="19">
        <f t="shared" ref="AU169:AU174" si="165">IF(AT$174=0,0,AT169/AT$174)</f>
        <v>0</v>
      </c>
      <c r="AW169" s="17"/>
      <c r="AX169" s="17"/>
      <c r="AY169" s="17"/>
      <c r="AZ169" s="18">
        <f t="shared" ref="AZ169:AZ173" si="166">X169</f>
        <v>0</v>
      </c>
      <c r="BA169" s="19">
        <f t="shared" ref="BA169:BA174" si="167">IF(AZ$174=0,0,AZ169/AZ$174)</f>
        <v>0</v>
      </c>
    </row>
    <row r="170" spans="1:53" ht="17.100000000000001" customHeight="1" x14ac:dyDescent="0.25">
      <c r="A170" s="40"/>
      <c r="B170" s="40"/>
      <c r="C170" s="74" t="s">
        <v>132</v>
      </c>
      <c r="D170" s="542" t="s">
        <v>459</v>
      </c>
      <c r="E170" s="542"/>
      <c r="F170" s="542"/>
      <c r="G170" s="542"/>
      <c r="H170" s="540"/>
      <c r="I170" s="235"/>
      <c r="J170" s="111"/>
      <c r="K170" s="111"/>
      <c r="L170" s="111"/>
      <c r="M170" s="111"/>
      <c r="N170" s="61"/>
      <c r="O170" s="61"/>
      <c r="P170" s="17">
        <f>SUM(N170:O170)</f>
        <v>0</v>
      </c>
      <c r="Q170" s="61">
        <v>1</v>
      </c>
      <c r="R170" s="61"/>
      <c r="S170" s="17">
        <f>SUM(Q170:R170)</f>
        <v>1</v>
      </c>
      <c r="T170" s="61"/>
      <c r="U170" s="61"/>
      <c r="V170" s="359">
        <f>SUM(T170:U170)</f>
        <v>0</v>
      </c>
      <c r="W170" s="391">
        <f t="shared" si="161"/>
        <v>1</v>
      </c>
      <c r="X170" s="17">
        <f t="shared" si="162"/>
        <v>0</v>
      </c>
      <c r="Y170" s="18">
        <f>SUM(W170:X170)</f>
        <v>1</v>
      </c>
      <c r="Z170" s="19">
        <f t="shared" si="163"/>
        <v>4.7619047619047616E-2</v>
      </c>
      <c r="AA170" s="19"/>
      <c r="AB170" s="19"/>
      <c r="AC170" s="20"/>
      <c r="AE170" s="111"/>
      <c r="AF170" s="111"/>
      <c r="AG170" s="111"/>
      <c r="AH170" s="112"/>
      <c r="AI170" s="113"/>
      <c r="AK170" s="111"/>
      <c r="AL170" s="111"/>
      <c r="AM170" s="111"/>
      <c r="AN170" s="112"/>
      <c r="AO170" s="113"/>
      <c r="AQ170" s="17"/>
      <c r="AR170" s="17"/>
      <c r="AS170" s="17"/>
      <c r="AT170" s="18">
        <f t="shared" si="164"/>
        <v>1</v>
      </c>
      <c r="AU170" s="19">
        <f t="shared" si="165"/>
        <v>0.5</v>
      </c>
      <c r="AW170" s="17"/>
      <c r="AX170" s="17"/>
      <c r="AY170" s="17"/>
      <c r="AZ170" s="18">
        <f t="shared" si="166"/>
        <v>0</v>
      </c>
      <c r="BA170" s="19">
        <f t="shared" si="167"/>
        <v>0</v>
      </c>
    </row>
    <row r="171" spans="1:53" ht="17.100000000000001" customHeight="1" x14ac:dyDescent="0.25">
      <c r="A171" s="40"/>
      <c r="B171" s="40"/>
      <c r="C171" s="74" t="s">
        <v>133</v>
      </c>
      <c r="D171" s="542" t="s">
        <v>460</v>
      </c>
      <c r="E171" s="542"/>
      <c r="F171" s="542"/>
      <c r="G171" s="542"/>
      <c r="H171" s="540"/>
      <c r="I171" s="235"/>
      <c r="J171" s="111"/>
      <c r="K171" s="111"/>
      <c r="L171" s="111"/>
      <c r="M171" s="111"/>
      <c r="N171" s="60"/>
      <c r="O171" s="60"/>
      <c r="P171" s="17">
        <f>SUM(N171:O171)</f>
        <v>0</v>
      </c>
      <c r="Q171" s="60"/>
      <c r="R171" s="60">
        <v>2</v>
      </c>
      <c r="S171" s="17">
        <f>SUM(Q171:R171)</f>
        <v>2</v>
      </c>
      <c r="T171" s="60"/>
      <c r="U171" s="60"/>
      <c r="V171" s="359">
        <f>SUM(T171:U171)</f>
        <v>0</v>
      </c>
      <c r="W171" s="391">
        <f t="shared" si="161"/>
        <v>0</v>
      </c>
      <c r="X171" s="17">
        <f t="shared" si="162"/>
        <v>2</v>
      </c>
      <c r="Y171" s="18">
        <f>SUM(W171:X171)</f>
        <v>2</v>
      </c>
      <c r="Z171" s="19">
        <f t="shared" si="163"/>
        <v>9.5238095238095233E-2</v>
      </c>
      <c r="AA171" s="19"/>
      <c r="AB171" s="19"/>
      <c r="AC171" s="20"/>
      <c r="AE171" s="111"/>
      <c r="AF171" s="111"/>
      <c r="AG171" s="111"/>
      <c r="AH171" s="112"/>
      <c r="AI171" s="113"/>
      <c r="AK171" s="111"/>
      <c r="AL171" s="111"/>
      <c r="AM171" s="111"/>
      <c r="AN171" s="112"/>
      <c r="AO171" s="113"/>
      <c r="AQ171" s="17"/>
      <c r="AR171" s="17"/>
      <c r="AS171" s="17"/>
      <c r="AT171" s="18">
        <f t="shared" si="164"/>
        <v>0</v>
      </c>
      <c r="AU171" s="19">
        <f t="shared" si="165"/>
        <v>0</v>
      </c>
      <c r="AW171" s="17"/>
      <c r="AX171" s="17"/>
      <c r="AY171" s="17"/>
      <c r="AZ171" s="18">
        <f t="shared" si="166"/>
        <v>2</v>
      </c>
      <c r="BA171" s="19">
        <f t="shared" si="167"/>
        <v>0.10526315789473684</v>
      </c>
    </row>
    <row r="172" spans="1:53" ht="17.100000000000001" customHeight="1" x14ac:dyDescent="0.25">
      <c r="A172" s="40"/>
      <c r="B172" s="40"/>
      <c r="C172" s="74" t="s">
        <v>134</v>
      </c>
      <c r="D172" s="542" t="s">
        <v>461</v>
      </c>
      <c r="E172" s="542"/>
      <c r="F172" s="542"/>
      <c r="G172" s="542"/>
      <c r="H172" s="540"/>
      <c r="I172" s="235"/>
      <c r="J172" s="111"/>
      <c r="K172" s="111"/>
      <c r="L172" s="111"/>
      <c r="M172" s="111"/>
      <c r="N172" s="61">
        <v>1</v>
      </c>
      <c r="O172" s="61">
        <v>5</v>
      </c>
      <c r="P172" s="17">
        <f>SUM(N172:O172)</f>
        <v>6</v>
      </c>
      <c r="Q172" s="61"/>
      <c r="R172" s="61">
        <v>2</v>
      </c>
      <c r="S172" s="17">
        <f>SUM(Q172:R172)</f>
        <v>2</v>
      </c>
      <c r="T172" s="61"/>
      <c r="U172" s="61">
        <v>10</v>
      </c>
      <c r="V172" s="359">
        <f>SUM(T172:U172)</f>
        <v>10</v>
      </c>
      <c r="W172" s="391">
        <f t="shared" si="161"/>
        <v>1</v>
      </c>
      <c r="X172" s="17">
        <f t="shared" si="162"/>
        <v>17</v>
      </c>
      <c r="Y172" s="18">
        <f>SUM(W172:X172)</f>
        <v>18</v>
      </c>
      <c r="Z172" s="19">
        <f t="shared" si="163"/>
        <v>0.8571428571428571</v>
      </c>
      <c r="AA172" s="19"/>
      <c r="AB172" s="19"/>
      <c r="AC172" s="20"/>
      <c r="AE172" s="111"/>
      <c r="AF172" s="111"/>
      <c r="AG172" s="111"/>
      <c r="AH172" s="112"/>
      <c r="AI172" s="113"/>
      <c r="AK172" s="111"/>
      <c r="AL172" s="111"/>
      <c r="AM172" s="111"/>
      <c r="AN172" s="112"/>
      <c r="AO172" s="113"/>
      <c r="AQ172" s="17"/>
      <c r="AR172" s="17"/>
      <c r="AS172" s="17"/>
      <c r="AT172" s="18">
        <f t="shared" si="164"/>
        <v>1</v>
      </c>
      <c r="AU172" s="19">
        <f t="shared" si="165"/>
        <v>0.5</v>
      </c>
      <c r="AW172" s="17"/>
      <c r="AX172" s="17"/>
      <c r="AY172" s="17"/>
      <c r="AZ172" s="18">
        <f t="shared" si="166"/>
        <v>17</v>
      </c>
      <c r="BA172" s="19">
        <f t="shared" si="167"/>
        <v>0.89473684210526316</v>
      </c>
    </row>
    <row r="173" spans="1:53" ht="17.100000000000001" customHeight="1" x14ac:dyDescent="0.25">
      <c r="A173" s="40"/>
      <c r="B173" s="40"/>
      <c r="C173" s="74" t="s">
        <v>135</v>
      </c>
      <c r="D173" s="542" t="s">
        <v>458</v>
      </c>
      <c r="E173" s="542"/>
      <c r="F173" s="542"/>
      <c r="G173" s="542"/>
      <c r="H173" s="540"/>
      <c r="I173" s="235"/>
      <c r="J173" s="111"/>
      <c r="K173" s="111"/>
      <c r="L173" s="111"/>
      <c r="M173" s="111"/>
      <c r="N173" s="60"/>
      <c r="O173" s="60"/>
      <c r="P173" s="17">
        <f>SUM(N173:O173)</f>
        <v>0</v>
      </c>
      <c r="Q173" s="60"/>
      <c r="R173" s="60"/>
      <c r="S173" s="17">
        <f>SUM(Q173:R173)</f>
        <v>0</v>
      </c>
      <c r="T173" s="60"/>
      <c r="U173" s="60"/>
      <c r="V173" s="359">
        <f>SUM(T173:U173)</f>
        <v>0</v>
      </c>
      <c r="W173" s="391">
        <f t="shared" si="161"/>
        <v>0</v>
      </c>
      <c r="X173" s="17">
        <f t="shared" si="162"/>
        <v>0</v>
      </c>
      <c r="Y173" s="18">
        <f>SUM(W173:X173)</f>
        <v>0</v>
      </c>
      <c r="Z173" s="19">
        <f t="shared" si="163"/>
        <v>0</v>
      </c>
      <c r="AA173" s="19"/>
      <c r="AB173" s="19"/>
      <c r="AC173" s="20"/>
      <c r="AE173" s="111"/>
      <c r="AF173" s="111"/>
      <c r="AG173" s="111"/>
      <c r="AH173" s="112"/>
      <c r="AI173" s="113"/>
      <c r="AK173" s="111"/>
      <c r="AL173" s="111"/>
      <c r="AM173" s="111"/>
      <c r="AN173" s="112"/>
      <c r="AO173" s="113"/>
      <c r="AQ173" s="17"/>
      <c r="AR173" s="17"/>
      <c r="AS173" s="17"/>
      <c r="AT173" s="18">
        <f t="shared" si="164"/>
        <v>0</v>
      </c>
      <c r="AU173" s="19">
        <f t="shared" si="165"/>
        <v>0</v>
      </c>
      <c r="AW173" s="17"/>
      <c r="AX173" s="17"/>
      <c r="AY173" s="17"/>
      <c r="AZ173" s="18">
        <f t="shared" si="166"/>
        <v>0</v>
      </c>
      <c r="BA173" s="19">
        <f t="shared" si="167"/>
        <v>0</v>
      </c>
    </row>
    <row r="174" spans="1:53" ht="17.100000000000001" customHeight="1" x14ac:dyDescent="0.25">
      <c r="A174" s="40"/>
      <c r="B174" s="40"/>
      <c r="C174" s="77"/>
      <c r="D174" s="144"/>
      <c r="E174" s="144"/>
      <c r="F174" s="145"/>
      <c r="G174" s="145"/>
      <c r="H174" s="119"/>
      <c r="I174" s="236"/>
      <c r="J174" s="80"/>
      <c r="K174" s="80"/>
      <c r="L174" s="81"/>
      <c r="M174" s="81"/>
      <c r="N174" s="81">
        <f t="shared" ref="N174:Y174" si="168">SUM(N169:N173)</f>
        <v>1</v>
      </c>
      <c r="O174" s="81">
        <f t="shared" si="168"/>
        <v>5</v>
      </c>
      <c r="P174" s="81">
        <f t="shared" si="168"/>
        <v>6</v>
      </c>
      <c r="Q174" s="81">
        <f t="shared" si="168"/>
        <v>1</v>
      </c>
      <c r="R174" s="81">
        <f t="shared" si="168"/>
        <v>4</v>
      </c>
      <c r="S174" s="81">
        <f t="shared" si="168"/>
        <v>5</v>
      </c>
      <c r="T174" s="81">
        <f t="shared" si="168"/>
        <v>0</v>
      </c>
      <c r="U174" s="81">
        <f t="shared" si="168"/>
        <v>10</v>
      </c>
      <c r="V174" s="81">
        <f t="shared" si="168"/>
        <v>10</v>
      </c>
      <c r="W174" s="381">
        <f t="shared" si="168"/>
        <v>2</v>
      </c>
      <c r="X174" s="82">
        <f t="shared" si="168"/>
        <v>19</v>
      </c>
      <c r="Y174" s="82">
        <f t="shared" si="168"/>
        <v>21</v>
      </c>
      <c r="Z174" s="205">
        <f t="shared" si="163"/>
        <v>1</v>
      </c>
      <c r="AA174" s="205"/>
      <c r="AB174" s="205"/>
      <c r="AC174" s="83"/>
      <c r="AE174" s="80"/>
      <c r="AF174" s="80"/>
      <c r="AG174" s="81"/>
      <c r="AH174" s="82"/>
      <c r="AI174" s="66"/>
      <c r="AK174" s="80"/>
      <c r="AL174" s="80"/>
      <c r="AM174" s="81"/>
      <c r="AN174" s="82"/>
      <c r="AO174" s="66"/>
      <c r="AQ174" s="80"/>
      <c r="AR174" s="80"/>
      <c r="AS174" s="81"/>
      <c r="AT174" s="82">
        <f>SUM(AT169:AT173)</f>
        <v>2</v>
      </c>
      <c r="AU174" s="66">
        <f t="shared" si="165"/>
        <v>1</v>
      </c>
      <c r="AW174" s="80"/>
      <c r="AX174" s="80"/>
      <c r="AY174" s="81"/>
      <c r="AZ174" s="82">
        <f>SUM(AZ169:AZ173)</f>
        <v>19</v>
      </c>
      <c r="BA174" s="66">
        <f t="shared" si="167"/>
        <v>1</v>
      </c>
    </row>
    <row r="175" spans="1:53" s="117" customFormat="1" ht="17.100000000000001" customHeight="1" x14ac:dyDescent="0.25">
      <c r="A175" s="68"/>
      <c r="B175" s="119"/>
      <c r="C175" s="540"/>
      <c r="D175" s="261"/>
      <c r="E175" s="261"/>
      <c r="F175" s="68"/>
      <c r="G175" s="68"/>
      <c r="H175" s="119"/>
      <c r="I175" s="138"/>
      <c r="J175" s="17"/>
      <c r="K175" s="17"/>
      <c r="L175" s="17"/>
      <c r="M175" s="17"/>
      <c r="N175" s="17" t="str">
        <f>IF(N174=N$20,"OK","NOK")</f>
        <v>OK</v>
      </c>
      <c r="O175" s="17" t="str">
        <f>IF(O174=O$20,"OK","NOK")</f>
        <v>OK</v>
      </c>
      <c r="P175" s="17"/>
      <c r="Q175" s="17" t="str">
        <f>IF(Q174=Q$20,"OK","NOK")</f>
        <v>OK</v>
      </c>
      <c r="R175" s="17" t="str">
        <f>IF(R174=R$20,"OK","NOK")</f>
        <v>OK</v>
      </c>
      <c r="S175" s="17"/>
      <c r="T175" s="17" t="str">
        <f>IF(T174=T$20,"OK","NOK")</f>
        <v>OK</v>
      </c>
      <c r="U175" s="17" t="str">
        <f>IF(U174=U$20,"OK","NOK")</f>
        <v>OK</v>
      </c>
      <c r="V175" s="359"/>
      <c r="W175" s="382"/>
      <c r="X175" s="539"/>
      <c r="Y175" s="539"/>
      <c r="Z175" s="201"/>
      <c r="AA175" s="201"/>
      <c r="AB175" s="201"/>
      <c r="AC175" s="84"/>
      <c r="AE175" s="46"/>
      <c r="AF175" s="46"/>
      <c r="AG175" s="17"/>
      <c r="AH175" s="539"/>
      <c r="AI175" s="91"/>
      <c r="AK175" s="46"/>
      <c r="AL175" s="46"/>
      <c r="AM175" s="17"/>
      <c r="AN175" s="539"/>
      <c r="AO175" s="91"/>
      <c r="AQ175" s="46"/>
      <c r="AR175" s="46"/>
      <c r="AS175" s="17"/>
      <c r="AT175" s="539"/>
      <c r="AU175" s="91"/>
      <c r="AW175" s="46"/>
      <c r="AX175" s="46"/>
      <c r="AY175" s="17"/>
      <c r="AZ175" s="539"/>
      <c r="BA175" s="91"/>
    </row>
    <row r="176" spans="1:53" ht="17.100000000000001" customHeight="1" x14ac:dyDescent="0.25">
      <c r="A176" s="68"/>
      <c r="B176" s="41" t="s">
        <v>137</v>
      </c>
      <c r="C176" s="69" t="s">
        <v>124</v>
      </c>
      <c r="D176" s="50"/>
      <c r="E176" s="70"/>
      <c r="F176" s="70"/>
      <c r="G176" s="70"/>
      <c r="H176" s="119"/>
      <c r="J176" s="71"/>
      <c r="K176" s="71"/>
      <c r="L176" s="71"/>
      <c r="M176" s="71"/>
      <c r="N176" s="71"/>
      <c r="O176" s="71"/>
      <c r="P176" s="71"/>
      <c r="Q176" s="71"/>
      <c r="R176" s="71"/>
      <c r="S176" s="71"/>
      <c r="T176" s="71"/>
      <c r="U176" s="71"/>
      <c r="V176" s="355"/>
      <c r="W176" s="377"/>
      <c r="X176" s="71"/>
      <c r="Y176" s="72"/>
      <c r="Z176" s="73"/>
      <c r="AA176" s="73"/>
      <c r="AB176" s="73"/>
      <c r="AC176" s="73"/>
      <c r="AE176" s="71"/>
      <c r="AF176" s="71"/>
      <c r="AG176" s="71"/>
      <c r="AH176" s="72"/>
      <c r="AI176" s="73"/>
      <c r="AK176" s="71"/>
      <c r="AL176" s="71"/>
      <c r="AM176" s="71"/>
      <c r="AN176" s="72"/>
      <c r="AO176" s="73"/>
      <c r="AQ176" s="71"/>
      <c r="AR176" s="71"/>
      <c r="AS176" s="71"/>
      <c r="AT176" s="72"/>
      <c r="AU176" s="73"/>
      <c r="AW176" s="71"/>
      <c r="AX176" s="71"/>
      <c r="AY176" s="71"/>
      <c r="AZ176" s="72"/>
      <c r="BA176" s="73"/>
    </row>
    <row r="177" spans="1:53" ht="17.100000000000001" customHeight="1" x14ac:dyDescent="0.25">
      <c r="A177" s="40"/>
      <c r="B177" s="40"/>
      <c r="C177" s="74" t="s">
        <v>139</v>
      </c>
      <c r="D177" s="541" t="s">
        <v>666</v>
      </c>
      <c r="E177" s="542"/>
      <c r="F177" s="542"/>
      <c r="G177" s="542"/>
      <c r="H177" s="540"/>
      <c r="I177" s="235"/>
      <c r="J177" s="111"/>
      <c r="K177" s="111"/>
      <c r="L177" s="111"/>
      <c r="M177" s="111"/>
      <c r="N177" s="111">
        <f>SUM(N178:N183)</f>
        <v>1</v>
      </c>
      <c r="O177" s="111">
        <f>SUM(O178:O183)</f>
        <v>5</v>
      </c>
      <c r="P177" s="111">
        <f t="shared" ref="P177:P183" si="169">SUM(N177:O177)</f>
        <v>6</v>
      </c>
      <c r="Q177" s="111">
        <f>SUM(Q178:Q183)</f>
        <v>1</v>
      </c>
      <c r="R177" s="111">
        <f>SUM(R178:R183)</f>
        <v>4</v>
      </c>
      <c r="S177" s="111">
        <f t="shared" ref="S177:S183" si="170">SUM(Q177:R177)</f>
        <v>5</v>
      </c>
      <c r="T177" s="111">
        <f>SUM(T178:T183)</f>
        <v>0</v>
      </c>
      <c r="U177" s="111">
        <f>SUM(U178:U183)</f>
        <v>8</v>
      </c>
      <c r="V177" s="358">
        <f t="shared" ref="V177:V183" si="171">SUM(T177:U177)</f>
        <v>8</v>
      </c>
      <c r="W177" s="385">
        <f t="shared" ref="W177:W183" si="172">J177+K177+N177+Q177+T177</f>
        <v>2</v>
      </c>
      <c r="X177" s="545">
        <f t="shared" ref="X177:X183" si="173">L177+O177+R177+U177</f>
        <v>17</v>
      </c>
      <c r="Y177" s="545">
        <f t="shared" ref="Y177:Y183" si="174">SUM(W177:X177)</f>
        <v>19</v>
      </c>
      <c r="Z177" s="172">
        <f t="shared" ref="Z177:Z183" si="175">IF(Y$187=0,0,Y177/Y$187)</f>
        <v>0.90476190476190477</v>
      </c>
      <c r="AA177" s="172"/>
      <c r="AB177" s="172"/>
      <c r="AC177" s="113"/>
      <c r="AE177" s="111"/>
      <c r="AF177" s="111"/>
      <c r="AG177" s="111"/>
      <c r="AH177" s="545"/>
      <c r="AI177" s="131"/>
      <c r="AK177" s="111"/>
      <c r="AL177" s="111"/>
      <c r="AM177" s="111"/>
      <c r="AN177" s="545"/>
      <c r="AO177" s="131"/>
      <c r="AQ177" s="111"/>
      <c r="AR177" s="111"/>
      <c r="AS177" s="111"/>
      <c r="AT177" s="545">
        <f>SUM(AT178:AT183)</f>
        <v>2</v>
      </c>
      <c r="AU177" s="131">
        <f>IF(AT$187=0,0,AT177/AT$187)</f>
        <v>1</v>
      </c>
      <c r="AW177" s="111"/>
      <c r="AX177" s="111"/>
      <c r="AY177" s="111"/>
      <c r="AZ177" s="545">
        <f t="shared" ref="AZ177:AZ186" si="176">X177</f>
        <v>17</v>
      </c>
      <c r="BA177" s="131">
        <f>IF(AZ$187=0,0,AZ177/AZ$187)</f>
        <v>0.89473684210526316</v>
      </c>
    </row>
    <row r="178" spans="1:53" ht="17.100000000000001" customHeight="1" x14ac:dyDescent="0.25">
      <c r="A178" s="40"/>
      <c r="B178" s="40"/>
      <c r="C178" s="540"/>
      <c r="D178" s="74" t="s">
        <v>140</v>
      </c>
      <c r="E178" s="542" t="s">
        <v>414</v>
      </c>
      <c r="F178" s="542"/>
      <c r="G178" s="542"/>
      <c r="H178" s="540"/>
      <c r="I178" s="235"/>
      <c r="J178" s="111"/>
      <c r="K178" s="111"/>
      <c r="L178" s="111"/>
      <c r="M178" s="111"/>
      <c r="N178" s="60"/>
      <c r="O178" s="60"/>
      <c r="P178" s="17">
        <f t="shared" si="169"/>
        <v>0</v>
      </c>
      <c r="Q178" s="60"/>
      <c r="R178" s="60"/>
      <c r="S178" s="17">
        <f t="shared" si="170"/>
        <v>0</v>
      </c>
      <c r="T178" s="60"/>
      <c r="U178" s="60"/>
      <c r="V178" s="359">
        <f t="shared" si="171"/>
        <v>0</v>
      </c>
      <c r="W178" s="391">
        <f t="shared" si="172"/>
        <v>0</v>
      </c>
      <c r="X178" s="17">
        <f t="shared" si="173"/>
        <v>0</v>
      </c>
      <c r="Y178" s="18">
        <f t="shared" si="174"/>
        <v>0</v>
      </c>
      <c r="Z178" s="19">
        <f t="shared" si="175"/>
        <v>0</v>
      </c>
      <c r="AA178" s="19"/>
      <c r="AB178" s="19"/>
      <c r="AC178" s="20"/>
      <c r="AE178" s="111"/>
      <c r="AF178" s="111"/>
      <c r="AG178" s="111"/>
      <c r="AH178" s="112"/>
      <c r="AI178" s="113"/>
      <c r="AK178" s="111"/>
      <c r="AL178" s="111"/>
      <c r="AM178" s="111"/>
      <c r="AN178" s="112"/>
      <c r="AO178" s="113"/>
      <c r="AQ178" s="17"/>
      <c r="AR178" s="17"/>
      <c r="AS178" s="17"/>
      <c r="AT178" s="18">
        <f t="shared" ref="AT178:AT183" si="177">W178</f>
        <v>0</v>
      </c>
      <c r="AU178" s="91">
        <f t="shared" ref="AU178:AU187" si="178">IF(AT$187=0,0,AT178/AT$187)</f>
        <v>0</v>
      </c>
      <c r="AW178" s="17"/>
      <c r="AX178" s="17"/>
      <c r="AY178" s="17"/>
      <c r="AZ178" s="18">
        <f t="shared" si="176"/>
        <v>0</v>
      </c>
      <c r="BA178" s="91">
        <f t="shared" ref="BA178:BA187" si="179">IF(AZ$187=0,0,AZ178/AZ$187)</f>
        <v>0</v>
      </c>
    </row>
    <row r="179" spans="1:53" ht="17.100000000000001" customHeight="1" x14ac:dyDescent="0.25">
      <c r="A179" s="40"/>
      <c r="B179" s="40"/>
      <c r="C179" s="540"/>
      <c r="D179" s="74" t="s">
        <v>660</v>
      </c>
      <c r="E179" s="542" t="s">
        <v>415</v>
      </c>
      <c r="F179" s="542"/>
      <c r="G179" s="542"/>
      <c r="H179" s="540"/>
      <c r="I179" s="235"/>
      <c r="J179" s="111"/>
      <c r="K179" s="111"/>
      <c r="L179" s="111"/>
      <c r="M179" s="111"/>
      <c r="N179" s="61"/>
      <c r="O179" s="61"/>
      <c r="P179" s="17">
        <f t="shared" si="169"/>
        <v>0</v>
      </c>
      <c r="Q179" s="61">
        <v>1</v>
      </c>
      <c r="R179" s="61">
        <v>1</v>
      </c>
      <c r="S179" s="17">
        <f t="shared" si="170"/>
        <v>2</v>
      </c>
      <c r="T179" s="61"/>
      <c r="U179" s="61">
        <v>2</v>
      </c>
      <c r="V179" s="359">
        <f t="shared" si="171"/>
        <v>2</v>
      </c>
      <c r="W179" s="391">
        <f t="shared" si="172"/>
        <v>1</v>
      </c>
      <c r="X179" s="17">
        <f t="shared" si="173"/>
        <v>3</v>
      </c>
      <c r="Y179" s="18">
        <f t="shared" si="174"/>
        <v>4</v>
      </c>
      <c r="Z179" s="19">
        <f t="shared" si="175"/>
        <v>0.19047619047619047</v>
      </c>
      <c r="AA179" s="19"/>
      <c r="AB179" s="19"/>
      <c r="AC179" s="20"/>
      <c r="AE179" s="111"/>
      <c r="AF179" s="111"/>
      <c r="AG179" s="111"/>
      <c r="AH179" s="112"/>
      <c r="AI179" s="113"/>
      <c r="AK179" s="111"/>
      <c r="AL179" s="111"/>
      <c r="AM179" s="111"/>
      <c r="AN179" s="112"/>
      <c r="AO179" s="113"/>
      <c r="AQ179" s="17"/>
      <c r="AR179" s="17"/>
      <c r="AS179" s="17"/>
      <c r="AT179" s="18">
        <f t="shared" si="177"/>
        <v>1</v>
      </c>
      <c r="AU179" s="91">
        <f t="shared" si="178"/>
        <v>0.5</v>
      </c>
      <c r="AW179" s="17"/>
      <c r="AX179" s="17"/>
      <c r="AY179" s="17"/>
      <c r="AZ179" s="18">
        <f t="shared" si="176"/>
        <v>3</v>
      </c>
      <c r="BA179" s="91">
        <f t="shared" si="179"/>
        <v>0.15789473684210525</v>
      </c>
    </row>
    <row r="180" spans="1:53" ht="17.100000000000001" customHeight="1" x14ac:dyDescent="0.25">
      <c r="A180" s="40"/>
      <c r="B180" s="40"/>
      <c r="C180" s="540"/>
      <c r="D180" s="74" t="s">
        <v>661</v>
      </c>
      <c r="E180" s="542" t="s">
        <v>416</v>
      </c>
      <c r="F180" s="542"/>
      <c r="G180" s="542"/>
      <c r="H180" s="540"/>
      <c r="I180" s="235"/>
      <c r="J180" s="111"/>
      <c r="K180" s="111"/>
      <c r="L180" s="111"/>
      <c r="M180" s="111"/>
      <c r="N180" s="60"/>
      <c r="O180" s="60"/>
      <c r="P180" s="17">
        <f t="shared" si="169"/>
        <v>0</v>
      </c>
      <c r="Q180" s="60"/>
      <c r="R180" s="60">
        <v>3</v>
      </c>
      <c r="S180" s="17">
        <f t="shared" si="170"/>
        <v>3</v>
      </c>
      <c r="T180" s="60"/>
      <c r="U180" s="60"/>
      <c r="V180" s="359">
        <f t="shared" si="171"/>
        <v>0</v>
      </c>
      <c r="W180" s="391">
        <f t="shared" si="172"/>
        <v>0</v>
      </c>
      <c r="X180" s="17">
        <f t="shared" si="173"/>
        <v>3</v>
      </c>
      <c r="Y180" s="18">
        <f t="shared" si="174"/>
        <v>3</v>
      </c>
      <c r="Z180" s="19">
        <f t="shared" si="175"/>
        <v>0.14285714285714285</v>
      </c>
      <c r="AA180" s="19"/>
      <c r="AB180" s="19"/>
      <c r="AC180" s="20"/>
      <c r="AE180" s="111"/>
      <c r="AF180" s="111"/>
      <c r="AG180" s="111"/>
      <c r="AH180" s="112"/>
      <c r="AI180" s="113"/>
      <c r="AK180" s="111"/>
      <c r="AL180" s="111"/>
      <c r="AM180" s="111"/>
      <c r="AN180" s="112"/>
      <c r="AO180" s="113"/>
      <c r="AQ180" s="17"/>
      <c r="AR180" s="17"/>
      <c r="AS180" s="17"/>
      <c r="AT180" s="18">
        <f t="shared" si="177"/>
        <v>0</v>
      </c>
      <c r="AU180" s="91">
        <f t="shared" si="178"/>
        <v>0</v>
      </c>
      <c r="AW180" s="17"/>
      <c r="AX180" s="17"/>
      <c r="AY180" s="17"/>
      <c r="AZ180" s="18">
        <f t="shared" si="176"/>
        <v>3</v>
      </c>
      <c r="BA180" s="91">
        <f t="shared" si="179"/>
        <v>0.15789473684210525</v>
      </c>
    </row>
    <row r="181" spans="1:53" ht="17.100000000000001" customHeight="1" x14ac:dyDescent="0.25">
      <c r="A181" s="40"/>
      <c r="B181" s="40"/>
      <c r="C181" s="540"/>
      <c r="D181" s="74" t="s">
        <v>662</v>
      </c>
      <c r="E181" s="542" t="s">
        <v>127</v>
      </c>
      <c r="F181" s="542"/>
      <c r="G181" s="542"/>
      <c r="H181" s="540"/>
      <c r="I181" s="235"/>
      <c r="J181" s="111"/>
      <c r="K181" s="111"/>
      <c r="L181" s="111"/>
      <c r="M181" s="111"/>
      <c r="N181" s="61"/>
      <c r="O181" s="61"/>
      <c r="P181" s="17">
        <f t="shared" si="169"/>
        <v>0</v>
      </c>
      <c r="Q181" s="61"/>
      <c r="R181" s="61"/>
      <c r="S181" s="17">
        <f t="shared" si="170"/>
        <v>0</v>
      </c>
      <c r="T181" s="61"/>
      <c r="U181" s="61"/>
      <c r="V181" s="359">
        <f t="shared" si="171"/>
        <v>0</v>
      </c>
      <c r="W181" s="391">
        <f t="shared" si="172"/>
        <v>0</v>
      </c>
      <c r="X181" s="17">
        <f t="shared" si="173"/>
        <v>0</v>
      </c>
      <c r="Y181" s="18">
        <f t="shared" si="174"/>
        <v>0</v>
      </c>
      <c r="Z181" s="19">
        <f t="shared" si="175"/>
        <v>0</v>
      </c>
      <c r="AA181" s="19"/>
      <c r="AB181" s="19"/>
      <c r="AC181" s="20"/>
      <c r="AE181" s="111"/>
      <c r="AF181" s="111"/>
      <c r="AG181" s="111"/>
      <c r="AH181" s="112"/>
      <c r="AI181" s="113"/>
      <c r="AK181" s="111"/>
      <c r="AL181" s="111"/>
      <c r="AM181" s="111"/>
      <c r="AN181" s="112"/>
      <c r="AO181" s="113"/>
      <c r="AQ181" s="17"/>
      <c r="AR181" s="17"/>
      <c r="AS181" s="17"/>
      <c r="AT181" s="18">
        <f t="shared" si="177"/>
        <v>0</v>
      </c>
      <c r="AU181" s="91">
        <f t="shared" si="178"/>
        <v>0</v>
      </c>
      <c r="AW181" s="17"/>
      <c r="AX181" s="17"/>
      <c r="AY181" s="17"/>
      <c r="AZ181" s="18">
        <f t="shared" si="176"/>
        <v>0</v>
      </c>
      <c r="BA181" s="91">
        <f t="shared" si="179"/>
        <v>0</v>
      </c>
    </row>
    <row r="182" spans="1:53" ht="17.100000000000001" customHeight="1" x14ac:dyDescent="0.25">
      <c r="A182" s="40"/>
      <c r="B182" s="40"/>
      <c r="C182" s="540"/>
      <c r="D182" s="74" t="s">
        <v>663</v>
      </c>
      <c r="E182" s="542" t="s">
        <v>417</v>
      </c>
      <c r="F182" s="542"/>
      <c r="G182" s="542"/>
      <c r="H182" s="540"/>
      <c r="I182" s="235"/>
      <c r="J182" s="111"/>
      <c r="K182" s="111"/>
      <c r="L182" s="111"/>
      <c r="M182" s="111"/>
      <c r="N182" s="60"/>
      <c r="O182" s="60"/>
      <c r="P182" s="17">
        <f t="shared" si="169"/>
        <v>0</v>
      </c>
      <c r="Q182" s="60"/>
      <c r="R182" s="60"/>
      <c r="S182" s="17">
        <f t="shared" si="170"/>
        <v>0</v>
      </c>
      <c r="T182" s="60"/>
      <c r="U182" s="60">
        <v>6</v>
      </c>
      <c r="V182" s="359">
        <f t="shared" si="171"/>
        <v>6</v>
      </c>
      <c r="W182" s="391">
        <f t="shared" si="172"/>
        <v>0</v>
      </c>
      <c r="X182" s="17">
        <f t="shared" si="173"/>
        <v>6</v>
      </c>
      <c r="Y182" s="18">
        <f t="shared" si="174"/>
        <v>6</v>
      </c>
      <c r="Z182" s="19">
        <f t="shared" si="175"/>
        <v>0.2857142857142857</v>
      </c>
      <c r="AA182" s="19"/>
      <c r="AB182" s="19"/>
      <c r="AC182" s="20"/>
      <c r="AE182" s="111"/>
      <c r="AF182" s="111"/>
      <c r="AG182" s="111"/>
      <c r="AH182" s="112"/>
      <c r="AI182" s="113"/>
      <c r="AK182" s="111"/>
      <c r="AL182" s="111"/>
      <c r="AM182" s="111"/>
      <c r="AN182" s="112"/>
      <c r="AO182" s="113"/>
      <c r="AQ182" s="17"/>
      <c r="AR182" s="17"/>
      <c r="AS182" s="17"/>
      <c r="AT182" s="18">
        <f t="shared" si="177"/>
        <v>0</v>
      </c>
      <c r="AU182" s="91">
        <f t="shared" si="178"/>
        <v>0</v>
      </c>
      <c r="AW182" s="17"/>
      <c r="AX182" s="17"/>
      <c r="AY182" s="17"/>
      <c r="AZ182" s="18">
        <f t="shared" si="176"/>
        <v>6</v>
      </c>
      <c r="BA182" s="91">
        <f t="shared" si="179"/>
        <v>0.31578947368421051</v>
      </c>
    </row>
    <row r="183" spans="1:53" ht="17.100000000000001" customHeight="1" x14ac:dyDescent="0.25">
      <c r="A183" s="40"/>
      <c r="B183" s="40"/>
      <c r="C183" s="540"/>
      <c r="D183" s="74" t="s">
        <v>664</v>
      </c>
      <c r="E183" s="542" t="s">
        <v>418</v>
      </c>
      <c r="F183" s="542"/>
      <c r="G183" s="542"/>
      <c r="H183" s="540"/>
      <c r="I183" s="235"/>
      <c r="J183" s="111"/>
      <c r="K183" s="111"/>
      <c r="L183" s="111"/>
      <c r="M183" s="111"/>
      <c r="N183" s="61">
        <v>1</v>
      </c>
      <c r="O183" s="61">
        <v>5</v>
      </c>
      <c r="P183" s="17">
        <f t="shared" si="169"/>
        <v>6</v>
      </c>
      <c r="Q183" s="61"/>
      <c r="R183" s="61"/>
      <c r="S183" s="17">
        <f t="shared" si="170"/>
        <v>0</v>
      </c>
      <c r="T183" s="61"/>
      <c r="U183" s="61"/>
      <c r="V183" s="359">
        <f t="shared" si="171"/>
        <v>0</v>
      </c>
      <c r="W183" s="391">
        <f t="shared" si="172"/>
        <v>1</v>
      </c>
      <c r="X183" s="17">
        <f t="shared" si="173"/>
        <v>5</v>
      </c>
      <c r="Y183" s="18">
        <f t="shared" si="174"/>
        <v>6</v>
      </c>
      <c r="Z183" s="19">
        <f t="shared" si="175"/>
        <v>0.2857142857142857</v>
      </c>
      <c r="AA183" s="19"/>
      <c r="AB183" s="19"/>
      <c r="AC183" s="20"/>
      <c r="AE183" s="111"/>
      <c r="AF183" s="111"/>
      <c r="AG183" s="111"/>
      <c r="AH183" s="112"/>
      <c r="AI183" s="113"/>
      <c r="AK183" s="111"/>
      <c r="AL183" s="111"/>
      <c r="AM183" s="111"/>
      <c r="AN183" s="112"/>
      <c r="AO183" s="113"/>
      <c r="AQ183" s="17"/>
      <c r="AR183" s="17"/>
      <c r="AS183" s="17"/>
      <c r="AT183" s="18">
        <f t="shared" si="177"/>
        <v>1</v>
      </c>
      <c r="AU183" s="91">
        <f t="shared" si="178"/>
        <v>0.5</v>
      </c>
      <c r="AW183" s="17"/>
      <c r="AX183" s="17"/>
      <c r="AY183" s="17"/>
      <c r="AZ183" s="18">
        <f t="shared" si="176"/>
        <v>5</v>
      </c>
      <c r="BA183" s="91">
        <f t="shared" si="179"/>
        <v>0.26315789473684209</v>
      </c>
    </row>
    <row r="184" spans="1:53" ht="17.100000000000001" customHeight="1" x14ac:dyDescent="0.25">
      <c r="A184" s="40"/>
      <c r="B184" s="40"/>
      <c r="C184" s="74" t="s">
        <v>141</v>
      </c>
      <c r="D184" s="57" t="s">
        <v>128</v>
      </c>
      <c r="E184" s="542"/>
      <c r="F184" s="542"/>
      <c r="G184" s="542"/>
      <c r="H184" s="540"/>
      <c r="I184" s="235"/>
      <c r="J184" s="111"/>
      <c r="K184" s="111"/>
      <c r="L184" s="111"/>
      <c r="M184" s="111"/>
      <c r="N184" s="111"/>
      <c r="O184" s="111"/>
      <c r="P184" s="111"/>
      <c r="Q184" s="111"/>
      <c r="R184" s="111"/>
      <c r="S184" s="111"/>
      <c r="T184" s="111"/>
      <c r="U184" s="111"/>
      <c r="V184" s="358"/>
      <c r="W184" s="380"/>
      <c r="X184" s="111"/>
      <c r="Y184" s="545"/>
      <c r="Z184" s="172"/>
      <c r="AA184" s="172"/>
      <c r="AB184" s="172"/>
      <c r="AC184" s="113"/>
      <c r="AE184" s="111"/>
      <c r="AF184" s="111"/>
      <c r="AG184" s="111"/>
      <c r="AH184" s="545"/>
      <c r="AI184" s="131"/>
      <c r="AK184" s="111"/>
      <c r="AL184" s="111"/>
      <c r="AM184" s="111"/>
      <c r="AN184" s="545"/>
      <c r="AO184" s="131"/>
      <c r="AQ184" s="111"/>
      <c r="AR184" s="111"/>
      <c r="AS184" s="111"/>
      <c r="AT184" s="545"/>
      <c r="AU184" s="131"/>
      <c r="AW184" s="111"/>
      <c r="AX184" s="111"/>
      <c r="AY184" s="111"/>
      <c r="AZ184" s="545">
        <f t="shared" si="176"/>
        <v>0</v>
      </c>
      <c r="BA184" s="131"/>
    </row>
    <row r="185" spans="1:53" ht="17.100000000000001" customHeight="1" x14ac:dyDescent="0.25">
      <c r="A185" s="40"/>
      <c r="B185" s="40"/>
      <c r="C185" s="540"/>
      <c r="D185" s="74" t="s">
        <v>142</v>
      </c>
      <c r="E185" s="542" t="s">
        <v>665</v>
      </c>
      <c r="F185" s="542"/>
      <c r="G185" s="542"/>
      <c r="H185" s="540"/>
      <c r="I185" s="235"/>
      <c r="J185" s="111"/>
      <c r="K185" s="111"/>
      <c r="L185" s="111"/>
      <c r="M185" s="111"/>
      <c r="N185" s="60"/>
      <c r="O185" s="60"/>
      <c r="P185" s="17">
        <f>SUM(N185:O185)</f>
        <v>0</v>
      </c>
      <c r="Q185" s="60"/>
      <c r="R185" s="60"/>
      <c r="S185" s="17">
        <f>SUM(Q185:R185)</f>
        <v>0</v>
      </c>
      <c r="T185" s="60"/>
      <c r="U185" s="60">
        <v>2</v>
      </c>
      <c r="V185" s="359">
        <f>SUM(T185:U185)</f>
        <v>2</v>
      </c>
      <c r="W185" s="391">
        <f t="shared" ref="W185:W186" si="180">J185+K185+N185+Q185+T185</f>
        <v>0</v>
      </c>
      <c r="X185" s="17">
        <f t="shared" ref="X185:X186" si="181">L185+O185+R185+U185</f>
        <v>2</v>
      </c>
      <c r="Y185" s="18">
        <f>SUM(W185:X185)</f>
        <v>2</v>
      </c>
      <c r="Z185" s="19">
        <f t="shared" ref="Z185:Z186" si="182">IF(Y$187=0,0,Y185/Y$187)</f>
        <v>9.5238095238095233E-2</v>
      </c>
      <c r="AA185" s="19"/>
      <c r="AB185" s="19"/>
      <c r="AC185" s="20"/>
      <c r="AE185" s="111"/>
      <c r="AF185" s="111"/>
      <c r="AG185" s="111"/>
      <c r="AH185" s="112"/>
      <c r="AI185" s="113"/>
      <c r="AK185" s="111"/>
      <c r="AL185" s="111"/>
      <c r="AM185" s="111"/>
      <c r="AN185" s="112"/>
      <c r="AO185" s="113"/>
      <c r="AQ185" s="17"/>
      <c r="AR185" s="17"/>
      <c r="AS185" s="17"/>
      <c r="AT185" s="18">
        <f t="shared" ref="AT185:AT186" si="183">W185</f>
        <v>0</v>
      </c>
      <c r="AU185" s="91">
        <f t="shared" si="178"/>
        <v>0</v>
      </c>
      <c r="AW185" s="17"/>
      <c r="AX185" s="17"/>
      <c r="AY185" s="17"/>
      <c r="AZ185" s="18">
        <f t="shared" si="176"/>
        <v>2</v>
      </c>
      <c r="BA185" s="91">
        <f t="shared" si="179"/>
        <v>0.10526315789473684</v>
      </c>
    </row>
    <row r="186" spans="1:53" ht="17.100000000000001" customHeight="1" x14ac:dyDescent="0.25">
      <c r="A186" s="40"/>
      <c r="B186" s="40"/>
      <c r="C186" s="74" t="s">
        <v>144</v>
      </c>
      <c r="D186" s="120" t="s">
        <v>129</v>
      </c>
      <c r="E186" s="542"/>
      <c r="F186" s="542"/>
      <c r="G186" s="542"/>
      <c r="H186" s="540"/>
      <c r="I186" s="235"/>
      <c r="J186" s="111"/>
      <c r="K186" s="111"/>
      <c r="L186" s="111"/>
      <c r="M186" s="111"/>
      <c r="N186" s="61"/>
      <c r="O186" s="61"/>
      <c r="P186" s="17">
        <f>SUM(N186:O186)</f>
        <v>0</v>
      </c>
      <c r="Q186" s="61"/>
      <c r="R186" s="61"/>
      <c r="S186" s="17">
        <f>SUM(Q186:R186)</f>
        <v>0</v>
      </c>
      <c r="T186" s="61"/>
      <c r="U186" s="61"/>
      <c r="V186" s="359">
        <f>SUM(T186:U186)</f>
        <v>0</v>
      </c>
      <c r="W186" s="391">
        <f t="shared" si="180"/>
        <v>0</v>
      </c>
      <c r="X186" s="17">
        <f t="shared" si="181"/>
        <v>0</v>
      </c>
      <c r="Y186" s="18">
        <f>SUM(W186:X186)</f>
        <v>0</v>
      </c>
      <c r="Z186" s="221">
        <f t="shared" si="182"/>
        <v>0</v>
      </c>
      <c r="AA186" s="221"/>
      <c r="AB186" s="221"/>
      <c r="AC186" s="20"/>
      <c r="AE186" s="111"/>
      <c r="AF186" s="111"/>
      <c r="AG186" s="111"/>
      <c r="AH186" s="112"/>
      <c r="AI186" s="113"/>
      <c r="AK186" s="111"/>
      <c r="AL186" s="111"/>
      <c r="AM186" s="111"/>
      <c r="AN186" s="112"/>
      <c r="AO186" s="113"/>
      <c r="AQ186" s="17"/>
      <c r="AR186" s="17"/>
      <c r="AS186" s="17"/>
      <c r="AT186" s="18">
        <f t="shared" si="183"/>
        <v>0</v>
      </c>
      <c r="AU186" s="91">
        <f t="shared" si="178"/>
        <v>0</v>
      </c>
      <c r="AW186" s="17"/>
      <c r="AX186" s="17"/>
      <c r="AY186" s="17"/>
      <c r="AZ186" s="18">
        <f t="shared" si="176"/>
        <v>0</v>
      </c>
      <c r="BA186" s="91">
        <f t="shared" si="179"/>
        <v>0</v>
      </c>
    </row>
    <row r="187" spans="1:53" ht="17.100000000000001" customHeight="1" x14ac:dyDescent="0.25">
      <c r="A187" s="40"/>
      <c r="B187" s="40"/>
      <c r="C187" s="77"/>
      <c r="D187" s="144"/>
      <c r="E187" s="144"/>
      <c r="F187" s="145"/>
      <c r="G187" s="145"/>
      <c r="H187" s="119"/>
      <c r="I187" s="236"/>
      <c r="J187" s="80"/>
      <c r="K187" s="80"/>
      <c r="L187" s="81"/>
      <c r="M187" s="81"/>
      <c r="N187" s="81">
        <f>SUM(N178:N186)</f>
        <v>1</v>
      </c>
      <c r="O187" s="81">
        <f t="shared" ref="O187:Y187" si="184">SUM(O178:O186)</f>
        <v>5</v>
      </c>
      <c r="P187" s="81">
        <f t="shared" si="184"/>
        <v>6</v>
      </c>
      <c r="Q187" s="81">
        <f t="shared" si="184"/>
        <v>1</v>
      </c>
      <c r="R187" s="81">
        <f t="shared" si="184"/>
        <v>4</v>
      </c>
      <c r="S187" s="81">
        <f t="shared" si="184"/>
        <v>5</v>
      </c>
      <c r="T187" s="81">
        <f t="shared" si="184"/>
        <v>0</v>
      </c>
      <c r="U187" s="81">
        <f t="shared" si="184"/>
        <v>10</v>
      </c>
      <c r="V187" s="81">
        <f t="shared" si="184"/>
        <v>10</v>
      </c>
      <c r="W187" s="82">
        <f t="shared" si="184"/>
        <v>2</v>
      </c>
      <c r="X187" s="82">
        <f t="shared" si="184"/>
        <v>19</v>
      </c>
      <c r="Y187" s="82">
        <f t="shared" si="184"/>
        <v>21</v>
      </c>
      <c r="Z187" s="205">
        <f>IF(Y$187=0,0,Y187/Y$187)</f>
        <v>1</v>
      </c>
      <c r="AA187" s="205"/>
      <c r="AB187" s="205"/>
      <c r="AC187" s="83"/>
      <c r="AE187" s="80"/>
      <c r="AF187" s="80"/>
      <c r="AG187" s="81"/>
      <c r="AH187" s="82"/>
      <c r="AI187" s="66"/>
      <c r="AK187" s="80"/>
      <c r="AL187" s="80"/>
      <c r="AM187" s="81"/>
      <c r="AN187" s="82"/>
      <c r="AO187" s="66"/>
      <c r="AQ187" s="80"/>
      <c r="AR187" s="80"/>
      <c r="AS187" s="81"/>
      <c r="AT187" s="82">
        <f t="shared" ref="AT187" si="185">SUM(AT178:AT186)</f>
        <v>2</v>
      </c>
      <c r="AU187" s="66">
        <f t="shared" si="178"/>
        <v>1</v>
      </c>
      <c r="AW187" s="80"/>
      <c r="AX187" s="80"/>
      <c r="AY187" s="81"/>
      <c r="AZ187" s="82">
        <f t="shared" ref="AZ187" si="186">SUM(AZ178:AZ186)</f>
        <v>19</v>
      </c>
      <c r="BA187" s="66">
        <f t="shared" si="179"/>
        <v>1</v>
      </c>
    </row>
    <row r="188" spans="1:53" s="117" customFormat="1" ht="17.100000000000001" customHeight="1" x14ac:dyDescent="0.25">
      <c r="A188" s="68"/>
      <c r="B188" s="119"/>
      <c r="C188" s="540"/>
      <c r="D188" s="261"/>
      <c r="E188" s="261"/>
      <c r="F188" s="68"/>
      <c r="G188" s="68"/>
      <c r="H188" s="119"/>
      <c r="I188" s="138"/>
      <c r="J188" s="17"/>
      <c r="K188" s="17"/>
      <c r="L188" s="17"/>
      <c r="M188" s="17"/>
      <c r="N188" s="17" t="str">
        <f>IF(N187=N$20,"OK","NOK")</f>
        <v>OK</v>
      </c>
      <c r="O188" s="17" t="str">
        <f>IF(O187=O$20,"OK","NOK")</f>
        <v>OK</v>
      </c>
      <c r="P188" s="17"/>
      <c r="Q188" s="17" t="str">
        <f>IF(Q187=Q$20,"OK","NOK")</f>
        <v>OK</v>
      </c>
      <c r="R188" s="17" t="str">
        <f>IF(R187=R$20,"OK","NOK")</f>
        <v>OK</v>
      </c>
      <c r="S188" s="17"/>
      <c r="T188" s="17" t="str">
        <f>IF(T187=T$20,"OK","NOK")</f>
        <v>OK</v>
      </c>
      <c r="U188" s="17" t="str">
        <f>IF(U187=U$20,"OK","NOK")</f>
        <v>OK</v>
      </c>
      <c r="V188" s="359"/>
      <c r="W188" s="382"/>
      <c r="X188" s="539"/>
      <c r="Y188" s="539"/>
      <c r="Z188" s="201"/>
      <c r="AA188" s="201"/>
      <c r="AB188" s="201"/>
      <c r="AC188" s="84"/>
      <c r="AE188" s="46"/>
      <c r="AF188" s="46"/>
      <c r="AG188" s="17"/>
      <c r="AH188" s="539"/>
      <c r="AI188" s="91"/>
      <c r="AK188" s="46"/>
      <c r="AL188" s="46"/>
      <c r="AM188" s="17"/>
      <c r="AN188" s="539"/>
      <c r="AO188" s="91"/>
      <c r="AQ188" s="46"/>
      <c r="AR188" s="46"/>
      <c r="AS188" s="17"/>
      <c r="AT188" s="539"/>
      <c r="AU188" s="91"/>
      <c r="AW188" s="46"/>
      <c r="AX188" s="46"/>
      <c r="AY188" s="17"/>
      <c r="AZ188" s="539"/>
      <c r="BA188" s="91"/>
    </row>
    <row r="189" spans="1:53" ht="17.100000000000001" customHeight="1" x14ac:dyDescent="0.25">
      <c r="A189" s="40"/>
      <c r="B189" s="40"/>
      <c r="C189" s="74" t="s">
        <v>141</v>
      </c>
      <c r="D189" s="57" t="s">
        <v>128</v>
      </c>
      <c r="E189" s="542"/>
      <c r="F189" s="542"/>
      <c r="G189" s="542"/>
      <c r="H189" s="540"/>
      <c r="I189" s="235"/>
      <c r="J189" s="111"/>
      <c r="K189" s="111"/>
      <c r="L189" s="111"/>
      <c r="M189" s="111"/>
      <c r="N189" s="111"/>
      <c r="O189" s="111"/>
      <c r="P189" s="111"/>
      <c r="Q189" s="111"/>
      <c r="R189" s="111"/>
      <c r="S189" s="111"/>
      <c r="T189" s="111"/>
      <c r="U189" s="111"/>
      <c r="V189" s="358"/>
      <c r="W189" s="386"/>
      <c r="X189" s="113"/>
      <c r="Y189" s="178"/>
      <c r="Z189" s="172"/>
      <c r="AA189" s="545" t="s">
        <v>181</v>
      </c>
      <c r="AB189" s="545" t="s">
        <v>182</v>
      </c>
      <c r="AC189" s="545" t="s">
        <v>6</v>
      </c>
      <c r="AE189" s="111"/>
      <c r="AF189" s="111"/>
      <c r="AG189" s="111"/>
      <c r="AH189" s="545"/>
      <c r="AI189" s="131"/>
      <c r="AK189" s="111"/>
      <c r="AL189" s="111"/>
      <c r="AM189" s="111"/>
      <c r="AN189" s="545"/>
      <c r="AO189" s="131"/>
      <c r="AQ189" s="545" t="s">
        <v>181</v>
      </c>
      <c r="AR189" s="545" t="s">
        <v>182</v>
      </c>
      <c r="AS189" s="545" t="s">
        <v>6</v>
      </c>
      <c r="AT189" s="545"/>
      <c r="AU189" s="131"/>
      <c r="AW189" s="545" t="s">
        <v>181</v>
      </c>
      <c r="AX189" s="545" t="s">
        <v>182</v>
      </c>
      <c r="AY189" s="545" t="s">
        <v>6</v>
      </c>
      <c r="AZ189" s="545"/>
      <c r="BA189" s="131"/>
    </row>
    <row r="190" spans="1:53" s="117" customFormat="1" ht="17.100000000000001" customHeight="1" x14ac:dyDescent="0.25">
      <c r="A190" s="333"/>
      <c r="B190" s="119"/>
      <c r="C190" s="92"/>
      <c r="D190" s="74" t="s">
        <v>143</v>
      </c>
      <c r="E190" s="146" t="s">
        <v>667</v>
      </c>
      <c r="F190" s="149"/>
      <c r="G190" s="151"/>
      <c r="H190" s="119"/>
      <c r="I190" s="138"/>
      <c r="J190" s="17"/>
      <c r="K190" s="17"/>
      <c r="L190" s="17"/>
      <c r="M190" s="17"/>
      <c r="N190" s="336"/>
      <c r="O190" s="336"/>
      <c r="P190" s="341"/>
      <c r="Q190" s="336"/>
      <c r="R190" s="336"/>
      <c r="S190" s="341"/>
      <c r="T190" s="336"/>
      <c r="U190" s="336">
        <f>AVERAGE(Q6:R6)</f>
        <v>4.0425000000000004</v>
      </c>
      <c r="V190" s="592"/>
      <c r="W190" s="386"/>
      <c r="X190" s="113"/>
      <c r="Y190" s="178"/>
      <c r="Z190" s="131"/>
      <c r="AA190" s="403">
        <f>MIN(N190:U190)</f>
        <v>4.0425000000000004</v>
      </c>
      <c r="AB190" s="403">
        <f>MAX(N190:U190)</f>
        <v>4.0425000000000004</v>
      </c>
      <c r="AC190" s="337">
        <f>IF(SUM(N190:U190)=0,0,AVERAGE(N190:U190))</f>
        <v>4.0425000000000004</v>
      </c>
      <c r="AE190" s="152"/>
      <c r="AF190" s="152"/>
      <c r="AG190" s="111"/>
      <c r="AH190" s="545"/>
      <c r="AI190" s="131"/>
      <c r="AK190" s="152"/>
      <c r="AL190" s="152"/>
      <c r="AM190" s="111"/>
      <c r="AN190" s="545"/>
      <c r="AO190" s="131"/>
      <c r="AQ190" s="402">
        <f>MIN(N190,Q190,T190)</f>
        <v>0</v>
      </c>
      <c r="AR190" s="402">
        <f>MAX(N190,Q190,T190)</f>
        <v>0</v>
      </c>
      <c r="AS190" s="403">
        <f>IF(N190+Q190+Q190=0,0,AVERAGE(N190,Q190,T190))</f>
        <v>0</v>
      </c>
      <c r="AT190" s="539"/>
      <c r="AU190" s="91"/>
      <c r="AW190" s="402">
        <f>MIN(O190,R190,U190)</f>
        <v>4.0425000000000004</v>
      </c>
      <c r="AX190" s="402">
        <f>MAX(O190,R190,U190)</f>
        <v>4.0425000000000004</v>
      </c>
      <c r="AY190" s="403">
        <f>IF(O190+R190+U190=0,0,AVERAGE(O190,R190,U190))</f>
        <v>4.0425000000000004</v>
      </c>
      <c r="AZ190" s="539"/>
      <c r="BA190" s="91"/>
    </row>
    <row r="191" spans="1:53" ht="17.100000000000001" customHeight="1" x14ac:dyDescent="0.25">
      <c r="A191" s="40"/>
      <c r="B191" s="40"/>
      <c r="C191" s="77"/>
      <c r="D191" s="144"/>
      <c r="E191" s="144"/>
      <c r="F191" s="145"/>
      <c r="G191" s="145"/>
      <c r="H191" s="119"/>
      <c r="I191" s="236"/>
      <c r="J191" s="80"/>
      <c r="K191" s="80"/>
      <c r="L191" s="81"/>
      <c r="M191" s="81"/>
      <c r="N191" s="81"/>
      <c r="O191" s="81"/>
      <c r="P191" s="82"/>
      <c r="Q191" s="81"/>
      <c r="R191" s="81"/>
      <c r="S191" s="82"/>
      <c r="T191" s="81"/>
      <c r="U191" s="81"/>
      <c r="V191" s="360"/>
      <c r="W191" s="381"/>
      <c r="X191" s="82"/>
      <c r="Y191" s="82"/>
      <c r="Z191" s="205"/>
      <c r="AA191" s="205"/>
      <c r="AB191" s="205"/>
      <c r="AC191" s="83"/>
      <c r="AE191" s="80"/>
      <c r="AF191" s="80"/>
      <c r="AG191" s="81"/>
      <c r="AH191" s="82"/>
      <c r="AI191" s="66"/>
      <c r="AK191" s="80"/>
      <c r="AL191" s="80"/>
      <c r="AM191" s="81"/>
      <c r="AN191" s="82"/>
      <c r="AO191" s="66"/>
      <c r="AQ191" s="80"/>
      <c r="AR191" s="80"/>
      <c r="AS191" s="81"/>
      <c r="AT191" s="82"/>
      <c r="AU191" s="66"/>
      <c r="AW191" s="80"/>
      <c r="AX191" s="80"/>
      <c r="AY191" s="81"/>
      <c r="AZ191" s="82"/>
      <c r="BA191" s="66"/>
    </row>
    <row r="192" spans="1:53" ht="17.100000000000001" customHeight="1" x14ac:dyDescent="0.25">
      <c r="A192" s="68"/>
      <c r="B192" s="41" t="s">
        <v>145</v>
      </c>
      <c r="C192" s="69" t="s">
        <v>419</v>
      </c>
      <c r="D192" s="50"/>
      <c r="E192" s="70"/>
      <c r="F192" s="70"/>
      <c r="G192" s="70"/>
      <c r="H192" s="119"/>
      <c r="J192" s="71"/>
      <c r="K192" s="71"/>
      <c r="L192" s="71"/>
      <c r="M192" s="71"/>
      <c r="N192" s="71"/>
      <c r="O192" s="71"/>
      <c r="P192" s="71"/>
      <c r="Q192" s="71"/>
      <c r="R192" s="71"/>
      <c r="S192" s="71"/>
      <c r="T192" s="71"/>
      <c r="U192" s="71"/>
      <c r="V192" s="355"/>
      <c r="W192" s="377"/>
      <c r="X192" s="71"/>
      <c r="Y192" s="72"/>
      <c r="Z192" s="73"/>
      <c r="AA192" s="73"/>
      <c r="AB192" s="73"/>
      <c r="AC192" s="73"/>
      <c r="AE192" s="71"/>
      <c r="AF192" s="71"/>
      <c r="AG192" s="71"/>
      <c r="AH192" s="72"/>
      <c r="AI192" s="73"/>
      <c r="AK192" s="71"/>
      <c r="AL192" s="71"/>
      <c r="AM192" s="71"/>
      <c r="AN192" s="72"/>
      <c r="AO192" s="73"/>
      <c r="AQ192" s="71"/>
      <c r="AR192" s="71"/>
      <c r="AS192" s="71"/>
      <c r="AT192" s="72"/>
      <c r="AU192" s="73"/>
      <c r="AW192" s="71"/>
      <c r="AX192" s="71"/>
      <c r="AY192" s="71"/>
      <c r="AZ192" s="72"/>
      <c r="BA192" s="73"/>
    </row>
    <row r="193" spans="1:53" ht="17.100000000000001" customHeight="1" x14ac:dyDescent="0.25">
      <c r="A193" s="40"/>
      <c r="B193" s="40"/>
      <c r="C193" s="56" t="s">
        <v>146</v>
      </c>
      <c r="D193" s="147" t="s">
        <v>358</v>
      </c>
      <c r="E193" s="147"/>
      <c r="F193" s="147"/>
      <c r="G193" s="147"/>
      <c r="H193" s="243">
        <v>30</v>
      </c>
      <c r="I193" s="237"/>
      <c r="J193" s="174"/>
      <c r="K193" s="174"/>
      <c r="L193" s="111"/>
      <c r="M193" s="111"/>
      <c r="N193" s="111"/>
      <c r="O193" s="111"/>
      <c r="P193" s="111"/>
      <c r="Q193" s="111"/>
      <c r="R193" s="111"/>
      <c r="S193" s="111"/>
      <c r="T193" s="111"/>
      <c r="U193" s="111"/>
      <c r="V193" s="358"/>
      <c r="W193" s="380"/>
      <c r="X193" s="111"/>
      <c r="Y193" s="545"/>
      <c r="Z193" s="131"/>
      <c r="AA193" s="131"/>
      <c r="AB193" s="131"/>
      <c r="AC193" s="113"/>
      <c r="AE193" s="111"/>
      <c r="AF193" s="111"/>
      <c r="AG193" s="111"/>
      <c r="AH193" s="545"/>
      <c r="AI193" s="131"/>
      <c r="AK193" s="111"/>
      <c r="AL193" s="111"/>
      <c r="AM193" s="111"/>
      <c r="AN193" s="545"/>
      <c r="AO193" s="131"/>
      <c r="AQ193" s="111"/>
      <c r="AR193" s="111"/>
      <c r="AS193" s="111"/>
      <c r="AT193" s="545"/>
      <c r="AU193" s="131"/>
      <c r="AW193" s="111"/>
      <c r="AX193" s="111"/>
      <c r="AY193" s="111"/>
      <c r="AZ193" s="545"/>
      <c r="BA193" s="131"/>
    </row>
    <row r="194" spans="1:53" ht="17.100000000000001" customHeight="1" x14ac:dyDescent="0.25">
      <c r="A194" s="40"/>
      <c r="B194" s="40"/>
      <c r="C194" s="182"/>
      <c r="D194" s="74" t="s">
        <v>537</v>
      </c>
      <c r="E194" s="147" t="s">
        <v>9</v>
      </c>
      <c r="F194" s="147"/>
      <c r="G194" s="147"/>
      <c r="H194" s="262"/>
      <c r="I194" s="237"/>
      <c r="J194" s="581"/>
      <c r="K194" s="581"/>
      <c r="L194" s="582"/>
      <c r="M194" s="17">
        <f t="shared" ref="M194:M195" si="187">SUM(J194:L194)</f>
        <v>0</v>
      </c>
      <c r="N194" s="111"/>
      <c r="O194" s="111"/>
      <c r="P194" s="111"/>
      <c r="Q194" s="111"/>
      <c r="R194" s="111"/>
      <c r="S194" s="111"/>
      <c r="T194" s="111"/>
      <c r="U194" s="111"/>
      <c r="V194" s="358"/>
      <c r="W194" s="391">
        <f t="shared" ref="W194:W195" si="188">J194+K194+N194+Q194+T194</f>
        <v>0</v>
      </c>
      <c r="X194" s="17">
        <f t="shared" ref="X194:X195" si="189">L194+O194+R194+U194</f>
        <v>0</v>
      </c>
      <c r="Y194" s="539">
        <f>SUM(W194:X194)</f>
        <v>0</v>
      </c>
      <c r="Z194" s="91">
        <f>IF(Y$197=0,0,Y194/Y$197)</f>
        <v>0</v>
      </c>
      <c r="AA194" s="91"/>
      <c r="AB194" s="91"/>
      <c r="AC194" s="20"/>
      <c r="AE194" s="17"/>
      <c r="AF194" s="17"/>
      <c r="AG194" s="17"/>
      <c r="AH194" s="18">
        <f t="shared" ref="AH194:AH195" si="190">J194</f>
        <v>0</v>
      </c>
      <c r="AI194" s="91">
        <f>IF(AH$197=0,0,AH194/AH$197)</f>
        <v>0</v>
      </c>
      <c r="AK194" s="17"/>
      <c r="AL194" s="17"/>
      <c r="AM194" s="17"/>
      <c r="AN194" s="18">
        <f t="shared" ref="AN194:AN195" si="191">K194</f>
        <v>0</v>
      </c>
      <c r="AO194" s="91">
        <f>IF(AN$197=0,0,AN194/AN$197)</f>
        <v>0</v>
      </c>
      <c r="AQ194" s="17"/>
      <c r="AR194" s="17"/>
      <c r="AS194" s="17"/>
      <c r="AT194" s="18">
        <f t="shared" ref="AT194:AT195" si="192">W194</f>
        <v>0</v>
      </c>
      <c r="AU194" s="91">
        <f>IF(AT$197=0,0,AT194/AT$197)</f>
        <v>0</v>
      </c>
      <c r="AW194" s="17"/>
      <c r="AX194" s="17"/>
      <c r="AY194" s="17"/>
      <c r="AZ194" s="18">
        <f t="shared" ref="AZ194:AZ195" si="193">X194</f>
        <v>0</v>
      </c>
      <c r="BA194" s="91">
        <f>IF(AZ$197=0,0,AZ194/AZ$197)</f>
        <v>0</v>
      </c>
    </row>
    <row r="195" spans="1:53" ht="17.100000000000001" customHeight="1" x14ac:dyDescent="0.25">
      <c r="A195" s="40"/>
      <c r="B195" s="40"/>
      <c r="C195" s="182"/>
      <c r="D195" s="74" t="s">
        <v>538</v>
      </c>
      <c r="E195" s="147" t="s">
        <v>11</v>
      </c>
      <c r="F195" s="147"/>
      <c r="G195" s="147"/>
      <c r="H195" s="262"/>
      <c r="I195" s="237"/>
      <c r="J195" s="583"/>
      <c r="K195" s="583"/>
      <c r="L195" s="584"/>
      <c r="M195" s="17">
        <f t="shared" si="187"/>
        <v>0</v>
      </c>
      <c r="N195" s="111"/>
      <c r="O195" s="111"/>
      <c r="P195" s="111"/>
      <c r="Q195" s="111"/>
      <c r="R195" s="111"/>
      <c r="S195" s="111"/>
      <c r="T195" s="111"/>
      <c r="U195" s="111"/>
      <c r="V195" s="358"/>
      <c r="W195" s="391">
        <f t="shared" si="188"/>
        <v>0</v>
      </c>
      <c r="X195" s="17">
        <f t="shared" si="189"/>
        <v>0</v>
      </c>
      <c r="Y195" s="539">
        <f>SUM(W195:X195)</f>
        <v>0</v>
      </c>
      <c r="Z195" s="91">
        <f>IF(Y$197=0,0,Y195/Y$197)</f>
        <v>0</v>
      </c>
      <c r="AA195" s="91"/>
      <c r="AB195" s="91"/>
      <c r="AC195" s="20"/>
      <c r="AE195" s="17"/>
      <c r="AF195" s="17"/>
      <c r="AG195" s="17"/>
      <c r="AH195" s="18">
        <f t="shared" si="190"/>
        <v>0</v>
      </c>
      <c r="AI195" s="91">
        <f>IF(AH$197=0,0,AH195/AH$197)</f>
        <v>0</v>
      </c>
      <c r="AK195" s="17"/>
      <c r="AL195" s="17"/>
      <c r="AM195" s="17"/>
      <c r="AN195" s="18">
        <f t="shared" si="191"/>
        <v>0</v>
      </c>
      <c r="AO195" s="91">
        <f>IF(AN$197=0,0,AN195/AN$197)</f>
        <v>0</v>
      </c>
      <c r="AQ195" s="17"/>
      <c r="AR195" s="17"/>
      <c r="AS195" s="17"/>
      <c r="AT195" s="18">
        <f t="shared" si="192"/>
        <v>0</v>
      </c>
      <c r="AU195" s="91">
        <f>IF(AT$197=0,0,AT195/AT$197)</f>
        <v>0</v>
      </c>
      <c r="AW195" s="17"/>
      <c r="AX195" s="17"/>
      <c r="AY195" s="17"/>
      <c r="AZ195" s="18">
        <f t="shared" si="193"/>
        <v>0</v>
      </c>
      <c r="BA195" s="91">
        <f>IF(AZ$197=0,0,AZ195/AZ$197)</f>
        <v>0</v>
      </c>
    </row>
    <row r="196" spans="1:53" ht="17.100000000000001" customHeight="1" x14ac:dyDescent="0.25">
      <c r="A196" s="40"/>
      <c r="B196" s="40"/>
      <c r="C196" s="182"/>
      <c r="D196" s="74" t="s">
        <v>1433</v>
      </c>
      <c r="E196" s="147" t="s">
        <v>1435</v>
      </c>
      <c r="F196" s="147"/>
      <c r="G196" s="147"/>
      <c r="H196" s="262"/>
      <c r="I196" s="237"/>
      <c r="J196" s="581"/>
      <c r="K196" s="581"/>
      <c r="L196" s="582"/>
      <c r="M196" s="17">
        <f t="shared" ref="M196" si="194">SUM(J196:L196)</f>
        <v>0</v>
      </c>
      <c r="N196" s="111"/>
      <c r="O196" s="111"/>
      <c r="P196" s="111"/>
      <c r="Q196" s="111"/>
      <c r="R196" s="111"/>
      <c r="S196" s="111"/>
      <c r="T196" s="111"/>
      <c r="U196" s="111"/>
      <c r="V196" s="358"/>
      <c r="W196" s="391">
        <f t="shared" ref="W196" si="195">J196+K196+N196+Q196+T196</f>
        <v>0</v>
      </c>
      <c r="X196" s="17">
        <f t="shared" ref="X196" si="196">L196+O196+R196+U196</f>
        <v>0</v>
      </c>
      <c r="Y196" s="921">
        <f>SUM(W196:X196)</f>
        <v>0</v>
      </c>
      <c r="Z196" s="91">
        <f>IF(Y$197=0,0,Y196/Y$197)</f>
        <v>0</v>
      </c>
      <c r="AA196" s="91"/>
      <c r="AB196" s="91"/>
      <c r="AC196" s="20"/>
      <c r="AE196" s="17"/>
      <c r="AF196" s="17"/>
      <c r="AG196" s="17"/>
      <c r="AH196" s="18">
        <f t="shared" ref="AH196" si="197">J196</f>
        <v>0</v>
      </c>
      <c r="AI196" s="91">
        <f>IF(AH$197=0,0,AH196/AH$197)</f>
        <v>0</v>
      </c>
      <c r="AK196" s="17"/>
      <c r="AL196" s="17"/>
      <c r="AM196" s="17"/>
      <c r="AN196" s="18">
        <f t="shared" ref="AN196" si="198">K196</f>
        <v>0</v>
      </c>
      <c r="AO196" s="91">
        <f>IF(AN$197=0,0,AN196/AN$197)</f>
        <v>0</v>
      </c>
      <c r="AQ196" s="17"/>
      <c r="AR196" s="17"/>
      <c r="AS196" s="17"/>
      <c r="AT196" s="18">
        <f t="shared" ref="AT196" si="199">W196</f>
        <v>0</v>
      </c>
      <c r="AU196" s="91">
        <f>IF(AT$197=0,0,AT196/AT$197)</f>
        <v>0</v>
      </c>
      <c r="AW196" s="17"/>
      <c r="AX196" s="17"/>
      <c r="AY196" s="17"/>
      <c r="AZ196" s="18">
        <f t="shared" ref="AZ196" si="200">X196</f>
        <v>0</v>
      </c>
      <c r="BA196" s="91">
        <f>IF(AZ$197=0,0,AZ196/AZ$197)</f>
        <v>0</v>
      </c>
    </row>
    <row r="197" spans="1:53" ht="17.100000000000001" customHeight="1" x14ac:dyDescent="0.25">
      <c r="A197" s="40"/>
      <c r="B197" s="40"/>
      <c r="C197" s="77"/>
      <c r="D197" s="144"/>
      <c r="E197" s="144"/>
      <c r="F197" s="145"/>
      <c r="G197" s="145"/>
      <c r="H197" s="119"/>
      <c r="I197" s="236"/>
      <c r="J197" s="80">
        <f>SUM(J194:J196)</f>
        <v>0</v>
      </c>
      <c r="K197" s="80">
        <f t="shared" ref="K197:M197" si="201">SUM(K194:K196)</f>
        <v>0</v>
      </c>
      <c r="L197" s="80">
        <f t="shared" si="201"/>
        <v>0</v>
      </c>
      <c r="M197" s="80">
        <f t="shared" si="201"/>
        <v>0</v>
      </c>
      <c r="N197" s="80"/>
      <c r="O197" s="80"/>
      <c r="P197" s="80"/>
      <c r="Q197" s="81"/>
      <c r="R197" s="81"/>
      <c r="S197" s="81"/>
      <c r="T197" s="81"/>
      <c r="U197" s="81"/>
      <c r="V197" s="356"/>
      <c r="W197" s="381">
        <f>SUM(W194:W196)</f>
        <v>0</v>
      </c>
      <c r="X197" s="82">
        <f t="shared" ref="X197:Y197" si="202">SUM(X194:X196)</f>
        <v>0</v>
      </c>
      <c r="Y197" s="82">
        <f t="shared" si="202"/>
        <v>0</v>
      </c>
      <c r="Z197" s="205">
        <f>IF(Y$197=0,0,Y197/Y$197)</f>
        <v>0</v>
      </c>
      <c r="AA197" s="205"/>
      <c r="AB197" s="205"/>
      <c r="AC197" s="83"/>
      <c r="AE197" s="80"/>
      <c r="AF197" s="80"/>
      <c r="AG197" s="81"/>
      <c r="AH197" s="82">
        <f>SUM(AH194:AH196)</f>
        <v>0</v>
      </c>
      <c r="AI197" s="66">
        <f>IF(AH$197=0,0,AH197/AH$197)</f>
        <v>0</v>
      </c>
      <c r="AK197" s="80"/>
      <c r="AL197" s="80"/>
      <c r="AM197" s="81"/>
      <c r="AN197" s="82">
        <f>SUM(AN194:AN196)</f>
        <v>0</v>
      </c>
      <c r="AO197" s="66">
        <f>IF(AN$197=0,0,AN197/AN$197)</f>
        <v>0</v>
      </c>
      <c r="AQ197" s="80"/>
      <c r="AR197" s="80"/>
      <c r="AS197" s="81"/>
      <c r="AT197" s="82">
        <f>SUM(AT194:AT196)</f>
        <v>0</v>
      </c>
      <c r="AU197" s="66">
        <f>IF(AT$197=0,0,AT197/AT$197)</f>
        <v>0</v>
      </c>
      <c r="AW197" s="80"/>
      <c r="AX197" s="80"/>
      <c r="AY197" s="81"/>
      <c r="AZ197" s="82">
        <f>SUM(AZ194:AZ196)</f>
        <v>0</v>
      </c>
      <c r="BA197" s="66">
        <f>IF(AZ$197=0,0,AZ197/AZ$197)</f>
        <v>0</v>
      </c>
    </row>
    <row r="198" spans="1:53" s="117" customFormat="1" ht="17.100000000000001" customHeight="1" x14ac:dyDescent="0.25">
      <c r="A198" s="68"/>
      <c r="B198" s="119"/>
      <c r="C198" s="540"/>
      <c r="D198" s="261"/>
      <c r="E198" s="261"/>
      <c r="F198" s="68"/>
      <c r="G198" s="68"/>
      <c r="H198" s="119"/>
      <c r="I198" s="138"/>
      <c r="J198" s="17" t="str">
        <f>IF(J197=J$15,"OK","NOK")</f>
        <v>OK</v>
      </c>
      <c r="K198" s="17" t="str">
        <f t="shared" ref="K198:L198" si="203">IF(K197=K$15,"OK","NOK")</f>
        <v>OK</v>
      </c>
      <c r="L198" s="17" t="str">
        <f t="shared" si="203"/>
        <v>OK</v>
      </c>
      <c r="M198" s="17"/>
      <c r="N198" s="17"/>
      <c r="O198" s="17"/>
      <c r="P198" s="17"/>
      <c r="Q198" s="17"/>
      <c r="R198" s="17"/>
      <c r="S198" s="17"/>
      <c r="T198" s="17"/>
      <c r="U198" s="17"/>
      <c r="V198" s="359"/>
      <c r="W198" s="382"/>
      <c r="X198" s="539"/>
      <c r="Y198" s="539"/>
      <c r="Z198" s="201"/>
      <c r="AA198" s="201"/>
      <c r="AB198" s="201"/>
      <c r="AC198" s="84"/>
      <c r="AE198" s="46"/>
      <c r="AF198" s="46"/>
      <c r="AG198" s="17"/>
      <c r="AH198" s="539"/>
      <c r="AI198" s="91"/>
      <c r="AK198" s="46"/>
      <c r="AL198" s="46"/>
      <c r="AM198" s="17"/>
      <c r="AN198" s="539"/>
      <c r="AO198" s="91"/>
      <c r="AQ198" s="46"/>
      <c r="AR198" s="46"/>
      <c r="AS198" s="17"/>
      <c r="AT198" s="539"/>
      <c r="AU198" s="91"/>
      <c r="AW198" s="46"/>
      <c r="AX198" s="46"/>
      <c r="AY198" s="17"/>
      <c r="AZ198" s="539"/>
      <c r="BA198" s="91"/>
    </row>
    <row r="199" spans="1:53" ht="17.100000000000001" customHeight="1" x14ac:dyDescent="0.25">
      <c r="A199" s="40"/>
      <c r="B199" s="40"/>
      <c r="C199" s="56" t="s">
        <v>147</v>
      </c>
      <c r="D199" s="147" t="s">
        <v>420</v>
      </c>
      <c r="E199" s="147"/>
      <c r="F199" s="147"/>
      <c r="G199" s="147"/>
      <c r="H199" s="243">
        <v>31</v>
      </c>
      <c r="I199" s="237"/>
      <c r="J199" s="174"/>
      <c r="K199" s="174"/>
      <c r="L199" s="111"/>
      <c r="M199" s="111"/>
      <c r="N199" s="111"/>
      <c r="O199" s="111"/>
      <c r="P199" s="111"/>
      <c r="Q199" s="111"/>
      <c r="R199" s="111"/>
      <c r="S199" s="111"/>
      <c r="T199" s="111"/>
      <c r="U199" s="111"/>
      <c r="V199" s="358"/>
      <c r="W199" s="380"/>
      <c r="X199" s="111"/>
      <c r="Y199" s="545"/>
      <c r="Z199" s="131"/>
      <c r="AA199" s="131"/>
      <c r="AB199" s="131"/>
      <c r="AC199" s="113"/>
      <c r="AE199" s="111"/>
      <c r="AF199" s="111"/>
      <c r="AG199" s="111"/>
      <c r="AH199" s="545"/>
      <c r="AI199" s="131"/>
      <c r="AK199" s="111"/>
      <c r="AL199" s="111"/>
      <c r="AM199" s="111"/>
      <c r="AN199" s="545"/>
      <c r="AO199" s="131"/>
      <c r="AQ199" s="111"/>
      <c r="AR199" s="111"/>
      <c r="AS199" s="111"/>
      <c r="AT199" s="545"/>
      <c r="AU199" s="131"/>
      <c r="AW199" s="111"/>
      <c r="AX199" s="111"/>
      <c r="AY199" s="111"/>
      <c r="AZ199" s="545"/>
      <c r="BA199" s="131"/>
    </row>
    <row r="200" spans="1:53" ht="17.100000000000001" customHeight="1" x14ac:dyDescent="0.25">
      <c r="A200" s="40"/>
      <c r="B200" s="40"/>
      <c r="C200" s="182"/>
      <c r="D200" s="74" t="s">
        <v>539</v>
      </c>
      <c r="E200" s="147" t="s">
        <v>9</v>
      </c>
      <c r="F200" s="147"/>
      <c r="G200" s="147"/>
      <c r="H200" s="262"/>
      <c r="I200" s="237"/>
      <c r="J200" s="581"/>
      <c r="K200" s="581"/>
      <c r="L200" s="582"/>
      <c r="M200" s="17">
        <f t="shared" ref="M200:M201" si="204">SUM(J200:L200)</f>
        <v>0</v>
      </c>
      <c r="N200" s="111"/>
      <c r="O200" s="111"/>
      <c r="P200" s="111"/>
      <c r="Q200" s="111"/>
      <c r="R200" s="111"/>
      <c r="S200" s="111"/>
      <c r="T200" s="111"/>
      <c r="U200" s="111"/>
      <c r="V200" s="358"/>
      <c r="W200" s="391">
        <f t="shared" ref="W200:W201" si="205">J200+K200+N200+Q200+T200</f>
        <v>0</v>
      </c>
      <c r="X200" s="17">
        <f t="shared" ref="X200:X201" si="206">L200+O200+R200+U200</f>
        <v>0</v>
      </c>
      <c r="Y200" s="539">
        <f>SUM(W200:X200)</f>
        <v>0</v>
      </c>
      <c r="Z200" s="91">
        <f>IF(Y$203=0,0,Y200/Y$203)</f>
        <v>0</v>
      </c>
      <c r="AA200" s="91"/>
      <c r="AB200" s="91"/>
      <c r="AC200" s="20"/>
      <c r="AE200" s="17"/>
      <c r="AF200" s="17"/>
      <c r="AG200" s="17"/>
      <c r="AH200" s="18">
        <f t="shared" ref="AH200:AH201" si="207">J200</f>
        <v>0</v>
      </c>
      <c r="AI200" s="91">
        <f>IF(AH$203=0,0,AH200/AH$203)</f>
        <v>0</v>
      </c>
      <c r="AK200" s="17"/>
      <c r="AL200" s="17"/>
      <c r="AM200" s="17"/>
      <c r="AN200" s="18">
        <f t="shared" ref="AN200:AN201" si="208">K200</f>
        <v>0</v>
      </c>
      <c r="AO200" s="91">
        <f>IF(AN$203=0,0,AN200/AN$203)</f>
        <v>0</v>
      </c>
      <c r="AQ200" s="17"/>
      <c r="AR200" s="17"/>
      <c r="AS200" s="17"/>
      <c r="AT200" s="18">
        <f t="shared" ref="AT200:AT201" si="209">W200</f>
        <v>0</v>
      </c>
      <c r="AU200" s="91">
        <f>IF(AT$203=0,0,AT200/AT$203)</f>
        <v>0</v>
      </c>
      <c r="AW200" s="17"/>
      <c r="AX200" s="17"/>
      <c r="AY200" s="17"/>
      <c r="AZ200" s="18">
        <f t="shared" ref="AZ200:AZ201" si="210">X200</f>
        <v>0</v>
      </c>
      <c r="BA200" s="91">
        <f>IF(AZ$203=0,0,AZ200/AZ$203)</f>
        <v>0</v>
      </c>
    </row>
    <row r="201" spans="1:53" ht="17.100000000000001" customHeight="1" x14ac:dyDescent="0.25">
      <c r="A201" s="40"/>
      <c r="B201" s="40"/>
      <c r="C201" s="182"/>
      <c r="D201" s="74" t="s">
        <v>540</v>
      </c>
      <c r="E201" s="147" t="s">
        <v>11</v>
      </c>
      <c r="F201" s="147"/>
      <c r="G201" s="147"/>
      <c r="H201" s="262"/>
      <c r="I201" s="237"/>
      <c r="J201" s="583"/>
      <c r="K201" s="583"/>
      <c r="L201" s="584"/>
      <c r="M201" s="17">
        <f t="shared" si="204"/>
        <v>0</v>
      </c>
      <c r="N201" s="111"/>
      <c r="O201" s="111"/>
      <c r="P201" s="111"/>
      <c r="Q201" s="111"/>
      <c r="R201" s="111"/>
      <c r="S201" s="111"/>
      <c r="T201" s="111"/>
      <c r="U201" s="111"/>
      <c r="V201" s="358"/>
      <c r="W201" s="391">
        <f t="shared" si="205"/>
        <v>0</v>
      </c>
      <c r="X201" s="17">
        <f t="shared" si="206"/>
        <v>0</v>
      </c>
      <c r="Y201" s="539">
        <f>SUM(W201:X201)</f>
        <v>0</v>
      </c>
      <c r="Z201" s="91">
        <f>IF(Y$203=0,0,Y201/Y$203)</f>
        <v>0</v>
      </c>
      <c r="AA201" s="91"/>
      <c r="AB201" s="91"/>
      <c r="AC201" s="20"/>
      <c r="AE201" s="17"/>
      <c r="AF201" s="17"/>
      <c r="AG201" s="17"/>
      <c r="AH201" s="18">
        <f t="shared" si="207"/>
        <v>0</v>
      </c>
      <c r="AI201" s="91">
        <f>IF(AH$203=0,0,AH201/AH$203)</f>
        <v>0</v>
      </c>
      <c r="AK201" s="17"/>
      <c r="AL201" s="17"/>
      <c r="AM201" s="17"/>
      <c r="AN201" s="18">
        <f t="shared" si="208"/>
        <v>0</v>
      </c>
      <c r="AO201" s="91">
        <f>IF(AN$203=0,0,AN201/AN$203)</f>
        <v>0</v>
      </c>
      <c r="AQ201" s="17"/>
      <c r="AR201" s="17"/>
      <c r="AS201" s="17"/>
      <c r="AT201" s="18">
        <f t="shared" si="209"/>
        <v>0</v>
      </c>
      <c r="AU201" s="91">
        <f>IF(AT$203=0,0,AT201/AT$203)</f>
        <v>0</v>
      </c>
      <c r="AW201" s="17"/>
      <c r="AX201" s="17"/>
      <c r="AY201" s="17"/>
      <c r="AZ201" s="18">
        <f t="shared" si="210"/>
        <v>0</v>
      </c>
      <c r="BA201" s="91">
        <f>IF(AZ$203=0,0,AZ201/AZ$203)</f>
        <v>0</v>
      </c>
    </row>
    <row r="202" spans="1:53" ht="17.100000000000001" customHeight="1" x14ac:dyDescent="0.25">
      <c r="A202" s="40"/>
      <c r="B202" s="40"/>
      <c r="C202" s="182"/>
      <c r="D202" s="74" t="s">
        <v>1434</v>
      </c>
      <c r="E202" s="147" t="s">
        <v>1435</v>
      </c>
      <c r="F202" s="147"/>
      <c r="G202" s="147"/>
      <c r="H202" s="262"/>
      <c r="I202" s="237"/>
      <c r="J202" s="581"/>
      <c r="K202" s="581"/>
      <c r="L202" s="582"/>
      <c r="M202" s="17">
        <f t="shared" ref="M202" si="211">SUM(J202:L202)</f>
        <v>0</v>
      </c>
      <c r="N202" s="111"/>
      <c r="O202" s="111"/>
      <c r="P202" s="111"/>
      <c r="Q202" s="111"/>
      <c r="R202" s="111"/>
      <c r="S202" s="111"/>
      <c r="T202" s="111"/>
      <c r="U202" s="111"/>
      <c r="V202" s="358"/>
      <c r="W202" s="391">
        <f t="shared" ref="W202" si="212">J202+K202+N202+Q202+T202</f>
        <v>0</v>
      </c>
      <c r="X202" s="17">
        <f t="shared" ref="X202" si="213">L202+O202+R202+U202</f>
        <v>0</v>
      </c>
      <c r="Y202" s="921">
        <f>SUM(W202:X202)</f>
        <v>0</v>
      </c>
      <c r="Z202" s="91">
        <f>IF(Y$203=0,0,Y202/Y$203)</f>
        <v>0</v>
      </c>
      <c r="AA202" s="91"/>
      <c r="AB202" s="91"/>
      <c r="AC202" s="20"/>
      <c r="AE202" s="17"/>
      <c r="AF202" s="17"/>
      <c r="AG202" s="17"/>
      <c r="AH202" s="18">
        <f t="shared" ref="AH202" si="214">J202</f>
        <v>0</v>
      </c>
      <c r="AI202" s="91">
        <f>IF(AH$203=0,0,AH202/AH$203)</f>
        <v>0</v>
      </c>
      <c r="AK202" s="17"/>
      <c r="AL202" s="17"/>
      <c r="AM202" s="17"/>
      <c r="AN202" s="18">
        <f t="shared" ref="AN202" si="215">K202</f>
        <v>0</v>
      </c>
      <c r="AO202" s="91">
        <f>IF(AN$203=0,0,AN202/AN$203)</f>
        <v>0</v>
      </c>
      <c r="AQ202" s="17"/>
      <c r="AR202" s="17"/>
      <c r="AS202" s="17"/>
      <c r="AT202" s="18">
        <f t="shared" ref="AT202" si="216">W202</f>
        <v>0</v>
      </c>
      <c r="AU202" s="91">
        <f>IF(AT$203=0,0,AT202/AT$203)</f>
        <v>0</v>
      </c>
      <c r="AW202" s="17"/>
      <c r="AX202" s="17"/>
      <c r="AY202" s="17"/>
      <c r="AZ202" s="18">
        <f t="shared" ref="AZ202" si="217">X202</f>
        <v>0</v>
      </c>
      <c r="BA202" s="91">
        <f>IF(AZ$203=0,0,AZ202/AZ$203)</f>
        <v>0</v>
      </c>
    </row>
    <row r="203" spans="1:53" ht="17.100000000000001" customHeight="1" x14ac:dyDescent="0.25">
      <c r="A203" s="40"/>
      <c r="B203" s="40"/>
      <c r="C203" s="77"/>
      <c r="D203" s="144"/>
      <c r="E203" s="144"/>
      <c r="F203" s="145"/>
      <c r="G203" s="145"/>
      <c r="H203" s="119"/>
      <c r="I203" s="236"/>
      <c r="J203" s="80">
        <f>SUM(J200:J202)</f>
        <v>0</v>
      </c>
      <c r="K203" s="80">
        <f t="shared" ref="K203" si="218">SUM(K200:K202)</f>
        <v>0</v>
      </c>
      <c r="L203" s="80">
        <f t="shared" ref="L203" si="219">SUM(L200:L202)</f>
        <v>0</v>
      </c>
      <c r="M203" s="80">
        <f t="shared" ref="M203" si="220">SUM(M200:M202)</f>
        <v>0</v>
      </c>
      <c r="N203" s="80"/>
      <c r="O203" s="80"/>
      <c r="P203" s="80"/>
      <c r="Q203" s="81"/>
      <c r="R203" s="81"/>
      <c r="S203" s="81"/>
      <c r="T203" s="81"/>
      <c r="U203" s="81"/>
      <c r="V203" s="356"/>
      <c r="W203" s="381">
        <f>SUM(W200:W202)</f>
        <v>0</v>
      </c>
      <c r="X203" s="82">
        <f t="shared" ref="X203" si="221">SUM(X200:X202)</f>
        <v>0</v>
      </c>
      <c r="Y203" s="82">
        <f t="shared" ref="Y203" si="222">SUM(Y200:Y202)</f>
        <v>0</v>
      </c>
      <c r="Z203" s="205">
        <f>IF(Y$203=0,0,Y203/Y$203)</f>
        <v>0</v>
      </c>
      <c r="AA203" s="205"/>
      <c r="AB203" s="205"/>
      <c r="AC203" s="83"/>
      <c r="AE203" s="80"/>
      <c r="AF203" s="80"/>
      <c r="AG203" s="81"/>
      <c r="AH203" s="82">
        <f>SUM(AH200:AH202)</f>
        <v>0</v>
      </c>
      <c r="AI203" s="66">
        <f>IF(AH$203=0,0,AH203/AH$203)</f>
        <v>0</v>
      </c>
      <c r="AK203" s="80"/>
      <c r="AL203" s="80"/>
      <c r="AM203" s="81"/>
      <c r="AN203" s="82">
        <f>SUM(AN200:AN202)</f>
        <v>0</v>
      </c>
      <c r="AO203" s="66">
        <f>IF(AN$203=0,0,AN203/AN$203)</f>
        <v>0</v>
      </c>
      <c r="AQ203" s="80"/>
      <c r="AR203" s="80"/>
      <c r="AS203" s="81"/>
      <c r="AT203" s="82">
        <f>SUM(AT200:AT202)</f>
        <v>0</v>
      </c>
      <c r="AU203" s="66">
        <f>IF(AT$203=0,0,AT203/AT$203)</f>
        <v>0</v>
      </c>
      <c r="AW203" s="80"/>
      <c r="AX203" s="80"/>
      <c r="AY203" s="81"/>
      <c r="AZ203" s="82">
        <f>SUM(AZ200:AZ202)</f>
        <v>0</v>
      </c>
      <c r="BA203" s="66">
        <f>IF(AZ$203=0,0,AZ203/AZ$203)</f>
        <v>0</v>
      </c>
    </row>
    <row r="204" spans="1:53" s="117" customFormat="1" ht="17.100000000000001" customHeight="1" x14ac:dyDescent="0.25">
      <c r="A204" s="68"/>
      <c r="B204" s="119"/>
      <c r="C204" s="540"/>
      <c r="D204" s="261"/>
      <c r="E204" s="261"/>
      <c r="F204" s="68"/>
      <c r="G204" s="68"/>
      <c r="H204" s="119"/>
      <c r="I204" s="138"/>
      <c r="J204" s="17" t="str">
        <f>IF(J203=J$15,"OK","NOK")</f>
        <v>OK</v>
      </c>
      <c r="K204" s="17" t="str">
        <f t="shared" ref="K204:L204" si="223">IF(K203=K$15,"OK","NOK")</f>
        <v>OK</v>
      </c>
      <c r="L204" s="17" t="str">
        <f t="shared" si="223"/>
        <v>OK</v>
      </c>
      <c r="M204" s="17"/>
      <c r="N204" s="17"/>
      <c r="O204" s="17"/>
      <c r="P204" s="17"/>
      <c r="Q204" s="17"/>
      <c r="R204" s="17"/>
      <c r="S204" s="17"/>
      <c r="T204" s="17"/>
      <c r="U204" s="17"/>
      <c r="V204" s="359"/>
      <c r="W204" s="382"/>
      <c r="X204" s="539"/>
      <c r="Y204" s="539"/>
      <c r="Z204" s="201"/>
      <c r="AA204" s="201"/>
      <c r="AB204" s="201"/>
      <c r="AC204" s="84"/>
      <c r="AE204" s="46"/>
      <c r="AF204" s="46"/>
      <c r="AG204" s="17"/>
      <c r="AH204" s="539"/>
      <c r="AI204" s="91"/>
      <c r="AK204" s="46"/>
      <c r="AL204" s="46"/>
      <c r="AM204" s="17"/>
      <c r="AN204" s="539"/>
      <c r="AO204" s="91"/>
      <c r="AQ204" s="46"/>
      <c r="AR204" s="46"/>
      <c r="AS204" s="17"/>
      <c r="AT204" s="539"/>
      <c r="AU204" s="91"/>
      <c r="AW204" s="46"/>
      <c r="AX204" s="46"/>
      <c r="AY204" s="17"/>
      <c r="AZ204" s="539"/>
      <c r="BA204" s="91"/>
    </row>
    <row r="205" spans="1:53" ht="17.100000000000001" customHeight="1" x14ac:dyDescent="0.25">
      <c r="A205" s="40"/>
      <c r="B205" s="40"/>
      <c r="C205" s="56" t="s">
        <v>519</v>
      </c>
      <c r="D205" s="147" t="s">
        <v>421</v>
      </c>
      <c r="E205" s="147"/>
      <c r="F205" s="147"/>
      <c r="G205" s="147"/>
      <c r="H205" s="182"/>
      <c r="I205" s="237"/>
      <c r="J205" s="111"/>
      <c r="K205" s="111"/>
      <c r="L205" s="111"/>
      <c r="M205" s="111"/>
      <c r="N205" s="111"/>
      <c r="O205" s="111"/>
      <c r="P205" s="111"/>
      <c r="Q205" s="111"/>
      <c r="R205" s="111"/>
      <c r="S205" s="111"/>
      <c r="T205" s="111"/>
      <c r="U205" s="111"/>
      <c r="V205" s="358"/>
      <c r="W205" s="380"/>
      <c r="X205" s="111"/>
      <c r="Y205" s="545"/>
      <c r="Z205" s="131"/>
      <c r="AA205" s="131"/>
      <c r="AB205" s="131"/>
      <c r="AC205" s="113"/>
      <c r="AE205" s="111"/>
      <c r="AF205" s="111"/>
      <c r="AG205" s="111"/>
      <c r="AH205" s="545"/>
      <c r="AI205" s="131"/>
      <c r="AK205" s="111"/>
      <c r="AL205" s="111"/>
      <c r="AM205" s="111"/>
      <c r="AN205" s="545"/>
      <c r="AO205" s="131"/>
      <c r="AQ205" s="111"/>
      <c r="AR205" s="111"/>
      <c r="AS205" s="111"/>
      <c r="AT205" s="545"/>
      <c r="AU205" s="131"/>
      <c r="AW205" s="111"/>
      <c r="AX205" s="111"/>
      <c r="AY205" s="111"/>
      <c r="AZ205" s="545"/>
      <c r="BA205" s="131"/>
    </row>
    <row r="206" spans="1:53" ht="17.100000000000001" customHeight="1" x14ac:dyDescent="0.25">
      <c r="A206" s="40"/>
      <c r="B206" s="40"/>
      <c r="C206" s="40"/>
      <c r="D206" s="56" t="s">
        <v>520</v>
      </c>
      <c r="E206" s="146" t="s">
        <v>423</v>
      </c>
      <c r="F206" s="149"/>
      <c r="G206" s="149"/>
      <c r="H206" s="244"/>
      <c r="I206" s="238"/>
      <c r="J206" s="111"/>
      <c r="K206" s="111"/>
      <c r="L206" s="111"/>
      <c r="M206" s="111"/>
      <c r="N206" s="61">
        <v>1</v>
      </c>
      <c r="O206" s="61">
        <v>5</v>
      </c>
      <c r="P206" s="17">
        <f>SUM(N206:O206)</f>
        <v>6</v>
      </c>
      <c r="Q206" s="61"/>
      <c r="R206" s="61">
        <v>3</v>
      </c>
      <c r="S206" s="17">
        <f>SUM(Q206:R206)</f>
        <v>3</v>
      </c>
      <c r="T206" s="61"/>
      <c r="U206" s="61">
        <v>3</v>
      </c>
      <c r="V206" s="17">
        <f>SUM(T206:U206)</f>
        <v>3</v>
      </c>
      <c r="W206" s="391">
        <f t="shared" ref="W206:W209" si="224">J206+K206+N206+Q206+T206</f>
        <v>1</v>
      </c>
      <c r="X206" s="17">
        <f t="shared" ref="X206:X209" si="225">L206+O206+R206+U206</f>
        <v>11</v>
      </c>
      <c r="Y206" s="18">
        <f>SUM(W206:X206)</f>
        <v>12</v>
      </c>
      <c r="Z206" s="19">
        <f>IF(Y$210=0,0,Y206/Y$210)</f>
        <v>0.5714285714285714</v>
      </c>
      <c r="AA206" s="19"/>
      <c r="AB206" s="19"/>
      <c r="AC206" s="20"/>
      <c r="AE206" s="111"/>
      <c r="AF206" s="111"/>
      <c r="AG206" s="111"/>
      <c r="AH206" s="112"/>
      <c r="AI206" s="113"/>
      <c r="AK206" s="111"/>
      <c r="AL206" s="111"/>
      <c r="AM206" s="111"/>
      <c r="AN206" s="112"/>
      <c r="AO206" s="113"/>
      <c r="AQ206" s="17"/>
      <c r="AR206" s="17"/>
      <c r="AS206" s="17"/>
      <c r="AT206" s="18">
        <f t="shared" ref="AT206:AT209" si="226">W206</f>
        <v>1</v>
      </c>
      <c r="AU206" s="19">
        <f>IF(AT$210=0,0,AT206/AT$210)</f>
        <v>0.5</v>
      </c>
      <c r="AW206" s="17"/>
      <c r="AX206" s="17"/>
      <c r="AY206" s="17"/>
      <c r="AZ206" s="18">
        <f t="shared" ref="AZ206:AZ209" si="227">X206</f>
        <v>11</v>
      </c>
      <c r="BA206" s="19">
        <f>IF(AZ$210=0,0,AZ206/AZ$210)</f>
        <v>0.57894736842105265</v>
      </c>
    </row>
    <row r="207" spans="1:53" ht="17.100000000000001" customHeight="1" x14ac:dyDescent="0.25">
      <c r="A207" s="40"/>
      <c r="B207" s="40"/>
      <c r="C207" s="40"/>
      <c r="D207" s="56" t="s">
        <v>521</v>
      </c>
      <c r="E207" s="147" t="s">
        <v>422</v>
      </c>
      <c r="F207" s="223"/>
      <c r="G207" s="223"/>
      <c r="H207" s="244"/>
      <c r="I207" s="238"/>
      <c r="J207" s="111"/>
      <c r="K207" s="111"/>
      <c r="L207" s="111"/>
      <c r="M207" s="111"/>
      <c r="N207" s="60"/>
      <c r="O207" s="60"/>
      <c r="P207" s="17">
        <f t="shared" ref="P207:P209" si="228">SUM(N207:O207)</f>
        <v>0</v>
      </c>
      <c r="Q207" s="60">
        <v>1</v>
      </c>
      <c r="R207" s="60"/>
      <c r="S207" s="17">
        <f t="shared" ref="S207:S209" si="229">SUM(Q207:R207)</f>
        <v>1</v>
      </c>
      <c r="T207" s="60"/>
      <c r="U207" s="60"/>
      <c r="V207" s="17">
        <f t="shared" ref="V207:V209" si="230">SUM(T207:U207)</f>
        <v>0</v>
      </c>
      <c r="W207" s="391">
        <f t="shared" si="224"/>
        <v>1</v>
      </c>
      <c r="X207" s="17">
        <f t="shared" si="225"/>
        <v>0</v>
      </c>
      <c r="Y207" s="18">
        <f>SUM(W207:X207)</f>
        <v>1</v>
      </c>
      <c r="Z207" s="19">
        <f>IF(Y$210=0,0,Y207/Y$210)</f>
        <v>4.7619047619047616E-2</v>
      </c>
      <c r="AA207" s="19"/>
      <c r="AB207" s="19"/>
      <c r="AC207" s="20"/>
      <c r="AE207" s="111"/>
      <c r="AF207" s="111"/>
      <c r="AG207" s="111"/>
      <c r="AH207" s="112"/>
      <c r="AI207" s="113"/>
      <c r="AK207" s="111"/>
      <c r="AL207" s="111"/>
      <c r="AM207" s="111"/>
      <c r="AN207" s="112"/>
      <c r="AO207" s="113"/>
      <c r="AQ207" s="17"/>
      <c r="AR207" s="17"/>
      <c r="AS207" s="17"/>
      <c r="AT207" s="18">
        <f t="shared" si="226"/>
        <v>1</v>
      </c>
      <c r="AU207" s="19">
        <f>IF(AT$210=0,0,AT207/AT$210)</f>
        <v>0.5</v>
      </c>
      <c r="AW207" s="17"/>
      <c r="AX207" s="17"/>
      <c r="AY207" s="17"/>
      <c r="AZ207" s="18">
        <f t="shared" si="227"/>
        <v>0</v>
      </c>
      <c r="BA207" s="19">
        <f>IF(AZ$210=0,0,AZ207/AZ$210)</f>
        <v>0</v>
      </c>
    </row>
    <row r="208" spans="1:53" ht="17.100000000000001" customHeight="1" x14ac:dyDescent="0.25">
      <c r="A208" s="40"/>
      <c r="B208" s="40"/>
      <c r="C208" s="40"/>
      <c r="D208" s="56" t="s">
        <v>522</v>
      </c>
      <c r="E208" s="147" t="s">
        <v>136</v>
      </c>
      <c r="F208" s="147"/>
      <c r="G208" s="147"/>
      <c r="H208" s="182"/>
      <c r="I208" s="237"/>
      <c r="J208" s="111"/>
      <c r="K208" s="111"/>
      <c r="L208" s="111"/>
      <c r="M208" s="111"/>
      <c r="N208" s="61"/>
      <c r="O208" s="61"/>
      <c r="P208" s="17">
        <f t="shared" si="228"/>
        <v>0</v>
      </c>
      <c r="Q208" s="61"/>
      <c r="R208" s="61">
        <v>1</v>
      </c>
      <c r="S208" s="17">
        <f t="shared" si="229"/>
        <v>1</v>
      </c>
      <c r="T208" s="61"/>
      <c r="U208" s="61">
        <v>7</v>
      </c>
      <c r="V208" s="17">
        <f t="shared" si="230"/>
        <v>7</v>
      </c>
      <c r="W208" s="391">
        <f t="shared" si="224"/>
        <v>0</v>
      </c>
      <c r="X208" s="17">
        <f t="shared" si="225"/>
        <v>8</v>
      </c>
      <c r="Y208" s="18">
        <f>SUM(W208:X208)</f>
        <v>8</v>
      </c>
      <c r="Z208" s="19">
        <f>IF(Y$210=0,0,Y208/Y$210)</f>
        <v>0.38095238095238093</v>
      </c>
      <c r="AA208" s="19"/>
      <c r="AB208" s="19"/>
      <c r="AC208" s="20"/>
      <c r="AE208" s="111"/>
      <c r="AF208" s="111"/>
      <c r="AG208" s="111"/>
      <c r="AH208" s="112"/>
      <c r="AI208" s="113"/>
      <c r="AK208" s="111"/>
      <c r="AL208" s="111"/>
      <c r="AM208" s="111"/>
      <c r="AN208" s="112"/>
      <c r="AO208" s="113"/>
      <c r="AQ208" s="17"/>
      <c r="AR208" s="17"/>
      <c r="AS208" s="17"/>
      <c r="AT208" s="18">
        <f t="shared" si="226"/>
        <v>0</v>
      </c>
      <c r="AU208" s="19">
        <f>IF(AT$210=0,0,AT208/AT$210)</f>
        <v>0</v>
      </c>
      <c r="AW208" s="17"/>
      <c r="AX208" s="17"/>
      <c r="AY208" s="17"/>
      <c r="AZ208" s="18">
        <f t="shared" si="227"/>
        <v>8</v>
      </c>
      <c r="BA208" s="19">
        <f>IF(AZ$210=0,0,AZ208/AZ$210)</f>
        <v>0.42105263157894735</v>
      </c>
    </row>
    <row r="209" spans="1:53" ht="17.100000000000001" customHeight="1" x14ac:dyDescent="0.25">
      <c r="A209" s="40"/>
      <c r="B209" s="40"/>
      <c r="C209" s="40"/>
      <c r="D209" s="56" t="s">
        <v>746</v>
      </c>
      <c r="E209" s="147" t="s">
        <v>747</v>
      </c>
      <c r="F209" s="223"/>
      <c r="G209" s="223"/>
      <c r="H209" s="244"/>
      <c r="I209" s="238"/>
      <c r="J209" s="111"/>
      <c r="K209" s="111"/>
      <c r="L209" s="111"/>
      <c r="M209" s="111"/>
      <c r="N209" s="60"/>
      <c r="O209" s="60"/>
      <c r="P209" s="17">
        <f t="shared" si="228"/>
        <v>0</v>
      </c>
      <c r="Q209" s="60"/>
      <c r="R209" s="60"/>
      <c r="S209" s="17">
        <f t="shared" si="229"/>
        <v>0</v>
      </c>
      <c r="T209" s="60"/>
      <c r="U209" s="60"/>
      <c r="V209" s="17">
        <f t="shared" si="230"/>
        <v>0</v>
      </c>
      <c r="W209" s="391">
        <f t="shared" si="224"/>
        <v>0</v>
      </c>
      <c r="X209" s="17">
        <f t="shared" si="225"/>
        <v>0</v>
      </c>
      <c r="Y209" s="18">
        <f>SUM(W209:X209)</f>
        <v>0</v>
      </c>
      <c r="Z209" s="19">
        <f>IF(Y$210=0,0,Y209/Y$210)</f>
        <v>0</v>
      </c>
      <c r="AA209" s="19"/>
      <c r="AB209" s="19"/>
      <c r="AC209" s="20"/>
      <c r="AE209" s="111"/>
      <c r="AF209" s="111"/>
      <c r="AG209" s="111"/>
      <c r="AH209" s="112"/>
      <c r="AI209" s="113"/>
      <c r="AK209" s="111"/>
      <c r="AL209" s="111"/>
      <c r="AM209" s="111"/>
      <c r="AN209" s="112"/>
      <c r="AO209" s="113"/>
      <c r="AQ209" s="17"/>
      <c r="AR209" s="17"/>
      <c r="AS209" s="17"/>
      <c r="AT209" s="18">
        <f t="shared" si="226"/>
        <v>0</v>
      </c>
      <c r="AU209" s="19">
        <f>IF(AT$210=0,0,AT209/AT$210)</f>
        <v>0</v>
      </c>
      <c r="AW209" s="17"/>
      <c r="AX209" s="17"/>
      <c r="AY209" s="17"/>
      <c r="AZ209" s="18">
        <f t="shared" si="227"/>
        <v>0</v>
      </c>
      <c r="BA209" s="19">
        <f>IF(AZ$210=0,0,AZ209/AZ$210)</f>
        <v>0</v>
      </c>
    </row>
    <row r="210" spans="1:53" ht="17.100000000000001" customHeight="1" x14ac:dyDescent="0.25">
      <c r="A210" s="40"/>
      <c r="B210" s="40"/>
      <c r="C210" s="77"/>
      <c r="D210" s="144"/>
      <c r="E210" s="144"/>
      <c r="F210" s="145"/>
      <c r="G210" s="145"/>
      <c r="H210" s="119"/>
      <c r="I210" s="236"/>
      <c r="J210" s="80"/>
      <c r="K210" s="80"/>
      <c r="L210" s="81"/>
      <c r="M210" s="81"/>
      <c r="N210" s="81">
        <f>SUM(N206:N209)</f>
        <v>1</v>
      </c>
      <c r="O210" s="81">
        <f t="shared" ref="O210:V210" si="231">SUM(O206:O209)</f>
        <v>5</v>
      </c>
      <c r="P210" s="81">
        <f t="shared" si="231"/>
        <v>6</v>
      </c>
      <c r="Q210" s="81">
        <f t="shared" si="231"/>
        <v>1</v>
      </c>
      <c r="R210" s="81">
        <f t="shared" si="231"/>
        <v>4</v>
      </c>
      <c r="S210" s="81">
        <f t="shared" si="231"/>
        <v>5</v>
      </c>
      <c r="T210" s="81">
        <f t="shared" si="231"/>
        <v>0</v>
      </c>
      <c r="U210" s="81">
        <f t="shared" si="231"/>
        <v>10</v>
      </c>
      <c r="V210" s="81">
        <f t="shared" si="231"/>
        <v>10</v>
      </c>
      <c r="W210" s="381">
        <f>SUM(W206:W209)</f>
        <v>2</v>
      </c>
      <c r="X210" s="82">
        <f>SUM(X206:X209)</f>
        <v>19</v>
      </c>
      <c r="Y210" s="82">
        <f>SUM(Y206:Y209)</f>
        <v>21</v>
      </c>
      <c r="Z210" s="205">
        <f>IF(Y$210=0,0,Y210/Y$210)</f>
        <v>1</v>
      </c>
      <c r="AA210" s="205"/>
      <c r="AB210" s="205"/>
      <c r="AC210" s="83"/>
      <c r="AE210" s="80"/>
      <c r="AF210" s="80"/>
      <c r="AG210" s="81"/>
      <c r="AH210" s="82"/>
      <c r="AI210" s="66"/>
      <c r="AK210" s="80"/>
      <c r="AL210" s="80"/>
      <c r="AM210" s="81"/>
      <c r="AN210" s="82"/>
      <c r="AO210" s="66"/>
      <c r="AQ210" s="80"/>
      <c r="AR210" s="80"/>
      <c r="AS210" s="81"/>
      <c r="AT210" s="82">
        <f>SUM(AT206:AT209)</f>
        <v>2</v>
      </c>
      <c r="AU210" s="66">
        <f>IF(AT$210=0,0,AT210/AT$210)</f>
        <v>1</v>
      </c>
      <c r="AW210" s="80"/>
      <c r="AX210" s="80"/>
      <c r="AY210" s="81"/>
      <c r="AZ210" s="82">
        <f>SUM(AZ206:AZ209)</f>
        <v>19</v>
      </c>
      <c r="BA210" s="66">
        <f>IF(AZ$210=0,0,AZ210/AZ$210)</f>
        <v>1</v>
      </c>
    </row>
    <row r="211" spans="1:53" s="117" customFormat="1" ht="17.100000000000001" customHeight="1" x14ac:dyDescent="0.25">
      <c r="A211" s="68"/>
      <c r="B211" s="119"/>
      <c r="C211" s="540"/>
      <c r="D211" s="261"/>
      <c r="E211" s="261"/>
      <c r="F211" s="68"/>
      <c r="G211" s="68"/>
      <c r="H211" s="119"/>
      <c r="I211" s="138"/>
      <c r="J211" s="17"/>
      <c r="K211" s="17"/>
      <c r="L211" s="17"/>
      <c r="M211" s="17"/>
      <c r="N211" s="17" t="str">
        <f>IF(N210=N$20,"OK","NOK")</f>
        <v>OK</v>
      </c>
      <c r="O211" s="17" t="str">
        <f>IF(O210=O$20,"OK","NOK")</f>
        <v>OK</v>
      </c>
      <c r="P211" s="17"/>
      <c r="Q211" s="17" t="str">
        <f>IF(Q210=Q$20,"OK","NOK")</f>
        <v>OK</v>
      </c>
      <c r="R211" s="17" t="str">
        <f>IF(R210=R$20,"OK","NOK")</f>
        <v>OK</v>
      </c>
      <c r="S211" s="17"/>
      <c r="T211" s="17" t="str">
        <f>IF(T210=T$20,"OK","NOK")</f>
        <v>OK</v>
      </c>
      <c r="U211" s="17" t="str">
        <f>IF(U210=U$20,"OK","NOK")</f>
        <v>OK</v>
      </c>
      <c r="V211" s="359"/>
      <c r="W211" s="382"/>
      <c r="X211" s="539"/>
      <c r="Y211" s="539"/>
      <c r="Z211" s="201"/>
      <c r="AA211" s="201"/>
      <c r="AB211" s="201"/>
      <c r="AC211" s="84"/>
      <c r="AE211" s="46"/>
      <c r="AF211" s="46"/>
      <c r="AG211" s="17"/>
      <c r="AH211" s="539"/>
      <c r="AI211" s="91"/>
      <c r="AK211" s="46"/>
      <c r="AL211" s="46"/>
      <c r="AM211" s="17"/>
      <c r="AN211" s="539"/>
      <c r="AO211" s="91"/>
      <c r="AQ211" s="46"/>
      <c r="AR211" s="46"/>
      <c r="AS211" s="17"/>
      <c r="AT211" s="539"/>
      <c r="AU211" s="91"/>
      <c r="AW211" s="46"/>
      <c r="AX211" s="46"/>
      <c r="AY211" s="17"/>
      <c r="AZ211" s="539"/>
      <c r="BA211" s="91"/>
    </row>
    <row r="212" spans="1:53" ht="17.100000000000001" customHeight="1" x14ac:dyDescent="0.25">
      <c r="A212" s="68"/>
      <c r="B212" s="41" t="s">
        <v>635</v>
      </c>
      <c r="C212" s="69" t="s">
        <v>138</v>
      </c>
      <c r="D212" s="50"/>
      <c r="E212" s="70"/>
      <c r="F212" s="70"/>
      <c r="G212" s="70"/>
      <c r="H212" s="119"/>
      <c r="J212" s="71"/>
      <c r="K212" s="71"/>
      <c r="L212" s="71"/>
      <c r="M212" s="71"/>
      <c r="N212" s="71"/>
      <c r="O212" s="71"/>
      <c r="P212" s="71"/>
      <c r="Q212" s="71"/>
      <c r="R212" s="71"/>
      <c r="S212" s="71"/>
      <c r="T212" s="71"/>
      <c r="U212" s="71"/>
      <c r="V212" s="355"/>
      <c r="W212" s="377"/>
      <c r="X212" s="71"/>
      <c r="Y212" s="72"/>
      <c r="Z212" s="73"/>
      <c r="AA212" s="73"/>
      <c r="AB212" s="73"/>
      <c r="AC212" s="73"/>
      <c r="AE212" s="71"/>
      <c r="AF212" s="71"/>
      <c r="AG212" s="71"/>
      <c r="AH212" s="72"/>
      <c r="AI212" s="73"/>
      <c r="AK212" s="71"/>
      <c r="AL212" s="71"/>
      <c r="AM212" s="71"/>
      <c r="AN212" s="72"/>
      <c r="AO212" s="73"/>
      <c r="AQ212" s="71"/>
      <c r="AR212" s="71"/>
      <c r="AS212" s="71"/>
      <c r="AT212" s="72"/>
      <c r="AU212" s="73"/>
      <c r="AW212" s="71"/>
      <c r="AX212" s="71"/>
      <c r="AY212" s="71"/>
      <c r="AZ212" s="72"/>
      <c r="BA212" s="73"/>
    </row>
    <row r="213" spans="1:53" ht="17.100000000000001" customHeight="1" x14ac:dyDescent="0.25">
      <c r="A213" s="40"/>
      <c r="B213" s="40"/>
      <c r="C213" s="74" t="s">
        <v>636</v>
      </c>
      <c r="D213" s="542" t="s">
        <v>424</v>
      </c>
      <c r="E213" s="542"/>
      <c r="F213" s="542"/>
      <c r="G213" s="542"/>
      <c r="H213" s="243">
        <v>26</v>
      </c>
      <c r="I213" s="235"/>
      <c r="J213" s="111"/>
      <c r="K213" s="111"/>
      <c r="L213" s="111"/>
      <c r="M213" s="111"/>
      <c r="N213" s="111"/>
      <c r="O213" s="111"/>
      <c r="P213" s="111"/>
      <c r="Q213" s="111"/>
      <c r="R213" s="111"/>
      <c r="S213" s="111"/>
      <c r="T213" s="111"/>
      <c r="U213" s="111"/>
      <c r="V213" s="358"/>
      <c r="W213" s="380"/>
      <c r="X213" s="111"/>
      <c r="Y213" s="112"/>
      <c r="Z213" s="113"/>
      <c r="AA213" s="113"/>
      <c r="AB213" s="113"/>
      <c r="AC213" s="113"/>
      <c r="AE213" s="111"/>
      <c r="AF213" s="111"/>
      <c r="AG213" s="148"/>
      <c r="AH213" s="112"/>
      <c r="AI213" s="113"/>
      <c r="AK213" s="111"/>
      <c r="AL213" s="111"/>
      <c r="AM213" s="148"/>
      <c r="AN213" s="112"/>
      <c r="AO213" s="113"/>
      <c r="AQ213" s="111"/>
      <c r="AR213" s="111"/>
      <c r="AS213" s="148"/>
      <c r="AT213" s="112"/>
      <c r="AU213" s="113"/>
      <c r="AW213" s="111"/>
      <c r="AX213" s="111"/>
      <c r="AY213" s="148"/>
      <c r="AZ213" s="112"/>
      <c r="BA213" s="113"/>
    </row>
    <row r="214" spans="1:53" ht="17.100000000000001" customHeight="1" x14ac:dyDescent="0.25">
      <c r="A214" s="40"/>
      <c r="B214" s="40"/>
      <c r="C214" s="40"/>
      <c r="D214" s="74" t="s">
        <v>637</v>
      </c>
      <c r="E214" s="542" t="s">
        <v>9</v>
      </c>
      <c r="F214" s="542"/>
      <c r="G214" s="542"/>
      <c r="H214" s="540"/>
      <c r="I214" s="235"/>
      <c r="J214" s="583"/>
      <c r="K214" s="583"/>
      <c r="L214" s="584"/>
      <c r="M214" s="17">
        <f t="shared" ref="M214:M215" si="232">SUM(J214:L214)</f>
        <v>0</v>
      </c>
      <c r="N214" s="111"/>
      <c r="O214" s="111"/>
      <c r="P214" s="111"/>
      <c r="Q214" s="111"/>
      <c r="R214" s="111"/>
      <c r="S214" s="111"/>
      <c r="T214" s="111"/>
      <c r="U214" s="111"/>
      <c r="V214" s="358"/>
      <c r="W214" s="391">
        <f t="shared" ref="W214:W215" si="233">J214+K214+N214+Q214+T214</f>
        <v>0</v>
      </c>
      <c r="X214" s="17">
        <f t="shared" ref="X214:X215" si="234">L214+O214+R214+U214</f>
        <v>0</v>
      </c>
      <c r="Y214" s="18">
        <f>SUM(W214:X214)</f>
        <v>0</v>
      </c>
      <c r="Z214" s="19">
        <f>IF(Y$217=0,0,Y214/Y$217)</f>
        <v>0</v>
      </c>
      <c r="AA214" s="19"/>
      <c r="AB214" s="19"/>
      <c r="AC214" s="20"/>
      <c r="AE214" s="17"/>
      <c r="AF214" s="17"/>
      <c r="AG214" s="17"/>
      <c r="AH214" s="18">
        <f t="shared" ref="AH214:AH215" si="235">J214</f>
        <v>0</v>
      </c>
      <c r="AI214" s="19">
        <f>IF(AH$217=0,0,AH214/AH$217)</f>
        <v>0</v>
      </c>
      <c r="AK214" s="17"/>
      <c r="AL214" s="17"/>
      <c r="AM214" s="17"/>
      <c r="AN214" s="18">
        <f t="shared" ref="AN214:AN215" si="236">K214</f>
        <v>0</v>
      </c>
      <c r="AO214" s="19">
        <f>IF(AN$217=0,0,AN214/AN$217)</f>
        <v>0</v>
      </c>
      <c r="AQ214" s="17"/>
      <c r="AR214" s="17"/>
      <c r="AS214" s="17"/>
      <c r="AT214" s="18">
        <f t="shared" ref="AT214:AT215" si="237">W214</f>
        <v>0</v>
      </c>
      <c r="AU214" s="19">
        <f>IF(AT$217=0,0,AT214/AT$217)</f>
        <v>0</v>
      </c>
      <c r="AW214" s="17"/>
      <c r="AX214" s="17"/>
      <c r="AY214" s="17"/>
      <c r="AZ214" s="18">
        <f t="shared" ref="AZ214:AZ215" si="238">X214</f>
        <v>0</v>
      </c>
      <c r="BA214" s="19">
        <f>IF(AZ$217=0,0,AZ214/AZ$217)</f>
        <v>0</v>
      </c>
    </row>
    <row r="215" spans="1:53" ht="17.100000000000001" customHeight="1" x14ac:dyDescent="0.25">
      <c r="A215" s="40"/>
      <c r="B215" s="40"/>
      <c r="C215" s="40"/>
      <c r="D215" s="74" t="s">
        <v>638</v>
      </c>
      <c r="E215" s="542" t="s">
        <v>11</v>
      </c>
      <c r="F215" s="542"/>
      <c r="G215" s="542"/>
      <c r="H215" s="540"/>
      <c r="I215" s="235"/>
      <c r="J215" s="581"/>
      <c r="K215" s="581"/>
      <c r="L215" s="582"/>
      <c r="M215" s="17">
        <f t="shared" si="232"/>
        <v>0</v>
      </c>
      <c r="N215" s="111"/>
      <c r="O215" s="111"/>
      <c r="P215" s="111"/>
      <c r="Q215" s="111"/>
      <c r="R215" s="111"/>
      <c r="S215" s="111"/>
      <c r="T215" s="111"/>
      <c r="U215" s="111"/>
      <c r="V215" s="358"/>
      <c r="W215" s="391">
        <f t="shared" si="233"/>
        <v>0</v>
      </c>
      <c r="X215" s="17">
        <f t="shared" si="234"/>
        <v>0</v>
      </c>
      <c r="Y215" s="18">
        <f>SUM(W215:X215)</f>
        <v>0</v>
      </c>
      <c r="Z215" s="19">
        <f>IF(Y$217=0,0,Y215/Y$217)</f>
        <v>0</v>
      </c>
      <c r="AA215" s="19"/>
      <c r="AB215" s="19"/>
      <c r="AC215" s="20"/>
      <c r="AE215" s="17"/>
      <c r="AF215" s="17"/>
      <c r="AG215" s="17"/>
      <c r="AH215" s="18">
        <f t="shared" si="235"/>
        <v>0</v>
      </c>
      <c r="AI215" s="19">
        <f>IF(AH$217=0,0,AH215/AH$217)</f>
        <v>0</v>
      </c>
      <c r="AK215" s="17"/>
      <c r="AL215" s="17"/>
      <c r="AM215" s="17"/>
      <c r="AN215" s="18">
        <f t="shared" si="236"/>
        <v>0</v>
      </c>
      <c r="AO215" s="19">
        <f>IF(AN$217=0,0,AN215/AN$217)</f>
        <v>0</v>
      </c>
      <c r="AQ215" s="17"/>
      <c r="AR215" s="17"/>
      <c r="AS215" s="17"/>
      <c r="AT215" s="18">
        <f t="shared" si="237"/>
        <v>0</v>
      </c>
      <c r="AU215" s="19">
        <f>IF(AT$217=0,0,AT215/AT$217)</f>
        <v>0</v>
      </c>
      <c r="AW215" s="17"/>
      <c r="AX215" s="17"/>
      <c r="AY215" s="17"/>
      <c r="AZ215" s="18">
        <f t="shared" si="238"/>
        <v>0</v>
      </c>
      <c r="BA215" s="19">
        <f>IF(AZ$217=0,0,AZ215/AZ$217)</f>
        <v>0</v>
      </c>
    </row>
    <row r="216" spans="1:53" ht="17.100000000000001" customHeight="1" x14ac:dyDescent="0.25">
      <c r="A216" s="40"/>
      <c r="B216" s="40"/>
      <c r="C216" s="40"/>
      <c r="D216" s="74" t="s">
        <v>1436</v>
      </c>
      <c r="E216" s="147" t="s">
        <v>1435</v>
      </c>
      <c r="F216" s="923"/>
      <c r="G216" s="923"/>
      <c r="H216" s="922"/>
      <c r="I216" s="235"/>
      <c r="J216" s="583"/>
      <c r="K216" s="583"/>
      <c r="L216" s="584"/>
      <c r="M216" s="17">
        <f t="shared" ref="M216" si="239">SUM(J216:L216)</f>
        <v>0</v>
      </c>
      <c r="N216" s="111"/>
      <c r="O216" s="111"/>
      <c r="P216" s="111"/>
      <c r="Q216" s="111"/>
      <c r="R216" s="111"/>
      <c r="S216" s="111"/>
      <c r="T216" s="111"/>
      <c r="U216" s="111"/>
      <c r="V216" s="358"/>
      <c r="W216" s="391">
        <f t="shared" ref="W216" si="240">J216+K216+N216+Q216+T216</f>
        <v>0</v>
      </c>
      <c r="X216" s="17">
        <f t="shared" ref="X216" si="241">L216+O216+R216+U216</f>
        <v>0</v>
      </c>
      <c r="Y216" s="18">
        <f>SUM(W216:X216)</f>
        <v>0</v>
      </c>
      <c r="Z216" s="19">
        <f>IF(Y$217=0,0,Y216/Y$217)</f>
        <v>0</v>
      </c>
      <c r="AA216" s="19"/>
      <c r="AB216" s="19"/>
      <c r="AC216" s="20"/>
      <c r="AE216" s="17"/>
      <c r="AF216" s="17"/>
      <c r="AG216" s="17"/>
      <c r="AH216" s="18">
        <f t="shared" ref="AH216" si="242">J216</f>
        <v>0</v>
      </c>
      <c r="AI216" s="19">
        <f>IF(AH$217=0,0,AH216/AH$217)</f>
        <v>0</v>
      </c>
      <c r="AK216" s="17"/>
      <c r="AL216" s="17"/>
      <c r="AM216" s="17"/>
      <c r="AN216" s="18">
        <f t="shared" ref="AN216" si="243">K216</f>
        <v>0</v>
      </c>
      <c r="AO216" s="19">
        <f>IF(AN$217=0,0,AN216/AN$217)</f>
        <v>0</v>
      </c>
      <c r="AQ216" s="17"/>
      <c r="AR216" s="17"/>
      <c r="AS216" s="17"/>
      <c r="AT216" s="18">
        <f t="shared" ref="AT216" si="244">W216</f>
        <v>0</v>
      </c>
      <c r="AU216" s="19">
        <f>IF(AT$217=0,0,AT216/AT$217)</f>
        <v>0</v>
      </c>
      <c r="AW216" s="17"/>
      <c r="AX216" s="17"/>
      <c r="AY216" s="17"/>
      <c r="AZ216" s="18">
        <f t="shared" ref="AZ216" si="245">X216</f>
        <v>0</v>
      </c>
      <c r="BA216" s="19">
        <f>IF(AZ$217=0,0,AZ216/AZ$217)</f>
        <v>0</v>
      </c>
    </row>
    <row r="217" spans="1:53" ht="17.100000000000001" customHeight="1" x14ac:dyDescent="0.25">
      <c r="A217" s="40"/>
      <c r="B217" s="40"/>
      <c r="C217" s="77"/>
      <c r="D217" s="144"/>
      <c r="E217" s="144"/>
      <c r="F217" s="145"/>
      <c r="G217" s="145"/>
      <c r="H217" s="119"/>
      <c r="I217" s="236"/>
      <c r="J217" s="80">
        <f>SUM(J214:J216)</f>
        <v>0</v>
      </c>
      <c r="K217" s="80">
        <f t="shared" ref="K217:L217" si="246">SUM(K214:K216)</f>
        <v>0</v>
      </c>
      <c r="L217" s="80">
        <f t="shared" si="246"/>
        <v>0</v>
      </c>
      <c r="M217" s="80">
        <f t="shared" ref="M217" si="247">SUM(M214:M215)</f>
        <v>0</v>
      </c>
      <c r="N217" s="81"/>
      <c r="O217" s="81"/>
      <c r="P217" s="81"/>
      <c r="Q217" s="81"/>
      <c r="R217" s="81"/>
      <c r="S217" s="81"/>
      <c r="T217" s="81"/>
      <c r="U217" s="81"/>
      <c r="V217" s="356"/>
      <c r="W217" s="381">
        <f>SUM(W214:W216)</f>
        <v>0</v>
      </c>
      <c r="X217" s="224">
        <f t="shared" ref="X217" si="248">SUM(X214:X216)</f>
        <v>0</v>
      </c>
      <c r="Y217" s="224">
        <f t="shared" ref="Y217" si="249">SUM(Y214:Y216)</f>
        <v>0</v>
      </c>
      <c r="Z217" s="205">
        <f>IF(Y$217=0,0,Y217/Y$217)</f>
        <v>0</v>
      </c>
      <c r="AA217" s="205"/>
      <c r="AB217" s="205"/>
      <c r="AC217" s="83"/>
      <c r="AE217" s="80"/>
      <c r="AF217" s="80"/>
      <c r="AG217" s="81"/>
      <c r="AH217" s="224">
        <f t="shared" ref="AH217" si="250">SUM(AH214:AH216)</f>
        <v>0</v>
      </c>
      <c r="AI217" s="66">
        <f>IF(AH$217=0,0,AH217/AH$217)</f>
        <v>0</v>
      </c>
      <c r="AK217" s="80"/>
      <c r="AL217" s="80"/>
      <c r="AM217" s="81"/>
      <c r="AN217" s="224">
        <f t="shared" ref="AN217" si="251">SUM(AN214:AN216)</f>
        <v>0</v>
      </c>
      <c r="AO217" s="66">
        <f>IF(AN$217=0,0,AN217/AN$217)</f>
        <v>0</v>
      </c>
      <c r="AQ217" s="80"/>
      <c r="AR217" s="80"/>
      <c r="AS217" s="81"/>
      <c r="AT217" s="224">
        <f t="shared" ref="AT217" si="252">SUM(AT214:AT216)</f>
        <v>0</v>
      </c>
      <c r="AU217" s="66">
        <f>IF(AT$217=0,0,AT217/AT$217)</f>
        <v>0</v>
      </c>
      <c r="AW217" s="80"/>
      <c r="AX217" s="80"/>
      <c r="AY217" s="81"/>
      <c r="AZ217" s="224">
        <f t="shared" ref="AZ217" si="253">SUM(AZ214:AZ216)</f>
        <v>0</v>
      </c>
      <c r="BA217" s="66">
        <f>IF(AZ$217=0,0,AZ217/AZ$217)</f>
        <v>0</v>
      </c>
    </row>
    <row r="218" spans="1:53" s="117" customFormat="1" ht="17.100000000000001" customHeight="1" x14ac:dyDescent="0.25">
      <c r="A218" s="68"/>
      <c r="B218" s="119"/>
      <c r="C218" s="540"/>
      <c r="D218" s="261"/>
      <c r="E218" s="261"/>
      <c r="F218" s="68"/>
      <c r="G218" s="68"/>
      <c r="H218" s="119"/>
      <c r="I218" s="138"/>
      <c r="J218" s="17" t="str">
        <f>IF(J217=J$15,"OK","NOK")</f>
        <v>OK</v>
      </c>
      <c r="K218" s="17" t="str">
        <f t="shared" ref="K218:L218" si="254">IF(K217=K$15,"OK","NOK")</f>
        <v>OK</v>
      </c>
      <c r="L218" s="17" t="str">
        <f t="shared" si="254"/>
        <v>OK</v>
      </c>
      <c r="M218" s="17"/>
      <c r="N218" s="17"/>
      <c r="O218" s="17"/>
      <c r="P218" s="17"/>
      <c r="Q218" s="17"/>
      <c r="R218" s="17"/>
      <c r="S218" s="17"/>
      <c r="T218" s="17"/>
      <c r="U218" s="17"/>
      <c r="V218" s="359"/>
      <c r="W218" s="382"/>
      <c r="X218" s="539"/>
      <c r="Y218" s="539"/>
      <c r="Z218" s="201"/>
      <c r="AA218" s="201"/>
      <c r="AB218" s="201"/>
      <c r="AC218" s="84"/>
      <c r="AE218" s="46"/>
      <c r="AF218" s="46"/>
      <c r="AG218" s="17"/>
      <c r="AH218" s="539"/>
      <c r="AI218" s="91"/>
      <c r="AK218" s="46"/>
      <c r="AL218" s="46"/>
      <c r="AM218" s="17"/>
      <c r="AN218" s="539"/>
      <c r="AO218" s="91"/>
      <c r="AQ218" s="46"/>
      <c r="AR218" s="46"/>
      <c r="AS218" s="17"/>
      <c r="AT218" s="539"/>
      <c r="AU218" s="91"/>
      <c r="AW218" s="46"/>
      <c r="AX218" s="46"/>
      <c r="AY218" s="17"/>
      <c r="AZ218" s="539"/>
      <c r="BA218" s="91"/>
    </row>
    <row r="219" spans="1:53" ht="17.100000000000001" customHeight="1" x14ac:dyDescent="0.25">
      <c r="A219" s="40"/>
      <c r="B219" s="40"/>
      <c r="C219" s="74" t="s">
        <v>639</v>
      </c>
      <c r="D219" s="542" t="s">
        <v>359</v>
      </c>
      <c r="E219" s="542"/>
      <c r="F219" s="542"/>
      <c r="G219" s="542"/>
      <c r="H219" s="243">
        <v>9</v>
      </c>
      <c r="I219" s="235"/>
      <c r="J219" s="111"/>
      <c r="K219" s="111"/>
      <c r="L219" s="111"/>
      <c r="M219" s="111"/>
      <c r="N219" s="111"/>
      <c r="O219" s="111"/>
      <c r="P219" s="111"/>
      <c r="Q219" s="111"/>
      <c r="R219" s="111"/>
      <c r="S219" s="111"/>
      <c r="T219" s="111"/>
      <c r="U219" s="111"/>
      <c r="V219" s="358"/>
      <c r="W219" s="380"/>
      <c r="X219" s="111"/>
      <c r="Y219" s="112"/>
      <c r="Z219" s="113"/>
      <c r="AA219" s="113"/>
      <c r="AB219" s="113"/>
      <c r="AC219" s="113"/>
      <c r="AE219" s="111"/>
      <c r="AF219" s="111"/>
      <c r="AG219" s="148"/>
      <c r="AH219" s="112"/>
      <c r="AI219" s="113"/>
      <c r="AK219" s="111"/>
      <c r="AL219" s="111"/>
      <c r="AM219" s="148"/>
      <c r="AN219" s="112"/>
      <c r="AO219" s="113"/>
      <c r="AQ219" s="111"/>
      <c r="AR219" s="111"/>
      <c r="AS219" s="148"/>
      <c r="AT219" s="112"/>
      <c r="AU219" s="113"/>
      <c r="AW219" s="111"/>
      <c r="AX219" s="111"/>
      <c r="AY219" s="148"/>
      <c r="AZ219" s="112"/>
      <c r="BA219" s="113"/>
    </row>
    <row r="220" spans="1:53" ht="17.100000000000001" customHeight="1" x14ac:dyDescent="0.25">
      <c r="A220" s="40"/>
      <c r="B220" s="40"/>
      <c r="C220" s="40"/>
      <c r="D220" s="74" t="s">
        <v>640</v>
      </c>
      <c r="E220" s="542" t="s">
        <v>11</v>
      </c>
      <c r="F220" s="542"/>
      <c r="G220" s="542"/>
      <c r="H220" s="540"/>
      <c r="I220" s="235"/>
      <c r="J220" s="581"/>
      <c r="K220" s="581"/>
      <c r="L220" s="582"/>
      <c r="M220" s="17">
        <f t="shared" ref="M220:M221" si="255">SUM(J220:L220)</f>
        <v>0</v>
      </c>
      <c r="N220" s="111"/>
      <c r="O220" s="111"/>
      <c r="P220" s="111"/>
      <c r="Q220" s="111"/>
      <c r="R220" s="111"/>
      <c r="S220" s="111"/>
      <c r="T220" s="111"/>
      <c r="U220" s="111"/>
      <c r="V220" s="358"/>
      <c r="W220" s="391">
        <f t="shared" ref="W220:W221" si="256">J220+K220+N220+Q220+T220</f>
        <v>0</v>
      </c>
      <c r="X220" s="17">
        <f t="shared" ref="X220:X221" si="257">L220+O220+R220+U220</f>
        <v>0</v>
      </c>
      <c r="Y220" s="18">
        <f>SUM(W220:X220)</f>
        <v>0</v>
      </c>
      <c r="Z220" s="19">
        <f>IF(Y$223=0,0,Y220/Y$223)</f>
        <v>0</v>
      </c>
      <c r="AA220" s="19"/>
      <c r="AB220" s="19"/>
      <c r="AC220" s="20"/>
      <c r="AE220" s="17"/>
      <c r="AF220" s="17"/>
      <c r="AG220" s="17"/>
      <c r="AH220" s="18">
        <f t="shared" ref="AH220:AH221" si="258">J220</f>
        <v>0</v>
      </c>
      <c r="AI220" s="19">
        <f>IF(AH$223=0,0,AH220/AH$223)</f>
        <v>0</v>
      </c>
      <c r="AK220" s="17"/>
      <c r="AL220" s="17"/>
      <c r="AM220" s="17"/>
      <c r="AN220" s="18">
        <f t="shared" ref="AN220:AN221" si="259">K220</f>
        <v>0</v>
      </c>
      <c r="AO220" s="19">
        <f>IF(AN$223=0,0,AN220/AN$223)</f>
        <v>0</v>
      </c>
      <c r="AQ220" s="17"/>
      <c r="AR220" s="17"/>
      <c r="AS220" s="17"/>
      <c r="AT220" s="18">
        <f t="shared" ref="AT220:AT221" si="260">W220</f>
        <v>0</v>
      </c>
      <c r="AU220" s="19">
        <f>IF(AT$223=0,0,AT220/AT$223)</f>
        <v>0</v>
      </c>
      <c r="AW220" s="17"/>
      <c r="AX220" s="17"/>
      <c r="AY220" s="17"/>
      <c r="AZ220" s="18">
        <f t="shared" ref="AZ220:AZ221" si="261">X220</f>
        <v>0</v>
      </c>
      <c r="BA220" s="19">
        <f>IF(AZ$223=0,0,AZ220/AZ$223)</f>
        <v>0</v>
      </c>
    </row>
    <row r="221" spans="1:53" ht="17.100000000000001" customHeight="1" x14ac:dyDescent="0.25">
      <c r="A221" s="40"/>
      <c r="B221" s="40"/>
      <c r="C221" s="40"/>
      <c r="D221" s="74" t="s">
        <v>641</v>
      </c>
      <c r="E221" s="542" t="s">
        <v>9</v>
      </c>
      <c r="F221" s="542"/>
      <c r="G221" s="542"/>
      <c r="H221" s="540"/>
      <c r="I221" s="235"/>
      <c r="J221" s="583"/>
      <c r="K221" s="583"/>
      <c r="L221" s="584"/>
      <c r="M221" s="17">
        <f t="shared" si="255"/>
        <v>0</v>
      </c>
      <c r="N221" s="111"/>
      <c r="O221" s="111"/>
      <c r="P221" s="111"/>
      <c r="Q221" s="111"/>
      <c r="R221" s="111"/>
      <c r="S221" s="111"/>
      <c r="T221" s="111"/>
      <c r="U221" s="111"/>
      <c r="V221" s="358"/>
      <c r="W221" s="391">
        <f t="shared" si="256"/>
        <v>0</v>
      </c>
      <c r="X221" s="17">
        <f t="shared" si="257"/>
        <v>0</v>
      </c>
      <c r="Y221" s="18">
        <f>SUM(W221:X221)</f>
        <v>0</v>
      </c>
      <c r="Z221" s="19">
        <f>IF(Y$223=0,0,Y221/Y$223)</f>
        <v>0</v>
      </c>
      <c r="AA221" s="19"/>
      <c r="AB221" s="19"/>
      <c r="AC221" s="20"/>
      <c r="AE221" s="17"/>
      <c r="AF221" s="17"/>
      <c r="AG221" s="17"/>
      <c r="AH221" s="18">
        <f t="shared" si="258"/>
        <v>0</v>
      </c>
      <c r="AI221" s="19">
        <f>IF(AH$223=0,0,AH221/AH$223)</f>
        <v>0</v>
      </c>
      <c r="AK221" s="17"/>
      <c r="AL221" s="17"/>
      <c r="AM221" s="17"/>
      <c r="AN221" s="18">
        <f t="shared" si="259"/>
        <v>0</v>
      </c>
      <c r="AO221" s="19">
        <f>IF(AN$223=0,0,AN221/AN$223)</f>
        <v>0</v>
      </c>
      <c r="AQ221" s="17"/>
      <c r="AR221" s="17"/>
      <c r="AS221" s="17"/>
      <c r="AT221" s="18">
        <f t="shared" si="260"/>
        <v>0</v>
      </c>
      <c r="AU221" s="19">
        <f>IF(AT$223=0,0,AT221/AT$223)</f>
        <v>0</v>
      </c>
      <c r="AW221" s="17"/>
      <c r="AX221" s="17"/>
      <c r="AY221" s="17"/>
      <c r="AZ221" s="18">
        <f t="shared" si="261"/>
        <v>0</v>
      </c>
      <c r="BA221" s="19">
        <f>IF(AZ$223=0,0,AZ221/AZ$223)</f>
        <v>0</v>
      </c>
    </row>
    <row r="222" spans="1:53" ht="17.100000000000001" customHeight="1" x14ac:dyDescent="0.25">
      <c r="A222" s="40"/>
      <c r="B222" s="40"/>
      <c r="C222" s="40"/>
      <c r="D222" s="74" t="s">
        <v>1437</v>
      </c>
      <c r="E222" s="147" t="s">
        <v>1435</v>
      </c>
      <c r="F222" s="923"/>
      <c r="G222" s="923"/>
      <c r="H222" s="922"/>
      <c r="I222" s="235"/>
      <c r="J222" s="581"/>
      <c r="K222" s="581"/>
      <c r="L222" s="582"/>
      <c r="M222" s="17">
        <f t="shared" ref="M222" si="262">SUM(J222:L222)</f>
        <v>0</v>
      </c>
      <c r="N222" s="111"/>
      <c r="O222" s="111"/>
      <c r="P222" s="111"/>
      <c r="Q222" s="111"/>
      <c r="R222" s="111"/>
      <c r="S222" s="111"/>
      <c r="T222" s="111"/>
      <c r="U222" s="111"/>
      <c r="V222" s="358"/>
      <c r="W222" s="391">
        <f t="shared" ref="W222" si="263">J222+K222+N222+Q222+T222</f>
        <v>0</v>
      </c>
      <c r="X222" s="17">
        <f t="shared" ref="X222" si="264">L222+O222+R222+U222</f>
        <v>0</v>
      </c>
      <c r="Y222" s="18">
        <f>SUM(W222:X222)</f>
        <v>0</v>
      </c>
      <c r="Z222" s="19">
        <f>IF(Y$223=0,0,Y222/Y$223)</f>
        <v>0</v>
      </c>
      <c r="AA222" s="19"/>
      <c r="AB222" s="19"/>
      <c r="AC222" s="20"/>
      <c r="AE222" s="17"/>
      <c r="AF222" s="17"/>
      <c r="AG222" s="17"/>
      <c r="AH222" s="18">
        <f t="shared" ref="AH222" si="265">J222</f>
        <v>0</v>
      </c>
      <c r="AI222" s="19">
        <f>IF(AH$223=0,0,AH222/AH$223)</f>
        <v>0</v>
      </c>
      <c r="AK222" s="17"/>
      <c r="AL222" s="17"/>
      <c r="AM222" s="17"/>
      <c r="AN222" s="18">
        <f t="shared" ref="AN222" si="266">K222</f>
        <v>0</v>
      </c>
      <c r="AO222" s="19">
        <f>IF(AN$223=0,0,AN222/AN$223)</f>
        <v>0</v>
      </c>
      <c r="AQ222" s="17"/>
      <c r="AR222" s="17"/>
      <c r="AS222" s="17"/>
      <c r="AT222" s="18">
        <f t="shared" ref="AT222" si="267">W222</f>
        <v>0</v>
      </c>
      <c r="AU222" s="19">
        <f>IF(AT$223=0,0,AT222/AT$223)</f>
        <v>0</v>
      </c>
      <c r="AW222" s="17"/>
      <c r="AX222" s="17"/>
      <c r="AY222" s="17"/>
      <c r="AZ222" s="18">
        <f t="shared" ref="AZ222" si="268">X222</f>
        <v>0</v>
      </c>
      <c r="BA222" s="19">
        <f>IF(AZ$223=0,0,AZ222/AZ$223)</f>
        <v>0</v>
      </c>
    </row>
    <row r="223" spans="1:53" ht="17.100000000000001" customHeight="1" x14ac:dyDescent="0.25">
      <c r="A223" s="40"/>
      <c r="B223" s="40"/>
      <c r="C223" s="77"/>
      <c r="D223" s="144"/>
      <c r="E223" s="144"/>
      <c r="F223" s="145"/>
      <c r="G223" s="145"/>
      <c r="H223" s="119"/>
      <c r="I223" s="236"/>
      <c r="J223" s="80">
        <f>SUM(J220:J222)</f>
        <v>0</v>
      </c>
      <c r="K223" s="80">
        <f t="shared" ref="K223" si="269">SUM(K220:K222)</f>
        <v>0</v>
      </c>
      <c r="L223" s="80">
        <f t="shared" ref="L223" si="270">SUM(L220:L222)</f>
        <v>0</v>
      </c>
      <c r="M223" s="80">
        <f t="shared" ref="M223" si="271">SUM(M220:M221)</f>
        <v>0</v>
      </c>
      <c r="N223" s="81"/>
      <c r="O223" s="81"/>
      <c r="P223" s="81"/>
      <c r="Q223" s="81"/>
      <c r="R223" s="81"/>
      <c r="S223" s="81"/>
      <c r="T223" s="81"/>
      <c r="U223" s="81"/>
      <c r="V223" s="356"/>
      <c r="W223" s="381">
        <f>SUM(W220:W222)</f>
        <v>0</v>
      </c>
      <c r="X223" s="224">
        <f t="shared" ref="X223" si="272">SUM(X220:X222)</f>
        <v>0</v>
      </c>
      <c r="Y223" s="224">
        <f t="shared" ref="Y223" si="273">SUM(Y220:Y222)</f>
        <v>0</v>
      </c>
      <c r="Z223" s="205">
        <f>IF(Y$223=0,0,Y223/Y$223)</f>
        <v>0</v>
      </c>
      <c r="AA223" s="205"/>
      <c r="AB223" s="205"/>
      <c r="AC223" s="83"/>
      <c r="AE223" s="80"/>
      <c r="AF223" s="80"/>
      <c r="AG223" s="81"/>
      <c r="AH223" s="224">
        <f t="shared" ref="AH223" si="274">SUM(AH220:AH222)</f>
        <v>0</v>
      </c>
      <c r="AI223" s="66">
        <f>IF(AH$223=0,0,AH223/AH$223)</f>
        <v>0</v>
      </c>
      <c r="AK223" s="80"/>
      <c r="AL223" s="80"/>
      <c r="AM223" s="81"/>
      <c r="AN223" s="224">
        <f t="shared" ref="AN223" si="275">SUM(AN220:AN222)</f>
        <v>0</v>
      </c>
      <c r="AO223" s="66">
        <f>IF(AN$223=0,0,AN223/AN$223)</f>
        <v>0</v>
      </c>
      <c r="AQ223" s="80"/>
      <c r="AR223" s="80"/>
      <c r="AS223" s="81"/>
      <c r="AT223" s="224">
        <f t="shared" ref="AT223" si="276">SUM(AT220:AT222)</f>
        <v>0</v>
      </c>
      <c r="AU223" s="66">
        <f>IF(AT$223=0,0,AT223/AT$223)</f>
        <v>0</v>
      </c>
      <c r="AW223" s="80"/>
      <c r="AX223" s="80"/>
      <c r="AY223" s="81"/>
      <c r="AZ223" s="224">
        <f t="shared" ref="AZ223" si="277">SUM(AZ220:AZ222)</f>
        <v>0</v>
      </c>
      <c r="BA223" s="66">
        <f>IF(AZ$223=0,0,AZ223/AZ$223)</f>
        <v>0</v>
      </c>
    </row>
    <row r="224" spans="1:53" s="117" customFormat="1" ht="17.100000000000001" customHeight="1" x14ac:dyDescent="0.25">
      <c r="A224" s="68"/>
      <c r="B224" s="119"/>
      <c r="C224" s="540"/>
      <c r="D224" s="261"/>
      <c r="E224" s="261"/>
      <c r="F224" s="68"/>
      <c r="G224" s="68"/>
      <c r="H224" s="119"/>
      <c r="I224" s="236"/>
      <c r="J224" s="17" t="str">
        <f>IF(J223=J$15,"OK","NOK")</f>
        <v>OK</v>
      </c>
      <c r="K224" s="17" t="str">
        <f t="shared" ref="K224:L224" si="278">IF(K223=K$15,"OK","NOK")</f>
        <v>OK</v>
      </c>
      <c r="L224" s="17" t="str">
        <f t="shared" si="278"/>
        <v>OK</v>
      </c>
      <c r="M224" s="17"/>
      <c r="N224" s="17"/>
      <c r="O224" s="17"/>
      <c r="P224" s="17"/>
      <c r="Q224" s="17"/>
      <c r="R224" s="17"/>
      <c r="S224" s="17"/>
      <c r="T224" s="17"/>
      <c r="U224" s="17"/>
      <c r="V224" s="359"/>
      <c r="W224" s="382"/>
      <c r="X224" s="539"/>
      <c r="Y224" s="539"/>
      <c r="Z224" s="201"/>
      <c r="AA224" s="201"/>
      <c r="AB224" s="201"/>
      <c r="AC224" s="84"/>
      <c r="AE224" s="46"/>
      <c r="AF224" s="46"/>
      <c r="AG224" s="17"/>
      <c r="AH224" s="539"/>
      <c r="AI224" s="91"/>
      <c r="AK224" s="46"/>
      <c r="AL224" s="46"/>
      <c r="AM224" s="17"/>
      <c r="AN224" s="539"/>
      <c r="AO224" s="91"/>
      <c r="AQ224" s="46"/>
      <c r="AR224" s="46"/>
      <c r="AS224" s="17"/>
      <c r="AT224" s="539"/>
      <c r="AU224" s="91"/>
      <c r="AW224" s="46"/>
      <c r="AX224" s="46"/>
      <c r="AY224" s="17"/>
      <c r="AZ224" s="539"/>
      <c r="BA224" s="91"/>
    </row>
    <row r="225" spans="1:53" ht="17.100000000000001" customHeight="1" x14ac:dyDescent="0.25">
      <c r="A225" s="333"/>
      <c r="B225" s="137"/>
      <c r="C225" s="74" t="s">
        <v>642</v>
      </c>
      <c r="D225" s="147" t="s">
        <v>425</v>
      </c>
      <c r="E225" s="105"/>
      <c r="F225" s="105"/>
      <c r="G225" s="105"/>
      <c r="H225" s="243">
        <v>15</v>
      </c>
      <c r="I225" s="236"/>
      <c r="J225" s="111"/>
      <c r="K225" s="111"/>
      <c r="L225" s="111"/>
      <c r="M225" s="111"/>
      <c r="N225" s="111"/>
      <c r="O225" s="111"/>
      <c r="P225" s="111"/>
      <c r="Q225" s="111"/>
      <c r="R225" s="111"/>
      <c r="S225" s="111"/>
      <c r="T225" s="111"/>
      <c r="U225" s="111"/>
      <c r="V225" s="358"/>
      <c r="W225" s="380"/>
      <c r="X225" s="111"/>
      <c r="Y225" s="112"/>
      <c r="Z225" s="113"/>
      <c r="AA225" s="113"/>
      <c r="AB225" s="113"/>
      <c r="AC225" s="113"/>
      <c r="AE225" s="71"/>
      <c r="AF225" s="71"/>
      <c r="AG225" s="71"/>
      <c r="AH225" s="72"/>
      <c r="AI225" s="73"/>
      <c r="AK225" s="71"/>
      <c r="AL225" s="71"/>
      <c r="AM225" s="71"/>
      <c r="AN225" s="72"/>
      <c r="AO225" s="73"/>
      <c r="AQ225" s="71"/>
      <c r="AR225" s="71"/>
      <c r="AS225" s="71"/>
      <c r="AT225" s="72"/>
      <c r="AU225" s="73"/>
      <c r="AW225" s="71"/>
      <c r="AX225" s="71"/>
      <c r="AY225" s="71"/>
      <c r="AZ225" s="72"/>
      <c r="BA225" s="73"/>
    </row>
    <row r="226" spans="1:53" ht="17.100000000000001" customHeight="1" x14ac:dyDescent="0.25">
      <c r="A226" s="137"/>
      <c r="B226" s="137"/>
      <c r="C226" s="40"/>
      <c r="D226" s="74" t="s">
        <v>643</v>
      </c>
      <c r="E226" s="542" t="s">
        <v>11</v>
      </c>
      <c r="F226" s="75"/>
      <c r="G226" s="75"/>
      <c r="H226" s="540"/>
      <c r="I226" s="236"/>
      <c r="J226" s="111"/>
      <c r="K226" s="111"/>
      <c r="L226" s="111"/>
      <c r="M226" s="111"/>
      <c r="N226" s="60"/>
      <c r="O226" s="60"/>
      <c r="P226" s="60"/>
      <c r="Q226" s="111"/>
      <c r="R226" s="111"/>
      <c r="S226" s="111"/>
      <c r="T226" s="111"/>
      <c r="U226" s="111"/>
      <c r="V226" s="358"/>
      <c r="W226" s="391">
        <f t="shared" ref="W226:W227" si="279">J226+K226+N226+Q226+T226</f>
        <v>0</v>
      </c>
      <c r="X226" s="17">
        <f t="shared" ref="X226:X227" si="280">L226+O226+R226+U226</f>
        <v>0</v>
      </c>
      <c r="Y226" s="18">
        <f>SUM(W226:X226)</f>
        <v>0</v>
      </c>
      <c r="Z226" s="19">
        <f>IF(Y$228=0,0,Y226/Y$228)</f>
        <v>0</v>
      </c>
      <c r="AA226" s="19"/>
      <c r="AB226" s="19"/>
      <c r="AC226" s="20"/>
      <c r="AE226" s="17"/>
      <c r="AF226" s="17"/>
      <c r="AG226" s="17"/>
      <c r="AH226" s="18">
        <f>W226</f>
        <v>0</v>
      </c>
      <c r="AI226" s="19">
        <f>IF(AH$228=0,0,AH226/AH$228)</f>
        <v>0</v>
      </c>
      <c r="AK226" s="17"/>
      <c r="AL226" s="17"/>
      <c r="AM226" s="17"/>
      <c r="AN226" s="18" t="e">
        <f>#REF!</f>
        <v>#REF!</v>
      </c>
      <c r="AO226" s="19" t="e">
        <f>IF(AN$228=0,0,AN226/AN$228)</f>
        <v>#REF!</v>
      </c>
      <c r="AQ226" s="17"/>
      <c r="AR226" s="17"/>
      <c r="AS226" s="17"/>
      <c r="AT226" s="18"/>
      <c r="AU226" s="19"/>
      <c r="AW226" s="17"/>
      <c r="AX226" s="17"/>
      <c r="AY226" s="17"/>
      <c r="AZ226" s="18">
        <f>X226</f>
        <v>0</v>
      </c>
      <c r="BA226" s="19">
        <f>IF(AZ$228=0,0,AZ226/AZ$228)</f>
        <v>0</v>
      </c>
    </row>
    <row r="227" spans="1:53" ht="17.100000000000001" customHeight="1" x14ac:dyDescent="0.25">
      <c r="A227" s="137"/>
      <c r="B227" s="137"/>
      <c r="C227" s="40"/>
      <c r="D227" s="74" t="s">
        <v>644</v>
      </c>
      <c r="E227" s="542" t="s">
        <v>9</v>
      </c>
      <c r="F227" s="75"/>
      <c r="G227" s="75"/>
      <c r="H227" s="540"/>
      <c r="I227" s="229"/>
      <c r="J227" s="111"/>
      <c r="K227" s="111"/>
      <c r="L227" s="111"/>
      <c r="M227" s="111"/>
      <c r="N227" s="61"/>
      <c r="O227" s="61"/>
      <c r="P227" s="61"/>
      <c r="Q227" s="111"/>
      <c r="R227" s="111"/>
      <c r="S227" s="111"/>
      <c r="T227" s="111"/>
      <c r="U227" s="111"/>
      <c r="V227" s="358"/>
      <c r="W227" s="391">
        <f t="shared" si="279"/>
        <v>0</v>
      </c>
      <c r="X227" s="17">
        <f t="shared" si="280"/>
        <v>0</v>
      </c>
      <c r="Y227" s="18">
        <f>SUM(W227:X227)</f>
        <v>0</v>
      </c>
      <c r="Z227" s="19">
        <f>IF(Y$228=0,0,Y227/Y$228)</f>
        <v>0</v>
      </c>
      <c r="AA227" s="19"/>
      <c r="AB227" s="19"/>
      <c r="AC227" s="20"/>
      <c r="AE227" s="17"/>
      <c r="AF227" s="17"/>
      <c r="AG227" s="17"/>
      <c r="AH227" s="18">
        <f>W227</f>
        <v>0</v>
      </c>
      <c r="AI227" s="19">
        <f>IF(AH$228=0,0,AH227/AH$228)</f>
        <v>0</v>
      </c>
      <c r="AK227" s="17"/>
      <c r="AL227" s="17"/>
      <c r="AM227" s="17"/>
      <c r="AN227" s="18" t="e">
        <f>#REF!</f>
        <v>#REF!</v>
      </c>
      <c r="AO227" s="19" t="e">
        <f>IF(AN$228=0,0,AN227/AN$228)</f>
        <v>#REF!</v>
      </c>
      <c r="AQ227" s="17"/>
      <c r="AR227" s="17"/>
      <c r="AS227" s="17"/>
      <c r="AT227" s="18"/>
      <c r="AU227" s="19"/>
      <c r="AW227" s="17"/>
      <c r="AX227" s="17"/>
      <c r="AY227" s="17"/>
      <c r="AZ227" s="18">
        <f>X227</f>
        <v>0</v>
      </c>
      <c r="BA227" s="19">
        <f>IF(AZ$228=0,0,AZ227/AZ$228)</f>
        <v>0</v>
      </c>
    </row>
    <row r="228" spans="1:53" ht="17.100000000000001" customHeight="1" x14ac:dyDescent="0.25">
      <c r="A228" s="137"/>
      <c r="B228" s="137"/>
      <c r="C228" s="77"/>
      <c r="D228" s="144"/>
      <c r="E228" s="144"/>
      <c r="F228" s="145"/>
      <c r="G228" s="145"/>
      <c r="H228" s="119"/>
      <c r="I228" s="236"/>
      <c r="J228" s="64"/>
      <c r="K228" s="80"/>
      <c r="L228" s="81"/>
      <c r="M228" s="81"/>
      <c r="N228" s="81"/>
      <c r="O228" s="81"/>
      <c r="P228" s="81"/>
      <c r="Q228" s="81"/>
      <c r="R228" s="81"/>
      <c r="S228" s="81"/>
      <c r="T228" s="81"/>
      <c r="U228" s="81"/>
      <c r="V228" s="356"/>
      <c r="W228" s="381">
        <f>SUM(W226:W227)</f>
        <v>0</v>
      </c>
      <c r="X228" s="82">
        <f t="shared" ref="X228:Y228" si="281">SUM(X226:X227)</f>
        <v>0</v>
      </c>
      <c r="Y228" s="82">
        <f t="shared" si="281"/>
        <v>0</v>
      </c>
      <c r="Z228" s="205">
        <f>IF(Y$228=0,0,Y228/Y$228)</f>
        <v>0</v>
      </c>
      <c r="AA228" s="205"/>
      <c r="AB228" s="205"/>
      <c r="AC228" s="83"/>
      <c r="AE228" s="80"/>
      <c r="AF228" s="80"/>
      <c r="AG228" s="81"/>
      <c r="AH228" s="82">
        <f>SUM(AH226:AH227)</f>
        <v>0</v>
      </c>
      <c r="AI228" s="66">
        <f>IF(AH$228=0,0,AH228/AH$228)</f>
        <v>0</v>
      </c>
      <c r="AK228" s="80"/>
      <c r="AL228" s="80"/>
      <c r="AM228" s="81"/>
      <c r="AN228" s="82" t="e">
        <f>SUM(AN226:AN227)</f>
        <v>#REF!</v>
      </c>
      <c r="AO228" s="66" t="e">
        <f>IF(AN$228=0,0,AN228/AN$228)</f>
        <v>#REF!</v>
      </c>
      <c r="AQ228" s="80"/>
      <c r="AR228" s="80"/>
      <c r="AS228" s="81"/>
      <c r="AT228" s="82"/>
      <c r="AU228" s="66"/>
      <c r="AW228" s="80"/>
      <c r="AX228" s="80"/>
      <c r="AY228" s="81"/>
      <c r="AZ228" s="82">
        <f>SUM(AZ226:AZ227)</f>
        <v>0</v>
      </c>
      <c r="BA228" s="66">
        <f>IF(AZ$228=0,0,AZ228/AZ$228)</f>
        <v>0</v>
      </c>
    </row>
    <row r="229" spans="1:53" s="117" customFormat="1" ht="17.100000000000001" customHeight="1" x14ac:dyDescent="0.25">
      <c r="A229" s="68"/>
      <c r="B229" s="119"/>
      <c r="C229" s="540"/>
      <c r="D229" s="261"/>
      <c r="E229" s="261"/>
      <c r="F229" s="68"/>
      <c r="G229" s="68"/>
      <c r="H229" s="119"/>
      <c r="I229" s="138"/>
      <c r="J229" s="17" t="str">
        <f>IF(J228=J$15,"OK","NOK")</f>
        <v>OK</v>
      </c>
      <c r="K229" s="17" t="str">
        <f t="shared" ref="K229:L229" si="282">IF(K228=K$15,"OK","NOK")</f>
        <v>OK</v>
      </c>
      <c r="L229" s="17" t="str">
        <f t="shared" si="282"/>
        <v>OK</v>
      </c>
      <c r="M229" s="17"/>
      <c r="N229" s="17"/>
      <c r="O229" s="17"/>
      <c r="P229" s="17"/>
      <c r="Q229" s="17"/>
      <c r="R229" s="17"/>
      <c r="S229" s="17"/>
      <c r="T229" s="17"/>
      <c r="U229" s="17"/>
      <c r="V229" s="359"/>
      <c r="W229" s="382"/>
      <c r="X229" s="539"/>
      <c r="Y229" s="539"/>
      <c r="Z229" s="201"/>
      <c r="AA229" s="201"/>
      <c r="AB229" s="201"/>
      <c r="AC229" s="84"/>
      <c r="AE229" s="46"/>
      <c r="AF229" s="46"/>
      <c r="AG229" s="17"/>
      <c r="AH229" s="539"/>
      <c r="AI229" s="91"/>
      <c r="AK229" s="46"/>
      <c r="AL229" s="46"/>
      <c r="AM229" s="17"/>
      <c r="AN229" s="539"/>
      <c r="AO229" s="91"/>
      <c r="AQ229" s="46"/>
      <c r="AR229" s="46"/>
      <c r="AS229" s="17"/>
      <c r="AT229" s="539"/>
      <c r="AU229" s="91"/>
      <c r="AW229" s="46"/>
      <c r="AX229" s="46"/>
      <c r="AY229" s="17"/>
      <c r="AZ229" s="539"/>
      <c r="BA229" s="91"/>
    </row>
    <row r="230" spans="1:53" ht="17.100000000000001" customHeight="1" x14ac:dyDescent="0.25">
      <c r="A230" s="68"/>
      <c r="B230" s="40"/>
      <c r="C230" s="74" t="s">
        <v>645</v>
      </c>
      <c r="D230" s="147" t="s">
        <v>524</v>
      </c>
      <c r="E230" s="105"/>
      <c r="F230" s="105"/>
      <c r="G230" s="105"/>
      <c r="H230" s="243">
        <v>136</v>
      </c>
      <c r="J230" s="111"/>
      <c r="K230" s="111"/>
      <c r="L230" s="111"/>
      <c r="M230" s="111"/>
      <c r="N230" s="111"/>
      <c r="O230" s="111"/>
      <c r="P230" s="111"/>
      <c r="Q230" s="111"/>
      <c r="R230" s="111"/>
      <c r="S230" s="111"/>
      <c r="T230" s="111"/>
      <c r="U230" s="111"/>
      <c r="V230" s="358"/>
      <c r="W230" s="380"/>
      <c r="X230" s="111"/>
      <c r="Y230" s="112"/>
      <c r="Z230" s="113"/>
      <c r="AA230" s="113"/>
      <c r="AB230" s="113"/>
      <c r="AC230" s="113"/>
      <c r="AE230" s="71"/>
      <c r="AF230" s="71"/>
      <c r="AG230" s="71"/>
      <c r="AH230" s="72"/>
      <c r="AI230" s="73"/>
      <c r="AK230" s="71"/>
      <c r="AL230" s="71"/>
      <c r="AM230" s="71"/>
      <c r="AN230" s="72"/>
      <c r="AO230" s="73"/>
      <c r="AQ230" s="71"/>
      <c r="AR230" s="71"/>
      <c r="AS230" s="71"/>
      <c r="AT230" s="72"/>
      <c r="AU230" s="73"/>
      <c r="AW230" s="71"/>
      <c r="AX230" s="71"/>
      <c r="AY230" s="71"/>
      <c r="AZ230" s="72"/>
      <c r="BA230" s="73"/>
    </row>
    <row r="231" spans="1:53" ht="17.100000000000001" customHeight="1" x14ac:dyDescent="0.25">
      <c r="A231" s="40"/>
      <c r="B231" s="40"/>
      <c r="C231" s="137"/>
      <c r="D231" s="74" t="s">
        <v>646</v>
      </c>
      <c r="E231" s="542" t="s">
        <v>523</v>
      </c>
      <c r="F231" s="75"/>
      <c r="G231" s="75"/>
      <c r="H231" s="540"/>
      <c r="I231" s="229"/>
      <c r="J231" s="581"/>
      <c r="K231" s="581"/>
      <c r="L231" s="582"/>
      <c r="M231" s="17">
        <f t="shared" ref="M231:M235" si="283">SUM(J231:L231)</f>
        <v>0</v>
      </c>
      <c r="N231" s="111"/>
      <c r="O231" s="111"/>
      <c r="P231" s="111"/>
      <c r="Q231" s="111"/>
      <c r="R231" s="111"/>
      <c r="S231" s="111"/>
      <c r="T231" s="111"/>
      <c r="U231" s="111"/>
      <c r="V231" s="358"/>
      <c r="W231" s="391">
        <f t="shared" ref="W231:W235" si="284">J231+K231+N231+Q231+T231</f>
        <v>0</v>
      </c>
      <c r="X231" s="17">
        <f t="shared" ref="X231:X235" si="285">L231+O231+R231+U231</f>
        <v>0</v>
      </c>
      <c r="Y231" s="18">
        <f>SUM(W231:X231)</f>
        <v>0</v>
      </c>
      <c r="Z231" s="19">
        <f>IF(Y$236=0,0,Y231/Y$236)</f>
        <v>0</v>
      </c>
      <c r="AA231" s="19"/>
      <c r="AB231" s="19"/>
      <c r="AC231" s="84"/>
      <c r="AE231" s="17"/>
      <c r="AF231" s="17"/>
      <c r="AG231" s="17"/>
      <c r="AH231" s="18">
        <f t="shared" ref="AH231:AH235" si="286">J231</f>
        <v>0</v>
      </c>
      <c r="AI231" s="19">
        <f>IF(AH$236=0,0,AH231/AH$236)</f>
        <v>0</v>
      </c>
      <c r="AK231" s="17"/>
      <c r="AL231" s="17"/>
      <c r="AM231" s="17"/>
      <c r="AN231" s="18">
        <f t="shared" ref="AN231:AN235" si="287">K231</f>
        <v>0</v>
      </c>
      <c r="AO231" s="19">
        <f>IF(AN$236=0,0,AN231/AN$236)</f>
        <v>0</v>
      </c>
      <c r="AQ231" s="17"/>
      <c r="AR231" s="17"/>
      <c r="AS231" s="17"/>
      <c r="AT231" s="18">
        <f t="shared" ref="AT231:AT235" si="288">W231</f>
        <v>0</v>
      </c>
      <c r="AU231" s="19">
        <f>IF(AT$236=0,0,AT231/AT$236)</f>
        <v>0</v>
      </c>
      <c r="AW231" s="17"/>
      <c r="AX231" s="17"/>
      <c r="AY231" s="17"/>
      <c r="AZ231" s="18">
        <f t="shared" ref="AZ231:AZ235" si="289">X231</f>
        <v>0</v>
      </c>
      <c r="BA231" s="19">
        <f>IF(AZ$236=0,0,AZ231/AZ$236)</f>
        <v>0</v>
      </c>
    </row>
    <row r="232" spans="1:53" ht="17.100000000000001" customHeight="1" x14ac:dyDescent="0.25">
      <c r="A232" s="40"/>
      <c r="B232" s="248"/>
      <c r="C232" s="251"/>
      <c r="D232" s="74" t="s">
        <v>647</v>
      </c>
      <c r="E232" s="542" t="s">
        <v>525</v>
      </c>
      <c r="F232" s="75"/>
      <c r="G232" s="75"/>
      <c r="H232" s="540"/>
      <c r="I232" s="229"/>
      <c r="J232" s="583"/>
      <c r="K232" s="583"/>
      <c r="L232" s="584"/>
      <c r="M232" s="17">
        <f t="shared" si="283"/>
        <v>0</v>
      </c>
      <c r="N232" s="111"/>
      <c r="O232" s="111"/>
      <c r="P232" s="111"/>
      <c r="Q232" s="111"/>
      <c r="R232" s="111"/>
      <c r="S232" s="111"/>
      <c r="T232" s="111"/>
      <c r="U232" s="111"/>
      <c r="V232" s="358"/>
      <c r="W232" s="391">
        <f t="shared" si="284"/>
        <v>0</v>
      </c>
      <c r="X232" s="17">
        <f t="shared" si="285"/>
        <v>0</v>
      </c>
      <c r="Y232" s="18">
        <f>SUM(W232:X232)</f>
        <v>0</v>
      </c>
      <c r="Z232" s="19">
        <f t="shared" ref="Z232:Z236" si="290">IF(Y$236=0,0,Y232/Y$236)</f>
        <v>0</v>
      </c>
      <c r="AA232" s="19"/>
      <c r="AB232" s="19"/>
      <c r="AC232" s="84"/>
      <c r="AE232" s="17"/>
      <c r="AF232" s="17"/>
      <c r="AG232" s="17"/>
      <c r="AH232" s="18">
        <f t="shared" si="286"/>
        <v>0</v>
      </c>
      <c r="AI232" s="19">
        <f t="shared" ref="AI232:AI236" si="291">IF(AH$236=0,0,AH232/AH$236)</f>
        <v>0</v>
      </c>
      <c r="AK232" s="17"/>
      <c r="AL232" s="17"/>
      <c r="AM232" s="17"/>
      <c r="AN232" s="18">
        <f t="shared" si="287"/>
        <v>0</v>
      </c>
      <c r="AO232" s="19">
        <f t="shared" ref="AO232:AO236" si="292">IF(AN$236=0,0,AN232/AN$236)</f>
        <v>0</v>
      </c>
      <c r="AQ232" s="17"/>
      <c r="AR232" s="17"/>
      <c r="AS232" s="17"/>
      <c r="AT232" s="18">
        <f t="shared" si="288"/>
        <v>0</v>
      </c>
      <c r="AU232" s="19">
        <f t="shared" ref="AU232:AU236" si="293">IF(AT$236=0,0,AT232/AT$236)</f>
        <v>0</v>
      </c>
      <c r="AW232" s="17"/>
      <c r="AX232" s="17"/>
      <c r="AY232" s="17"/>
      <c r="AZ232" s="18">
        <f t="shared" si="289"/>
        <v>0</v>
      </c>
      <c r="BA232" s="19">
        <f t="shared" ref="BA232:BA236" si="294">IF(AZ$236=0,0,AZ232/AZ$236)</f>
        <v>0</v>
      </c>
    </row>
    <row r="233" spans="1:53" ht="17.100000000000001" customHeight="1" x14ac:dyDescent="0.25">
      <c r="A233" s="175"/>
      <c r="B233" s="248"/>
      <c r="C233" s="222"/>
      <c r="D233" s="74" t="s">
        <v>648</v>
      </c>
      <c r="E233" s="542" t="s">
        <v>526</v>
      </c>
      <c r="F233" s="151"/>
      <c r="G233" s="151"/>
      <c r="H233" s="119"/>
      <c r="I233" s="138"/>
      <c r="J233" s="581"/>
      <c r="K233" s="581"/>
      <c r="L233" s="582"/>
      <c r="M233" s="17">
        <f t="shared" si="283"/>
        <v>0</v>
      </c>
      <c r="N233" s="111"/>
      <c r="O233" s="111"/>
      <c r="P233" s="111"/>
      <c r="Q233" s="111"/>
      <c r="R233" s="111"/>
      <c r="S233" s="111"/>
      <c r="T233" s="111"/>
      <c r="U233" s="111"/>
      <c r="V233" s="358"/>
      <c r="W233" s="391">
        <f t="shared" si="284"/>
        <v>0</v>
      </c>
      <c r="X233" s="17">
        <f t="shared" si="285"/>
        <v>0</v>
      </c>
      <c r="Y233" s="18">
        <f>SUM(W233:X233)</f>
        <v>0</v>
      </c>
      <c r="Z233" s="19">
        <f t="shared" si="290"/>
        <v>0</v>
      </c>
      <c r="AA233" s="19"/>
      <c r="AB233" s="19"/>
      <c r="AC233" s="84"/>
      <c r="AE233" s="17"/>
      <c r="AF233" s="17"/>
      <c r="AG233" s="17"/>
      <c r="AH233" s="18">
        <f t="shared" si="286"/>
        <v>0</v>
      </c>
      <c r="AI233" s="19">
        <f t="shared" si="291"/>
        <v>0</v>
      </c>
      <c r="AK233" s="17"/>
      <c r="AL233" s="17"/>
      <c r="AM233" s="17"/>
      <c r="AN233" s="18">
        <f t="shared" si="287"/>
        <v>0</v>
      </c>
      <c r="AO233" s="19">
        <f t="shared" si="292"/>
        <v>0</v>
      </c>
      <c r="AQ233" s="17"/>
      <c r="AR233" s="17"/>
      <c r="AS233" s="17"/>
      <c r="AT233" s="18">
        <f t="shared" si="288"/>
        <v>0</v>
      </c>
      <c r="AU233" s="19">
        <f t="shared" si="293"/>
        <v>0</v>
      </c>
      <c r="AW233" s="17"/>
      <c r="AX233" s="17"/>
      <c r="AY233" s="17"/>
      <c r="AZ233" s="18">
        <f t="shared" si="289"/>
        <v>0</v>
      </c>
      <c r="BA233" s="19">
        <f t="shared" si="294"/>
        <v>0</v>
      </c>
    </row>
    <row r="234" spans="1:53" ht="17.100000000000001" customHeight="1" x14ac:dyDescent="0.25">
      <c r="A234" s="68"/>
      <c r="B234" s="249"/>
      <c r="C234" s="157"/>
      <c r="D234" s="74" t="s">
        <v>649</v>
      </c>
      <c r="E234" s="542" t="s">
        <v>527</v>
      </c>
      <c r="F234" s="105"/>
      <c r="G234" s="105"/>
      <c r="H234" s="119"/>
      <c r="J234" s="583"/>
      <c r="K234" s="583"/>
      <c r="L234" s="584"/>
      <c r="M234" s="17">
        <f t="shared" si="283"/>
        <v>0</v>
      </c>
      <c r="N234" s="111"/>
      <c r="O234" s="111"/>
      <c r="P234" s="111"/>
      <c r="Q234" s="111"/>
      <c r="R234" s="111"/>
      <c r="S234" s="111"/>
      <c r="T234" s="111"/>
      <c r="U234" s="111"/>
      <c r="V234" s="358"/>
      <c r="W234" s="391">
        <f t="shared" si="284"/>
        <v>0</v>
      </c>
      <c r="X234" s="17">
        <f t="shared" si="285"/>
        <v>0</v>
      </c>
      <c r="Y234" s="18">
        <f>SUM(W234:X234)</f>
        <v>0</v>
      </c>
      <c r="Z234" s="19">
        <f t="shared" si="290"/>
        <v>0</v>
      </c>
      <c r="AA234" s="19"/>
      <c r="AB234" s="19"/>
      <c r="AC234" s="84"/>
      <c r="AE234" s="17"/>
      <c r="AF234" s="17"/>
      <c r="AG234" s="17"/>
      <c r="AH234" s="18">
        <f t="shared" si="286"/>
        <v>0</v>
      </c>
      <c r="AI234" s="19">
        <f t="shared" si="291"/>
        <v>0</v>
      </c>
      <c r="AK234" s="17"/>
      <c r="AL234" s="17"/>
      <c r="AM234" s="17"/>
      <c r="AN234" s="18">
        <f t="shared" si="287"/>
        <v>0</v>
      </c>
      <c r="AO234" s="19">
        <f t="shared" si="292"/>
        <v>0</v>
      </c>
      <c r="AQ234" s="17"/>
      <c r="AR234" s="17"/>
      <c r="AS234" s="17"/>
      <c r="AT234" s="18">
        <f t="shared" si="288"/>
        <v>0</v>
      </c>
      <c r="AU234" s="19">
        <f t="shared" si="293"/>
        <v>0</v>
      </c>
      <c r="AW234" s="17"/>
      <c r="AX234" s="17"/>
      <c r="AY234" s="17"/>
      <c r="AZ234" s="18">
        <f t="shared" si="289"/>
        <v>0</v>
      </c>
      <c r="BA234" s="19">
        <f t="shared" si="294"/>
        <v>0</v>
      </c>
    </row>
    <row r="235" spans="1:53" ht="17.100000000000001" customHeight="1" x14ac:dyDescent="0.25">
      <c r="A235" s="40"/>
      <c r="B235" s="248"/>
      <c r="C235" s="250"/>
      <c r="D235" s="74" t="s">
        <v>650</v>
      </c>
      <c r="E235" s="542" t="s">
        <v>528</v>
      </c>
      <c r="F235" s="75"/>
      <c r="G235" s="75"/>
      <c r="H235" s="540"/>
      <c r="I235" s="229"/>
      <c r="J235" s="581"/>
      <c r="K235" s="581"/>
      <c r="L235" s="582"/>
      <c r="M235" s="17">
        <f t="shared" si="283"/>
        <v>0</v>
      </c>
      <c r="N235" s="111"/>
      <c r="O235" s="111"/>
      <c r="P235" s="111"/>
      <c r="Q235" s="111"/>
      <c r="R235" s="111"/>
      <c r="S235" s="111"/>
      <c r="T235" s="111"/>
      <c r="U235" s="111"/>
      <c r="V235" s="358"/>
      <c r="W235" s="391">
        <f t="shared" si="284"/>
        <v>0</v>
      </c>
      <c r="X235" s="17">
        <f t="shared" si="285"/>
        <v>0</v>
      </c>
      <c r="Y235" s="18">
        <f>SUM(W235:X235)</f>
        <v>0</v>
      </c>
      <c r="Z235" s="19">
        <f t="shared" si="290"/>
        <v>0</v>
      </c>
      <c r="AA235" s="19"/>
      <c r="AB235" s="19"/>
      <c r="AC235" s="84"/>
      <c r="AE235" s="17"/>
      <c r="AF235" s="17"/>
      <c r="AG235" s="17"/>
      <c r="AH235" s="18">
        <f t="shared" si="286"/>
        <v>0</v>
      </c>
      <c r="AI235" s="19">
        <f t="shared" si="291"/>
        <v>0</v>
      </c>
      <c r="AK235" s="17"/>
      <c r="AL235" s="17"/>
      <c r="AM235" s="17"/>
      <c r="AN235" s="18">
        <f t="shared" si="287"/>
        <v>0</v>
      </c>
      <c r="AO235" s="19">
        <f t="shared" si="292"/>
        <v>0</v>
      </c>
      <c r="AQ235" s="17"/>
      <c r="AR235" s="17"/>
      <c r="AS235" s="17"/>
      <c r="AT235" s="18">
        <f t="shared" si="288"/>
        <v>0</v>
      </c>
      <c r="AU235" s="19">
        <f t="shared" si="293"/>
        <v>0</v>
      </c>
      <c r="AW235" s="17"/>
      <c r="AX235" s="17"/>
      <c r="AY235" s="17"/>
      <c r="AZ235" s="18">
        <f t="shared" si="289"/>
        <v>0</v>
      </c>
      <c r="BA235" s="19">
        <f t="shared" si="294"/>
        <v>0</v>
      </c>
    </row>
    <row r="236" spans="1:53" ht="17.100000000000001" customHeight="1" x14ac:dyDescent="0.25">
      <c r="A236" s="40"/>
      <c r="B236" s="40"/>
      <c r="C236" s="77"/>
      <c r="D236" s="144"/>
      <c r="E236" s="144"/>
      <c r="F236" s="145"/>
      <c r="G236" s="145"/>
      <c r="H236" s="119"/>
      <c r="I236" s="236"/>
      <c r="J236" s="64">
        <f>SUM(J231:J235)</f>
        <v>0</v>
      </c>
      <c r="K236" s="64">
        <f t="shared" ref="K236:M236" si="295">SUM(K231:K235)</f>
        <v>0</v>
      </c>
      <c r="L236" s="64">
        <f t="shared" si="295"/>
        <v>0</v>
      </c>
      <c r="M236" s="64">
        <f t="shared" si="295"/>
        <v>0</v>
      </c>
      <c r="N236" s="81"/>
      <c r="O236" s="81"/>
      <c r="P236" s="81"/>
      <c r="Q236" s="81"/>
      <c r="R236" s="81"/>
      <c r="S236" s="81"/>
      <c r="T236" s="81"/>
      <c r="U236" s="81"/>
      <c r="V236" s="356"/>
      <c r="W236" s="381">
        <f>SUM(W231:W235)</f>
        <v>0</v>
      </c>
      <c r="X236" s="82">
        <f t="shared" ref="X236:Y236" si="296">SUM(X231:X235)</f>
        <v>0</v>
      </c>
      <c r="Y236" s="82">
        <f t="shared" si="296"/>
        <v>0</v>
      </c>
      <c r="Z236" s="205">
        <f t="shared" si="290"/>
        <v>0</v>
      </c>
      <c r="AA236" s="205"/>
      <c r="AB236" s="205"/>
      <c r="AC236" s="83"/>
      <c r="AE236" s="80"/>
      <c r="AF236" s="80"/>
      <c r="AG236" s="81"/>
      <c r="AH236" s="82">
        <f>SUM(AH231:AH235)</f>
        <v>0</v>
      </c>
      <c r="AI236" s="66">
        <f t="shared" si="291"/>
        <v>0</v>
      </c>
      <c r="AK236" s="80"/>
      <c r="AL236" s="80"/>
      <c r="AM236" s="81"/>
      <c r="AN236" s="82">
        <f>SUM(AN231:AN235)</f>
        <v>0</v>
      </c>
      <c r="AO236" s="66">
        <f t="shared" si="292"/>
        <v>0</v>
      </c>
      <c r="AQ236" s="80"/>
      <c r="AR236" s="80"/>
      <c r="AS236" s="81"/>
      <c r="AT236" s="82">
        <f>SUM(AT231:AT235)</f>
        <v>0</v>
      </c>
      <c r="AU236" s="66">
        <f t="shared" si="293"/>
        <v>0</v>
      </c>
      <c r="AW236" s="80"/>
      <c r="AX236" s="80"/>
      <c r="AY236" s="81"/>
      <c r="AZ236" s="82">
        <f>SUM(AZ231:AZ235)</f>
        <v>0</v>
      </c>
      <c r="BA236" s="66">
        <f t="shared" si="294"/>
        <v>0</v>
      </c>
    </row>
    <row r="237" spans="1:53" s="117" customFormat="1" ht="17.100000000000001" customHeight="1" x14ac:dyDescent="0.25">
      <c r="A237" s="68"/>
      <c r="B237" s="119"/>
      <c r="C237" s="540"/>
      <c r="D237" s="261"/>
      <c r="E237" s="261"/>
      <c r="F237" s="68"/>
      <c r="G237" s="68"/>
      <c r="H237" s="119"/>
      <c r="I237" s="138"/>
      <c r="J237" s="17" t="str">
        <f>IF(J236=J$15,"OK","NOK")</f>
        <v>OK</v>
      </c>
      <c r="K237" s="17" t="str">
        <f t="shared" ref="K237:L237" si="297">IF(K236=K$15,"OK","NOK")</f>
        <v>OK</v>
      </c>
      <c r="L237" s="17" t="str">
        <f t="shared" si="297"/>
        <v>OK</v>
      </c>
      <c r="M237" s="17"/>
      <c r="N237" s="17"/>
      <c r="O237" s="17"/>
      <c r="P237" s="17"/>
      <c r="Q237" s="17"/>
      <c r="R237" s="17"/>
      <c r="S237" s="17"/>
      <c r="T237" s="17"/>
      <c r="U237" s="17"/>
      <c r="V237" s="359"/>
      <c r="W237" s="382"/>
      <c r="X237" s="539"/>
      <c r="Y237" s="539"/>
      <c r="Z237" s="201"/>
      <c r="AA237" s="201"/>
      <c r="AB237" s="201"/>
      <c r="AC237" s="84"/>
      <c r="AE237" s="46"/>
      <c r="AF237" s="46"/>
      <c r="AG237" s="17"/>
      <c r="AH237" s="539"/>
      <c r="AI237" s="91"/>
      <c r="AK237" s="46"/>
      <c r="AL237" s="46"/>
      <c r="AM237" s="17"/>
      <c r="AN237" s="539"/>
      <c r="AO237" s="91"/>
      <c r="AQ237" s="46"/>
      <c r="AR237" s="46"/>
      <c r="AS237" s="17"/>
      <c r="AT237" s="539"/>
      <c r="AU237" s="91"/>
      <c r="AW237" s="46"/>
      <c r="AX237" s="46"/>
      <c r="AY237" s="17"/>
      <c r="AZ237" s="539"/>
      <c r="BA237" s="91"/>
    </row>
    <row r="238" spans="1:53" ht="17.100000000000001" customHeight="1" x14ac:dyDescent="0.25">
      <c r="A238" s="68"/>
      <c r="B238" s="40"/>
      <c r="C238" s="74" t="s">
        <v>651</v>
      </c>
      <c r="D238" s="147" t="s">
        <v>529</v>
      </c>
      <c r="E238" s="105"/>
      <c r="F238" s="105"/>
      <c r="G238" s="105"/>
      <c r="H238" s="243">
        <v>145</v>
      </c>
      <c r="J238" s="111"/>
      <c r="K238" s="111"/>
      <c r="L238" s="111"/>
      <c r="M238" s="111"/>
      <c r="N238" s="111"/>
      <c r="O238" s="111"/>
      <c r="P238" s="111"/>
      <c r="Q238" s="111"/>
      <c r="R238" s="111"/>
      <c r="S238" s="111"/>
      <c r="T238" s="111"/>
      <c r="U238" s="111"/>
      <c r="V238" s="358"/>
      <c r="W238" s="380"/>
      <c r="X238" s="111"/>
      <c r="Y238" s="112"/>
      <c r="Z238" s="113"/>
      <c r="AA238" s="113"/>
      <c r="AB238" s="113"/>
      <c r="AC238" s="113"/>
      <c r="AE238" s="71"/>
      <c r="AF238" s="71"/>
      <c r="AG238" s="71"/>
      <c r="AH238" s="72"/>
      <c r="AI238" s="73"/>
      <c r="AK238" s="71"/>
      <c r="AL238" s="71"/>
      <c r="AM238" s="71"/>
      <c r="AN238" s="72"/>
      <c r="AO238" s="73"/>
      <c r="AQ238" s="71"/>
      <c r="AR238" s="71"/>
      <c r="AS238" s="71"/>
      <c r="AT238" s="72"/>
      <c r="AU238" s="73"/>
      <c r="AW238" s="71"/>
      <c r="AX238" s="71"/>
      <c r="AY238" s="71"/>
      <c r="AZ238" s="72"/>
      <c r="BA238" s="73"/>
    </row>
    <row r="239" spans="1:53" ht="17.100000000000001" customHeight="1" x14ac:dyDescent="0.25">
      <c r="A239" s="40"/>
      <c r="B239" s="40"/>
      <c r="C239" s="137"/>
      <c r="D239" s="74" t="s">
        <v>652</v>
      </c>
      <c r="E239" s="542" t="s">
        <v>523</v>
      </c>
      <c r="F239" s="75"/>
      <c r="G239" s="75"/>
      <c r="H239" s="540"/>
      <c r="I239" s="229"/>
      <c r="J239" s="581"/>
      <c r="K239" s="581"/>
      <c r="L239" s="582"/>
      <c r="M239" s="17">
        <f t="shared" ref="M239:M243" si="298">SUM(J239:L239)</f>
        <v>0</v>
      </c>
      <c r="N239" s="111"/>
      <c r="O239" s="111"/>
      <c r="P239" s="111"/>
      <c r="Q239" s="111"/>
      <c r="R239" s="111"/>
      <c r="S239" s="111"/>
      <c r="T239" s="111"/>
      <c r="U239" s="111"/>
      <c r="V239" s="358"/>
      <c r="W239" s="391">
        <f t="shared" ref="W239:W243" si="299">J239+K239+N239+Q239+T239</f>
        <v>0</v>
      </c>
      <c r="X239" s="17">
        <f t="shared" ref="X239:X243" si="300">L239+O239+R239+U239</f>
        <v>0</v>
      </c>
      <c r="Y239" s="18">
        <f>SUM(W239:X239)</f>
        <v>0</v>
      </c>
      <c r="Z239" s="19">
        <f>IF(Y$244=0,0,Y239/Y$244)</f>
        <v>0</v>
      </c>
      <c r="AA239" s="19"/>
      <c r="AB239" s="19"/>
      <c r="AC239" s="84"/>
      <c r="AE239" s="17"/>
      <c r="AF239" s="17"/>
      <c r="AG239" s="17"/>
      <c r="AH239" s="18">
        <f t="shared" ref="AH239:AH243" si="301">J239</f>
        <v>0</v>
      </c>
      <c r="AI239" s="19">
        <f>IF(AH$244=0,0,AH239/AH$244)</f>
        <v>0</v>
      </c>
      <c r="AK239" s="17"/>
      <c r="AL239" s="17"/>
      <c r="AM239" s="17"/>
      <c r="AN239" s="18">
        <f t="shared" ref="AN239:AN243" si="302">K239</f>
        <v>0</v>
      </c>
      <c r="AO239" s="19">
        <f>IF(AN$244=0,0,AN239/AN$244)</f>
        <v>0</v>
      </c>
      <c r="AQ239" s="17"/>
      <c r="AR239" s="17"/>
      <c r="AS239" s="17"/>
      <c r="AT239" s="18">
        <f t="shared" ref="AT239:AT243" si="303">W239</f>
        <v>0</v>
      </c>
      <c r="AU239" s="19">
        <f>IF(AT$244=0,0,AT239/AT$244)</f>
        <v>0</v>
      </c>
      <c r="AW239" s="17"/>
      <c r="AX239" s="17"/>
      <c r="AY239" s="17"/>
      <c r="AZ239" s="18">
        <f t="shared" ref="AZ239:AZ243" si="304">X239</f>
        <v>0</v>
      </c>
      <c r="BA239" s="19">
        <f>IF(AZ$244=0,0,AZ239/AZ$244)</f>
        <v>0</v>
      </c>
    </row>
    <row r="240" spans="1:53" ht="17.100000000000001" customHeight="1" x14ac:dyDescent="0.25">
      <c r="A240" s="40"/>
      <c r="B240" s="248"/>
      <c r="C240" s="251"/>
      <c r="D240" s="74" t="s">
        <v>653</v>
      </c>
      <c r="E240" s="542" t="s">
        <v>525</v>
      </c>
      <c r="F240" s="75"/>
      <c r="G240" s="75"/>
      <c r="H240" s="540"/>
      <c r="I240" s="229"/>
      <c r="J240" s="583"/>
      <c r="K240" s="583"/>
      <c r="L240" s="584"/>
      <c r="M240" s="17">
        <f t="shared" si="298"/>
        <v>0</v>
      </c>
      <c r="N240" s="111"/>
      <c r="O240" s="111"/>
      <c r="P240" s="111"/>
      <c r="Q240" s="111"/>
      <c r="R240" s="111"/>
      <c r="S240" s="111"/>
      <c r="T240" s="111"/>
      <c r="U240" s="111"/>
      <c r="V240" s="358"/>
      <c r="W240" s="391">
        <f t="shared" si="299"/>
        <v>0</v>
      </c>
      <c r="X240" s="17">
        <f t="shared" si="300"/>
        <v>0</v>
      </c>
      <c r="Y240" s="18">
        <f>SUM(W240:X240)</f>
        <v>0</v>
      </c>
      <c r="Z240" s="19">
        <f t="shared" ref="Z240:Z244" si="305">IF(Y$244=0,0,Y240/Y$244)</f>
        <v>0</v>
      </c>
      <c r="AA240" s="19"/>
      <c r="AB240" s="19"/>
      <c r="AC240" s="84"/>
      <c r="AE240" s="17"/>
      <c r="AF240" s="17"/>
      <c r="AG240" s="17"/>
      <c r="AH240" s="18">
        <f t="shared" si="301"/>
        <v>0</v>
      </c>
      <c r="AI240" s="19">
        <f t="shared" ref="AI240:AI244" si="306">IF(AH$244=0,0,AH240/AH$244)</f>
        <v>0</v>
      </c>
      <c r="AK240" s="17"/>
      <c r="AL240" s="17"/>
      <c r="AM240" s="17"/>
      <c r="AN240" s="18">
        <f t="shared" si="302"/>
        <v>0</v>
      </c>
      <c r="AO240" s="19">
        <f t="shared" ref="AO240:AO244" si="307">IF(AN$244=0,0,AN240/AN$244)</f>
        <v>0</v>
      </c>
      <c r="AQ240" s="17"/>
      <c r="AR240" s="17"/>
      <c r="AS240" s="17"/>
      <c r="AT240" s="18">
        <f t="shared" si="303"/>
        <v>0</v>
      </c>
      <c r="AU240" s="19">
        <f t="shared" ref="AU240:AU244" si="308">IF(AT$244=0,0,AT240/AT$244)</f>
        <v>0</v>
      </c>
      <c r="AW240" s="17"/>
      <c r="AX240" s="17"/>
      <c r="AY240" s="17"/>
      <c r="AZ240" s="18">
        <f t="shared" si="304"/>
        <v>0</v>
      </c>
      <c r="BA240" s="19">
        <f t="shared" ref="BA240:BA244" si="309">IF(AZ$244=0,0,AZ240/AZ$244)</f>
        <v>0</v>
      </c>
    </row>
    <row r="241" spans="1:53" ht="17.100000000000001" customHeight="1" x14ac:dyDescent="0.25">
      <c r="A241" s="175"/>
      <c r="B241" s="248"/>
      <c r="C241" s="222"/>
      <c r="D241" s="74" t="s">
        <v>654</v>
      </c>
      <c r="E241" s="542" t="s">
        <v>526</v>
      </c>
      <c r="F241" s="151"/>
      <c r="G241" s="151"/>
      <c r="H241" s="119"/>
      <c r="I241" s="138"/>
      <c r="J241" s="581"/>
      <c r="K241" s="581"/>
      <c r="L241" s="582"/>
      <c r="M241" s="17">
        <f t="shared" si="298"/>
        <v>0</v>
      </c>
      <c r="N241" s="111"/>
      <c r="O241" s="111"/>
      <c r="P241" s="111"/>
      <c r="Q241" s="111"/>
      <c r="R241" s="111"/>
      <c r="S241" s="111"/>
      <c r="T241" s="111"/>
      <c r="U241" s="111"/>
      <c r="V241" s="358"/>
      <c r="W241" s="391">
        <f t="shared" si="299"/>
        <v>0</v>
      </c>
      <c r="X241" s="17">
        <f t="shared" si="300"/>
        <v>0</v>
      </c>
      <c r="Y241" s="18">
        <f>SUM(W241:X241)</f>
        <v>0</v>
      </c>
      <c r="Z241" s="19">
        <f t="shared" si="305"/>
        <v>0</v>
      </c>
      <c r="AA241" s="19"/>
      <c r="AB241" s="19"/>
      <c r="AC241" s="84"/>
      <c r="AE241" s="17"/>
      <c r="AF241" s="17"/>
      <c r="AG241" s="17"/>
      <c r="AH241" s="18">
        <f t="shared" si="301"/>
        <v>0</v>
      </c>
      <c r="AI241" s="19">
        <f t="shared" si="306"/>
        <v>0</v>
      </c>
      <c r="AK241" s="17"/>
      <c r="AL241" s="17"/>
      <c r="AM241" s="17"/>
      <c r="AN241" s="18">
        <f t="shared" si="302"/>
        <v>0</v>
      </c>
      <c r="AO241" s="19">
        <f t="shared" si="307"/>
        <v>0</v>
      </c>
      <c r="AQ241" s="17"/>
      <c r="AR241" s="17"/>
      <c r="AS241" s="17"/>
      <c r="AT241" s="18">
        <f t="shared" si="303"/>
        <v>0</v>
      </c>
      <c r="AU241" s="19">
        <f t="shared" si="308"/>
        <v>0</v>
      </c>
      <c r="AW241" s="17"/>
      <c r="AX241" s="17"/>
      <c r="AY241" s="17"/>
      <c r="AZ241" s="18">
        <f t="shared" si="304"/>
        <v>0</v>
      </c>
      <c r="BA241" s="19">
        <f t="shared" si="309"/>
        <v>0</v>
      </c>
    </row>
    <row r="242" spans="1:53" ht="17.100000000000001" customHeight="1" x14ac:dyDescent="0.25">
      <c r="A242" s="68"/>
      <c r="B242" s="249"/>
      <c r="C242" s="157"/>
      <c r="D242" s="74" t="s">
        <v>655</v>
      </c>
      <c r="E242" s="542" t="s">
        <v>527</v>
      </c>
      <c r="F242" s="105"/>
      <c r="G242" s="105"/>
      <c r="H242" s="119"/>
      <c r="J242" s="583"/>
      <c r="K242" s="583"/>
      <c r="L242" s="584"/>
      <c r="M242" s="17">
        <f t="shared" si="298"/>
        <v>0</v>
      </c>
      <c r="N242" s="111"/>
      <c r="O242" s="111"/>
      <c r="P242" s="111"/>
      <c r="Q242" s="111"/>
      <c r="R242" s="111"/>
      <c r="S242" s="111"/>
      <c r="T242" s="111"/>
      <c r="U242" s="111"/>
      <c r="V242" s="358"/>
      <c r="W242" s="391">
        <f t="shared" si="299"/>
        <v>0</v>
      </c>
      <c r="X242" s="17">
        <f t="shared" si="300"/>
        <v>0</v>
      </c>
      <c r="Y242" s="18">
        <f>SUM(W242:X242)</f>
        <v>0</v>
      </c>
      <c r="Z242" s="19">
        <f t="shared" si="305"/>
        <v>0</v>
      </c>
      <c r="AA242" s="19"/>
      <c r="AB242" s="19"/>
      <c r="AC242" s="84"/>
      <c r="AE242" s="17"/>
      <c r="AF242" s="17"/>
      <c r="AG242" s="17"/>
      <c r="AH242" s="18">
        <f t="shared" si="301"/>
        <v>0</v>
      </c>
      <c r="AI242" s="19">
        <f t="shared" si="306"/>
        <v>0</v>
      </c>
      <c r="AK242" s="17"/>
      <c r="AL242" s="17"/>
      <c r="AM242" s="17"/>
      <c r="AN242" s="18">
        <f t="shared" si="302"/>
        <v>0</v>
      </c>
      <c r="AO242" s="19">
        <f t="shared" si="307"/>
        <v>0</v>
      </c>
      <c r="AQ242" s="17"/>
      <c r="AR242" s="17"/>
      <c r="AS242" s="17"/>
      <c r="AT242" s="18">
        <f t="shared" si="303"/>
        <v>0</v>
      </c>
      <c r="AU242" s="19">
        <f t="shared" si="308"/>
        <v>0</v>
      </c>
      <c r="AW242" s="17"/>
      <c r="AX242" s="17"/>
      <c r="AY242" s="17"/>
      <c r="AZ242" s="18">
        <f t="shared" si="304"/>
        <v>0</v>
      </c>
      <c r="BA242" s="19">
        <f t="shared" si="309"/>
        <v>0</v>
      </c>
    </row>
    <row r="243" spans="1:53" ht="17.100000000000001" customHeight="1" x14ac:dyDescent="0.25">
      <c r="A243" s="40"/>
      <c r="B243" s="248"/>
      <c r="C243" s="250"/>
      <c r="D243" s="74" t="s">
        <v>656</v>
      </c>
      <c r="E243" s="542" t="s">
        <v>528</v>
      </c>
      <c r="F243" s="75"/>
      <c r="G243" s="75"/>
      <c r="H243" s="540"/>
      <c r="I243" s="229"/>
      <c r="J243" s="581"/>
      <c r="K243" s="581"/>
      <c r="L243" s="582"/>
      <c r="M243" s="17">
        <f t="shared" si="298"/>
        <v>0</v>
      </c>
      <c r="N243" s="111"/>
      <c r="O243" s="111"/>
      <c r="P243" s="111"/>
      <c r="Q243" s="111"/>
      <c r="R243" s="111"/>
      <c r="S243" s="111"/>
      <c r="T243" s="111"/>
      <c r="U243" s="111"/>
      <c r="V243" s="358"/>
      <c r="W243" s="391">
        <f t="shared" si="299"/>
        <v>0</v>
      </c>
      <c r="X243" s="17">
        <f t="shared" si="300"/>
        <v>0</v>
      </c>
      <c r="Y243" s="18">
        <f>SUM(W243:X243)</f>
        <v>0</v>
      </c>
      <c r="Z243" s="19">
        <f t="shared" si="305"/>
        <v>0</v>
      </c>
      <c r="AA243" s="19"/>
      <c r="AB243" s="19"/>
      <c r="AC243" s="84"/>
      <c r="AE243" s="17"/>
      <c r="AF243" s="17"/>
      <c r="AG243" s="17"/>
      <c r="AH243" s="18">
        <f t="shared" si="301"/>
        <v>0</v>
      </c>
      <c r="AI243" s="19">
        <f t="shared" si="306"/>
        <v>0</v>
      </c>
      <c r="AK243" s="17"/>
      <c r="AL243" s="17"/>
      <c r="AM243" s="17"/>
      <c r="AN243" s="18">
        <f t="shared" si="302"/>
        <v>0</v>
      </c>
      <c r="AO243" s="19">
        <f t="shared" si="307"/>
        <v>0</v>
      </c>
      <c r="AQ243" s="17"/>
      <c r="AR243" s="17"/>
      <c r="AS243" s="17"/>
      <c r="AT243" s="18">
        <f t="shared" si="303"/>
        <v>0</v>
      </c>
      <c r="AU243" s="19">
        <f t="shared" si="308"/>
        <v>0</v>
      </c>
      <c r="AW243" s="17"/>
      <c r="AX243" s="17"/>
      <c r="AY243" s="17"/>
      <c r="AZ243" s="18">
        <f t="shared" si="304"/>
        <v>0</v>
      </c>
      <c r="BA243" s="19">
        <f t="shared" si="309"/>
        <v>0</v>
      </c>
    </row>
    <row r="244" spans="1:53" ht="17.100000000000001" customHeight="1" x14ac:dyDescent="0.25">
      <c r="A244" s="40"/>
      <c r="B244" s="40"/>
      <c r="C244" s="77"/>
      <c r="D244" s="144"/>
      <c r="E244" s="144"/>
      <c r="F244" s="145"/>
      <c r="G244" s="145"/>
      <c r="H244" s="119"/>
      <c r="I244" s="236"/>
      <c r="J244" s="64">
        <f>SUM(J239:J243)</f>
        <v>0</v>
      </c>
      <c r="K244" s="64">
        <f t="shared" ref="K244:M244" si="310">SUM(K239:K243)</f>
        <v>0</v>
      </c>
      <c r="L244" s="64">
        <f t="shared" si="310"/>
        <v>0</v>
      </c>
      <c r="M244" s="64">
        <f t="shared" si="310"/>
        <v>0</v>
      </c>
      <c r="N244" s="81"/>
      <c r="O244" s="81"/>
      <c r="P244" s="81"/>
      <c r="Q244" s="81"/>
      <c r="R244" s="81"/>
      <c r="S244" s="81"/>
      <c r="T244" s="81"/>
      <c r="U244" s="81"/>
      <c r="V244" s="356"/>
      <c r="W244" s="381">
        <f>SUM(W239:W243)</f>
        <v>0</v>
      </c>
      <c r="X244" s="82">
        <f t="shared" ref="X244:Y244" si="311">SUM(X239:X243)</f>
        <v>0</v>
      </c>
      <c r="Y244" s="82">
        <f t="shared" si="311"/>
        <v>0</v>
      </c>
      <c r="Z244" s="205">
        <f t="shared" si="305"/>
        <v>0</v>
      </c>
      <c r="AA244" s="205"/>
      <c r="AB244" s="205"/>
      <c r="AC244" s="83"/>
      <c r="AE244" s="80"/>
      <c r="AF244" s="80"/>
      <c r="AG244" s="81"/>
      <c r="AH244" s="82">
        <f>SUM(AH239:AH243)</f>
        <v>0</v>
      </c>
      <c r="AI244" s="66">
        <f t="shared" si="306"/>
        <v>0</v>
      </c>
      <c r="AK244" s="80"/>
      <c r="AL244" s="80"/>
      <c r="AM244" s="81"/>
      <c r="AN244" s="82">
        <f>SUM(AN239:AN243)</f>
        <v>0</v>
      </c>
      <c r="AO244" s="66">
        <f t="shared" si="307"/>
        <v>0</v>
      </c>
      <c r="AQ244" s="80"/>
      <c r="AR244" s="80"/>
      <c r="AS244" s="81"/>
      <c r="AT244" s="82">
        <f>SUM(AT239:AT243)</f>
        <v>0</v>
      </c>
      <c r="AU244" s="66">
        <f t="shared" si="308"/>
        <v>0</v>
      </c>
      <c r="AW244" s="80"/>
      <c r="AX244" s="80"/>
      <c r="AY244" s="81"/>
      <c r="AZ244" s="82">
        <f>SUM(AZ239:AZ243)</f>
        <v>0</v>
      </c>
      <c r="BA244" s="66">
        <f t="shared" si="309"/>
        <v>0</v>
      </c>
    </row>
    <row r="245" spans="1:53" s="117" customFormat="1" ht="17.100000000000001" customHeight="1" x14ac:dyDescent="0.25">
      <c r="A245" s="68"/>
      <c r="B245" s="119"/>
      <c r="C245" s="540"/>
      <c r="D245" s="261"/>
      <c r="E245" s="261"/>
      <c r="F245" s="68"/>
      <c r="G245" s="68"/>
      <c r="H245" s="119"/>
      <c r="I245" s="138"/>
      <c r="J245" s="17" t="str">
        <f>IF(J244=J$15,"OK","NOK")</f>
        <v>OK</v>
      </c>
      <c r="K245" s="17" t="str">
        <f t="shared" ref="K245:L245" si="312">IF(K244=K$15,"OK","NOK")</f>
        <v>OK</v>
      </c>
      <c r="L245" s="17" t="str">
        <f t="shared" si="312"/>
        <v>OK</v>
      </c>
      <c r="M245" s="17"/>
      <c r="N245" s="17"/>
      <c r="O245" s="17"/>
      <c r="P245" s="17"/>
      <c r="Q245" s="17"/>
      <c r="R245" s="17"/>
      <c r="S245" s="17"/>
      <c r="T245" s="17"/>
      <c r="U245" s="17"/>
      <c r="V245" s="359"/>
      <c r="W245" s="382"/>
      <c r="X245" s="539"/>
      <c r="Y245" s="539"/>
      <c r="Z245" s="201"/>
      <c r="AA245" s="201"/>
      <c r="AB245" s="201"/>
      <c r="AC245" s="84"/>
      <c r="AE245" s="46"/>
      <c r="AF245" s="46"/>
      <c r="AG245" s="17"/>
      <c r="AH245" s="539"/>
      <c r="AI245" s="91"/>
      <c r="AK245" s="46"/>
      <c r="AL245" s="46"/>
      <c r="AM245" s="17"/>
      <c r="AN245" s="539"/>
      <c r="AO245" s="91"/>
      <c r="AQ245" s="46"/>
      <c r="AR245" s="46"/>
      <c r="AS245" s="17"/>
      <c r="AT245" s="539"/>
      <c r="AU245" s="91"/>
      <c r="AW245" s="46"/>
      <c r="AX245" s="46"/>
      <c r="AY245" s="17"/>
      <c r="AZ245" s="539"/>
      <c r="BA245" s="91"/>
    </row>
    <row r="246" spans="1:53" ht="17.100000000000001" customHeight="1" x14ac:dyDescent="0.25">
      <c r="A246" s="68"/>
      <c r="B246" s="41" t="s">
        <v>956</v>
      </c>
      <c r="C246" s="69" t="s">
        <v>12</v>
      </c>
      <c r="D246" s="50"/>
      <c r="E246" s="70"/>
      <c r="F246" s="70"/>
      <c r="G246" s="70"/>
      <c r="H246" s="119"/>
      <c r="J246" s="71"/>
      <c r="K246" s="71"/>
      <c r="L246" s="71"/>
      <c r="M246" s="71"/>
      <c r="N246" s="71"/>
      <c r="O246" s="71"/>
      <c r="P246" s="71"/>
      <c r="Q246" s="71"/>
      <c r="R246" s="71"/>
      <c r="S246" s="71"/>
      <c r="T246" s="71"/>
      <c r="U246" s="71"/>
      <c r="V246" s="355"/>
      <c r="W246" s="377"/>
      <c r="X246" s="71"/>
      <c r="Y246" s="72"/>
      <c r="Z246" s="73"/>
      <c r="AA246" s="73"/>
      <c r="AB246" s="73"/>
      <c r="AC246" s="73"/>
      <c r="AE246" s="71"/>
      <c r="AF246" s="71"/>
      <c r="AG246" s="71"/>
      <c r="AH246" s="72"/>
      <c r="AI246" s="73"/>
      <c r="AK246" s="71"/>
      <c r="AL246" s="71"/>
      <c r="AM246" s="71"/>
      <c r="AN246" s="72"/>
      <c r="AO246" s="73"/>
      <c r="AQ246" s="71"/>
      <c r="AR246" s="71"/>
      <c r="AS246" s="71"/>
      <c r="AT246" s="72"/>
      <c r="AU246" s="73"/>
      <c r="AW246" s="71"/>
      <c r="AX246" s="71"/>
      <c r="AY246" s="71"/>
      <c r="AZ246" s="72"/>
      <c r="BA246" s="73"/>
    </row>
    <row r="247" spans="1:53" ht="17.100000000000001" customHeight="1" x14ac:dyDescent="0.25">
      <c r="A247" s="40"/>
      <c r="B247" s="40"/>
      <c r="C247" s="41" t="s">
        <v>957</v>
      </c>
      <c r="D247" s="476" t="s">
        <v>955</v>
      </c>
      <c r="E247" s="322"/>
      <c r="F247" s="301"/>
      <c r="G247" s="301"/>
      <c r="H247" s="119"/>
      <c r="I247" s="236"/>
      <c r="J247" s="87"/>
      <c r="K247" s="87"/>
      <c r="L247" s="71"/>
      <c r="M247" s="71"/>
      <c r="N247" s="71"/>
      <c r="O247" s="71"/>
      <c r="P247" s="71"/>
      <c r="Q247" s="71"/>
      <c r="R247" s="71"/>
      <c r="S247" s="71"/>
      <c r="T247" s="71"/>
      <c r="U247" s="71"/>
      <c r="V247" s="355"/>
      <c r="W247" s="377"/>
      <c r="X247" s="71"/>
      <c r="Y247" s="89"/>
      <c r="Z247" s="90"/>
      <c r="AA247" s="90"/>
      <c r="AB247" s="90"/>
      <c r="AC247" s="73"/>
      <c r="AE247" s="87"/>
      <c r="AF247" s="87"/>
      <c r="AG247" s="71"/>
      <c r="AH247" s="89"/>
      <c r="AI247" s="90"/>
      <c r="AK247" s="87"/>
      <c r="AL247" s="87"/>
      <c r="AM247" s="71"/>
      <c r="AN247" s="89"/>
      <c r="AO247" s="90"/>
      <c r="AQ247" s="87"/>
      <c r="AR247" s="87"/>
      <c r="AS247" s="71"/>
      <c r="AT247" s="89"/>
      <c r="AU247" s="90"/>
      <c r="AW247" s="87"/>
      <c r="AX247" s="87"/>
      <c r="AY247" s="71"/>
      <c r="AZ247" s="89"/>
      <c r="BA247" s="90"/>
    </row>
    <row r="248" spans="1:53" ht="17.100000000000001" customHeight="1" x14ac:dyDescent="0.25">
      <c r="A248" s="40"/>
      <c r="B248" s="40"/>
      <c r="C248" s="119"/>
      <c r="D248" s="153" t="s">
        <v>933</v>
      </c>
      <c r="E248" s="142"/>
      <c r="F248" s="143"/>
      <c r="G248" s="143"/>
      <c r="H248" s="119"/>
      <c r="I248" s="236"/>
      <c r="J248" s="527">
        <v>0.39285714285714202</v>
      </c>
      <c r="K248" s="527"/>
      <c r="L248" s="528"/>
      <c r="M248" s="154"/>
      <c r="N248" s="154"/>
      <c r="O248" s="154"/>
      <c r="P248" s="154"/>
      <c r="Q248" s="154"/>
      <c r="R248" s="154"/>
      <c r="S248" s="154"/>
      <c r="T248" s="154"/>
      <c r="U248" s="154"/>
      <c r="V248" s="159"/>
      <c r="W248" s="387"/>
      <c r="X248" s="154"/>
      <c r="Y248" s="129"/>
      <c r="Z248" s="130"/>
      <c r="AA248" s="130"/>
      <c r="AB248" s="130"/>
      <c r="AC248" s="125"/>
      <c r="AE248" s="154"/>
      <c r="AF248" s="154"/>
      <c r="AG248" s="154"/>
      <c r="AH248" s="129"/>
      <c r="AI248" s="130"/>
      <c r="AK248" s="154"/>
      <c r="AL248" s="154"/>
      <c r="AM248" s="154"/>
      <c r="AN248" s="129"/>
      <c r="AO248" s="130"/>
      <c r="AQ248" s="154"/>
      <c r="AR248" s="154"/>
      <c r="AS248" s="154"/>
      <c r="AT248" s="129"/>
      <c r="AU248" s="130"/>
      <c r="AW248" s="154"/>
      <c r="AX248" s="154"/>
      <c r="AY248" s="154"/>
      <c r="AZ248" s="129"/>
      <c r="BA248" s="130"/>
    </row>
    <row r="249" spans="1:53" ht="17.100000000000001" customHeight="1" x14ac:dyDescent="0.25">
      <c r="A249" s="40"/>
      <c r="B249" s="40"/>
      <c r="C249" s="119"/>
      <c r="D249" s="153" t="s">
        <v>934</v>
      </c>
      <c r="E249" s="142"/>
      <c r="F249" s="143"/>
      <c r="G249" s="143"/>
      <c r="H249" s="119"/>
      <c r="I249" s="236"/>
      <c r="J249" s="527">
        <f>J248/2</f>
        <v>0.19642857142857101</v>
      </c>
      <c r="K249" s="527"/>
      <c r="L249" s="154"/>
      <c r="M249" s="154"/>
      <c r="N249" s="154"/>
      <c r="O249" s="154"/>
      <c r="P249" s="154"/>
      <c r="Q249" s="154"/>
      <c r="R249" s="154"/>
      <c r="S249" s="154"/>
      <c r="T249" s="154"/>
      <c r="U249" s="154"/>
      <c r="V249" s="159"/>
      <c r="W249" s="387"/>
      <c r="X249" s="154"/>
      <c r="Y249" s="129"/>
      <c r="Z249" s="130"/>
      <c r="AA249" s="130"/>
      <c r="AB249" s="130"/>
      <c r="AC249" s="125"/>
      <c r="AE249" s="154"/>
      <c r="AF249" s="154"/>
      <c r="AG249" s="154"/>
      <c r="AH249" s="129"/>
      <c r="AI249" s="130"/>
      <c r="AK249" s="154"/>
      <c r="AL249" s="154"/>
      <c r="AM249" s="154"/>
      <c r="AN249" s="129"/>
      <c r="AO249" s="130"/>
      <c r="AQ249" s="154"/>
      <c r="AR249" s="154"/>
      <c r="AS249" s="154"/>
      <c r="AT249" s="129"/>
      <c r="AU249" s="130"/>
      <c r="AW249" s="154"/>
      <c r="AX249" s="154"/>
      <c r="AY249" s="154"/>
      <c r="AZ249" s="129"/>
      <c r="BA249" s="130"/>
    </row>
    <row r="250" spans="1:53" ht="17.100000000000001" customHeight="1" x14ac:dyDescent="0.25">
      <c r="A250" s="40"/>
      <c r="B250" s="40"/>
      <c r="C250" s="119"/>
      <c r="D250" s="153" t="s">
        <v>940</v>
      </c>
      <c r="E250" s="142"/>
      <c r="F250" s="143"/>
      <c r="G250" s="143"/>
      <c r="H250" s="119"/>
      <c r="I250" s="236"/>
      <c r="J250" s="527">
        <f>J248*0.75</f>
        <v>0.29464285714285654</v>
      </c>
      <c r="K250" s="527"/>
      <c r="L250" s="154"/>
      <c r="M250" s="154"/>
      <c r="N250" s="154"/>
      <c r="O250" s="154"/>
      <c r="P250" s="154"/>
      <c r="Q250" s="154"/>
      <c r="R250" s="154"/>
      <c r="S250" s="154"/>
      <c r="T250" s="154"/>
      <c r="U250" s="154"/>
      <c r="V250" s="159"/>
      <c r="W250" s="387"/>
      <c r="X250" s="154"/>
      <c r="Y250" s="129"/>
      <c r="Z250" s="130"/>
      <c r="AA250" s="130"/>
      <c r="AB250" s="130"/>
      <c r="AC250" s="125"/>
      <c r="AE250" s="154"/>
      <c r="AF250" s="154"/>
      <c r="AG250" s="154"/>
      <c r="AH250" s="129"/>
      <c r="AI250" s="130"/>
      <c r="AK250" s="154"/>
      <c r="AL250" s="154"/>
      <c r="AM250" s="154"/>
      <c r="AN250" s="129"/>
      <c r="AO250" s="130"/>
      <c r="AQ250" s="154"/>
      <c r="AR250" s="154"/>
      <c r="AS250" s="154"/>
      <c r="AT250" s="129"/>
      <c r="AU250" s="130"/>
      <c r="AW250" s="154"/>
      <c r="AX250" s="154"/>
      <c r="AY250" s="154"/>
      <c r="AZ250" s="129"/>
      <c r="BA250" s="130"/>
    </row>
    <row r="251" spans="1:53" ht="17.100000000000001" customHeight="1" x14ac:dyDescent="0.25">
      <c r="A251" s="40"/>
      <c r="B251" s="40"/>
      <c r="C251" s="119"/>
      <c r="D251" s="153" t="s">
        <v>941</v>
      </c>
      <c r="E251" s="142"/>
      <c r="F251" s="143"/>
      <c r="G251" s="143"/>
      <c r="H251" s="119"/>
      <c r="I251" s="236"/>
      <c r="J251" s="527">
        <f>J248</f>
        <v>0.39285714285714202</v>
      </c>
      <c r="K251" s="527"/>
      <c r="L251" s="154"/>
      <c r="M251" s="154"/>
      <c r="N251" s="154"/>
      <c r="O251" s="154"/>
      <c r="P251" s="154"/>
      <c r="Q251" s="154"/>
      <c r="R251" s="154"/>
      <c r="S251" s="154"/>
      <c r="T251" s="154"/>
      <c r="U251" s="154"/>
      <c r="V251" s="159"/>
      <c r="W251" s="387"/>
      <c r="X251" s="154"/>
      <c r="Y251" s="129"/>
      <c r="Z251" s="130"/>
      <c r="AA251" s="130"/>
      <c r="AB251" s="130"/>
      <c r="AC251" s="125"/>
      <c r="AE251" s="154"/>
      <c r="AF251" s="154"/>
      <c r="AG251" s="154"/>
      <c r="AH251" s="129"/>
      <c r="AI251" s="130"/>
      <c r="AK251" s="154"/>
      <c r="AL251" s="154"/>
      <c r="AM251" s="154"/>
      <c r="AN251" s="129"/>
      <c r="AO251" s="130"/>
      <c r="AQ251" s="154"/>
      <c r="AR251" s="154"/>
      <c r="AS251" s="154"/>
      <c r="AT251" s="129"/>
      <c r="AU251" s="130"/>
      <c r="AW251" s="154"/>
      <c r="AX251" s="154"/>
      <c r="AY251" s="154"/>
      <c r="AZ251" s="129"/>
      <c r="BA251" s="130"/>
    </row>
    <row r="252" spans="1:53" ht="17.100000000000001" customHeight="1" x14ac:dyDescent="0.25">
      <c r="A252" s="40"/>
      <c r="B252" s="40"/>
      <c r="C252" s="119"/>
      <c r="D252" s="153" t="s">
        <v>942</v>
      </c>
      <c r="E252" s="142"/>
      <c r="F252" s="143"/>
      <c r="G252" s="143"/>
      <c r="H252" s="119"/>
      <c r="I252" s="236"/>
      <c r="J252" s="527">
        <f>J249</f>
        <v>0.19642857142857101</v>
      </c>
      <c r="K252" s="527"/>
      <c r="L252" s="154"/>
      <c r="M252" s="154"/>
      <c r="N252" s="154"/>
      <c r="O252" s="154"/>
      <c r="P252" s="154"/>
      <c r="Q252" s="154"/>
      <c r="R252" s="154"/>
      <c r="S252" s="154"/>
      <c r="T252" s="154"/>
      <c r="U252" s="154"/>
      <c r="V252" s="159"/>
      <c r="W252" s="387"/>
      <c r="X252" s="154"/>
      <c r="Y252" s="129"/>
      <c r="Z252" s="130"/>
      <c r="AA252" s="130"/>
      <c r="AB252" s="130"/>
      <c r="AC252" s="125"/>
      <c r="AE252" s="154"/>
      <c r="AF252" s="154"/>
      <c r="AG252" s="154"/>
      <c r="AH252" s="129"/>
      <c r="AI252" s="130"/>
      <c r="AK252" s="154"/>
      <c r="AL252" s="154"/>
      <c r="AM252" s="154"/>
      <c r="AN252" s="129"/>
      <c r="AO252" s="130"/>
      <c r="AQ252" s="154"/>
      <c r="AR252" s="154"/>
      <c r="AS252" s="154"/>
      <c r="AT252" s="129"/>
      <c r="AU252" s="130"/>
      <c r="AW252" s="154"/>
      <c r="AX252" s="154"/>
      <c r="AY252" s="154"/>
      <c r="AZ252" s="129"/>
      <c r="BA252" s="130"/>
    </row>
    <row r="253" spans="1:53" ht="17.100000000000001" customHeight="1" x14ac:dyDescent="0.25">
      <c r="A253" s="40"/>
      <c r="B253" s="40"/>
      <c r="C253" s="119"/>
      <c r="D253" s="153" t="s">
        <v>943</v>
      </c>
      <c r="E253" s="142"/>
      <c r="F253" s="143"/>
      <c r="G253" s="143"/>
      <c r="H253" s="119"/>
      <c r="I253" s="236"/>
      <c r="J253" s="527">
        <f>J248</f>
        <v>0.39285714285714202</v>
      </c>
      <c r="K253" s="527"/>
      <c r="L253" s="154"/>
      <c r="M253" s="154"/>
      <c r="N253" s="154"/>
      <c r="O253" s="154"/>
      <c r="P253" s="154"/>
      <c r="Q253" s="154"/>
      <c r="R253" s="154"/>
      <c r="S253" s="154"/>
      <c r="T253" s="154"/>
      <c r="U253" s="154"/>
      <c r="V253" s="159"/>
      <c r="W253" s="387"/>
      <c r="X253" s="154"/>
      <c r="Y253" s="129"/>
      <c r="Z253" s="130"/>
      <c r="AA253" s="130"/>
      <c r="AB253" s="130"/>
      <c r="AC253" s="125"/>
      <c r="AE253" s="154"/>
      <c r="AF253" s="154"/>
      <c r="AG253" s="154"/>
      <c r="AH253" s="129"/>
      <c r="AI253" s="130"/>
      <c r="AK253" s="154"/>
      <c r="AL253" s="154"/>
      <c r="AM253" s="154"/>
      <c r="AN253" s="129"/>
      <c r="AO253" s="130"/>
      <c r="AQ253" s="154"/>
      <c r="AR253" s="154"/>
      <c r="AS253" s="154"/>
      <c r="AT253" s="129"/>
      <c r="AU253" s="130"/>
      <c r="AW253" s="154"/>
      <c r="AX253" s="154"/>
      <c r="AY253" s="154"/>
      <c r="AZ253" s="129"/>
      <c r="BA253" s="130"/>
    </row>
    <row r="254" spans="1:53" ht="17.100000000000001" customHeight="1" x14ac:dyDescent="0.25">
      <c r="A254" s="40"/>
      <c r="B254" s="40"/>
      <c r="C254" s="119"/>
      <c r="D254" s="153" t="s">
        <v>944</v>
      </c>
      <c r="E254" s="142"/>
      <c r="F254" s="143"/>
      <c r="G254" s="143"/>
      <c r="H254" s="119"/>
      <c r="I254" s="236"/>
      <c r="J254" s="527">
        <f>J249</f>
        <v>0.19642857142857101</v>
      </c>
      <c r="K254" s="527"/>
      <c r="L254" s="154"/>
      <c r="M254" s="154"/>
      <c r="N254" s="154"/>
      <c r="O254" s="154"/>
      <c r="P254" s="154"/>
      <c r="Q254" s="154"/>
      <c r="R254" s="154"/>
      <c r="S254" s="154"/>
      <c r="T254" s="154"/>
      <c r="U254" s="154"/>
      <c r="V254" s="159"/>
      <c r="W254" s="387"/>
      <c r="X254" s="154"/>
      <c r="Y254" s="129"/>
      <c r="Z254" s="130"/>
      <c r="AA254" s="130"/>
      <c r="AB254" s="130"/>
      <c r="AC254" s="125"/>
      <c r="AE254" s="154"/>
      <c r="AF254" s="154"/>
      <c r="AG254" s="154"/>
      <c r="AH254" s="129"/>
      <c r="AI254" s="130"/>
      <c r="AK254" s="154"/>
      <c r="AL254" s="154"/>
      <c r="AM254" s="154"/>
      <c r="AN254" s="129"/>
      <c r="AO254" s="130"/>
      <c r="AQ254" s="154"/>
      <c r="AR254" s="154"/>
      <c r="AS254" s="154"/>
      <c r="AT254" s="129"/>
      <c r="AU254" s="130"/>
      <c r="AW254" s="154"/>
      <c r="AX254" s="154"/>
      <c r="AY254" s="154"/>
      <c r="AZ254" s="129"/>
      <c r="BA254" s="130"/>
    </row>
    <row r="255" spans="1:53" ht="17.100000000000001" customHeight="1" x14ac:dyDescent="0.25">
      <c r="A255" s="40"/>
      <c r="B255" s="40"/>
      <c r="C255" s="68"/>
      <c r="D255" s="153" t="s">
        <v>945</v>
      </c>
      <c r="E255" s="142"/>
      <c r="F255" s="143"/>
      <c r="G255" s="143"/>
      <c r="H255" s="119"/>
      <c r="I255" s="236"/>
      <c r="J255" s="527">
        <f>J248</f>
        <v>0.39285714285714202</v>
      </c>
      <c r="K255" s="527"/>
      <c r="L255" s="154"/>
      <c r="M255" s="154"/>
      <c r="N255" s="154"/>
      <c r="O255" s="154"/>
      <c r="P255" s="154"/>
      <c r="Q255" s="154"/>
      <c r="R255" s="154"/>
      <c r="S255" s="154"/>
      <c r="T255" s="154"/>
      <c r="U255" s="154"/>
      <c r="V255" s="159"/>
      <c r="W255" s="387"/>
      <c r="X255" s="154"/>
      <c r="Y255" s="129"/>
      <c r="Z255" s="130"/>
      <c r="AA255" s="130"/>
      <c r="AB255" s="130"/>
      <c r="AC255" s="125"/>
      <c r="AE255" s="154"/>
      <c r="AF255" s="154"/>
      <c r="AG255" s="154"/>
      <c r="AH255" s="129"/>
      <c r="AI255" s="130"/>
      <c r="AK255" s="154"/>
      <c r="AL255" s="154"/>
      <c r="AM255" s="154"/>
      <c r="AN255" s="129"/>
      <c r="AO255" s="130"/>
      <c r="AQ255" s="154"/>
      <c r="AR255" s="154"/>
      <c r="AS255" s="154"/>
      <c r="AT255" s="129"/>
      <c r="AU255" s="130"/>
      <c r="AW255" s="154"/>
      <c r="AX255" s="154"/>
      <c r="AY255" s="154"/>
      <c r="AZ255" s="129"/>
      <c r="BA255" s="130"/>
    </row>
    <row r="256" spans="1:53" ht="17.100000000000001" customHeight="1" x14ac:dyDescent="0.25">
      <c r="A256" s="40"/>
      <c r="B256" s="40"/>
      <c r="C256" s="40"/>
      <c r="D256" s="69" t="s">
        <v>413</v>
      </c>
      <c r="E256" s="322"/>
      <c r="F256" s="301"/>
      <c r="G256" s="301"/>
      <c r="H256" s="421"/>
      <c r="I256" s="236"/>
      <c r="J256" s="529"/>
      <c r="K256" s="529"/>
      <c r="L256" s="87"/>
      <c r="M256" s="87"/>
      <c r="N256" s="87"/>
      <c r="O256" s="87"/>
      <c r="P256" s="87"/>
      <c r="Q256" s="87"/>
      <c r="R256" s="87"/>
      <c r="S256" s="87"/>
      <c r="T256" s="87"/>
      <c r="U256" s="87"/>
      <c r="V256" s="530"/>
      <c r="W256" s="531"/>
      <c r="X256" s="87"/>
      <c r="Y256" s="89"/>
      <c r="Z256" s="90"/>
      <c r="AA256" s="90"/>
      <c r="AB256" s="90"/>
      <c r="AC256" s="73"/>
      <c r="AE256" s="154"/>
      <c r="AF256" s="154"/>
      <c r="AG256" s="154"/>
      <c r="AH256" s="129"/>
      <c r="AI256" s="130"/>
      <c r="AK256" s="154"/>
      <c r="AL256" s="154"/>
      <c r="AM256" s="154"/>
      <c r="AN256" s="129"/>
      <c r="AO256" s="130"/>
      <c r="AQ256" s="154"/>
      <c r="AR256" s="154"/>
      <c r="AS256" s="154"/>
      <c r="AT256" s="129"/>
      <c r="AU256" s="130"/>
      <c r="AW256" s="154"/>
      <c r="AX256" s="154"/>
      <c r="AY256" s="154"/>
      <c r="AZ256" s="129"/>
      <c r="BA256" s="130"/>
    </row>
    <row r="257" spans="1:53" ht="17.100000000000001" customHeight="1" x14ac:dyDescent="0.25">
      <c r="A257" s="40"/>
      <c r="B257" s="40"/>
      <c r="C257" s="119"/>
      <c r="D257" s="293" t="s">
        <v>935</v>
      </c>
      <c r="E257" s="142"/>
      <c r="F257" s="143"/>
      <c r="G257" s="143"/>
      <c r="H257" s="119"/>
      <c r="I257" s="236"/>
      <c r="J257" s="532"/>
      <c r="K257" s="532"/>
      <c r="L257" s="533">
        <f>(1*J250+3*J251)</f>
        <v>1.4732142857142827</v>
      </c>
      <c r="M257" s="533">
        <f>L257*N257</f>
        <v>0</v>
      </c>
      <c r="N257" s="532">
        <f t="shared" ref="N257:O259" si="313">N170</f>
        <v>0</v>
      </c>
      <c r="O257" s="532">
        <f t="shared" si="313"/>
        <v>0</v>
      </c>
      <c r="P257" s="532"/>
      <c r="Q257" s="532">
        <f t="shared" ref="Q257:R259" si="314">Q170</f>
        <v>1</v>
      </c>
      <c r="R257" s="532">
        <f t="shared" si="314"/>
        <v>0</v>
      </c>
      <c r="S257" s="532"/>
      <c r="T257" s="532">
        <f t="shared" ref="T257:U259" si="315">T170</f>
        <v>0</v>
      </c>
      <c r="U257" s="532">
        <f t="shared" si="315"/>
        <v>0</v>
      </c>
      <c r="V257" s="159"/>
      <c r="W257" s="387"/>
      <c r="X257" s="154"/>
      <c r="Y257" s="129"/>
      <c r="Z257" s="130"/>
      <c r="AA257" s="130"/>
      <c r="AB257" s="130"/>
      <c r="AC257" s="125"/>
      <c r="AE257" s="154"/>
      <c r="AF257" s="154"/>
      <c r="AG257" s="154"/>
      <c r="AH257" s="129"/>
      <c r="AI257" s="130"/>
      <c r="AK257" s="154"/>
      <c r="AL257" s="154"/>
      <c r="AM257" s="154"/>
      <c r="AN257" s="129"/>
      <c r="AO257" s="130"/>
      <c r="AQ257" s="154"/>
      <c r="AR257" s="154"/>
      <c r="AS257" s="154"/>
      <c r="AT257" s="129"/>
      <c r="AU257" s="130"/>
      <c r="AW257" s="154"/>
      <c r="AX257" s="154"/>
      <c r="AY257" s="154"/>
      <c r="AZ257" s="129"/>
      <c r="BA257" s="130"/>
    </row>
    <row r="258" spans="1:53" ht="17.100000000000001" customHeight="1" x14ac:dyDescent="0.25">
      <c r="A258" s="40"/>
      <c r="B258" s="40"/>
      <c r="C258" s="119"/>
      <c r="D258" s="293" t="s">
        <v>927</v>
      </c>
      <c r="E258" s="142"/>
      <c r="F258" s="143"/>
      <c r="G258" s="143"/>
      <c r="H258" s="119"/>
      <c r="I258" s="236"/>
      <c r="J258" s="532"/>
      <c r="K258" s="532"/>
      <c r="L258" s="533">
        <f>(1*J252+3*J253)</f>
        <v>1.3749999999999971</v>
      </c>
      <c r="M258" s="533">
        <f t="shared" ref="M258:M259" si="316">L258*N258</f>
        <v>0</v>
      </c>
      <c r="N258" s="532">
        <f t="shared" si="313"/>
        <v>0</v>
      </c>
      <c r="O258" s="532">
        <f t="shared" si="313"/>
        <v>0</v>
      </c>
      <c r="P258" s="532"/>
      <c r="Q258" s="532">
        <f t="shared" si="314"/>
        <v>0</v>
      </c>
      <c r="R258" s="532">
        <f t="shared" si="314"/>
        <v>2</v>
      </c>
      <c r="S258" s="532"/>
      <c r="T258" s="532">
        <f t="shared" si="315"/>
        <v>0</v>
      </c>
      <c r="U258" s="532">
        <f t="shared" si="315"/>
        <v>0</v>
      </c>
      <c r="V258" s="159"/>
      <c r="W258" s="387"/>
      <c r="X258" s="154"/>
      <c r="Y258" s="129"/>
      <c r="Z258" s="130"/>
      <c r="AA258" s="130"/>
      <c r="AB258" s="130"/>
      <c r="AC258" s="125"/>
      <c r="AE258" s="154"/>
      <c r="AF258" s="154"/>
      <c r="AG258" s="154"/>
      <c r="AH258" s="129"/>
      <c r="AI258" s="130"/>
      <c r="AK258" s="154"/>
      <c r="AL258" s="154"/>
      <c r="AM258" s="154"/>
      <c r="AN258" s="129"/>
      <c r="AO258" s="130"/>
      <c r="AQ258" s="154"/>
      <c r="AR258" s="154"/>
      <c r="AS258" s="154"/>
      <c r="AT258" s="129"/>
      <c r="AU258" s="130"/>
      <c r="AW258" s="154"/>
      <c r="AX258" s="154"/>
      <c r="AY258" s="154"/>
      <c r="AZ258" s="129"/>
      <c r="BA258" s="130"/>
    </row>
    <row r="259" spans="1:53" ht="17.100000000000001" customHeight="1" x14ac:dyDescent="0.25">
      <c r="A259" s="40"/>
      <c r="B259" s="40"/>
      <c r="C259" s="119"/>
      <c r="D259" s="293" t="s">
        <v>936</v>
      </c>
      <c r="E259" s="142"/>
      <c r="F259" s="143"/>
      <c r="G259" s="143"/>
      <c r="H259" s="119"/>
      <c r="I259" s="236"/>
      <c r="J259" s="532"/>
      <c r="K259" s="532"/>
      <c r="L259" s="533">
        <f>(5*J255)</f>
        <v>1.96428571428571</v>
      </c>
      <c r="M259" s="533">
        <f t="shared" si="316"/>
        <v>1.96428571428571</v>
      </c>
      <c r="N259" s="532">
        <f t="shared" si="313"/>
        <v>1</v>
      </c>
      <c r="O259" s="532">
        <f t="shared" si="313"/>
        <v>5</v>
      </c>
      <c r="P259" s="532"/>
      <c r="Q259" s="532">
        <f t="shared" si="314"/>
        <v>0</v>
      </c>
      <c r="R259" s="532">
        <f t="shared" si="314"/>
        <v>2</v>
      </c>
      <c r="S259" s="532"/>
      <c r="T259" s="532">
        <f t="shared" si="315"/>
        <v>0</v>
      </c>
      <c r="U259" s="532">
        <f t="shared" si="315"/>
        <v>10</v>
      </c>
      <c r="V259" s="159"/>
      <c r="W259" s="387"/>
      <c r="X259" s="154"/>
      <c r="Y259" s="129"/>
      <c r="Z259" s="130"/>
      <c r="AA259" s="130"/>
      <c r="AB259" s="130"/>
      <c r="AC259" s="125"/>
      <c r="AE259" s="154"/>
      <c r="AF259" s="154"/>
      <c r="AG259" s="154"/>
      <c r="AH259" s="129"/>
      <c r="AI259" s="130"/>
      <c r="AK259" s="154"/>
      <c r="AL259" s="154"/>
      <c r="AM259" s="154"/>
      <c r="AN259" s="129"/>
      <c r="AO259" s="130"/>
      <c r="AQ259" s="154"/>
      <c r="AR259" s="154"/>
      <c r="AS259" s="154"/>
      <c r="AT259" s="129"/>
      <c r="AU259" s="130"/>
      <c r="AW259" s="154"/>
      <c r="AX259" s="154"/>
      <c r="AY259" s="154"/>
      <c r="AZ259" s="129"/>
      <c r="BA259" s="130"/>
    </row>
    <row r="260" spans="1:53" ht="17.100000000000001" customHeight="1" x14ac:dyDescent="0.25">
      <c r="A260" s="40"/>
      <c r="B260" s="40"/>
      <c r="C260" s="119"/>
      <c r="D260" s="293" t="s">
        <v>922</v>
      </c>
      <c r="E260" s="142"/>
      <c r="F260" s="143"/>
      <c r="G260" s="143"/>
      <c r="H260" s="119"/>
      <c r="I260" s="236"/>
      <c r="J260" s="532"/>
      <c r="K260" s="532"/>
      <c r="L260" s="532"/>
      <c r="M260" s="533">
        <f>SUM(M257:M259)</f>
        <v>1.96428571428571</v>
      </c>
      <c r="N260" s="532">
        <f>SUM(N257:N259)</f>
        <v>1</v>
      </c>
      <c r="O260" s="532"/>
      <c r="P260" s="532"/>
      <c r="Q260" s="532"/>
      <c r="R260" s="532"/>
      <c r="S260" s="532"/>
      <c r="T260" s="532"/>
      <c r="U260" s="532"/>
      <c r="V260" s="159"/>
      <c r="W260" s="387"/>
      <c r="X260" s="154"/>
      <c r="Y260" s="129"/>
      <c r="Z260" s="130"/>
      <c r="AA260" s="130"/>
      <c r="AB260" s="130"/>
      <c r="AC260" s="125"/>
      <c r="AE260" s="154"/>
      <c r="AF260" s="154"/>
      <c r="AG260" s="154"/>
      <c r="AH260" s="129"/>
      <c r="AI260" s="130"/>
      <c r="AK260" s="154"/>
      <c r="AL260" s="154"/>
      <c r="AM260" s="154"/>
      <c r="AN260" s="129"/>
      <c r="AO260" s="130"/>
      <c r="AQ260" s="154"/>
      <c r="AR260" s="154"/>
      <c r="AS260" s="154"/>
      <c r="AT260" s="129"/>
      <c r="AU260" s="130"/>
      <c r="AW260" s="154"/>
      <c r="AX260" s="154"/>
      <c r="AY260" s="154"/>
      <c r="AZ260" s="129"/>
      <c r="BA260" s="130"/>
    </row>
    <row r="261" spans="1:53" ht="17.100000000000001" customHeight="1" x14ac:dyDescent="0.25">
      <c r="A261" s="40"/>
      <c r="B261" s="40"/>
      <c r="C261" s="119"/>
      <c r="D261" s="69" t="s">
        <v>124</v>
      </c>
      <c r="E261" s="322"/>
      <c r="F261" s="301"/>
      <c r="G261" s="301"/>
      <c r="H261" s="421"/>
      <c r="I261" s="236"/>
      <c r="J261" s="529"/>
      <c r="K261" s="529"/>
      <c r="L261" s="87"/>
      <c r="M261" s="87"/>
      <c r="N261" s="87"/>
      <c r="O261" s="87"/>
      <c r="P261" s="87"/>
      <c r="Q261" s="87"/>
      <c r="R261" s="87"/>
      <c r="S261" s="87"/>
      <c r="T261" s="87"/>
      <c r="U261" s="87"/>
      <c r="V261" s="530"/>
      <c r="W261" s="531"/>
      <c r="X261" s="87"/>
      <c r="Y261" s="89"/>
      <c r="Z261" s="90"/>
      <c r="AA261" s="90"/>
      <c r="AB261" s="90"/>
      <c r="AC261" s="73"/>
      <c r="AE261" s="154"/>
      <c r="AF261" s="154"/>
      <c r="AG261" s="154"/>
      <c r="AH261" s="129"/>
      <c r="AI261" s="130"/>
      <c r="AK261" s="154"/>
      <c r="AL261" s="154"/>
      <c r="AM261" s="154"/>
      <c r="AN261" s="129"/>
      <c r="AO261" s="130"/>
      <c r="AQ261" s="154"/>
      <c r="AR261" s="154"/>
      <c r="AS261" s="154"/>
      <c r="AT261" s="129"/>
      <c r="AU261" s="130"/>
      <c r="AW261" s="154"/>
      <c r="AX261" s="154"/>
      <c r="AY261" s="154"/>
      <c r="AZ261" s="129"/>
      <c r="BA261" s="130"/>
    </row>
    <row r="262" spans="1:53" ht="17.100000000000001" customHeight="1" x14ac:dyDescent="0.25">
      <c r="A262" s="40"/>
      <c r="B262" s="40"/>
      <c r="C262" s="119"/>
      <c r="D262" s="931" t="s">
        <v>666</v>
      </c>
      <c r="E262" s="150"/>
      <c r="F262" s="151"/>
      <c r="G262" s="151"/>
      <c r="H262" s="119"/>
      <c r="I262" s="236"/>
      <c r="J262" s="152"/>
      <c r="K262" s="152"/>
      <c r="L262" s="111"/>
      <c r="M262" s="111"/>
      <c r="N262" s="111"/>
      <c r="O262" s="111"/>
      <c r="P262" s="111"/>
      <c r="Q262" s="111"/>
      <c r="R262" s="111"/>
      <c r="S262" s="111"/>
      <c r="T262" s="111"/>
      <c r="U262" s="111"/>
      <c r="V262" s="358"/>
      <c r="W262" s="380"/>
      <c r="X262" s="111"/>
      <c r="Y262" s="932"/>
      <c r="Z262" s="131"/>
      <c r="AA262" s="131"/>
      <c r="AB262" s="131"/>
      <c r="AC262" s="113"/>
      <c r="AE262" s="152"/>
      <c r="AF262" s="152"/>
      <c r="AG262" s="111"/>
      <c r="AH262" s="932"/>
      <c r="AI262" s="131"/>
      <c r="AK262" s="152"/>
      <c r="AL262" s="152"/>
      <c r="AM262" s="111"/>
      <c r="AN262" s="932"/>
      <c r="AO262" s="131"/>
      <c r="AQ262" s="152"/>
      <c r="AR262" s="152"/>
      <c r="AS262" s="111"/>
      <c r="AT262" s="932"/>
      <c r="AU262" s="131"/>
      <c r="AW262" s="152"/>
      <c r="AX262" s="152"/>
      <c r="AY262" s="111"/>
      <c r="AZ262" s="932"/>
      <c r="BA262" s="131"/>
    </row>
    <row r="263" spans="1:53" ht="17.100000000000001" customHeight="1" x14ac:dyDescent="0.25">
      <c r="A263" s="40"/>
      <c r="B263" s="40"/>
      <c r="C263" s="119"/>
      <c r="D263" s="293" t="s">
        <v>414</v>
      </c>
      <c r="E263" s="142"/>
      <c r="F263" s="143"/>
      <c r="G263" s="143"/>
      <c r="H263" s="245"/>
      <c r="I263" s="239"/>
      <c r="J263" s="154"/>
      <c r="K263" s="154"/>
      <c r="L263" s="154"/>
      <c r="M263" s="154"/>
      <c r="N263" s="154">
        <f t="shared" ref="N263:O268" si="317">N178</f>
        <v>0</v>
      </c>
      <c r="O263" s="154">
        <f t="shared" si="317"/>
        <v>0</v>
      </c>
      <c r="P263" s="154"/>
      <c r="Q263" s="154">
        <f>Q178</f>
        <v>0</v>
      </c>
      <c r="R263" s="154">
        <f>R178</f>
        <v>0</v>
      </c>
      <c r="S263" s="154"/>
      <c r="T263" s="154">
        <f>T178</f>
        <v>0</v>
      </c>
      <c r="U263" s="154">
        <f>U178</f>
        <v>0</v>
      </c>
      <c r="V263" s="159"/>
      <c r="W263" s="387"/>
      <c r="X263" s="154"/>
      <c r="Y263" s="129"/>
      <c r="Z263" s="130"/>
      <c r="AA263" s="130"/>
      <c r="AB263" s="130"/>
      <c r="AC263" s="125"/>
      <c r="AE263" s="154"/>
      <c r="AF263" s="154"/>
      <c r="AG263" s="154"/>
      <c r="AH263" s="129"/>
      <c r="AI263" s="130"/>
      <c r="AK263" s="154"/>
      <c r="AL263" s="154"/>
      <c r="AM263" s="154"/>
      <c r="AN263" s="129"/>
      <c r="AO263" s="130"/>
      <c r="AQ263" s="154"/>
      <c r="AR263" s="154"/>
      <c r="AS263" s="154"/>
      <c r="AT263" s="129"/>
      <c r="AU263" s="130"/>
      <c r="AW263" s="154"/>
      <c r="AX263" s="154"/>
      <c r="AY263" s="154"/>
      <c r="AZ263" s="129"/>
      <c r="BA263" s="130"/>
    </row>
    <row r="264" spans="1:53" ht="17.100000000000001" customHeight="1" x14ac:dyDescent="0.25">
      <c r="A264" s="40"/>
      <c r="B264" s="40"/>
      <c r="C264" s="119"/>
      <c r="D264" s="293" t="s">
        <v>415</v>
      </c>
      <c r="E264" s="142"/>
      <c r="F264" s="143"/>
      <c r="G264" s="143"/>
      <c r="H264" s="245"/>
      <c r="I264" s="239"/>
      <c r="J264" s="154"/>
      <c r="K264" s="154"/>
      <c r="L264" s="154"/>
      <c r="M264" s="154"/>
      <c r="N264" s="154">
        <f t="shared" si="317"/>
        <v>0</v>
      </c>
      <c r="O264" s="154">
        <f t="shared" si="317"/>
        <v>0</v>
      </c>
      <c r="P264" s="154"/>
      <c r="Q264" s="154">
        <f t="shared" ref="Q264:R268" si="318">Q179</f>
        <v>1</v>
      </c>
      <c r="R264" s="154">
        <f t="shared" si="318"/>
        <v>1</v>
      </c>
      <c r="S264" s="154"/>
      <c r="T264" s="154">
        <f t="shared" ref="T264:U268" si="319">T179</f>
        <v>0</v>
      </c>
      <c r="U264" s="154">
        <f t="shared" si="319"/>
        <v>2</v>
      </c>
      <c r="V264" s="159"/>
      <c r="W264" s="387"/>
      <c r="X264" s="154"/>
      <c r="Y264" s="129"/>
      <c r="Z264" s="130"/>
      <c r="AA264" s="130"/>
      <c r="AB264" s="130"/>
      <c r="AC264" s="125"/>
      <c r="AE264" s="154"/>
      <c r="AF264" s="154"/>
      <c r="AG264" s="154"/>
      <c r="AH264" s="129"/>
      <c r="AI264" s="130"/>
      <c r="AK264" s="154"/>
      <c r="AL264" s="154"/>
      <c r="AM264" s="154"/>
      <c r="AN264" s="129"/>
      <c r="AO264" s="130"/>
      <c r="AQ264" s="154"/>
      <c r="AR264" s="154"/>
      <c r="AS264" s="154"/>
      <c r="AT264" s="129"/>
      <c r="AU264" s="130"/>
      <c r="AW264" s="154"/>
      <c r="AX264" s="154"/>
      <c r="AY264" s="154"/>
      <c r="AZ264" s="129"/>
      <c r="BA264" s="130"/>
    </row>
    <row r="265" spans="1:53" ht="17.100000000000001" customHeight="1" x14ac:dyDescent="0.25">
      <c r="A265" s="40"/>
      <c r="B265" s="40"/>
      <c r="C265" s="119"/>
      <c r="D265" s="293" t="s">
        <v>416</v>
      </c>
      <c r="E265" s="142"/>
      <c r="F265" s="143"/>
      <c r="G265" s="143"/>
      <c r="H265" s="245"/>
      <c r="I265" s="239"/>
      <c r="J265" s="154"/>
      <c r="K265" s="154"/>
      <c r="L265" s="154"/>
      <c r="M265" s="154"/>
      <c r="N265" s="154">
        <f t="shared" si="317"/>
        <v>0</v>
      </c>
      <c r="O265" s="154">
        <f t="shared" si="317"/>
        <v>0</v>
      </c>
      <c r="P265" s="154"/>
      <c r="Q265" s="154">
        <f t="shared" si="318"/>
        <v>0</v>
      </c>
      <c r="R265" s="154">
        <f t="shared" si="318"/>
        <v>3</v>
      </c>
      <c r="S265" s="154"/>
      <c r="T265" s="154">
        <f t="shared" si="319"/>
        <v>0</v>
      </c>
      <c r="U265" s="154">
        <f t="shared" si="319"/>
        <v>0</v>
      </c>
      <c r="V265" s="159"/>
      <c r="W265" s="387"/>
      <c r="X265" s="154"/>
      <c r="Y265" s="129"/>
      <c r="Z265" s="130"/>
      <c r="AA265" s="130"/>
      <c r="AB265" s="130"/>
      <c r="AC265" s="125"/>
      <c r="AE265" s="154"/>
      <c r="AF265" s="154"/>
      <c r="AG265" s="154"/>
      <c r="AH265" s="129"/>
      <c r="AI265" s="130"/>
      <c r="AK265" s="154"/>
      <c r="AL265" s="154"/>
      <c r="AM265" s="154"/>
      <c r="AN265" s="129"/>
      <c r="AO265" s="130"/>
      <c r="AQ265" s="154"/>
      <c r="AR265" s="154"/>
      <c r="AS265" s="154"/>
      <c r="AT265" s="129"/>
      <c r="AU265" s="130"/>
      <c r="AW265" s="154"/>
      <c r="AX265" s="154"/>
      <c r="AY265" s="154"/>
      <c r="AZ265" s="129"/>
      <c r="BA265" s="130"/>
    </row>
    <row r="266" spans="1:53" ht="17.100000000000001" customHeight="1" x14ac:dyDescent="0.25">
      <c r="A266" s="40"/>
      <c r="B266" s="40"/>
      <c r="C266" s="119"/>
      <c r="D266" s="293" t="s">
        <v>127</v>
      </c>
      <c r="E266" s="142"/>
      <c r="F266" s="143"/>
      <c r="G266" s="143"/>
      <c r="H266" s="245"/>
      <c r="I266" s="239"/>
      <c r="J266" s="154"/>
      <c r="K266" s="154"/>
      <c r="L266" s="154"/>
      <c r="M266" s="154"/>
      <c r="N266" s="154">
        <f t="shared" si="317"/>
        <v>0</v>
      </c>
      <c r="O266" s="154">
        <f t="shared" si="317"/>
        <v>0</v>
      </c>
      <c r="P266" s="154"/>
      <c r="Q266" s="154">
        <f t="shared" si="318"/>
        <v>0</v>
      </c>
      <c r="R266" s="154">
        <f t="shared" si="318"/>
        <v>0</v>
      </c>
      <c r="S266" s="154"/>
      <c r="T266" s="154">
        <f t="shared" si="319"/>
        <v>0</v>
      </c>
      <c r="U266" s="154">
        <f t="shared" si="319"/>
        <v>0</v>
      </c>
      <c r="V266" s="159"/>
      <c r="W266" s="387"/>
      <c r="X266" s="154"/>
      <c r="Y266" s="129"/>
      <c r="Z266" s="130"/>
      <c r="AA266" s="130"/>
      <c r="AB266" s="130"/>
      <c r="AC266" s="125"/>
      <c r="AE266" s="154"/>
      <c r="AF266" s="154"/>
      <c r="AG266" s="154"/>
      <c r="AH266" s="129"/>
      <c r="AI266" s="130"/>
      <c r="AK266" s="154"/>
      <c r="AL266" s="154"/>
      <c r="AM266" s="154"/>
      <c r="AN266" s="129"/>
      <c r="AO266" s="130"/>
      <c r="AQ266" s="154"/>
      <c r="AR266" s="154"/>
      <c r="AS266" s="154"/>
      <c r="AT266" s="129"/>
      <c r="AU266" s="130"/>
      <c r="AW266" s="154"/>
      <c r="AX266" s="154"/>
      <c r="AY266" s="154"/>
      <c r="AZ266" s="129"/>
      <c r="BA266" s="130"/>
    </row>
    <row r="267" spans="1:53" ht="17.100000000000001" customHeight="1" x14ac:dyDescent="0.25">
      <c r="A267" s="40"/>
      <c r="B267" s="40"/>
      <c r="C267" s="119"/>
      <c r="D267" s="293" t="s">
        <v>417</v>
      </c>
      <c r="E267" s="142"/>
      <c r="F267" s="143"/>
      <c r="G267" s="143"/>
      <c r="H267" s="245"/>
      <c r="I267" s="239"/>
      <c r="J267" s="154"/>
      <c r="K267" s="154"/>
      <c r="L267" s="154"/>
      <c r="M267" s="154"/>
      <c r="N267" s="154">
        <f t="shared" si="317"/>
        <v>0</v>
      </c>
      <c r="O267" s="154">
        <f t="shared" si="317"/>
        <v>0</v>
      </c>
      <c r="P267" s="154"/>
      <c r="Q267" s="154">
        <f t="shared" si="318"/>
        <v>0</v>
      </c>
      <c r="R267" s="154">
        <f t="shared" si="318"/>
        <v>0</v>
      </c>
      <c r="S267" s="154"/>
      <c r="T267" s="154">
        <f t="shared" si="319"/>
        <v>0</v>
      </c>
      <c r="U267" s="154">
        <f t="shared" si="319"/>
        <v>6</v>
      </c>
      <c r="V267" s="159"/>
      <c r="W267" s="387"/>
      <c r="X267" s="154"/>
      <c r="Y267" s="129"/>
      <c r="Z267" s="130"/>
      <c r="AA267" s="130"/>
      <c r="AB267" s="130"/>
      <c r="AC267" s="125"/>
      <c r="AE267" s="154"/>
      <c r="AF267" s="154"/>
      <c r="AG267" s="154"/>
      <c r="AH267" s="129"/>
      <c r="AI267" s="130"/>
      <c r="AK267" s="154"/>
      <c r="AL267" s="154"/>
      <c r="AM267" s="154"/>
      <c r="AN267" s="129"/>
      <c r="AO267" s="130"/>
      <c r="AQ267" s="154"/>
      <c r="AR267" s="154"/>
      <c r="AS267" s="154"/>
      <c r="AT267" s="129"/>
      <c r="AU267" s="130"/>
      <c r="AW267" s="154"/>
      <c r="AX267" s="154"/>
      <c r="AY267" s="154"/>
      <c r="AZ267" s="129"/>
      <c r="BA267" s="130"/>
    </row>
    <row r="268" spans="1:53" ht="17.100000000000001" customHeight="1" x14ac:dyDescent="0.25">
      <c r="A268" s="40"/>
      <c r="B268" s="40"/>
      <c r="C268" s="119"/>
      <c r="D268" s="293" t="s">
        <v>418</v>
      </c>
      <c r="E268" s="142"/>
      <c r="F268" s="143"/>
      <c r="G268" s="143"/>
      <c r="H268" s="245"/>
      <c r="I268" s="239"/>
      <c r="J268" s="154"/>
      <c r="K268" s="154"/>
      <c r="L268" s="154"/>
      <c r="M268" s="154"/>
      <c r="N268" s="154">
        <f t="shared" si="317"/>
        <v>1</v>
      </c>
      <c r="O268" s="154">
        <f t="shared" si="317"/>
        <v>5</v>
      </c>
      <c r="P268" s="154"/>
      <c r="Q268" s="154">
        <f t="shared" si="318"/>
        <v>0</v>
      </c>
      <c r="R268" s="154">
        <f t="shared" si="318"/>
        <v>0</v>
      </c>
      <c r="S268" s="154"/>
      <c r="T268" s="154">
        <f t="shared" si="319"/>
        <v>0</v>
      </c>
      <c r="U268" s="154">
        <f t="shared" si="319"/>
        <v>0</v>
      </c>
      <c r="V268" s="159"/>
      <c r="W268" s="387"/>
      <c r="X268" s="154"/>
      <c r="Y268" s="129"/>
      <c r="Z268" s="130"/>
      <c r="AA268" s="130"/>
      <c r="AB268" s="130"/>
      <c r="AC268" s="125"/>
      <c r="AE268" s="154"/>
      <c r="AF268" s="154"/>
      <c r="AG268" s="154"/>
      <c r="AH268" s="129"/>
      <c r="AI268" s="130"/>
      <c r="AK268" s="154"/>
      <c r="AL268" s="154"/>
      <c r="AM268" s="154"/>
      <c r="AN268" s="129"/>
      <c r="AO268" s="130"/>
      <c r="AQ268" s="154"/>
      <c r="AR268" s="154"/>
      <c r="AS268" s="154"/>
      <c r="AT268" s="129"/>
      <c r="AU268" s="130"/>
      <c r="AW268" s="154"/>
      <c r="AX268" s="154"/>
      <c r="AY268" s="154"/>
      <c r="AZ268" s="129"/>
      <c r="BA268" s="130"/>
    </row>
    <row r="269" spans="1:53" s="158" customFormat="1" ht="17.100000000000001" customHeight="1" x14ac:dyDescent="0.25">
      <c r="A269" s="102"/>
      <c r="B269" s="102"/>
      <c r="C269" s="928"/>
      <c r="D269" s="944" t="s">
        <v>922</v>
      </c>
      <c r="E269" s="945"/>
      <c r="F269" s="946"/>
      <c r="G269" s="946"/>
      <c r="H269" s="242"/>
      <c r="I269" s="230"/>
      <c r="J269" s="160"/>
      <c r="K269" s="160"/>
      <c r="L269" s="160"/>
      <c r="M269" s="160"/>
      <c r="N269" s="160">
        <f>SUM(N263:N268)</f>
        <v>1</v>
      </c>
      <c r="O269" s="160">
        <f>SUM(O263:O268)</f>
        <v>5</v>
      </c>
      <c r="P269" s="160"/>
      <c r="Q269" s="160">
        <f>SUM(Q263:Q268)</f>
        <v>1</v>
      </c>
      <c r="R269" s="160">
        <f>SUM(R263:R268)</f>
        <v>4</v>
      </c>
      <c r="S269" s="160"/>
      <c r="T269" s="160">
        <f>SUM(T263:T268)</f>
        <v>0</v>
      </c>
      <c r="U269" s="160">
        <f>SUM(U263:U268)</f>
        <v>8</v>
      </c>
      <c r="V269" s="947"/>
      <c r="W269" s="948"/>
      <c r="X269" s="160"/>
      <c r="Y269" s="129"/>
      <c r="Z269" s="949"/>
      <c r="AA269" s="949"/>
      <c r="AB269" s="949"/>
      <c r="AC269" s="904"/>
      <c r="AE269" s="160"/>
      <c r="AF269" s="160"/>
      <c r="AG269" s="160"/>
      <c r="AH269" s="129"/>
      <c r="AI269" s="949"/>
      <c r="AJ269" s="409"/>
      <c r="AK269" s="160"/>
      <c r="AL269" s="160"/>
      <c r="AM269" s="160"/>
      <c r="AN269" s="129"/>
      <c r="AO269" s="949"/>
      <c r="AP269" s="409"/>
      <c r="AQ269" s="160"/>
      <c r="AR269" s="160"/>
      <c r="AS269" s="160"/>
      <c r="AT269" s="129"/>
      <c r="AU269" s="949"/>
      <c r="AV269" s="409"/>
      <c r="AW269" s="160"/>
      <c r="AX269" s="160"/>
      <c r="AY269" s="160"/>
      <c r="AZ269" s="129"/>
      <c r="BA269" s="949"/>
    </row>
    <row r="270" spans="1:53" ht="17.100000000000001" customHeight="1" x14ac:dyDescent="0.25">
      <c r="A270" s="40"/>
      <c r="B270" s="40"/>
      <c r="C270" s="119"/>
      <c r="D270" s="293" t="s">
        <v>938</v>
      </c>
      <c r="E270" s="142"/>
      <c r="F270" s="143"/>
      <c r="G270" s="143"/>
      <c r="H270" s="245"/>
      <c r="I270" s="239"/>
      <c r="J270" s="154"/>
      <c r="K270" s="154"/>
      <c r="L270" s="154"/>
      <c r="M270" s="154"/>
      <c r="N270" s="154"/>
      <c r="O270" s="154"/>
      <c r="P270" s="154"/>
      <c r="Q270" s="154"/>
      <c r="R270" s="154"/>
      <c r="S270" s="154"/>
      <c r="T270" s="154"/>
      <c r="U270" s="154"/>
      <c r="V270" s="159"/>
      <c r="W270" s="387"/>
      <c r="X270" s="154"/>
      <c r="Y270" s="129"/>
      <c r="Z270" s="130"/>
      <c r="AA270" s="130"/>
      <c r="AB270" s="130"/>
      <c r="AC270" s="125"/>
      <c r="AE270" s="154"/>
      <c r="AF270" s="154"/>
      <c r="AG270" s="154"/>
      <c r="AH270" s="129"/>
      <c r="AI270" s="130"/>
      <c r="AK270" s="154"/>
      <c r="AL270" s="154"/>
      <c r="AM270" s="154"/>
      <c r="AN270" s="129"/>
      <c r="AO270" s="130"/>
      <c r="AQ270" s="154"/>
      <c r="AR270" s="154"/>
      <c r="AS270" s="154"/>
      <c r="AT270" s="129"/>
      <c r="AU270" s="130"/>
      <c r="AW270" s="154"/>
      <c r="AX270" s="154"/>
      <c r="AY270" s="154"/>
      <c r="AZ270" s="129"/>
      <c r="BA270" s="130"/>
    </row>
    <row r="271" spans="1:53" ht="17.100000000000001" customHeight="1" x14ac:dyDescent="0.25">
      <c r="A271" s="40"/>
      <c r="B271" s="40"/>
      <c r="C271" s="119"/>
      <c r="D271" s="293" t="s">
        <v>414</v>
      </c>
      <c r="E271" s="142"/>
      <c r="F271" s="143"/>
      <c r="G271" s="143"/>
      <c r="H271" s="245"/>
      <c r="I271" s="239"/>
      <c r="J271" s="154"/>
      <c r="K271" s="154"/>
      <c r="L271" s="154"/>
      <c r="M271" s="154"/>
      <c r="N271" s="950">
        <f>IF(N263&gt;0,N263*2,0)</f>
        <v>0</v>
      </c>
      <c r="O271" s="950">
        <f>IF(O263&gt;0,O263*2,0)</f>
        <v>0</v>
      </c>
      <c r="P271" s="154"/>
      <c r="Q271" s="950">
        <f>IF(Q263&gt;0,Q263*2,0)</f>
        <v>0</v>
      </c>
      <c r="R271" s="950">
        <f>IF(R263&gt;0,R263*2,0)</f>
        <v>0</v>
      </c>
      <c r="S271" s="154"/>
      <c r="T271" s="950">
        <f>IF(T263&gt;0,T263*2,0)</f>
        <v>0</v>
      </c>
      <c r="U271" s="950">
        <f>IF(U263&gt;0,U263*2,0)</f>
        <v>0</v>
      </c>
      <c r="V271" s="159"/>
      <c r="W271" s="387"/>
      <c r="X271" s="154"/>
      <c r="Y271" s="129"/>
      <c r="Z271" s="130"/>
      <c r="AA271" s="130"/>
      <c r="AB271" s="130"/>
      <c r="AC271" s="125"/>
      <c r="AE271" s="154"/>
      <c r="AF271" s="154"/>
      <c r="AG271" s="154"/>
      <c r="AH271" s="129"/>
      <c r="AI271" s="130"/>
      <c r="AK271" s="154"/>
      <c r="AL271" s="154"/>
      <c r="AM271" s="154"/>
      <c r="AN271" s="129"/>
      <c r="AO271" s="130"/>
      <c r="AQ271" s="154"/>
      <c r="AR271" s="154"/>
      <c r="AS271" s="154"/>
      <c r="AT271" s="129"/>
      <c r="AU271" s="130"/>
      <c r="AW271" s="154"/>
      <c r="AX271" s="154"/>
      <c r="AY271" s="154"/>
      <c r="AZ271" s="129"/>
      <c r="BA271" s="130"/>
    </row>
    <row r="272" spans="1:53" ht="17.100000000000001" customHeight="1" x14ac:dyDescent="0.25">
      <c r="A272" s="40"/>
      <c r="B272" s="40"/>
      <c r="C272" s="119"/>
      <c r="D272" s="293" t="s">
        <v>415</v>
      </c>
      <c r="E272" s="142"/>
      <c r="F272" s="143"/>
      <c r="G272" s="143"/>
      <c r="H272" s="245"/>
      <c r="I272" s="239"/>
      <c r="J272" s="154"/>
      <c r="K272" s="154"/>
      <c r="L272" s="154"/>
      <c r="M272" s="154"/>
      <c r="N272" s="950">
        <f>IF(N264&gt;0,N264*3,0)</f>
        <v>0</v>
      </c>
      <c r="O272" s="950">
        <f>IF(O264&gt;0,O264*3,0)</f>
        <v>0</v>
      </c>
      <c r="P272" s="154"/>
      <c r="Q272" s="950">
        <f>IF(Q264&gt;0,Q264*3,0)</f>
        <v>3</v>
      </c>
      <c r="R272" s="950">
        <f>IF(R264&gt;0,R264*3,0)</f>
        <v>3</v>
      </c>
      <c r="S272" s="154"/>
      <c r="T272" s="950">
        <f>IF(T264&gt;0,T264*3,0)</f>
        <v>0</v>
      </c>
      <c r="U272" s="950">
        <f>IF(U264&gt;0,U264*3,0)</f>
        <v>6</v>
      </c>
      <c r="V272" s="159"/>
      <c r="W272" s="387"/>
      <c r="X272" s="154"/>
      <c r="Y272" s="129"/>
      <c r="Z272" s="130"/>
      <c r="AA272" s="130"/>
      <c r="AB272" s="130"/>
      <c r="AC272" s="125"/>
      <c r="AE272" s="154"/>
      <c r="AF272" s="154"/>
      <c r="AG272" s="154"/>
      <c r="AH272" s="129"/>
      <c r="AI272" s="130"/>
      <c r="AK272" s="154"/>
      <c r="AL272" s="154"/>
      <c r="AM272" s="154"/>
      <c r="AN272" s="129"/>
      <c r="AO272" s="130"/>
      <c r="AQ272" s="154"/>
      <c r="AR272" s="154"/>
      <c r="AS272" s="154"/>
      <c r="AT272" s="129"/>
      <c r="AU272" s="130"/>
      <c r="AW272" s="154"/>
      <c r="AX272" s="154"/>
      <c r="AY272" s="154"/>
      <c r="AZ272" s="129"/>
      <c r="BA272" s="130"/>
    </row>
    <row r="273" spans="1:53" ht="17.100000000000001" customHeight="1" x14ac:dyDescent="0.25">
      <c r="A273" s="40"/>
      <c r="B273" s="40"/>
      <c r="C273" s="119"/>
      <c r="D273" s="293" t="s">
        <v>416</v>
      </c>
      <c r="E273" s="142"/>
      <c r="F273" s="143"/>
      <c r="G273" s="143"/>
      <c r="H273" s="245"/>
      <c r="I273" s="239"/>
      <c r="J273" s="154"/>
      <c r="K273" s="154"/>
      <c r="L273" s="154"/>
      <c r="M273" s="154"/>
      <c r="N273" s="950">
        <f>IF(N265&gt;0,N265*4,0)</f>
        <v>0</v>
      </c>
      <c r="O273" s="950">
        <f>IF(O265&gt;0,O265*4,0)</f>
        <v>0</v>
      </c>
      <c r="P273" s="154"/>
      <c r="Q273" s="950">
        <f>IF(Q265&gt;0,Q265*4,0)</f>
        <v>0</v>
      </c>
      <c r="R273" s="950">
        <f>IF(R265&gt;0,R265*4,0)</f>
        <v>12</v>
      </c>
      <c r="S273" s="154"/>
      <c r="T273" s="950">
        <f>IF(T265&gt;0,T265*4,0)</f>
        <v>0</v>
      </c>
      <c r="U273" s="950">
        <f>IF(U265&gt;0,U265*4,0)</f>
        <v>0</v>
      </c>
      <c r="V273" s="159"/>
      <c r="W273" s="387"/>
      <c r="X273" s="154"/>
      <c r="Y273" s="129"/>
      <c r="Z273" s="130"/>
      <c r="AA273" s="130"/>
      <c r="AB273" s="130"/>
      <c r="AC273" s="125"/>
      <c r="AE273" s="154"/>
      <c r="AF273" s="154"/>
      <c r="AG273" s="154"/>
      <c r="AH273" s="129"/>
      <c r="AI273" s="130"/>
      <c r="AK273" s="154"/>
      <c r="AL273" s="154"/>
      <c r="AM273" s="154"/>
      <c r="AN273" s="129"/>
      <c r="AO273" s="130"/>
      <c r="AQ273" s="154"/>
      <c r="AR273" s="154"/>
      <c r="AS273" s="154"/>
      <c r="AT273" s="129"/>
      <c r="AU273" s="130"/>
      <c r="AW273" s="154"/>
      <c r="AX273" s="154"/>
      <c r="AY273" s="154"/>
      <c r="AZ273" s="129"/>
      <c r="BA273" s="130"/>
    </row>
    <row r="274" spans="1:53" ht="17.100000000000001" customHeight="1" x14ac:dyDescent="0.25">
      <c r="A274" s="40"/>
      <c r="B274" s="40"/>
      <c r="C274" s="119"/>
      <c r="D274" s="293" t="s">
        <v>127</v>
      </c>
      <c r="E274" s="142"/>
      <c r="F274" s="143"/>
      <c r="G274" s="143"/>
      <c r="H274" s="245"/>
      <c r="I274" s="239"/>
      <c r="J274" s="154"/>
      <c r="K274" s="154"/>
      <c r="L274" s="154"/>
      <c r="M274" s="154"/>
      <c r="N274" s="950">
        <f>IF(N266&gt;0,N266*5,0)</f>
        <v>0</v>
      </c>
      <c r="O274" s="950">
        <f>IF(O266&gt;0,O266*5,0)</f>
        <v>0</v>
      </c>
      <c r="P274" s="154"/>
      <c r="Q274" s="950">
        <f>IF(Q266&gt;0,Q266*5,0)</f>
        <v>0</v>
      </c>
      <c r="R274" s="950">
        <f>IF(R266&gt;0,R266*5,0)</f>
        <v>0</v>
      </c>
      <c r="S274" s="154"/>
      <c r="T274" s="950">
        <f>IF(T266&gt;0,T266*5,0)</f>
        <v>0</v>
      </c>
      <c r="U274" s="950">
        <f>IF(U266&gt;0,U266*5,0)</f>
        <v>0</v>
      </c>
      <c r="V274" s="159"/>
      <c r="W274" s="387"/>
      <c r="X274" s="154"/>
      <c r="Y274" s="129"/>
      <c r="Z274" s="130"/>
      <c r="AA274" s="130"/>
      <c r="AB274" s="130"/>
      <c r="AC274" s="125"/>
      <c r="AE274" s="154"/>
      <c r="AF274" s="154"/>
      <c r="AG274" s="154"/>
      <c r="AH274" s="129"/>
      <c r="AI274" s="130"/>
      <c r="AK274" s="154"/>
      <c r="AL274" s="154"/>
      <c r="AM274" s="154"/>
      <c r="AN274" s="129"/>
      <c r="AO274" s="130"/>
      <c r="AQ274" s="154"/>
      <c r="AR274" s="154"/>
      <c r="AS274" s="154"/>
      <c r="AT274" s="129"/>
      <c r="AU274" s="130"/>
      <c r="AW274" s="154"/>
      <c r="AX274" s="154"/>
      <c r="AY274" s="154"/>
      <c r="AZ274" s="129"/>
      <c r="BA274" s="130"/>
    </row>
    <row r="275" spans="1:53" ht="17.100000000000001" customHeight="1" x14ac:dyDescent="0.25">
      <c r="A275" s="40"/>
      <c r="B275" s="40"/>
      <c r="C275" s="119"/>
      <c r="D275" s="293" t="s">
        <v>417</v>
      </c>
      <c r="E275" s="142"/>
      <c r="F275" s="143"/>
      <c r="G275" s="143"/>
      <c r="H275" s="245"/>
      <c r="I275" s="239"/>
      <c r="J275" s="154"/>
      <c r="K275" s="154"/>
      <c r="L275" s="154"/>
      <c r="M275" s="154"/>
      <c r="N275" s="950">
        <f>IF(N267&gt;0,N267*6,0)</f>
        <v>0</v>
      </c>
      <c r="O275" s="950">
        <f>IF(O267&gt;0,O267*6,0)</f>
        <v>0</v>
      </c>
      <c r="P275" s="154"/>
      <c r="Q275" s="950">
        <f>IF(Q267&gt;0,Q267*6,0)</f>
        <v>0</v>
      </c>
      <c r="R275" s="950">
        <f>IF(R267&gt;0,R267*6,0)</f>
        <v>0</v>
      </c>
      <c r="S275" s="154"/>
      <c r="T275" s="950">
        <f>IF(T267&gt;0,T267*6,0)</f>
        <v>0</v>
      </c>
      <c r="U275" s="950">
        <f>IF(U267&gt;0,U267*6,0)</f>
        <v>36</v>
      </c>
      <c r="V275" s="159"/>
      <c r="W275" s="387"/>
      <c r="X275" s="154"/>
      <c r="Y275" s="129"/>
      <c r="Z275" s="130"/>
      <c r="AA275" s="130"/>
      <c r="AB275" s="130"/>
      <c r="AC275" s="125"/>
      <c r="AE275" s="154"/>
      <c r="AF275" s="154"/>
      <c r="AG275" s="154"/>
      <c r="AH275" s="129"/>
      <c r="AI275" s="130"/>
      <c r="AK275" s="154"/>
      <c r="AL275" s="154"/>
      <c r="AM275" s="154"/>
      <c r="AN275" s="129"/>
      <c r="AO275" s="130"/>
      <c r="AQ275" s="154"/>
      <c r="AR275" s="154"/>
      <c r="AS275" s="154"/>
      <c r="AT275" s="129"/>
      <c r="AU275" s="130"/>
      <c r="AW275" s="154"/>
      <c r="AX275" s="154"/>
      <c r="AY275" s="154"/>
      <c r="AZ275" s="129"/>
      <c r="BA275" s="130"/>
    </row>
    <row r="276" spans="1:53" ht="17.100000000000001" customHeight="1" x14ac:dyDescent="0.25">
      <c r="A276" s="951"/>
      <c r="B276" s="951"/>
      <c r="C276" s="119"/>
      <c r="D276" s="293" t="s">
        <v>418</v>
      </c>
      <c r="E276" s="142"/>
      <c r="F276" s="143"/>
      <c r="G276" s="143"/>
      <c r="H276" s="245"/>
      <c r="I276" s="239"/>
      <c r="J276" s="154"/>
      <c r="K276" s="154"/>
      <c r="L276" s="154"/>
      <c r="M276" s="154"/>
      <c r="N276" s="950">
        <f>IF(N268&gt;0,N268*7.5,0)</f>
        <v>7.5</v>
      </c>
      <c r="O276" s="950">
        <f>IF(O268&gt;0,O268*7.5,"")</f>
        <v>37.5</v>
      </c>
      <c r="P276" s="154"/>
      <c r="Q276" s="950">
        <f>IF(Q268&gt;0,Q268*7.5,0)</f>
        <v>0</v>
      </c>
      <c r="R276" s="950" t="str">
        <f>IF(R268&gt;0,R268*7.5,"")</f>
        <v/>
      </c>
      <c r="S276" s="154"/>
      <c r="T276" s="950">
        <f>IF(T268&gt;0,T268*7.5,0)</f>
        <v>0</v>
      </c>
      <c r="U276" s="950" t="str">
        <f>IF(U268&gt;0,U268*7.5,"")</f>
        <v/>
      </c>
      <c r="V276" s="159"/>
      <c r="W276" s="387"/>
      <c r="X276" s="154"/>
      <c r="Y276" s="129"/>
      <c r="Z276" s="130"/>
      <c r="AA276" s="130"/>
      <c r="AB276" s="130"/>
      <c r="AC276" s="125"/>
      <c r="AE276" s="154"/>
      <c r="AF276" s="154"/>
      <c r="AG276" s="154"/>
      <c r="AH276" s="129"/>
      <c r="AI276" s="130"/>
      <c r="AK276" s="154"/>
      <c r="AL276" s="154"/>
      <c r="AM276" s="154"/>
      <c r="AN276" s="129"/>
      <c r="AO276" s="130"/>
      <c r="AQ276" s="154"/>
      <c r="AR276" s="154"/>
      <c r="AS276" s="154"/>
      <c r="AT276" s="129"/>
      <c r="AU276" s="130"/>
      <c r="AW276" s="154"/>
      <c r="AX276" s="154"/>
      <c r="AY276" s="154"/>
      <c r="AZ276" s="129"/>
      <c r="BA276" s="130"/>
    </row>
    <row r="277" spans="1:53" ht="17.100000000000001" customHeight="1" x14ac:dyDescent="0.25">
      <c r="A277" s="40"/>
      <c r="B277" s="40"/>
      <c r="C277" s="119"/>
      <c r="D277" s="293" t="s">
        <v>1441</v>
      </c>
      <c r="E277" s="142"/>
      <c r="F277" s="143"/>
      <c r="G277" s="143"/>
      <c r="H277" s="245"/>
      <c r="I277" s="239"/>
      <c r="J277" s="534"/>
      <c r="K277" s="154"/>
      <c r="L277" s="154"/>
      <c r="M277" s="154"/>
      <c r="N277" s="952">
        <f>SUM(N271:N276)</f>
        <v>7.5</v>
      </c>
      <c r="O277" s="952">
        <f>SUM(O271:O276)</f>
        <v>37.5</v>
      </c>
      <c r="P277" s="154"/>
      <c r="Q277" s="952">
        <f>SUM(Q271:Q276)</f>
        <v>3</v>
      </c>
      <c r="R277" s="952">
        <f>SUM(R271:R276)</f>
        <v>15</v>
      </c>
      <c r="S277" s="154"/>
      <c r="T277" s="952">
        <f>SUM(T271:T276)</f>
        <v>0</v>
      </c>
      <c r="U277" s="952">
        <f>SUM(U271:U276)</f>
        <v>42</v>
      </c>
      <c r="V277" s="159"/>
      <c r="W277" s="387"/>
      <c r="X277" s="154"/>
      <c r="Y277" s="129"/>
      <c r="Z277" s="130"/>
      <c r="AA277" s="130"/>
      <c r="AB277" s="130"/>
      <c r="AC277" s="125"/>
      <c r="AE277" s="154"/>
      <c r="AF277" s="154"/>
      <c r="AG277" s="154"/>
      <c r="AH277" s="129"/>
      <c r="AI277" s="130"/>
      <c r="AK277" s="154"/>
      <c r="AL277" s="154"/>
      <c r="AM277" s="154"/>
      <c r="AN277" s="129"/>
      <c r="AO277" s="130"/>
      <c r="AQ277" s="154"/>
      <c r="AR277" s="154"/>
      <c r="AS277" s="154"/>
      <c r="AT277" s="129"/>
      <c r="AU277" s="130"/>
      <c r="AW277" s="154"/>
      <c r="AX277" s="154"/>
      <c r="AY277" s="154"/>
      <c r="AZ277" s="129"/>
      <c r="BA277" s="130"/>
    </row>
    <row r="278" spans="1:53" s="409" customFormat="1" ht="17.100000000000001" customHeight="1" x14ac:dyDescent="0.25">
      <c r="A278" s="928"/>
      <c r="B278" s="928"/>
      <c r="C278" s="928"/>
      <c r="D278" s="559" t="s">
        <v>939</v>
      </c>
      <c r="E278" s="556"/>
      <c r="F278" s="92"/>
      <c r="G278" s="92"/>
      <c r="H278" s="242"/>
      <c r="I278" s="230"/>
      <c r="J278" s="536"/>
      <c r="K278" s="536"/>
      <c r="L278" s="155"/>
      <c r="M278" s="155"/>
      <c r="N278" s="536">
        <f>IF(N269=0,"",N277/N269)</f>
        <v>7.5</v>
      </c>
      <c r="O278" s="536">
        <f>IF(O269=0,"",O277/O269)</f>
        <v>7.5</v>
      </c>
      <c r="P278" s="155"/>
      <c r="Q278" s="536">
        <f>IF(Q269=0,"",Q277/Q269)</f>
        <v>3</v>
      </c>
      <c r="R278" s="536">
        <f>IF(R269=0,"",R277/R269)</f>
        <v>3.75</v>
      </c>
      <c r="S278" s="155"/>
      <c r="T278" s="536" t="str">
        <f>IF(T269=0,"",T277/T269)</f>
        <v/>
      </c>
      <c r="U278" s="536">
        <f>IF(U269=0,"",U277/U269)</f>
        <v>5.25</v>
      </c>
      <c r="V278" s="366"/>
      <c r="W278" s="550">
        <f>AS278</f>
        <v>5.25</v>
      </c>
      <c r="X278" s="537">
        <f>AY278</f>
        <v>5.5</v>
      </c>
      <c r="Y278" s="537">
        <f>AC278</f>
        <v>5.4</v>
      </c>
      <c r="Z278" s="201"/>
      <c r="AA278" s="340">
        <f>MIN(N278:U278)</f>
        <v>3</v>
      </c>
      <c r="AB278" s="340">
        <f>MAX(N278:U278)</f>
        <v>7.5</v>
      </c>
      <c r="AC278" s="560">
        <f>IF(SUM(N278:U278)=0,0,AVERAGE(N278:U278))</f>
        <v>5.4</v>
      </c>
      <c r="AE278" s="155"/>
      <c r="AF278" s="155"/>
      <c r="AG278" s="155"/>
      <c r="AH278" s="927"/>
      <c r="AI278" s="201"/>
      <c r="AK278" s="155"/>
      <c r="AL278" s="155"/>
      <c r="AM278" s="155"/>
      <c r="AN278" s="927"/>
      <c r="AO278" s="201"/>
      <c r="AQ278" s="537">
        <f>MIN(N278,Q278,T278)</f>
        <v>3</v>
      </c>
      <c r="AR278" s="537">
        <f>MAX(N278,Q278,T278)</f>
        <v>7.5</v>
      </c>
      <c r="AS278" s="537">
        <f>IF(N277+Q277+T277=0,0,AVERAGE(N278,Q278,T278))</f>
        <v>5.25</v>
      </c>
      <c r="AT278" s="560"/>
      <c r="AU278" s="340"/>
      <c r="AV278" s="561"/>
      <c r="AW278" s="537">
        <f>MIN(O278,R278,U278)</f>
        <v>3.75</v>
      </c>
      <c r="AX278" s="537">
        <f>MAX(O278,R278,U278)</f>
        <v>7.5</v>
      </c>
      <c r="AY278" s="537">
        <f>IF(O277+R277+U277=0,0,AVERAGE(O278,R278,U278))</f>
        <v>5.5</v>
      </c>
      <c r="AZ278" s="927"/>
      <c r="BA278" s="201"/>
    </row>
    <row r="279" spans="1:53" s="964" customFormat="1" ht="17.100000000000001" customHeight="1" x14ac:dyDescent="0.25">
      <c r="A279" s="177"/>
      <c r="B279" s="177"/>
      <c r="C279" s="953"/>
      <c r="D279" s="954" t="s">
        <v>946</v>
      </c>
      <c r="E279" s="955"/>
      <c r="F279" s="956"/>
      <c r="G279" s="956"/>
      <c r="H279" s="957"/>
      <c r="I279" s="958"/>
      <c r="J279" s="950"/>
      <c r="K279" s="950"/>
      <c r="L279" s="950"/>
      <c r="M279" s="950"/>
      <c r="N279" s="952">
        <f>IF(N277=0,0,N278)</f>
        <v>7.5</v>
      </c>
      <c r="O279" s="952">
        <f>IF(O277=0,0,O278)</f>
        <v>7.5</v>
      </c>
      <c r="P279" s="952"/>
      <c r="Q279" s="952">
        <f>IF(Q277=0,0,Q278)</f>
        <v>3</v>
      </c>
      <c r="R279" s="952">
        <f>IF(R277=0,0,R278)</f>
        <v>3.75</v>
      </c>
      <c r="S279" s="952"/>
      <c r="T279" s="952">
        <f>IF(T277=0,0,T278)</f>
        <v>0</v>
      </c>
      <c r="U279" s="952">
        <f>IF(U277=0,0,U278)</f>
        <v>5.25</v>
      </c>
      <c r="V279" s="959"/>
      <c r="W279" s="960"/>
      <c r="X279" s="950"/>
      <c r="Y279" s="961"/>
      <c r="Z279" s="962"/>
      <c r="AA279" s="962"/>
      <c r="AB279" s="962"/>
      <c r="AC279" s="963"/>
      <c r="AE279" s="950"/>
      <c r="AF279" s="950"/>
      <c r="AG279" s="950"/>
      <c r="AH279" s="961"/>
      <c r="AI279" s="962"/>
      <c r="AJ279" s="965"/>
      <c r="AK279" s="950"/>
      <c r="AL279" s="950"/>
      <c r="AM279" s="950"/>
      <c r="AN279" s="961"/>
      <c r="AO279" s="962"/>
      <c r="AP279" s="965"/>
      <c r="AQ279" s="950"/>
      <c r="AR279" s="950"/>
      <c r="AS279" s="950"/>
      <c r="AT279" s="961"/>
      <c r="AU279" s="962"/>
      <c r="AV279" s="965"/>
      <c r="AW279" s="950"/>
      <c r="AX279" s="950"/>
      <c r="AY279" s="950"/>
      <c r="AZ279" s="961"/>
      <c r="BA279" s="962"/>
    </row>
    <row r="280" spans="1:53" ht="17.100000000000001" customHeight="1" x14ac:dyDescent="0.25">
      <c r="A280" s="40"/>
      <c r="B280" s="40"/>
      <c r="C280" s="40"/>
      <c r="D280" s="930" t="s">
        <v>937</v>
      </c>
      <c r="E280" s="150"/>
      <c r="F280" s="151"/>
      <c r="G280" s="151"/>
      <c r="H280" s="119"/>
      <c r="I280" s="236"/>
      <c r="J280" s="152"/>
      <c r="K280" s="152"/>
      <c r="L280" s="111"/>
      <c r="M280" s="111"/>
      <c r="N280" s="111"/>
      <c r="O280" s="111"/>
      <c r="P280" s="111"/>
      <c r="Q280" s="111"/>
      <c r="R280" s="111"/>
      <c r="S280" s="111"/>
      <c r="T280" s="111"/>
      <c r="U280" s="111"/>
      <c r="V280" s="358"/>
      <c r="W280" s="380"/>
      <c r="X280" s="111"/>
      <c r="Y280" s="932"/>
      <c r="Z280" s="131"/>
      <c r="AA280" s="131"/>
      <c r="AB280" s="131"/>
      <c r="AC280" s="113"/>
      <c r="AE280" s="152"/>
      <c r="AF280" s="152"/>
      <c r="AG280" s="111"/>
      <c r="AH280" s="932"/>
      <c r="AI280" s="131"/>
      <c r="AK280" s="152"/>
      <c r="AL280" s="152"/>
      <c r="AM280" s="111"/>
      <c r="AN280" s="932"/>
      <c r="AO280" s="131"/>
      <c r="AQ280" s="152"/>
      <c r="AR280" s="152"/>
      <c r="AS280" s="111"/>
      <c r="AT280" s="932"/>
      <c r="AU280" s="131"/>
      <c r="AW280" s="152"/>
      <c r="AX280" s="152"/>
      <c r="AY280" s="111"/>
      <c r="AZ280" s="932"/>
      <c r="BA280" s="131"/>
    </row>
    <row r="281" spans="1:53" ht="17.100000000000001" customHeight="1" x14ac:dyDescent="0.25">
      <c r="A281" s="40"/>
      <c r="B281" s="40"/>
      <c r="C281" s="119"/>
      <c r="D281" s="535" t="s">
        <v>947</v>
      </c>
      <c r="E281" s="418"/>
      <c r="F281" s="418"/>
      <c r="G281" s="418"/>
      <c r="H281" s="245"/>
      <c r="I281" s="239"/>
      <c r="J281" s="154"/>
      <c r="K281" s="154"/>
      <c r="L281" s="154"/>
      <c r="M281" s="154"/>
      <c r="N281" s="533">
        <f>1*$J$250+((N279-1)*$J$251)</f>
        <v>2.8482142857142794</v>
      </c>
      <c r="O281" s="533">
        <f>1*$J$250+((O279-1)*$J$251)</f>
        <v>2.8482142857142794</v>
      </c>
      <c r="P281" s="534"/>
      <c r="Q281" s="533">
        <f>1*$J$250+((Q279-1)*$J$251)</f>
        <v>1.0803571428571406</v>
      </c>
      <c r="R281" s="533">
        <f>1*$J$250+((R279-1)*$J$251)</f>
        <v>1.3749999999999971</v>
      </c>
      <c r="S281" s="154"/>
      <c r="T281" s="533">
        <f>1*$J$250+((T279-1)*$J$251)</f>
        <v>-9.8214285714285476E-2</v>
      </c>
      <c r="U281" s="533">
        <f>1*$J$250+((U279-1)*$J$251)</f>
        <v>1.9642857142857102</v>
      </c>
      <c r="V281" s="159"/>
      <c r="W281" s="387"/>
      <c r="X281" s="154"/>
      <c r="Y281" s="129"/>
      <c r="Z281" s="130"/>
      <c r="AA281" s="130"/>
      <c r="AB281" s="130"/>
      <c r="AC281" s="125"/>
      <c r="AE281" s="154"/>
      <c r="AF281" s="154"/>
      <c r="AG281" s="154"/>
      <c r="AH281" s="129"/>
      <c r="AI281" s="130"/>
      <c r="AK281" s="154"/>
      <c r="AL281" s="154"/>
      <c r="AM281" s="154"/>
      <c r="AN281" s="129"/>
      <c r="AO281" s="130"/>
      <c r="AQ281" s="154"/>
      <c r="AR281" s="154"/>
      <c r="AS281" s="154"/>
      <c r="AT281" s="129"/>
      <c r="AU281" s="130"/>
      <c r="AW281" s="154"/>
      <c r="AX281" s="154"/>
      <c r="AY281" s="154"/>
      <c r="AZ281" s="129"/>
      <c r="BA281" s="130"/>
    </row>
    <row r="282" spans="1:53" ht="17.100000000000001" customHeight="1" x14ac:dyDescent="0.25">
      <c r="A282" s="40"/>
      <c r="B282" s="40"/>
      <c r="C282" s="119"/>
      <c r="D282" s="535" t="s">
        <v>948</v>
      </c>
      <c r="E282" s="418"/>
      <c r="F282" s="418"/>
      <c r="G282" s="418"/>
      <c r="H282" s="245"/>
      <c r="I282" s="239"/>
      <c r="J282" s="154"/>
      <c r="K282" s="154"/>
      <c r="L282" s="154"/>
      <c r="M282" s="154"/>
      <c r="N282" s="533">
        <f>1*$J$252+((N279-1)*$J$253)</f>
        <v>2.7499999999999942</v>
      </c>
      <c r="O282" s="533">
        <f>1*$J$252+((O279-1)*$J$253)</f>
        <v>2.7499999999999942</v>
      </c>
      <c r="P282" s="534"/>
      <c r="Q282" s="533">
        <f>1*$J$252+((Q279-1)*$J$253)</f>
        <v>0.98214285714285499</v>
      </c>
      <c r="R282" s="533">
        <f>1*$J$252+((R279-1)*$J$253)</f>
        <v>1.2767857142857115</v>
      </c>
      <c r="S282" s="154"/>
      <c r="T282" s="533">
        <f>1*$J$252+((T279-1)*$J$253)</f>
        <v>-0.19642857142857101</v>
      </c>
      <c r="U282" s="533">
        <f>1*$J$252+((U279-1)*$J$253)</f>
        <v>1.8660714285714246</v>
      </c>
      <c r="V282" s="159"/>
      <c r="W282" s="387"/>
      <c r="X282" s="154"/>
      <c r="Y282" s="129"/>
      <c r="Z282" s="130"/>
      <c r="AA282" s="130"/>
      <c r="AB282" s="130"/>
      <c r="AC282" s="125"/>
      <c r="AE282" s="154"/>
      <c r="AF282" s="154"/>
      <c r="AG282" s="154"/>
      <c r="AH282" s="129"/>
      <c r="AI282" s="130"/>
      <c r="AK282" s="154"/>
      <c r="AL282" s="154"/>
      <c r="AM282" s="154"/>
      <c r="AN282" s="129"/>
      <c r="AO282" s="130"/>
      <c r="AQ282" s="154"/>
      <c r="AR282" s="154"/>
      <c r="AS282" s="154"/>
      <c r="AT282" s="129"/>
      <c r="AU282" s="130"/>
      <c r="AW282" s="154"/>
      <c r="AX282" s="154"/>
      <c r="AY282" s="154"/>
      <c r="AZ282" s="129"/>
      <c r="BA282" s="130"/>
    </row>
    <row r="283" spans="1:53" ht="17.100000000000001" customHeight="1" x14ac:dyDescent="0.25">
      <c r="A283" s="40"/>
      <c r="B283" s="40"/>
      <c r="C283" s="119"/>
      <c r="D283" s="535" t="s">
        <v>949</v>
      </c>
      <c r="E283" s="418"/>
      <c r="F283" s="418"/>
      <c r="G283" s="418"/>
      <c r="H283" s="245"/>
      <c r="I283" s="239"/>
      <c r="J283" s="154"/>
      <c r="K283" s="154"/>
      <c r="L283" s="154"/>
      <c r="M283" s="154"/>
      <c r="N283" s="533">
        <f>(N279-1)*$J$255</f>
        <v>2.5535714285714231</v>
      </c>
      <c r="O283" s="533">
        <f>(O279-1)*$J$255</f>
        <v>2.5535714285714231</v>
      </c>
      <c r="P283" s="534"/>
      <c r="Q283" s="533">
        <f>(Q279-1)*$J$255</f>
        <v>0.78571428571428403</v>
      </c>
      <c r="R283" s="533">
        <f>(R279-1)*$J$255</f>
        <v>1.0803571428571406</v>
      </c>
      <c r="S283" s="154"/>
      <c r="T283" s="533">
        <f>(T279-1)*$J$255</f>
        <v>-0.39285714285714202</v>
      </c>
      <c r="U283" s="533">
        <f>(U279-1)*$J$255</f>
        <v>1.6696428571428537</v>
      </c>
      <c r="V283" s="159"/>
      <c r="W283" s="387"/>
      <c r="X283" s="154"/>
      <c r="Y283" s="129"/>
      <c r="Z283" s="130"/>
      <c r="AA283" s="130"/>
      <c r="AB283" s="130"/>
      <c r="AC283" s="125"/>
      <c r="AE283" s="154"/>
      <c r="AF283" s="154"/>
      <c r="AG283" s="154"/>
      <c r="AH283" s="129"/>
      <c r="AI283" s="130"/>
      <c r="AK283" s="154"/>
      <c r="AL283" s="154"/>
      <c r="AM283" s="154"/>
      <c r="AN283" s="129"/>
      <c r="AO283" s="130"/>
      <c r="AQ283" s="154"/>
      <c r="AR283" s="154"/>
      <c r="AS283" s="154"/>
      <c r="AT283" s="129"/>
      <c r="AU283" s="130"/>
      <c r="AW283" s="154"/>
      <c r="AX283" s="154"/>
      <c r="AY283" s="154"/>
      <c r="AZ283" s="129"/>
      <c r="BA283" s="130"/>
    </row>
    <row r="284" spans="1:53" ht="17.100000000000001" customHeight="1" x14ac:dyDescent="0.25">
      <c r="A284" s="40"/>
      <c r="B284" s="40"/>
      <c r="C284" s="119"/>
      <c r="D284" s="535" t="s">
        <v>950</v>
      </c>
      <c r="E284" s="418"/>
      <c r="F284" s="418"/>
      <c r="G284" s="418"/>
      <c r="H284" s="245"/>
      <c r="I284" s="239"/>
      <c r="J284" s="154"/>
      <c r="K284" s="154"/>
      <c r="L284" s="154"/>
      <c r="M284" s="154"/>
      <c r="N284" s="533">
        <f t="shared" ref="N284:O286" si="320">N257*N281</f>
        <v>0</v>
      </c>
      <c r="O284" s="533">
        <f t="shared" si="320"/>
        <v>0</v>
      </c>
      <c r="P284" s="534"/>
      <c r="Q284" s="533">
        <f t="shared" ref="Q284:R286" si="321">Q257*Q281</f>
        <v>1.0803571428571406</v>
      </c>
      <c r="R284" s="533">
        <f t="shared" si="321"/>
        <v>0</v>
      </c>
      <c r="S284" s="154"/>
      <c r="T284" s="533">
        <f t="shared" ref="T284:U286" si="322">T257*T281</f>
        <v>0</v>
      </c>
      <c r="U284" s="533">
        <f t="shared" si="322"/>
        <v>0</v>
      </c>
      <c r="V284" s="159"/>
      <c r="W284" s="387"/>
      <c r="X284" s="154"/>
      <c r="Y284" s="129"/>
      <c r="Z284" s="130"/>
      <c r="AA284" s="130"/>
      <c r="AB284" s="130"/>
      <c r="AC284" s="125"/>
      <c r="AE284" s="154"/>
      <c r="AF284" s="154"/>
      <c r="AG284" s="154"/>
      <c r="AH284" s="129"/>
      <c r="AI284" s="130"/>
      <c r="AK284" s="154"/>
      <c r="AL284" s="154"/>
      <c r="AM284" s="154"/>
      <c r="AN284" s="129"/>
      <c r="AO284" s="130"/>
      <c r="AQ284" s="154"/>
      <c r="AR284" s="154"/>
      <c r="AS284" s="154"/>
      <c r="AT284" s="129"/>
      <c r="AU284" s="130"/>
      <c r="AW284" s="154"/>
      <c r="AX284" s="154"/>
      <c r="AY284" s="154"/>
      <c r="AZ284" s="129"/>
      <c r="BA284" s="130"/>
    </row>
    <row r="285" spans="1:53" ht="17.100000000000001" customHeight="1" x14ac:dyDescent="0.25">
      <c r="A285" s="40"/>
      <c r="B285" s="40"/>
      <c r="C285" s="119"/>
      <c r="D285" s="535" t="s">
        <v>951</v>
      </c>
      <c r="E285" s="418"/>
      <c r="F285" s="418"/>
      <c r="G285" s="418"/>
      <c r="H285" s="245"/>
      <c r="I285" s="239"/>
      <c r="J285" s="154"/>
      <c r="K285" s="154"/>
      <c r="L285" s="154"/>
      <c r="M285" s="154"/>
      <c r="N285" s="533">
        <f t="shared" si="320"/>
        <v>0</v>
      </c>
      <c r="O285" s="533">
        <f t="shared" si="320"/>
        <v>0</v>
      </c>
      <c r="P285" s="534"/>
      <c r="Q285" s="533">
        <f t="shared" si="321"/>
        <v>0</v>
      </c>
      <c r="R285" s="533">
        <f t="shared" si="321"/>
        <v>2.5535714285714231</v>
      </c>
      <c r="S285" s="154"/>
      <c r="T285" s="533">
        <f t="shared" si="322"/>
        <v>0</v>
      </c>
      <c r="U285" s="533">
        <f t="shared" si="322"/>
        <v>0</v>
      </c>
      <c r="V285" s="159"/>
      <c r="W285" s="387"/>
      <c r="X285" s="154"/>
      <c r="Y285" s="129"/>
      <c r="Z285" s="130"/>
      <c r="AA285" s="130"/>
      <c r="AB285" s="130"/>
      <c r="AC285" s="125"/>
      <c r="AE285" s="154"/>
      <c r="AF285" s="154"/>
      <c r="AG285" s="154"/>
      <c r="AH285" s="129"/>
      <c r="AI285" s="130"/>
      <c r="AK285" s="154"/>
      <c r="AL285" s="154"/>
      <c r="AM285" s="154"/>
      <c r="AN285" s="129"/>
      <c r="AO285" s="130"/>
      <c r="AQ285" s="154"/>
      <c r="AR285" s="154"/>
      <c r="AS285" s="154"/>
      <c r="AT285" s="129"/>
      <c r="AU285" s="130"/>
      <c r="AW285" s="154"/>
      <c r="AX285" s="154"/>
      <c r="AY285" s="154"/>
      <c r="AZ285" s="129"/>
      <c r="BA285" s="130"/>
    </row>
    <row r="286" spans="1:53" ht="17.100000000000001" customHeight="1" x14ac:dyDescent="0.25">
      <c r="A286" s="40"/>
      <c r="B286" s="40"/>
      <c r="C286" s="119"/>
      <c r="D286" s="535" t="s">
        <v>952</v>
      </c>
      <c r="E286" s="418"/>
      <c r="F286" s="418"/>
      <c r="G286" s="418"/>
      <c r="H286" s="245"/>
      <c r="I286" s="239"/>
      <c r="J286" s="154"/>
      <c r="K286" s="154"/>
      <c r="L286" s="154"/>
      <c r="M286" s="154"/>
      <c r="N286" s="533">
        <f t="shared" si="320"/>
        <v>2.5535714285714231</v>
      </c>
      <c r="O286" s="533">
        <f t="shared" si="320"/>
        <v>12.767857142857116</v>
      </c>
      <c r="P286" s="534"/>
      <c r="Q286" s="533">
        <f t="shared" si="321"/>
        <v>0</v>
      </c>
      <c r="R286" s="533">
        <f t="shared" si="321"/>
        <v>2.1607142857142811</v>
      </c>
      <c r="S286" s="154"/>
      <c r="T286" s="533">
        <f t="shared" si="322"/>
        <v>0</v>
      </c>
      <c r="U286" s="533">
        <f t="shared" si="322"/>
        <v>16.696428571428537</v>
      </c>
      <c r="V286" s="159"/>
      <c r="W286" s="387"/>
      <c r="X286" s="154"/>
      <c r="Y286" s="129"/>
      <c r="Z286" s="130"/>
      <c r="AA286" s="130"/>
      <c r="AB286" s="130"/>
      <c r="AC286" s="125"/>
      <c r="AE286" s="154"/>
      <c r="AF286" s="154"/>
      <c r="AG286" s="154"/>
      <c r="AH286" s="129"/>
      <c r="AI286" s="130"/>
      <c r="AK286" s="154"/>
      <c r="AL286" s="154"/>
      <c r="AM286" s="154"/>
      <c r="AN286" s="129"/>
      <c r="AO286" s="130"/>
      <c r="AQ286" s="154"/>
      <c r="AR286" s="154"/>
      <c r="AS286" s="154"/>
      <c r="AT286" s="129"/>
      <c r="AU286" s="130"/>
      <c r="AW286" s="154"/>
      <c r="AX286" s="154"/>
      <c r="AY286" s="154"/>
      <c r="AZ286" s="129"/>
      <c r="BA286" s="130"/>
    </row>
    <row r="287" spans="1:53" s="409" customFormat="1" ht="17.100000000000001" customHeight="1" x14ac:dyDescent="0.25">
      <c r="A287" s="928"/>
      <c r="B287" s="928"/>
      <c r="C287" s="928"/>
      <c r="D287" s="461" t="s">
        <v>953</v>
      </c>
      <c r="E287" s="212"/>
      <c r="F287" s="212"/>
      <c r="G287" s="212"/>
      <c r="H287" s="242"/>
      <c r="I287" s="230"/>
      <c r="J287" s="155"/>
      <c r="K287" s="155"/>
      <c r="L287" s="155"/>
      <c r="M287" s="155"/>
      <c r="N287" s="537">
        <f>SUM(N284:N286)</f>
        <v>2.5535714285714231</v>
      </c>
      <c r="O287" s="537">
        <f>SUM(O284:O286)</f>
        <v>12.767857142857116</v>
      </c>
      <c r="P287" s="536"/>
      <c r="Q287" s="537">
        <f>SUM(Q284:Q286)</f>
        <v>1.0803571428571406</v>
      </c>
      <c r="R287" s="537">
        <f>SUM(R284:R286)</f>
        <v>4.7142857142857046</v>
      </c>
      <c r="S287" s="155"/>
      <c r="T287" s="537">
        <f>SUM(T284:T286)</f>
        <v>0</v>
      </c>
      <c r="U287" s="537">
        <f>SUM(U284:U286)</f>
        <v>16.696428571428537</v>
      </c>
      <c r="V287" s="366"/>
      <c r="W287" s="550">
        <f>N287+Q287+T287</f>
        <v>3.6339285714285636</v>
      </c>
      <c r="X287" s="537">
        <f>O287+R287+U287</f>
        <v>34.17857142857136</v>
      </c>
      <c r="Y287" s="537">
        <f>SUM(W287:X287)</f>
        <v>37.812499999999922</v>
      </c>
      <c r="Z287" s="546"/>
      <c r="AA287" s="537"/>
      <c r="AB287" s="537"/>
      <c r="AC287" s="547"/>
      <c r="AE287" s="154"/>
      <c r="AF287" s="154"/>
      <c r="AG287" s="154"/>
      <c r="AH287" s="129"/>
      <c r="AI287" s="130"/>
      <c r="AJ287" s="117"/>
      <c r="AK287" s="154"/>
      <c r="AL287" s="154"/>
      <c r="AM287" s="154"/>
      <c r="AN287" s="129"/>
      <c r="AO287" s="130"/>
      <c r="AQ287" s="155"/>
      <c r="AR287" s="155"/>
      <c r="AS287" s="155"/>
      <c r="AT287" s="927"/>
      <c r="AU287" s="201"/>
      <c r="AW287" s="155"/>
      <c r="AX287" s="155"/>
      <c r="AY287" s="155"/>
      <c r="AZ287" s="927"/>
      <c r="BA287" s="201"/>
    </row>
    <row r="288" spans="1:53" s="409" customFormat="1" ht="17.100000000000001" customHeight="1" x14ac:dyDescent="0.25">
      <c r="A288" s="928"/>
      <c r="B288" s="928"/>
      <c r="C288" s="928"/>
      <c r="D288" s="461" t="s">
        <v>954</v>
      </c>
      <c r="E288" s="212"/>
      <c r="F288" s="212"/>
      <c r="G288" s="212"/>
      <c r="H288" s="242"/>
      <c r="I288" s="230"/>
      <c r="J288" s="155"/>
      <c r="K288" s="155"/>
      <c r="L288" s="155"/>
      <c r="M288" s="155"/>
      <c r="N288" s="537">
        <f>IF(N269=0,"",N287/N269)</f>
        <v>2.5535714285714231</v>
      </c>
      <c r="O288" s="537">
        <f>IF(O269=0,"",O287/O269)</f>
        <v>2.5535714285714231</v>
      </c>
      <c r="P288" s="536"/>
      <c r="Q288" s="537">
        <f>IF(Q269=0,"",Q287/Q269)</f>
        <v>1.0803571428571406</v>
      </c>
      <c r="R288" s="537">
        <f>IF(R269=0,"",R287/R269)</f>
        <v>1.1785714285714262</v>
      </c>
      <c r="S288" s="155"/>
      <c r="T288" s="537" t="str">
        <f>IF(T269=0,"",T287/T269)</f>
        <v/>
      </c>
      <c r="U288" s="537">
        <f>IF(U269=0,"",U287/U269)</f>
        <v>2.0870535714285672</v>
      </c>
      <c r="V288" s="366"/>
      <c r="W288" s="549"/>
      <c r="X288" s="536"/>
      <c r="Y288" s="164"/>
      <c r="Z288" s="546"/>
      <c r="AA288" s="537">
        <f>MIN(N288:U288)</f>
        <v>1.0803571428571406</v>
      </c>
      <c r="AB288" s="537">
        <f>MAX(N288:U288)</f>
        <v>2.5535714285714231</v>
      </c>
      <c r="AC288" s="548">
        <f>IF(SUM(N288:U288)=0,0,AVERAGE(N288:U288))</f>
        <v>1.890624999999996</v>
      </c>
      <c r="AE288" s="154"/>
      <c r="AF288" s="154"/>
      <c r="AG288" s="154"/>
      <c r="AH288" s="129"/>
      <c r="AI288" s="130"/>
      <c r="AJ288" s="117"/>
      <c r="AK288" s="154"/>
      <c r="AL288" s="154"/>
      <c r="AM288" s="154"/>
      <c r="AN288" s="129"/>
      <c r="AO288" s="130"/>
      <c r="AQ288" s="966">
        <f>MIN(N288,Q288,T288)</f>
        <v>1.0803571428571406</v>
      </c>
      <c r="AR288" s="966">
        <f>MAX(N288,Q288,T288)</f>
        <v>2.5535714285714231</v>
      </c>
      <c r="AS288" s="966">
        <f>IF(N287+Q287+T287=0,0,AVERAGE(N288,Q288,T288))</f>
        <v>1.8169642857142818</v>
      </c>
      <c r="AT288" s="927"/>
      <c r="AU288" s="201"/>
      <c r="AW288" s="537">
        <f>MIN(O288,R288,U288)</f>
        <v>1.1785714285714262</v>
      </c>
      <c r="AX288" s="537">
        <f>MAX(O288,R288,U288)</f>
        <v>2.5535714285714231</v>
      </c>
      <c r="AY288" s="537">
        <f>IF(O287+R287+U287=0,0,AVERAGE(O288,R288,U288))</f>
        <v>1.9397321428571388</v>
      </c>
      <c r="AZ288" s="927"/>
      <c r="BA288" s="201"/>
    </row>
    <row r="289" spans="1:53" ht="17.100000000000001" customHeight="1" x14ac:dyDescent="0.25">
      <c r="A289" s="40"/>
      <c r="B289" s="40"/>
      <c r="C289" s="41" t="s">
        <v>957</v>
      </c>
      <c r="D289" s="551" t="s">
        <v>958</v>
      </c>
      <c r="E289" s="43"/>
      <c r="F289" s="301"/>
      <c r="G289" s="301"/>
      <c r="H289" s="119"/>
      <c r="I289" s="236"/>
      <c r="J289" s="552"/>
      <c r="K289" s="552"/>
      <c r="L289" s="552"/>
      <c r="M289" s="552"/>
      <c r="N289" s="552"/>
      <c r="O289" s="552"/>
      <c r="P289" s="552"/>
      <c r="Q289" s="552"/>
      <c r="R289" s="552"/>
      <c r="S289" s="552"/>
      <c r="T289" s="552"/>
      <c r="U289" s="552"/>
      <c r="V289" s="553"/>
      <c r="W289" s="554"/>
      <c r="X289" s="552"/>
      <c r="Y289" s="89"/>
      <c r="Z289" s="90"/>
      <c r="AA289" s="90"/>
      <c r="AB289" s="90"/>
      <c r="AC289" s="73"/>
      <c r="AD289" s="117"/>
      <c r="AE289" s="552"/>
      <c r="AF289" s="552"/>
      <c r="AG289" s="552"/>
      <c r="AH289" s="89"/>
      <c r="AI289" s="90"/>
      <c r="AK289" s="552"/>
      <c r="AL289" s="552"/>
      <c r="AM289" s="552"/>
      <c r="AN289" s="89"/>
      <c r="AO289" s="90"/>
      <c r="AQ289" s="552"/>
      <c r="AR289" s="552"/>
      <c r="AS289" s="552"/>
      <c r="AT289" s="89"/>
      <c r="AU289" s="90"/>
      <c r="AW289" s="552"/>
      <c r="AX289" s="552"/>
      <c r="AY289" s="552"/>
      <c r="AZ289" s="89"/>
      <c r="BA289" s="90"/>
    </row>
    <row r="290" spans="1:53" ht="17.100000000000001" customHeight="1" x14ac:dyDescent="0.25">
      <c r="A290" s="40"/>
      <c r="B290" s="40"/>
      <c r="C290" s="119"/>
      <c r="D290" s="535" t="s">
        <v>428</v>
      </c>
      <c r="E290" s="142"/>
      <c r="F290" s="143"/>
      <c r="G290" s="143"/>
      <c r="H290" s="119"/>
      <c r="I290" s="236"/>
      <c r="J290" s="154">
        <f t="shared" ref="J290:L295" si="323">J155</f>
        <v>0</v>
      </c>
      <c r="K290" s="154">
        <f t="shared" si="323"/>
        <v>0</v>
      </c>
      <c r="L290" s="154">
        <f t="shared" si="323"/>
        <v>0</v>
      </c>
      <c r="M290" s="154"/>
      <c r="N290" s="154"/>
      <c r="O290" s="154"/>
      <c r="P290" s="154"/>
      <c r="Q290" s="154"/>
      <c r="R290" s="154"/>
      <c r="S290" s="154"/>
      <c r="T290" s="154"/>
      <c r="U290" s="154"/>
      <c r="V290" s="159"/>
      <c r="W290" s="387"/>
      <c r="X290" s="154"/>
      <c r="Y290" s="129"/>
      <c r="Z290" s="130"/>
      <c r="AA290" s="130"/>
      <c r="AB290" s="130"/>
      <c r="AC290" s="125"/>
      <c r="AE290" s="154"/>
      <c r="AF290" s="154"/>
      <c r="AG290" s="154"/>
      <c r="AH290" s="129"/>
      <c r="AI290" s="130"/>
      <c r="AK290" s="154"/>
      <c r="AL290" s="154"/>
      <c r="AM290" s="154"/>
      <c r="AN290" s="129"/>
      <c r="AO290" s="130"/>
      <c r="AQ290" s="557">
        <f>J290*0.75</f>
        <v>0</v>
      </c>
      <c r="AR290" s="154"/>
      <c r="AS290" s="154"/>
      <c r="AT290" s="129"/>
      <c r="AU290" s="130"/>
      <c r="AW290" s="154"/>
      <c r="AX290" s="154"/>
      <c r="AY290" s="154"/>
      <c r="AZ290" s="129"/>
      <c r="BA290" s="130"/>
    </row>
    <row r="291" spans="1:53" ht="17.100000000000001" customHeight="1" x14ac:dyDescent="0.25">
      <c r="A291" s="40"/>
      <c r="B291" s="40"/>
      <c r="C291" s="119"/>
      <c r="D291" s="535" t="s">
        <v>429</v>
      </c>
      <c r="E291" s="142"/>
      <c r="F291" s="143"/>
      <c r="G291" s="143"/>
      <c r="H291" s="119"/>
      <c r="I291" s="236"/>
      <c r="J291" s="154">
        <f t="shared" si="323"/>
        <v>0</v>
      </c>
      <c r="K291" s="154">
        <f>K156</f>
        <v>0</v>
      </c>
      <c r="L291" s="154">
        <f t="shared" si="323"/>
        <v>0</v>
      </c>
      <c r="M291" s="154"/>
      <c r="N291" s="154"/>
      <c r="O291" s="154"/>
      <c r="P291" s="154"/>
      <c r="Q291" s="154"/>
      <c r="R291" s="154"/>
      <c r="S291" s="154"/>
      <c r="T291" s="154"/>
      <c r="U291" s="154"/>
      <c r="V291" s="159"/>
      <c r="W291" s="387"/>
      <c r="X291" s="154"/>
      <c r="Y291" s="129"/>
      <c r="Z291" s="130"/>
      <c r="AA291" s="130"/>
      <c r="AB291" s="130"/>
      <c r="AC291" s="125"/>
      <c r="AD291" s="117"/>
      <c r="AE291" s="154"/>
      <c r="AF291" s="154"/>
      <c r="AG291" s="154"/>
      <c r="AH291" s="129"/>
      <c r="AI291" s="130"/>
      <c r="AK291" s="154"/>
      <c r="AL291" s="154"/>
      <c r="AM291" s="154"/>
      <c r="AN291" s="129"/>
      <c r="AO291" s="130"/>
      <c r="AQ291" s="154"/>
      <c r="AR291" s="154"/>
      <c r="AS291" s="154"/>
      <c r="AT291" s="129"/>
      <c r="AU291" s="130"/>
      <c r="AW291" s="154"/>
      <c r="AX291" s="154"/>
      <c r="AY291" s="154"/>
      <c r="AZ291" s="129"/>
      <c r="BA291" s="130"/>
    </row>
    <row r="292" spans="1:53" ht="17.100000000000001" customHeight="1" x14ac:dyDescent="0.25">
      <c r="A292" s="40"/>
      <c r="B292" s="40"/>
      <c r="C292" s="119"/>
      <c r="D292" s="535" t="s">
        <v>430</v>
      </c>
      <c r="E292" s="142"/>
      <c r="F292" s="143"/>
      <c r="G292" s="143"/>
      <c r="H292" s="119"/>
      <c r="I292" s="236"/>
      <c r="J292" s="154">
        <f t="shared" si="323"/>
        <v>0</v>
      </c>
      <c r="K292" s="154">
        <f>K157</f>
        <v>0</v>
      </c>
      <c r="L292" s="154">
        <f t="shared" si="323"/>
        <v>0</v>
      </c>
      <c r="M292" s="154"/>
      <c r="N292" s="154"/>
      <c r="O292" s="154"/>
      <c r="P292" s="154"/>
      <c r="Q292" s="154"/>
      <c r="R292" s="154"/>
      <c r="S292" s="154"/>
      <c r="T292" s="154"/>
      <c r="U292" s="154"/>
      <c r="V292" s="159"/>
      <c r="W292" s="387"/>
      <c r="X292" s="154"/>
      <c r="Y292" s="129"/>
      <c r="Z292" s="130"/>
      <c r="AA292" s="130"/>
      <c r="AB292" s="130"/>
      <c r="AC292" s="125"/>
      <c r="AE292" s="154"/>
      <c r="AF292" s="154"/>
      <c r="AG292" s="154"/>
      <c r="AH292" s="129"/>
      <c r="AI292" s="130"/>
      <c r="AK292" s="154"/>
      <c r="AL292" s="154"/>
      <c r="AM292" s="154"/>
      <c r="AN292" s="129"/>
      <c r="AO292" s="130"/>
      <c r="AQ292" s="154"/>
      <c r="AR292" s="154"/>
      <c r="AS292" s="154"/>
      <c r="AT292" s="129"/>
      <c r="AU292" s="130"/>
      <c r="AW292" s="154"/>
      <c r="AX292" s="154"/>
      <c r="AY292" s="154"/>
      <c r="AZ292" s="129"/>
      <c r="BA292" s="130"/>
    </row>
    <row r="293" spans="1:53" ht="17.100000000000001" customHeight="1" x14ac:dyDescent="0.25">
      <c r="A293" s="40"/>
      <c r="B293" s="40"/>
      <c r="C293" s="119"/>
      <c r="D293" s="535" t="s">
        <v>431</v>
      </c>
      <c r="E293" s="142"/>
      <c r="F293" s="143"/>
      <c r="G293" s="143"/>
      <c r="H293" s="119"/>
      <c r="I293" s="236"/>
      <c r="J293" s="154">
        <f t="shared" si="323"/>
        <v>0</v>
      </c>
      <c r="K293" s="154">
        <f>K158</f>
        <v>0</v>
      </c>
      <c r="L293" s="154">
        <f t="shared" si="323"/>
        <v>0</v>
      </c>
      <c r="M293" s="154"/>
      <c r="N293" s="154"/>
      <c r="O293" s="154"/>
      <c r="P293" s="154"/>
      <c r="Q293" s="154"/>
      <c r="R293" s="154"/>
      <c r="S293" s="154"/>
      <c r="T293" s="154"/>
      <c r="U293" s="154"/>
      <c r="V293" s="159"/>
      <c r="W293" s="387"/>
      <c r="X293" s="154"/>
      <c r="Y293" s="129"/>
      <c r="Z293" s="130"/>
      <c r="AA293" s="130"/>
      <c r="AB293" s="130"/>
      <c r="AC293" s="125"/>
      <c r="AE293" s="154"/>
      <c r="AF293" s="154"/>
      <c r="AG293" s="154"/>
      <c r="AH293" s="129"/>
      <c r="AI293" s="130"/>
      <c r="AK293" s="154"/>
      <c r="AL293" s="154"/>
      <c r="AM293" s="154"/>
      <c r="AN293" s="129"/>
      <c r="AO293" s="130"/>
      <c r="AQ293" s="154"/>
      <c r="AR293" s="154"/>
      <c r="AS293" s="154"/>
      <c r="AT293" s="129"/>
      <c r="AU293" s="130"/>
      <c r="AW293" s="154"/>
      <c r="AX293" s="154"/>
      <c r="AY293" s="154"/>
      <c r="AZ293" s="129"/>
      <c r="BA293" s="130"/>
    </row>
    <row r="294" spans="1:53" s="158" customFormat="1" ht="17.100000000000001" customHeight="1" x14ac:dyDescent="0.25">
      <c r="A294" s="102"/>
      <c r="B294" s="102"/>
      <c r="C294" s="119"/>
      <c r="D294" s="535" t="s">
        <v>432</v>
      </c>
      <c r="E294" s="142"/>
      <c r="F294" s="143"/>
      <c r="G294" s="143"/>
      <c r="H294" s="182"/>
      <c r="I294" s="240"/>
      <c r="J294" s="154">
        <f t="shared" si="323"/>
        <v>0</v>
      </c>
      <c r="K294" s="154">
        <f>K159</f>
        <v>0</v>
      </c>
      <c r="L294" s="154">
        <f t="shared" si="323"/>
        <v>0</v>
      </c>
      <c r="M294" s="154"/>
      <c r="N294" s="154"/>
      <c r="O294" s="154"/>
      <c r="P294" s="154"/>
      <c r="Q294" s="154"/>
      <c r="R294" s="154"/>
      <c r="S294" s="154"/>
      <c r="T294" s="154"/>
      <c r="U294" s="154"/>
      <c r="V294" s="159"/>
      <c r="W294" s="387"/>
      <c r="X294" s="154"/>
      <c r="Y294" s="129"/>
      <c r="Z294" s="130"/>
      <c r="AA294" s="130"/>
      <c r="AB294" s="130"/>
      <c r="AC294" s="125"/>
      <c r="AE294" s="154"/>
      <c r="AF294" s="154"/>
      <c r="AG294" s="154"/>
      <c r="AH294" s="129"/>
      <c r="AI294" s="130"/>
      <c r="AJ294" s="409"/>
      <c r="AK294" s="154"/>
      <c r="AL294" s="154"/>
      <c r="AM294" s="154"/>
      <c r="AN294" s="129"/>
      <c r="AO294" s="130"/>
      <c r="AP294" s="409"/>
      <c r="AQ294" s="557">
        <f>J294*0.75</f>
        <v>0</v>
      </c>
      <c r="AR294" s="154"/>
      <c r="AS294" s="154"/>
      <c r="AT294" s="129"/>
      <c r="AU294" s="130"/>
      <c r="AV294" s="409"/>
      <c r="AW294" s="154"/>
      <c r="AX294" s="154"/>
      <c r="AY294" s="154"/>
      <c r="AZ294" s="129"/>
      <c r="BA294" s="130"/>
    </row>
    <row r="295" spans="1:53" s="158" customFormat="1" ht="17.100000000000001" customHeight="1" x14ac:dyDescent="0.25">
      <c r="A295" s="102"/>
      <c r="B295" s="102"/>
      <c r="C295" s="119"/>
      <c r="D295" s="535" t="s">
        <v>129</v>
      </c>
      <c r="E295" s="142"/>
      <c r="F295" s="143"/>
      <c r="G295" s="143"/>
      <c r="H295" s="182"/>
      <c r="I295" s="240"/>
      <c r="J295" s="154">
        <f t="shared" si="323"/>
        <v>0</v>
      </c>
      <c r="K295" s="154">
        <f>K160</f>
        <v>0</v>
      </c>
      <c r="L295" s="154">
        <f t="shared" si="323"/>
        <v>0</v>
      </c>
      <c r="M295" s="154"/>
      <c r="N295" s="154"/>
      <c r="O295" s="154"/>
      <c r="P295" s="154"/>
      <c r="Q295" s="154"/>
      <c r="R295" s="154"/>
      <c r="S295" s="154"/>
      <c r="T295" s="154"/>
      <c r="U295" s="154"/>
      <c r="V295" s="159"/>
      <c r="W295" s="387"/>
      <c r="X295" s="154"/>
      <c r="Y295" s="129"/>
      <c r="Z295" s="130"/>
      <c r="AA295" s="130"/>
      <c r="AB295" s="130"/>
      <c r="AC295" s="125"/>
      <c r="AE295" s="154"/>
      <c r="AF295" s="154"/>
      <c r="AG295" s="154"/>
      <c r="AH295" s="129"/>
      <c r="AI295" s="130"/>
      <c r="AJ295" s="409"/>
      <c r="AK295" s="154"/>
      <c r="AL295" s="154"/>
      <c r="AM295" s="154"/>
      <c r="AN295" s="129"/>
      <c r="AO295" s="130"/>
      <c r="AP295" s="409"/>
      <c r="AQ295" s="154"/>
      <c r="AR295" s="154"/>
      <c r="AS295" s="154"/>
      <c r="AT295" s="129"/>
      <c r="AU295" s="130"/>
      <c r="AV295" s="409"/>
      <c r="AW295" s="154"/>
      <c r="AX295" s="154"/>
      <c r="AY295" s="154"/>
      <c r="AZ295" s="129"/>
      <c r="BA295" s="130"/>
    </row>
    <row r="296" spans="1:53" s="158" customFormat="1" ht="17.100000000000001" customHeight="1" x14ac:dyDescent="0.25">
      <c r="A296" s="102"/>
      <c r="B296" s="102"/>
      <c r="C296" s="119"/>
      <c r="D296" s="535" t="s">
        <v>965</v>
      </c>
      <c r="E296" s="142"/>
      <c r="F296" s="143"/>
      <c r="G296" s="143"/>
      <c r="H296" s="182"/>
      <c r="I296" s="240"/>
      <c r="J296" s="154">
        <f>SUM(J290:J294)</f>
        <v>0</v>
      </c>
      <c r="K296" s="154">
        <f t="shared" ref="K296:L296" si="324">SUM(K290:K294)</f>
        <v>0</v>
      </c>
      <c r="L296" s="154">
        <f t="shared" si="324"/>
        <v>0</v>
      </c>
      <c r="M296" s="154"/>
      <c r="N296" s="154"/>
      <c r="O296" s="154"/>
      <c r="P296" s="154"/>
      <c r="Q296" s="154"/>
      <c r="R296" s="154"/>
      <c r="S296" s="154"/>
      <c r="T296" s="154"/>
      <c r="U296" s="154"/>
      <c r="V296" s="159"/>
      <c r="W296" s="387"/>
      <c r="X296" s="154"/>
      <c r="Y296" s="129"/>
      <c r="Z296" s="130"/>
      <c r="AA296" s="130"/>
      <c r="AB296" s="130"/>
      <c r="AC296" s="125"/>
      <c r="AE296" s="154"/>
      <c r="AF296" s="154"/>
      <c r="AG296" s="154"/>
      <c r="AH296" s="129"/>
      <c r="AI296" s="130"/>
      <c r="AJ296" s="409"/>
      <c r="AK296" s="154"/>
      <c r="AL296" s="154"/>
      <c r="AM296" s="154"/>
      <c r="AN296" s="129"/>
      <c r="AO296" s="130"/>
      <c r="AP296" s="409"/>
      <c r="AQ296" s="154"/>
      <c r="AR296" s="154"/>
      <c r="AS296" s="154"/>
      <c r="AT296" s="129"/>
      <c r="AU296" s="130"/>
      <c r="AV296" s="409"/>
      <c r="AW296" s="154"/>
      <c r="AX296" s="154"/>
      <c r="AY296" s="154"/>
      <c r="AZ296" s="129"/>
      <c r="BA296" s="130"/>
    </row>
    <row r="297" spans="1:53" s="158" customFormat="1" ht="17.100000000000001" customHeight="1" x14ac:dyDescent="0.25">
      <c r="A297" s="102"/>
      <c r="B297" s="102"/>
      <c r="C297" s="119"/>
      <c r="D297" s="535" t="s">
        <v>981</v>
      </c>
      <c r="E297" s="142"/>
      <c r="F297" s="143"/>
      <c r="G297" s="143"/>
      <c r="H297" s="182"/>
      <c r="I297" s="240"/>
      <c r="J297" s="154"/>
      <c r="K297" s="154"/>
      <c r="L297" s="154"/>
      <c r="M297" s="154"/>
      <c r="N297" s="154"/>
      <c r="O297" s="154"/>
      <c r="P297" s="154"/>
      <c r="Q297" s="154"/>
      <c r="R297" s="154"/>
      <c r="S297" s="154"/>
      <c r="T297" s="154"/>
      <c r="U297" s="154"/>
      <c r="V297" s="159"/>
      <c r="W297" s="387"/>
      <c r="X297" s="154"/>
      <c r="Y297" s="129"/>
      <c r="Z297" s="130"/>
      <c r="AA297" s="130"/>
      <c r="AB297" s="130"/>
      <c r="AC297" s="125"/>
      <c r="AE297" s="154"/>
      <c r="AF297" s="154"/>
      <c r="AG297" s="154"/>
      <c r="AH297" s="129"/>
      <c r="AI297" s="130"/>
      <c r="AJ297" s="409"/>
      <c r="AK297" s="154"/>
      <c r="AL297" s="154"/>
      <c r="AM297" s="154"/>
      <c r="AN297" s="129"/>
      <c r="AO297" s="130"/>
      <c r="AP297" s="409"/>
      <c r="AQ297" s="154"/>
      <c r="AR297" s="154"/>
      <c r="AS297" s="154"/>
      <c r="AT297" s="129"/>
      <c r="AU297" s="130"/>
      <c r="AV297" s="409"/>
      <c r="AW297" s="154"/>
      <c r="AX297" s="154"/>
      <c r="AY297" s="154"/>
      <c r="AZ297" s="129"/>
      <c r="BA297" s="130"/>
    </row>
    <row r="298" spans="1:53" s="158" customFormat="1" ht="17.100000000000001" customHeight="1" x14ac:dyDescent="0.25">
      <c r="A298" s="967"/>
      <c r="B298" s="967"/>
      <c r="C298" s="119"/>
      <c r="D298" s="535" t="s">
        <v>1442</v>
      </c>
      <c r="E298" s="142"/>
      <c r="F298" s="143"/>
      <c r="G298" s="143"/>
      <c r="H298" s="182"/>
      <c r="I298" s="240"/>
      <c r="J298" s="527" t="str">
        <f>IF(J290&gt;0,0.75,"")</f>
        <v/>
      </c>
      <c r="K298" s="527" t="str">
        <f t="shared" ref="K298:L298" si="325">IF(K290&gt;0,0.75,"")</f>
        <v/>
      </c>
      <c r="L298" s="527" t="str">
        <f t="shared" si="325"/>
        <v/>
      </c>
      <c r="M298" s="154"/>
      <c r="N298" s="154"/>
      <c r="O298" s="154"/>
      <c r="P298" s="154"/>
      <c r="Q298" s="154"/>
      <c r="R298" s="154"/>
      <c r="S298" s="154"/>
      <c r="T298" s="154"/>
      <c r="U298" s="154"/>
      <c r="V298" s="159"/>
      <c r="W298" s="387"/>
      <c r="X298" s="154"/>
      <c r="Y298" s="129"/>
      <c r="Z298" s="130"/>
      <c r="AA298" s="130"/>
      <c r="AB298" s="130"/>
      <c r="AC298" s="125"/>
      <c r="AE298" s="154"/>
      <c r="AF298" s="154"/>
      <c r="AG298" s="154"/>
      <c r="AH298" s="129"/>
      <c r="AI298" s="130"/>
      <c r="AJ298" s="409"/>
      <c r="AK298" s="154"/>
      <c r="AL298" s="154"/>
      <c r="AM298" s="154"/>
      <c r="AN298" s="129"/>
      <c r="AO298" s="130"/>
      <c r="AP298" s="409"/>
      <c r="AQ298" s="154"/>
      <c r="AR298" s="154"/>
      <c r="AS298" s="154"/>
      <c r="AT298" s="129"/>
      <c r="AU298" s="130"/>
      <c r="AV298" s="409"/>
      <c r="AW298" s="154"/>
      <c r="AX298" s="154"/>
      <c r="AY298" s="154"/>
      <c r="AZ298" s="129"/>
      <c r="BA298" s="130"/>
    </row>
    <row r="299" spans="1:53" s="158" customFormat="1" ht="17.100000000000001" customHeight="1" x14ac:dyDescent="0.25">
      <c r="A299" s="967"/>
      <c r="B299" s="102"/>
      <c r="C299" s="119"/>
      <c r="D299" s="535" t="s">
        <v>429</v>
      </c>
      <c r="E299" s="142"/>
      <c r="F299" s="143"/>
      <c r="G299" s="143"/>
      <c r="H299" s="182"/>
      <c r="I299" s="240"/>
      <c r="J299" s="527" t="str">
        <f>IF(J291&gt;0,1.5,"")</f>
        <v/>
      </c>
      <c r="K299" s="527" t="str">
        <f t="shared" ref="K299:L299" si="326">IF(K291&gt;0,1.5,"")</f>
        <v/>
      </c>
      <c r="L299" s="527" t="str">
        <f t="shared" si="326"/>
        <v/>
      </c>
      <c r="M299" s="154"/>
      <c r="N299" s="154"/>
      <c r="O299" s="154"/>
      <c r="P299" s="154"/>
      <c r="Q299" s="154"/>
      <c r="R299" s="154"/>
      <c r="S299" s="154"/>
      <c r="T299" s="154"/>
      <c r="U299" s="154"/>
      <c r="V299" s="159"/>
      <c r="W299" s="387"/>
      <c r="X299" s="154"/>
      <c r="Y299" s="129"/>
      <c r="Z299" s="130"/>
      <c r="AA299" s="130"/>
      <c r="AB299" s="130"/>
      <c r="AC299" s="125"/>
      <c r="AE299" s="154"/>
      <c r="AF299" s="154"/>
      <c r="AG299" s="154"/>
      <c r="AH299" s="129"/>
      <c r="AI299" s="130"/>
      <c r="AJ299" s="409"/>
      <c r="AK299" s="154"/>
      <c r="AL299" s="154"/>
      <c r="AM299" s="154"/>
      <c r="AN299" s="129"/>
      <c r="AO299" s="130"/>
      <c r="AP299" s="409"/>
      <c r="AQ299" s="154"/>
      <c r="AR299" s="154"/>
      <c r="AS299" s="154"/>
      <c r="AT299" s="129"/>
      <c r="AU299" s="130"/>
      <c r="AV299" s="409"/>
      <c r="AW299" s="154"/>
      <c r="AX299" s="154"/>
      <c r="AY299" s="154"/>
      <c r="AZ299" s="129"/>
      <c r="BA299" s="130"/>
    </row>
    <row r="300" spans="1:53" s="158" customFormat="1" ht="17.100000000000001" customHeight="1" x14ac:dyDescent="0.25">
      <c r="A300" s="967"/>
      <c r="B300" s="102"/>
      <c r="C300" s="119"/>
      <c r="D300" s="535" t="s">
        <v>430</v>
      </c>
      <c r="E300" s="142"/>
      <c r="F300" s="143"/>
      <c r="G300" s="143"/>
      <c r="H300" s="182"/>
      <c r="I300" s="240"/>
      <c r="J300" s="527" t="str">
        <f>IF(J292&gt;0,3.5,"")</f>
        <v/>
      </c>
      <c r="K300" s="527" t="str">
        <f t="shared" ref="K300:L300" si="327">IF(K292&gt;0,3.5,"")</f>
        <v/>
      </c>
      <c r="L300" s="527" t="str">
        <f t="shared" si="327"/>
        <v/>
      </c>
      <c r="M300" s="154"/>
      <c r="N300" s="154"/>
      <c r="O300" s="154"/>
      <c r="P300" s="154"/>
      <c r="Q300" s="154"/>
      <c r="R300" s="154"/>
      <c r="S300" s="154"/>
      <c r="T300" s="154"/>
      <c r="U300" s="154"/>
      <c r="V300" s="159"/>
      <c r="W300" s="387"/>
      <c r="X300" s="154"/>
      <c r="Y300" s="129"/>
      <c r="Z300" s="130"/>
      <c r="AA300" s="130"/>
      <c r="AB300" s="130"/>
      <c r="AC300" s="125"/>
      <c r="AE300" s="154"/>
      <c r="AF300" s="154"/>
      <c r="AG300" s="154"/>
      <c r="AH300" s="129"/>
      <c r="AI300" s="130"/>
      <c r="AJ300" s="409"/>
      <c r="AK300" s="154"/>
      <c r="AL300" s="154"/>
      <c r="AM300" s="154"/>
      <c r="AN300" s="129"/>
      <c r="AO300" s="130"/>
      <c r="AP300" s="409"/>
      <c r="AQ300" s="154"/>
      <c r="AR300" s="154"/>
      <c r="AS300" s="154"/>
      <c r="AT300" s="129"/>
      <c r="AU300" s="130"/>
      <c r="AV300" s="409"/>
      <c r="AW300" s="154"/>
      <c r="AX300" s="154"/>
      <c r="AY300" s="154"/>
      <c r="AZ300" s="129"/>
      <c r="BA300" s="130"/>
    </row>
    <row r="301" spans="1:53" s="158" customFormat="1" ht="17.100000000000001" customHeight="1" x14ac:dyDescent="0.25">
      <c r="A301" s="967"/>
      <c r="B301" s="102"/>
      <c r="C301" s="119"/>
      <c r="D301" s="535" t="s">
        <v>431</v>
      </c>
      <c r="E301" s="142"/>
      <c r="F301" s="143"/>
      <c r="G301" s="143"/>
      <c r="H301" s="182"/>
      <c r="I301" s="240"/>
      <c r="J301" s="527" t="str">
        <f>IF(J293&gt;0,7.5,"")</f>
        <v/>
      </c>
      <c r="K301" s="527" t="str">
        <f t="shared" ref="K301:L301" si="328">IF(K293&gt;0,7.5,"")</f>
        <v/>
      </c>
      <c r="L301" s="527" t="str">
        <f t="shared" si="328"/>
        <v/>
      </c>
      <c r="M301" s="154"/>
      <c r="N301" s="154"/>
      <c r="O301" s="154"/>
      <c r="P301" s="154"/>
      <c r="Q301" s="154"/>
      <c r="R301" s="154"/>
      <c r="S301" s="154"/>
      <c r="T301" s="154"/>
      <c r="U301" s="154"/>
      <c r="V301" s="159"/>
      <c r="W301" s="387"/>
      <c r="X301" s="154"/>
      <c r="Y301" s="129"/>
      <c r="Z301" s="130"/>
      <c r="AA301" s="130"/>
      <c r="AB301" s="130"/>
      <c r="AC301" s="125"/>
      <c r="AE301" s="154"/>
      <c r="AF301" s="154"/>
      <c r="AG301" s="154"/>
      <c r="AH301" s="129"/>
      <c r="AI301" s="130"/>
      <c r="AJ301" s="409"/>
      <c r="AK301" s="154"/>
      <c r="AL301" s="154"/>
      <c r="AM301" s="154"/>
      <c r="AN301" s="129"/>
      <c r="AO301" s="130"/>
      <c r="AP301" s="409"/>
      <c r="AQ301" s="154"/>
      <c r="AR301" s="154"/>
      <c r="AS301" s="154"/>
      <c r="AT301" s="129"/>
      <c r="AU301" s="130"/>
      <c r="AV301" s="409"/>
      <c r="AW301" s="154"/>
      <c r="AX301" s="154"/>
      <c r="AY301" s="154"/>
      <c r="AZ301" s="129"/>
      <c r="BA301" s="130"/>
    </row>
    <row r="302" spans="1:53" s="158" customFormat="1" ht="17.100000000000001" customHeight="1" x14ac:dyDescent="0.25">
      <c r="A302" s="967"/>
      <c r="B302" s="102"/>
      <c r="C302" s="119"/>
      <c r="D302" s="535" t="s">
        <v>432</v>
      </c>
      <c r="E302" s="142"/>
      <c r="F302" s="143"/>
      <c r="G302" s="143"/>
      <c r="H302" s="182"/>
      <c r="I302" s="240"/>
      <c r="J302" s="527" t="str">
        <f>IF(J294&gt;0,12.5,"")</f>
        <v/>
      </c>
      <c r="K302" s="527" t="str">
        <f t="shared" ref="K302:L302" si="329">IF(K294&gt;0,12.5,"")</f>
        <v/>
      </c>
      <c r="L302" s="527" t="str">
        <f t="shared" si="329"/>
        <v/>
      </c>
      <c r="M302" s="154"/>
      <c r="N302" s="154"/>
      <c r="O302" s="154"/>
      <c r="P302" s="154"/>
      <c r="Q302" s="154"/>
      <c r="R302" s="154"/>
      <c r="S302" s="154"/>
      <c r="T302" s="154"/>
      <c r="U302" s="154"/>
      <c r="V302" s="159"/>
      <c r="W302" s="387"/>
      <c r="X302" s="154"/>
      <c r="Y302" s="129"/>
      <c r="Z302" s="130"/>
      <c r="AA302" s="130"/>
      <c r="AB302" s="130"/>
      <c r="AC302" s="125"/>
      <c r="AE302" s="154"/>
      <c r="AF302" s="154"/>
      <c r="AG302" s="154"/>
      <c r="AH302" s="129"/>
      <c r="AI302" s="130"/>
      <c r="AJ302" s="409"/>
      <c r="AK302" s="154"/>
      <c r="AL302" s="154"/>
      <c r="AM302" s="154"/>
      <c r="AN302" s="129"/>
      <c r="AO302" s="130"/>
      <c r="AP302" s="409"/>
      <c r="AQ302" s="154"/>
      <c r="AR302" s="154"/>
      <c r="AS302" s="154"/>
      <c r="AT302" s="129"/>
      <c r="AU302" s="130"/>
      <c r="AV302" s="409"/>
      <c r="AW302" s="154"/>
      <c r="AX302" s="154"/>
      <c r="AY302" s="154"/>
      <c r="AZ302" s="129"/>
      <c r="BA302" s="130"/>
    </row>
    <row r="303" spans="1:53" s="158" customFormat="1" ht="17.100000000000001" customHeight="1" x14ac:dyDescent="0.25">
      <c r="A303" s="967"/>
      <c r="B303" s="102"/>
      <c r="C303" s="119"/>
      <c r="D303" s="535" t="s">
        <v>959</v>
      </c>
      <c r="E303" s="142"/>
      <c r="F303" s="143"/>
      <c r="G303" s="143"/>
      <c r="H303" s="182"/>
      <c r="I303" s="240"/>
      <c r="J303" s="154"/>
      <c r="K303" s="154"/>
      <c r="L303" s="154"/>
      <c r="M303" s="154"/>
      <c r="N303" s="154"/>
      <c r="O303" s="154"/>
      <c r="P303" s="154"/>
      <c r="Q303" s="154"/>
      <c r="R303" s="154"/>
      <c r="S303" s="154"/>
      <c r="T303" s="154"/>
      <c r="U303" s="154"/>
      <c r="V303" s="159"/>
      <c r="W303" s="387"/>
      <c r="X303" s="154"/>
      <c r="Y303" s="129"/>
      <c r="Z303" s="130"/>
      <c r="AA303" s="130"/>
      <c r="AB303" s="130"/>
      <c r="AC303" s="125"/>
      <c r="AE303" s="154"/>
      <c r="AF303" s="154"/>
      <c r="AG303" s="154"/>
      <c r="AH303" s="129"/>
      <c r="AI303" s="130"/>
      <c r="AJ303" s="409"/>
      <c r="AK303" s="154"/>
      <c r="AL303" s="154"/>
      <c r="AM303" s="154"/>
      <c r="AN303" s="129"/>
      <c r="AO303" s="130"/>
      <c r="AP303" s="409"/>
      <c r="AQ303" s="154"/>
      <c r="AR303" s="154"/>
      <c r="AS303" s="154"/>
      <c r="AT303" s="129"/>
      <c r="AU303" s="130"/>
      <c r="AV303" s="409"/>
      <c r="AW303" s="154"/>
      <c r="AX303" s="154"/>
      <c r="AY303" s="154"/>
      <c r="AZ303" s="129"/>
      <c r="BA303" s="130"/>
    </row>
    <row r="304" spans="1:53" s="158" customFormat="1" ht="17.100000000000001" customHeight="1" x14ac:dyDescent="0.25">
      <c r="A304" s="967"/>
      <c r="B304" s="102"/>
      <c r="C304" s="119"/>
      <c r="D304" s="535" t="s">
        <v>961</v>
      </c>
      <c r="E304" s="142"/>
      <c r="F304" s="555"/>
      <c r="G304" s="555"/>
      <c r="H304" s="182"/>
      <c r="I304" s="240"/>
      <c r="J304" s="533">
        <f>J290*0.75</f>
        <v>0</v>
      </c>
      <c r="K304" s="533">
        <f>K290*0.75</f>
        <v>0</v>
      </c>
      <c r="L304" s="533">
        <f>L290*0.75</f>
        <v>0</v>
      </c>
      <c r="M304" s="154"/>
      <c r="N304" s="154"/>
      <c r="O304" s="154"/>
      <c r="P304" s="154"/>
      <c r="Q304" s="154"/>
      <c r="R304" s="154"/>
      <c r="S304" s="154"/>
      <c r="T304" s="154"/>
      <c r="U304" s="154"/>
      <c r="V304" s="159"/>
      <c r="W304" s="387"/>
      <c r="X304" s="154"/>
      <c r="Y304" s="129"/>
      <c r="Z304" s="130"/>
      <c r="AA304" s="130"/>
      <c r="AB304" s="130"/>
      <c r="AC304" s="125"/>
      <c r="AE304" s="154"/>
      <c r="AF304" s="154"/>
      <c r="AG304" s="154"/>
      <c r="AH304" s="129"/>
      <c r="AI304" s="130"/>
      <c r="AJ304" s="409"/>
      <c r="AK304" s="154"/>
      <c r="AL304" s="154"/>
      <c r="AM304" s="154"/>
      <c r="AN304" s="129"/>
      <c r="AO304" s="130"/>
      <c r="AP304" s="409"/>
      <c r="AQ304" s="154"/>
      <c r="AR304" s="154"/>
      <c r="AS304" s="154"/>
      <c r="AT304" s="129"/>
      <c r="AU304" s="130"/>
      <c r="AV304" s="409"/>
      <c r="AW304" s="154"/>
      <c r="AX304" s="154"/>
      <c r="AY304" s="154"/>
      <c r="AZ304" s="129"/>
      <c r="BA304" s="130"/>
    </row>
    <row r="305" spans="1:53" s="158" customFormat="1" ht="17.100000000000001" customHeight="1" x14ac:dyDescent="0.25">
      <c r="A305" s="967"/>
      <c r="B305" s="102"/>
      <c r="C305" s="119"/>
      <c r="D305" s="535" t="s">
        <v>960</v>
      </c>
      <c r="E305" s="142"/>
      <c r="F305" s="143"/>
      <c r="G305" s="143"/>
      <c r="H305" s="182"/>
      <c r="I305" s="240"/>
      <c r="J305" s="533">
        <f>J291*1.5</f>
        <v>0</v>
      </c>
      <c r="K305" s="533">
        <f>K291*1.5</f>
        <v>0</v>
      </c>
      <c r="L305" s="533">
        <f>L291*1.5</f>
        <v>0</v>
      </c>
      <c r="M305" s="154"/>
      <c r="N305" s="154"/>
      <c r="O305" s="154"/>
      <c r="P305" s="154"/>
      <c r="Q305" s="154"/>
      <c r="R305" s="154"/>
      <c r="S305" s="154"/>
      <c r="T305" s="154"/>
      <c r="U305" s="154"/>
      <c r="V305" s="154"/>
      <c r="W305" s="387"/>
      <c r="X305" s="154"/>
      <c r="Y305" s="129"/>
      <c r="Z305" s="130"/>
      <c r="AA305" s="130"/>
      <c r="AB305" s="130"/>
      <c r="AC305" s="125"/>
      <c r="AE305" s="154"/>
      <c r="AF305" s="154"/>
      <c r="AG305" s="154"/>
      <c r="AH305" s="129"/>
      <c r="AI305" s="130"/>
      <c r="AJ305" s="409"/>
      <c r="AK305" s="154"/>
      <c r="AL305" s="154"/>
      <c r="AM305" s="154"/>
      <c r="AN305" s="129"/>
      <c r="AO305" s="130"/>
      <c r="AP305" s="409"/>
      <c r="AQ305" s="154"/>
      <c r="AR305" s="154"/>
      <c r="AS305" s="154"/>
      <c r="AT305" s="129"/>
      <c r="AU305" s="130"/>
      <c r="AV305" s="409"/>
      <c r="AW305" s="154"/>
      <c r="AX305" s="154"/>
      <c r="AY305" s="154"/>
      <c r="AZ305" s="129"/>
      <c r="BA305" s="130"/>
    </row>
    <row r="306" spans="1:53" s="158" customFormat="1" ht="17.100000000000001" customHeight="1" x14ac:dyDescent="0.25">
      <c r="A306" s="967"/>
      <c r="B306" s="102"/>
      <c r="C306" s="119"/>
      <c r="D306" s="535" t="s">
        <v>962</v>
      </c>
      <c r="E306" s="142"/>
      <c r="F306" s="143"/>
      <c r="G306" s="143"/>
      <c r="H306" s="182"/>
      <c r="I306" s="240"/>
      <c r="J306" s="533">
        <f>J292*3.5</f>
        <v>0</v>
      </c>
      <c r="K306" s="533">
        <f>K292*3.5</f>
        <v>0</v>
      </c>
      <c r="L306" s="533">
        <f>L292*3.5</f>
        <v>0</v>
      </c>
      <c r="M306" s="154"/>
      <c r="N306" s="154"/>
      <c r="O306" s="154"/>
      <c r="P306" s="154"/>
      <c r="Q306" s="154"/>
      <c r="R306" s="154"/>
      <c r="S306" s="154"/>
      <c r="T306" s="154"/>
      <c r="U306" s="154"/>
      <c r="V306" s="154"/>
      <c r="W306" s="387"/>
      <c r="X306" s="154"/>
      <c r="Y306" s="129"/>
      <c r="Z306" s="130"/>
      <c r="AA306" s="130"/>
      <c r="AB306" s="130"/>
      <c r="AC306" s="125"/>
      <c r="AE306" s="154"/>
      <c r="AF306" s="154"/>
      <c r="AG306" s="154"/>
      <c r="AH306" s="129"/>
      <c r="AI306" s="130"/>
      <c r="AJ306" s="409"/>
      <c r="AK306" s="154"/>
      <c r="AL306" s="154"/>
      <c r="AM306" s="154"/>
      <c r="AN306" s="129"/>
      <c r="AO306" s="130"/>
      <c r="AP306" s="409"/>
      <c r="AQ306" s="154"/>
      <c r="AR306" s="154"/>
      <c r="AS306" s="154"/>
      <c r="AT306" s="129"/>
      <c r="AU306" s="130"/>
      <c r="AV306" s="409"/>
      <c r="AW306" s="154"/>
      <c r="AX306" s="154"/>
      <c r="AY306" s="154"/>
      <c r="AZ306" s="129"/>
      <c r="BA306" s="130"/>
    </row>
    <row r="307" spans="1:53" s="158" customFormat="1" ht="17.100000000000001" customHeight="1" x14ac:dyDescent="0.25">
      <c r="A307" s="967"/>
      <c r="B307" s="102"/>
      <c r="C307" s="119"/>
      <c r="D307" s="535" t="s">
        <v>963</v>
      </c>
      <c r="E307" s="142"/>
      <c r="F307" s="143"/>
      <c r="G307" s="143"/>
      <c r="H307" s="182"/>
      <c r="I307" s="240"/>
      <c r="J307" s="533">
        <f>J293*7.5</f>
        <v>0</v>
      </c>
      <c r="K307" s="533">
        <f>K293*7.5</f>
        <v>0</v>
      </c>
      <c r="L307" s="533">
        <f>L293*7.5</f>
        <v>0</v>
      </c>
      <c r="M307" s="154"/>
      <c r="N307" s="154"/>
      <c r="O307" s="154"/>
      <c r="P307" s="154"/>
      <c r="Q307" s="154"/>
      <c r="R307" s="154"/>
      <c r="S307" s="154"/>
      <c r="T307" s="154"/>
      <c r="U307" s="154"/>
      <c r="V307" s="154"/>
      <c r="W307" s="387"/>
      <c r="X307" s="154"/>
      <c r="Y307" s="129"/>
      <c r="Z307" s="130"/>
      <c r="AA307" s="130"/>
      <c r="AB307" s="130"/>
      <c r="AC307" s="125"/>
      <c r="AE307" s="154"/>
      <c r="AF307" s="154"/>
      <c r="AG307" s="154"/>
      <c r="AH307" s="129"/>
      <c r="AI307" s="130"/>
      <c r="AJ307" s="409"/>
      <c r="AK307" s="154"/>
      <c r="AL307" s="154"/>
      <c r="AM307" s="154"/>
      <c r="AN307" s="129"/>
      <c r="AO307" s="130"/>
      <c r="AP307" s="409"/>
      <c r="AQ307" s="154"/>
      <c r="AR307" s="154"/>
      <c r="AS307" s="154"/>
      <c r="AT307" s="129"/>
      <c r="AU307" s="130"/>
      <c r="AV307" s="409"/>
      <c r="AW307" s="154"/>
      <c r="AX307" s="154"/>
      <c r="AY307" s="154"/>
      <c r="AZ307" s="129"/>
      <c r="BA307" s="130"/>
    </row>
    <row r="308" spans="1:53" s="158" customFormat="1" ht="17.100000000000001" customHeight="1" x14ac:dyDescent="0.25">
      <c r="A308" s="967"/>
      <c r="B308" s="102"/>
      <c r="C308" s="119"/>
      <c r="D308" s="535" t="s">
        <v>964</v>
      </c>
      <c r="E308" s="142"/>
      <c r="F308" s="143"/>
      <c r="G308" s="143"/>
      <c r="H308" s="182"/>
      <c r="I308" s="240"/>
      <c r="J308" s="533">
        <f>J294*12.5</f>
        <v>0</v>
      </c>
      <c r="K308" s="533">
        <f>K294*12.5</f>
        <v>0</v>
      </c>
      <c r="L308" s="533">
        <f>L294*12.5</f>
        <v>0</v>
      </c>
      <c r="M308" s="154"/>
      <c r="N308" s="154"/>
      <c r="O308" s="154"/>
      <c r="P308" s="154"/>
      <c r="Q308" s="154"/>
      <c r="R308" s="154"/>
      <c r="S308" s="154"/>
      <c r="T308" s="154"/>
      <c r="U308" s="154"/>
      <c r="V308" s="154"/>
      <c r="W308" s="387"/>
      <c r="X308" s="154"/>
      <c r="Y308" s="129"/>
      <c r="Z308" s="130"/>
      <c r="AA308" s="130"/>
      <c r="AB308" s="130"/>
      <c r="AC308" s="125"/>
      <c r="AE308" s="154"/>
      <c r="AF308" s="154"/>
      <c r="AG308" s="154"/>
      <c r="AH308" s="129"/>
      <c r="AI308" s="130"/>
      <c r="AJ308" s="409"/>
      <c r="AK308" s="154"/>
      <c r="AL308" s="154"/>
      <c r="AM308" s="154"/>
      <c r="AN308" s="129"/>
      <c r="AO308" s="130"/>
      <c r="AP308" s="409"/>
      <c r="AQ308" s="154"/>
      <c r="AR308" s="154"/>
      <c r="AS308" s="154"/>
      <c r="AT308" s="129"/>
      <c r="AU308" s="130"/>
      <c r="AV308" s="409"/>
      <c r="AW308" s="154"/>
      <c r="AX308" s="154"/>
      <c r="AY308" s="154"/>
      <c r="AZ308" s="129"/>
      <c r="BA308" s="130"/>
    </row>
    <row r="309" spans="1:53" s="158" customFormat="1" ht="17.100000000000001" customHeight="1" x14ac:dyDescent="0.25">
      <c r="A309" s="967"/>
      <c r="B309" s="102"/>
      <c r="C309" s="119"/>
      <c r="D309" s="535" t="s">
        <v>922</v>
      </c>
      <c r="E309" s="142"/>
      <c r="F309" s="143"/>
      <c r="G309" s="143"/>
      <c r="H309" s="182"/>
      <c r="I309" s="240"/>
      <c r="J309" s="533">
        <f>SUM(J304:J308)</f>
        <v>0</v>
      </c>
      <c r="K309" s="533">
        <f t="shared" ref="K309:L309" si="330">SUM(K304:K308)</f>
        <v>0</v>
      </c>
      <c r="L309" s="533">
        <f t="shared" si="330"/>
        <v>0</v>
      </c>
      <c r="M309" s="154"/>
      <c r="N309" s="154"/>
      <c r="O309" s="154"/>
      <c r="P309" s="154"/>
      <c r="Q309" s="154"/>
      <c r="R309" s="154"/>
      <c r="S309" s="154"/>
      <c r="T309" s="154"/>
      <c r="U309" s="154"/>
      <c r="V309" s="154"/>
      <c r="W309" s="387"/>
      <c r="X309" s="154"/>
      <c r="Y309" s="129"/>
      <c r="Z309" s="130"/>
      <c r="AA309" s="130"/>
      <c r="AB309" s="130"/>
      <c r="AC309" s="125"/>
      <c r="AE309" s="154"/>
      <c r="AF309" s="154"/>
      <c r="AG309" s="154"/>
      <c r="AH309" s="129"/>
      <c r="AI309" s="130"/>
      <c r="AJ309" s="409"/>
      <c r="AK309" s="154"/>
      <c r="AL309" s="154"/>
      <c r="AM309" s="154"/>
      <c r="AN309" s="129"/>
      <c r="AO309" s="130"/>
      <c r="AP309" s="409"/>
      <c r="AQ309" s="154"/>
      <c r="AR309" s="154"/>
      <c r="AS309" s="154"/>
      <c r="AT309" s="129"/>
      <c r="AU309" s="130"/>
      <c r="AV309" s="409"/>
      <c r="AW309" s="154"/>
      <c r="AX309" s="154"/>
      <c r="AY309" s="154"/>
      <c r="AZ309" s="129"/>
      <c r="BA309" s="130"/>
    </row>
    <row r="310" spans="1:53" s="409" customFormat="1" ht="17.100000000000001" customHeight="1" x14ac:dyDescent="0.25">
      <c r="A310" s="967"/>
      <c r="B310" s="928"/>
      <c r="C310" s="928"/>
      <c r="D310" s="461" t="s">
        <v>980</v>
      </c>
      <c r="E310" s="556"/>
      <c r="F310" s="92"/>
      <c r="G310" s="92"/>
      <c r="H310" s="182"/>
      <c r="I310" s="240"/>
      <c r="J310" s="537" t="str">
        <f>IF(SUM(J298:J302)=0,"",MIN(J298:J302))</f>
        <v/>
      </c>
      <c r="K310" s="537" t="str">
        <f t="shared" ref="K310:L310" si="331">IF(SUM(K298:K302)=0,"",MIN(K298:K302))</f>
        <v/>
      </c>
      <c r="L310" s="537" t="str">
        <f t="shared" si="331"/>
        <v/>
      </c>
      <c r="M310" s="155"/>
      <c r="N310" s="155"/>
      <c r="O310" s="155"/>
      <c r="P310" s="155"/>
      <c r="Q310" s="155"/>
      <c r="R310" s="155"/>
      <c r="S310" s="155"/>
      <c r="T310" s="155"/>
      <c r="U310" s="155"/>
      <c r="V310" s="155"/>
      <c r="W310" s="388"/>
      <c r="X310" s="155"/>
      <c r="Y310" s="927"/>
      <c r="Z310" s="201"/>
      <c r="AA310" s="537">
        <f t="shared" ref="AA310:AA311" si="332">MIN(J310:L310)</f>
        <v>0</v>
      </c>
      <c r="AB310" s="537">
        <f t="shared" ref="AB310:AB311" si="333">MAX(J310:L310)</f>
        <v>0</v>
      </c>
      <c r="AC310" s="537">
        <f t="shared" ref="AC310:AC311" si="334">IF(SUM(J310:L310)=0,0,AVERAGE(J310:L310))</f>
        <v>0</v>
      </c>
      <c r="AE310" s="155"/>
      <c r="AF310" s="155"/>
      <c r="AG310" s="155"/>
      <c r="AH310" s="927"/>
      <c r="AI310" s="201"/>
      <c r="AK310" s="155"/>
      <c r="AL310" s="155"/>
      <c r="AM310" s="155"/>
      <c r="AN310" s="927"/>
      <c r="AO310" s="201"/>
      <c r="AQ310" s="968">
        <f t="shared" ref="AQ310:AQ311" si="335">MIN(J310,K310)</f>
        <v>0</v>
      </c>
      <c r="AR310" s="537">
        <f t="shared" ref="AR310:AR311" si="336">MAX(J310:K310)</f>
        <v>0</v>
      </c>
      <c r="AS310" s="537"/>
      <c r="AT310" s="927"/>
      <c r="AU310" s="201"/>
      <c r="AW310" s="968" t="str">
        <f t="shared" ref="AW310:AW311" si="337">L310</f>
        <v/>
      </c>
      <c r="AX310" s="537" t="str">
        <f t="shared" ref="AX310:AX311" si="338">L310</f>
        <v/>
      </c>
      <c r="AY310" s="537"/>
      <c r="AZ310" s="927"/>
      <c r="BA310" s="201"/>
    </row>
    <row r="311" spans="1:53" s="409" customFormat="1" ht="17.100000000000001" customHeight="1" x14ac:dyDescent="0.25">
      <c r="A311" s="967"/>
      <c r="B311" s="928"/>
      <c r="C311" s="928"/>
      <c r="D311" s="461" t="s">
        <v>979</v>
      </c>
      <c r="E311" s="556"/>
      <c r="F311" s="92"/>
      <c r="G311" s="92"/>
      <c r="H311" s="182"/>
      <c r="I311" s="240"/>
      <c r="J311" s="537" t="str">
        <f>IF(SUM(J298:J302)=0,"",MAX(J298:J302))</f>
        <v/>
      </c>
      <c r="K311" s="537" t="str">
        <f t="shared" ref="K311:L311" si="339">IF(SUM(K298:K302)=0,"",MAX(K298:K302))</f>
        <v/>
      </c>
      <c r="L311" s="537" t="str">
        <f t="shared" si="339"/>
        <v/>
      </c>
      <c r="M311" s="155"/>
      <c r="N311" s="155"/>
      <c r="O311" s="155"/>
      <c r="P311" s="155"/>
      <c r="Q311" s="155"/>
      <c r="R311" s="155"/>
      <c r="S311" s="155"/>
      <c r="T311" s="155"/>
      <c r="U311" s="155"/>
      <c r="V311" s="155"/>
      <c r="W311" s="388"/>
      <c r="X311" s="155"/>
      <c r="Y311" s="927"/>
      <c r="Z311" s="201"/>
      <c r="AA311" s="537">
        <f t="shared" si="332"/>
        <v>0</v>
      </c>
      <c r="AB311" s="537">
        <f t="shared" si="333"/>
        <v>0</v>
      </c>
      <c r="AC311" s="537">
        <f t="shared" si="334"/>
        <v>0</v>
      </c>
      <c r="AE311" s="155"/>
      <c r="AF311" s="155"/>
      <c r="AG311" s="155"/>
      <c r="AH311" s="927"/>
      <c r="AI311" s="201"/>
      <c r="AK311" s="155"/>
      <c r="AL311" s="155"/>
      <c r="AM311" s="155"/>
      <c r="AN311" s="927"/>
      <c r="AO311" s="201"/>
      <c r="AQ311" s="537">
        <f t="shared" si="335"/>
        <v>0</v>
      </c>
      <c r="AR311" s="968">
        <f t="shared" si="336"/>
        <v>0</v>
      </c>
      <c r="AS311" s="537"/>
      <c r="AT311" s="927"/>
      <c r="AU311" s="201"/>
      <c r="AW311" s="537" t="str">
        <f t="shared" si="337"/>
        <v/>
      </c>
      <c r="AX311" s="968" t="str">
        <f t="shared" si="338"/>
        <v/>
      </c>
      <c r="AY311" s="537"/>
      <c r="AZ311" s="927"/>
      <c r="BA311" s="201"/>
    </row>
    <row r="312" spans="1:53" s="409" customFormat="1" ht="17.100000000000001" customHeight="1" x14ac:dyDescent="0.25">
      <c r="A312" s="967"/>
      <c r="B312" s="928"/>
      <c r="C312" s="928"/>
      <c r="D312" s="461" t="s">
        <v>974</v>
      </c>
      <c r="E312" s="556"/>
      <c r="F312" s="92"/>
      <c r="G312" s="92"/>
      <c r="H312" s="182"/>
      <c r="I312" s="240"/>
      <c r="J312" s="537" t="str">
        <f>IF(J296=0,"",J309/J296)</f>
        <v/>
      </c>
      <c r="K312" s="537" t="str">
        <f t="shared" ref="K312:L312" si="340">IF(K296=0,"",K309/K296)</f>
        <v/>
      </c>
      <c r="L312" s="537" t="str">
        <f t="shared" si="340"/>
        <v/>
      </c>
      <c r="M312" s="155"/>
      <c r="N312" s="155"/>
      <c r="O312" s="155"/>
      <c r="P312" s="155"/>
      <c r="Q312" s="155"/>
      <c r="R312" s="155"/>
      <c r="S312" s="155"/>
      <c r="T312" s="155"/>
      <c r="U312" s="155"/>
      <c r="V312" s="155"/>
      <c r="W312" s="388"/>
      <c r="X312" s="155"/>
      <c r="Y312" s="927"/>
      <c r="Z312" s="201"/>
      <c r="AA312" s="537">
        <f>MIN(J312:L312)</f>
        <v>0</v>
      </c>
      <c r="AB312" s="537">
        <f>MAX(J312:L312)</f>
        <v>0</v>
      </c>
      <c r="AC312" s="537">
        <f>IF(SUM(J312:L312)=0,0,AVERAGE(J312:L312))</f>
        <v>0</v>
      </c>
      <c r="AE312" s="537" t="str">
        <f>J312</f>
        <v/>
      </c>
      <c r="AF312" s="537" t="str">
        <f>J312</f>
        <v/>
      </c>
      <c r="AG312" s="537" t="str">
        <f>J312</f>
        <v/>
      </c>
      <c r="AH312" s="927"/>
      <c r="AI312" s="201"/>
      <c r="AK312" s="537" t="str">
        <f>K312</f>
        <v/>
      </c>
      <c r="AL312" s="537" t="str">
        <f>K312</f>
        <v/>
      </c>
      <c r="AM312" s="537" t="str">
        <f>K312</f>
        <v/>
      </c>
      <c r="AN312" s="927"/>
      <c r="AO312" s="201"/>
      <c r="AQ312" s="537">
        <f>MIN(J312,K312)</f>
        <v>0</v>
      </c>
      <c r="AR312" s="537">
        <f>MAX(J312:K312)</f>
        <v>0</v>
      </c>
      <c r="AS312" s="968">
        <f>IF(SUM(J312:K312)=0,0,AVERAGE(J312:K312))</f>
        <v>0</v>
      </c>
      <c r="AT312" s="927"/>
      <c r="AU312" s="201"/>
      <c r="AW312" s="537" t="str">
        <f>L312</f>
        <v/>
      </c>
      <c r="AX312" s="537" t="str">
        <f>L312</f>
        <v/>
      </c>
      <c r="AY312" s="968" t="str">
        <f>L312</f>
        <v/>
      </c>
      <c r="AZ312" s="927"/>
      <c r="BA312" s="201"/>
    </row>
    <row r="313" spans="1:53" s="97" customFormat="1" ht="17.100000000000001" customHeight="1" x14ac:dyDescent="0.25">
      <c r="A313" s="68"/>
      <c r="B313" s="68"/>
      <c r="C313" s="165"/>
      <c r="D313" s="166"/>
      <c r="E313" s="166"/>
      <c r="F313" s="166"/>
      <c r="G313" s="166"/>
      <c r="H313" s="165"/>
      <c r="I313" s="12"/>
      <c r="J313" s="558"/>
      <c r="K313" s="94"/>
      <c r="L313" s="95"/>
      <c r="M313" s="95"/>
      <c r="N313" s="95"/>
      <c r="O313" s="95"/>
      <c r="P313" s="95"/>
      <c r="Q313" s="95"/>
      <c r="R313" s="95"/>
      <c r="S313" s="95"/>
      <c r="T313" s="95"/>
      <c r="U313" s="95"/>
      <c r="V313" s="95"/>
      <c r="W313" s="378"/>
      <c r="X313" s="95"/>
      <c r="Y313" s="96"/>
      <c r="AE313" s="109"/>
      <c r="AF313" s="109"/>
      <c r="AG313" s="109"/>
      <c r="AH313" s="96"/>
      <c r="AK313" s="109"/>
      <c r="AL313" s="109"/>
      <c r="AM313" s="109"/>
      <c r="AN313" s="96"/>
      <c r="AQ313" s="109"/>
      <c r="AR313" s="109"/>
      <c r="AS313" s="109"/>
      <c r="AT313" s="96"/>
      <c r="AW313" s="109"/>
      <c r="AX313" s="109"/>
      <c r="AY313" s="109"/>
      <c r="AZ313" s="96"/>
    </row>
    <row r="314" spans="1:53" s="32" customFormat="1" ht="16.5" thickBot="1" x14ac:dyDescent="0.3">
      <c r="A314" s="24" t="s">
        <v>150</v>
      </c>
      <c r="B314" s="25" t="s">
        <v>151</v>
      </c>
      <c r="C314" s="26"/>
      <c r="D314" s="27"/>
      <c r="E314" s="27"/>
      <c r="F314" s="27"/>
      <c r="G314" s="28"/>
      <c r="H314" s="215"/>
      <c r="I314" s="228"/>
      <c r="J314" s="101"/>
      <c r="K314" s="101"/>
      <c r="L314" s="101"/>
      <c r="M314" s="101"/>
      <c r="N314" s="101"/>
      <c r="O314" s="101"/>
      <c r="P314" s="101"/>
      <c r="Q314" s="101"/>
      <c r="R314" s="101"/>
      <c r="S314" s="101"/>
      <c r="T314" s="101"/>
      <c r="U314" s="101"/>
      <c r="V314" s="357"/>
      <c r="W314" s="379"/>
      <c r="X314" s="101"/>
      <c r="Y314" s="30" t="s">
        <v>4</v>
      </c>
      <c r="Z314" s="31" t="s">
        <v>5</v>
      </c>
      <c r="AA314" s="31" t="s">
        <v>181</v>
      </c>
      <c r="AB314" s="31" t="s">
        <v>182</v>
      </c>
      <c r="AC314" s="24" t="s">
        <v>6</v>
      </c>
      <c r="AE314" s="33" t="s">
        <v>181</v>
      </c>
      <c r="AF314" s="33" t="s">
        <v>182</v>
      </c>
      <c r="AG314" s="33" t="s">
        <v>6</v>
      </c>
      <c r="AH314" s="33" t="s">
        <v>4</v>
      </c>
      <c r="AI314" s="34" t="s">
        <v>5</v>
      </c>
      <c r="AJ314" s="408"/>
      <c r="AK314" s="36" t="s">
        <v>181</v>
      </c>
      <c r="AL314" s="36" t="s">
        <v>182</v>
      </c>
      <c r="AM314" s="36" t="s">
        <v>6</v>
      </c>
      <c r="AN314" s="36" t="s">
        <v>4</v>
      </c>
      <c r="AO314" s="37" t="s">
        <v>5</v>
      </c>
      <c r="AP314" s="408"/>
      <c r="AQ314" s="36"/>
      <c r="AR314" s="36"/>
      <c r="AS314" s="36"/>
      <c r="AT314" s="36"/>
      <c r="AU314" s="37"/>
      <c r="AV314" s="408"/>
      <c r="AW314" s="38" t="s">
        <v>181</v>
      </c>
      <c r="AX314" s="38" t="s">
        <v>182</v>
      </c>
      <c r="AY314" s="38" t="s">
        <v>6</v>
      </c>
      <c r="AZ314" s="38" t="s">
        <v>4</v>
      </c>
      <c r="BA314" s="39" t="s">
        <v>5</v>
      </c>
    </row>
    <row r="315" spans="1:53" ht="17.100000000000001" customHeight="1" x14ac:dyDescent="0.25">
      <c r="A315" s="68"/>
      <c r="B315" s="41" t="s">
        <v>152</v>
      </c>
      <c r="C315" s="69" t="s">
        <v>433</v>
      </c>
      <c r="D315" s="50"/>
      <c r="E315" s="70"/>
      <c r="F315" s="70"/>
      <c r="G315" s="70"/>
      <c r="H315" s="263">
        <v>38</v>
      </c>
      <c r="J315" s="71"/>
      <c r="K315" s="71"/>
      <c r="L315" s="71"/>
      <c r="M315" s="71"/>
      <c r="N315" s="71"/>
      <c r="O315" s="71"/>
      <c r="P315" s="71"/>
      <c r="Q315" s="71"/>
      <c r="R315" s="71"/>
      <c r="S315" s="71"/>
      <c r="T315" s="71"/>
      <c r="U315" s="71"/>
      <c r="V315" s="355"/>
      <c r="W315" s="377"/>
      <c r="X315" s="71"/>
      <c r="Y315" s="72"/>
      <c r="Z315" s="73"/>
      <c r="AA315" s="73"/>
      <c r="AB315" s="73"/>
      <c r="AC315" s="73"/>
      <c r="AE315" s="71"/>
      <c r="AF315" s="71"/>
      <c r="AG315" s="71"/>
      <c r="AH315" s="72"/>
      <c r="AI315" s="73"/>
      <c r="AK315" s="71"/>
      <c r="AL315" s="71"/>
      <c r="AM315" s="71"/>
      <c r="AN315" s="72"/>
      <c r="AO315" s="73"/>
      <c r="AQ315" s="71"/>
      <c r="AR315" s="71"/>
      <c r="AS315" s="71"/>
      <c r="AT315" s="72"/>
      <c r="AU315" s="73"/>
      <c r="AW315" s="71"/>
      <c r="AX315" s="71"/>
      <c r="AY315" s="71"/>
      <c r="AZ315" s="72"/>
      <c r="BA315" s="73"/>
    </row>
    <row r="316" spans="1:53" s="4" customFormat="1" ht="17.100000000000001" customHeight="1" x14ac:dyDescent="0.25">
      <c r="A316" s="40"/>
      <c r="B316" s="40"/>
      <c r="C316" s="74" t="s">
        <v>153</v>
      </c>
      <c r="D316" s="85" t="s">
        <v>173</v>
      </c>
      <c r="E316" s="105"/>
      <c r="F316" s="105"/>
      <c r="G316" s="105"/>
      <c r="H316" s="119"/>
      <c r="I316" s="231"/>
      <c r="J316" s="581"/>
      <c r="K316" s="581"/>
      <c r="L316" s="582"/>
      <c r="M316" s="593"/>
      <c r="N316" s="111"/>
      <c r="O316" s="111"/>
      <c r="P316" s="111"/>
      <c r="Q316" s="111"/>
      <c r="R316" s="111"/>
      <c r="S316" s="111"/>
      <c r="T316" s="111"/>
      <c r="U316" s="111"/>
      <c r="V316" s="358"/>
      <c r="W316" s="391">
        <f t="shared" ref="W316:W322" si="341">J316+K316+N316+Q316+T316</f>
        <v>0</v>
      </c>
      <c r="X316" s="17">
        <f t="shared" ref="X316:X322" si="342">L316+O316+R316+U316</f>
        <v>0</v>
      </c>
      <c r="Y316" s="18">
        <f>SUM(W316:X316)</f>
        <v>0</v>
      </c>
      <c r="Z316" s="19">
        <f>IF(Y$323=0,0,Y316/Y$323)</f>
        <v>0</v>
      </c>
      <c r="AA316" s="19"/>
      <c r="AB316" s="19"/>
      <c r="AC316" s="20"/>
      <c r="AE316" s="17"/>
      <c r="AF316" s="17"/>
      <c r="AG316" s="17"/>
      <c r="AH316" s="18">
        <f>J316</f>
        <v>0</v>
      </c>
      <c r="AI316" s="19">
        <f>IF(AH$323=0,0,AH316/AH$323)</f>
        <v>0</v>
      </c>
      <c r="AJ316" s="97"/>
      <c r="AK316" s="17"/>
      <c r="AL316" s="17"/>
      <c r="AM316" s="17"/>
      <c r="AN316" s="18">
        <f>K316</f>
        <v>0</v>
      </c>
      <c r="AO316" s="19">
        <f>IF(AN$323=0,0,AN316/AN$323)</f>
        <v>0</v>
      </c>
      <c r="AP316" s="97"/>
      <c r="AQ316" s="17"/>
      <c r="AR316" s="17"/>
      <c r="AS316" s="17"/>
      <c r="AT316" s="18">
        <f>W316</f>
        <v>0</v>
      </c>
      <c r="AU316" s="19">
        <f>IF(AT$323=0,0,AT316/AT$323)</f>
        <v>0</v>
      </c>
      <c r="AV316" s="97"/>
      <c r="AW316" s="17"/>
      <c r="AX316" s="17"/>
      <c r="AY316" s="17"/>
      <c r="AZ316" s="18">
        <f>X316</f>
        <v>0</v>
      </c>
      <c r="BA316" s="19">
        <f>IF(AZ$323=0,0,AZ316/AZ$323)</f>
        <v>0</v>
      </c>
    </row>
    <row r="317" spans="1:53" s="4" customFormat="1" ht="17.100000000000001" customHeight="1" x14ac:dyDescent="0.25">
      <c r="A317" s="40"/>
      <c r="B317" s="40"/>
      <c r="C317" s="74" t="s">
        <v>154</v>
      </c>
      <c r="D317" s="85" t="s">
        <v>544</v>
      </c>
      <c r="E317" s="105"/>
      <c r="F317" s="105"/>
      <c r="G317" s="105"/>
      <c r="H317" s="119"/>
      <c r="I317" s="231"/>
      <c r="J317" s="583"/>
      <c r="K317" s="583"/>
      <c r="L317" s="584"/>
      <c r="M317" s="593"/>
      <c r="N317" s="111"/>
      <c r="O317" s="111"/>
      <c r="P317" s="111"/>
      <c r="Q317" s="111"/>
      <c r="R317" s="111"/>
      <c r="S317" s="111"/>
      <c r="T317" s="111"/>
      <c r="U317" s="111"/>
      <c r="V317" s="358"/>
      <c r="W317" s="391">
        <f t="shared" si="341"/>
        <v>0</v>
      </c>
      <c r="X317" s="17">
        <f t="shared" si="342"/>
        <v>0</v>
      </c>
      <c r="Y317" s="18">
        <f>SUM(W317:X317)</f>
        <v>0</v>
      </c>
      <c r="Z317" s="19">
        <f>IF(Y$323=0,0,Y317/Y$323)</f>
        <v>0</v>
      </c>
      <c r="AA317" s="19"/>
      <c r="AB317" s="19"/>
      <c r="AC317" s="20"/>
      <c r="AE317" s="17"/>
      <c r="AF317" s="17"/>
      <c r="AG317" s="17"/>
      <c r="AH317" s="18">
        <f t="shared" ref="AH317:AH322" si="343">J317</f>
        <v>0</v>
      </c>
      <c r="AI317" s="19">
        <f>IF(AH$323=0,0,AH317/AH$323)</f>
        <v>0</v>
      </c>
      <c r="AJ317" s="97"/>
      <c r="AK317" s="17"/>
      <c r="AL317" s="17"/>
      <c r="AM317" s="17"/>
      <c r="AN317" s="18">
        <f t="shared" ref="AN317:AN322" si="344">K317</f>
        <v>0</v>
      </c>
      <c r="AO317" s="19">
        <f>IF(AN$323=0,0,AN317/AN$323)</f>
        <v>0</v>
      </c>
      <c r="AP317" s="97"/>
      <c r="AQ317" s="17"/>
      <c r="AR317" s="17"/>
      <c r="AS317" s="17"/>
      <c r="AT317" s="18">
        <f t="shared" ref="AT317:AT322" si="345">W317</f>
        <v>0</v>
      </c>
      <c r="AU317" s="19">
        <f>IF(AT$323=0,0,AT317/AT$323)</f>
        <v>0</v>
      </c>
      <c r="AV317" s="97"/>
      <c r="AW317" s="17"/>
      <c r="AX317" s="17"/>
      <c r="AY317" s="17"/>
      <c r="AZ317" s="18">
        <f>X317</f>
        <v>0</v>
      </c>
      <c r="BA317" s="19">
        <f>IF(AZ$323=0,0,AZ317/AZ$323)</f>
        <v>0</v>
      </c>
    </row>
    <row r="318" spans="1:53" s="4" customFormat="1" ht="17.100000000000001" customHeight="1" x14ac:dyDescent="0.25">
      <c r="A318" s="40"/>
      <c r="B318" s="40"/>
      <c r="C318" s="74" t="s">
        <v>155</v>
      </c>
      <c r="D318" s="146" t="s">
        <v>484</v>
      </c>
      <c r="E318" s="105"/>
      <c r="F318" s="105"/>
      <c r="G318" s="105"/>
      <c r="H318" s="119"/>
      <c r="I318" s="231"/>
      <c r="J318" s="581"/>
      <c r="K318" s="581"/>
      <c r="L318" s="582"/>
      <c r="M318" s="593"/>
      <c r="N318" s="111"/>
      <c r="O318" s="111"/>
      <c r="P318" s="111"/>
      <c r="Q318" s="111"/>
      <c r="R318" s="111"/>
      <c r="S318" s="111"/>
      <c r="T318" s="111"/>
      <c r="U318" s="111"/>
      <c r="V318" s="358"/>
      <c r="W318" s="391"/>
      <c r="X318" s="17">
        <f>L318</f>
        <v>0</v>
      </c>
      <c r="Y318" s="17">
        <f>M318</f>
        <v>0</v>
      </c>
      <c r="Z318" s="19"/>
      <c r="AA318" s="17">
        <f>MIN(J318:L318)</f>
        <v>0</v>
      </c>
      <c r="AB318" s="17"/>
      <c r="AC318" s="17"/>
      <c r="AE318" s="17">
        <f>J318</f>
        <v>0</v>
      </c>
      <c r="AF318" s="17"/>
      <c r="AG318" s="17"/>
      <c r="AH318" s="18"/>
      <c r="AI318" s="19"/>
      <c r="AJ318" s="97"/>
      <c r="AK318" s="17">
        <f>K318</f>
        <v>0</v>
      </c>
      <c r="AL318" s="17"/>
      <c r="AM318" s="17"/>
      <c r="AN318" s="18"/>
      <c r="AO318" s="19"/>
      <c r="AP318" s="97"/>
      <c r="AQ318" s="17">
        <f>W318</f>
        <v>0</v>
      </c>
      <c r="AR318" s="17"/>
      <c r="AS318" s="17"/>
      <c r="AT318" s="18"/>
      <c r="AU318" s="19"/>
      <c r="AV318" s="97"/>
      <c r="AW318" s="17">
        <f>L318</f>
        <v>0</v>
      </c>
      <c r="AX318" s="17"/>
      <c r="AY318" s="17"/>
      <c r="AZ318" s="18"/>
      <c r="BA318" s="19"/>
    </row>
    <row r="319" spans="1:53" s="4" customFormat="1" ht="17.100000000000001" customHeight="1" x14ac:dyDescent="0.25">
      <c r="A319" s="40"/>
      <c r="B319" s="40"/>
      <c r="C319" s="74" t="s">
        <v>156</v>
      </c>
      <c r="D319" s="146" t="s">
        <v>485</v>
      </c>
      <c r="E319" s="105"/>
      <c r="F319" s="105"/>
      <c r="G319" s="105"/>
      <c r="H319" s="119"/>
      <c r="I319" s="231"/>
      <c r="J319" s="583"/>
      <c r="K319" s="583"/>
      <c r="L319" s="584"/>
      <c r="M319" s="593"/>
      <c r="N319" s="111"/>
      <c r="O319" s="111"/>
      <c r="P319" s="111"/>
      <c r="Q319" s="111"/>
      <c r="R319" s="111"/>
      <c r="S319" s="111"/>
      <c r="T319" s="111"/>
      <c r="U319" s="111"/>
      <c r="V319" s="358"/>
      <c r="W319" s="391"/>
      <c r="X319" s="17">
        <f t="shared" ref="X319:Y320" si="346">L319</f>
        <v>0</v>
      </c>
      <c r="Y319" s="17">
        <f t="shared" si="346"/>
        <v>0</v>
      </c>
      <c r="Z319" s="19"/>
      <c r="AA319" s="17"/>
      <c r="AB319" s="17">
        <f>MAX(J319:L319)</f>
        <v>0</v>
      </c>
      <c r="AC319" s="17"/>
      <c r="AE319" s="17"/>
      <c r="AF319" s="17">
        <f>J319</f>
        <v>0</v>
      </c>
      <c r="AG319" s="17"/>
      <c r="AH319" s="18"/>
      <c r="AI319" s="19"/>
      <c r="AJ319" s="97"/>
      <c r="AK319" s="17"/>
      <c r="AL319" s="17">
        <f>K319</f>
        <v>0</v>
      </c>
      <c r="AM319" s="17"/>
      <c r="AN319" s="18"/>
      <c r="AO319" s="19"/>
      <c r="AP319" s="97"/>
      <c r="AQ319" s="17"/>
      <c r="AR319" s="17">
        <f>W319</f>
        <v>0</v>
      </c>
      <c r="AS319" s="17"/>
      <c r="AT319" s="18"/>
      <c r="AU319" s="19"/>
      <c r="AV319" s="97"/>
      <c r="AW319" s="17"/>
      <c r="AX319" s="17">
        <f>L319</f>
        <v>0</v>
      </c>
      <c r="AY319" s="17"/>
      <c r="AZ319" s="18"/>
      <c r="BA319" s="19"/>
    </row>
    <row r="320" spans="1:53" s="4" customFormat="1" ht="17.100000000000001" customHeight="1" x14ac:dyDescent="0.25">
      <c r="A320" s="40"/>
      <c r="B320" s="40"/>
      <c r="C320" s="74" t="s">
        <v>157</v>
      </c>
      <c r="D320" s="146" t="s">
        <v>543</v>
      </c>
      <c r="E320" s="105"/>
      <c r="F320" s="105"/>
      <c r="G320" s="105"/>
      <c r="H320" s="119"/>
      <c r="I320" s="231"/>
      <c r="J320" s="581"/>
      <c r="K320" s="581"/>
      <c r="L320" s="582"/>
      <c r="M320" s="593"/>
      <c r="N320" s="111"/>
      <c r="O320" s="111"/>
      <c r="P320" s="111"/>
      <c r="Q320" s="111"/>
      <c r="R320" s="111"/>
      <c r="S320" s="111"/>
      <c r="T320" s="111"/>
      <c r="U320" s="111"/>
      <c r="V320" s="358"/>
      <c r="W320" s="391"/>
      <c r="X320" s="17">
        <f t="shared" si="346"/>
        <v>0</v>
      </c>
      <c r="Y320" s="17">
        <f t="shared" si="346"/>
        <v>0</v>
      </c>
      <c r="Z320" s="19"/>
      <c r="AA320" s="17"/>
      <c r="AB320" s="17"/>
      <c r="AC320" s="17">
        <f>IF(SUM(J320:L320)=0,0,AVERAGE(J320:L320))</f>
        <v>0</v>
      </c>
      <c r="AE320" s="17"/>
      <c r="AF320" s="17"/>
      <c r="AG320" s="17">
        <f>J320</f>
        <v>0</v>
      </c>
      <c r="AH320" s="18"/>
      <c r="AI320" s="19"/>
      <c r="AJ320" s="97"/>
      <c r="AK320" s="17"/>
      <c r="AL320" s="17"/>
      <c r="AM320" s="17">
        <f>K320</f>
        <v>0</v>
      </c>
      <c r="AN320" s="18"/>
      <c r="AO320" s="19"/>
      <c r="AP320" s="97"/>
      <c r="AQ320" s="17"/>
      <c r="AR320" s="17"/>
      <c r="AS320" s="17">
        <f>W320</f>
        <v>0</v>
      </c>
      <c r="AT320" s="18"/>
      <c r="AU320" s="19"/>
      <c r="AV320" s="97"/>
      <c r="AW320" s="17"/>
      <c r="AX320" s="17"/>
      <c r="AY320" s="17">
        <f>L320</f>
        <v>0</v>
      </c>
      <c r="AZ320" s="18"/>
      <c r="BA320" s="19"/>
    </row>
    <row r="321" spans="1:53" s="4" customFormat="1" ht="17.100000000000001" customHeight="1" x14ac:dyDescent="0.25">
      <c r="A321" s="40"/>
      <c r="B321" s="40"/>
      <c r="C321" s="74" t="s">
        <v>158</v>
      </c>
      <c r="D321" s="75" t="s">
        <v>129</v>
      </c>
      <c r="E321" s="105"/>
      <c r="F321" s="105"/>
      <c r="G321" s="105"/>
      <c r="H321" s="119"/>
      <c r="I321" s="231"/>
      <c r="J321" s="583"/>
      <c r="K321" s="583"/>
      <c r="L321" s="584"/>
      <c r="M321" s="593"/>
      <c r="N321" s="111"/>
      <c r="O321" s="111"/>
      <c r="P321" s="111"/>
      <c r="Q321" s="111"/>
      <c r="R321" s="111"/>
      <c r="S321" s="111"/>
      <c r="T321" s="111"/>
      <c r="U321" s="111"/>
      <c r="V321" s="358"/>
      <c r="W321" s="391">
        <f t="shared" si="341"/>
        <v>0</v>
      </c>
      <c r="X321" s="17">
        <f t="shared" si="342"/>
        <v>0</v>
      </c>
      <c r="Y321" s="18">
        <f>SUM(W321:X321)</f>
        <v>0</v>
      </c>
      <c r="Z321" s="19">
        <f>IF(Y$323=0,0,Y321/Y$323)</f>
        <v>0</v>
      </c>
      <c r="AA321" s="19"/>
      <c r="AB321" s="19"/>
      <c r="AC321" s="20"/>
      <c r="AE321" s="17"/>
      <c r="AF321" s="17"/>
      <c r="AG321" s="17"/>
      <c r="AH321" s="18">
        <f t="shared" si="343"/>
        <v>0</v>
      </c>
      <c r="AI321" s="19">
        <f>IF(AH$323=0,0,AH321/AH$323)</f>
        <v>0</v>
      </c>
      <c r="AJ321" s="97"/>
      <c r="AK321" s="17"/>
      <c r="AL321" s="17"/>
      <c r="AM321" s="17"/>
      <c r="AN321" s="18">
        <f t="shared" si="344"/>
        <v>0</v>
      </c>
      <c r="AO321" s="19">
        <f>IF(AN$323=0,0,AN321/AN$323)</f>
        <v>0</v>
      </c>
      <c r="AP321" s="97"/>
      <c r="AQ321" s="17"/>
      <c r="AR321" s="17"/>
      <c r="AS321" s="17"/>
      <c r="AT321" s="18">
        <f t="shared" si="345"/>
        <v>0</v>
      </c>
      <c r="AU321" s="19">
        <f>IF(AT$323=0,0,AT321/AT$323)</f>
        <v>0</v>
      </c>
      <c r="AV321" s="97"/>
      <c r="AW321" s="17"/>
      <c r="AX321" s="17"/>
      <c r="AY321" s="17"/>
      <c r="AZ321" s="18">
        <f>X321</f>
        <v>0</v>
      </c>
      <c r="BA321" s="19">
        <f>IF(AZ$323=0,0,AZ321/AZ$323)</f>
        <v>0</v>
      </c>
    </row>
    <row r="322" spans="1:53" s="4" customFormat="1" ht="17.100000000000001" customHeight="1" x14ac:dyDescent="0.25">
      <c r="A322" s="40"/>
      <c r="B322" s="40"/>
      <c r="C322" s="74" t="s">
        <v>159</v>
      </c>
      <c r="D322" s="75" t="s">
        <v>530</v>
      </c>
      <c r="E322" s="75"/>
      <c r="F322" s="75"/>
      <c r="G322" s="75"/>
      <c r="H322" s="540"/>
      <c r="I322" s="229"/>
      <c r="J322" s="581"/>
      <c r="K322" s="581"/>
      <c r="L322" s="582"/>
      <c r="M322" s="593"/>
      <c r="N322" s="111"/>
      <c r="O322" s="111"/>
      <c r="P322" s="111"/>
      <c r="Q322" s="111"/>
      <c r="R322" s="111"/>
      <c r="S322" s="111"/>
      <c r="T322" s="111"/>
      <c r="U322" s="111"/>
      <c r="V322" s="358"/>
      <c r="W322" s="391">
        <f t="shared" si="341"/>
        <v>0</v>
      </c>
      <c r="X322" s="17">
        <f t="shared" si="342"/>
        <v>0</v>
      </c>
      <c r="Y322" s="18">
        <f>SUM(W322:X322)</f>
        <v>0</v>
      </c>
      <c r="Z322" s="19">
        <f>IF(Y$323=0,0,Y322/Y$323)</f>
        <v>0</v>
      </c>
      <c r="AA322" s="19"/>
      <c r="AB322" s="19"/>
      <c r="AC322" s="20"/>
      <c r="AE322" s="17"/>
      <c r="AF322" s="17"/>
      <c r="AG322" s="17"/>
      <c r="AH322" s="18">
        <f t="shared" si="343"/>
        <v>0</v>
      </c>
      <c r="AI322" s="19">
        <f>IF(AH$323=0,0,AH322/AH$323)</f>
        <v>0</v>
      </c>
      <c r="AJ322" s="97"/>
      <c r="AK322" s="17"/>
      <c r="AL322" s="17"/>
      <c r="AM322" s="17"/>
      <c r="AN322" s="18">
        <f t="shared" si="344"/>
        <v>0</v>
      </c>
      <c r="AO322" s="19">
        <f>IF(AN$323=0,0,AN322/AN$323)</f>
        <v>0</v>
      </c>
      <c r="AP322" s="97"/>
      <c r="AQ322" s="17"/>
      <c r="AR322" s="17"/>
      <c r="AS322" s="17"/>
      <c r="AT322" s="18">
        <f t="shared" si="345"/>
        <v>0</v>
      </c>
      <c r="AU322" s="19">
        <f>IF(AT$323=0,0,AT322/AT$323)</f>
        <v>0</v>
      </c>
      <c r="AV322" s="97"/>
      <c r="AW322" s="17"/>
      <c r="AX322" s="17"/>
      <c r="AY322" s="17"/>
      <c r="AZ322" s="18">
        <f>X322</f>
        <v>0</v>
      </c>
      <c r="BA322" s="19">
        <f>IF(AZ$323=0,0,AZ322/AZ$323)</f>
        <v>0</v>
      </c>
    </row>
    <row r="323" spans="1:53" s="4" customFormat="1" ht="17.100000000000001" customHeight="1" x14ac:dyDescent="0.25">
      <c r="A323" s="175"/>
      <c r="B323" s="40"/>
      <c r="C323" s="77"/>
      <c r="D323" s="134"/>
      <c r="E323" s="134"/>
      <c r="F323" s="134"/>
      <c r="G323" s="134"/>
      <c r="H323" s="540"/>
      <c r="I323" s="12"/>
      <c r="J323" s="80">
        <f>J316+J317+J321+J322</f>
        <v>0</v>
      </c>
      <c r="K323" s="80">
        <f t="shared" ref="K323:M323" si="347">K316+K317+K321+K322</f>
        <v>0</v>
      </c>
      <c r="L323" s="80">
        <f t="shared" si="347"/>
        <v>0</v>
      </c>
      <c r="M323" s="80">
        <f t="shared" si="347"/>
        <v>0</v>
      </c>
      <c r="N323" s="81"/>
      <c r="O323" s="81"/>
      <c r="P323" s="81"/>
      <c r="Q323" s="81"/>
      <c r="R323" s="81"/>
      <c r="S323" s="81"/>
      <c r="T323" s="81"/>
      <c r="U323" s="81"/>
      <c r="V323" s="356"/>
      <c r="W323" s="381">
        <f>W316+W317+W321+W322</f>
        <v>0</v>
      </c>
      <c r="X323" s="82">
        <f>X316+X317+X321+X322</f>
        <v>0</v>
      </c>
      <c r="Y323" s="82">
        <f t="shared" ref="Y323" si="348">SUM(Y316:Y322)</f>
        <v>0</v>
      </c>
      <c r="Z323" s="205">
        <f>IF(Y$323=0,0,Y323/Y$323)</f>
        <v>0</v>
      </c>
      <c r="AA323" s="205"/>
      <c r="AB323" s="205"/>
      <c r="AC323" s="83"/>
      <c r="AE323" s="80"/>
      <c r="AF323" s="80"/>
      <c r="AG323" s="81"/>
      <c r="AH323" s="82">
        <f>SUM(AH316:AH322)</f>
        <v>0</v>
      </c>
      <c r="AI323" s="66">
        <f>IF(AH$323=0,0,AH323/AH$323)</f>
        <v>0</v>
      </c>
      <c r="AJ323" s="97"/>
      <c r="AK323" s="80"/>
      <c r="AL323" s="80"/>
      <c r="AM323" s="81"/>
      <c r="AN323" s="82">
        <f>SUM(AN316:AN322)</f>
        <v>0</v>
      </c>
      <c r="AO323" s="66">
        <f>IF(AN$323=0,0,AN323/AN$323)</f>
        <v>0</v>
      </c>
      <c r="AP323" s="97"/>
      <c r="AQ323" s="80"/>
      <c r="AR323" s="80"/>
      <c r="AS323" s="81"/>
      <c r="AT323" s="82">
        <f>SUM(AT316:AT322)</f>
        <v>0</v>
      </c>
      <c r="AU323" s="66">
        <f>IF(AT$323=0,0,AT323/AT$323)</f>
        <v>0</v>
      </c>
      <c r="AV323" s="97"/>
      <c r="AW323" s="80"/>
      <c r="AX323" s="80"/>
      <c r="AY323" s="81"/>
      <c r="AZ323" s="82">
        <f>SUM(AZ316:AZ322)</f>
        <v>0</v>
      </c>
      <c r="BA323" s="66">
        <f>IF(AZ$323=0,0,AZ323/AZ$323)</f>
        <v>0</v>
      </c>
    </row>
    <row r="324" spans="1:53" s="117" customFormat="1" ht="17.100000000000001" customHeight="1" x14ac:dyDescent="0.25">
      <c r="A324" s="68"/>
      <c r="B324" s="119"/>
      <c r="C324" s="540"/>
      <c r="D324" s="261"/>
      <c r="E324" s="261"/>
      <c r="F324" s="68"/>
      <c r="G324" s="68"/>
      <c r="H324" s="119"/>
      <c r="I324" s="138"/>
      <c r="J324" s="17" t="str">
        <f>IF(J323=J$15,"OK","NOK")</f>
        <v>OK</v>
      </c>
      <c r="K324" s="17" t="str">
        <f t="shared" ref="K324:L324" si="349">IF(K323=K$15,"OK","NOK")</f>
        <v>OK</v>
      </c>
      <c r="L324" s="17" t="str">
        <f t="shared" si="349"/>
        <v>OK</v>
      </c>
      <c r="M324" s="17"/>
      <c r="N324" s="17"/>
      <c r="O324" s="17"/>
      <c r="P324" s="17"/>
      <c r="Q324" s="17"/>
      <c r="R324" s="17"/>
      <c r="S324" s="17"/>
      <c r="T324" s="17"/>
      <c r="U324" s="17"/>
      <c r="V324" s="359"/>
      <c r="W324" s="382"/>
      <c r="X324" s="539"/>
      <c r="Y324" s="539"/>
      <c r="Z324" s="201"/>
      <c r="AA324" s="201"/>
      <c r="AB324" s="201"/>
      <c r="AC324" s="84"/>
      <c r="AE324" s="46"/>
      <c r="AF324" s="46"/>
      <c r="AG324" s="17"/>
      <c r="AH324" s="539"/>
      <c r="AI324" s="91"/>
      <c r="AK324" s="46"/>
      <c r="AL324" s="46"/>
      <c r="AM324" s="17"/>
      <c r="AN324" s="539"/>
      <c r="AO324" s="91"/>
      <c r="AQ324" s="46"/>
      <c r="AR324" s="46"/>
      <c r="AS324" s="17"/>
      <c r="AT324" s="539"/>
      <c r="AU324" s="91"/>
      <c r="AW324" s="46"/>
      <c r="AX324" s="46"/>
      <c r="AY324" s="17"/>
      <c r="AZ324" s="539"/>
      <c r="BA324" s="91"/>
    </row>
    <row r="325" spans="1:53" ht="17.100000000000001" customHeight="1" x14ac:dyDescent="0.25">
      <c r="A325" s="68"/>
      <c r="B325" s="41" t="s">
        <v>160</v>
      </c>
      <c r="C325" s="69" t="s">
        <v>434</v>
      </c>
      <c r="D325" s="50"/>
      <c r="E325" s="70"/>
      <c r="F325" s="70"/>
      <c r="G325" s="70"/>
      <c r="H325" s="243">
        <v>40</v>
      </c>
      <c r="J325" s="71"/>
      <c r="K325" s="71"/>
      <c r="L325" s="71"/>
      <c r="M325" s="71"/>
      <c r="N325" s="71"/>
      <c r="O325" s="71"/>
      <c r="P325" s="71"/>
      <c r="Q325" s="71"/>
      <c r="R325" s="71"/>
      <c r="S325" s="71"/>
      <c r="T325" s="71"/>
      <c r="U325" s="71"/>
      <c r="V325" s="355"/>
      <c r="W325" s="377"/>
      <c r="X325" s="71"/>
      <c r="Y325" s="89"/>
      <c r="Z325" s="90"/>
      <c r="AA325" s="90"/>
      <c r="AB325" s="90"/>
      <c r="AC325" s="73"/>
      <c r="AE325" s="71"/>
      <c r="AF325" s="71"/>
      <c r="AG325" s="71"/>
      <c r="AH325" s="72"/>
      <c r="AI325" s="73"/>
      <c r="AK325" s="71"/>
      <c r="AL325" s="71"/>
      <c r="AM325" s="71"/>
      <c r="AN325" s="72"/>
      <c r="AO325" s="73"/>
      <c r="AQ325" s="71"/>
      <c r="AR325" s="71"/>
      <c r="AS325" s="71"/>
      <c r="AT325" s="72"/>
      <c r="AU325" s="73"/>
      <c r="AW325" s="71"/>
      <c r="AX325" s="71"/>
      <c r="AY325" s="71"/>
      <c r="AZ325" s="72"/>
      <c r="BA325" s="73"/>
    </row>
    <row r="326" spans="1:53" s="4" customFormat="1" ht="17.100000000000001" customHeight="1" x14ac:dyDescent="0.25">
      <c r="A326" s="40"/>
      <c r="B326" s="40"/>
      <c r="C326" s="74" t="s">
        <v>161</v>
      </c>
      <c r="D326" s="85" t="s">
        <v>173</v>
      </c>
      <c r="E326" s="105"/>
      <c r="F326" s="105"/>
      <c r="G326" s="105"/>
      <c r="H326" s="119"/>
      <c r="I326" s="231"/>
      <c r="J326" s="581"/>
      <c r="K326" s="581"/>
      <c r="L326" s="582"/>
      <c r="M326" s="593"/>
      <c r="N326" s="111"/>
      <c r="O326" s="111"/>
      <c r="P326" s="111"/>
      <c r="Q326" s="111"/>
      <c r="R326" s="111"/>
      <c r="S326" s="111"/>
      <c r="T326" s="111"/>
      <c r="U326" s="111"/>
      <c r="V326" s="358"/>
      <c r="W326" s="391">
        <f t="shared" ref="W326:W327" si="350">J326+K326+N326+Q326+T326</f>
        <v>0</v>
      </c>
      <c r="X326" s="17">
        <f t="shared" ref="X326:X327" si="351">L326+O326+R326+U326</f>
        <v>0</v>
      </c>
      <c r="Y326" s="18">
        <f>SUM(W326:X326)</f>
        <v>0</v>
      </c>
      <c r="Z326" s="19">
        <f>IF(Y$333=0,0,Y326/Y$333)</f>
        <v>0</v>
      </c>
      <c r="AA326" s="19"/>
      <c r="AB326" s="19"/>
      <c r="AC326" s="20"/>
      <c r="AE326" s="17"/>
      <c r="AF326" s="17"/>
      <c r="AG326" s="17"/>
      <c r="AH326" s="18">
        <f>J326</f>
        <v>0</v>
      </c>
      <c r="AI326" s="19">
        <f>IF(AH$333=0,0,AH326/AH$333)</f>
        <v>0</v>
      </c>
      <c r="AJ326" s="97"/>
      <c r="AK326" s="17"/>
      <c r="AL326" s="17"/>
      <c r="AM326" s="17"/>
      <c r="AN326" s="18">
        <f>K326</f>
        <v>0</v>
      </c>
      <c r="AO326" s="19">
        <f>IF(AN$333=0,0,AN326/AN$333)</f>
        <v>0</v>
      </c>
      <c r="AP326" s="97"/>
      <c r="AQ326" s="17"/>
      <c r="AR326" s="17"/>
      <c r="AS326" s="17"/>
      <c r="AT326" s="18">
        <f>W326</f>
        <v>0</v>
      </c>
      <c r="AU326" s="19">
        <f>IF(AT$333=0,0,AT326/AT$333)</f>
        <v>0</v>
      </c>
      <c r="AV326" s="97"/>
      <c r="AW326" s="17"/>
      <c r="AX326" s="17"/>
      <c r="AY326" s="17"/>
      <c r="AZ326" s="18">
        <f>X326</f>
        <v>0</v>
      </c>
      <c r="BA326" s="19">
        <f>IF(AZ$333=0,0,AZ326/AZ$333)</f>
        <v>0</v>
      </c>
    </row>
    <row r="327" spans="1:53" s="4" customFormat="1" ht="17.100000000000001" customHeight="1" x14ac:dyDescent="0.25">
      <c r="A327" s="40"/>
      <c r="B327" s="40"/>
      <c r="C327" s="74" t="s">
        <v>163</v>
      </c>
      <c r="D327" s="85" t="s">
        <v>544</v>
      </c>
      <c r="E327" s="105"/>
      <c r="F327" s="105"/>
      <c r="G327" s="105"/>
      <c r="H327" s="119"/>
      <c r="I327" s="231"/>
      <c r="J327" s="583"/>
      <c r="K327" s="583"/>
      <c r="L327" s="584"/>
      <c r="M327" s="593"/>
      <c r="N327" s="111"/>
      <c r="O327" s="111"/>
      <c r="P327" s="111"/>
      <c r="Q327" s="111"/>
      <c r="R327" s="111"/>
      <c r="S327" s="111"/>
      <c r="T327" s="111"/>
      <c r="U327" s="111"/>
      <c r="V327" s="358"/>
      <c r="W327" s="391">
        <f t="shared" si="350"/>
        <v>0</v>
      </c>
      <c r="X327" s="17">
        <f t="shared" si="351"/>
        <v>0</v>
      </c>
      <c r="Y327" s="18">
        <f>SUM(W327:X327)</f>
        <v>0</v>
      </c>
      <c r="Z327" s="19">
        <f>IF(Y$333=0,0,Y327/Y$333)</f>
        <v>0</v>
      </c>
      <c r="AA327" s="19"/>
      <c r="AB327" s="19"/>
      <c r="AC327" s="20"/>
      <c r="AE327" s="17"/>
      <c r="AF327" s="17"/>
      <c r="AG327" s="17"/>
      <c r="AH327" s="18">
        <f t="shared" ref="AH327" si="352">J327</f>
        <v>0</v>
      </c>
      <c r="AI327" s="19">
        <f>IF(AH$333=0,0,AH327/AH$333)</f>
        <v>0</v>
      </c>
      <c r="AJ327" s="97"/>
      <c r="AK327" s="17"/>
      <c r="AL327" s="17"/>
      <c r="AM327" s="17"/>
      <c r="AN327" s="18">
        <f t="shared" ref="AN327" si="353">K327</f>
        <v>0</v>
      </c>
      <c r="AO327" s="19">
        <f>IF(AN$333=0,0,AN327/AN$333)</f>
        <v>0</v>
      </c>
      <c r="AP327" s="97"/>
      <c r="AQ327" s="17"/>
      <c r="AR327" s="17"/>
      <c r="AS327" s="17"/>
      <c r="AT327" s="18">
        <f t="shared" ref="AT327" si="354">W327</f>
        <v>0</v>
      </c>
      <c r="AU327" s="19">
        <f>IF(AT$333=0,0,AT327/AT$333)</f>
        <v>0</v>
      </c>
      <c r="AV327" s="97"/>
      <c r="AW327" s="17"/>
      <c r="AX327" s="17"/>
      <c r="AY327" s="17"/>
      <c r="AZ327" s="18">
        <f>X327</f>
        <v>0</v>
      </c>
      <c r="BA327" s="19">
        <f>IF(AZ$333=0,0,AZ327/AZ$333)</f>
        <v>0</v>
      </c>
    </row>
    <row r="328" spans="1:53" s="4" customFormat="1" ht="17.100000000000001" customHeight="1" x14ac:dyDescent="0.25">
      <c r="A328" s="40"/>
      <c r="B328" s="40"/>
      <c r="C328" s="74" t="s">
        <v>164</v>
      </c>
      <c r="D328" s="146" t="s">
        <v>484</v>
      </c>
      <c r="E328" s="105"/>
      <c r="F328" s="105"/>
      <c r="G328" s="105"/>
      <c r="H328" s="119"/>
      <c r="I328" s="231"/>
      <c r="J328" s="581"/>
      <c r="K328" s="581"/>
      <c r="L328" s="582"/>
      <c r="M328" s="593"/>
      <c r="N328" s="111"/>
      <c r="O328" s="111"/>
      <c r="P328" s="111"/>
      <c r="Q328" s="111"/>
      <c r="R328" s="111"/>
      <c r="S328" s="111"/>
      <c r="T328" s="111"/>
      <c r="U328" s="111"/>
      <c r="V328" s="358"/>
      <c r="W328" s="391">
        <f>MIN(J328:K328)</f>
        <v>0</v>
      </c>
      <c r="X328" s="17">
        <f>L328</f>
        <v>0</v>
      </c>
      <c r="Y328" s="18"/>
      <c r="Z328" s="19"/>
      <c r="AA328" s="17">
        <f>MIN(J328:L328)</f>
        <v>0</v>
      </c>
      <c r="AB328" s="17"/>
      <c r="AC328" s="17"/>
      <c r="AE328" s="17">
        <f>J328</f>
        <v>0</v>
      </c>
      <c r="AF328" s="17"/>
      <c r="AG328" s="17"/>
      <c r="AH328" s="18"/>
      <c r="AI328" s="19"/>
      <c r="AJ328" s="97"/>
      <c r="AK328" s="17">
        <f>K328</f>
        <v>0</v>
      </c>
      <c r="AL328" s="17"/>
      <c r="AM328" s="17"/>
      <c r="AN328" s="18"/>
      <c r="AO328" s="19"/>
      <c r="AP328" s="97"/>
      <c r="AQ328" s="17">
        <f>W328</f>
        <v>0</v>
      </c>
      <c r="AR328" s="17"/>
      <c r="AS328" s="17"/>
      <c r="AT328" s="18"/>
      <c r="AU328" s="19"/>
      <c r="AV328" s="97"/>
      <c r="AW328" s="17">
        <f>L328</f>
        <v>0</v>
      </c>
      <c r="AX328" s="17"/>
      <c r="AY328" s="17"/>
      <c r="AZ328" s="18"/>
      <c r="BA328" s="19"/>
    </row>
    <row r="329" spans="1:53" s="4" customFormat="1" ht="17.100000000000001" customHeight="1" x14ac:dyDescent="0.25">
      <c r="A329" s="40"/>
      <c r="B329" s="40"/>
      <c r="C329" s="74" t="s">
        <v>166</v>
      </c>
      <c r="D329" s="146" t="s">
        <v>485</v>
      </c>
      <c r="E329" s="105"/>
      <c r="F329" s="105"/>
      <c r="G329" s="105"/>
      <c r="H329" s="119"/>
      <c r="I329" s="231"/>
      <c r="J329" s="583"/>
      <c r="K329" s="583"/>
      <c r="L329" s="584"/>
      <c r="M329" s="593"/>
      <c r="N329" s="111"/>
      <c r="O329" s="111"/>
      <c r="P329" s="111"/>
      <c r="Q329" s="111"/>
      <c r="R329" s="111"/>
      <c r="S329" s="111"/>
      <c r="T329" s="111"/>
      <c r="U329" s="111"/>
      <c r="V329" s="358"/>
      <c r="W329" s="391">
        <f>MAX(J329:K329)</f>
        <v>0</v>
      </c>
      <c r="X329" s="17">
        <f t="shared" ref="X329:X330" si="355">L329</f>
        <v>0</v>
      </c>
      <c r="Y329" s="18"/>
      <c r="Z329" s="19"/>
      <c r="AA329" s="17"/>
      <c r="AB329" s="17">
        <f>MAX(J329:L329)</f>
        <v>0</v>
      </c>
      <c r="AC329" s="17"/>
      <c r="AE329" s="17"/>
      <c r="AF329" s="17">
        <f>J329</f>
        <v>0</v>
      </c>
      <c r="AG329" s="17"/>
      <c r="AH329" s="18"/>
      <c r="AI329" s="19"/>
      <c r="AJ329" s="97"/>
      <c r="AK329" s="17"/>
      <c r="AL329" s="17">
        <f>K329</f>
        <v>0</v>
      </c>
      <c r="AM329" s="17"/>
      <c r="AN329" s="18"/>
      <c r="AO329" s="19"/>
      <c r="AP329" s="97"/>
      <c r="AQ329" s="17"/>
      <c r="AR329" s="17">
        <f>W329</f>
        <v>0</v>
      </c>
      <c r="AS329" s="17"/>
      <c r="AT329" s="18"/>
      <c r="AU329" s="19"/>
      <c r="AV329" s="97"/>
      <c r="AW329" s="17"/>
      <c r="AX329" s="17">
        <f>L329</f>
        <v>0</v>
      </c>
      <c r="AY329" s="17"/>
      <c r="AZ329" s="18"/>
      <c r="BA329" s="19"/>
    </row>
    <row r="330" spans="1:53" s="4" customFormat="1" ht="17.100000000000001" customHeight="1" x14ac:dyDescent="0.25">
      <c r="A330" s="40"/>
      <c r="B330" s="40"/>
      <c r="C330" s="74" t="s">
        <v>168</v>
      </c>
      <c r="D330" s="146" t="s">
        <v>543</v>
      </c>
      <c r="E330" s="105"/>
      <c r="F330" s="105"/>
      <c r="G330" s="105"/>
      <c r="H330" s="119"/>
      <c r="I330" s="231"/>
      <c r="J330" s="581"/>
      <c r="K330" s="581"/>
      <c r="L330" s="582"/>
      <c r="M330" s="593"/>
      <c r="N330" s="111"/>
      <c r="O330" s="111"/>
      <c r="P330" s="111"/>
      <c r="Q330" s="111"/>
      <c r="R330" s="111"/>
      <c r="S330" s="111"/>
      <c r="T330" s="111"/>
      <c r="U330" s="111"/>
      <c r="V330" s="358"/>
      <c r="W330" s="391">
        <f>IF(SUM(J330:K330)=0,0,AVERAGE(J330:K330))</f>
        <v>0</v>
      </c>
      <c r="X330" s="17">
        <f t="shared" si="355"/>
        <v>0</v>
      </c>
      <c r="Y330" s="18"/>
      <c r="Z330" s="19"/>
      <c r="AA330" s="17"/>
      <c r="AB330" s="17"/>
      <c r="AC330" s="17">
        <f>IF(SUM(J330:L330)=0,0,AVERAGE(J330:L330))</f>
        <v>0</v>
      </c>
      <c r="AE330" s="17"/>
      <c r="AF330" s="17"/>
      <c r="AG330" s="17">
        <f>J330</f>
        <v>0</v>
      </c>
      <c r="AH330" s="18"/>
      <c r="AI330" s="19"/>
      <c r="AJ330" s="97"/>
      <c r="AK330" s="17"/>
      <c r="AL330" s="17"/>
      <c r="AM330" s="17">
        <f>K330</f>
        <v>0</v>
      </c>
      <c r="AN330" s="18"/>
      <c r="AO330" s="19"/>
      <c r="AP330" s="97"/>
      <c r="AQ330" s="17"/>
      <c r="AR330" s="17"/>
      <c r="AS330" s="17">
        <f>W330</f>
        <v>0</v>
      </c>
      <c r="AT330" s="18"/>
      <c r="AU330" s="19"/>
      <c r="AV330" s="97"/>
      <c r="AW330" s="17"/>
      <c r="AX330" s="17"/>
      <c r="AY330" s="17">
        <f>L330</f>
        <v>0</v>
      </c>
      <c r="AZ330" s="18"/>
      <c r="BA330" s="19"/>
    </row>
    <row r="331" spans="1:53" s="4" customFormat="1" ht="17.100000000000001" customHeight="1" x14ac:dyDescent="0.25">
      <c r="A331" s="40"/>
      <c r="B331" s="40"/>
      <c r="C331" s="74" t="s">
        <v>169</v>
      </c>
      <c r="D331" s="75" t="s">
        <v>129</v>
      </c>
      <c r="E331" s="105"/>
      <c r="F331" s="105"/>
      <c r="G331" s="105"/>
      <c r="H331" s="119"/>
      <c r="I331" s="231"/>
      <c r="J331" s="583"/>
      <c r="K331" s="583"/>
      <c r="L331" s="584"/>
      <c r="M331" s="593"/>
      <c r="N331" s="111"/>
      <c r="O331" s="111"/>
      <c r="P331" s="111"/>
      <c r="Q331" s="111"/>
      <c r="R331" s="111"/>
      <c r="S331" s="111"/>
      <c r="T331" s="111"/>
      <c r="U331" s="111"/>
      <c r="V331" s="358"/>
      <c r="W331" s="391">
        <f t="shared" ref="W331:W332" si="356">J331+K331+N331+Q331+T331</f>
        <v>0</v>
      </c>
      <c r="X331" s="17">
        <f t="shared" ref="X331:X332" si="357">L331+O331+R331+U331</f>
        <v>0</v>
      </c>
      <c r="Y331" s="18">
        <f>SUM(W331:X331)</f>
        <v>0</v>
      </c>
      <c r="Z331" s="19">
        <f>IF(Y$333=0,0,Y331/Y$333)</f>
        <v>0</v>
      </c>
      <c r="AA331" s="19"/>
      <c r="AB331" s="19"/>
      <c r="AC331" s="20"/>
      <c r="AE331" s="17"/>
      <c r="AF331" s="17"/>
      <c r="AG331" s="17"/>
      <c r="AH331" s="18">
        <f t="shared" ref="AH331:AH332" si="358">J331</f>
        <v>0</v>
      </c>
      <c r="AI331" s="19">
        <f>IF(AH$333=0,0,AH331/AH$333)</f>
        <v>0</v>
      </c>
      <c r="AJ331" s="97"/>
      <c r="AK331" s="17"/>
      <c r="AL331" s="17"/>
      <c r="AM331" s="17"/>
      <c r="AN331" s="18">
        <f t="shared" ref="AN331:AN332" si="359">K331</f>
        <v>0</v>
      </c>
      <c r="AO331" s="19">
        <f>IF(AN$333=0,0,AN331/AN$333)</f>
        <v>0</v>
      </c>
      <c r="AP331" s="97"/>
      <c r="AQ331" s="17"/>
      <c r="AR331" s="17"/>
      <c r="AS331" s="17"/>
      <c r="AT331" s="18">
        <f t="shared" ref="AT331:AT332" si="360">W331</f>
        <v>0</v>
      </c>
      <c r="AU331" s="19">
        <f>IF(AT$333=0,0,AT331/AT$333)</f>
        <v>0</v>
      </c>
      <c r="AV331" s="97"/>
      <c r="AW331" s="17"/>
      <c r="AX331" s="17"/>
      <c r="AY331" s="17"/>
      <c r="AZ331" s="18">
        <f>X331</f>
        <v>0</v>
      </c>
      <c r="BA331" s="19">
        <f>IF(AZ$333=0,0,AZ331/AZ$333)</f>
        <v>0</v>
      </c>
    </row>
    <row r="332" spans="1:53" s="4" customFormat="1" ht="17.100000000000001" customHeight="1" x14ac:dyDescent="0.25">
      <c r="A332" s="40"/>
      <c r="B332" s="40"/>
      <c r="C332" s="74" t="s">
        <v>170</v>
      </c>
      <c r="D332" s="75" t="s">
        <v>530</v>
      </c>
      <c r="E332" s="75"/>
      <c r="F332" s="75"/>
      <c r="G332" s="75"/>
      <c r="H332" s="540"/>
      <c r="I332" s="229"/>
      <c r="J332" s="581"/>
      <c r="K332" s="581"/>
      <c r="L332" s="582"/>
      <c r="M332" s="593"/>
      <c r="N332" s="111"/>
      <c r="O332" s="111"/>
      <c r="P332" s="111"/>
      <c r="Q332" s="111"/>
      <c r="R332" s="111"/>
      <c r="S332" s="111"/>
      <c r="T332" s="111"/>
      <c r="U332" s="111"/>
      <c r="V332" s="358"/>
      <c r="W332" s="391">
        <f t="shared" si="356"/>
        <v>0</v>
      </c>
      <c r="X332" s="17">
        <f t="shared" si="357"/>
        <v>0</v>
      </c>
      <c r="Y332" s="18">
        <f>SUM(W332:X332)</f>
        <v>0</v>
      </c>
      <c r="Z332" s="19">
        <f>IF(Y$333=0,0,Y332/Y$333)</f>
        <v>0</v>
      </c>
      <c r="AA332" s="19"/>
      <c r="AB332" s="19"/>
      <c r="AC332" s="20"/>
      <c r="AE332" s="17"/>
      <c r="AF332" s="17"/>
      <c r="AG332" s="17"/>
      <c r="AH332" s="18">
        <f t="shared" si="358"/>
        <v>0</v>
      </c>
      <c r="AI332" s="19">
        <f>IF(AH$333=0,0,AH332/AH$333)</f>
        <v>0</v>
      </c>
      <c r="AJ332" s="97"/>
      <c r="AK332" s="17"/>
      <c r="AL332" s="17"/>
      <c r="AM332" s="17"/>
      <c r="AN332" s="18">
        <f t="shared" si="359"/>
        <v>0</v>
      </c>
      <c r="AO332" s="19">
        <f>IF(AN$333=0,0,AN332/AN$333)</f>
        <v>0</v>
      </c>
      <c r="AP332" s="97"/>
      <c r="AQ332" s="17"/>
      <c r="AR332" s="17"/>
      <c r="AS332" s="17"/>
      <c r="AT332" s="18">
        <f t="shared" si="360"/>
        <v>0</v>
      </c>
      <c r="AU332" s="19">
        <f>IF(AT$333=0,0,AT332/AT$333)</f>
        <v>0</v>
      </c>
      <c r="AV332" s="97"/>
      <c r="AW332" s="17"/>
      <c r="AX332" s="17"/>
      <c r="AY332" s="17"/>
      <c r="AZ332" s="18">
        <f>X332</f>
        <v>0</v>
      </c>
      <c r="BA332" s="19">
        <f>IF(AZ$333=0,0,AZ332/AZ$333)</f>
        <v>0</v>
      </c>
    </row>
    <row r="333" spans="1:53" s="4" customFormat="1" ht="17.100000000000001" customHeight="1" x14ac:dyDescent="0.25">
      <c r="A333" s="175"/>
      <c r="B333" s="40"/>
      <c r="C333" s="77"/>
      <c r="D333" s="134"/>
      <c r="E333" s="134"/>
      <c r="F333" s="134"/>
      <c r="G333" s="134"/>
      <c r="H333" s="540"/>
      <c r="I333" s="12"/>
      <c r="J333" s="80">
        <f>J326+J327+J331+J332</f>
        <v>0</v>
      </c>
      <c r="K333" s="80">
        <f t="shared" ref="K333:M333" si="361">K326+K327+K331+K332</f>
        <v>0</v>
      </c>
      <c r="L333" s="80">
        <f t="shared" si="361"/>
        <v>0</v>
      </c>
      <c r="M333" s="80">
        <f t="shared" si="361"/>
        <v>0</v>
      </c>
      <c r="N333" s="81"/>
      <c r="O333" s="81"/>
      <c r="P333" s="81"/>
      <c r="Q333" s="81"/>
      <c r="R333" s="81"/>
      <c r="S333" s="81"/>
      <c r="T333" s="81"/>
      <c r="U333" s="81"/>
      <c r="V333" s="356"/>
      <c r="W333" s="381">
        <f>W326+W327+W331+W332</f>
        <v>0</v>
      </c>
      <c r="X333" s="82">
        <f>X326+X327+X331+X332</f>
        <v>0</v>
      </c>
      <c r="Y333" s="82">
        <f t="shared" ref="Y333" si="362">SUM(Y326:Y332)</f>
        <v>0</v>
      </c>
      <c r="Z333" s="205">
        <f>IF(Y$333=0,0,Y333/Y$333)</f>
        <v>0</v>
      </c>
      <c r="AA333" s="205"/>
      <c r="AB333" s="205"/>
      <c r="AC333" s="83"/>
      <c r="AE333" s="80"/>
      <c r="AF333" s="80"/>
      <c r="AG333" s="81"/>
      <c r="AH333" s="82">
        <f>SUM(AH326:AH332)</f>
        <v>0</v>
      </c>
      <c r="AI333" s="66">
        <f>IF(AH$333=0,0,AH333/AH$333)</f>
        <v>0</v>
      </c>
      <c r="AJ333" s="97"/>
      <c r="AK333" s="80"/>
      <c r="AL333" s="80"/>
      <c r="AM333" s="81"/>
      <c r="AN333" s="82">
        <f>SUM(AN326:AN332)</f>
        <v>0</v>
      </c>
      <c r="AO333" s="66">
        <f>IF(AN$333=0,0,AN333/AN$333)</f>
        <v>0</v>
      </c>
      <c r="AP333" s="97"/>
      <c r="AQ333" s="80"/>
      <c r="AR333" s="80"/>
      <c r="AS333" s="81"/>
      <c r="AT333" s="82">
        <f>SUM(AT326:AT332)</f>
        <v>0</v>
      </c>
      <c r="AU333" s="66">
        <f>IF(AT$333=0,0,AT333/AT$333)</f>
        <v>0</v>
      </c>
      <c r="AV333" s="97"/>
      <c r="AW333" s="80"/>
      <c r="AX333" s="80"/>
      <c r="AY333" s="81"/>
      <c r="AZ333" s="82">
        <f>SUM(AZ326:AZ332)</f>
        <v>0</v>
      </c>
      <c r="BA333" s="66">
        <f>IF(AZ$333=0,0,AZ333/AZ$333)</f>
        <v>0</v>
      </c>
    </row>
    <row r="334" spans="1:53" s="117" customFormat="1" ht="17.100000000000001" customHeight="1" x14ac:dyDescent="0.25">
      <c r="A334" s="68"/>
      <c r="B334" s="119"/>
      <c r="C334" s="540"/>
      <c r="D334" s="261"/>
      <c r="E334" s="261"/>
      <c r="F334" s="68"/>
      <c r="G334" s="68"/>
      <c r="H334" s="119"/>
      <c r="I334" s="138"/>
      <c r="J334" s="17" t="str">
        <f>IF(J333=J$15,"OK","NOK")</f>
        <v>OK</v>
      </c>
      <c r="K334" s="17" t="str">
        <f t="shared" ref="K334:L334" si="363">IF(K333=K$15,"OK","NOK")</f>
        <v>OK</v>
      </c>
      <c r="L334" s="17" t="str">
        <f t="shared" si="363"/>
        <v>OK</v>
      </c>
      <c r="M334" s="17"/>
      <c r="N334" s="17"/>
      <c r="O334" s="17"/>
      <c r="P334" s="17"/>
      <c r="Q334" s="17"/>
      <c r="R334" s="17"/>
      <c r="S334" s="17"/>
      <c r="T334" s="17"/>
      <c r="U334" s="17"/>
      <c r="V334" s="359"/>
      <c r="W334" s="382"/>
      <c r="X334" s="539"/>
      <c r="Y334" s="539"/>
      <c r="Z334" s="201"/>
      <c r="AA334" s="201"/>
      <c r="AB334" s="201"/>
      <c r="AC334" s="84"/>
      <c r="AE334" s="46"/>
      <c r="AF334" s="46"/>
      <c r="AG334" s="17"/>
      <c r="AH334" s="539"/>
      <c r="AI334" s="91"/>
      <c r="AK334" s="46"/>
      <c r="AL334" s="46"/>
      <c r="AM334" s="17"/>
      <c r="AN334" s="539"/>
      <c r="AO334" s="91"/>
      <c r="AQ334" s="46"/>
      <c r="AR334" s="46"/>
      <c r="AS334" s="17"/>
      <c r="AT334" s="539"/>
      <c r="AU334" s="91"/>
      <c r="AW334" s="46"/>
      <c r="AX334" s="46"/>
      <c r="AY334" s="17"/>
      <c r="AZ334" s="539"/>
      <c r="BA334" s="91"/>
    </row>
    <row r="335" spans="1:53" ht="17.100000000000001" customHeight="1" x14ac:dyDescent="0.25">
      <c r="A335" s="68"/>
      <c r="B335" s="41" t="s">
        <v>171</v>
      </c>
      <c r="C335" s="69" t="s">
        <v>435</v>
      </c>
      <c r="D335" s="50"/>
      <c r="E335" s="70"/>
      <c r="F335" s="70"/>
      <c r="G335" s="70"/>
      <c r="H335" s="243">
        <v>42</v>
      </c>
      <c r="J335" s="71"/>
      <c r="K335" s="71"/>
      <c r="L335" s="71"/>
      <c r="M335" s="71"/>
      <c r="N335" s="71"/>
      <c r="O335" s="71"/>
      <c r="P335" s="71"/>
      <c r="Q335" s="71"/>
      <c r="R335" s="71"/>
      <c r="S335" s="71"/>
      <c r="T335" s="71"/>
      <c r="U335" s="71"/>
      <c r="V335" s="355"/>
      <c r="W335" s="377"/>
      <c r="X335" s="71"/>
      <c r="Y335" s="89"/>
      <c r="Z335" s="90"/>
      <c r="AA335" s="90"/>
      <c r="AB335" s="90"/>
      <c r="AC335" s="73"/>
      <c r="AE335" s="71"/>
      <c r="AF335" s="71"/>
      <c r="AG335" s="71"/>
      <c r="AH335" s="72"/>
      <c r="AI335" s="73"/>
      <c r="AK335" s="71"/>
      <c r="AL335" s="71"/>
      <c r="AM335" s="71"/>
      <c r="AN335" s="72"/>
      <c r="AO335" s="73"/>
      <c r="AQ335" s="71"/>
      <c r="AR335" s="71"/>
      <c r="AS335" s="71"/>
      <c r="AT335" s="72"/>
      <c r="AU335" s="73"/>
      <c r="AW335" s="71"/>
      <c r="AX335" s="71"/>
      <c r="AY335" s="71"/>
      <c r="AZ335" s="72"/>
      <c r="BA335" s="73"/>
    </row>
    <row r="336" spans="1:53" s="4" customFormat="1" ht="17.100000000000001" customHeight="1" x14ac:dyDescent="0.25">
      <c r="A336" s="40"/>
      <c r="B336" s="40"/>
      <c r="C336" s="74" t="s">
        <v>172</v>
      </c>
      <c r="D336" s="85" t="s">
        <v>173</v>
      </c>
      <c r="E336" s="105"/>
      <c r="F336" s="105"/>
      <c r="G336" s="105"/>
      <c r="H336" s="119"/>
      <c r="I336" s="231"/>
      <c r="J336" s="581"/>
      <c r="K336" s="581"/>
      <c r="L336" s="582"/>
      <c r="M336" s="593"/>
      <c r="N336" s="111"/>
      <c r="O336" s="111"/>
      <c r="P336" s="111"/>
      <c r="Q336" s="111"/>
      <c r="R336" s="111"/>
      <c r="S336" s="111"/>
      <c r="T336" s="111"/>
      <c r="U336" s="111"/>
      <c r="V336" s="358"/>
      <c r="W336" s="391">
        <f t="shared" ref="W336:W337" si="364">J336+K336+N336+Q336+T336</f>
        <v>0</v>
      </c>
      <c r="X336" s="17">
        <f t="shared" ref="X336:X337" si="365">L336+O336+R336+U336</f>
        <v>0</v>
      </c>
      <c r="Y336" s="18">
        <f>SUM(W336:X336)</f>
        <v>0</v>
      </c>
      <c r="Z336" s="19">
        <f>IF(Y$343=0,0,Y336/Y$343)</f>
        <v>0</v>
      </c>
      <c r="AA336" s="19"/>
      <c r="AB336" s="19"/>
      <c r="AC336" s="20"/>
      <c r="AE336" s="17"/>
      <c r="AF336" s="17"/>
      <c r="AG336" s="17"/>
      <c r="AH336" s="18">
        <f>J336</f>
        <v>0</v>
      </c>
      <c r="AI336" s="19">
        <f>IF(AH$343=0,0,AH336/AH$343)</f>
        <v>0</v>
      </c>
      <c r="AJ336" s="97"/>
      <c r="AK336" s="17"/>
      <c r="AL336" s="17"/>
      <c r="AM336" s="17"/>
      <c r="AN336" s="18">
        <f>K336</f>
        <v>0</v>
      </c>
      <c r="AO336" s="19">
        <f>IF(AN$343=0,0,AN336/AN$343)</f>
        <v>0</v>
      </c>
      <c r="AP336" s="97"/>
      <c r="AQ336" s="17"/>
      <c r="AR336" s="17"/>
      <c r="AS336" s="17"/>
      <c r="AT336" s="18">
        <f>W336</f>
        <v>0</v>
      </c>
      <c r="AU336" s="19">
        <f>IF(AT$343=0,0,AT336/AT$343)</f>
        <v>0</v>
      </c>
      <c r="AV336" s="97"/>
      <c r="AW336" s="17"/>
      <c r="AX336" s="17"/>
      <c r="AY336" s="17"/>
      <c r="AZ336" s="18">
        <f>X336</f>
        <v>0</v>
      </c>
      <c r="BA336" s="19">
        <f>IF(AZ$343=0,0,AZ336/AZ$343)</f>
        <v>0</v>
      </c>
    </row>
    <row r="337" spans="1:53" s="4" customFormat="1" ht="17.100000000000001" customHeight="1" x14ac:dyDescent="0.25">
      <c r="A337" s="40"/>
      <c r="B337" s="40"/>
      <c r="C337" s="74" t="s">
        <v>174</v>
      </c>
      <c r="D337" s="85" t="s">
        <v>544</v>
      </c>
      <c r="E337" s="105"/>
      <c r="F337" s="105"/>
      <c r="G337" s="105"/>
      <c r="H337" s="119"/>
      <c r="I337" s="231"/>
      <c r="J337" s="583"/>
      <c r="K337" s="583"/>
      <c r="L337" s="584"/>
      <c r="M337" s="593"/>
      <c r="N337" s="111"/>
      <c r="O337" s="111"/>
      <c r="P337" s="111"/>
      <c r="Q337" s="111"/>
      <c r="R337" s="111"/>
      <c r="S337" s="111"/>
      <c r="T337" s="111"/>
      <c r="U337" s="111"/>
      <c r="V337" s="358"/>
      <c r="W337" s="391">
        <f t="shared" si="364"/>
        <v>0</v>
      </c>
      <c r="X337" s="17">
        <f t="shared" si="365"/>
        <v>0</v>
      </c>
      <c r="Y337" s="18">
        <f>SUM(W337:X337)</f>
        <v>0</v>
      </c>
      <c r="Z337" s="19">
        <f>IF(Y$343=0,0,Y337/Y$343)</f>
        <v>0</v>
      </c>
      <c r="AA337" s="19"/>
      <c r="AB337" s="19"/>
      <c r="AC337" s="20"/>
      <c r="AE337" s="17"/>
      <c r="AF337" s="17"/>
      <c r="AG337" s="17"/>
      <c r="AH337" s="18">
        <f t="shared" ref="AH337" si="366">J337</f>
        <v>0</v>
      </c>
      <c r="AI337" s="19">
        <f>IF(AH$343=0,0,AH337/AH$343)</f>
        <v>0</v>
      </c>
      <c r="AJ337" s="97"/>
      <c r="AK337" s="17"/>
      <c r="AL337" s="17"/>
      <c r="AM337" s="17"/>
      <c r="AN337" s="18">
        <f t="shared" ref="AN337" si="367">K337</f>
        <v>0</v>
      </c>
      <c r="AO337" s="19">
        <f>IF(AN$343=0,0,AN337/AN$343)</f>
        <v>0</v>
      </c>
      <c r="AP337" s="97"/>
      <c r="AQ337" s="17"/>
      <c r="AR337" s="17"/>
      <c r="AS337" s="17"/>
      <c r="AT337" s="18">
        <f t="shared" ref="AT337" si="368">W337</f>
        <v>0</v>
      </c>
      <c r="AU337" s="19">
        <f>IF(AT$343=0,0,AT337/AT$343)</f>
        <v>0</v>
      </c>
      <c r="AV337" s="97"/>
      <c r="AW337" s="17"/>
      <c r="AX337" s="17"/>
      <c r="AY337" s="17"/>
      <c r="AZ337" s="18">
        <f>X337</f>
        <v>0</v>
      </c>
      <c r="BA337" s="19">
        <f>IF(AZ$343=0,0,AZ337/AZ$343)</f>
        <v>0</v>
      </c>
    </row>
    <row r="338" spans="1:53" s="4" customFormat="1" ht="17.100000000000001" customHeight="1" x14ac:dyDescent="0.25">
      <c r="A338" s="40"/>
      <c r="B338" s="40"/>
      <c r="C338" s="74" t="s">
        <v>175</v>
      </c>
      <c r="D338" s="146" t="s">
        <v>484</v>
      </c>
      <c r="E338" s="105"/>
      <c r="F338" s="105"/>
      <c r="G338" s="105"/>
      <c r="H338" s="119"/>
      <c r="I338" s="231"/>
      <c r="J338" s="581"/>
      <c r="K338" s="581"/>
      <c r="L338" s="582"/>
      <c r="M338" s="593"/>
      <c r="N338" s="111"/>
      <c r="O338" s="111"/>
      <c r="P338" s="111"/>
      <c r="Q338" s="111"/>
      <c r="R338" s="111"/>
      <c r="S338" s="111"/>
      <c r="T338" s="111"/>
      <c r="U338" s="111"/>
      <c r="V338" s="358"/>
      <c r="W338" s="391">
        <f>MIN(J338:K338)</f>
        <v>0</v>
      </c>
      <c r="X338" s="17">
        <f>L338</f>
        <v>0</v>
      </c>
      <c r="Y338" s="18"/>
      <c r="Z338" s="19"/>
      <c r="AA338" s="17">
        <f>MIN(J338:L338)</f>
        <v>0</v>
      </c>
      <c r="AB338" s="17"/>
      <c r="AC338" s="17"/>
      <c r="AE338" s="17">
        <f>J338</f>
        <v>0</v>
      </c>
      <c r="AF338" s="17"/>
      <c r="AG338" s="17"/>
      <c r="AH338" s="18"/>
      <c r="AI338" s="19"/>
      <c r="AJ338" s="97"/>
      <c r="AK338" s="17">
        <f>K338</f>
        <v>0</v>
      </c>
      <c r="AL338" s="17"/>
      <c r="AM338" s="17"/>
      <c r="AN338" s="18"/>
      <c r="AO338" s="19"/>
      <c r="AP338" s="97"/>
      <c r="AQ338" s="17">
        <f>W338</f>
        <v>0</v>
      </c>
      <c r="AR338" s="17"/>
      <c r="AS338" s="17"/>
      <c r="AT338" s="18"/>
      <c r="AU338" s="19"/>
      <c r="AV338" s="97"/>
      <c r="AW338" s="17">
        <f>L338</f>
        <v>0</v>
      </c>
      <c r="AX338" s="17"/>
      <c r="AY338" s="17"/>
      <c r="AZ338" s="18"/>
      <c r="BA338" s="19"/>
    </row>
    <row r="339" spans="1:53" s="4" customFormat="1" ht="17.100000000000001" customHeight="1" x14ac:dyDescent="0.25">
      <c r="A339" s="40"/>
      <c r="B339" s="40"/>
      <c r="C339" s="74" t="s">
        <v>176</v>
      </c>
      <c r="D339" s="146" t="s">
        <v>485</v>
      </c>
      <c r="E339" s="105"/>
      <c r="F339" s="105"/>
      <c r="G339" s="105"/>
      <c r="H339" s="119"/>
      <c r="I339" s="231"/>
      <c r="J339" s="583"/>
      <c r="K339" s="583"/>
      <c r="L339" s="584"/>
      <c r="M339" s="593"/>
      <c r="N339" s="111"/>
      <c r="O339" s="111"/>
      <c r="P339" s="111"/>
      <c r="Q339" s="111"/>
      <c r="R339" s="111"/>
      <c r="S339" s="111"/>
      <c r="T339" s="111"/>
      <c r="U339" s="111"/>
      <c r="V339" s="358"/>
      <c r="W339" s="391">
        <f>MAX(J339:K339)</f>
        <v>0</v>
      </c>
      <c r="X339" s="17">
        <f t="shared" ref="X339:X340" si="369">L339</f>
        <v>0</v>
      </c>
      <c r="Y339" s="18"/>
      <c r="Z339" s="19"/>
      <c r="AA339" s="17"/>
      <c r="AB339" s="17">
        <f>MAX(J339:L339)</f>
        <v>0</v>
      </c>
      <c r="AC339" s="17"/>
      <c r="AE339" s="17"/>
      <c r="AF339" s="17">
        <f>J339</f>
        <v>0</v>
      </c>
      <c r="AG339" s="17"/>
      <c r="AH339" s="18"/>
      <c r="AI339" s="19"/>
      <c r="AJ339" s="97"/>
      <c r="AK339" s="17"/>
      <c r="AL339" s="17">
        <f>K339</f>
        <v>0</v>
      </c>
      <c r="AM339" s="17"/>
      <c r="AN339" s="18"/>
      <c r="AO339" s="19"/>
      <c r="AP339" s="97"/>
      <c r="AQ339" s="17"/>
      <c r="AR339" s="17">
        <f>W339</f>
        <v>0</v>
      </c>
      <c r="AS339" s="17"/>
      <c r="AT339" s="18"/>
      <c r="AU339" s="19"/>
      <c r="AV339" s="97"/>
      <c r="AW339" s="17"/>
      <c r="AX339" s="17">
        <f>L339</f>
        <v>0</v>
      </c>
      <c r="AY339" s="17"/>
      <c r="AZ339" s="18"/>
      <c r="BA339" s="19"/>
    </row>
    <row r="340" spans="1:53" s="4" customFormat="1" ht="17.100000000000001" customHeight="1" x14ac:dyDescent="0.25">
      <c r="A340" s="40"/>
      <c r="B340" s="40"/>
      <c r="C340" s="74" t="s">
        <v>177</v>
      </c>
      <c r="D340" s="146" t="s">
        <v>543</v>
      </c>
      <c r="E340" s="105"/>
      <c r="F340" s="105"/>
      <c r="G340" s="105"/>
      <c r="H340" s="119"/>
      <c r="I340" s="231"/>
      <c r="J340" s="581"/>
      <c r="K340" s="581"/>
      <c r="L340" s="582"/>
      <c r="M340" s="593"/>
      <c r="N340" s="111"/>
      <c r="O340" s="111"/>
      <c r="P340" s="111"/>
      <c r="Q340" s="111"/>
      <c r="R340" s="111"/>
      <c r="S340" s="111"/>
      <c r="T340" s="111"/>
      <c r="U340" s="111"/>
      <c r="V340" s="358"/>
      <c r="W340" s="391">
        <f>IF(SUM(J340:K340)=0,0,AVERAGE(J340:K340))</f>
        <v>0</v>
      </c>
      <c r="X340" s="17">
        <f t="shared" si="369"/>
        <v>0</v>
      </c>
      <c r="Y340" s="18"/>
      <c r="Z340" s="19"/>
      <c r="AA340" s="17"/>
      <c r="AB340" s="17"/>
      <c r="AC340" s="17">
        <f>IF(SUM(J340:L340)=0,0,AVERAGE(J340:L340))</f>
        <v>0</v>
      </c>
      <c r="AE340" s="17"/>
      <c r="AF340" s="17"/>
      <c r="AG340" s="17">
        <f>J340</f>
        <v>0</v>
      </c>
      <c r="AH340" s="18"/>
      <c r="AI340" s="19"/>
      <c r="AJ340" s="97"/>
      <c r="AK340" s="17"/>
      <c r="AL340" s="17"/>
      <c r="AM340" s="17">
        <f>K340</f>
        <v>0</v>
      </c>
      <c r="AN340" s="18"/>
      <c r="AO340" s="19"/>
      <c r="AP340" s="97"/>
      <c r="AQ340" s="17"/>
      <c r="AR340" s="17"/>
      <c r="AS340" s="17">
        <f>W340</f>
        <v>0</v>
      </c>
      <c r="AT340" s="18"/>
      <c r="AU340" s="19"/>
      <c r="AV340" s="97"/>
      <c r="AW340" s="17"/>
      <c r="AX340" s="17"/>
      <c r="AY340" s="17">
        <f>L340</f>
        <v>0</v>
      </c>
      <c r="AZ340" s="18"/>
      <c r="BA340" s="19"/>
    </row>
    <row r="341" spans="1:53" s="4" customFormat="1" ht="17.100000000000001" customHeight="1" x14ac:dyDescent="0.25">
      <c r="A341" s="40"/>
      <c r="B341" s="40"/>
      <c r="C341" s="74" t="s">
        <v>178</v>
      </c>
      <c r="D341" s="75" t="s">
        <v>129</v>
      </c>
      <c r="E341" s="105"/>
      <c r="F341" s="105"/>
      <c r="G341" s="105"/>
      <c r="H341" s="119"/>
      <c r="I341" s="231"/>
      <c r="J341" s="583"/>
      <c r="K341" s="583"/>
      <c r="L341" s="584"/>
      <c r="M341" s="593"/>
      <c r="N341" s="111"/>
      <c r="O341" s="111"/>
      <c r="P341" s="111"/>
      <c r="Q341" s="111"/>
      <c r="R341" s="111"/>
      <c r="S341" s="111"/>
      <c r="T341" s="111"/>
      <c r="U341" s="111"/>
      <c r="V341" s="358"/>
      <c r="W341" s="391">
        <f t="shared" ref="W341:W342" si="370">J341+K341+N341+Q341+T341</f>
        <v>0</v>
      </c>
      <c r="X341" s="17">
        <f t="shared" ref="X341:X342" si="371">L341+O341+R341+U341</f>
        <v>0</v>
      </c>
      <c r="Y341" s="18">
        <f>SUM(W341:X341)</f>
        <v>0</v>
      </c>
      <c r="Z341" s="19">
        <f>IF(Y$343=0,0,Y341/Y$343)</f>
        <v>0</v>
      </c>
      <c r="AA341" s="19"/>
      <c r="AB341" s="19"/>
      <c r="AC341" s="20"/>
      <c r="AE341" s="17"/>
      <c r="AF341" s="17"/>
      <c r="AG341" s="17"/>
      <c r="AH341" s="18">
        <f t="shared" ref="AH341:AH342" si="372">J341</f>
        <v>0</v>
      </c>
      <c r="AI341" s="19">
        <f>IF(AH$343=0,0,AH341/AH$343)</f>
        <v>0</v>
      </c>
      <c r="AJ341" s="97"/>
      <c r="AK341" s="17"/>
      <c r="AL341" s="17"/>
      <c r="AM341" s="17"/>
      <c r="AN341" s="18">
        <f t="shared" ref="AN341:AN342" si="373">K341</f>
        <v>0</v>
      </c>
      <c r="AO341" s="19">
        <f>IF(AN$343=0,0,AN341/AN$343)</f>
        <v>0</v>
      </c>
      <c r="AP341" s="97"/>
      <c r="AQ341" s="17"/>
      <c r="AR341" s="17"/>
      <c r="AS341" s="17"/>
      <c r="AT341" s="18">
        <f t="shared" ref="AT341:AT342" si="374">W341</f>
        <v>0</v>
      </c>
      <c r="AU341" s="19">
        <f>IF(AT$343=0,0,AT341/AT$343)</f>
        <v>0</v>
      </c>
      <c r="AV341" s="97"/>
      <c r="AW341" s="17"/>
      <c r="AX341" s="17"/>
      <c r="AY341" s="17"/>
      <c r="AZ341" s="18">
        <f>X341</f>
        <v>0</v>
      </c>
      <c r="BA341" s="19">
        <f>IF(AZ$343=0,0,AZ341/AZ$343)</f>
        <v>0</v>
      </c>
    </row>
    <row r="342" spans="1:53" s="4" customFormat="1" ht="17.100000000000001" customHeight="1" x14ac:dyDescent="0.25">
      <c r="A342" s="40"/>
      <c r="B342" s="40"/>
      <c r="C342" s="74" t="s">
        <v>179</v>
      </c>
      <c r="D342" s="75" t="s">
        <v>530</v>
      </c>
      <c r="E342" s="75"/>
      <c r="F342" s="75"/>
      <c r="G342" s="75"/>
      <c r="H342" s="540"/>
      <c r="I342" s="229"/>
      <c r="J342" s="581"/>
      <c r="K342" s="581"/>
      <c r="L342" s="582"/>
      <c r="M342" s="593"/>
      <c r="N342" s="111"/>
      <c r="O342" s="111"/>
      <c r="P342" s="111"/>
      <c r="Q342" s="111"/>
      <c r="R342" s="111"/>
      <c r="S342" s="111"/>
      <c r="T342" s="111"/>
      <c r="U342" s="111"/>
      <c r="V342" s="358"/>
      <c r="W342" s="391">
        <f t="shared" si="370"/>
        <v>0</v>
      </c>
      <c r="X342" s="17">
        <f t="shared" si="371"/>
        <v>0</v>
      </c>
      <c r="Y342" s="18">
        <f>SUM(W342:X342)</f>
        <v>0</v>
      </c>
      <c r="Z342" s="19">
        <f>IF(Y$343=0,0,Y342/Y$343)</f>
        <v>0</v>
      </c>
      <c r="AA342" s="19"/>
      <c r="AB342" s="19"/>
      <c r="AC342" s="20"/>
      <c r="AE342" s="17"/>
      <c r="AF342" s="17"/>
      <c r="AG342" s="17"/>
      <c r="AH342" s="18">
        <f t="shared" si="372"/>
        <v>0</v>
      </c>
      <c r="AI342" s="19">
        <f>IF(AH$343=0,0,AH342/AH$343)</f>
        <v>0</v>
      </c>
      <c r="AJ342" s="97"/>
      <c r="AK342" s="17"/>
      <c r="AL342" s="17"/>
      <c r="AM342" s="17"/>
      <c r="AN342" s="18">
        <f t="shared" si="373"/>
        <v>0</v>
      </c>
      <c r="AO342" s="19">
        <f>IF(AN$343=0,0,AN342/AN$343)</f>
        <v>0</v>
      </c>
      <c r="AP342" s="97"/>
      <c r="AQ342" s="17"/>
      <c r="AR342" s="17"/>
      <c r="AS342" s="17"/>
      <c r="AT342" s="18">
        <f t="shared" si="374"/>
        <v>0</v>
      </c>
      <c r="AU342" s="19">
        <f>IF(AT$343=0,0,AT342/AT$343)</f>
        <v>0</v>
      </c>
      <c r="AV342" s="97"/>
      <c r="AW342" s="17"/>
      <c r="AX342" s="17"/>
      <c r="AY342" s="17"/>
      <c r="AZ342" s="18">
        <f>X342</f>
        <v>0</v>
      </c>
      <c r="BA342" s="19">
        <f>IF(AZ$343=0,0,AZ342/AZ$343)</f>
        <v>0</v>
      </c>
    </row>
    <row r="343" spans="1:53" s="4" customFormat="1" ht="17.100000000000001" customHeight="1" x14ac:dyDescent="0.25">
      <c r="A343" s="175"/>
      <c r="B343" s="40"/>
      <c r="C343" s="77"/>
      <c r="D343" s="134"/>
      <c r="E343" s="134"/>
      <c r="F343" s="134"/>
      <c r="G343" s="134"/>
      <c r="H343" s="540"/>
      <c r="I343" s="12"/>
      <c r="J343" s="80">
        <f>J336+J337+J341+J342</f>
        <v>0</v>
      </c>
      <c r="K343" s="80">
        <f t="shared" ref="K343:M343" si="375">K336+K337+K341+K342</f>
        <v>0</v>
      </c>
      <c r="L343" s="80">
        <f t="shared" si="375"/>
        <v>0</v>
      </c>
      <c r="M343" s="80">
        <f t="shared" si="375"/>
        <v>0</v>
      </c>
      <c r="N343" s="81"/>
      <c r="O343" s="81"/>
      <c r="P343" s="81"/>
      <c r="Q343" s="81"/>
      <c r="R343" s="81"/>
      <c r="S343" s="81"/>
      <c r="T343" s="81"/>
      <c r="U343" s="81"/>
      <c r="V343" s="356"/>
      <c r="W343" s="381">
        <f>W336+W337+W341+W342</f>
        <v>0</v>
      </c>
      <c r="X343" s="82">
        <f>X336+X337+X341+X342</f>
        <v>0</v>
      </c>
      <c r="Y343" s="82">
        <f t="shared" ref="Y343" si="376">SUM(Y336:Y342)</f>
        <v>0</v>
      </c>
      <c r="Z343" s="205">
        <f>IF(Y$343=0,0,Y343/Y$343)</f>
        <v>0</v>
      </c>
      <c r="AA343" s="205"/>
      <c r="AB343" s="205"/>
      <c r="AC343" s="83"/>
      <c r="AE343" s="80"/>
      <c r="AF343" s="80"/>
      <c r="AG343" s="81"/>
      <c r="AH343" s="82">
        <f>SUM(AH336:AH342)</f>
        <v>0</v>
      </c>
      <c r="AI343" s="66">
        <f>IF(AH$343=0,0,AH343/AH$343)</f>
        <v>0</v>
      </c>
      <c r="AJ343" s="97"/>
      <c r="AK343" s="80"/>
      <c r="AL343" s="80"/>
      <c r="AM343" s="81"/>
      <c r="AN343" s="82">
        <f>SUM(AN336:AN342)</f>
        <v>0</v>
      </c>
      <c r="AO343" s="66">
        <f>IF(AN$343=0,0,AN343/AN$343)</f>
        <v>0</v>
      </c>
      <c r="AP343" s="97"/>
      <c r="AQ343" s="80"/>
      <c r="AR343" s="80"/>
      <c r="AS343" s="81"/>
      <c r="AT343" s="82">
        <f>SUM(AT336:AT342)</f>
        <v>0</v>
      </c>
      <c r="AU343" s="66">
        <f>IF(AT$343=0,0,AT343/AT$343)</f>
        <v>0</v>
      </c>
      <c r="AV343" s="97"/>
      <c r="AW343" s="80"/>
      <c r="AX343" s="80"/>
      <c r="AY343" s="81"/>
      <c r="AZ343" s="82">
        <f>SUM(AZ336:AZ342)</f>
        <v>0</v>
      </c>
      <c r="BA343" s="66">
        <f>IF(AZ$343=0,0,AZ343/AZ$343)</f>
        <v>0</v>
      </c>
    </row>
    <row r="344" spans="1:53" s="117" customFormat="1" ht="17.100000000000001" customHeight="1" x14ac:dyDescent="0.25">
      <c r="A344" s="68"/>
      <c r="B344" s="119"/>
      <c r="C344" s="540"/>
      <c r="D344" s="261"/>
      <c r="E344" s="261"/>
      <c r="F344" s="68"/>
      <c r="G344" s="68"/>
      <c r="H344" s="119"/>
      <c r="I344" s="138"/>
      <c r="J344" s="17" t="str">
        <f>IF(J343=J$15,"OK","NOK")</f>
        <v>OK</v>
      </c>
      <c r="K344" s="17" t="str">
        <f t="shared" ref="K344:L344" si="377">IF(K343=K$15,"OK","NOK")</f>
        <v>OK</v>
      </c>
      <c r="L344" s="17" t="str">
        <f t="shared" si="377"/>
        <v>OK</v>
      </c>
      <c r="M344" s="17"/>
      <c r="N344" s="17"/>
      <c r="O344" s="17"/>
      <c r="P344" s="17"/>
      <c r="Q344" s="17"/>
      <c r="R344" s="17"/>
      <c r="S344" s="17"/>
      <c r="T344" s="17"/>
      <c r="U344" s="17"/>
      <c r="V344" s="359"/>
      <c r="W344" s="382"/>
      <c r="X344" s="539"/>
      <c r="Y344" s="539"/>
      <c r="Z344" s="201"/>
      <c r="AA344" s="201"/>
      <c r="AB344" s="201"/>
      <c r="AC344" s="84"/>
      <c r="AE344" s="46"/>
      <c r="AF344" s="46"/>
      <c r="AG344" s="17"/>
      <c r="AH344" s="539"/>
      <c r="AI344" s="91"/>
      <c r="AK344" s="46"/>
      <c r="AL344" s="46"/>
      <c r="AM344" s="17"/>
      <c r="AN344" s="539"/>
      <c r="AO344" s="91"/>
      <c r="AQ344" s="46"/>
      <c r="AR344" s="46"/>
      <c r="AS344" s="17"/>
      <c r="AT344" s="539"/>
      <c r="AU344" s="91"/>
      <c r="AW344" s="46"/>
      <c r="AX344" s="46"/>
      <c r="AY344" s="17"/>
      <c r="AZ344" s="539"/>
      <c r="BA344" s="91"/>
    </row>
    <row r="345" spans="1:53" ht="17.100000000000001" customHeight="1" x14ac:dyDescent="0.25">
      <c r="A345" s="68"/>
      <c r="B345" s="41" t="s">
        <v>180</v>
      </c>
      <c r="C345" s="69" t="s">
        <v>436</v>
      </c>
      <c r="D345" s="50"/>
      <c r="E345" s="70"/>
      <c r="F345" s="70"/>
      <c r="G345" s="70"/>
      <c r="H345" s="243">
        <v>43</v>
      </c>
      <c r="J345" s="71"/>
      <c r="K345" s="71"/>
      <c r="L345" s="71"/>
      <c r="M345" s="71"/>
      <c r="N345" s="71"/>
      <c r="O345" s="71"/>
      <c r="P345" s="71"/>
      <c r="Q345" s="71"/>
      <c r="R345" s="71"/>
      <c r="S345" s="71"/>
      <c r="T345" s="71"/>
      <c r="U345" s="71"/>
      <c r="V345" s="355"/>
      <c r="W345" s="377"/>
      <c r="X345" s="71"/>
      <c r="Y345" s="72"/>
      <c r="Z345" s="73"/>
      <c r="AA345" s="73"/>
      <c r="AB345" s="73"/>
      <c r="AC345" s="73"/>
      <c r="AE345" s="71"/>
      <c r="AF345" s="71"/>
      <c r="AG345" s="71"/>
      <c r="AH345" s="72"/>
      <c r="AI345" s="73"/>
      <c r="AK345" s="71"/>
      <c r="AL345" s="71"/>
      <c r="AM345" s="71"/>
      <c r="AN345" s="72"/>
      <c r="AO345" s="73"/>
      <c r="AQ345" s="71"/>
      <c r="AR345" s="71"/>
      <c r="AS345" s="71"/>
      <c r="AT345" s="72"/>
      <c r="AU345" s="73"/>
      <c r="AW345" s="71"/>
      <c r="AX345" s="71"/>
      <c r="AY345" s="71"/>
      <c r="AZ345" s="72"/>
      <c r="BA345" s="73"/>
    </row>
    <row r="346" spans="1:53" s="4" customFormat="1" ht="17.100000000000001" customHeight="1" x14ac:dyDescent="0.25">
      <c r="A346" s="40"/>
      <c r="B346" s="40"/>
      <c r="C346" s="74" t="s">
        <v>440</v>
      </c>
      <c r="D346" s="85" t="s">
        <v>162</v>
      </c>
      <c r="E346" s="75"/>
      <c r="F346" s="75"/>
      <c r="G346" s="75"/>
      <c r="H346" s="540"/>
      <c r="I346" s="229"/>
      <c r="J346" s="581"/>
      <c r="K346" s="581"/>
      <c r="L346" s="582"/>
      <c r="M346" s="593">
        <f t="shared" ref="M346:M353" si="378">SUM(J346:L346)</f>
        <v>0</v>
      </c>
      <c r="N346" s="111"/>
      <c r="O346" s="111"/>
      <c r="P346" s="111"/>
      <c r="Q346" s="111"/>
      <c r="R346" s="111"/>
      <c r="S346" s="111"/>
      <c r="T346" s="111"/>
      <c r="U346" s="111"/>
      <c r="V346" s="358"/>
      <c r="W346" s="391">
        <f t="shared" ref="W346:W353" si="379">J346+K346+N346+Q346+T346</f>
        <v>0</v>
      </c>
      <c r="X346" s="17">
        <f t="shared" ref="X346:X353" si="380">L346+O346+R346+U346</f>
        <v>0</v>
      </c>
      <c r="Y346" s="18">
        <f t="shared" ref="Y346:Y353" si="381">SUM(W346:X346)</f>
        <v>0</v>
      </c>
      <c r="Z346" s="19">
        <f t="shared" ref="Z346:Z353" si="382">IF(Y$354=0,0,Y346/Y$354)</f>
        <v>0</v>
      </c>
      <c r="AA346" s="19"/>
      <c r="AB346" s="19"/>
      <c r="AC346" s="20"/>
      <c r="AE346" s="17"/>
      <c r="AF346" s="17"/>
      <c r="AG346" s="17"/>
      <c r="AH346" s="18">
        <f t="shared" ref="AH346:AH353" si="383">J346</f>
        <v>0</v>
      </c>
      <c r="AI346" s="19">
        <f t="shared" ref="AI346:AI353" si="384">IF(AH$354=0,0,AH346/AH$354)</f>
        <v>0</v>
      </c>
      <c r="AJ346" s="97"/>
      <c r="AK346" s="17"/>
      <c r="AL346" s="17"/>
      <c r="AM346" s="17"/>
      <c r="AN346" s="18">
        <f t="shared" ref="AN346:AN353" si="385">K346</f>
        <v>0</v>
      </c>
      <c r="AO346" s="19">
        <f t="shared" ref="AO346:AO353" si="386">IF(AN$354=0,0,AN346/AN$354)</f>
        <v>0</v>
      </c>
      <c r="AP346" s="97"/>
      <c r="AQ346" s="17"/>
      <c r="AR346" s="17"/>
      <c r="AS346" s="17"/>
      <c r="AT346" s="18">
        <f t="shared" ref="AT346:AT353" si="387">W346</f>
        <v>0</v>
      </c>
      <c r="AU346" s="19">
        <f t="shared" ref="AU346:AU353" si="388">IF(AT$354=0,0,AT346/AT$354)</f>
        <v>0</v>
      </c>
      <c r="AV346" s="97"/>
      <c r="AW346" s="17"/>
      <c r="AX346" s="17"/>
      <c r="AY346" s="17"/>
      <c r="AZ346" s="18">
        <f t="shared" ref="AZ346:AZ353" si="389">X346</f>
        <v>0</v>
      </c>
      <c r="BA346" s="19">
        <f t="shared" ref="BA346:BA353" si="390">IF(AZ$354=0,0,AZ346/AZ$354)</f>
        <v>0</v>
      </c>
    </row>
    <row r="347" spans="1:53" s="4" customFormat="1" ht="17.100000000000001" customHeight="1" x14ac:dyDescent="0.25">
      <c r="A347" s="40"/>
      <c r="B347" s="40"/>
      <c r="C347" s="74" t="s">
        <v>441</v>
      </c>
      <c r="D347" s="85" t="s">
        <v>165</v>
      </c>
      <c r="E347" s="75"/>
      <c r="F347" s="75"/>
      <c r="G347" s="75"/>
      <c r="H347" s="540"/>
      <c r="I347" s="229"/>
      <c r="J347" s="583"/>
      <c r="K347" s="583"/>
      <c r="L347" s="584"/>
      <c r="M347" s="593">
        <f t="shared" si="378"/>
        <v>0</v>
      </c>
      <c r="N347" s="111"/>
      <c r="O347" s="111"/>
      <c r="P347" s="111"/>
      <c r="Q347" s="111"/>
      <c r="R347" s="111"/>
      <c r="S347" s="111"/>
      <c r="T347" s="111"/>
      <c r="U347" s="111"/>
      <c r="V347" s="358"/>
      <c r="W347" s="391">
        <f t="shared" si="379"/>
        <v>0</v>
      </c>
      <c r="X347" s="17">
        <f t="shared" si="380"/>
        <v>0</v>
      </c>
      <c r="Y347" s="18">
        <f t="shared" si="381"/>
        <v>0</v>
      </c>
      <c r="Z347" s="19">
        <f t="shared" si="382"/>
        <v>0</v>
      </c>
      <c r="AA347" s="19"/>
      <c r="AB347" s="19"/>
      <c r="AC347" s="20"/>
      <c r="AE347" s="17"/>
      <c r="AF347" s="17"/>
      <c r="AG347" s="17"/>
      <c r="AH347" s="18">
        <f t="shared" si="383"/>
        <v>0</v>
      </c>
      <c r="AI347" s="19">
        <f t="shared" si="384"/>
        <v>0</v>
      </c>
      <c r="AJ347" s="97"/>
      <c r="AK347" s="17"/>
      <c r="AL347" s="17"/>
      <c r="AM347" s="17"/>
      <c r="AN347" s="18">
        <f t="shared" si="385"/>
        <v>0</v>
      </c>
      <c r="AO347" s="19">
        <f t="shared" si="386"/>
        <v>0</v>
      </c>
      <c r="AP347" s="97"/>
      <c r="AQ347" s="17"/>
      <c r="AR347" s="17"/>
      <c r="AS347" s="17"/>
      <c r="AT347" s="18">
        <f t="shared" si="387"/>
        <v>0</v>
      </c>
      <c r="AU347" s="19">
        <f t="shared" si="388"/>
        <v>0</v>
      </c>
      <c r="AV347" s="97"/>
      <c r="AW347" s="17"/>
      <c r="AX347" s="17"/>
      <c r="AY347" s="17"/>
      <c r="AZ347" s="18">
        <f t="shared" si="389"/>
        <v>0</v>
      </c>
      <c r="BA347" s="19">
        <f t="shared" si="390"/>
        <v>0</v>
      </c>
    </row>
    <row r="348" spans="1:53" s="4" customFormat="1" ht="17.100000000000001" customHeight="1" x14ac:dyDescent="0.25">
      <c r="A348" s="40"/>
      <c r="B348" s="40"/>
      <c r="C348" s="74" t="s">
        <v>442</v>
      </c>
      <c r="D348" s="85" t="s">
        <v>167</v>
      </c>
      <c r="E348" s="75"/>
      <c r="F348" s="75"/>
      <c r="G348" s="75"/>
      <c r="H348" s="540"/>
      <c r="I348" s="229"/>
      <c r="J348" s="581"/>
      <c r="K348" s="581"/>
      <c r="L348" s="582"/>
      <c r="M348" s="593">
        <f t="shared" si="378"/>
        <v>0</v>
      </c>
      <c r="N348" s="111"/>
      <c r="O348" s="111"/>
      <c r="P348" s="111"/>
      <c r="Q348" s="111"/>
      <c r="R348" s="111"/>
      <c r="S348" s="111"/>
      <c r="T348" s="111"/>
      <c r="U348" s="111"/>
      <c r="V348" s="358"/>
      <c r="W348" s="391">
        <f t="shared" si="379"/>
        <v>0</v>
      </c>
      <c r="X348" s="17">
        <f t="shared" si="380"/>
        <v>0</v>
      </c>
      <c r="Y348" s="18">
        <f t="shared" si="381"/>
        <v>0</v>
      </c>
      <c r="Z348" s="19">
        <f t="shared" si="382"/>
        <v>0</v>
      </c>
      <c r="AA348" s="19"/>
      <c r="AB348" s="19"/>
      <c r="AC348" s="20"/>
      <c r="AE348" s="17"/>
      <c r="AF348" s="17"/>
      <c r="AG348" s="17"/>
      <c r="AH348" s="18">
        <f t="shared" si="383"/>
        <v>0</v>
      </c>
      <c r="AI348" s="19">
        <f t="shared" si="384"/>
        <v>0</v>
      </c>
      <c r="AJ348" s="97"/>
      <c r="AK348" s="17"/>
      <c r="AL348" s="17"/>
      <c r="AM348" s="17"/>
      <c r="AN348" s="18">
        <f t="shared" si="385"/>
        <v>0</v>
      </c>
      <c r="AO348" s="19">
        <f t="shared" si="386"/>
        <v>0</v>
      </c>
      <c r="AP348" s="97"/>
      <c r="AQ348" s="17"/>
      <c r="AR348" s="17"/>
      <c r="AS348" s="17"/>
      <c r="AT348" s="18">
        <f t="shared" si="387"/>
        <v>0</v>
      </c>
      <c r="AU348" s="19">
        <f t="shared" si="388"/>
        <v>0</v>
      </c>
      <c r="AV348" s="97"/>
      <c r="AW348" s="17"/>
      <c r="AX348" s="17"/>
      <c r="AY348" s="17"/>
      <c r="AZ348" s="18">
        <f t="shared" si="389"/>
        <v>0</v>
      </c>
      <c r="BA348" s="19">
        <f t="shared" si="390"/>
        <v>0</v>
      </c>
    </row>
    <row r="349" spans="1:53" s="4" customFormat="1" ht="17.100000000000001" customHeight="1" x14ac:dyDescent="0.25">
      <c r="A349" s="40"/>
      <c r="B349" s="40"/>
      <c r="C349" s="74" t="s">
        <v>443</v>
      </c>
      <c r="D349" s="85" t="s">
        <v>437</v>
      </c>
      <c r="E349" s="75"/>
      <c r="F349" s="75"/>
      <c r="G349" s="75"/>
      <c r="H349" s="540"/>
      <c r="I349" s="229"/>
      <c r="J349" s="583"/>
      <c r="K349" s="583"/>
      <c r="L349" s="584"/>
      <c r="M349" s="593">
        <f t="shared" si="378"/>
        <v>0</v>
      </c>
      <c r="N349" s="111"/>
      <c r="O349" s="111"/>
      <c r="P349" s="111"/>
      <c r="Q349" s="111"/>
      <c r="R349" s="111"/>
      <c r="S349" s="111"/>
      <c r="T349" s="111"/>
      <c r="U349" s="111"/>
      <c r="V349" s="358"/>
      <c r="W349" s="391">
        <f t="shared" si="379"/>
        <v>0</v>
      </c>
      <c r="X349" s="17">
        <f t="shared" si="380"/>
        <v>0</v>
      </c>
      <c r="Y349" s="18">
        <f t="shared" si="381"/>
        <v>0</v>
      </c>
      <c r="Z349" s="19">
        <f t="shared" si="382"/>
        <v>0</v>
      </c>
      <c r="AA349" s="19"/>
      <c r="AB349" s="19"/>
      <c r="AC349" s="20"/>
      <c r="AE349" s="17"/>
      <c r="AF349" s="17"/>
      <c r="AG349" s="17"/>
      <c r="AH349" s="18">
        <f t="shared" si="383"/>
        <v>0</v>
      </c>
      <c r="AI349" s="19">
        <f t="shared" si="384"/>
        <v>0</v>
      </c>
      <c r="AJ349" s="97"/>
      <c r="AK349" s="17"/>
      <c r="AL349" s="17"/>
      <c r="AM349" s="17"/>
      <c r="AN349" s="18">
        <f t="shared" si="385"/>
        <v>0</v>
      </c>
      <c r="AO349" s="19">
        <f t="shared" si="386"/>
        <v>0</v>
      </c>
      <c r="AP349" s="97"/>
      <c r="AQ349" s="17"/>
      <c r="AR349" s="17"/>
      <c r="AS349" s="17"/>
      <c r="AT349" s="18">
        <f t="shared" si="387"/>
        <v>0</v>
      </c>
      <c r="AU349" s="19">
        <f t="shared" si="388"/>
        <v>0</v>
      </c>
      <c r="AV349" s="97"/>
      <c r="AW349" s="17"/>
      <c r="AX349" s="17"/>
      <c r="AY349" s="17"/>
      <c r="AZ349" s="18">
        <f t="shared" si="389"/>
        <v>0</v>
      </c>
      <c r="BA349" s="19">
        <f t="shared" si="390"/>
        <v>0</v>
      </c>
    </row>
    <row r="350" spans="1:53" s="4" customFormat="1" ht="17.100000000000001" customHeight="1" x14ac:dyDescent="0.25">
      <c r="A350" s="40"/>
      <c r="B350" s="40"/>
      <c r="C350" s="74" t="s">
        <v>444</v>
      </c>
      <c r="D350" s="85" t="s">
        <v>438</v>
      </c>
      <c r="E350" s="542"/>
      <c r="F350" s="542"/>
      <c r="G350" s="542"/>
      <c r="H350" s="540"/>
      <c r="I350" s="235"/>
      <c r="J350" s="581"/>
      <c r="K350" s="581"/>
      <c r="L350" s="582"/>
      <c r="M350" s="593">
        <f t="shared" si="378"/>
        <v>0</v>
      </c>
      <c r="N350" s="111"/>
      <c r="O350" s="111"/>
      <c r="P350" s="111"/>
      <c r="Q350" s="111"/>
      <c r="R350" s="111"/>
      <c r="S350" s="111"/>
      <c r="T350" s="111"/>
      <c r="U350" s="111"/>
      <c r="V350" s="358"/>
      <c r="W350" s="391">
        <f t="shared" si="379"/>
        <v>0</v>
      </c>
      <c r="X350" s="17">
        <f t="shared" si="380"/>
        <v>0</v>
      </c>
      <c r="Y350" s="18">
        <f t="shared" si="381"/>
        <v>0</v>
      </c>
      <c r="Z350" s="19">
        <f t="shared" si="382"/>
        <v>0</v>
      </c>
      <c r="AA350" s="19"/>
      <c r="AB350" s="19"/>
      <c r="AC350" s="20"/>
      <c r="AE350" s="17"/>
      <c r="AF350" s="17"/>
      <c r="AG350" s="17"/>
      <c r="AH350" s="18">
        <f t="shared" si="383"/>
        <v>0</v>
      </c>
      <c r="AI350" s="19">
        <f t="shared" si="384"/>
        <v>0</v>
      </c>
      <c r="AJ350" s="97"/>
      <c r="AK350" s="17"/>
      <c r="AL350" s="17"/>
      <c r="AM350" s="17"/>
      <c r="AN350" s="18">
        <f t="shared" si="385"/>
        <v>0</v>
      </c>
      <c r="AO350" s="19">
        <f t="shared" si="386"/>
        <v>0</v>
      </c>
      <c r="AP350" s="97"/>
      <c r="AQ350" s="17"/>
      <c r="AR350" s="17"/>
      <c r="AS350" s="17"/>
      <c r="AT350" s="18">
        <f t="shared" si="387"/>
        <v>0</v>
      </c>
      <c r="AU350" s="19">
        <f t="shared" si="388"/>
        <v>0</v>
      </c>
      <c r="AV350" s="97"/>
      <c r="AW350" s="17"/>
      <c r="AX350" s="17"/>
      <c r="AY350" s="17"/>
      <c r="AZ350" s="18">
        <f t="shared" si="389"/>
        <v>0</v>
      </c>
      <c r="BA350" s="19">
        <f t="shared" si="390"/>
        <v>0</v>
      </c>
    </row>
    <row r="351" spans="1:53" s="4" customFormat="1" ht="17.100000000000001" customHeight="1" x14ac:dyDescent="0.25">
      <c r="A351" s="40"/>
      <c r="B351" s="40"/>
      <c r="C351" s="74" t="s">
        <v>445</v>
      </c>
      <c r="D351" s="85" t="s">
        <v>439</v>
      </c>
      <c r="E351" s="542"/>
      <c r="F351" s="542"/>
      <c r="G351" s="542"/>
      <c r="H351" s="540"/>
      <c r="I351" s="235"/>
      <c r="J351" s="583"/>
      <c r="K351" s="583"/>
      <c r="L351" s="584"/>
      <c r="M351" s="593">
        <f t="shared" si="378"/>
        <v>0</v>
      </c>
      <c r="N351" s="111"/>
      <c r="O351" s="111"/>
      <c r="P351" s="111"/>
      <c r="Q351" s="111"/>
      <c r="R351" s="111"/>
      <c r="S351" s="111"/>
      <c r="T351" s="111"/>
      <c r="U351" s="111"/>
      <c r="V351" s="358"/>
      <c r="W351" s="391">
        <f t="shared" si="379"/>
        <v>0</v>
      </c>
      <c r="X351" s="17">
        <f t="shared" si="380"/>
        <v>0</v>
      </c>
      <c r="Y351" s="18">
        <f t="shared" si="381"/>
        <v>0</v>
      </c>
      <c r="Z351" s="19">
        <f t="shared" si="382"/>
        <v>0</v>
      </c>
      <c r="AA351" s="19"/>
      <c r="AB351" s="19"/>
      <c r="AC351" s="20"/>
      <c r="AE351" s="17"/>
      <c r="AF351" s="17"/>
      <c r="AG351" s="17"/>
      <c r="AH351" s="18">
        <f t="shared" si="383"/>
        <v>0</v>
      </c>
      <c r="AI351" s="19">
        <f t="shared" si="384"/>
        <v>0</v>
      </c>
      <c r="AJ351" s="97"/>
      <c r="AK351" s="17"/>
      <c r="AL351" s="17"/>
      <c r="AM351" s="17"/>
      <c r="AN351" s="18">
        <f t="shared" si="385"/>
        <v>0</v>
      </c>
      <c r="AO351" s="19">
        <f t="shared" si="386"/>
        <v>0</v>
      </c>
      <c r="AP351" s="97"/>
      <c r="AQ351" s="17"/>
      <c r="AR351" s="17"/>
      <c r="AS351" s="17"/>
      <c r="AT351" s="18">
        <f t="shared" si="387"/>
        <v>0</v>
      </c>
      <c r="AU351" s="19">
        <f t="shared" si="388"/>
        <v>0</v>
      </c>
      <c r="AV351" s="97"/>
      <c r="AW351" s="17"/>
      <c r="AX351" s="17"/>
      <c r="AY351" s="17"/>
      <c r="AZ351" s="18">
        <f t="shared" si="389"/>
        <v>0</v>
      </c>
      <c r="BA351" s="19">
        <f t="shared" si="390"/>
        <v>0</v>
      </c>
    </row>
    <row r="352" spans="1:53" s="4" customFormat="1" ht="17.100000000000001" customHeight="1" x14ac:dyDescent="0.25">
      <c r="A352" s="40"/>
      <c r="B352" s="40"/>
      <c r="C352" s="74" t="s">
        <v>446</v>
      </c>
      <c r="D352" s="85" t="s">
        <v>129</v>
      </c>
      <c r="E352" s="542"/>
      <c r="F352" s="542"/>
      <c r="G352" s="542"/>
      <c r="H352" s="540"/>
      <c r="I352" s="235"/>
      <c r="J352" s="581"/>
      <c r="K352" s="581"/>
      <c r="L352" s="582"/>
      <c r="M352" s="593">
        <f t="shared" si="378"/>
        <v>0</v>
      </c>
      <c r="N352" s="111"/>
      <c r="O352" s="111"/>
      <c r="P352" s="111"/>
      <c r="Q352" s="111"/>
      <c r="R352" s="111"/>
      <c r="S352" s="111"/>
      <c r="T352" s="111"/>
      <c r="U352" s="111"/>
      <c r="V352" s="358"/>
      <c r="W352" s="391">
        <f t="shared" si="379"/>
        <v>0</v>
      </c>
      <c r="X352" s="17">
        <f t="shared" si="380"/>
        <v>0</v>
      </c>
      <c r="Y352" s="18">
        <f t="shared" si="381"/>
        <v>0</v>
      </c>
      <c r="Z352" s="19">
        <f t="shared" si="382"/>
        <v>0</v>
      </c>
      <c r="AA352" s="19"/>
      <c r="AB352" s="19"/>
      <c r="AC352" s="20"/>
      <c r="AE352" s="17"/>
      <c r="AF352" s="17"/>
      <c r="AG352" s="17"/>
      <c r="AH352" s="18">
        <f t="shared" si="383"/>
        <v>0</v>
      </c>
      <c r="AI352" s="19">
        <f t="shared" si="384"/>
        <v>0</v>
      </c>
      <c r="AJ352" s="97"/>
      <c r="AK352" s="17"/>
      <c r="AL352" s="17"/>
      <c r="AM352" s="17"/>
      <c r="AN352" s="18">
        <f t="shared" si="385"/>
        <v>0</v>
      </c>
      <c r="AO352" s="19">
        <f t="shared" si="386"/>
        <v>0</v>
      </c>
      <c r="AP352" s="97"/>
      <c r="AQ352" s="17"/>
      <c r="AR352" s="17"/>
      <c r="AS352" s="17"/>
      <c r="AT352" s="18">
        <f t="shared" si="387"/>
        <v>0</v>
      </c>
      <c r="AU352" s="19">
        <f t="shared" si="388"/>
        <v>0</v>
      </c>
      <c r="AV352" s="97"/>
      <c r="AW352" s="17"/>
      <c r="AX352" s="17"/>
      <c r="AY352" s="17"/>
      <c r="AZ352" s="18">
        <f t="shared" si="389"/>
        <v>0</v>
      </c>
      <c r="BA352" s="19">
        <f t="shared" si="390"/>
        <v>0</v>
      </c>
    </row>
    <row r="353" spans="1:53" s="4" customFormat="1" ht="17.100000000000001" customHeight="1" x14ac:dyDescent="0.25">
      <c r="A353" s="40"/>
      <c r="B353" s="40"/>
      <c r="C353" s="74" t="s">
        <v>545</v>
      </c>
      <c r="D353" s="85" t="s">
        <v>530</v>
      </c>
      <c r="E353" s="542"/>
      <c r="F353" s="542"/>
      <c r="G353" s="542"/>
      <c r="H353" s="540"/>
      <c r="I353" s="235"/>
      <c r="J353" s="583"/>
      <c r="K353" s="583"/>
      <c r="L353" s="584"/>
      <c r="M353" s="593">
        <f t="shared" si="378"/>
        <v>0</v>
      </c>
      <c r="N353" s="111"/>
      <c r="O353" s="111"/>
      <c r="P353" s="111"/>
      <c r="Q353" s="111"/>
      <c r="R353" s="111"/>
      <c r="S353" s="111"/>
      <c r="T353" s="111"/>
      <c r="U353" s="111"/>
      <c r="V353" s="358"/>
      <c r="W353" s="391">
        <f t="shared" si="379"/>
        <v>0</v>
      </c>
      <c r="X353" s="17">
        <f t="shared" si="380"/>
        <v>0</v>
      </c>
      <c r="Y353" s="18">
        <f t="shared" si="381"/>
        <v>0</v>
      </c>
      <c r="Z353" s="19">
        <f t="shared" si="382"/>
        <v>0</v>
      </c>
      <c r="AA353" s="19"/>
      <c r="AB353" s="19"/>
      <c r="AC353" s="20"/>
      <c r="AE353" s="17"/>
      <c r="AF353" s="17"/>
      <c r="AG353" s="17"/>
      <c r="AH353" s="18">
        <f t="shared" si="383"/>
        <v>0</v>
      </c>
      <c r="AI353" s="19">
        <f t="shared" si="384"/>
        <v>0</v>
      </c>
      <c r="AJ353" s="97"/>
      <c r="AK353" s="17"/>
      <c r="AL353" s="17"/>
      <c r="AM353" s="17"/>
      <c r="AN353" s="18">
        <f t="shared" si="385"/>
        <v>0</v>
      </c>
      <c r="AO353" s="19">
        <f t="shared" si="386"/>
        <v>0</v>
      </c>
      <c r="AP353" s="97"/>
      <c r="AQ353" s="17"/>
      <c r="AR353" s="17"/>
      <c r="AS353" s="17"/>
      <c r="AT353" s="18">
        <f t="shared" si="387"/>
        <v>0</v>
      </c>
      <c r="AU353" s="19">
        <f t="shared" si="388"/>
        <v>0</v>
      </c>
      <c r="AV353" s="97"/>
      <c r="AW353" s="17"/>
      <c r="AX353" s="17"/>
      <c r="AY353" s="17"/>
      <c r="AZ353" s="18">
        <f t="shared" si="389"/>
        <v>0</v>
      </c>
      <c r="BA353" s="19">
        <f t="shared" si="390"/>
        <v>0</v>
      </c>
    </row>
    <row r="354" spans="1:53" s="4" customFormat="1" ht="17.100000000000001" customHeight="1" x14ac:dyDescent="0.25">
      <c r="A354" s="40"/>
      <c r="B354" s="40"/>
      <c r="C354" s="77"/>
      <c r="D354" s="134"/>
      <c r="E354" s="134"/>
      <c r="F354" s="134"/>
      <c r="G354" s="134"/>
      <c r="H354" s="540"/>
      <c r="I354" s="229"/>
      <c r="J354" s="80">
        <f>SUM(J346:J353)</f>
        <v>0</v>
      </c>
      <c r="K354" s="80">
        <f t="shared" ref="K354:M354" si="391">SUM(K346:K353)</f>
        <v>0</v>
      </c>
      <c r="L354" s="80">
        <f t="shared" si="391"/>
        <v>0</v>
      </c>
      <c r="M354" s="80">
        <f t="shared" si="391"/>
        <v>0</v>
      </c>
      <c r="N354" s="81"/>
      <c r="O354" s="81"/>
      <c r="P354" s="81"/>
      <c r="Q354" s="81"/>
      <c r="R354" s="81"/>
      <c r="S354" s="81"/>
      <c r="T354" s="81"/>
      <c r="U354" s="81"/>
      <c r="V354" s="356"/>
      <c r="W354" s="381">
        <f>SUM(W346:W353)</f>
        <v>0</v>
      </c>
      <c r="X354" s="82">
        <f t="shared" ref="X354:Y354" si="392">SUM(X346:X353)</f>
        <v>0</v>
      </c>
      <c r="Y354" s="82">
        <f t="shared" si="392"/>
        <v>0</v>
      </c>
      <c r="Z354" s="205">
        <f>IF(Y$354=0,0,Y354/Y$354)</f>
        <v>0</v>
      </c>
      <c r="AA354" s="205"/>
      <c r="AB354" s="205"/>
      <c r="AC354" s="83"/>
      <c r="AE354" s="80"/>
      <c r="AF354" s="80"/>
      <c r="AG354" s="81"/>
      <c r="AH354" s="82">
        <f>SUM(AH346:AH353)</f>
        <v>0</v>
      </c>
      <c r="AI354" s="66">
        <f>IF(AH$354=0,0,AH354/AH$354)</f>
        <v>0</v>
      </c>
      <c r="AJ354" s="97"/>
      <c r="AK354" s="80"/>
      <c r="AL354" s="80"/>
      <c r="AM354" s="81"/>
      <c r="AN354" s="82">
        <f>SUM(AN346:AN353)</f>
        <v>0</v>
      </c>
      <c r="AO354" s="66">
        <f>IF(AN$354=0,0,AN354/AN$354)</f>
        <v>0</v>
      </c>
      <c r="AP354" s="97"/>
      <c r="AQ354" s="80"/>
      <c r="AR354" s="80"/>
      <c r="AS354" s="81"/>
      <c r="AT354" s="82">
        <f>SUM(AT346:AT353)</f>
        <v>0</v>
      </c>
      <c r="AU354" s="66">
        <f>IF(AT$354=0,0,AT354/AT$354)</f>
        <v>0</v>
      </c>
      <c r="AV354" s="97"/>
      <c r="AW354" s="80"/>
      <c r="AX354" s="80"/>
      <c r="AY354" s="81"/>
      <c r="AZ354" s="82">
        <f>SUM(AZ346:AZ353)</f>
        <v>0</v>
      </c>
      <c r="BA354" s="66">
        <f>IF(AZ$354=0,0,AZ354/AZ$354)</f>
        <v>0</v>
      </c>
    </row>
    <row r="355" spans="1:53" s="117" customFormat="1" ht="17.100000000000001" customHeight="1" x14ac:dyDescent="0.25">
      <c r="A355" s="68"/>
      <c r="B355" s="119"/>
      <c r="C355" s="540"/>
      <c r="D355" s="261"/>
      <c r="E355" s="261"/>
      <c r="F355" s="68"/>
      <c r="G355" s="68"/>
      <c r="H355" s="119"/>
      <c r="I355" s="138"/>
      <c r="J355" s="17" t="str">
        <f>IF(J354=J$15,"OK","NOK")</f>
        <v>OK</v>
      </c>
      <c r="K355" s="17" t="str">
        <f t="shared" ref="K355:L355" si="393">IF(K354=K$15,"OK","NOK")</f>
        <v>OK</v>
      </c>
      <c r="L355" s="17" t="str">
        <f t="shared" si="393"/>
        <v>OK</v>
      </c>
      <c r="M355" s="17"/>
      <c r="N355" s="17"/>
      <c r="O355" s="17"/>
      <c r="P355" s="17"/>
      <c r="Q355" s="17"/>
      <c r="R355" s="17"/>
      <c r="S355" s="17"/>
      <c r="T355" s="17"/>
      <c r="U355" s="17"/>
      <c r="V355" s="359"/>
      <c r="W355" s="382"/>
      <c r="X355" s="539"/>
      <c r="Y355" s="539"/>
      <c r="Z355" s="201"/>
      <c r="AA355" s="201"/>
      <c r="AB355" s="201"/>
      <c r="AC355" s="84"/>
      <c r="AE355" s="46"/>
      <c r="AF355" s="46"/>
      <c r="AG355" s="17"/>
      <c r="AH355" s="539"/>
      <c r="AI355" s="91"/>
      <c r="AK355" s="46"/>
      <c r="AL355" s="46"/>
      <c r="AM355" s="17"/>
      <c r="AN355" s="539"/>
      <c r="AO355" s="91"/>
      <c r="AQ355" s="46"/>
      <c r="AR355" s="46"/>
      <c r="AS355" s="17"/>
      <c r="AT355" s="539"/>
      <c r="AU355" s="91"/>
      <c r="AW355" s="46"/>
      <c r="AX355" s="46"/>
      <c r="AY355" s="17"/>
      <c r="AZ355" s="539"/>
      <c r="BA355" s="91"/>
    </row>
    <row r="356" spans="1:53" ht="17.100000000000001" customHeight="1" x14ac:dyDescent="0.25">
      <c r="A356" s="68"/>
      <c r="B356" s="41" t="s">
        <v>447</v>
      </c>
      <c r="C356" s="69" t="s">
        <v>448</v>
      </c>
      <c r="D356" s="50"/>
      <c r="E356" s="70"/>
      <c r="F356" s="70"/>
      <c r="G356" s="70"/>
      <c r="H356" s="243">
        <v>47</v>
      </c>
      <c r="J356" s="71"/>
      <c r="K356" s="71"/>
      <c r="L356" s="71"/>
      <c r="M356" s="71"/>
      <c r="N356" s="71"/>
      <c r="O356" s="71"/>
      <c r="P356" s="71"/>
      <c r="Q356" s="71"/>
      <c r="R356" s="71"/>
      <c r="S356" s="71"/>
      <c r="T356" s="71"/>
      <c r="U356" s="71"/>
      <c r="V356" s="355"/>
      <c r="W356" s="377"/>
      <c r="X356" s="71"/>
      <c r="Y356" s="72"/>
      <c r="Z356" s="73"/>
      <c r="AA356" s="73"/>
      <c r="AB356" s="73"/>
      <c r="AC356" s="73"/>
      <c r="AE356" s="71"/>
      <c r="AF356" s="71"/>
      <c r="AG356" s="71"/>
      <c r="AH356" s="72"/>
      <c r="AI356" s="73"/>
      <c r="AK356" s="71"/>
      <c r="AL356" s="71"/>
      <c r="AM356" s="71"/>
      <c r="AN356" s="72"/>
      <c r="AO356" s="73"/>
      <c r="AQ356" s="71"/>
      <c r="AR356" s="71"/>
      <c r="AS356" s="71"/>
      <c r="AT356" s="72"/>
      <c r="AU356" s="73"/>
      <c r="AW356" s="71"/>
      <c r="AX356" s="71"/>
      <c r="AY356" s="71"/>
      <c r="AZ356" s="72"/>
      <c r="BA356" s="73"/>
    </row>
    <row r="357" spans="1:53" s="4" customFormat="1" ht="17.100000000000001" customHeight="1" x14ac:dyDescent="0.25">
      <c r="A357" s="40"/>
      <c r="B357" s="40"/>
      <c r="C357" s="74" t="s">
        <v>449</v>
      </c>
      <c r="D357" s="85" t="s">
        <v>9</v>
      </c>
      <c r="E357" s="75"/>
      <c r="F357" s="75"/>
      <c r="G357" s="75"/>
      <c r="H357" s="540"/>
      <c r="I357" s="229"/>
      <c r="J357" s="581"/>
      <c r="K357" s="581"/>
      <c r="L357" s="582"/>
      <c r="M357" s="593">
        <f t="shared" ref="M357:M359" si="394">SUM(J357:L357)</f>
        <v>0</v>
      </c>
      <c r="N357" s="111"/>
      <c r="O357" s="111"/>
      <c r="P357" s="111"/>
      <c r="Q357" s="111"/>
      <c r="R357" s="111"/>
      <c r="S357" s="111"/>
      <c r="T357" s="111"/>
      <c r="U357" s="111"/>
      <c r="V357" s="358"/>
      <c r="W357" s="391">
        <f t="shared" ref="W357:W359" si="395">J357+K357+N357+Q357+T357</f>
        <v>0</v>
      </c>
      <c r="X357" s="17">
        <f t="shared" ref="X357:X359" si="396">L357+O357+R357+U357</f>
        <v>0</v>
      </c>
      <c r="Y357" s="18">
        <f>SUM(W357:X357)</f>
        <v>0</v>
      </c>
      <c r="Z357" s="19">
        <f>IF(Y$360=0,0,Y357/Y$360)</f>
        <v>0</v>
      </c>
      <c r="AA357" s="19"/>
      <c r="AB357" s="19"/>
      <c r="AC357" s="20"/>
      <c r="AE357" s="17"/>
      <c r="AF357" s="17"/>
      <c r="AG357" s="17"/>
      <c r="AH357" s="18">
        <f t="shared" ref="AH357:AH359" si="397">J357</f>
        <v>0</v>
      </c>
      <c r="AI357" s="19">
        <f>IF(AH$360=0,0,AH357/AH$360)</f>
        <v>0</v>
      </c>
      <c r="AJ357" s="97"/>
      <c r="AK357" s="17"/>
      <c r="AL357" s="17"/>
      <c r="AM357" s="17"/>
      <c r="AN357" s="18">
        <f t="shared" ref="AN357:AN359" si="398">K357</f>
        <v>0</v>
      </c>
      <c r="AO357" s="19">
        <f>IF(AN$360=0,0,AN357/AN$360)</f>
        <v>0</v>
      </c>
      <c r="AP357" s="97"/>
      <c r="AQ357" s="17"/>
      <c r="AR357" s="17"/>
      <c r="AS357" s="17"/>
      <c r="AT357" s="18">
        <f t="shared" ref="AT357:AT359" si="399">W357</f>
        <v>0</v>
      </c>
      <c r="AU357" s="19">
        <f>IF(AT$360=0,0,AT357/AT$360)</f>
        <v>0</v>
      </c>
      <c r="AV357" s="97"/>
      <c r="AW357" s="17"/>
      <c r="AX357" s="17"/>
      <c r="AY357" s="17"/>
      <c r="AZ357" s="18">
        <f t="shared" ref="AZ357:AZ359" si="400">X357</f>
        <v>0</v>
      </c>
      <c r="BA357" s="19">
        <f>IF(AZ$360=0,0,AZ357/AZ$360)</f>
        <v>0</v>
      </c>
    </row>
    <row r="358" spans="1:53" s="4" customFormat="1" ht="17.100000000000001" customHeight="1" x14ac:dyDescent="0.25">
      <c r="A358" s="40"/>
      <c r="B358" s="40"/>
      <c r="C358" s="74" t="s">
        <v>450</v>
      </c>
      <c r="D358" s="85" t="s">
        <v>10</v>
      </c>
      <c r="E358" s="75"/>
      <c r="F358" s="75"/>
      <c r="G358" s="75"/>
      <c r="H358" s="540"/>
      <c r="I358" s="229"/>
      <c r="J358" s="583"/>
      <c r="K358" s="583"/>
      <c r="L358" s="584"/>
      <c r="M358" s="593">
        <f t="shared" si="394"/>
        <v>0</v>
      </c>
      <c r="N358" s="111"/>
      <c r="O358" s="111"/>
      <c r="P358" s="111"/>
      <c r="Q358" s="111"/>
      <c r="R358" s="111"/>
      <c r="S358" s="111"/>
      <c r="T358" s="111"/>
      <c r="U358" s="111"/>
      <c r="V358" s="358"/>
      <c r="W358" s="391">
        <f t="shared" si="395"/>
        <v>0</v>
      </c>
      <c r="X358" s="17">
        <f t="shared" si="396"/>
        <v>0</v>
      </c>
      <c r="Y358" s="18">
        <f>SUM(W358:X358)</f>
        <v>0</v>
      </c>
      <c r="Z358" s="19">
        <f t="shared" ref="Z358:Z360" si="401">IF(Y$360=0,0,Y358/Y$360)</f>
        <v>0</v>
      </c>
      <c r="AA358" s="19"/>
      <c r="AB358" s="19"/>
      <c r="AC358" s="20"/>
      <c r="AE358" s="17"/>
      <c r="AF358" s="17"/>
      <c r="AG358" s="17"/>
      <c r="AH358" s="18">
        <f t="shared" si="397"/>
        <v>0</v>
      </c>
      <c r="AI358" s="19">
        <f t="shared" ref="AI358:AI360" si="402">IF(AH$360=0,0,AH358/AH$360)</f>
        <v>0</v>
      </c>
      <c r="AJ358" s="97"/>
      <c r="AK358" s="17"/>
      <c r="AL358" s="17"/>
      <c r="AM358" s="17"/>
      <c r="AN358" s="18">
        <f t="shared" si="398"/>
        <v>0</v>
      </c>
      <c r="AO358" s="19">
        <f t="shared" ref="AO358:AO360" si="403">IF(AN$360=0,0,AN358/AN$360)</f>
        <v>0</v>
      </c>
      <c r="AP358" s="97"/>
      <c r="AQ358" s="17"/>
      <c r="AR358" s="17"/>
      <c r="AS358" s="17"/>
      <c r="AT358" s="18">
        <f t="shared" si="399"/>
        <v>0</v>
      </c>
      <c r="AU358" s="19">
        <f t="shared" ref="AU358:AU360" si="404">IF(AT$360=0,0,AT358/AT$360)</f>
        <v>0</v>
      </c>
      <c r="AV358" s="97"/>
      <c r="AW358" s="17"/>
      <c r="AX358" s="17"/>
      <c r="AY358" s="17"/>
      <c r="AZ358" s="18">
        <f t="shared" si="400"/>
        <v>0</v>
      </c>
      <c r="BA358" s="19">
        <f t="shared" ref="BA358:BA360" si="405">IF(AZ$360=0,0,AZ358/AZ$360)</f>
        <v>0</v>
      </c>
    </row>
    <row r="359" spans="1:53" s="4" customFormat="1" ht="17.100000000000001" customHeight="1" x14ac:dyDescent="0.25">
      <c r="A359" s="40"/>
      <c r="B359" s="40"/>
      <c r="C359" s="74" t="s">
        <v>451</v>
      </c>
      <c r="D359" s="85" t="s">
        <v>129</v>
      </c>
      <c r="E359" s="75"/>
      <c r="F359" s="75"/>
      <c r="G359" s="75"/>
      <c r="H359" s="540"/>
      <c r="I359" s="229"/>
      <c r="J359" s="581"/>
      <c r="K359" s="581"/>
      <c r="L359" s="582"/>
      <c r="M359" s="593">
        <f t="shared" si="394"/>
        <v>0</v>
      </c>
      <c r="N359" s="111"/>
      <c r="O359" s="111"/>
      <c r="P359" s="111"/>
      <c r="Q359" s="111"/>
      <c r="R359" s="111"/>
      <c r="S359" s="111"/>
      <c r="T359" s="111"/>
      <c r="U359" s="111"/>
      <c r="V359" s="358"/>
      <c r="W359" s="391">
        <f t="shared" si="395"/>
        <v>0</v>
      </c>
      <c r="X359" s="17">
        <f t="shared" si="396"/>
        <v>0</v>
      </c>
      <c r="Y359" s="18">
        <f>SUM(W359:X359)</f>
        <v>0</v>
      </c>
      <c r="Z359" s="19">
        <f t="shared" si="401"/>
        <v>0</v>
      </c>
      <c r="AA359" s="19"/>
      <c r="AB359" s="19"/>
      <c r="AC359" s="20"/>
      <c r="AE359" s="17"/>
      <c r="AF359" s="17"/>
      <c r="AG359" s="17"/>
      <c r="AH359" s="18">
        <f t="shared" si="397"/>
        <v>0</v>
      </c>
      <c r="AI359" s="19">
        <f t="shared" si="402"/>
        <v>0</v>
      </c>
      <c r="AJ359" s="97"/>
      <c r="AK359" s="17"/>
      <c r="AL359" s="17"/>
      <c r="AM359" s="17"/>
      <c r="AN359" s="18">
        <f t="shared" si="398"/>
        <v>0</v>
      </c>
      <c r="AO359" s="19">
        <f t="shared" si="403"/>
        <v>0</v>
      </c>
      <c r="AP359" s="97"/>
      <c r="AQ359" s="17"/>
      <c r="AR359" s="17"/>
      <c r="AS359" s="17"/>
      <c r="AT359" s="18">
        <f t="shared" si="399"/>
        <v>0</v>
      </c>
      <c r="AU359" s="19">
        <f t="shared" si="404"/>
        <v>0</v>
      </c>
      <c r="AV359" s="97"/>
      <c r="AW359" s="17"/>
      <c r="AX359" s="17"/>
      <c r="AY359" s="17"/>
      <c r="AZ359" s="18">
        <f t="shared" si="400"/>
        <v>0</v>
      </c>
      <c r="BA359" s="19">
        <f t="shared" si="405"/>
        <v>0</v>
      </c>
    </row>
    <row r="360" spans="1:53" s="4" customFormat="1" ht="17.100000000000001" customHeight="1" x14ac:dyDescent="0.25">
      <c r="A360" s="40"/>
      <c r="B360" s="40"/>
      <c r="C360" s="77"/>
      <c r="D360" s="134"/>
      <c r="E360" s="134"/>
      <c r="F360" s="134"/>
      <c r="G360" s="134"/>
      <c r="H360" s="540"/>
      <c r="I360" s="229"/>
      <c r="J360" s="80">
        <f>SUM(J357:J359)</f>
        <v>0</v>
      </c>
      <c r="K360" s="80">
        <f t="shared" ref="K360:M360" si="406">SUM(K357:K359)</f>
        <v>0</v>
      </c>
      <c r="L360" s="80">
        <f t="shared" si="406"/>
        <v>0</v>
      </c>
      <c r="M360" s="80">
        <f t="shared" si="406"/>
        <v>0</v>
      </c>
      <c r="N360" s="81"/>
      <c r="O360" s="81"/>
      <c r="P360" s="81"/>
      <c r="Q360" s="81"/>
      <c r="R360" s="81"/>
      <c r="S360" s="81"/>
      <c r="T360" s="81"/>
      <c r="U360" s="81"/>
      <c r="V360" s="356"/>
      <c r="W360" s="381">
        <f>SUM(W357:W359)</f>
        <v>0</v>
      </c>
      <c r="X360" s="82">
        <f t="shared" ref="X360:Y360" si="407">SUM(X357:X359)</f>
        <v>0</v>
      </c>
      <c r="Y360" s="82">
        <f t="shared" si="407"/>
        <v>0</v>
      </c>
      <c r="Z360" s="205">
        <f t="shared" si="401"/>
        <v>0</v>
      </c>
      <c r="AA360" s="205"/>
      <c r="AB360" s="205"/>
      <c r="AC360" s="83"/>
      <c r="AE360" s="80"/>
      <c r="AF360" s="80"/>
      <c r="AG360" s="81"/>
      <c r="AH360" s="82">
        <f>SUM(AH357:AH359)</f>
        <v>0</v>
      </c>
      <c r="AI360" s="66">
        <f t="shared" si="402"/>
        <v>0</v>
      </c>
      <c r="AJ360" s="97"/>
      <c r="AK360" s="80"/>
      <c r="AL360" s="80"/>
      <c r="AM360" s="81"/>
      <c r="AN360" s="82">
        <f>SUM(AN357:AN359)</f>
        <v>0</v>
      </c>
      <c r="AO360" s="66">
        <f t="shared" si="403"/>
        <v>0</v>
      </c>
      <c r="AP360" s="97"/>
      <c r="AQ360" s="80"/>
      <c r="AR360" s="80"/>
      <c r="AS360" s="81"/>
      <c r="AT360" s="82">
        <f>SUM(AT357:AT359)</f>
        <v>0</v>
      </c>
      <c r="AU360" s="66">
        <f t="shared" si="404"/>
        <v>0</v>
      </c>
      <c r="AV360" s="97"/>
      <c r="AW360" s="80"/>
      <c r="AX360" s="80"/>
      <c r="AY360" s="81"/>
      <c r="AZ360" s="82">
        <f>SUM(AZ357:AZ359)</f>
        <v>0</v>
      </c>
      <c r="BA360" s="66">
        <f t="shared" si="405"/>
        <v>0</v>
      </c>
    </row>
    <row r="361" spans="1:53" s="117" customFormat="1" ht="17.100000000000001" customHeight="1" x14ac:dyDescent="0.25">
      <c r="A361" s="68"/>
      <c r="B361" s="119"/>
      <c r="C361" s="540"/>
      <c r="D361" s="261"/>
      <c r="E361" s="261"/>
      <c r="F361" s="68"/>
      <c r="G361" s="68"/>
      <c r="H361" s="119"/>
      <c r="I361" s="138"/>
      <c r="J361" s="17" t="str">
        <f>IF(J360=J$15,"OK","NOK")</f>
        <v>OK</v>
      </c>
      <c r="K361" s="17" t="str">
        <f t="shared" ref="K361:L361" si="408">IF(K360=K$15,"OK","NOK")</f>
        <v>OK</v>
      </c>
      <c r="L361" s="17" t="str">
        <f t="shared" si="408"/>
        <v>OK</v>
      </c>
      <c r="M361" s="17"/>
      <c r="N361" s="17"/>
      <c r="O361" s="17"/>
      <c r="P361" s="17"/>
      <c r="Q361" s="17"/>
      <c r="R361" s="17"/>
      <c r="S361" s="17"/>
      <c r="T361" s="17"/>
      <c r="U361" s="17"/>
      <c r="V361" s="359"/>
      <c r="W361" s="382"/>
      <c r="X361" s="539"/>
      <c r="Y361" s="539"/>
      <c r="Z361" s="201"/>
      <c r="AA361" s="201"/>
      <c r="AB361" s="201"/>
      <c r="AC361" s="84"/>
      <c r="AE361" s="46"/>
      <c r="AF361" s="46"/>
      <c r="AG361" s="17"/>
      <c r="AH361" s="539"/>
      <c r="AI361" s="91"/>
      <c r="AK361" s="46"/>
      <c r="AL361" s="46"/>
      <c r="AM361" s="17"/>
      <c r="AN361" s="539"/>
      <c r="AO361" s="91"/>
      <c r="AQ361" s="46"/>
      <c r="AR361" s="46"/>
      <c r="AS361" s="17"/>
      <c r="AT361" s="539"/>
      <c r="AU361" s="91"/>
      <c r="AW361" s="46"/>
      <c r="AX361" s="46"/>
      <c r="AY361" s="17"/>
      <c r="AZ361" s="539"/>
      <c r="BA361" s="91"/>
    </row>
    <row r="362" spans="1:53" ht="17.100000000000001" customHeight="1" x14ac:dyDescent="0.25">
      <c r="A362" s="68"/>
      <c r="B362" s="41" t="s">
        <v>452</v>
      </c>
      <c r="C362" s="69" t="s">
        <v>453</v>
      </c>
      <c r="D362" s="50"/>
      <c r="E362" s="70"/>
      <c r="F362" s="70"/>
      <c r="G362" s="70"/>
      <c r="H362" s="243">
        <v>48</v>
      </c>
      <c r="J362" s="71"/>
      <c r="K362" s="71"/>
      <c r="L362" s="71"/>
      <c r="M362" s="71"/>
      <c r="N362" s="71"/>
      <c r="O362" s="71"/>
      <c r="P362" s="71"/>
      <c r="Q362" s="71"/>
      <c r="R362" s="71"/>
      <c r="S362" s="71"/>
      <c r="T362" s="71"/>
      <c r="U362" s="71"/>
      <c r="V362" s="355"/>
      <c r="W362" s="377"/>
      <c r="X362" s="71"/>
      <c r="Y362" s="72"/>
      <c r="Z362" s="73"/>
      <c r="AA362" s="73"/>
      <c r="AB362" s="73"/>
      <c r="AC362" s="73"/>
      <c r="AE362" s="71"/>
      <c r="AF362" s="71"/>
      <c r="AG362" s="71"/>
      <c r="AH362" s="72"/>
      <c r="AI362" s="73"/>
      <c r="AK362" s="71"/>
      <c r="AL362" s="71"/>
      <c r="AM362" s="71"/>
      <c r="AN362" s="72"/>
      <c r="AO362" s="73"/>
      <c r="AQ362" s="71"/>
      <c r="AR362" s="71"/>
      <c r="AS362" s="71"/>
      <c r="AT362" s="72"/>
      <c r="AU362" s="73"/>
      <c r="AW362" s="71"/>
      <c r="AX362" s="71"/>
      <c r="AY362" s="71"/>
      <c r="AZ362" s="72"/>
      <c r="BA362" s="73"/>
    </row>
    <row r="363" spans="1:53" s="4" customFormat="1" ht="17.100000000000001" customHeight="1" x14ac:dyDescent="0.25">
      <c r="A363" s="40"/>
      <c r="B363" s="40"/>
      <c r="C363" s="74" t="s">
        <v>454</v>
      </c>
      <c r="D363" s="85" t="s">
        <v>173</v>
      </c>
      <c r="E363" s="542"/>
      <c r="F363" s="542"/>
      <c r="G363" s="542"/>
      <c r="H363" s="540"/>
      <c r="I363" s="235"/>
      <c r="J363" s="581"/>
      <c r="K363" s="581"/>
      <c r="L363" s="582"/>
      <c r="M363" s="593"/>
      <c r="N363" s="111"/>
      <c r="O363" s="111"/>
      <c r="P363" s="111"/>
      <c r="Q363" s="111"/>
      <c r="R363" s="111"/>
      <c r="S363" s="111"/>
      <c r="T363" s="111"/>
      <c r="U363" s="111"/>
      <c r="V363" s="358"/>
      <c r="W363" s="391">
        <f t="shared" ref="W363:W364" si="409">J363+K363+N363+Q363+T363</f>
        <v>0</v>
      </c>
      <c r="X363" s="17">
        <f t="shared" ref="X363:X364" si="410">L363+O363+R363+U363</f>
        <v>0</v>
      </c>
      <c r="Y363" s="18">
        <f>SUM(W363:X363)</f>
        <v>0</v>
      </c>
      <c r="Z363" s="19">
        <f>IF(Y$370=0,0,Y363/Y$370)</f>
        <v>0</v>
      </c>
      <c r="AA363" s="19"/>
      <c r="AB363" s="19"/>
      <c r="AC363" s="20"/>
      <c r="AE363" s="17"/>
      <c r="AF363" s="17"/>
      <c r="AG363" s="17"/>
      <c r="AH363" s="18">
        <f>J363</f>
        <v>0</v>
      </c>
      <c r="AI363" s="19">
        <f>IF(AH$370=0,0,AH363/AH$370)</f>
        <v>0</v>
      </c>
      <c r="AJ363" s="97"/>
      <c r="AK363" s="17"/>
      <c r="AL363" s="17"/>
      <c r="AM363" s="17"/>
      <c r="AN363" s="18">
        <f>K363</f>
        <v>0</v>
      </c>
      <c r="AO363" s="19">
        <f>IF(AN$370=0,0,AN363/AN$370)</f>
        <v>0</v>
      </c>
      <c r="AP363" s="97"/>
      <c r="AQ363" s="17"/>
      <c r="AR363" s="17"/>
      <c r="AS363" s="17"/>
      <c r="AT363" s="18">
        <f>W363</f>
        <v>0</v>
      </c>
      <c r="AU363" s="19">
        <f>IF(AT$370=0,0,AT363/AT$370)</f>
        <v>0</v>
      </c>
      <c r="AV363" s="97"/>
      <c r="AW363" s="17"/>
      <c r="AX363" s="17"/>
      <c r="AY363" s="17"/>
      <c r="AZ363" s="18">
        <f>X363</f>
        <v>0</v>
      </c>
      <c r="BA363" s="19">
        <f>IF(AZ$370=0,0,AZ363/AZ$370)</f>
        <v>0</v>
      </c>
    </row>
    <row r="364" spans="1:53" s="4" customFormat="1" ht="17.100000000000001" customHeight="1" x14ac:dyDescent="0.25">
      <c r="A364" s="40"/>
      <c r="B364" s="40"/>
      <c r="C364" s="74" t="s">
        <v>455</v>
      </c>
      <c r="D364" s="85" t="s">
        <v>544</v>
      </c>
      <c r="E364" s="542"/>
      <c r="F364" s="542"/>
      <c r="G364" s="542"/>
      <c r="H364" s="540"/>
      <c r="I364" s="235"/>
      <c r="J364" s="583"/>
      <c r="K364" s="583"/>
      <c r="L364" s="584"/>
      <c r="M364" s="593"/>
      <c r="N364" s="111"/>
      <c r="O364" s="111"/>
      <c r="P364" s="111"/>
      <c r="Q364" s="111"/>
      <c r="R364" s="111"/>
      <c r="S364" s="111"/>
      <c r="T364" s="111"/>
      <c r="U364" s="111"/>
      <c r="V364" s="358"/>
      <c r="W364" s="391">
        <f t="shared" si="409"/>
        <v>0</v>
      </c>
      <c r="X364" s="17">
        <f t="shared" si="410"/>
        <v>0</v>
      </c>
      <c r="Y364" s="18">
        <f>SUM(W364:X364)</f>
        <v>0</v>
      </c>
      <c r="Z364" s="19">
        <f>IF(Y$370=0,0,Y364/Y$370)</f>
        <v>0</v>
      </c>
      <c r="AA364" s="19"/>
      <c r="AB364" s="19"/>
      <c r="AC364" s="20"/>
      <c r="AE364" s="17"/>
      <c r="AF364" s="17"/>
      <c r="AG364" s="17"/>
      <c r="AH364" s="18">
        <f t="shared" ref="AH364" si="411">J364</f>
        <v>0</v>
      </c>
      <c r="AI364" s="19">
        <f>IF(AH$370=0,0,AH364/AH$370)</f>
        <v>0</v>
      </c>
      <c r="AJ364" s="97"/>
      <c r="AK364" s="17"/>
      <c r="AL364" s="17"/>
      <c r="AM364" s="17"/>
      <c r="AN364" s="18">
        <f t="shared" ref="AN364" si="412">K364</f>
        <v>0</v>
      </c>
      <c r="AO364" s="19">
        <f>IF(AN$370=0,0,AN364/AN$370)</f>
        <v>0</v>
      </c>
      <c r="AP364" s="97"/>
      <c r="AQ364" s="17"/>
      <c r="AR364" s="17"/>
      <c r="AS364" s="17"/>
      <c r="AT364" s="18">
        <f t="shared" ref="AT364" si="413">W364</f>
        <v>0</v>
      </c>
      <c r="AU364" s="19">
        <f>IF(AT$370=0,0,AT364/AT$370)</f>
        <v>0</v>
      </c>
      <c r="AV364" s="97"/>
      <c r="AW364" s="17"/>
      <c r="AX364" s="17"/>
      <c r="AY364" s="17"/>
      <c r="AZ364" s="18">
        <f>X364</f>
        <v>0</v>
      </c>
      <c r="BA364" s="19">
        <f>IF(AZ$370=0,0,AZ364/AZ$370)</f>
        <v>0</v>
      </c>
    </row>
    <row r="365" spans="1:53" s="4" customFormat="1" ht="17.100000000000001" customHeight="1" x14ac:dyDescent="0.25">
      <c r="A365" s="40"/>
      <c r="B365" s="40"/>
      <c r="C365" s="74" t="s">
        <v>456</v>
      </c>
      <c r="D365" s="146" t="s">
        <v>484</v>
      </c>
      <c r="E365" s="542"/>
      <c r="F365" s="542"/>
      <c r="G365" s="542"/>
      <c r="H365" s="540"/>
      <c r="I365" s="235"/>
      <c r="J365" s="581"/>
      <c r="K365" s="581"/>
      <c r="L365" s="582"/>
      <c r="M365" s="593"/>
      <c r="N365" s="111"/>
      <c r="O365" s="111"/>
      <c r="P365" s="111"/>
      <c r="Q365" s="111"/>
      <c r="R365" s="111"/>
      <c r="S365" s="111"/>
      <c r="T365" s="111"/>
      <c r="U365" s="111"/>
      <c r="V365" s="358"/>
      <c r="W365" s="391">
        <f>MIN(J365:K365)</f>
        <v>0</v>
      </c>
      <c r="X365" s="17">
        <f>L365</f>
        <v>0</v>
      </c>
      <c r="Y365" s="18"/>
      <c r="Z365" s="19"/>
      <c r="AA365" s="17">
        <f>MIN(J365:L365)</f>
        <v>0</v>
      </c>
      <c r="AB365" s="17"/>
      <c r="AC365" s="17"/>
      <c r="AE365" s="17">
        <f>J365</f>
        <v>0</v>
      </c>
      <c r="AF365" s="17"/>
      <c r="AG365" s="17"/>
      <c r="AH365" s="18"/>
      <c r="AI365" s="19"/>
      <c r="AJ365" s="97"/>
      <c r="AK365" s="17">
        <f>K365</f>
        <v>0</v>
      </c>
      <c r="AL365" s="17"/>
      <c r="AM365" s="17"/>
      <c r="AN365" s="18"/>
      <c r="AO365" s="19"/>
      <c r="AP365" s="97"/>
      <c r="AQ365" s="17">
        <f>W365</f>
        <v>0</v>
      </c>
      <c r="AR365" s="17"/>
      <c r="AS365" s="17"/>
      <c r="AT365" s="18"/>
      <c r="AU365" s="19"/>
      <c r="AV365" s="97"/>
      <c r="AW365" s="17">
        <f>L365</f>
        <v>0</v>
      </c>
      <c r="AX365" s="17"/>
      <c r="AY365" s="17"/>
      <c r="AZ365" s="18"/>
      <c r="BA365" s="19"/>
    </row>
    <row r="366" spans="1:53" s="4" customFormat="1" ht="17.100000000000001" customHeight="1" x14ac:dyDescent="0.25">
      <c r="A366" s="40"/>
      <c r="B366" s="40"/>
      <c r="C366" s="74" t="s">
        <v>546</v>
      </c>
      <c r="D366" s="146" t="s">
        <v>485</v>
      </c>
      <c r="E366" s="542"/>
      <c r="F366" s="542"/>
      <c r="G366" s="542"/>
      <c r="H366" s="540"/>
      <c r="I366" s="235"/>
      <c r="J366" s="583"/>
      <c r="K366" s="583"/>
      <c r="L366" s="584"/>
      <c r="M366" s="593"/>
      <c r="N366" s="111"/>
      <c r="O366" s="111"/>
      <c r="P366" s="111"/>
      <c r="Q366" s="111"/>
      <c r="R366" s="111"/>
      <c r="S366" s="111"/>
      <c r="T366" s="111"/>
      <c r="U366" s="111"/>
      <c r="V366" s="358"/>
      <c r="W366" s="391">
        <f>MAX(J366:K366)</f>
        <v>0</v>
      </c>
      <c r="X366" s="17">
        <f t="shared" ref="X366:X367" si="414">L366</f>
        <v>0</v>
      </c>
      <c r="Y366" s="18"/>
      <c r="Z366" s="19"/>
      <c r="AA366" s="17"/>
      <c r="AB366" s="17">
        <f>MAX(J366:L366)</f>
        <v>0</v>
      </c>
      <c r="AC366" s="17"/>
      <c r="AE366" s="17"/>
      <c r="AF366" s="17">
        <f>J366</f>
        <v>0</v>
      </c>
      <c r="AG366" s="17"/>
      <c r="AH366" s="18"/>
      <c r="AI366" s="19"/>
      <c r="AJ366" s="97"/>
      <c r="AK366" s="17"/>
      <c r="AL366" s="17">
        <f>K366</f>
        <v>0</v>
      </c>
      <c r="AM366" s="17"/>
      <c r="AN366" s="18"/>
      <c r="AO366" s="19"/>
      <c r="AP366" s="97"/>
      <c r="AQ366" s="17"/>
      <c r="AR366" s="17">
        <f>W366</f>
        <v>0</v>
      </c>
      <c r="AS366" s="17"/>
      <c r="AT366" s="18"/>
      <c r="AU366" s="19"/>
      <c r="AV366" s="97"/>
      <c r="AW366" s="17"/>
      <c r="AX366" s="17">
        <f>L366</f>
        <v>0</v>
      </c>
      <c r="AY366" s="17"/>
      <c r="AZ366" s="18"/>
      <c r="BA366" s="19"/>
    </row>
    <row r="367" spans="1:53" s="4" customFormat="1" ht="17.100000000000001" customHeight="1" x14ac:dyDescent="0.25">
      <c r="A367" s="40"/>
      <c r="B367" s="40"/>
      <c r="C367" s="74" t="s">
        <v>547</v>
      </c>
      <c r="D367" s="146" t="s">
        <v>543</v>
      </c>
      <c r="E367" s="542"/>
      <c r="F367" s="542"/>
      <c r="G367" s="542"/>
      <c r="H367" s="540"/>
      <c r="I367" s="235"/>
      <c r="J367" s="581"/>
      <c r="K367" s="581"/>
      <c r="L367" s="582"/>
      <c r="M367" s="593"/>
      <c r="N367" s="111"/>
      <c r="O367" s="111"/>
      <c r="P367" s="111"/>
      <c r="Q367" s="111"/>
      <c r="R367" s="111"/>
      <c r="S367" s="111"/>
      <c r="T367" s="111"/>
      <c r="U367" s="111"/>
      <c r="V367" s="358"/>
      <c r="W367" s="391">
        <f>IF(SUM(J367:K367)=0,0,AVERAGE(J367:K367))</f>
        <v>0</v>
      </c>
      <c r="X367" s="17">
        <f t="shared" si="414"/>
        <v>0</v>
      </c>
      <c r="Y367" s="18"/>
      <c r="Z367" s="19"/>
      <c r="AA367" s="17"/>
      <c r="AB367" s="17"/>
      <c r="AC367" s="17">
        <f>IF(SUM(J367:L367)=0,0,AVERAGE(J367:L367))</f>
        <v>0</v>
      </c>
      <c r="AE367" s="17"/>
      <c r="AF367" s="17"/>
      <c r="AG367" s="17">
        <f>J367</f>
        <v>0</v>
      </c>
      <c r="AH367" s="18"/>
      <c r="AI367" s="19"/>
      <c r="AJ367" s="97"/>
      <c r="AK367" s="17"/>
      <c r="AL367" s="17"/>
      <c r="AM367" s="17">
        <f>K367</f>
        <v>0</v>
      </c>
      <c r="AN367" s="18"/>
      <c r="AO367" s="19"/>
      <c r="AP367" s="97"/>
      <c r="AQ367" s="17"/>
      <c r="AR367" s="17"/>
      <c r="AS367" s="17">
        <f>W367</f>
        <v>0</v>
      </c>
      <c r="AT367" s="18"/>
      <c r="AU367" s="19"/>
      <c r="AV367" s="97"/>
      <c r="AW367" s="17"/>
      <c r="AX367" s="17"/>
      <c r="AY367" s="17">
        <f>L367</f>
        <v>0</v>
      </c>
      <c r="AZ367" s="18"/>
      <c r="BA367" s="19"/>
    </row>
    <row r="368" spans="1:53" s="4" customFormat="1" ht="17.100000000000001" customHeight="1" x14ac:dyDescent="0.25">
      <c r="A368" s="40"/>
      <c r="B368" s="40"/>
      <c r="C368" s="74" t="s">
        <v>548</v>
      </c>
      <c r="D368" s="75" t="s">
        <v>129</v>
      </c>
      <c r="E368" s="542"/>
      <c r="F368" s="542"/>
      <c r="G368" s="542"/>
      <c r="H368" s="540"/>
      <c r="I368" s="235"/>
      <c r="J368" s="583"/>
      <c r="K368" s="583"/>
      <c r="L368" s="584"/>
      <c r="M368" s="593"/>
      <c r="N368" s="111"/>
      <c r="O368" s="111"/>
      <c r="P368" s="111"/>
      <c r="Q368" s="111"/>
      <c r="R368" s="111"/>
      <c r="S368" s="111"/>
      <c r="T368" s="111"/>
      <c r="U368" s="111"/>
      <c r="V368" s="358"/>
      <c r="W368" s="391">
        <f t="shared" ref="W368:W369" si="415">J368+K368+N368+Q368+T368</f>
        <v>0</v>
      </c>
      <c r="X368" s="17">
        <f t="shared" ref="X368:X369" si="416">L368+O368+R368+U368</f>
        <v>0</v>
      </c>
      <c r="Y368" s="18">
        <f>SUM(W368:X368)</f>
        <v>0</v>
      </c>
      <c r="Z368" s="19">
        <f>IF(Y$370=0,0,Y368/Y$370)</f>
        <v>0</v>
      </c>
      <c r="AA368" s="19"/>
      <c r="AB368" s="19"/>
      <c r="AC368" s="20"/>
      <c r="AE368" s="17"/>
      <c r="AF368" s="17"/>
      <c r="AG368" s="17"/>
      <c r="AH368" s="18">
        <f t="shared" ref="AH368:AH369" si="417">J368</f>
        <v>0</v>
      </c>
      <c r="AI368" s="19">
        <f>IF(AH$370=0,0,AH368/AH$370)</f>
        <v>0</v>
      </c>
      <c r="AJ368" s="97"/>
      <c r="AK368" s="17"/>
      <c r="AL368" s="17"/>
      <c r="AM368" s="17"/>
      <c r="AN368" s="18">
        <f t="shared" ref="AN368:AN369" si="418">K368</f>
        <v>0</v>
      </c>
      <c r="AO368" s="19">
        <f>IF(AN$370=0,0,AN368/AN$370)</f>
        <v>0</v>
      </c>
      <c r="AP368" s="97"/>
      <c r="AQ368" s="17"/>
      <c r="AR368" s="17"/>
      <c r="AS368" s="17"/>
      <c r="AT368" s="18">
        <f t="shared" ref="AT368:AT369" si="419">W368</f>
        <v>0</v>
      </c>
      <c r="AU368" s="19">
        <f>IF(AT$370=0,0,AT368/AT$370)</f>
        <v>0</v>
      </c>
      <c r="AV368" s="97"/>
      <c r="AW368" s="17"/>
      <c r="AX368" s="17"/>
      <c r="AY368" s="17"/>
      <c r="AZ368" s="18">
        <f>X368</f>
        <v>0</v>
      </c>
      <c r="BA368" s="19">
        <f>IF(AZ$370=0,0,AZ368/AZ$370)</f>
        <v>0</v>
      </c>
    </row>
    <row r="369" spans="1:53" s="4" customFormat="1" ht="17.100000000000001" customHeight="1" x14ac:dyDescent="0.25">
      <c r="A369" s="40"/>
      <c r="B369" s="40"/>
      <c r="C369" s="74" t="s">
        <v>549</v>
      </c>
      <c r="D369" s="75" t="s">
        <v>530</v>
      </c>
      <c r="E369" s="542"/>
      <c r="F369" s="542"/>
      <c r="G369" s="542"/>
      <c r="H369" s="540"/>
      <c r="I369" s="235"/>
      <c r="J369" s="581"/>
      <c r="K369" s="581"/>
      <c r="L369" s="582"/>
      <c r="M369" s="593"/>
      <c r="N369" s="111"/>
      <c r="O369" s="111"/>
      <c r="P369" s="111"/>
      <c r="Q369" s="111"/>
      <c r="R369" s="111"/>
      <c r="S369" s="111"/>
      <c r="T369" s="111"/>
      <c r="U369" s="111"/>
      <c r="V369" s="358"/>
      <c r="W369" s="391">
        <f t="shared" si="415"/>
        <v>0</v>
      </c>
      <c r="X369" s="17">
        <f t="shared" si="416"/>
        <v>0</v>
      </c>
      <c r="Y369" s="18">
        <f>SUM(W369:X369)</f>
        <v>0</v>
      </c>
      <c r="Z369" s="19">
        <f>IF(Y$370=0,0,Y369/Y$370)</f>
        <v>0</v>
      </c>
      <c r="AA369" s="19"/>
      <c r="AB369" s="19"/>
      <c r="AC369" s="20"/>
      <c r="AE369" s="17"/>
      <c r="AF369" s="17"/>
      <c r="AG369" s="17"/>
      <c r="AH369" s="18">
        <f t="shared" si="417"/>
        <v>0</v>
      </c>
      <c r="AI369" s="19">
        <f>IF(AH$370=0,0,AH369/AH$370)</f>
        <v>0</v>
      </c>
      <c r="AJ369" s="97"/>
      <c r="AK369" s="17"/>
      <c r="AL369" s="17"/>
      <c r="AM369" s="17"/>
      <c r="AN369" s="18">
        <f t="shared" si="418"/>
        <v>0</v>
      </c>
      <c r="AO369" s="19">
        <f>IF(AN$370=0,0,AN369/AN$370)</f>
        <v>0</v>
      </c>
      <c r="AP369" s="97"/>
      <c r="AQ369" s="17"/>
      <c r="AR369" s="17"/>
      <c r="AS369" s="17"/>
      <c r="AT369" s="18">
        <f t="shared" si="419"/>
        <v>0</v>
      </c>
      <c r="AU369" s="19">
        <f>IF(AT$370=0,0,AT369/AT$370)</f>
        <v>0</v>
      </c>
      <c r="AV369" s="97"/>
      <c r="AW369" s="17"/>
      <c r="AX369" s="17"/>
      <c r="AY369" s="17"/>
      <c r="AZ369" s="18">
        <f>X369</f>
        <v>0</v>
      </c>
      <c r="BA369" s="19">
        <f>IF(AZ$370=0,0,AZ369/AZ$370)</f>
        <v>0</v>
      </c>
    </row>
    <row r="370" spans="1:53" s="4" customFormat="1" ht="17.100000000000001" customHeight="1" x14ac:dyDescent="0.25">
      <c r="A370" s="40"/>
      <c r="B370" s="40"/>
      <c r="C370" s="77"/>
      <c r="D370" s="134"/>
      <c r="E370" s="134"/>
      <c r="F370" s="134"/>
      <c r="G370" s="134"/>
      <c r="H370" s="540"/>
      <c r="I370" s="229"/>
      <c r="J370" s="80">
        <f>J363+J364+J368+J369</f>
        <v>0</v>
      </c>
      <c r="K370" s="80">
        <f t="shared" ref="K370:M370" si="420">K363+K364+K368+K369</f>
        <v>0</v>
      </c>
      <c r="L370" s="80">
        <f t="shared" si="420"/>
        <v>0</v>
      </c>
      <c r="M370" s="80">
        <f t="shared" si="420"/>
        <v>0</v>
      </c>
      <c r="N370" s="81"/>
      <c r="O370" s="81"/>
      <c r="P370" s="81"/>
      <c r="Q370" s="81"/>
      <c r="R370" s="81"/>
      <c r="S370" s="81"/>
      <c r="T370" s="81"/>
      <c r="U370" s="81"/>
      <c r="V370" s="356"/>
      <c r="W370" s="381">
        <f>W363+W364+W368+W369</f>
        <v>0</v>
      </c>
      <c r="X370" s="82">
        <f>X363+X364+X368+X369</f>
        <v>0</v>
      </c>
      <c r="Y370" s="82">
        <f t="shared" ref="Y370" si="421">SUM(Y363:Y369)</f>
        <v>0</v>
      </c>
      <c r="Z370" s="205">
        <f>IF(Y$370=0,0,Y370/Y$370)</f>
        <v>0</v>
      </c>
      <c r="AA370" s="205"/>
      <c r="AB370" s="205"/>
      <c r="AC370" s="83"/>
      <c r="AE370" s="80"/>
      <c r="AF370" s="80"/>
      <c r="AG370" s="81"/>
      <c r="AH370" s="82">
        <f>SUM(AH363:AH369)</f>
        <v>0</v>
      </c>
      <c r="AI370" s="66">
        <f>IF(AH$370=0,0,AH370/AH$370)</f>
        <v>0</v>
      </c>
      <c r="AJ370" s="97"/>
      <c r="AK370" s="80"/>
      <c r="AL370" s="80"/>
      <c r="AM370" s="81"/>
      <c r="AN370" s="82">
        <f>SUM(AN363:AN369)</f>
        <v>0</v>
      </c>
      <c r="AO370" s="66">
        <f>IF(AN$370=0,0,AN370/AN$370)</f>
        <v>0</v>
      </c>
      <c r="AP370" s="97"/>
      <c r="AQ370" s="80"/>
      <c r="AR370" s="80"/>
      <c r="AS370" s="81"/>
      <c r="AT370" s="82">
        <f>SUM(AT363:AT369)</f>
        <v>0</v>
      </c>
      <c r="AU370" s="66">
        <f>IF(AT$370=0,0,AT370/AT$370)</f>
        <v>0</v>
      </c>
      <c r="AV370" s="97"/>
      <c r="AW370" s="80"/>
      <c r="AX370" s="80"/>
      <c r="AY370" s="81"/>
      <c r="AZ370" s="82">
        <f>SUM(AZ363:AZ369)</f>
        <v>0</v>
      </c>
      <c r="BA370" s="66">
        <f>IF(AZ$370=0,0,AZ370/AZ$370)</f>
        <v>0</v>
      </c>
    </row>
    <row r="371" spans="1:53" s="117" customFormat="1" ht="17.100000000000001" customHeight="1" x14ac:dyDescent="0.25">
      <c r="A371" s="68"/>
      <c r="B371" s="119"/>
      <c r="C371" s="540"/>
      <c r="D371" s="261"/>
      <c r="E371" s="261"/>
      <c r="F371" s="68"/>
      <c r="G371" s="68"/>
      <c r="H371" s="119"/>
      <c r="I371" s="138"/>
      <c r="J371" s="17" t="str">
        <f>IF(J370=J$357,"OK","NOK")</f>
        <v>OK</v>
      </c>
      <c r="K371" s="17" t="str">
        <f t="shared" ref="K371:L371" si="422">IF(K370=K$357,"OK","NOK")</f>
        <v>OK</v>
      </c>
      <c r="L371" s="17" t="str">
        <f t="shared" si="422"/>
        <v>OK</v>
      </c>
      <c r="M371" s="17"/>
      <c r="N371" s="17"/>
      <c r="O371" s="17"/>
      <c r="P371" s="17"/>
      <c r="Q371" s="17"/>
      <c r="R371" s="17"/>
      <c r="S371" s="17"/>
      <c r="T371" s="17"/>
      <c r="U371" s="17"/>
      <c r="V371" s="359"/>
      <c r="W371" s="382"/>
      <c r="X371" s="539"/>
      <c r="Y371" s="539"/>
      <c r="Z371" s="19"/>
      <c r="AA371" s="201"/>
      <c r="AB371" s="201"/>
      <c r="AC371" s="84"/>
      <c r="AE371" s="46"/>
      <c r="AF371" s="46"/>
      <c r="AG371" s="17"/>
      <c r="AH371" s="539"/>
      <c r="AI371" s="91"/>
      <c r="AK371" s="46"/>
      <c r="AL371" s="46"/>
      <c r="AM371" s="17"/>
      <c r="AN371" s="539"/>
      <c r="AO371" s="91"/>
      <c r="AQ371" s="46"/>
      <c r="AR371" s="46"/>
      <c r="AS371" s="17"/>
      <c r="AT371" s="539"/>
      <c r="AU371" s="91"/>
      <c r="AW371" s="46"/>
      <c r="AX371" s="46"/>
      <c r="AY371" s="17"/>
      <c r="AZ371" s="539"/>
      <c r="BA371" s="91"/>
    </row>
    <row r="372" spans="1:53" ht="17.100000000000001" customHeight="1" x14ac:dyDescent="0.25">
      <c r="A372" s="68"/>
      <c r="B372" s="41" t="s">
        <v>1058</v>
      </c>
      <c r="C372" s="69" t="s">
        <v>12</v>
      </c>
      <c r="D372" s="50"/>
      <c r="E372" s="70"/>
      <c r="F372" s="70"/>
      <c r="G372" s="70"/>
      <c r="H372" s="119"/>
      <c r="J372" s="71"/>
      <c r="K372" s="71"/>
      <c r="L372" s="71"/>
      <c r="M372" s="71"/>
      <c r="N372" s="71"/>
      <c r="O372" s="71"/>
      <c r="P372" s="71"/>
      <c r="Q372" s="71"/>
      <c r="R372" s="71"/>
      <c r="S372" s="71"/>
      <c r="T372" s="71"/>
      <c r="U372" s="71"/>
      <c r="V372" s="355"/>
      <c r="W372" s="377"/>
      <c r="X372" s="71"/>
      <c r="Y372" s="72"/>
      <c r="Z372" s="73"/>
      <c r="AA372" s="73"/>
      <c r="AB372" s="73"/>
      <c r="AC372" s="73"/>
      <c r="AE372" s="71"/>
      <c r="AF372" s="71"/>
      <c r="AG372" s="71"/>
      <c r="AH372" s="72"/>
      <c r="AI372" s="73"/>
      <c r="AK372" s="71"/>
      <c r="AL372" s="71"/>
      <c r="AM372" s="71"/>
      <c r="AN372" s="72"/>
      <c r="AO372" s="73"/>
      <c r="AQ372" s="71"/>
      <c r="AR372" s="71"/>
      <c r="AS372" s="71"/>
      <c r="AT372" s="72"/>
      <c r="AU372" s="73"/>
      <c r="AW372" s="71"/>
      <c r="AX372" s="71"/>
      <c r="AY372" s="71"/>
      <c r="AZ372" s="72"/>
      <c r="BA372" s="73"/>
    </row>
    <row r="373" spans="1:53" s="97" customFormat="1" ht="17.100000000000001" customHeight="1" x14ac:dyDescent="0.25">
      <c r="A373" s="138"/>
      <c r="B373" s="138"/>
      <c r="C373" s="139"/>
      <c r="D373" s="12"/>
      <c r="E373" s="12"/>
      <c r="F373" s="93"/>
      <c r="G373" s="93"/>
      <c r="H373" s="92"/>
      <c r="I373" s="12"/>
      <c r="J373" s="95"/>
      <c r="K373" s="95"/>
      <c r="L373" s="95"/>
      <c r="M373" s="95"/>
      <c r="N373" s="95"/>
      <c r="O373" s="95"/>
      <c r="P373" s="95"/>
      <c r="Q373" s="95"/>
      <c r="R373" s="95"/>
      <c r="S373" s="95"/>
      <c r="T373" s="95"/>
      <c r="U373" s="95"/>
      <c r="V373" s="95"/>
      <c r="W373" s="378"/>
      <c r="X373" s="95"/>
      <c r="Y373" s="96"/>
      <c r="AE373" s="109"/>
      <c r="AF373" s="109"/>
      <c r="AG373" s="109"/>
      <c r="AH373" s="96"/>
      <c r="AK373" s="109"/>
      <c r="AL373" s="109"/>
      <c r="AM373" s="109"/>
      <c r="AN373" s="96"/>
      <c r="AQ373" s="109"/>
      <c r="AR373" s="109"/>
      <c r="AS373" s="109"/>
      <c r="AT373" s="96"/>
      <c r="AW373" s="109"/>
      <c r="AX373" s="109"/>
      <c r="AY373" s="109"/>
      <c r="AZ373" s="96"/>
    </row>
    <row r="374" spans="1:53" s="32" customFormat="1" ht="16.5" thickBot="1" x14ac:dyDescent="0.3">
      <c r="A374" s="24" t="s">
        <v>183</v>
      </c>
      <c r="B374" s="25" t="s">
        <v>184</v>
      </c>
      <c r="C374" s="26"/>
      <c r="D374" s="27"/>
      <c r="E374" s="27"/>
      <c r="F374" s="27"/>
      <c r="G374" s="27"/>
      <c r="H374" s="266"/>
      <c r="I374" s="228"/>
      <c r="J374" s="140"/>
      <c r="K374" s="140"/>
      <c r="L374" s="140"/>
      <c r="M374" s="140"/>
      <c r="N374" s="140"/>
      <c r="O374" s="140"/>
      <c r="P374" s="140"/>
      <c r="Q374" s="140"/>
      <c r="R374" s="140"/>
      <c r="S374" s="140"/>
      <c r="T374" s="140"/>
      <c r="U374" s="140"/>
      <c r="V374" s="365"/>
      <c r="W374" s="379"/>
      <c r="X374" s="140"/>
      <c r="Y374" s="30" t="s">
        <v>4</v>
      </c>
      <c r="Z374" s="30" t="s">
        <v>5</v>
      </c>
      <c r="AA374" s="30"/>
      <c r="AB374" s="30"/>
      <c r="AC374" s="29"/>
      <c r="AE374" s="33" t="s">
        <v>181</v>
      </c>
      <c r="AF374" s="33" t="s">
        <v>182</v>
      </c>
      <c r="AG374" s="33" t="s">
        <v>6</v>
      </c>
      <c r="AH374" s="33" t="s">
        <v>4</v>
      </c>
      <c r="AI374" s="34" t="s">
        <v>5</v>
      </c>
      <c r="AJ374" s="408"/>
      <c r="AK374" s="36" t="s">
        <v>181</v>
      </c>
      <c r="AL374" s="36" t="s">
        <v>182</v>
      </c>
      <c r="AM374" s="36" t="s">
        <v>6</v>
      </c>
      <c r="AN374" s="36" t="s">
        <v>4</v>
      </c>
      <c r="AO374" s="37" t="s">
        <v>5</v>
      </c>
      <c r="AP374" s="408"/>
      <c r="AQ374" s="36"/>
      <c r="AR374" s="36"/>
      <c r="AS374" s="36"/>
      <c r="AT374" s="36"/>
      <c r="AU374" s="37"/>
      <c r="AV374" s="408"/>
      <c r="AW374" s="38" t="s">
        <v>181</v>
      </c>
      <c r="AX374" s="38" t="s">
        <v>182</v>
      </c>
      <c r="AY374" s="38" t="s">
        <v>6</v>
      </c>
      <c r="AZ374" s="38" t="s">
        <v>4</v>
      </c>
      <c r="BA374" s="39" t="s">
        <v>5</v>
      </c>
    </row>
    <row r="375" spans="1:53" ht="17.100000000000001" customHeight="1" x14ac:dyDescent="0.25">
      <c r="A375" s="68"/>
      <c r="B375" s="41" t="s">
        <v>185</v>
      </c>
      <c r="C375" s="69" t="s">
        <v>186</v>
      </c>
      <c r="D375" s="50"/>
      <c r="E375" s="70"/>
      <c r="F375" s="265"/>
      <c r="G375" s="265"/>
      <c r="H375" s="253"/>
      <c r="J375" s="71"/>
      <c r="K375" s="71"/>
      <c r="L375" s="71"/>
      <c r="M375" s="71"/>
      <c r="N375" s="71"/>
      <c r="O375" s="71"/>
      <c r="P375" s="71"/>
      <c r="Q375" s="71"/>
      <c r="R375" s="71"/>
      <c r="S375" s="71"/>
      <c r="T375" s="71"/>
      <c r="U375" s="71"/>
      <c r="V375" s="355"/>
      <c r="W375" s="377"/>
      <c r="X375" s="71"/>
      <c r="Y375" s="72"/>
      <c r="Z375" s="73"/>
      <c r="AA375" s="73"/>
      <c r="AB375" s="73"/>
      <c r="AC375" s="73"/>
      <c r="AE375" s="71"/>
      <c r="AF375" s="71"/>
      <c r="AG375" s="71"/>
      <c r="AH375" s="72"/>
      <c r="AI375" s="73"/>
      <c r="AK375" s="71"/>
      <c r="AL375" s="71"/>
      <c r="AM375" s="71"/>
      <c r="AN375" s="72"/>
      <c r="AO375" s="73"/>
      <c r="AQ375" s="71"/>
      <c r="AR375" s="71"/>
      <c r="AS375" s="71"/>
      <c r="AT375" s="72"/>
      <c r="AU375" s="73"/>
      <c r="AW375" s="71"/>
      <c r="AX375" s="71"/>
      <c r="AY375" s="71"/>
      <c r="AZ375" s="72"/>
      <c r="BA375" s="73"/>
    </row>
    <row r="376" spans="1:53" ht="17.100000000000001" customHeight="1" x14ac:dyDescent="0.25">
      <c r="A376" s="40"/>
      <c r="B376" s="40"/>
      <c r="C376" s="74" t="s">
        <v>187</v>
      </c>
      <c r="D376" s="75" t="s">
        <v>129</v>
      </c>
      <c r="E376" s="105"/>
      <c r="F376" s="105"/>
      <c r="G376" s="105"/>
      <c r="H376" s="119"/>
      <c r="I376" s="231"/>
      <c r="J376" s="111"/>
      <c r="K376" s="111"/>
      <c r="L376" s="111"/>
      <c r="M376" s="111"/>
      <c r="N376" s="60"/>
      <c r="O376" s="60"/>
      <c r="P376" s="17">
        <f>SUM(N376:O376)</f>
        <v>0</v>
      </c>
      <c r="Q376" s="60"/>
      <c r="R376" s="60"/>
      <c r="S376" s="17">
        <f>SUM(Q376:R376)</f>
        <v>0</v>
      </c>
      <c r="T376" s="60"/>
      <c r="U376" s="60"/>
      <c r="V376" s="359">
        <f>SUM(T376:U376)</f>
        <v>0</v>
      </c>
      <c r="W376" s="391">
        <f t="shared" ref="W376:W378" si="423">J376+K376+N376+Q376+T376</f>
        <v>0</v>
      </c>
      <c r="X376" s="17">
        <f t="shared" ref="X376:X378" si="424">L376+O376+R376+U376</f>
        <v>0</v>
      </c>
      <c r="Y376" s="18">
        <f>SUM(W376:X376)</f>
        <v>0</v>
      </c>
      <c r="Z376" s="19">
        <f>IF(Y$379=0,0,Y376/Y$379)</f>
        <v>0</v>
      </c>
      <c r="AA376" s="19"/>
      <c r="AB376" s="19"/>
      <c r="AC376" s="17"/>
      <c r="AE376" s="111"/>
      <c r="AF376" s="111"/>
      <c r="AG376" s="111"/>
      <c r="AH376" s="112"/>
      <c r="AI376" s="113"/>
      <c r="AK376" s="111"/>
      <c r="AL376" s="111"/>
      <c r="AM376" s="111"/>
      <c r="AN376" s="112"/>
      <c r="AO376" s="113"/>
      <c r="AQ376" s="17"/>
      <c r="AR376" s="17"/>
      <c r="AS376" s="17"/>
      <c r="AT376" s="18">
        <f t="shared" ref="AT376:AT378" si="425">W376</f>
        <v>0</v>
      </c>
      <c r="AU376" s="19">
        <f>IF(AT$379=0,0,AT376/AT$379)</f>
        <v>0</v>
      </c>
      <c r="AW376" s="17"/>
      <c r="AX376" s="17"/>
      <c r="AY376" s="17"/>
      <c r="AZ376" s="18">
        <f t="shared" ref="AZ376:AZ378" si="426">X376</f>
        <v>0</v>
      </c>
      <c r="BA376" s="19">
        <f>IF(AZ$379=0,0,AZ376/AZ$379)</f>
        <v>0</v>
      </c>
    </row>
    <row r="377" spans="1:53" ht="17.100000000000001" customHeight="1" x14ac:dyDescent="0.25">
      <c r="A377" s="40"/>
      <c r="B377" s="40"/>
      <c r="C377" s="74" t="s">
        <v>188</v>
      </c>
      <c r="D377" s="85" t="s">
        <v>189</v>
      </c>
      <c r="E377" s="75"/>
      <c r="F377" s="75"/>
      <c r="G377" s="75"/>
      <c r="H377" s="540"/>
      <c r="I377" s="229"/>
      <c r="J377" s="111"/>
      <c r="K377" s="111"/>
      <c r="L377" s="111"/>
      <c r="M377" s="111"/>
      <c r="N377" s="61"/>
      <c r="O377" s="61">
        <v>2</v>
      </c>
      <c r="P377" s="17">
        <f t="shared" ref="P377:P378" si="427">SUM(N377:O377)</f>
        <v>2</v>
      </c>
      <c r="Q377" s="61"/>
      <c r="R377" s="61">
        <v>2</v>
      </c>
      <c r="S377" s="17">
        <f t="shared" ref="S377:S378" si="428">SUM(Q377:R377)</f>
        <v>2</v>
      </c>
      <c r="T377" s="61"/>
      <c r="U377" s="61">
        <v>10</v>
      </c>
      <c r="V377" s="359">
        <f t="shared" ref="V377:V378" si="429">SUM(T377:U377)</f>
        <v>10</v>
      </c>
      <c r="W377" s="391">
        <f t="shared" si="423"/>
        <v>0</v>
      </c>
      <c r="X377" s="17">
        <f t="shared" si="424"/>
        <v>14</v>
      </c>
      <c r="Y377" s="18">
        <f>SUM(W377:X377)</f>
        <v>14</v>
      </c>
      <c r="Z377" s="19">
        <f t="shared" ref="Z377:Z379" si="430">IF(Y$379=0,0,Y377/Y$379)</f>
        <v>0.66666666666666663</v>
      </c>
      <c r="AA377" s="19"/>
      <c r="AB377" s="19"/>
      <c r="AC377" s="17"/>
      <c r="AE377" s="111"/>
      <c r="AF377" s="111"/>
      <c r="AG377" s="111"/>
      <c r="AH377" s="112"/>
      <c r="AI377" s="113"/>
      <c r="AK377" s="111"/>
      <c r="AL377" s="111"/>
      <c r="AM377" s="111"/>
      <c r="AN377" s="112"/>
      <c r="AO377" s="113"/>
      <c r="AQ377" s="17"/>
      <c r="AR377" s="17"/>
      <c r="AS377" s="17"/>
      <c r="AT377" s="18">
        <f t="shared" si="425"/>
        <v>0</v>
      </c>
      <c r="AU377" s="19">
        <f t="shared" ref="AU377:AU379" si="431">IF(AT$379=0,0,AT377/AT$379)</f>
        <v>0</v>
      </c>
      <c r="AW377" s="17"/>
      <c r="AX377" s="17"/>
      <c r="AY377" s="17"/>
      <c r="AZ377" s="18">
        <f t="shared" si="426"/>
        <v>14</v>
      </c>
      <c r="BA377" s="19">
        <f t="shared" ref="BA377:BA379" si="432">IF(AZ$379=0,0,AZ377/AZ$379)</f>
        <v>0.73684210526315785</v>
      </c>
    </row>
    <row r="378" spans="1:53" ht="17.100000000000001" customHeight="1" x14ac:dyDescent="0.25">
      <c r="A378" s="40"/>
      <c r="B378" s="40"/>
      <c r="C378" s="74" t="s">
        <v>190</v>
      </c>
      <c r="D378" s="146" t="s">
        <v>494</v>
      </c>
      <c r="E378" s="75"/>
      <c r="F378" s="75"/>
      <c r="G378" s="75"/>
      <c r="H378" s="540"/>
      <c r="I378" s="229"/>
      <c r="J378" s="111"/>
      <c r="K378" s="111"/>
      <c r="L378" s="111"/>
      <c r="M378" s="111"/>
      <c r="N378" s="60">
        <v>1</v>
      </c>
      <c r="O378" s="60">
        <v>3</v>
      </c>
      <c r="P378" s="17">
        <f t="shared" si="427"/>
        <v>4</v>
      </c>
      <c r="Q378" s="60">
        <v>1</v>
      </c>
      <c r="R378" s="60">
        <v>2</v>
      </c>
      <c r="S378" s="17">
        <f t="shared" si="428"/>
        <v>3</v>
      </c>
      <c r="T378" s="60"/>
      <c r="U378" s="60"/>
      <c r="V378" s="359">
        <f t="shared" si="429"/>
        <v>0</v>
      </c>
      <c r="W378" s="391">
        <f t="shared" si="423"/>
        <v>2</v>
      </c>
      <c r="X378" s="17">
        <f t="shared" si="424"/>
        <v>5</v>
      </c>
      <c r="Y378" s="18">
        <f>SUM(W378:X378)</f>
        <v>7</v>
      </c>
      <c r="Z378" s="19">
        <f t="shared" si="430"/>
        <v>0.33333333333333331</v>
      </c>
      <c r="AA378" s="19"/>
      <c r="AB378" s="19"/>
      <c r="AC378" s="17"/>
      <c r="AE378" s="111"/>
      <c r="AF378" s="111"/>
      <c r="AG378" s="111"/>
      <c r="AH378" s="112"/>
      <c r="AI378" s="113"/>
      <c r="AK378" s="111"/>
      <c r="AL378" s="111"/>
      <c r="AM378" s="111"/>
      <c r="AN378" s="112"/>
      <c r="AO378" s="113"/>
      <c r="AQ378" s="17"/>
      <c r="AR378" s="17"/>
      <c r="AS378" s="17"/>
      <c r="AT378" s="18">
        <f t="shared" si="425"/>
        <v>2</v>
      </c>
      <c r="AU378" s="19">
        <f t="shared" si="431"/>
        <v>1</v>
      </c>
      <c r="AW378" s="17"/>
      <c r="AX378" s="17"/>
      <c r="AY378" s="17"/>
      <c r="AZ378" s="18">
        <f t="shared" si="426"/>
        <v>5</v>
      </c>
      <c r="BA378" s="19">
        <f t="shared" si="432"/>
        <v>0.26315789473684209</v>
      </c>
    </row>
    <row r="379" spans="1:53" ht="17.100000000000001" customHeight="1" x14ac:dyDescent="0.25">
      <c r="A379" s="40"/>
      <c r="B379" s="40"/>
      <c r="C379" s="77"/>
      <c r="D379" s="134"/>
      <c r="E379" s="134"/>
      <c r="F379" s="134"/>
      <c r="G379" s="134"/>
      <c r="H379" s="540"/>
      <c r="I379" s="229"/>
      <c r="J379" s="64"/>
      <c r="K379" s="64"/>
      <c r="L379" s="81"/>
      <c r="M379" s="81"/>
      <c r="N379" s="81">
        <f>SUM(N376:N378)</f>
        <v>1</v>
      </c>
      <c r="O379" s="81">
        <f t="shared" ref="O379:V379" si="433">SUM(O376:O378)</f>
        <v>5</v>
      </c>
      <c r="P379" s="81">
        <f t="shared" si="433"/>
        <v>6</v>
      </c>
      <c r="Q379" s="81">
        <f t="shared" si="433"/>
        <v>1</v>
      </c>
      <c r="R379" s="81">
        <f t="shared" si="433"/>
        <v>4</v>
      </c>
      <c r="S379" s="81">
        <f t="shared" si="433"/>
        <v>5</v>
      </c>
      <c r="T379" s="81">
        <f t="shared" si="433"/>
        <v>0</v>
      </c>
      <c r="U379" s="81">
        <f t="shared" si="433"/>
        <v>10</v>
      </c>
      <c r="V379" s="81">
        <f t="shared" si="433"/>
        <v>10</v>
      </c>
      <c r="W379" s="381">
        <f>SUM(W376:W378)</f>
        <v>2</v>
      </c>
      <c r="X379" s="82">
        <f t="shared" ref="X379:Y379" si="434">SUM(X376:X378)</f>
        <v>19</v>
      </c>
      <c r="Y379" s="82">
        <f t="shared" si="434"/>
        <v>21</v>
      </c>
      <c r="Z379" s="205">
        <f t="shared" si="430"/>
        <v>1</v>
      </c>
      <c r="AA379" s="205"/>
      <c r="AB379" s="205"/>
      <c r="AC379" s="83"/>
      <c r="AE379" s="80"/>
      <c r="AF379" s="80"/>
      <c r="AG379" s="81"/>
      <c r="AH379" s="82"/>
      <c r="AI379" s="66"/>
      <c r="AK379" s="80"/>
      <c r="AL379" s="80"/>
      <c r="AM379" s="81"/>
      <c r="AN379" s="82"/>
      <c r="AO379" s="66"/>
      <c r="AQ379" s="80"/>
      <c r="AR379" s="80"/>
      <c r="AS379" s="81"/>
      <c r="AT379" s="82">
        <f>SUM(AT376:AT378)</f>
        <v>2</v>
      </c>
      <c r="AU379" s="66">
        <f t="shared" si="431"/>
        <v>1</v>
      </c>
      <c r="AW379" s="80"/>
      <c r="AX379" s="80"/>
      <c r="AY379" s="81"/>
      <c r="AZ379" s="82">
        <f>SUM(AZ376:AZ378)</f>
        <v>19</v>
      </c>
      <c r="BA379" s="66">
        <f t="shared" si="432"/>
        <v>1</v>
      </c>
    </row>
    <row r="380" spans="1:53" s="117" customFormat="1" ht="17.100000000000001" customHeight="1" x14ac:dyDescent="0.25">
      <c r="A380" s="68"/>
      <c r="B380" s="119"/>
      <c r="C380" s="540"/>
      <c r="D380" s="261"/>
      <c r="E380" s="261"/>
      <c r="F380" s="68"/>
      <c r="G380" s="68"/>
      <c r="H380" s="119"/>
      <c r="I380" s="138"/>
      <c r="J380" s="17"/>
      <c r="K380" s="17"/>
      <c r="L380" s="17"/>
      <c r="M380" s="17"/>
      <c r="N380" s="17" t="str">
        <f>IF(N379=N$20,"OK","NOK")</f>
        <v>OK</v>
      </c>
      <c r="O380" s="17" t="str">
        <f>IF(O379=O$20,"OK","NOK")</f>
        <v>OK</v>
      </c>
      <c r="P380" s="17"/>
      <c r="Q380" s="17" t="str">
        <f>IF(Q379=Q$20,"OK","NOK")</f>
        <v>OK</v>
      </c>
      <c r="R380" s="17" t="str">
        <f>IF(R379=R$20,"OK","NOK")</f>
        <v>OK</v>
      </c>
      <c r="S380" s="17"/>
      <c r="T380" s="17" t="str">
        <f>IF(T379=T$20,"OK","NOK")</f>
        <v>OK</v>
      </c>
      <c r="U380" s="17" t="str">
        <f>IF(U379=U$20,"OK","NOK")</f>
        <v>OK</v>
      </c>
      <c r="V380" s="359"/>
      <c r="W380" s="382"/>
      <c r="X380" s="539"/>
      <c r="Y380" s="539"/>
      <c r="Z380" s="201"/>
      <c r="AA380" s="201"/>
      <c r="AB380" s="201"/>
      <c r="AC380" s="84"/>
      <c r="AE380" s="46"/>
      <c r="AF380" s="46"/>
      <c r="AG380" s="17"/>
      <c r="AH380" s="539"/>
      <c r="AI380" s="91"/>
      <c r="AK380" s="46"/>
      <c r="AL380" s="46"/>
      <c r="AM380" s="17"/>
      <c r="AN380" s="539"/>
      <c r="AO380" s="91"/>
      <c r="AQ380" s="46"/>
      <c r="AR380" s="46"/>
      <c r="AS380" s="17"/>
      <c r="AT380" s="539"/>
      <c r="AU380" s="91"/>
      <c r="AW380" s="46"/>
      <c r="AX380" s="46"/>
      <c r="AY380" s="17"/>
      <c r="AZ380" s="539"/>
      <c r="BA380" s="91"/>
    </row>
    <row r="381" spans="1:53" ht="17.100000000000001" customHeight="1" x14ac:dyDescent="0.25">
      <c r="A381" s="40"/>
      <c r="B381" s="40"/>
      <c r="C381" s="40"/>
      <c r="D381" s="146" t="s">
        <v>472</v>
      </c>
      <c r="E381" s="75"/>
      <c r="F381" s="75"/>
      <c r="G381" s="75"/>
      <c r="H381" s="74"/>
      <c r="I381" s="229"/>
      <c r="J381" s="174"/>
      <c r="K381" s="174"/>
      <c r="L381" s="111"/>
      <c r="M381" s="111"/>
      <c r="N381" s="111"/>
      <c r="O381" s="111"/>
      <c r="P381" s="111"/>
      <c r="Q381" s="111"/>
      <c r="R381" s="111"/>
      <c r="S381" s="111"/>
      <c r="T381" s="111"/>
      <c r="U381" s="111"/>
      <c r="V381" s="358"/>
      <c r="W381" s="385"/>
      <c r="X381" s="545"/>
      <c r="Y381" s="545"/>
      <c r="Z381" s="172"/>
      <c r="AA381" s="172"/>
      <c r="AB381" s="172"/>
      <c r="AC381" s="113"/>
      <c r="AE381" s="152"/>
      <c r="AF381" s="152"/>
      <c r="AG381" s="111"/>
      <c r="AH381" s="545"/>
      <c r="AI381" s="131"/>
      <c r="AK381" s="152"/>
      <c r="AL381" s="152"/>
      <c r="AM381" s="111"/>
      <c r="AN381" s="545"/>
      <c r="AO381" s="131"/>
      <c r="AQ381" s="152"/>
      <c r="AR381" s="152"/>
      <c r="AS381" s="111"/>
      <c r="AT381" s="545"/>
      <c r="AU381" s="131"/>
      <c r="AW381" s="152"/>
      <c r="AX381" s="152"/>
      <c r="AY381" s="111"/>
      <c r="AZ381" s="545"/>
      <c r="BA381" s="131"/>
    </row>
    <row r="382" spans="1:53" ht="17.100000000000001" customHeight="1" x14ac:dyDescent="0.25">
      <c r="A382" s="40"/>
      <c r="B382" s="40"/>
      <c r="C382" s="40"/>
      <c r="D382" s="74" t="s">
        <v>191</v>
      </c>
      <c r="E382" s="1398" t="s">
        <v>471</v>
      </c>
      <c r="F382" s="1399"/>
      <c r="G382" s="1399"/>
      <c r="H382" s="242"/>
      <c r="I382" s="230"/>
      <c r="J382" s="111"/>
      <c r="K382" s="111"/>
      <c r="L382" s="111"/>
      <c r="M382" s="111"/>
      <c r="N382" s="60"/>
      <c r="O382" s="60"/>
      <c r="P382" s="17">
        <f>SUM(N382:O382)</f>
        <v>0</v>
      </c>
      <c r="Q382" s="60"/>
      <c r="R382" s="60"/>
      <c r="S382" s="17">
        <f>SUM(Q382:R382)</f>
        <v>0</v>
      </c>
      <c r="T382" s="60"/>
      <c r="U382" s="60"/>
      <c r="V382" s="359">
        <f>SUM(T382:U382)</f>
        <v>0</v>
      </c>
      <c r="W382" s="391">
        <f t="shared" ref="W382:W395" si="435">J382+K382+N382+Q382+T382</f>
        <v>0</v>
      </c>
      <c r="X382" s="17">
        <f t="shared" ref="X382:X395" si="436">L382+O382+R382+U382</f>
        <v>0</v>
      </c>
      <c r="Y382" s="18">
        <f t="shared" ref="Y382:Y395" si="437">SUM(W382:X382)</f>
        <v>0</v>
      </c>
      <c r="Z382" s="19">
        <f t="shared" ref="Z382:Z395" si="438">IF(Y$400=0,0,Y382/Y$400)</f>
        <v>0</v>
      </c>
      <c r="AA382" s="19"/>
      <c r="AB382" s="19"/>
      <c r="AC382" s="20"/>
      <c r="AE382" s="111"/>
      <c r="AF382" s="111"/>
      <c r="AG382" s="111"/>
      <c r="AH382" s="112"/>
      <c r="AI382" s="113"/>
      <c r="AK382" s="111"/>
      <c r="AL382" s="111"/>
      <c r="AM382" s="111"/>
      <c r="AN382" s="112"/>
      <c r="AO382" s="113"/>
      <c r="AQ382" s="17"/>
      <c r="AR382" s="17"/>
      <c r="AS382" s="17"/>
      <c r="AT382" s="18">
        <f t="shared" ref="AT382:AT395" si="439">W382</f>
        <v>0</v>
      </c>
      <c r="AU382" s="19">
        <f t="shared" ref="AU382:AU395" si="440">IF(AT$400=0,0,AT382/AT$400)</f>
        <v>0</v>
      </c>
      <c r="AW382" s="17"/>
      <c r="AX382" s="17"/>
      <c r="AY382" s="17"/>
      <c r="AZ382" s="18">
        <f t="shared" ref="AZ382:AZ395" si="441">X382</f>
        <v>0</v>
      </c>
      <c r="BA382" s="19">
        <f t="shared" ref="BA382:BA395" si="442">IF(AZ$400=0,0,AZ382/AZ$400)</f>
        <v>0</v>
      </c>
    </row>
    <row r="383" spans="1:53" ht="17.100000000000001" customHeight="1" x14ac:dyDescent="0.25">
      <c r="A383" s="40"/>
      <c r="B383" s="40"/>
      <c r="C383" s="40"/>
      <c r="D383" s="74" t="s">
        <v>192</v>
      </c>
      <c r="E383" s="75" t="s">
        <v>462</v>
      </c>
      <c r="F383" s="75"/>
      <c r="G383" s="75"/>
      <c r="H383" s="540"/>
      <c r="I383" s="229"/>
      <c r="J383" s="111"/>
      <c r="K383" s="111"/>
      <c r="L383" s="111"/>
      <c r="M383" s="111"/>
      <c r="N383" s="61"/>
      <c r="O383" s="61"/>
      <c r="P383" s="17">
        <f t="shared" ref="P383:P395" si="443">SUM(N383:O383)</f>
        <v>0</v>
      </c>
      <c r="Q383" s="61"/>
      <c r="R383" s="61"/>
      <c r="S383" s="17">
        <f t="shared" ref="S383:S395" si="444">SUM(Q383:R383)</f>
        <v>0</v>
      </c>
      <c r="T383" s="61"/>
      <c r="U383" s="61"/>
      <c r="V383" s="359">
        <f t="shared" ref="V383:V395" si="445">SUM(T383:U383)</f>
        <v>0</v>
      </c>
      <c r="W383" s="391">
        <f t="shared" si="435"/>
        <v>0</v>
      </c>
      <c r="X383" s="17">
        <f t="shared" si="436"/>
        <v>0</v>
      </c>
      <c r="Y383" s="18">
        <f t="shared" si="437"/>
        <v>0</v>
      </c>
      <c r="Z383" s="19">
        <f t="shared" si="438"/>
        <v>0</v>
      </c>
      <c r="AA383" s="19"/>
      <c r="AB383" s="19"/>
      <c r="AC383" s="20"/>
      <c r="AE383" s="111"/>
      <c r="AF383" s="111"/>
      <c r="AG383" s="111"/>
      <c r="AH383" s="112"/>
      <c r="AI383" s="113"/>
      <c r="AK383" s="111"/>
      <c r="AL383" s="111"/>
      <c r="AM383" s="111"/>
      <c r="AN383" s="112"/>
      <c r="AO383" s="113"/>
      <c r="AQ383" s="17"/>
      <c r="AR383" s="17"/>
      <c r="AS383" s="17"/>
      <c r="AT383" s="18">
        <f t="shared" si="439"/>
        <v>0</v>
      </c>
      <c r="AU383" s="19">
        <f t="shared" si="440"/>
        <v>0</v>
      </c>
      <c r="AW383" s="17"/>
      <c r="AX383" s="17"/>
      <c r="AY383" s="17"/>
      <c r="AZ383" s="18">
        <f t="shared" si="441"/>
        <v>0</v>
      </c>
      <c r="BA383" s="19">
        <f t="shared" si="442"/>
        <v>0</v>
      </c>
    </row>
    <row r="384" spans="1:53" ht="17.100000000000001" customHeight="1" x14ac:dyDescent="0.25">
      <c r="A384" s="40"/>
      <c r="B384" s="40"/>
      <c r="C384" s="40"/>
      <c r="D384" s="74" t="s">
        <v>193</v>
      </c>
      <c r="E384" s="1398" t="s">
        <v>463</v>
      </c>
      <c r="F384" s="1399"/>
      <c r="G384" s="1399"/>
      <c r="H384" s="242"/>
      <c r="I384" s="230"/>
      <c r="J384" s="111"/>
      <c r="K384" s="111"/>
      <c r="L384" s="111"/>
      <c r="M384" s="111"/>
      <c r="N384" s="60"/>
      <c r="O384" s="60"/>
      <c r="P384" s="17">
        <f t="shared" si="443"/>
        <v>0</v>
      </c>
      <c r="Q384" s="60"/>
      <c r="R384" s="60"/>
      <c r="S384" s="17">
        <f t="shared" si="444"/>
        <v>0</v>
      </c>
      <c r="T384" s="60"/>
      <c r="U384" s="60"/>
      <c r="V384" s="359">
        <f t="shared" si="445"/>
        <v>0</v>
      </c>
      <c r="W384" s="391">
        <f t="shared" si="435"/>
        <v>0</v>
      </c>
      <c r="X384" s="17">
        <f t="shared" si="436"/>
        <v>0</v>
      </c>
      <c r="Y384" s="18">
        <f t="shared" si="437"/>
        <v>0</v>
      </c>
      <c r="Z384" s="19">
        <f t="shared" si="438"/>
        <v>0</v>
      </c>
      <c r="AA384" s="19"/>
      <c r="AB384" s="19"/>
      <c r="AC384" s="20"/>
      <c r="AE384" s="111"/>
      <c r="AF384" s="111"/>
      <c r="AG384" s="111"/>
      <c r="AH384" s="112"/>
      <c r="AI384" s="113"/>
      <c r="AK384" s="111"/>
      <c r="AL384" s="111"/>
      <c r="AM384" s="111"/>
      <c r="AN384" s="112"/>
      <c r="AO384" s="113"/>
      <c r="AQ384" s="17"/>
      <c r="AR384" s="17"/>
      <c r="AS384" s="17"/>
      <c r="AT384" s="18">
        <f t="shared" si="439"/>
        <v>0</v>
      </c>
      <c r="AU384" s="19">
        <f t="shared" si="440"/>
        <v>0</v>
      </c>
      <c r="AW384" s="17"/>
      <c r="AX384" s="17"/>
      <c r="AY384" s="17"/>
      <c r="AZ384" s="18">
        <f t="shared" si="441"/>
        <v>0</v>
      </c>
      <c r="BA384" s="19">
        <f t="shared" si="442"/>
        <v>0</v>
      </c>
    </row>
    <row r="385" spans="1:53" ht="17.100000000000001" customHeight="1" x14ac:dyDescent="0.25">
      <c r="A385" s="40"/>
      <c r="B385" s="40"/>
      <c r="C385" s="40"/>
      <c r="D385" s="74" t="s">
        <v>194</v>
      </c>
      <c r="E385" s="75" t="s">
        <v>464</v>
      </c>
      <c r="F385" s="75"/>
      <c r="G385" s="75"/>
      <c r="H385" s="540"/>
      <c r="I385" s="229"/>
      <c r="J385" s="111"/>
      <c r="K385" s="111"/>
      <c r="L385" s="111"/>
      <c r="M385" s="111"/>
      <c r="N385" s="61"/>
      <c r="O385" s="61"/>
      <c r="P385" s="17">
        <f t="shared" si="443"/>
        <v>0</v>
      </c>
      <c r="Q385" s="61"/>
      <c r="R385" s="61"/>
      <c r="S385" s="17">
        <f t="shared" si="444"/>
        <v>0</v>
      </c>
      <c r="T385" s="61"/>
      <c r="U385" s="61"/>
      <c r="V385" s="359">
        <f t="shared" si="445"/>
        <v>0</v>
      </c>
      <c r="W385" s="391">
        <f t="shared" si="435"/>
        <v>0</v>
      </c>
      <c r="X385" s="17">
        <f t="shared" si="436"/>
        <v>0</v>
      </c>
      <c r="Y385" s="18">
        <f t="shared" si="437"/>
        <v>0</v>
      </c>
      <c r="Z385" s="19">
        <f t="shared" si="438"/>
        <v>0</v>
      </c>
      <c r="AA385" s="19"/>
      <c r="AB385" s="19"/>
      <c r="AC385" s="20"/>
      <c r="AE385" s="111"/>
      <c r="AF385" s="111"/>
      <c r="AG385" s="111"/>
      <c r="AH385" s="112"/>
      <c r="AI385" s="113"/>
      <c r="AK385" s="111"/>
      <c r="AL385" s="111"/>
      <c r="AM385" s="111"/>
      <c r="AN385" s="112"/>
      <c r="AO385" s="113"/>
      <c r="AQ385" s="17"/>
      <c r="AR385" s="17"/>
      <c r="AS385" s="17"/>
      <c r="AT385" s="18">
        <f t="shared" si="439"/>
        <v>0</v>
      </c>
      <c r="AU385" s="19">
        <f t="shared" si="440"/>
        <v>0</v>
      </c>
      <c r="AW385" s="17"/>
      <c r="AX385" s="17"/>
      <c r="AY385" s="17"/>
      <c r="AZ385" s="18">
        <f t="shared" si="441"/>
        <v>0</v>
      </c>
      <c r="BA385" s="19">
        <f t="shared" si="442"/>
        <v>0</v>
      </c>
    </row>
    <row r="386" spans="1:53" ht="17.100000000000001" customHeight="1" x14ac:dyDescent="0.25">
      <c r="A386" s="40"/>
      <c r="B386" s="40"/>
      <c r="C386" s="40"/>
      <c r="D386" s="74" t="s">
        <v>195</v>
      </c>
      <c r="E386" s="75" t="s">
        <v>465</v>
      </c>
      <c r="F386" s="75"/>
      <c r="G386" s="75"/>
      <c r="H386" s="540"/>
      <c r="I386" s="229"/>
      <c r="J386" s="111"/>
      <c r="K386" s="111"/>
      <c r="L386" s="111"/>
      <c r="M386" s="111"/>
      <c r="N386" s="60"/>
      <c r="O386" s="60"/>
      <c r="P386" s="17">
        <f t="shared" si="443"/>
        <v>0</v>
      </c>
      <c r="Q386" s="60"/>
      <c r="R386" s="60"/>
      <c r="S386" s="17">
        <f t="shared" si="444"/>
        <v>0</v>
      </c>
      <c r="T386" s="60"/>
      <c r="U386" s="60"/>
      <c r="V386" s="359">
        <f t="shared" si="445"/>
        <v>0</v>
      </c>
      <c r="W386" s="391">
        <f t="shared" si="435"/>
        <v>0</v>
      </c>
      <c r="X386" s="17">
        <f t="shared" si="436"/>
        <v>0</v>
      </c>
      <c r="Y386" s="18">
        <f t="shared" si="437"/>
        <v>0</v>
      </c>
      <c r="Z386" s="19">
        <f t="shared" si="438"/>
        <v>0</v>
      </c>
      <c r="AA386" s="19"/>
      <c r="AB386" s="19"/>
      <c r="AC386" s="20"/>
      <c r="AE386" s="111"/>
      <c r="AF386" s="111"/>
      <c r="AG386" s="111"/>
      <c r="AH386" s="112"/>
      <c r="AI386" s="113"/>
      <c r="AK386" s="111"/>
      <c r="AL386" s="111"/>
      <c r="AM386" s="111"/>
      <c r="AN386" s="112"/>
      <c r="AO386" s="113"/>
      <c r="AQ386" s="17"/>
      <c r="AR386" s="17"/>
      <c r="AS386" s="17"/>
      <c r="AT386" s="18">
        <f t="shared" si="439"/>
        <v>0</v>
      </c>
      <c r="AU386" s="19">
        <f t="shared" si="440"/>
        <v>0</v>
      </c>
      <c r="AW386" s="17"/>
      <c r="AX386" s="17"/>
      <c r="AY386" s="17"/>
      <c r="AZ386" s="18">
        <f t="shared" si="441"/>
        <v>0</v>
      </c>
      <c r="BA386" s="19">
        <f t="shared" si="442"/>
        <v>0</v>
      </c>
    </row>
    <row r="387" spans="1:53" ht="17.100000000000001" customHeight="1" x14ac:dyDescent="0.25">
      <c r="A387" s="40"/>
      <c r="B387" s="40"/>
      <c r="C387" s="40"/>
      <c r="D387" s="74" t="s">
        <v>196</v>
      </c>
      <c r="E387" s="75" t="s">
        <v>466</v>
      </c>
      <c r="F387" s="75"/>
      <c r="G387" s="75"/>
      <c r="H387" s="540"/>
      <c r="I387" s="229"/>
      <c r="J387" s="111"/>
      <c r="K387" s="111"/>
      <c r="L387" s="111"/>
      <c r="M387" s="111"/>
      <c r="N387" s="61"/>
      <c r="O387" s="61"/>
      <c r="P387" s="17">
        <f t="shared" si="443"/>
        <v>0</v>
      </c>
      <c r="Q387" s="61"/>
      <c r="R387" s="61"/>
      <c r="S387" s="17">
        <f t="shared" si="444"/>
        <v>0</v>
      </c>
      <c r="T387" s="61"/>
      <c r="U387" s="61"/>
      <c r="V387" s="359">
        <f t="shared" si="445"/>
        <v>0</v>
      </c>
      <c r="W387" s="391">
        <f t="shared" si="435"/>
        <v>0</v>
      </c>
      <c r="X387" s="17">
        <f t="shared" si="436"/>
        <v>0</v>
      </c>
      <c r="Y387" s="18">
        <f t="shared" si="437"/>
        <v>0</v>
      </c>
      <c r="Z387" s="19">
        <f t="shared" si="438"/>
        <v>0</v>
      </c>
      <c r="AA387" s="19"/>
      <c r="AB387" s="19"/>
      <c r="AC387" s="20"/>
      <c r="AE387" s="111"/>
      <c r="AF387" s="111"/>
      <c r="AG387" s="111"/>
      <c r="AH387" s="112"/>
      <c r="AI387" s="113"/>
      <c r="AK387" s="111"/>
      <c r="AL387" s="111"/>
      <c r="AM387" s="111"/>
      <c r="AN387" s="112"/>
      <c r="AO387" s="113"/>
      <c r="AQ387" s="17"/>
      <c r="AR387" s="17"/>
      <c r="AS387" s="17"/>
      <c r="AT387" s="18">
        <f t="shared" si="439"/>
        <v>0</v>
      </c>
      <c r="AU387" s="19">
        <f t="shared" si="440"/>
        <v>0</v>
      </c>
      <c r="AW387" s="17"/>
      <c r="AX387" s="17"/>
      <c r="AY387" s="17"/>
      <c r="AZ387" s="18">
        <f t="shared" si="441"/>
        <v>0</v>
      </c>
      <c r="BA387" s="19">
        <f t="shared" si="442"/>
        <v>0</v>
      </c>
    </row>
    <row r="388" spans="1:53" ht="17.100000000000001" customHeight="1" x14ac:dyDescent="0.25">
      <c r="A388" s="40"/>
      <c r="B388" s="40"/>
      <c r="C388" s="40"/>
      <c r="D388" s="74" t="s">
        <v>197</v>
      </c>
      <c r="E388" s="75" t="s">
        <v>467</v>
      </c>
      <c r="F388" s="75"/>
      <c r="G388" s="75"/>
      <c r="H388" s="540"/>
      <c r="I388" s="229"/>
      <c r="J388" s="111"/>
      <c r="K388" s="111"/>
      <c r="L388" s="111"/>
      <c r="M388" s="111"/>
      <c r="N388" s="60"/>
      <c r="O388" s="60">
        <v>2</v>
      </c>
      <c r="P388" s="17">
        <f t="shared" si="443"/>
        <v>2</v>
      </c>
      <c r="Q388" s="60"/>
      <c r="R388" s="60"/>
      <c r="S388" s="17">
        <f t="shared" si="444"/>
        <v>0</v>
      </c>
      <c r="T388" s="60"/>
      <c r="U388" s="60"/>
      <c r="V388" s="359">
        <f t="shared" si="445"/>
        <v>0</v>
      </c>
      <c r="W388" s="391">
        <f t="shared" si="435"/>
        <v>0</v>
      </c>
      <c r="X388" s="17">
        <f t="shared" si="436"/>
        <v>2</v>
      </c>
      <c r="Y388" s="18">
        <f t="shared" si="437"/>
        <v>2</v>
      </c>
      <c r="Z388" s="19">
        <f t="shared" si="438"/>
        <v>0.2857142857142857</v>
      </c>
      <c r="AA388" s="19"/>
      <c r="AB388" s="19"/>
      <c r="AC388" s="20"/>
      <c r="AE388" s="111"/>
      <c r="AF388" s="111"/>
      <c r="AG388" s="111"/>
      <c r="AH388" s="112"/>
      <c r="AI388" s="113"/>
      <c r="AK388" s="111"/>
      <c r="AL388" s="111"/>
      <c r="AM388" s="111"/>
      <c r="AN388" s="112"/>
      <c r="AO388" s="113"/>
      <c r="AQ388" s="17"/>
      <c r="AR388" s="17"/>
      <c r="AS388" s="17"/>
      <c r="AT388" s="18">
        <f t="shared" si="439"/>
        <v>0</v>
      </c>
      <c r="AU388" s="19">
        <f t="shared" si="440"/>
        <v>0</v>
      </c>
      <c r="AW388" s="17"/>
      <c r="AX388" s="17"/>
      <c r="AY388" s="17"/>
      <c r="AZ388" s="18">
        <f t="shared" si="441"/>
        <v>2</v>
      </c>
      <c r="BA388" s="19">
        <f t="shared" si="442"/>
        <v>0.4</v>
      </c>
    </row>
    <row r="389" spans="1:53" ht="17.100000000000001" customHeight="1" x14ac:dyDescent="0.25">
      <c r="A389" s="40"/>
      <c r="B389" s="40"/>
      <c r="C389" s="40"/>
      <c r="D389" s="74" t="s">
        <v>199</v>
      </c>
      <c r="E389" s="75" t="s">
        <v>749</v>
      </c>
      <c r="F389" s="75"/>
      <c r="G389" s="75"/>
      <c r="H389" s="540"/>
      <c r="I389" s="229"/>
      <c r="J389" s="111"/>
      <c r="K389" s="111"/>
      <c r="L389" s="111"/>
      <c r="M389" s="111"/>
      <c r="N389" s="61"/>
      <c r="O389" s="61"/>
      <c r="P389" s="17">
        <f t="shared" si="443"/>
        <v>0</v>
      </c>
      <c r="Q389" s="61"/>
      <c r="R389" s="61"/>
      <c r="S389" s="17">
        <f t="shared" si="444"/>
        <v>0</v>
      </c>
      <c r="T389" s="61"/>
      <c r="U389" s="61"/>
      <c r="V389" s="359">
        <f t="shared" si="445"/>
        <v>0</v>
      </c>
      <c r="W389" s="391">
        <f t="shared" si="435"/>
        <v>0</v>
      </c>
      <c r="X389" s="17">
        <f t="shared" si="436"/>
        <v>0</v>
      </c>
      <c r="Y389" s="18">
        <f t="shared" si="437"/>
        <v>0</v>
      </c>
      <c r="Z389" s="19">
        <f t="shared" si="438"/>
        <v>0</v>
      </c>
      <c r="AA389" s="19"/>
      <c r="AB389" s="19"/>
      <c r="AC389" s="20"/>
      <c r="AE389" s="111"/>
      <c r="AF389" s="111"/>
      <c r="AG389" s="111"/>
      <c r="AH389" s="112"/>
      <c r="AI389" s="113"/>
      <c r="AK389" s="111"/>
      <c r="AL389" s="111"/>
      <c r="AM389" s="111"/>
      <c r="AN389" s="112"/>
      <c r="AO389" s="113"/>
      <c r="AQ389" s="17"/>
      <c r="AR389" s="17"/>
      <c r="AS389" s="17"/>
      <c r="AT389" s="18">
        <f t="shared" si="439"/>
        <v>0</v>
      </c>
      <c r="AU389" s="19">
        <f t="shared" si="440"/>
        <v>0</v>
      </c>
      <c r="AW389" s="17"/>
      <c r="AX389" s="17"/>
      <c r="AY389" s="17"/>
      <c r="AZ389" s="18">
        <f t="shared" si="441"/>
        <v>0</v>
      </c>
      <c r="BA389" s="19">
        <f t="shared" si="442"/>
        <v>0</v>
      </c>
    </row>
    <row r="390" spans="1:53" ht="17.100000000000001" customHeight="1" x14ac:dyDescent="0.25">
      <c r="A390" s="40"/>
      <c r="B390" s="40"/>
      <c r="C390" s="40"/>
      <c r="D390" s="74" t="s">
        <v>200</v>
      </c>
      <c r="E390" s="75" t="s">
        <v>468</v>
      </c>
      <c r="F390" s="75"/>
      <c r="G390" s="75"/>
      <c r="H390" s="540"/>
      <c r="I390" s="229"/>
      <c r="J390" s="111"/>
      <c r="K390" s="111"/>
      <c r="L390" s="111"/>
      <c r="M390" s="111"/>
      <c r="N390" s="60"/>
      <c r="O390" s="60"/>
      <c r="P390" s="17">
        <f t="shared" si="443"/>
        <v>0</v>
      </c>
      <c r="Q390" s="60"/>
      <c r="R390" s="60">
        <v>1</v>
      </c>
      <c r="S390" s="17">
        <f t="shared" si="444"/>
        <v>1</v>
      </c>
      <c r="T390" s="60"/>
      <c r="U390" s="60"/>
      <c r="V390" s="359">
        <f t="shared" si="445"/>
        <v>0</v>
      </c>
      <c r="W390" s="391">
        <f t="shared" si="435"/>
        <v>0</v>
      </c>
      <c r="X390" s="17">
        <f t="shared" si="436"/>
        <v>1</v>
      </c>
      <c r="Y390" s="18">
        <f t="shared" si="437"/>
        <v>1</v>
      </c>
      <c r="Z390" s="19">
        <f t="shared" si="438"/>
        <v>0.14285714285714285</v>
      </c>
      <c r="AA390" s="19"/>
      <c r="AB390" s="19"/>
      <c r="AC390" s="20"/>
      <c r="AE390" s="111"/>
      <c r="AF390" s="111"/>
      <c r="AG390" s="111"/>
      <c r="AH390" s="112"/>
      <c r="AI390" s="113"/>
      <c r="AK390" s="111"/>
      <c r="AL390" s="111"/>
      <c r="AM390" s="111"/>
      <c r="AN390" s="112"/>
      <c r="AO390" s="113"/>
      <c r="AQ390" s="17"/>
      <c r="AR390" s="17"/>
      <c r="AS390" s="17"/>
      <c r="AT390" s="18">
        <f t="shared" si="439"/>
        <v>0</v>
      </c>
      <c r="AU390" s="19">
        <f t="shared" si="440"/>
        <v>0</v>
      </c>
      <c r="AW390" s="17"/>
      <c r="AX390" s="17"/>
      <c r="AY390" s="17"/>
      <c r="AZ390" s="18">
        <f t="shared" si="441"/>
        <v>1</v>
      </c>
      <c r="BA390" s="19">
        <f t="shared" si="442"/>
        <v>0.2</v>
      </c>
    </row>
    <row r="391" spans="1:53" ht="17.100000000000001" customHeight="1" x14ac:dyDescent="0.25">
      <c r="A391" s="40"/>
      <c r="B391" s="40"/>
      <c r="C391" s="40"/>
      <c r="D391" s="74" t="s">
        <v>201</v>
      </c>
      <c r="E391" s="75" t="s">
        <v>469</v>
      </c>
      <c r="F391" s="75"/>
      <c r="G391" s="75"/>
      <c r="H391" s="540"/>
      <c r="I391" s="229"/>
      <c r="J391" s="111"/>
      <c r="K391" s="111"/>
      <c r="L391" s="111"/>
      <c r="M391" s="111"/>
      <c r="N391" s="61"/>
      <c r="O391" s="61"/>
      <c r="P391" s="17">
        <f t="shared" si="443"/>
        <v>0</v>
      </c>
      <c r="Q391" s="61"/>
      <c r="R391" s="61"/>
      <c r="S391" s="17">
        <f t="shared" si="444"/>
        <v>0</v>
      </c>
      <c r="T391" s="61"/>
      <c r="U391" s="61"/>
      <c r="V391" s="359">
        <f t="shared" si="445"/>
        <v>0</v>
      </c>
      <c r="W391" s="391">
        <f t="shared" si="435"/>
        <v>0</v>
      </c>
      <c r="X391" s="17">
        <f t="shared" si="436"/>
        <v>0</v>
      </c>
      <c r="Y391" s="18">
        <f t="shared" si="437"/>
        <v>0</v>
      </c>
      <c r="Z391" s="19">
        <f t="shared" si="438"/>
        <v>0</v>
      </c>
      <c r="AA391" s="19"/>
      <c r="AB391" s="19"/>
      <c r="AC391" s="20"/>
      <c r="AE391" s="111"/>
      <c r="AF391" s="111"/>
      <c r="AG391" s="111"/>
      <c r="AH391" s="112"/>
      <c r="AI391" s="113"/>
      <c r="AK391" s="111"/>
      <c r="AL391" s="111"/>
      <c r="AM391" s="111"/>
      <c r="AN391" s="112"/>
      <c r="AO391" s="113"/>
      <c r="AQ391" s="17"/>
      <c r="AR391" s="17"/>
      <c r="AS391" s="17"/>
      <c r="AT391" s="18">
        <f t="shared" si="439"/>
        <v>0</v>
      </c>
      <c r="AU391" s="19">
        <f t="shared" si="440"/>
        <v>0</v>
      </c>
      <c r="AW391" s="17"/>
      <c r="AX391" s="17"/>
      <c r="AY391" s="17"/>
      <c r="AZ391" s="18">
        <f t="shared" si="441"/>
        <v>0</v>
      </c>
      <c r="BA391" s="19">
        <f t="shared" si="442"/>
        <v>0</v>
      </c>
    </row>
    <row r="392" spans="1:53" ht="17.100000000000001" customHeight="1" x14ac:dyDescent="0.25">
      <c r="A392" s="40"/>
      <c r="B392" s="40"/>
      <c r="C392" s="40"/>
      <c r="D392" s="74" t="s">
        <v>202</v>
      </c>
      <c r="E392" s="75" t="s">
        <v>750</v>
      </c>
      <c r="F392" s="75"/>
      <c r="G392" s="75"/>
      <c r="H392" s="540"/>
      <c r="I392" s="229"/>
      <c r="J392" s="111"/>
      <c r="K392" s="111"/>
      <c r="L392" s="111"/>
      <c r="M392" s="111"/>
      <c r="N392" s="60"/>
      <c r="O392" s="60">
        <v>1</v>
      </c>
      <c r="P392" s="17">
        <f t="shared" si="443"/>
        <v>1</v>
      </c>
      <c r="Q392" s="60"/>
      <c r="R392" s="60"/>
      <c r="S392" s="17">
        <f t="shared" si="444"/>
        <v>0</v>
      </c>
      <c r="T392" s="60"/>
      <c r="U392" s="60"/>
      <c r="V392" s="359">
        <f t="shared" si="445"/>
        <v>0</v>
      </c>
      <c r="W392" s="391">
        <f t="shared" si="435"/>
        <v>0</v>
      </c>
      <c r="X392" s="17">
        <f t="shared" si="436"/>
        <v>1</v>
      </c>
      <c r="Y392" s="18">
        <f t="shared" si="437"/>
        <v>1</v>
      </c>
      <c r="Z392" s="19">
        <f t="shared" si="438"/>
        <v>0.14285714285714285</v>
      </c>
      <c r="AA392" s="19"/>
      <c r="AB392" s="19"/>
      <c r="AC392" s="20"/>
      <c r="AE392" s="111"/>
      <c r="AF392" s="111"/>
      <c r="AG392" s="111"/>
      <c r="AH392" s="112"/>
      <c r="AI392" s="113"/>
      <c r="AK392" s="111"/>
      <c r="AL392" s="111"/>
      <c r="AM392" s="111"/>
      <c r="AN392" s="112"/>
      <c r="AO392" s="113"/>
      <c r="AQ392" s="17"/>
      <c r="AR392" s="17"/>
      <c r="AS392" s="17"/>
      <c r="AT392" s="18">
        <f t="shared" si="439"/>
        <v>0</v>
      </c>
      <c r="AU392" s="19">
        <f t="shared" si="440"/>
        <v>0</v>
      </c>
      <c r="AW392" s="17"/>
      <c r="AX392" s="17"/>
      <c r="AY392" s="17"/>
      <c r="AZ392" s="18">
        <f t="shared" si="441"/>
        <v>1</v>
      </c>
      <c r="BA392" s="19">
        <f t="shared" si="442"/>
        <v>0.2</v>
      </c>
    </row>
    <row r="393" spans="1:53" ht="17.100000000000001" customHeight="1" x14ac:dyDescent="0.25">
      <c r="A393" s="40"/>
      <c r="B393" s="40"/>
      <c r="C393" s="40"/>
      <c r="D393" s="74" t="s">
        <v>203</v>
      </c>
      <c r="E393" s="75" t="s">
        <v>198</v>
      </c>
      <c r="F393" s="75"/>
      <c r="G393" s="75"/>
      <c r="H393" s="540"/>
      <c r="I393" s="229"/>
      <c r="J393" s="111"/>
      <c r="K393" s="111"/>
      <c r="L393" s="111"/>
      <c r="M393" s="111"/>
      <c r="N393" s="61"/>
      <c r="O393" s="61"/>
      <c r="P393" s="17">
        <f t="shared" si="443"/>
        <v>0</v>
      </c>
      <c r="Q393" s="61">
        <v>1</v>
      </c>
      <c r="R393" s="61"/>
      <c r="S393" s="17">
        <f t="shared" si="444"/>
        <v>1</v>
      </c>
      <c r="T393" s="61"/>
      <c r="U393" s="61"/>
      <c r="V393" s="359">
        <f t="shared" si="445"/>
        <v>0</v>
      </c>
      <c r="W393" s="391">
        <f t="shared" si="435"/>
        <v>1</v>
      </c>
      <c r="X393" s="17">
        <f t="shared" si="436"/>
        <v>0</v>
      </c>
      <c r="Y393" s="18">
        <f t="shared" si="437"/>
        <v>1</v>
      </c>
      <c r="Z393" s="19">
        <f t="shared" si="438"/>
        <v>0.14285714285714285</v>
      </c>
      <c r="AA393" s="19"/>
      <c r="AB393" s="19"/>
      <c r="AC393" s="20"/>
      <c r="AE393" s="111"/>
      <c r="AF393" s="111"/>
      <c r="AG393" s="111"/>
      <c r="AH393" s="112"/>
      <c r="AI393" s="113"/>
      <c r="AK393" s="111"/>
      <c r="AL393" s="111"/>
      <c r="AM393" s="111"/>
      <c r="AN393" s="112"/>
      <c r="AO393" s="113"/>
      <c r="AQ393" s="17"/>
      <c r="AR393" s="17"/>
      <c r="AS393" s="17"/>
      <c r="AT393" s="18">
        <f t="shared" si="439"/>
        <v>1</v>
      </c>
      <c r="AU393" s="19">
        <f t="shared" si="440"/>
        <v>0.5</v>
      </c>
      <c r="AW393" s="17"/>
      <c r="AX393" s="17"/>
      <c r="AY393" s="17"/>
      <c r="AZ393" s="18">
        <f t="shared" si="441"/>
        <v>0</v>
      </c>
      <c r="BA393" s="19">
        <f t="shared" si="442"/>
        <v>0</v>
      </c>
    </row>
    <row r="394" spans="1:53" ht="17.100000000000001" customHeight="1" x14ac:dyDescent="0.25">
      <c r="A394" s="40"/>
      <c r="B394" s="40"/>
      <c r="C394" s="40"/>
      <c r="D394" s="74" t="s">
        <v>204</v>
      </c>
      <c r="E394" s="75" t="s">
        <v>470</v>
      </c>
      <c r="F394" s="75"/>
      <c r="G394" s="75"/>
      <c r="H394" s="540"/>
      <c r="I394" s="229"/>
      <c r="J394" s="111"/>
      <c r="K394" s="111"/>
      <c r="L394" s="111"/>
      <c r="M394" s="111"/>
      <c r="N394" s="60"/>
      <c r="O394" s="60"/>
      <c r="P394" s="17">
        <f t="shared" si="443"/>
        <v>0</v>
      </c>
      <c r="Q394" s="61"/>
      <c r="R394" s="61">
        <v>1</v>
      </c>
      <c r="S394" s="17">
        <f t="shared" si="444"/>
        <v>1</v>
      </c>
      <c r="T394" s="61"/>
      <c r="U394" s="61"/>
      <c r="V394" s="359">
        <f t="shared" si="445"/>
        <v>0</v>
      </c>
      <c r="W394" s="391">
        <f t="shared" si="435"/>
        <v>0</v>
      </c>
      <c r="X394" s="17">
        <f t="shared" si="436"/>
        <v>1</v>
      </c>
      <c r="Y394" s="18">
        <f t="shared" si="437"/>
        <v>1</v>
      </c>
      <c r="Z394" s="19">
        <f t="shared" si="438"/>
        <v>0.14285714285714285</v>
      </c>
      <c r="AA394" s="19"/>
      <c r="AB394" s="19"/>
      <c r="AC394" s="20"/>
      <c r="AE394" s="111"/>
      <c r="AF394" s="111"/>
      <c r="AG394" s="111"/>
      <c r="AH394" s="112"/>
      <c r="AI394" s="113"/>
      <c r="AK394" s="111"/>
      <c r="AL394" s="111"/>
      <c r="AM394" s="111"/>
      <c r="AN394" s="112"/>
      <c r="AO394" s="113"/>
      <c r="AQ394" s="17"/>
      <c r="AR394" s="17"/>
      <c r="AS394" s="17"/>
      <c r="AT394" s="18">
        <f t="shared" si="439"/>
        <v>0</v>
      </c>
      <c r="AU394" s="19">
        <f t="shared" si="440"/>
        <v>0</v>
      </c>
      <c r="AW394" s="17"/>
      <c r="AX394" s="17"/>
      <c r="AY394" s="17"/>
      <c r="AZ394" s="18">
        <f t="shared" si="441"/>
        <v>1</v>
      </c>
      <c r="BA394" s="19">
        <f t="shared" si="442"/>
        <v>0.2</v>
      </c>
    </row>
    <row r="395" spans="1:53" ht="17.100000000000001" customHeight="1" x14ac:dyDescent="0.25">
      <c r="A395" s="40"/>
      <c r="B395" s="40"/>
      <c r="C395" s="40"/>
      <c r="D395" s="74" t="s">
        <v>748</v>
      </c>
      <c r="E395" s="75" t="s">
        <v>205</v>
      </c>
      <c r="F395" s="75"/>
      <c r="G395" s="75"/>
      <c r="H395" s="540"/>
      <c r="I395" s="229"/>
      <c r="J395" s="111"/>
      <c r="K395" s="111"/>
      <c r="L395" s="111"/>
      <c r="M395" s="111"/>
      <c r="N395" s="111">
        <f>SUM(N396:N399)</f>
        <v>1</v>
      </c>
      <c r="O395" s="111">
        <f>SUM(O396:O399)</f>
        <v>0</v>
      </c>
      <c r="P395" s="111">
        <f t="shared" si="443"/>
        <v>1</v>
      </c>
      <c r="Q395" s="111">
        <f>SUM(Q396:Q399)</f>
        <v>0</v>
      </c>
      <c r="R395" s="111">
        <f>SUM(R396:R399)</f>
        <v>0</v>
      </c>
      <c r="S395" s="111">
        <f t="shared" si="444"/>
        <v>0</v>
      </c>
      <c r="T395" s="111">
        <f>SUM(T396:T399)</f>
        <v>0</v>
      </c>
      <c r="U395" s="111">
        <f>SUM(U396:U399)</f>
        <v>0</v>
      </c>
      <c r="V395" s="358">
        <f t="shared" si="445"/>
        <v>0</v>
      </c>
      <c r="W395" s="380">
        <f t="shared" si="435"/>
        <v>1</v>
      </c>
      <c r="X395" s="111">
        <f t="shared" si="436"/>
        <v>0</v>
      </c>
      <c r="Y395" s="545">
        <f t="shared" si="437"/>
        <v>1</v>
      </c>
      <c r="Z395" s="131">
        <f t="shared" si="438"/>
        <v>0.14285714285714285</v>
      </c>
      <c r="AA395" s="131"/>
      <c r="AB395" s="131"/>
      <c r="AC395" s="113"/>
      <c r="AE395" s="111"/>
      <c r="AF395" s="111"/>
      <c r="AG395" s="111"/>
      <c r="AH395" s="545"/>
      <c r="AI395" s="131"/>
      <c r="AK395" s="111"/>
      <c r="AL395" s="111"/>
      <c r="AM395" s="111"/>
      <c r="AN395" s="545"/>
      <c r="AO395" s="131"/>
      <c r="AQ395" s="111"/>
      <c r="AR395" s="111"/>
      <c r="AS395" s="111"/>
      <c r="AT395" s="545">
        <f t="shared" si="439"/>
        <v>1</v>
      </c>
      <c r="AU395" s="131">
        <f t="shared" si="440"/>
        <v>0.5</v>
      </c>
      <c r="AW395" s="111"/>
      <c r="AX395" s="111"/>
      <c r="AY395" s="111"/>
      <c r="AZ395" s="545">
        <f t="shared" si="441"/>
        <v>0</v>
      </c>
      <c r="BA395" s="131">
        <f t="shared" si="442"/>
        <v>0</v>
      </c>
    </row>
    <row r="396" spans="1:53" ht="17.100000000000001" customHeight="1" x14ac:dyDescent="0.25">
      <c r="A396" s="40"/>
      <c r="B396" s="40"/>
      <c r="C396" s="40"/>
      <c r="D396" s="74"/>
      <c r="E396" s="168" t="s">
        <v>1835</v>
      </c>
      <c r="F396" s="169"/>
      <c r="G396" s="169"/>
      <c r="H396" s="17"/>
      <c r="I396" s="594"/>
      <c r="J396" s="111"/>
      <c r="K396" s="111"/>
      <c r="L396" s="111"/>
      <c r="M396" s="111"/>
      <c r="N396" s="60">
        <v>1</v>
      </c>
      <c r="O396" s="60"/>
      <c r="P396" s="17"/>
      <c r="Q396" s="60"/>
      <c r="R396" s="60"/>
      <c r="S396" s="17"/>
      <c r="T396" s="60"/>
      <c r="U396" s="60"/>
      <c r="V396" s="359"/>
      <c r="W396" s="391"/>
      <c r="X396" s="17"/>
      <c r="Y396" s="539"/>
      <c r="Z396" s="17"/>
      <c r="AA396" s="17"/>
      <c r="AB396" s="17"/>
      <c r="AC396" s="17"/>
      <c r="AE396" s="111"/>
      <c r="AF396" s="111"/>
      <c r="AG396" s="111"/>
      <c r="AH396" s="112"/>
      <c r="AI396" s="113"/>
      <c r="AK396" s="111"/>
      <c r="AL396" s="111"/>
      <c r="AM396" s="111"/>
      <c r="AN396" s="112"/>
      <c r="AO396" s="113"/>
      <c r="AQ396" s="17"/>
      <c r="AR396" s="17"/>
      <c r="AS396" s="17"/>
      <c r="AT396" s="18"/>
      <c r="AU396" s="91"/>
      <c r="AW396" s="17"/>
      <c r="AX396" s="17"/>
      <c r="AY396" s="17"/>
      <c r="AZ396" s="18"/>
      <c r="BA396" s="91"/>
    </row>
    <row r="397" spans="1:53" ht="17.100000000000001" customHeight="1" x14ac:dyDescent="0.25">
      <c r="A397" s="40"/>
      <c r="B397" s="40"/>
      <c r="C397" s="40"/>
      <c r="D397" s="74"/>
      <c r="E397" s="170"/>
      <c r="F397" s="171"/>
      <c r="G397" s="171"/>
      <c r="H397" s="17"/>
      <c r="I397" s="594"/>
      <c r="J397" s="111"/>
      <c r="K397" s="111"/>
      <c r="L397" s="111"/>
      <c r="M397" s="111"/>
      <c r="N397" s="61"/>
      <c r="O397" s="61"/>
      <c r="P397" s="17"/>
      <c r="Q397" s="61"/>
      <c r="R397" s="61"/>
      <c r="S397" s="17"/>
      <c r="T397" s="61"/>
      <c r="U397" s="61"/>
      <c r="V397" s="359"/>
      <c r="W397" s="391"/>
      <c r="X397" s="17"/>
      <c r="Y397" s="539"/>
      <c r="Z397" s="17"/>
      <c r="AA397" s="17"/>
      <c r="AB397" s="17"/>
      <c r="AC397" s="17"/>
      <c r="AE397" s="111"/>
      <c r="AF397" s="111"/>
      <c r="AG397" s="111"/>
      <c r="AH397" s="112"/>
      <c r="AI397" s="113"/>
      <c r="AK397" s="111"/>
      <c r="AL397" s="111"/>
      <c r="AM397" s="111"/>
      <c r="AN397" s="112"/>
      <c r="AO397" s="113"/>
      <c r="AQ397" s="17"/>
      <c r="AR397" s="17"/>
      <c r="AS397" s="17"/>
      <c r="AT397" s="18"/>
      <c r="AU397" s="91"/>
      <c r="AW397" s="17"/>
      <c r="AX397" s="17"/>
      <c r="AY397" s="17"/>
      <c r="AZ397" s="18"/>
      <c r="BA397" s="91"/>
    </row>
    <row r="398" spans="1:53" ht="17.100000000000001" customHeight="1" x14ac:dyDescent="0.25">
      <c r="A398" s="40"/>
      <c r="B398" s="40"/>
      <c r="C398" s="40"/>
      <c r="D398" s="74"/>
      <c r="E398" s="168"/>
      <c r="F398" s="169"/>
      <c r="G398" s="169"/>
      <c r="H398" s="17"/>
      <c r="I398" s="594"/>
      <c r="J398" s="111"/>
      <c r="K398" s="111"/>
      <c r="L398" s="111"/>
      <c r="M398" s="111"/>
      <c r="N398" s="60"/>
      <c r="O398" s="60"/>
      <c r="P398" s="17"/>
      <c r="Q398" s="60"/>
      <c r="R398" s="60"/>
      <c r="S398" s="17"/>
      <c r="T398" s="60"/>
      <c r="U398" s="60"/>
      <c r="V398" s="359"/>
      <c r="W398" s="391"/>
      <c r="X398" s="17"/>
      <c r="Y398" s="539"/>
      <c r="Z398" s="17"/>
      <c r="AA398" s="17"/>
      <c r="AB398" s="17"/>
      <c r="AC398" s="17"/>
      <c r="AE398" s="111"/>
      <c r="AF398" s="111"/>
      <c r="AG398" s="111"/>
      <c r="AH398" s="112"/>
      <c r="AI398" s="113"/>
      <c r="AK398" s="111"/>
      <c r="AL398" s="111"/>
      <c r="AM398" s="111"/>
      <c r="AN398" s="112"/>
      <c r="AO398" s="113"/>
      <c r="AQ398" s="17"/>
      <c r="AR398" s="17"/>
      <c r="AS398" s="17"/>
      <c r="AT398" s="18"/>
      <c r="AU398" s="91"/>
      <c r="AW398" s="17"/>
      <c r="AX398" s="17"/>
      <c r="AY398" s="17"/>
      <c r="AZ398" s="18"/>
      <c r="BA398" s="91"/>
    </row>
    <row r="399" spans="1:53" ht="17.100000000000001" customHeight="1" x14ac:dyDescent="0.25">
      <c r="A399" s="40"/>
      <c r="B399" s="40"/>
      <c r="C399" s="40"/>
      <c r="D399" s="74"/>
      <c r="E399" s="170"/>
      <c r="F399" s="171"/>
      <c r="G399" s="171"/>
      <c r="H399" s="17"/>
      <c r="I399" s="594"/>
      <c r="J399" s="111"/>
      <c r="K399" s="111"/>
      <c r="L399" s="111"/>
      <c r="M399" s="111"/>
      <c r="N399" s="61"/>
      <c r="O399" s="61"/>
      <c r="P399" s="17"/>
      <c r="Q399" s="61"/>
      <c r="R399" s="61"/>
      <c r="S399" s="17"/>
      <c r="T399" s="61"/>
      <c r="U399" s="61"/>
      <c r="V399" s="359"/>
      <c r="W399" s="391"/>
      <c r="X399" s="17"/>
      <c r="Y399" s="539"/>
      <c r="Z399" s="17"/>
      <c r="AA399" s="17"/>
      <c r="AB399" s="17"/>
      <c r="AC399" s="17"/>
      <c r="AE399" s="111"/>
      <c r="AF399" s="111"/>
      <c r="AG399" s="111"/>
      <c r="AH399" s="112"/>
      <c r="AI399" s="113"/>
      <c r="AK399" s="111"/>
      <c r="AL399" s="111"/>
      <c r="AM399" s="111"/>
      <c r="AN399" s="112"/>
      <c r="AO399" s="113"/>
      <c r="AQ399" s="17"/>
      <c r="AR399" s="17"/>
      <c r="AS399" s="17"/>
      <c r="AT399" s="18"/>
      <c r="AU399" s="91"/>
      <c r="AW399" s="17"/>
      <c r="AX399" s="17"/>
      <c r="AY399" s="17"/>
      <c r="AZ399" s="18"/>
      <c r="BA399" s="91"/>
    </row>
    <row r="400" spans="1:53" ht="17.100000000000001" customHeight="1" x14ac:dyDescent="0.25">
      <c r="A400" s="40"/>
      <c r="B400" s="40"/>
      <c r="C400" s="77"/>
      <c r="D400" s="134"/>
      <c r="E400" s="134"/>
      <c r="F400" s="134"/>
      <c r="G400" s="134"/>
      <c r="H400" s="540"/>
      <c r="I400" s="229"/>
      <c r="J400" s="64"/>
      <c r="K400" s="64"/>
      <c r="L400" s="81"/>
      <c r="M400" s="81"/>
      <c r="N400" s="81">
        <f t="shared" ref="N400:V400" si="446">SUM(N382:N395)</f>
        <v>1</v>
      </c>
      <c r="O400" s="81">
        <f t="shared" si="446"/>
        <v>3</v>
      </c>
      <c r="P400" s="81">
        <f t="shared" si="446"/>
        <v>4</v>
      </c>
      <c r="Q400" s="81">
        <f t="shared" si="446"/>
        <v>1</v>
      </c>
      <c r="R400" s="81">
        <f t="shared" si="446"/>
        <v>2</v>
      </c>
      <c r="S400" s="81">
        <f t="shared" si="446"/>
        <v>3</v>
      </c>
      <c r="T400" s="81">
        <f t="shared" si="446"/>
        <v>0</v>
      </c>
      <c r="U400" s="81">
        <f t="shared" si="446"/>
        <v>0</v>
      </c>
      <c r="V400" s="81">
        <f t="shared" si="446"/>
        <v>0</v>
      </c>
      <c r="W400" s="381">
        <f>SUM(W382:W395)</f>
        <v>2</v>
      </c>
      <c r="X400" s="82">
        <f t="shared" ref="X400:Y400" si="447">SUM(X382:X395)</f>
        <v>5</v>
      </c>
      <c r="Y400" s="82">
        <f t="shared" si="447"/>
        <v>7</v>
      </c>
      <c r="Z400" s="205">
        <f t="shared" ref="Z400" si="448">IF(Y$400=0,0,Y400/Y$400)</f>
        <v>1</v>
      </c>
      <c r="AA400" s="205"/>
      <c r="AB400" s="205"/>
      <c r="AC400" s="83"/>
      <c r="AE400" s="80"/>
      <c r="AF400" s="80"/>
      <c r="AG400" s="81"/>
      <c r="AH400" s="82"/>
      <c r="AI400" s="66"/>
      <c r="AK400" s="80"/>
      <c r="AL400" s="80"/>
      <c r="AM400" s="81"/>
      <c r="AN400" s="82"/>
      <c r="AO400" s="66"/>
      <c r="AQ400" s="80"/>
      <c r="AR400" s="80"/>
      <c r="AS400" s="81"/>
      <c r="AT400" s="82">
        <f t="shared" ref="AT400" si="449">SUM(AT382:AT395)</f>
        <v>2</v>
      </c>
      <c r="AU400" s="66">
        <f>IF(AT$400=0,0,AT400/AT$400)</f>
        <v>1</v>
      </c>
      <c r="AW400" s="80"/>
      <c r="AX400" s="80"/>
      <c r="AY400" s="81"/>
      <c r="AZ400" s="82">
        <f t="shared" ref="AZ400" si="450">SUM(AZ382:AZ395)</f>
        <v>5</v>
      </c>
      <c r="BA400" s="66">
        <f>IF(AZ$400=0,0,AZ400/AZ$400)</f>
        <v>1</v>
      </c>
    </row>
    <row r="401" spans="1:53" ht="17.100000000000001" customHeight="1" x14ac:dyDescent="0.25">
      <c r="A401" s="175"/>
      <c r="B401" s="48" t="s">
        <v>206</v>
      </c>
      <c r="C401" s="49" t="s">
        <v>473</v>
      </c>
      <c r="D401" s="176"/>
      <c r="E401" s="43"/>
      <c r="F401" s="43"/>
      <c r="G401" s="43"/>
      <c r="H401" s="540"/>
      <c r="I401" s="12"/>
      <c r="J401" s="88"/>
      <c r="K401" s="88"/>
      <c r="L401" s="71"/>
      <c r="M401" s="71"/>
      <c r="N401" s="71"/>
      <c r="O401" s="71"/>
      <c r="P401" s="71"/>
      <c r="Q401" s="71"/>
      <c r="R401" s="71"/>
      <c r="S401" s="71"/>
      <c r="T401" s="71"/>
      <c r="U401" s="71"/>
      <c r="V401" s="355"/>
      <c r="W401" s="377"/>
      <c r="X401" s="71"/>
      <c r="Y401" s="89"/>
      <c r="Z401" s="90"/>
      <c r="AA401" s="90"/>
      <c r="AB401" s="90"/>
      <c r="AC401" s="73"/>
      <c r="AE401" s="87"/>
      <c r="AF401" s="87"/>
      <c r="AG401" s="71"/>
      <c r="AH401" s="89"/>
      <c r="AI401" s="90"/>
      <c r="AK401" s="87"/>
      <c r="AL401" s="87"/>
      <c r="AM401" s="71"/>
      <c r="AN401" s="89"/>
      <c r="AO401" s="90"/>
      <c r="AQ401" s="87"/>
      <c r="AR401" s="87"/>
      <c r="AS401" s="71"/>
      <c r="AT401" s="89"/>
      <c r="AU401" s="90"/>
      <c r="AW401" s="87"/>
      <c r="AX401" s="87"/>
      <c r="AY401" s="71"/>
      <c r="AZ401" s="89"/>
      <c r="BA401" s="90"/>
    </row>
    <row r="402" spans="1:53" ht="17.100000000000001" customHeight="1" x14ac:dyDescent="0.25">
      <c r="A402" s="175"/>
      <c r="B402" s="177"/>
      <c r="C402" s="56" t="s">
        <v>207</v>
      </c>
      <c r="D402" s="57" t="s">
        <v>173</v>
      </c>
      <c r="E402" s="75"/>
      <c r="F402" s="75"/>
      <c r="G402" s="75"/>
      <c r="H402" s="540"/>
      <c r="I402" s="12"/>
      <c r="J402" s="111"/>
      <c r="K402" s="111"/>
      <c r="L402" s="111"/>
      <c r="M402" s="111"/>
      <c r="N402" s="60"/>
      <c r="O402" s="60">
        <v>2</v>
      </c>
      <c r="P402" s="17">
        <f t="shared" ref="P402:P406" si="451">SUM(N402:O402)</f>
        <v>2</v>
      </c>
      <c r="Q402" s="60"/>
      <c r="R402" s="60">
        <v>2</v>
      </c>
      <c r="S402" s="17">
        <f t="shared" ref="S402:S406" si="452">SUM(Q402:R402)</f>
        <v>2</v>
      </c>
      <c r="T402" s="60"/>
      <c r="U402" s="60">
        <v>10</v>
      </c>
      <c r="V402" s="359">
        <f t="shared" ref="V402:V406" si="453">SUM(T402:U402)</f>
        <v>10</v>
      </c>
      <c r="W402" s="391">
        <f t="shared" ref="W402:W406" si="454">J402+K402+N402+Q402+T402</f>
        <v>0</v>
      </c>
      <c r="X402" s="17">
        <f t="shared" ref="X402:X406" si="455">L402+O402+R402+U402</f>
        <v>14</v>
      </c>
      <c r="Y402" s="18">
        <f>SUM(W402:X402)</f>
        <v>14</v>
      </c>
      <c r="Z402" s="19">
        <f>IF(Y$407=0,0,Y402/Y$407)</f>
        <v>0.66666666666666663</v>
      </c>
      <c r="AA402" s="19"/>
      <c r="AB402" s="19"/>
      <c r="AC402" s="84"/>
      <c r="AE402" s="111"/>
      <c r="AF402" s="111"/>
      <c r="AG402" s="111"/>
      <c r="AH402" s="112"/>
      <c r="AI402" s="113"/>
      <c r="AK402" s="111"/>
      <c r="AL402" s="111"/>
      <c r="AM402" s="111"/>
      <c r="AN402" s="112"/>
      <c r="AO402" s="113"/>
      <c r="AQ402" s="17"/>
      <c r="AR402" s="17"/>
      <c r="AS402" s="17"/>
      <c r="AT402" s="18">
        <f t="shared" ref="AT402:AT406" si="456">W402</f>
        <v>0</v>
      </c>
      <c r="AU402" s="19">
        <f t="shared" ref="AU402:AU407" si="457">IF(AT$407=0,0,AT402/AT$407)</f>
        <v>0</v>
      </c>
      <c r="AW402" s="17"/>
      <c r="AX402" s="17"/>
      <c r="AY402" s="17"/>
      <c r="AZ402" s="18">
        <f t="shared" ref="AZ402:AZ406" si="458">X402</f>
        <v>14</v>
      </c>
      <c r="BA402" s="19">
        <f t="shared" ref="BA402:BA407" si="459">IF(AZ$407=0,0,AZ402/AZ$407)</f>
        <v>0.73684210526315785</v>
      </c>
    </row>
    <row r="403" spans="1:53" ht="17.100000000000001" customHeight="1" x14ac:dyDescent="0.25">
      <c r="A403" s="175"/>
      <c r="B403" s="177"/>
      <c r="C403" s="56" t="s">
        <v>208</v>
      </c>
      <c r="D403" s="57" t="s">
        <v>209</v>
      </c>
      <c r="E403" s="75"/>
      <c r="F403" s="75"/>
      <c r="G403" s="75"/>
      <c r="H403" s="540"/>
      <c r="I403" s="12"/>
      <c r="J403" s="111"/>
      <c r="K403" s="111"/>
      <c r="L403" s="111"/>
      <c r="M403" s="111"/>
      <c r="N403" s="61">
        <v>1</v>
      </c>
      <c r="O403" s="61">
        <v>3</v>
      </c>
      <c r="P403" s="17">
        <f t="shared" si="451"/>
        <v>4</v>
      </c>
      <c r="Q403" s="61"/>
      <c r="R403" s="61">
        <v>1</v>
      </c>
      <c r="S403" s="17">
        <f t="shared" si="452"/>
        <v>1</v>
      </c>
      <c r="T403" s="61"/>
      <c r="U403" s="61"/>
      <c r="V403" s="359">
        <f t="shared" si="453"/>
        <v>0</v>
      </c>
      <c r="W403" s="391">
        <f t="shared" si="454"/>
        <v>1</v>
      </c>
      <c r="X403" s="17">
        <f t="shared" si="455"/>
        <v>4</v>
      </c>
      <c r="Y403" s="18">
        <f>SUM(W403:X403)</f>
        <v>5</v>
      </c>
      <c r="Z403" s="19">
        <f t="shared" ref="Z403:Z406" si="460">IF(Y$407=0,0,Y403/Y$407)</f>
        <v>0.23809523809523808</v>
      </c>
      <c r="AA403" s="19"/>
      <c r="AB403" s="19"/>
      <c r="AC403" s="84"/>
      <c r="AE403" s="111"/>
      <c r="AF403" s="111"/>
      <c r="AG403" s="111"/>
      <c r="AH403" s="112"/>
      <c r="AI403" s="113"/>
      <c r="AK403" s="111"/>
      <c r="AL403" s="111"/>
      <c r="AM403" s="111"/>
      <c r="AN403" s="112"/>
      <c r="AO403" s="113"/>
      <c r="AQ403" s="17"/>
      <c r="AR403" s="17"/>
      <c r="AS403" s="17"/>
      <c r="AT403" s="18">
        <f t="shared" si="456"/>
        <v>1</v>
      </c>
      <c r="AU403" s="19">
        <f t="shared" si="457"/>
        <v>0.5</v>
      </c>
      <c r="AW403" s="17"/>
      <c r="AX403" s="17"/>
      <c r="AY403" s="17"/>
      <c r="AZ403" s="18">
        <f t="shared" si="458"/>
        <v>4</v>
      </c>
      <c r="BA403" s="19">
        <f t="shared" si="459"/>
        <v>0.21052631578947367</v>
      </c>
    </row>
    <row r="404" spans="1:53" ht="17.100000000000001" customHeight="1" x14ac:dyDescent="0.25">
      <c r="A404" s="175"/>
      <c r="B404" s="177"/>
      <c r="C404" s="56" t="s">
        <v>210</v>
      </c>
      <c r="D404" s="57" t="s">
        <v>211</v>
      </c>
      <c r="E404" s="75"/>
      <c r="F404" s="75"/>
      <c r="G404" s="75"/>
      <c r="H404" s="540"/>
      <c r="I404" s="12"/>
      <c r="J404" s="111"/>
      <c r="K404" s="111"/>
      <c r="L404" s="111"/>
      <c r="M404" s="111"/>
      <c r="N404" s="60"/>
      <c r="O404" s="60"/>
      <c r="P404" s="17">
        <f t="shared" si="451"/>
        <v>0</v>
      </c>
      <c r="Q404" s="60">
        <v>1</v>
      </c>
      <c r="R404" s="60">
        <v>1</v>
      </c>
      <c r="S404" s="17">
        <f t="shared" si="452"/>
        <v>2</v>
      </c>
      <c r="T404" s="60"/>
      <c r="U404" s="60"/>
      <c r="V404" s="359">
        <f t="shared" si="453"/>
        <v>0</v>
      </c>
      <c r="W404" s="391">
        <f t="shared" si="454"/>
        <v>1</v>
      </c>
      <c r="X404" s="17">
        <f t="shared" si="455"/>
        <v>1</v>
      </c>
      <c r="Y404" s="18">
        <f>SUM(W404:X404)</f>
        <v>2</v>
      </c>
      <c r="Z404" s="19">
        <f t="shared" si="460"/>
        <v>9.5238095238095233E-2</v>
      </c>
      <c r="AA404" s="19"/>
      <c r="AB404" s="19"/>
      <c r="AC404" s="84"/>
      <c r="AE404" s="111"/>
      <c r="AF404" s="111"/>
      <c r="AG404" s="111"/>
      <c r="AH404" s="112"/>
      <c r="AI404" s="113"/>
      <c r="AK404" s="111"/>
      <c r="AL404" s="111"/>
      <c r="AM404" s="111"/>
      <c r="AN404" s="112"/>
      <c r="AO404" s="113"/>
      <c r="AQ404" s="17"/>
      <c r="AR404" s="17"/>
      <c r="AS404" s="17"/>
      <c r="AT404" s="18">
        <f t="shared" si="456"/>
        <v>1</v>
      </c>
      <c r="AU404" s="19">
        <f t="shared" si="457"/>
        <v>0.5</v>
      </c>
      <c r="AW404" s="17"/>
      <c r="AX404" s="17"/>
      <c r="AY404" s="17"/>
      <c r="AZ404" s="18">
        <f t="shared" si="458"/>
        <v>1</v>
      </c>
      <c r="BA404" s="19">
        <f t="shared" si="459"/>
        <v>5.2631578947368418E-2</v>
      </c>
    </row>
    <row r="405" spans="1:53" ht="17.100000000000001" customHeight="1" x14ac:dyDescent="0.25">
      <c r="A405" s="175"/>
      <c r="B405" s="177"/>
      <c r="C405" s="56" t="s">
        <v>212</v>
      </c>
      <c r="D405" s="57" t="s">
        <v>213</v>
      </c>
      <c r="E405" s="75"/>
      <c r="F405" s="75"/>
      <c r="G405" s="75"/>
      <c r="H405" s="540"/>
      <c r="I405" s="12"/>
      <c r="J405" s="111"/>
      <c r="K405" s="111"/>
      <c r="L405" s="111"/>
      <c r="M405" s="111"/>
      <c r="N405" s="61"/>
      <c r="O405" s="61"/>
      <c r="P405" s="17">
        <f t="shared" si="451"/>
        <v>0</v>
      </c>
      <c r="Q405" s="61"/>
      <c r="R405" s="61"/>
      <c r="S405" s="17">
        <f t="shared" si="452"/>
        <v>0</v>
      </c>
      <c r="T405" s="61"/>
      <c r="U405" s="61"/>
      <c r="V405" s="359">
        <f t="shared" si="453"/>
        <v>0</v>
      </c>
      <c r="W405" s="391">
        <f t="shared" si="454"/>
        <v>0</v>
      </c>
      <c r="X405" s="17">
        <f t="shared" si="455"/>
        <v>0</v>
      </c>
      <c r="Y405" s="18">
        <f>SUM(W405:X405)</f>
        <v>0</v>
      </c>
      <c r="Z405" s="19">
        <f t="shared" si="460"/>
        <v>0</v>
      </c>
      <c r="AA405" s="19"/>
      <c r="AB405" s="19"/>
      <c r="AC405" s="84"/>
      <c r="AE405" s="111"/>
      <c r="AF405" s="111"/>
      <c r="AG405" s="111"/>
      <c r="AH405" s="112"/>
      <c r="AI405" s="113"/>
      <c r="AK405" s="111"/>
      <c r="AL405" s="111"/>
      <c r="AM405" s="111"/>
      <c r="AN405" s="112"/>
      <c r="AO405" s="113"/>
      <c r="AQ405" s="17"/>
      <c r="AR405" s="17"/>
      <c r="AS405" s="17"/>
      <c r="AT405" s="18">
        <f t="shared" si="456"/>
        <v>0</v>
      </c>
      <c r="AU405" s="19">
        <f t="shared" si="457"/>
        <v>0</v>
      </c>
      <c r="AW405" s="17"/>
      <c r="AX405" s="17"/>
      <c r="AY405" s="17"/>
      <c r="AZ405" s="18">
        <f t="shared" si="458"/>
        <v>0</v>
      </c>
      <c r="BA405" s="19">
        <f t="shared" si="459"/>
        <v>0</v>
      </c>
    </row>
    <row r="406" spans="1:53" ht="17.100000000000001" customHeight="1" x14ac:dyDescent="0.25">
      <c r="A406" s="175"/>
      <c r="B406" s="177"/>
      <c r="C406" s="56" t="s">
        <v>214</v>
      </c>
      <c r="D406" s="147" t="s">
        <v>129</v>
      </c>
      <c r="E406" s="75"/>
      <c r="F406" s="75"/>
      <c r="G406" s="75"/>
      <c r="H406" s="540"/>
      <c r="I406" s="12"/>
      <c r="J406" s="111"/>
      <c r="K406" s="111"/>
      <c r="L406" s="111"/>
      <c r="M406" s="111"/>
      <c r="N406" s="60"/>
      <c r="O406" s="60"/>
      <c r="P406" s="17">
        <f t="shared" si="451"/>
        <v>0</v>
      </c>
      <c r="Q406" s="60"/>
      <c r="R406" s="60"/>
      <c r="S406" s="17">
        <f t="shared" si="452"/>
        <v>0</v>
      </c>
      <c r="T406" s="60"/>
      <c r="U406" s="60"/>
      <c r="V406" s="359">
        <f t="shared" si="453"/>
        <v>0</v>
      </c>
      <c r="W406" s="391">
        <f t="shared" si="454"/>
        <v>0</v>
      </c>
      <c r="X406" s="17">
        <f t="shared" si="455"/>
        <v>0</v>
      </c>
      <c r="Y406" s="18">
        <f>SUM(W406:X406)</f>
        <v>0</v>
      </c>
      <c r="Z406" s="19">
        <f t="shared" si="460"/>
        <v>0</v>
      </c>
      <c r="AA406" s="19"/>
      <c r="AB406" s="19"/>
      <c r="AC406" s="84"/>
      <c r="AE406" s="111"/>
      <c r="AF406" s="111"/>
      <c r="AG406" s="111"/>
      <c r="AH406" s="112"/>
      <c r="AI406" s="113"/>
      <c r="AK406" s="111"/>
      <c r="AL406" s="111"/>
      <c r="AM406" s="111"/>
      <c r="AN406" s="112"/>
      <c r="AO406" s="113"/>
      <c r="AQ406" s="17"/>
      <c r="AR406" s="17"/>
      <c r="AS406" s="17"/>
      <c r="AT406" s="18">
        <f t="shared" si="456"/>
        <v>0</v>
      </c>
      <c r="AU406" s="19">
        <f t="shared" si="457"/>
        <v>0</v>
      </c>
      <c r="AW406" s="17"/>
      <c r="AX406" s="17"/>
      <c r="AY406" s="17"/>
      <c r="AZ406" s="18">
        <f t="shared" si="458"/>
        <v>0</v>
      </c>
      <c r="BA406" s="19">
        <f t="shared" si="459"/>
        <v>0</v>
      </c>
    </row>
    <row r="407" spans="1:53" ht="17.100000000000001" customHeight="1" x14ac:dyDescent="0.25">
      <c r="A407" s="175"/>
      <c r="B407" s="40"/>
      <c r="C407" s="77"/>
      <c r="D407" s="134"/>
      <c r="E407" s="134"/>
      <c r="F407" s="134"/>
      <c r="G407" s="134"/>
      <c r="H407" s="540"/>
      <c r="I407" s="12"/>
      <c r="J407" s="64"/>
      <c r="K407" s="64"/>
      <c r="L407" s="64"/>
      <c r="M407" s="64"/>
      <c r="N407" s="64">
        <f>SUM(N402:N406)</f>
        <v>1</v>
      </c>
      <c r="O407" s="64">
        <f t="shared" ref="O407:V407" si="461">SUM(O402:O406)</f>
        <v>5</v>
      </c>
      <c r="P407" s="64">
        <f t="shared" si="461"/>
        <v>6</v>
      </c>
      <c r="Q407" s="64">
        <f t="shared" si="461"/>
        <v>1</v>
      </c>
      <c r="R407" s="64">
        <f t="shared" si="461"/>
        <v>4</v>
      </c>
      <c r="S407" s="64">
        <f t="shared" si="461"/>
        <v>5</v>
      </c>
      <c r="T407" s="64">
        <f t="shared" si="461"/>
        <v>0</v>
      </c>
      <c r="U407" s="64">
        <f t="shared" si="461"/>
        <v>10</v>
      </c>
      <c r="V407" s="64">
        <f t="shared" si="461"/>
        <v>10</v>
      </c>
      <c r="W407" s="390">
        <f>SUM(W402:W406)</f>
        <v>2</v>
      </c>
      <c r="X407" s="224">
        <f t="shared" ref="X407:Y407" si="462">SUM(X402:X406)</f>
        <v>19</v>
      </c>
      <c r="Y407" s="224">
        <f t="shared" si="462"/>
        <v>21</v>
      </c>
      <c r="Z407" s="66">
        <f>IF(Y$407=0,0,Y407/Y$407)</f>
        <v>1</v>
      </c>
      <c r="AA407" s="66"/>
      <c r="AB407" s="66"/>
      <c r="AC407" s="83"/>
      <c r="AE407" s="80"/>
      <c r="AF407" s="80"/>
      <c r="AG407" s="81"/>
      <c r="AH407" s="82"/>
      <c r="AI407" s="66"/>
      <c r="AK407" s="80"/>
      <c r="AL407" s="80"/>
      <c r="AM407" s="81"/>
      <c r="AN407" s="82"/>
      <c r="AO407" s="66"/>
      <c r="AQ407" s="80"/>
      <c r="AR407" s="80"/>
      <c r="AS407" s="81"/>
      <c r="AT407" s="82">
        <f>SUM(AT402:AT406)</f>
        <v>2</v>
      </c>
      <c r="AU407" s="66">
        <f t="shared" si="457"/>
        <v>1</v>
      </c>
      <c r="AW407" s="80"/>
      <c r="AX407" s="80"/>
      <c r="AY407" s="81"/>
      <c r="AZ407" s="82">
        <f>SUM(AZ402:AZ406)</f>
        <v>19</v>
      </c>
      <c r="BA407" s="66">
        <f t="shared" si="459"/>
        <v>1</v>
      </c>
    </row>
    <row r="408" spans="1:53" s="117" customFormat="1" ht="17.100000000000001" customHeight="1" x14ac:dyDescent="0.25">
      <c r="A408" s="68"/>
      <c r="B408" s="119"/>
      <c r="C408" s="540"/>
      <c r="D408" s="261"/>
      <c r="E408" s="261"/>
      <c r="F408" s="68"/>
      <c r="G408" s="68"/>
      <c r="H408" s="119"/>
      <c r="I408" s="138"/>
      <c r="J408" s="17"/>
      <c r="K408" s="17"/>
      <c r="L408" s="17"/>
      <c r="M408" s="17"/>
      <c r="N408" s="17" t="str">
        <f>IF(N407=N$20,"OK","NOK")</f>
        <v>OK</v>
      </c>
      <c r="O408" s="17" t="str">
        <f>IF(O407=O$20,"OK","NOK")</f>
        <v>OK</v>
      </c>
      <c r="P408" s="17"/>
      <c r="Q408" s="17" t="str">
        <f>IF(Q407=Q$20,"OK","NOK")</f>
        <v>OK</v>
      </c>
      <c r="R408" s="17" t="str">
        <f>IF(R407=R$20,"OK","NOK")</f>
        <v>OK</v>
      </c>
      <c r="S408" s="17"/>
      <c r="T408" s="17" t="str">
        <f>IF(T407=T$20,"OK","NOK")</f>
        <v>OK</v>
      </c>
      <c r="U408" s="17" t="str">
        <f>IF(U407=U$20,"OK","NOK")</f>
        <v>OK</v>
      </c>
      <c r="V408" s="359"/>
      <c r="W408" s="382"/>
      <c r="X408" s="539"/>
      <c r="Y408" s="539"/>
      <c r="Z408" s="201"/>
      <c r="AA408" s="201"/>
      <c r="AB408" s="201"/>
      <c r="AC408" s="84"/>
      <c r="AE408" s="46"/>
      <c r="AF408" s="46"/>
      <c r="AG408" s="17"/>
      <c r="AH408" s="539"/>
      <c r="AI408" s="91"/>
      <c r="AK408" s="46"/>
      <c r="AL408" s="46"/>
      <c r="AM408" s="17"/>
      <c r="AN408" s="539"/>
      <c r="AO408" s="91"/>
      <c r="AQ408" s="46"/>
      <c r="AR408" s="46"/>
      <c r="AS408" s="17"/>
      <c r="AT408" s="539"/>
      <c r="AU408" s="91"/>
      <c r="AW408" s="46"/>
      <c r="AX408" s="46"/>
      <c r="AY408" s="17"/>
      <c r="AZ408" s="539"/>
      <c r="BA408" s="91"/>
    </row>
    <row r="409" spans="1:53" ht="17.100000000000001" customHeight="1" x14ac:dyDescent="0.25">
      <c r="A409" s="68"/>
      <c r="B409" s="48" t="s">
        <v>215</v>
      </c>
      <c r="C409" s="49" t="s">
        <v>216</v>
      </c>
      <c r="D409" s="50"/>
      <c r="E409" s="70"/>
      <c r="F409" s="70"/>
      <c r="G409" s="70"/>
      <c r="H409" s="119"/>
      <c r="J409" s="71"/>
      <c r="K409" s="71"/>
      <c r="L409" s="71"/>
      <c r="M409" s="71"/>
      <c r="N409" s="71">
        <f t="shared" ref="N409:X409" si="463">N403</f>
        <v>1</v>
      </c>
      <c r="O409" s="71">
        <f t="shared" si="463"/>
        <v>3</v>
      </c>
      <c r="P409" s="71"/>
      <c r="Q409" s="71">
        <f t="shared" si="463"/>
        <v>0</v>
      </c>
      <c r="R409" s="71">
        <f t="shared" si="463"/>
        <v>1</v>
      </c>
      <c r="S409" s="71"/>
      <c r="T409" s="71">
        <f t="shared" si="463"/>
        <v>0</v>
      </c>
      <c r="U409" s="71">
        <f t="shared" si="463"/>
        <v>0</v>
      </c>
      <c r="V409" s="355"/>
      <c r="W409" s="377">
        <f t="shared" si="463"/>
        <v>1</v>
      </c>
      <c r="X409" s="71">
        <f t="shared" si="463"/>
        <v>4</v>
      </c>
      <c r="Y409" s="72"/>
      <c r="Z409" s="73"/>
      <c r="AA409" s="73"/>
      <c r="AB409" s="73"/>
      <c r="AC409" s="73"/>
      <c r="AE409" s="71"/>
      <c r="AF409" s="71"/>
      <c r="AG409" s="71"/>
      <c r="AH409" s="72"/>
      <c r="AI409" s="73"/>
      <c r="AK409" s="71"/>
      <c r="AL409" s="71"/>
      <c r="AM409" s="71"/>
      <c r="AN409" s="72"/>
      <c r="AO409" s="73"/>
      <c r="AQ409" s="71"/>
      <c r="AR409" s="71"/>
      <c r="AS409" s="71"/>
      <c r="AT409" s="72"/>
      <c r="AU409" s="73"/>
      <c r="AW409" s="71"/>
      <c r="AX409" s="71"/>
      <c r="AY409" s="71"/>
      <c r="AZ409" s="72"/>
      <c r="BA409" s="73"/>
    </row>
    <row r="410" spans="1:53" ht="17.100000000000001" customHeight="1" x14ac:dyDescent="0.25">
      <c r="A410" s="40"/>
      <c r="B410" s="40"/>
      <c r="C410" s="56" t="s">
        <v>217</v>
      </c>
      <c r="D410" s="149" t="s">
        <v>218</v>
      </c>
      <c r="E410" s="149"/>
      <c r="F410" s="75"/>
      <c r="G410" s="75"/>
      <c r="H410" s="540"/>
      <c r="I410" s="229"/>
      <c r="J410" s="111"/>
      <c r="K410" s="111"/>
      <c r="L410" s="111"/>
      <c r="M410" s="111"/>
      <c r="N410" s="111"/>
      <c r="O410" s="111"/>
      <c r="P410" s="111"/>
      <c r="Q410" s="111"/>
      <c r="R410" s="111"/>
      <c r="S410" s="111"/>
      <c r="T410" s="111"/>
      <c r="U410" s="111"/>
      <c r="V410" s="358"/>
      <c r="W410" s="380"/>
      <c r="X410" s="111"/>
      <c r="Y410" s="545"/>
      <c r="Z410" s="131"/>
      <c r="AA410" s="131"/>
      <c r="AB410" s="131"/>
      <c r="AC410" s="111"/>
      <c r="AE410" s="111"/>
      <c r="AF410" s="111"/>
      <c r="AG410" s="111"/>
      <c r="AH410" s="545"/>
      <c r="AI410" s="131"/>
      <c r="AK410" s="111"/>
      <c r="AL410" s="111"/>
      <c r="AM410" s="111"/>
      <c r="AN410" s="545"/>
      <c r="AO410" s="131"/>
      <c r="AQ410" s="111"/>
      <c r="AR410" s="111"/>
      <c r="AS410" s="111"/>
      <c r="AT410" s="545"/>
      <c r="AU410" s="131"/>
      <c r="AW410" s="111"/>
      <c r="AX410" s="111"/>
      <c r="AY410" s="111"/>
      <c r="AZ410" s="545"/>
      <c r="BA410" s="131"/>
    </row>
    <row r="411" spans="1:53" ht="17.100000000000001" customHeight="1" x14ac:dyDescent="0.25">
      <c r="A411" s="40"/>
      <c r="B411" s="40"/>
      <c r="C411" s="55"/>
      <c r="D411" s="56" t="s">
        <v>219</v>
      </c>
      <c r="E411" s="149" t="s">
        <v>474</v>
      </c>
      <c r="F411" s="75"/>
      <c r="G411" s="75"/>
      <c r="H411" s="540"/>
      <c r="I411" s="229"/>
      <c r="J411" s="111"/>
      <c r="K411" s="111"/>
      <c r="L411" s="111"/>
      <c r="M411" s="111"/>
      <c r="N411" s="60"/>
      <c r="O411" s="60"/>
      <c r="P411" s="17">
        <f t="shared" ref="P411:P415" si="464">SUM(N411:O411)</f>
        <v>0</v>
      </c>
      <c r="Q411" s="60"/>
      <c r="R411" s="60"/>
      <c r="S411" s="17">
        <f t="shared" ref="S411:S415" si="465">SUM(Q411:R411)</f>
        <v>0</v>
      </c>
      <c r="T411" s="60"/>
      <c r="U411" s="60"/>
      <c r="V411" s="359">
        <f t="shared" ref="V411:V415" si="466">SUM(T411:U411)</f>
        <v>0</v>
      </c>
      <c r="W411" s="391">
        <f t="shared" ref="W411:W416" si="467">J411+K411+N411+Q411+T411</f>
        <v>0</v>
      </c>
      <c r="X411" s="17">
        <f t="shared" ref="X411:X416" si="468">L411+O411+R411+U411</f>
        <v>0</v>
      </c>
      <c r="Y411" s="18">
        <f>SUM(W411:X411)</f>
        <v>0</v>
      </c>
      <c r="Z411" s="19">
        <f>IF(Y$421=0,0,Y411/Y$421)</f>
        <v>0</v>
      </c>
      <c r="AA411" s="19"/>
      <c r="AB411" s="19"/>
      <c r="AC411" s="17"/>
      <c r="AE411" s="111"/>
      <c r="AF411" s="111"/>
      <c r="AG411" s="111"/>
      <c r="AH411" s="112"/>
      <c r="AI411" s="113"/>
      <c r="AK411" s="111"/>
      <c r="AL411" s="111"/>
      <c r="AM411" s="111"/>
      <c r="AN411" s="112"/>
      <c r="AO411" s="113"/>
      <c r="AQ411" s="17"/>
      <c r="AR411" s="17"/>
      <c r="AS411" s="17"/>
      <c r="AT411" s="18">
        <f t="shared" ref="AT411:AT416" si="469">W411</f>
        <v>0</v>
      </c>
      <c r="AU411" s="19">
        <f>IF(AT$421=0,0,AT411/AT$421)</f>
        <v>0</v>
      </c>
      <c r="AW411" s="17"/>
      <c r="AX411" s="17"/>
      <c r="AY411" s="17"/>
      <c r="AZ411" s="18">
        <f t="shared" ref="AZ411:AZ416" si="470">X411</f>
        <v>0</v>
      </c>
      <c r="BA411" s="19">
        <f>IF(AZ$421=0,0,AZ411/AZ$421)</f>
        <v>0</v>
      </c>
    </row>
    <row r="412" spans="1:53" ht="17.100000000000001" customHeight="1" x14ac:dyDescent="0.25">
      <c r="A412" s="40"/>
      <c r="B412" s="40"/>
      <c r="C412" s="40"/>
      <c r="D412" s="56" t="s">
        <v>220</v>
      </c>
      <c r="E412" s="149" t="s">
        <v>221</v>
      </c>
      <c r="F412" s="75"/>
      <c r="G412" s="75"/>
      <c r="H412" s="540"/>
      <c r="I412" s="229"/>
      <c r="J412" s="111"/>
      <c r="K412" s="111"/>
      <c r="L412" s="111"/>
      <c r="M412" s="111"/>
      <c r="N412" s="61"/>
      <c r="O412" s="61">
        <v>2</v>
      </c>
      <c r="P412" s="17">
        <f t="shared" si="464"/>
        <v>2</v>
      </c>
      <c r="Q412" s="61"/>
      <c r="R412" s="61"/>
      <c r="S412" s="17">
        <f t="shared" si="465"/>
        <v>0</v>
      </c>
      <c r="T412" s="61"/>
      <c r="U412" s="61"/>
      <c r="V412" s="359">
        <f t="shared" si="466"/>
        <v>0</v>
      </c>
      <c r="W412" s="391">
        <f t="shared" si="467"/>
        <v>0</v>
      </c>
      <c r="X412" s="17">
        <f t="shared" si="468"/>
        <v>2</v>
      </c>
      <c r="Y412" s="18">
        <f>SUM(W412:X412)</f>
        <v>2</v>
      </c>
      <c r="Z412" s="19">
        <f t="shared" ref="Z412:Z415" si="471">IF(Y$421=0,0,Y412/Y$421)</f>
        <v>0.33333333333333331</v>
      </c>
      <c r="AA412" s="19"/>
      <c r="AB412" s="19"/>
      <c r="AC412" s="17"/>
      <c r="AE412" s="111"/>
      <c r="AF412" s="111"/>
      <c r="AG412" s="111"/>
      <c r="AH412" s="112"/>
      <c r="AI412" s="113"/>
      <c r="AK412" s="111"/>
      <c r="AL412" s="111"/>
      <c r="AM412" s="111"/>
      <c r="AN412" s="112"/>
      <c r="AO412" s="113"/>
      <c r="AQ412" s="17"/>
      <c r="AR412" s="17"/>
      <c r="AS412" s="17"/>
      <c r="AT412" s="18">
        <f t="shared" si="469"/>
        <v>0</v>
      </c>
      <c r="AU412" s="19">
        <f t="shared" ref="AU412:AU421" si="472">IF(AT$421=0,0,AT412/AT$421)</f>
        <v>0</v>
      </c>
      <c r="AW412" s="17"/>
      <c r="AX412" s="17"/>
      <c r="AY412" s="17"/>
      <c r="AZ412" s="18">
        <f t="shared" si="470"/>
        <v>2</v>
      </c>
      <c r="BA412" s="19">
        <f t="shared" ref="BA412:BA421" si="473">IF(AZ$421=0,0,AZ412/AZ$421)</f>
        <v>0.5</v>
      </c>
    </row>
    <row r="413" spans="1:53" ht="17.100000000000001" customHeight="1" x14ac:dyDescent="0.25">
      <c r="A413" s="40"/>
      <c r="B413" s="40"/>
      <c r="C413" s="40"/>
      <c r="D413" s="56" t="s">
        <v>222</v>
      </c>
      <c r="E413" s="149" t="s">
        <v>223</v>
      </c>
      <c r="F413" s="75"/>
      <c r="G413" s="75"/>
      <c r="H413" s="540"/>
      <c r="I413" s="229"/>
      <c r="J413" s="111"/>
      <c r="K413" s="111"/>
      <c r="L413" s="111"/>
      <c r="M413" s="111"/>
      <c r="N413" s="60"/>
      <c r="O413" s="60"/>
      <c r="P413" s="17">
        <f t="shared" si="464"/>
        <v>0</v>
      </c>
      <c r="Q413" s="60"/>
      <c r="R413" s="60"/>
      <c r="S413" s="17">
        <f t="shared" si="465"/>
        <v>0</v>
      </c>
      <c r="T413" s="60"/>
      <c r="U413" s="60"/>
      <c r="V413" s="359">
        <f t="shared" si="466"/>
        <v>0</v>
      </c>
      <c r="W413" s="391">
        <f t="shared" si="467"/>
        <v>0</v>
      </c>
      <c r="X413" s="17">
        <f t="shared" si="468"/>
        <v>0</v>
      </c>
      <c r="Y413" s="18">
        <f>SUM(W413:X413)</f>
        <v>0</v>
      </c>
      <c r="Z413" s="19">
        <f t="shared" si="471"/>
        <v>0</v>
      </c>
      <c r="AA413" s="19"/>
      <c r="AB413" s="19"/>
      <c r="AC413" s="17"/>
      <c r="AE413" s="111"/>
      <c r="AF413" s="111"/>
      <c r="AG413" s="111"/>
      <c r="AH413" s="112"/>
      <c r="AI413" s="113"/>
      <c r="AK413" s="111"/>
      <c r="AL413" s="111"/>
      <c r="AM413" s="111"/>
      <c r="AN413" s="112"/>
      <c r="AO413" s="113"/>
      <c r="AQ413" s="17"/>
      <c r="AR413" s="17"/>
      <c r="AS413" s="17"/>
      <c r="AT413" s="18">
        <f t="shared" si="469"/>
        <v>0</v>
      </c>
      <c r="AU413" s="19">
        <f t="shared" si="472"/>
        <v>0</v>
      </c>
      <c r="AW413" s="17"/>
      <c r="AX413" s="17"/>
      <c r="AY413" s="17"/>
      <c r="AZ413" s="18">
        <f t="shared" si="470"/>
        <v>0</v>
      </c>
      <c r="BA413" s="19">
        <f t="shared" si="473"/>
        <v>0</v>
      </c>
    </row>
    <row r="414" spans="1:53" ht="17.100000000000001" customHeight="1" x14ac:dyDescent="0.25">
      <c r="A414" s="40"/>
      <c r="B414" s="40"/>
      <c r="C414" s="40"/>
      <c r="D414" s="56" t="s">
        <v>224</v>
      </c>
      <c r="E414" s="149" t="s">
        <v>225</v>
      </c>
      <c r="F414" s="75"/>
      <c r="G414" s="75"/>
      <c r="H414" s="540"/>
      <c r="I414" s="229"/>
      <c r="J414" s="111"/>
      <c r="K414" s="111"/>
      <c r="L414" s="111"/>
      <c r="M414" s="111"/>
      <c r="N414" s="61">
        <v>1</v>
      </c>
      <c r="O414" s="61">
        <v>1</v>
      </c>
      <c r="P414" s="17">
        <f t="shared" si="464"/>
        <v>2</v>
      </c>
      <c r="Q414" s="61"/>
      <c r="R414" s="61"/>
      <c r="S414" s="17">
        <f t="shared" si="465"/>
        <v>0</v>
      </c>
      <c r="T414" s="61"/>
      <c r="U414" s="61"/>
      <c r="V414" s="359">
        <f t="shared" si="466"/>
        <v>0</v>
      </c>
      <c r="W414" s="391">
        <f t="shared" si="467"/>
        <v>1</v>
      </c>
      <c r="X414" s="17">
        <f t="shared" si="468"/>
        <v>1</v>
      </c>
      <c r="Y414" s="18">
        <f>SUM(W414:X414)</f>
        <v>2</v>
      </c>
      <c r="Z414" s="19">
        <f t="shared" si="471"/>
        <v>0.33333333333333331</v>
      </c>
      <c r="AA414" s="19"/>
      <c r="AB414" s="19"/>
      <c r="AC414" s="17"/>
      <c r="AE414" s="111"/>
      <c r="AF414" s="111"/>
      <c r="AG414" s="111"/>
      <c r="AH414" s="112"/>
      <c r="AI414" s="113"/>
      <c r="AK414" s="111"/>
      <c r="AL414" s="111"/>
      <c r="AM414" s="111"/>
      <c r="AN414" s="112"/>
      <c r="AO414" s="113"/>
      <c r="AQ414" s="17"/>
      <c r="AR414" s="17"/>
      <c r="AS414" s="17"/>
      <c r="AT414" s="18">
        <f t="shared" si="469"/>
        <v>1</v>
      </c>
      <c r="AU414" s="19">
        <f t="shared" si="472"/>
        <v>1</v>
      </c>
      <c r="AW414" s="17"/>
      <c r="AX414" s="17"/>
      <c r="AY414" s="17"/>
      <c r="AZ414" s="18">
        <f t="shared" si="470"/>
        <v>1</v>
      </c>
      <c r="BA414" s="19">
        <f t="shared" si="473"/>
        <v>0.25</v>
      </c>
    </row>
    <row r="415" spans="1:53" ht="17.100000000000001" customHeight="1" x14ac:dyDescent="0.25">
      <c r="A415" s="40"/>
      <c r="B415" s="40"/>
      <c r="C415" s="40"/>
      <c r="D415" s="56" t="s">
        <v>226</v>
      </c>
      <c r="E415" s="75" t="s">
        <v>227</v>
      </c>
      <c r="F415" s="75"/>
      <c r="G415" s="75"/>
      <c r="H415" s="540"/>
      <c r="I415" s="229"/>
      <c r="J415" s="111"/>
      <c r="K415" s="111"/>
      <c r="L415" s="111"/>
      <c r="M415" s="111"/>
      <c r="N415" s="60"/>
      <c r="O415" s="60"/>
      <c r="P415" s="17">
        <f t="shared" si="464"/>
        <v>0</v>
      </c>
      <c r="Q415" s="60"/>
      <c r="R415" s="60"/>
      <c r="S415" s="17">
        <f t="shared" si="465"/>
        <v>0</v>
      </c>
      <c r="T415" s="60"/>
      <c r="U415" s="60"/>
      <c r="V415" s="359">
        <f t="shared" si="466"/>
        <v>0</v>
      </c>
      <c r="W415" s="391">
        <f t="shared" si="467"/>
        <v>0</v>
      </c>
      <c r="X415" s="17">
        <f t="shared" si="468"/>
        <v>0</v>
      </c>
      <c r="Y415" s="18">
        <f>SUM(W415:X415)</f>
        <v>0</v>
      </c>
      <c r="Z415" s="19">
        <f t="shared" si="471"/>
        <v>0</v>
      </c>
      <c r="AA415" s="19"/>
      <c r="AB415" s="19"/>
      <c r="AC415" s="17"/>
      <c r="AE415" s="111"/>
      <c r="AF415" s="111"/>
      <c r="AG415" s="111"/>
      <c r="AH415" s="112"/>
      <c r="AI415" s="113"/>
      <c r="AK415" s="111"/>
      <c r="AL415" s="111"/>
      <c r="AM415" s="111"/>
      <c r="AN415" s="112"/>
      <c r="AO415" s="113"/>
      <c r="AQ415" s="17"/>
      <c r="AR415" s="17"/>
      <c r="AS415" s="17"/>
      <c r="AT415" s="18">
        <f t="shared" si="469"/>
        <v>0</v>
      </c>
      <c r="AU415" s="19">
        <f t="shared" si="472"/>
        <v>0</v>
      </c>
      <c r="AW415" s="17"/>
      <c r="AX415" s="17"/>
      <c r="AY415" s="17"/>
      <c r="AZ415" s="18">
        <f t="shared" si="470"/>
        <v>0</v>
      </c>
      <c r="BA415" s="19">
        <f t="shared" si="473"/>
        <v>0</v>
      </c>
    </row>
    <row r="416" spans="1:53" ht="17.100000000000001" customHeight="1" x14ac:dyDescent="0.25">
      <c r="A416" s="40"/>
      <c r="B416" s="40"/>
      <c r="C416" s="179"/>
      <c r="D416" s="56" t="s">
        <v>228</v>
      </c>
      <c r="E416" s="75" t="s">
        <v>229</v>
      </c>
      <c r="F416" s="75"/>
      <c r="G416" s="75"/>
      <c r="H416" s="540"/>
      <c r="I416" s="229"/>
      <c r="J416" s="111"/>
      <c r="K416" s="111"/>
      <c r="L416" s="111"/>
      <c r="M416" s="111"/>
      <c r="N416" s="111">
        <f t="shared" ref="N416:V416" si="474">SUM(N417:N420)</f>
        <v>0</v>
      </c>
      <c r="O416" s="111">
        <f t="shared" si="474"/>
        <v>0</v>
      </c>
      <c r="P416" s="111">
        <f t="shared" si="474"/>
        <v>0</v>
      </c>
      <c r="Q416" s="111">
        <f t="shared" si="474"/>
        <v>0</v>
      </c>
      <c r="R416" s="111">
        <f t="shared" si="474"/>
        <v>1</v>
      </c>
      <c r="S416" s="111">
        <f t="shared" si="474"/>
        <v>0</v>
      </c>
      <c r="T416" s="111">
        <f t="shared" si="474"/>
        <v>0</v>
      </c>
      <c r="U416" s="111">
        <f t="shared" si="474"/>
        <v>0</v>
      </c>
      <c r="V416" s="111">
        <f t="shared" si="474"/>
        <v>0</v>
      </c>
      <c r="W416" s="380">
        <f t="shared" si="467"/>
        <v>0</v>
      </c>
      <c r="X416" s="111">
        <f t="shared" si="468"/>
        <v>1</v>
      </c>
      <c r="Y416" s="545">
        <f>SUM(J416:X416)</f>
        <v>2</v>
      </c>
      <c r="Z416" s="131">
        <f>IF(Y$421=0,0,Y416/Y$421)</f>
        <v>0.33333333333333331</v>
      </c>
      <c r="AA416" s="131"/>
      <c r="AB416" s="131"/>
      <c r="AC416" s="111"/>
      <c r="AE416" s="111"/>
      <c r="AF416" s="111"/>
      <c r="AG416" s="111"/>
      <c r="AH416" s="112"/>
      <c r="AI416" s="113"/>
      <c r="AK416" s="111"/>
      <c r="AL416" s="111"/>
      <c r="AM416" s="111"/>
      <c r="AN416" s="112"/>
      <c r="AO416" s="113"/>
      <c r="AQ416" s="111"/>
      <c r="AR416" s="111"/>
      <c r="AS416" s="111"/>
      <c r="AT416" s="545">
        <f t="shared" si="469"/>
        <v>0</v>
      </c>
      <c r="AU416" s="404">
        <f t="shared" si="472"/>
        <v>0</v>
      </c>
      <c r="AW416" s="174"/>
      <c r="AX416" s="174"/>
      <c r="AY416" s="174"/>
      <c r="AZ416" s="405">
        <f t="shared" si="470"/>
        <v>1</v>
      </c>
      <c r="BA416" s="404">
        <f t="shared" si="473"/>
        <v>0.25</v>
      </c>
    </row>
    <row r="417" spans="1:53" ht="17.100000000000001" customHeight="1" x14ac:dyDescent="0.25">
      <c r="A417" s="40"/>
      <c r="B417" s="40"/>
      <c r="C417" s="179"/>
      <c r="D417" s="74"/>
      <c r="E417" s="168"/>
      <c r="F417" s="169"/>
      <c r="G417" s="169"/>
      <c r="H417" s="17"/>
      <c r="I417" s="594"/>
      <c r="J417" s="111"/>
      <c r="K417" s="111"/>
      <c r="L417" s="111"/>
      <c r="M417" s="111"/>
      <c r="N417" s="60"/>
      <c r="O417" s="60"/>
      <c r="P417" s="17"/>
      <c r="Q417" s="60"/>
      <c r="R417" s="60">
        <v>1</v>
      </c>
      <c r="S417" s="17"/>
      <c r="T417" s="60"/>
      <c r="U417" s="60"/>
      <c r="V417" s="359"/>
      <c r="W417" s="391"/>
      <c r="X417" s="17"/>
      <c r="Y417" s="18"/>
      <c r="Z417" s="19"/>
      <c r="AA417" s="19"/>
      <c r="AB417" s="19"/>
      <c r="AC417" s="17"/>
      <c r="AE417" s="111"/>
      <c r="AF417" s="111"/>
      <c r="AG417" s="111"/>
      <c r="AH417" s="545"/>
      <c r="AI417" s="131"/>
      <c r="AK417" s="111"/>
      <c r="AL417" s="111"/>
      <c r="AM417" s="111"/>
      <c r="AN417" s="545"/>
      <c r="AO417" s="131"/>
      <c r="AQ417" s="17"/>
      <c r="AR417" s="17"/>
      <c r="AS417" s="17"/>
      <c r="AT417" s="18"/>
      <c r="AU417" s="19"/>
      <c r="AW417" s="17"/>
      <c r="AX417" s="17"/>
      <c r="AY417" s="17"/>
      <c r="AZ417" s="18"/>
      <c r="BA417" s="19"/>
    </row>
    <row r="418" spans="1:53" ht="17.100000000000001" customHeight="1" x14ac:dyDescent="0.25">
      <c r="A418" s="40"/>
      <c r="B418" s="40"/>
      <c r="C418" s="179"/>
      <c r="D418" s="74"/>
      <c r="E418" s="170"/>
      <c r="F418" s="171"/>
      <c r="G418" s="171"/>
      <c r="H418" s="17"/>
      <c r="I418" s="594"/>
      <c r="J418" s="111"/>
      <c r="K418" s="111"/>
      <c r="L418" s="111"/>
      <c r="M418" s="111"/>
      <c r="N418" s="61"/>
      <c r="O418" s="61"/>
      <c r="P418" s="17"/>
      <c r="Q418" s="61"/>
      <c r="R418" s="61"/>
      <c r="S418" s="17"/>
      <c r="T418" s="61"/>
      <c r="U418" s="61"/>
      <c r="V418" s="359"/>
      <c r="W418" s="391"/>
      <c r="X418" s="17"/>
      <c r="Y418" s="18"/>
      <c r="Z418" s="19"/>
      <c r="AA418" s="19"/>
      <c r="AB418" s="19"/>
      <c r="AC418" s="17"/>
      <c r="AE418" s="111"/>
      <c r="AF418" s="111"/>
      <c r="AG418" s="111"/>
      <c r="AH418" s="545"/>
      <c r="AI418" s="131"/>
      <c r="AK418" s="111"/>
      <c r="AL418" s="111"/>
      <c r="AM418" s="111"/>
      <c r="AN418" s="545"/>
      <c r="AO418" s="131"/>
      <c r="AQ418" s="17"/>
      <c r="AR418" s="17"/>
      <c r="AS418" s="17"/>
      <c r="AT418" s="18"/>
      <c r="AU418" s="19"/>
      <c r="AW418" s="17"/>
      <c r="AX418" s="17"/>
      <c r="AY418" s="17"/>
      <c r="AZ418" s="18"/>
      <c r="BA418" s="19"/>
    </row>
    <row r="419" spans="1:53" ht="17.100000000000001" customHeight="1" x14ac:dyDescent="0.25">
      <c r="A419" s="40"/>
      <c r="B419" s="40"/>
      <c r="C419" s="179"/>
      <c r="D419" s="74"/>
      <c r="E419" s="168"/>
      <c r="F419" s="169"/>
      <c r="G419" s="169"/>
      <c r="H419" s="17"/>
      <c r="I419" s="594"/>
      <c r="J419" s="111"/>
      <c r="K419" s="111"/>
      <c r="L419" s="111"/>
      <c r="M419" s="111"/>
      <c r="N419" s="60"/>
      <c r="O419" s="60"/>
      <c r="P419" s="17"/>
      <c r="Q419" s="60"/>
      <c r="R419" s="60"/>
      <c r="S419" s="17"/>
      <c r="T419" s="60"/>
      <c r="U419" s="60"/>
      <c r="V419" s="359"/>
      <c r="W419" s="391"/>
      <c r="X419" s="17"/>
      <c r="Y419" s="18"/>
      <c r="Z419" s="19"/>
      <c r="AA419" s="19"/>
      <c r="AB419" s="19"/>
      <c r="AC419" s="17"/>
      <c r="AE419" s="111"/>
      <c r="AF419" s="111"/>
      <c r="AG419" s="111"/>
      <c r="AH419" s="545"/>
      <c r="AI419" s="131"/>
      <c r="AK419" s="111"/>
      <c r="AL419" s="111"/>
      <c r="AM419" s="111"/>
      <c r="AN419" s="545"/>
      <c r="AO419" s="131"/>
      <c r="AQ419" s="17"/>
      <c r="AR419" s="17"/>
      <c r="AS419" s="17"/>
      <c r="AT419" s="18"/>
      <c r="AU419" s="19"/>
      <c r="AW419" s="17"/>
      <c r="AX419" s="17"/>
      <c r="AY419" s="17"/>
      <c r="AZ419" s="18"/>
      <c r="BA419" s="19"/>
    </row>
    <row r="420" spans="1:53" ht="17.100000000000001" customHeight="1" x14ac:dyDescent="0.25">
      <c r="A420" s="40"/>
      <c r="B420" s="40"/>
      <c r="C420" s="179"/>
      <c r="D420" s="74"/>
      <c r="E420" s="170"/>
      <c r="F420" s="171"/>
      <c r="G420" s="171"/>
      <c r="H420" s="17"/>
      <c r="I420" s="594"/>
      <c r="J420" s="111"/>
      <c r="K420" s="111"/>
      <c r="L420" s="111"/>
      <c r="M420" s="111"/>
      <c r="N420" s="61"/>
      <c r="O420" s="61"/>
      <c r="P420" s="17"/>
      <c r="Q420" s="61"/>
      <c r="R420" s="61"/>
      <c r="S420" s="17"/>
      <c r="T420" s="61"/>
      <c r="U420" s="61"/>
      <c r="V420" s="359"/>
      <c r="W420" s="391"/>
      <c r="X420" s="17"/>
      <c r="Y420" s="18"/>
      <c r="Z420" s="19"/>
      <c r="AA420" s="19"/>
      <c r="AB420" s="19"/>
      <c r="AC420" s="17"/>
      <c r="AE420" s="111"/>
      <c r="AF420" s="111"/>
      <c r="AG420" s="111"/>
      <c r="AH420" s="545"/>
      <c r="AI420" s="131"/>
      <c r="AK420" s="111"/>
      <c r="AL420" s="111"/>
      <c r="AM420" s="111"/>
      <c r="AN420" s="545"/>
      <c r="AO420" s="131"/>
      <c r="AQ420" s="17"/>
      <c r="AR420" s="17"/>
      <c r="AS420" s="17"/>
      <c r="AT420" s="18"/>
      <c r="AU420" s="19"/>
      <c r="AW420" s="17"/>
      <c r="AX420" s="17"/>
      <c r="AY420" s="17"/>
      <c r="AZ420" s="18"/>
      <c r="BA420" s="19"/>
    </row>
    <row r="421" spans="1:53" ht="17.100000000000001" customHeight="1" x14ac:dyDescent="0.25">
      <c r="A421" s="40"/>
      <c r="B421" s="40"/>
      <c r="C421" s="77"/>
      <c r="D421" s="134"/>
      <c r="E421" s="134"/>
      <c r="F421" s="134"/>
      <c r="G421" s="134"/>
      <c r="H421" s="540"/>
      <c r="I421" s="229"/>
      <c r="J421" s="80"/>
      <c r="K421" s="80"/>
      <c r="L421" s="81"/>
      <c r="M421" s="81"/>
      <c r="N421" s="81">
        <f>SUM(N411:N416)</f>
        <v>1</v>
      </c>
      <c r="O421" s="81">
        <f t="shared" ref="O421:V421" si="475">SUM(O411:O416)</f>
        <v>3</v>
      </c>
      <c r="P421" s="81">
        <f t="shared" si="475"/>
        <v>4</v>
      </c>
      <c r="Q421" s="81">
        <f t="shared" si="475"/>
        <v>0</v>
      </c>
      <c r="R421" s="81">
        <f t="shared" si="475"/>
        <v>1</v>
      </c>
      <c r="S421" s="81">
        <f t="shared" si="475"/>
        <v>0</v>
      </c>
      <c r="T421" s="81">
        <f t="shared" si="475"/>
        <v>0</v>
      </c>
      <c r="U421" s="81">
        <f t="shared" si="475"/>
        <v>0</v>
      </c>
      <c r="V421" s="81">
        <f t="shared" si="475"/>
        <v>0</v>
      </c>
      <c r="W421" s="381">
        <f>SUM(W411:W416)</f>
        <v>1</v>
      </c>
      <c r="X421" s="82">
        <f t="shared" ref="X421:Y421" si="476">SUM(X411:X416)</f>
        <v>4</v>
      </c>
      <c r="Y421" s="82">
        <f t="shared" si="476"/>
        <v>6</v>
      </c>
      <c r="Z421" s="205">
        <f t="shared" ref="Z421" si="477">IF(Y$421=0,0,Y421/Y$421)</f>
        <v>1</v>
      </c>
      <c r="AA421" s="205"/>
      <c r="AB421" s="205"/>
      <c r="AC421" s="83"/>
      <c r="AE421" s="80"/>
      <c r="AF421" s="80"/>
      <c r="AG421" s="81"/>
      <c r="AH421" s="82"/>
      <c r="AI421" s="66"/>
      <c r="AK421" s="80"/>
      <c r="AL421" s="80"/>
      <c r="AM421" s="81"/>
      <c r="AN421" s="82"/>
      <c r="AO421" s="66"/>
      <c r="AQ421" s="80"/>
      <c r="AR421" s="80"/>
      <c r="AS421" s="81"/>
      <c r="AT421" s="82">
        <f>SUM(AT411:AT416)</f>
        <v>1</v>
      </c>
      <c r="AU421" s="66">
        <f t="shared" si="472"/>
        <v>1</v>
      </c>
      <c r="AW421" s="80"/>
      <c r="AX421" s="80"/>
      <c r="AY421" s="81"/>
      <c r="AZ421" s="82">
        <f>SUM(AZ411:AZ416)</f>
        <v>4</v>
      </c>
      <c r="BA421" s="66">
        <f t="shared" si="473"/>
        <v>1</v>
      </c>
    </row>
    <row r="422" spans="1:53" s="117" customFormat="1" ht="17.100000000000001" customHeight="1" x14ac:dyDescent="0.25">
      <c r="A422" s="68"/>
      <c r="B422" s="119"/>
      <c r="C422" s="540"/>
      <c r="D422" s="261"/>
      <c r="E422" s="261"/>
      <c r="F422" s="68"/>
      <c r="G422" s="68"/>
      <c r="H422" s="119"/>
      <c r="I422" s="138"/>
      <c r="J422" s="17"/>
      <c r="K422" s="17"/>
      <c r="L422" s="17"/>
      <c r="M422" s="17"/>
      <c r="N422" s="17" t="str">
        <f>IF(N421&gt;=N$409,"OK","NOK")</f>
        <v>OK</v>
      </c>
      <c r="O422" s="17" t="str">
        <f t="shared" ref="O422:U422" si="478">IF(O421&gt;=O$409,"OK","NOK")</f>
        <v>OK</v>
      </c>
      <c r="P422" s="17"/>
      <c r="Q422" s="17" t="str">
        <f t="shared" si="478"/>
        <v>OK</v>
      </c>
      <c r="R422" s="17" t="str">
        <f t="shared" si="478"/>
        <v>OK</v>
      </c>
      <c r="S422" s="17"/>
      <c r="T422" s="17" t="str">
        <f t="shared" si="478"/>
        <v>OK</v>
      </c>
      <c r="U422" s="17" t="str">
        <f t="shared" si="478"/>
        <v>OK</v>
      </c>
      <c r="V422" s="17"/>
      <c r="W422" s="382"/>
      <c r="X422" s="539"/>
      <c r="Y422" s="539"/>
      <c r="Z422" s="201"/>
      <c r="AA422" s="201"/>
      <c r="AB422" s="201"/>
      <c r="AC422" s="84"/>
      <c r="AE422" s="46"/>
      <c r="AF422" s="46"/>
      <c r="AG422" s="17"/>
      <c r="AH422" s="539"/>
      <c r="AI422" s="91"/>
      <c r="AK422" s="46"/>
      <c r="AL422" s="46"/>
      <c r="AM422" s="17"/>
      <c r="AN422" s="539"/>
      <c r="AO422" s="91"/>
      <c r="AQ422" s="46"/>
      <c r="AR422" s="46"/>
      <c r="AS422" s="17"/>
      <c r="AT422" s="539"/>
      <c r="AU422" s="91"/>
      <c r="AW422" s="46"/>
      <c r="AX422" s="46"/>
      <c r="AY422" s="17"/>
      <c r="AZ422" s="539"/>
      <c r="BA422" s="91"/>
    </row>
    <row r="423" spans="1:53" ht="17.100000000000001" customHeight="1" x14ac:dyDescent="0.25">
      <c r="A423" s="175"/>
      <c r="B423" s="40"/>
      <c r="C423" s="56" t="s">
        <v>230</v>
      </c>
      <c r="D423" s="57" t="s">
        <v>231</v>
      </c>
      <c r="E423" s="149"/>
      <c r="F423" s="149"/>
      <c r="G423" s="149"/>
      <c r="H423" s="182"/>
      <c r="I423" s="241"/>
      <c r="J423" s="152"/>
      <c r="K423" s="152"/>
      <c r="L423" s="111"/>
      <c r="M423" s="111"/>
      <c r="N423" s="111"/>
      <c r="O423" s="111"/>
      <c r="P423" s="111"/>
      <c r="Q423" s="111"/>
      <c r="R423" s="111"/>
      <c r="S423" s="111"/>
      <c r="T423" s="111"/>
      <c r="U423" s="111"/>
      <c r="V423" s="358"/>
      <c r="W423" s="380"/>
      <c r="X423" s="111"/>
      <c r="Y423" s="545"/>
      <c r="Z423" s="131"/>
      <c r="AA423" s="131"/>
      <c r="AB423" s="131"/>
      <c r="AC423" s="113"/>
      <c r="AE423" s="152"/>
      <c r="AF423" s="152"/>
      <c r="AG423" s="111"/>
      <c r="AH423" s="545"/>
      <c r="AI423" s="131"/>
      <c r="AK423" s="152"/>
      <c r="AL423" s="152"/>
      <c r="AM423" s="111"/>
      <c r="AN423" s="545"/>
      <c r="AO423" s="131"/>
      <c r="AQ423" s="152"/>
      <c r="AR423" s="152"/>
      <c r="AS423" s="111"/>
      <c r="AT423" s="545"/>
      <c r="AU423" s="131"/>
      <c r="AW423" s="152"/>
      <c r="AX423" s="152"/>
      <c r="AY423" s="111"/>
      <c r="AZ423" s="545"/>
      <c r="BA423" s="131"/>
    </row>
    <row r="424" spans="1:53" ht="17.100000000000001" customHeight="1" x14ac:dyDescent="0.25">
      <c r="A424" s="175"/>
      <c r="B424" s="40"/>
      <c r="C424" s="55"/>
      <c r="D424" s="56" t="s">
        <v>232</v>
      </c>
      <c r="E424" s="85" t="s">
        <v>173</v>
      </c>
      <c r="F424" s="167"/>
      <c r="G424" s="149"/>
      <c r="H424" s="182"/>
      <c r="I424" s="241"/>
      <c r="J424" s="111"/>
      <c r="K424" s="111"/>
      <c r="L424" s="111"/>
      <c r="M424" s="111"/>
      <c r="N424" s="60"/>
      <c r="O424" s="60"/>
      <c r="P424" s="17">
        <f>SUM(N424:O424)</f>
        <v>0</v>
      </c>
      <c r="Q424" s="60"/>
      <c r="R424" s="60"/>
      <c r="S424" s="17">
        <f>SUM(Q424:R424)</f>
        <v>0</v>
      </c>
      <c r="T424" s="60"/>
      <c r="U424" s="60"/>
      <c r="V424" s="359">
        <f>SUM(T424:U424)</f>
        <v>0</v>
      </c>
      <c r="W424" s="391">
        <f t="shared" ref="W424:W425" si="479">J424+K424+N424+Q424+T424</f>
        <v>0</v>
      </c>
      <c r="X424" s="17">
        <f t="shared" ref="X424:X425" si="480">L424+O424+R424+U424</f>
        <v>0</v>
      </c>
      <c r="Y424" s="18">
        <f>SUM(W424:X424)</f>
        <v>0</v>
      </c>
      <c r="Z424" s="19">
        <f>IF(Y$370=0,0,Y424/Y$370)</f>
        <v>0</v>
      </c>
      <c r="AA424" s="19"/>
      <c r="AB424" s="19"/>
      <c r="AC424" s="20"/>
      <c r="AE424" s="111"/>
      <c r="AF424" s="111"/>
      <c r="AG424" s="111"/>
      <c r="AH424" s="112"/>
      <c r="AI424" s="113"/>
      <c r="AK424" s="111"/>
      <c r="AL424" s="111"/>
      <c r="AM424" s="111"/>
      <c r="AN424" s="112"/>
      <c r="AO424" s="113"/>
      <c r="AQ424" s="17"/>
      <c r="AR424" s="17"/>
      <c r="AS424" s="17"/>
      <c r="AT424" s="18">
        <f t="shared" ref="AT424:AT425" si="481">W424</f>
        <v>0</v>
      </c>
      <c r="AU424" s="19">
        <f>IF(AT$430=0,0,AT424/AT$430)</f>
        <v>0</v>
      </c>
      <c r="AW424" s="17"/>
      <c r="AX424" s="17"/>
      <c r="AY424" s="17"/>
      <c r="AZ424" s="18">
        <f t="shared" ref="AZ424:AZ425" si="482">X424</f>
        <v>0</v>
      </c>
      <c r="BA424" s="19">
        <f>IF(AZ$430=0,0,AZ424/AZ$430)</f>
        <v>0</v>
      </c>
    </row>
    <row r="425" spans="1:53" ht="17.100000000000001" customHeight="1" x14ac:dyDescent="0.25">
      <c r="A425" s="175"/>
      <c r="B425" s="40"/>
      <c r="C425" s="55"/>
      <c r="D425" s="56" t="s">
        <v>233</v>
      </c>
      <c r="E425" s="85" t="s">
        <v>544</v>
      </c>
      <c r="F425" s="167"/>
      <c r="G425" s="149"/>
      <c r="H425" s="182"/>
      <c r="I425" s="241"/>
      <c r="J425" s="111"/>
      <c r="K425" s="111"/>
      <c r="L425" s="111"/>
      <c r="M425" s="111"/>
      <c r="N425" s="61"/>
      <c r="O425" s="61">
        <v>3</v>
      </c>
      <c r="P425" s="17">
        <f t="shared" ref="P425:P429" si="483">SUM(N425:O425)</f>
        <v>3</v>
      </c>
      <c r="Q425" s="61"/>
      <c r="R425" s="61">
        <v>1</v>
      </c>
      <c r="S425" s="17">
        <f t="shared" ref="S425:S429" si="484">SUM(Q425:R425)</f>
        <v>1</v>
      </c>
      <c r="T425" s="61"/>
      <c r="U425" s="61"/>
      <c r="V425" s="359">
        <f t="shared" ref="V425:V429" si="485">SUM(T425:U425)</f>
        <v>0</v>
      </c>
      <c r="W425" s="391">
        <f t="shared" si="479"/>
        <v>0</v>
      </c>
      <c r="X425" s="17">
        <f t="shared" si="480"/>
        <v>4</v>
      </c>
      <c r="Y425" s="18">
        <f>SUM(W425:X425)</f>
        <v>4</v>
      </c>
      <c r="Z425" s="19">
        <f>IF(Y$370=0,0,Y425/Y$370)</f>
        <v>0</v>
      </c>
      <c r="AA425" s="19"/>
      <c r="AB425" s="19"/>
      <c r="AC425" s="20"/>
      <c r="AE425" s="111"/>
      <c r="AF425" s="111"/>
      <c r="AG425" s="111"/>
      <c r="AH425" s="112"/>
      <c r="AI425" s="113"/>
      <c r="AK425" s="111"/>
      <c r="AL425" s="111"/>
      <c r="AM425" s="111"/>
      <c r="AN425" s="112"/>
      <c r="AO425" s="113"/>
      <c r="AQ425" s="17"/>
      <c r="AR425" s="17"/>
      <c r="AS425" s="17"/>
      <c r="AT425" s="18">
        <f t="shared" si="481"/>
        <v>0</v>
      </c>
      <c r="AU425" s="19">
        <f>IF(AT$430=0,0,AT425/AT$430)</f>
        <v>0</v>
      </c>
      <c r="AW425" s="17"/>
      <c r="AX425" s="17"/>
      <c r="AY425" s="17"/>
      <c r="AZ425" s="18">
        <f t="shared" si="482"/>
        <v>4</v>
      </c>
      <c r="BA425" s="19">
        <f>IF(AZ$430=0,0,AZ425/AZ$430)</f>
        <v>1</v>
      </c>
    </row>
    <row r="426" spans="1:53" ht="17.100000000000001" customHeight="1" x14ac:dyDescent="0.25">
      <c r="A426" s="175"/>
      <c r="B426" s="40"/>
      <c r="C426" s="55"/>
      <c r="D426" s="56" t="s">
        <v>234</v>
      </c>
      <c r="E426" s="146" t="s">
        <v>484</v>
      </c>
      <c r="F426" s="149"/>
      <c r="G426" s="149"/>
      <c r="H426" s="182"/>
      <c r="I426" s="241"/>
      <c r="J426" s="111"/>
      <c r="K426" s="111"/>
      <c r="L426" s="111"/>
      <c r="M426" s="111"/>
      <c r="N426" s="60"/>
      <c r="O426" s="60">
        <v>50000</v>
      </c>
      <c r="P426" s="17"/>
      <c r="Q426" s="60"/>
      <c r="R426" s="60">
        <v>200000</v>
      </c>
      <c r="S426" s="17"/>
      <c r="T426" s="60"/>
      <c r="U426" s="60"/>
      <c r="V426" s="359"/>
      <c r="W426" s="391">
        <f>MIN(N426,Q426,T426)</f>
        <v>0</v>
      </c>
      <c r="X426" s="17">
        <f>MIN(O426,R426,U426)</f>
        <v>50000</v>
      </c>
      <c r="Y426" s="18"/>
      <c r="Z426" s="19"/>
      <c r="AA426" s="17">
        <f>MIN(N426:U426)</f>
        <v>50000</v>
      </c>
      <c r="AB426" s="17"/>
      <c r="AC426" s="17"/>
      <c r="AE426" s="111"/>
      <c r="AF426" s="111"/>
      <c r="AG426" s="111"/>
      <c r="AH426" s="545"/>
      <c r="AI426" s="131"/>
      <c r="AK426" s="111"/>
      <c r="AL426" s="111"/>
      <c r="AM426" s="111"/>
      <c r="AN426" s="545"/>
      <c r="AO426" s="131"/>
      <c r="AQ426" s="17">
        <f>W426</f>
        <v>0</v>
      </c>
      <c r="AR426" s="17"/>
      <c r="AS426" s="17"/>
      <c r="AT426" s="18"/>
      <c r="AU426" s="19"/>
      <c r="AW426" s="17">
        <f>X426</f>
        <v>50000</v>
      </c>
      <c r="AX426" s="17"/>
      <c r="AY426" s="17"/>
      <c r="AZ426" s="18"/>
      <c r="BA426" s="19"/>
    </row>
    <row r="427" spans="1:53" ht="17.100000000000001" customHeight="1" x14ac:dyDescent="0.25">
      <c r="A427" s="175"/>
      <c r="B427" s="40"/>
      <c r="C427" s="55"/>
      <c r="D427" s="56" t="s">
        <v>235</v>
      </c>
      <c r="E427" s="146" t="s">
        <v>485</v>
      </c>
      <c r="F427" s="149"/>
      <c r="G427" s="149"/>
      <c r="H427" s="182"/>
      <c r="I427" s="241"/>
      <c r="J427" s="111"/>
      <c r="K427" s="111"/>
      <c r="L427" s="111"/>
      <c r="M427" s="111"/>
      <c r="N427" s="61"/>
      <c r="O427" s="61">
        <v>500000</v>
      </c>
      <c r="P427" s="17"/>
      <c r="Q427" s="61"/>
      <c r="R427" s="61">
        <v>200000</v>
      </c>
      <c r="S427" s="17"/>
      <c r="T427" s="61"/>
      <c r="U427" s="61"/>
      <c r="V427" s="359"/>
      <c r="W427" s="391">
        <f>MAX(N427,Q427,T427)</f>
        <v>0</v>
      </c>
      <c r="X427" s="17">
        <f>MAX(O427,R427,U427)</f>
        <v>500000</v>
      </c>
      <c r="Y427" s="18"/>
      <c r="Z427" s="19"/>
      <c r="AA427" s="17"/>
      <c r="AB427" s="17">
        <f>MAX(N427:U427)</f>
        <v>500000</v>
      </c>
      <c r="AC427" s="17"/>
      <c r="AE427" s="111"/>
      <c r="AF427" s="111"/>
      <c r="AG427" s="111"/>
      <c r="AH427" s="545"/>
      <c r="AI427" s="131"/>
      <c r="AK427" s="111"/>
      <c r="AL427" s="111"/>
      <c r="AM427" s="111"/>
      <c r="AN427" s="545"/>
      <c r="AO427" s="131"/>
      <c r="AQ427" s="17"/>
      <c r="AR427" s="17">
        <f>W427</f>
        <v>0</v>
      </c>
      <c r="AS427" s="17"/>
      <c r="AT427" s="18"/>
      <c r="AU427" s="19"/>
      <c r="AW427" s="17"/>
      <c r="AX427" s="17">
        <f>X427</f>
        <v>500000</v>
      </c>
      <c r="AY427" s="17"/>
      <c r="AZ427" s="18"/>
      <c r="BA427" s="19"/>
    </row>
    <row r="428" spans="1:53" ht="17.100000000000001" customHeight="1" x14ac:dyDescent="0.25">
      <c r="A428" s="175"/>
      <c r="B428" s="40"/>
      <c r="C428" s="55"/>
      <c r="D428" s="56" t="s">
        <v>236</v>
      </c>
      <c r="E428" s="146" t="s">
        <v>543</v>
      </c>
      <c r="F428" s="149"/>
      <c r="G428" s="149"/>
      <c r="H428" s="182"/>
      <c r="I428" s="241"/>
      <c r="J428" s="111"/>
      <c r="K428" s="111"/>
      <c r="L428" s="111"/>
      <c r="M428" s="111"/>
      <c r="N428" s="60"/>
      <c r="O428" s="60">
        <v>233000</v>
      </c>
      <c r="P428" s="17"/>
      <c r="Q428" s="60"/>
      <c r="R428" s="60">
        <v>200000</v>
      </c>
      <c r="S428" s="17"/>
      <c r="T428" s="60"/>
      <c r="U428" s="60"/>
      <c r="V428" s="359"/>
      <c r="W428" s="391">
        <f>IF(N428+Q428+T428=0,0,AVERAGE(N428,Q428,T428))</f>
        <v>0</v>
      </c>
      <c r="X428" s="17">
        <f>IF(O428+R428+U428=0,0,AVERAGE(O428,R428,U428))</f>
        <v>216500</v>
      </c>
      <c r="Y428" s="18"/>
      <c r="Z428" s="19"/>
      <c r="AA428" s="17"/>
      <c r="AB428" s="17"/>
      <c r="AC428" s="17">
        <f>IF(SUM(N428:U428)=0,0,AVERAGE(N428:U428))</f>
        <v>216500</v>
      </c>
      <c r="AE428" s="111"/>
      <c r="AF428" s="111"/>
      <c r="AG428" s="111"/>
      <c r="AH428" s="545"/>
      <c r="AI428" s="131"/>
      <c r="AK428" s="111"/>
      <c r="AL428" s="111"/>
      <c r="AM428" s="111"/>
      <c r="AN428" s="545"/>
      <c r="AO428" s="131"/>
      <c r="AQ428" s="17"/>
      <c r="AR428" s="17"/>
      <c r="AS428" s="17">
        <f>W428</f>
        <v>0</v>
      </c>
      <c r="AT428" s="18"/>
      <c r="AU428" s="19"/>
      <c r="AW428" s="17"/>
      <c r="AX428" s="17"/>
      <c r="AY428" s="17">
        <f>X428</f>
        <v>216500</v>
      </c>
      <c r="AZ428" s="18"/>
      <c r="BA428" s="19"/>
    </row>
    <row r="429" spans="1:53" ht="17.100000000000001" customHeight="1" x14ac:dyDescent="0.25">
      <c r="A429" s="175"/>
      <c r="B429" s="40"/>
      <c r="C429" s="55"/>
      <c r="D429" s="56" t="s">
        <v>237</v>
      </c>
      <c r="E429" s="85" t="s">
        <v>129</v>
      </c>
      <c r="F429" s="167"/>
      <c r="G429" s="149"/>
      <c r="H429" s="182"/>
      <c r="I429" s="241"/>
      <c r="J429" s="111"/>
      <c r="K429" s="111"/>
      <c r="L429" s="111"/>
      <c r="M429" s="111"/>
      <c r="N429" s="61">
        <v>1</v>
      </c>
      <c r="O429" s="61"/>
      <c r="P429" s="17">
        <f t="shared" si="483"/>
        <v>1</v>
      </c>
      <c r="Q429" s="61"/>
      <c r="R429" s="61"/>
      <c r="S429" s="17">
        <f t="shared" si="484"/>
        <v>0</v>
      </c>
      <c r="T429" s="61"/>
      <c r="U429" s="61"/>
      <c r="V429" s="359">
        <f t="shared" si="485"/>
        <v>0</v>
      </c>
      <c r="W429" s="391">
        <f t="shared" ref="W429" si="486">J429+K429+N429+Q429+T429</f>
        <v>1</v>
      </c>
      <c r="X429" s="17">
        <f t="shared" ref="X429" si="487">L429+O429+R429+U429</f>
        <v>0</v>
      </c>
      <c r="Y429" s="18">
        <f>SUM(W429:X429)</f>
        <v>1</v>
      </c>
      <c r="Z429" s="19">
        <f>IF(Y$370=0,0,Y429/Y$370)</f>
        <v>0</v>
      </c>
      <c r="AA429" s="19"/>
      <c r="AB429" s="19"/>
      <c r="AC429" s="20"/>
      <c r="AE429" s="111"/>
      <c r="AF429" s="111"/>
      <c r="AG429" s="111"/>
      <c r="AH429" s="112"/>
      <c r="AI429" s="113"/>
      <c r="AK429" s="111"/>
      <c r="AL429" s="111"/>
      <c r="AM429" s="111"/>
      <c r="AN429" s="112"/>
      <c r="AO429" s="113"/>
      <c r="AQ429" s="17"/>
      <c r="AR429" s="17"/>
      <c r="AS429" s="17"/>
      <c r="AT429" s="18">
        <f t="shared" ref="AT429" si="488">W429</f>
        <v>1</v>
      </c>
      <c r="AU429" s="19">
        <f>IF(AT$430=0,0,AT429/AT$430)</f>
        <v>1</v>
      </c>
      <c r="AW429" s="17"/>
      <c r="AX429" s="17"/>
      <c r="AY429" s="17"/>
      <c r="AZ429" s="18">
        <f t="shared" ref="AZ429" si="489">X429</f>
        <v>0</v>
      </c>
      <c r="BA429" s="19">
        <f>IF(AZ$430=0,0,AZ429/AZ$430)</f>
        <v>0</v>
      </c>
    </row>
    <row r="430" spans="1:53" ht="17.100000000000001" customHeight="1" x14ac:dyDescent="0.25">
      <c r="A430" s="40"/>
      <c r="B430" s="40"/>
      <c r="C430" s="77"/>
      <c r="D430" s="134"/>
      <c r="E430" s="134"/>
      <c r="F430" s="134"/>
      <c r="G430" s="134"/>
      <c r="H430" s="540"/>
      <c r="I430" s="229"/>
      <c r="J430" s="80"/>
      <c r="K430" s="80"/>
      <c r="L430" s="81"/>
      <c r="M430" s="81"/>
      <c r="N430" s="81">
        <f>N424+N425+N429</f>
        <v>1</v>
      </c>
      <c r="O430" s="81">
        <f t="shared" ref="O430:V430" si="490">O424+O425+O429</f>
        <v>3</v>
      </c>
      <c r="P430" s="81">
        <f t="shared" si="490"/>
        <v>4</v>
      </c>
      <c r="Q430" s="81">
        <f t="shared" si="490"/>
        <v>0</v>
      </c>
      <c r="R430" s="81">
        <f t="shared" si="490"/>
        <v>1</v>
      </c>
      <c r="S430" s="81">
        <f t="shared" si="490"/>
        <v>1</v>
      </c>
      <c r="T430" s="81">
        <f t="shared" si="490"/>
        <v>0</v>
      </c>
      <c r="U430" s="81">
        <f t="shared" si="490"/>
        <v>0</v>
      </c>
      <c r="V430" s="81">
        <f t="shared" si="490"/>
        <v>0</v>
      </c>
      <c r="W430" s="381">
        <f>W424+W425+W429</f>
        <v>1</v>
      </c>
      <c r="X430" s="82">
        <f t="shared" ref="X430:Y430" si="491">X424+X425+X429</f>
        <v>4</v>
      </c>
      <c r="Y430" s="338">
        <f t="shared" si="491"/>
        <v>5</v>
      </c>
      <c r="Z430" s="205">
        <f>IF(Y$430=0,0,Y430/Y$430)</f>
        <v>1</v>
      </c>
      <c r="AA430" s="205"/>
      <c r="AB430" s="205"/>
      <c r="AC430" s="83"/>
      <c r="AE430" s="80"/>
      <c r="AF430" s="80"/>
      <c r="AG430" s="81"/>
      <c r="AH430" s="82"/>
      <c r="AI430" s="66"/>
      <c r="AK430" s="80"/>
      <c r="AL430" s="80"/>
      <c r="AM430" s="81"/>
      <c r="AN430" s="82"/>
      <c r="AO430" s="66"/>
      <c r="AQ430" s="80"/>
      <c r="AR430" s="80"/>
      <c r="AS430" s="81"/>
      <c r="AT430" s="82">
        <f>SUM(AT424:AT429)</f>
        <v>1</v>
      </c>
      <c r="AU430" s="66">
        <f>IF(AT$430=0,0,AT430/AT$430)</f>
        <v>1</v>
      </c>
      <c r="AW430" s="80"/>
      <c r="AX430" s="80"/>
      <c r="AY430" s="81"/>
      <c r="AZ430" s="82">
        <f>SUM(AZ424:AZ429)</f>
        <v>4</v>
      </c>
      <c r="BA430" s="66">
        <f>IF(AZ$430=0,0,AZ430/AZ$430)</f>
        <v>1</v>
      </c>
    </row>
    <row r="431" spans="1:53" s="117" customFormat="1" ht="17.100000000000001" customHeight="1" x14ac:dyDescent="0.25">
      <c r="A431" s="68"/>
      <c r="B431" s="119"/>
      <c r="C431" s="540"/>
      <c r="D431" s="261"/>
      <c r="E431" s="261"/>
      <c r="F431" s="68"/>
      <c r="G431" s="68"/>
      <c r="H431" s="119"/>
      <c r="I431" s="138"/>
      <c r="J431" s="17"/>
      <c r="K431" s="17"/>
      <c r="L431" s="17"/>
      <c r="M431" s="17"/>
      <c r="N431" s="17" t="str">
        <f>IF(N430=N$403,"OK","NOK")</f>
        <v>OK</v>
      </c>
      <c r="O431" s="17" t="str">
        <f>IF(O430=O$403,"OK","NOK")</f>
        <v>OK</v>
      </c>
      <c r="P431" s="17"/>
      <c r="Q431" s="17" t="str">
        <f>IF(Q430=Q$403,"OK","NOK")</f>
        <v>OK</v>
      </c>
      <c r="R431" s="17" t="str">
        <f>IF(R430=R$403,"OK","NOK")</f>
        <v>OK</v>
      </c>
      <c r="S431" s="17"/>
      <c r="T431" s="17" t="str">
        <f>IF(T430=T$403,"OK","NOK")</f>
        <v>OK</v>
      </c>
      <c r="U431" s="17" t="str">
        <f>IF(U430=U$403,"OK","NOK")</f>
        <v>OK</v>
      </c>
      <c r="V431" s="359"/>
      <c r="W431" s="382"/>
      <c r="X431" s="539"/>
      <c r="Y431" s="539"/>
      <c r="Z431" s="201"/>
      <c r="AA431" s="201"/>
      <c r="AB431" s="201"/>
      <c r="AC431" s="84"/>
      <c r="AE431" s="46"/>
      <c r="AF431" s="46"/>
      <c r="AG431" s="17"/>
      <c r="AH431" s="539"/>
      <c r="AI431" s="91"/>
      <c r="AK431" s="46"/>
      <c r="AL431" s="46"/>
      <c r="AM431" s="17"/>
      <c r="AN431" s="539"/>
      <c r="AO431" s="91"/>
      <c r="AQ431" s="46"/>
      <c r="AR431" s="46"/>
      <c r="AS431" s="17"/>
      <c r="AT431" s="539"/>
      <c r="AU431" s="91"/>
      <c r="AW431" s="46"/>
      <c r="AX431" s="46"/>
      <c r="AY431" s="17"/>
      <c r="AZ431" s="539"/>
      <c r="BA431" s="91"/>
    </row>
    <row r="432" spans="1:53" ht="17.100000000000001" customHeight="1" x14ac:dyDescent="0.25">
      <c r="A432" s="175"/>
      <c r="B432" s="40"/>
      <c r="C432" s="56" t="s">
        <v>238</v>
      </c>
      <c r="D432" s="57" t="s">
        <v>477</v>
      </c>
      <c r="E432" s="149"/>
      <c r="F432" s="149"/>
      <c r="G432" s="149"/>
      <c r="H432" s="182"/>
      <c r="I432" s="241"/>
      <c r="J432" s="152"/>
      <c r="K432" s="152"/>
      <c r="L432" s="111"/>
      <c r="M432" s="111"/>
      <c r="N432" s="111"/>
      <c r="O432" s="111"/>
      <c r="P432" s="111"/>
      <c r="Q432" s="111"/>
      <c r="R432" s="111"/>
      <c r="S432" s="111"/>
      <c r="T432" s="111"/>
      <c r="U432" s="111"/>
      <c r="V432" s="358"/>
      <c r="W432" s="380"/>
      <c r="X432" s="111"/>
      <c r="Y432" s="545"/>
      <c r="Z432" s="131"/>
      <c r="AA432" s="131"/>
      <c r="AB432" s="131"/>
      <c r="AC432" s="113"/>
      <c r="AE432" s="152"/>
      <c r="AF432" s="152"/>
      <c r="AG432" s="111"/>
      <c r="AH432" s="545"/>
      <c r="AI432" s="131"/>
      <c r="AK432" s="152"/>
      <c r="AL432" s="152"/>
      <c r="AM432" s="111"/>
      <c r="AN432" s="545"/>
      <c r="AO432" s="131"/>
      <c r="AQ432" s="152"/>
      <c r="AR432" s="152"/>
      <c r="AS432" s="111"/>
      <c r="AT432" s="545"/>
      <c r="AU432" s="131"/>
      <c r="AW432" s="152"/>
      <c r="AX432" s="152"/>
      <c r="AY432" s="111"/>
      <c r="AZ432" s="545"/>
      <c r="BA432" s="131"/>
    </row>
    <row r="433" spans="1:53" ht="17.100000000000001" customHeight="1" x14ac:dyDescent="0.25">
      <c r="A433" s="175"/>
      <c r="B433" s="40"/>
      <c r="C433" s="55"/>
      <c r="D433" s="56" t="s">
        <v>239</v>
      </c>
      <c r="E433" s="85" t="s">
        <v>478</v>
      </c>
      <c r="F433" s="149"/>
      <c r="G433" s="149"/>
      <c r="H433" s="182"/>
      <c r="I433" s="241"/>
      <c r="J433" s="111"/>
      <c r="K433" s="111"/>
      <c r="L433" s="111"/>
      <c r="M433" s="111"/>
      <c r="N433" s="60"/>
      <c r="O433" s="60"/>
      <c r="P433" s="17">
        <f t="shared" ref="P433:P440" si="492">SUM(N433:O433)</f>
        <v>0</v>
      </c>
      <c r="Q433" s="60"/>
      <c r="R433" s="60"/>
      <c r="S433" s="17">
        <f t="shared" ref="S433:S440" si="493">SUM(Q433:R433)</f>
        <v>0</v>
      </c>
      <c r="T433" s="60"/>
      <c r="U433" s="60"/>
      <c r="V433" s="359">
        <f t="shared" ref="V433:V440" si="494">SUM(T433:U433)</f>
        <v>0</v>
      </c>
      <c r="W433" s="391">
        <f t="shared" ref="W433:W440" si="495">J433+K433+N433+Q433+T433</f>
        <v>0</v>
      </c>
      <c r="X433" s="17">
        <f t="shared" ref="X433:X440" si="496">L433+O433+R433+U433</f>
        <v>0</v>
      </c>
      <c r="Y433" s="18">
        <f t="shared" ref="Y433:Y440" si="497">SUM(W433:X433)</f>
        <v>0</v>
      </c>
      <c r="Z433" s="19">
        <f>IF(Y$441=0,0,Y433/Y$441)</f>
        <v>0</v>
      </c>
      <c r="AA433" s="19"/>
      <c r="AB433" s="19"/>
      <c r="AC433" s="84"/>
      <c r="AE433" s="111"/>
      <c r="AF433" s="111"/>
      <c r="AG433" s="111"/>
      <c r="AH433" s="112"/>
      <c r="AI433" s="113"/>
      <c r="AK433" s="111"/>
      <c r="AL433" s="111"/>
      <c r="AM433" s="111"/>
      <c r="AN433" s="112"/>
      <c r="AO433" s="113"/>
      <c r="AQ433" s="17"/>
      <c r="AR433" s="17"/>
      <c r="AS433" s="17"/>
      <c r="AT433" s="18">
        <f t="shared" ref="AT433:AT440" si="498">W433</f>
        <v>0</v>
      </c>
      <c r="AU433" s="19">
        <f>IF(AT$441=0,0,AT433/AT$441)</f>
        <v>0</v>
      </c>
      <c r="AW433" s="17"/>
      <c r="AX433" s="17"/>
      <c r="AY433" s="17"/>
      <c r="AZ433" s="18">
        <f t="shared" ref="AZ433:AZ440" si="499">X433</f>
        <v>0</v>
      </c>
      <c r="BA433" s="19">
        <f>IF(AZ$441=0,0,AZ433/AZ$441)</f>
        <v>0</v>
      </c>
    </row>
    <row r="434" spans="1:53" ht="17.100000000000001" customHeight="1" x14ac:dyDescent="0.25">
      <c r="A434" s="175"/>
      <c r="B434" s="40"/>
      <c r="C434" s="55"/>
      <c r="D434" s="56" t="s">
        <v>240</v>
      </c>
      <c r="E434" s="85" t="s">
        <v>165</v>
      </c>
      <c r="F434" s="149"/>
      <c r="G434" s="149"/>
      <c r="H434" s="182"/>
      <c r="I434" s="241"/>
      <c r="J434" s="111"/>
      <c r="K434" s="111"/>
      <c r="L434" s="111"/>
      <c r="M434" s="111"/>
      <c r="N434" s="61">
        <v>1</v>
      </c>
      <c r="O434" s="61">
        <v>3</v>
      </c>
      <c r="P434" s="17">
        <f t="shared" si="492"/>
        <v>4</v>
      </c>
      <c r="Q434" s="61"/>
      <c r="R434" s="61">
        <v>1</v>
      </c>
      <c r="S434" s="17">
        <f t="shared" si="493"/>
        <v>1</v>
      </c>
      <c r="T434" s="61"/>
      <c r="U434" s="61"/>
      <c r="V434" s="359">
        <f t="shared" si="494"/>
        <v>0</v>
      </c>
      <c r="W434" s="391">
        <f t="shared" si="495"/>
        <v>1</v>
      </c>
      <c r="X434" s="17">
        <f t="shared" si="496"/>
        <v>4</v>
      </c>
      <c r="Y434" s="18">
        <f t="shared" si="497"/>
        <v>5</v>
      </c>
      <c r="Z434" s="19">
        <f t="shared" ref="Z434:Z441" si="500">IF(Y$441=0,0,Y434/Y$441)</f>
        <v>1</v>
      </c>
      <c r="AA434" s="19"/>
      <c r="AB434" s="19"/>
      <c r="AC434" s="84"/>
      <c r="AE434" s="111"/>
      <c r="AF434" s="111"/>
      <c r="AG434" s="111"/>
      <c r="AH434" s="112"/>
      <c r="AI434" s="113"/>
      <c r="AK434" s="111"/>
      <c r="AL434" s="111"/>
      <c r="AM434" s="111"/>
      <c r="AN434" s="112"/>
      <c r="AO434" s="113"/>
      <c r="AQ434" s="17"/>
      <c r="AR434" s="17"/>
      <c r="AS434" s="17"/>
      <c r="AT434" s="18">
        <f t="shared" si="498"/>
        <v>1</v>
      </c>
      <c r="AU434" s="19">
        <f t="shared" ref="AU434:AU441" si="501">IF(AT$441=0,0,AT434/AT$441)</f>
        <v>1</v>
      </c>
      <c r="AW434" s="17"/>
      <c r="AX434" s="17"/>
      <c r="AY434" s="17"/>
      <c r="AZ434" s="18">
        <f t="shared" si="499"/>
        <v>4</v>
      </c>
      <c r="BA434" s="19">
        <f t="shared" ref="BA434:BA441" si="502">IF(AZ$441=0,0,AZ434/AZ$441)</f>
        <v>1</v>
      </c>
    </row>
    <row r="435" spans="1:53" ht="17.100000000000001" customHeight="1" x14ac:dyDescent="0.25">
      <c r="A435" s="175"/>
      <c r="B435" s="40"/>
      <c r="C435" s="55"/>
      <c r="D435" s="56" t="s">
        <v>241</v>
      </c>
      <c r="E435" s="85" t="s">
        <v>167</v>
      </c>
      <c r="F435" s="149"/>
      <c r="G435" s="149"/>
      <c r="H435" s="182"/>
      <c r="I435" s="241"/>
      <c r="J435" s="111"/>
      <c r="K435" s="111"/>
      <c r="L435" s="111"/>
      <c r="M435" s="111"/>
      <c r="N435" s="60"/>
      <c r="O435" s="60"/>
      <c r="P435" s="17">
        <f t="shared" si="492"/>
        <v>0</v>
      </c>
      <c r="Q435" s="60"/>
      <c r="R435" s="60"/>
      <c r="S435" s="17">
        <f t="shared" si="493"/>
        <v>0</v>
      </c>
      <c r="T435" s="60"/>
      <c r="U435" s="60"/>
      <c r="V435" s="359">
        <f t="shared" si="494"/>
        <v>0</v>
      </c>
      <c r="W435" s="391">
        <f t="shared" si="495"/>
        <v>0</v>
      </c>
      <c r="X435" s="17">
        <f t="shared" si="496"/>
        <v>0</v>
      </c>
      <c r="Y435" s="18">
        <f t="shared" si="497"/>
        <v>0</v>
      </c>
      <c r="Z435" s="19">
        <f t="shared" si="500"/>
        <v>0</v>
      </c>
      <c r="AA435" s="19"/>
      <c r="AB435" s="19"/>
      <c r="AC435" s="84"/>
      <c r="AE435" s="111"/>
      <c r="AF435" s="111"/>
      <c r="AG435" s="111"/>
      <c r="AH435" s="112"/>
      <c r="AI435" s="113"/>
      <c r="AK435" s="111"/>
      <c r="AL435" s="111"/>
      <c r="AM435" s="111"/>
      <c r="AN435" s="112"/>
      <c r="AO435" s="113"/>
      <c r="AQ435" s="17"/>
      <c r="AR435" s="17"/>
      <c r="AS435" s="17"/>
      <c r="AT435" s="18">
        <f t="shared" si="498"/>
        <v>0</v>
      </c>
      <c r="AU435" s="19">
        <f t="shared" si="501"/>
        <v>0</v>
      </c>
      <c r="AW435" s="17"/>
      <c r="AX435" s="17"/>
      <c r="AY435" s="17"/>
      <c r="AZ435" s="18">
        <f t="shared" si="499"/>
        <v>0</v>
      </c>
      <c r="BA435" s="19">
        <f t="shared" si="502"/>
        <v>0</v>
      </c>
    </row>
    <row r="436" spans="1:53" ht="17.100000000000001" customHeight="1" x14ac:dyDescent="0.25">
      <c r="A436" s="175"/>
      <c r="B436" s="40"/>
      <c r="C436" s="55"/>
      <c r="D436" s="56" t="s">
        <v>242</v>
      </c>
      <c r="E436" s="85" t="s">
        <v>991</v>
      </c>
      <c r="F436" s="149"/>
      <c r="G436" s="149"/>
      <c r="H436" s="182"/>
      <c r="I436" s="241"/>
      <c r="J436" s="111"/>
      <c r="K436" s="111"/>
      <c r="L436" s="111"/>
      <c r="M436" s="111"/>
      <c r="N436" s="61"/>
      <c r="O436" s="61"/>
      <c r="P436" s="17">
        <f t="shared" si="492"/>
        <v>0</v>
      </c>
      <c r="Q436" s="61"/>
      <c r="R436" s="61"/>
      <c r="S436" s="17">
        <f t="shared" si="493"/>
        <v>0</v>
      </c>
      <c r="T436" s="61"/>
      <c r="U436" s="61"/>
      <c r="V436" s="359">
        <f t="shared" si="494"/>
        <v>0</v>
      </c>
      <c r="W436" s="391">
        <f t="shared" si="495"/>
        <v>0</v>
      </c>
      <c r="X436" s="17">
        <f t="shared" si="496"/>
        <v>0</v>
      </c>
      <c r="Y436" s="18">
        <f t="shared" si="497"/>
        <v>0</v>
      </c>
      <c r="Z436" s="19">
        <f t="shared" si="500"/>
        <v>0</v>
      </c>
      <c r="AA436" s="19"/>
      <c r="AB436" s="19"/>
      <c r="AC436" s="84"/>
      <c r="AE436" s="111"/>
      <c r="AF436" s="111"/>
      <c r="AG436" s="111"/>
      <c r="AH436" s="112"/>
      <c r="AI436" s="113"/>
      <c r="AK436" s="111"/>
      <c r="AL436" s="111"/>
      <c r="AM436" s="111"/>
      <c r="AN436" s="112"/>
      <c r="AO436" s="113"/>
      <c r="AQ436" s="17"/>
      <c r="AR436" s="17"/>
      <c r="AS436" s="17"/>
      <c r="AT436" s="18">
        <f t="shared" si="498"/>
        <v>0</v>
      </c>
      <c r="AU436" s="19">
        <f t="shared" si="501"/>
        <v>0</v>
      </c>
      <c r="AW436" s="17"/>
      <c r="AX436" s="17"/>
      <c r="AY436" s="17"/>
      <c r="AZ436" s="18">
        <f t="shared" si="499"/>
        <v>0</v>
      </c>
      <c r="BA436" s="19">
        <f t="shared" si="502"/>
        <v>0</v>
      </c>
    </row>
    <row r="437" spans="1:53" ht="17.100000000000001" customHeight="1" x14ac:dyDescent="0.25">
      <c r="A437" s="175"/>
      <c r="B437" s="40"/>
      <c r="C437" s="55"/>
      <c r="D437" s="56" t="s">
        <v>243</v>
      </c>
      <c r="E437" s="85" t="s">
        <v>438</v>
      </c>
      <c r="F437" s="149"/>
      <c r="G437" s="149"/>
      <c r="H437" s="182"/>
      <c r="I437" s="241"/>
      <c r="J437" s="111"/>
      <c r="K437" s="111"/>
      <c r="L437" s="111"/>
      <c r="M437" s="111"/>
      <c r="N437" s="60"/>
      <c r="O437" s="60"/>
      <c r="P437" s="17">
        <f t="shared" si="492"/>
        <v>0</v>
      </c>
      <c r="Q437" s="60"/>
      <c r="R437" s="60"/>
      <c r="S437" s="17">
        <f t="shared" si="493"/>
        <v>0</v>
      </c>
      <c r="T437" s="60"/>
      <c r="U437" s="60"/>
      <c r="V437" s="359">
        <f t="shared" si="494"/>
        <v>0</v>
      </c>
      <c r="W437" s="391">
        <f t="shared" si="495"/>
        <v>0</v>
      </c>
      <c r="X437" s="17">
        <f t="shared" si="496"/>
        <v>0</v>
      </c>
      <c r="Y437" s="18">
        <f t="shared" si="497"/>
        <v>0</v>
      </c>
      <c r="Z437" s="19">
        <f t="shared" si="500"/>
        <v>0</v>
      </c>
      <c r="AA437" s="19"/>
      <c r="AB437" s="19"/>
      <c r="AC437" s="84"/>
      <c r="AE437" s="111"/>
      <c r="AF437" s="111"/>
      <c r="AG437" s="111"/>
      <c r="AH437" s="112"/>
      <c r="AI437" s="113"/>
      <c r="AK437" s="111"/>
      <c r="AL437" s="111"/>
      <c r="AM437" s="111"/>
      <c r="AN437" s="112"/>
      <c r="AO437" s="113"/>
      <c r="AQ437" s="17"/>
      <c r="AR437" s="17"/>
      <c r="AS437" s="17"/>
      <c r="AT437" s="18">
        <f t="shared" si="498"/>
        <v>0</v>
      </c>
      <c r="AU437" s="19">
        <f t="shared" si="501"/>
        <v>0</v>
      </c>
      <c r="AW437" s="17"/>
      <c r="AX437" s="17"/>
      <c r="AY437" s="17"/>
      <c r="AZ437" s="18">
        <f t="shared" si="499"/>
        <v>0</v>
      </c>
      <c r="BA437" s="19">
        <f t="shared" si="502"/>
        <v>0</v>
      </c>
    </row>
    <row r="438" spans="1:53" ht="17.100000000000001" customHeight="1" x14ac:dyDescent="0.25">
      <c r="A438" s="175"/>
      <c r="B438" s="40"/>
      <c r="C438" s="55"/>
      <c r="D438" s="56" t="s">
        <v>244</v>
      </c>
      <c r="E438" s="85" t="s">
        <v>439</v>
      </c>
      <c r="F438" s="595"/>
      <c r="G438" s="595"/>
      <c r="H438" s="17"/>
      <c r="I438" s="594"/>
      <c r="J438" s="111"/>
      <c r="K438" s="111"/>
      <c r="L438" s="111"/>
      <c r="M438" s="111"/>
      <c r="N438" s="61"/>
      <c r="O438" s="61"/>
      <c r="P438" s="17">
        <f t="shared" si="492"/>
        <v>0</v>
      </c>
      <c r="Q438" s="61"/>
      <c r="R438" s="61"/>
      <c r="S438" s="17">
        <f t="shared" si="493"/>
        <v>0</v>
      </c>
      <c r="T438" s="61"/>
      <c r="U438" s="61"/>
      <c r="V438" s="359">
        <f t="shared" si="494"/>
        <v>0</v>
      </c>
      <c r="W438" s="391">
        <f t="shared" si="495"/>
        <v>0</v>
      </c>
      <c r="X438" s="17">
        <f t="shared" si="496"/>
        <v>0</v>
      </c>
      <c r="Y438" s="18">
        <f t="shared" si="497"/>
        <v>0</v>
      </c>
      <c r="Z438" s="19">
        <f t="shared" si="500"/>
        <v>0</v>
      </c>
      <c r="AA438" s="19"/>
      <c r="AB438" s="19"/>
      <c r="AC438" s="84"/>
      <c r="AE438" s="111"/>
      <c r="AF438" s="111"/>
      <c r="AG438" s="111"/>
      <c r="AH438" s="112"/>
      <c r="AI438" s="113"/>
      <c r="AK438" s="111"/>
      <c r="AL438" s="111"/>
      <c r="AM438" s="111"/>
      <c r="AN438" s="112"/>
      <c r="AO438" s="113"/>
      <c r="AQ438" s="17"/>
      <c r="AR438" s="17"/>
      <c r="AS438" s="17"/>
      <c r="AT438" s="18">
        <f t="shared" si="498"/>
        <v>0</v>
      </c>
      <c r="AU438" s="19">
        <f t="shared" si="501"/>
        <v>0</v>
      </c>
      <c r="AW438" s="17"/>
      <c r="AX438" s="17"/>
      <c r="AY438" s="17"/>
      <c r="AZ438" s="18">
        <f t="shared" si="499"/>
        <v>0</v>
      </c>
      <c r="BA438" s="19">
        <f t="shared" si="502"/>
        <v>0</v>
      </c>
    </row>
    <row r="439" spans="1:53" ht="17.100000000000001" customHeight="1" x14ac:dyDescent="0.25">
      <c r="A439" s="175"/>
      <c r="B439" s="40"/>
      <c r="C439" s="55"/>
      <c r="D439" s="56" t="s">
        <v>475</v>
      </c>
      <c r="E439" s="85" t="s">
        <v>483</v>
      </c>
      <c r="F439" s="595"/>
      <c r="G439" s="595"/>
      <c r="H439" s="17"/>
      <c r="I439" s="594"/>
      <c r="J439" s="111"/>
      <c r="K439" s="111"/>
      <c r="L439" s="111"/>
      <c r="M439" s="111"/>
      <c r="N439" s="60"/>
      <c r="O439" s="60"/>
      <c r="P439" s="17">
        <f t="shared" si="492"/>
        <v>0</v>
      </c>
      <c r="Q439" s="60"/>
      <c r="R439" s="60"/>
      <c r="S439" s="17">
        <f t="shared" si="493"/>
        <v>0</v>
      </c>
      <c r="T439" s="60"/>
      <c r="U439" s="60"/>
      <c r="V439" s="359">
        <f t="shared" si="494"/>
        <v>0</v>
      </c>
      <c r="W439" s="391">
        <f t="shared" si="495"/>
        <v>0</v>
      </c>
      <c r="X439" s="17">
        <f t="shared" si="496"/>
        <v>0</v>
      </c>
      <c r="Y439" s="18">
        <f t="shared" si="497"/>
        <v>0</v>
      </c>
      <c r="Z439" s="19">
        <f t="shared" si="500"/>
        <v>0</v>
      </c>
      <c r="AA439" s="19"/>
      <c r="AB439" s="19"/>
      <c r="AC439" s="84"/>
      <c r="AE439" s="111"/>
      <c r="AF439" s="111"/>
      <c r="AG439" s="111"/>
      <c r="AH439" s="112"/>
      <c r="AI439" s="113"/>
      <c r="AK439" s="111"/>
      <c r="AL439" s="111"/>
      <c r="AM439" s="111"/>
      <c r="AN439" s="112"/>
      <c r="AO439" s="113"/>
      <c r="AQ439" s="17"/>
      <c r="AR439" s="17"/>
      <c r="AS439" s="17"/>
      <c r="AT439" s="18">
        <f t="shared" si="498"/>
        <v>0</v>
      </c>
      <c r="AU439" s="19">
        <f t="shared" si="501"/>
        <v>0</v>
      </c>
      <c r="AW439" s="17"/>
      <c r="AX439" s="17"/>
      <c r="AY439" s="17"/>
      <c r="AZ439" s="18">
        <f t="shared" si="499"/>
        <v>0</v>
      </c>
      <c r="BA439" s="19">
        <f t="shared" si="502"/>
        <v>0</v>
      </c>
    </row>
    <row r="440" spans="1:53" ht="17.100000000000001" customHeight="1" x14ac:dyDescent="0.25">
      <c r="A440" s="175"/>
      <c r="B440" s="40"/>
      <c r="C440" s="55"/>
      <c r="D440" s="56" t="s">
        <v>476</v>
      </c>
      <c r="E440" s="149" t="s">
        <v>129</v>
      </c>
      <c r="F440" s="149"/>
      <c r="G440" s="149"/>
      <c r="H440" s="182"/>
      <c r="I440" s="241"/>
      <c r="J440" s="111"/>
      <c r="K440" s="111"/>
      <c r="L440" s="111"/>
      <c r="M440" s="111"/>
      <c r="N440" s="61"/>
      <c r="O440" s="61"/>
      <c r="P440" s="17">
        <f t="shared" si="492"/>
        <v>0</v>
      </c>
      <c r="Q440" s="61"/>
      <c r="R440" s="61"/>
      <c r="S440" s="17">
        <f t="shared" si="493"/>
        <v>0</v>
      </c>
      <c r="T440" s="61"/>
      <c r="U440" s="61"/>
      <c r="V440" s="359">
        <f t="shared" si="494"/>
        <v>0</v>
      </c>
      <c r="W440" s="391">
        <f t="shared" si="495"/>
        <v>0</v>
      </c>
      <c r="X440" s="17">
        <f t="shared" si="496"/>
        <v>0</v>
      </c>
      <c r="Y440" s="18">
        <f t="shared" si="497"/>
        <v>0</v>
      </c>
      <c r="Z440" s="19">
        <f t="shared" si="500"/>
        <v>0</v>
      </c>
      <c r="AA440" s="19"/>
      <c r="AB440" s="19"/>
      <c r="AC440" s="84"/>
      <c r="AE440" s="111"/>
      <c r="AF440" s="111"/>
      <c r="AG440" s="111"/>
      <c r="AH440" s="112"/>
      <c r="AI440" s="113"/>
      <c r="AK440" s="111"/>
      <c r="AL440" s="111"/>
      <c r="AM440" s="111"/>
      <c r="AN440" s="112"/>
      <c r="AO440" s="113"/>
      <c r="AQ440" s="17"/>
      <c r="AR440" s="17"/>
      <c r="AS440" s="17"/>
      <c r="AT440" s="18">
        <f t="shared" si="498"/>
        <v>0</v>
      </c>
      <c r="AU440" s="19">
        <f t="shared" si="501"/>
        <v>0</v>
      </c>
      <c r="AW440" s="17"/>
      <c r="AX440" s="17"/>
      <c r="AY440" s="17"/>
      <c r="AZ440" s="18">
        <f t="shared" si="499"/>
        <v>0</v>
      </c>
      <c r="BA440" s="19">
        <f t="shared" si="502"/>
        <v>0</v>
      </c>
    </row>
    <row r="441" spans="1:53" ht="17.100000000000001" customHeight="1" x14ac:dyDescent="0.25">
      <c r="A441" s="175"/>
      <c r="B441" s="40"/>
      <c r="C441" s="77"/>
      <c r="D441" s="134"/>
      <c r="E441" s="134"/>
      <c r="F441" s="134"/>
      <c r="G441" s="134"/>
      <c r="H441" s="540"/>
      <c r="I441" s="12"/>
      <c r="J441" s="80"/>
      <c r="K441" s="80"/>
      <c r="L441" s="81"/>
      <c r="M441" s="81"/>
      <c r="N441" s="81">
        <f>SUM(N433:N440)</f>
        <v>1</v>
      </c>
      <c r="O441" s="81">
        <f t="shared" ref="O441:V441" si="503">SUM(O433:O440)</f>
        <v>3</v>
      </c>
      <c r="P441" s="81">
        <f t="shared" si="503"/>
        <v>4</v>
      </c>
      <c r="Q441" s="81">
        <f t="shared" si="503"/>
        <v>0</v>
      </c>
      <c r="R441" s="81">
        <f t="shared" si="503"/>
        <v>1</v>
      </c>
      <c r="S441" s="81">
        <f t="shared" si="503"/>
        <v>1</v>
      </c>
      <c r="T441" s="81">
        <f t="shared" si="503"/>
        <v>0</v>
      </c>
      <c r="U441" s="81">
        <f t="shared" si="503"/>
        <v>0</v>
      </c>
      <c r="V441" s="81">
        <f t="shared" si="503"/>
        <v>0</v>
      </c>
      <c r="W441" s="381">
        <f>SUM(W433:W440)</f>
        <v>1</v>
      </c>
      <c r="X441" s="82">
        <f t="shared" ref="X441:Y441" si="504">SUM(X433:X440)</f>
        <v>4</v>
      </c>
      <c r="Y441" s="82">
        <f t="shared" si="504"/>
        <v>5</v>
      </c>
      <c r="Z441" s="205">
        <f t="shared" si="500"/>
        <v>1</v>
      </c>
      <c r="AA441" s="205"/>
      <c r="AB441" s="205"/>
      <c r="AC441" s="83"/>
      <c r="AE441" s="80"/>
      <c r="AF441" s="80"/>
      <c r="AG441" s="81"/>
      <c r="AH441" s="82"/>
      <c r="AI441" s="66"/>
      <c r="AK441" s="80"/>
      <c r="AL441" s="80"/>
      <c r="AM441" s="81"/>
      <c r="AN441" s="82"/>
      <c r="AO441" s="66"/>
      <c r="AQ441" s="80"/>
      <c r="AR441" s="80"/>
      <c r="AS441" s="81"/>
      <c r="AT441" s="82">
        <f>SUM(AT433:AT440)</f>
        <v>1</v>
      </c>
      <c r="AU441" s="66">
        <f t="shared" si="501"/>
        <v>1</v>
      </c>
      <c r="AW441" s="80"/>
      <c r="AX441" s="80"/>
      <c r="AY441" s="81"/>
      <c r="AZ441" s="82">
        <f>SUM(AZ433:AZ440)</f>
        <v>4</v>
      </c>
      <c r="BA441" s="66">
        <f t="shared" si="502"/>
        <v>1</v>
      </c>
    </row>
    <row r="442" spans="1:53" s="117" customFormat="1" ht="17.100000000000001" customHeight="1" x14ac:dyDescent="0.25">
      <c r="A442" s="68"/>
      <c r="B442" s="119"/>
      <c r="C442" s="540"/>
      <c r="D442" s="261"/>
      <c r="E442" s="261"/>
      <c r="F442" s="68"/>
      <c r="G442" s="68"/>
      <c r="H442" s="119"/>
      <c r="I442" s="138"/>
      <c r="J442" s="17"/>
      <c r="K442" s="17"/>
      <c r="L442" s="17"/>
      <c r="M442" s="17"/>
      <c r="N442" s="17" t="str">
        <f>IF(N441=N$403,"OK","NOK")</f>
        <v>OK</v>
      </c>
      <c r="O442" s="17" t="str">
        <f>IF(O441=O$403,"OK","NOK")</f>
        <v>OK</v>
      </c>
      <c r="P442" s="17"/>
      <c r="Q442" s="17" t="str">
        <f>IF(Q441=Q$403,"OK","NOK")</f>
        <v>OK</v>
      </c>
      <c r="R442" s="17" t="str">
        <f>IF(R441=R$403,"OK","NOK")</f>
        <v>OK</v>
      </c>
      <c r="S442" s="17"/>
      <c r="T442" s="17" t="str">
        <f>IF(T441=T$403,"OK","NOK")</f>
        <v>OK</v>
      </c>
      <c r="U442" s="17" t="str">
        <f>IF(U441=U$403,"OK","NOK")</f>
        <v>OK</v>
      </c>
      <c r="V442" s="359"/>
      <c r="W442" s="382"/>
      <c r="X442" s="539"/>
      <c r="Y442" s="539"/>
      <c r="Z442" s="201"/>
      <c r="AA442" s="201"/>
      <c r="AB442" s="201"/>
      <c r="AC442" s="84"/>
      <c r="AE442" s="46"/>
      <c r="AF442" s="46"/>
      <c r="AG442" s="17"/>
      <c r="AH442" s="539"/>
      <c r="AI442" s="91"/>
      <c r="AK442" s="46"/>
      <c r="AL442" s="46"/>
      <c r="AM442" s="17"/>
      <c r="AN442" s="539"/>
      <c r="AO442" s="91"/>
      <c r="AQ442" s="46"/>
      <c r="AR442" s="46"/>
      <c r="AS442" s="17"/>
      <c r="AT442" s="539"/>
      <c r="AU442" s="91"/>
      <c r="AW442" s="46"/>
      <c r="AX442" s="46"/>
      <c r="AY442" s="17"/>
      <c r="AZ442" s="539"/>
      <c r="BA442" s="91"/>
    </row>
    <row r="443" spans="1:53" ht="17.100000000000001" customHeight="1" x14ac:dyDescent="0.25">
      <c r="A443" s="68"/>
      <c r="B443" s="48" t="s">
        <v>245</v>
      </c>
      <c r="C443" s="49" t="s">
        <v>246</v>
      </c>
      <c r="D443" s="176"/>
      <c r="E443" s="70"/>
      <c r="F443" s="70"/>
      <c r="G443" s="70"/>
      <c r="H443" s="119"/>
      <c r="J443" s="71"/>
      <c r="K443" s="71"/>
      <c r="L443" s="71"/>
      <c r="M443" s="71"/>
      <c r="N443" s="71">
        <f t="shared" ref="N443:X443" si="505">SUM(N404:N405)</f>
        <v>0</v>
      </c>
      <c r="O443" s="71">
        <f t="shared" si="505"/>
        <v>0</v>
      </c>
      <c r="P443" s="71"/>
      <c r="Q443" s="71">
        <f t="shared" si="505"/>
        <v>1</v>
      </c>
      <c r="R443" s="71">
        <f t="shared" si="505"/>
        <v>1</v>
      </c>
      <c r="S443" s="71"/>
      <c r="T443" s="71">
        <f t="shared" si="505"/>
        <v>0</v>
      </c>
      <c r="U443" s="71">
        <f t="shared" si="505"/>
        <v>0</v>
      </c>
      <c r="V443" s="355"/>
      <c r="W443" s="377">
        <f t="shared" si="505"/>
        <v>1</v>
      </c>
      <c r="X443" s="71">
        <f t="shared" si="505"/>
        <v>1</v>
      </c>
      <c r="Y443" s="72"/>
      <c r="Z443" s="73"/>
      <c r="AA443" s="73"/>
      <c r="AB443" s="73"/>
      <c r="AC443" s="73"/>
      <c r="AE443" s="71"/>
      <c r="AF443" s="71"/>
      <c r="AG443" s="71"/>
      <c r="AH443" s="72"/>
      <c r="AI443" s="73"/>
      <c r="AK443" s="71"/>
      <c r="AL443" s="71"/>
      <c r="AM443" s="71"/>
      <c r="AN443" s="72"/>
      <c r="AO443" s="73"/>
      <c r="AQ443" s="71"/>
      <c r="AR443" s="71"/>
      <c r="AS443" s="71"/>
      <c r="AT443" s="72"/>
      <c r="AU443" s="73"/>
      <c r="AW443" s="71"/>
      <c r="AX443" s="71"/>
      <c r="AY443" s="71"/>
      <c r="AZ443" s="72"/>
      <c r="BA443" s="73"/>
    </row>
    <row r="444" spans="1:53" ht="17.100000000000001" customHeight="1" x14ac:dyDescent="0.25">
      <c r="A444" s="40"/>
      <c r="B444" s="55"/>
      <c r="C444" s="56" t="s">
        <v>247</v>
      </c>
      <c r="D444" s="149" t="s">
        <v>248</v>
      </c>
      <c r="E444" s="75"/>
      <c r="F444" s="75"/>
      <c r="G444" s="75"/>
      <c r="H444" s="540"/>
      <c r="I444" s="229"/>
      <c r="J444" s="111"/>
      <c r="K444" s="111"/>
      <c r="L444" s="111"/>
      <c r="M444" s="111"/>
      <c r="N444" s="111"/>
      <c r="O444" s="111"/>
      <c r="P444" s="111"/>
      <c r="Q444" s="111"/>
      <c r="R444" s="111"/>
      <c r="S444" s="111"/>
      <c r="T444" s="111"/>
      <c r="U444" s="111"/>
      <c r="V444" s="358"/>
      <c r="W444" s="380"/>
      <c r="X444" s="111"/>
      <c r="Y444" s="545"/>
      <c r="Z444" s="131"/>
      <c r="AA444" s="131"/>
      <c r="AB444" s="131"/>
      <c r="AC444" s="111"/>
      <c r="AE444" s="111"/>
      <c r="AF444" s="111"/>
      <c r="AG444" s="111"/>
      <c r="AH444" s="545"/>
      <c r="AI444" s="131"/>
      <c r="AK444" s="111"/>
      <c r="AL444" s="111"/>
      <c r="AM444" s="111"/>
      <c r="AN444" s="545"/>
      <c r="AO444" s="131"/>
      <c r="AQ444" s="111"/>
      <c r="AR444" s="111"/>
      <c r="AS444" s="111"/>
      <c r="AT444" s="545"/>
      <c r="AU444" s="131"/>
      <c r="AW444" s="111"/>
      <c r="AX444" s="111"/>
      <c r="AY444" s="111"/>
      <c r="AZ444" s="545"/>
      <c r="BA444" s="131"/>
    </row>
    <row r="445" spans="1:53" ht="17.100000000000001" customHeight="1" x14ac:dyDescent="0.25">
      <c r="A445" s="40"/>
      <c r="B445" s="40"/>
      <c r="C445" s="40"/>
      <c r="D445" s="56" t="s">
        <v>249</v>
      </c>
      <c r="E445" s="541" t="s">
        <v>479</v>
      </c>
      <c r="F445" s="75"/>
      <c r="G445" s="75"/>
      <c r="H445" s="540"/>
      <c r="I445" s="229"/>
      <c r="J445" s="111"/>
      <c r="K445" s="111"/>
      <c r="L445" s="111"/>
      <c r="M445" s="111"/>
      <c r="N445" s="60"/>
      <c r="O445" s="60"/>
      <c r="P445" s="17">
        <f t="shared" ref="P445:P449" si="506">SUM(N445:O445)</f>
        <v>0</v>
      </c>
      <c r="Q445" s="60"/>
      <c r="R445" s="60"/>
      <c r="S445" s="17">
        <f t="shared" ref="S445:S449" si="507">SUM(Q445:R445)</f>
        <v>0</v>
      </c>
      <c r="T445" s="60"/>
      <c r="U445" s="60"/>
      <c r="V445" s="359">
        <f t="shared" ref="V445:V449" si="508">SUM(T445:U445)</f>
        <v>0</v>
      </c>
      <c r="W445" s="391">
        <f t="shared" ref="W445:W449" si="509">J445+K445+N445+Q445+T445</f>
        <v>0</v>
      </c>
      <c r="X445" s="17">
        <f t="shared" ref="X445:X449" si="510">L445+O445+R445+U445</f>
        <v>0</v>
      </c>
      <c r="Y445" s="18">
        <f>SUM(W445:X445)</f>
        <v>0</v>
      </c>
      <c r="Z445" s="19">
        <f>IF(Y$454=0,0,Y445/Y$454)</f>
        <v>0</v>
      </c>
      <c r="AA445" s="19"/>
      <c r="AB445" s="19"/>
      <c r="AC445" s="17"/>
      <c r="AE445" s="111"/>
      <c r="AF445" s="111"/>
      <c r="AG445" s="111"/>
      <c r="AH445" s="112"/>
      <c r="AI445" s="113"/>
      <c r="AK445" s="111"/>
      <c r="AL445" s="111"/>
      <c r="AM445" s="111"/>
      <c r="AN445" s="112"/>
      <c r="AO445" s="113"/>
      <c r="AQ445" s="17"/>
      <c r="AR445" s="17"/>
      <c r="AS445" s="17"/>
      <c r="AT445" s="18">
        <f t="shared" ref="AT445:AT449" si="511">W445</f>
        <v>0</v>
      </c>
      <c r="AU445" s="19">
        <f>IF(AT$454=0,0,AT445/AT$454)</f>
        <v>0</v>
      </c>
      <c r="AW445" s="17"/>
      <c r="AX445" s="17"/>
      <c r="AY445" s="17"/>
      <c r="AZ445" s="18">
        <f t="shared" ref="AZ445:AZ449" si="512">X445</f>
        <v>0</v>
      </c>
      <c r="BA445" s="19">
        <f>IF(AZ$454=0,0,AZ445/AZ$454)</f>
        <v>0</v>
      </c>
    </row>
    <row r="446" spans="1:53" ht="17.100000000000001" customHeight="1" x14ac:dyDescent="0.25">
      <c r="A446" s="40"/>
      <c r="B446" s="40"/>
      <c r="C446" s="40"/>
      <c r="D446" s="56" t="s">
        <v>250</v>
      </c>
      <c r="E446" s="1403" t="s">
        <v>405</v>
      </c>
      <c r="F446" s="1404"/>
      <c r="G446" s="1404"/>
      <c r="H446" s="242"/>
      <c r="I446" s="230"/>
      <c r="J446" s="111"/>
      <c r="K446" s="111"/>
      <c r="L446" s="111"/>
      <c r="M446" s="111"/>
      <c r="N446" s="61"/>
      <c r="O446" s="61"/>
      <c r="P446" s="17">
        <f t="shared" si="506"/>
        <v>0</v>
      </c>
      <c r="Q446" s="61"/>
      <c r="R446" s="61"/>
      <c r="S446" s="17">
        <f t="shared" si="507"/>
        <v>0</v>
      </c>
      <c r="T446" s="61"/>
      <c r="U446" s="61"/>
      <c r="V446" s="359">
        <f t="shared" si="508"/>
        <v>0</v>
      </c>
      <c r="W446" s="391">
        <f t="shared" si="509"/>
        <v>0</v>
      </c>
      <c r="X446" s="17">
        <f t="shared" si="510"/>
        <v>0</v>
      </c>
      <c r="Y446" s="18">
        <f>SUM(W446:X446)</f>
        <v>0</v>
      </c>
      <c r="Z446" s="19">
        <f>IF(Y$454=0,0,Y446/Y$454)</f>
        <v>0</v>
      </c>
      <c r="AA446" s="19"/>
      <c r="AB446" s="19"/>
      <c r="AC446" s="17"/>
      <c r="AE446" s="111"/>
      <c r="AF446" s="111"/>
      <c r="AG446" s="111"/>
      <c r="AH446" s="112"/>
      <c r="AI446" s="113"/>
      <c r="AK446" s="111"/>
      <c r="AL446" s="111"/>
      <c r="AM446" s="111"/>
      <c r="AN446" s="112"/>
      <c r="AO446" s="113"/>
      <c r="AQ446" s="17"/>
      <c r="AR446" s="17"/>
      <c r="AS446" s="17"/>
      <c r="AT446" s="18">
        <f t="shared" si="511"/>
        <v>0</v>
      </c>
      <c r="AU446" s="19">
        <f>IF(AT$454=0,0,AT446/AT$454)</f>
        <v>0</v>
      </c>
      <c r="AW446" s="17"/>
      <c r="AX446" s="17"/>
      <c r="AY446" s="17"/>
      <c r="AZ446" s="18">
        <f t="shared" si="512"/>
        <v>0</v>
      </c>
      <c r="BA446" s="19">
        <f>IF(AZ$454=0,0,AZ446/AZ$454)</f>
        <v>0</v>
      </c>
    </row>
    <row r="447" spans="1:53" ht="17.100000000000001" customHeight="1" x14ac:dyDescent="0.25">
      <c r="A447" s="40"/>
      <c r="B447" s="40"/>
      <c r="C447" s="40"/>
      <c r="D447" s="56" t="s">
        <v>251</v>
      </c>
      <c r="E447" s="1398" t="s">
        <v>480</v>
      </c>
      <c r="F447" s="1399"/>
      <c r="G447" s="1399"/>
      <c r="H447" s="540"/>
      <c r="I447" s="229"/>
      <c r="J447" s="111"/>
      <c r="K447" s="111"/>
      <c r="L447" s="111"/>
      <c r="M447" s="111"/>
      <c r="N447" s="60"/>
      <c r="O447" s="60"/>
      <c r="P447" s="17">
        <f t="shared" si="506"/>
        <v>0</v>
      </c>
      <c r="Q447" s="60">
        <v>1</v>
      </c>
      <c r="R447" s="60">
        <v>1</v>
      </c>
      <c r="S447" s="17">
        <f t="shared" si="507"/>
        <v>2</v>
      </c>
      <c r="T447" s="60"/>
      <c r="U447" s="60"/>
      <c r="V447" s="359">
        <f t="shared" si="508"/>
        <v>0</v>
      </c>
      <c r="W447" s="391">
        <f t="shared" si="509"/>
        <v>1</v>
      </c>
      <c r="X447" s="17">
        <f t="shared" si="510"/>
        <v>1</v>
      </c>
      <c r="Y447" s="18">
        <f>SUM(W447:X447)</f>
        <v>2</v>
      </c>
      <c r="Z447" s="19">
        <f>IF(Y$454=0,0,Y447/Y$454)</f>
        <v>1</v>
      </c>
      <c r="AA447" s="19"/>
      <c r="AB447" s="19"/>
      <c r="AC447" s="17"/>
      <c r="AE447" s="111"/>
      <c r="AF447" s="111"/>
      <c r="AG447" s="111"/>
      <c r="AH447" s="112"/>
      <c r="AI447" s="113"/>
      <c r="AK447" s="111"/>
      <c r="AL447" s="111"/>
      <c r="AM447" s="111"/>
      <c r="AN447" s="112"/>
      <c r="AO447" s="113"/>
      <c r="AQ447" s="17"/>
      <c r="AR447" s="17"/>
      <c r="AS447" s="17"/>
      <c r="AT447" s="18">
        <f t="shared" si="511"/>
        <v>1</v>
      </c>
      <c r="AU447" s="19">
        <f>IF(AT$454=0,0,AT447/AT$454)</f>
        <v>1</v>
      </c>
      <c r="AW447" s="17"/>
      <c r="AX447" s="17"/>
      <c r="AY447" s="17"/>
      <c r="AZ447" s="18">
        <f t="shared" si="512"/>
        <v>1</v>
      </c>
      <c r="BA447" s="19">
        <f>IF(AZ$454=0,0,AZ447/AZ$454)</f>
        <v>1</v>
      </c>
    </row>
    <row r="448" spans="1:53" ht="17.100000000000001" customHeight="1" x14ac:dyDescent="0.25">
      <c r="A448" s="40"/>
      <c r="B448" s="40"/>
      <c r="C448" s="40"/>
      <c r="D448" s="56" t="s">
        <v>252</v>
      </c>
      <c r="E448" s="541" t="s">
        <v>481</v>
      </c>
      <c r="F448" s="75"/>
      <c r="G448" s="75"/>
      <c r="H448" s="242"/>
      <c r="I448" s="230"/>
      <c r="J448" s="111"/>
      <c r="K448" s="111"/>
      <c r="L448" s="111"/>
      <c r="M448" s="111"/>
      <c r="N448" s="61"/>
      <c r="O448" s="61"/>
      <c r="P448" s="17">
        <f t="shared" si="506"/>
        <v>0</v>
      </c>
      <c r="Q448" s="61"/>
      <c r="R448" s="61"/>
      <c r="S448" s="17">
        <f t="shared" si="507"/>
        <v>0</v>
      </c>
      <c r="T448" s="61"/>
      <c r="U448" s="61"/>
      <c r="V448" s="359">
        <f t="shared" si="508"/>
        <v>0</v>
      </c>
      <c r="W448" s="391">
        <f t="shared" si="509"/>
        <v>0</v>
      </c>
      <c r="X448" s="17">
        <f t="shared" si="510"/>
        <v>0</v>
      </c>
      <c r="Y448" s="18">
        <f>SUM(W448:X448)</f>
        <v>0</v>
      </c>
      <c r="Z448" s="19">
        <f>IF(Y$454=0,0,Y448/Y$454)</f>
        <v>0</v>
      </c>
      <c r="AA448" s="19"/>
      <c r="AB448" s="19"/>
      <c r="AC448" s="17"/>
      <c r="AE448" s="111"/>
      <c r="AF448" s="111"/>
      <c r="AG448" s="111"/>
      <c r="AH448" s="112"/>
      <c r="AI448" s="113"/>
      <c r="AK448" s="111"/>
      <c r="AL448" s="111"/>
      <c r="AM448" s="111"/>
      <c r="AN448" s="112"/>
      <c r="AO448" s="113"/>
      <c r="AQ448" s="17"/>
      <c r="AR448" s="17"/>
      <c r="AS448" s="17"/>
      <c r="AT448" s="18">
        <f t="shared" si="511"/>
        <v>0</v>
      </c>
      <c r="AU448" s="19">
        <f>IF(AT$454=0,0,AT448/AT$454)</f>
        <v>0</v>
      </c>
      <c r="AW448" s="17"/>
      <c r="AX448" s="17"/>
      <c r="AY448" s="17"/>
      <c r="AZ448" s="18">
        <f t="shared" si="512"/>
        <v>0</v>
      </c>
      <c r="BA448" s="19">
        <f>IF(AZ$454=0,0,AZ448/AZ$454)</f>
        <v>0</v>
      </c>
    </row>
    <row r="449" spans="1:53" ht="17.100000000000001" customHeight="1" x14ac:dyDescent="0.25">
      <c r="A449" s="40"/>
      <c r="B449" s="40"/>
      <c r="C449" s="40"/>
      <c r="D449" s="56" t="s">
        <v>253</v>
      </c>
      <c r="E449" s="541" t="s">
        <v>109</v>
      </c>
      <c r="F449" s="543"/>
      <c r="G449" s="543"/>
      <c r="H449" s="540"/>
      <c r="I449" s="229"/>
      <c r="J449" s="111"/>
      <c r="K449" s="111"/>
      <c r="L449" s="111"/>
      <c r="M449" s="111"/>
      <c r="N449" s="111">
        <f>SUM(N450:N452)</f>
        <v>0</v>
      </c>
      <c r="O449" s="111">
        <f t="shared" ref="O449:U449" si="513">SUM(O450:O452)</f>
        <v>0</v>
      </c>
      <c r="P449" s="111">
        <f t="shared" si="506"/>
        <v>0</v>
      </c>
      <c r="Q449" s="111">
        <f t="shared" si="513"/>
        <v>0</v>
      </c>
      <c r="R449" s="111">
        <f t="shared" si="513"/>
        <v>0</v>
      </c>
      <c r="S449" s="111">
        <f t="shared" si="507"/>
        <v>0</v>
      </c>
      <c r="T449" s="111">
        <f t="shared" si="513"/>
        <v>0</v>
      </c>
      <c r="U449" s="111">
        <f t="shared" si="513"/>
        <v>0</v>
      </c>
      <c r="V449" s="358">
        <f t="shared" si="508"/>
        <v>0</v>
      </c>
      <c r="W449" s="380">
        <f t="shared" si="509"/>
        <v>0</v>
      </c>
      <c r="X449" s="111">
        <f t="shared" si="510"/>
        <v>0</v>
      </c>
      <c r="Y449" s="545">
        <f>SUM(W449:X449)</f>
        <v>0</v>
      </c>
      <c r="Z449" s="131">
        <f>IF(Y$454=0,0,Y449/Y$454)</f>
        <v>0</v>
      </c>
      <c r="AA449" s="131"/>
      <c r="AB449" s="131"/>
      <c r="AC449" s="111"/>
      <c r="AE449" s="111"/>
      <c r="AF449" s="111"/>
      <c r="AG449" s="111"/>
      <c r="AH449" s="112"/>
      <c r="AI449" s="113"/>
      <c r="AK449" s="111"/>
      <c r="AL449" s="111"/>
      <c r="AM449" s="111"/>
      <c r="AN449" s="112"/>
      <c r="AO449" s="113"/>
      <c r="AQ449" s="111"/>
      <c r="AR449" s="111"/>
      <c r="AS449" s="111"/>
      <c r="AT449" s="545">
        <f t="shared" si="511"/>
        <v>0</v>
      </c>
      <c r="AU449" s="131">
        <f>IF(AT$454=0,0,AT449/AT$454)</f>
        <v>0</v>
      </c>
      <c r="AW449" s="111"/>
      <c r="AX449" s="111"/>
      <c r="AY449" s="111"/>
      <c r="AZ449" s="545">
        <f t="shared" si="512"/>
        <v>0</v>
      </c>
      <c r="BA449" s="131">
        <f>IF(AZ$454=0,0,AZ449/AZ$454)</f>
        <v>0</v>
      </c>
    </row>
    <row r="450" spans="1:53" ht="17.100000000000001" customHeight="1" x14ac:dyDescent="0.25">
      <c r="A450" s="40"/>
      <c r="B450" s="40"/>
      <c r="C450" s="40"/>
      <c r="D450" s="74"/>
      <c r="E450" s="170"/>
      <c r="F450" s="171"/>
      <c r="G450" s="171"/>
      <c r="H450" s="17"/>
      <c r="I450" s="594"/>
      <c r="J450" s="111"/>
      <c r="K450" s="111"/>
      <c r="L450" s="111"/>
      <c r="M450" s="111"/>
      <c r="N450" s="61"/>
      <c r="O450" s="61"/>
      <c r="P450" s="17"/>
      <c r="Q450" s="61"/>
      <c r="R450" s="61"/>
      <c r="S450" s="17"/>
      <c r="T450" s="61"/>
      <c r="U450" s="61"/>
      <c r="V450" s="359"/>
      <c r="W450" s="391"/>
      <c r="X450" s="17"/>
      <c r="Y450" s="539"/>
      <c r="Z450" s="17"/>
      <c r="AA450" s="17"/>
      <c r="AB450" s="17"/>
      <c r="AC450" s="17"/>
      <c r="AE450" s="17"/>
      <c r="AF450" s="17"/>
      <c r="AG450" s="17"/>
      <c r="AH450" s="539"/>
      <c r="AI450" s="17"/>
      <c r="AK450" s="17"/>
      <c r="AL450" s="17"/>
      <c r="AM450" s="17"/>
      <c r="AN450" s="539"/>
      <c r="AO450" s="17"/>
      <c r="AQ450" s="17"/>
      <c r="AR450" s="17"/>
      <c r="AS450" s="17"/>
      <c r="AT450" s="539"/>
      <c r="AU450" s="17"/>
      <c r="AW450" s="17"/>
      <c r="AX450" s="17"/>
      <c r="AY450" s="17"/>
      <c r="AZ450" s="539"/>
      <c r="BA450" s="17"/>
    </row>
    <row r="451" spans="1:53" ht="17.100000000000001" customHeight="1" x14ac:dyDescent="0.25">
      <c r="A451" s="40"/>
      <c r="B451" s="40"/>
      <c r="C451" s="40"/>
      <c r="D451" s="74"/>
      <c r="E451" s="168"/>
      <c r="F451" s="169"/>
      <c r="G451" s="169"/>
      <c r="H451" s="17"/>
      <c r="I451" s="594"/>
      <c r="J451" s="111"/>
      <c r="K451" s="111"/>
      <c r="L451" s="111"/>
      <c r="M451" s="111"/>
      <c r="N451" s="60"/>
      <c r="O451" s="60"/>
      <c r="P451" s="17"/>
      <c r="Q451" s="60"/>
      <c r="R451" s="60"/>
      <c r="S451" s="17"/>
      <c r="T451" s="60"/>
      <c r="U451" s="60"/>
      <c r="V451" s="359"/>
      <c r="W451" s="391"/>
      <c r="X451" s="17"/>
      <c r="Y451" s="539"/>
      <c r="Z451" s="17"/>
      <c r="AA451" s="17"/>
      <c r="AB451" s="17"/>
      <c r="AC451" s="17"/>
      <c r="AE451" s="17"/>
      <c r="AF451" s="17"/>
      <c r="AG451" s="17"/>
      <c r="AH451" s="539"/>
      <c r="AI451" s="17"/>
      <c r="AK451" s="17"/>
      <c r="AL451" s="17"/>
      <c r="AM451" s="17"/>
      <c r="AN451" s="539"/>
      <c r="AO451" s="17"/>
      <c r="AQ451" s="17"/>
      <c r="AR451" s="17"/>
      <c r="AS451" s="17"/>
      <c r="AT451" s="539"/>
      <c r="AU451" s="17"/>
      <c r="AW451" s="17"/>
      <c r="AX451" s="17"/>
      <c r="AY451" s="17"/>
      <c r="AZ451" s="539"/>
      <c r="BA451" s="17"/>
    </row>
    <row r="452" spans="1:53" ht="17.100000000000001" customHeight="1" x14ac:dyDescent="0.25">
      <c r="A452" s="40"/>
      <c r="B452" s="40"/>
      <c r="C452" s="40"/>
      <c r="D452" s="74"/>
      <c r="E452" s="170"/>
      <c r="F452" s="171"/>
      <c r="G452" s="171"/>
      <c r="H452" s="17"/>
      <c r="I452" s="594"/>
      <c r="J452" s="111"/>
      <c r="K452" s="111"/>
      <c r="L452" s="111"/>
      <c r="M452" s="111"/>
      <c r="N452" s="61"/>
      <c r="O452" s="61"/>
      <c r="P452" s="17"/>
      <c r="Q452" s="61"/>
      <c r="R452" s="61"/>
      <c r="S452" s="17"/>
      <c r="T452" s="61"/>
      <c r="U452" s="61"/>
      <c r="V452" s="359"/>
      <c r="W452" s="391"/>
      <c r="X452" s="17"/>
      <c r="Y452" s="539"/>
      <c r="Z452" s="17"/>
      <c r="AA452" s="17"/>
      <c r="AB452" s="17"/>
      <c r="AC452" s="17"/>
      <c r="AE452" s="17"/>
      <c r="AF452" s="17"/>
      <c r="AG452" s="17"/>
      <c r="AH452" s="539"/>
      <c r="AI452" s="17"/>
      <c r="AK452" s="17"/>
      <c r="AL452" s="17"/>
      <c r="AM452" s="17"/>
      <c r="AN452" s="539"/>
      <c r="AO452" s="17"/>
      <c r="AQ452" s="17"/>
      <c r="AR452" s="17"/>
      <c r="AS452" s="17"/>
      <c r="AT452" s="539"/>
      <c r="AU452" s="17"/>
      <c r="AW452" s="17"/>
      <c r="AX452" s="17"/>
      <c r="AY452" s="17"/>
      <c r="AZ452" s="539"/>
      <c r="BA452" s="17"/>
    </row>
    <row r="453" spans="1:53" ht="17.100000000000001" customHeight="1" x14ac:dyDescent="0.25">
      <c r="A453" s="40"/>
      <c r="B453" s="40"/>
      <c r="C453" s="40"/>
      <c r="D453" s="56" t="s">
        <v>616</v>
      </c>
      <c r="E453" s="596" t="s">
        <v>598</v>
      </c>
      <c r="F453" s="597"/>
      <c r="G453" s="597"/>
      <c r="H453" s="17"/>
      <c r="I453" s="594"/>
      <c r="J453" s="111"/>
      <c r="K453" s="111"/>
      <c r="L453" s="111"/>
      <c r="M453" s="111"/>
      <c r="N453" s="60"/>
      <c r="O453" s="60"/>
      <c r="P453" s="17">
        <f t="shared" ref="P453" si="514">SUM(N453:O453)</f>
        <v>0</v>
      </c>
      <c r="Q453" s="60"/>
      <c r="R453" s="60"/>
      <c r="S453" s="17">
        <f t="shared" ref="S453" si="515">SUM(Q453:R453)</f>
        <v>0</v>
      </c>
      <c r="T453" s="60"/>
      <c r="U453" s="60"/>
      <c r="V453" s="359">
        <f t="shared" ref="V453" si="516">SUM(T453:U453)</f>
        <v>0</v>
      </c>
      <c r="W453" s="391">
        <f t="shared" ref="W453" si="517">J453+K453+N453+Q453+T453</f>
        <v>0</v>
      </c>
      <c r="X453" s="17">
        <f t="shared" ref="X453" si="518">L453+O453+R453+U453</f>
        <v>0</v>
      </c>
      <c r="Y453" s="18">
        <f>SUM(W453:X453)</f>
        <v>0</v>
      </c>
      <c r="Z453" s="19">
        <f>IF(Y$454=0,0,Y453/Y$454)</f>
        <v>0</v>
      </c>
      <c r="AA453" s="19"/>
      <c r="AB453" s="19"/>
      <c r="AC453" s="17"/>
      <c r="AE453" s="17"/>
      <c r="AF453" s="17"/>
      <c r="AG453" s="17"/>
      <c r="AH453" s="18"/>
      <c r="AI453" s="19"/>
      <c r="AK453" s="17"/>
      <c r="AL453" s="17"/>
      <c r="AM453" s="17"/>
      <c r="AN453" s="18"/>
      <c r="AO453" s="19"/>
      <c r="AQ453" s="17"/>
      <c r="AR453" s="17"/>
      <c r="AS453" s="17"/>
      <c r="AT453" s="18">
        <f t="shared" ref="AT453" si="519">W453</f>
        <v>0</v>
      </c>
      <c r="AU453" s="19">
        <f>IF(AT$454=0,0,AT453/AT$454)</f>
        <v>0</v>
      </c>
      <c r="AW453" s="17"/>
      <c r="AX453" s="17"/>
      <c r="AY453" s="17"/>
      <c r="AZ453" s="18">
        <f>X453</f>
        <v>0</v>
      </c>
      <c r="BA453" s="19">
        <f>IF(AZ$454=0,0,AZ453/AZ$454)</f>
        <v>0</v>
      </c>
    </row>
    <row r="454" spans="1:53" ht="17.100000000000001" customHeight="1" x14ac:dyDescent="0.25">
      <c r="A454" s="40"/>
      <c r="B454" s="40"/>
      <c r="C454" s="77"/>
      <c r="D454" s="134"/>
      <c r="E454" s="134"/>
      <c r="F454" s="134"/>
      <c r="G454" s="134"/>
      <c r="H454" s="540"/>
      <c r="I454" s="229"/>
      <c r="J454" s="80"/>
      <c r="K454" s="80"/>
      <c r="L454" s="81"/>
      <c r="M454" s="81"/>
      <c r="N454" s="81">
        <f t="shared" ref="N454:V454" si="520">SUM(N445:N449)+N453</f>
        <v>0</v>
      </c>
      <c r="O454" s="81">
        <f t="shared" si="520"/>
        <v>0</v>
      </c>
      <c r="P454" s="81">
        <f t="shared" si="520"/>
        <v>0</v>
      </c>
      <c r="Q454" s="81">
        <f t="shared" si="520"/>
        <v>1</v>
      </c>
      <c r="R454" s="81">
        <f t="shared" si="520"/>
        <v>1</v>
      </c>
      <c r="S454" s="81">
        <f t="shared" si="520"/>
        <v>2</v>
      </c>
      <c r="T454" s="81">
        <f t="shared" si="520"/>
        <v>0</v>
      </c>
      <c r="U454" s="81">
        <f t="shared" si="520"/>
        <v>0</v>
      </c>
      <c r="V454" s="81">
        <f t="shared" si="520"/>
        <v>0</v>
      </c>
      <c r="W454" s="381">
        <f t="shared" ref="W454:Y454" si="521">SUM(W445:W449)+W453</f>
        <v>1</v>
      </c>
      <c r="X454" s="82">
        <f t="shared" si="521"/>
        <v>1</v>
      </c>
      <c r="Y454" s="82">
        <f t="shared" si="521"/>
        <v>2</v>
      </c>
      <c r="Z454" s="205">
        <f t="shared" ref="Z454" si="522">IF(Y$454=0,0,Y454/Y$454)</f>
        <v>1</v>
      </c>
      <c r="AA454" s="205"/>
      <c r="AB454" s="205"/>
      <c r="AC454" s="83"/>
      <c r="AE454" s="80"/>
      <c r="AF454" s="80"/>
      <c r="AG454" s="81"/>
      <c r="AH454" s="82"/>
      <c r="AI454" s="66"/>
      <c r="AK454" s="80"/>
      <c r="AL454" s="80"/>
      <c r="AM454" s="81"/>
      <c r="AN454" s="82"/>
      <c r="AO454" s="66"/>
      <c r="AQ454" s="80"/>
      <c r="AR454" s="80"/>
      <c r="AS454" s="81"/>
      <c r="AT454" s="82">
        <f>SUM(AT445:AT453)</f>
        <v>1</v>
      </c>
      <c r="AU454" s="66">
        <f>IF(AT$454=0,0,AT454/AT$454)</f>
        <v>1</v>
      </c>
      <c r="AW454" s="80"/>
      <c r="AX454" s="80"/>
      <c r="AY454" s="81"/>
      <c r="AZ454" s="82">
        <f>SUM(AZ445:AZ453)</f>
        <v>1</v>
      </c>
      <c r="BA454" s="66">
        <f>IF(AZ$454=0,0,AZ454/AZ$454)</f>
        <v>1</v>
      </c>
    </row>
    <row r="455" spans="1:53" s="117" customFormat="1" ht="17.100000000000001" customHeight="1" x14ac:dyDescent="0.25">
      <c r="A455" s="68"/>
      <c r="B455" s="119"/>
      <c r="C455" s="540"/>
      <c r="D455" s="261"/>
      <c r="E455" s="261"/>
      <c r="F455" s="68"/>
      <c r="G455" s="68"/>
      <c r="H455" s="119"/>
      <c r="I455" s="138"/>
      <c r="J455" s="17"/>
      <c r="K455" s="17"/>
      <c r="L455" s="17"/>
      <c r="M455" s="17"/>
      <c r="N455" s="17" t="str">
        <f>IF(N454=N$443,"OK","NOK")</f>
        <v>OK</v>
      </c>
      <c r="O455" s="17" t="str">
        <f>IF(O454=O$443,"OK","NOK")</f>
        <v>OK</v>
      </c>
      <c r="P455" s="17"/>
      <c r="Q455" s="17" t="str">
        <f>IF(Q454=Q$443,"OK","NOK")</f>
        <v>OK</v>
      </c>
      <c r="R455" s="17" t="str">
        <f>IF(R454=R$443,"OK","NOK")</f>
        <v>OK</v>
      </c>
      <c r="S455" s="17"/>
      <c r="T455" s="17" t="str">
        <f>IF(T454=T$443,"OK","NOK")</f>
        <v>OK</v>
      </c>
      <c r="U455" s="17" t="str">
        <f>IF(U454=U$443,"OK","NOK")</f>
        <v>OK</v>
      </c>
      <c r="V455" s="359"/>
      <c r="W455" s="382"/>
      <c r="X455" s="539"/>
      <c r="Y455" s="539"/>
      <c r="Z455" s="201"/>
      <c r="AA455" s="201"/>
      <c r="AB455" s="201"/>
      <c r="AC455" s="84"/>
      <c r="AE455" s="46"/>
      <c r="AF455" s="46"/>
      <c r="AG455" s="17"/>
      <c r="AH455" s="539"/>
      <c r="AI455" s="91"/>
      <c r="AK455" s="46"/>
      <c r="AL455" s="46"/>
      <c r="AM455" s="17"/>
      <c r="AN455" s="539"/>
      <c r="AO455" s="91"/>
      <c r="AQ455" s="46"/>
      <c r="AR455" s="46"/>
      <c r="AS455" s="17"/>
      <c r="AT455" s="539"/>
      <c r="AU455" s="91"/>
      <c r="AW455" s="46"/>
      <c r="AX455" s="46"/>
      <c r="AY455" s="17"/>
      <c r="AZ455" s="539"/>
      <c r="BA455" s="91"/>
    </row>
    <row r="456" spans="1:53" ht="17.100000000000001" customHeight="1" x14ac:dyDescent="0.25">
      <c r="A456" s="40"/>
      <c r="B456" s="40"/>
      <c r="C456" s="56" t="s">
        <v>254</v>
      </c>
      <c r="D456" s="146" t="s">
        <v>255</v>
      </c>
      <c r="E456" s="149"/>
      <c r="F456" s="75"/>
      <c r="G456" s="75"/>
      <c r="H456" s="540"/>
      <c r="I456" s="229"/>
      <c r="J456" s="545"/>
      <c r="K456" s="545"/>
      <c r="L456" s="545"/>
      <c r="M456" s="545"/>
      <c r="N456" s="545"/>
      <c r="O456" s="545"/>
      <c r="P456" s="545"/>
      <c r="Q456" s="545"/>
      <c r="R456" s="545"/>
      <c r="S456" s="545"/>
      <c r="T456" s="545"/>
      <c r="U456" s="545"/>
      <c r="V456" s="364"/>
      <c r="W456" s="385"/>
      <c r="X456" s="545"/>
      <c r="Y456" s="545"/>
      <c r="Z456" s="545"/>
      <c r="AA456" s="545"/>
      <c r="AB456" s="545"/>
      <c r="AC456" s="545"/>
      <c r="AE456" s="545"/>
      <c r="AF456" s="545"/>
      <c r="AG456" s="545"/>
      <c r="AH456" s="545"/>
      <c r="AI456" s="545"/>
      <c r="AK456" s="545"/>
      <c r="AL456" s="545"/>
      <c r="AM456" s="545"/>
      <c r="AN456" s="545"/>
      <c r="AO456" s="545"/>
      <c r="AQ456" s="545"/>
      <c r="AR456" s="545"/>
      <c r="AS456" s="545"/>
      <c r="AT456" s="545"/>
      <c r="AU456" s="545"/>
      <c r="AW456" s="545"/>
      <c r="AX456" s="545"/>
      <c r="AY456" s="545"/>
      <c r="AZ456" s="545"/>
      <c r="BA456" s="545"/>
    </row>
    <row r="457" spans="1:53" ht="17.100000000000001" customHeight="1" x14ac:dyDescent="0.25">
      <c r="A457" s="40"/>
      <c r="B457" s="40"/>
      <c r="C457" s="55"/>
      <c r="D457" s="180" t="s">
        <v>256</v>
      </c>
      <c r="E457" s="146" t="s">
        <v>113</v>
      </c>
      <c r="F457" s="75"/>
      <c r="G457" s="75"/>
      <c r="H457" s="540"/>
      <c r="I457" s="229"/>
      <c r="J457" s="111"/>
      <c r="K457" s="111"/>
      <c r="L457" s="111"/>
      <c r="M457" s="111"/>
      <c r="N457" s="60"/>
      <c r="O457" s="60"/>
      <c r="P457" s="17">
        <f t="shared" ref="P457:P459" si="523">SUM(N457:O457)</f>
        <v>0</v>
      </c>
      <c r="Q457" s="60"/>
      <c r="R457" s="60"/>
      <c r="S457" s="17">
        <f t="shared" ref="S457:S459" si="524">SUM(Q457:R457)</f>
        <v>0</v>
      </c>
      <c r="T457" s="60"/>
      <c r="U457" s="60"/>
      <c r="V457" s="359">
        <f t="shared" ref="V457:V459" si="525">SUM(T457:U457)</f>
        <v>0</v>
      </c>
      <c r="W457" s="391">
        <f t="shared" ref="W457:W459" si="526">J457+K457+N457+Q457+T457</f>
        <v>0</v>
      </c>
      <c r="X457" s="17">
        <f t="shared" ref="X457:X459" si="527">L457+O457+R457+U457</f>
        <v>0</v>
      </c>
      <c r="Y457" s="18">
        <f>SUM(W457:X457)</f>
        <v>0</v>
      </c>
      <c r="Z457" s="19">
        <f>IF(Y$460=0,0,Y457/Y$460)</f>
        <v>0</v>
      </c>
      <c r="AA457" s="19"/>
      <c r="AB457" s="19"/>
      <c r="AC457" s="17"/>
      <c r="AE457" s="111"/>
      <c r="AF457" s="111"/>
      <c r="AG457" s="111"/>
      <c r="AH457" s="112"/>
      <c r="AI457" s="113"/>
      <c r="AK457" s="111"/>
      <c r="AL457" s="111"/>
      <c r="AM457" s="111"/>
      <c r="AN457" s="112"/>
      <c r="AO457" s="113"/>
      <c r="AQ457" s="17"/>
      <c r="AR457" s="17"/>
      <c r="AS457" s="17"/>
      <c r="AT457" s="18">
        <f t="shared" ref="AT457:AT459" si="528">W457</f>
        <v>0</v>
      </c>
      <c r="AU457" s="19">
        <f>IF(AT$460=0,0,AT457/AT$460)</f>
        <v>0</v>
      </c>
      <c r="AW457" s="17"/>
      <c r="AX457" s="17"/>
      <c r="AY457" s="17"/>
      <c r="AZ457" s="18">
        <f t="shared" ref="AZ457:AZ459" si="529">X457</f>
        <v>0</v>
      </c>
      <c r="BA457" s="19">
        <f>IF(AZ$460=0,0,AZ457/AZ$460)</f>
        <v>0</v>
      </c>
    </row>
    <row r="458" spans="1:53" ht="17.100000000000001" customHeight="1" x14ac:dyDescent="0.25">
      <c r="A458" s="40"/>
      <c r="B458" s="40"/>
      <c r="C458" s="55"/>
      <c r="D458" s="180" t="s">
        <v>257</v>
      </c>
      <c r="E458" s="146" t="s">
        <v>258</v>
      </c>
      <c r="F458" s="75"/>
      <c r="G458" s="75"/>
      <c r="H458" s="540"/>
      <c r="I458" s="229"/>
      <c r="J458" s="111"/>
      <c r="K458" s="111"/>
      <c r="L458" s="111"/>
      <c r="M458" s="111"/>
      <c r="N458" s="61"/>
      <c r="O458" s="61"/>
      <c r="P458" s="17">
        <f t="shared" si="523"/>
        <v>0</v>
      </c>
      <c r="Q458" s="61">
        <v>1</v>
      </c>
      <c r="R458" s="61">
        <v>1</v>
      </c>
      <c r="S458" s="17">
        <f t="shared" si="524"/>
        <v>2</v>
      </c>
      <c r="T458" s="61"/>
      <c r="U458" s="61"/>
      <c r="V458" s="359">
        <f t="shared" si="525"/>
        <v>0</v>
      </c>
      <c r="W458" s="391">
        <f t="shared" si="526"/>
        <v>1</v>
      </c>
      <c r="X458" s="17">
        <f t="shared" si="527"/>
        <v>1</v>
      </c>
      <c r="Y458" s="18">
        <f>SUM(W458:X458)</f>
        <v>2</v>
      </c>
      <c r="Z458" s="19">
        <f t="shared" ref="Z458:Z460" si="530">IF(Y$460=0,0,Y458/Y$460)</f>
        <v>1</v>
      </c>
      <c r="AA458" s="19"/>
      <c r="AB458" s="19"/>
      <c r="AC458" s="17"/>
      <c r="AE458" s="111"/>
      <c r="AF458" s="111"/>
      <c r="AG458" s="111"/>
      <c r="AH458" s="112"/>
      <c r="AI458" s="113"/>
      <c r="AK458" s="111"/>
      <c r="AL458" s="111"/>
      <c r="AM458" s="111"/>
      <c r="AN458" s="112"/>
      <c r="AO458" s="113"/>
      <c r="AQ458" s="17"/>
      <c r="AR458" s="17"/>
      <c r="AS458" s="17"/>
      <c r="AT458" s="18">
        <f t="shared" si="528"/>
        <v>1</v>
      </c>
      <c r="AU458" s="19">
        <f>IF(AT$460=0,0,AT458/AT$460)</f>
        <v>1</v>
      </c>
      <c r="AW458" s="17"/>
      <c r="AX458" s="17"/>
      <c r="AY458" s="17"/>
      <c r="AZ458" s="18">
        <f t="shared" si="529"/>
        <v>1</v>
      </c>
      <c r="BA458" s="19">
        <f>IF(AZ$460=0,0,AZ458/AZ$460)</f>
        <v>1</v>
      </c>
    </row>
    <row r="459" spans="1:53" ht="17.100000000000001" customHeight="1" x14ac:dyDescent="0.25">
      <c r="A459" s="40"/>
      <c r="B459" s="40"/>
      <c r="C459" s="55"/>
      <c r="D459" s="180" t="s">
        <v>259</v>
      </c>
      <c r="E459" s="596" t="s">
        <v>598</v>
      </c>
      <c r="F459" s="542"/>
      <c r="G459" s="542"/>
      <c r="H459" s="540"/>
      <c r="I459" s="235"/>
      <c r="J459" s="111"/>
      <c r="K459" s="111"/>
      <c r="L459" s="111"/>
      <c r="M459" s="111"/>
      <c r="N459" s="60"/>
      <c r="O459" s="60"/>
      <c r="P459" s="17">
        <f t="shared" si="523"/>
        <v>0</v>
      </c>
      <c r="Q459" s="60"/>
      <c r="R459" s="60"/>
      <c r="S459" s="17">
        <f t="shared" si="524"/>
        <v>0</v>
      </c>
      <c r="T459" s="60"/>
      <c r="U459" s="60"/>
      <c r="V459" s="359">
        <f t="shared" si="525"/>
        <v>0</v>
      </c>
      <c r="W459" s="391">
        <f t="shared" si="526"/>
        <v>0</v>
      </c>
      <c r="X459" s="17">
        <f t="shared" si="527"/>
        <v>0</v>
      </c>
      <c r="Y459" s="18">
        <f>SUM(W459:X459)</f>
        <v>0</v>
      </c>
      <c r="Z459" s="19">
        <f t="shared" si="530"/>
        <v>0</v>
      </c>
      <c r="AA459" s="19"/>
      <c r="AB459" s="19"/>
      <c r="AC459" s="17"/>
      <c r="AE459" s="111"/>
      <c r="AF459" s="111"/>
      <c r="AG459" s="111"/>
      <c r="AH459" s="112"/>
      <c r="AI459" s="113"/>
      <c r="AK459" s="111"/>
      <c r="AL459" s="111"/>
      <c r="AM459" s="111"/>
      <c r="AN459" s="112"/>
      <c r="AO459" s="113"/>
      <c r="AQ459" s="17"/>
      <c r="AR459" s="17"/>
      <c r="AS459" s="17"/>
      <c r="AT459" s="18">
        <f t="shared" si="528"/>
        <v>0</v>
      </c>
      <c r="AU459" s="19">
        <f>IF(AT$460=0,0,AT459/AT$460)</f>
        <v>0</v>
      </c>
      <c r="AW459" s="17"/>
      <c r="AX459" s="17"/>
      <c r="AY459" s="17"/>
      <c r="AZ459" s="18">
        <f t="shared" si="529"/>
        <v>0</v>
      </c>
      <c r="BA459" s="19">
        <f>IF(AZ$460=0,0,AZ459/AZ$460)</f>
        <v>0</v>
      </c>
    </row>
    <row r="460" spans="1:53" ht="17.100000000000001" customHeight="1" x14ac:dyDescent="0.25">
      <c r="A460" s="40"/>
      <c r="B460" s="40"/>
      <c r="C460" s="77"/>
      <c r="D460" s="134"/>
      <c r="E460" s="134"/>
      <c r="F460" s="134"/>
      <c r="G460" s="134"/>
      <c r="H460" s="540"/>
      <c r="I460" s="229"/>
      <c r="J460" s="80"/>
      <c r="K460" s="80"/>
      <c r="L460" s="81"/>
      <c r="M460" s="81"/>
      <c r="N460" s="81">
        <f>SUM(N457:N459)</f>
        <v>0</v>
      </c>
      <c r="O460" s="81">
        <f t="shared" ref="O460:V460" si="531">SUM(O457:O459)</f>
        <v>0</v>
      </c>
      <c r="P460" s="81">
        <f t="shared" si="531"/>
        <v>0</v>
      </c>
      <c r="Q460" s="81">
        <f t="shared" si="531"/>
        <v>1</v>
      </c>
      <c r="R460" s="81">
        <f t="shared" si="531"/>
        <v>1</v>
      </c>
      <c r="S460" s="81">
        <f t="shared" si="531"/>
        <v>2</v>
      </c>
      <c r="T460" s="81">
        <f t="shared" si="531"/>
        <v>0</v>
      </c>
      <c r="U460" s="81">
        <f t="shared" si="531"/>
        <v>0</v>
      </c>
      <c r="V460" s="81">
        <f t="shared" si="531"/>
        <v>0</v>
      </c>
      <c r="W460" s="381">
        <f>SUM(W457:W459)</f>
        <v>1</v>
      </c>
      <c r="X460" s="82">
        <f t="shared" ref="X460:Y460" si="532">SUM(X457:X459)</f>
        <v>1</v>
      </c>
      <c r="Y460" s="82">
        <f t="shared" si="532"/>
        <v>2</v>
      </c>
      <c r="Z460" s="205">
        <f t="shared" si="530"/>
        <v>1</v>
      </c>
      <c r="AA460" s="205"/>
      <c r="AB460" s="205"/>
      <c r="AC460" s="83"/>
      <c r="AE460" s="80"/>
      <c r="AF460" s="80"/>
      <c r="AG460" s="81"/>
      <c r="AH460" s="82"/>
      <c r="AI460" s="66"/>
      <c r="AK460" s="80"/>
      <c r="AL460" s="80"/>
      <c r="AM460" s="81"/>
      <c r="AN460" s="82"/>
      <c r="AO460" s="66"/>
      <c r="AQ460" s="80"/>
      <c r="AR460" s="80"/>
      <c r="AS460" s="81"/>
      <c r="AT460" s="82">
        <f>SUM(AT457:AT459)</f>
        <v>1</v>
      </c>
      <c r="AU460" s="66">
        <f>IF(AT$460=0,0,AT460/AT$460)</f>
        <v>1</v>
      </c>
      <c r="AW460" s="80"/>
      <c r="AX460" s="80"/>
      <c r="AY460" s="81"/>
      <c r="AZ460" s="82">
        <f>SUM(AZ457:AZ459)</f>
        <v>1</v>
      </c>
      <c r="BA460" s="66">
        <f>IF(AZ$460=0,0,AZ460/AZ$460)</f>
        <v>1</v>
      </c>
    </row>
    <row r="461" spans="1:53" s="117" customFormat="1" ht="17.100000000000001" customHeight="1" x14ac:dyDescent="0.25">
      <c r="A461" s="68"/>
      <c r="B461" s="119"/>
      <c r="C461" s="540"/>
      <c r="D461" s="261"/>
      <c r="E461" s="261"/>
      <c r="F461" s="68"/>
      <c r="G461" s="68"/>
      <c r="H461" s="119"/>
      <c r="I461" s="138"/>
      <c r="J461" s="17"/>
      <c r="K461" s="17"/>
      <c r="L461" s="17"/>
      <c r="M461" s="17"/>
      <c r="N461" s="17" t="str">
        <f>IF(N460=N$443,"OK","NOK")</f>
        <v>OK</v>
      </c>
      <c r="O461" s="17" t="str">
        <f>IF(O460=O$443,"OK","NOK")</f>
        <v>OK</v>
      </c>
      <c r="P461" s="17"/>
      <c r="Q461" s="17" t="str">
        <f>IF(Q460=Q$443,"OK","NOK")</f>
        <v>OK</v>
      </c>
      <c r="R461" s="17" t="str">
        <f>IF(R460=R$443,"OK","NOK")</f>
        <v>OK</v>
      </c>
      <c r="S461" s="17"/>
      <c r="T461" s="17" t="str">
        <f>IF(T460=T$443,"OK","NOK")</f>
        <v>OK</v>
      </c>
      <c r="U461" s="17" t="str">
        <f>IF(U460=U$443,"OK","NOK")</f>
        <v>OK</v>
      </c>
      <c r="V461" s="359"/>
      <c r="W461" s="382"/>
      <c r="X461" s="539"/>
      <c r="Y461" s="539"/>
      <c r="Z461" s="201"/>
      <c r="AA461" s="201"/>
      <c r="AB461" s="201"/>
      <c r="AC461" s="84"/>
      <c r="AE461" s="46"/>
      <c r="AF461" s="46"/>
      <c r="AG461" s="17"/>
      <c r="AH461" s="539"/>
      <c r="AI461" s="91"/>
      <c r="AK461" s="46"/>
      <c r="AL461" s="46"/>
      <c r="AM461" s="17"/>
      <c r="AN461" s="539"/>
      <c r="AO461" s="91"/>
      <c r="AQ461" s="46"/>
      <c r="AR461" s="46"/>
      <c r="AS461" s="17"/>
      <c r="AT461" s="539"/>
      <c r="AU461" s="91"/>
      <c r="AW461" s="46"/>
      <c r="AX461" s="46"/>
      <c r="AY461" s="17"/>
      <c r="AZ461" s="539"/>
      <c r="BA461" s="91"/>
    </row>
    <row r="462" spans="1:53" s="117" customFormat="1" ht="17.100000000000001" customHeight="1" x14ac:dyDescent="0.25">
      <c r="A462" s="68"/>
      <c r="B462" s="119"/>
      <c r="C462" s="56" t="s">
        <v>260</v>
      </c>
      <c r="D462" s="57" t="s">
        <v>275</v>
      </c>
      <c r="E462" s="149"/>
      <c r="F462" s="149"/>
      <c r="G462" s="149"/>
      <c r="H462" s="182"/>
      <c r="I462" s="241"/>
      <c r="J462" s="152"/>
      <c r="K462" s="152"/>
      <c r="L462" s="111"/>
      <c r="M462" s="111"/>
      <c r="N462" s="111"/>
      <c r="O462" s="111"/>
      <c r="P462" s="111"/>
      <c r="Q462" s="111"/>
      <c r="R462" s="111"/>
      <c r="S462" s="111"/>
      <c r="T462" s="111"/>
      <c r="U462" s="111"/>
      <c r="V462" s="358"/>
      <c r="W462" s="380"/>
      <c r="X462" s="111"/>
      <c r="Y462" s="545"/>
      <c r="Z462" s="131"/>
      <c r="AA462" s="131"/>
      <c r="AB462" s="131"/>
      <c r="AC462" s="113"/>
      <c r="AE462" s="152"/>
      <c r="AF462" s="152"/>
      <c r="AG462" s="111"/>
      <c r="AH462" s="545"/>
      <c r="AI462" s="131"/>
      <c r="AK462" s="152"/>
      <c r="AL462" s="152"/>
      <c r="AM462" s="111"/>
      <c r="AN462" s="545"/>
      <c r="AO462" s="131"/>
      <c r="AQ462" s="152"/>
      <c r="AR462" s="152"/>
      <c r="AS462" s="111"/>
      <c r="AT462" s="545"/>
      <c r="AU462" s="131"/>
      <c r="AW462" s="152"/>
      <c r="AX462" s="152"/>
      <c r="AY462" s="111"/>
      <c r="AZ462" s="545"/>
      <c r="BA462" s="131"/>
    </row>
    <row r="463" spans="1:53" ht="17.100000000000001" customHeight="1" x14ac:dyDescent="0.25">
      <c r="A463" s="175"/>
      <c r="B463" s="40"/>
      <c r="C463" s="55"/>
      <c r="D463" s="56" t="s">
        <v>261</v>
      </c>
      <c r="E463" s="85" t="s">
        <v>173</v>
      </c>
      <c r="F463" s="225"/>
      <c r="G463" s="149"/>
      <c r="H463" s="182"/>
      <c r="I463" s="241"/>
      <c r="J463" s="111"/>
      <c r="K463" s="111"/>
      <c r="L463" s="111"/>
      <c r="M463" s="111"/>
      <c r="N463" s="60"/>
      <c r="O463" s="60"/>
      <c r="P463" s="17">
        <f>SUM(N463:O463)</f>
        <v>0</v>
      </c>
      <c r="Q463" s="60"/>
      <c r="R463" s="60"/>
      <c r="S463" s="17">
        <f>SUM(Q463:R463)</f>
        <v>0</v>
      </c>
      <c r="T463" s="60"/>
      <c r="U463" s="60"/>
      <c r="V463" s="359">
        <f>SUM(T463:U463)</f>
        <v>0</v>
      </c>
      <c r="W463" s="391">
        <f t="shared" ref="W463:W464" si="533">J463+K463+N463+Q463+T463</f>
        <v>0</v>
      </c>
      <c r="X463" s="17">
        <f t="shared" ref="X463:X464" si="534">L463+O463+R463+U463</f>
        <v>0</v>
      </c>
      <c r="Y463" s="18">
        <f>SUM(W463:X463)</f>
        <v>0</v>
      </c>
      <c r="Z463" s="19">
        <f>IF(Y$370=0,0,Y463/Y$370)</f>
        <v>0</v>
      </c>
      <c r="AA463" s="19"/>
      <c r="AB463" s="19"/>
      <c r="AC463" s="20"/>
      <c r="AE463" s="111"/>
      <c r="AF463" s="111"/>
      <c r="AG463" s="111"/>
      <c r="AH463" s="112"/>
      <c r="AI463" s="113"/>
      <c r="AK463" s="111"/>
      <c r="AL463" s="111"/>
      <c r="AM463" s="111"/>
      <c r="AN463" s="112"/>
      <c r="AO463" s="113"/>
      <c r="AQ463" s="17"/>
      <c r="AR463" s="17"/>
      <c r="AS463" s="17"/>
      <c r="AT463" s="18">
        <f t="shared" ref="AT463:AT464" si="535">W463</f>
        <v>0</v>
      </c>
      <c r="AU463" s="19">
        <f>IF(AT$469=0,0,AT463/AT$469)</f>
        <v>0</v>
      </c>
      <c r="AW463" s="17"/>
      <c r="AX463" s="17"/>
      <c r="AY463" s="17"/>
      <c r="AZ463" s="18">
        <f t="shared" ref="AZ463:AZ464" si="536">X463</f>
        <v>0</v>
      </c>
      <c r="BA463" s="19">
        <f>IF(AZ$469=0,0,AZ463/AZ$469)</f>
        <v>0</v>
      </c>
    </row>
    <row r="464" spans="1:53" ht="17.100000000000001" customHeight="1" x14ac:dyDescent="0.25">
      <c r="A464" s="175"/>
      <c r="B464" s="40"/>
      <c r="C464" s="55"/>
      <c r="D464" s="56" t="s">
        <v>262</v>
      </c>
      <c r="E464" s="85" t="s">
        <v>544</v>
      </c>
      <c r="F464" s="225"/>
      <c r="G464" s="149"/>
      <c r="H464" s="182"/>
      <c r="I464" s="241"/>
      <c r="J464" s="111"/>
      <c r="K464" s="111"/>
      <c r="L464" s="111"/>
      <c r="M464" s="111"/>
      <c r="N464" s="61"/>
      <c r="O464" s="61"/>
      <c r="P464" s="17">
        <f t="shared" ref="P464" si="537">SUM(N464:O464)</f>
        <v>0</v>
      </c>
      <c r="Q464" s="61">
        <v>1</v>
      </c>
      <c r="R464" s="61">
        <v>1</v>
      </c>
      <c r="S464" s="17">
        <f t="shared" ref="S464" si="538">SUM(Q464:R464)</f>
        <v>2</v>
      </c>
      <c r="T464" s="61"/>
      <c r="U464" s="61"/>
      <c r="V464" s="359">
        <f t="shared" ref="V464" si="539">SUM(T464:U464)</f>
        <v>0</v>
      </c>
      <c r="W464" s="391">
        <f t="shared" si="533"/>
        <v>1</v>
      </c>
      <c r="X464" s="17">
        <f t="shared" si="534"/>
        <v>1</v>
      </c>
      <c r="Y464" s="18">
        <f>SUM(W464:X464)</f>
        <v>2</v>
      </c>
      <c r="Z464" s="19">
        <f>IF(Y$370=0,0,Y464/Y$370)</f>
        <v>0</v>
      </c>
      <c r="AA464" s="19"/>
      <c r="AB464" s="19"/>
      <c r="AC464" s="20"/>
      <c r="AE464" s="111"/>
      <c r="AF464" s="111"/>
      <c r="AG464" s="111"/>
      <c r="AH464" s="112"/>
      <c r="AI464" s="113"/>
      <c r="AK464" s="111"/>
      <c r="AL464" s="111"/>
      <c r="AM464" s="111"/>
      <c r="AN464" s="112"/>
      <c r="AO464" s="113"/>
      <c r="AQ464" s="17"/>
      <c r="AR464" s="17"/>
      <c r="AS464" s="17"/>
      <c r="AT464" s="18">
        <f t="shared" si="535"/>
        <v>1</v>
      </c>
      <c r="AU464" s="19">
        <f>IF(AT$469=0,0,AT464/AT$469)</f>
        <v>1</v>
      </c>
      <c r="AW464" s="17"/>
      <c r="AX464" s="17"/>
      <c r="AY464" s="17"/>
      <c r="AZ464" s="18">
        <f t="shared" si="536"/>
        <v>1</v>
      </c>
      <c r="BA464" s="19">
        <f>IF(AZ$469=0,0,AZ464/AZ$469)</f>
        <v>1</v>
      </c>
    </row>
    <row r="465" spans="1:53" ht="17.100000000000001" customHeight="1" x14ac:dyDescent="0.25">
      <c r="A465" s="175"/>
      <c r="B465" s="40"/>
      <c r="C465" s="55"/>
      <c r="D465" s="56" t="s">
        <v>263</v>
      </c>
      <c r="E465" s="146" t="s">
        <v>484</v>
      </c>
      <c r="F465" s="225"/>
      <c r="G465" s="149"/>
      <c r="H465" s="182"/>
      <c r="I465" s="241"/>
      <c r="J465" s="111"/>
      <c r="K465" s="111"/>
      <c r="L465" s="111"/>
      <c r="M465" s="111"/>
      <c r="N465" s="60"/>
      <c r="O465" s="60"/>
      <c r="P465" s="17"/>
      <c r="Q465" s="60">
        <v>2500000</v>
      </c>
      <c r="R465" s="60">
        <v>2000000</v>
      </c>
      <c r="S465" s="17"/>
      <c r="T465" s="60"/>
      <c r="U465" s="60"/>
      <c r="V465" s="359"/>
      <c r="W465" s="391">
        <f>MIN(N465,Q465,T465)</f>
        <v>2500000</v>
      </c>
      <c r="X465" s="17">
        <f>MIN(O465,R465,U465)</f>
        <v>2000000</v>
      </c>
      <c r="Y465" s="18"/>
      <c r="Z465" s="19"/>
      <c r="AA465" s="17">
        <f>MIN(N465:U465)</f>
        <v>2000000</v>
      </c>
      <c r="AB465" s="17"/>
      <c r="AC465" s="17"/>
      <c r="AE465" s="111"/>
      <c r="AF465" s="111"/>
      <c r="AG465" s="111"/>
      <c r="AH465" s="545"/>
      <c r="AI465" s="131"/>
      <c r="AK465" s="111"/>
      <c r="AL465" s="111"/>
      <c r="AM465" s="111"/>
      <c r="AN465" s="545"/>
      <c r="AO465" s="131"/>
      <c r="AQ465" s="17">
        <f>W465</f>
        <v>2500000</v>
      </c>
      <c r="AR465" s="17"/>
      <c r="AS465" s="17"/>
      <c r="AT465" s="18"/>
      <c r="AU465" s="19"/>
      <c r="AW465" s="17">
        <f>X465</f>
        <v>2000000</v>
      </c>
      <c r="AX465" s="17"/>
      <c r="AY465" s="17"/>
      <c r="AZ465" s="18"/>
      <c r="BA465" s="19"/>
    </row>
    <row r="466" spans="1:53" ht="17.100000000000001" customHeight="1" x14ac:dyDescent="0.25">
      <c r="A466" s="175"/>
      <c r="B466" s="40"/>
      <c r="C466" s="55"/>
      <c r="D466" s="56" t="s">
        <v>264</v>
      </c>
      <c r="E466" s="146" t="s">
        <v>485</v>
      </c>
      <c r="F466" s="225"/>
      <c r="G466" s="149"/>
      <c r="H466" s="182"/>
      <c r="I466" s="241"/>
      <c r="J466" s="111"/>
      <c r="K466" s="111"/>
      <c r="L466" s="111"/>
      <c r="M466" s="111"/>
      <c r="N466" s="61"/>
      <c r="O466" s="61"/>
      <c r="P466" s="17"/>
      <c r="Q466" s="61">
        <v>2500000</v>
      </c>
      <c r="R466" s="61">
        <v>2000000</v>
      </c>
      <c r="S466" s="17"/>
      <c r="T466" s="61"/>
      <c r="U466" s="61"/>
      <c r="V466" s="359"/>
      <c r="W466" s="391">
        <f>MAX(N466,Q466,T466)</f>
        <v>2500000</v>
      </c>
      <c r="X466" s="17">
        <f>MAX(O466,R466,U466)</f>
        <v>2000000</v>
      </c>
      <c r="Y466" s="18"/>
      <c r="Z466" s="19"/>
      <c r="AA466" s="17"/>
      <c r="AB466" s="17">
        <f>MAX(N466:U466)</f>
        <v>2500000</v>
      </c>
      <c r="AC466" s="17"/>
      <c r="AE466" s="111"/>
      <c r="AF466" s="111"/>
      <c r="AG466" s="111"/>
      <c r="AH466" s="545"/>
      <c r="AI466" s="131"/>
      <c r="AK466" s="111"/>
      <c r="AL466" s="111"/>
      <c r="AM466" s="111"/>
      <c r="AN466" s="545"/>
      <c r="AO466" s="131"/>
      <c r="AQ466" s="17"/>
      <c r="AR466" s="17">
        <f>W466</f>
        <v>2500000</v>
      </c>
      <c r="AS466" s="17"/>
      <c r="AT466" s="18"/>
      <c r="AU466" s="19"/>
      <c r="AW466" s="17"/>
      <c r="AX466" s="17">
        <f>X466</f>
        <v>2000000</v>
      </c>
      <c r="AY466" s="17"/>
      <c r="AZ466" s="18"/>
      <c r="BA466" s="19"/>
    </row>
    <row r="467" spans="1:53" ht="17.100000000000001" customHeight="1" x14ac:dyDescent="0.25">
      <c r="A467" s="175"/>
      <c r="B467" s="40"/>
      <c r="C467" s="55"/>
      <c r="D467" s="56" t="s">
        <v>265</v>
      </c>
      <c r="E467" s="146" t="s">
        <v>543</v>
      </c>
      <c r="F467" s="225"/>
      <c r="G467" s="149"/>
      <c r="H467" s="182"/>
      <c r="I467" s="241"/>
      <c r="J467" s="111"/>
      <c r="K467" s="111"/>
      <c r="L467" s="111"/>
      <c r="M467" s="111"/>
      <c r="N467" s="60"/>
      <c r="O467" s="60"/>
      <c r="P467" s="17"/>
      <c r="Q467" s="60">
        <v>2500000</v>
      </c>
      <c r="R467" s="60">
        <v>2000000</v>
      </c>
      <c r="S467" s="17"/>
      <c r="T467" s="60"/>
      <c r="U467" s="60"/>
      <c r="V467" s="359"/>
      <c r="W467" s="391">
        <f>IF(N467+Q467+T467=0,0,AVERAGE(N467,Q467,T467))</f>
        <v>2500000</v>
      </c>
      <c r="X467" s="17">
        <f>IF(O467+R467+U467=0,0,AVERAGE(O467,R467,U467))</f>
        <v>2000000</v>
      </c>
      <c r="Y467" s="18"/>
      <c r="Z467" s="19"/>
      <c r="AA467" s="17"/>
      <c r="AB467" s="17"/>
      <c r="AC467" s="17">
        <f>IF(SUM(N467:U467)=0,0,AVERAGE(N467:U467))</f>
        <v>2250000</v>
      </c>
      <c r="AE467" s="111"/>
      <c r="AF467" s="111"/>
      <c r="AG467" s="111"/>
      <c r="AH467" s="545"/>
      <c r="AI467" s="131"/>
      <c r="AK467" s="111"/>
      <c r="AL467" s="111"/>
      <c r="AM467" s="111"/>
      <c r="AN467" s="545"/>
      <c r="AO467" s="131"/>
      <c r="AQ467" s="17"/>
      <c r="AR467" s="17"/>
      <c r="AS467" s="17">
        <f>W467</f>
        <v>2500000</v>
      </c>
      <c r="AT467" s="18"/>
      <c r="AU467" s="19"/>
      <c r="AW467" s="17"/>
      <c r="AX467" s="17"/>
      <c r="AY467" s="17">
        <f>X467</f>
        <v>2000000</v>
      </c>
      <c r="AZ467" s="18"/>
      <c r="BA467" s="19"/>
    </row>
    <row r="468" spans="1:53" ht="17.100000000000001" customHeight="1" x14ac:dyDescent="0.25">
      <c r="A468" s="175"/>
      <c r="B468" s="40"/>
      <c r="C468" s="55"/>
      <c r="D468" s="56" t="s">
        <v>266</v>
      </c>
      <c r="E468" s="596" t="s">
        <v>598</v>
      </c>
      <c r="F468" s="225"/>
      <c r="G468" s="149"/>
      <c r="H468" s="182"/>
      <c r="I468" s="241"/>
      <c r="J468" s="111"/>
      <c r="K468" s="111"/>
      <c r="L468" s="111"/>
      <c r="M468" s="111"/>
      <c r="N468" s="61"/>
      <c r="O468" s="61"/>
      <c r="P468" s="17">
        <f t="shared" ref="P468" si="540">SUM(N468:O468)</f>
        <v>0</v>
      </c>
      <c r="Q468" s="61"/>
      <c r="R468" s="61"/>
      <c r="S468" s="17">
        <f t="shared" ref="S468" si="541">SUM(Q468:R468)</f>
        <v>0</v>
      </c>
      <c r="T468" s="61"/>
      <c r="U468" s="61"/>
      <c r="V468" s="359">
        <f t="shared" ref="V468" si="542">SUM(T468:U468)</f>
        <v>0</v>
      </c>
      <c r="W468" s="391">
        <f t="shared" ref="W468" si="543">J468+K468+N468+Q468+T468</f>
        <v>0</v>
      </c>
      <c r="X468" s="17">
        <f t="shared" ref="X468" si="544">L468+O468+R468+U468</f>
        <v>0</v>
      </c>
      <c r="Y468" s="18">
        <f>SUM(W468:X468)</f>
        <v>0</v>
      </c>
      <c r="Z468" s="19">
        <f>IF(Y$370=0,0,Y468/Y$370)</f>
        <v>0</v>
      </c>
      <c r="AA468" s="19"/>
      <c r="AB468" s="19"/>
      <c r="AC468" s="20"/>
      <c r="AE468" s="111"/>
      <c r="AF468" s="111"/>
      <c r="AG468" s="111"/>
      <c r="AH468" s="112"/>
      <c r="AI468" s="113"/>
      <c r="AK468" s="111"/>
      <c r="AL468" s="111"/>
      <c r="AM468" s="111"/>
      <c r="AN468" s="112"/>
      <c r="AO468" s="113"/>
      <c r="AQ468" s="17"/>
      <c r="AR468" s="17"/>
      <c r="AS468" s="17"/>
      <c r="AT468" s="18">
        <f t="shared" ref="AT468" si="545">W468</f>
        <v>0</v>
      </c>
      <c r="AU468" s="19">
        <f t="shared" ref="AU468:AU469" si="546">IF(AT$469=0,0,AT468/AT$469)</f>
        <v>0</v>
      </c>
      <c r="AW468" s="17"/>
      <c r="AX468" s="17"/>
      <c r="AY468" s="17"/>
      <c r="AZ468" s="18">
        <f t="shared" ref="AZ468" si="547">X468</f>
        <v>0</v>
      </c>
      <c r="BA468" s="19">
        <f t="shared" ref="BA468:BA469" si="548">IF(AZ$469=0,0,AZ468/AZ$469)</f>
        <v>0</v>
      </c>
    </row>
    <row r="469" spans="1:53" s="117" customFormat="1" ht="17.100000000000001" customHeight="1" x14ac:dyDescent="0.25">
      <c r="A469" s="68"/>
      <c r="B469" s="119"/>
      <c r="C469" s="77"/>
      <c r="D469" s="134"/>
      <c r="E469" s="134"/>
      <c r="F469" s="134"/>
      <c r="G469" s="134"/>
      <c r="H469" s="540"/>
      <c r="I469" s="229"/>
      <c r="J469" s="80"/>
      <c r="K469" s="80"/>
      <c r="L469" s="81"/>
      <c r="M469" s="81"/>
      <c r="N469" s="81">
        <f>N463+N464+N468</f>
        <v>0</v>
      </c>
      <c r="O469" s="81">
        <f t="shared" ref="O469:V469" si="549">O463+O464+O468</f>
        <v>0</v>
      </c>
      <c r="P469" s="81">
        <f t="shared" si="549"/>
        <v>0</v>
      </c>
      <c r="Q469" s="81">
        <f t="shared" si="549"/>
        <v>1</v>
      </c>
      <c r="R469" s="81">
        <f t="shared" si="549"/>
        <v>1</v>
      </c>
      <c r="S469" s="81">
        <f t="shared" si="549"/>
        <v>2</v>
      </c>
      <c r="T469" s="81">
        <f t="shared" si="549"/>
        <v>0</v>
      </c>
      <c r="U469" s="81">
        <f t="shared" si="549"/>
        <v>0</v>
      </c>
      <c r="V469" s="81">
        <f t="shared" si="549"/>
        <v>0</v>
      </c>
      <c r="W469" s="381">
        <f>W463+W464+W468</f>
        <v>1</v>
      </c>
      <c r="X469" s="82">
        <f t="shared" ref="X469:Y469" si="550">X463+X464+X468</f>
        <v>1</v>
      </c>
      <c r="Y469" s="338">
        <f t="shared" si="550"/>
        <v>2</v>
      </c>
      <c r="Z469" s="205">
        <f>IF(Y$430=0,0,Y469/Y$430)</f>
        <v>0.4</v>
      </c>
      <c r="AA469" s="205"/>
      <c r="AB469" s="205"/>
      <c r="AC469" s="83"/>
      <c r="AE469" s="80"/>
      <c r="AF469" s="80"/>
      <c r="AG469" s="81"/>
      <c r="AH469" s="82"/>
      <c r="AI469" s="66"/>
      <c r="AK469" s="80"/>
      <c r="AL469" s="80"/>
      <c r="AM469" s="81"/>
      <c r="AN469" s="82"/>
      <c r="AO469" s="66"/>
      <c r="AQ469" s="80"/>
      <c r="AR469" s="80"/>
      <c r="AS469" s="81"/>
      <c r="AT469" s="82">
        <f>SUM(AT463:AT468)</f>
        <v>1</v>
      </c>
      <c r="AU469" s="66">
        <f t="shared" si="546"/>
        <v>1</v>
      </c>
      <c r="AW469" s="80"/>
      <c r="AX469" s="80"/>
      <c r="AY469" s="81"/>
      <c r="AZ469" s="82">
        <f>SUM(AZ463:AZ468)</f>
        <v>1</v>
      </c>
      <c r="BA469" s="66">
        <f t="shared" si="548"/>
        <v>1</v>
      </c>
    </row>
    <row r="470" spans="1:53" s="117" customFormat="1" ht="17.100000000000001" customHeight="1" x14ac:dyDescent="0.25">
      <c r="A470" s="68"/>
      <c r="B470" s="119"/>
      <c r="C470" s="540"/>
      <c r="D470" s="261"/>
      <c r="E470" s="261"/>
      <c r="F470" s="68"/>
      <c r="G470" s="68"/>
      <c r="H470" s="119"/>
      <c r="I470" s="138"/>
      <c r="J470" s="17"/>
      <c r="K470" s="17"/>
      <c r="L470" s="17"/>
      <c r="M470" s="17"/>
      <c r="N470" s="17" t="str">
        <f>IF(N469=N$443,"OK","NOK")</f>
        <v>OK</v>
      </c>
      <c r="O470" s="17" t="str">
        <f>IF(O469=O$443,"OK","NOK")</f>
        <v>OK</v>
      </c>
      <c r="P470" s="17"/>
      <c r="Q470" s="17" t="str">
        <f>IF(Q469=Q$443,"OK","NOK")</f>
        <v>OK</v>
      </c>
      <c r="R470" s="17" t="str">
        <f>IF(R469=R$443,"OK","NOK")</f>
        <v>OK</v>
      </c>
      <c r="S470" s="17"/>
      <c r="T470" s="17" t="str">
        <f>IF(T469=T$443,"OK","NOK")</f>
        <v>OK</v>
      </c>
      <c r="U470" s="17" t="str">
        <f>IF(U469=U$443,"OK","NOK")</f>
        <v>OK</v>
      </c>
      <c r="V470" s="359"/>
      <c r="W470" s="382"/>
      <c r="X470" s="539"/>
      <c r="Y470" s="539"/>
      <c r="Z470" s="201"/>
      <c r="AA470" s="201"/>
      <c r="AB470" s="201"/>
      <c r="AC470" s="84"/>
      <c r="AE470" s="46"/>
      <c r="AF470" s="46"/>
      <c r="AG470" s="17"/>
      <c r="AH470" s="539"/>
      <c r="AI470" s="91"/>
      <c r="AK470" s="46"/>
      <c r="AL470" s="46"/>
      <c r="AM470" s="17"/>
      <c r="AN470" s="539"/>
      <c r="AO470" s="91"/>
      <c r="AQ470" s="46"/>
      <c r="AR470" s="46"/>
      <c r="AS470" s="17"/>
      <c r="AT470" s="539"/>
      <c r="AU470" s="91"/>
      <c r="AW470" s="46"/>
      <c r="AX470" s="46"/>
      <c r="AY470" s="17"/>
      <c r="AZ470" s="539"/>
      <c r="BA470" s="91"/>
    </row>
    <row r="471" spans="1:53" s="117" customFormat="1" ht="17.100000000000001" customHeight="1" x14ac:dyDescent="0.25">
      <c r="A471" s="68"/>
      <c r="B471" s="119"/>
      <c r="C471" s="56" t="s">
        <v>267</v>
      </c>
      <c r="D471" s="57" t="s">
        <v>276</v>
      </c>
      <c r="E471" s="149"/>
      <c r="F471" s="149"/>
      <c r="G471" s="149"/>
      <c r="H471" s="182"/>
      <c r="I471" s="241"/>
      <c r="J471" s="152"/>
      <c r="K471" s="152"/>
      <c r="L471" s="111"/>
      <c r="M471" s="111"/>
      <c r="N471" s="111"/>
      <c r="O471" s="111"/>
      <c r="P471" s="111"/>
      <c r="Q471" s="111"/>
      <c r="R471" s="111"/>
      <c r="S471" s="111"/>
      <c r="T471" s="111"/>
      <c r="U471" s="111"/>
      <c r="V471" s="358"/>
      <c r="W471" s="380"/>
      <c r="X471" s="111"/>
      <c r="Y471" s="545"/>
      <c r="Z471" s="131"/>
      <c r="AA471" s="131"/>
      <c r="AB471" s="131"/>
      <c r="AC471" s="113"/>
      <c r="AE471" s="152"/>
      <c r="AF471" s="152"/>
      <c r="AG471" s="111"/>
      <c r="AH471" s="545"/>
      <c r="AI471" s="131"/>
      <c r="AK471" s="152"/>
      <c r="AL471" s="152"/>
      <c r="AM471" s="111"/>
      <c r="AN471" s="545"/>
      <c r="AO471" s="131"/>
      <c r="AQ471" s="152"/>
      <c r="AR471" s="152"/>
      <c r="AS471" s="111"/>
      <c r="AT471" s="545"/>
      <c r="AU471" s="131"/>
      <c r="AW471" s="152"/>
      <c r="AX471" s="152"/>
      <c r="AY471" s="111"/>
      <c r="AZ471" s="545"/>
      <c r="BA471" s="131"/>
    </row>
    <row r="472" spans="1:53" s="117" customFormat="1" ht="17.100000000000001" customHeight="1" x14ac:dyDescent="0.25">
      <c r="A472" s="68"/>
      <c r="B472" s="119"/>
      <c r="C472" s="55"/>
      <c r="D472" s="56" t="s">
        <v>268</v>
      </c>
      <c r="E472" s="85" t="s">
        <v>478</v>
      </c>
      <c r="F472" s="149"/>
      <c r="G472" s="149"/>
      <c r="H472" s="182"/>
      <c r="I472" s="241"/>
      <c r="J472" s="111"/>
      <c r="K472" s="111"/>
      <c r="L472" s="111"/>
      <c r="M472" s="111"/>
      <c r="N472" s="60"/>
      <c r="O472" s="60"/>
      <c r="P472" s="17">
        <f t="shared" ref="P472:P479" si="551">SUM(N472:O472)</f>
        <v>0</v>
      </c>
      <c r="Q472" s="60"/>
      <c r="R472" s="60"/>
      <c r="S472" s="17">
        <f t="shared" ref="S472:S479" si="552">SUM(Q472:R472)</f>
        <v>0</v>
      </c>
      <c r="T472" s="60"/>
      <c r="U472" s="60"/>
      <c r="V472" s="359">
        <f t="shared" ref="V472:V479" si="553">SUM(T472:U472)</f>
        <v>0</v>
      </c>
      <c r="W472" s="391">
        <f t="shared" ref="W472:W479" si="554">J472+K472+N472+Q472+T472</f>
        <v>0</v>
      </c>
      <c r="X472" s="17">
        <f t="shared" ref="X472:X479" si="555">L472+O472+R472+U472</f>
        <v>0</v>
      </c>
      <c r="Y472" s="18">
        <f t="shared" ref="Y472:Y479" si="556">SUM(W472:X472)</f>
        <v>0</v>
      </c>
      <c r="Z472" s="19">
        <f>IF(Y$480=0,0,Y472/Y$480)</f>
        <v>0</v>
      </c>
      <c r="AA472" s="19"/>
      <c r="AB472" s="19"/>
      <c r="AC472" s="84"/>
      <c r="AE472" s="111"/>
      <c r="AF472" s="111"/>
      <c r="AG472" s="111"/>
      <c r="AH472" s="112"/>
      <c r="AI472" s="113"/>
      <c r="AK472" s="111"/>
      <c r="AL472" s="111"/>
      <c r="AM472" s="111"/>
      <c r="AN472" s="112"/>
      <c r="AO472" s="113"/>
      <c r="AQ472" s="17"/>
      <c r="AR472" s="17"/>
      <c r="AS472" s="17"/>
      <c r="AT472" s="18">
        <f t="shared" ref="AT472:AT479" si="557">W472</f>
        <v>0</v>
      </c>
      <c r="AU472" s="19">
        <f>IF(AT$480=0,0,AT472/AT$480)</f>
        <v>0</v>
      </c>
      <c r="AW472" s="17"/>
      <c r="AX472" s="17"/>
      <c r="AY472" s="17"/>
      <c r="AZ472" s="18">
        <f t="shared" ref="AZ472:AZ479" si="558">X472</f>
        <v>0</v>
      </c>
      <c r="BA472" s="19">
        <f>IF(AZ$480=0,0,AZ472/AZ$480)</f>
        <v>0</v>
      </c>
    </row>
    <row r="473" spans="1:53" s="117" customFormat="1" ht="17.100000000000001" customHeight="1" x14ac:dyDescent="0.25">
      <c r="A473" s="68"/>
      <c r="B473" s="119"/>
      <c r="C473" s="55"/>
      <c r="D473" s="56" t="s">
        <v>269</v>
      </c>
      <c r="E473" s="85" t="s">
        <v>165</v>
      </c>
      <c r="F473" s="149"/>
      <c r="G473" s="149"/>
      <c r="H473" s="182"/>
      <c r="I473" s="241"/>
      <c r="J473" s="111"/>
      <c r="K473" s="111"/>
      <c r="L473" s="111"/>
      <c r="M473" s="111"/>
      <c r="N473" s="61"/>
      <c r="O473" s="61"/>
      <c r="P473" s="17">
        <f t="shared" si="551"/>
        <v>0</v>
      </c>
      <c r="Q473" s="61">
        <v>1</v>
      </c>
      <c r="R473" s="61">
        <v>1</v>
      </c>
      <c r="S473" s="17">
        <f t="shared" si="552"/>
        <v>2</v>
      </c>
      <c r="T473" s="61"/>
      <c r="U473" s="61"/>
      <c r="V473" s="359">
        <f t="shared" si="553"/>
        <v>0</v>
      </c>
      <c r="W473" s="391">
        <f t="shared" si="554"/>
        <v>1</v>
      </c>
      <c r="X473" s="17">
        <f t="shared" si="555"/>
        <v>1</v>
      </c>
      <c r="Y473" s="18">
        <f t="shared" si="556"/>
        <v>2</v>
      </c>
      <c r="Z473" s="19">
        <f t="shared" ref="Z473:Z479" si="559">IF(Y$480=0,0,Y473/Y$480)</f>
        <v>1</v>
      </c>
      <c r="AA473" s="19"/>
      <c r="AB473" s="19"/>
      <c r="AC473" s="84"/>
      <c r="AE473" s="111"/>
      <c r="AF473" s="111"/>
      <c r="AG473" s="111"/>
      <c r="AH473" s="112"/>
      <c r="AI473" s="113"/>
      <c r="AK473" s="111"/>
      <c r="AL473" s="111"/>
      <c r="AM473" s="111"/>
      <c r="AN473" s="112"/>
      <c r="AO473" s="113"/>
      <c r="AQ473" s="17"/>
      <c r="AR473" s="17"/>
      <c r="AS473" s="17"/>
      <c r="AT473" s="18">
        <f t="shared" si="557"/>
        <v>1</v>
      </c>
      <c r="AU473" s="19">
        <f t="shared" ref="AU473:AU480" si="560">IF(AT$480=0,0,AT473/AT$480)</f>
        <v>1</v>
      </c>
      <c r="AW473" s="17"/>
      <c r="AX473" s="17"/>
      <c r="AY473" s="17"/>
      <c r="AZ473" s="18">
        <f t="shared" si="558"/>
        <v>1</v>
      </c>
      <c r="BA473" s="19">
        <f t="shared" ref="BA473:BA480" si="561">IF(AZ$480=0,0,AZ473/AZ$480)</f>
        <v>1</v>
      </c>
    </row>
    <row r="474" spans="1:53" s="117" customFormat="1" ht="17.100000000000001" customHeight="1" x14ac:dyDescent="0.25">
      <c r="A474" s="68"/>
      <c r="B474" s="119"/>
      <c r="C474" s="55"/>
      <c r="D474" s="56" t="s">
        <v>270</v>
      </c>
      <c r="E474" s="85" t="s">
        <v>167</v>
      </c>
      <c r="F474" s="149"/>
      <c r="G474" s="149"/>
      <c r="H474" s="182"/>
      <c r="I474" s="241"/>
      <c r="J474" s="111"/>
      <c r="K474" s="111"/>
      <c r="L474" s="111"/>
      <c r="M474" s="111"/>
      <c r="N474" s="60"/>
      <c r="O474" s="60"/>
      <c r="P474" s="17">
        <f t="shared" si="551"/>
        <v>0</v>
      </c>
      <c r="Q474" s="60"/>
      <c r="R474" s="60"/>
      <c r="S474" s="17">
        <f t="shared" si="552"/>
        <v>0</v>
      </c>
      <c r="T474" s="60"/>
      <c r="U474" s="60"/>
      <c r="V474" s="359">
        <f t="shared" si="553"/>
        <v>0</v>
      </c>
      <c r="W474" s="391">
        <f t="shared" si="554"/>
        <v>0</v>
      </c>
      <c r="X474" s="17">
        <f t="shared" si="555"/>
        <v>0</v>
      </c>
      <c r="Y474" s="18">
        <f t="shared" si="556"/>
        <v>0</v>
      </c>
      <c r="Z474" s="19">
        <f t="shared" si="559"/>
        <v>0</v>
      </c>
      <c r="AA474" s="19"/>
      <c r="AB474" s="19"/>
      <c r="AC474" s="84"/>
      <c r="AE474" s="111"/>
      <c r="AF474" s="111"/>
      <c r="AG474" s="111"/>
      <c r="AH474" s="112"/>
      <c r="AI474" s="113"/>
      <c r="AK474" s="111"/>
      <c r="AL474" s="111"/>
      <c r="AM474" s="111"/>
      <c r="AN474" s="112"/>
      <c r="AO474" s="113"/>
      <c r="AQ474" s="17"/>
      <c r="AR474" s="17"/>
      <c r="AS474" s="17"/>
      <c r="AT474" s="18">
        <f t="shared" si="557"/>
        <v>0</v>
      </c>
      <c r="AU474" s="19">
        <f t="shared" si="560"/>
        <v>0</v>
      </c>
      <c r="AW474" s="17"/>
      <c r="AX474" s="17"/>
      <c r="AY474" s="17"/>
      <c r="AZ474" s="18">
        <f t="shared" si="558"/>
        <v>0</v>
      </c>
      <c r="BA474" s="19">
        <f t="shared" si="561"/>
        <v>0</v>
      </c>
    </row>
    <row r="475" spans="1:53" s="117" customFormat="1" ht="17.100000000000001" customHeight="1" x14ac:dyDescent="0.25">
      <c r="A475" s="68"/>
      <c r="B475" s="119"/>
      <c r="C475" s="55"/>
      <c r="D475" s="56" t="s">
        <v>271</v>
      </c>
      <c r="E475" s="85" t="s">
        <v>437</v>
      </c>
      <c r="F475" s="149"/>
      <c r="G475" s="149"/>
      <c r="H475" s="182"/>
      <c r="I475" s="241"/>
      <c r="J475" s="111"/>
      <c r="K475" s="111"/>
      <c r="L475" s="111"/>
      <c r="M475" s="111"/>
      <c r="N475" s="61"/>
      <c r="O475" s="61"/>
      <c r="P475" s="17">
        <f t="shared" si="551"/>
        <v>0</v>
      </c>
      <c r="Q475" s="61"/>
      <c r="R475" s="61"/>
      <c r="S475" s="17">
        <f t="shared" si="552"/>
        <v>0</v>
      </c>
      <c r="T475" s="61"/>
      <c r="U475" s="61"/>
      <c r="V475" s="359">
        <f t="shared" si="553"/>
        <v>0</v>
      </c>
      <c r="W475" s="391">
        <f t="shared" si="554"/>
        <v>0</v>
      </c>
      <c r="X475" s="17">
        <f t="shared" si="555"/>
        <v>0</v>
      </c>
      <c r="Y475" s="18">
        <f t="shared" si="556"/>
        <v>0</v>
      </c>
      <c r="Z475" s="19">
        <f t="shared" si="559"/>
        <v>0</v>
      </c>
      <c r="AA475" s="19"/>
      <c r="AB475" s="19"/>
      <c r="AC475" s="84"/>
      <c r="AE475" s="111"/>
      <c r="AF475" s="111"/>
      <c r="AG475" s="111"/>
      <c r="AH475" s="112"/>
      <c r="AI475" s="113"/>
      <c r="AK475" s="111"/>
      <c r="AL475" s="111"/>
      <c r="AM475" s="111"/>
      <c r="AN475" s="112"/>
      <c r="AO475" s="113"/>
      <c r="AQ475" s="17"/>
      <c r="AR475" s="17"/>
      <c r="AS475" s="17"/>
      <c r="AT475" s="18">
        <f t="shared" si="557"/>
        <v>0</v>
      </c>
      <c r="AU475" s="19">
        <f t="shared" si="560"/>
        <v>0</v>
      </c>
      <c r="AW475" s="17"/>
      <c r="AX475" s="17"/>
      <c r="AY475" s="17"/>
      <c r="AZ475" s="18">
        <f t="shared" si="558"/>
        <v>0</v>
      </c>
      <c r="BA475" s="19">
        <f t="shared" si="561"/>
        <v>0</v>
      </c>
    </row>
    <row r="476" spans="1:53" s="117" customFormat="1" ht="17.100000000000001" customHeight="1" x14ac:dyDescent="0.25">
      <c r="A476" s="68"/>
      <c r="B476" s="119"/>
      <c r="C476" s="55"/>
      <c r="D476" s="56" t="s">
        <v>272</v>
      </c>
      <c r="E476" s="85" t="s">
        <v>438</v>
      </c>
      <c r="F476" s="149"/>
      <c r="G476" s="149"/>
      <c r="H476" s="182"/>
      <c r="I476" s="241"/>
      <c r="J476" s="111"/>
      <c r="K476" s="111"/>
      <c r="L476" s="111"/>
      <c r="M476" s="111"/>
      <c r="N476" s="60"/>
      <c r="O476" s="60"/>
      <c r="P476" s="17">
        <f t="shared" si="551"/>
        <v>0</v>
      </c>
      <c r="Q476" s="60"/>
      <c r="R476" s="60"/>
      <c r="S476" s="17">
        <f t="shared" si="552"/>
        <v>0</v>
      </c>
      <c r="T476" s="60"/>
      <c r="U476" s="60"/>
      <c r="V476" s="359">
        <f t="shared" si="553"/>
        <v>0</v>
      </c>
      <c r="W476" s="391">
        <f t="shared" si="554"/>
        <v>0</v>
      </c>
      <c r="X476" s="17">
        <f t="shared" si="555"/>
        <v>0</v>
      </c>
      <c r="Y476" s="18">
        <f t="shared" si="556"/>
        <v>0</v>
      </c>
      <c r="Z476" s="19">
        <f t="shared" si="559"/>
        <v>0</v>
      </c>
      <c r="AA476" s="19"/>
      <c r="AB476" s="19"/>
      <c r="AC476" s="84"/>
      <c r="AE476" s="111"/>
      <c r="AF476" s="111"/>
      <c r="AG476" s="111"/>
      <c r="AH476" s="112"/>
      <c r="AI476" s="113"/>
      <c r="AK476" s="111"/>
      <c r="AL476" s="111"/>
      <c r="AM476" s="111"/>
      <c r="AN476" s="112"/>
      <c r="AO476" s="113"/>
      <c r="AQ476" s="17"/>
      <c r="AR476" s="17"/>
      <c r="AS476" s="17"/>
      <c r="AT476" s="18">
        <f t="shared" si="557"/>
        <v>0</v>
      </c>
      <c r="AU476" s="19">
        <f t="shared" si="560"/>
        <v>0</v>
      </c>
      <c r="AW476" s="17"/>
      <c r="AX476" s="17"/>
      <c r="AY476" s="17"/>
      <c r="AZ476" s="18">
        <f t="shared" si="558"/>
        <v>0</v>
      </c>
      <c r="BA476" s="19">
        <f t="shared" si="561"/>
        <v>0</v>
      </c>
    </row>
    <row r="477" spans="1:53" s="117" customFormat="1" ht="17.100000000000001" customHeight="1" x14ac:dyDescent="0.25">
      <c r="A477" s="68"/>
      <c r="B477" s="119"/>
      <c r="C477" s="55"/>
      <c r="D477" s="56" t="s">
        <v>273</v>
      </c>
      <c r="E477" s="85" t="s">
        <v>439</v>
      </c>
      <c r="F477" s="595"/>
      <c r="G477" s="595"/>
      <c r="H477" s="17"/>
      <c r="I477" s="594"/>
      <c r="J477" s="111"/>
      <c r="K477" s="111"/>
      <c r="L477" s="111"/>
      <c r="M477" s="111"/>
      <c r="N477" s="61"/>
      <c r="O477" s="61"/>
      <c r="P477" s="17">
        <f t="shared" si="551"/>
        <v>0</v>
      </c>
      <c r="Q477" s="61"/>
      <c r="R477" s="61"/>
      <c r="S477" s="17">
        <f t="shared" si="552"/>
        <v>0</v>
      </c>
      <c r="T477" s="61"/>
      <c r="U477" s="61"/>
      <c r="V477" s="359">
        <f t="shared" si="553"/>
        <v>0</v>
      </c>
      <c r="W477" s="391">
        <f t="shared" si="554"/>
        <v>0</v>
      </c>
      <c r="X477" s="17">
        <f t="shared" si="555"/>
        <v>0</v>
      </c>
      <c r="Y477" s="18">
        <f t="shared" si="556"/>
        <v>0</v>
      </c>
      <c r="Z477" s="19">
        <f t="shared" si="559"/>
        <v>0</v>
      </c>
      <c r="AA477" s="19"/>
      <c r="AB477" s="19"/>
      <c r="AC477" s="84"/>
      <c r="AE477" s="111"/>
      <c r="AF477" s="111"/>
      <c r="AG477" s="111"/>
      <c r="AH477" s="112"/>
      <c r="AI477" s="113"/>
      <c r="AK477" s="111"/>
      <c r="AL477" s="111"/>
      <c r="AM477" s="111"/>
      <c r="AN477" s="112"/>
      <c r="AO477" s="113"/>
      <c r="AQ477" s="17"/>
      <c r="AR477" s="17"/>
      <c r="AS477" s="17"/>
      <c r="AT477" s="18">
        <f t="shared" si="557"/>
        <v>0</v>
      </c>
      <c r="AU477" s="19">
        <f t="shared" si="560"/>
        <v>0</v>
      </c>
      <c r="AW477" s="17"/>
      <c r="AX477" s="17"/>
      <c r="AY477" s="17"/>
      <c r="AZ477" s="18">
        <f t="shared" si="558"/>
        <v>0</v>
      </c>
      <c r="BA477" s="19">
        <f t="shared" si="561"/>
        <v>0</v>
      </c>
    </row>
    <row r="478" spans="1:53" s="117" customFormat="1" ht="17.100000000000001" customHeight="1" x14ac:dyDescent="0.25">
      <c r="A478" s="68"/>
      <c r="B478" s="119"/>
      <c r="C478" s="55"/>
      <c r="D478" s="56" t="s">
        <v>274</v>
      </c>
      <c r="E478" s="85" t="s">
        <v>483</v>
      </c>
      <c r="F478" s="595"/>
      <c r="G478" s="595"/>
      <c r="H478" s="17"/>
      <c r="I478" s="594"/>
      <c r="J478" s="111"/>
      <c r="K478" s="111"/>
      <c r="L478" s="111"/>
      <c r="M478" s="111"/>
      <c r="N478" s="60"/>
      <c r="O478" s="60"/>
      <c r="P478" s="17">
        <f t="shared" si="551"/>
        <v>0</v>
      </c>
      <c r="Q478" s="60"/>
      <c r="R478" s="60"/>
      <c r="S478" s="17">
        <f t="shared" si="552"/>
        <v>0</v>
      </c>
      <c r="T478" s="60"/>
      <c r="U478" s="60"/>
      <c r="V478" s="359">
        <f t="shared" si="553"/>
        <v>0</v>
      </c>
      <c r="W478" s="391">
        <f t="shared" si="554"/>
        <v>0</v>
      </c>
      <c r="X478" s="17">
        <f t="shared" si="555"/>
        <v>0</v>
      </c>
      <c r="Y478" s="18">
        <f t="shared" si="556"/>
        <v>0</v>
      </c>
      <c r="Z478" s="19">
        <f t="shared" si="559"/>
        <v>0</v>
      </c>
      <c r="AA478" s="19"/>
      <c r="AB478" s="19"/>
      <c r="AC478" s="84"/>
      <c r="AE478" s="111"/>
      <c r="AF478" s="111"/>
      <c r="AG478" s="111"/>
      <c r="AH478" s="112"/>
      <c r="AI478" s="113"/>
      <c r="AK478" s="111"/>
      <c r="AL478" s="111"/>
      <c r="AM478" s="111"/>
      <c r="AN478" s="112"/>
      <c r="AO478" s="113"/>
      <c r="AQ478" s="17"/>
      <c r="AR478" s="17"/>
      <c r="AS478" s="17"/>
      <c r="AT478" s="18">
        <f t="shared" si="557"/>
        <v>0</v>
      </c>
      <c r="AU478" s="19">
        <f t="shared" si="560"/>
        <v>0</v>
      </c>
      <c r="AW478" s="17"/>
      <c r="AX478" s="17"/>
      <c r="AY478" s="17"/>
      <c r="AZ478" s="18">
        <f t="shared" si="558"/>
        <v>0</v>
      </c>
      <c r="BA478" s="19">
        <f t="shared" si="561"/>
        <v>0</v>
      </c>
    </row>
    <row r="479" spans="1:53" s="117" customFormat="1" ht="17.100000000000001" customHeight="1" x14ac:dyDescent="0.25">
      <c r="A479" s="68"/>
      <c r="B479" s="119"/>
      <c r="C479" s="55"/>
      <c r="D479" s="56" t="s">
        <v>482</v>
      </c>
      <c r="E479" s="149" t="s">
        <v>129</v>
      </c>
      <c r="F479" s="149"/>
      <c r="G479" s="149"/>
      <c r="H479" s="182"/>
      <c r="I479" s="241"/>
      <c r="J479" s="111"/>
      <c r="K479" s="111"/>
      <c r="L479" s="111"/>
      <c r="M479" s="111"/>
      <c r="N479" s="61"/>
      <c r="O479" s="61"/>
      <c r="P479" s="17">
        <f t="shared" si="551"/>
        <v>0</v>
      </c>
      <c r="Q479" s="61"/>
      <c r="R479" s="61"/>
      <c r="S479" s="17">
        <f t="shared" si="552"/>
        <v>0</v>
      </c>
      <c r="T479" s="61"/>
      <c r="U479" s="61"/>
      <c r="V479" s="359">
        <f t="shared" si="553"/>
        <v>0</v>
      </c>
      <c r="W479" s="391">
        <f t="shared" si="554"/>
        <v>0</v>
      </c>
      <c r="X479" s="17">
        <f t="shared" si="555"/>
        <v>0</v>
      </c>
      <c r="Y479" s="18">
        <f t="shared" si="556"/>
        <v>0</v>
      </c>
      <c r="Z479" s="19">
        <f t="shared" si="559"/>
        <v>0</v>
      </c>
      <c r="AA479" s="19"/>
      <c r="AB479" s="19"/>
      <c r="AC479" s="84"/>
      <c r="AE479" s="111"/>
      <c r="AF479" s="111"/>
      <c r="AG479" s="111"/>
      <c r="AH479" s="112"/>
      <c r="AI479" s="113"/>
      <c r="AK479" s="111"/>
      <c r="AL479" s="111"/>
      <c r="AM479" s="111"/>
      <c r="AN479" s="112"/>
      <c r="AO479" s="113"/>
      <c r="AQ479" s="17"/>
      <c r="AR479" s="17"/>
      <c r="AS479" s="17"/>
      <c r="AT479" s="18">
        <f t="shared" si="557"/>
        <v>0</v>
      </c>
      <c r="AU479" s="19">
        <f t="shared" si="560"/>
        <v>0</v>
      </c>
      <c r="AW479" s="17"/>
      <c r="AX479" s="17"/>
      <c r="AY479" s="17"/>
      <c r="AZ479" s="18">
        <f t="shared" si="558"/>
        <v>0</v>
      </c>
      <c r="BA479" s="19">
        <f t="shared" si="561"/>
        <v>0</v>
      </c>
    </row>
    <row r="480" spans="1:53" s="117" customFormat="1" ht="17.100000000000001" customHeight="1" x14ac:dyDescent="0.25">
      <c r="A480" s="68"/>
      <c r="B480" s="119"/>
      <c r="C480" s="77"/>
      <c r="D480" s="134"/>
      <c r="E480" s="134"/>
      <c r="F480" s="134"/>
      <c r="G480" s="134"/>
      <c r="H480" s="540"/>
      <c r="I480" s="229"/>
      <c r="J480" s="80"/>
      <c r="K480" s="80"/>
      <c r="L480" s="81"/>
      <c r="M480" s="81"/>
      <c r="N480" s="81">
        <f>SUM(N472:N479)</f>
        <v>0</v>
      </c>
      <c r="O480" s="81">
        <f t="shared" ref="O480:V480" si="562">SUM(O472:O479)</f>
        <v>0</v>
      </c>
      <c r="P480" s="81">
        <f t="shared" si="562"/>
        <v>0</v>
      </c>
      <c r="Q480" s="81">
        <f t="shared" si="562"/>
        <v>1</v>
      </c>
      <c r="R480" s="81">
        <f t="shared" si="562"/>
        <v>1</v>
      </c>
      <c r="S480" s="81">
        <f t="shared" si="562"/>
        <v>2</v>
      </c>
      <c r="T480" s="81">
        <f t="shared" si="562"/>
        <v>0</v>
      </c>
      <c r="U480" s="81">
        <f t="shared" si="562"/>
        <v>0</v>
      </c>
      <c r="V480" s="81">
        <f t="shared" si="562"/>
        <v>0</v>
      </c>
      <c r="W480" s="381">
        <f>SUM(W472:W479)</f>
        <v>1</v>
      </c>
      <c r="X480" s="82">
        <f t="shared" ref="X480:Y480" si="563">SUM(X472:X479)</f>
        <v>1</v>
      </c>
      <c r="Y480" s="82">
        <f t="shared" si="563"/>
        <v>2</v>
      </c>
      <c r="Z480" s="205">
        <f>IF(Y$480=0,0,Y480/Y$480)</f>
        <v>1</v>
      </c>
      <c r="AA480" s="205"/>
      <c r="AB480" s="205"/>
      <c r="AC480" s="83"/>
      <c r="AE480" s="80"/>
      <c r="AF480" s="80"/>
      <c r="AG480" s="81"/>
      <c r="AH480" s="82"/>
      <c r="AI480" s="66"/>
      <c r="AK480" s="80"/>
      <c r="AL480" s="80"/>
      <c r="AM480" s="81"/>
      <c r="AN480" s="82"/>
      <c r="AO480" s="66"/>
      <c r="AQ480" s="80"/>
      <c r="AR480" s="80"/>
      <c r="AS480" s="81"/>
      <c r="AT480" s="82">
        <f>SUM(AT472:AT479)</f>
        <v>1</v>
      </c>
      <c r="AU480" s="66">
        <f t="shared" si="560"/>
        <v>1</v>
      </c>
      <c r="AW480" s="80"/>
      <c r="AX480" s="80"/>
      <c r="AY480" s="81"/>
      <c r="AZ480" s="82">
        <f>SUM(AZ472:AZ479)</f>
        <v>1</v>
      </c>
      <c r="BA480" s="66">
        <f t="shared" si="561"/>
        <v>1</v>
      </c>
    </row>
    <row r="481" spans="1:53" s="117" customFormat="1" ht="17.100000000000001" customHeight="1" x14ac:dyDescent="0.25">
      <c r="A481" s="68"/>
      <c r="B481" s="119"/>
      <c r="C481" s="540"/>
      <c r="D481" s="261"/>
      <c r="E481" s="261"/>
      <c r="F481" s="68"/>
      <c r="G481" s="68"/>
      <c r="H481" s="119"/>
      <c r="I481" s="138"/>
      <c r="J481" s="17"/>
      <c r="K481" s="17"/>
      <c r="L481" s="17"/>
      <c r="M481" s="17"/>
      <c r="N481" s="17" t="str">
        <f>IF(N480=N$443,"OK","NOK")</f>
        <v>OK</v>
      </c>
      <c r="O481" s="17" t="str">
        <f>IF(O480=O$443,"OK","NOK")</f>
        <v>OK</v>
      </c>
      <c r="P481" s="17"/>
      <c r="Q481" s="17" t="str">
        <f>IF(Q480=Q$443,"OK","NOK")</f>
        <v>OK</v>
      </c>
      <c r="R481" s="17" t="str">
        <f>IF(R480=R$443,"OK","NOK")</f>
        <v>OK</v>
      </c>
      <c r="S481" s="17"/>
      <c r="T481" s="17" t="str">
        <f>IF(T480=T$443,"OK","NOK")</f>
        <v>OK</v>
      </c>
      <c r="U481" s="17" t="str">
        <f>IF(U480=U$443,"OK","NOK")</f>
        <v>OK</v>
      </c>
      <c r="V481" s="359"/>
      <c r="W481" s="382"/>
      <c r="X481" s="539"/>
      <c r="Y481" s="539"/>
      <c r="Z481" s="201"/>
      <c r="AA481" s="201"/>
      <c r="AB481" s="201"/>
      <c r="AC481" s="84"/>
      <c r="AE481" s="46"/>
      <c r="AF481" s="46"/>
      <c r="AG481" s="17"/>
      <c r="AH481" s="539"/>
      <c r="AI481" s="91"/>
      <c r="AK481" s="46"/>
      <c r="AL481" s="46"/>
      <c r="AM481" s="17"/>
      <c r="AN481" s="539"/>
      <c r="AO481" s="91"/>
      <c r="AQ481" s="46"/>
      <c r="AR481" s="46"/>
      <c r="AS481" s="17"/>
      <c r="AT481" s="539"/>
      <c r="AU481" s="91"/>
      <c r="AW481" s="46"/>
      <c r="AX481" s="46"/>
      <c r="AY481" s="17"/>
      <c r="AZ481" s="539"/>
      <c r="BA481" s="91"/>
    </row>
    <row r="482" spans="1:53" s="117" customFormat="1" ht="17.100000000000001" customHeight="1" x14ac:dyDescent="0.25">
      <c r="A482" s="68"/>
      <c r="B482" s="119"/>
      <c r="C482" s="119"/>
      <c r="D482" s="56" t="s">
        <v>272</v>
      </c>
      <c r="E482" s="149" t="s">
        <v>751</v>
      </c>
      <c r="F482" s="149"/>
      <c r="G482" s="149"/>
      <c r="H482" s="182"/>
      <c r="I482" s="241"/>
      <c r="J482" s="152"/>
      <c r="K482" s="152"/>
      <c r="L482" s="111"/>
      <c r="M482" s="111"/>
      <c r="N482" s="111"/>
      <c r="O482" s="111"/>
      <c r="P482" s="111"/>
      <c r="Q482" s="111"/>
      <c r="R482" s="111"/>
      <c r="S482" s="111"/>
      <c r="T482" s="111"/>
      <c r="U482" s="111"/>
      <c r="V482" s="358"/>
      <c r="W482" s="380"/>
      <c r="X482" s="111"/>
      <c r="Y482" s="545"/>
      <c r="Z482" s="131"/>
      <c r="AA482" s="131"/>
      <c r="AB482" s="131"/>
      <c r="AC482" s="113"/>
      <c r="AE482" s="152"/>
      <c r="AF482" s="152"/>
      <c r="AG482" s="111"/>
      <c r="AH482" s="545"/>
      <c r="AI482" s="131"/>
      <c r="AK482" s="152"/>
      <c r="AL482" s="152"/>
      <c r="AM482" s="111"/>
      <c r="AN482" s="545"/>
      <c r="AO482" s="131"/>
      <c r="AQ482" s="152"/>
      <c r="AR482" s="152"/>
      <c r="AS482" s="111"/>
      <c r="AT482" s="545"/>
      <c r="AU482" s="131"/>
      <c r="AW482" s="152"/>
      <c r="AX482" s="152"/>
      <c r="AY482" s="111"/>
      <c r="AZ482" s="545"/>
      <c r="BA482" s="131"/>
    </row>
    <row r="483" spans="1:53" s="117" customFormat="1" ht="17.100000000000001" customHeight="1" x14ac:dyDescent="0.25">
      <c r="A483" s="68"/>
      <c r="B483" s="119"/>
      <c r="C483" s="55"/>
      <c r="D483" s="55"/>
      <c r="E483" s="74" t="s">
        <v>753</v>
      </c>
      <c r="F483" s="603" t="s">
        <v>752</v>
      </c>
      <c r="G483" s="603"/>
      <c r="H483" s="182"/>
      <c r="I483" s="241"/>
      <c r="J483" s="111"/>
      <c r="K483" s="152"/>
      <c r="L483" s="152"/>
      <c r="M483" s="152"/>
      <c r="N483" s="152"/>
      <c r="O483" s="111"/>
      <c r="P483" s="60"/>
      <c r="Q483" s="152"/>
      <c r="R483" s="111"/>
      <c r="S483" s="60"/>
      <c r="T483" s="152"/>
      <c r="U483" s="111"/>
      <c r="V483" s="361"/>
      <c r="W483" s="391"/>
      <c r="X483" s="17"/>
      <c r="Y483" s="18">
        <f t="shared" ref="Y483:Y485" si="564">M483+P483+S483+V483</f>
        <v>0</v>
      </c>
      <c r="Z483" s="19">
        <f>IF(Y$486=0,0,Y483/Y$486)</f>
        <v>0</v>
      </c>
      <c r="AA483" s="19"/>
      <c r="AB483" s="19"/>
      <c r="AC483" s="84"/>
      <c r="AE483" s="111"/>
      <c r="AF483" s="111"/>
      <c r="AG483" s="111"/>
      <c r="AH483" s="112"/>
      <c r="AI483" s="113"/>
      <c r="AK483" s="111"/>
      <c r="AL483" s="111"/>
      <c r="AM483" s="111"/>
      <c r="AN483" s="112"/>
      <c r="AO483" s="113"/>
      <c r="AQ483" s="111"/>
      <c r="AR483" s="111"/>
      <c r="AS483" s="111"/>
      <c r="AT483" s="545"/>
      <c r="AU483" s="131"/>
      <c r="AW483" s="111"/>
      <c r="AX483" s="111"/>
      <c r="AY483" s="111"/>
      <c r="AZ483" s="545"/>
      <c r="BA483" s="131"/>
    </row>
    <row r="484" spans="1:53" s="117" customFormat="1" ht="17.100000000000001" customHeight="1" x14ac:dyDescent="0.25">
      <c r="A484" s="68"/>
      <c r="B484" s="119"/>
      <c r="C484" s="55"/>
      <c r="D484" s="55"/>
      <c r="E484" s="74" t="s">
        <v>754</v>
      </c>
      <c r="F484" s="604"/>
      <c r="G484" s="604"/>
      <c r="H484" s="182"/>
      <c r="I484" s="241"/>
      <c r="J484" s="111"/>
      <c r="K484" s="152"/>
      <c r="L484" s="152"/>
      <c r="M484" s="152"/>
      <c r="N484" s="152"/>
      <c r="O484" s="111"/>
      <c r="P484" s="61"/>
      <c r="Q484" s="152"/>
      <c r="R484" s="111"/>
      <c r="S484" s="61"/>
      <c r="T484" s="152"/>
      <c r="U484" s="111"/>
      <c r="V484" s="362"/>
      <c r="W484" s="391"/>
      <c r="X484" s="17"/>
      <c r="Y484" s="18">
        <f t="shared" si="564"/>
        <v>0</v>
      </c>
      <c r="Z484" s="19">
        <f t="shared" ref="Z484:Z486" si="565">IF(Y$486=0,0,Y484/Y$486)</f>
        <v>0</v>
      </c>
      <c r="AA484" s="19"/>
      <c r="AB484" s="19"/>
      <c r="AC484" s="84"/>
      <c r="AE484" s="111"/>
      <c r="AF484" s="111"/>
      <c r="AG484" s="111"/>
      <c r="AH484" s="112"/>
      <c r="AI484" s="113"/>
      <c r="AK484" s="111"/>
      <c r="AL484" s="111"/>
      <c r="AM484" s="111"/>
      <c r="AN484" s="112"/>
      <c r="AO484" s="113"/>
      <c r="AQ484" s="111"/>
      <c r="AR484" s="111"/>
      <c r="AS484" s="111"/>
      <c r="AT484" s="545"/>
      <c r="AU484" s="131"/>
      <c r="AW484" s="111"/>
      <c r="AX484" s="111"/>
      <c r="AY484" s="111"/>
      <c r="AZ484" s="545"/>
      <c r="BA484" s="131"/>
    </row>
    <row r="485" spans="1:53" s="117" customFormat="1" ht="17.100000000000001" customHeight="1" x14ac:dyDescent="0.25">
      <c r="A485" s="68"/>
      <c r="B485" s="119"/>
      <c r="C485" s="55"/>
      <c r="D485" s="55"/>
      <c r="E485" s="74" t="s">
        <v>755</v>
      </c>
      <c r="F485" s="603"/>
      <c r="G485" s="603"/>
      <c r="H485" s="182"/>
      <c r="I485" s="241"/>
      <c r="J485" s="111"/>
      <c r="K485" s="152"/>
      <c r="L485" s="152"/>
      <c r="M485" s="152"/>
      <c r="N485" s="152"/>
      <c r="O485" s="111"/>
      <c r="P485" s="60"/>
      <c r="Q485" s="152"/>
      <c r="R485" s="111"/>
      <c r="S485" s="60"/>
      <c r="T485" s="152"/>
      <c r="U485" s="111"/>
      <c r="V485" s="361"/>
      <c r="W485" s="391"/>
      <c r="X485" s="17"/>
      <c r="Y485" s="18">
        <f t="shared" si="564"/>
        <v>0</v>
      </c>
      <c r="Z485" s="19">
        <f t="shared" si="565"/>
        <v>0</v>
      </c>
      <c r="AA485" s="19"/>
      <c r="AB485" s="19"/>
      <c r="AC485" s="84"/>
      <c r="AE485" s="111"/>
      <c r="AF485" s="111"/>
      <c r="AG485" s="111"/>
      <c r="AH485" s="112"/>
      <c r="AI485" s="113"/>
      <c r="AK485" s="111"/>
      <c r="AL485" s="111"/>
      <c r="AM485" s="111"/>
      <c r="AN485" s="112"/>
      <c r="AO485" s="113"/>
      <c r="AQ485" s="111"/>
      <c r="AR485" s="111"/>
      <c r="AS485" s="111"/>
      <c r="AT485" s="545"/>
      <c r="AU485" s="131"/>
      <c r="AW485" s="111"/>
      <c r="AX485" s="111"/>
      <c r="AY485" s="111"/>
      <c r="AZ485" s="545"/>
      <c r="BA485" s="131"/>
    </row>
    <row r="486" spans="1:53" s="117" customFormat="1" ht="17.100000000000001" customHeight="1" x14ac:dyDescent="0.25">
      <c r="A486" s="68"/>
      <c r="B486" s="119"/>
      <c r="C486" s="77"/>
      <c r="D486" s="134"/>
      <c r="E486" s="134"/>
      <c r="F486" s="134"/>
      <c r="G486" s="134"/>
      <c r="H486" s="540"/>
      <c r="I486" s="229"/>
      <c r="J486" s="80"/>
      <c r="K486" s="80"/>
      <c r="L486" s="81"/>
      <c r="M486" s="81"/>
      <c r="N486" s="81"/>
      <c r="O486" s="81"/>
      <c r="P486" s="81">
        <f>SUM(P483:P485)</f>
        <v>0</v>
      </c>
      <c r="Q486" s="81"/>
      <c r="R486" s="81"/>
      <c r="S486" s="81">
        <f>SUM(S483:S485)</f>
        <v>0</v>
      </c>
      <c r="T486" s="81"/>
      <c r="U486" s="81"/>
      <c r="V486" s="81">
        <f>SUM(V483:V485)</f>
        <v>0</v>
      </c>
      <c r="W486" s="381"/>
      <c r="X486" s="82"/>
      <c r="Y486" s="82">
        <f>SUM(Y483:Y485)</f>
        <v>0</v>
      </c>
      <c r="Z486" s="205">
        <f t="shared" si="565"/>
        <v>0</v>
      </c>
      <c r="AA486" s="205"/>
      <c r="AB486" s="205"/>
      <c r="AC486" s="83"/>
      <c r="AE486" s="80"/>
      <c r="AF486" s="80"/>
      <c r="AG486" s="81"/>
      <c r="AH486" s="82"/>
      <c r="AI486" s="66"/>
      <c r="AK486" s="80"/>
      <c r="AL486" s="80"/>
      <c r="AM486" s="81"/>
      <c r="AN486" s="82"/>
      <c r="AO486" s="66"/>
      <c r="AQ486" s="80"/>
      <c r="AR486" s="80"/>
      <c r="AS486" s="81"/>
      <c r="AT486" s="82"/>
      <c r="AU486" s="66"/>
      <c r="AW486" s="80"/>
      <c r="AX486" s="80"/>
      <c r="AY486" s="81"/>
      <c r="AZ486" s="82"/>
      <c r="BA486" s="66"/>
    </row>
    <row r="487" spans="1:53" s="117" customFormat="1" ht="17.100000000000001" customHeight="1" x14ac:dyDescent="0.25">
      <c r="A487" s="68"/>
      <c r="B487" s="119"/>
      <c r="C487" s="92"/>
      <c r="D487" s="93"/>
      <c r="E487" s="93"/>
      <c r="F487" s="93"/>
      <c r="G487" s="93"/>
      <c r="H487" s="540"/>
      <c r="I487" s="12"/>
      <c r="J487" s="46"/>
      <c r="K487" s="46"/>
      <c r="L487" s="17"/>
      <c r="M487" s="17"/>
      <c r="N487" s="17"/>
      <c r="O487" s="17"/>
      <c r="P487" s="17"/>
      <c r="Q487" s="17"/>
      <c r="R487" s="17"/>
      <c r="S487" s="17"/>
      <c r="T487" s="17"/>
      <c r="U487" s="17"/>
      <c r="V487" s="359"/>
      <c r="W487" s="382"/>
      <c r="X487" s="539"/>
      <c r="Y487" s="539"/>
      <c r="Z487" s="201"/>
      <c r="AA487" s="201"/>
      <c r="AB487" s="201"/>
      <c r="AC487" s="84"/>
      <c r="AE487" s="46"/>
      <c r="AF487" s="46"/>
      <c r="AG487" s="17"/>
      <c r="AH487" s="539"/>
      <c r="AI487" s="91"/>
      <c r="AK487" s="46"/>
      <c r="AL487" s="46"/>
      <c r="AM487" s="17"/>
      <c r="AN487" s="539"/>
      <c r="AO487" s="91"/>
      <c r="AQ487" s="46"/>
      <c r="AR487" s="46"/>
      <c r="AS487" s="17"/>
      <c r="AT487" s="539"/>
      <c r="AU487" s="91"/>
      <c r="AW487" s="46"/>
      <c r="AX487" s="46"/>
      <c r="AY487" s="17"/>
      <c r="AZ487" s="539"/>
      <c r="BA487" s="91"/>
    </row>
    <row r="488" spans="1:53" ht="17.100000000000001" customHeight="1" x14ac:dyDescent="0.25">
      <c r="A488" s="119"/>
      <c r="B488" s="41" t="s">
        <v>876</v>
      </c>
      <c r="C488" s="69" t="s">
        <v>12</v>
      </c>
      <c r="D488" s="50"/>
      <c r="E488" s="70"/>
      <c r="F488" s="70"/>
      <c r="G488" s="70"/>
      <c r="H488" s="119"/>
      <c r="J488" s="71"/>
      <c r="K488" s="71"/>
      <c r="L488" s="71"/>
      <c r="M488" s="71"/>
      <c r="N488" s="71"/>
      <c r="O488" s="71"/>
      <c r="P488" s="71"/>
      <c r="Q488" s="71"/>
      <c r="R488" s="71"/>
      <c r="S488" s="71"/>
      <c r="T488" s="71"/>
      <c r="U488" s="71"/>
      <c r="V488" s="355"/>
      <c r="W488" s="377"/>
      <c r="X488" s="71"/>
      <c r="Y488" s="72"/>
      <c r="Z488" s="73"/>
      <c r="AA488" s="73"/>
      <c r="AB488" s="73"/>
      <c r="AC488" s="73"/>
      <c r="AE488" s="71"/>
      <c r="AF488" s="71"/>
      <c r="AG488" s="71"/>
      <c r="AH488" s="72"/>
      <c r="AI488" s="73"/>
      <c r="AK488" s="71"/>
      <c r="AL488" s="71"/>
      <c r="AM488" s="71"/>
      <c r="AN488" s="72"/>
      <c r="AO488" s="73"/>
      <c r="AQ488" s="71"/>
      <c r="AR488" s="71"/>
      <c r="AS488" s="71"/>
      <c r="AT488" s="72"/>
      <c r="AU488" s="73"/>
      <c r="AW488" s="71"/>
      <c r="AX488" s="71"/>
      <c r="AY488" s="71"/>
      <c r="AZ488" s="72"/>
      <c r="BA488" s="73"/>
    </row>
    <row r="489" spans="1:53" s="173" customFormat="1" ht="17.100000000000001" customHeight="1" x14ac:dyDescent="0.25">
      <c r="A489" s="102"/>
      <c r="B489" s="102"/>
      <c r="C489" s="182"/>
      <c r="D489" s="127" t="s">
        <v>1006</v>
      </c>
      <c r="E489" s="128"/>
      <c r="F489" s="128"/>
      <c r="G489" s="128"/>
      <c r="H489" s="119"/>
      <c r="I489" s="231"/>
      <c r="J489" s="154"/>
      <c r="K489" s="154"/>
      <c r="L489" s="154"/>
      <c r="M489" s="154"/>
      <c r="N489" s="154">
        <f t="shared" ref="N489:O489" si="566">N174</f>
        <v>1</v>
      </c>
      <c r="O489" s="154">
        <f t="shared" si="566"/>
        <v>5</v>
      </c>
      <c r="P489" s="154">
        <f>SUM(N489:O489)</f>
        <v>6</v>
      </c>
      <c r="Q489" s="154">
        <f t="shared" ref="Q489:R489" si="567">Q174</f>
        <v>1</v>
      </c>
      <c r="R489" s="154">
        <f t="shared" si="567"/>
        <v>4</v>
      </c>
      <c r="S489" s="154">
        <f>SUM(Q489:R489)</f>
        <v>5</v>
      </c>
      <c r="T489" s="154">
        <f t="shared" ref="T489:U489" si="568">T174</f>
        <v>0</v>
      </c>
      <c r="U489" s="154">
        <f t="shared" si="568"/>
        <v>10</v>
      </c>
      <c r="V489" s="159">
        <f>SUM(T489:U489)</f>
        <v>10</v>
      </c>
      <c r="W489" s="387">
        <f t="shared" ref="W489:W490" si="569">J489+K489+N489+Q489+T489</f>
        <v>2</v>
      </c>
      <c r="X489" s="154">
        <f t="shared" ref="X489:X490" si="570">L489+O489+R489+U489</f>
        <v>19</v>
      </c>
      <c r="Y489" s="129">
        <f t="shared" ref="Y489:Y490" si="571">SUM(W489:X489)</f>
        <v>21</v>
      </c>
      <c r="Z489" s="130"/>
      <c r="AA489" s="130"/>
      <c r="AB489" s="130"/>
      <c r="AC489" s="125"/>
      <c r="AE489" s="154"/>
      <c r="AF489" s="154"/>
      <c r="AG489" s="154"/>
      <c r="AH489" s="129"/>
      <c r="AI489" s="130"/>
      <c r="AJ489" s="12"/>
      <c r="AK489" s="154"/>
      <c r="AL489" s="154"/>
      <c r="AM489" s="154"/>
      <c r="AN489" s="129"/>
      <c r="AO489" s="130"/>
      <c r="AP489" s="12"/>
      <c r="AQ489" s="154"/>
      <c r="AR489" s="154"/>
      <c r="AS489" s="154"/>
      <c r="AT489" s="129"/>
      <c r="AU489" s="130"/>
      <c r="AV489" s="12"/>
      <c r="AW489" s="154"/>
      <c r="AX489" s="154"/>
      <c r="AY489" s="154"/>
      <c r="AZ489" s="129"/>
      <c r="BA489" s="130"/>
    </row>
    <row r="490" spans="1:53" s="173" customFormat="1" ht="17.100000000000001" customHeight="1" x14ac:dyDescent="0.25">
      <c r="A490" s="102"/>
      <c r="B490" s="102"/>
      <c r="C490" s="182"/>
      <c r="D490" s="127" t="s">
        <v>278</v>
      </c>
      <c r="E490" s="128"/>
      <c r="F490" s="128"/>
      <c r="G490" s="128"/>
      <c r="H490" s="119"/>
      <c r="I490" s="231"/>
      <c r="J490" s="154"/>
      <c r="K490" s="154"/>
      <c r="L490" s="154"/>
      <c r="M490" s="154"/>
      <c r="N490" s="154">
        <f t="shared" ref="N490:O490" si="572">N377</f>
        <v>0</v>
      </c>
      <c r="O490" s="154">
        <f t="shared" si="572"/>
        <v>2</v>
      </c>
      <c r="P490" s="154">
        <f>SUM(N490:O490)</f>
        <v>2</v>
      </c>
      <c r="Q490" s="154">
        <f t="shared" ref="Q490:R490" si="573">Q377</f>
        <v>0</v>
      </c>
      <c r="R490" s="154">
        <f t="shared" si="573"/>
        <v>2</v>
      </c>
      <c r="S490" s="154">
        <f>SUM(Q490:R490)</f>
        <v>2</v>
      </c>
      <c r="T490" s="154">
        <f t="shared" ref="T490:U490" si="574">T377</f>
        <v>0</v>
      </c>
      <c r="U490" s="154">
        <f t="shared" si="574"/>
        <v>10</v>
      </c>
      <c r="V490" s="159">
        <f>SUM(T490:U490)</f>
        <v>10</v>
      </c>
      <c r="W490" s="387">
        <f t="shared" si="569"/>
        <v>0</v>
      </c>
      <c r="X490" s="154">
        <f t="shared" si="570"/>
        <v>14</v>
      </c>
      <c r="Y490" s="129">
        <f t="shared" si="571"/>
        <v>14</v>
      </c>
      <c r="Z490" s="130"/>
      <c r="AA490" s="130"/>
      <c r="AB490" s="130"/>
      <c r="AC490" s="125"/>
      <c r="AE490" s="154"/>
      <c r="AF490" s="154"/>
      <c r="AG490" s="154"/>
      <c r="AH490" s="129"/>
      <c r="AI490" s="130"/>
      <c r="AJ490" s="12"/>
      <c r="AK490" s="154"/>
      <c r="AL490" s="154"/>
      <c r="AM490" s="154"/>
      <c r="AN490" s="129"/>
      <c r="AO490" s="130"/>
      <c r="AP490" s="12"/>
      <c r="AQ490" s="154"/>
      <c r="AR490" s="154"/>
      <c r="AS490" s="154"/>
      <c r="AT490" s="129"/>
      <c r="AU490" s="130"/>
      <c r="AV490" s="12"/>
      <c r="AW490" s="154"/>
      <c r="AX490" s="154"/>
      <c r="AY490" s="154"/>
      <c r="AZ490" s="129"/>
      <c r="BA490" s="130"/>
    </row>
    <row r="491" spans="1:53" s="117" customFormat="1" ht="17.100000000000001" customHeight="1" x14ac:dyDescent="0.25">
      <c r="A491" s="119"/>
      <c r="B491" s="119"/>
      <c r="C491" s="56" t="s">
        <v>277</v>
      </c>
      <c r="D491" s="427" t="s">
        <v>1007</v>
      </c>
      <c r="E491" s="428"/>
      <c r="F491" s="428"/>
      <c r="G491" s="428"/>
      <c r="H491" s="119"/>
      <c r="I491" s="97"/>
      <c r="J491" s="17"/>
      <c r="K491" s="17"/>
      <c r="L491" s="17"/>
      <c r="M491" s="17"/>
      <c r="N491" s="91">
        <f>IF(N489=0,0,N490/N489)</f>
        <v>0</v>
      </c>
      <c r="O491" s="91">
        <f t="shared" ref="O491:P491" si="575">IF(O489=0,0,O490/O489)</f>
        <v>0.4</v>
      </c>
      <c r="P491" s="91">
        <f t="shared" si="575"/>
        <v>0.33333333333333331</v>
      </c>
      <c r="Q491" s="91">
        <f>IF(Q489=0,0,Q490/Q489)</f>
        <v>0</v>
      </c>
      <c r="R491" s="91">
        <f t="shared" ref="R491:S491" si="576">IF(R489=0,0,R490/R489)</f>
        <v>0.5</v>
      </c>
      <c r="S491" s="91">
        <f t="shared" si="576"/>
        <v>0.4</v>
      </c>
      <c r="T491" s="91">
        <f>IF(T489=0,0,T490/T489)</f>
        <v>0</v>
      </c>
      <c r="U491" s="91">
        <f t="shared" ref="U491:V491" si="577">IF(U489=0,0,U490/U489)</f>
        <v>1</v>
      </c>
      <c r="V491" s="373">
        <f t="shared" si="577"/>
        <v>1</v>
      </c>
      <c r="W491" s="395">
        <f>IF(W489=0,0,W490/W489)</f>
        <v>0</v>
      </c>
      <c r="X491" s="91">
        <f t="shared" ref="X491:Y491" si="578">IF(X489=0,0,X490/X489)</f>
        <v>0.73684210526315785</v>
      </c>
      <c r="Y491" s="91">
        <f t="shared" si="578"/>
        <v>0.66666666666666663</v>
      </c>
      <c r="Z491" s="84"/>
      <c r="AA491" s="84"/>
      <c r="AB491" s="84"/>
      <c r="AC491" s="84"/>
      <c r="AE491" s="17"/>
      <c r="AF491" s="17"/>
      <c r="AG491" s="17"/>
      <c r="AH491" s="568"/>
      <c r="AI491" s="84"/>
      <c r="AK491" s="17"/>
      <c r="AL491" s="17"/>
      <c r="AM491" s="17"/>
      <c r="AN491" s="568"/>
      <c r="AO491" s="84"/>
      <c r="AQ491" s="17"/>
      <c r="AR491" s="17"/>
      <c r="AS491" s="17"/>
      <c r="AT491" s="568"/>
      <c r="AU491" s="84"/>
      <c r="AW491" s="17"/>
      <c r="AX491" s="17"/>
      <c r="AY491" s="17"/>
      <c r="AZ491" s="568"/>
      <c r="BA491" s="84"/>
    </row>
    <row r="492" spans="1:53" s="173" customFormat="1" ht="17.100000000000001" customHeight="1" x14ac:dyDescent="0.25">
      <c r="A492" s="102"/>
      <c r="B492" s="102"/>
      <c r="C492" s="56" t="s">
        <v>279</v>
      </c>
      <c r="D492" s="85" t="s">
        <v>280</v>
      </c>
      <c r="E492" s="75"/>
      <c r="F492" s="75"/>
      <c r="G492" s="75"/>
      <c r="H492" s="540"/>
      <c r="I492" s="229"/>
      <c r="J492" s="181"/>
      <c r="K492" s="181"/>
      <c r="L492" s="181"/>
      <c r="M492" s="181"/>
      <c r="N492" s="181"/>
      <c r="O492" s="181"/>
      <c r="P492" s="181"/>
      <c r="Q492" s="181"/>
      <c r="R492" s="181"/>
      <c r="S492" s="181"/>
      <c r="T492" s="181"/>
      <c r="U492" s="181"/>
      <c r="V492" s="367"/>
      <c r="W492" s="392"/>
      <c r="X492" s="181"/>
      <c r="Y492" s="545"/>
      <c r="Z492" s="172"/>
      <c r="AA492" s="172"/>
      <c r="AB492" s="172"/>
      <c r="AC492" s="178"/>
      <c r="AE492" s="181"/>
      <c r="AF492" s="181"/>
      <c r="AG492" s="181"/>
      <c r="AH492" s="545"/>
      <c r="AI492" s="172"/>
      <c r="AJ492" s="12"/>
      <c r="AK492" s="181"/>
      <c r="AL492" s="181"/>
      <c r="AM492" s="181"/>
      <c r="AN492" s="545"/>
      <c r="AO492" s="172"/>
      <c r="AP492" s="12"/>
      <c r="AQ492" s="181"/>
      <c r="AR492" s="181"/>
      <c r="AS492" s="181"/>
      <c r="AT492" s="545"/>
      <c r="AU492" s="172"/>
      <c r="AV492" s="12"/>
      <c r="AW492" s="181"/>
      <c r="AX492" s="181"/>
      <c r="AY492" s="181"/>
      <c r="AZ492" s="545"/>
      <c r="BA492" s="172"/>
    </row>
    <row r="493" spans="1:53" s="173" customFormat="1" ht="17.100000000000001" customHeight="1" x14ac:dyDescent="0.25">
      <c r="A493" s="102"/>
      <c r="B493" s="102"/>
      <c r="C493" s="182"/>
      <c r="D493" s="127" t="s">
        <v>281</v>
      </c>
      <c r="E493" s="128"/>
      <c r="F493" s="128"/>
      <c r="G493" s="128"/>
      <c r="H493" s="119"/>
      <c r="I493" s="231"/>
      <c r="J493" s="154"/>
      <c r="K493" s="154"/>
      <c r="L493" s="154"/>
      <c r="M493" s="154"/>
      <c r="N493" s="154">
        <f>N402</f>
        <v>0</v>
      </c>
      <c r="O493" s="154">
        <f>O402</f>
        <v>2</v>
      </c>
      <c r="P493" s="154">
        <f t="shared" ref="P493:P500" si="579">SUM(N493:O493)</f>
        <v>2</v>
      </c>
      <c r="Q493" s="154">
        <f t="shared" ref="Q493:U497" si="580">Q402</f>
        <v>0</v>
      </c>
      <c r="R493" s="154">
        <f t="shared" si="580"/>
        <v>2</v>
      </c>
      <c r="S493" s="154">
        <f t="shared" ref="S493:S497" si="581">SUM(Q493:R493)</f>
        <v>2</v>
      </c>
      <c r="T493" s="154">
        <f t="shared" si="580"/>
        <v>0</v>
      </c>
      <c r="U493" s="154">
        <f t="shared" si="580"/>
        <v>10</v>
      </c>
      <c r="V493" s="154">
        <f t="shared" ref="V493:V497" si="582">SUM(T493:U493)</f>
        <v>10</v>
      </c>
      <c r="W493" s="387">
        <f t="shared" ref="W493:W500" si="583">J493+K493+N493+Q493+T493</f>
        <v>0</v>
      </c>
      <c r="X493" s="154">
        <f t="shared" ref="X493:X500" si="584">L493+O493+R493+U493</f>
        <v>14</v>
      </c>
      <c r="Y493" s="129">
        <f t="shared" ref="Y493:Y497" si="585">SUM(W493:X493)</f>
        <v>14</v>
      </c>
      <c r="Z493" s="130">
        <f t="shared" ref="Z493:Z498" si="586">IF(Y$498=0,0,Y493/Y$498)</f>
        <v>0.66666666666666663</v>
      </c>
      <c r="AA493" s="130"/>
      <c r="AB493" s="130"/>
      <c r="AC493" s="125"/>
      <c r="AE493" s="154">
        <f t="shared" ref="AE493:AG497" si="587">AE402</f>
        <v>0</v>
      </c>
      <c r="AF493" s="154">
        <f t="shared" si="587"/>
        <v>0</v>
      </c>
      <c r="AG493" s="154">
        <f t="shared" si="587"/>
        <v>0</v>
      </c>
      <c r="AH493" s="129">
        <f>SUM(AE493:AG493)</f>
        <v>0</v>
      </c>
      <c r="AI493" s="130">
        <f t="shared" ref="AI493:AI498" si="588">IF(AH$498=0,0,AH493/AH$498)</f>
        <v>0</v>
      </c>
      <c r="AJ493" s="12"/>
      <c r="AK493" s="154">
        <f t="shared" ref="AK493:AM497" si="589">AK402</f>
        <v>0</v>
      </c>
      <c r="AL493" s="154">
        <f t="shared" si="589"/>
        <v>0</v>
      </c>
      <c r="AM493" s="154">
        <f t="shared" si="589"/>
        <v>0</v>
      </c>
      <c r="AN493" s="129">
        <f>SUM(AK493:AM493)</f>
        <v>0</v>
      </c>
      <c r="AO493" s="130">
        <f t="shared" ref="AO493:AO498" si="590">IF(AN$498=0,0,AN493/AN$498)</f>
        <v>0</v>
      </c>
      <c r="AP493" s="12"/>
      <c r="AQ493" s="154"/>
      <c r="AR493" s="154"/>
      <c r="AS493" s="154"/>
      <c r="AT493" s="129"/>
      <c r="AU493" s="130"/>
      <c r="AV493" s="12"/>
      <c r="AW493" s="154">
        <f t="shared" ref="AW493:AY497" si="591">AW402</f>
        <v>0</v>
      </c>
      <c r="AX493" s="154">
        <f t="shared" si="591"/>
        <v>0</v>
      </c>
      <c r="AY493" s="154">
        <f t="shared" si="591"/>
        <v>0</v>
      </c>
      <c r="AZ493" s="129">
        <f>SUM(AW493:AY493)</f>
        <v>0</v>
      </c>
      <c r="BA493" s="130">
        <f t="shared" ref="BA493:BA498" si="592">IF(AZ$498=0,0,AZ493/AZ$498)</f>
        <v>0</v>
      </c>
    </row>
    <row r="494" spans="1:53" ht="17.100000000000001" customHeight="1" x14ac:dyDescent="0.25">
      <c r="A494" s="40"/>
      <c r="B494" s="40"/>
      <c r="C494" s="182"/>
      <c r="D494" s="127" t="s">
        <v>282</v>
      </c>
      <c r="E494" s="128"/>
      <c r="F494" s="128"/>
      <c r="G494" s="128"/>
      <c r="H494" s="119"/>
      <c r="I494" s="231"/>
      <c r="J494" s="154"/>
      <c r="K494" s="154"/>
      <c r="L494" s="154"/>
      <c r="M494" s="154"/>
      <c r="N494" s="154">
        <f t="shared" ref="N494:O497" si="593">N403</f>
        <v>1</v>
      </c>
      <c r="O494" s="154">
        <f t="shared" si="593"/>
        <v>3</v>
      </c>
      <c r="P494" s="154">
        <f t="shared" si="579"/>
        <v>4</v>
      </c>
      <c r="Q494" s="154">
        <f t="shared" si="580"/>
        <v>0</v>
      </c>
      <c r="R494" s="154">
        <f t="shared" si="580"/>
        <v>1</v>
      </c>
      <c r="S494" s="154">
        <f t="shared" si="581"/>
        <v>1</v>
      </c>
      <c r="T494" s="154">
        <f t="shared" si="580"/>
        <v>0</v>
      </c>
      <c r="U494" s="154">
        <f t="shared" si="580"/>
        <v>0</v>
      </c>
      <c r="V494" s="154">
        <f t="shared" si="582"/>
        <v>0</v>
      </c>
      <c r="W494" s="387">
        <f t="shared" si="583"/>
        <v>1</v>
      </c>
      <c r="X494" s="154">
        <f t="shared" si="584"/>
        <v>4</v>
      </c>
      <c r="Y494" s="129">
        <f t="shared" si="585"/>
        <v>5</v>
      </c>
      <c r="Z494" s="130">
        <f t="shared" si="586"/>
        <v>0.23809523809523808</v>
      </c>
      <c r="AA494" s="130"/>
      <c r="AB494" s="130"/>
      <c r="AC494" s="125"/>
      <c r="AE494" s="154">
        <f t="shared" si="587"/>
        <v>0</v>
      </c>
      <c r="AF494" s="154">
        <f t="shared" si="587"/>
        <v>0</v>
      </c>
      <c r="AG494" s="154">
        <f t="shared" si="587"/>
        <v>0</v>
      </c>
      <c r="AH494" s="129">
        <f>SUM(AE494:AG494)</f>
        <v>0</v>
      </c>
      <c r="AI494" s="130">
        <f t="shared" si="588"/>
        <v>0</v>
      </c>
      <c r="AK494" s="154">
        <f t="shared" si="589"/>
        <v>0</v>
      </c>
      <c r="AL494" s="154">
        <f t="shared" si="589"/>
        <v>0</v>
      </c>
      <c r="AM494" s="154">
        <f t="shared" si="589"/>
        <v>0</v>
      </c>
      <c r="AN494" s="129">
        <f>SUM(AK494:AM494)</f>
        <v>0</v>
      </c>
      <c r="AO494" s="130">
        <f t="shared" si="590"/>
        <v>0</v>
      </c>
      <c r="AQ494" s="154"/>
      <c r="AR494" s="154"/>
      <c r="AS494" s="154"/>
      <c r="AT494" s="129"/>
      <c r="AU494" s="130"/>
      <c r="AW494" s="154">
        <f t="shared" si="591"/>
        <v>0</v>
      </c>
      <c r="AX494" s="154">
        <f t="shared" si="591"/>
        <v>0</v>
      </c>
      <c r="AY494" s="154">
        <f t="shared" si="591"/>
        <v>0</v>
      </c>
      <c r="AZ494" s="129">
        <f>SUM(AW494:AY494)</f>
        <v>0</v>
      </c>
      <c r="BA494" s="130">
        <f t="shared" si="592"/>
        <v>0</v>
      </c>
    </row>
    <row r="495" spans="1:53" ht="17.100000000000001" customHeight="1" x14ac:dyDescent="0.25">
      <c r="A495" s="40"/>
      <c r="B495" s="40"/>
      <c r="C495" s="182"/>
      <c r="D495" s="127" t="s">
        <v>283</v>
      </c>
      <c r="E495" s="128"/>
      <c r="F495" s="128"/>
      <c r="G495" s="128"/>
      <c r="H495" s="119"/>
      <c r="I495" s="231"/>
      <c r="J495" s="154"/>
      <c r="K495" s="154"/>
      <c r="L495" s="154"/>
      <c r="M495" s="154"/>
      <c r="N495" s="154">
        <f t="shared" si="593"/>
        <v>0</v>
      </c>
      <c r="O495" s="154">
        <f t="shared" si="593"/>
        <v>0</v>
      </c>
      <c r="P495" s="154">
        <f t="shared" si="579"/>
        <v>0</v>
      </c>
      <c r="Q495" s="154">
        <f t="shared" si="580"/>
        <v>1</v>
      </c>
      <c r="R495" s="154">
        <f t="shared" si="580"/>
        <v>1</v>
      </c>
      <c r="S495" s="154">
        <f t="shared" si="581"/>
        <v>2</v>
      </c>
      <c r="T495" s="154">
        <f t="shared" si="580"/>
        <v>0</v>
      </c>
      <c r="U495" s="154">
        <f t="shared" si="580"/>
        <v>0</v>
      </c>
      <c r="V495" s="154">
        <f t="shared" si="582"/>
        <v>0</v>
      </c>
      <c r="W495" s="387">
        <f t="shared" si="583"/>
        <v>1</v>
      </c>
      <c r="X495" s="154">
        <f t="shared" si="584"/>
        <v>1</v>
      </c>
      <c r="Y495" s="129">
        <f t="shared" si="585"/>
        <v>2</v>
      </c>
      <c r="Z495" s="130">
        <f t="shared" si="586"/>
        <v>9.5238095238095233E-2</v>
      </c>
      <c r="AA495" s="130"/>
      <c r="AB495" s="130"/>
      <c r="AC495" s="125"/>
      <c r="AE495" s="154">
        <f t="shared" si="587"/>
        <v>0</v>
      </c>
      <c r="AF495" s="154">
        <f t="shared" si="587"/>
        <v>0</v>
      </c>
      <c r="AG495" s="154">
        <f t="shared" si="587"/>
        <v>0</v>
      </c>
      <c r="AH495" s="129">
        <f>SUM(AE495:AG495)</f>
        <v>0</v>
      </c>
      <c r="AI495" s="130">
        <f t="shared" si="588"/>
        <v>0</v>
      </c>
      <c r="AK495" s="154">
        <f t="shared" si="589"/>
        <v>0</v>
      </c>
      <c r="AL495" s="154">
        <f t="shared" si="589"/>
        <v>0</v>
      </c>
      <c r="AM495" s="154">
        <f t="shared" si="589"/>
        <v>0</v>
      </c>
      <c r="AN495" s="129">
        <f>SUM(AK495:AM495)</f>
        <v>0</v>
      </c>
      <c r="AO495" s="130">
        <f t="shared" si="590"/>
        <v>0</v>
      </c>
      <c r="AQ495" s="154"/>
      <c r="AR495" s="154"/>
      <c r="AS495" s="154"/>
      <c r="AT495" s="129"/>
      <c r="AU495" s="130"/>
      <c r="AW495" s="154">
        <f t="shared" si="591"/>
        <v>0</v>
      </c>
      <c r="AX495" s="154">
        <f t="shared" si="591"/>
        <v>0</v>
      </c>
      <c r="AY495" s="154">
        <f t="shared" si="591"/>
        <v>0</v>
      </c>
      <c r="AZ495" s="129">
        <f>SUM(AW495:AY495)</f>
        <v>0</v>
      </c>
      <c r="BA495" s="130">
        <f t="shared" si="592"/>
        <v>0</v>
      </c>
    </row>
    <row r="496" spans="1:53" ht="17.100000000000001" customHeight="1" x14ac:dyDescent="0.25">
      <c r="A496" s="40"/>
      <c r="B496" s="40"/>
      <c r="C496" s="182"/>
      <c r="D496" s="127" t="s">
        <v>284</v>
      </c>
      <c r="E496" s="128"/>
      <c r="F496" s="128"/>
      <c r="G496" s="128"/>
      <c r="H496" s="119"/>
      <c r="I496" s="231"/>
      <c r="J496" s="154"/>
      <c r="K496" s="154"/>
      <c r="L496" s="154"/>
      <c r="M496" s="154"/>
      <c r="N496" s="154">
        <f t="shared" si="593"/>
        <v>0</v>
      </c>
      <c r="O496" s="154">
        <f t="shared" si="593"/>
        <v>0</v>
      </c>
      <c r="P496" s="154">
        <f t="shared" si="579"/>
        <v>0</v>
      </c>
      <c r="Q496" s="154">
        <f t="shared" si="580"/>
        <v>0</v>
      </c>
      <c r="R496" s="154">
        <f t="shared" si="580"/>
        <v>0</v>
      </c>
      <c r="S496" s="154">
        <f t="shared" si="581"/>
        <v>0</v>
      </c>
      <c r="T496" s="154">
        <f t="shared" si="580"/>
        <v>0</v>
      </c>
      <c r="U496" s="154">
        <f t="shared" si="580"/>
        <v>0</v>
      </c>
      <c r="V496" s="154">
        <f t="shared" si="582"/>
        <v>0</v>
      </c>
      <c r="W496" s="387">
        <f t="shared" si="583"/>
        <v>0</v>
      </c>
      <c r="X496" s="154">
        <f t="shared" si="584"/>
        <v>0</v>
      </c>
      <c r="Y496" s="129">
        <f t="shared" si="585"/>
        <v>0</v>
      </c>
      <c r="Z496" s="130">
        <f t="shared" si="586"/>
        <v>0</v>
      </c>
      <c r="AA496" s="130"/>
      <c r="AB496" s="130"/>
      <c r="AC496" s="125"/>
      <c r="AE496" s="154">
        <f t="shared" si="587"/>
        <v>0</v>
      </c>
      <c r="AF496" s="154">
        <f t="shared" si="587"/>
        <v>0</v>
      </c>
      <c r="AG496" s="154">
        <f t="shared" si="587"/>
        <v>0</v>
      </c>
      <c r="AH496" s="129">
        <f>SUM(AE496:AG496)</f>
        <v>0</v>
      </c>
      <c r="AI496" s="130">
        <f t="shared" si="588"/>
        <v>0</v>
      </c>
      <c r="AK496" s="154">
        <f t="shared" si="589"/>
        <v>0</v>
      </c>
      <c r="AL496" s="154">
        <f t="shared" si="589"/>
        <v>0</v>
      </c>
      <c r="AM496" s="154">
        <f t="shared" si="589"/>
        <v>0</v>
      </c>
      <c r="AN496" s="129">
        <f>SUM(AK496:AM496)</f>
        <v>0</v>
      </c>
      <c r="AO496" s="130">
        <f t="shared" si="590"/>
        <v>0</v>
      </c>
      <c r="AQ496" s="154"/>
      <c r="AR496" s="154"/>
      <c r="AS496" s="154"/>
      <c r="AT496" s="129"/>
      <c r="AU496" s="130"/>
      <c r="AW496" s="154">
        <f t="shared" si="591"/>
        <v>0</v>
      </c>
      <c r="AX496" s="154">
        <f t="shared" si="591"/>
        <v>0</v>
      </c>
      <c r="AY496" s="154">
        <f t="shared" si="591"/>
        <v>0</v>
      </c>
      <c r="AZ496" s="129">
        <f>SUM(AW496:AY496)</f>
        <v>0</v>
      </c>
      <c r="BA496" s="130">
        <f t="shared" si="592"/>
        <v>0</v>
      </c>
    </row>
    <row r="497" spans="1:53" ht="17.100000000000001" customHeight="1" x14ac:dyDescent="0.25">
      <c r="A497" s="40"/>
      <c r="B497" s="40"/>
      <c r="C497" s="182"/>
      <c r="D497" s="183" t="s">
        <v>129</v>
      </c>
      <c r="E497" s="128"/>
      <c r="F497" s="128"/>
      <c r="G497" s="128"/>
      <c r="H497" s="119"/>
      <c r="I497" s="231"/>
      <c r="J497" s="154"/>
      <c r="K497" s="154"/>
      <c r="L497" s="154"/>
      <c r="M497" s="154"/>
      <c r="N497" s="154">
        <f t="shared" si="593"/>
        <v>0</v>
      </c>
      <c r="O497" s="154">
        <f t="shared" si="593"/>
        <v>0</v>
      </c>
      <c r="P497" s="154">
        <f t="shared" si="579"/>
        <v>0</v>
      </c>
      <c r="Q497" s="154">
        <f t="shared" si="580"/>
        <v>0</v>
      </c>
      <c r="R497" s="154">
        <f t="shared" si="580"/>
        <v>0</v>
      </c>
      <c r="S497" s="154">
        <f t="shared" si="581"/>
        <v>0</v>
      </c>
      <c r="T497" s="154">
        <f t="shared" si="580"/>
        <v>0</v>
      </c>
      <c r="U497" s="154">
        <f t="shared" si="580"/>
        <v>0</v>
      </c>
      <c r="V497" s="154">
        <f t="shared" si="582"/>
        <v>0</v>
      </c>
      <c r="W497" s="387">
        <f t="shared" si="583"/>
        <v>0</v>
      </c>
      <c r="X497" s="154">
        <f t="shared" si="584"/>
        <v>0</v>
      </c>
      <c r="Y497" s="129">
        <f t="shared" si="585"/>
        <v>0</v>
      </c>
      <c r="Z497" s="130">
        <f t="shared" si="586"/>
        <v>0</v>
      </c>
      <c r="AA497" s="130"/>
      <c r="AB497" s="130"/>
      <c r="AC497" s="125"/>
      <c r="AE497" s="154">
        <f t="shared" si="587"/>
        <v>0</v>
      </c>
      <c r="AF497" s="154">
        <f t="shared" si="587"/>
        <v>0</v>
      </c>
      <c r="AG497" s="154">
        <f t="shared" si="587"/>
        <v>0</v>
      </c>
      <c r="AH497" s="129">
        <f>SUM(AE497:AG497)</f>
        <v>0</v>
      </c>
      <c r="AI497" s="130">
        <f t="shared" si="588"/>
        <v>0</v>
      </c>
      <c r="AK497" s="154">
        <f t="shared" si="589"/>
        <v>0</v>
      </c>
      <c r="AL497" s="154">
        <f t="shared" si="589"/>
        <v>0</v>
      </c>
      <c r="AM497" s="154">
        <f t="shared" si="589"/>
        <v>0</v>
      </c>
      <c r="AN497" s="129">
        <f>SUM(AK497:AM497)</f>
        <v>0</v>
      </c>
      <c r="AO497" s="130">
        <f t="shared" si="590"/>
        <v>0</v>
      </c>
      <c r="AQ497" s="154"/>
      <c r="AR497" s="154"/>
      <c r="AS497" s="154"/>
      <c r="AT497" s="129"/>
      <c r="AU497" s="130"/>
      <c r="AW497" s="154">
        <f t="shared" si="591"/>
        <v>0</v>
      </c>
      <c r="AX497" s="154">
        <f t="shared" si="591"/>
        <v>0</v>
      </c>
      <c r="AY497" s="154">
        <f t="shared" si="591"/>
        <v>0</v>
      </c>
      <c r="AZ497" s="129">
        <f>SUM(AW497:AY497)</f>
        <v>0</v>
      </c>
      <c r="BA497" s="130">
        <f t="shared" si="592"/>
        <v>0</v>
      </c>
    </row>
    <row r="498" spans="1:53" ht="17.100000000000001" customHeight="1" x14ac:dyDescent="0.25">
      <c r="A498" s="40"/>
      <c r="B498" s="40"/>
      <c r="C498" s="182"/>
      <c r="D498" s="127"/>
      <c r="E498" s="128"/>
      <c r="F498" s="128"/>
      <c r="G498" s="128"/>
      <c r="H498" s="119"/>
      <c r="I498" s="231"/>
      <c r="J498" s="154"/>
      <c r="K498" s="154"/>
      <c r="L498" s="154"/>
      <c r="M498" s="154"/>
      <c r="N498" s="154"/>
      <c r="O498" s="154"/>
      <c r="P498" s="154"/>
      <c r="Q498" s="154"/>
      <c r="R498" s="154"/>
      <c r="S498" s="154"/>
      <c r="T498" s="154"/>
      <c r="U498" s="154"/>
      <c r="V498" s="159"/>
      <c r="W498" s="387"/>
      <c r="X498" s="154"/>
      <c r="Y498" s="129">
        <f>SUM(Y493:Y497)</f>
        <v>21</v>
      </c>
      <c r="Z498" s="130">
        <f t="shared" si="586"/>
        <v>1</v>
      </c>
      <c r="AA498" s="130"/>
      <c r="AB498" s="130"/>
      <c r="AC498" s="125"/>
      <c r="AE498" s="160"/>
      <c r="AF498" s="160"/>
      <c r="AG498" s="160"/>
      <c r="AH498" s="129">
        <f>SUM(AH493:AH497)</f>
        <v>0</v>
      </c>
      <c r="AI498" s="130">
        <f t="shared" si="588"/>
        <v>0</v>
      </c>
      <c r="AK498" s="160"/>
      <c r="AL498" s="160"/>
      <c r="AM498" s="160"/>
      <c r="AN498" s="129">
        <f>SUM(AN493:AN497)</f>
        <v>0</v>
      </c>
      <c r="AO498" s="130">
        <f t="shared" si="590"/>
        <v>0</v>
      </c>
      <c r="AQ498" s="160"/>
      <c r="AR498" s="160"/>
      <c r="AS498" s="160"/>
      <c r="AT498" s="129"/>
      <c r="AU498" s="130"/>
      <c r="AW498" s="160"/>
      <c r="AX498" s="160"/>
      <c r="AY498" s="160"/>
      <c r="AZ498" s="129">
        <f>SUM(AZ493:AZ497)</f>
        <v>0</v>
      </c>
      <c r="BA498" s="130">
        <f t="shared" si="592"/>
        <v>0</v>
      </c>
    </row>
    <row r="499" spans="1:53" ht="17.100000000000001" customHeight="1" x14ac:dyDescent="0.25">
      <c r="A499" s="40"/>
      <c r="B499" s="40"/>
      <c r="C499" s="182"/>
      <c r="D499" s="127" t="s">
        <v>285</v>
      </c>
      <c r="E499" s="128"/>
      <c r="F499" s="128"/>
      <c r="G499" s="128"/>
      <c r="H499" s="119"/>
      <c r="I499" s="231"/>
      <c r="J499" s="154"/>
      <c r="K499" s="154"/>
      <c r="L499" s="154"/>
      <c r="M499" s="154"/>
      <c r="N499" s="154">
        <f>N493+N497</f>
        <v>0</v>
      </c>
      <c r="O499" s="154">
        <f>O493+O497</f>
        <v>2</v>
      </c>
      <c r="P499" s="154">
        <f t="shared" si="579"/>
        <v>2</v>
      </c>
      <c r="Q499" s="154">
        <f>Q493+Q497</f>
        <v>0</v>
      </c>
      <c r="R499" s="154">
        <f>R493+R497</f>
        <v>2</v>
      </c>
      <c r="S499" s="154">
        <f t="shared" ref="S499:S500" si="594">SUM(Q499:R499)</f>
        <v>2</v>
      </c>
      <c r="T499" s="154">
        <f>T493+T497</f>
        <v>0</v>
      </c>
      <c r="U499" s="154">
        <f>U493+U497</f>
        <v>10</v>
      </c>
      <c r="V499" s="154">
        <f t="shared" ref="V499:V500" si="595">SUM(T499:U499)</f>
        <v>10</v>
      </c>
      <c r="W499" s="387">
        <f t="shared" si="583"/>
        <v>0</v>
      </c>
      <c r="X499" s="154">
        <f t="shared" si="584"/>
        <v>14</v>
      </c>
      <c r="Y499" s="129">
        <f t="shared" ref="Y499:Y500" si="596">SUM(W499:X499)</f>
        <v>14</v>
      </c>
      <c r="Z499" s="130"/>
      <c r="AA499" s="130"/>
      <c r="AB499" s="130"/>
      <c r="AC499" s="125"/>
      <c r="AE499" s="160">
        <f>IF((AE493+AE497)&gt;0,1,0)</f>
        <v>0</v>
      </c>
      <c r="AF499" s="160">
        <f t="shared" ref="AF499:AG499" si="597">IF((AF493+AF497)&gt;0,1,0)</f>
        <v>0</v>
      </c>
      <c r="AG499" s="160">
        <f t="shared" si="597"/>
        <v>0</v>
      </c>
      <c r="AH499" s="129">
        <f>SUM(AE499:AG499)</f>
        <v>0</v>
      </c>
      <c r="AI499" s="130"/>
      <c r="AK499" s="160">
        <f>IF((AK493+AK497)&gt;0,1,0)</f>
        <v>0</v>
      </c>
      <c r="AL499" s="160">
        <f t="shared" ref="AL499:AM499" si="598">IF((AL493+AL497)&gt;0,1,0)</f>
        <v>0</v>
      </c>
      <c r="AM499" s="160">
        <f t="shared" si="598"/>
        <v>0</v>
      </c>
      <c r="AN499" s="129">
        <f>SUM(AK499:AM499)</f>
        <v>0</v>
      </c>
      <c r="AO499" s="130"/>
      <c r="AQ499" s="160"/>
      <c r="AR499" s="160"/>
      <c r="AS499" s="160"/>
      <c r="AT499" s="129"/>
      <c r="AU499" s="130"/>
      <c r="AW499" s="160">
        <f>IF((AW493+AW497)&gt;0,1,0)</f>
        <v>0</v>
      </c>
      <c r="AX499" s="160">
        <f t="shared" ref="AX499:AY499" si="599">IF((AX493+AX497)&gt;0,1,0)</f>
        <v>0</v>
      </c>
      <c r="AY499" s="160">
        <f t="shared" si="599"/>
        <v>0</v>
      </c>
      <c r="AZ499" s="129">
        <f>SUM(AW499:AY499)</f>
        <v>0</v>
      </c>
      <c r="BA499" s="130"/>
    </row>
    <row r="500" spans="1:53" s="409" customFormat="1" ht="17.100000000000001" customHeight="1" x14ac:dyDescent="0.25">
      <c r="A500" s="540"/>
      <c r="B500" s="540"/>
      <c r="C500" s="56" t="s">
        <v>279</v>
      </c>
      <c r="D500" s="427" t="s">
        <v>286</v>
      </c>
      <c r="E500" s="93"/>
      <c r="F500" s="93"/>
      <c r="G500" s="93"/>
      <c r="H500" s="540"/>
      <c r="I500" s="12"/>
      <c r="J500" s="539"/>
      <c r="K500" s="539"/>
      <c r="L500" s="539"/>
      <c r="M500" s="539"/>
      <c r="N500" s="353">
        <f>SUM(N494:N496)</f>
        <v>1</v>
      </c>
      <c r="O500" s="353">
        <f>SUM(O494:O496)</f>
        <v>3</v>
      </c>
      <c r="P500" s="155">
        <f t="shared" si="579"/>
        <v>4</v>
      </c>
      <c r="Q500" s="353">
        <f>SUM(Q494:Q496)</f>
        <v>1</v>
      </c>
      <c r="R500" s="353">
        <f>SUM(R494:R496)</f>
        <v>2</v>
      </c>
      <c r="S500" s="155">
        <f t="shared" si="594"/>
        <v>3</v>
      </c>
      <c r="T500" s="353">
        <f>SUM(T494:T496)</f>
        <v>0</v>
      </c>
      <c r="U500" s="353">
        <f>SUM(U494:U496)</f>
        <v>0</v>
      </c>
      <c r="V500" s="155">
        <f t="shared" si="595"/>
        <v>0</v>
      </c>
      <c r="W500" s="388">
        <f t="shared" si="583"/>
        <v>2</v>
      </c>
      <c r="X500" s="155">
        <f t="shared" si="584"/>
        <v>5</v>
      </c>
      <c r="Y500" s="539">
        <f t="shared" si="596"/>
        <v>7</v>
      </c>
      <c r="Z500" s="23"/>
      <c r="AA500" s="23"/>
      <c r="AB500" s="23"/>
      <c r="AC500" s="23"/>
      <c r="AE500" s="539">
        <f>IF(SUM(AE494:AE496)&gt;0,1,0)</f>
        <v>0</v>
      </c>
      <c r="AF500" s="539">
        <f t="shared" ref="AF500:AG500" si="600">IF(SUM(AF494:AF496)&gt;0,1,0)</f>
        <v>0</v>
      </c>
      <c r="AG500" s="539">
        <f t="shared" si="600"/>
        <v>0</v>
      </c>
      <c r="AH500" s="568">
        <f>SUM(AE500:AG500)</f>
        <v>0</v>
      </c>
      <c r="AI500" s="23"/>
      <c r="AK500" s="539">
        <f>IF(SUM(AK494:AK496)&gt;0,1,0)</f>
        <v>0</v>
      </c>
      <c r="AL500" s="539">
        <f t="shared" ref="AL500:AM500" si="601">IF(SUM(AL494:AL496)&gt;0,1,0)</f>
        <v>0</v>
      </c>
      <c r="AM500" s="539">
        <f t="shared" si="601"/>
        <v>0</v>
      </c>
      <c r="AN500" s="568">
        <f>SUM(AK500:AM500)</f>
        <v>0</v>
      </c>
      <c r="AO500" s="23"/>
      <c r="AQ500" s="539"/>
      <c r="AR500" s="539"/>
      <c r="AS500" s="539"/>
      <c r="AT500" s="568"/>
      <c r="AU500" s="23"/>
      <c r="AW500" s="539">
        <f>IF(SUM(AW494:AW496)&gt;0,1,0)</f>
        <v>0</v>
      </c>
      <c r="AX500" s="539">
        <f t="shared" ref="AX500:AY500" si="602">IF(SUM(AX494:AX496)&gt;0,1,0)</f>
        <v>0</v>
      </c>
      <c r="AY500" s="539">
        <f t="shared" si="602"/>
        <v>0</v>
      </c>
      <c r="AZ500" s="568">
        <f>SUM(AW500:AY500)</f>
        <v>0</v>
      </c>
      <c r="BA500" s="23"/>
    </row>
    <row r="501" spans="1:53" s="97" customFormat="1" ht="17.100000000000001" customHeight="1" x14ac:dyDescent="0.25">
      <c r="A501" s="68"/>
      <c r="B501" s="68"/>
      <c r="C501" s="186"/>
      <c r="D501" s="165"/>
      <c r="E501" s="187"/>
      <c r="F501" s="187"/>
      <c r="G501" s="187"/>
      <c r="H501" s="540"/>
      <c r="I501" s="207"/>
      <c r="J501" s="95"/>
      <c r="K501" s="95"/>
      <c r="L501" s="95"/>
      <c r="M501" s="95"/>
      <c r="N501" s="95"/>
      <c r="O501" s="95"/>
      <c r="P501" s="95"/>
      <c r="Q501" s="95"/>
      <c r="R501" s="95"/>
      <c r="S501" s="95"/>
      <c r="T501" s="95"/>
      <c r="U501" s="95"/>
      <c r="V501" s="95"/>
      <c r="W501" s="378"/>
      <c r="X501" s="95"/>
      <c r="Y501" s="96"/>
      <c r="AE501" s="109"/>
      <c r="AF501" s="109"/>
      <c r="AG501" s="109"/>
      <c r="AH501" s="96"/>
      <c r="AK501" s="109"/>
      <c r="AL501" s="109"/>
      <c r="AM501" s="109"/>
      <c r="AN501" s="96"/>
      <c r="AQ501" s="109"/>
      <c r="AR501" s="109"/>
      <c r="AS501" s="109"/>
      <c r="AT501" s="96"/>
      <c r="AW501" s="109"/>
      <c r="AX501" s="109"/>
      <c r="AY501" s="109"/>
      <c r="AZ501" s="96"/>
    </row>
    <row r="502" spans="1:53" s="32" customFormat="1" ht="16.5" thickBot="1" x14ac:dyDescent="0.3">
      <c r="A502" s="24" t="s">
        <v>287</v>
      </c>
      <c r="B502" s="25" t="s">
        <v>288</v>
      </c>
      <c r="C502" s="26"/>
      <c r="D502" s="27"/>
      <c r="E502" s="27"/>
      <c r="F502" s="27"/>
      <c r="G502" s="27"/>
      <c r="H502" s="264"/>
      <c r="I502" s="228"/>
      <c r="J502" s="140"/>
      <c r="K502" s="140"/>
      <c r="L502" s="140"/>
      <c r="M502" s="140"/>
      <c r="N502" s="140"/>
      <c r="O502" s="140"/>
      <c r="P502" s="140"/>
      <c r="Q502" s="140"/>
      <c r="R502" s="140"/>
      <c r="S502" s="140"/>
      <c r="T502" s="140"/>
      <c r="U502" s="140"/>
      <c r="V502" s="365"/>
      <c r="W502" s="379"/>
      <c r="X502" s="140"/>
      <c r="Y502" s="30" t="s">
        <v>4</v>
      </c>
      <c r="Z502" s="30" t="s">
        <v>5</v>
      </c>
      <c r="AA502" s="30"/>
      <c r="AB502" s="30"/>
      <c r="AC502" s="188"/>
      <c r="AE502" s="33" t="s">
        <v>181</v>
      </c>
      <c r="AF502" s="33" t="s">
        <v>182</v>
      </c>
      <c r="AG502" s="33" t="s">
        <v>6</v>
      </c>
      <c r="AH502" s="33" t="s">
        <v>4</v>
      </c>
      <c r="AI502" s="34" t="s">
        <v>5</v>
      </c>
      <c r="AJ502" s="408"/>
      <c r="AK502" s="36" t="s">
        <v>181</v>
      </c>
      <c r="AL502" s="36" t="s">
        <v>182</v>
      </c>
      <c r="AM502" s="36" t="s">
        <v>6</v>
      </c>
      <c r="AN502" s="36" t="s">
        <v>4</v>
      </c>
      <c r="AO502" s="37" t="s">
        <v>5</v>
      </c>
      <c r="AP502" s="408"/>
      <c r="AQ502" s="36"/>
      <c r="AR502" s="36"/>
      <c r="AS502" s="36"/>
      <c r="AT502" s="36"/>
      <c r="AU502" s="37"/>
      <c r="AV502" s="408"/>
      <c r="AW502" s="38" t="s">
        <v>181</v>
      </c>
      <c r="AX502" s="38" t="s">
        <v>182</v>
      </c>
      <c r="AY502" s="38" t="s">
        <v>6</v>
      </c>
      <c r="AZ502" s="38" t="s">
        <v>4</v>
      </c>
      <c r="BA502" s="39" t="s">
        <v>5</v>
      </c>
    </row>
    <row r="503" spans="1:53" ht="17.100000000000001" customHeight="1" x14ac:dyDescent="0.25">
      <c r="A503" s="68"/>
      <c r="B503" s="41" t="s">
        <v>289</v>
      </c>
      <c r="C503" s="69" t="s">
        <v>620</v>
      </c>
      <c r="D503" s="50"/>
      <c r="E503" s="70"/>
      <c r="F503" s="70"/>
      <c r="G503" s="70"/>
      <c r="H503" s="119"/>
      <c r="J503" s="71"/>
      <c r="K503" s="71"/>
      <c r="L503" s="71"/>
      <c r="M503" s="71"/>
      <c r="N503" s="71"/>
      <c r="O503" s="71"/>
      <c r="P503" s="71"/>
      <c r="Q503" s="71"/>
      <c r="R503" s="71"/>
      <c r="S503" s="71"/>
      <c r="T503" s="71"/>
      <c r="U503" s="71"/>
      <c r="V503" s="355"/>
      <c r="W503" s="377"/>
      <c r="X503" s="71"/>
      <c r="Y503" s="72"/>
      <c r="Z503" s="73"/>
      <c r="AA503" s="73"/>
      <c r="AB503" s="73"/>
      <c r="AC503" s="73"/>
      <c r="AE503" s="71"/>
      <c r="AF503" s="71"/>
      <c r="AG503" s="71"/>
      <c r="AH503" s="72"/>
      <c r="AI503" s="73"/>
      <c r="AK503" s="71"/>
      <c r="AL503" s="71"/>
      <c r="AM503" s="71"/>
      <c r="AN503" s="72"/>
      <c r="AO503" s="73"/>
      <c r="AQ503" s="71"/>
      <c r="AR503" s="71"/>
      <c r="AS503" s="71"/>
      <c r="AT503" s="72"/>
      <c r="AU503" s="73"/>
      <c r="AW503" s="71"/>
      <c r="AX503" s="71"/>
      <c r="AY503" s="71"/>
      <c r="AZ503" s="72"/>
      <c r="BA503" s="73"/>
    </row>
    <row r="504" spans="1:53" ht="17.100000000000001" customHeight="1" x14ac:dyDescent="0.25">
      <c r="A504" s="40"/>
      <c r="B504" s="40"/>
      <c r="C504" s="74" t="s">
        <v>291</v>
      </c>
      <c r="D504" s="75" t="s">
        <v>292</v>
      </c>
      <c r="E504" s="105"/>
      <c r="F504" s="75"/>
      <c r="G504" s="75"/>
      <c r="H504" s="540"/>
      <c r="I504" s="229"/>
      <c r="J504" s="111"/>
      <c r="K504" s="111"/>
      <c r="L504" s="111"/>
      <c r="M504" s="111"/>
      <c r="N504" s="60"/>
      <c r="O504" s="60"/>
      <c r="P504" s="17">
        <f t="shared" ref="P504:P507" si="603">SUM(N504:O504)</f>
        <v>0</v>
      </c>
      <c r="Q504" s="60">
        <v>1</v>
      </c>
      <c r="R504" s="60">
        <v>3</v>
      </c>
      <c r="S504" s="17">
        <f t="shared" ref="S504:S507" si="604">SUM(Q504:R504)</f>
        <v>4</v>
      </c>
      <c r="T504" s="60"/>
      <c r="U504" s="60"/>
      <c r="V504" s="359">
        <f t="shared" ref="V504:V507" si="605">SUM(T504:U504)</f>
        <v>0</v>
      </c>
      <c r="W504" s="391">
        <f t="shared" ref="W504:W507" si="606">J504+K504+N504+Q504+T504</f>
        <v>1</v>
      </c>
      <c r="X504" s="17">
        <f t="shared" ref="X504:X507" si="607">L504+O504+R504+U504</f>
        <v>3</v>
      </c>
      <c r="Y504" s="18">
        <f>SUM(W504:X504)</f>
        <v>4</v>
      </c>
      <c r="Z504" s="19">
        <f>IF(Y$508=0,0,Y504/Y$508)</f>
        <v>0.19047619047619047</v>
      </c>
      <c r="AA504" s="19"/>
      <c r="AB504" s="19"/>
      <c r="AC504" s="20"/>
      <c r="AE504" s="111"/>
      <c r="AF504" s="111"/>
      <c r="AG504" s="111"/>
      <c r="AH504" s="112"/>
      <c r="AI504" s="113"/>
      <c r="AK504" s="111"/>
      <c r="AL504" s="111"/>
      <c r="AM504" s="111"/>
      <c r="AN504" s="112"/>
      <c r="AO504" s="113"/>
      <c r="AQ504" s="17"/>
      <c r="AR504" s="17"/>
      <c r="AS504" s="17"/>
      <c r="AT504" s="18">
        <f t="shared" ref="AT504:AT507" si="608">W504</f>
        <v>1</v>
      </c>
      <c r="AU504" s="19">
        <f>IF(AT$508=0,0,AT504/AT$508)</f>
        <v>0.5</v>
      </c>
      <c r="AW504" s="17"/>
      <c r="AX504" s="17"/>
      <c r="AY504" s="17"/>
      <c r="AZ504" s="18">
        <f t="shared" ref="AZ504:AZ507" si="609">X504</f>
        <v>3</v>
      </c>
      <c r="BA504" s="19">
        <f>IF(AZ$508=0,0,AZ504/AZ$508)</f>
        <v>0.15789473684210525</v>
      </c>
    </row>
    <row r="505" spans="1:53" ht="17.100000000000001" customHeight="1" x14ac:dyDescent="0.25">
      <c r="A505" s="40"/>
      <c r="B505" s="40"/>
      <c r="C505" s="74" t="s">
        <v>293</v>
      </c>
      <c r="D505" s="75" t="s">
        <v>11</v>
      </c>
      <c r="E505" s="105"/>
      <c r="F505" s="75"/>
      <c r="G505" s="75"/>
      <c r="H505" s="540"/>
      <c r="I505" s="229"/>
      <c r="J505" s="111"/>
      <c r="K505" s="111"/>
      <c r="L505" s="111"/>
      <c r="M505" s="111"/>
      <c r="N505" s="61"/>
      <c r="O505" s="61"/>
      <c r="P505" s="17">
        <f t="shared" si="603"/>
        <v>0</v>
      </c>
      <c r="Q505" s="61"/>
      <c r="R505" s="61"/>
      <c r="S505" s="17">
        <f t="shared" si="604"/>
        <v>0</v>
      </c>
      <c r="T505" s="61"/>
      <c r="U505" s="61">
        <v>9</v>
      </c>
      <c r="V505" s="359">
        <f t="shared" si="605"/>
        <v>9</v>
      </c>
      <c r="W505" s="391">
        <f t="shared" si="606"/>
        <v>0</v>
      </c>
      <c r="X505" s="17">
        <f t="shared" si="607"/>
        <v>9</v>
      </c>
      <c r="Y505" s="18">
        <f>SUM(W505:X505)</f>
        <v>9</v>
      </c>
      <c r="Z505" s="19">
        <f t="shared" ref="Z505:Z508" si="610">IF(Y$508=0,0,Y505/Y$508)</f>
        <v>0.42857142857142855</v>
      </c>
      <c r="AA505" s="19"/>
      <c r="AB505" s="19"/>
      <c r="AC505" s="20"/>
      <c r="AE505" s="111"/>
      <c r="AF505" s="111"/>
      <c r="AG505" s="111"/>
      <c r="AH505" s="112"/>
      <c r="AI505" s="113"/>
      <c r="AK505" s="111"/>
      <c r="AL505" s="111"/>
      <c r="AM505" s="111"/>
      <c r="AN505" s="112"/>
      <c r="AO505" s="113"/>
      <c r="AQ505" s="17"/>
      <c r="AR505" s="17"/>
      <c r="AS505" s="17"/>
      <c r="AT505" s="18">
        <f t="shared" si="608"/>
        <v>0</v>
      </c>
      <c r="AU505" s="19">
        <f>IF(AT$508=0,0,AT505/AT$508)</f>
        <v>0</v>
      </c>
      <c r="AW505" s="17"/>
      <c r="AX505" s="17"/>
      <c r="AY505" s="17"/>
      <c r="AZ505" s="18">
        <f t="shared" si="609"/>
        <v>9</v>
      </c>
      <c r="BA505" s="19">
        <f>IF(AZ$508=0,0,AZ505/AZ$508)</f>
        <v>0.47368421052631576</v>
      </c>
    </row>
    <row r="506" spans="1:53" ht="17.100000000000001" customHeight="1" x14ac:dyDescent="0.25">
      <c r="A506" s="40"/>
      <c r="B506" s="40"/>
      <c r="C506" s="74" t="s">
        <v>294</v>
      </c>
      <c r="D506" s="75" t="s">
        <v>295</v>
      </c>
      <c r="E506" s="105"/>
      <c r="F506" s="75"/>
      <c r="G506" s="75"/>
      <c r="H506" s="540"/>
      <c r="I506" s="229"/>
      <c r="J506" s="111"/>
      <c r="K506" s="111"/>
      <c r="L506" s="111"/>
      <c r="M506" s="111"/>
      <c r="N506" s="60"/>
      <c r="O506" s="60"/>
      <c r="P506" s="17">
        <f t="shared" si="603"/>
        <v>0</v>
      </c>
      <c r="Q506" s="60"/>
      <c r="R506" s="60"/>
      <c r="S506" s="17">
        <f t="shared" si="604"/>
        <v>0</v>
      </c>
      <c r="T506" s="60"/>
      <c r="U506" s="60"/>
      <c r="V506" s="359">
        <f t="shared" si="605"/>
        <v>0</v>
      </c>
      <c r="W506" s="391">
        <f t="shared" si="606"/>
        <v>0</v>
      </c>
      <c r="X506" s="17">
        <f t="shared" si="607"/>
        <v>0</v>
      </c>
      <c r="Y506" s="18">
        <f>SUM(W506:X506)</f>
        <v>0</v>
      </c>
      <c r="Z506" s="19">
        <f t="shared" si="610"/>
        <v>0</v>
      </c>
      <c r="AA506" s="19"/>
      <c r="AB506" s="19"/>
      <c r="AC506" s="20"/>
      <c r="AE506" s="111"/>
      <c r="AF506" s="111"/>
      <c r="AG506" s="111"/>
      <c r="AH506" s="112"/>
      <c r="AI506" s="113"/>
      <c r="AK506" s="111"/>
      <c r="AL506" s="111"/>
      <c r="AM506" s="111"/>
      <c r="AN506" s="112"/>
      <c r="AO506" s="113"/>
      <c r="AQ506" s="17"/>
      <c r="AR506" s="17"/>
      <c r="AS506" s="17"/>
      <c r="AT506" s="18">
        <f t="shared" si="608"/>
        <v>0</v>
      </c>
      <c r="AU506" s="19">
        <f>IF(AT$508=0,0,AT506/AT$508)</f>
        <v>0</v>
      </c>
      <c r="AW506" s="17"/>
      <c r="AX506" s="17"/>
      <c r="AY506" s="17"/>
      <c r="AZ506" s="18">
        <f t="shared" si="609"/>
        <v>0</v>
      </c>
      <c r="BA506" s="19">
        <f>IF(AZ$508=0,0,AZ506/AZ$508)</f>
        <v>0</v>
      </c>
    </row>
    <row r="507" spans="1:53" ht="17.100000000000001" customHeight="1" x14ac:dyDescent="0.25">
      <c r="A507" s="40"/>
      <c r="B507" s="40"/>
      <c r="C507" s="74" t="s">
        <v>296</v>
      </c>
      <c r="D507" s="75" t="s">
        <v>9</v>
      </c>
      <c r="E507" s="105"/>
      <c r="F507" s="75"/>
      <c r="G507" s="75"/>
      <c r="H507" s="540"/>
      <c r="I507" s="229"/>
      <c r="J507" s="111"/>
      <c r="K507" s="111"/>
      <c r="L507" s="111"/>
      <c r="M507" s="111"/>
      <c r="N507" s="61">
        <v>1</v>
      </c>
      <c r="O507" s="61">
        <v>5</v>
      </c>
      <c r="P507" s="17">
        <f t="shared" si="603"/>
        <v>6</v>
      </c>
      <c r="Q507" s="61"/>
      <c r="R507" s="61">
        <v>1</v>
      </c>
      <c r="S507" s="17">
        <f t="shared" si="604"/>
        <v>1</v>
      </c>
      <c r="T507" s="61"/>
      <c r="U507" s="61">
        <v>1</v>
      </c>
      <c r="V507" s="359">
        <f t="shared" si="605"/>
        <v>1</v>
      </c>
      <c r="W507" s="391">
        <f t="shared" si="606"/>
        <v>1</v>
      </c>
      <c r="X507" s="17">
        <f t="shared" si="607"/>
        <v>7</v>
      </c>
      <c r="Y507" s="18">
        <f>SUM(W507:X507)</f>
        <v>8</v>
      </c>
      <c r="Z507" s="19">
        <f t="shared" si="610"/>
        <v>0.38095238095238093</v>
      </c>
      <c r="AA507" s="19"/>
      <c r="AB507" s="19"/>
      <c r="AC507" s="20"/>
      <c r="AE507" s="111"/>
      <c r="AF507" s="111"/>
      <c r="AG507" s="111"/>
      <c r="AH507" s="112"/>
      <c r="AI507" s="113"/>
      <c r="AK507" s="111"/>
      <c r="AL507" s="111"/>
      <c r="AM507" s="111"/>
      <c r="AN507" s="112"/>
      <c r="AO507" s="113"/>
      <c r="AQ507" s="17"/>
      <c r="AR507" s="17"/>
      <c r="AS507" s="17"/>
      <c r="AT507" s="18">
        <f t="shared" si="608"/>
        <v>1</v>
      </c>
      <c r="AU507" s="19">
        <f>IF(AT$508=0,0,AT507/AT$508)</f>
        <v>0.5</v>
      </c>
      <c r="AW507" s="17"/>
      <c r="AX507" s="17"/>
      <c r="AY507" s="17"/>
      <c r="AZ507" s="18">
        <f t="shared" si="609"/>
        <v>7</v>
      </c>
      <c r="BA507" s="19">
        <f>IF(AZ$508=0,0,AZ507/AZ$508)</f>
        <v>0.36842105263157893</v>
      </c>
    </row>
    <row r="508" spans="1:53" ht="17.100000000000001" customHeight="1" x14ac:dyDescent="0.25">
      <c r="A508" s="40"/>
      <c r="B508" s="40"/>
      <c r="C508" s="292"/>
      <c r="D508" s="134"/>
      <c r="E508" s="134"/>
      <c r="F508" s="134"/>
      <c r="G508" s="134"/>
      <c r="H508" s="540"/>
      <c r="I508" s="229"/>
      <c r="J508" s="80"/>
      <c r="K508" s="80"/>
      <c r="L508" s="81"/>
      <c r="M508" s="81"/>
      <c r="N508" s="81">
        <f>SUM(N504:N507)</f>
        <v>1</v>
      </c>
      <c r="O508" s="81">
        <f t="shared" ref="O508:V508" si="611">SUM(O504:O507)</f>
        <v>5</v>
      </c>
      <c r="P508" s="81">
        <f t="shared" si="611"/>
        <v>6</v>
      </c>
      <c r="Q508" s="81">
        <f t="shared" si="611"/>
        <v>1</v>
      </c>
      <c r="R508" s="81">
        <f t="shared" si="611"/>
        <v>4</v>
      </c>
      <c r="S508" s="81">
        <f t="shared" si="611"/>
        <v>5</v>
      </c>
      <c r="T508" s="81">
        <f t="shared" si="611"/>
        <v>0</v>
      </c>
      <c r="U508" s="81">
        <f t="shared" si="611"/>
        <v>10</v>
      </c>
      <c r="V508" s="81">
        <f t="shared" si="611"/>
        <v>10</v>
      </c>
      <c r="W508" s="381">
        <f>SUM(W504:W507)</f>
        <v>2</v>
      </c>
      <c r="X508" s="82">
        <f t="shared" ref="X508:Y508" si="612">SUM(X504:X507)</f>
        <v>19</v>
      </c>
      <c r="Y508" s="82">
        <f t="shared" si="612"/>
        <v>21</v>
      </c>
      <c r="Z508" s="205">
        <f t="shared" si="610"/>
        <v>1</v>
      </c>
      <c r="AA508" s="205"/>
      <c r="AB508" s="205"/>
      <c r="AC508" s="83"/>
      <c r="AE508" s="80"/>
      <c r="AF508" s="80"/>
      <c r="AG508" s="81"/>
      <c r="AH508" s="82"/>
      <c r="AI508" s="66"/>
      <c r="AK508" s="80"/>
      <c r="AL508" s="80"/>
      <c r="AM508" s="81"/>
      <c r="AN508" s="82"/>
      <c r="AO508" s="66"/>
      <c r="AQ508" s="80"/>
      <c r="AR508" s="80"/>
      <c r="AS508" s="81"/>
      <c r="AT508" s="82">
        <f>SUM(AT504:AT507)</f>
        <v>2</v>
      </c>
      <c r="AU508" s="66">
        <f>IF(AT$508=0,0,AT508/AT$508)</f>
        <v>1</v>
      </c>
      <c r="AW508" s="80"/>
      <c r="AX508" s="80"/>
      <c r="AY508" s="81"/>
      <c r="AZ508" s="82">
        <f>SUM(AZ504:AZ507)</f>
        <v>19</v>
      </c>
      <c r="BA508" s="66">
        <f>IF(AZ$508=0,0,AZ508/AZ$508)</f>
        <v>1</v>
      </c>
    </row>
    <row r="509" spans="1:53" s="117" customFormat="1" ht="17.100000000000001" customHeight="1" x14ac:dyDescent="0.25">
      <c r="A509" s="68"/>
      <c r="B509" s="119"/>
      <c r="C509" s="540"/>
      <c r="D509" s="261"/>
      <c r="E509" s="261"/>
      <c r="F509" s="68"/>
      <c r="G509" s="68"/>
      <c r="H509" s="119"/>
      <c r="I509" s="138"/>
      <c r="J509" s="17"/>
      <c r="K509" s="17"/>
      <c r="L509" s="17"/>
      <c r="M509" s="17"/>
      <c r="N509" s="17" t="str">
        <f>IF(N508=N$20,"OK","NOK")</f>
        <v>OK</v>
      </c>
      <c r="O509" s="17" t="str">
        <f>IF(O508=O$20,"OK","NOK")</f>
        <v>OK</v>
      </c>
      <c r="P509" s="17"/>
      <c r="Q509" s="17" t="str">
        <f>IF(Q508=Q$20,"OK","NOK")</f>
        <v>OK</v>
      </c>
      <c r="R509" s="17" t="str">
        <f>IF(R508=R$20,"OK","NOK")</f>
        <v>OK</v>
      </c>
      <c r="S509" s="17"/>
      <c r="T509" s="17" t="str">
        <f>IF(T508=T$20,"OK","NOK")</f>
        <v>OK</v>
      </c>
      <c r="U509" s="17" t="str">
        <f>IF(U508=U$20,"OK","NOK")</f>
        <v>OK</v>
      </c>
      <c r="V509" s="359"/>
      <c r="W509" s="382"/>
      <c r="X509" s="539"/>
      <c r="Y509" s="539"/>
      <c r="Z509" s="201"/>
      <c r="AA509" s="201"/>
      <c r="AB509" s="201"/>
      <c r="AC509" s="84"/>
      <c r="AE509" s="46"/>
      <c r="AF509" s="46"/>
      <c r="AG509" s="17"/>
      <c r="AH509" s="539"/>
      <c r="AI509" s="91"/>
      <c r="AK509" s="46"/>
      <c r="AL509" s="46"/>
      <c r="AM509" s="17"/>
      <c r="AN509" s="539"/>
      <c r="AO509" s="91"/>
      <c r="AQ509" s="46"/>
      <c r="AR509" s="46"/>
      <c r="AS509" s="17"/>
      <c r="AT509" s="539"/>
      <c r="AU509" s="91"/>
      <c r="AW509" s="46"/>
      <c r="AX509" s="46"/>
      <c r="AY509" s="17"/>
      <c r="AZ509" s="539"/>
      <c r="BA509" s="91"/>
    </row>
    <row r="510" spans="1:53" ht="17.100000000000001" customHeight="1" x14ac:dyDescent="0.25">
      <c r="A510" s="68"/>
      <c r="B510" s="41" t="s">
        <v>297</v>
      </c>
      <c r="C510" s="69" t="s">
        <v>290</v>
      </c>
      <c r="D510" s="50"/>
      <c r="E510" s="70"/>
      <c r="F510" s="70"/>
      <c r="G510" s="70"/>
      <c r="H510" s="119"/>
      <c r="J510" s="71"/>
      <c r="K510" s="71"/>
      <c r="L510" s="71"/>
      <c r="M510" s="71"/>
      <c r="N510" s="71"/>
      <c r="O510" s="71"/>
      <c r="P510" s="71"/>
      <c r="Q510" s="71"/>
      <c r="R510" s="71"/>
      <c r="S510" s="71"/>
      <c r="T510" s="71"/>
      <c r="U510" s="71"/>
      <c r="V510" s="355"/>
      <c r="W510" s="377"/>
      <c r="X510" s="71"/>
      <c r="Y510" s="72"/>
      <c r="Z510" s="73"/>
      <c r="AA510" s="73"/>
      <c r="AB510" s="73"/>
      <c r="AC510" s="73"/>
      <c r="AE510" s="71"/>
      <c r="AF510" s="71"/>
      <c r="AG510" s="71"/>
      <c r="AH510" s="72"/>
      <c r="AI510" s="73"/>
      <c r="AK510" s="71"/>
      <c r="AL510" s="71"/>
      <c r="AM510" s="71"/>
      <c r="AN510" s="72"/>
      <c r="AO510" s="73"/>
      <c r="AQ510" s="71"/>
      <c r="AR510" s="71"/>
      <c r="AS510" s="71"/>
      <c r="AT510" s="72"/>
      <c r="AU510" s="73"/>
      <c r="AW510" s="71"/>
      <c r="AX510" s="71"/>
      <c r="AY510" s="71"/>
      <c r="AZ510" s="72"/>
      <c r="BA510" s="73"/>
    </row>
    <row r="511" spans="1:53" ht="17.100000000000001" customHeight="1" x14ac:dyDescent="0.25">
      <c r="A511" s="40"/>
      <c r="B511" s="40"/>
      <c r="C511" s="74" t="s">
        <v>298</v>
      </c>
      <c r="D511" s="75" t="s">
        <v>292</v>
      </c>
      <c r="E511" s="105"/>
      <c r="F511" s="75"/>
      <c r="G511" s="75"/>
      <c r="H511" s="540"/>
      <c r="I511" s="229"/>
      <c r="J511" s="111"/>
      <c r="K511" s="111"/>
      <c r="L511" s="111"/>
      <c r="M511" s="111"/>
      <c r="N511" s="60"/>
      <c r="O511" s="60"/>
      <c r="P511" s="17">
        <f t="shared" ref="P511:P514" si="613">SUM(N511:O511)</f>
        <v>0</v>
      </c>
      <c r="Q511" s="60"/>
      <c r="R511" s="60"/>
      <c r="S511" s="17">
        <f t="shared" ref="S511:S514" si="614">SUM(Q511:R511)</f>
        <v>0</v>
      </c>
      <c r="T511" s="60"/>
      <c r="U511" s="60"/>
      <c r="V511" s="359">
        <f t="shared" ref="V511:V514" si="615">SUM(T511:U511)</f>
        <v>0</v>
      </c>
      <c r="W511" s="391">
        <f t="shared" ref="W511:W514" si="616">J511+K511+N511+Q511+T511</f>
        <v>0</v>
      </c>
      <c r="X511" s="17">
        <f t="shared" ref="X511:X514" si="617">L511+O511+R511+U511</f>
        <v>0</v>
      </c>
      <c r="Y511" s="18">
        <f>SUM(W511:X511)</f>
        <v>0</v>
      </c>
      <c r="Z511" s="19">
        <f>IF(Y$515=0,0,Y511/Y$515)</f>
        <v>0</v>
      </c>
      <c r="AA511" s="19"/>
      <c r="AB511" s="19"/>
      <c r="AC511" s="20"/>
      <c r="AE511" s="111"/>
      <c r="AF511" s="111"/>
      <c r="AG511" s="111"/>
      <c r="AH511" s="112"/>
      <c r="AI511" s="113"/>
      <c r="AK511" s="111"/>
      <c r="AL511" s="111"/>
      <c r="AM511" s="111"/>
      <c r="AN511" s="112"/>
      <c r="AO511" s="113"/>
      <c r="AQ511" s="17"/>
      <c r="AR511" s="17"/>
      <c r="AS511" s="17"/>
      <c r="AT511" s="18">
        <f t="shared" ref="AT511:AT514" si="618">W511</f>
        <v>0</v>
      </c>
      <c r="AU511" s="19">
        <f t="shared" ref="AU511:AU514" si="619">IF(AT$508=0,0,AT511/AT$508)</f>
        <v>0</v>
      </c>
      <c r="AW511" s="17"/>
      <c r="AX511" s="17"/>
      <c r="AY511" s="17"/>
      <c r="AZ511" s="18">
        <f t="shared" ref="AZ511:AZ514" si="620">X511</f>
        <v>0</v>
      </c>
      <c r="BA511" s="19">
        <f>IF(AZ$515=0,0,AZ511/AZ$515)</f>
        <v>0</v>
      </c>
    </row>
    <row r="512" spans="1:53" ht="17.100000000000001" customHeight="1" x14ac:dyDescent="0.25">
      <c r="A512" s="40"/>
      <c r="B512" s="40"/>
      <c r="C512" s="74" t="s">
        <v>299</v>
      </c>
      <c r="D512" s="75" t="s">
        <v>11</v>
      </c>
      <c r="E512" s="105"/>
      <c r="F512" s="75"/>
      <c r="G512" s="75"/>
      <c r="H512" s="540"/>
      <c r="I512" s="229"/>
      <c r="J512" s="111"/>
      <c r="K512" s="111"/>
      <c r="L512" s="111"/>
      <c r="M512" s="111"/>
      <c r="N512" s="61">
        <v>1</v>
      </c>
      <c r="O512" s="61">
        <v>3</v>
      </c>
      <c r="P512" s="17">
        <f t="shared" si="613"/>
        <v>4</v>
      </c>
      <c r="Q512" s="61"/>
      <c r="R512" s="61"/>
      <c r="S512" s="17">
        <f t="shared" si="614"/>
        <v>0</v>
      </c>
      <c r="T512" s="61"/>
      <c r="U512" s="61">
        <v>9</v>
      </c>
      <c r="V512" s="359">
        <f t="shared" si="615"/>
        <v>9</v>
      </c>
      <c r="W512" s="391">
        <f t="shared" si="616"/>
        <v>1</v>
      </c>
      <c r="X512" s="17">
        <f t="shared" si="617"/>
        <v>12</v>
      </c>
      <c r="Y512" s="18">
        <f>SUM(W512:X512)</f>
        <v>13</v>
      </c>
      <c r="Z512" s="19">
        <f t="shared" ref="Z512:Z515" si="621">IF(Y$515=0,0,Y512/Y$515)</f>
        <v>0.61904761904761907</v>
      </c>
      <c r="AA512" s="19"/>
      <c r="AB512" s="19"/>
      <c r="AC512" s="20"/>
      <c r="AE512" s="111"/>
      <c r="AF512" s="111"/>
      <c r="AG512" s="111"/>
      <c r="AH512" s="112"/>
      <c r="AI512" s="113"/>
      <c r="AK512" s="111"/>
      <c r="AL512" s="111"/>
      <c r="AM512" s="111"/>
      <c r="AN512" s="112"/>
      <c r="AO512" s="113"/>
      <c r="AQ512" s="17"/>
      <c r="AR512" s="17"/>
      <c r="AS512" s="17"/>
      <c r="AT512" s="18">
        <f t="shared" si="618"/>
        <v>1</v>
      </c>
      <c r="AU512" s="19">
        <f t="shared" si="619"/>
        <v>0.5</v>
      </c>
      <c r="AW512" s="17"/>
      <c r="AX512" s="17"/>
      <c r="AY512" s="17"/>
      <c r="AZ512" s="18">
        <f t="shared" si="620"/>
        <v>12</v>
      </c>
      <c r="BA512" s="19">
        <f t="shared" ref="BA512:BA515" si="622">IF(AZ$515=0,0,AZ512/AZ$515)</f>
        <v>0.63157894736842102</v>
      </c>
    </row>
    <row r="513" spans="1:53" ht="17.100000000000001" customHeight="1" x14ac:dyDescent="0.25">
      <c r="A513" s="40"/>
      <c r="B513" s="40"/>
      <c r="C513" s="74" t="s">
        <v>301</v>
      </c>
      <c r="D513" s="75" t="s">
        <v>295</v>
      </c>
      <c r="E513" s="105"/>
      <c r="F513" s="75"/>
      <c r="G513" s="75"/>
      <c r="H513" s="540"/>
      <c r="I513" s="229"/>
      <c r="J513" s="111"/>
      <c r="K513" s="111"/>
      <c r="L513" s="111"/>
      <c r="M513" s="111"/>
      <c r="N513" s="60"/>
      <c r="O513" s="60"/>
      <c r="P513" s="17">
        <f t="shared" si="613"/>
        <v>0</v>
      </c>
      <c r="Q513" s="60"/>
      <c r="R513" s="60"/>
      <c r="S513" s="17">
        <f t="shared" si="614"/>
        <v>0</v>
      </c>
      <c r="T513" s="60"/>
      <c r="U513" s="60"/>
      <c r="V513" s="359">
        <f t="shared" si="615"/>
        <v>0</v>
      </c>
      <c r="W513" s="391">
        <f t="shared" si="616"/>
        <v>0</v>
      </c>
      <c r="X513" s="17">
        <f t="shared" si="617"/>
        <v>0</v>
      </c>
      <c r="Y513" s="18">
        <f>SUM(W513:X513)</f>
        <v>0</v>
      </c>
      <c r="Z513" s="19">
        <f t="shared" si="621"/>
        <v>0</v>
      </c>
      <c r="AA513" s="19"/>
      <c r="AB513" s="19"/>
      <c r="AC513" s="20"/>
      <c r="AE513" s="111"/>
      <c r="AF513" s="111"/>
      <c r="AG513" s="111"/>
      <c r="AH513" s="112"/>
      <c r="AI513" s="113"/>
      <c r="AK513" s="111"/>
      <c r="AL513" s="111"/>
      <c r="AM513" s="111"/>
      <c r="AN513" s="112"/>
      <c r="AO513" s="113"/>
      <c r="AQ513" s="17"/>
      <c r="AR513" s="17"/>
      <c r="AS513" s="17"/>
      <c r="AT513" s="18">
        <f t="shared" si="618"/>
        <v>0</v>
      </c>
      <c r="AU513" s="19">
        <f t="shared" si="619"/>
        <v>0</v>
      </c>
      <c r="AW513" s="17"/>
      <c r="AX513" s="17"/>
      <c r="AY513" s="17"/>
      <c r="AZ513" s="18">
        <f t="shared" si="620"/>
        <v>0</v>
      </c>
      <c r="BA513" s="19">
        <f t="shared" si="622"/>
        <v>0</v>
      </c>
    </row>
    <row r="514" spans="1:53" ht="17.100000000000001" customHeight="1" x14ac:dyDescent="0.25">
      <c r="A514" s="40"/>
      <c r="B514" s="40"/>
      <c r="C514" s="74" t="s">
        <v>303</v>
      </c>
      <c r="D514" s="75" t="s">
        <v>9</v>
      </c>
      <c r="E514" s="105"/>
      <c r="F514" s="75"/>
      <c r="G514" s="75"/>
      <c r="H514" s="540"/>
      <c r="I514" s="229"/>
      <c r="J514" s="111"/>
      <c r="K514" s="111"/>
      <c r="L514" s="111"/>
      <c r="M514" s="111"/>
      <c r="N514" s="61"/>
      <c r="O514" s="61">
        <v>2</v>
      </c>
      <c r="P514" s="17">
        <f t="shared" si="613"/>
        <v>2</v>
      </c>
      <c r="Q514" s="61">
        <v>1</v>
      </c>
      <c r="R514" s="61">
        <v>4</v>
      </c>
      <c r="S514" s="17">
        <f t="shared" si="614"/>
        <v>5</v>
      </c>
      <c r="T514" s="61"/>
      <c r="U514" s="61">
        <v>1</v>
      </c>
      <c r="V514" s="359">
        <f t="shared" si="615"/>
        <v>1</v>
      </c>
      <c r="W514" s="391">
        <f t="shared" si="616"/>
        <v>1</v>
      </c>
      <c r="X514" s="17">
        <f t="shared" si="617"/>
        <v>7</v>
      </c>
      <c r="Y514" s="18">
        <f>SUM(W514:X514)</f>
        <v>8</v>
      </c>
      <c r="Z514" s="19">
        <f t="shared" si="621"/>
        <v>0.38095238095238093</v>
      </c>
      <c r="AA514" s="19"/>
      <c r="AB514" s="19"/>
      <c r="AC514" s="20"/>
      <c r="AE514" s="111"/>
      <c r="AF514" s="111"/>
      <c r="AG514" s="111"/>
      <c r="AH514" s="112"/>
      <c r="AI514" s="113"/>
      <c r="AK514" s="111"/>
      <c r="AL514" s="111"/>
      <c r="AM514" s="111"/>
      <c r="AN514" s="112"/>
      <c r="AO514" s="113"/>
      <c r="AQ514" s="17"/>
      <c r="AR514" s="17"/>
      <c r="AS514" s="17"/>
      <c r="AT514" s="18">
        <f t="shared" si="618"/>
        <v>1</v>
      </c>
      <c r="AU514" s="19">
        <f t="shared" si="619"/>
        <v>0.5</v>
      </c>
      <c r="AW514" s="17"/>
      <c r="AX514" s="17"/>
      <c r="AY514" s="17"/>
      <c r="AZ514" s="18">
        <f t="shared" si="620"/>
        <v>7</v>
      </c>
      <c r="BA514" s="19">
        <f t="shared" si="622"/>
        <v>0.36842105263157893</v>
      </c>
    </row>
    <row r="515" spans="1:53" ht="17.100000000000001" customHeight="1" x14ac:dyDescent="0.25">
      <c r="A515" s="175"/>
      <c r="B515" s="40"/>
      <c r="C515" s="163"/>
      <c r="D515" s="134"/>
      <c r="E515" s="134"/>
      <c r="F515" s="134"/>
      <c r="G515" s="134"/>
      <c r="H515" s="540"/>
      <c r="I515" s="12"/>
      <c r="J515" s="80"/>
      <c r="K515" s="80"/>
      <c r="L515" s="81"/>
      <c r="M515" s="81"/>
      <c r="N515" s="81">
        <f>SUM(N511:N514)</f>
        <v>1</v>
      </c>
      <c r="O515" s="81">
        <f t="shared" ref="O515:V515" si="623">SUM(O511:O514)</f>
        <v>5</v>
      </c>
      <c r="P515" s="81">
        <f t="shared" si="623"/>
        <v>6</v>
      </c>
      <c r="Q515" s="81">
        <f t="shared" si="623"/>
        <v>1</v>
      </c>
      <c r="R515" s="81">
        <f t="shared" si="623"/>
        <v>4</v>
      </c>
      <c r="S515" s="81">
        <f t="shared" si="623"/>
        <v>5</v>
      </c>
      <c r="T515" s="81">
        <f t="shared" si="623"/>
        <v>0</v>
      </c>
      <c r="U515" s="81">
        <f t="shared" si="623"/>
        <v>10</v>
      </c>
      <c r="V515" s="81">
        <f t="shared" si="623"/>
        <v>10</v>
      </c>
      <c r="W515" s="381">
        <f>SUM(W511:W514)</f>
        <v>2</v>
      </c>
      <c r="X515" s="82">
        <f t="shared" ref="X515:Y515" si="624">SUM(X511:X514)</f>
        <v>19</v>
      </c>
      <c r="Y515" s="82">
        <f t="shared" si="624"/>
        <v>21</v>
      </c>
      <c r="Z515" s="205">
        <f t="shared" si="621"/>
        <v>1</v>
      </c>
      <c r="AA515" s="205"/>
      <c r="AB515" s="205"/>
      <c r="AC515" s="83"/>
      <c r="AE515" s="80"/>
      <c r="AF515" s="80"/>
      <c r="AG515" s="81"/>
      <c r="AH515" s="82">
        <f>SUM(AH511:AH514)</f>
        <v>0</v>
      </c>
      <c r="AI515" s="66">
        <f t="shared" ref="AI515" si="625">IF(AH$515=0,0,AH515/AH$515)</f>
        <v>0</v>
      </c>
      <c r="AK515" s="80"/>
      <c r="AL515" s="80"/>
      <c r="AM515" s="81"/>
      <c r="AN515" s="82">
        <f>SUM(AN511:AN514)</f>
        <v>0</v>
      </c>
      <c r="AO515" s="66">
        <f t="shared" ref="AO515" si="626">IF(AN$515=0,0,AN515/AN$515)</f>
        <v>0</v>
      </c>
      <c r="AQ515" s="80"/>
      <c r="AR515" s="80"/>
      <c r="AS515" s="81"/>
      <c r="AT515" s="82"/>
      <c r="AU515" s="66"/>
      <c r="AW515" s="80"/>
      <c r="AX515" s="80"/>
      <c r="AY515" s="81"/>
      <c r="AZ515" s="82">
        <f>SUM(AZ511:AZ514)</f>
        <v>19</v>
      </c>
      <c r="BA515" s="66">
        <f t="shared" si="622"/>
        <v>1</v>
      </c>
    </row>
    <row r="516" spans="1:53" s="117" customFormat="1" ht="17.100000000000001" customHeight="1" x14ac:dyDescent="0.25">
      <c r="A516" s="68"/>
      <c r="B516" s="119"/>
      <c r="C516" s="540"/>
      <c r="D516" s="261"/>
      <c r="E516" s="261"/>
      <c r="F516" s="68"/>
      <c r="G516" s="68"/>
      <c r="H516" s="119"/>
      <c r="I516" s="138"/>
      <c r="J516" s="17"/>
      <c r="K516" s="17"/>
      <c r="L516" s="17"/>
      <c r="M516" s="17"/>
      <c r="N516" s="17" t="str">
        <f>IF(N515=N$20,"OK","NOK")</f>
        <v>OK</v>
      </c>
      <c r="O516" s="17" t="str">
        <f>IF(O515=O$20,"OK","NOK")</f>
        <v>OK</v>
      </c>
      <c r="P516" s="17"/>
      <c r="Q516" s="17" t="str">
        <f>IF(Q515=Q$20,"OK","NOK")</f>
        <v>OK</v>
      </c>
      <c r="R516" s="17" t="str">
        <f>IF(R515=R$20,"OK","NOK")</f>
        <v>OK</v>
      </c>
      <c r="S516" s="17"/>
      <c r="T516" s="17" t="str">
        <f>IF(T515=T$20,"OK","NOK")</f>
        <v>OK</v>
      </c>
      <c r="U516" s="17" t="str">
        <f>IF(U515=U$20,"OK","NOK")</f>
        <v>OK</v>
      </c>
      <c r="V516" s="359"/>
      <c r="W516" s="382"/>
      <c r="X516" s="539"/>
      <c r="Y516" s="539"/>
      <c r="Z516" s="201"/>
      <c r="AA516" s="201"/>
      <c r="AB516" s="201"/>
      <c r="AC516" s="84"/>
      <c r="AE516" s="46"/>
      <c r="AF516" s="46"/>
      <c r="AG516" s="17"/>
      <c r="AH516" s="539"/>
      <c r="AI516" s="91"/>
      <c r="AK516" s="46"/>
      <c r="AL516" s="46"/>
      <c r="AM516" s="17"/>
      <c r="AN516" s="539"/>
      <c r="AO516" s="91"/>
      <c r="AQ516" s="46"/>
      <c r="AR516" s="46"/>
      <c r="AS516" s="17"/>
      <c r="AT516" s="539"/>
      <c r="AU516" s="91"/>
      <c r="AW516" s="46"/>
      <c r="AX516" s="46"/>
      <c r="AY516" s="17"/>
      <c r="AZ516" s="539"/>
      <c r="BA516" s="91"/>
    </row>
    <row r="517" spans="1:53" ht="17.100000000000001" customHeight="1" x14ac:dyDescent="0.25">
      <c r="A517" s="68"/>
      <c r="B517" s="41" t="s">
        <v>306</v>
      </c>
      <c r="C517" s="69" t="s">
        <v>486</v>
      </c>
      <c r="D517" s="50"/>
      <c r="E517" s="70"/>
      <c r="F517" s="70"/>
      <c r="G517" s="70"/>
      <c r="H517" s="119"/>
      <c r="J517" s="71"/>
      <c r="K517" s="71"/>
      <c r="L517" s="71"/>
      <c r="M517" s="71"/>
      <c r="N517" s="71"/>
      <c r="O517" s="71"/>
      <c r="P517" s="71"/>
      <c r="Q517" s="71"/>
      <c r="R517" s="71"/>
      <c r="S517" s="71"/>
      <c r="T517" s="71"/>
      <c r="U517" s="71"/>
      <c r="V517" s="355"/>
      <c r="W517" s="377"/>
      <c r="X517" s="71"/>
      <c r="Y517" s="72"/>
      <c r="Z517" s="73"/>
      <c r="AA517" s="73"/>
      <c r="AB517" s="73"/>
      <c r="AC517" s="73"/>
      <c r="AE517" s="71"/>
      <c r="AF517" s="71"/>
      <c r="AG517" s="71"/>
      <c r="AH517" s="72"/>
      <c r="AI517" s="73"/>
      <c r="AK517" s="71"/>
      <c r="AL517" s="71"/>
      <c r="AM517" s="71"/>
      <c r="AN517" s="72"/>
      <c r="AO517" s="73"/>
      <c r="AQ517" s="71"/>
      <c r="AR517" s="71"/>
      <c r="AS517" s="71"/>
      <c r="AT517" s="72"/>
      <c r="AU517" s="73"/>
      <c r="AW517" s="71"/>
      <c r="AX517" s="71"/>
      <c r="AY517" s="71"/>
      <c r="AZ517" s="72"/>
      <c r="BA517" s="73"/>
    </row>
    <row r="518" spans="1:53" ht="17.100000000000001" customHeight="1" x14ac:dyDescent="0.25">
      <c r="A518" s="40"/>
      <c r="B518" s="40"/>
      <c r="C518" s="74" t="s">
        <v>308</v>
      </c>
      <c r="D518" s="85" t="s">
        <v>292</v>
      </c>
      <c r="E518" s="105"/>
      <c r="F518" s="105"/>
      <c r="G518" s="105"/>
      <c r="H518" s="119"/>
      <c r="I518" s="231"/>
      <c r="J518" s="111"/>
      <c r="K518" s="111"/>
      <c r="L518" s="111"/>
      <c r="M518" s="111"/>
      <c r="N518" s="60"/>
      <c r="O518" s="60"/>
      <c r="P518" s="17">
        <f t="shared" ref="P518:P528" si="627">SUM(N518:O518)</f>
        <v>0</v>
      </c>
      <c r="Q518" s="60"/>
      <c r="R518" s="60"/>
      <c r="S518" s="17">
        <f t="shared" ref="S518:S528" si="628">SUM(Q518:R518)</f>
        <v>0</v>
      </c>
      <c r="T518" s="60"/>
      <c r="U518" s="60"/>
      <c r="V518" s="359">
        <f t="shared" ref="V518:V528" si="629">SUM(T518:U518)</f>
        <v>0</v>
      </c>
      <c r="W518" s="391">
        <f t="shared" ref="W518:W528" si="630">J518+K518+N518+Q518+T518</f>
        <v>0</v>
      </c>
      <c r="X518" s="17">
        <f t="shared" ref="X518:X528" si="631">L518+O518+R518+U518</f>
        <v>0</v>
      </c>
      <c r="Y518" s="18">
        <f t="shared" ref="Y518:Y528" si="632">SUM(W518:X518)</f>
        <v>0</v>
      </c>
      <c r="Z518" s="19">
        <f t="shared" ref="Z518:Z528" si="633">IF(Y$533=0,0,Y518/Y$533)</f>
        <v>0</v>
      </c>
      <c r="AA518" s="19"/>
      <c r="AB518" s="19"/>
      <c r="AC518" s="20"/>
      <c r="AE518" s="111"/>
      <c r="AF518" s="111"/>
      <c r="AG518" s="111"/>
      <c r="AH518" s="112"/>
      <c r="AI518" s="113"/>
      <c r="AK518" s="111"/>
      <c r="AL518" s="111"/>
      <c r="AM518" s="111"/>
      <c r="AN518" s="112"/>
      <c r="AO518" s="113"/>
      <c r="AQ518" s="17"/>
      <c r="AR518" s="17"/>
      <c r="AS518" s="17"/>
      <c r="AT518" s="18">
        <f t="shared" ref="AT518:AT528" si="634">W518</f>
        <v>0</v>
      </c>
      <c r="AU518" s="19">
        <f t="shared" ref="AU518:AU526" si="635">IF(AT$533=0,0,AT518/AT$533)</f>
        <v>0</v>
      </c>
      <c r="AW518" s="17"/>
      <c r="AX518" s="17"/>
      <c r="AY518" s="17"/>
      <c r="AZ518" s="18">
        <f t="shared" ref="AZ518:AZ528" si="636">X518</f>
        <v>0</v>
      </c>
      <c r="BA518" s="19">
        <f t="shared" ref="BA518:BA526" si="637">IF(AZ$533=0,0,AZ518/AZ$533)</f>
        <v>0</v>
      </c>
    </row>
    <row r="519" spans="1:53" ht="17.100000000000001" customHeight="1" x14ac:dyDescent="0.25">
      <c r="A519" s="40"/>
      <c r="B519" s="40"/>
      <c r="C519" s="74" t="s">
        <v>309</v>
      </c>
      <c r="D519" s="146" t="s">
        <v>757</v>
      </c>
      <c r="E519" s="105"/>
      <c r="F519" s="105"/>
      <c r="G519" s="105"/>
      <c r="H519" s="119"/>
      <c r="I519" s="231"/>
      <c r="J519" s="111"/>
      <c r="K519" s="111"/>
      <c r="L519" s="111"/>
      <c r="M519" s="111"/>
      <c r="N519" s="61"/>
      <c r="O519" s="61"/>
      <c r="P519" s="17">
        <f t="shared" si="627"/>
        <v>0</v>
      </c>
      <c r="Q519" s="61"/>
      <c r="R519" s="61"/>
      <c r="S519" s="17">
        <f t="shared" si="628"/>
        <v>0</v>
      </c>
      <c r="T519" s="61"/>
      <c r="U519" s="61">
        <v>9</v>
      </c>
      <c r="V519" s="359">
        <f t="shared" si="629"/>
        <v>9</v>
      </c>
      <c r="W519" s="391">
        <f t="shared" si="630"/>
        <v>0</v>
      </c>
      <c r="X519" s="17">
        <f t="shared" si="631"/>
        <v>9</v>
      </c>
      <c r="Y519" s="18">
        <f t="shared" si="632"/>
        <v>9</v>
      </c>
      <c r="Z519" s="19">
        <f t="shared" si="633"/>
        <v>0.52941176470588236</v>
      </c>
      <c r="AA519" s="19"/>
      <c r="AB519" s="19"/>
      <c r="AC519" s="20"/>
      <c r="AE519" s="111"/>
      <c r="AF519" s="111"/>
      <c r="AG519" s="111"/>
      <c r="AH519" s="112"/>
      <c r="AI519" s="113"/>
      <c r="AK519" s="111"/>
      <c r="AL519" s="111"/>
      <c r="AM519" s="111"/>
      <c r="AN519" s="112"/>
      <c r="AO519" s="113"/>
      <c r="AQ519" s="17"/>
      <c r="AR519" s="17"/>
      <c r="AS519" s="17"/>
      <c r="AT519" s="18">
        <f t="shared" si="634"/>
        <v>0</v>
      </c>
      <c r="AU519" s="19">
        <f t="shared" si="635"/>
        <v>0</v>
      </c>
      <c r="AW519" s="17"/>
      <c r="AX519" s="17"/>
      <c r="AY519" s="17"/>
      <c r="AZ519" s="18">
        <f t="shared" si="636"/>
        <v>9</v>
      </c>
      <c r="BA519" s="19">
        <f t="shared" si="637"/>
        <v>0.6428571428571429</v>
      </c>
    </row>
    <row r="520" spans="1:53" ht="17.100000000000001" customHeight="1" x14ac:dyDescent="0.25">
      <c r="A520" s="40"/>
      <c r="B520" s="40"/>
      <c r="C520" s="74" t="s">
        <v>489</v>
      </c>
      <c r="D520" s="85" t="s">
        <v>300</v>
      </c>
      <c r="E520" s="105"/>
      <c r="F520" s="105"/>
      <c r="G520" s="105"/>
      <c r="H520" s="119"/>
      <c r="I520" s="231"/>
      <c r="J520" s="111"/>
      <c r="K520" s="111"/>
      <c r="L520" s="111"/>
      <c r="M520" s="111"/>
      <c r="N520" s="60"/>
      <c r="O520" s="60"/>
      <c r="P520" s="17">
        <f t="shared" ref="P520:P521" si="638">SUM(N520:O520)</f>
        <v>0</v>
      </c>
      <c r="Q520" s="60"/>
      <c r="R520" s="60"/>
      <c r="S520" s="17">
        <f t="shared" ref="S520:S521" si="639">SUM(Q520:R520)</f>
        <v>0</v>
      </c>
      <c r="T520" s="60"/>
      <c r="U520" s="60">
        <v>1</v>
      </c>
      <c r="V520" s="359">
        <f t="shared" ref="V520:V521" si="640">SUM(T520:U520)</f>
        <v>1</v>
      </c>
      <c r="W520" s="391">
        <f t="shared" si="630"/>
        <v>0</v>
      </c>
      <c r="X520" s="17">
        <f t="shared" si="631"/>
        <v>1</v>
      </c>
      <c r="Y520" s="18">
        <f t="shared" si="632"/>
        <v>1</v>
      </c>
      <c r="Z520" s="19">
        <f t="shared" si="633"/>
        <v>5.8823529411764705E-2</v>
      </c>
      <c r="AA520" s="19"/>
      <c r="AB520" s="19"/>
      <c r="AC520" s="20"/>
      <c r="AE520" s="111"/>
      <c r="AF520" s="111"/>
      <c r="AG520" s="111"/>
      <c r="AH520" s="112"/>
      <c r="AI520" s="113"/>
      <c r="AK520" s="111"/>
      <c r="AL520" s="111"/>
      <c r="AM520" s="111"/>
      <c r="AN520" s="112"/>
      <c r="AO520" s="113"/>
      <c r="AQ520" s="17"/>
      <c r="AR520" s="17"/>
      <c r="AS520" s="17"/>
      <c r="AT520" s="18">
        <f t="shared" si="634"/>
        <v>0</v>
      </c>
      <c r="AU520" s="19">
        <f t="shared" si="635"/>
        <v>0</v>
      </c>
      <c r="AW520" s="17"/>
      <c r="AX520" s="17"/>
      <c r="AY520" s="17"/>
      <c r="AZ520" s="18">
        <f t="shared" si="636"/>
        <v>1</v>
      </c>
      <c r="BA520" s="19">
        <f t="shared" si="637"/>
        <v>7.1428571428571425E-2</v>
      </c>
    </row>
    <row r="521" spans="1:53" ht="17.100000000000001" customHeight="1" x14ac:dyDescent="0.25">
      <c r="A521" s="40"/>
      <c r="B521" s="40"/>
      <c r="C521" s="74" t="s">
        <v>621</v>
      </c>
      <c r="D521" s="85" t="s">
        <v>670</v>
      </c>
      <c r="E521" s="105"/>
      <c r="F521" s="105"/>
      <c r="G521" s="105"/>
      <c r="H521" s="119"/>
      <c r="I521" s="231"/>
      <c r="J521" s="111"/>
      <c r="K521" s="111"/>
      <c r="L521" s="111"/>
      <c r="M521" s="111"/>
      <c r="N521" s="61"/>
      <c r="O521" s="61"/>
      <c r="P521" s="17">
        <f t="shared" si="638"/>
        <v>0</v>
      </c>
      <c r="Q521" s="61"/>
      <c r="R521" s="61"/>
      <c r="S521" s="17">
        <f t="shared" si="639"/>
        <v>0</v>
      </c>
      <c r="T521" s="61"/>
      <c r="U521" s="61"/>
      <c r="V521" s="359">
        <f t="shared" si="640"/>
        <v>0</v>
      </c>
      <c r="W521" s="391">
        <f t="shared" si="630"/>
        <v>0</v>
      </c>
      <c r="X521" s="17">
        <f t="shared" si="631"/>
        <v>0</v>
      </c>
      <c r="Y521" s="18">
        <f t="shared" si="632"/>
        <v>0</v>
      </c>
      <c r="Z521" s="19">
        <f t="shared" si="633"/>
        <v>0</v>
      </c>
      <c r="AA521" s="19"/>
      <c r="AB521" s="19"/>
      <c r="AC521" s="20"/>
      <c r="AE521" s="111"/>
      <c r="AF521" s="111"/>
      <c r="AG521" s="111"/>
      <c r="AH521" s="112"/>
      <c r="AI521" s="113"/>
      <c r="AK521" s="111"/>
      <c r="AL521" s="111"/>
      <c r="AM521" s="111"/>
      <c r="AN521" s="112"/>
      <c r="AO521" s="113"/>
      <c r="AQ521" s="17"/>
      <c r="AR521" s="17"/>
      <c r="AS521" s="17"/>
      <c r="AT521" s="18">
        <f t="shared" si="634"/>
        <v>0</v>
      </c>
      <c r="AU521" s="19">
        <f t="shared" si="635"/>
        <v>0</v>
      </c>
      <c r="AW521" s="17"/>
      <c r="AX521" s="17"/>
      <c r="AY521" s="17"/>
      <c r="AZ521" s="18">
        <f t="shared" si="636"/>
        <v>0</v>
      </c>
      <c r="BA521" s="19">
        <f t="shared" si="637"/>
        <v>0</v>
      </c>
    </row>
    <row r="522" spans="1:53" ht="17.100000000000001" customHeight="1" x14ac:dyDescent="0.25">
      <c r="A522" s="40"/>
      <c r="B522" s="40"/>
      <c r="C522" s="74" t="s">
        <v>622</v>
      </c>
      <c r="D522" s="85" t="s">
        <v>671</v>
      </c>
      <c r="E522" s="105"/>
      <c r="F522" s="105"/>
      <c r="G522" s="105"/>
      <c r="H522" s="119"/>
      <c r="I522" s="231"/>
      <c r="J522" s="111"/>
      <c r="K522" s="111"/>
      <c r="L522" s="111"/>
      <c r="M522" s="111"/>
      <c r="N522" s="60"/>
      <c r="O522" s="60"/>
      <c r="P522" s="17">
        <f t="shared" si="627"/>
        <v>0</v>
      </c>
      <c r="Q522" s="60"/>
      <c r="R522" s="60"/>
      <c r="S522" s="17">
        <f t="shared" si="628"/>
        <v>0</v>
      </c>
      <c r="T522" s="60"/>
      <c r="U522" s="60"/>
      <c r="V522" s="359">
        <f t="shared" si="629"/>
        <v>0</v>
      </c>
      <c r="W522" s="391">
        <f t="shared" si="630"/>
        <v>0</v>
      </c>
      <c r="X522" s="17">
        <f t="shared" si="631"/>
        <v>0</v>
      </c>
      <c r="Y522" s="18">
        <f t="shared" si="632"/>
        <v>0</v>
      </c>
      <c r="Z522" s="19">
        <f t="shared" si="633"/>
        <v>0</v>
      </c>
      <c r="AA522" s="19"/>
      <c r="AB522" s="19"/>
      <c r="AC522" s="20"/>
      <c r="AE522" s="111"/>
      <c r="AF522" s="111"/>
      <c r="AG522" s="111"/>
      <c r="AH522" s="112"/>
      <c r="AI522" s="113"/>
      <c r="AK522" s="111"/>
      <c r="AL522" s="111"/>
      <c r="AM522" s="111"/>
      <c r="AN522" s="112"/>
      <c r="AO522" s="113"/>
      <c r="AQ522" s="17"/>
      <c r="AR522" s="17"/>
      <c r="AS522" s="17"/>
      <c r="AT522" s="18">
        <f t="shared" si="634"/>
        <v>0</v>
      </c>
      <c r="AU522" s="19">
        <f t="shared" si="635"/>
        <v>0</v>
      </c>
      <c r="AW522" s="17"/>
      <c r="AX522" s="17"/>
      <c r="AY522" s="17"/>
      <c r="AZ522" s="18">
        <f t="shared" si="636"/>
        <v>0</v>
      </c>
      <c r="BA522" s="19">
        <f t="shared" si="637"/>
        <v>0</v>
      </c>
    </row>
    <row r="523" spans="1:53" ht="17.100000000000001" customHeight="1" x14ac:dyDescent="0.25">
      <c r="A523" s="40"/>
      <c r="B523" s="40"/>
      <c r="C523" s="74" t="s">
        <v>623</v>
      </c>
      <c r="D523" s="85" t="s">
        <v>302</v>
      </c>
      <c r="E523" s="105"/>
      <c r="F523" s="105"/>
      <c r="G523" s="105"/>
      <c r="H523" s="119"/>
      <c r="I523" s="231"/>
      <c r="J523" s="111"/>
      <c r="K523" s="111"/>
      <c r="L523" s="111"/>
      <c r="M523" s="111"/>
      <c r="N523" s="61"/>
      <c r="O523" s="61"/>
      <c r="P523" s="17">
        <f t="shared" si="627"/>
        <v>0</v>
      </c>
      <c r="Q523" s="61"/>
      <c r="R523" s="61"/>
      <c r="S523" s="17">
        <f t="shared" si="628"/>
        <v>0</v>
      </c>
      <c r="T523" s="61"/>
      <c r="U523" s="61"/>
      <c r="V523" s="359">
        <f t="shared" si="629"/>
        <v>0</v>
      </c>
      <c r="W523" s="391">
        <f t="shared" si="630"/>
        <v>0</v>
      </c>
      <c r="X523" s="17">
        <f t="shared" si="631"/>
        <v>0</v>
      </c>
      <c r="Y523" s="18">
        <f t="shared" si="632"/>
        <v>0</v>
      </c>
      <c r="Z523" s="19">
        <f t="shared" si="633"/>
        <v>0</v>
      </c>
      <c r="AA523" s="19"/>
      <c r="AB523" s="19"/>
      <c r="AC523" s="20"/>
      <c r="AE523" s="111"/>
      <c r="AF523" s="111"/>
      <c r="AG523" s="111"/>
      <c r="AH523" s="112"/>
      <c r="AI523" s="113"/>
      <c r="AK523" s="111"/>
      <c r="AL523" s="111"/>
      <c r="AM523" s="111"/>
      <c r="AN523" s="112"/>
      <c r="AO523" s="113"/>
      <c r="AQ523" s="17"/>
      <c r="AR523" s="17"/>
      <c r="AS523" s="17"/>
      <c r="AT523" s="18">
        <f t="shared" si="634"/>
        <v>0</v>
      </c>
      <c r="AU523" s="19">
        <f t="shared" si="635"/>
        <v>0</v>
      </c>
      <c r="AW523" s="17"/>
      <c r="AX523" s="17"/>
      <c r="AY523" s="17"/>
      <c r="AZ523" s="18">
        <f t="shared" si="636"/>
        <v>0</v>
      </c>
      <c r="BA523" s="19">
        <f t="shared" si="637"/>
        <v>0</v>
      </c>
    </row>
    <row r="524" spans="1:53" ht="17.100000000000001" customHeight="1" x14ac:dyDescent="0.25">
      <c r="A524" s="40"/>
      <c r="B524" s="40"/>
      <c r="C524" s="74" t="s">
        <v>624</v>
      </c>
      <c r="D524" s="85" t="s">
        <v>487</v>
      </c>
      <c r="E524" s="75"/>
      <c r="F524" s="75"/>
      <c r="G524" s="75"/>
      <c r="H524" s="540"/>
      <c r="I524" s="229"/>
      <c r="J524" s="111"/>
      <c r="K524" s="111"/>
      <c r="L524" s="111"/>
      <c r="M524" s="111"/>
      <c r="N524" s="60"/>
      <c r="O524" s="60"/>
      <c r="P524" s="17">
        <f t="shared" si="627"/>
        <v>0</v>
      </c>
      <c r="Q524" s="60">
        <v>1</v>
      </c>
      <c r="R524" s="60">
        <v>4</v>
      </c>
      <c r="S524" s="17">
        <f t="shared" si="628"/>
        <v>5</v>
      </c>
      <c r="T524" s="60"/>
      <c r="U524" s="60"/>
      <c r="V524" s="359">
        <f t="shared" si="629"/>
        <v>0</v>
      </c>
      <c r="W524" s="391">
        <f t="shared" si="630"/>
        <v>1</v>
      </c>
      <c r="X524" s="17">
        <f t="shared" si="631"/>
        <v>4</v>
      </c>
      <c r="Y524" s="18">
        <f t="shared" si="632"/>
        <v>5</v>
      </c>
      <c r="Z524" s="19">
        <f t="shared" si="633"/>
        <v>0.29411764705882354</v>
      </c>
      <c r="AA524" s="19"/>
      <c r="AB524" s="19"/>
      <c r="AC524" s="20"/>
      <c r="AE524" s="111"/>
      <c r="AF524" s="111"/>
      <c r="AG524" s="111"/>
      <c r="AH524" s="112"/>
      <c r="AI524" s="113"/>
      <c r="AK524" s="111"/>
      <c r="AL524" s="111"/>
      <c r="AM524" s="111"/>
      <c r="AN524" s="112"/>
      <c r="AO524" s="113"/>
      <c r="AQ524" s="17"/>
      <c r="AR524" s="17"/>
      <c r="AS524" s="17"/>
      <c r="AT524" s="18">
        <f t="shared" si="634"/>
        <v>1</v>
      </c>
      <c r="AU524" s="19">
        <f t="shared" si="635"/>
        <v>1</v>
      </c>
      <c r="AW524" s="17"/>
      <c r="AX524" s="17"/>
      <c r="AY524" s="17"/>
      <c r="AZ524" s="18">
        <f t="shared" si="636"/>
        <v>4</v>
      </c>
      <c r="BA524" s="19">
        <f t="shared" si="637"/>
        <v>0.2857142857142857</v>
      </c>
    </row>
    <row r="525" spans="1:53" ht="17.100000000000001" customHeight="1" x14ac:dyDescent="0.25">
      <c r="A525" s="40"/>
      <c r="B525" s="40"/>
      <c r="C525" s="74" t="s">
        <v>625</v>
      </c>
      <c r="D525" s="85" t="s">
        <v>488</v>
      </c>
      <c r="E525" s="542"/>
      <c r="F525" s="105"/>
      <c r="G525" s="105"/>
      <c r="H525" s="119"/>
      <c r="I525" s="231"/>
      <c r="J525" s="111"/>
      <c r="K525" s="111"/>
      <c r="L525" s="111"/>
      <c r="M525" s="111"/>
      <c r="N525" s="61"/>
      <c r="O525" s="61"/>
      <c r="P525" s="17">
        <f t="shared" si="627"/>
        <v>0</v>
      </c>
      <c r="Q525" s="61"/>
      <c r="R525" s="61"/>
      <c r="S525" s="17">
        <f t="shared" si="628"/>
        <v>0</v>
      </c>
      <c r="T525" s="61"/>
      <c r="U525" s="61"/>
      <c r="V525" s="359">
        <f t="shared" si="629"/>
        <v>0</v>
      </c>
      <c r="W525" s="391">
        <f t="shared" si="630"/>
        <v>0</v>
      </c>
      <c r="X525" s="17">
        <f t="shared" si="631"/>
        <v>0</v>
      </c>
      <c r="Y525" s="18">
        <f t="shared" si="632"/>
        <v>0</v>
      </c>
      <c r="Z525" s="19">
        <f t="shared" si="633"/>
        <v>0</v>
      </c>
      <c r="AA525" s="19"/>
      <c r="AB525" s="19"/>
      <c r="AC525" s="20"/>
      <c r="AE525" s="111"/>
      <c r="AF525" s="111"/>
      <c r="AG525" s="111"/>
      <c r="AH525" s="112"/>
      <c r="AI525" s="113"/>
      <c r="AK525" s="111"/>
      <c r="AL525" s="111"/>
      <c r="AM525" s="111"/>
      <c r="AN525" s="112"/>
      <c r="AO525" s="113"/>
      <c r="AQ525" s="17"/>
      <c r="AR525" s="17"/>
      <c r="AS525" s="17"/>
      <c r="AT525" s="18">
        <f t="shared" si="634"/>
        <v>0</v>
      </c>
      <c r="AU525" s="19">
        <f t="shared" si="635"/>
        <v>0</v>
      </c>
      <c r="AW525" s="17"/>
      <c r="AX525" s="17"/>
      <c r="AY525" s="17"/>
      <c r="AZ525" s="18">
        <f t="shared" si="636"/>
        <v>0</v>
      </c>
      <c r="BA525" s="19">
        <f t="shared" si="637"/>
        <v>0</v>
      </c>
    </row>
    <row r="526" spans="1:53" ht="17.100000000000001" customHeight="1" x14ac:dyDescent="0.25">
      <c r="A526" s="40"/>
      <c r="B526" s="40"/>
      <c r="C526" s="74" t="s">
        <v>668</v>
      </c>
      <c r="D526" s="85" t="s">
        <v>304</v>
      </c>
      <c r="E526" s="542"/>
      <c r="F526" s="105"/>
      <c r="G526" s="105"/>
      <c r="H526" s="119"/>
      <c r="I526" s="231"/>
      <c r="J526" s="111"/>
      <c r="K526" s="111"/>
      <c r="L526" s="111"/>
      <c r="M526" s="111"/>
      <c r="N526" s="60"/>
      <c r="O526" s="60"/>
      <c r="P526" s="17">
        <f t="shared" si="627"/>
        <v>0</v>
      </c>
      <c r="Q526" s="60"/>
      <c r="R526" s="60"/>
      <c r="S526" s="17">
        <f t="shared" si="628"/>
        <v>0</v>
      </c>
      <c r="T526" s="60"/>
      <c r="U526" s="60"/>
      <c r="V526" s="359">
        <f t="shared" si="629"/>
        <v>0</v>
      </c>
      <c r="W526" s="391">
        <f t="shared" si="630"/>
        <v>0</v>
      </c>
      <c r="X526" s="17">
        <f t="shared" si="631"/>
        <v>0</v>
      </c>
      <c r="Y526" s="18">
        <f t="shared" si="632"/>
        <v>0</v>
      </c>
      <c r="Z526" s="19">
        <f t="shared" si="633"/>
        <v>0</v>
      </c>
      <c r="AA526" s="19"/>
      <c r="AB526" s="19"/>
      <c r="AC526" s="20"/>
      <c r="AE526" s="111"/>
      <c r="AF526" s="111"/>
      <c r="AG526" s="111"/>
      <c r="AH526" s="112"/>
      <c r="AI526" s="113"/>
      <c r="AK526" s="111"/>
      <c r="AL526" s="111"/>
      <c r="AM526" s="111"/>
      <c r="AN526" s="112"/>
      <c r="AO526" s="113"/>
      <c r="AQ526" s="17"/>
      <c r="AR526" s="17"/>
      <c r="AS526" s="17"/>
      <c r="AT526" s="18">
        <f t="shared" si="634"/>
        <v>0</v>
      </c>
      <c r="AU526" s="19">
        <f t="shared" si="635"/>
        <v>0</v>
      </c>
      <c r="AW526" s="17"/>
      <c r="AX526" s="17"/>
      <c r="AY526" s="17"/>
      <c r="AZ526" s="18">
        <f t="shared" si="636"/>
        <v>0</v>
      </c>
      <c r="BA526" s="19">
        <f t="shared" si="637"/>
        <v>0</v>
      </c>
    </row>
    <row r="527" spans="1:53" ht="17.100000000000001" customHeight="1" x14ac:dyDescent="0.25">
      <c r="A527" s="40"/>
      <c r="B527" s="40"/>
      <c r="C527" s="74" t="s">
        <v>669</v>
      </c>
      <c r="D527" s="85" t="s">
        <v>758</v>
      </c>
      <c r="E527" s="542"/>
      <c r="F527" s="105"/>
      <c r="G527" s="105"/>
      <c r="H527" s="119"/>
      <c r="I527" s="231"/>
      <c r="J527" s="111"/>
      <c r="K527" s="111"/>
      <c r="L527" s="111"/>
      <c r="M527" s="111"/>
      <c r="N527" s="61"/>
      <c r="O527" s="61">
        <v>2</v>
      </c>
      <c r="P527" s="17">
        <f t="shared" ref="P527" si="641">SUM(N527:O527)</f>
        <v>2</v>
      </c>
      <c r="Q527" s="61"/>
      <c r="R527" s="61"/>
      <c r="S527" s="17">
        <f t="shared" ref="S527" si="642">SUM(Q527:R527)</f>
        <v>0</v>
      </c>
      <c r="T527" s="61"/>
      <c r="U527" s="61"/>
      <c r="V527" s="359">
        <f t="shared" ref="V527" si="643">SUM(T527:U527)</f>
        <v>0</v>
      </c>
      <c r="W527" s="391">
        <f t="shared" si="630"/>
        <v>0</v>
      </c>
      <c r="X527" s="17">
        <f t="shared" si="631"/>
        <v>2</v>
      </c>
      <c r="Y527" s="18">
        <f t="shared" si="632"/>
        <v>2</v>
      </c>
      <c r="Z527" s="19">
        <f t="shared" si="633"/>
        <v>0.11764705882352941</v>
      </c>
      <c r="AA527" s="19"/>
      <c r="AB527" s="19"/>
      <c r="AC527" s="20"/>
      <c r="AE527" s="111"/>
      <c r="AF527" s="111"/>
      <c r="AG527" s="111"/>
      <c r="AH527" s="112"/>
      <c r="AI527" s="113"/>
      <c r="AK527" s="111"/>
      <c r="AL527" s="111"/>
      <c r="AM527" s="111"/>
      <c r="AN527" s="112"/>
      <c r="AO527" s="113"/>
      <c r="AQ527" s="17"/>
      <c r="AR527" s="17"/>
      <c r="AS527" s="17"/>
      <c r="AT527" s="18"/>
      <c r="AU527" s="19"/>
      <c r="AW527" s="17"/>
      <c r="AX527" s="17"/>
      <c r="AY527" s="17"/>
      <c r="AZ527" s="18"/>
      <c r="BA527" s="19"/>
    </row>
    <row r="528" spans="1:53" ht="17.100000000000001" customHeight="1" x14ac:dyDescent="0.25">
      <c r="A528" s="40"/>
      <c r="B528" s="40"/>
      <c r="C528" s="74" t="s">
        <v>756</v>
      </c>
      <c r="D528" s="85" t="s">
        <v>305</v>
      </c>
      <c r="E528" s="542"/>
      <c r="F528" s="105"/>
      <c r="G528" s="105"/>
      <c r="H528" s="119"/>
      <c r="I528" s="231"/>
      <c r="J528" s="111"/>
      <c r="K528" s="111"/>
      <c r="L528" s="111"/>
      <c r="M528" s="111"/>
      <c r="N528" s="111">
        <f t="shared" ref="N528:U528" si="644">SUM(N529:N532)</f>
        <v>0</v>
      </c>
      <c r="O528" s="111">
        <f t="shared" si="644"/>
        <v>0</v>
      </c>
      <c r="P528" s="111">
        <f t="shared" si="627"/>
        <v>0</v>
      </c>
      <c r="Q528" s="111">
        <f t="shared" si="644"/>
        <v>0</v>
      </c>
      <c r="R528" s="111">
        <f t="shared" si="644"/>
        <v>0</v>
      </c>
      <c r="S528" s="111">
        <f t="shared" si="628"/>
        <v>0</v>
      </c>
      <c r="T528" s="111">
        <f t="shared" si="644"/>
        <v>0</v>
      </c>
      <c r="U528" s="111">
        <f t="shared" si="644"/>
        <v>0</v>
      </c>
      <c r="V528" s="358">
        <f t="shared" si="629"/>
        <v>0</v>
      </c>
      <c r="W528" s="380">
        <f t="shared" si="630"/>
        <v>0</v>
      </c>
      <c r="X528" s="111">
        <f t="shared" si="631"/>
        <v>0</v>
      </c>
      <c r="Y528" s="545">
        <f t="shared" si="632"/>
        <v>0</v>
      </c>
      <c r="Z528" s="131">
        <f t="shared" si="633"/>
        <v>0</v>
      </c>
      <c r="AA528" s="131"/>
      <c r="AB528" s="131"/>
      <c r="AC528" s="113"/>
      <c r="AE528" s="111"/>
      <c r="AF528" s="111"/>
      <c r="AG528" s="111"/>
      <c r="AH528" s="112"/>
      <c r="AI528" s="113"/>
      <c r="AK528" s="111"/>
      <c r="AL528" s="111"/>
      <c r="AM528" s="111"/>
      <c r="AN528" s="112"/>
      <c r="AO528" s="113"/>
      <c r="AQ528" s="111"/>
      <c r="AR528" s="111"/>
      <c r="AS528" s="111"/>
      <c r="AT528" s="545">
        <f t="shared" si="634"/>
        <v>0</v>
      </c>
      <c r="AU528" s="131">
        <f>IF(AT$533=0,0,AT528/AT$533)</f>
        <v>0</v>
      </c>
      <c r="AW528" s="111"/>
      <c r="AX528" s="111"/>
      <c r="AY528" s="111"/>
      <c r="AZ528" s="545">
        <f t="shared" si="636"/>
        <v>0</v>
      </c>
      <c r="BA528" s="131">
        <f>IF(AZ$533=0,0,AZ528/AZ$533)</f>
        <v>0</v>
      </c>
    </row>
    <row r="529" spans="1:53" ht="17.100000000000001" customHeight="1" x14ac:dyDescent="0.25">
      <c r="A529" s="40"/>
      <c r="B529" s="40"/>
      <c r="C529" s="74"/>
      <c r="D529" s="168"/>
      <c r="E529" s="169"/>
      <c r="F529" s="169"/>
      <c r="G529" s="169"/>
      <c r="H529" s="17"/>
      <c r="I529" s="594"/>
      <c r="J529" s="111"/>
      <c r="K529" s="111"/>
      <c r="L529" s="111"/>
      <c r="M529" s="111"/>
      <c r="N529" s="60"/>
      <c r="O529" s="60"/>
      <c r="P529" s="17"/>
      <c r="Q529" s="60"/>
      <c r="R529" s="60"/>
      <c r="S529" s="17"/>
      <c r="T529" s="60"/>
      <c r="U529" s="60"/>
      <c r="V529" s="359"/>
      <c r="W529" s="391"/>
      <c r="X529" s="17"/>
      <c r="Y529" s="86"/>
      <c r="Z529" s="20"/>
      <c r="AA529" s="20"/>
      <c r="AB529" s="20"/>
      <c r="AC529" s="20"/>
      <c r="AE529" s="17"/>
      <c r="AF529" s="17"/>
      <c r="AG529" s="17"/>
      <c r="AH529" s="86"/>
      <c r="AI529" s="20"/>
      <c r="AK529" s="17"/>
      <c r="AL529" s="17"/>
      <c r="AM529" s="17"/>
      <c r="AN529" s="86"/>
      <c r="AO529" s="20"/>
      <c r="AQ529" s="17"/>
      <c r="AR529" s="17"/>
      <c r="AS529" s="17"/>
      <c r="AT529" s="86"/>
      <c r="AU529" s="20"/>
      <c r="AW529" s="17"/>
      <c r="AX529" s="17"/>
      <c r="AY529" s="17"/>
      <c r="AZ529" s="86"/>
      <c r="BA529" s="20"/>
    </row>
    <row r="530" spans="1:53" ht="17.100000000000001" customHeight="1" x14ac:dyDescent="0.25">
      <c r="A530" s="40"/>
      <c r="B530" s="40"/>
      <c r="C530" s="74"/>
      <c r="D530" s="170"/>
      <c r="E530" s="171"/>
      <c r="F530" s="171"/>
      <c r="G530" s="171"/>
      <c r="H530" s="17"/>
      <c r="I530" s="594"/>
      <c r="J530" s="111"/>
      <c r="K530" s="111"/>
      <c r="L530" s="111"/>
      <c r="M530" s="111"/>
      <c r="N530" s="61"/>
      <c r="O530" s="61"/>
      <c r="P530" s="17"/>
      <c r="Q530" s="61"/>
      <c r="R530" s="61"/>
      <c r="S530" s="17"/>
      <c r="T530" s="61"/>
      <c r="U530" s="61"/>
      <c r="V530" s="359"/>
      <c r="W530" s="391"/>
      <c r="X530" s="17"/>
      <c r="Y530" s="86"/>
      <c r="Z530" s="20"/>
      <c r="AA530" s="20"/>
      <c r="AB530" s="20"/>
      <c r="AC530" s="20"/>
      <c r="AE530" s="17"/>
      <c r="AF530" s="17"/>
      <c r="AG530" s="17"/>
      <c r="AH530" s="86"/>
      <c r="AI530" s="20"/>
      <c r="AK530" s="17"/>
      <c r="AL530" s="17"/>
      <c r="AM530" s="17"/>
      <c r="AN530" s="86"/>
      <c r="AO530" s="20"/>
      <c r="AQ530" s="17"/>
      <c r="AR530" s="17"/>
      <c r="AS530" s="17"/>
      <c r="AT530" s="86"/>
      <c r="AU530" s="20"/>
      <c r="AW530" s="17"/>
      <c r="AX530" s="17"/>
      <c r="AY530" s="17"/>
      <c r="AZ530" s="86"/>
      <c r="BA530" s="20"/>
    </row>
    <row r="531" spans="1:53" ht="17.100000000000001" customHeight="1" x14ac:dyDescent="0.25">
      <c r="A531" s="40"/>
      <c r="B531" s="40"/>
      <c r="C531" s="74"/>
      <c r="D531" s="168"/>
      <c r="E531" s="169"/>
      <c r="F531" s="169"/>
      <c r="G531" s="169"/>
      <c r="H531" s="17"/>
      <c r="I531" s="594"/>
      <c r="J531" s="111"/>
      <c r="K531" s="111"/>
      <c r="L531" s="111"/>
      <c r="M531" s="111"/>
      <c r="N531" s="60"/>
      <c r="O531" s="60"/>
      <c r="P531" s="17"/>
      <c r="Q531" s="60"/>
      <c r="R531" s="60"/>
      <c r="S531" s="17"/>
      <c r="T531" s="60"/>
      <c r="U531" s="60"/>
      <c r="V531" s="359"/>
      <c r="W531" s="391"/>
      <c r="X531" s="17"/>
      <c r="Y531" s="86"/>
      <c r="Z531" s="20"/>
      <c r="AA531" s="20"/>
      <c r="AB531" s="20"/>
      <c r="AC531" s="20"/>
      <c r="AE531" s="17"/>
      <c r="AF531" s="17"/>
      <c r="AG531" s="17"/>
      <c r="AH531" s="86"/>
      <c r="AI531" s="20"/>
      <c r="AK531" s="17"/>
      <c r="AL531" s="17"/>
      <c r="AM531" s="17"/>
      <c r="AN531" s="86"/>
      <c r="AO531" s="20"/>
      <c r="AQ531" s="17"/>
      <c r="AR531" s="17"/>
      <c r="AS531" s="17"/>
      <c r="AT531" s="86"/>
      <c r="AU531" s="20"/>
      <c r="AW531" s="17"/>
      <c r="AX531" s="17"/>
      <c r="AY531" s="17"/>
      <c r="AZ531" s="86"/>
      <c r="BA531" s="20"/>
    </row>
    <row r="532" spans="1:53" ht="17.100000000000001" customHeight="1" x14ac:dyDescent="0.25">
      <c r="A532" s="40"/>
      <c r="B532" s="40"/>
      <c r="C532" s="74"/>
      <c r="D532" s="170"/>
      <c r="E532" s="171"/>
      <c r="F532" s="171"/>
      <c r="G532" s="171"/>
      <c r="H532" s="17"/>
      <c r="I532" s="594"/>
      <c r="J532" s="111"/>
      <c r="K532" s="111"/>
      <c r="L532" s="111"/>
      <c r="M532" s="111"/>
      <c r="N532" s="61"/>
      <c r="O532" s="61"/>
      <c r="P532" s="17"/>
      <c r="Q532" s="61"/>
      <c r="R532" s="61"/>
      <c r="S532" s="17"/>
      <c r="T532" s="61"/>
      <c r="U532" s="61"/>
      <c r="V532" s="359"/>
      <c r="W532" s="391"/>
      <c r="X532" s="17"/>
      <c r="Y532" s="86"/>
      <c r="Z532" s="20"/>
      <c r="AA532" s="20"/>
      <c r="AB532" s="20"/>
      <c r="AC532" s="20"/>
      <c r="AE532" s="17"/>
      <c r="AF532" s="17"/>
      <c r="AG532" s="17"/>
      <c r="AH532" s="86"/>
      <c r="AI532" s="20"/>
      <c r="AK532" s="17"/>
      <c r="AL532" s="17"/>
      <c r="AM532" s="17"/>
      <c r="AN532" s="86"/>
      <c r="AO532" s="20"/>
      <c r="AQ532" s="17"/>
      <c r="AR532" s="17"/>
      <c r="AS532" s="17"/>
      <c r="AT532" s="86"/>
      <c r="AU532" s="20"/>
      <c r="AW532" s="17"/>
      <c r="AX532" s="17"/>
      <c r="AY532" s="17"/>
      <c r="AZ532" s="86"/>
      <c r="BA532" s="20"/>
    </row>
    <row r="533" spans="1:53" ht="17.100000000000001" customHeight="1" x14ac:dyDescent="0.25">
      <c r="A533" s="40"/>
      <c r="B533" s="40"/>
      <c r="C533" s="77"/>
      <c r="D533" s="134"/>
      <c r="E533" s="134"/>
      <c r="F533" s="134"/>
      <c r="G533" s="134"/>
      <c r="H533" s="540"/>
      <c r="I533" s="229"/>
      <c r="J533" s="80"/>
      <c r="K533" s="80"/>
      <c r="L533" s="81"/>
      <c r="M533" s="81"/>
      <c r="N533" s="81">
        <f>SUM(N518:N528)</f>
        <v>0</v>
      </c>
      <c r="O533" s="81">
        <f t="shared" ref="O533:V533" si="645">SUM(O518:O528)</f>
        <v>2</v>
      </c>
      <c r="P533" s="82">
        <f t="shared" si="645"/>
        <v>2</v>
      </c>
      <c r="Q533" s="81">
        <f>SUM(Q518:Q528)</f>
        <v>1</v>
      </c>
      <c r="R533" s="81">
        <f t="shared" si="645"/>
        <v>4</v>
      </c>
      <c r="S533" s="82">
        <f t="shared" si="645"/>
        <v>5</v>
      </c>
      <c r="T533" s="81">
        <f>SUM(T518:T528)</f>
        <v>0</v>
      </c>
      <c r="U533" s="81">
        <f t="shared" si="645"/>
        <v>10</v>
      </c>
      <c r="V533" s="360">
        <f t="shared" si="645"/>
        <v>10</v>
      </c>
      <c r="W533" s="381">
        <f>SUM(W518:W528)</f>
        <v>1</v>
      </c>
      <c r="X533" s="82">
        <f t="shared" ref="X533:Y533" si="646">SUM(X518:X528)</f>
        <v>16</v>
      </c>
      <c r="Y533" s="82">
        <f t="shared" si="646"/>
        <v>17</v>
      </c>
      <c r="Z533" s="205">
        <f t="shared" ref="Z533" si="647">IF(Y$533=0,0,Y533/Y$533)</f>
        <v>1</v>
      </c>
      <c r="AA533" s="205"/>
      <c r="AB533" s="205"/>
      <c r="AC533" s="83"/>
      <c r="AE533" s="80"/>
      <c r="AF533" s="80"/>
      <c r="AG533" s="81"/>
      <c r="AH533" s="82"/>
      <c r="AI533" s="66"/>
      <c r="AK533" s="80"/>
      <c r="AL533" s="80"/>
      <c r="AM533" s="81"/>
      <c r="AN533" s="82"/>
      <c r="AO533" s="66"/>
      <c r="AQ533" s="80"/>
      <c r="AR533" s="80"/>
      <c r="AS533" s="81"/>
      <c r="AT533" s="82">
        <f>SUM(AT518:AT528)</f>
        <v>1</v>
      </c>
      <c r="AU533" s="66">
        <f>IF(AT$533=0,0,AT533/AT$533)</f>
        <v>1</v>
      </c>
      <c r="AW533" s="80"/>
      <c r="AX533" s="80"/>
      <c r="AY533" s="81"/>
      <c r="AZ533" s="82">
        <f>SUM(AZ518:AZ528)</f>
        <v>14</v>
      </c>
      <c r="BA533" s="66">
        <f>IF(AZ$533=0,0,AZ533/AZ$533)</f>
        <v>1</v>
      </c>
    </row>
    <row r="534" spans="1:53" ht="17.100000000000001" customHeight="1" x14ac:dyDescent="0.25">
      <c r="A534" s="68"/>
      <c r="B534" s="41" t="s">
        <v>310</v>
      </c>
      <c r="C534" s="49" t="s">
        <v>307</v>
      </c>
      <c r="D534" s="50"/>
      <c r="E534" s="70"/>
      <c r="F534" s="70"/>
      <c r="G534" s="70"/>
      <c r="H534" s="119"/>
      <c r="J534" s="71"/>
      <c r="K534" s="71"/>
      <c r="L534" s="71"/>
      <c r="M534" s="71"/>
      <c r="N534" s="71"/>
      <c r="O534" s="71"/>
      <c r="P534" s="71"/>
      <c r="Q534" s="71"/>
      <c r="R534" s="71"/>
      <c r="S534" s="71"/>
      <c r="T534" s="71"/>
      <c r="U534" s="71"/>
      <c r="V534" s="355"/>
      <c r="W534" s="377"/>
      <c r="X534" s="71"/>
      <c r="Y534" s="72"/>
      <c r="Z534" s="73"/>
      <c r="AA534" s="73"/>
      <c r="AB534" s="73"/>
      <c r="AC534" s="73"/>
      <c r="AE534" s="71"/>
      <c r="AF534" s="71"/>
      <c r="AG534" s="71"/>
      <c r="AH534" s="72"/>
      <c r="AI534" s="73"/>
      <c r="AK534" s="71"/>
      <c r="AL534" s="71"/>
      <c r="AM534" s="71"/>
      <c r="AN534" s="72"/>
      <c r="AO534" s="73"/>
      <c r="AQ534" s="71"/>
      <c r="AR534" s="71"/>
      <c r="AS534" s="71"/>
      <c r="AT534" s="72"/>
      <c r="AU534" s="73"/>
      <c r="AW534" s="71"/>
      <c r="AX534" s="71"/>
      <c r="AY534" s="71"/>
      <c r="AZ534" s="72"/>
      <c r="BA534" s="73"/>
    </row>
    <row r="535" spans="1:53" ht="17.100000000000001" customHeight="1" x14ac:dyDescent="0.25">
      <c r="A535" s="119"/>
      <c r="B535" s="119"/>
      <c r="C535" s="56" t="s">
        <v>311</v>
      </c>
      <c r="D535" s="146" t="s">
        <v>9</v>
      </c>
      <c r="E535" s="105"/>
      <c r="F535" s="105"/>
      <c r="G535" s="105"/>
      <c r="H535" s="119"/>
      <c r="I535" s="231"/>
      <c r="J535" s="111"/>
      <c r="K535" s="111"/>
      <c r="L535" s="111"/>
      <c r="M535" s="111"/>
      <c r="N535" s="60">
        <v>1</v>
      </c>
      <c r="O535" s="60">
        <v>5</v>
      </c>
      <c r="P535" s="17">
        <f t="shared" ref="P535:P537" si="648">SUM(N535:O535)</f>
        <v>6</v>
      </c>
      <c r="Q535" s="60">
        <v>1</v>
      </c>
      <c r="R535" s="60">
        <v>4</v>
      </c>
      <c r="S535" s="17">
        <f t="shared" ref="S535:S537" si="649">SUM(Q535:R535)</f>
        <v>5</v>
      </c>
      <c r="T535" s="60"/>
      <c r="U535" s="60">
        <v>10</v>
      </c>
      <c r="V535" s="359">
        <f t="shared" ref="V535:V537" si="650">SUM(T535:U535)</f>
        <v>10</v>
      </c>
      <c r="W535" s="391">
        <f t="shared" ref="W535:W537" si="651">J535+K535+N535+Q535+T535</f>
        <v>2</v>
      </c>
      <c r="X535" s="17">
        <f t="shared" ref="X535:X537" si="652">L535+O535+R535+U535</f>
        <v>19</v>
      </c>
      <c r="Y535" s="18">
        <f>SUM(W535:X535)</f>
        <v>21</v>
      </c>
      <c r="Z535" s="19">
        <f>IF(Y$538=0,0,Y535/Y$538)</f>
        <v>1</v>
      </c>
      <c r="AA535" s="19"/>
      <c r="AB535" s="19"/>
      <c r="AC535" s="20"/>
      <c r="AE535" s="111"/>
      <c r="AF535" s="111"/>
      <c r="AG535" s="111"/>
      <c r="AH535" s="112"/>
      <c r="AI535" s="113"/>
      <c r="AK535" s="111"/>
      <c r="AL535" s="111"/>
      <c r="AM535" s="111"/>
      <c r="AN535" s="112"/>
      <c r="AO535" s="113"/>
      <c r="AQ535" s="17"/>
      <c r="AR535" s="17"/>
      <c r="AS535" s="17"/>
      <c r="AT535" s="18">
        <f t="shared" ref="AT535:AT537" si="653">W535</f>
        <v>2</v>
      </c>
      <c r="AU535" s="19">
        <f>IF(AT$538=0,0,AT535/AT$538)</f>
        <v>1</v>
      </c>
      <c r="AW535" s="17"/>
      <c r="AX535" s="17"/>
      <c r="AY535" s="17"/>
      <c r="AZ535" s="18">
        <f t="shared" ref="AZ535:AZ537" si="654">X535</f>
        <v>19</v>
      </c>
      <c r="BA535" s="19">
        <f>IF(AZ$538=0,0,AZ535/AZ$538)</f>
        <v>1</v>
      </c>
    </row>
    <row r="536" spans="1:53" ht="17.100000000000001" customHeight="1" x14ac:dyDescent="0.25">
      <c r="A536" s="119"/>
      <c r="B536" s="119"/>
      <c r="C536" s="56" t="s">
        <v>312</v>
      </c>
      <c r="D536" s="146" t="s">
        <v>11</v>
      </c>
      <c r="E536" s="105"/>
      <c r="F536" s="105"/>
      <c r="G536" s="105"/>
      <c r="H536" s="119"/>
      <c r="I536" s="231"/>
      <c r="J536" s="111"/>
      <c r="K536" s="111"/>
      <c r="L536" s="111"/>
      <c r="M536" s="111"/>
      <c r="N536" s="61"/>
      <c r="O536" s="61"/>
      <c r="P536" s="17">
        <f t="shared" si="648"/>
        <v>0</v>
      </c>
      <c r="Q536" s="61"/>
      <c r="R536" s="61"/>
      <c r="S536" s="17">
        <f t="shared" si="649"/>
        <v>0</v>
      </c>
      <c r="T536" s="61"/>
      <c r="U536" s="61"/>
      <c r="V536" s="359">
        <f t="shared" si="650"/>
        <v>0</v>
      </c>
      <c r="W536" s="391">
        <f t="shared" si="651"/>
        <v>0</v>
      </c>
      <c r="X536" s="17">
        <f t="shared" si="652"/>
        <v>0</v>
      </c>
      <c r="Y536" s="18">
        <f>SUM(W536:X536)</f>
        <v>0</v>
      </c>
      <c r="Z536" s="19">
        <f t="shared" ref="Z536:Z538" si="655">IF(Y$538=0,0,Y536/Y$538)</f>
        <v>0</v>
      </c>
      <c r="AA536" s="19"/>
      <c r="AB536" s="19"/>
      <c r="AC536" s="20"/>
      <c r="AE536" s="111"/>
      <c r="AF536" s="111"/>
      <c r="AG536" s="111"/>
      <c r="AH536" s="112"/>
      <c r="AI536" s="113"/>
      <c r="AK536" s="111"/>
      <c r="AL536" s="111"/>
      <c r="AM536" s="111"/>
      <c r="AN536" s="112"/>
      <c r="AO536" s="113"/>
      <c r="AQ536" s="17"/>
      <c r="AR536" s="17"/>
      <c r="AS536" s="17"/>
      <c r="AT536" s="18">
        <f t="shared" si="653"/>
        <v>0</v>
      </c>
      <c r="AU536" s="19">
        <f t="shared" ref="AU536:AU538" si="656">IF(AT$538=0,0,AT536/AT$538)</f>
        <v>0</v>
      </c>
      <c r="AW536" s="17"/>
      <c r="AX536" s="17"/>
      <c r="AY536" s="17"/>
      <c r="AZ536" s="18">
        <f t="shared" si="654"/>
        <v>0</v>
      </c>
      <c r="BA536" s="19">
        <f t="shared" ref="BA536:BA538" si="657">IF(AZ$538=0,0,AZ536/AZ$538)</f>
        <v>0</v>
      </c>
    </row>
    <row r="537" spans="1:53" ht="17.100000000000001" customHeight="1" x14ac:dyDescent="0.25">
      <c r="A537" s="119"/>
      <c r="B537" s="119"/>
      <c r="C537" s="56" t="s">
        <v>490</v>
      </c>
      <c r="D537" s="146" t="s">
        <v>617</v>
      </c>
      <c r="E537" s="105"/>
      <c r="F537" s="105"/>
      <c r="G537" s="105"/>
      <c r="H537" s="119"/>
      <c r="I537" s="231"/>
      <c r="J537" s="111"/>
      <c r="K537" s="111"/>
      <c r="L537" s="111"/>
      <c r="M537" s="111"/>
      <c r="N537" s="60"/>
      <c r="O537" s="60"/>
      <c r="P537" s="17">
        <f t="shared" si="648"/>
        <v>0</v>
      </c>
      <c r="Q537" s="60"/>
      <c r="R537" s="60"/>
      <c r="S537" s="17">
        <f t="shared" si="649"/>
        <v>0</v>
      </c>
      <c r="T537" s="60"/>
      <c r="U537" s="60"/>
      <c r="V537" s="359">
        <f t="shared" si="650"/>
        <v>0</v>
      </c>
      <c r="W537" s="391">
        <f t="shared" si="651"/>
        <v>0</v>
      </c>
      <c r="X537" s="17">
        <f t="shared" si="652"/>
        <v>0</v>
      </c>
      <c r="Y537" s="18">
        <f>SUM(W537:X537)</f>
        <v>0</v>
      </c>
      <c r="Z537" s="19">
        <f t="shared" si="655"/>
        <v>0</v>
      </c>
      <c r="AA537" s="19"/>
      <c r="AB537" s="19"/>
      <c r="AC537" s="20"/>
      <c r="AE537" s="111"/>
      <c r="AF537" s="111"/>
      <c r="AG537" s="111"/>
      <c r="AH537" s="112"/>
      <c r="AI537" s="113"/>
      <c r="AK537" s="111"/>
      <c r="AL537" s="111"/>
      <c r="AM537" s="111"/>
      <c r="AN537" s="112"/>
      <c r="AO537" s="113"/>
      <c r="AQ537" s="17"/>
      <c r="AR537" s="17"/>
      <c r="AS537" s="17"/>
      <c r="AT537" s="18">
        <f t="shared" si="653"/>
        <v>0</v>
      </c>
      <c r="AU537" s="19">
        <f t="shared" si="656"/>
        <v>0</v>
      </c>
      <c r="AW537" s="17"/>
      <c r="AX537" s="17"/>
      <c r="AY537" s="17"/>
      <c r="AZ537" s="18">
        <f t="shared" si="654"/>
        <v>0</v>
      </c>
      <c r="BA537" s="19">
        <f t="shared" si="657"/>
        <v>0</v>
      </c>
    </row>
    <row r="538" spans="1:53" ht="17.100000000000001" customHeight="1" x14ac:dyDescent="0.25">
      <c r="A538" s="40"/>
      <c r="B538" s="40"/>
      <c r="C538" s="77"/>
      <c r="D538" s="134"/>
      <c r="E538" s="134"/>
      <c r="F538" s="134"/>
      <c r="G538" s="134"/>
      <c r="H538" s="540"/>
      <c r="I538" s="229"/>
      <c r="J538" s="80"/>
      <c r="K538" s="80"/>
      <c r="L538" s="81"/>
      <c r="M538" s="81"/>
      <c r="N538" s="81">
        <f>SUM(N535:N537)</f>
        <v>1</v>
      </c>
      <c r="O538" s="81">
        <f t="shared" ref="O538:V538" si="658">SUM(O535:O537)</f>
        <v>5</v>
      </c>
      <c r="P538" s="81">
        <f t="shared" si="658"/>
        <v>6</v>
      </c>
      <c r="Q538" s="81">
        <f t="shared" si="658"/>
        <v>1</v>
      </c>
      <c r="R538" s="81">
        <f t="shared" si="658"/>
        <v>4</v>
      </c>
      <c r="S538" s="81">
        <f t="shared" si="658"/>
        <v>5</v>
      </c>
      <c r="T538" s="81">
        <f t="shared" si="658"/>
        <v>0</v>
      </c>
      <c r="U538" s="81">
        <f t="shared" si="658"/>
        <v>10</v>
      </c>
      <c r="V538" s="81">
        <f t="shared" si="658"/>
        <v>10</v>
      </c>
      <c r="W538" s="381">
        <f>SUM(W535:W537)</f>
        <v>2</v>
      </c>
      <c r="X538" s="82">
        <f t="shared" ref="X538:Y538" si="659">SUM(X535:X537)</f>
        <v>19</v>
      </c>
      <c r="Y538" s="82">
        <f t="shared" si="659"/>
        <v>21</v>
      </c>
      <c r="Z538" s="205">
        <f t="shared" si="655"/>
        <v>1</v>
      </c>
      <c r="AA538" s="205"/>
      <c r="AB538" s="205"/>
      <c r="AC538" s="83"/>
      <c r="AE538" s="80"/>
      <c r="AF538" s="80"/>
      <c r="AG538" s="81"/>
      <c r="AH538" s="82"/>
      <c r="AI538" s="66"/>
      <c r="AK538" s="80"/>
      <c r="AL538" s="80"/>
      <c r="AM538" s="81"/>
      <c r="AN538" s="82"/>
      <c r="AO538" s="66"/>
      <c r="AQ538" s="80"/>
      <c r="AR538" s="80"/>
      <c r="AS538" s="81"/>
      <c r="AT538" s="82">
        <f>SUM(AT535:AT537)</f>
        <v>2</v>
      </c>
      <c r="AU538" s="66">
        <f t="shared" si="656"/>
        <v>1</v>
      </c>
      <c r="AW538" s="80"/>
      <c r="AX538" s="80"/>
      <c r="AY538" s="81"/>
      <c r="AZ538" s="82">
        <f>SUM(AZ535:AZ537)</f>
        <v>19</v>
      </c>
      <c r="BA538" s="66">
        <f t="shared" si="657"/>
        <v>1</v>
      </c>
    </row>
    <row r="539" spans="1:53" s="117" customFormat="1" ht="17.100000000000001" customHeight="1" x14ac:dyDescent="0.25">
      <c r="A539" s="68"/>
      <c r="B539" s="119"/>
      <c r="C539" s="540"/>
      <c r="D539" s="261"/>
      <c r="E539" s="261"/>
      <c r="F539" s="68"/>
      <c r="G539" s="68"/>
      <c r="H539" s="119"/>
      <c r="I539" s="138"/>
      <c r="J539" s="17"/>
      <c r="K539" s="17"/>
      <c r="L539" s="17"/>
      <c r="M539" s="17"/>
      <c r="N539" s="17" t="str">
        <f>IF(N538=N$20,"OK","NOK")</f>
        <v>OK</v>
      </c>
      <c r="O539" s="17" t="str">
        <f>IF(O538=O$20,"OK","NOK")</f>
        <v>OK</v>
      </c>
      <c r="P539" s="17"/>
      <c r="Q539" s="17" t="str">
        <f>IF(Q538=Q$20,"OK","NOK")</f>
        <v>OK</v>
      </c>
      <c r="R539" s="17" t="str">
        <f>IF(R538=R$20,"OK","NOK")</f>
        <v>OK</v>
      </c>
      <c r="S539" s="17"/>
      <c r="T539" s="17" t="str">
        <f>IF(T538=T$20,"OK","NOK")</f>
        <v>OK</v>
      </c>
      <c r="U539" s="17" t="str">
        <f>IF(U538=U$20,"OK","NOK")</f>
        <v>OK</v>
      </c>
      <c r="V539" s="359"/>
      <c r="W539" s="382"/>
      <c r="X539" s="539"/>
      <c r="Y539" s="539"/>
      <c r="Z539" s="201"/>
      <c r="AA539" s="201"/>
      <c r="AB539" s="201"/>
      <c r="AC539" s="84"/>
      <c r="AE539" s="46"/>
      <c r="AF539" s="46"/>
      <c r="AG539" s="17"/>
      <c r="AH539" s="539"/>
      <c r="AI539" s="91"/>
      <c r="AK539" s="46"/>
      <c r="AL539" s="46"/>
      <c r="AM539" s="17"/>
      <c r="AN539" s="539"/>
      <c r="AO539" s="91"/>
      <c r="AQ539" s="46"/>
      <c r="AR539" s="46"/>
      <c r="AS539" s="17"/>
      <c r="AT539" s="539"/>
      <c r="AU539" s="91"/>
      <c r="AW539" s="46"/>
      <c r="AX539" s="46"/>
      <c r="AY539" s="17"/>
      <c r="AZ539" s="539"/>
      <c r="BA539" s="91"/>
    </row>
    <row r="540" spans="1:53" s="117" customFormat="1" ht="17.100000000000001" customHeight="1" x14ac:dyDescent="0.25">
      <c r="A540" s="68"/>
      <c r="B540" s="119"/>
      <c r="C540" s="56" t="s">
        <v>672</v>
      </c>
      <c r="D540" s="146" t="s">
        <v>673</v>
      </c>
      <c r="E540" s="149"/>
      <c r="F540" s="149"/>
      <c r="G540" s="151"/>
      <c r="H540" s="119"/>
      <c r="I540" s="138"/>
      <c r="J540" s="111"/>
      <c r="K540" s="111"/>
      <c r="L540" s="111"/>
      <c r="M540" s="111"/>
      <c r="N540" s="111"/>
      <c r="O540" s="111"/>
      <c r="P540" s="336">
        <v>1</v>
      </c>
      <c r="Q540" s="341"/>
      <c r="R540" s="341"/>
      <c r="S540" s="336">
        <v>1.5</v>
      </c>
      <c r="T540" s="341"/>
      <c r="U540" s="341"/>
      <c r="V540" s="368">
        <v>1</v>
      </c>
      <c r="W540" s="382"/>
      <c r="X540" s="539"/>
      <c r="Y540" s="539"/>
      <c r="Z540" s="201"/>
      <c r="AA540" s="340">
        <f>MIN(P540,S540,V540)</f>
        <v>1</v>
      </c>
      <c r="AB540" s="340">
        <f>MAX(P540,S540,V540)</f>
        <v>1.5</v>
      </c>
      <c r="AC540" s="340">
        <f>IF(P540+S540+V540=0,0,AVERAGE(P540,S540,V540))</f>
        <v>1.1666666666666667</v>
      </c>
      <c r="AE540" s="152"/>
      <c r="AF540" s="152"/>
      <c r="AG540" s="111"/>
      <c r="AH540" s="545"/>
      <c r="AI540" s="131"/>
      <c r="AK540" s="152"/>
      <c r="AL540" s="152"/>
      <c r="AM540" s="111"/>
      <c r="AN540" s="545"/>
      <c r="AO540" s="131"/>
      <c r="AQ540" s="152"/>
      <c r="AR540" s="152"/>
      <c r="AS540" s="111"/>
      <c r="AT540" s="545"/>
      <c r="AU540" s="131"/>
      <c r="AW540" s="152"/>
      <c r="AX540" s="152"/>
      <c r="AY540" s="111"/>
      <c r="AZ540" s="545"/>
      <c r="BA540" s="131"/>
    </row>
    <row r="541" spans="1:53" s="117" customFormat="1" ht="17.100000000000001" customHeight="1" x14ac:dyDescent="0.25">
      <c r="A541" s="68"/>
      <c r="B541" s="119"/>
      <c r="C541" s="92"/>
      <c r="D541" s="261"/>
      <c r="E541" s="261"/>
      <c r="F541" s="68"/>
      <c r="G541" s="68"/>
      <c r="H541" s="119"/>
      <c r="I541" s="138"/>
      <c r="J541" s="17"/>
      <c r="K541" s="17"/>
      <c r="L541" s="17"/>
      <c r="M541" s="17"/>
      <c r="N541" s="17"/>
      <c r="O541" s="17"/>
      <c r="P541" s="17"/>
      <c r="Q541" s="17"/>
      <c r="R541" s="17"/>
      <c r="S541" s="17"/>
      <c r="T541" s="17"/>
      <c r="U541" s="17"/>
      <c r="V541" s="359"/>
      <c r="W541" s="382"/>
      <c r="X541" s="539"/>
      <c r="Y541" s="539"/>
      <c r="Z541" s="201"/>
      <c r="AA541" s="201"/>
      <c r="AB541" s="201"/>
      <c r="AC541" s="84"/>
      <c r="AE541" s="46"/>
      <c r="AF541" s="46"/>
      <c r="AG541" s="17"/>
      <c r="AH541" s="539"/>
      <c r="AI541" s="91"/>
      <c r="AK541" s="46"/>
      <c r="AL541" s="46"/>
      <c r="AM541" s="17"/>
      <c r="AN541" s="539"/>
      <c r="AO541" s="91"/>
      <c r="AQ541" s="46"/>
      <c r="AR541" s="46"/>
      <c r="AS541" s="17"/>
      <c r="AT541" s="539"/>
      <c r="AU541" s="91"/>
      <c r="AW541" s="46"/>
      <c r="AX541" s="46"/>
      <c r="AY541" s="17"/>
      <c r="AZ541" s="539"/>
      <c r="BA541" s="91"/>
    </row>
    <row r="542" spans="1:53" ht="17.100000000000001" customHeight="1" x14ac:dyDescent="0.25">
      <c r="A542" s="68"/>
      <c r="B542" s="41" t="s">
        <v>313</v>
      </c>
      <c r="C542" s="69" t="s">
        <v>492</v>
      </c>
      <c r="D542" s="50"/>
      <c r="E542" s="70"/>
      <c r="F542" s="70"/>
      <c r="G542" s="70"/>
      <c r="H542" s="119"/>
      <c r="J542" s="71"/>
      <c r="K542" s="71"/>
      <c r="L542" s="71"/>
      <c r="M542" s="71"/>
      <c r="N542" s="71"/>
      <c r="O542" s="71"/>
      <c r="P542" s="71"/>
      <c r="Q542" s="71"/>
      <c r="R542" s="71"/>
      <c r="S542" s="71"/>
      <c r="T542" s="71"/>
      <c r="U542" s="71"/>
      <c r="V542" s="355"/>
      <c r="W542" s="377"/>
      <c r="X542" s="71"/>
      <c r="Y542" s="72"/>
      <c r="Z542" s="73"/>
      <c r="AA542" s="73"/>
      <c r="AB542" s="73"/>
      <c r="AC542" s="73"/>
      <c r="AE542" s="71"/>
      <c r="AF542" s="71"/>
      <c r="AG542" s="71"/>
      <c r="AH542" s="72"/>
      <c r="AI542" s="73"/>
      <c r="AK542" s="71"/>
      <c r="AL542" s="71"/>
      <c r="AM542" s="71"/>
      <c r="AN542" s="72"/>
      <c r="AO542" s="73"/>
      <c r="AQ542" s="71"/>
      <c r="AR542" s="71"/>
      <c r="AS542" s="71"/>
      <c r="AT542" s="72"/>
      <c r="AU542" s="73"/>
      <c r="AW542" s="71"/>
      <c r="AX542" s="71"/>
      <c r="AY542" s="71"/>
      <c r="AZ542" s="72"/>
      <c r="BA542" s="73"/>
    </row>
    <row r="543" spans="1:53" ht="17.100000000000001" customHeight="1" x14ac:dyDescent="0.25">
      <c r="A543" s="119"/>
      <c r="B543" s="119"/>
      <c r="C543" s="56" t="s">
        <v>314</v>
      </c>
      <c r="D543" s="149" t="s">
        <v>129</v>
      </c>
      <c r="E543" s="105"/>
      <c r="F543" s="105"/>
      <c r="G543" s="105"/>
      <c r="H543" s="119"/>
      <c r="J543" s="111"/>
      <c r="K543" s="111"/>
      <c r="L543" s="111"/>
      <c r="M543" s="111"/>
      <c r="N543" s="598"/>
      <c r="O543" s="598"/>
      <c r="P543" s="327"/>
      <c r="Q543" s="598"/>
      <c r="R543" s="598"/>
      <c r="S543" s="327"/>
      <c r="T543" s="598"/>
      <c r="U543" s="598"/>
      <c r="V543" s="369"/>
      <c r="W543" s="391"/>
      <c r="X543" s="17"/>
      <c r="Y543" s="328">
        <f>P543+S543+V543</f>
        <v>0</v>
      </c>
      <c r="Z543" s="19">
        <f>IF(Y$546=0,0,Y543/Y$546)</f>
        <v>0</v>
      </c>
      <c r="AA543" s="19"/>
      <c r="AB543" s="19"/>
      <c r="AC543" s="20"/>
      <c r="AE543" s="111"/>
      <c r="AF543" s="111"/>
      <c r="AG543" s="111"/>
      <c r="AH543" s="545"/>
      <c r="AI543" s="131"/>
      <c r="AK543" s="111"/>
      <c r="AL543" s="111"/>
      <c r="AM543" s="111"/>
      <c r="AN543" s="545"/>
      <c r="AO543" s="131"/>
      <c r="AQ543" s="111"/>
      <c r="AR543" s="111"/>
      <c r="AS543" s="111"/>
      <c r="AT543" s="545"/>
      <c r="AU543" s="131"/>
      <c r="AW543" s="111"/>
      <c r="AX543" s="111"/>
      <c r="AY543" s="111"/>
      <c r="AZ543" s="545"/>
      <c r="BA543" s="131"/>
    </row>
    <row r="544" spans="1:53" ht="17.100000000000001" customHeight="1" x14ac:dyDescent="0.25">
      <c r="A544" s="119"/>
      <c r="B544" s="119"/>
      <c r="C544" s="56" t="s">
        <v>327</v>
      </c>
      <c r="D544" s="149" t="s">
        <v>491</v>
      </c>
      <c r="E544" s="105"/>
      <c r="F544" s="105"/>
      <c r="G544" s="105"/>
      <c r="H544" s="119"/>
      <c r="J544" s="599"/>
      <c r="K544" s="599"/>
      <c r="L544" s="599"/>
      <c r="M544" s="599"/>
      <c r="N544" s="598"/>
      <c r="O544" s="598"/>
      <c r="P544" s="329">
        <v>1</v>
      </c>
      <c r="Q544" s="598"/>
      <c r="R544" s="598"/>
      <c r="S544" s="329">
        <v>1</v>
      </c>
      <c r="T544" s="598"/>
      <c r="U544" s="598"/>
      <c r="V544" s="370">
        <v>1</v>
      </c>
      <c r="W544" s="391"/>
      <c r="X544" s="17"/>
      <c r="Y544" s="328">
        <f t="shared" ref="Y544:Y545" si="660">P544+S544+V544</f>
        <v>3</v>
      </c>
      <c r="Z544" s="19">
        <f>IF(Y$546=0,0,Y544/Y$546)</f>
        <v>1</v>
      </c>
      <c r="AA544" s="19"/>
      <c r="AB544" s="19"/>
      <c r="AC544" s="189"/>
      <c r="AE544" s="111"/>
      <c r="AF544" s="111"/>
      <c r="AG544" s="111"/>
      <c r="AH544" s="545"/>
      <c r="AI544" s="131"/>
      <c r="AK544" s="111"/>
      <c r="AL544" s="111"/>
      <c r="AM544" s="111"/>
      <c r="AN544" s="545"/>
      <c r="AO544" s="131"/>
      <c r="AQ544" s="111"/>
      <c r="AR544" s="111"/>
      <c r="AS544" s="111"/>
      <c r="AT544" s="545"/>
      <c r="AU544" s="131"/>
      <c r="AW544" s="111"/>
      <c r="AX544" s="111"/>
      <c r="AY544" s="111"/>
      <c r="AZ544" s="545"/>
      <c r="BA544" s="131"/>
    </row>
    <row r="545" spans="1:53" ht="17.100000000000001" customHeight="1" x14ac:dyDescent="0.25">
      <c r="A545" s="119"/>
      <c r="B545" s="119"/>
      <c r="C545" s="56" t="s">
        <v>328</v>
      </c>
      <c r="D545" s="149" t="s">
        <v>493</v>
      </c>
      <c r="E545" s="105"/>
      <c r="F545" s="105"/>
      <c r="G545" s="105"/>
      <c r="H545" s="119"/>
      <c r="J545" s="111"/>
      <c r="K545" s="111"/>
      <c r="L545" s="111"/>
      <c r="M545" s="111"/>
      <c r="N545" s="598"/>
      <c r="O545" s="598"/>
      <c r="P545" s="327"/>
      <c r="Q545" s="598"/>
      <c r="R545" s="598"/>
      <c r="S545" s="327"/>
      <c r="T545" s="598"/>
      <c r="U545" s="598"/>
      <c r="V545" s="369"/>
      <c r="W545" s="391"/>
      <c r="X545" s="17"/>
      <c r="Y545" s="328">
        <f t="shared" si="660"/>
        <v>0</v>
      </c>
      <c r="Z545" s="19">
        <f>IF(Y$546=0,0,Y545/Y$546)</f>
        <v>0</v>
      </c>
      <c r="AA545" s="19"/>
      <c r="AB545" s="19"/>
      <c r="AC545" s="20"/>
      <c r="AE545" s="111"/>
      <c r="AF545" s="111"/>
      <c r="AG545" s="111"/>
      <c r="AH545" s="545"/>
      <c r="AI545" s="131"/>
      <c r="AK545" s="111"/>
      <c r="AL545" s="111"/>
      <c r="AM545" s="111"/>
      <c r="AN545" s="545"/>
      <c r="AO545" s="131"/>
      <c r="AQ545" s="111"/>
      <c r="AR545" s="111"/>
      <c r="AS545" s="111"/>
      <c r="AT545" s="545"/>
      <c r="AU545" s="131"/>
      <c r="AW545" s="111"/>
      <c r="AX545" s="111"/>
      <c r="AY545" s="111"/>
      <c r="AZ545" s="545"/>
      <c r="BA545" s="131"/>
    </row>
    <row r="546" spans="1:53" ht="17.100000000000001" customHeight="1" x14ac:dyDescent="0.25">
      <c r="A546" s="119"/>
      <c r="B546" s="119"/>
      <c r="C546" s="325"/>
      <c r="D546" s="326"/>
      <c r="E546" s="184"/>
      <c r="F546" s="184"/>
      <c r="G546" s="184"/>
      <c r="H546" s="119"/>
      <c r="J546" s="600"/>
      <c r="K546" s="600"/>
      <c r="L546" s="600"/>
      <c r="M546" s="600"/>
      <c r="N546" s="600"/>
      <c r="O546" s="600"/>
      <c r="P546" s="601">
        <f>SUM(P543:P545)</f>
        <v>1</v>
      </c>
      <c r="Q546" s="600"/>
      <c r="R546" s="600"/>
      <c r="S546" s="601">
        <f>SUM(S543:S545)</f>
        <v>1</v>
      </c>
      <c r="T546" s="600"/>
      <c r="U546" s="600"/>
      <c r="V546" s="602">
        <f>SUM(V543:V545)</f>
        <v>1</v>
      </c>
      <c r="W546" s="381"/>
      <c r="X546" s="82"/>
      <c r="Y546" s="82">
        <f t="shared" ref="Y546" si="661">SUM(Y543:Y545)</f>
        <v>3</v>
      </c>
      <c r="Z546" s="205">
        <f>IF(Y$546=0,0,Y546/Y$546)</f>
        <v>1</v>
      </c>
      <c r="AA546" s="205"/>
      <c r="AB546" s="205"/>
      <c r="AC546" s="204"/>
      <c r="AE546" s="81"/>
      <c r="AF546" s="81"/>
      <c r="AG546" s="81"/>
      <c r="AH546" s="82"/>
      <c r="AI546" s="66"/>
      <c r="AK546" s="81"/>
      <c r="AL546" s="81"/>
      <c r="AM546" s="81"/>
      <c r="AN546" s="82"/>
      <c r="AO546" s="66"/>
      <c r="AQ546" s="81"/>
      <c r="AR546" s="81"/>
      <c r="AS546" s="81"/>
      <c r="AT546" s="82"/>
      <c r="AU546" s="66"/>
      <c r="AW546" s="81"/>
      <c r="AX546" s="81"/>
      <c r="AY546" s="81"/>
      <c r="AZ546" s="82"/>
      <c r="BA546" s="66"/>
    </row>
    <row r="547" spans="1:53" s="117" customFormat="1" ht="17.100000000000001" customHeight="1" x14ac:dyDescent="0.25">
      <c r="A547" s="68"/>
      <c r="B547" s="119"/>
      <c r="C547" s="540"/>
      <c r="D547" s="261"/>
      <c r="E547" s="261"/>
      <c r="F547" s="68"/>
      <c r="G547" s="68"/>
      <c r="H547" s="119"/>
      <c r="I547" s="138"/>
      <c r="J547" s="17"/>
      <c r="K547" s="17"/>
      <c r="L547" s="17"/>
      <c r="M547" s="17"/>
      <c r="N547" s="17"/>
      <c r="O547" s="17"/>
      <c r="P547" s="17" t="str">
        <f>IF(P546=1,"OK","NOK")</f>
        <v>OK</v>
      </c>
      <c r="Q547" s="17"/>
      <c r="R547" s="17"/>
      <c r="S547" s="17" t="str">
        <f>IF(S546=1,"OK","NOK")</f>
        <v>OK</v>
      </c>
      <c r="T547" s="17"/>
      <c r="U547" s="17"/>
      <c r="V547" s="359" t="str">
        <f>IF(V546=1,"OK","NOK")</f>
        <v>OK</v>
      </c>
      <c r="W547" s="382"/>
      <c r="X547" s="539"/>
      <c r="Y547" s="539"/>
      <c r="Z547" s="201"/>
      <c r="AA547" s="201"/>
      <c r="AB547" s="201"/>
      <c r="AC547" s="84"/>
      <c r="AE547" s="46"/>
      <c r="AF547" s="46"/>
      <c r="AG547" s="17"/>
      <c r="AH547" s="539"/>
      <c r="AI547" s="91"/>
      <c r="AK547" s="46"/>
      <c r="AL547" s="46"/>
      <c r="AM547" s="17"/>
      <c r="AN547" s="539"/>
      <c r="AO547" s="91"/>
      <c r="AQ547" s="46"/>
      <c r="AR547" s="46"/>
      <c r="AS547" s="17"/>
      <c r="AT547" s="539"/>
      <c r="AU547" s="91"/>
      <c r="AW547" s="46"/>
      <c r="AX547" s="46"/>
      <c r="AY547" s="17"/>
      <c r="AZ547" s="539"/>
      <c r="BA547" s="91"/>
    </row>
    <row r="548" spans="1:53" s="117" customFormat="1" ht="17.100000000000001" customHeight="1" x14ac:dyDescent="0.25">
      <c r="A548" s="68"/>
      <c r="B548" s="119"/>
      <c r="C548" s="92"/>
      <c r="D548" s="93"/>
      <c r="E548" s="93"/>
      <c r="F548" s="93"/>
      <c r="G548" s="93"/>
      <c r="H548" s="540"/>
      <c r="I548" s="12"/>
      <c r="J548" s="46"/>
      <c r="K548" s="46"/>
      <c r="L548" s="17"/>
      <c r="M548" s="17"/>
      <c r="N548" s="17"/>
      <c r="O548" s="17"/>
      <c r="P548" s="17"/>
      <c r="Q548" s="17"/>
      <c r="R548" s="17"/>
      <c r="S548" s="17"/>
      <c r="T548" s="17"/>
      <c r="U548" s="17"/>
      <c r="V548" s="359"/>
      <c r="W548" s="391"/>
      <c r="X548" s="17"/>
      <c r="Y548" s="539"/>
      <c r="Z548" s="91"/>
      <c r="AA548" s="91"/>
      <c r="AB548" s="91"/>
      <c r="AC548" s="84"/>
      <c r="AE548" s="46"/>
      <c r="AF548" s="46"/>
      <c r="AG548" s="17"/>
      <c r="AH548" s="539"/>
      <c r="AI548" s="91"/>
      <c r="AK548" s="46"/>
      <c r="AL548" s="46"/>
      <c r="AM548" s="17"/>
      <c r="AN548" s="539"/>
      <c r="AO548" s="91"/>
      <c r="AQ548" s="46"/>
      <c r="AR548" s="46"/>
      <c r="AS548" s="17"/>
      <c r="AT548" s="539"/>
      <c r="AU548" s="91"/>
      <c r="AW548" s="46"/>
      <c r="AX548" s="46"/>
      <c r="AY548" s="17"/>
      <c r="AZ548" s="539"/>
      <c r="BA548" s="91"/>
    </row>
    <row r="549" spans="1:53" ht="17.100000000000001" customHeight="1" x14ac:dyDescent="0.25">
      <c r="A549" s="68"/>
      <c r="B549" s="41" t="s">
        <v>1443</v>
      </c>
      <c r="C549" s="69" t="s">
        <v>12</v>
      </c>
      <c r="D549" s="50"/>
      <c r="E549" s="70"/>
      <c r="F549" s="70"/>
      <c r="G549" s="70"/>
      <c r="H549" s="119"/>
      <c r="J549" s="71"/>
      <c r="K549" s="71"/>
      <c r="L549" s="71"/>
      <c r="M549" s="71"/>
      <c r="N549" s="71"/>
      <c r="O549" s="71"/>
      <c r="P549" s="71"/>
      <c r="Q549" s="71"/>
      <c r="R549" s="71"/>
      <c r="S549" s="71"/>
      <c r="T549" s="71"/>
      <c r="U549" s="71"/>
      <c r="V549" s="355"/>
      <c r="W549" s="377"/>
      <c r="X549" s="71"/>
      <c r="Y549" s="72"/>
      <c r="Z549" s="73"/>
      <c r="AA549" s="73"/>
      <c r="AB549" s="73"/>
      <c r="AC549" s="73"/>
      <c r="AE549" s="71"/>
      <c r="AF549" s="71"/>
      <c r="AG549" s="71"/>
      <c r="AH549" s="72"/>
      <c r="AI549" s="73"/>
      <c r="AK549" s="71"/>
      <c r="AL549" s="71"/>
      <c r="AM549" s="71"/>
      <c r="AN549" s="72"/>
      <c r="AO549" s="73"/>
      <c r="AQ549" s="71"/>
      <c r="AR549" s="71"/>
      <c r="AS549" s="71"/>
      <c r="AT549" s="72"/>
      <c r="AU549" s="73"/>
      <c r="AW549" s="71"/>
      <c r="AX549" s="71"/>
      <c r="AY549" s="71"/>
      <c r="AZ549" s="72"/>
      <c r="BA549" s="73"/>
    </row>
    <row r="550" spans="1:53" ht="17.100000000000001" customHeight="1" x14ac:dyDescent="0.25">
      <c r="A550" s="40"/>
      <c r="B550" s="40"/>
      <c r="C550" s="74" t="s">
        <v>1444</v>
      </c>
      <c r="D550" s="931" t="s">
        <v>315</v>
      </c>
      <c r="E550" s="75"/>
      <c r="F550" s="75"/>
      <c r="G550" s="75"/>
      <c r="H550" s="928"/>
      <c r="I550" s="12"/>
      <c r="J550" s="152"/>
      <c r="K550" s="152"/>
      <c r="L550" s="152"/>
      <c r="M550" s="152"/>
      <c r="N550" s="152">
        <f>IF(N20&gt;0,1,0)</f>
        <v>1</v>
      </c>
      <c r="O550" s="152">
        <f>IF(O20&gt;0,1,0)</f>
        <v>1</v>
      </c>
      <c r="P550" s="152"/>
      <c r="Q550" s="152">
        <f>IF(Q20&gt;0,1,0)</f>
        <v>1</v>
      </c>
      <c r="R550" s="152">
        <f>IF(R20&gt;0,1,0)</f>
        <v>1</v>
      </c>
      <c r="S550" s="152"/>
      <c r="T550" s="152">
        <f>IF(T20&gt;0,1,0)</f>
        <v>0</v>
      </c>
      <c r="U550" s="152">
        <f>IF(U20&gt;0,1,0)</f>
        <v>1</v>
      </c>
      <c r="V550" s="152"/>
      <c r="W550" s="389"/>
      <c r="X550" s="152"/>
      <c r="Y550" s="932"/>
      <c r="Z550" s="131"/>
      <c r="AA550" s="131"/>
      <c r="AB550" s="131"/>
      <c r="AC550" s="113"/>
      <c r="AE550" s="152"/>
      <c r="AF550" s="152"/>
      <c r="AG550" s="152"/>
      <c r="AH550" s="932"/>
      <c r="AI550" s="131"/>
      <c r="AK550" s="152"/>
      <c r="AL550" s="152"/>
      <c r="AM550" s="152"/>
      <c r="AN550" s="932"/>
      <c r="AO550" s="131"/>
      <c r="AQ550" s="152"/>
      <c r="AR550" s="152"/>
      <c r="AS550" s="152"/>
      <c r="AT550" s="932"/>
      <c r="AU550" s="131"/>
      <c r="AW550" s="152"/>
      <c r="AX550" s="152"/>
      <c r="AY550" s="152"/>
      <c r="AZ550" s="932"/>
      <c r="BA550" s="131"/>
    </row>
    <row r="551" spans="1:53" ht="17.100000000000001" customHeight="1" x14ac:dyDescent="0.25">
      <c r="A551" s="119"/>
      <c r="B551" s="40"/>
      <c r="C551" s="40"/>
      <c r="D551" s="128" t="s">
        <v>1017</v>
      </c>
      <c r="E551" s="122"/>
      <c r="F551" s="122"/>
      <c r="G551" s="122"/>
      <c r="H551" s="928"/>
      <c r="I551" s="12"/>
      <c r="J551" s="190"/>
      <c r="K551" s="190"/>
      <c r="L551" s="190"/>
      <c r="M551" s="190"/>
      <c r="N551" s="570">
        <f>IF(N508=0,0,N506/N508)*0.5</f>
        <v>0</v>
      </c>
      <c r="O551" s="570">
        <f>IF(O508=0,0,O506/O508)*0.5</f>
        <v>0</v>
      </c>
      <c r="P551" s="190"/>
      <c r="Q551" s="570">
        <f>IF(Q508=0,0,Q506/Q508)*0.5</f>
        <v>0</v>
      </c>
      <c r="R551" s="570">
        <f>IF(R508=0,0,R506/R508)*0.5</f>
        <v>0</v>
      </c>
      <c r="S551" s="190"/>
      <c r="T551" s="570">
        <f>IF(T508=0,0,T506/T508)*0.5</f>
        <v>0</v>
      </c>
      <c r="U551" s="570">
        <f>IF(U508=0,0,U506/U508)*0.5</f>
        <v>0</v>
      </c>
      <c r="V551" s="371"/>
      <c r="W551" s="393"/>
      <c r="X551" s="190"/>
      <c r="Y551" s="129"/>
      <c r="Z551" s="130"/>
      <c r="AA551" s="130"/>
      <c r="AB551" s="130"/>
      <c r="AC551" s="125"/>
      <c r="AE551" s="190"/>
      <c r="AF551" s="190"/>
      <c r="AG551" s="190"/>
      <c r="AH551" s="129"/>
      <c r="AI551" s="130"/>
      <c r="AK551" s="190"/>
      <c r="AL551" s="190"/>
      <c r="AM551" s="190"/>
      <c r="AN551" s="129"/>
      <c r="AO551" s="130"/>
      <c r="AQ551" s="190"/>
      <c r="AR551" s="190"/>
      <c r="AS551" s="190"/>
      <c r="AT551" s="129"/>
      <c r="AU551" s="130"/>
      <c r="AW551" s="190"/>
      <c r="AX551" s="190"/>
      <c r="AY551" s="190"/>
      <c r="AZ551" s="129"/>
      <c r="BA551" s="130"/>
    </row>
    <row r="552" spans="1:53" ht="17.100000000000001" customHeight="1" x14ac:dyDescent="0.25">
      <c r="A552" s="119"/>
      <c r="B552" s="40"/>
      <c r="C552" s="40"/>
      <c r="D552" s="128" t="s">
        <v>1018</v>
      </c>
      <c r="E552" s="122"/>
      <c r="F552" s="122"/>
      <c r="G552" s="122"/>
      <c r="H552" s="928"/>
      <c r="I552" s="12"/>
      <c r="J552" s="190"/>
      <c r="K552" s="190"/>
      <c r="L552" s="190"/>
      <c r="M552" s="190"/>
      <c r="N552" s="570">
        <f>IF(N508=0,0,N507/N508)*1</f>
        <v>1</v>
      </c>
      <c r="O552" s="570">
        <f>IF(O508=0,0,O507/O508)*1</f>
        <v>1</v>
      </c>
      <c r="P552" s="190"/>
      <c r="Q552" s="570">
        <f>IF(Q508=0,0,Q507/Q508)*1</f>
        <v>0</v>
      </c>
      <c r="R552" s="570">
        <f>IF(R508=0,0,R507/R508)*1</f>
        <v>0.25</v>
      </c>
      <c r="S552" s="190"/>
      <c r="T552" s="570">
        <f>IF(T508=0,0,T507/T508)*1</f>
        <v>0</v>
      </c>
      <c r="U552" s="570">
        <f>IF(U508=0,0,U507/U508)*1</f>
        <v>0.1</v>
      </c>
      <c r="V552" s="371"/>
      <c r="W552" s="393"/>
      <c r="X552" s="190"/>
      <c r="Y552" s="129"/>
      <c r="Z552" s="130"/>
      <c r="AA552" s="130"/>
      <c r="AB552" s="130"/>
      <c r="AC552" s="125"/>
      <c r="AE552" s="190"/>
      <c r="AF552" s="190"/>
      <c r="AG552" s="190"/>
      <c r="AH552" s="129"/>
      <c r="AI552" s="130"/>
      <c r="AK552" s="190"/>
      <c r="AL552" s="190"/>
      <c r="AM552" s="190"/>
      <c r="AN552" s="129"/>
      <c r="AO552" s="130"/>
      <c r="AQ552" s="190"/>
      <c r="AR552" s="190"/>
      <c r="AS552" s="190"/>
      <c r="AT552" s="129"/>
      <c r="AU552" s="130"/>
      <c r="AW552" s="190"/>
      <c r="AX552" s="190"/>
      <c r="AY552" s="190"/>
      <c r="AZ552" s="129"/>
      <c r="BA552" s="130"/>
    </row>
    <row r="553" spans="1:53" ht="17.100000000000001" customHeight="1" x14ac:dyDescent="0.25">
      <c r="A553" s="119"/>
      <c r="B553" s="40"/>
      <c r="C553" s="40"/>
      <c r="D553" s="128" t="s">
        <v>316</v>
      </c>
      <c r="E553" s="122"/>
      <c r="F553" s="122"/>
      <c r="G553" s="122"/>
      <c r="H553" s="928"/>
      <c r="I553" s="12"/>
      <c r="J553" s="190"/>
      <c r="K553" s="190"/>
      <c r="L553" s="190"/>
      <c r="M553" s="190"/>
      <c r="N553" s="570">
        <f>IF(N515=0,0,N513/N515)*0.5</f>
        <v>0</v>
      </c>
      <c r="O553" s="570">
        <f>IF(O515=0,0,O513/O515)*0.5</f>
        <v>0</v>
      </c>
      <c r="P553" s="190"/>
      <c r="Q553" s="570">
        <f>IF(Q515=0,0,Q513/Q515)*0.5</f>
        <v>0</v>
      </c>
      <c r="R553" s="570">
        <f>IF(R515=0,0,R513/R515)*0.5</f>
        <v>0</v>
      </c>
      <c r="S553" s="190"/>
      <c r="T553" s="570">
        <f>IF(T515=0,0,T513/T515)*0.5</f>
        <v>0</v>
      </c>
      <c r="U553" s="570">
        <f>IF(U515=0,0,U513/U515)*0.5</f>
        <v>0</v>
      </c>
      <c r="V553" s="371"/>
      <c r="W553" s="393"/>
      <c r="X553" s="190"/>
      <c r="Y553" s="129"/>
      <c r="Z553" s="130"/>
      <c r="AA553" s="130"/>
      <c r="AB553" s="130"/>
      <c r="AC553" s="125"/>
      <c r="AE553" s="190"/>
      <c r="AF553" s="190"/>
      <c r="AG553" s="190"/>
      <c r="AH553" s="129"/>
      <c r="AI553" s="130"/>
      <c r="AK553" s="190"/>
      <c r="AL553" s="190"/>
      <c r="AM553" s="190"/>
      <c r="AN553" s="129"/>
      <c r="AO553" s="130"/>
      <c r="AQ553" s="190"/>
      <c r="AR553" s="190"/>
      <c r="AS553" s="190"/>
      <c r="AT553" s="129"/>
      <c r="AU553" s="130"/>
      <c r="AW553" s="190"/>
      <c r="AX553" s="190"/>
      <c r="AY553" s="190"/>
      <c r="AZ553" s="129"/>
      <c r="BA553" s="130"/>
    </row>
    <row r="554" spans="1:53" ht="17.100000000000001" customHeight="1" x14ac:dyDescent="0.25">
      <c r="A554" s="119"/>
      <c r="B554" s="40"/>
      <c r="C554" s="40"/>
      <c r="D554" s="128" t="s">
        <v>317</v>
      </c>
      <c r="E554" s="122"/>
      <c r="F554" s="122"/>
      <c r="G554" s="122"/>
      <c r="H554" s="928"/>
      <c r="I554" s="12"/>
      <c r="J554" s="190"/>
      <c r="K554" s="190"/>
      <c r="L554" s="190"/>
      <c r="M554" s="190"/>
      <c r="N554" s="570">
        <f>IF(N515=0,0,N514/N515)*1</f>
        <v>0</v>
      </c>
      <c r="O554" s="570">
        <f>IF(O515=0,0,O514/O515)*1</f>
        <v>0.4</v>
      </c>
      <c r="P554" s="190"/>
      <c r="Q554" s="570">
        <f>IF(Q515=0,0,Q514/Q515)*1</f>
        <v>1</v>
      </c>
      <c r="R554" s="570">
        <f>IF(R515=0,0,R514/R515)*1</f>
        <v>1</v>
      </c>
      <c r="S554" s="190"/>
      <c r="T554" s="570">
        <f>IF(T515=0,0,T514/T515)*1</f>
        <v>0</v>
      </c>
      <c r="U554" s="570">
        <f>IF(U515=0,0,U514/U515)*1</f>
        <v>0.1</v>
      </c>
      <c r="V554" s="371"/>
      <c r="W554" s="393"/>
      <c r="X554" s="190"/>
      <c r="Y554" s="129"/>
      <c r="Z554" s="130"/>
      <c r="AA554" s="130"/>
      <c r="AB554" s="130"/>
      <c r="AC554" s="125"/>
      <c r="AE554" s="190"/>
      <c r="AF554" s="190"/>
      <c r="AG554" s="190"/>
      <c r="AH554" s="129"/>
      <c r="AI554" s="130"/>
      <c r="AK554" s="190"/>
      <c r="AL554" s="190"/>
      <c r="AM554" s="190"/>
      <c r="AN554" s="129"/>
      <c r="AO554" s="130"/>
      <c r="AQ554" s="190"/>
      <c r="AR554" s="190"/>
      <c r="AS554" s="190"/>
      <c r="AT554" s="129"/>
      <c r="AU554" s="130"/>
      <c r="AW554" s="190"/>
      <c r="AX554" s="190"/>
      <c r="AY554" s="190"/>
      <c r="AZ554" s="129"/>
      <c r="BA554" s="130"/>
    </row>
    <row r="555" spans="1:53" ht="17.100000000000001" customHeight="1" x14ac:dyDescent="0.25">
      <c r="A555" s="137"/>
      <c r="B555" s="40"/>
      <c r="C555" s="40"/>
      <c r="D555" s="128" t="s">
        <v>1019</v>
      </c>
      <c r="E555" s="122"/>
      <c r="F555" s="122"/>
      <c r="G555" s="122"/>
      <c r="H555" s="928"/>
      <c r="I555" s="12"/>
      <c r="J555" s="190"/>
      <c r="K555" s="190"/>
      <c r="L555" s="190"/>
      <c r="M555" s="190"/>
      <c r="N555" s="570"/>
      <c r="O555" s="570"/>
      <c r="P555" s="190"/>
      <c r="Q555" s="570"/>
      <c r="R555" s="570"/>
      <c r="S555" s="190"/>
      <c r="T555" s="570"/>
      <c r="U555" s="570"/>
      <c r="V555" s="371"/>
      <c r="W555" s="393"/>
      <c r="X555" s="190"/>
      <c r="Y555" s="129"/>
      <c r="Z555" s="130"/>
      <c r="AA555" s="130"/>
      <c r="AB555" s="130"/>
      <c r="AC555" s="125"/>
      <c r="AE555" s="190"/>
      <c r="AF555" s="190"/>
      <c r="AG555" s="190"/>
      <c r="AH555" s="129"/>
      <c r="AI555" s="130"/>
      <c r="AK555" s="190"/>
      <c r="AL555" s="190"/>
      <c r="AM555" s="190"/>
      <c r="AN555" s="129"/>
      <c r="AO555" s="130"/>
      <c r="AQ555" s="190"/>
      <c r="AR555" s="190"/>
      <c r="AS555" s="190"/>
      <c r="AT555" s="129"/>
      <c r="AU555" s="130"/>
      <c r="AW555" s="190"/>
      <c r="AX555" s="190"/>
      <c r="AY555" s="190"/>
      <c r="AZ555" s="129"/>
      <c r="BA555" s="130"/>
    </row>
    <row r="556" spans="1:53" ht="17.100000000000001" customHeight="1" x14ac:dyDescent="0.25">
      <c r="A556" s="119"/>
      <c r="B556" s="40"/>
      <c r="C556" s="40"/>
      <c r="D556" s="128" t="s">
        <v>318</v>
      </c>
      <c r="E556" s="122"/>
      <c r="F556" s="122"/>
      <c r="G556" s="122"/>
      <c r="H556" s="928"/>
      <c r="I556" s="12"/>
      <c r="J556" s="190"/>
      <c r="K556" s="190"/>
      <c r="L556" s="190"/>
      <c r="M556" s="190"/>
      <c r="N556" s="570">
        <f>IF(N533=0,0,(SUM(N524:N525)+N522+N527)/N533)</f>
        <v>0</v>
      </c>
      <c r="O556" s="570">
        <f>IF(O533=0,0,(SUM(O524:O525)+O522+O527)/O533)</f>
        <v>1</v>
      </c>
      <c r="P556" s="190"/>
      <c r="Q556" s="570">
        <f>IF(Q533=0,0,(SUM(Q524:Q525)+Q522+Q527)/Q533)</f>
        <v>1</v>
      </c>
      <c r="R556" s="570">
        <f>IF(R533=0,0,(SUM(R524:R525)+R522+R527)/R533)</f>
        <v>1</v>
      </c>
      <c r="S556" s="190"/>
      <c r="T556" s="570">
        <f>IF(T533=0,0,(SUM(T524:T525)+T522+T527)/T533)</f>
        <v>0</v>
      </c>
      <c r="U556" s="570">
        <f>IF(U533=0,0,(SUM(U524:U525)+U522+U527)/U533)</f>
        <v>0</v>
      </c>
      <c r="V556" s="371"/>
      <c r="W556" s="393"/>
      <c r="X556" s="190"/>
      <c r="Y556" s="129"/>
      <c r="Z556" s="130"/>
      <c r="AA556" s="130"/>
      <c r="AB556" s="130"/>
      <c r="AC556" s="125"/>
      <c r="AE556" s="190"/>
      <c r="AF556" s="190"/>
      <c r="AG556" s="190"/>
      <c r="AH556" s="129"/>
      <c r="AI556" s="130"/>
      <c r="AK556" s="190"/>
      <c r="AL556" s="190"/>
      <c r="AM556" s="190"/>
      <c r="AN556" s="129"/>
      <c r="AO556" s="130"/>
      <c r="AQ556" s="190"/>
      <c r="AR556" s="190"/>
      <c r="AS556" s="190"/>
      <c r="AT556" s="129"/>
      <c r="AU556" s="130"/>
      <c r="AW556" s="190"/>
      <c r="AX556" s="190"/>
      <c r="AY556" s="190"/>
      <c r="AZ556" s="129"/>
      <c r="BA556" s="130"/>
    </row>
    <row r="557" spans="1:53" ht="17.100000000000001" customHeight="1" x14ac:dyDescent="0.25">
      <c r="A557" s="137"/>
      <c r="B557" s="40"/>
      <c r="C557" s="40"/>
      <c r="D557" s="128" t="s">
        <v>319</v>
      </c>
      <c r="E557" s="122"/>
      <c r="F557" s="122"/>
      <c r="G557" s="122"/>
      <c r="H557" s="928"/>
      <c r="I557" s="12"/>
      <c r="J557" s="190"/>
      <c r="K557" s="190"/>
      <c r="L557" s="190"/>
      <c r="M557" s="190"/>
      <c r="N557" s="570">
        <f>IF(N538=0,0,(N535/N538)*0.5)</f>
        <v>0.5</v>
      </c>
      <c r="O557" s="570">
        <f>IF(O538=0,0,(O535/O538)*0.5)</f>
        <v>0.5</v>
      </c>
      <c r="P557" s="190"/>
      <c r="Q557" s="570">
        <f>IF(Q538=0,0,(Q535/Q538)*0.5)</f>
        <v>0.5</v>
      </c>
      <c r="R557" s="570">
        <f>IF(R538=0,0,(R535/R538)*0.5)</f>
        <v>0.5</v>
      </c>
      <c r="S557" s="190"/>
      <c r="T557" s="570">
        <f>IF(T538=0,0,(T535/T538)*0.5)</f>
        <v>0</v>
      </c>
      <c r="U557" s="570">
        <f>IF(U538=0,0,(U535/U538)*0.5)</f>
        <v>0.5</v>
      </c>
      <c r="V557" s="371"/>
      <c r="W557" s="393"/>
      <c r="X557" s="190"/>
      <c r="Y557" s="129"/>
      <c r="Z557" s="130"/>
      <c r="AA557" s="130"/>
      <c r="AB557" s="130"/>
      <c r="AC557" s="125"/>
      <c r="AE557" s="190"/>
      <c r="AF557" s="190"/>
      <c r="AG557" s="190"/>
      <c r="AH557" s="129"/>
      <c r="AI557" s="130"/>
      <c r="AK557" s="190"/>
      <c r="AL557" s="190"/>
      <c r="AM557" s="190"/>
      <c r="AN557" s="129"/>
      <c r="AO557" s="130"/>
      <c r="AQ557" s="190"/>
      <c r="AR557" s="190"/>
      <c r="AS557" s="190"/>
      <c r="AT557" s="129"/>
      <c r="AU557" s="130"/>
      <c r="AW557" s="190"/>
      <c r="AX557" s="190"/>
      <c r="AY557" s="190"/>
      <c r="AZ557" s="129"/>
      <c r="BA557" s="130"/>
    </row>
    <row r="558" spans="1:53" ht="17.100000000000001" customHeight="1" x14ac:dyDescent="0.25">
      <c r="A558" s="119"/>
      <c r="B558" s="40"/>
      <c r="C558" s="40"/>
      <c r="D558" s="128" t="s">
        <v>320</v>
      </c>
      <c r="E558" s="122"/>
      <c r="F558" s="122"/>
      <c r="G558" s="122"/>
      <c r="H558" s="928"/>
      <c r="I558" s="12"/>
      <c r="J558" s="190"/>
      <c r="K558" s="190"/>
      <c r="L558" s="190"/>
      <c r="M558" s="190"/>
      <c r="N558" s="570">
        <f>SUM(N551:N557)</f>
        <v>1.5</v>
      </c>
      <c r="O558" s="570">
        <f>SUM(O551:O557)</f>
        <v>2.9</v>
      </c>
      <c r="P558" s="190"/>
      <c r="Q558" s="570">
        <f>SUM(Q551:Q557)</f>
        <v>2.5</v>
      </c>
      <c r="R558" s="570">
        <f>SUM(R551:R557)</f>
        <v>2.75</v>
      </c>
      <c r="S558" s="190"/>
      <c r="T558" s="570">
        <f>SUM(T551:T557)</f>
        <v>0</v>
      </c>
      <c r="U558" s="570">
        <f>SUM(U551:U557)</f>
        <v>0.7</v>
      </c>
      <c r="V558" s="371"/>
      <c r="W558" s="393"/>
      <c r="X558" s="190"/>
      <c r="Y558" s="129"/>
      <c r="Z558" s="130"/>
      <c r="AA558" s="130"/>
      <c r="AB558" s="130"/>
      <c r="AC558" s="125"/>
      <c r="AE558" s="190"/>
      <c r="AF558" s="190"/>
      <c r="AG558" s="190"/>
      <c r="AH558" s="129"/>
      <c r="AI558" s="130"/>
      <c r="AK558" s="190"/>
      <c r="AL558" s="190"/>
      <c r="AM558" s="190"/>
      <c r="AN558" s="129"/>
      <c r="AO558" s="130"/>
      <c r="AQ558" s="190"/>
      <c r="AR558" s="190"/>
      <c r="AS558" s="190"/>
      <c r="AT558" s="129"/>
      <c r="AU558" s="130"/>
      <c r="AW558" s="190"/>
      <c r="AX558" s="190"/>
      <c r="AY558" s="190"/>
      <c r="AZ558" s="129"/>
      <c r="BA558" s="130"/>
    </row>
    <row r="559" spans="1:53" ht="17.100000000000001" customHeight="1" x14ac:dyDescent="0.25">
      <c r="A559" s="119"/>
      <c r="B559" s="40"/>
      <c r="C559" s="40"/>
      <c r="D559" s="128" t="s">
        <v>321</v>
      </c>
      <c r="E559" s="122"/>
      <c r="F559" s="122"/>
      <c r="G559" s="122"/>
      <c r="H559" s="928"/>
      <c r="I559" s="12"/>
      <c r="J559" s="190"/>
      <c r="K559" s="190"/>
      <c r="L559" s="190"/>
      <c r="M559" s="190"/>
      <c r="N559" s="190">
        <v>3.5</v>
      </c>
      <c r="O559" s="190">
        <v>3.5</v>
      </c>
      <c r="P559" s="190"/>
      <c r="Q559" s="190">
        <v>3.5</v>
      </c>
      <c r="R559" s="190">
        <v>3.5</v>
      </c>
      <c r="S559" s="190"/>
      <c r="T559" s="190">
        <v>3.5</v>
      </c>
      <c r="U559" s="190">
        <v>3.5</v>
      </c>
      <c r="V559" s="371"/>
      <c r="W559" s="393"/>
      <c r="X559" s="190"/>
      <c r="Y559" s="129"/>
      <c r="Z559" s="130"/>
      <c r="AA559" s="130"/>
      <c r="AB559" s="130"/>
      <c r="AC559" s="125"/>
      <c r="AE559" s="190"/>
      <c r="AF559" s="190"/>
      <c r="AG559" s="190"/>
      <c r="AH559" s="129"/>
      <c r="AI559" s="130"/>
      <c r="AK559" s="190"/>
      <c r="AL559" s="190"/>
      <c r="AM559" s="190"/>
      <c r="AN559" s="129"/>
      <c r="AO559" s="130"/>
      <c r="AQ559" s="190"/>
      <c r="AR559" s="190"/>
      <c r="AS559" s="190"/>
      <c r="AT559" s="129"/>
      <c r="AU559" s="130"/>
      <c r="AW559" s="190"/>
      <c r="AX559" s="190"/>
      <c r="AY559" s="190"/>
      <c r="AZ559" s="129"/>
      <c r="BA559" s="130"/>
    </row>
    <row r="560" spans="1:53" ht="17.100000000000001" customHeight="1" x14ac:dyDescent="0.25">
      <c r="A560" s="119"/>
      <c r="B560" s="40"/>
      <c r="C560" s="40"/>
      <c r="D560" s="75" t="s">
        <v>322</v>
      </c>
      <c r="E560" s="75"/>
      <c r="F560" s="75"/>
      <c r="G560" s="75"/>
      <c r="H560" s="1322"/>
      <c r="I560" s="12"/>
      <c r="J560" s="191" t="str">
        <f>IF(J$502=0,"",J561)</f>
        <v/>
      </c>
      <c r="K560" s="191" t="str">
        <f>IF(K$502=0,"",K561)</f>
        <v/>
      </c>
      <c r="L560" s="191" t="str">
        <f>IF(L$502=0,"",L561)</f>
        <v/>
      </c>
      <c r="M560" s="191"/>
      <c r="N560" s="191">
        <f>IF(N550=0,"",IF(N561=0,0,N561))</f>
        <v>0.42857142857142855</v>
      </c>
      <c r="O560" s="191">
        <f>IF(O550=0,"",IF(O561=0,0,O561))</f>
        <v>0.82857142857142851</v>
      </c>
      <c r="P560" s="191"/>
      <c r="Q560" s="191">
        <f>IF(Q550=0,"",IF(Q561=0,0,Q561))</f>
        <v>0.7142857142857143</v>
      </c>
      <c r="R560" s="191">
        <f>IF(R550=0,"",IF(R561=0,0,R561))</f>
        <v>0.7857142857142857</v>
      </c>
      <c r="S560" s="191"/>
      <c r="T560" s="191" t="str">
        <f>IF(T550=0,"",IF(T561=0,0,T561))</f>
        <v/>
      </c>
      <c r="U560" s="191">
        <f>IF(U550=0,"",IF(U561=0,0,U561))</f>
        <v>0.19999999999999998</v>
      </c>
      <c r="V560" s="191"/>
      <c r="W560" s="394"/>
      <c r="X560" s="191"/>
      <c r="Y560" s="164"/>
      <c r="Z560" s="192"/>
      <c r="AA560" s="192"/>
      <c r="AB560" s="192"/>
      <c r="AC560" s="193">
        <f>IF(Y560=0,0,AVERAGE(J560:X560))</f>
        <v>0</v>
      </c>
      <c r="AE560" s="191"/>
      <c r="AF560" s="191"/>
      <c r="AG560" s="191"/>
      <c r="AH560" s="164"/>
      <c r="AI560" s="192"/>
      <c r="AK560" s="191"/>
      <c r="AL560" s="191"/>
      <c r="AM560" s="191"/>
      <c r="AN560" s="164"/>
      <c r="AO560" s="192"/>
      <c r="AQ560" s="191"/>
      <c r="AR560" s="191"/>
      <c r="AS560" s="191"/>
      <c r="AT560" s="164"/>
      <c r="AU560" s="192"/>
      <c r="AW560" s="191"/>
      <c r="AX560" s="191"/>
      <c r="AY560" s="191"/>
      <c r="AZ560" s="164"/>
      <c r="BA560" s="192"/>
    </row>
    <row r="561" spans="1:53" ht="17.100000000000001" customHeight="1" x14ac:dyDescent="0.25">
      <c r="A561" s="119"/>
      <c r="B561" s="40"/>
      <c r="C561" s="40"/>
      <c r="D561" s="128" t="s">
        <v>323</v>
      </c>
      <c r="E561" s="122"/>
      <c r="F561" s="122"/>
      <c r="G561" s="122"/>
      <c r="H561" s="1322"/>
      <c r="I561" s="12"/>
      <c r="J561" s="194"/>
      <c r="K561" s="194"/>
      <c r="L561" s="194"/>
      <c r="M561" s="194"/>
      <c r="N561" s="194">
        <f>N558/N559</f>
        <v>0.42857142857142855</v>
      </c>
      <c r="O561" s="194">
        <f t="shared" ref="O561" si="662">O558/O559</f>
        <v>0.82857142857142851</v>
      </c>
      <c r="P561" s="194"/>
      <c r="Q561" s="194">
        <f>Q558/Q559</f>
        <v>0.7142857142857143</v>
      </c>
      <c r="R561" s="194">
        <f t="shared" ref="R561" si="663">R558/R559</f>
        <v>0.7857142857142857</v>
      </c>
      <c r="S561" s="194"/>
      <c r="T561" s="194">
        <f>T558/T559</f>
        <v>0</v>
      </c>
      <c r="U561" s="194">
        <f t="shared" ref="U561" si="664">U558/U559</f>
        <v>0.19999999999999998</v>
      </c>
      <c r="V561" s="194"/>
      <c r="W561" s="969">
        <f>N561+Q561+T561</f>
        <v>1.1428571428571428</v>
      </c>
      <c r="X561" s="504">
        <f>O561+R561+U561</f>
        <v>1.8142857142857143</v>
      </c>
      <c r="Y561" s="162"/>
      <c r="Z561" s="195"/>
      <c r="AA561" s="195"/>
      <c r="AB561" s="195"/>
      <c r="AC561" s="161"/>
      <c r="AE561" s="194"/>
      <c r="AF561" s="194"/>
      <c r="AG561" s="194"/>
      <c r="AH561" s="162"/>
      <c r="AI561" s="195"/>
      <c r="AK561" s="194"/>
      <c r="AL561" s="194"/>
      <c r="AM561" s="194"/>
      <c r="AN561" s="162"/>
      <c r="AO561" s="195"/>
      <c r="AQ561" s="194"/>
      <c r="AR561" s="194"/>
      <c r="AS561" s="194"/>
      <c r="AT561" s="162"/>
      <c r="AU561" s="195"/>
      <c r="AW561" s="194"/>
      <c r="AX561" s="194"/>
      <c r="AY561" s="194"/>
      <c r="AZ561" s="162"/>
      <c r="BA561" s="195"/>
    </row>
    <row r="562" spans="1:53" ht="17.100000000000001" customHeight="1" x14ac:dyDescent="0.25">
      <c r="A562" s="137"/>
      <c r="B562" s="137"/>
      <c r="C562" s="40"/>
      <c r="D562" s="128"/>
      <c r="E562" s="122"/>
      <c r="F562" s="122"/>
      <c r="G562" s="122"/>
      <c r="H562" s="1322"/>
      <c r="I562" s="12"/>
      <c r="J562" s="194"/>
      <c r="K562" s="194"/>
      <c r="L562" s="194"/>
      <c r="M562" s="194"/>
      <c r="N562" s="194">
        <f>IF(N550=0,"",N561)</f>
        <v>0.42857142857142855</v>
      </c>
      <c r="O562" s="194">
        <f>IF(O550=0,"",O561)</f>
        <v>0.82857142857142851</v>
      </c>
      <c r="P562" s="194"/>
      <c r="Q562" s="194">
        <f>IF(Q550=0,"",Q561)</f>
        <v>0.7142857142857143</v>
      </c>
      <c r="R562" s="194">
        <f>IF(R550=0,"",R561)</f>
        <v>0.7857142857142857</v>
      </c>
      <c r="S562" s="194"/>
      <c r="T562" s="194" t="str">
        <f>IF(T550=0,"",T561)</f>
        <v/>
      </c>
      <c r="U562" s="194">
        <f>IF(U550=0,"",U561)</f>
        <v>0.19999999999999998</v>
      </c>
      <c r="V562" s="194"/>
      <c r="W562" s="969">
        <f>IF(W561=0,"",AVERAGE(N562,Q562,T562))</f>
        <v>0.5714285714285714</v>
      </c>
      <c r="X562" s="504">
        <f>IF(X561=0,"",AVERAGE(O562,R562,U562))</f>
        <v>0.60476190476190472</v>
      </c>
      <c r="Y562" s="504">
        <f>AVERAGE(N562:U562)</f>
        <v>0.59142857142857141</v>
      </c>
      <c r="Z562" s="195"/>
      <c r="AA562" s="195"/>
      <c r="AB562" s="195"/>
      <c r="AC562" s="161"/>
      <c r="AE562" s="194"/>
      <c r="AF562" s="194"/>
      <c r="AG562" s="194"/>
      <c r="AH562" s="162"/>
      <c r="AI562" s="195"/>
      <c r="AK562" s="194"/>
      <c r="AL562" s="194"/>
      <c r="AM562" s="194"/>
      <c r="AN562" s="162"/>
      <c r="AO562" s="195"/>
      <c r="AQ562" s="194"/>
      <c r="AR562" s="194"/>
      <c r="AS562" s="194"/>
      <c r="AT562" s="162"/>
      <c r="AU562" s="195"/>
      <c r="AW562" s="194"/>
      <c r="AX562" s="194"/>
      <c r="AY562" s="194"/>
      <c r="AZ562" s="162"/>
      <c r="BA562" s="195"/>
    </row>
    <row r="563" spans="1:53" s="117" customFormat="1" ht="17.100000000000001" customHeight="1" x14ac:dyDescent="0.25">
      <c r="A563" s="119"/>
      <c r="B563" s="119"/>
      <c r="C563" s="196"/>
      <c r="D563" s="75" t="s">
        <v>324</v>
      </c>
      <c r="E563" s="75"/>
      <c r="F563" s="75"/>
      <c r="G563" s="75"/>
      <c r="H563" s="1322"/>
      <c r="I563" s="12"/>
      <c r="J563" s="55" t="str">
        <f>IF(J$502=0,"",IF(J560&gt;=0.75,1,0))</f>
        <v/>
      </c>
      <c r="K563" s="55" t="str">
        <f>IF(K$502=0,"",IF(K560&gt;=0.75,1,0))</f>
        <v/>
      </c>
      <c r="L563" s="55" t="str">
        <f>IF(L$502=0,"",IF(L560&gt;=0.75,1,0))</f>
        <v/>
      </c>
      <c r="M563" s="55"/>
      <c r="N563" s="55">
        <f>IF(N$550=0,0,IF(N$560&gt;=0.75,1,0))</f>
        <v>0</v>
      </c>
      <c r="O563" s="55">
        <f>IF(O$550=0,0,IF(O$560&gt;=0.75,1,0))</f>
        <v>1</v>
      </c>
      <c r="P563" s="55">
        <f>IF(SUM(N563:O563)=0,0,IF(SUM(N563:O563)=2,1,IF(AND(N$561=0,O563&gt;0),O563,SUM(N563:O563)/2)))</f>
        <v>0.5</v>
      </c>
      <c r="Q563" s="55">
        <f>IF(Q$550=0,0,IF(Q$560&gt;=0.75,1,0))</f>
        <v>0</v>
      </c>
      <c r="R563" s="55">
        <f>IF(R$550=0,0,IF(R$560&gt;=0.75,1,0))</f>
        <v>1</v>
      </c>
      <c r="S563" s="55">
        <f>IF(SUM(Q563:R563)=0,0,IF(SUM(Q563:R563)=2,1,IF(AND(Q$561=0,R563&gt;0),R563,SUM(Q563:R563)/2)))</f>
        <v>0.5</v>
      </c>
      <c r="T563" s="55">
        <f>IF(T$550=0,0,IF(T$560&gt;=0.75,1,0))</f>
        <v>0</v>
      </c>
      <c r="U563" s="55">
        <f>IF(U$550=0,0,IF(U$560&gt;=0.75,1,0))</f>
        <v>0</v>
      </c>
      <c r="V563" s="55">
        <f>IF(SUM(T563:U563)=0,0,IF(SUM(T563:U563)=2,1,IF(AND(T$561=0,U563&gt;0),U563,SUM(T563:U563)/2)))</f>
        <v>0</v>
      </c>
      <c r="W563" s="391">
        <f>N563+Q563+T563</f>
        <v>0</v>
      </c>
      <c r="X563" s="17">
        <f>O563+R563+U563</f>
        <v>2</v>
      </c>
      <c r="Y563" s="17">
        <f>P563+S563+V563</f>
        <v>1</v>
      </c>
      <c r="Z563" s="19">
        <f>IF(Y$566=0,0,Y563/Y$566)</f>
        <v>0.33333333333333331</v>
      </c>
      <c r="AA563" s="197"/>
      <c r="AB563" s="197"/>
      <c r="AC563" s="198"/>
      <c r="AE563" s="55"/>
      <c r="AF563" s="55"/>
      <c r="AG563" s="55"/>
      <c r="AH563" s="164"/>
      <c r="AI563" s="197"/>
      <c r="AK563" s="55"/>
      <c r="AL563" s="55"/>
      <c r="AM563" s="55"/>
      <c r="AN563" s="164"/>
      <c r="AO563" s="197"/>
      <c r="AQ563" s="55"/>
      <c r="AR563" s="55"/>
      <c r="AS563" s="55"/>
      <c r="AT563" s="164"/>
      <c r="AU563" s="197"/>
      <c r="AW563" s="55"/>
      <c r="AX563" s="55"/>
      <c r="AY563" s="55"/>
      <c r="AZ563" s="164"/>
      <c r="BA563" s="197"/>
    </row>
    <row r="564" spans="1:53" s="117" customFormat="1" ht="17.100000000000001" customHeight="1" x14ac:dyDescent="0.25">
      <c r="A564" s="119"/>
      <c r="B564" s="119"/>
      <c r="C564" s="136"/>
      <c r="D564" s="75" t="s">
        <v>325</v>
      </c>
      <c r="E564" s="75"/>
      <c r="F564" s="75"/>
      <c r="G564" s="75"/>
      <c r="H564" s="1322"/>
      <c r="I564" s="12"/>
      <c r="J564" s="55" t="str">
        <f>IF(J$502=0,"",IF(AND(J561&gt;=0.5,J561&lt;0.75),1,0))</f>
        <v/>
      </c>
      <c r="K564" s="55" t="str">
        <f>IF(K$502=0,"",IF(AND(K561&gt;=0.5,K561&lt;0.75),1,0))</f>
        <v/>
      </c>
      <c r="L564" s="55" t="str">
        <f>IF(L$502=0,"",IF(AND(L561&gt;=0.5,L561&lt;0.75),1,0))</f>
        <v/>
      </c>
      <c r="M564" s="55"/>
      <c r="N564" s="55">
        <f>IF(N$550=0,0,IF(AND(N560&gt;=0.5,N560&lt;0.75),1,0))</f>
        <v>0</v>
      </c>
      <c r="O564" s="55">
        <f t="shared" ref="O564" si="665">IF(O$550=0,0,IF(AND(O560&gt;=0.5,O560&lt;0.75),1,0))</f>
        <v>0</v>
      </c>
      <c r="P564" s="55">
        <f t="shared" ref="P564:P565" si="666">IF(SUM(N564:O564)=0,0,IF(SUM(N564:O564)=2,1,IF(AND(N$561=0,O564&gt;0),O564,SUM(N564:O564)/2)))</f>
        <v>0</v>
      </c>
      <c r="Q564" s="55">
        <f>IF(Q$550=0,0,IF(AND(Q560&gt;=0.5,Q560&lt;0.75),1,0))</f>
        <v>1</v>
      </c>
      <c r="R564" s="55">
        <f t="shared" ref="R564" si="667">IF(R$550=0,0,IF(AND(R560&gt;=0.5,R560&lt;0.75),1,0))</f>
        <v>0</v>
      </c>
      <c r="S564" s="55">
        <f t="shared" ref="S564:S565" si="668">IF(SUM(Q564:R564)=0,0,IF(SUM(Q564:R564)=2,1,IF(AND(Q$561=0,R564&gt;0),R564,SUM(Q564:R564)/2)))</f>
        <v>0.5</v>
      </c>
      <c r="T564" s="55">
        <f>IF(T$550=0,0,IF(AND(T560&gt;=0.5,T560&lt;0.75),1,0))</f>
        <v>0</v>
      </c>
      <c r="U564" s="55">
        <f t="shared" ref="U564" si="669">IF(U$550=0,0,IF(AND(U560&gt;=0.5,U560&lt;0.75),1,0))</f>
        <v>0</v>
      </c>
      <c r="V564" s="55">
        <f t="shared" ref="V564:V565" si="670">IF(SUM(T564:U564)=0,0,IF(SUM(T564:U564)=2,1,IF(AND(T$561=0,U564&gt;0),U564,SUM(T564:U564)/2)))</f>
        <v>0</v>
      </c>
      <c r="W564" s="391">
        <f t="shared" ref="W564:Y565" si="671">N564+Q564+T564</f>
        <v>1</v>
      </c>
      <c r="X564" s="17">
        <f t="shared" si="671"/>
        <v>0</v>
      </c>
      <c r="Y564" s="17">
        <f t="shared" si="671"/>
        <v>0.5</v>
      </c>
      <c r="Z564" s="19">
        <f t="shared" ref="Z564:Z566" si="672">IF(Y$566=0,0,Y564/Y$566)</f>
        <v>0.16666666666666666</v>
      </c>
      <c r="AA564" s="197"/>
      <c r="AB564" s="197"/>
      <c r="AC564" s="198"/>
      <c r="AE564" s="55"/>
      <c r="AF564" s="55"/>
      <c r="AG564" s="55"/>
      <c r="AH564" s="164"/>
      <c r="AI564" s="197"/>
      <c r="AK564" s="55"/>
      <c r="AL564" s="55"/>
      <c r="AM564" s="55"/>
      <c r="AN564" s="164"/>
      <c r="AO564" s="197"/>
      <c r="AQ564" s="55"/>
      <c r="AR564" s="55"/>
      <c r="AS564" s="55"/>
      <c r="AT564" s="164"/>
      <c r="AU564" s="197"/>
      <c r="AW564" s="55"/>
      <c r="AX564" s="55"/>
      <c r="AY564" s="55"/>
      <c r="AZ564" s="164"/>
      <c r="BA564" s="197"/>
    </row>
    <row r="565" spans="1:53" s="97" customFormat="1" ht="17.100000000000001" customHeight="1" x14ac:dyDescent="0.25">
      <c r="A565" s="119"/>
      <c r="B565" s="119"/>
      <c r="C565" s="137"/>
      <c r="D565" s="75" t="s">
        <v>326</v>
      </c>
      <c r="E565" s="75"/>
      <c r="F565" s="75"/>
      <c r="G565" s="75"/>
      <c r="H565" s="1322"/>
      <c r="I565" s="12"/>
      <c r="J565" s="55" t="str">
        <f>IF(J$502=0,"",IF(J561&lt;0.5,1,0))</f>
        <v/>
      </c>
      <c r="K565" s="55" t="str">
        <f>IF(K$502=0,"",IF(K561&lt;0.5,1,0))</f>
        <v/>
      </c>
      <c r="L565" s="55" t="str">
        <f>IF(L$502=0,"",IF(L561&lt;0.5,1,0))</f>
        <v/>
      </c>
      <c r="M565" s="55"/>
      <c r="N565" s="55">
        <f>IF(N$550=0,0,IF(N560&lt;0.5,1,0))</f>
        <v>1</v>
      </c>
      <c r="O565" s="55">
        <f t="shared" ref="O565" si="673">IF(O$550=0,0,IF(O560&lt;0.5,1,0))</f>
        <v>0</v>
      </c>
      <c r="P565" s="55">
        <f t="shared" si="666"/>
        <v>0.5</v>
      </c>
      <c r="Q565" s="55">
        <f>IF(Q$550=0,0,IF(Q560&lt;0.5,1,0))</f>
        <v>0</v>
      </c>
      <c r="R565" s="55">
        <f t="shared" ref="R565" si="674">IF(R$550=0,0,IF(R560&lt;0.5,1,0))</f>
        <v>0</v>
      </c>
      <c r="S565" s="55">
        <f t="shared" si="668"/>
        <v>0</v>
      </c>
      <c r="T565" s="55">
        <f>IF(T$550=0,0,IF(T560&lt;0.5,1,0))</f>
        <v>0</v>
      </c>
      <c r="U565" s="55">
        <f t="shared" ref="U565" si="675">IF(U$550=0,0,IF(U560&lt;0.5,1,0))</f>
        <v>1</v>
      </c>
      <c r="V565" s="55">
        <f t="shared" si="670"/>
        <v>1</v>
      </c>
      <c r="W565" s="391">
        <f t="shared" si="671"/>
        <v>1</v>
      </c>
      <c r="X565" s="17">
        <f t="shared" si="671"/>
        <v>1</v>
      </c>
      <c r="Y565" s="17">
        <f t="shared" si="671"/>
        <v>1.5</v>
      </c>
      <c r="Z565" s="19">
        <f t="shared" si="672"/>
        <v>0.5</v>
      </c>
      <c r="AA565" s="197"/>
      <c r="AB565" s="197"/>
      <c r="AC565" s="198"/>
      <c r="AE565" s="55"/>
      <c r="AF565" s="55"/>
      <c r="AG565" s="55"/>
      <c r="AH565" s="164"/>
      <c r="AI565" s="197"/>
      <c r="AK565" s="55"/>
      <c r="AL565" s="55"/>
      <c r="AM565" s="55"/>
      <c r="AN565" s="164"/>
      <c r="AO565" s="197"/>
      <c r="AQ565" s="55"/>
      <c r="AR565" s="55"/>
      <c r="AS565" s="55"/>
      <c r="AT565" s="164"/>
      <c r="AU565" s="197"/>
      <c r="AW565" s="55"/>
      <c r="AX565" s="55"/>
      <c r="AY565" s="55"/>
      <c r="AZ565" s="164"/>
      <c r="BA565" s="197"/>
    </row>
    <row r="566" spans="1:53" s="117" customFormat="1" ht="17.100000000000001" customHeight="1" x14ac:dyDescent="0.25">
      <c r="A566" s="119"/>
      <c r="B566" s="119"/>
      <c r="C566" s="119"/>
      <c r="D566" s="428"/>
      <c r="E566" s="93"/>
      <c r="F566" s="93"/>
      <c r="G566" s="93"/>
      <c r="H566" s="1322"/>
      <c r="I566" s="12"/>
      <c r="J566" s="191"/>
      <c r="K566" s="191"/>
      <c r="L566" s="191"/>
      <c r="M566" s="191"/>
      <c r="N566" s="191"/>
      <c r="O566" s="191"/>
      <c r="P566" s="191"/>
      <c r="Q566" s="191"/>
      <c r="R566" s="191"/>
      <c r="S566" s="191"/>
      <c r="T566" s="191"/>
      <c r="U566" s="191"/>
      <c r="V566" s="191"/>
      <c r="W566" s="394"/>
      <c r="X566" s="191"/>
      <c r="Y566" s="164">
        <f>SUM(Y563:Y565)</f>
        <v>3</v>
      </c>
      <c r="Z566" s="19">
        <f t="shared" si="672"/>
        <v>1</v>
      </c>
      <c r="AA566" s="192"/>
      <c r="AB566" s="192"/>
      <c r="AC566" s="198"/>
      <c r="AE566" s="191"/>
      <c r="AF566" s="191"/>
      <c r="AG566" s="191"/>
      <c r="AH566" s="164"/>
      <c r="AI566" s="192"/>
      <c r="AK566" s="191"/>
      <c r="AL566" s="191"/>
      <c r="AM566" s="191"/>
      <c r="AN566" s="164"/>
      <c r="AO566" s="192"/>
      <c r="AQ566" s="191"/>
      <c r="AR566" s="191"/>
      <c r="AS566" s="191"/>
      <c r="AT566" s="164"/>
      <c r="AU566" s="192"/>
      <c r="AW566" s="191"/>
      <c r="AX566" s="191"/>
      <c r="AY566" s="191"/>
      <c r="AZ566" s="164"/>
      <c r="BA566" s="192"/>
    </row>
    <row r="567" spans="1:53" s="97" customFormat="1" ht="17.100000000000001" customHeight="1" x14ac:dyDescent="0.25">
      <c r="A567" s="68"/>
      <c r="B567" s="68"/>
      <c r="C567" s="92"/>
      <c r="D567" s="93"/>
      <c r="E567" s="93"/>
      <c r="F567" s="93"/>
      <c r="G567" s="93"/>
      <c r="H567" s="165"/>
      <c r="I567" s="12"/>
      <c r="J567" s="94"/>
      <c r="K567" s="94"/>
      <c r="L567" s="95"/>
      <c r="M567" s="95"/>
      <c r="N567" s="95"/>
      <c r="O567" s="95"/>
      <c r="P567" s="95"/>
      <c r="Q567" s="95"/>
      <c r="R567" s="95"/>
      <c r="S567" s="95"/>
      <c r="T567" s="95"/>
      <c r="U567" s="95"/>
      <c r="V567" s="95"/>
      <c r="W567" s="378"/>
      <c r="X567" s="95"/>
      <c r="Y567" s="96"/>
      <c r="AE567" s="109"/>
      <c r="AF567" s="109"/>
      <c r="AG567" s="109"/>
      <c r="AH567" s="96"/>
      <c r="AK567" s="109"/>
      <c r="AL567" s="109"/>
      <c r="AM567" s="109"/>
      <c r="AN567" s="96"/>
      <c r="AQ567" s="109"/>
      <c r="AR567" s="109"/>
      <c r="AS567" s="109"/>
      <c r="AT567" s="96"/>
      <c r="AW567" s="109"/>
      <c r="AX567" s="109"/>
      <c r="AY567" s="109"/>
      <c r="AZ567" s="96"/>
    </row>
    <row r="568" spans="1:53" s="32" customFormat="1" ht="16.5" thickBot="1" x14ac:dyDescent="0.3">
      <c r="A568" s="24" t="s">
        <v>329</v>
      </c>
      <c r="B568" s="25" t="s">
        <v>330</v>
      </c>
      <c r="C568" s="26"/>
      <c r="D568" s="27"/>
      <c r="E568" s="27"/>
      <c r="F568" s="27"/>
      <c r="G568" s="28"/>
      <c r="H568" s="215"/>
      <c r="I568" s="228"/>
      <c r="J568" s="101"/>
      <c r="K568" s="101"/>
      <c r="L568" s="101"/>
      <c r="M568" s="101"/>
      <c r="N568" s="101"/>
      <c r="O568" s="101"/>
      <c r="P568" s="101"/>
      <c r="Q568" s="101"/>
      <c r="R568" s="101"/>
      <c r="S568" s="101"/>
      <c r="T568" s="101"/>
      <c r="U568" s="101"/>
      <c r="V568" s="357"/>
      <c r="W568" s="379"/>
      <c r="X568" s="101"/>
      <c r="Y568" s="30" t="s">
        <v>4</v>
      </c>
      <c r="Z568" s="30" t="s">
        <v>5</v>
      </c>
      <c r="AA568" s="30"/>
      <c r="AB568" s="30"/>
      <c r="AC568" s="30" t="s">
        <v>6</v>
      </c>
      <c r="AE568" s="33" t="s">
        <v>181</v>
      </c>
      <c r="AF568" s="33" t="s">
        <v>182</v>
      </c>
      <c r="AG568" s="33" t="s">
        <v>6</v>
      </c>
      <c r="AH568" s="33" t="s">
        <v>4</v>
      </c>
      <c r="AI568" s="34" t="s">
        <v>5</v>
      </c>
      <c r="AJ568" s="408"/>
      <c r="AK568" s="36" t="s">
        <v>181</v>
      </c>
      <c r="AL568" s="36" t="s">
        <v>182</v>
      </c>
      <c r="AM568" s="36" t="s">
        <v>6</v>
      </c>
      <c r="AN568" s="36" t="s">
        <v>4</v>
      </c>
      <c r="AO568" s="37" t="s">
        <v>5</v>
      </c>
      <c r="AP568" s="408"/>
      <c r="AQ568" s="36"/>
      <c r="AR568" s="36"/>
      <c r="AS568" s="36"/>
      <c r="AT568" s="36"/>
      <c r="AU568" s="37"/>
      <c r="AV568" s="408"/>
      <c r="AW568" s="38" t="s">
        <v>181</v>
      </c>
      <c r="AX568" s="38" t="s">
        <v>182</v>
      </c>
      <c r="AY568" s="38" t="s">
        <v>6</v>
      </c>
      <c r="AZ568" s="38" t="s">
        <v>4</v>
      </c>
      <c r="BA568" s="39" t="s">
        <v>5</v>
      </c>
    </row>
    <row r="569" spans="1:53" ht="17.100000000000001" customHeight="1" x14ac:dyDescent="0.25">
      <c r="A569" s="68"/>
      <c r="B569" s="41" t="s">
        <v>675</v>
      </c>
      <c r="C569" s="49" t="s">
        <v>674</v>
      </c>
      <c r="D569" s="50"/>
      <c r="E569" s="70"/>
      <c r="F569" s="70"/>
      <c r="G569" s="70"/>
      <c r="H569" s="119"/>
      <c r="J569" s="71"/>
      <c r="K569" s="71"/>
      <c r="L569" s="71"/>
      <c r="M569" s="71"/>
      <c r="N569" s="71"/>
      <c r="O569" s="71"/>
      <c r="P569" s="71"/>
      <c r="Q569" s="71"/>
      <c r="R569" s="71"/>
      <c r="S569" s="71"/>
      <c r="T569" s="71"/>
      <c r="U569" s="71"/>
      <c r="V569" s="355"/>
      <c r="W569" s="377"/>
      <c r="X569" s="71"/>
      <c r="Y569" s="72"/>
      <c r="Z569" s="73"/>
      <c r="AA569" s="73"/>
      <c r="AB569" s="73"/>
      <c r="AC569" s="73"/>
      <c r="AE569" s="71"/>
      <c r="AF569" s="71"/>
      <c r="AG569" s="71"/>
      <c r="AH569" s="72"/>
      <c r="AI569" s="73"/>
      <c r="AK569" s="71"/>
      <c r="AL569" s="71"/>
      <c r="AM569" s="71"/>
      <c r="AN569" s="72"/>
      <c r="AO569" s="73"/>
      <c r="AQ569" s="71"/>
      <c r="AR569" s="71"/>
      <c r="AS569" s="71"/>
      <c r="AT569" s="72"/>
      <c r="AU569" s="73"/>
      <c r="AW569" s="71"/>
      <c r="AX569" s="71"/>
      <c r="AY569" s="71"/>
      <c r="AZ569" s="72"/>
      <c r="BA569" s="73"/>
    </row>
    <row r="570" spans="1:53" ht="17.100000000000001" customHeight="1" x14ac:dyDescent="0.25">
      <c r="A570" s="119"/>
      <c r="B570" s="119"/>
      <c r="C570" s="56" t="s">
        <v>676</v>
      </c>
      <c r="D570" s="146" t="s">
        <v>9</v>
      </c>
      <c r="E570" s="105"/>
      <c r="F570" s="105"/>
      <c r="G570" s="105"/>
      <c r="H570" s="119"/>
      <c r="I570" s="231"/>
      <c r="J570" s="111"/>
      <c r="K570" s="111"/>
      <c r="L570" s="111"/>
      <c r="M570" s="111"/>
      <c r="N570" s="60"/>
      <c r="O570" s="60"/>
      <c r="P570" s="17">
        <f t="shared" ref="P570:P571" si="676">SUM(N570:O570)</f>
        <v>0</v>
      </c>
      <c r="Q570" s="60"/>
      <c r="R570" s="60"/>
      <c r="S570" s="17">
        <f t="shared" ref="S570:S571" si="677">SUM(Q570:R570)</f>
        <v>0</v>
      </c>
      <c r="T570" s="60"/>
      <c r="U570" s="60"/>
      <c r="V570" s="359">
        <f t="shared" ref="V570:V571" si="678">SUM(T570:U570)</f>
        <v>0</v>
      </c>
      <c r="W570" s="391">
        <f t="shared" ref="W570:W571" si="679">J570+K570+N570+Q570+T570</f>
        <v>0</v>
      </c>
      <c r="X570" s="17">
        <f t="shared" ref="X570:X571" si="680">L570+O570+R570+U570</f>
        <v>0</v>
      </c>
      <c r="Y570" s="18">
        <f>SUM(W570:X570)</f>
        <v>0</v>
      </c>
      <c r="Z570" s="19">
        <f>IF(Y$538=0,0,Y570/Y$538)</f>
        <v>0</v>
      </c>
      <c r="AA570" s="19"/>
      <c r="AB570" s="19"/>
      <c r="AC570" s="20"/>
      <c r="AE570" s="111"/>
      <c r="AF570" s="111"/>
      <c r="AG570" s="111"/>
      <c r="AH570" s="112"/>
      <c r="AI570" s="113"/>
      <c r="AK570" s="111"/>
      <c r="AL570" s="111"/>
      <c r="AM570" s="111"/>
      <c r="AN570" s="112"/>
      <c r="AO570" s="113"/>
      <c r="AQ570" s="17"/>
      <c r="AR570" s="17"/>
      <c r="AS570" s="17"/>
      <c r="AT570" s="18">
        <f t="shared" ref="AT570:AT571" si="681">W570</f>
        <v>0</v>
      </c>
      <c r="AU570" s="19">
        <f>IF(AT$538=0,0,AT570/AT$538)</f>
        <v>0</v>
      </c>
      <c r="AW570" s="17"/>
      <c r="AX570" s="17"/>
      <c r="AY570" s="17"/>
      <c r="AZ570" s="18">
        <f t="shared" ref="AZ570:AZ571" si="682">X570</f>
        <v>0</v>
      </c>
      <c r="BA570" s="19">
        <f>IF(AZ$538=0,0,AZ570/AZ$538)</f>
        <v>0</v>
      </c>
    </row>
    <row r="571" spans="1:53" ht="17.100000000000001" customHeight="1" x14ac:dyDescent="0.25">
      <c r="A571" s="119"/>
      <c r="B571" s="119"/>
      <c r="C571" s="56" t="s">
        <v>677</v>
      </c>
      <c r="D571" s="146" t="s">
        <v>11</v>
      </c>
      <c r="E571" s="105"/>
      <c r="F571" s="105"/>
      <c r="G571" s="105"/>
      <c r="H571" s="119"/>
      <c r="I571" s="231"/>
      <c r="J571" s="111"/>
      <c r="K571" s="111"/>
      <c r="L571" s="111"/>
      <c r="M571" s="111"/>
      <c r="N571" s="61">
        <v>1</v>
      </c>
      <c r="O571" s="61">
        <v>5</v>
      </c>
      <c r="P571" s="17">
        <f t="shared" si="676"/>
        <v>6</v>
      </c>
      <c r="Q571" s="61">
        <v>1</v>
      </c>
      <c r="R571" s="61">
        <v>4</v>
      </c>
      <c r="S571" s="17">
        <f t="shared" si="677"/>
        <v>5</v>
      </c>
      <c r="T571" s="61"/>
      <c r="U571" s="61">
        <v>10</v>
      </c>
      <c r="V571" s="359">
        <f t="shared" si="678"/>
        <v>10</v>
      </c>
      <c r="W571" s="391">
        <f t="shared" si="679"/>
        <v>2</v>
      </c>
      <c r="X571" s="17">
        <f t="shared" si="680"/>
        <v>19</v>
      </c>
      <c r="Y571" s="18">
        <f>SUM(W571:X571)</f>
        <v>21</v>
      </c>
      <c r="Z571" s="19">
        <f t="shared" ref="Z571:Z572" si="683">IF(Y$538=0,0,Y571/Y$538)</f>
        <v>1</v>
      </c>
      <c r="AA571" s="19"/>
      <c r="AB571" s="19"/>
      <c r="AC571" s="20"/>
      <c r="AE571" s="111"/>
      <c r="AF571" s="111"/>
      <c r="AG571" s="111"/>
      <c r="AH571" s="112"/>
      <c r="AI571" s="113"/>
      <c r="AK571" s="111"/>
      <c r="AL571" s="111"/>
      <c r="AM571" s="111"/>
      <c r="AN571" s="112"/>
      <c r="AO571" s="113"/>
      <c r="AQ571" s="17"/>
      <c r="AR571" s="17"/>
      <c r="AS571" s="17"/>
      <c r="AT571" s="18">
        <f t="shared" si="681"/>
        <v>2</v>
      </c>
      <c r="AU571" s="19">
        <f t="shared" ref="AU571:AU572" si="684">IF(AT$538=0,0,AT571/AT$538)</f>
        <v>1</v>
      </c>
      <c r="AW571" s="17"/>
      <c r="AX571" s="17"/>
      <c r="AY571" s="17"/>
      <c r="AZ571" s="18">
        <f t="shared" si="682"/>
        <v>19</v>
      </c>
      <c r="BA571" s="19">
        <f t="shared" ref="BA571:BA572" si="685">IF(AZ$538=0,0,AZ571/AZ$538)</f>
        <v>1</v>
      </c>
    </row>
    <row r="572" spans="1:53" ht="17.100000000000001" customHeight="1" x14ac:dyDescent="0.25">
      <c r="A572" s="40"/>
      <c r="B572" s="40"/>
      <c r="C572" s="77"/>
      <c r="D572" s="134"/>
      <c r="E572" s="134"/>
      <c r="F572" s="134"/>
      <c r="G572" s="134"/>
      <c r="H572" s="540"/>
      <c r="I572" s="229"/>
      <c r="J572" s="80"/>
      <c r="K572" s="80"/>
      <c r="L572" s="81"/>
      <c r="M572" s="81"/>
      <c r="N572" s="81">
        <f t="shared" ref="N572:Y572" si="686">SUM(N570:N571)</f>
        <v>1</v>
      </c>
      <c r="O572" s="81">
        <f t="shared" si="686"/>
        <v>5</v>
      </c>
      <c r="P572" s="81">
        <f t="shared" si="686"/>
        <v>6</v>
      </c>
      <c r="Q572" s="81">
        <f t="shared" si="686"/>
        <v>1</v>
      </c>
      <c r="R572" s="81">
        <f t="shared" si="686"/>
        <v>4</v>
      </c>
      <c r="S572" s="81">
        <f t="shared" si="686"/>
        <v>5</v>
      </c>
      <c r="T572" s="81">
        <f t="shared" si="686"/>
        <v>0</v>
      </c>
      <c r="U572" s="81">
        <f t="shared" si="686"/>
        <v>10</v>
      </c>
      <c r="V572" s="81">
        <f t="shared" si="686"/>
        <v>10</v>
      </c>
      <c r="W572" s="381">
        <f t="shared" si="686"/>
        <v>2</v>
      </c>
      <c r="X572" s="82">
        <f t="shared" si="686"/>
        <v>19</v>
      </c>
      <c r="Y572" s="82">
        <f t="shared" si="686"/>
        <v>21</v>
      </c>
      <c r="Z572" s="205">
        <f t="shared" si="683"/>
        <v>1</v>
      </c>
      <c r="AA572" s="205"/>
      <c r="AB572" s="205"/>
      <c r="AC572" s="83"/>
      <c r="AE572" s="80"/>
      <c r="AF572" s="80"/>
      <c r="AG572" s="81"/>
      <c r="AH572" s="82"/>
      <c r="AI572" s="66"/>
      <c r="AK572" s="80"/>
      <c r="AL572" s="80"/>
      <c r="AM572" s="81"/>
      <c r="AN572" s="82"/>
      <c r="AO572" s="66"/>
      <c r="AQ572" s="80"/>
      <c r="AR572" s="80"/>
      <c r="AS572" s="81"/>
      <c r="AT572" s="82">
        <f>SUM(AT570:AT571)</f>
        <v>2</v>
      </c>
      <c r="AU572" s="66">
        <f t="shared" si="684"/>
        <v>1</v>
      </c>
      <c r="AW572" s="80"/>
      <c r="AX572" s="80"/>
      <c r="AY572" s="81"/>
      <c r="AZ572" s="82">
        <f>SUM(AZ570:AZ571)</f>
        <v>19</v>
      </c>
      <c r="BA572" s="66">
        <f t="shared" si="685"/>
        <v>1</v>
      </c>
    </row>
    <row r="573" spans="1:53" s="117" customFormat="1" ht="17.100000000000001" customHeight="1" x14ac:dyDescent="0.25">
      <c r="A573" s="68"/>
      <c r="B573" s="119"/>
      <c r="C573" s="540"/>
      <c r="D573" s="261"/>
      <c r="E573" s="261"/>
      <c r="F573" s="68"/>
      <c r="G573" s="68"/>
      <c r="H573" s="119"/>
      <c r="I573" s="138"/>
      <c r="J573" s="17"/>
      <c r="K573" s="17"/>
      <c r="L573" s="17"/>
      <c r="M573" s="17"/>
      <c r="N573" s="17" t="str">
        <f>IF(N572=N$20,"OK","NOK")</f>
        <v>OK</v>
      </c>
      <c r="O573" s="17" t="str">
        <f>IF(O572=O$20,"OK","NOK")</f>
        <v>OK</v>
      </c>
      <c r="P573" s="17"/>
      <c r="Q573" s="17" t="str">
        <f>IF(Q572=Q$20,"OK","NOK")</f>
        <v>OK</v>
      </c>
      <c r="R573" s="17" t="str">
        <f>IF(R572=R$20,"OK","NOK")</f>
        <v>OK</v>
      </c>
      <c r="S573" s="17"/>
      <c r="T573" s="17" t="str">
        <f>IF(T572=T$20,"OK","NOK")</f>
        <v>OK</v>
      </c>
      <c r="U573" s="17" t="str">
        <f>IF(U572=U$20,"OK","NOK")</f>
        <v>OK</v>
      </c>
      <c r="V573" s="359"/>
      <c r="W573" s="382"/>
      <c r="X573" s="539"/>
      <c r="Y573" s="539"/>
      <c r="Z573" s="201"/>
      <c r="AA573" s="201"/>
      <c r="AB573" s="201"/>
      <c r="AC573" s="84"/>
      <c r="AE573" s="46"/>
      <c r="AF573" s="46"/>
      <c r="AG573" s="17"/>
      <c r="AH573" s="539"/>
      <c r="AI573" s="91"/>
      <c r="AK573" s="46"/>
      <c r="AL573" s="46"/>
      <c r="AM573" s="17"/>
      <c r="AN573" s="539"/>
      <c r="AO573" s="91"/>
      <c r="AQ573" s="46"/>
      <c r="AR573" s="46"/>
      <c r="AS573" s="17"/>
      <c r="AT573" s="539"/>
      <c r="AU573" s="91"/>
      <c r="AW573" s="46"/>
      <c r="AX573" s="46"/>
      <c r="AY573" s="17"/>
      <c r="AZ573" s="539"/>
      <c r="BA573" s="91"/>
    </row>
    <row r="574" spans="1:53" s="32" customFormat="1" ht="16.5" thickBot="1" x14ac:dyDescent="0.3">
      <c r="A574" s="342"/>
      <c r="B574" s="330"/>
      <c r="C574" s="331"/>
      <c r="D574" s="343"/>
      <c r="E574" s="343"/>
      <c r="F574" s="343"/>
      <c r="G574" s="343"/>
      <c r="H574" s="344"/>
      <c r="I574" s="14"/>
      <c r="J574" s="345"/>
      <c r="K574" s="345"/>
      <c r="L574" s="345"/>
      <c r="M574" s="345"/>
      <c r="N574" s="345"/>
      <c r="O574" s="345"/>
      <c r="P574" s="345"/>
      <c r="Q574" s="345"/>
      <c r="R574" s="345"/>
      <c r="S574" s="345"/>
      <c r="T574" s="345"/>
      <c r="U574" s="345"/>
      <c r="V574" s="374"/>
      <c r="W574" s="396"/>
      <c r="X574" s="345"/>
      <c r="Y574" s="346"/>
      <c r="Z574" s="346"/>
      <c r="AA574" s="346"/>
      <c r="AB574" s="346"/>
      <c r="AC574" s="346"/>
      <c r="AE574" s="347"/>
      <c r="AF574" s="347"/>
      <c r="AG574" s="347"/>
      <c r="AH574" s="347"/>
      <c r="AI574" s="348"/>
      <c r="AJ574" s="408"/>
      <c r="AK574" s="349"/>
      <c r="AL574" s="349"/>
      <c r="AM574" s="349"/>
      <c r="AN574" s="349"/>
      <c r="AO574" s="350"/>
      <c r="AP574" s="408"/>
      <c r="AQ574" s="349"/>
      <c r="AR574" s="349"/>
      <c r="AS574" s="349"/>
      <c r="AT574" s="349"/>
      <c r="AU574" s="350"/>
      <c r="AV574" s="408"/>
      <c r="AW574" s="351"/>
      <c r="AX574" s="351"/>
      <c r="AY574" s="351"/>
      <c r="AZ574" s="351"/>
      <c r="BA574" s="352"/>
    </row>
    <row r="575" spans="1:53" ht="17.100000000000001" customHeight="1" x14ac:dyDescent="0.25">
      <c r="A575" s="68"/>
      <c r="B575" s="41" t="s">
        <v>331</v>
      </c>
      <c r="C575" s="69" t="s">
        <v>332</v>
      </c>
      <c r="D575" s="50"/>
      <c r="E575" s="70"/>
      <c r="F575" s="70"/>
      <c r="G575" s="70"/>
      <c r="H575" s="263">
        <v>17</v>
      </c>
      <c r="J575" s="71"/>
      <c r="K575" s="71"/>
      <c r="L575" s="71"/>
      <c r="M575" s="71"/>
      <c r="N575" s="71"/>
      <c r="O575" s="71"/>
      <c r="P575" s="71"/>
      <c r="Q575" s="71"/>
      <c r="R575" s="71"/>
      <c r="S575" s="71"/>
      <c r="T575" s="71"/>
      <c r="U575" s="71"/>
      <c r="V575" s="355"/>
      <c r="W575" s="377"/>
      <c r="X575" s="71"/>
      <c r="Y575" s="72"/>
      <c r="Z575" s="73"/>
      <c r="AA575" s="73"/>
      <c r="AB575" s="73"/>
      <c r="AC575" s="73"/>
      <c r="AE575" s="71"/>
      <c r="AF575" s="71"/>
      <c r="AG575" s="71"/>
      <c r="AH575" s="72"/>
      <c r="AI575" s="73"/>
      <c r="AK575" s="71"/>
      <c r="AL575" s="71"/>
      <c r="AM575" s="71"/>
      <c r="AN575" s="72"/>
      <c r="AO575" s="73"/>
      <c r="AQ575" s="71"/>
      <c r="AR575" s="71"/>
      <c r="AS575" s="71"/>
      <c r="AT575" s="72"/>
      <c r="AU575" s="73"/>
      <c r="AW575" s="71"/>
      <c r="AX575" s="71"/>
      <c r="AY575" s="71"/>
      <c r="AZ575" s="72"/>
      <c r="BA575" s="73"/>
    </row>
    <row r="576" spans="1:53" ht="17.100000000000001" customHeight="1" x14ac:dyDescent="0.25">
      <c r="A576" s="40"/>
      <c r="B576" s="40"/>
      <c r="C576" s="74" t="s">
        <v>333</v>
      </c>
      <c r="D576" s="85" t="s">
        <v>9</v>
      </c>
      <c r="E576" s="105"/>
      <c r="F576" s="105"/>
      <c r="G576" s="105"/>
      <c r="H576" s="119"/>
      <c r="I576" s="231"/>
      <c r="J576" s="581"/>
      <c r="K576" s="581"/>
      <c r="L576" s="582"/>
      <c r="M576" s="593">
        <f>SUM(J576:L576)</f>
        <v>0</v>
      </c>
      <c r="N576" s="111"/>
      <c r="O576" s="111"/>
      <c r="P576" s="111"/>
      <c r="Q576" s="111"/>
      <c r="R576" s="111"/>
      <c r="S576" s="111"/>
      <c r="T576" s="111"/>
      <c r="U576" s="111"/>
      <c r="V576" s="358"/>
      <c r="W576" s="391">
        <f t="shared" ref="W576:W579" si="687">J576+K576+N576+Q576+T576</f>
        <v>0</v>
      </c>
      <c r="X576" s="17">
        <f t="shared" ref="X576:X579" si="688">L576+O576+R576+U576</f>
        <v>0</v>
      </c>
      <c r="Y576" s="18">
        <f>SUM(W576:X576)</f>
        <v>0</v>
      </c>
      <c r="Z576" s="19">
        <f>IF(Y$580=0,0,Y576/Y$580)</f>
        <v>0</v>
      </c>
      <c r="AA576" s="19"/>
      <c r="AB576" s="19"/>
      <c r="AC576" s="17"/>
      <c r="AE576" s="17"/>
      <c r="AF576" s="17"/>
      <c r="AG576" s="17"/>
      <c r="AH576" s="18">
        <f t="shared" ref="AH576:AH579" si="689">J576</f>
        <v>0</v>
      </c>
      <c r="AI576" s="19">
        <f>IF(AH$580=0,0,AH576/AH$580)</f>
        <v>0</v>
      </c>
      <c r="AJ576" s="97"/>
      <c r="AK576" s="17"/>
      <c r="AL576" s="17"/>
      <c r="AM576" s="17"/>
      <c r="AN576" s="18">
        <f t="shared" ref="AN576:AN579" si="690">K576</f>
        <v>0</v>
      </c>
      <c r="AO576" s="19">
        <f>IF(AN$580=0,0,AN576/AN$580)</f>
        <v>0</v>
      </c>
      <c r="AP576" s="97"/>
      <c r="AQ576" s="17"/>
      <c r="AR576" s="17"/>
      <c r="AS576" s="17"/>
      <c r="AT576" s="18">
        <f t="shared" ref="AT576:AT579" si="691">W576</f>
        <v>0</v>
      </c>
      <c r="AU576" s="19">
        <f>IF(AT$580=0,0,AT576/AT$580)</f>
        <v>0</v>
      </c>
      <c r="AV576" s="97"/>
      <c r="AW576" s="17"/>
      <c r="AX576" s="17"/>
      <c r="AY576" s="17"/>
      <c r="AZ576" s="18">
        <f t="shared" ref="AZ576:AZ579" si="692">X576</f>
        <v>0</v>
      </c>
      <c r="BA576" s="19">
        <f>IF(AZ$580=0,0,AZ576/AZ$580)</f>
        <v>0</v>
      </c>
    </row>
    <row r="577" spans="1:53" ht="17.100000000000001" customHeight="1" x14ac:dyDescent="0.25">
      <c r="A577" s="40"/>
      <c r="B577" s="40"/>
      <c r="C577" s="74" t="s">
        <v>334</v>
      </c>
      <c r="D577" s="85" t="s">
        <v>335</v>
      </c>
      <c r="E577" s="105"/>
      <c r="F577" s="105"/>
      <c r="G577" s="105"/>
      <c r="H577" s="119"/>
      <c r="I577" s="231"/>
      <c r="J577" s="583"/>
      <c r="K577" s="583"/>
      <c r="L577" s="584"/>
      <c r="M577" s="593">
        <f t="shared" ref="M577:M579" si="693">SUM(J577:L577)</f>
        <v>0</v>
      </c>
      <c r="N577" s="111"/>
      <c r="O577" s="111"/>
      <c r="P577" s="111"/>
      <c r="Q577" s="111"/>
      <c r="R577" s="111"/>
      <c r="S577" s="111"/>
      <c r="T577" s="111"/>
      <c r="U577" s="111"/>
      <c r="V577" s="358"/>
      <c r="W577" s="391">
        <f t="shared" si="687"/>
        <v>0</v>
      </c>
      <c r="X577" s="17">
        <f t="shared" si="688"/>
        <v>0</v>
      </c>
      <c r="Y577" s="18">
        <f>SUM(W577:X577)</f>
        <v>0</v>
      </c>
      <c r="Z577" s="19">
        <f t="shared" ref="Z577:Z579" si="694">IF(Y$580=0,0,Y577/Y$580)</f>
        <v>0</v>
      </c>
      <c r="AA577" s="19"/>
      <c r="AB577" s="19"/>
      <c r="AC577" s="17"/>
      <c r="AE577" s="17"/>
      <c r="AF577" s="17"/>
      <c r="AG577" s="17"/>
      <c r="AH577" s="18">
        <f t="shared" si="689"/>
        <v>0</v>
      </c>
      <c r="AI577" s="19">
        <f t="shared" ref="AI577:AI580" si="695">IF(AH$580=0,0,AH577/AH$580)</f>
        <v>0</v>
      </c>
      <c r="AJ577" s="97"/>
      <c r="AK577" s="17"/>
      <c r="AL577" s="17"/>
      <c r="AM577" s="17"/>
      <c r="AN577" s="18">
        <f t="shared" si="690"/>
        <v>0</v>
      </c>
      <c r="AO577" s="19">
        <f t="shared" ref="AO577:AO580" si="696">IF(AN$580=0,0,AN577/AN$580)</f>
        <v>0</v>
      </c>
      <c r="AP577" s="97"/>
      <c r="AQ577" s="17"/>
      <c r="AR577" s="17"/>
      <c r="AS577" s="17"/>
      <c r="AT577" s="18">
        <f t="shared" si="691"/>
        <v>0</v>
      </c>
      <c r="AU577" s="19">
        <f t="shared" ref="AU577:AU580" si="697">IF(AT$580=0,0,AT577/AT$580)</f>
        <v>0</v>
      </c>
      <c r="AV577" s="97"/>
      <c r="AW577" s="17"/>
      <c r="AX577" s="17"/>
      <c r="AY577" s="17"/>
      <c r="AZ577" s="18">
        <f t="shared" si="692"/>
        <v>0</v>
      </c>
      <c r="BA577" s="19">
        <f t="shared" ref="BA577:BA580" si="698">IF(AZ$580=0,0,AZ577/AZ$580)</f>
        <v>0</v>
      </c>
    </row>
    <row r="578" spans="1:53" ht="17.100000000000001" customHeight="1" x14ac:dyDescent="0.25">
      <c r="A578" s="40"/>
      <c r="B578" s="40"/>
      <c r="C578" s="74" t="s">
        <v>336</v>
      </c>
      <c r="D578" s="85" t="s">
        <v>129</v>
      </c>
      <c r="E578" s="105"/>
      <c r="F578" s="105"/>
      <c r="G578" s="105"/>
      <c r="H578" s="119"/>
      <c r="I578" s="231"/>
      <c r="J578" s="581"/>
      <c r="K578" s="581"/>
      <c r="L578" s="582"/>
      <c r="M578" s="593">
        <f t="shared" si="693"/>
        <v>0</v>
      </c>
      <c r="N578" s="111"/>
      <c r="O578" s="111"/>
      <c r="P578" s="111"/>
      <c r="Q578" s="111"/>
      <c r="R578" s="111"/>
      <c r="S578" s="111"/>
      <c r="T578" s="111"/>
      <c r="U578" s="111"/>
      <c r="V578" s="358"/>
      <c r="W578" s="391">
        <f t="shared" si="687"/>
        <v>0</v>
      </c>
      <c r="X578" s="17">
        <f t="shared" si="688"/>
        <v>0</v>
      </c>
      <c r="Y578" s="18">
        <f>SUM(W578:X578)</f>
        <v>0</v>
      </c>
      <c r="Z578" s="19">
        <f t="shared" si="694"/>
        <v>0</v>
      </c>
      <c r="AA578" s="19"/>
      <c r="AB578" s="19"/>
      <c r="AC578" s="17"/>
      <c r="AE578" s="17"/>
      <c r="AF578" s="17"/>
      <c r="AG578" s="17"/>
      <c r="AH578" s="18">
        <f t="shared" si="689"/>
        <v>0</v>
      </c>
      <c r="AI578" s="19">
        <f t="shared" si="695"/>
        <v>0</v>
      </c>
      <c r="AJ578" s="97"/>
      <c r="AK578" s="17"/>
      <c r="AL578" s="17"/>
      <c r="AM578" s="17"/>
      <c r="AN578" s="18">
        <f t="shared" si="690"/>
        <v>0</v>
      </c>
      <c r="AO578" s="19">
        <f t="shared" si="696"/>
        <v>0</v>
      </c>
      <c r="AP578" s="97"/>
      <c r="AQ578" s="17"/>
      <c r="AR578" s="17"/>
      <c r="AS578" s="17"/>
      <c r="AT578" s="18">
        <f t="shared" si="691"/>
        <v>0</v>
      </c>
      <c r="AU578" s="19">
        <f t="shared" si="697"/>
        <v>0</v>
      </c>
      <c r="AV578" s="97"/>
      <c r="AW578" s="17"/>
      <c r="AX578" s="17"/>
      <c r="AY578" s="17"/>
      <c r="AZ578" s="18">
        <f t="shared" si="692"/>
        <v>0</v>
      </c>
      <c r="BA578" s="19">
        <f t="shared" si="698"/>
        <v>0</v>
      </c>
    </row>
    <row r="579" spans="1:53" ht="17.100000000000001" customHeight="1" x14ac:dyDescent="0.25">
      <c r="A579" s="40"/>
      <c r="B579" s="40"/>
      <c r="C579" s="74" t="s">
        <v>554</v>
      </c>
      <c r="D579" s="85" t="s">
        <v>530</v>
      </c>
      <c r="E579" s="105"/>
      <c r="F579" s="105"/>
      <c r="G579" s="105"/>
      <c r="H579" s="119"/>
      <c r="I579" s="231"/>
      <c r="J579" s="583"/>
      <c r="K579" s="583"/>
      <c r="L579" s="584"/>
      <c r="M579" s="593">
        <f t="shared" si="693"/>
        <v>0</v>
      </c>
      <c r="N579" s="111"/>
      <c r="O579" s="111"/>
      <c r="P579" s="111"/>
      <c r="Q579" s="111"/>
      <c r="R579" s="111"/>
      <c r="S579" s="111"/>
      <c r="T579" s="111"/>
      <c r="U579" s="111"/>
      <c r="V579" s="358"/>
      <c r="W579" s="391">
        <f t="shared" si="687"/>
        <v>0</v>
      </c>
      <c r="X579" s="17">
        <f t="shared" si="688"/>
        <v>0</v>
      </c>
      <c r="Y579" s="18">
        <f>SUM(W579:X579)</f>
        <v>0</v>
      </c>
      <c r="Z579" s="19">
        <f t="shared" si="694"/>
        <v>0</v>
      </c>
      <c r="AA579" s="19"/>
      <c r="AB579" s="19"/>
      <c r="AC579" s="17"/>
      <c r="AE579" s="17"/>
      <c r="AF579" s="17"/>
      <c r="AG579" s="17"/>
      <c r="AH579" s="18">
        <f t="shared" si="689"/>
        <v>0</v>
      </c>
      <c r="AI579" s="19">
        <f t="shared" si="695"/>
        <v>0</v>
      </c>
      <c r="AJ579" s="97"/>
      <c r="AK579" s="17"/>
      <c r="AL579" s="17"/>
      <c r="AM579" s="17"/>
      <c r="AN579" s="18">
        <f t="shared" si="690"/>
        <v>0</v>
      </c>
      <c r="AO579" s="19">
        <f t="shared" si="696"/>
        <v>0</v>
      </c>
      <c r="AP579" s="97"/>
      <c r="AQ579" s="17"/>
      <c r="AR579" s="17"/>
      <c r="AS579" s="17"/>
      <c r="AT579" s="18">
        <f t="shared" si="691"/>
        <v>0</v>
      </c>
      <c r="AU579" s="19">
        <f t="shared" si="697"/>
        <v>0</v>
      </c>
      <c r="AV579" s="97"/>
      <c r="AW579" s="17"/>
      <c r="AX579" s="17"/>
      <c r="AY579" s="17"/>
      <c r="AZ579" s="18">
        <f t="shared" si="692"/>
        <v>0</v>
      </c>
      <c r="BA579" s="19">
        <f t="shared" si="698"/>
        <v>0</v>
      </c>
    </row>
    <row r="580" spans="1:53" ht="17.100000000000001" customHeight="1" x14ac:dyDescent="0.25">
      <c r="A580" s="40"/>
      <c r="B580" s="40"/>
      <c r="C580" s="77"/>
      <c r="D580" s="134"/>
      <c r="E580" s="134"/>
      <c r="F580" s="134"/>
      <c r="G580" s="134"/>
      <c r="H580" s="540"/>
      <c r="I580" s="229"/>
      <c r="J580" s="80">
        <f>SUM(J576:J579)</f>
        <v>0</v>
      </c>
      <c r="K580" s="80">
        <f t="shared" ref="K580:M580" si="699">SUM(K576:K579)</f>
        <v>0</v>
      </c>
      <c r="L580" s="80">
        <f t="shared" si="699"/>
        <v>0</v>
      </c>
      <c r="M580" s="80">
        <f t="shared" si="699"/>
        <v>0</v>
      </c>
      <c r="N580" s="81"/>
      <c r="O580" s="81"/>
      <c r="P580" s="81"/>
      <c r="Q580" s="81"/>
      <c r="R580" s="81"/>
      <c r="S580" s="81"/>
      <c r="T580" s="81"/>
      <c r="U580" s="81"/>
      <c r="V580" s="356"/>
      <c r="W580" s="381">
        <f t="shared" ref="W580:X580" si="700">SUM(W576:W579)</f>
        <v>0</v>
      </c>
      <c r="X580" s="82">
        <f t="shared" si="700"/>
        <v>0</v>
      </c>
      <c r="Y580" s="82">
        <f>SUM(Y576:Y579)</f>
        <v>0</v>
      </c>
      <c r="Z580" s="205">
        <f>IF(Y$580=0,0,Y580/Y$580)</f>
        <v>0</v>
      </c>
      <c r="AA580" s="205"/>
      <c r="AB580" s="205"/>
      <c r="AC580" s="83"/>
      <c r="AE580" s="80"/>
      <c r="AF580" s="80"/>
      <c r="AG580" s="81"/>
      <c r="AH580" s="82">
        <f>SUM(AH576:AH579)</f>
        <v>0</v>
      </c>
      <c r="AI580" s="66">
        <f t="shared" si="695"/>
        <v>0</v>
      </c>
      <c r="AK580" s="80"/>
      <c r="AL580" s="80"/>
      <c r="AM580" s="81"/>
      <c r="AN580" s="82">
        <f>SUM(AN576:AN579)</f>
        <v>0</v>
      </c>
      <c r="AO580" s="66">
        <f t="shared" si="696"/>
        <v>0</v>
      </c>
      <c r="AQ580" s="80"/>
      <c r="AR580" s="80"/>
      <c r="AS580" s="81"/>
      <c r="AT580" s="82">
        <f>SUM(AT576:AT579)</f>
        <v>0</v>
      </c>
      <c r="AU580" s="66">
        <f t="shared" si="697"/>
        <v>0</v>
      </c>
      <c r="AW580" s="80"/>
      <c r="AX580" s="80"/>
      <c r="AY580" s="81"/>
      <c r="AZ580" s="82">
        <f>SUM(AZ576:AZ579)</f>
        <v>0</v>
      </c>
      <c r="BA580" s="66">
        <f t="shared" si="698"/>
        <v>0</v>
      </c>
    </row>
    <row r="581" spans="1:53" s="117" customFormat="1" ht="17.100000000000001" customHeight="1" x14ac:dyDescent="0.25">
      <c r="A581" s="68"/>
      <c r="B581" s="119"/>
      <c r="C581" s="540"/>
      <c r="D581" s="261"/>
      <c r="E581" s="261"/>
      <c r="F581" s="68"/>
      <c r="G581" s="68"/>
      <c r="H581" s="119"/>
      <c r="I581" s="138"/>
      <c r="J581" s="17" t="str">
        <f>IF(J580=J$15,"OK","NOK")</f>
        <v>OK</v>
      </c>
      <c r="K581" s="17" t="str">
        <f t="shared" ref="K581:L581" si="701">IF(K580=K$15,"OK","NOK")</f>
        <v>OK</v>
      </c>
      <c r="L581" s="17" t="str">
        <f t="shared" si="701"/>
        <v>OK</v>
      </c>
      <c r="M581" s="17"/>
      <c r="N581" s="17"/>
      <c r="O581" s="17"/>
      <c r="P581" s="17"/>
      <c r="Q581" s="17"/>
      <c r="R581" s="17"/>
      <c r="S581" s="17"/>
      <c r="T581" s="17"/>
      <c r="U581" s="17"/>
      <c r="V581" s="359"/>
      <c r="W581" s="382"/>
      <c r="X581" s="539"/>
      <c r="Y581" s="539"/>
      <c r="Z581" s="201"/>
      <c r="AA581" s="201"/>
      <c r="AB581" s="201"/>
      <c r="AC581" s="84"/>
      <c r="AE581" s="46"/>
      <c r="AF581" s="46"/>
      <c r="AG581" s="17"/>
      <c r="AH581" s="539"/>
      <c r="AI581" s="91"/>
      <c r="AK581" s="46"/>
      <c r="AL581" s="46"/>
      <c r="AM581" s="17"/>
      <c r="AN581" s="539"/>
      <c r="AO581" s="91"/>
      <c r="AQ581" s="46"/>
      <c r="AR581" s="46"/>
      <c r="AS581" s="17"/>
      <c r="AT581" s="539"/>
      <c r="AU581" s="91"/>
      <c r="AW581" s="46"/>
      <c r="AX581" s="46"/>
      <c r="AY581" s="17"/>
      <c r="AZ581" s="539"/>
      <c r="BA581" s="91"/>
    </row>
    <row r="582" spans="1:53" ht="17.100000000000001" customHeight="1" x14ac:dyDescent="0.25">
      <c r="A582" s="40"/>
      <c r="B582" s="41" t="s">
        <v>337</v>
      </c>
      <c r="C582" s="69" t="s">
        <v>361</v>
      </c>
      <c r="D582" s="50"/>
      <c r="E582" s="70"/>
      <c r="F582" s="70"/>
      <c r="G582" s="70"/>
      <c r="H582" s="247">
        <v>21</v>
      </c>
      <c r="J582" s="71"/>
      <c r="K582" s="71"/>
      <c r="L582" s="71"/>
      <c r="M582" s="71"/>
      <c r="N582" s="71"/>
      <c r="O582" s="71"/>
      <c r="P582" s="71"/>
      <c r="Q582" s="71"/>
      <c r="R582" s="71"/>
      <c r="S582" s="71"/>
      <c r="T582" s="71"/>
      <c r="U582" s="71"/>
      <c r="V582" s="355"/>
      <c r="W582" s="377"/>
      <c r="X582" s="71"/>
      <c r="Y582" s="89"/>
      <c r="Z582" s="90"/>
      <c r="AA582" s="90"/>
      <c r="AB582" s="90"/>
      <c r="AC582" s="227"/>
      <c r="AE582" s="71"/>
      <c r="AF582" s="71"/>
      <c r="AG582" s="71"/>
      <c r="AH582" s="89"/>
      <c r="AI582" s="71"/>
      <c r="AK582" s="71"/>
      <c r="AL582" s="71"/>
      <c r="AM582" s="71"/>
      <c r="AN582" s="89"/>
      <c r="AO582" s="71"/>
      <c r="AQ582" s="71"/>
      <c r="AR582" s="71"/>
      <c r="AS582" s="71"/>
      <c r="AT582" s="89"/>
      <c r="AU582" s="71"/>
      <c r="AW582" s="71"/>
      <c r="AX582" s="71"/>
      <c r="AY582" s="71"/>
      <c r="AZ582" s="89"/>
      <c r="BA582" s="71"/>
    </row>
    <row r="583" spans="1:53" ht="17.100000000000001" customHeight="1" x14ac:dyDescent="0.25">
      <c r="A583" s="40"/>
      <c r="B583" s="40"/>
      <c r="C583" s="74" t="s">
        <v>499</v>
      </c>
      <c r="D583" s="85" t="s">
        <v>495</v>
      </c>
      <c r="E583" s="105"/>
      <c r="F583" s="105"/>
      <c r="G583" s="105"/>
      <c r="H583" s="119"/>
      <c r="I583" s="231"/>
      <c r="J583" s="581"/>
      <c r="K583" s="581"/>
      <c r="L583" s="582"/>
      <c r="M583" s="593">
        <f t="shared" ref="M583:M588" si="702">SUM(J583:L583)</f>
        <v>0</v>
      </c>
      <c r="N583" s="111"/>
      <c r="O583" s="111"/>
      <c r="P583" s="111"/>
      <c r="Q583" s="111"/>
      <c r="R583" s="111"/>
      <c r="S583" s="111"/>
      <c r="T583" s="111"/>
      <c r="U583" s="111"/>
      <c r="V583" s="358"/>
      <c r="W583" s="391">
        <f t="shared" ref="W583:W588" si="703">J583+K583+N583+Q583+T583</f>
        <v>0</v>
      </c>
      <c r="X583" s="17">
        <f t="shared" ref="X583:X588" si="704">L583+O583+R583+U583</f>
        <v>0</v>
      </c>
      <c r="Y583" s="18">
        <f t="shared" ref="Y583:Y588" si="705">SUM(W583:X583)</f>
        <v>0</v>
      </c>
      <c r="Z583" s="19">
        <f>IF(Y$589=0,0,Y583/Y$589)</f>
        <v>0</v>
      </c>
      <c r="AA583" s="19"/>
      <c r="AB583" s="19"/>
      <c r="AC583" s="17"/>
      <c r="AE583" s="17"/>
      <c r="AF583" s="17"/>
      <c r="AG583" s="17"/>
      <c r="AH583" s="18">
        <f t="shared" ref="AH583:AH588" si="706">J583</f>
        <v>0</v>
      </c>
      <c r="AI583" s="19">
        <f>IF(AH$589=0,0,AH583/AH$589)</f>
        <v>0</v>
      </c>
      <c r="AJ583" s="97"/>
      <c r="AK583" s="17"/>
      <c r="AL583" s="17"/>
      <c r="AM583" s="17"/>
      <c r="AN583" s="18">
        <f t="shared" ref="AN583:AN588" si="707">K583</f>
        <v>0</v>
      </c>
      <c r="AO583" s="19">
        <f>IF(AN$589=0,0,AN583/AN$589)</f>
        <v>0</v>
      </c>
      <c r="AP583" s="97"/>
      <c r="AQ583" s="17"/>
      <c r="AR583" s="17"/>
      <c r="AS583" s="17"/>
      <c r="AT583" s="18">
        <f t="shared" ref="AT583:AT588" si="708">W583</f>
        <v>0</v>
      </c>
      <c r="AU583" s="19">
        <f>IF(AT$589=0,0,AT583/AT$589)</f>
        <v>0</v>
      </c>
      <c r="AV583" s="97"/>
      <c r="AW583" s="17"/>
      <c r="AX583" s="17"/>
      <c r="AY583" s="17"/>
      <c r="AZ583" s="18">
        <f t="shared" ref="AZ583:AZ588" si="709">X583</f>
        <v>0</v>
      </c>
      <c r="BA583" s="19">
        <f>IF(AZ$589=0,0,AZ583/AZ$589)</f>
        <v>0</v>
      </c>
    </row>
    <row r="584" spans="1:53" ht="17.100000000000001" customHeight="1" x14ac:dyDescent="0.25">
      <c r="A584" s="40"/>
      <c r="B584" s="40"/>
      <c r="C584" s="74" t="s">
        <v>500</v>
      </c>
      <c r="D584" s="85" t="s">
        <v>496</v>
      </c>
      <c r="E584" s="105"/>
      <c r="F584" s="105"/>
      <c r="G584" s="105"/>
      <c r="H584" s="119"/>
      <c r="I584" s="231"/>
      <c r="J584" s="583"/>
      <c r="K584" s="583"/>
      <c r="L584" s="584"/>
      <c r="M584" s="593">
        <f t="shared" si="702"/>
        <v>0</v>
      </c>
      <c r="N584" s="111"/>
      <c r="O584" s="111"/>
      <c r="P584" s="111"/>
      <c r="Q584" s="111"/>
      <c r="R584" s="111"/>
      <c r="S584" s="111"/>
      <c r="T584" s="111"/>
      <c r="U584" s="111"/>
      <c r="V584" s="358"/>
      <c r="W584" s="391">
        <f t="shared" si="703"/>
        <v>0</v>
      </c>
      <c r="X584" s="17">
        <f t="shared" si="704"/>
        <v>0</v>
      </c>
      <c r="Y584" s="18">
        <f t="shared" si="705"/>
        <v>0</v>
      </c>
      <c r="Z584" s="19">
        <f t="shared" ref="Z584:Z588" si="710">IF(Y$589=0,0,Y584/Y$589)</f>
        <v>0</v>
      </c>
      <c r="AA584" s="19"/>
      <c r="AB584" s="19"/>
      <c r="AC584" s="17"/>
      <c r="AE584" s="17"/>
      <c r="AF584" s="17"/>
      <c r="AG584" s="17"/>
      <c r="AH584" s="18">
        <f t="shared" si="706"/>
        <v>0</v>
      </c>
      <c r="AI584" s="19">
        <f t="shared" ref="AI584:AI589" si="711">IF(AH$589=0,0,AH584/AH$589)</f>
        <v>0</v>
      </c>
      <c r="AJ584" s="97"/>
      <c r="AK584" s="17"/>
      <c r="AL584" s="17"/>
      <c r="AM584" s="17"/>
      <c r="AN584" s="18">
        <f t="shared" si="707"/>
        <v>0</v>
      </c>
      <c r="AO584" s="19">
        <f t="shared" ref="AO584:AO589" si="712">IF(AN$589=0,0,AN584/AN$589)</f>
        <v>0</v>
      </c>
      <c r="AP584" s="97"/>
      <c r="AQ584" s="17"/>
      <c r="AR584" s="17"/>
      <c r="AS584" s="17"/>
      <c r="AT584" s="18">
        <f t="shared" si="708"/>
        <v>0</v>
      </c>
      <c r="AU584" s="19">
        <f t="shared" ref="AU584:AU589" si="713">IF(AT$589=0,0,AT584/AT$589)</f>
        <v>0</v>
      </c>
      <c r="AV584" s="97"/>
      <c r="AW584" s="17"/>
      <c r="AX584" s="17"/>
      <c r="AY584" s="17"/>
      <c r="AZ584" s="18">
        <f t="shared" si="709"/>
        <v>0</v>
      </c>
      <c r="BA584" s="19">
        <f t="shared" ref="BA584:BA589" si="714">IF(AZ$589=0,0,AZ584/AZ$589)</f>
        <v>0</v>
      </c>
    </row>
    <row r="585" spans="1:53" ht="17.100000000000001" customHeight="1" x14ac:dyDescent="0.25">
      <c r="A585" s="40"/>
      <c r="B585" s="40"/>
      <c r="C585" s="74" t="s">
        <v>501</v>
      </c>
      <c r="D585" s="85" t="s">
        <v>497</v>
      </c>
      <c r="E585" s="105"/>
      <c r="F585" s="105"/>
      <c r="G585" s="105"/>
      <c r="H585" s="119"/>
      <c r="I585" s="231"/>
      <c r="J585" s="581"/>
      <c r="K585" s="581"/>
      <c r="L585" s="582"/>
      <c r="M585" s="593">
        <f t="shared" si="702"/>
        <v>0</v>
      </c>
      <c r="N585" s="111"/>
      <c r="O585" s="111"/>
      <c r="P585" s="111"/>
      <c r="Q585" s="111"/>
      <c r="R585" s="111"/>
      <c r="S585" s="111"/>
      <c r="T585" s="111"/>
      <c r="U585" s="111"/>
      <c r="V585" s="358"/>
      <c r="W585" s="391">
        <f t="shared" si="703"/>
        <v>0</v>
      </c>
      <c r="X585" s="17">
        <f t="shared" si="704"/>
        <v>0</v>
      </c>
      <c r="Y585" s="18">
        <f t="shared" si="705"/>
        <v>0</v>
      </c>
      <c r="Z585" s="19">
        <f t="shared" si="710"/>
        <v>0</v>
      </c>
      <c r="AA585" s="19"/>
      <c r="AB585" s="19"/>
      <c r="AC585" s="17"/>
      <c r="AE585" s="17"/>
      <c r="AF585" s="17"/>
      <c r="AG585" s="17"/>
      <c r="AH585" s="18">
        <f t="shared" si="706"/>
        <v>0</v>
      </c>
      <c r="AI585" s="19">
        <f t="shared" si="711"/>
        <v>0</v>
      </c>
      <c r="AJ585" s="97"/>
      <c r="AK585" s="17"/>
      <c r="AL585" s="17"/>
      <c r="AM585" s="17"/>
      <c r="AN585" s="18">
        <f t="shared" si="707"/>
        <v>0</v>
      </c>
      <c r="AO585" s="19">
        <f t="shared" si="712"/>
        <v>0</v>
      </c>
      <c r="AP585" s="97"/>
      <c r="AQ585" s="17"/>
      <c r="AR585" s="17"/>
      <c r="AS585" s="17"/>
      <c r="AT585" s="18">
        <f t="shared" si="708"/>
        <v>0</v>
      </c>
      <c r="AU585" s="19">
        <f t="shared" si="713"/>
        <v>0</v>
      </c>
      <c r="AV585" s="97"/>
      <c r="AW585" s="17"/>
      <c r="AX585" s="17"/>
      <c r="AY585" s="17"/>
      <c r="AZ585" s="18">
        <f t="shared" si="709"/>
        <v>0</v>
      </c>
      <c r="BA585" s="19">
        <f t="shared" si="714"/>
        <v>0</v>
      </c>
    </row>
    <row r="586" spans="1:53" ht="17.100000000000001" customHeight="1" x14ac:dyDescent="0.25">
      <c r="A586" s="40"/>
      <c r="B586" s="40"/>
      <c r="C586" s="74" t="s">
        <v>502</v>
      </c>
      <c r="D586" s="85" t="s">
        <v>498</v>
      </c>
      <c r="E586" s="105"/>
      <c r="F586" s="105"/>
      <c r="G586" s="105"/>
      <c r="H586" s="119"/>
      <c r="I586" s="231"/>
      <c r="J586" s="583"/>
      <c r="K586" s="583"/>
      <c r="L586" s="584"/>
      <c r="M586" s="593">
        <f t="shared" si="702"/>
        <v>0</v>
      </c>
      <c r="N586" s="111"/>
      <c r="O586" s="111"/>
      <c r="P586" s="111"/>
      <c r="Q586" s="111"/>
      <c r="R586" s="111"/>
      <c r="S586" s="111"/>
      <c r="T586" s="111"/>
      <c r="U586" s="111"/>
      <c r="V586" s="358"/>
      <c r="W586" s="391">
        <f t="shared" si="703"/>
        <v>0</v>
      </c>
      <c r="X586" s="17">
        <f t="shared" si="704"/>
        <v>0</v>
      </c>
      <c r="Y586" s="18">
        <f t="shared" si="705"/>
        <v>0</v>
      </c>
      <c r="Z586" s="19">
        <f t="shared" si="710"/>
        <v>0</v>
      </c>
      <c r="AA586" s="19"/>
      <c r="AB586" s="19"/>
      <c r="AC586" s="17"/>
      <c r="AE586" s="17"/>
      <c r="AF586" s="17"/>
      <c r="AG586" s="17"/>
      <c r="AH586" s="18">
        <f t="shared" si="706"/>
        <v>0</v>
      </c>
      <c r="AI586" s="19">
        <f t="shared" si="711"/>
        <v>0</v>
      </c>
      <c r="AJ586" s="97"/>
      <c r="AK586" s="17"/>
      <c r="AL586" s="17"/>
      <c r="AM586" s="17"/>
      <c r="AN586" s="18">
        <f t="shared" si="707"/>
        <v>0</v>
      </c>
      <c r="AO586" s="19">
        <f t="shared" si="712"/>
        <v>0</v>
      </c>
      <c r="AP586" s="97"/>
      <c r="AQ586" s="17"/>
      <c r="AR586" s="17"/>
      <c r="AS586" s="17"/>
      <c r="AT586" s="18">
        <f t="shared" si="708"/>
        <v>0</v>
      </c>
      <c r="AU586" s="19">
        <f t="shared" si="713"/>
        <v>0</v>
      </c>
      <c r="AV586" s="97"/>
      <c r="AW586" s="17"/>
      <c r="AX586" s="17"/>
      <c r="AY586" s="17"/>
      <c r="AZ586" s="18">
        <f t="shared" si="709"/>
        <v>0</v>
      </c>
      <c r="BA586" s="19">
        <f t="shared" si="714"/>
        <v>0</v>
      </c>
    </row>
    <row r="587" spans="1:53" ht="17.100000000000001" customHeight="1" x14ac:dyDescent="0.25">
      <c r="A587" s="40"/>
      <c r="B587" s="40"/>
      <c r="C587" s="74" t="s">
        <v>503</v>
      </c>
      <c r="D587" s="85" t="s">
        <v>129</v>
      </c>
      <c r="E587" s="105"/>
      <c r="F587" s="105"/>
      <c r="G587" s="105"/>
      <c r="H587" s="119"/>
      <c r="I587" s="231"/>
      <c r="J587" s="581"/>
      <c r="K587" s="581"/>
      <c r="L587" s="582"/>
      <c r="M587" s="593">
        <f t="shared" si="702"/>
        <v>0</v>
      </c>
      <c r="N587" s="111"/>
      <c r="O587" s="111"/>
      <c r="P587" s="111"/>
      <c r="Q587" s="111"/>
      <c r="R587" s="111"/>
      <c r="S587" s="111"/>
      <c r="T587" s="111"/>
      <c r="U587" s="111"/>
      <c r="V587" s="358"/>
      <c r="W587" s="391">
        <f t="shared" si="703"/>
        <v>0</v>
      </c>
      <c r="X587" s="17">
        <f t="shared" si="704"/>
        <v>0</v>
      </c>
      <c r="Y587" s="18">
        <f t="shared" si="705"/>
        <v>0</v>
      </c>
      <c r="Z587" s="19">
        <f t="shared" si="710"/>
        <v>0</v>
      </c>
      <c r="AA587" s="19"/>
      <c r="AB587" s="19"/>
      <c r="AC587" s="17"/>
      <c r="AE587" s="17"/>
      <c r="AF587" s="17"/>
      <c r="AG587" s="17"/>
      <c r="AH587" s="18">
        <f t="shared" si="706"/>
        <v>0</v>
      </c>
      <c r="AI587" s="19">
        <f t="shared" si="711"/>
        <v>0</v>
      </c>
      <c r="AJ587" s="97"/>
      <c r="AK587" s="17"/>
      <c r="AL587" s="17"/>
      <c r="AM587" s="17"/>
      <c r="AN587" s="18">
        <f t="shared" si="707"/>
        <v>0</v>
      </c>
      <c r="AO587" s="19">
        <f t="shared" si="712"/>
        <v>0</v>
      </c>
      <c r="AP587" s="97"/>
      <c r="AQ587" s="17"/>
      <c r="AR587" s="17"/>
      <c r="AS587" s="17"/>
      <c r="AT587" s="18">
        <f t="shared" si="708"/>
        <v>0</v>
      </c>
      <c r="AU587" s="19">
        <f t="shared" si="713"/>
        <v>0</v>
      </c>
      <c r="AV587" s="97"/>
      <c r="AW587" s="17"/>
      <c r="AX587" s="17"/>
      <c r="AY587" s="17"/>
      <c r="AZ587" s="18">
        <f t="shared" si="709"/>
        <v>0</v>
      </c>
      <c r="BA587" s="19">
        <f t="shared" si="714"/>
        <v>0</v>
      </c>
    </row>
    <row r="588" spans="1:53" ht="17.100000000000001" customHeight="1" x14ac:dyDescent="0.25">
      <c r="A588" s="40"/>
      <c r="B588" s="40"/>
      <c r="C588" s="74" t="s">
        <v>551</v>
      </c>
      <c r="D588" s="85" t="s">
        <v>550</v>
      </c>
      <c r="E588" s="105"/>
      <c r="F588" s="105"/>
      <c r="G588" s="105"/>
      <c r="H588" s="119"/>
      <c r="I588" s="231"/>
      <c r="J588" s="583"/>
      <c r="K588" s="583"/>
      <c r="L588" s="584"/>
      <c r="M588" s="593">
        <f t="shared" si="702"/>
        <v>0</v>
      </c>
      <c r="N588" s="111"/>
      <c r="O588" s="111"/>
      <c r="P588" s="111"/>
      <c r="Q588" s="111"/>
      <c r="R588" s="111"/>
      <c r="S588" s="111"/>
      <c r="T588" s="111"/>
      <c r="U588" s="111"/>
      <c r="V588" s="358"/>
      <c r="W588" s="391">
        <f t="shared" si="703"/>
        <v>0</v>
      </c>
      <c r="X588" s="17">
        <f t="shared" si="704"/>
        <v>0</v>
      </c>
      <c r="Y588" s="18">
        <f t="shared" si="705"/>
        <v>0</v>
      </c>
      <c r="Z588" s="19">
        <f t="shared" si="710"/>
        <v>0</v>
      </c>
      <c r="AA588" s="19"/>
      <c r="AB588" s="19"/>
      <c r="AC588" s="17"/>
      <c r="AE588" s="17"/>
      <c r="AF588" s="17"/>
      <c r="AG588" s="17"/>
      <c r="AH588" s="18">
        <f t="shared" si="706"/>
        <v>0</v>
      </c>
      <c r="AI588" s="19">
        <f t="shared" si="711"/>
        <v>0</v>
      </c>
      <c r="AJ588" s="97"/>
      <c r="AK588" s="17"/>
      <c r="AL588" s="17"/>
      <c r="AM588" s="17"/>
      <c r="AN588" s="18">
        <f t="shared" si="707"/>
        <v>0</v>
      </c>
      <c r="AO588" s="19">
        <f t="shared" si="712"/>
        <v>0</v>
      </c>
      <c r="AP588" s="97"/>
      <c r="AQ588" s="17"/>
      <c r="AR588" s="17"/>
      <c r="AS588" s="17"/>
      <c r="AT588" s="18">
        <f t="shared" si="708"/>
        <v>0</v>
      </c>
      <c r="AU588" s="19">
        <f t="shared" si="713"/>
        <v>0</v>
      </c>
      <c r="AV588" s="97"/>
      <c r="AW588" s="17"/>
      <c r="AX588" s="17"/>
      <c r="AY588" s="17"/>
      <c r="AZ588" s="18">
        <f t="shared" si="709"/>
        <v>0</v>
      </c>
      <c r="BA588" s="19">
        <f t="shared" si="714"/>
        <v>0</v>
      </c>
    </row>
    <row r="589" spans="1:53" ht="17.100000000000001" customHeight="1" x14ac:dyDescent="0.25">
      <c r="A589" s="40"/>
      <c r="B589" s="40"/>
      <c r="C589" s="77"/>
      <c r="D589" s="134"/>
      <c r="E589" s="134"/>
      <c r="F589" s="134"/>
      <c r="G589" s="134"/>
      <c r="H589" s="540"/>
      <c r="I589" s="229"/>
      <c r="J589" s="80">
        <f>SUM(J583:J588)</f>
        <v>0</v>
      </c>
      <c r="K589" s="80">
        <f t="shared" ref="K589:M589" si="715">SUM(K583:K588)</f>
        <v>0</v>
      </c>
      <c r="L589" s="80">
        <f t="shared" si="715"/>
        <v>0</v>
      </c>
      <c r="M589" s="80">
        <f t="shared" si="715"/>
        <v>0</v>
      </c>
      <c r="N589" s="81"/>
      <c r="O589" s="81"/>
      <c r="P589" s="81"/>
      <c r="Q589" s="81"/>
      <c r="R589" s="81"/>
      <c r="S589" s="81"/>
      <c r="T589" s="81"/>
      <c r="U589" s="81"/>
      <c r="V589" s="356"/>
      <c r="W589" s="381">
        <f t="shared" ref="W589:X589" si="716">SUM(W583:W588)</f>
        <v>0</v>
      </c>
      <c r="X589" s="82">
        <f t="shared" si="716"/>
        <v>0</v>
      </c>
      <c r="Y589" s="82">
        <f>SUM(Y583:Y588)</f>
        <v>0</v>
      </c>
      <c r="Z589" s="205">
        <f>IF(Y$589=0,0,Y589/Y$589)</f>
        <v>0</v>
      </c>
      <c r="AA589" s="205"/>
      <c r="AB589" s="205"/>
      <c r="AC589" s="83"/>
      <c r="AE589" s="80"/>
      <c r="AF589" s="80"/>
      <c r="AG589" s="81"/>
      <c r="AH589" s="82">
        <f>SUM(AH583:AH588)</f>
        <v>0</v>
      </c>
      <c r="AI589" s="66">
        <f t="shared" si="711"/>
        <v>0</v>
      </c>
      <c r="AK589" s="80"/>
      <c r="AL589" s="80"/>
      <c r="AM589" s="81"/>
      <c r="AN589" s="82">
        <f>SUM(AN583:AN588)</f>
        <v>0</v>
      </c>
      <c r="AO589" s="66">
        <f t="shared" si="712"/>
        <v>0</v>
      </c>
      <c r="AQ589" s="80"/>
      <c r="AR589" s="80"/>
      <c r="AS589" s="81"/>
      <c r="AT589" s="82">
        <f>SUM(AT583:AT588)</f>
        <v>0</v>
      </c>
      <c r="AU589" s="66">
        <f t="shared" si="713"/>
        <v>0</v>
      </c>
      <c r="AW589" s="80"/>
      <c r="AX589" s="80"/>
      <c r="AY589" s="81"/>
      <c r="AZ589" s="82">
        <f>SUM(AZ583:AZ588)</f>
        <v>0</v>
      </c>
      <c r="BA589" s="66">
        <f t="shared" si="714"/>
        <v>0</v>
      </c>
    </row>
    <row r="590" spans="1:53" s="117" customFormat="1" ht="17.100000000000001" customHeight="1" x14ac:dyDescent="0.25">
      <c r="A590" s="68"/>
      <c r="B590" s="119"/>
      <c r="C590" s="540"/>
      <c r="D590" s="261"/>
      <c r="E590" s="261"/>
      <c r="F590" s="68"/>
      <c r="G590" s="68"/>
      <c r="H590" s="119"/>
      <c r="I590" s="138"/>
      <c r="J590" s="17" t="str">
        <f t="shared" ref="J590:L590" si="717">IF(J589=J$576,"OK","NOK")</f>
        <v>OK</v>
      </c>
      <c r="K590" s="17" t="str">
        <f t="shared" si="717"/>
        <v>OK</v>
      </c>
      <c r="L590" s="17" t="str">
        <f t="shared" si="717"/>
        <v>OK</v>
      </c>
      <c r="M590" s="17"/>
      <c r="N590" s="17"/>
      <c r="O590" s="17"/>
      <c r="P590" s="17"/>
      <c r="Q590" s="17"/>
      <c r="R590" s="17"/>
      <c r="S590" s="17"/>
      <c r="T590" s="17"/>
      <c r="U590" s="17"/>
      <c r="V590" s="359"/>
      <c r="W590" s="382"/>
      <c r="X590" s="539"/>
      <c r="Y590" s="539"/>
      <c r="Z590" s="201"/>
      <c r="AA590" s="201"/>
      <c r="AB590" s="201"/>
      <c r="AC590" s="84"/>
      <c r="AE590" s="46"/>
      <c r="AF590" s="46"/>
      <c r="AG590" s="17"/>
      <c r="AH590" s="539"/>
      <c r="AI590" s="91"/>
      <c r="AK590" s="46"/>
      <c r="AL590" s="46"/>
      <c r="AM590" s="17"/>
      <c r="AN590" s="539"/>
      <c r="AO590" s="91"/>
      <c r="AQ590" s="46"/>
      <c r="AR590" s="46"/>
      <c r="AS590" s="17"/>
      <c r="AT590" s="539"/>
      <c r="AU590" s="91"/>
      <c r="AW590" s="46"/>
      <c r="AX590" s="46"/>
      <c r="AY590" s="17"/>
      <c r="AZ590" s="539"/>
      <c r="BA590" s="91"/>
    </row>
    <row r="591" spans="1:53" ht="17.100000000000001" customHeight="1" x14ac:dyDescent="0.25">
      <c r="A591" s="68"/>
      <c r="B591" s="41" t="s">
        <v>338</v>
      </c>
      <c r="C591" s="69" t="s">
        <v>360</v>
      </c>
      <c r="D591" s="50"/>
      <c r="E591" s="70"/>
      <c r="F591" s="70"/>
      <c r="G591" s="70"/>
      <c r="H591" s="243">
        <v>18</v>
      </c>
      <c r="J591" s="71"/>
      <c r="K591" s="71"/>
      <c r="L591" s="71"/>
      <c r="M591" s="71"/>
      <c r="N591" s="71"/>
      <c r="O591" s="71"/>
      <c r="P591" s="71"/>
      <c r="Q591" s="71"/>
      <c r="R591" s="71"/>
      <c r="S591" s="71"/>
      <c r="T591" s="71"/>
      <c r="U591" s="71"/>
      <c r="V591" s="355"/>
      <c r="W591" s="377"/>
      <c r="X591" s="71"/>
      <c r="Y591" s="72"/>
      <c r="Z591" s="73"/>
      <c r="AA591" s="73"/>
      <c r="AB591" s="73"/>
      <c r="AC591" s="73"/>
      <c r="AE591" s="71"/>
      <c r="AF591" s="71"/>
      <c r="AG591" s="71"/>
      <c r="AH591" s="72"/>
      <c r="AI591" s="73"/>
      <c r="AK591" s="71"/>
      <c r="AL591" s="71"/>
      <c r="AM591" s="71"/>
      <c r="AN591" s="72"/>
      <c r="AO591" s="73"/>
      <c r="AQ591" s="71"/>
      <c r="AR591" s="71"/>
      <c r="AS591" s="71"/>
      <c r="AT591" s="72"/>
      <c r="AU591" s="73"/>
      <c r="AW591" s="71"/>
      <c r="AX591" s="71"/>
      <c r="AY591" s="71"/>
      <c r="AZ591" s="72"/>
      <c r="BA591" s="73"/>
    </row>
    <row r="592" spans="1:53" ht="17.100000000000001" customHeight="1" x14ac:dyDescent="0.25">
      <c r="A592" s="40"/>
      <c r="B592" s="40"/>
      <c r="C592" s="74" t="s">
        <v>339</v>
      </c>
      <c r="D592" s="85" t="s">
        <v>504</v>
      </c>
      <c r="E592" s="105"/>
      <c r="F592" s="105"/>
      <c r="G592" s="105"/>
      <c r="H592" s="119"/>
      <c r="I592" s="231"/>
      <c r="J592" s="581"/>
      <c r="K592" s="581"/>
      <c r="L592" s="582"/>
      <c r="M592" s="593">
        <f t="shared" ref="M592:M596" si="718">SUM(J592:L592)</f>
        <v>0</v>
      </c>
      <c r="N592" s="111"/>
      <c r="O592" s="111"/>
      <c r="P592" s="111"/>
      <c r="Q592" s="111"/>
      <c r="R592" s="111"/>
      <c r="S592" s="111"/>
      <c r="T592" s="111"/>
      <c r="U592" s="111"/>
      <c r="V592" s="358"/>
      <c r="W592" s="391">
        <f t="shared" ref="W592:W596" si="719">J592+K592+N592+Q592+T592</f>
        <v>0</v>
      </c>
      <c r="X592" s="17">
        <f t="shared" ref="X592:X596" si="720">L592+O592+R592+U592</f>
        <v>0</v>
      </c>
      <c r="Y592" s="18">
        <f>SUM(W592:X592)</f>
        <v>0</v>
      </c>
      <c r="Z592" s="19">
        <f>IF(Y$597=0,0,Y592/Y$597)</f>
        <v>0</v>
      </c>
      <c r="AA592" s="19"/>
      <c r="AB592" s="19"/>
      <c r="AC592" s="17"/>
      <c r="AE592" s="17"/>
      <c r="AF592" s="17"/>
      <c r="AG592" s="17"/>
      <c r="AH592" s="18">
        <f t="shared" ref="AH592:AH596" si="721">J592</f>
        <v>0</v>
      </c>
      <c r="AI592" s="19">
        <f>IF(AH$597=0,0,AH592/AH$597)</f>
        <v>0</v>
      </c>
      <c r="AJ592" s="97"/>
      <c r="AK592" s="17"/>
      <c r="AL592" s="17"/>
      <c r="AM592" s="17"/>
      <c r="AN592" s="18">
        <f t="shared" ref="AN592:AN596" si="722">K592</f>
        <v>0</v>
      </c>
      <c r="AO592" s="19">
        <f>IF(AN$597=0,0,AN592/AN$597)</f>
        <v>0</v>
      </c>
      <c r="AP592" s="97"/>
      <c r="AQ592" s="17"/>
      <c r="AR592" s="17"/>
      <c r="AS592" s="17"/>
      <c r="AT592" s="18">
        <f t="shared" ref="AT592:AT596" si="723">W592</f>
        <v>0</v>
      </c>
      <c r="AU592" s="19">
        <f>IF(AT$597=0,0,AT592/AT$597)</f>
        <v>0</v>
      </c>
      <c r="AV592" s="97"/>
      <c r="AW592" s="17"/>
      <c r="AX592" s="17"/>
      <c r="AY592" s="17"/>
      <c r="AZ592" s="18">
        <f t="shared" ref="AZ592:AZ596" si="724">X592</f>
        <v>0</v>
      </c>
      <c r="BA592" s="19">
        <f>IF(AZ$597=0,0,AZ592/AZ$597)</f>
        <v>0</v>
      </c>
    </row>
    <row r="593" spans="1:53" ht="17.100000000000001" customHeight="1" x14ac:dyDescent="0.25">
      <c r="A593" s="40"/>
      <c r="B593" s="40"/>
      <c r="C593" s="74" t="s">
        <v>340</v>
      </c>
      <c r="D593" s="85" t="s">
        <v>505</v>
      </c>
      <c r="E593" s="105"/>
      <c r="F593" s="105"/>
      <c r="G593" s="105"/>
      <c r="H593" s="119"/>
      <c r="I593" s="231"/>
      <c r="J593" s="583"/>
      <c r="K593" s="583"/>
      <c r="L593" s="584"/>
      <c r="M593" s="593">
        <f t="shared" si="718"/>
        <v>0</v>
      </c>
      <c r="N593" s="111"/>
      <c r="O593" s="111"/>
      <c r="P593" s="111"/>
      <c r="Q593" s="111"/>
      <c r="R593" s="111"/>
      <c r="S593" s="111"/>
      <c r="T593" s="111"/>
      <c r="U593" s="111"/>
      <c r="V593" s="358"/>
      <c r="W593" s="391">
        <f t="shared" si="719"/>
        <v>0</v>
      </c>
      <c r="X593" s="17">
        <f t="shared" si="720"/>
        <v>0</v>
      </c>
      <c r="Y593" s="18">
        <f>SUM(W593:X593)</f>
        <v>0</v>
      </c>
      <c r="Z593" s="19">
        <f t="shared" ref="Z593:Z596" si="725">IF(Y$597=0,0,Y593/Y$597)</f>
        <v>0</v>
      </c>
      <c r="AA593" s="19"/>
      <c r="AB593" s="19"/>
      <c r="AC593" s="17"/>
      <c r="AE593" s="17"/>
      <c r="AF593" s="17"/>
      <c r="AG593" s="17"/>
      <c r="AH593" s="18">
        <f t="shared" si="721"/>
        <v>0</v>
      </c>
      <c r="AI593" s="19">
        <f t="shared" ref="AI593:AI597" si="726">IF(AH$597=0,0,AH593/AH$597)</f>
        <v>0</v>
      </c>
      <c r="AJ593" s="97"/>
      <c r="AK593" s="17"/>
      <c r="AL593" s="17"/>
      <c r="AM593" s="17"/>
      <c r="AN593" s="18">
        <f t="shared" si="722"/>
        <v>0</v>
      </c>
      <c r="AO593" s="19">
        <f t="shared" ref="AO593:AO597" si="727">IF(AN$597=0,0,AN593/AN$597)</f>
        <v>0</v>
      </c>
      <c r="AP593" s="97"/>
      <c r="AQ593" s="17"/>
      <c r="AR593" s="17"/>
      <c r="AS593" s="17"/>
      <c r="AT593" s="18">
        <f t="shared" si="723"/>
        <v>0</v>
      </c>
      <c r="AU593" s="19">
        <f t="shared" ref="AU593:AU597" si="728">IF(AT$597=0,0,AT593/AT$597)</f>
        <v>0</v>
      </c>
      <c r="AV593" s="97"/>
      <c r="AW593" s="17"/>
      <c r="AX593" s="17"/>
      <c r="AY593" s="17"/>
      <c r="AZ593" s="18">
        <f t="shared" si="724"/>
        <v>0</v>
      </c>
      <c r="BA593" s="19">
        <f t="shared" ref="BA593:BA597" si="729">IF(AZ$597=0,0,AZ593/AZ$597)</f>
        <v>0</v>
      </c>
    </row>
    <row r="594" spans="1:53" ht="17.100000000000001" customHeight="1" x14ac:dyDescent="0.25">
      <c r="A594" s="40"/>
      <c r="B594" s="40"/>
      <c r="C594" s="74" t="s">
        <v>341</v>
      </c>
      <c r="D594" s="85" t="s">
        <v>506</v>
      </c>
      <c r="E594" s="105"/>
      <c r="F594" s="105"/>
      <c r="G594" s="105"/>
      <c r="H594" s="119"/>
      <c r="I594" s="231"/>
      <c r="J594" s="581"/>
      <c r="K594" s="581"/>
      <c r="L594" s="582"/>
      <c r="M594" s="593">
        <f t="shared" si="718"/>
        <v>0</v>
      </c>
      <c r="N594" s="111"/>
      <c r="O594" s="111"/>
      <c r="P594" s="111"/>
      <c r="Q594" s="111"/>
      <c r="R594" s="111"/>
      <c r="S594" s="111"/>
      <c r="T594" s="111"/>
      <c r="U594" s="111"/>
      <c r="V594" s="358"/>
      <c r="W594" s="391">
        <f t="shared" si="719"/>
        <v>0</v>
      </c>
      <c r="X594" s="17">
        <f t="shared" si="720"/>
        <v>0</v>
      </c>
      <c r="Y594" s="18">
        <f>SUM(W594:X594)</f>
        <v>0</v>
      </c>
      <c r="Z594" s="19">
        <f t="shared" si="725"/>
        <v>0</v>
      </c>
      <c r="AA594" s="19"/>
      <c r="AB594" s="19"/>
      <c r="AC594" s="17"/>
      <c r="AE594" s="17"/>
      <c r="AF594" s="17"/>
      <c r="AG594" s="17"/>
      <c r="AH594" s="18">
        <f t="shared" si="721"/>
        <v>0</v>
      </c>
      <c r="AI594" s="19">
        <f t="shared" si="726"/>
        <v>0</v>
      </c>
      <c r="AJ594" s="97"/>
      <c r="AK594" s="17"/>
      <c r="AL594" s="17"/>
      <c r="AM594" s="17"/>
      <c r="AN594" s="18">
        <f t="shared" si="722"/>
        <v>0</v>
      </c>
      <c r="AO594" s="19">
        <f t="shared" si="727"/>
        <v>0</v>
      </c>
      <c r="AP594" s="97"/>
      <c r="AQ594" s="17"/>
      <c r="AR594" s="17"/>
      <c r="AS594" s="17"/>
      <c r="AT594" s="18">
        <f t="shared" si="723"/>
        <v>0</v>
      </c>
      <c r="AU594" s="19">
        <f t="shared" si="728"/>
        <v>0</v>
      </c>
      <c r="AV594" s="97"/>
      <c r="AW594" s="17"/>
      <c r="AX594" s="17"/>
      <c r="AY594" s="17"/>
      <c r="AZ594" s="18">
        <f t="shared" si="724"/>
        <v>0</v>
      </c>
      <c r="BA594" s="19">
        <f t="shared" si="729"/>
        <v>0</v>
      </c>
    </row>
    <row r="595" spans="1:53" ht="17.100000000000001" customHeight="1" x14ac:dyDescent="0.25">
      <c r="A595" s="40"/>
      <c r="B595" s="40"/>
      <c r="C595" s="74" t="s">
        <v>342</v>
      </c>
      <c r="D595" s="85" t="s">
        <v>129</v>
      </c>
      <c r="E595" s="105"/>
      <c r="F595" s="105"/>
      <c r="G595" s="105"/>
      <c r="H595" s="119"/>
      <c r="I595" s="231"/>
      <c r="J595" s="583"/>
      <c r="K595" s="583"/>
      <c r="L595" s="584"/>
      <c r="M595" s="593">
        <f t="shared" si="718"/>
        <v>0</v>
      </c>
      <c r="N595" s="111"/>
      <c r="O595" s="111"/>
      <c r="P595" s="111"/>
      <c r="Q595" s="111"/>
      <c r="R595" s="111"/>
      <c r="S595" s="111"/>
      <c r="T595" s="111"/>
      <c r="U595" s="111"/>
      <c r="V595" s="358"/>
      <c r="W595" s="391">
        <f t="shared" si="719"/>
        <v>0</v>
      </c>
      <c r="X595" s="17">
        <f t="shared" si="720"/>
        <v>0</v>
      </c>
      <c r="Y595" s="18">
        <f>SUM(W595:X595)</f>
        <v>0</v>
      </c>
      <c r="Z595" s="19">
        <f t="shared" si="725"/>
        <v>0</v>
      </c>
      <c r="AA595" s="19"/>
      <c r="AB595" s="19"/>
      <c r="AC595" s="17"/>
      <c r="AE595" s="17"/>
      <c r="AF595" s="17"/>
      <c r="AG595" s="17"/>
      <c r="AH595" s="18">
        <f t="shared" si="721"/>
        <v>0</v>
      </c>
      <c r="AI595" s="19">
        <f t="shared" si="726"/>
        <v>0</v>
      </c>
      <c r="AJ595" s="97"/>
      <c r="AK595" s="17"/>
      <c r="AL595" s="17"/>
      <c r="AM595" s="17"/>
      <c r="AN595" s="18">
        <f t="shared" si="722"/>
        <v>0</v>
      </c>
      <c r="AO595" s="19">
        <f t="shared" si="727"/>
        <v>0</v>
      </c>
      <c r="AP595" s="97"/>
      <c r="AQ595" s="17"/>
      <c r="AR595" s="17"/>
      <c r="AS595" s="17"/>
      <c r="AT595" s="18">
        <f t="shared" si="723"/>
        <v>0</v>
      </c>
      <c r="AU595" s="19">
        <f t="shared" si="728"/>
        <v>0</v>
      </c>
      <c r="AV595" s="97"/>
      <c r="AW595" s="17"/>
      <c r="AX595" s="17"/>
      <c r="AY595" s="17"/>
      <c r="AZ595" s="18">
        <f t="shared" si="724"/>
        <v>0</v>
      </c>
      <c r="BA595" s="19">
        <f t="shared" si="729"/>
        <v>0</v>
      </c>
    </row>
    <row r="596" spans="1:53" ht="17.100000000000001" customHeight="1" x14ac:dyDescent="0.25">
      <c r="A596" s="40"/>
      <c r="B596" s="40"/>
      <c r="C596" s="74" t="s">
        <v>553</v>
      </c>
      <c r="D596" s="85" t="s">
        <v>530</v>
      </c>
      <c r="E596" s="105"/>
      <c r="F596" s="105"/>
      <c r="G596" s="105"/>
      <c r="H596" s="119"/>
      <c r="I596" s="231"/>
      <c r="J596" s="581"/>
      <c r="K596" s="581"/>
      <c r="L596" s="582"/>
      <c r="M596" s="593">
        <f t="shared" si="718"/>
        <v>0</v>
      </c>
      <c r="N596" s="111"/>
      <c r="O596" s="111"/>
      <c r="P596" s="111"/>
      <c r="Q596" s="111"/>
      <c r="R596" s="111"/>
      <c r="S596" s="111"/>
      <c r="T596" s="111"/>
      <c r="U596" s="111"/>
      <c r="V596" s="358"/>
      <c r="W596" s="391">
        <f t="shared" si="719"/>
        <v>0</v>
      </c>
      <c r="X596" s="17">
        <f t="shared" si="720"/>
        <v>0</v>
      </c>
      <c r="Y596" s="18">
        <f>SUM(W596:X596)</f>
        <v>0</v>
      </c>
      <c r="Z596" s="19">
        <f t="shared" si="725"/>
        <v>0</v>
      </c>
      <c r="AA596" s="19"/>
      <c r="AB596" s="19"/>
      <c r="AC596" s="17"/>
      <c r="AE596" s="17"/>
      <c r="AF596" s="17"/>
      <c r="AG596" s="17"/>
      <c r="AH596" s="18">
        <f t="shared" si="721"/>
        <v>0</v>
      </c>
      <c r="AI596" s="19">
        <f t="shared" si="726"/>
        <v>0</v>
      </c>
      <c r="AJ596" s="97"/>
      <c r="AK596" s="17"/>
      <c r="AL596" s="17"/>
      <c r="AM596" s="17"/>
      <c r="AN596" s="18">
        <f t="shared" si="722"/>
        <v>0</v>
      </c>
      <c r="AO596" s="19">
        <f t="shared" si="727"/>
        <v>0</v>
      </c>
      <c r="AP596" s="97"/>
      <c r="AQ596" s="17"/>
      <c r="AR596" s="17"/>
      <c r="AS596" s="17"/>
      <c r="AT596" s="18">
        <f t="shared" si="723"/>
        <v>0</v>
      </c>
      <c r="AU596" s="19">
        <f t="shared" si="728"/>
        <v>0</v>
      </c>
      <c r="AV596" s="97"/>
      <c r="AW596" s="17"/>
      <c r="AX596" s="17"/>
      <c r="AY596" s="17"/>
      <c r="AZ596" s="18">
        <f t="shared" si="724"/>
        <v>0</v>
      </c>
      <c r="BA596" s="19">
        <f t="shared" si="729"/>
        <v>0</v>
      </c>
    </row>
    <row r="597" spans="1:53" ht="17.100000000000001" customHeight="1" x14ac:dyDescent="0.25">
      <c r="A597" s="40"/>
      <c r="B597" s="40"/>
      <c r="C597" s="77"/>
      <c r="D597" s="134"/>
      <c r="E597" s="134"/>
      <c r="F597" s="134"/>
      <c r="G597" s="134"/>
      <c r="H597" s="540"/>
      <c r="I597" s="229"/>
      <c r="J597" s="80">
        <f>SUM(J592:J596)</f>
        <v>0</v>
      </c>
      <c r="K597" s="80">
        <f t="shared" ref="K597:M597" si="730">SUM(K592:K596)</f>
        <v>0</v>
      </c>
      <c r="L597" s="80">
        <f t="shared" si="730"/>
        <v>0</v>
      </c>
      <c r="M597" s="80">
        <f t="shared" si="730"/>
        <v>0</v>
      </c>
      <c r="N597" s="81"/>
      <c r="O597" s="81"/>
      <c r="P597" s="81"/>
      <c r="Q597" s="81"/>
      <c r="R597" s="81"/>
      <c r="S597" s="81"/>
      <c r="T597" s="81"/>
      <c r="U597" s="81"/>
      <c r="V597" s="356"/>
      <c r="W597" s="381">
        <f>SUM(W592:W596)</f>
        <v>0</v>
      </c>
      <c r="X597" s="82">
        <f t="shared" ref="X597:Y597" si="731">SUM(X592:X596)</f>
        <v>0</v>
      </c>
      <c r="Y597" s="82">
        <f t="shared" si="731"/>
        <v>0</v>
      </c>
      <c r="Z597" s="205">
        <f>IF(Y$597=0,0,Y597/Y$597)</f>
        <v>0</v>
      </c>
      <c r="AA597" s="205"/>
      <c r="AB597" s="205"/>
      <c r="AC597" s="83"/>
      <c r="AE597" s="80"/>
      <c r="AF597" s="80"/>
      <c r="AG597" s="81"/>
      <c r="AH597" s="82">
        <f>SUM(AH592:AH596)</f>
        <v>0</v>
      </c>
      <c r="AI597" s="66">
        <f t="shared" si="726"/>
        <v>0</v>
      </c>
      <c r="AK597" s="80"/>
      <c r="AL597" s="80"/>
      <c r="AM597" s="81"/>
      <c r="AN597" s="82">
        <f>SUM(AN592:AN596)</f>
        <v>0</v>
      </c>
      <c r="AO597" s="66">
        <f t="shared" si="727"/>
        <v>0</v>
      </c>
      <c r="AQ597" s="80"/>
      <c r="AR597" s="80"/>
      <c r="AS597" s="81"/>
      <c r="AT597" s="82">
        <f>SUM(AT592:AT596)</f>
        <v>0</v>
      </c>
      <c r="AU597" s="66">
        <f t="shared" si="728"/>
        <v>0</v>
      </c>
      <c r="AW597" s="80"/>
      <c r="AX597" s="80"/>
      <c r="AY597" s="81"/>
      <c r="AZ597" s="82">
        <f>SUM(AZ592:AZ596)</f>
        <v>0</v>
      </c>
      <c r="BA597" s="66">
        <f t="shared" si="729"/>
        <v>0</v>
      </c>
    </row>
    <row r="598" spans="1:53" s="117" customFormat="1" ht="17.100000000000001" customHeight="1" x14ac:dyDescent="0.25">
      <c r="A598" s="68"/>
      <c r="B598" s="119"/>
      <c r="C598" s="540"/>
      <c r="D598" s="261"/>
      <c r="E598" s="261"/>
      <c r="F598" s="68"/>
      <c r="G598" s="68"/>
      <c r="H598" s="119"/>
      <c r="I598" s="138"/>
      <c r="J598" s="17" t="str">
        <f t="shared" ref="J598:L598" si="732">IF(J597=J$576,"OK","NOK")</f>
        <v>OK</v>
      </c>
      <c r="K598" s="17" t="str">
        <f t="shared" si="732"/>
        <v>OK</v>
      </c>
      <c r="L598" s="17" t="str">
        <f t="shared" si="732"/>
        <v>OK</v>
      </c>
      <c r="M598" s="17"/>
      <c r="N598" s="17"/>
      <c r="O598" s="17"/>
      <c r="P598" s="17"/>
      <c r="Q598" s="17"/>
      <c r="R598" s="17"/>
      <c r="S598" s="17"/>
      <c r="T598" s="17"/>
      <c r="U598" s="17"/>
      <c r="V598" s="359"/>
      <c r="W598" s="382"/>
      <c r="X598" s="539"/>
      <c r="Y598" s="539"/>
      <c r="Z598" s="201"/>
      <c r="AA598" s="201"/>
      <c r="AB598" s="201"/>
      <c r="AC598" s="84"/>
      <c r="AE598" s="46"/>
      <c r="AF598" s="46"/>
      <c r="AG598" s="17"/>
      <c r="AH598" s="539"/>
      <c r="AI598" s="91"/>
      <c r="AK598" s="46"/>
      <c r="AL598" s="46"/>
      <c r="AM598" s="17"/>
      <c r="AN598" s="539"/>
      <c r="AO598" s="91"/>
      <c r="AQ598" s="46"/>
      <c r="AR598" s="46"/>
      <c r="AS598" s="17"/>
      <c r="AT598" s="539"/>
      <c r="AU598" s="91"/>
      <c r="AW598" s="46"/>
      <c r="AX598" s="46"/>
      <c r="AY598" s="17"/>
      <c r="AZ598" s="539"/>
      <c r="BA598" s="91"/>
    </row>
    <row r="599" spans="1:53" ht="17.100000000000001" customHeight="1" x14ac:dyDescent="0.25">
      <c r="A599" s="68"/>
      <c r="B599" s="41" t="s">
        <v>343</v>
      </c>
      <c r="C599" s="69" t="s">
        <v>507</v>
      </c>
      <c r="D599" s="50"/>
      <c r="E599" s="70"/>
      <c r="F599" s="70"/>
      <c r="G599" s="70"/>
      <c r="H599" s="243">
        <v>19</v>
      </c>
      <c r="J599" s="71"/>
      <c r="K599" s="71"/>
      <c r="L599" s="71"/>
      <c r="M599" s="71"/>
      <c r="N599" s="71"/>
      <c r="O599" s="71"/>
      <c r="P599" s="71"/>
      <c r="Q599" s="71"/>
      <c r="R599" s="71"/>
      <c r="S599" s="71"/>
      <c r="T599" s="71"/>
      <c r="U599" s="71"/>
      <c r="V599" s="355"/>
      <c r="W599" s="377"/>
      <c r="X599" s="71"/>
      <c r="Y599" s="72"/>
      <c r="Z599" s="73"/>
      <c r="AA599" s="73"/>
      <c r="AB599" s="73"/>
      <c r="AC599" s="73"/>
      <c r="AE599" s="71"/>
      <c r="AF599" s="71"/>
      <c r="AG599" s="71"/>
      <c r="AH599" s="72"/>
      <c r="AI599" s="73"/>
      <c r="AK599" s="71"/>
      <c r="AL599" s="71"/>
      <c r="AM599" s="71"/>
      <c r="AN599" s="72"/>
      <c r="AO599" s="73"/>
      <c r="AQ599" s="71"/>
      <c r="AR599" s="71"/>
      <c r="AS599" s="71"/>
      <c r="AT599" s="72"/>
      <c r="AU599" s="73"/>
      <c r="AW599" s="71"/>
      <c r="AX599" s="71"/>
      <c r="AY599" s="71"/>
      <c r="AZ599" s="72"/>
      <c r="BA599" s="73"/>
    </row>
    <row r="600" spans="1:53" ht="17.100000000000001" customHeight="1" x14ac:dyDescent="0.25">
      <c r="A600" s="40"/>
      <c r="B600" s="40"/>
      <c r="C600" s="74" t="s">
        <v>344</v>
      </c>
      <c r="D600" s="85" t="s">
        <v>173</v>
      </c>
      <c r="E600" s="105"/>
      <c r="F600" s="105"/>
      <c r="G600" s="105"/>
      <c r="H600" s="119"/>
      <c r="I600" s="231"/>
      <c r="J600" s="581"/>
      <c r="K600" s="581"/>
      <c r="L600" s="582"/>
      <c r="M600" s="593">
        <f t="shared" ref="M600:M606" si="733">SUM(J600:L600)</f>
        <v>0</v>
      </c>
      <c r="N600" s="111"/>
      <c r="O600" s="111"/>
      <c r="P600" s="111"/>
      <c r="Q600" s="111"/>
      <c r="R600" s="111"/>
      <c r="S600" s="111"/>
      <c r="T600" s="111"/>
      <c r="U600" s="111"/>
      <c r="V600" s="358"/>
      <c r="W600" s="391">
        <f t="shared" ref="W600:W601" si="734">J600+K600+N600+Q600+T600</f>
        <v>0</v>
      </c>
      <c r="X600" s="17">
        <f t="shared" ref="X600:X601" si="735">L600+O600+R600+U600</f>
        <v>0</v>
      </c>
      <c r="Y600" s="18">
        <f>SUM(W600:X600)</f>
        <v>0</v>
      </c>
      <c r="Z600" s="19">
        <f>IF(Y$607=0,0,Y600/Y$607)</f>
        <v>0</v>
      </c>
      <c r="AA600" s="19"/>
      <c r="AB600" s="19"/>
      <c r="AC600" s="17"/>
      <c r="AE600" s="17"/>
      <c r="AF600" s="17"/>
      <c r="AG600" s="17"/>
      <c r="AH600" s="18">
        <f t="shared" ref="AH600:AH601" si="736">J600</f>
        <v>0</v>
      </c>
      <c r="AI600" s="19">
        <f>IF(AH$607=0,0,AH600/AH$607)</f>
        <v>0</v>
      </c>
      <c r="AJ600" s="97"/>
      <c r="AK600" s="17"/>
      <c r="AL600" s="17"/>
      <c r="AM600" s="17"/>
      <c r="AN600" s="18">
        <f t="shared" ref="AN600:AN601" si="737">K600</f>
        <v>0</v>
      </c>
      <c r="AO600" s="19">
        <f>IF(AN$607=0,0,AN600/AN$607)</f>
        <v>0</v>
      </c>
      <c r="AP600" s="97"/>
      <c r="AQ600" s="17"/>
      <c r="AR600" s="17"/>
      <c r="AS600" s="17"/>
      <c r="AT600" s="18">
        <f t="shared" ref="AT600:AT601" si="738">W600</f>
        <v>0</v>
      </c>
      <c r="AU600" s="19">
        <f>IF(AT$607=0,0,AT600/AT$607)</f>
        <v>0</v>
      </c>
      <c r="AV600" s="97"/>
      <c r="AW600" s="17"/>
      <c r="AX600" s="17"/>
      <c r="AY600" s="17"/>
      <c r="AZ600" s="18">
        <f t="shared" ref="AZ600:AZ601" si="739">X600</f>
        <v>0</v>
      </c>
      <c r="BA600" s="19">
        <f>IF(AZ$607=0,0,AZ600/AZ$607)</f>
        <v>0</v>
      </c>
    </row>
    <row r="601" spans="1:53" ht="17.100000000000001" customHeight="1" x14ac:dyDescent="0.25">
      <c r="A601" s="40"/>
      <c r="B601" s="40"/>
      <c r="C601" s="74" t="s">
        <v>345</v>
      </c>
      <c r="D601" s="85" t="s">
        <v>544</v>
      </c>
      <c r="E601" s="105"/>
      <c r="F601" s="105"/>
      <c r="G601" s="105"/>
      <c r="H601" s="119"/>
      <c r="I601" s="231"/>
      <c r="J601" s="583"/>
      <c r="K601" s="583"/>
      <c r="L601" s="584"/>
      <c r="M601" s="593">
        <f t="shared" si="733"/>
        <v>0</v>
      </c>
      <c r="N601" s="111"/>
      <c r="O601" s="111"/>
      <c r="P601" s="111"/>
      <c r="Q601" s="111"/>
      <c r="R601" s="111"/>
      <c r="S601" s="111"/>
      <c r="T601" s="111"/>
      <c r="U601" s="111"/>
      <c r="V601" s="358"/>
      <c r="W601" s="391">
        <f t="shared" si="734"/>
        <v>0</v>
      </c>
      <c r="X601" s="17">
        <f t="shared" si="735"/>
        <v>0</v>
      </c>
      <c r="Y601" s="18">
        <f>SUM(W601:X601)</f>
        <v>0</v>
      </c>
      <c r="Z601" s="19">
        <f t="shared" ref="Z601:Z606" si="740">IF(Y$607=0,0,Y601/Y$607)</f>
        <v>0</v>
      </c>
      <c r="AA601" s="19"/>
      <c r="AB601" s="19"/>
      <c r="AC601" s="17"/>
      <c r="AE601" s="17"/>
      <c r="AF601" s="17"/>
      <c r="AG601" s="17"/>
      <c r="AH601" s="18">
        <f t="shared" si="736"/>
        <v>0</v>
      </c>
      <c r="AI601" s="19">
        <f>IF(AH$607=0,0,AH601/AH$607)</f>
        <v>0</v>
      </c>
      <c r="AJ601" s="97"/>
      <c r="AK601" s="17"/>
      <c r="AL601" s="17"/>
      <c r="AM601" s="17"/>
      <c r="AN601" s="18">
        <f t="shared" si="737"/>
        <v>0</v>
      </c>
      <c r="AO601" s="19">
        <f>IF(AN$607=0,0,AN601/AN$607)</f>
        <v>0</v>
      </c>
      <c r="AP601" s="97"/>
      <c r="AQ601" s="17"/>
      <c r="AR601" s="17"/>
      <c r="AS601" s="17"/>
      <c r="AT601" s="18">
        <f t="shared" si="738"/>
        <v>0</v>
      </c>
      <c r="AU601" s="19">
        <f>IF(AT$607=0,0,AT601/AT$607)</f>
        <v>0</v>
      </c>
      <c r="AV601" s="97"/>
      <c r="AW601" s="17"/>
      <c r="AX601" s="17"/>
      <c r="AY601" s="17"/>
      <c r="AZ601" s="18">
        <f t="shared" si="739"/>
        <v>0</v>
      </c>
      <c r="BA601" s="19">
        <f>IF(AZ$607=0,0,AZ601/AZ$607)</f>
        <v>0</v>
      </c>
    </row>
    <row r="602" spans="1:53" ht="17.100000000000001" customHeight="1" x14ac:dyDescent="0.25">
      <c r="A602" s="40"/>
      <c r="B602" s="40"/>
      <c r="C602" s="74" t="s">
        <v>346</v>
      </c>
      <c r="D602" s="146" t="s">
        <v>484</v>
      </c>
      <c r="E602" s="75"/>
      <c r="F602" s="105"/>
      <c r="G602" s="105"/>
      <c r="H602" s="119"/>
      <c r="I602" s="231"/>
      <c r="J602" s="581"/>
      <c r="K602" s="581"/>
      <c r="L602" s="582"/>
      <c r="M602" s="593"/>
      <c r="N602" s="111"/>
      <c r="O602" s="111"/>
      <c r="P602" s="111"/>
      <c r="Q602" s="111"/>
      <c r="R602" s="111"/>
      <c r="S602" s="111"/>
      <c r="T602" s="111"/>
      <c r="U602" s="111"/>
      <c r="V602" s="358"/>
      <c r="W602" s="391">
        <f>MIN(J602:K602)</f>
        <v>0</v>
      </c>
      <c r="X602" s="17">
        <f>L602</f>
        <v>0</v>
      </c>
      <c r="Y602" s="18"/>
      <c r="Z602" s="19"/>
      <c r="AA602" s="17">
        <f>MIN(J602:L602)</f>
        <v>0</v>
      </c>
      <c r="AB602" s="17"/>
      <c r="AC602" s="17"/>
      <c r="AE602" s="17">
        <f>J602</f>
        <v>0</v>
      </c>
      <c r="AF602" s="17"/>
      <c r="AG602" s="17"/>
      <c r="AH602" s="18"/>
      <c r="AI602" s="19"/>
      <c r="AJ602" s="97"/>
      <c r="AK602" s="17">
        <f>K602</f>
        <v>0</v>
      </c>
      <c r="AL602" s="17"/>
      <c r="AM602" s="17"/>
      <c r="AN602" s="18"/>
      <c r="AO602" s="19"/>
      <c r="AP602" s="97"/>
      <c r="AQ602" s="17">
        <f>W602</f>
        <v>0</v>
      </c>
      <c r="AR602" s="17"/>
      <c r="AS602" s="17"/>
      <c r="AT602" s="18"/>
      <c r="AU602" s="19"/>
      <c r="AV602" s="97"/>
      <c r="AW602" s="17">
        <f>L602</f>
        <v>0</v>
      </c>
      <c r="AX602" s="17"/>
      <c r="AY602" s="17"/>
      <c r="AZ602" s="18"/>
      <c r="BA602" s="19"/>
    </row>
    <row r="603" spans="1:53" ht="17.100000000000001" customHeight="1" x14ac:dyDescent="0.25">
      <c r="A603" s="40"/>
      <c r="B603" s="40"/>
      <c r="C603" s="74" t="s">
        <v>347</v>
      </c>
      <c r="D603" s="146" t="s">
        <v>485</v>
      </c>
      <c r="E603" s="75"/>
      <c r="F603" s="105"/>
      <c r="G603" s="105"/>
      <c r="H603" s="119"/>
      <c r="I603" s="231"/>
      <c r="J603" s="583"/>
      <c r="K603" s="583"/>
      <c r="L603" s="584"/>
      <c r="M603" s="593"/>
      <c r="N603" s="111"/>
      <c r="O603" s="111"/>
      <c r="P603" s="111"/>
      <c r="Q603" s="111"/>
      <c r="R603" s="111"/>
      <c r="S603" s="111"/>
      <c r="T603" s="111"/>
      <c r="U603" s="111"/>
      <c r="V603" s="358"/>
      <c r="W603" s="391">
        <f>MAX(J603:K603)</f>
        <v>0</v>
      </c>
      <c r="X603" s="17">
        <f t="shared" ref="X603:X604" si="741">L603</f>
        <v>0</v>
      </c>
      <c r="Y603" s="18"/>
      <c r="Z603" s="19"/>
      <c r="AA603" s="17"/>
      <c r="AB603" s="17">
        <f>MAX(J603:L603)</f>
        <v>0</v>
      </c>
      <c r="AC603" s="17"/>
      <c r="AE603" s="17"/>
      <c r="AF603" s="17">
        <f>J603</f>
        <v>0</v>
      </c>
      <c r="AG603" s="17"/>
      <c r="AH603" s="18"/>
      <c r="AI603" s="19"/>
      <c r="AJ603" s="97"/>
      <c r="AK603" s="17"/>
      <c r="AL603" s="17">
        <f>K603</f>
        <v>0</v>
      </c>
      <c r="AM603" s="17"/>
      <c r="AN603" s="18"/>
      <c r="AO603" s="19"/>
      <c r="AP603" s="97"/>
      <c r="AQ603" s="17"/>
      <c r="AR603" s="17">
        <f>W603</f>
        <v>0</v>
      </c>
      <c r="AS603" s="17"/>
      <c r="AT603" s="18"/>
      <c r="AU603" s="19"/>
      <c r="AV603" s="97"/>
      <c r="AW603" s="17"/>
      <c r="AX603" s="17">
        <f>L603</f>
        <v>0</v>
      </c>
      <c r="AY603" s="17"/>
      <c r="AZ603" s="18"/>
      <c r="BA603" s="19"/>
    </row>
    <row r="604" spans="1:53" ht="17.100000000000001" customHeight="1" x14ac:dyDescent="0.25">
      <c r="A604" s="40"/>
      <c r="B604" s="40"/>
      <c r="C604" s="74" t="s">
        <v>348</v>
      </c>
      <c r="D604" s="146" t="s">
        <v>543</v>
      </c>
      <c r="E604" s="75"/>
      <c r="F604" s="105"/>
      <c r="G604" s="105"/>
      <c r="H604" s="119"/>
      <c r="I604" s="231"/>
      <c r="J604" s="581"/>
      <c r="K604" s="581"/>
      <c r="L604" s="582"/>
      <c r="M604" s="593"/>
      <c r="N604" s="111"/>
      <c r="O604" s="111"/>
      <c r="P604" s="111"/>
      <c r="Q604" s="111"/>
      <c r="R604" s="111"/>
      <c r="S604" s="111"/>
      <c r="T604" s="111"/>
      <c r="U604" s="111"/>
      <c r="V604" s="358"/>
      <c r="W604" s="391">
        <f>IF(SUM(J604:K604)=0,0,AVERAGE(J604:K604))</f>
        <v>0</v>
      </c>
      <c r="X604" s="17">
        <f t="shared" si="741"/>
        <v>0</v>
      </c>
      <c r="Y604" s="18"/>
      <c r="Z604" s="19"/>
      <c r="AA604" s="17"/>
      <c r="AB604" s="17"/>
      <c r="AC604" s="17">
        <f>IF(SUM(J604:L604)=0,0,AVERAGE(J604:L604))</f>
        <v>0</v>
      </c>
      <c r="AE604" s="17"/>
      <c r="AF604" s="17"/>
      <c r="AG604" s="17">
        <f>J604</f>
        <v>0</v>
      </c>
      <c r="AH604" s="18"/>
      <c r="AI604" s="19"/>
      <c r="AJ604" s="97"/>
      <c r="AK604" s="17"/>
      <c r="AL604" s="17"/>
      <c r="AM604" s="17">
        <f>K604</f>
        <v>0</v>
      </c>
      <c r="AN604" s="18"/>
      <c r="AO604" s="19"/>
      <c r="AP604" s="97"/>
      <c r="AQ604" s="17"/>
      <c r="AR604" s="17"/>
      <c r="AS604" s="17">
        <f>W604</f>
        <v>0</v>
      </c>
      <c r="AT604" s="18"/>
      <c r="AU604" s="19"/>
      <c r="AV604" s="97"/>
      <c r="AW604" s="17"/>
      <c r="AX604" s="17"/>
      <c r="AY604" s="17">
        <f>L604</f>
        <v>0</v>
      </c>
      <c r="AZ604" s="18"/>
      <c r="BA604" s="19"/>
    </row>
    <row r="605" spans="1:53" ht="17.100000000000001" customHeight="1" x14ac:dyDescent="0.25">
      <c r="A605" s="40"/>
      <c r="B605" s="40"/>
      <c r="C605" s="74" t="s">
        <v>349</v>
      </c>
      <c r="D605" s="75" t="s">
        <v>129</v>
      </c>
      <c r="E605" s="75"/>
      <c r="F605" s="105"/>
      <c r="G605" s="105"/>
      <c r="H605" s="119"/>
      <c r="I605" s="231"/>
      <c r="J605" s="583"/>
      <c r="K605" s="583"/>
      <c r="L605" s="584"/>
      <c r="M605" s="593">
        <f t="shared" si="733"/>
        <v>0</v>
      </c>
      <c r="N605" s="111"/>
      <c r="O605" s="111"/>
      <c r="P605" s="111"/>
      <c r="Q605" s="111"/>
      <c r="R605" s="111"/>
      <c r="S605" s="111"/>
      <c r="T605" s="111"/>
      <c r="U605" s="111"/>
      <c r="V605" s="358"/>
      <c r="W605" s="391">
        <f t="shared" ref="W605:W606" si="742">J605+K605+N605+Q605+T605</f>
        <v>0</v>
      </c>
      <c r="X605" s="17">
        <f t="shared" ref="X605:X606" si="743">L605+O605+R605+U605</f>
        <v>0</v>
      </c>
      <c r="Y605" s="18">
        <f>SUM(W605:X605)</f>
        <v>0</v>
      </c>
      <c r="Z605" s="19">
        <f t="shared" si="740"/>
        <v>0</v>
      </c>
      <c r="AA605" s="19"/>
      <c r="AB605" s="19"/>
      <c r="AC605" s="17"/>
      <c r="AE605" s="17"/>
      <c r="AF605" s="17"/>
      <c r="AG605" s="17"/>
      <c r="AH605" s="18">
        <f t="shared" ref="AH605:AH606" si="744">J605</f>
        <v>0</v>
      </c>
      <c r="AI605" s="19">
        <f>IF(AH$607=0,0,AH605/AH$607)</f>
        <v>0</v>
      </c>
      <c r="AJ605" s="97"/>
      <c r="AK605" s="17"/>
      <c r="AL605" s="17"/>
      <c r="AM605" s="17"/>
      <c r="AN605" s="18">
        <f t="shared" ref="AN605:AN606" si="745">K605</f>
        <v>0</v>
      </c>
      <c r="AO605" s="19">
        <f>IF(AN$607=0,0,AN605/AN$607)</f>
        <v>0</v>
      </c>
      <c r="AP605" s="97"/>
      <c r="AQ605" s="17"/>
      <c r="AR605" s="17"/>
      <c r="AS605" s="17"/>
      <c r="AT605" s="18">
        <f t="shared" ref="AT605:AT606" si="746">W605</f>
        <v>0</v>
      </c>
      <c r="AU605" s="19">
        <f>IF(AT$607=0,0,AT605/AT$607)</f>
        <v>0</v>
      </c>
      <c r="AV605" s="97"/>
      <c r="AW605" s="17"/>
      <c r="AX605" s="17"/>
      <c r="AY605" s="17"/>
      <c r="AZ605" s="18">
        <f t="shared" ref="AZ605:AZ606" si="747">X605</f>
        <v>0</v>
      </c>
      <c r="BA605" s="19">
        <f>IF(AZ$607=0,0,AZ605/AZ$607)</f>
        <v>0</v>
      </c>
    </row>
    <row r="606" spans="1:53" ht="17.100000000000001" customHeight="1" x14ac:dyDescent="0.25">
      <c r="A606" s="40"/>
      <c r="B606" s="40"/>
      <c r="C606" s="74" t="s">
        <v>552</v>
      </c>
      <c r="D606" s="75" t="s">
        <v>530</v>
      </c>
      <c r="E606" s="105"/>
      <c r="F606" s="105"/>
      <c r="G606" s="105"/>
      <c r="H606" s="119"/>
      <c r="I606" s="231"/>
      <c r="J606" s="581"/>
      <c r="K606" s="581"/>
      <c r="L606" s="582"/>
      <c r="M606" s="593">
        <f t="shared" si="733"/>
        <v>0</v>
      </c>
      <c r="N606" s="111"/>
      <c r="O606" s="111"/>
      <c r="P606" s="111"/>
      <c r="Q606" s="111"/>
      <c r="R606" s="111"/>
      <c r="S606" s="111"/>
      <c r="T606" s="111"/>
      <c r="U606" s="111"/>
      <c r="V606" s="358"/>
      <c r="W606" s="391">
        <f t="shared" si="742"/>
        <v>0</v>
      </c>
      <c r="X606" s="17">
        <f t="shared" si="743"/>
        <v>0</v>
      </c>
      <c r="Y606" s="18">
        <f>SUM(W606:X606)</f>
        <v>0</v>
      </c>
      <c r="Z606" s="19">
        <f t="shared" si="740"/>
        <v>0</v>
      </c>
      <c r="AA606" s="19"/>
      <c r="AB606" s="19"/>
      <c r="AC606" s="17"/>
      <c r="AE606" s="17"/>
      <c r="AF606" s="17"/>
      <c r="AG606" s="17"/>
      <c r="AH606" s="18">
        <f t="shared" si="744"/>
        <v>0</v>
      </c>
      <c r="AI606" s="19">
        <f>IF(AH$607=0,0,AH606/AH$607)</f>
        <v>0</v>
      </c>
      <c r="AJ606" s="97"/>
      <c r="AK606" s="17"/>
      <c r="AL606" s="17"/>
      <c r="AM606" s="17"/>
      <c r="AN606" s="18">
        <f t="shared" si="745"/>
        <v>0</v>
      </c>
      <c r="AO606" s="19">
        <f>IF(AN$607=0,0,AN606/AN$607)</f>
        <v>0</v>
      </c>
      <c r="AP606" s="97"/>
      <c r="AQ606" s="17"/>
      <c r="AR606" s="17"/>
      <c r="AS606" s="17"/>
      <c r="AT606" s="18">
        <f t="shared" si="746"/>
        <v>0</v>
      </c>
      <c r="AU606" s="19">
        <f>IF(AT$607=0,0,AT606/AT$607)</f>
        <v>0</v>
      </c>
      <c r="AV606" s="97"/>
      <c r="AW606" s="17"/>
      <c r="AX606" s="17"/>
      <c r="AY606" s="17"/>
      <c r="AZ606" s="18">
        <f t="shared" si="747"/>
        <v>0</v>
      </c>
      <c r="BA606" s="19">
        <f>IF(AZ$607=0,0,AZ606/AZ$607)</f>
        <v>0</v>
      </c>
    </row>
    <row r="607" spans="1:53" ht="17.100000000000001" customHeight="1" x14ac:dyDescent="0.25">
      <c r="A607" s="40"/>
      <c r="B607" s="40"/>
      <c r="C607" s="77"/>
      <c r="D607" s="134"/>
      <c r="E607" s="134"/>
      <c r="F607" s="134"/>
      <c r="G607" s="134"/>
      <c r="H607" s="540"/>
      <c r="I607" s="229"/>
      <c r="J607" s="80">
        <f>J600+J601+J605+J606</f>
        <v>0</v>
      </c>
      <c r="K607" s="80">
        <f t="shared" ref="K607:M607" si="748">K600+K601+K605+K606</f>
        <v>0</v>
      </c>
      <c r="L607" s="80">
        <f t="shared" si="748"/>
        <v>0</v>
      </c>
      <c r="M607" s="80">
        <f t="shared" si="748"/>
        <v>0</v>
      </c>
      <c r="N607" s="81"/>
      <c r="O607" s="81"/>
      <c r="P607" s="81"/>
      <c r="Q607" s="81"/>
      <c r="R607" s="81"/>
      <c r="S607" s="81"/>
      <c r="T607" s="81"/>
      <c r="U607" s="81"/>
      <c r="V607" s="356"/>
      <c r="W607" s="381">
        <f>W600+W601+W605+W606</f>
        <v>0</v>
      </c>
      <c r="X607" s="82">
        <f t="shared" ref="X607:Y607" si="749">X600+X601+X605+X606</f>
        <v>0</v>
      </c>
      <c r="Y607" s="82">
        <f t="shared" si="749"/>
        <v>0</v>
      </c>
      <c r="Z607" s="205">
        <f>IF(Y$607=0,0,Y607/Y$607)</f>
        <v>0</v>
      </c>
      <c r="AA607" s="205"/>
      <c r="AB607" s="205"/>
      <c r="AC607" s="83"/>
      <c r="AE607" s="80"/>
      <c r="AF607" s="80"/>
      <c r="AG607" s="81"/>
      <c r="AH607" s="82">
        <f>SUM(AH600:AH606)</f>
        <v>0</v>
      </c>
      <c r="AI607" s="66">
        <f>IF(AH$607=0,0,AH607/AH$607)</f>
        <v>0</v>
      </c>
      <c r="AK607" s="80"/>
      <c r="AL607" s="80"/>
      <c r="AM607" s="81"/>
      <c r="AN607" s="82">
        <f>SUM(AN600:AN606)</f>
        <v>0</v>
      </c>
      <c r="AO607" s="66">
        <f>IF(AN$607=0,0,AN607/AN$607)</f>
        <v>0</v>
      </c>
      <c r="AQ607" s="80"/>
      <c r="AR607" s="80"/>
      <c r="AS607" s="81"/>
      <c r="AT607" s="82">
        <f>SUM(AT600:AT606)</f>
        <v>0</v>
      </c>
      <c r="AU607" s="66">
        <f>IF(AT$607=0,0,AT607/AT$607)</f>
        <v>0</v>
      </c>
      <c r="AW607" s="80"/>
      <c r="AX607" s="80"/>
      <c r="AY607" s="81"/>
      <c r="AZ607" s="82">
        <f>SUM(AZ600:AZ606)</f>
        <v>0</v>
      </c>
      <c r="BA607" s="66">
        <f>IF(AZ$607=0,0,AZ607/AZ$607)</f>
        <v>0</v>
      </c>
    </row>
    <row r="608" spans="1:53" s="117" customFormat="1" ht="17.100000000000001" customHeight="1" x14ac:dyDescent="0.25">
      <c r="A608" s="68"/>
      <c r="B608" s="119"/>
      <c r="C608" s="540"/>
      <c r="D608" s="261"/>
      <c r="E608" s="261"/>
      <c r="F608" s="68"/>
      <c r="G608" s="68"/>
      <c r="H608" s="119"/>
      <c r="I608" s="138"/>
      <c r="J608" s="17" t="str">
        <f>IF(J607=J$576,"OK","NOK")</f>
        <v>OK</v>
      </c>
      <c r="K608" s="17" t="str">
        <f t="shared" ref="K608:L608" si="750">IF(K607=K$576,"OK","NOK")</f>
        <v>OK</v>
      </c>
      <c r="L608" s="17" t="str">
        <f t="shared" si="750"/>
        <v>OK</v>
      </c>
      <c r="M608" s="17"/>
      <c r="N608" s="17"/>
      <c r="O608" s="17"/>
      <c r="P608" s="17"/>
      <c r="Q608" s="17"/>
      <c r="R608" s="17"/>
      <c r="S608" s="17"/>
      <c r="T608" s="17"/>
      <c r="U608" s="17"/>
      <c r="V608" s="359"/>
      <c r="W608" s="382"/>
      <c r="X608" s="539"/>
      <c r="Y608" s="539"/>
      <c r="Z608" s="201"/>
      <c r="AA608" s="201"/>
      <c r="AB608" s="201"/>
      <c r="AC608" s="84"/>
      <c r="AE608" s="46"/>
      <c r="AF608" s="46"/>
      <c r="AG608" s="17"/>
      <c r="AH608" s="539"/>
      <c r="AI608" s="91"/>
      <c r="AK608" s="46"/>
      <c r="AL608" s="46"/>
      <c r="AM608" s="17"/>
      <c r="AN608" s="539"/>
      <c r="AO608" s="91"/>
      <c r="AQ608" s="46"/>
      <c r="AR608" s="46"/>
      <c r="AS608" s="17"/>
      <c r="AT608" s="539"/>
      <c r="AU608" s="91"/>
      <c r="AW608" s="46"/>
      <c r="AX608" s="46"/>
      <c r="AY608" s="17"/>
      <c r="AZ608" s="539"/>
      <c r="BA608" s="91"/>
    </row>
    <row r="609" spans="1:53" ht="17.100000000000001" customHeight="1" x14ac:dyDescent="0.25">
      <c r="A609" s="68"/>
      <c r="B609" s="41" t="s">
        <v>350</v>
      </c>
      <c r="C609" s="69" t="s">
        <v>362</v>
      </c>
      <c r="D609" s="50"/>
      <c r="E609" s="70"/>
      <c r="F609" s="70"/>
      <c r="G609" s="70"/>
      <c r="H609" s="243">
        <v>22</v>
      </c>
      <c r="J609" s="71"/>
      <c r="K609" s="71"/>
      <c r="L609" s="71"/>
      <c r="M609" s="71"/>
      <c r="N609" s="71"/>
      <c r="O609" s="71"/>
      <c r="P609" s="71"/>
      <c r="Q609" s="71"/>
      <c r="R609" s="71"/>
      <c r="S609" s="71"/>
      <c r="T609" s="71"/>
      <c r="U609" s="71"/>
      <c r="V609" s="355"/>
      <c r="W609" s="377"/>
      <c r="X609" s="71"/>
      <c r="Y609" s="72"/>
      <c r="Z609" s="73"/>
      <c r="AA609" s="73"/>
      <c r="AB609" s="73"/>
      <c r="AC609" s="73"/>
      <c r="AE609" s="71"/>
      <c r="AF609" s="71"/>
      <c r="AG609" s="71"/>
      <c r="AH609" s="72"/>
      <c r="AI609" s="73"/>
      <c r="AK609" s="71"/>
      <c r="AL609" s="71"/>
      <c r="AM609" s="71"/>
      <c r="AN609" s="72"/>
      <c r="AO609" s="73"/>
      <c r="AQ609" s="71"/>
      <c r="AR609" s="71"/>
      <c r="AS609" s="71"/>
      <c r="AT609" s="72"/>
      <c r="AU609" s="73"/>
      <c r="AW609" s="71"/>
      <c r="AX609" s="71"/>
      <c r="AY609" s="71"/>
      <c r="AZ609" s="72"/>
      <c r="BA609" s="73"/>
    </row>
    <row r="610" spans="1:53" ht="17.100000000000001" customHeight="1" x14ac:dyDescent="0.25">
      <c r="A610" s="40"/>
      <c r="B610" s="40"/>
      <c r="C610" s="74" t="s">
        <v>351</v>
      </c>
      <c r="D610" s="57" t="s">
        <v>1025</v>
      </c>
      <c r="E610" s="105"/>
      <c r="F610" s="105"/>
      <c r="G610" s="105"/>
      <c r="H610" s="119"/>
      <c r="I610" s="231"/>
      <c r="J610" s="111"/>
      <c r="K610" s="111"/>
      <c r="L610" s="111"/>
      <c r="M610" s="111"/>
      <c r="N610" s="111"/>
      <c r="O610" s="111"/>
      <c r="P610" s="111"/>
      <c r="Q610" s="111"/>
      <c r="R610" s="111"/>
      <c r="S610" s="111"/>
      <c r="T610" s="111"/>
      <c r="U610" s="111"/>
      <c r="V610" s="358"/>
      <c r="W610" s="380"/>
      <c r="X610" s="111"/>
      <c r="Y610" s="545"/>
      <c r="Z610" s="111"/>
      <c r="AA610" s="111"/>
      <c r="AB610" s="111"/>
      <c r="AC610" s="111"/>
      <c r="AE610" s="111"/>
      <c r="AF610" s="111"/>
      <c r="AG610" s="111"/>
      <c r="AH610" s="545"/>
      <c r="AI610" s="111"/>
      <c r="AK610" s="111"/>
      <c r="AL610" s="111"/>
      <c r="AM610" s="111"/>
      <c r="AN610" s="545"/>
      <c r="AO610" s="111"/>
      <c r="AQ610" s="111"/>
      <c r="AR610" s="111"/>
      <c r="AS610" s="111"/>
      <c r="AT610" s="545"/>
      <c r="AU610" s="111"/>
      <c r="AW610" s="111"/>
      <c r="AX610" s="111"/>
      <c r="AY610" s="111"/>
      <c r="AZ610" s="545"/>
      <c r="BA610" s="111"/>
    </row>
    <row r="611" spans="1:53" ht="17.100000000000001" customHeight="1" x14ac:dyDescent="0.25">
      <c r="A611" s="40"/>
      <c r="B611" s="40"/>
      <c r="C611" s="119"/>
      <c r="D611" s="180" t="s">
        <v>352</v>
      </c>
      <c r="E611" s="85" t="s">
        <v>512</v>
      </c>
      <c r="F611" s="105"/>
      <c r="G611" s="105"/>
      <c r="H611" s="119"/>
      <c r="I611" s="231"/>
      <c r="J611" s="581"/>
      <c r="K611" s="581"/>
      <c r="L611" s="582"/>
      <c r="M611" s="593">
        <f t="shared" ref="M611:M619" si="751">SUM(J611:L611)</f>
        <v>0</v>
      </c>
      <c r="N611" s="111"/>
      <c r="O611" s="111"/>
      <c r="P611" s="111"/>
      <c r="Q611" s="111"/>
      <c r="R611" s="111"/>
      <c r="S611" s="111"/>
      <c r="T611" s="111"/>
      <c r="U611" s="111"/>
      <c r="V611" s="358"/>
      <c r="W611" s="391">
        <f t="shared" ref="W611:W619" si="752">J611+K611+N611+Q611+T611</f>
        <v>0</v>
      </c>
      <c r="X611" s="17">
        <f t="shared" ref="X611:X619" si="753">L611+O611+R611+U611</f>
        <v>0</v>
      </c>
      <c r="Y611" s="18">
        <f t="shared" ref="Y611:Y619" si="754">SUM(W611:X611)</f>
        <v>0</v>
      </c>
      <c r="Z611" s="19">
        <f>IF(Y$620=0,0,Y611/Y$620)</f>
        <v>0</v>
      </c>
      <c r="AA611" s="19"/>
      <c r="AB611" s="19"/>
      <c r="AC611" s="17"/>
      <c r="AE611" s="17"/>
      <c r="AF611" s="17"/>
      <c r="AG611" s="17"/>
      <c r="AH611" s="18">
        <f t="shared" ref="AH611:AH619" si="755">J611</f>
        <v>0</v>
      </c>
      <c r="AI611" s="19">
        <f>IF(AH$620=0,0,AH611/AH$620)</f>
        <v>0</v>
      </c>
      <c r="AJ611" s="97"/>
      <c r="AK611" s="17"/>
      <c r="AL611" s="17"/>
      <c r="AM611" s="17"/>
      <c r="AN611" s="18">
        <f t="shared" ref="AN611:AN619" si="756">K611</f>
        <v>0</v>
      </c>
      <c r="AO611" s="19">
        <f>IF(AN$620=0,0,AN611/AN$620)</f>
        <v>0</v>
      </c>
      <c r="AP611" s="97"/>
      <c r="AQ611" s="17"/>
      <c r="AR611" s="17"/>
      <c r="AS611" s="17"/>
      <c r="AT611" s="18">
        <f t="shared" ref="AT611:AT619" si="757">W611</f>
        <v>0</v>
      </c>
      <c r="AU611" s="19">
        <f>IF(AT$620=0,0,AT611/AT$620)</f>
        <v>0</v>
      </c>
      <c r="AV611" s="97"/>
      <c r="AW611" s="17"/>
      <c r="AX611" s="17"/>
      <c r="AY611" s="17"/>
      <c r="AZ611" s="18">
        <f t="shared" ref="AZ611:AZ619" si="758">X611</f>
        <v>0</v>
      </c>
      <c r="BA611" s="19">
        <f>IF(AZ$620=0,0,AZ611/AZ$620)</f>
        <v>0</v>
      </c>
    </row>
    <row r="612" spans="1:53" ht="17.100000000000001" customHeight="1" x14ac:dyDescent="0.25">
      <c r="A612" s="40"/>
      <c r="B612" s="40"/>
      <c r="C612" s="119"/>
      <c r="D612" s="180" t="s">
        <v>353</v>
      </c>
      <c r="E612" s="85" t="s">
        <v>513</v>
      </c>
      <c r="F612" s="105"/>
      <c r="G612" s="105"/>
      <c r="H612" s="119"/>
      <c r="I612" s="231"/>
      <c r="J612" s="583"/>
      <c r="K612" s="583"/>
      <c r="L612" s="584"/>
      <c r="M612" s="593">
        <f t="shared" si="751"/>
        <v>0</v>
      </c>
      <c r="N612" s="111"/>
      <c r="O612" s="111"/>
      <c r="P612" s="111"/>
      <c r="Q612" s="111"/>
      <c r="R612" s="111"/>
      <c r="S612" s="111"/>
      <c r="T612" s="111"/>
      <c r="U612" s="111"/>
      <c r="V612" s="358"/>
      <c r="W612" s="391">
        <f t="shared" si="752"/>
        <v>0</v>
      </c>
      <c r="X612" s="17">
        <f t="shared" si="753"/>
        <v>0</v>
      </c>
      <c r="Y612" s="18">
        <f t="shared" si="754"/>
        <v>0</v>
      </c>
      <c r="Z612" s="19">
        <f t="shared" ref="Z612:Z620" si="759">IF(Y$620=0,0,Y612/Y$620)</f>
        <v>0</v>
      </c>
      <c r="AA612" s="19"/>
      <c r="AB612" s="19"/>
      <c r="AC612" s="17"/>
      <c r="AE612" s="17"/>
      <c r="AF612" s="17"/>
      <c r="AG612" s="17"/>
      <c r="AH612" s="18">
        <f t="shared" si="755"/>
        <v>0</v>
      </c>
      <c r="AI612" s="19">
        <f t="shared" ref="AI612:AI619" si="760">IF(AH$620=0,0,AH612/AH$620)</f>
        <v>0</v>
      </c>
      <c r="AJ612" s="97"/>
      <c r="AK612" s="17"/>
      <c r="AL612" s="17"/>
      <c r="AM612" s="17"/>
      <c r="AN612" s="18">
        <f t="shared" si="756"/>
        <v>0</v>
      </c>
      <c r="AO612" s="19">
        <f t="shared" ref="AO612:AO619" si="761">IF(AN$620=0,0,AN612/AN$620)</f>
        <v>0</v>
      </c>
      <c r="AP612" s="97"/>
      <c r="AQ612" s="17"/>
      <c r="AR612" s="17"/>
      <c r="AS612" s="17"/>
      <c r="AT612" s="18">
        <f t="shared" si="757"/>
        <v>0</v>
      </c>
      <c r="AU612" s="19">
        <f t="shared" ref="AU612:AU619" si="762">IF(AT$620=0,0,AT612/AT$620)</f>
        <v>0</v>
      </c>
      <c r="AV612" s="97"/>
      <c r="AW612" s="17"/>
      <c r="AX612" s="17"/>
      <c r="AY612" s="17"/>
      <c r="AZ612" s="18">
        <f t="shared" si="758"/>
        <v>0</v>
      </c>
      <c r="BA612" s="19">
        <f t="shared" ref="BA612:BA619" si="763">IF(AZ$620=0,0,AZ612/AZ$620)</f>
        <v>0</v>
      </c>
    </row>
    <row r="613" spans="1:53" ht="17.100000000000001" customHeight="1" x14ac:dyDescent="0.25">
      <c r="A613" s="40"/>
      <c r="B613" s="40"/>
      <c r="C613" s="119"/>
      <c r="D613" s="180" t="s">
        <v>354</v>
      </c>
      <c r="E613" s="85" t="s">
        <v>514</v>
      </c>
      <c r="F613" s="105"/>
      <c r="G613" s="105"/>
      <c r="H613" s="119"/>
      <c r="I613" s="231"/>
      <c r="J613" s="581"/>
      <c r="K613" s="581"/>
      <c r="L613" s="582"/>
      <c r="M613" s="593">
        <f t="shared" si="751"/>
        <v>0</v>
      </c>
      <c r="N613" s="111"/>
      <c r="O613" s="111"/>
      <c r="P613" s="111"/>
      <c r="Q613" s="111"/>
      <c r="R613" s="111"/>
      <c r="S613" s="111"/>
      <c r="T613" s="111"/>
      <c r="U613" s="111"/>
      <c r="V613" s="358"/>
      <c r="W613" s="391">
        <f t="shared" si="752"/>
        <v>0</v>
      </c>
      <c r="X613" s="17">
        <f t="shared" si="753"/>
        <v>0</v>
      </c>
      <c r="Y613" s="18">
        <f t="shared" si="754"/>
        <v>0</v>
      </c>
      <c r="Z613" s="19">
        <f t="shared" si="759"/>
        <v>0</v>
      </c>
      <c r="AA613" s="19"/>
      <c r="AB613" s="19"/>
      <c r="AC613" s="17"/>
      <c r="AE613" s="17"/>
      <c r="AF613" s="17"/>
      <c r="AG613" s="17"/>
      <c r="AH613" s="18">
        <f t="shared" si="755"/>
        <v>0</v>
      </c>
      <c r="AI613" s="19">
        <f t="shared" si="760"/>
        <v>0</v>
      </c>
      <c r="AJ613" s="97"/>
      <c r="AK613" s="17"/>
      <c r="AL613" s="17"/>
      <c r="AM613" s="17"/>
      <c r="AN613" s="18">
        <f t="shared" si="756"/>
        <v>0</v>
      </c>
      <c r="AO613" s="19">
        <f t="shared" si="761"/>
        <v>0</v>
      </c>
      <c r="AP613" s="97"/>
      <c r="AQ613" s="17"/>
      <c r="AR613" s="17"/>
      <c r="AS613" s="17"/>
      <c r="AT613" s="18">
        <f t="shared" si="757"/>
        <v>0</v>
      </c>
      <c r="AU613" s="19">
        <f t="shared" si="762"/>
        <v>0</v>
      </c>
      <c r="AV613" s="97"/>
      <c r="AW613" s="17"/>
      <c r="AX613" s="17"/>
      <c r="AY613" s="17"/>
      <c r="AZ613" s="18">
        <f t="shared" si="758"/>
        <v>0</v>
      </c>
      <c r="BA613" s="19">
        <f t="shared" si="763"/>
        <v>0</v>
      </c>
    </row>
    <row r="614" spans="1:53" ht="17.100000000000001" customHeight="1" x14ac:dyDescent="0.25">
      <c r="A614" s="40"/>
      <c r="B614" s="40"/>
      <c r="C614" s="119"/>
      <c r="D614" s="180" t="s">
        <v>355</v>
      </c>
      <c r="E614" s="85" t="s">
        <v>357</v>
      </c>
      <c r="F614" s="105"/>
      <c r="G614" s="105"/>
      <c r="H614" s="119"/>
      <c r="I614" s="231"/>
      <c r="J614" s="583"/>
      <c r="K614" s="583"/>
      <c r="L614" s="584"/>
      <c r="M614" s="593">
        <f t="shared" si="751"/>
        <v>0</v>
      </c>
      <c r="N614" s="111"/>
      <c r="O614" s="111"/>
      <c r="P614" s="111"/>
      <c r="Q614" s="111"/>
      <c r="R614" s="111"/>
      <c r="S614" s="111"/>
      <c r="T614" s="111"/>
      <c r="U614" s="111"/>
      <c r="V614" s="358"/>
      <c r="W614" s="391">
        <f t="shared" si="752"/>
        <v>0</v>
      </c>
      <c r="X614" s="17">
        <f t="shared" si="753"/>
        <v>0</v>
      </c>
      <c r="Y614" s="18">
        <f t="shared" si="754"/>
        <v>0</v>
      </c>
      <c r="Z614" s="19">
        <f t="shared" si="759"/>
        <v>0</v>
      </c>
      <c r="AA614" s="19"/>
      <c r="AB614" s="19"/>
      <c r="AC614" s="17"/>
      <c r="AE614" s="17"/>
      <c r="AF614" s="17"/>
      <c r="AG614" s="17"/>
      <c r="AH614" s="18">
        <f t="shared" si="755"/>
        <v>0</v>
      </c>
      <c r="AI614" s="19">
        <f t="shared" si="760"/>
        <v>0</v>
      </c>
      <c r="AJ614" s="97"/>
      <c r="AK614" s="17"/>
      <c r="AL614" s="17"/>
      <c r="AM614" s="17"/>
      <c r="AN614" s="18">
        <f t="shared" si="756"/>
        <v>0</v>
      </c>
      <c r="AO614" s="19">
        <f t="shared" si="761"/>
        <v>0</v>
      </c>
      <c r="AP614" s="97"/>
      <c r="AQ614" s="17"/>
      <c r="AR614" s="17"/>
      <c r="AS614" s="17"/>
      <c r="AT614" s="18">
        <f t="shared" si="757"/>
        <v>0</v>
      </c>
      <c r="AU614" s="19">
        <f t="shared" si="762"/>
        <v>0</v>
      </c>
      <c r="AV614" s="97"/>
      <c r="AW614" s="17"/>
      <c r="AX614" s="17"/>
      <c r="AY614" s="17"/>
      <c r="AZ614" s="18">
        <f t="shared" si="758"/>
        <v>0</v>
      </c>
      <c r="BA614" s="19">
        <f t="shared" si="763"/>
        <v>0</v>
      </c>
    </row>
    <row r="615" spans="1:53" ht="17.100000000000001" customHeight="1" x14ac:dyDescent="0.25">
      <c r="A615" s="40"/>
      <c r="B615" s="40"/>
      <c r="C615" s="119"/>
      <c r="D615" s="180" t="s">
        <v>356</v>
      </c>
      <c r="E615" s="85" t="s">
        <v>515</v>
      </c>
      <c r="F615" s="105"/>
      <c r="G615" s="105"/>
      <c r="H615" s="119"/>
      <c r="I615" s="231"/>
      <c r="J615" s="581"/>
      <c r="K615" s="581"/>
      <c r="L615" s="582"/>
      <c r="M615" s="593">
        <f t="shared" si="751"/>
        <v>0</v>
      </c>
      <c r="N615" s="111"/>
      <c r="O615" s="111"/>
      <c r="P615" s="111"/>
      <c r="Q615" s="111"/>
      <c r="R615" s="111"/>
      <c r="S615" s="111"/>
      <c r="T615" s="111"/>
      <c r="U615" s="111"/>
      <c r="V615" s="358"/>
      <c r="W615" s="391">
        <f t="shared" si="752"/>
        <v>0</v>
      </c>
      <c r="X615" s="17">
        <f t="shared" si="753"/>
        <v>0</v>
      </c>
      <c r="Y615" s="18">
        <f t="shared" si="754"/>
        <v>0</v>
      </c>
      <c r="Z615" s="19">
        <f t="shared" si="759"/>
        <v>0</v>
      </c>
      <c r="AA615" s="19"/>
      <c r="AB615" s="19"/>
      <c r="AC615" s="17"/>
      <c r="AE615" s="17"/>
      <c r="AF615" s="17"/>
      <c r="AG615" s="17"/>
      <c r="AH615" s="18">
        <f t="shared" si="755"/>
        <v>0</v>
      </c>
      <c r="AI615" s="19">
        <f t="shared" si="760"/>
        <v>0</v>
      </c>
      <c r="AJ615" s="97"/>
      <c r="AK615" s="17"/>
      <c r="AL615" s="17"/>
      <c r="AM615" s="17"/>
      <c r="AN615" s="18">
        <f t="shared" si="756"/>
        <v>0</v>
      </c>
      <c r="AO615" s="19">
        <f t="shared" si="761"/>
        <v>0</v>
      </c>
      <c r="AP615" s="97"/>
      <c r="AQ615" s="17"/>
      <c r="AR615" s="17"/>
      <c r="AS615" s="17"/>
      <c r="AT615" s="18">
        <f t="shared" si="757"/>
        <v>0</v>
      </c>
      <c r="AU615" s="19">
        <f t="shared" si="762"/>
        <v>0</v>
      </c>
      <c r="AV615" s="97"/>
      <c r="AW615" s="17"/>
      <c r="AX615" s="17"/>
      <c r="AY615" s="17"/>
      <c r="AZ615" s="18">
        <f t="shared" si="758"/>
        <v>0</v>
      </c>
      <c r="BA615" s="19">
        <f t="shared" si="763"/>
        <v>0</v>
      </c>
    </row>
    <row r="616" spans="1:53" ht="17.100000000000001" customHeight="1" x14ac:dyDescent="0.25">
      <c r="A616" s="40"/>
      <c r="B616" s="40"/>
      <c r="C616" s="119"/>
      <c r="D616" s="180" t="s">
        <v>508</v>
      </c>
      <c r="E616" s="85" t="s">
        <v>516</v>
      </c>
      <c r="F616" s="105"/>
      <c r="G616" s="105"/>
      <c r="H616" s="119"/>
      <c r="I616" s="231"/>
      <c r="J616" s="583"/>
      <c r="K616" s="583"/>
      <c r="L616" s="584"/>
      <c r="M616" s="593">
        <f t="shared" si="751"/>
        <v>0</v>
      </c>
      <c r="N616" s="111"/>
      <c r="O616" s="111"/>
      <c r="P616" s="111"/>
      <c r="Q616" s="111"/>
      <c r="R616" s="111"/>
      <c r="S616" s="111"/>
      <c r="T616" s="111"/>
      <c r="U616" s="111"/>
      <c r="V616" s="358"/>
      <c r="W616" s="391">
        <f t="shared" si="752"/>
        <v>0</v>
      </c>
      <c r="X616" s="17">
        <f t="shared" si="753"/>
        <v>0</v>
      </c>
      <c r="Y616" s="18">
        <f t="shared" si="754"/>
        <v>0</v>
      </c>
      <c r="Z616" s="19">
        <f t="shared" si="759"/>
        <v>0</v>
      </c>
      <c r="AA616" s="19"/>
      <c r="AB616" s="19"/>
      <c r="AC616" s="17"/>
      <c r="AE616" s="17"/>
      <c r="AF616" s="17"/>
      <c r="AG616" s="17"/>
      <c r="AH616" s="18">
        <f t="shared" si="755"/>
        <v>0</v>
      </c>
      <c r="AI616" s="19">
        <f t="shared" si="760"/>
        <v>0</v>
      </c>
      <c r="AJ616" s="97"/>
      <c r="AK616" s="17"/>
      <c r="AL616" s="17"/>
      <c r="AM616" s="17"/>
      <c r="AN616" s="18">
        <f t="shared" si="756"/>
        <v>0</v>
      </c>
      <c r="AO616" s="19">
        <f t="shared" si="761"/>
        <v>0</v>
      </c>
      <c r="AP616" s="97"/>
      <c r="AQ616" s="17"/>
      <c r="AR616" s="17"/>
      <c r="AS616" s="17"/>
      <c r="AT616" s="18">
        <f t="shared" si="757"/>
        <v>0</v>
      </c>
      <c r="AU616" s="19">
        <f t="shared" si="762"/>
        <v>0</v>
      </c>
      <c r="AV616" s="97"/>
      <c r="AW616" s="17"/>
      <c r="AX616" s="17"/>
      <c r="AY616" s="17"/>
      <c r="AZ616" s="18">
        <f t="shared" si="758"/>
        <v>0</v>
      </c>
      <c r="BA616" s="19">
        <f t="shared" si="763"/>
        <v>0</v>
      </c>
    </row>
    <row r="617" spans="1:53" ht="17.100000000000001" customHeight="1" x14ac:dyDescent="0.25">
      <c r="A617" s="40"/>
      <c r="B617" s="40"/>
      <c r="C617" s="119"/>
      <c r="D617" s="180" t="s">
        <v>509</v>
      </c>
      <c r="E617" s="85" t="s">
        <v>517</v>
      </c>
      <c r="F617" s="105"/>
      <c r="G617" s="105"/>
      <c r="H617" s="119"/>
      <c r="I617" s="231"/>
      <c r="J617" s="581"/>
      <c r="K617" s="581"/>
      <c r="L617" s="582"/>
      <c r="M617" s="593">
        <f t="shared" si="751"/>
        <v>0</v>
      </c>
      <c r="N617" s="111"/>
      <c r="O617" s="111"/>
      <c r="P617" s="111"/>
      <c r="Q617" s="111"/>
      <c r="R617" s="111"/>
      <c r="S617" s="111"/>
      <c r="T617" s="111"/>
      <c r="U617" s="111"/>
      <c r="V617" s="358"/>
      <c r="W617" s="391">
        <f t="shared" si="752"/>
        <v>0</v>
      </c>
      <c r="X617" s="17">
        <f t="shared" si="753"/>
        <v>0</v>
      </c>
      <c r="Y617" s="18">
        <f t="shared" si="754"/>
        <v>0</v>
      </c>
      <c r="Z617" s="19">
        <f t="shared" si="759"/>
        <v>0</v>
      </c>
      <c r="AA617" s="19"/>
      <c r="AB617" s="19"/>
      <c r="AC617" s="17"/>
      <c r="AE617" s="17"/>
      <c r="AF617" s="17"/>
      <c r="AG617" s="17"/>
      <c r="AH617" s="18">
        <f t="shared" si="755"/>
        <v>0</v>
      </c>
      <c r="AI617" s="19">
        <f t="shared" si="760"/>
        <v>0</v>
      </c>
      <c r="AJ617" s="97"/>
      <c r="AK617" s="17"/>
      <c r="AL617" s="17"/>
      <c r="AM617" s="17"/>
      <c r="AN617" s="18">
        <f t="shared" si="756"/>
        <v>0</v>
      </c>
      <c r="AO617" s="19">
        <f t="shared" si="761"/>
        <v>0</v>
      </c>
      <c r="AP617" s="97"/>
      <c r="AQ617" s="17"/>
      <c r="AR617" s="17"/>
      <c r="AS617" s="17"/>
      <c r="AT617" s="18">
        <f t="shared" si="757"/>
        <v>0</v>
      </c>
      <c r="AU617" s="19">
        <f t="shared" si="762"/>
        <v>0</v>
      </c>
      <c r="AV617" s="97"/>
      <c r="AW617" s="17"/>
      <c r="AX617" s="17"/>
      <c r="AY617" s="17"/>
      <c r="AZ617" s="18">
        <f t="shared" si="758"/>
        <v>0</v>
      </c>
      <c r="BA617" s="19">
        <f t="shared" si="763"/>
        <v>0</v>
      </c>
    </row>
    <row r="618" spans="1:53" ht="17.100000000000001" customHeight="1" x14ac:dyDescent="0.25">
      <c r="A618" s="40"/>
      <c r="B618" s="40"/>
      <c r="C618" s="119"/>
      <c r="D618" s="180" t="s">
        <v>510</v>
      </c>
      <c r="E618" s="85" t="s">
        <v>518</v>
      </c>
      <c r="F618" s="105"/>
      <c r="G618" s="105"/>
      <c r="H618" s="119"/>
      <c r="I618" s="231"/>
      <c r="J618" s="583"/>
      <c r="K618" s="583"/>
      <c r="L618" s="584"/>
      <c r="M618" s="593">
        <f t="shared" si="751"/>
        <v>0</v>
      </c>
      <c r="N618" s="111"/>
      <c r="O618" s="111"/>
      <c r="P618" s="111"/>
      <c r="Q618" s="111"/>
      <c r="R618" s="111"/>
      <c r="S618" s="111"/>
      <c r="T618" s="111"/>
      <c r="U618" s="111"/>
      <c r="V618" s="358"/>
      <c r="W618" s="391">
        <f t="shared" si="752"/>
        <v>0</v>
      </c>
      <c r="X618" s="17">
        <f t="shared" si="753"/>
        <v>0</v>
      </c>
      <c r="Y618" s="18">
        <f t="shared" si="754"/>
        <v>0</v>
      </c>
      <c r="Z618" s="19">
        <f t="shared" si="759"/>
        <v>0</v>
      </c>
      <c r="AA618" s="19"/>
      <c r="AB618" s="19"/>
      <c r="AC618" s="17"/>
      <c r="AE618" s="17"/>
      <c r="AF618" s="17"/>
      <c r="AG618" s="17"/>
      <c r="AH618" s="18">
        <f t="shared" si="755"/>
        <v>0</v>
      </c>
      <c r="AI618" s="19">
        <f t="shared" si="760"/>
        <v>0</v>
      </c>
      <c r="AJ618" s="97"/>
      <c r="AK618" s="17"/>
      <c r="AL618" s="17"/>
      <c r="AM618" s="17"/>
      <c r="AN618" s="18">
        <f t="shared" si="756"/>
        <v>0</v>
      </c>
      <c r="AO618" s="19">
        <f t="shared" si="761"/>
        <v>0</v>
      </c>
      <c r="AP618" s="97"/>
      <c r="AQ618" s="17"/>
      <c r="AR618" s="17"/>
      <c r="AS618" s="17"/>
      <c r="AT618" s="18">
        <f t="shared" si="757"/>
        <v>0</v>
      </c>
      <c r="AU618" s="19">
        <f t="shared" si="762"/>
        <v>0</v>
      </c>
      <c r="AV618" s="97"/>
      <c r="AW618" s="17"/>
      <c r="AX618" s="17"/>
      <c r="AY618" s="17"/>
      <c r="AZ618" s="18">
        <f t="shared" si="758"/>
        <v>0</v>
      </c>
      <c r="BA618" s="19">
        <f t="shared" si="763"/>
        <v>0</v>
      </c>
    </row>
    <row r="619" spans="1:53" ht="17.100000000000001" customHeight="1" x14ac:dyDescent="0.25">
      <c r="A619" s="40"/>
      <c r="B619" s="40"/>
      <c r="C619" s="119"/>
      <c r="D619" s="180" t="s">
        <v>511</v>
      </c>
      <c r="E619" s="85" t="s">
        <v>129</v>
      </c>
      <c r="F619" s="105"/>
      <c r="G619" s="105"/>
      <c r="H619" s="119"/>
      <c r="I619" s="231"/>
      <c r="J619" s="581"/>
      <c r="K619" s="581"/>
      <c r="L619" s="582"/>
      <c r="M619" s="593">
        <f t="shared" si="751"/>
        <v>0</v>
      </c>
      <c r="N619" s="111"/>
      <c r="O619" s="111"/>
      <c r="P619" s="111"/>
      <c r="Q619" s="111"/>
      <c r="R619" s="111"/>
      <c r="S619" s="111"/>
      <c r="T619" s="111"/>
      <c r="U619" s="111"/>
      <c r="V619" s="358"/>
      <c r="W619" s="391">
        <f t="shared" si="752"/>
        <v>0</v>
      </c>
      <c r="X619" s="17">
        <f t="shared" si="753"/>
        <v>0</v>
      </c>
      <c r="Y619" s="18">
        <f t="shared" si="754"/>
        <v>0</v>
      </c>
      <c r="Z619" s="19">
        <f t="shared" si="759"/>
        <v>0</v>
      </c>
      <c r="AA619" s="19"/>
      <c r="AB619" s="19"/>
      <c r="AC619" s="17"/>
      <c r="AE619" s="17"/>
      <c r="AF619" s="17"/>
      <c r="AG619" s="17"/>
      <c r="AH619" s="18">
        <f t="shared" si="755"/>
        <v>0</v>
      </c>
      <c r="AI619" s="19">
        <f t="shared" si="760"/>
        <v>0</v>
      </c>
      <c r="AJ619" s="97"/>
      <c r="AK619" s="17"/>
      <c r="AL619" s="17"/>
      <c r="AM619" s="17"/>
      <c r="AN619" s="18">
        <f t="shared" si="756"/>
        <v>0</v>
      </c>
      <c r="AO619" s="19">
        <f t="shared" si="761"/>
        <v>0</v>
      </c>
      <c r="AP619" s="97"/>
      <c r="AQ619" s="17"/>
      <c r="AR619" s="17"/>
      <c r="AS619" s="17"/>
      <c r="AT619" s="18">
        <f t="shared" si="757"/>
        <v>0</v>
      </c>
      <c r="AU619" s="19">
        <f t="shared" si="762"/>
        <v>0</v>
      </c>
      <c r="AV619" s="97"/>
      <c r="AW619" s="17"/>
      <c r="AX619" s="17"/>
      <c r="AY619" s="17"/>
      <c r="AZ619" s="18">
        <f t="shared" si="758"/>
        <v>0</v>
      </c>
      <c r="BA619" s="19">
        <f t="shared" si="763"/>
        <v>0</v>
      </c>
    </row>
    <row r="620" spans="1:53" ht="17.100000000000001" customHeight="1" x14ac:dyDescent="0.25">
      <c r="A620" s="40"/>
      <c r="B620" s="40"/>
      <c r="C620" s="77"/>
      <c r="D620" s="134"/>
      <c r="E620" s="134"/>
      <c r="F620" s="134"/>
      <c r="G620" s="134"/>
      <c r="H620" s="540"/>
      <c r="I620" s="229"/>
      <c r="J620" s="80">
        <f>SUM(J611:J619)</f>
        <v>0</v>
      </c>
      <c r="K620" s="80">
        <f t="shared" ref="K620:M620" si="764">SUM(K611:K619)</f>
        <v>0</v>
      </c>
      <c r="L620" s="80">
        <f t="shared" si="764"/>
        <v>0</v>
      </c>
      <c r="M620" s="80">
        <f t="shared" si="764"/>
        <v>0</v>
      </c>
      <c r="N620" s="81"/>
      <c r="O620" s="81"/>
      <c r="P620" s="81"/>
      <c r="Q620" s="81"/>
      <c r="R620" s="81"/>
      <c r="S620" s="81"/>
      <c r="T620" s="81"/>
      <c r="U620" s="81"/>
      <c r="V620" s="356"/>
      <c r="W620" s="381">
        <f>SUM(W611:W619)</f>
        <v>0</v>
      </c>
      <c r="X620" s="82">
        <f t="shared" ref="X620:Y620" si="765">SUM(X611:X619)</f>
        <v>0</v>
      </c>
      <c r="Y620" s="82">
        <f t="shared" si="765"/>
        <v>0</v>
      </c>
      <c r="Z620" s="205">
        <f t="shared" si="759"/>
        <v>0</v>
      </c>
      <c r="AA620" s="205"/>
      <c r="AB620" s="205"/>
      <c r="AC620" s="83"/>
      <c r="AE620" s="80"/>
      <c r="AF620" s="80"/>
      <c r="AG620" s="81"/>
      <c r="AH620" s="82">
        <f>SUM(AH611:AH619)</f>
        <v>0</v>
      </c>
      <c r="AI620" s="66">
        <f>IF(AH$620=0,0,AH620/AH$620)</f>
        <v>0</v>
      </c>
      <c r="AK620" s="80"/>
      <c r="AL620" s="80"/>
      <c r="AM620" s="81"/>
      <c r="AN620" s="82">
        <f>SUM(AN611:AN619)</f>
        <v>0</v>
      </c>
      <c r="AO620" s="66">
        <f>IF(AN$620=0,0,AN620/AN$620)</f>
        <v>0</v>
      </c>
      <c r="AQ620" s="80"/>
      <c r="AR620" s="80"/>
      <c r="AS620" s="81"/>
      <c r="AT620" s="82">
        <f>SUM(AT611:AT619)</f>
        <v>0</v>
      </c>
      <c r="AU620" s="66">
        <f>IF(AT$620=0,0,AT620/AT$620)</f>
        <v>0</v>
      </c>
      <c r="AW620" s="80"/>
      <c r="AX620" s="80"/>
      <c r="AY620" s="81"/>
      <c r="AZ620" s="82">
        <f>SUM(AZ611:AZ619)</f>
        <v>0</v>
      </c>
      <c r="BA620" s="66">
        <f>IF(AZ$620=0,0,AZ620/AZ$620)</f>
        <v>0</v>
      </c>
    </row>
    <row r="621" spans="1:53" s="117" customFormat="1" ht="17.100000000000001" customHeight="1" x14ac:dyDescent="0.25">
      <c r="A621" s="68"/>
      <c r="B621" s="119"/>
      <c r="C621" s="540"/>
      <c r="D621" s="261"/>
      <c r="E621" s="261"/>
      <c r="F621" s="68"/>
      <c r="G621" s="68"/>
      <c r="H621" s="119"/>
      <c r="I621" s="138"/>
      <c r="J621" s="17" t="str">
        <f>IF(J620=J$576,"OK","NOK")</f>
        <v>OK</v>
      </c>
      <c r="K621" s="17" t="str">
        <f t="shared" ref="K621:L621" si="766">IF(K620=K$576,"OK","NOK")</f>
        <v>OK</v>
      </c>
      <c r="L621" s="17" t="str">
        <f t="shared" si="766"/>
        <v>OK</v>
      </c>
      <c r="M621" s="17"/>
      <c r="N621" s="17"/>
      <c r="O621" s="17"/>
      <c r="P621" s="17"/>
      <c r="Q621" s="17"/>
      <c r="R621" s="17"/>
      <c r="S621" s="17"/>
      <c r="T621" s="17"/>
      <c r="U621" s="17"/>
      <c r="V621" s="359"/>
      <c r="W621" s="382"/>
      <c r="X621" s="539"/>
      <c r="Y621" s="539"/>
      <c r="Z621" s="201"/>
      <c r="AA621" s="201"/>
      <c r="AB621" s="201"/>
      <c r="AC621" s="84"/>
      <c r="AE621" s="46"/>
      <c r="AF621" s="46"/>
      <c r="AG621" s="17"/>
      <c r="AH621" s="539"/>
      <c r="AI621" s="91"/>
      <c r="AK621" s="46"/>
      <c r="AL621" s="46"/>
      <c r="AM621" s="17"/>
      <c r="AN621" s="539"/>
      <c r="AO621" s="91"/>
      <c r="AQ621" s="46"/>
      <c r="AR621" s="46"/>
      <c r="AS621" s="17"/>
      <c r="AT621" s="539"/>
      <c r="AU621" s="91"/>
      <c r="AW621" s="46"/>
      <c r="AX621" s="46"/>
      <c r="AY621" s="17"/>
      <c r="AZ621" s="539"/>
      <c r="BA621" s="91"/>
    </row>
    <row r="622" spans="1:53" ht="17.100000000000001" customHeight="1" x14ac:dyDescent="0.25">
      <c r="A622" s="68"/>
      <c r="B622" s="48" t="s">
        <v>678</v>
      </c>
      <c r="C622" s="50" t="s">
        <v>679</v>
      </c>
      <c r="D622" s="50"/>
      <c r="E622" s="70"/>
      <c r="F622" s="70"/>
      <c r="G622" s="70"/>
      <c r="H622" s="119"/>
      <c r="J622" s="71"/>
      <c r="K622" s="71"/>
      <c r="L622" s="71"/>
      <c r="M622" s="71"/>
      <c r="N622" s="71"/>
      <c r="O622" s="71"/>
      <c r="P622" s="71"/>
      <c r="Q622" s="71"/>
      <c r="R622" s="71"/>
      <c r="S622" s="71"/>
      <c r="T622" s="71"/>
      <c r="U622" s="71"/>
      <c r="V622" s="355"/>
      <c r="W622" s="377"/>
      <c r="X622" s="71"/>
      <c r="Y622" s="72"/>
      <c r="Z622" s="73"/>
      <c r="AA622" s="73"/>
      <c r="AB622" s="73"/>
      <c r="AC622" s="73"/>
      <c r="AE622" s="71"/>
      <c r="AF622" s="71"/>
      <c r="AG622" s="71"/>
      <c r="AH622" s="72"/>
      <c r="AI622" s="73"/>
      <c r="AK622" s="71"/>
      <c r="AL622" s="71"/>
      <c r="AM622" s="71"/>
      <c r="AN622" s="72"/>
      <c r="AO622" s="73"/>
      <c r="AQ622" s="71"/>
      <c r="AR622" s="71"/>
      <c r="AS622" s="71"/>
      <c r="AT622" s="72"/>
      <c r="AU622" s="73"/>
      <c r="AW622" s="71"/>
      <c r="AX622" s="71"/>
      <c r="AY622" s="71"/>
      <c r="AZ622" s="72"/>
      <c r="BA622" s="73"/>
    </row>
    <row r="623" spans="1:53" s="117" customFormat="1" ht="17.100000000000001" customHeight="1" x14ac:dyDescent="0.25">
      <c r="A623" s="68"/>
      <c r="B623" s="119"/>
      <c r="C623" s="74" t="s">
        <v>680</v>
      </c>
      <c r="D623" s="85" t="s">
        <v>504</v>
      </c>
      <c r="E623" s="75"/>
      <c r="F623" s="151"/>
      <c r="G623" s="318"/>
      <c r="H623" s="119"/>
      <c r="I623" s="138"/>
      <c r="J623" s="111"/>
      <c r="K623" s="111"/>
      <c r="L623" s="111"/>
      <c r="M623" s="111"/>
      <c r="N623" s="111"/>
      <c r="O623" s="111"/>
      <c r="P623" s="327"/>
      <c r="Q623" s="111"/>
      <c r="R623" s="111"/>
      <c r="S623" s="327">
        <v>1</v>
      </c>
      <c r="T623" s="111"/>
      <c r="U623" s="111"/>
      <c r="V623" s="369"/>
      <c r="W623" s="391"/>
      <c r="X623" s="17"/>
      <c r="Y623" s="328">
        <f t="shared" ref="Y623:Y624" si="767">P623+S623+V623</f>
        <v>1</v>
      </c>
      <c r="Z623" s="19">
        <f>IF(Y$628=0,0,Y623/Y$628)</f>
        <v>0.33333333333333331</v>
      </c>
      <c r="AA623" s="201"/>
      <c r="AB623" s="201"/>
      <c r="AC623" s="84"/>
      <c r="AE623" s="111"/>
      <c r="AF623" s="111"/>
      <c r="AG623" s="111"/>
      <c r="AH623" s="545"/>
      <c r="AI623" s="131"/>
      <c r="AK623" s="111"/>
      <c r="AL623" s="111"/>
      <c r="AM623" s="111"/>
      <c r="AN623" s="545"/>
      <c r="AO623" s="131"/>
      <c r="AQ623" s="111"/>
      <c r="AR623" s="111"/>
      <c r="AS623" s="111"/>
      <c r="AT623" s="545"/>
      <c r="AU623" s="131"/>
      <c r="AW623" s="111"/>
      <c r="AX623" s="111"/>
      <c r="AY623" s="111"/>
      <c r="AZ623" s="545"/>
      <c r="BA623" s="131"/>
    </row>
    <row r="624" spans="1:53" s="117" customFormat="1" ht="17.100000000000001" customHeight="1" x14ac:dyDescent="0.25">
      <c r="A624" s="68"/>
      <c r="B624" s="119"/>
      <c r="C624" s="74" t="s">
        <v>681</v>
      </c>
      <c r="D624" s="85" t="s">
        <v>505</v>
      </c>
      <c r="E624" s="75"/>
      <c r="F624" s="151"/>
      <c r="G624" s="318"/>
      <c r="H624" s="119"/>
      <c r="I624" s="138"/>
      <c r="J624" s="111"/>
      <c r="K624" s="111"/>
      <c r="L624" s="111"/>
      <c r="M624" s="111"/>
      <c r="N624" s="111"/>
      <c r="O624" s="111"/>
      <c r="P624" s="329"/>
      <c r="Q624" s="111"/>
      <c r="R624" s="111"/>
      <c r="S624" s="329"/>
      <c r="T624" s="111"/>
      <c r="U624" s="111"/>
      <c r="V624" s="370"/>
      <c r="W624" s="391"/>
      <c r="X624" s="17"/>
      <c r="Y624" s="328">
        <f t="shared" si="767"/>
        <v>0</v>
      </c>
      <c r="Z624" s="19">
        <f t="shared" ref="Z624:Z628" si="768">IF(Y$628=0,0,Y624/Y$628)</f>
        <v>0</v>
      </c>
      <c r="AA624" s="201"/>
      <c r="AB624" s="201"/>
      <c r="AC624" s="84"/>
      <c r="AE624" s="111"/>
      <c r="AF624" s="111"/>
      <c r="AG624" s="111"/>
      <c r="AH624" s="545"/>
      <c r="AI624" s="131"/>
      <c r="AK624" s="111"/>
      <c r="AL624" s="111"/>
      <c r="AM624" s="111"/>
      <c r="AN624" s="545"/>
      <c r="AO624" s="131"/>
      <c r="AQ624" s="111"/>
      <c r="AR624" s="111"/>
      <c r="AS624" s="111"/>
      <c r="AT624" s="545"/>
      <c r="AU624" s="131"/>
      <c r="AW624" s="111"/>
      <c r="AX624" s="111"/>
      <c r="AY624" s="111"/>
      <c r="AZ624" s="545"/>
      <c r="BA624" s="131"/>
    </row>
    <row r="625" spans="1:53" s="117" customFormat="1" ht="17.100000000000001" customHeight="1" x14ac:dyDescent="0.25">
      <c r="A625" s="68"/>
      <c r="B625" s="119"/>
      <c r="C625" s="74" t="s">
        <v>682</v>
      </c>
      <c r="D625" s="85" t="s">
        <v>683</v>
      </c>
      <c r="E625" s="75"/>
      <c r="F625" s="151"/>
      <c r="G625" s="318"/>
      <c r="H625" s="119"/>
      <c r="I625" s="138"/>
      <c r="J625" s="111"/>
      <c r="K625" s="111"/>
      <c r="L625" s="111"/>
      <c r="M625" s="111"/>
      <c r="N625" s="111"/>
      <c r="O625" s="111"/>
      <c r="P625" s="327"/>
      <c r="Q625" s="111"/>
      <c r="R625" s="111"/>
      <c r="S625" s="327"/>
      <c r="T625" s="111"/>
      <c r="U625" s="111"/>
      <c r="V625" s="369"/>
      <c r="W625" s="391"/>
      <c r="X625" s="17"/>
      <c r="Y625" s="328">
        <f>P625+S625+V625</f>
        <v>0</v>
      </c>
      <c r="Z625" s="19">
        <f t="shared" si="768"/>
        <v>0</v>
      </c>
      <c r="AA625" s="201"/>
      <c r="AB625" s="201"/>
      <c r="AC625" s="84"/>
      <c r="AE625" s="111"/>
      <c r="AF625" s="111"/>
      <c r="AG625" s="111"/>
      <c r="AH625" s="545"/>
      <c r="AI625" s="131"/>
      <c r="AK625" s="111"/>
      <c r="AL625" s="111"/>
      <c r="AM625" s="111"/>
      <c r="AN625" s="545"/>
      <c r="AO625" s="131"/>
      <c r="AQ625" s="111"/>
      <c r="AR625" s="111"/>
      <c r="AS625" s="111"/>
      <c r="AT625" s="545"/>
      <c r="AU625" s="131"/>
      <c r="AW625" s="111"/>
      <c r="AX625" s="111"/>
      <c r="AY625" s="111"/>
      <c r="AZ625" s="545"/>
      <c r="BA625" s="131"/>
    </row>
    <row r="626" spans="1:53" s="117" customFormat="1" ht="17.100000000000001" customHeight="1" x14ac:dyDescent="0.25">
      <c r="A626" s="68"/>
      <c r="B626" s="119"/>
      <c r="C626" s="74" t="s">
        <v>684</v>
      </c>
      <c r="D626" s="85" t="s">
        <v>685</v>
      </c>
      <c r="E626" s="75"/>
      <c r="F626" s="151"/>
      <c r="G626" s="318"/>
      <c r="H626" s="119"/>
      <c r="I626" s="138"/>
      <c r="J626" s="111"/>
      <c r="K626" s="111"/>
      <c r="L626" s="111"/>
      <c r="M626" s="111"/>
      <c r="N626" s="111"/>
      <c r="O626" s="111"/>
      <c r="P626" s="329">
        <v>1</v>
      </c>
      <c r="Q626" s="111"/>
      <c r="R626" s="111"/>
      <c r="S626" s="329"/>
      <c r="T626" s="111"/>
      <c r="U626" s="111"/>
      <c r="V626" s="370"/>
      <c r="W626" s="391"/>
      <c r="X626" s="17"/>
      <c r="Y626" s="328">
        <f t="shared" ref="Y626:Y627" si="769">P626+S626+V626</f>
        <v>1</v>
      </c>
      <c r="Z626" s="19">
        <f t="shared" si="768"/>
        <v>0.33333333333333331</v>
      </c>
      <c r="AA626" s="201"/>
      <c r="AB626" s="201"/>
      <c r="AC626" s="84"/>
      <c r="AE626" s="111"/>
      <c r="AF626" s="111"/>
      <c r="AG626" s="111"/>
      <c r="AH626" s="545"/>
      <c r="AI626" s="131"/>
      <c r="AK626" s="111"/>
      <c r="AL626" s="111"/>
      <c r="AM626" s="111"/>
      <c r="AN626" s="545"/>
      <c r="AO626" s="131"/>
      <c r="AQ626" s="111"/>
      <c r="AR626" s="111"/>
      <c r="AS626" s="111"/>
      <c r="AT626" s="545"/>
      <c r="AU626" s="131"/>
      <c r="AW626" s="111"/>
      <c r="AX626" s="111"/>
      <c r="AY626" s="111"/>
      <c r="AZ626" s="545"/>
      <c r="BA626" s="131"/>
    </row>
    <row r="627" spans="1:53" s="117" customFormat="1" ht="17.100000000000001" customHeight="1" x14ac:dyDescent="0.25">
      <c r="A627" s="68"/>
      <c r="B627" s="119"/>
      <c r="C627" s="74" t="s">
        <v>686</v>
      </c>
      <c r="D627" s="85" t="s">
        <v>129</v>
      </c>
      <c r="E627" s="75"/>
      <c r="F627" s="151"/>
      <c r="G627" s="318"/>
      <c r="H627" s="119"/>
      <c r="I627" s="138"/>
      <c r="J627" s="111"/>
      <c r="K627" s="111"/>
      <c r="L627" s="111"/>
      <c r="M627" s="111"/>
      <c r="N627" s="111"/>
      <c r="O627" s="111"/>
      <c r="P627" s="327"/>
      <c r="Q627" s="111"/>
      <c r="R627" s="111"/>
      <c r="S627" s="327"/>
      <c r="T627" s="111"/>
      <c r="U627" s="111"/>
      <c r="V627" s="369">
        <v>1</v>
      </c>
      <c r="W627" s="391"/>
      <c r="X627" s="17"/>
      <c r="Y627" s="328">
        <f t="shared" si="769"/>
        <v>1</v>
      </c>
      <c r="Z627" s="19">
        <f t="shared" si="768"/>
        <v>0.33333333333333331</v>
      </c>
      <c r="AA627" s="201"/>
      <c r="AB627" s="201"/>
      <c r="AC627" s="84"/>
      <c r="AE627" s="111"/>
      <c r="AF627" s="111"/>
      <c r="AG627" s="111"/>
      <c r="AH627" s="545"/>
      <c r="AI627" s="131"/>
      <c r="AK627" s="111"/>
      <c r="AL627" s="111"/>
      <c r="AM627" s="111"/>
      <c r="AN627" s="545"/>
      <c r="AO627" s="131"/>
      <c r="AQ627" s="111"/>
      <c r="AR627" s="111"/>
      <c r="AS627" s="111"/>
      <c r="AT627" s="545"/>
      <c r="AU627" s="131"/>
      <c r="AW627" s="111"/>
      <c r="AX627" s="111"/>
      <c r="AY627" s="111"/>
      <c r="AZ627" s="545"/>
      <c r="BA627" s="131"/>
    </row>
    <row r="628" spans="1:53" ht="17.100000000000001" customHeight="1" x14ac:dyDescent="0.25">
      <c r="A628" s="40"/>
      <c r="B628" s="40"/>
      <c r="C628" s="77"/>
      <c r="D628" s="134"/>
      <c r="E628" s="134"/>
      <c r="F628" s="134"/>
      <c r="G628" s="134"/>
      <c r="H628" s="540"/>
      <c r="I628" s="229"/>
      <c r="J628" s="80"/>
      <c r="K628" s="80"/>
      <c r="L628" s="80"/>
      <c r="M628" s="80"/>
      <c r="N628" s="81"/>
      <c r="O628" s="81"/>
      <c r="P628" s="82">
        <f>SUM(P623:P627)</f>
        <v>1</v>
      </c>
      <c r="Q628" s="81"/>
      <c r="R628" s="81"/>
      <c r="S628" s="82">
        <f>SUM(S623:S627)</f>
        <v>1</v>
      </c>
      <c r="T628" s="81"/>
      <c r="U628" s="81"/>
      <c r="V628" s="360">
        <f>SUM(V623:V627)</f>
        <v>1</v>
      </c>
      <c r="W628" s="381"/>
      <c r="X628" s="82"/>
      <c r="Y628" s="82">
        <f>SUM(Y623:Y627)</f>
        <v>3</v>
      </c>
      <c r="Z628" s="205">
        <f t="shared" si="768"/>
        <v>1</v>
      </c>
      <c r="AA628" s="205"/>
      <c r="AB628" s="205"/>
      <c r="AC628" s="83"/>
      <c r="AE628" s="80"/>
      <c r="AF628" s="80"/>
      <c r="AG628" s="81"/>
      <c r="AH628" s="82"/>
      <c r="AI628" s="66"/>
      <c r="AK628" s="80"/>
      <c r="AL628" s="80"/>
      <c r="AM628" s="81"/>
      <c r="AN628" s="82"/>
      <c r="AO628" s="66"/>
      <c r="AQ628" s="80"/>
      <c r="AR628" s="80"/>
      <c r="AS628" s="81"/>
      <c r="AT628" s="82"/>
      <c r="AU628" s="66"/>
      <c r="AW628" s="80"/>
      <c r="AX628" s="80"/>
      <c r="AY628" s="81"/>
      <c r="AZ628" s="82"/>
      <c r="BA628" s="66"/>
    </row>
    <row r="629" spans="1:53" s="117" customFormat="1" ht="17.100000000000001" customHeight="1" x14ac:dyDescent="0.25">
      <c r="A629" s="68"/>
      <c r="B629" s="119"/>
      <c r="C629" s="540"/>
      <c r="D629" s="261"/>
      <c r="E629" s="261"/>
      <c r="F629" s="68"/>
      <c r="G629" s="68"/>
      <c r="H629" s="119"/>
      <c r="I629" s="138"/>
      <c r="J629" s="17"/>
      <c r="K629" s="17"/>
      <c r="L629" s="17"/>
      <c r="M629" s="17"/>
      <c r="N629" s="17"/>
      <c r="O629" s="17"/>
      <c r="P629" s="17" t="str">
        <f>IF(P628=1,"OK","NOK")</f>
        <v>OK</v>
      </c>
      <c r="Q629" s="17"/>
      <c r="R629" s="17"/>
      <c r="S629" s="17" t="str">
        <f>IF(S628=1,"OK","NOK")</f>
        <v>OK</v>
      </c>
      <c r="T629" s="17"/>
      <c r="U629" s="17"/>
      <c r="V629" s="359" t="str">
        <f>IF(V628=1,"OK","NOK")</f>
        <v>OK</v>
      </c>
      <c r="W629" s="382"/>
      <c r="X629" s="539"/>
      <c r="Y629" s="539"/>
      <c r="Z629" s="201"/>
      <c r="AA629" s="201"/>
      <c r="AB629" s="201"/>
      <c r="AC629" s="84"/>
      <c r="AE629" s="46"/>
      <c r="AF629" s="46"/>
      <c r="AG629" s="17"/>
      <c r="AH629" s="539"/>
      <c r="AI629" s="91"/>
      <c r="AK629" s="46"/>
      <c r="AL629" s="46"/>
      <c r="AM629" s="17"/>
      <c r="AN629" s="539"/>
      <c r="AO629" s="91"/>
      <c r="AQ629" s="46"/>
      <c r="AR629" s="46"/>
      <c r="AS629" s="17"/>
      <c r="AT629" s="539"/>
      <c r="AU629" s="91"/>
      <c r="AW629" s="46"/>
      <c r="AX629" s="46"/>
      <c r="AY629" s="17"/>
      <c r="AZ629" s="539"/>
      <c r="BA629" s="91"/>
    </row>
    <row r="630" spans="1:53" ht="17.100000000000001" customHeight="1" x14ac:dyDescent="0.25">
      <c r="A630" s="119"/>
      <c r="B630" s="48" t="s">
        <v>687</v>
      </c>
      <c r="C630" s="50" t="s">
        <v>688</v>
      </c>
      <c r="D630" s="50"/>
      <c r="E630" s="70"/>
      <c r="F630" s="70"/>
      <c r="G630" s="70"/>
      <c r="H630" s="119"/>
      <c r="J630" s="71"/>
      <c r="K630" s="71"/>
      <c r="L630" s="71"/>
      <c r="M630" s="71"/>
      <c r="N630" s="71"/>
      <c r="O630" s="71"/>
      <c r="P630" s="71"/>
      <c r="Q630" s="71"/>
      <c r="R630" s="71"/>
      <c r="S630" s="71"/>
      <c r="T630" s="71"/>
      <c r="U630" s="71"/>
      <c r="V630" s="355"/>
      <c r="W630" s="377"/>
      <c r="X630" s="71"/>
      <c r="Y630" s="72"/>
      <c r="Z630" s="73"/>
      <c r="AA630" s="73"/>
      <c r="AB630" s="73"/>
      <c r="AC630" s="73"/>
      <c r="AE630" s="71"/>
      <c r="AF630" s="71"/>
      <c r="AG630" s="71"/>
      <c r="AH630" s="72"/>
      <c r="AI630" s="73"/>
      <c r="AK630" s="71"/>
      <c r="AL630" s="71"/>
      <c r="AM630" s="71"/>
      <c r="AN630" s="72"/>
      <c r="AO630" s="73"/>
      <c r="AQ630" s="71"/>
      <c r="AR630" s="71"/>
      <c r="AS630" s="71"/>
      <c r="AT630" s="72"/>
      <c r="AU630" s="73"/>
      <c r="AW630" s="71"/>
      <c r="AX630" s="71"/>
      <c r="AY630" s="71"/>
      <c r="AZ630" s="72"/>
      <c r="BA630" s="73"/>
    </row>
    <row r="631" spans="1:53" ht="17.100000000000001" customHeight="1" x14ac:dyDescent="0.25">
      <c r="A631" s="119"/>
      <c r="B631" s="119"/>
      <c r="C631" s="48" t="s">
        <v>689</v>
      </c>
      <c r="D631" s="50" t="s">
        <v>690</v>
      </c>
      <c r="E631" s="70"/>
      <c r="F631" s="70"/>
      <c r="G631" s="70"/>
      <c r="H631" s="119"/>
      <c r="J631" s="71"/>
      <c r="K631" s="71"/>
      <c r="L631" s="71"/>
      <c r="M631" s="71"/>
      <c r="N631" s="71"/>
      <c r="O631" s="71"/>
      <c r="P631" s="71"/>
      <c r="Q631" s="71"/>
      <c r="R631" s="71"/>
      <c r="S631" s="71"/>
      <c r="T631" s="71"/>
      <c r="U631" s="71"/>
      <c r="V631" s="355"/>
      <c r="W631" s="377"/>
      <c r="X631" s="71"/>
      <c r="Y631" s="72"/>
      <c r="Z631" s="73"/>
      <c r="AA631" s="73"/>
      <c r="AB631" s="73"/>
      <c r="AC631" s="73"/>
      <c r="AE631" s="71"/>
      <c r="AF631" s="71"/>
      <c r="AG631" s="71"/>
      <c r="AH631" s="72"/>
      <c r="AI631" s="73"/>
      <c r="AK631" s="71"/>
      <c r="AL631" s="71"/>
      <c r="AM631" s="71"/>
      <c r="AN631" s="72"/>
      <c r="AO631" s="73"/>
      <c r="AQ631" s="71"/>
      <c r="AR631" s="71"/>
      <c r="AS631" s="71"/>
      <c r="AT631" s="72"/>
      <c r="AU631" s="73"/>
      <c r="AW631" s="71"/>
      <c r="AX631" s="71"/>
      <c r="AY631" s="71"/>
      <c r="AZ631" s="72"/>
      <c r="BA631" s="73"/>
    </row>
    <row r="632" spans="1:53" s="117" customFormat="1" ht="17.100000000000001" customHeight="1" x14ac:dyDescent="0.25">
      <c r="A632" s="119"/>
      <c r="B632" s="40"/>
      <c r="C632" s="40"/>
      <c r="D632" s="74" t="s">
        <v>691</v>
      </c>
      <c r="E632" s="75" t="s">
        <v>692</v>
      </c>
      <c r="F632" s="105"/>
      <c r="G632" s="151"/>
      <c r="H632" s="119"/>
      <c r="I632" s="138"/>
      <c r="J632" s="111"/>
      <c r="K632" s="111"/>
      <c r="L632" s="111"/>
      <c r="M632" s="111"/>
      <c r="N632" s="111"/>
      <c r="O632" s="111"/>
      <c r="P632" s="327">
        <v>1</v>
      </c>
      <c r="Q632" s="111"/>
      <c r="R632" s="111"/>
      <c r="S632" s="327">
        <v>1</v>
      </c>
      <c r="T632" s="111"/>
      <c r="U632" s="111"/>
      <c r="V632" s="369">
        <v>1</v>
      </c>
      <c r="W632" s="391"/>
      <c r="X632" s="17"/>
      <c r="Y632" s="328">
        <f t="shared" ref="Y632" si="770">P632+S632+V632</f>
        <v>3</v>
      </c>
      <c r="Z632" s="19">
        <f>IF(Y$636=0,0,Y632/Y$636)</f>
        <v>1</v>
      </c>
      <c r="AA632" s="201"/>
      <c r="AB632" s="201"/>
      <c r="AC632" s="84"/>
      <c r="AE632" s="111"/>
      <c r="AF632" s="111"/>
      <c r="AG632" s="111"/>
      <c r="AH632" s="545"/>
      <c r="AI632" s="131"/>
      <c r="AK632" s="111"/>
      <c r="AL632" s="111"/>
      <c r="AM632" s="111"/>
      <c r="AN632" s="545"/>
      <c r="AO632" s="131"/>
      <c r="AQ632" s="111"/>
      <c r="AR632" s="111"/>
      <c r="AS632" s="111"/>
      <c r="AT632" s="545"/>
      <c r="AU632" s="131"/>
      <c r="AW632" s="111"/>
      <c r="AX632" s="111"/>
      <c r="AY632" s="111"/>
      <c r="AZ632" s="545"/>
      <c r="BA632" s="131"/>
    </row>
    <row r="633" spans="1:53" s="117" customFormat="1" ht="17.100000000000001" customHeight="1" x14ac:dyDescent="0.25">
      <c r="A633" s="68"/>
      <c r="B633" s="40"/>
      <c r="C633" s="40"/>
      <c r="D633" s="74" t="s">
        <v>704</v>
      </c>
      <c r="E633" s="85" t="s">
        <v>694</v>
      </c>
      <c r="F633" s="75"/>
      <c r="G633" s="151"/>
      <c r="H633" s="119"/>
      <c r="I633" s="138"/>
      <c r="J633" s="111"/>
      <c r="K633" s="111"/>
      <c r="L633" s="111"/>
      <c r="M633" s="111"/>
      <c r="N633" s="111"/>
      <c r="O633" s="111"/>
      <c r="P633" s="329"/>
      <c r="Q633" s="111"/>
      <c r="R633" s="111"/>
      <c r="S633" s="329"/>
      <c r="T633" s="111"/>
      <c r="U633" s="111"/>
      <c r="V633" s="370"/>
      <c r="W633" s="382"/>
      <c r="X633" s="539"/>
      <c r="Y633" s="539"/>
      <c r="Z633" s="201"/>
      <c r="AA633" s="353">
        <f>MIN(P633,S633,V633)</f>
        <v>0</v>
      </c>
      <c r="AB633" s="353">
        <f>MAX(P633,S633,V633)</f>
        <v>0</v>
      </c>
      <c r="AC633" s="353">
        <f>IF(P633+S633+V633=0,0,AVERAGE(P633,S633,V633))</f>
        <v>0</v>
      </c>
      <c r="AE633" s="111"/>
      <c r="AF633" s="111"/>
      <c r="AG633" s="111"/>
      <c r="AH633" s="545"/>
      <c r="AI633" s="131"/>
      <c r="AK633" s="111"/>
      <c r="AL633" s="111"/>
      <c r="AM633" s="111"/>
      <c r="AN633" s="545"/>
      <c r="AO633" s="131"/>
      <c r="AQ633" s="111"/>
      <c r="AR633" s="111"/>
      <c r="AS633" s="111"/>
      <c r="AT633" s="545"/>
      <c r="AU633" s="131"/>
      <c r="AW633" s="111"/>
      <c r="AX633" s="111"/>
      <c r="AY633" s="111"/>
      <c r="AZ633" s="545"/>
      <c r="BA633" s="131"/>
    </row>
    <row r="634" spans="1:53" ht="17.100000000000001" customHeight="1" x14ac:dyDescent="0.25">
      <c r="A634" s="40"/>
      <c r="B634" s="40"/>
      <c r="C634" s="40"/>
      <c r="D634" s="77" t="s">
        <v>704</v>
      </c>
      <c r="E634" s="134" t="s">
        <v>697</v>
      </c>
      <c r="F634" s="134"/>
      <c r="G634" s="134"/>
      <c r="H634" s="540"/>
      <c r="I634" s="229"/>
      <c r="J634" s="80"/>
      <c r="K634" s="80"/>
      <c r="L634" s="80"/>
      <c r="M634" s="80"/>
      <c r="N634" s="81"/>
      <c r="O634" s="81"/>
      <c r="P634" s="81">
        <f>IF(P633&gt;0,1,0)</f>
        <v>0</v>
      </c>
      <c r="Q634" s="81"/>
      <c r="R634" s="81"/>
      <c r="S634" s="81">
        <f>IF(S633&gt;0,1,0)</f>
        <v>0</v>
      </c>
      <c r="T634" s="81"/>
      <c r="U634" s="81"/>
      <c r="V634" s="356">
        <f>IF(V633&gt;0,1,0)</f>
        <v>0</v>
      </c>
      <c r="W634" s="382"/>
      <c r="X634" s="539"/>
      <c r="Y634" s="328">
        <f t="shared" ref="Y634:Y635" si="771">P634+S634+V634</f>
        <v>0</v>
      </c>
      <c r="Z634" s="19">
        <f t="shared" ref="Z634:Z636" si="772">IF(Y$636=0,0,Y634/Y$636)</f>
        <v>0</v>
      </c>
      <c r="AA634" s="201"/>
      <c r="AB634" s="201"/>
      <c r="AC634" s="84"/>
      <c r="AE634" s="80"/>
      <c r="AF634" s="80"/>
      <c r="AG634" s="81"/>
      <c r="AH634" s="82"/>
      <c r="AI634" s="66"/>
      <c r="AK634" s="80"/>
      <c r="AL634" s="80"/>
      <c r="AM634" s="81"/>
      <c r="AN634" s="82"/>
      <c r="AO634" s="66"/>
      <c r="AQ634" s="80"/>
      <c r="AR634" s="80"/>
      <c r="AS634" s="81"/>
      <c r="AT634" s="82"/>
      <c r="AU634" s="66"/>
      <c r="AW634" s="80"/>
      <c r="AX634" s="80"/>
      <c r="AY634" s="81"/>
      <c r="AZ634" s="82"/>
      <c r="BA634" s="66"/>
    </row>
    <row r="635" spans="1:53" s="117" customFormat="1" ht="17.100000000000001" customHeight="1" x14ac:dyDescent="0.25">
      <c r="A635" s="68"/>
      <c r="B635" s="40"/>
      <c r="C635" s="40"/>
      <c r="D635" s="74" t="s">
        <v>695</v>
      </c>
      <c r="E635" s="85" t="s">
        <v>696</v>
      </c>
      <c r="F635" s="105"/>
      <c r="G635" s="151"/>
      <c r="H635" s="119"/>
      <c r="I635" s="138"/>
      <c r="J635" s="111"/>
      <c r="K635" s="111"/>
      <c r="L635" s="111"/>
      <c r="M635" s="111"/>
      <c r="N635" s="111"/>
      <c r="O635" s="111"/>
      <c r="P635" s="327"/>
      <c r="Q635" s="111"/>
      <c r="R635" s="111"/>
      <c r="S635" s="327"/>
      <c r="T635" s="111"/>
      <c r="U635" s="111"/>
      <c r="V635" s="369"/>
      <c r="W635" s="391"/>
      <c r="X635" s="17"/>
      <c r="Y635" s="328">
        <f t="shared" si="771"/>
        <v>0</v>
      </c>
      <c r="Z635" s="19">
        <f t="shared" si="772"/>
        <v>0</v>
      </c>
      <c r="AA635" s="201"/>
      <c r="AB635" s="201"/>
      <c r="AC635" s="84"/>
      <c r="AE635" s="111"/>
      <c r="AF635" s="111"/>
      <c r="AG635" s="111"/>
      <c r="AH635" s="545"/>
      <c r="AI635" s="131"/>
      <c r="AK635" s="111"/>
      <c r="AL635" s="111"/>
      <c r="AM635" s="111"/>
      <c r="AN635" s="545"/>
      <c r="AO635" s="131"/>
      <c r="AQ635" s="111"/>
      <c r="AR635" s="111"/>
      <c r="AS635" s="111"/>
      <c r="AT635" s="545"/>
      <c r="AU635" s="131"/>
      <c r="AW635" s="111"/>
      <c r="AX635" s="111"/>
      <c r="AY635" s="111"/>
      <c r="AZ635" s="545"/>
      <c r="BA635" s="131"/>
    </row>
    <row r="636" spans="1:53" ht="17.100000000000001" customHeight="1" x14ac:dyDescent="0.25">
      <c r="A636" s="40"/>
      <c r="B636" s="40"/>
      <c r="C636" s="77"/>
      <c r="D636" s="134"/>
      <c r="E636" s="134"/>
      <c r="F636" s="134"/>
      <c r="G636" s="134"/>
      <c r="H636" s="540"/>
      <c r="I636" s="229"/>
      <c r="J636" s="80"/>
      <c r="K636" s="80"/>
      <c r="L636" s="80"/>
      <c r="M636" s="80"/>
      <c r="N636" s="81"/>
      <c r="O636" s="81"/>
      <c r="P636" s="82">
        <f>P632+P634+P635</f>
        <v>1</v>
      </c>
      <c r="Q636" s="81"/>
      <c r="R636" s="81"/>
      <c r="S636" s="82">
        <f>S632+S634+S635</f>
        <v>1</v>
      </c>
      <c r="T636" s="81"/>
      <c r="U636" s="81"/>
      <c r="V636" s="360">
        <f>V632+V634+V635</f>
        <v>1</v>
      </c>
      <c r="W636" s="381"/>
      <c r="X636" s="82"/>
      <c r="Y636" s="82">
        <f>SUM(Y630:Y635)</f>
        <v>3</v>
      </c>
      <c r="Z636" s="205">
        <f t="shared" si="772"/>
        <v>1</v>
      </c>
      <c r="AA636" s="205"/>
      <c r="AB636" s="205"/>
      <c r="AC636" s="83"/>
      <c r="AE636" s="80"/>
      <c r="AF636" s="80"/>
      <c r="AG636" s="81"/>
      <c r="AH636" s="82"/>
      <c r="AI636" s="66"/>
      <c r="AK636" s="80"/>
      <c r="AL636" s="80"/>
      <c r="AM636" s="81"/>
      <c r="AN636" s="82"/>
      <c r="AO636" s="66"/>
      <c r="AQ636" s="80"/>
      <c r="AR636" s="80"/>
      <c r="AS636" s="81"/>
      <c r="AT636" s="82"/>
      <c r="AU636" s="66"/>
      <c r="AW636" s="80"/>
      <c r="AX636" s="80"/>
      <c r="AY636" s="81"/>
      <c r="AZ636" s="82"/>
      <c r="BA636" s="66"/>
    </row>
    <row r="637" spans="1:53" s="117" customFormat="1" ht="17.100000000000001" customHeight="1" x14ac:dyDescent="0.25">
      <c r="A637" s="68"/>
      <c r="B637" s="119"/>
      <c r="C637" s="540"/>
      <c r="D637" s="261"/>
      <c r="E637" s="261"/>
      <c r="F637" s="68"/>
      <c r="G637" s="68"/>
      <c r="H637" s="119"/>
      <c r="I637" s="138"/>
      <c r="J637" s="17"/>
      <c r="K637" s="17"/>
      <c r="L637" s="17"/>
      <c r="M637" s="17"/>
      <c r="N637" s="17"/>
      <c r="O637" s="17"/>
      <c r="P637" s="17" t="str">
        <f>IF(P636=1,"OK","NOK")</f>
        <v>OK</v>
      </c>
      <c r="Q637" s="17"/>
      <c r="R637" s="17"/>
      <c r="S637" s="17" t="str">
        <f>IF(S636=1,"OK","NOK")</f>
        <v>OK</v>
      </c>
      <c r="T637" s="17"/>
      <c r="U637" s="17"/>
      <c r="V637" s="359" t="str">
        <f>IF(V636=1,"OK","NOK")</f>
        <v>OK</v>
      </c>
      <c r="W637" s="382"/>
      <c r="X637" s="539"/>
      <c r="Y637" s="539"/>
      <c r="Z637" s="201"/>
      <c r="AA637" s="201"/>
      <c r="AB637" s="201"/>
      <c r="AC637" s="84"/>
      <c r="AE637" s="46"/>
      <c r="AF637" s="46"/>
      <c r="AG637" s="17"/>
      <c r="AH637" s="539"/>
      <c r="AI637" s="91"/>
      <c r="AK637" s="46"/>
      <c r="AL637" s="46"/>
      <c r="AM637" s="17"/>
      <c r="AN637" s="539"/>
      <c r="AO637" s="91"/>
      <c r="AQ637" s="46"/>
      <c r="AR637" s="46"/>
      <c r="AS637" s="17"/>
      <c r="AT637" s="539"/>
      <c r="AU637" s="91"/>
      <c r="AW637" s="46"/>
      <c r="AX637" s="46"/>
      <c r="AY637" s="17"/>
      <c r="AZ637" s="539"/>
      <c r="BA637" s="91"/>
    </row>
    <row r="638" spans="1:53" ht="17.100000000000001" customHeight="1" x14ac:dyDescent="0.25">
      <c r="A638" s="119"/>
      <c r="B638" s="119"/>
      <c r="C638" s="48" t="s">
        <v>698</v>
      </c>
      <c r="D638" s="551" t="s">
        <v>699</v>
      </c>
      <c r="E638" s="70"/>
      <c r="F638" s="70"/>
      <c r="G638" s="70"/>
      <c r="H638" s="119"/>
      <c r="J638" s="71"/>
      <c r="K638" s="71"/>
      <c r="L638" s="71"/>
      <c r="M638" s="71"/>
      <c r="N638" s="71"/>
      <c r="O638" s="71"/>
      <c r="P638" s="71"/>
      <c r="Q638" s="71"/>
      <c r="R638" s="71"/>
      <c r="S638" s="71"/>
      <c r="T638" s="71"/>
      <c r="U638" s="71"/>
      <c r="V638" s="355"/>
      <c r="W638" s="377"/>
      <c r="X638" s="71"/>
      <c r="Y638" s="72"/>
      <c r="Z638" s="73"/>
      <c r="AA638" s="73"/>
      <c r="AB638" s="73"/>
      <c r="AC638" s="73"/>
      <c r="AE638" s="71"/>
      <c r="AF638" s="71"/>
      <c r="AG638" s="71"/>
      <c r="AH638" s="72"/>
      <c r="AI638" s="73"/>
      <c r="AK638" s="71"/>
      <c r="AL638" s="71"/>
      <c r="AM638" s="71"/>
      <c r="AN638" s="72"/>
      <c r="AO638" s="73"/>
      <c r="AQ638" s="71"/>
      <c r="AR638" s="71"/>
      <c r="AS638" s="71"/>
      <c r="AT638" s="72"/>
      <c r="AU638" s="73"/>
      <c r="AW638" s="71"/>
      <c r="AX638" s="71"/>
      <c r="AY638" s="71"/>
      <c r="AZ638" s="72"/>
      <c r="BA638" s="73"/>
    </row>
    <row r="639" spans="1:53" s="117" customFormat="1" ht="17.100000000000001" customHeight="1" x14ac:dyDescent="0.25">
      <c r="A639" s="119"/>
      <c r="B639" s="40"/>
      <c r="C639" s="40"/>
      <c r="D639" s="74" t="s">
        <v>702</v>
      </c>
      <c r="E639" s="75" t="s">
        <v>692</v>
      </c>
      <c r="F639" s="105"/>
      <c r="G639" s="151"/>
      <c r="H639" s="119"/>
      <c r="I639" s="138"/>
      <c r="J639" s="111"/>
      <c r="K639" s="111"/>
      <c r="L639" s="111"/>
      <c r="M639" s="111"/>
      <c r="N639" s="111"/>
      <c r="O639" s="111"/>
      <c r="P639" s="327">
        <v>1</v>
      </c>
      <c r="Q639" s="111"/>
      <c r="R639" s="111"/>
      <c r="S639" s="327">
        <v>1</v>
      </c>
      <c r="T639" s="111"/>
      <c r="U639" s="111"/>
      <c r="V639" s="369">
        <v>1</v>
      </c>
      <c r="W639" s="391"/>
      <c r="X639" s="17"/>
      <c r="Y639" s="328">
        <f t="shared" ref="Y639" si="773">P639+S639+V639</f>
        <v>3</v>
      </c>
      <c r="Z639" s="19">
        <f>IF(Y$643=0,0,Y639/Y$643)</f>
        <v>1</v>
      </c>
      <c r="AA639" s="201"/>
      <c r="AB639" s="201"/>
      <c r="AC639" s="84"/>
      <c r="AE639" s="111"/>
      <c r="AF639" s="111"/>
      <c r="AG639" s="111"/>
      <c r="AH639" s="545"/>
      <c r="AI639" s="131"/>
      <c r="AK639" s="111"/>
      <c r="AL639" s="111"/>
      <c r="AM639" s="111"/>
      <c r="AN639" s="545"/>
      <c r="AO639" s="131"/>
      <c r="AQ639" s="111"/>
      <c r="AR639" s="111"/>
      <c r="AS639" s="111"/>
      <c r="AT639" s="545"/>
      <c r="AU639" s="131"/>
      <c r="AW639" s="111"/>
      <c r="AX639" s="111"/>
      <c r="AY639" s="111"/>
      <c r="AZ639" s="545"/>
      <c r="BA639" s="131"/>
    </row>
    <row r="640" spans="1:53" s="117" customFormat="1" ht="17.100000000000001" customHeight="1" x14ac:dyDescent="0.25">
      <c r="A640" s="68"/>
      <c r="B640" s="40"/>
      <c r="C640" s="40"/>
      <c r="D640" s="74" t="s">
        <v>693</v>
      </c>
      <c r="E640" s="85" t="s">
        <v>694</v>
      </c>
      <c r="F640" s="75"/>
      <c r="G640" s="151"/>
      <c r="H640" s="119"/>
      <c r="I640" s="138"/>
      <c r="J640" s="111"/>
      <c r="K640" s="111"/>
      <c r="L640" s="111"/>
      <c r="M640" s="111"/>
      <c r="N640" s="111"/>
      <c r="O640" s="111"/>
      <c r="P640" s="329"/>
      <c r="Q640" s="111"/>
      <c r="R640" s="111"/>
      <c r="S640" s="329"/>
      <c r="T640" s="111"/>
      <c r="U640" s="111"/>
      <c r="V640" s="370"/>
      <c r="W640" s="382"/>
      <c r="X640" s="539"/>
      <c r="Y640" s="539"/>
      <c r="Z640" s="19"/>
      <c r="AA640" s="353">
        <f>MIN(P640,S640,V640)</f>
        <v>0</v>
      </c>
      <c r="AB640" s="353">
        <f>MAX(P640,S640,V640)</f>
        <v>0</v>
      </c>
      <c r="AC640" s="353">
        <f>IF(P640+S640+V640=0,0,AVERAGE(P640,S640,V640))</f>
        <v>0</v>
      </c>
      <c r="AE640" s="111"/>
      <c r="AF640" s="111"/>
      <c r="AG640" s="111"/>
      <c r="AH640" s="545"/>
      <c r="AI640" s="131"/>
      <c r="AK640" s="111"/>
      <c r="AL640" s="111"/>
      <c r="AM640" s="111"/>
      <c r="AN640" s="545"/>
      <c r="AO640" s="131"/>
      <c r="AQ640" s="111"/>
      <c r="AR640" s="111"/>
      <c r="AS640" s="111"/>
      <c r="AT640" s="545"/>
      <c r="AU640" s="131"/>
      <c r="AW640" s="111"/>
      <c r="AX640" s="111"/>
      <c r="AY640" s="111"/>
      <c r="AZ640" s="545"/>
      <c r="BA640" s="131"/>
    </row>
    <row r="641" spans="1:53" ht="17.100000000000001" customHeight="1" x14ac:dyDescent="0.25">
      <c r="A641" s="40"/>
      <c r="B641" s="40"/>
      <c r="C641" s="40"/>
      <c r="D641" s="77" t="s">
        <v>693</v>
      </c>
      <c r="E641" s="134" t="s">
        <v>697</v>
      </c>
      <c r="F641" s="134"/>
      <c r="G641" s="134"/>
      <c r="H641" s="540"/>
      <c r="I641" s="229"/>
      <c r="J641" s="80"/>
      <c r="K641" s="80"/>
      <c r="L641" s="80"/>
      <c r="M641" s="80"/>
      <c r="N641" s="81"/>
      <c r="O641" s="81"/>
      <c r="P641" s="81">
        <f>IF(P640&gt;0,1,0)</f>
        <v>0</v>
      </c>
      <c r="Q641" s="81"/>
      <c r="R641" s="81"/>
      <c r="S641" s="81">
        <f>IF(S640&gt;0,1,0)</f>
        <v>0</v>
      </c>
      <c r="T641" s="81"/>
      <c r="U641" s="81"/>
      <c r="V641" s="356">
        <f>IF(V640&gt;0,1,0)</f>
        <v>0</v>
      </c>
      <c r="W641" s="382"/>
      <c r="X641" s="539"/>
      <c r="Y641" s="328">
        <f t="shared" ref="Y641:Y642" si="774">P641+S641+V641</f>
        <v>0</v>
      </c>
      <c r="Z641" s="19">
        <f t="shared" ref="Z641:Z643" si="775">IF(Y$643=0,0,Y641/Y$643)</f>
        <v>0</v>
      </c>
      <c r="AA641" s="201"/>
      <c r="AB641" s="201"/>
      <c r="AC641" s="84"/>
      <c r="AE641" s="80"/>
      <c r="AF641" s="80"/>
      <c r="AG641" s="81"/>
      <c r="AH641" s="82"/>
      <c r="AI641" s="66"/>
      <c r="AK641" s="80"/>
      <c r="AL641" s="80"/>
      <c r="AM641" s="81"/>
      <c r="AN641" s="82"/>
      <c r="AO641" s="66"/>
      <c r="AQ641" s="80"/>
      <c r="AR641" s="80"/>
      <c r="AS641" s="81"/>
      <c r="AT641" s="82"/>
      <c r="AU641" s="66"/>
      <c r="AW641" s="80"/>
      <c r="AX641" s="80"/>
      <c r="AY641" s="81"/>
      <c r="AZ641" s="82"/>
      <c r="BA641" s="66"/>
    </row>
    <row r="642" spans="1:53" s="117" customFormat="1" ht="17.100000000000001" customHeight="1" x14ac:dyDescent="0.25">
      <c r="A642" s="68"/>
      <c r="B642" s="40"/>
      <c r="C642" s="40"/>
      <c r="D642" s="74" t="s">
        <v>703</v>
      </c>
      <c r="E642" s="85" t="s">
        <v>696</v>
      </c>
      <c r="F642" s="105"/>
      <c r="G642" s="151"/>
      <c r="H642" s="119"/>
      <c r="I642" s="138"/>
      <c r="J642" s="111"/>
      <c r="K642" s="111"/>
      <c r="L642" s="111"/>
      <c r="M642" s="111"/>
      <c r="N642" s="111"/>
      <c r="O642" s="111"/>
      <c r="P642" s="327"/>
      <c r="Q642" s="111"/>
      <c r="R642" s="111"/>
      <c r="S642" s="327"/>
      <c r="T642" s="111"/>
      <c r="U642" s="111"/>
      <c r="V642" s="369"/>
      <c r="W642" s="391"/>
      <c r="X642" s="17"/>
      <c r="Y642" s="328">
        <f t="shared" si="774"/>
        <v>0</v>
      </c>
      <c r="Z642" s="19">
        <f t="shared" si="775"/>
        <v>0</v>
      </c>
      <c r="AA642" s="201"/>
      <c r="AB642" s="201"/>
      <c r="AC642" s="84"/>
      <c r="AE642" s="111"/>
      <c r="AF642" s="111"/>
      <c r="AG642" s="111"/>
      <c r="AH642" s="545"/>
      <c r="AI642" s="131"/>
      <c r="AK642" s="111"/>
      <c r="AL642" s="111"/>
      <c r="AM642" s="111"/>
      <c r="AN642" s="545"/>
      <c r="AO642" s="131"/>
      <c r="AQ642" s="111"/>
      <c r="AR642" s="111"/>
      <c r="AS642" s="111"/>
      <c r="AT642" s="545"/>
      <c r="AU642" s="131"/>
      <c r="AW642" s="111"/>
      <c r="AX642" s="111"/>
      <c r="AY642" s="111"/>
      <c r="AZ642" s="545"/>
      <c r="BA642" s="131"/>
    </row>
    <row r="643" spans="1:53" ht="17.100000000000001" customHeight="1" x14ac:dyDescent="0.25">
      <c r="A643" s="40"/>
      <c r="B643" s="40"/>
      <c r="C643" s="77"/>
      <c r="D643" s="134"/>
      <c r="E643" s="134"/>
      <c r="F643" s="134"/>
      <c r="G643" s="134"/>
      <c r="H643" s="540"/>
      <c r="I643" s="229"/>
      <c r="J643" s="80"/>
      <c r="K643" s="80"/>
      <c r="L643" s="80"/>
      <c r="M643" s="80"/>
      <c r="N643" s="81"/>
      <c r="O643" s="81"/>
      <c r="P643" s="82">
        <f>P639+P641+P642</f>
        <v>1</v>
      </c>
      <c r="Q643" s="81"/>
      <c r="R643" s="81"/>
      <c r="S643" s="82">
        <f>S639+S641+S642</f>
        <v>1</v>
      </c>
      <c r="T643" s="81"/>
      <c r="U643" s="81"/>
      <c r="V643" s="360">
        <f>V639+V641+V642</f>
        <v>1</v>
      </c>
      <c r="W643" s="381"/>
      <c r="X643" s="82"/>
      <c r="Y643" s="82">
        <f>SUM(Y637:Y642)</f>
        <v>3</v>
      </c>
      <c r="Z643" s="205">
        <f t="shared" si="775"/>
        <v>1</v>
      </c>
      <c r="AA643" s="205"/>
      <c r="AB643" s="205"/>
      <c r="AC643" s="83"/>
      <c r="AE643" s="80"/>
      <c r="AF643" s="80"/>
      <c r="AG643" s="81"/>
      <c r="AH643" s="82"/>
      <c r="AI643" s="66"/>
      <c r="AK643" s="80"/>
      <c r="AL643" s="80"/>
      <c r="AM643" s="81"/>
      <c r="AN643" s="82"/>
      <c r="AO643" s="66"/>
      <c r="AQ643" s="80"/>
      <c r="AR643" s="80"/>
      <c r="AS643" s="81"/>
      <c r="AT643" s="82"/>
      <c r="AU643" s="66"/>
      <c r="AW643" s="80"/>
      <c r="AX643" s="80"/>
      <c r="AY643" s="81"/>
      <c r="AZ643" s="82"/>
      <c r="BA643" s="66"/>
    </row>
    <row r="644" spans="1:53" s="117" customFormat="1" ht="17.100000000000001" customHeight="1" x14ac:dyDescent="0.25">
      <c r="A644" s="68"/>
      <c r="B644" s="119"/>
      <c r="C644" s="540"/>
      <c r="D644" s="261"/>
      <c r="E644" s="261"/>
      <c r="F644" s="68"/>
      <c r="G644" s="68"/>
      <c r="H644" s="119"/>
      <c r="I644" s="138"/>
      <c r="J644" s="17"/>
      <c r="K644" s="17"/>
      <c r="L644" s="17"/>
      <c r="M644" s="17"/>
      <c r="N644" s="17"/>
      <c r="O644" s="17"/>
      <c r="P644" s="17" t="str">
        <f>IF(P643=1,"OK","NOK")</f>
        <v>OK</v>
      </c>
      <c r="Q644" s="17"/>
      <c r="R644" s="17"/>
      <c r="S644" s="17" t="str">
        <f>IF(S643=1,"OK","NOK")</f>
        <v>OK</v>
      </c>
      <c r="T644" s="17"/>
      <c r="U644" s="17"/>
      <c r="V644" s="359" t="str">
        <f>IF(V643=1,"OK","NOK")</f>
        <v>OK</v>
      </c>
      <c r="W644" s="382"/>
      <c r="X644" s="539"/>
      <c r="Y644" s="539"/>
      <c r="Z644" s="201"/>
      <c r="AA644" s="201"/>
      <c r="AB644" s="201"/>
      <c r="AC644" s="84"/>
      <c r="AE644" s="46"/>
      <c r="AF644" s="46"/>
      <c r="AG644" s="17"/>
      <c r="AH644" s="539"/>
      <c r="AI644" s="91"/>
      <c r="AK644" s="46"/>
      <c r="AL644" s="46"/>
      <c r="AM644" s="17"/>
      <c r="AN644" s="539"/>
      <c r="AO644" s="91"/>
      <c r="AQ644" s="46"/>
      <c r="AR644" s="46"/>
      <c r="AS644" s="17"/>
      <c r="AT644" s="539"/>
      <c r="AU644" s="91"/>
      <c r="AW644" s="46"/>
      <c r="AX644" s="46"/>
      <c r="AY644" s="17"/>
      <c r="AZ644" s="539"/>
      <c r="BA644" s="91"/>
    </row>
    <row r="645" spans="1:53" ht="17.100000000000001" customHeight="1" x14ac:dyDescent="0.25">
      <c r="A645" s="119"/>
      <c r="B645" s="119"/>
      <c r="C645" s="48" t="s">
        <v>700</v>
      </c>
      <c r="D645" s="551" t="s">
        <v>701</v>
      </c>
      <c r="E645" s="43"/>
      <c r="F645" s="43"/>
      <c r="G645" s="43"/>
      <c r="H645" s="43"/>
      <c r="I645" s="43"/>
      <c r="J645" s="44"/>
      <c r="K645" s="71"/>
      <c r="L645" s="71"/>
      <c r="M645" s="71"/>
      <c r="N645" s="71"/>
      <c r="O645" s="71"/>
      <c r="P645" s="71"/>
      <c r="Q645" s="71"/>
      <c r="R645" s="71"/>
      <c r="S645" s="71"/>
      <c r="T645" s="71"/>
      <c r="U645" s="71"/>
      <c r="V645" s="355"/>
      <c r="W645" s="377"/>
      <c r="X645" s="71"/>
      <c r="Y645" s="72"/>
      <c r="Z645" s="73"/>
      <c r="AA645" s="73"/>
      <c r="AB645" s="73"/>
      <c r="AC645" s="73"/>
      <c r="AE645" s="71"/>
      <c r="AF645" s="71"/>
      <c r="AG645" s="71"/>
      <c r="AH645" s="72"/>
      <c r="AI645" s="73"/>
      <c r="AK645" s="71"/>
      <c r="AL645" s="71"/>
      <c r="AM645" s="71"/>
      <c r="AN645" s="72"/>
      <c r="AO645" s="73"/>
      <c r="AQ645" s="71"/>
      <c r="AR645" s="71"/>
      <c r="AS645" s="71"/>
      <c r="AT645" s="72"/>
      <c r="AU645" s="73"/>
      <c r="AW645" s="71"/>
      <c r="AX645" s="71"/>
      <c r="AY645" s="71"/>
      <c r="AZ645" s="72"/>
      <c r="BA645" s="73"/>
    </row>
    <row r="646" spans="1:53" s="117" customFormat="1" ht="17.100000000000001" customHeight="1" x14ac:dyDescent="0.25">
      <c r="A646" s="119"/>
      <c r="B646" s="40"/>
      <c r="C646" s="40"/>
      <c r="D646" s="74" t="s">
        <v>705</v>
      </c>
      <c r="E646" s="75" t="s">
        <v>692</v>
      </c>
      <c r="F646" s="105"/>
      <c r="G646" s="151"/>
      <c r="H646" s="119"/>
      <c r="I646" s="138"/>
      <c r="J646" s="111"/>
      <c r="K646" s="111"/>
      <c r="L646" s="111"/>
      <c r="M646" s="111"/>
      <c r="N646" s="111"/>
      <c r="O646" s="111"/>
      <c r="P646" s="327">
        <v>1</v>
      </c>
      <c r="Q646" s="111"/>
      <c r="R646" s="111"/>
      <c r="S646" s="327">
        <v>1</v>
      </c>
      <c r="T646" s="111"/>
      <c r="U646" s="111"/>
      <c r="V646" s="369">
        <v>1</v>
      </c>
      <c r="W646" s="391"/>
      <c r="X646" s="17"/>
      <c r="Y646" s="328">
        <f t="shared" ref="Y646" si="776">P646+S646+V646</f>
        <v>3</v>
      </c>
      <c r="Z646" s="19">
        <f>IF(Y$650=0,0,Y646/Y$650)</f>
        <v>1</v>
      </c>
      <c r="AA646" s="201"/>
      <c r="AB646" s="201"/>
      <c r="AC646" s="84"/>
      <c r="AE646" s="111"/>
      <c r="AF646" s="111"/>
      <c r="AG646" s="111"/>
      <c r="AH646" s="545"/>
      <c r="AI646" s="131"/>
      <c r="AK646" s="111"/>
      <c r="AL646" s="111"/>
      <c r="AM646" s="111"/>
      <c r="AN646" s="545"/>
      <c r="AO646" s="131"/>
      <c r="AQ646" s="111"/>
      <c r="AR646" s="111"/>
      <c r="AS646" s="111"/>
      <c r="AT646" s="545"/>
      <c r="AU646" s="131"/>
      <c r="AW646" s="111"/>
      <c r="AX646" s="111"/>
      <c r="AY646" s="111"/>
      <c r="AZ646" s="545"/>
      <c r="BA646" s="131"/>
    </row>
    <row r="647" spans="1:53" s="117" customFormat="1" ht="17.100000000000001" customHeight="1" x14ac:dyDescent="0.25">
      <c r="A647" s="68"/>
      <c r="B647" s="40"/>
      <c r="C647" s="40"/>
      <c r="D647" s="74" t="s">
        <v>706</v>
      </c>
      <c r="E647" s="85" t="s">
        <v>694</v>
      </c>
      <c r="F647" s="75"/>
      <c r="G647" s="151"/>
      <c r="H647" s="119"/>
      <c r="I647" s="138"/>
      <c r="J647" s="111"/>
      <c r="K647" s="111"/>
      <c r="L647" s="111"/>
      <c r="M647" s="111"/>
      <c r="N647" s="111"/>
      <c r="O647" s="111"/>
      <c r="P647" s="329"/>
      <c r="Q647" s="111"/>
      <c r="R647" s="111"/>
      <c r="S647" s="329"/>
      <c r="T647" s="111"/>
      <c r="U647" s="111"/>
      <c r="V647" s="370"/>
      <c r="W647" s="382"/>
      <c r="X647" s="539"/>
      <c r="Y647" s="539"/>
      <c r="Z647" s="201"/>
      <c r="AA647" s="353">
        <f>MIN(P647,S647,V647)</f>
        <v>0</v>
      </c>
      <c r="AB647" s="353">
        <f>MAX(P647,S647,V647)</f>
        <v>0</v>
      </c>
      <c r="AC647" s="353">
        <f>IF(P647+S647+V647=0,0,AVERAGE(P647,S647,V647))</f>
        <v>0</v>
      </c>
      <c r="AE647" s="111"/>
      <c r="AF647" s="111"/>
      <c r="AG647" s="111"/>
      <c r="AH647" s="545"/>
      <c r="AI647" s="131"/>
      <c r="AK647" s="111"/>
      <c r="AL647" s="111"/>
      <c r="AM647" s="111"/>
      <c r="AN647" s="545"/>
      <c r="AO647" s="131"/>
      <c r="AQ647" s="111"/>
      <c r="AR647" s="111"/>
      <c r="AS647" s="111"/>
      <c r="AT647" s="545"/>
      <c r="AU647" s="131"/>
      <c r="AW647" s="111"/>
      <c r="AX647" s="111"/>
      <c r="AY647" s="111"/>
      <c r="AZ647" s="545"/>
      <c r="BA647" s="131"/>
    </row>
    <row r="648" spans="1:53" ht="17.100000000000001" customHeight="1" x14ac:dyDescent="0.25">
      <c r="A648" s="40"/>
      <c r="B648" s="40"/>
      <c r="C648" s="40"/>
      <c r="D648" s="77" t="s">
        <v>706</v>
      </c>
      <c r="E648" s="134" t="s">
        <v>697</v>
      </c>
      <c r="F648" s="134"/>
      <c r="G648" s="134"/>
      <c r="H648" s="540"/>
      <c r="I648" s="229"/>
      <c r="J648" s="80"/>
      <c r="K648" s="80"/>
      <c r="L648" s="80"/>
      <c r="M648" s="80"/>
      <c r="N648" s="81"/>
      <c r="O648" s="81"/>
      <c r="P648" s="81">
        <f>IF(P647&gt;0,1,0)</f>
        <v>0</v>
      </c>
      <c r="Q648" s="81"/>
      <c r="R648" s="81"/>
      <c r="S648" s="81">
        <f>IF(S647&gt;0,1,0)</f>
        <v>0</v>
      </c>
      <c r="T648" s="81"/>
      <c r="U648" s="81"/>
      <c r="V648" s="356">
        <f>IF(V647&gt;0,1,0)</f>
        <v>0</v>
      </c>
      <c r="W648" s="382"/>
      <c r="X648" s="539"/>
      <c r="Y648" s="328">
        <f t="shared" ref="Y648:Y649" si="777">P648+S648+V648</f>
        <v>0</v>
      </c>
      <c r="Z648" s="19">
        <f t="shared" ref="Z648:Z650" si="778">IF(Y$650=0,0,Y648/Y$650)</f>
        <v>0</v>
      </c>
      <c r="AA648" s="201"/>
      <c r="AB648" s="201"/>
      <c r="AC648" s="84"/>
      <c r="AE648" s="80"/>
      <c r="AF648" s="80"/>
      <c r="AG648" s="81"/>
      <c r="AH648" s="82"/>
      <c r="AI648" s="66"/>
      <c r="AK648" s="80"/>
      <c r="AL648" s="80"/>
      <c r="AM648" s="81"/>
      <c r="AN648" s="82"/>
      <c r="AO648" s="66"/>
      <c r="AQ648" s="80"/>
      <c r="AR648" s="80"/>
      <c r="AS648" s="81"/>
      <c r="AT648" s="82"/>
      <c r="AU648" s="66"/>
      <c r="AW648" s="80"/>
      <c r="AX648" s="80"/>
      <c r="AY648" s="81"/>
      <c r="AZ648" s="82"/>
      <c r="BA648" s="66"/>
    </row>
    <row r="649" spans="1:53" s="117" customFormat="1" ht="17.100000000000001" customHeight="1" x14ac:dyDescent="0.25">
      <c r="A649" s="68"/>
      <c r="B649" s="40"/>
      <c r="C649" s="40"/>
      <c r="D649" s="74" t="s">
        <v>707</v>
      </c>
      <c r="E649" s="85" t="s">
        <v>696</v>
      </c>
      <c r="F649" s="105"/>
      <c r="G649" s="151"/>
      <c r="H649" s="119"/>
      <c r="I649" s="138"/>
      <c r="J649" s="111"/>
      <c r="K649" s="111"/>
      <c r="L649" s="111"/>
      <c r="M649" s="111"/>
      <c r="N649" s="111"/>
      <c r="O649" s="111"/>
      <c r="P649" s="327"/>
      <c r="Q649" s="111"/>
      <c r="R649" s="111"/>
      <c r="S649" s="327"/>
      <c r="T649" s="111"/>
      <c r="U649" s="111"/>
      <c r="V649" s="369"/>
      <c r="W649" s="391"/>
      <c r="X649" s="17"/>
      <c r="Y649" s="328">
        <f t="shared" si="777"/>
        <v>0</v>
      </c>
      <c r="Z649" s="19">
        <f t="shared" si="778"/>
        <v>0</v>
      </c>
      <c r="AA649" s="201"/>
      <c r="AB649" s="201"/>
      <c r="AC649" s="84"/>
      <c r="AE649" s="111"/>
      <c r="AF649" s="111"/>
      <c r="AG649" s="111"/>
      <c r="AH649" s="545"/>
      <c r="AI649" s="131"/>
      <c r="AK649" s="111"/>
      <c r="AL649" s="111"/>
      <c r="AM649" s="111"/>
      <c r="AN649" s="545"/>
      <c r="AO649" s="131"/>
      <c r="AQ649" s="111"/>
      <c r="AR649" s="111"/>
      <c r="AS649" s="111"/>
      <c r="AT649" s="545"/>
      <c r="AU649" s="131"/>
      <c r="AW649" s="111"/>
      <c r="AX649" s="111"/>
      <c r="AY649" s="111"/>
      <c r="AZ649" s="545"/>
      <c r="BA649" s="131"/>
    </row>
    <row r="650" spans="1:53" ht="17.100000000000001" customHeight="1" x14ac:dyDescent="0.25">
      <c r="A650" s="40"/>
      <c r="B650" s="40"/>
      <c r="C650" s="77"/>
      <c r="D650" s="134"/>
      <c r="E650" s="134"/>
      <c r="F650" s="134"/>
      <c r="G650" s="134"/>
      <c r="H650" s="540"/>
      <c r="I650" s="229"/>
      <c r="J650" s="80"/>
      <c r="K650" s="80"/>
      <c r="L650" s="80"/>
      <c r="M650" s="80"/>
      <c r="N650" s="81"/>
      <c r="O650" s="81"/>
      <c r="P650" s="82">
        <f>P646+P648+P649</f>
        <v>1</v>
      </c>
      <c r="Q650" s="81"/>
      <c r="R650" s="81"/>
      <c r="S650" s="82">
        <f>S646+S648+S649</f>
        <v>1</v>
      </c>
      <c r="T650" s="81"/>
      <c r="U650" s="81"/>
      <c r="V650" s="360">
        <f>V646+V648+V649</f>
        <v>1</v>
      </c>
      <c r="W650" s="381"/>
      <c r="X650" s="82"/>
      <c r="Y650" s="82">
        <f>SUM(Y644:Y649)</f>
        <v>3</v>
      </c>
      <c r="Z650" s="205">
        <f t="shared" si="778"/>
        <v>1</v>
      </c>
      <c r="AA650" s="205"/>
      <c r="AB650" s="205"/>
      <c r="AC650" s="83"/>
      <c r="AE650" s="80"/>
      <c r="AF650" s="80"/>
      <c r="AG650" s="81"/>
      <c r="AH650" s="82"/>
      <c r="AI650" s="66"/>
      <c r="AK650" s="80"/>
      <c r="AL650" s="80"/>
      <c r="AM650" s="81"/>
      <c r="AN650" s="82"/>
      <c r="AO650" s="66"/>
      <c r="AQ650" s="80"/>
      <c r="AR650" s="80"/>
      <c r="AS650" s="81"/>
      <c r="AT650" s="82"/>
      <c r="AU650" s="66"/>
      <c r="AW650" s="80"/>
      <c r="AX650" s="80"/>
      <c r="AY650" s="81"/>
      <c r="AZ650" s="82"/>
      <c r="BA650" s="66"/>
    </row>
    <row r="651" spans="1:53" s="117" customFormat="1" ht="17.100000000000001" customHeight="1" x14ac:dyDescent="0.25">
      <c r="A651" s="68"/>
      <c r="B651" s="119"/>
      <c r="C651" s="540"/>
      <c r="D651" s="261"/>
      <c r="E651" s="261"/>
      <c r="F651" s="68"/>
      <c r="G651" s="68"/>
      <c r="H651" s="119"/>
      <c r="I651" s="138"/>
      <c r="J651" s="17"/>
      <c r="K651" s="17"/>
      <c r="L651" s="17"/>
      <c r="M651" s="17"/>
      <c r="N651" s="17"/>
      <c r="O651" s="17"/>
      <c r="P651" s="17" t="str">
        <f>IF(P650=1,"OK","NOK")</f>
        <v>OK</v>
      </c>
      <c r="Q651" s="17"/>
      <c r="R651" s="17"/>
      <c r="S651" s="17" t="str">
        <f>IF(S650=1,"OK","NOK")</f>
        <v>OK</v>
      </c>
      <c r="T651" s="17"/>
      <c r="U651" s="17"/>
      <c r="V651" s="359" t="str">
        <f>IF(V650=1,"OK","NOK")</f>
        <v>OK</v>
      </c>
      <c r="W651" s="382"/>
      <c r="X651" s="539"/>
      <c r="Y651" s="539"/>
      <c r="Z651" s="201"/>
      <c r="AA651" s="201"/>
      <c r="AB651" s="201"/>
      <c r="AC651" s="84"/>
      <c r="AE651" s="46"/>
      <c r="AF651" s="46"/>
      <c r="AG651" s="17"/>
      <c r="AH651" s="539"/>
      <c r="AI651" s="91"/>
      <c r="AK651" s="46"/>
      <c r="AL651" s="46"/>
      <c r="AM651" s="17"/>
      <c r="AN651" s="539"/>
      <c r="AO651" s="91"/>
      <c r="AQ651" s="46"/>
      <c r="AR651" s="46"/>
      <c r="AS651" s="17"/>
      <c r="AT651" s="539"/>
      <c r="AU651" s="91"/>
      <c r="AW651" s="46"/>
      <c r="AX651" s="46"/>
      <c r="AY651" s="17"/>
      <c r="AZ651" s="539"/>
      <c r="BA651" s="91"/>
    </row>
    <row r="652" spans="1:53" ht="17.100000000000001" customHeight="1" x14ac:dyDescent="0.25">
      <c r="A652" s="119"/>
      <c r="B652" s="48" t="s">
        <v>708</v>
      </c>
      <c r="C652" s="50" t="s">
        <v>709</v>
      </c>
      <c r="D652" s="50"/>
      <c r="E652" s="70"/>
      <c r="F652" s="70"/>
      <c r="G652" s="70"/>
      <c r="H652" s="119"/>
      <c r="J652" s="71"/>
      <c r="K652" s="71"/>
      <c r="L652" s="71"/>
      <c r="M652" s="71"/>
      <c r="N652" s="71"/>
      <c r="O652" s="71"/>
      <c r="P652" s="71"/>
      <c r="Q652" s="71"/>
      <c r="R652" s="71"/>
      <c r="S652" s="71"/>
      <c r="T652" s="71"/>
      <c r="U652" s="71"/>
      <c r="V652" s="355"/>
      <c r="W652" s="377"/>
      <c r="X652" s="71"/>
      <c r="Y652" s="72"/>
      <c r="Z652" s="73"/>
      <c r="AA652" s="73"/>
      <c r="AB652" s="73"/>
      <c r="AC652" s="73"/>
      <c r="AE652" s="71"/>
      <c r="AF652" s="71"/>
      <c r="AG652" s="71"/>
      <c r="AH652" s="72"/>
      <c r="AI652" s="73"/>
      <c r="AK652" s="71"/>
      <c r="AL652" s="71"/>
      <c r="AM652" s="71"/>
      <c r="AN652" s="72"/>
      <c r="AO652" s="73"/>
      <c r="AQ652" s="71"/>
      <c r="AR652" s="71"/>
      <c r="AS652" s="71"/>
      <c r="AT652" s="72"/>
      <c r="AU652" s="73"/>
      <c r="AW652" s="71"/>
      <c r="AX652" s="71"/>
      <c r="AY652" s="71"/>
      <c r="AZ652" s="72"/>
      <c r="BA652" s="73"/>
    </row>
    <row r="653" spans="1:53" ht="17.100000000000001" customHeight="1" x14ac:dyDescent="0.25">
      <c r="A653" s="119"/>
      <c r="B653" s="119"/>
      <c r="C653" s="48" t="s">
        <v>710</v>
      </c>
      <c r="D653" s="50" t="s">
        <v>711</v>
      </c>
      <c r="E653" s="70"/>
      <c r="F653" s="70"/>
      <c r="G653" s="70"/>
      <c r="H653" s="119"/>
      <c r="J653" s="71"/>
      <c r="K653" s="71"/>
      <c r="L653" s="71"/>
      <c r="M653" s="71"/>
      <c r="N653" s="71"/>
      <c r="O653" s="71"/>
      <c r="P653" s="71"/>
      <c r="Q653" s="71"/>
      <c r="R653" s="71"/>
      <c r="S653" s="71"/>
      <c r="T653" s="71"/>
      <c r="U653" s="71"/>
      <c r="V653" s="355"/>
      <c r="W653" s="377"/>
      <c r="X653" s="71"/>
      <c r="Y653" s="72"/>
      <c r="Z653" s="73"/>
      <c r="AA653" s="73"/>
      <c r="AB653" s="73"/>
      <c r="AC653" s="73"/>
      <c r="AE653" s="71"/>
      <c r="AF653" s="71"/>
      <c r="AG653" s="71"/>
      <c r="AH653" s="72"/>
      <c r="AI653" s="73"/>
      <c r="AK653" s="71"/>
      <c r="AL653" s="71"/>
      <c r="AM653" s="71"/>
      <c r="AN653" s="72"/>
      <c r="AO653" s="73"/>
      <c r="AQ653" s="71"/>
      <c r="AR653" s="71"/>
      <c r="AS653" s="71"/>
      <c r="AT653" s="72"/>
      <c r="AU653" s="73"/>
      <c r="AW653" s="71"/>
      <c r="AX653" s="71"/>
      <c r="AY653" s="71"/>
      <c r="AZ653" s="72"/>
      <c r="BA653" s="73"/>
    </row>
    <row r="654" spans="1:53" s="117" customFormat="1" ht="17.100000000000001" customHeight="1" x14ac:dyDescent="0.25">
      <c r="A654" s="68"/>
      <c r="B654" s="119"/>
      <c r="C654" s="92"/>
      <c r="D654" s="180" t="s">
        <v>712</v>
      </c>
      <c r="E654" s="85" t="s">
        <v>692</v>
      </c>
      <c r="F654" s="75"/>
      <c r="G654" s="151"/>
      <c r="H654" s="119"/>
      <c r="I654" s="138"/>
      <c r="J654" s="111"/>
      <c r="K654" s="111"/>
      <c r="L654" s="111"/>
      <c r="M654" s="111"/>
      <c r="N654" s="111"/>
      <c r="O654" s="111"/>
      <c r="P654" s="327"/>
      <c r="Q654" s="111"/>
      <c r="R654" s="111"/>
      <c r="S654" s="327"/>
      <c r="T654" s="111"/>
      <c r="U654" s="111"/>
      <c r="V654" s="369">
        <v>1</v>
      </c>
      <c r="W654" s="382"/>
      <c r="X654" s="539"/>
      <c r="Y654" s="328">
        <f t="shared" ref="Y654:Y662" si="779">P654+S654+V654</f>
        <v>1</v>
      </c>
      <c r="Z654" s="19">
        <f>IF(Y$663=0,0,Y654/Y$663)</f>
        <v>0.33333333333333331</v>
      </c>
      <c r="AA654" s="201"/>
      <c r="AB654" s="201"/>
      <c r="AC654" s="84"/>
      <c r="AE654" s="111"/>
      <c r="AF654" s="111"/>
      <c r="AG654" s="111"/>
      <c r="AH654" s="545"/>
      <c r="AI654" s="131"/>
      <c r="AK654" s="111"/>
      <c r="AL654" s="111"/>
      <c r="AM654" s="111"/>
      <c r="AN654" s="545"/>
      <c r="AO654" s="131"/>
      <c r="AQ654" s="111"/>
      <c r="AR654" s="111"/>
      <c r="AS654" s="111"/>
      <c r="AT654" s="545"/>
      <c r="AU654" s="131"/>
      <c r="AW654" s="111"/>
      <c r="AX654" s="111"/>
      <c r="AY654" s="111"/>
      <c r="AZ654" s="545"/>
      <c r="BA654" s="131"/>
    </row>
    <row r="655" spans="1:53" s="117" customFormat="1" ht="17.100000000000001" customHeight="1" x14ac:dyDescent="0.25">
      <c r="A655" s="68"/>
      <c r="B655" s="119"/>
      <c r="C655" s="92"/>
      <c r="D655" s="180" t="s">
        <v>713</v>
      </c>
      <c r="E655" s="85" t="s">
        <v>512</v>
      </c>
      <c r="F655" s="75"/>
      <c r="G655" s="151"/>
      <c r="H655" s="119"/>
      <c r="I655" s="138"/>
      <c r="J655" s="111"/>
      <c r="K655" s="111"/>
      <c r="L655" s="111"/>
      <c r="M655" s="111"/>
      <c r="N655" s="111"/>
      <c r="O655" s="111"/>
      <c r="P655" s="329"/>
      <c r="Q655" s="111"/>
      <c r="R655" s="111"/>
      <c r="S655" s="329"/>
      <c r="T655" s="111"/>
      <c r="U655" s="111"/>
      <c r="V655" s="370"/>
      <c r="W655" s="382"/>
      <c r="X655" s="539"/>
      <c r="Y655" s="328">
        <f t="shared" si="779"/>
        <v>0</v>
      </c>
      <c r="Z655" s="19">
        <f t="shared" ref="Z655:Z663" si="780">IF(Y$663=0,0,Y655/Y$663)</f>
        <v>0</v>
      </c>
      <c r="AA655" s="201"/>
      <c r="AB655" s="201"/>
      <c r="AC655" s="84"/>
      <c r="AE655" s="111"/>
      <c r="AF655" s="111"/>
      <c r="AG655" s="111"/>
      <c r="AH655" s="545"/>
      <c r="AI655" s="131"/>
      <c r="AK655" s="111"/>
      <c r="AL655" s="111"/>
      <c r="AM655" s="111"/>
      <c r="AN655" s="545"/>
      <c r="AO655" s="131"/>
      <c r="AQ655" s="111"/>
      <c r="AR655" s="111"/>
      <c r="AS655" s="111"/>
      <c r="AT655" s="545"/>
      <c r="AU655" s="131"/>
      <c r="AW655" s="111"/>
      <c r="AX655" s="111"/>
      <c r="AY655" s="111"/>
      <c r="AZ655" s="545"/>
      <c r="BA655" s="131"/>
    </row>
    <row r="656" spans="1:53" s="117" customFormat="1" ht="17.100000000000001" customHeight="1" x14ac:dyDescent="0.25">
      <c r="A656" s="68"/>
      <c r="B656" s="119"/>
      <c r="C656" s="92"/>
      <c r="D656" s="180" t="s">
        <v>714</v>
      </c>
      <c r="E656" s="85" t="s">
        <v>513</v>
      </c>
      <c r="F656" s="75"/>
      <c r="G656" s="151"/>
      <c r="H656" s="119"/>
      <c r="I656" s="138"/>
      <c r="J656" s="111"/>
      <c r="K656" s="111"/>
      <c r="L656" s="111"/>
      <c r="M656" s="111"/>
      <c r="N656" s="111"/>
      <c r="O656" s="111"/>
      <c r="P656" s="327"/>
      <c r="Q656" s="111"/>
      <c r="R656" s="111"/>
      <c r="S656" s="327"/>
      <c r="T656" s="111"/>
      <c r="U656" s="111"/>
      <c r="V656" s="369"/>
      <c r="W656" s="382"/>
      <c r="X656" s="539"/>
      <c r="Y656" s="328">
        <f t="shared" si="779"/>
        <v>0</v>
      </c>
      <c r="Z656" s="19">
        <f t="shared" si="780"/>
        <v>0</v>
      </c>
      <c r="AA656" s="201"/>
      <c r="AB656" s="201"/>
      <c r="AC656" s="84"/>
      <c r="AE656" s="111"/>
      <c r="AF656" s="111"/>
      <c r="AG656" s="111"/>
      <c r="AH656" s="545"/>
      <c r="AI656" s="131"/>
      <c r="AK656" s="111"/>
      <c r="AL656" s="111"/>
      <c r="AM656" s="111"/>
      <c r="AN656" s="545"/>
      <c r="AO656" s="131"/>
      <c r="AQ656" s="111"/>
      <c r="AR656" s="111"/>
      <c r="AS656" s="111"/>
      <c r="AT656" s="545"/>
      <c r="AU656" s="131"/>
      <c r="AW656" s="111"/>
      <c r="AX656" s="111"/>
      <c r="AY656" s="111"/>
      <c r="AZ656" s="545"/>
      <c r="BA656" s="131"/>
    </row>
    <row r="657" spans="1:53" s="117" customFormat="1" ht="17.100000000000001" customHeight="1" x14ac:dyDescent="0.25">
      <c r="A657" s="68"/>
      <c r="B657" s="119"/>
      <c r="C657" s="92"/>
      <c r="D657" s="180" t="s">
        <v>715</v>
      </c>
      <c r="E657" s="85" t="s">
        <v>514</v>
      </c>
      <c r="F657" s="75"/>
      <c r="G657" s="151"/>
      <c r="H657" s="119"/>
      <c r="I657" s="138"/>
      <c r="J657" s="111"/>
      <c r="K657" s="111"/>
      <c r="L657" s="111"/>
      <c r="M657" s="111"/>
      <c r="N657" s="111"/>
      <c r="O657" s="111"/>
      <c r="P657" s="329">
        <v>1</v>
      </c>
      <c r="Q657" s="111"/>
      <c r="R657" s="111"/>
      <c r="S657" s="329">
        <v>1</v>
      </c>
      <c r="T657" s="111"/>
      <c r="U657" s="111"/>
      <c r="V657" s="370"/>
      <c r="W657" s="382"/>
      <c r="X657" s="539"/>
      <c r="Y657" s="328">
        <f t="shared" si="779"/>
        <v>2</v>
      </c>
      <c r="Z657" s="19">
        <f t="shared" si="780"/>
        <v>0.66666666666666663</v>
      </c>
      <c r="AA657" s="201"/>
      <c r="AB657" s="201"/>
      <c r="AC657" s="84"/>
      <c r="AE657" s="111"/>
      <c r="AF657" s="111"/>
      <c r="AG657" s="111"/>
      <c r="AH657" s="545"/>
      <c r="AI657" s="131"/>
      <c r="AK657" s="111"/>
      <c r="AL657" s="111"/>
      <c r="AM657" s="111"/>
      <c r="AN657" s="545"/>
      <c r="AO657" s="131"/>
      <c r="AQ657" s="111"/>
      <c r="AR657" s="111"/>
      <c r="AS657" s="111"/>
      <c r="AT657" s="545"/>
      <c r="AU657" s="131"/>
      <c r="AW657" s="111"/>
      <c r="AX657" s="111"/>
      <c r="AY657" s="111"/>
      <c r="AZ657" s="545"/>
      <c r="BA657" s="131"/>
    </row>
    <row r="658" spans="1:53" s="117" customFormat="1" ht="17.100000000000001" customHeight="1" x14ac:dyDescent="0.25">
      <c r="A658" s="68"/>
      <c r="B658" s="119"/>
      <c r="C658" s="92"/>
      <c r="D658" s="180" t="s">
        <v>716</v>
      </c>
      <c r="E658" s="85" t="s">
        <v>357</v>
      </c>
      <c r="F658" s="75"/>
      <c r="G658" s="151"/>
      <c r="H658" s="119"/>
      <c r="I658" s="138"/>
      <c r="J658" s="111"/>
      <c r="K658" s="111"/>
      <c r="L658" s="111"/>
      <c r="M658" s="111"/>
      <c r="N658" s="111"/>
      <c r="O658" s="111"/>
      <c r="P658" s="327"/>
      <c r="Q658" s="111"/>
      <c r="R658" s="111"/>
      <c r="S658" s="327"/>
      <c r="T658" s="111"/>
      <c r="U658" s="111"/>
      <c r="V658" s="369"/>
      <c r="W658" s="382"/>
      <c r="X658" s="539"/>
      <c r="Y658" s="328">
        <f t="shared" si="779"/>
        <v>0</v>
      </c>
      <c r="Z658" s="19">
        <f t="shared" si="780"/>
        <v>0</v>
      </c>
      <c r="AA658" s="201"/>
      <c r="AB658" s="201"/>
      <c r="AC658" s="84"/>
      <c r="AE658" s="111"/>
      <c r="AF658" s="111"/>
      <c r="AG658" s="111"/>
      <c r="AH658" s="545"/>
      <c r="AI658" s="131"/>
      <c r="AK658" s="111"/>
      <c r="AL658" s="111"/>
      <c r="AM658" s="111"/>
      <c r="AN658" s="545"/>
      <c r="AO658" s="131"/>
      <c r="AQ658" s="111"/>
      <c r="AR658" s="111"/>
      <c r="AS658" s="111"/>
      <c r="AT658" s="545"/>
      <c r="AU658" s="131"/>
      <c r="AW658" s="111"/>
      <c r="AX658" s="111"/>
      <c r="AY658" s="111"/>
      <c r="AZ658" s="545"/>
      <c r="BA658" s="131"/>
    </row>
    <row r="659" spans="1:53" s="117" customFormat="1" ht="17.100000000000001" customHeight="1" x14ac:dyDescent="0.25">
      <c r="A659" s="68"/>
      <c r="B659" s="119"/>
      <c r="C659" s="92"/>
      <c r="D659" s="180" t="s">
        <v>717</v>
      </c>
      <c r="E659" s="85" t="s">
        <v>515</v>
      </c>
      <c r="F659" s="75"/>
      <c r="G659" s="151"/>
      <c r="H659" s="119"/>
      <c r="I659" s="138"/>
      <c r="J659" s="111"/>
      <c r="K659" s="111"/>
      <c r="L659" s="111"/>
      <c r="M659" s="111"/>
      <c r="N659" s="111"/>
      <c r="O659" s="111"/>
      <c r="P659" s="329"/>
      <c r="Q659" s="111"/>
      <c r="R659" s="111"/>
      <c r="S659" s="329"/>
      <c r="T659" s="111"/>
      <c r="U659" s="111"/>
      <c r="V659" s="370"/>
      <c r="W659" s="382"/>
      <c r="X659" s="539"/>
      <c r="Y659" s="328">
        <f t="shared" si="779"/>
        <v>0</v>
      </c>
      <c r="Z659" s="19">
        <f t="shared" si="780"/>
        <v>0</v>
      </c>
      <c r="AA659" s="201"/>
      <c r="AB659" s="201"/>
      <c r="AC659" s="84"/>
      <c r="AE659" s="111"/>
      <c r="AF659" s="111"/>
      <c r="AG659" s="111"/>
      <c r="AH659" s="545"/>
      <c r="AI659" s="131"/>
      <c r="AK659" s="111"/>
      <c r="AL659" s="111"/>
      <c r="AM659" s="111"/>
      <c r="AN659" s="545"/>
      <c r="AO659" s="131"/>
      <c r="AQ659" s="111"/>
      <c r="AR659" s="111"/>
      <c r="AS659" s="111"/>
      <c r="AT659" s="545"/>
      <c r="AU659" s="131"/>
      <c r="AW659" s="111"/>
      <c r="AX659" s="111"/>
      <c r="AY659" s="111"/>
      <c r="AZ659" s="545"/>
      <c r="BA659" s="131"/>
    </row>
    <row r="660" spans="1:53" s="117" customFormat="1" ht="17.100000000000001" customHeight="1" x14ac:dyDescent="0.25">
      <c r="A660" s="68"/>
      <c r="B660" s="119"/>
      <c r="C660" s="92"/>
      <c r="D660" s="180" t="s">
        <v>718</v>
      </c>
      <c r="E660" s="85" t="s">
        <v>516</v>
      </c>
      <c r="F660" s="75"/>
      <c r="G660" s="151"/>
      <c r="H660" s="119"/>
      <c r="I660" s="138"/>
      <c r="J660" s="111"/>
      <c r="K660" s="111"/>
      <c r="L660" s="111"/>
      <c r="M660" s="111"/>
      <c r="N660" s="111"/>
      <c r="O660" s="111"/>
      <c r="P660" s="327"/>
      <c r="Q660" s="111"/>
      <c r="R660" s="111"/>
      <c r="S660" s="327"/>
      <c r="T660" s="111"/>
      <c r="U660" s="111"/>
      <c r="V660" s="369"/>
      <c r="W660" s="382"/>
      <c r="X660" s="539"/>
      <c r="Y660" s="328">
        <f t="shared" si="779"/>
        <v>0</v>
      </c>
      <c r="Z660" s="19">
        <f t="shared" si="780"/>
        <v>0</v>
      </c>
      <c r="AA660" s="201"/>
      <c r="AB660" s="201"/>
      <c r="AC660" s="84"/>
      <c r="AE660" s="111"/>
      <c r="AF660" s="111"/>
      <c r="AG660" s="111"/>
      <c r="AH660" s="545"/>
      <c r="AI660" s="131"/>
      <c r="AK660" s="111"/>
      <c r="AL660" s="111"/>
      <c r="AM660" s="111"/>
      <c r="AN660" s="545"/>
      <c r="AO660" s="131"/>
      <c r="AQ660" s="111"/>
      <c r="AR660" s="111"/>
      <c r="AS660" s="111"/>
      <c r="AT660" s="545"/>
      <c r="AU660" s="131"/>
      <c r="AW660" s="111"/>
      <c r="AX660" s="111"/>
      <c r="AY660" s="111"/>
      <c r="AZ660" s="545"/>
      <c r="BA660" s="131"/>
    </row>
    <row r="661" spans="1:53" s="117" customFormat="1" ht="17.100000000000001" customHeight="1" x14ac:dyDescent="0.25">
      <c r="A661" s="68"/>
      <c r="B661" s="119"/>
      <c r="C661" s="92"/>
      <c r="D661" s="180" t="s">
        <v>719</v>
      </c>
      <c r="E661" s="85" t="s">
        <v>517</v>
      </c>
      <c r="F661" s="75"/>
      <c r="G661" s="151"/>
      <c r="H661" s="119"/>
      <c r="I661" s="138"/>
      <c r="J661" s="111"/>
      <c r="K661" s="111"/>
      <c r="L661" s="111"/>
      <c r="M661" s="111"/>
      <c r="N661" s="111"/>
      <c r="O661" s="111"/>
      <c r="P661" s="329"/>
      <c r="Q661" s="111"/>
      <c r="R661" s="111"/>
      <c r="S661" s="329"/>
      <c r="T661" s="111"/>
      <c r="U661" s="111"/>
      <c r="V661" s="370"/>
      <c r="W661" s="382"/>
      <c r="X661" s="539"/>
      <c r="Y661" s="328">
        <f t="shared" si="779"/>
        <v>0</v>
      </c>
      <c r="Z661" s="19">
        <f t="shared" si="780"/>
        <v>0</v>
      </c>
      <c r="AA661" s="201"/>
      <c r="AB661" s="201"/>
      <c r="AC661" s="84"/>
      <c r="AE661" s="111"/>
      <c r="AF661" s="111"/>
      <c r="AG661" s="111"/>
      <c r="AH661" s="545"/>
      <c r="AI661" s="131"/>
      <c r="AK661" s="111"/>
      <c r="AL661" s="111"/>
      <c r="AM661" s="111"/>
      <c r="AN661" s="545"/>
      <c r="AO661" s="131"/>
      <c r="AQ661" s="111"/>
      <c r="AR661" s="111"/>
      <c r="AS661" s="111"/>
      <c r="AT661" s="545"/>
      <c r="AU661" s="131"/>
      <c r="AW661" s="111"/>
      <c r="AX661" s="111"/>
      <c r="AY661" s="111"/>
      <c r="AZ661" s="545"/>
      <c r="BA661" s="131"/>
    </row>
    <row r="662" spans="1:53" s="117" customFormat="1" ht="17.100000000000001" customHeight="1" x14ac:dyDescent="0.25">
      <c r="A662" s="68"/>
      <c r="B662" s="119"/>
      <c r="C662" s="92"/>
      <c r="D662" s="180" t="s">
        <v>720</v>
      </c>
      <c r="E662" s="85" t="s">
        <v>129</v>
      </c>
      <c r="F662" s="75"/>
      <c r="G662" s="151"/>
      <c r="H662" s="119"/>
      <c r="I662" s="138"/>
      <c r="J662" s="111"/>
      <c r="K662" s="111"/>
      <c r="L662" s="111"/>
      <c r="M662" s="111"/>
      <c r="N662" s="111"/>
      <c r="O662" s="111"/>
      <c r="P662" s="327"/>
      <c r="Q662" s="111"/>
      <c r="R662" s="111"/>
      <c r="S662" s="327"/>
      <c r="T662" s="111"/>
      <c r="U662" s="111"/>
      <c r="V662" s="369"/>
      <c r="W662" s="382"/>
      <c r="X662" s="539"/>
      <c r="Y662" s="328">
        <f t="shared" si="779"/>
        <v>0</v>
      </c>
      <c r="Z662" s="19">
        <f t="shared" si="780"/>
        <v>0</v>
      </c>
      <c r="AA662" s="201"/>
      <c r="AB662" s="201"/>
      <c r="AC662" s="84"/>
      <c r="AE662" s="111"/>
      <c r="AF662" s="111"/>
      <c r="AG662" s="111"/>
      <c r="AH662" s="545"/>
      <c r="AI662" s="131"/>
      <c r="AK662" s="111"/>
      <c r="AL662" s="111"/>
      <c r="AM662" s="111"/>
      <c r="AN662" s="545"/>
      <c r="AO662" s="131"/>
      <c r="AQ662" s="111"/>
      <c r="AR662" s="111"/>
      <c r="AS662" s="111"/>
      <c r="AT662" s="545"/>
      <c r="AU662" s="131"/>
      <c r="AW662" s="111"/>
      <c r="AX662" s="111"/>
      <c r="AY662" s="111"/>
      <c r="AZ662" s="545"/>
      <c r="BA662" s="131"/>
    </row>
    <row r="663" spans="1:53" ht="17.100000000000001" customHeight="1" x14ac:dyDescent="0.25">
      <c r="A663" s="40"/>
      <c r="B663" s="40"/>
      <c r="C663" s="77"/>
      <c r="D663" s="134"/>
      <c r="E663" s="134"/>
      <c r="F663" s="134"/>
      <c r="G663" s="134"/>
      <c r="H663" s="540"/>
      <c r="I663" s="229"/>
      <c r="J663" s="80"/>
      <c r="K663" s="80"/>
      <c r="L663" s="80"/>
      <c r="M663" s="80"/>
      <c r="N663" s="81"/>
      <c r="O663" s="81"/>
      <c r="P663" s="82">
        <f>SUM(P654:P662)</f>
        <v>1</v>
      </c>
      <c r="Q663" s="81"/>
      <c r="R663" s="81"/>
      <c r="S663" s="82">
        <f>SUM(S654:S662)</f>
        <v>1</v>
      </c>
      <c r="T663" s="81"/>
      <c r="U663" s="81"/>
      <c r="V663" s="360">
        <f>SUM(V654:V662)</f>
        <v>1</v>
      </c>
      <c r="W663" s="381"/>
      <c r="X663" s="82"/>
      <c r="Y663" s="82">
        <f>SUM(Y654:Y662)</f>
        <v>3</v>
      </c>
      <c r="Z663" s="205">
        <f t="shared" si="780"/>
        <v>1</v>
      </c>
      <c r="AA663" s="205"/>
      <c r="AB663" s="205"/>
      <c r="AC663" s="83"/>
      <c r="AE663" s="80"/>
      <c r="AF663" s="80"/>
      <c r="AG663" s="81"/>
      <c r="AH663" s="82"/>
      <c r="AI663" s="66"/>
      <c r="AK663" s="80"/>
      <c r="AL663" s="80"/>
      <c r="AM663" s="81"/>
      <c r="AN663" s="82"/>
      <c r="AO663" s="66"/>
      <c r="AQ663" s="80"/>
      <c r="AR663" s="80"/>
      <c r="AS663" s="81"/>
      <c r="AT663" s="82"/>
      <c r="AU663" s="66"/>
      <c r="AW663" s="80"/>
      <c r="AX663" s="80"/>
      <c r="AY663" s="81"/>
      <c r="AZ663" s="82"/>
      <c r="BA663" s="66"/>
    </row>
    <row r="664" spans="1:53" ht="17.100000000000001" customHeight="1" x14ac:dyDescent="0.25">
      <c r="A664" s="119"/>
      <c r="B664" s="119"/>
      <c r="C664" s="48" t="s">
        <v>721</v>
      </c>
      <c r="D664" s="50" t="s">
        <v>722</v>
      </c>
      <c r="E664" s="70"/>
      <c r="F664" s="70"/>
      <c r="G664" s="70"/>
      <c r="H664" s="119"/>
      <c r="J664" s="71"/>
      <c r="K664" s="71"/>
      <c r="L664" s="71"/>
      <c r="M664" s="71"/>
      <c r="N664" s="71"/>
      <c r="O664" s="71"/>
      <c r="P664" s="71"/>
      <c r="Q664" s="71"/>
      <c r="R664" s="71"/>
      <c r="S664" s="71"/>
      <c r="T664" s="71"/>
      <c r="U664" s="71"/>
      <c r="V664" s="355"/>
      <c r="W664" s="377"/>
      <c r="X664" s="71"/>
      <c r="Y664" s="72"/>
      <c r="Z664" s="73"/>
      <c r="AA664" s="73"/>
      <c r="AB664" s="73"/>
      <c r="AC664" s="73"/>
      <c r="AE664" s="71"/>
      <c r="AF664" s="71"/>
      <c r="AG664" s="71"/>
      <c r="AH664" s="72"/>
      <c r="AI664" s="73"/>
      <c r="AK664" s="71"/>
      <c r="AL664" s="71"/>
      <c r="AM664" s="71"/>
      <c r="AN664" s="72"/>
      <c r="AO664" s="73"/>
      <c r="AQ664" s="71"/>
      <c r="AR664" s="71"/>
      <c r="AS664" s="71"/>
      <c r="AT664" s="72"/>
      <c r="AU664" s="73"/>
      <c r="AW664" s="71"/>
      <c r="AX664" s="71"/>
      <c r="AY664" s="71"/>
      <c r="AZ664" s="72"/>
      <c r="BA664" s="73"/>
    </row>
    <row r="665" spans="1:53" s="117" customFormat="1" ht="17.100000000000001" customHeight="1" x14ac:dyDescent="0.25">
      <c r="A665" s="68"/>
      <c r="B665" s="119"/>
      <c r="C665" s="92"/>
      <c r="D665" s="56" t="s">
        <v>723</v>
      </c>
      <c r="E665" s="85" t="s">
        <v>692</v>
      </c>
      <c r="F665" s="75"/>
      <c r="G665" s="151"/>
      <c r="H665" s="119"/>
      <c r="I665" s="138"/>
      <c r="J665" s="111"/>
      <c r="K665" s="111"/>
      <c r="L665" s="111"/>
      <c r="M665" s="111"/>
      <c r="N665" s="111"/>
      <c r="O665" s="111"/>
      <c r="P665" s="327"/>
      <c r="Q665" s="111"/>
      <c r="R665" s="111"/>
      <c r="S665" s="327">
        <v>1</v>
      </c>
      <c r="T665" s="111"/>
      <c r="U665" s="111"/>
      <c r="V665" s="369">
        <v>1</v>
      </c>
      <c r="W665" s="382"/>
      <c r="X665" s="539"/>
      <c r="Y665" s="328">
        <f t="shared" ref="Y665:Y669" si="781">P665+S665+V665</f>
        <v>2</v>
      </c>
      <c r="Z665" s="19">
        <f>IF(Y$670=0,0,Y665/Y$670)</f>
        <v>0.66666666666666663</v>
      </c>
      <c r="AA665" s="201"/>
      <c r="AB665" s="201"/>
      <c r="AC665" s="84"/>
      <c r="AE665" s="111"/>
      <c r="AF665" s="111"/>
      <c r="AG665" s="111"/>
      <c r="AH665" s="545"/>
      <c r="AI665" s="131"/>
      <c r="AK665" s="111"/>
      <c r="AL665" s="111"/>
      <c r="AM665" s="111"/>
      <c r="AN665" s="545"/>
      <c r="AO665" s="131"/>
      <c r="AQ665" s="111"/>
      <c r="AR665" s="111"/>
      <c r="AS665" s="111"/>
      <c r="AT665" s="545"/>
      <c r="AU665" s="131"/>
      <c r="AW665" s="111"/>
      <c r="AX665" s="111"/>
      <c r="AY665" s="111"/>
      <c r="AZ665" s="545"/>
      <c r="BA665" s="131"/>
    </row>
    <row r="666" spans="1:53" s="117" customFormat="1" ht="17.100000000000001" customHeight="1" x14ac:dyDescent="0.25">
      <c r="A666" s="68"/>
      <c r="B666" s="119"/>
      <c r="C666" s="92"/>
      <c r="D666" s="56" t="s">
        <v>724</v>
      </c>
      <c r="E666" s="85" t="s">
        <v>725</v>
      </c>
      <c r="F666" s="75"/>
      <c r="G666" s="151"/>
      <c r="H666" s="119"/>
      <c r="I666" s="138"/>
      <c r="J666" s="111"/>
      <c r="K666" s="111"/>
      <c r="L666" s="111"/>
      <c r="M666" s="111"/>
      <c r="N666" s="111"/>
      <c r="O666" s="111"/>
      <c r="P666" s="329"/>
      <c r="Q666" s="111"/>
      <c r="R666" s="111"/>
      <c r="S666" s="329"/>
      <c r="T666" s="111"/>
      <c r="U666" s="111"/>
      <c r="V666" s="370"/>
      <c r="W666" s="382"/>
      <c r="X666" s="539"/>
      <c r="Y666" s="328">
        <f t="shared" si="781"/>
        <v>0</v>
      </c>
      <c r="Z666" s="19">
        <f t="shared" ref="Z666:Z670" si="782">IF(Y$670=0,0,Y666/Y$670)</f>
        <v>0</v>
      </c>
      <c r="AA666" s="201"/>
      <c r="AB666" s="201"/>
      <c r="AC666" s="84"/>
      <c r="AE666" s="111"/>
      <c r="AF666" s="111"/>
      <c r="AG666" s="111"/>
      <c r="AH666" s="545"/>
      <c r="AI666" s="131"/>
      <c r="AK666" s="111"/>
      <c r="AL666" s="111"/>
      <c r="AM666" s="111"/>
      <c r="AN666" s="545"/>
      <c r="AO666" s="131"/>
      <c r="AQ666" s="111"/>
      <c r="AR666" s="111"/>
      <c r="AS666" s="111"/>
      <c r="AT666" s="545"/>
      <c r="AU666" s="131"/>
      <c r="AW666" s="111"/>
      <c r="AX666" s="111"/>
      <c r="AY666" s="111"/>
      <c r="AZ666" s="545"/>
      <c r="BA666" s="131"/>
    </row>
    <row r="667" spans="1:53" s="117" customFormat="1" ht="17.100000000000001" customHeight="1" x14ac:dyDescent="0.25">
      <c r="A667" s="68"/>
      <c r="B667" s="119"/>
      <c r="C667" s="92"/>
      <c r="D667" s="56" t="s">
        <v>726</v>
      </c>
      <c r="E667" s="85" t="s">
        <v>727</v>
      </c>
      <c r="F667" s="75"/>
      <c r="G667" s="151"/>
      <c r="H667" s="119"/>
      <c r="I667" s="138"/>
      <c r="J667" s="111"/>
      <c r="K667" s="111"/>
      <c r="L667" s="111"/>
      <c r="M667" s="111"/>
      <c r="N667" s="111"/>
      <c r="O667" s="111"/>
      <c r="P667" s="327"/>
      <c r="Q667" s="111"/>
      <c r="R667" s="111"/>
      <c r="S667" s="327"/>
      <c r="T667" s="111"/>
      <c r="U667" s="111"/>
      <c r="V667" s="369"/>
      <c r="W667" s="382"/>
      <c r="X667" s="539"/>
      <c r="Y667" s="328">
        <f t="shared" si="781"/>
        <v>0</v>
      </c>
      <c r="Z667" s="19">
        <f t="shared" si="782"/>
        <v>0</v>
      </c>
      <c r="AA667" s="201"/>
      <c r="AB667" s="201"/>
      <c r="AC667" s="84"/>
      <c r="AE667" s="111"/>
      <c r="AF667" s="111"/>
      <c r="AG667" s="111"/>
      <c r="AH667" s="545"/>
      <c r="AI667" s="131"/>
      <c r="AK667" s="111"/>
      <c r="AL667" s="111"/>
      <c r="AM667" s="111"/>
      <c r="AN667" s="545"/>
      <c r="AO667" s="131"/>
      <c r="AQ667" s="111"/>
      <c r="AR667" s="111"/>
      <c r="AS667" s="111"/>
      <c r="AT667" s="545"/>
      <c r="AU667" s="131"/>
      <c r="AW667" s="111"/>
      <c r="AX667" s="111"/>
      <c r="AY667" s="111"/>
      <c r="AZ667" s="545"/>
      <c r="BA667" s="131"/>
    </row>
    <row r="668" spans="1:53" s="117" customFormat="1" ht="17.100000000000001" customHeight="1" x14ac:dyDescent="0.25">
      <c r="A668" s="68"/>
      <c r="B668" s="119"/>
      <c r="C668" s="92"/>
      <c r="D668" s="56" t="s">
        <v>728</v>
      </c>
      <c r="E668" s="85" t="s">
        <v>729</v>
      </c>
      <c r="F668" s="75"/>
      <c r="G668" s="151"/>
      <c r="H668" s="119"/>
      <c r="I668" s="138"/>
      <c r="J668" s="111"/>
      <c r="K668" s="111"/>
      <c r="L668" s="111"/>
      <c r="M668" s="111"/>
      <c r="N668" s="111"/>
      <c r="O668" s="111"/>
      <c r="P668" s="329"/>
      <c r="Q668" s="111"/>
      <c r="R668" s="111"/>
      <c r="S668" s="329"/>
      <c r="T668" s="111"/>
      <c r="U668" s="111"/>
      <c r="V668" s="370"/>
      <c r="W668" s="382"/>
      <c r="X668" s="539"/>
      <c r="Y668" s="328">
        <f t="shared" si="781"/>
        <v>0</v>
      </c>
      <c r="Z668" s="19">
        <f t="shared" si="782"/>
        <v>0</v>
      </c>
      <c r="AA668" s="201"/>
      <c r="AB668" s="201"/>
      <c r="AC668" s="84"/>
      <c r="AE668" s="111"/>
      <c r="AF668" s="111"/>
      <c r="AG668" s="111"/>
      <c r="AH668" s="545"/>
      <c r="AI668" s="131"/>
      <c r="AK668" s="111"/>
      <c r="AL668" s="111"/>
      <c r="AM668" s="111"/>
      <c r="AN668" s="545"/>
      <c r="AO668" s="131"/>
      <c r="AQ668" s="111"/>
      <c r="AR668" s="111"/>
      <c r="AS668" s="111"/>
      <c r="AT668" s="545"/>
      <c r="AU668" s="131"/>
      <c r="AW668" s="111"/>
      <c r="AX668" s="111"/>
      <c r="AY668" s="111"/>
      <c r="AZ668" s="545"/>
      <c r="BA668" s="131"/>
    </row>
    <row r="669" spans="1:53" s="117" customFormat="1" ht="17.100000000000001" customHeight="1" x14ac:dyDescent="0.25">
      <c r="A669" s="68"/>
      <c r="B669" s="119"/>
      <c r="C669" s="92"/>
      <c r="D669" s="56" t="s">
        <v>730</v>
      </c>
      <c r="E669" s="85" t="s">
        <v>129</v>
      </c>
      <c r="F669" s="75"/>
      <c r="G669" s="151"/>
      <c r="H669" s="119"/>
      <c r="I669" s="138"/>
      <c r="J669" s="111"/>
      <c r="K669" s="111"/>
      <c r="L669" s="111"/>
      <c r="M669" s="111"/>
      <c r="N669" s="111"/>
      <c r="O669" s="111"/>
      <c r="P669" s="327">
        <v>1</v>
      </c>
      <c r="Q669" s="111"/>
      <c r="R669" s="111"/>
      <c r="S669" s="327"/>
      <c r="T669" s="111"/>
      <c r="U669" s="111"/>
      <c r="V669" s="369"/>
      <c r="W669" s="382"/>
      <c r="X669" s="539"/>
      <c r="Y669" s="328">
        <f t="shared" si="781"/>
        <v>1</v>
      </c>
      <c r="Z669" s="19">
        <f t="shared" si="782"/>
        <v>0.33333333333333331</v>
      </c>
      <c r="AA669" s="201"/>
      <c r="AB669" s="201"/>
      <c r="AC669" s="84"/>
      <c r="AE669" s="111"/>
      <c r="AF669" s="111"/>
      <c r="AG669" s="111"/>
      <c r="AH669" s="545"/>
      <c r="AI669" s="131"/>
      <c r="AK669" s="111"/>
      <c r="AL669" s="111"/>
      <c r="AM669" s="111"/>
      <c r="AN669" s="545"/>
      <c r="AO669" s="131"/>
      <c r="AQ669" s="111"/>
      <c r="AR669" s="111"/>
      <c r="AS669" s="111"/>
      <c r="AT669" s="545"/>
      <c r="AU669" s="131"/>
      <c r="AW669" s="111"/>
      <c r="AX669" s="111"/>
      <c r="AY669" s="111"/>
      <c r="AZ669" s="545"/>
      <c r="BA669" s="131"/>
    </row>
    <row r="670" spans="1:53" ht="17.100000000000001" customHeight="1" x14ac:dyDescent="0.25">
      <c r="A670" s="40"/>
      <c r="B670" s="40"/>
      <c r="C670" s="77"/>
      <c r="D670" s="134"/>
      <c r="E670" s="134"/>
      <c r="F670" s="134"/>
      <c r="G670" s="134"/>
      <c r="H670" s="540"/>
      <c r="I670" s="229"/>
      <c r="J670" s="80"/>
      <c r="K670" s="80"/>
      <c r="L670" s="80"/>
      <c r="M670" s="80"/>
      <c r="N670" s="81"/>
      <c r="O670" s="81"/>
      <c r="P670" s="82">
        <f>SUM(P665:P669)</f>
        <v>1</v>
      </c>
      <c r="Q670" s="81"/>
      <c r="R670" s="81"/>
      <c r="S670" s="82">
        <f>SUM(S665:S669)</f>
        <v>1</v>
      </c>
      <c r="T670" s="81"/>
      <c r="U670" s="81"/>
      <c r="V670" s="360">
        <f>SUM(V665:V669)</f>
        <v>1</v>
      </c>
      <c r="W670" s="381"/>
      <c r="X670" s="82"/>
      <c r="Y670" s="82">
        <f>SUM(Y665:Y669)</f>
        <v>3</v>
      </c>
      <c r="Z670" s="205">
        <f t="shared" si="782"/>
        <v>1</v>
      </c>
      <c r="AA670" s="205"/>
      <c r="AB670" s="205"/>
      <c r="AC670" s="83"/>
      <c r="AE670" s="80"/>
      <c r="AF670" s="80"/>
      <c r="AG670" s="81"/>
      <c r="AH670" s="82"/>
      <c r="AI670" s="66"/>
      <c r="AK670" s="80"/>
      <c r="AL670" s="80"/>
      <c r="AM670" s="81"/>
      <c r="AN670" s="82"/>
      <c r="AO670" s="66"/>
      <c r="AQ670" s="80"/>
      <c r="AR670" s="80"/>
      <c r="AS670" s="81"/>
      <c r="AT670" s="82"/>
      <c r="AU670" s="66"/>
      <c r="AW670" s="80"/>
      <c r="AX670" s="80"/>
      <c r="AY670" s="81"/>
      <c r="AZ670" s="82"/>
      <c r="BA670" s="66"/>
    </row>
    <row r="671" spans="1:53" s="117" customFormat="1" ht="17.100000000000001" customHeight="1" x14ac:dyDescent="0.25">
      <c r="A671" s="68"/>
      <c r="B671" s="119"/>
      <c r="C671" s="92"/>
      <c r="D671" s="261"/>
      <c r="E671" s="261"/>
      <c r="F671" s="68"/>
      <c r="G671" s="68"/>
      <c r="H671" s="119"/>
      <c r="I671" s="138"/>
      <c r="J671" s="17"/>
      <c r="K671" s="17"/>
      <c r="L671" s="17"/>
      <c r="M671" s="17"/>
      <c r="N671" s="17"/>
      <c r="O671" s="17"/>
      <c r="P671" s="17"/>
      <c r="Q671" s="17"/>
      <c r="R671" s="17"/>
      <c r="S671" s="17"/>
      <c r="T671" s="17"/>
      <c r="U671" s="17"/>
      <c r="V671" s="359"/>
      <c r="W671" s="382"/>
      <c r="X671" s="539"/>
      <c r="Y671" s="539"/>
      <c r="Z671" s="201"/>
      <c r="AA671" s="201"/>
      <c r="AB671" s="201"/>
      <c r="AC671" s="84"/>
      <c r="AE671" s="46"/>
      <c r="AF671" s="46"/>
      <c r="AG671" s="17"/>
      <c r="AH671" s="539"/>
      <c r="AI671" s="91"/>
      <c r="AK671" s="46"/>
      <c r="AL671" s="46"/>
      <c r="AM671" s="17"/>
      <c r="AN671" s="539"/>
      <c r="AO671" s="91"/>
      <c r="AQ671" s="46"/>
      <c r="AR671" s="46"/>
      <c r="AS671" s="17"/>
      <c r="AT671" s="539"/>
      <c r="AU671" s="91"/>
      <c r="AW671" s="46"/>
      <c r="AX671" s="46"/>
      <c r="AY671" s="17"/>
      <c r="AZ671" s="539"/>
      <c r="BA671" s="91"/>
    </row>
    <row r="672" spans="1:53" ht="17.100000000000001" customHeight="1" x14ac:dyDescent="0.25">
      <c r="A672" s="68"/>
      <c r="B672" s="41" t="s">
        <v>1445</v>
      </c>
      <c r="C672" s="69" t="s">
        <v>12</v>
      </c>
      <c r="D672" s="50"/>
      <c r="E672" s="70"/>
      <c r="F672" s="70"/>
      <c r="G672" s="70"/>
      <c r="H672" s="119"/>
      <c r="J672" s="71"/>
      <c r="K672" s="71"/>
      <c r="L672" s="71"/>
      <c r="M672" s="71"/>
      <c r="N672" s="71"/>
      <c r="O672" s="71"/>
      <c r="P672" s="71"/>
      <c r="Q672" s="71"/>
      <c r="R672" s="71"/>
      <c r="S672" s="71"/>
      <c r="T672" s="71"/>
      <c r="U672" s="71"/>
      <c r="V672" s="355"/>
      <c r="W672" s="377"/>
      <c r="X672" s="71"/>
      <c r="Y672" s="72"/>
      <c r="Z672" s="73"/>
      <c r="AA672" s="73"/>
      <c r="AB672" s="73"/>
      <c r="AC672" s="73"/>
      <c r="AE672" s="71"/>
      <c r="AF672" s="71"/>
      <c r="AG672" s="71"/>
      <c r="AH672" s="72"/>
      <c r="AI672" s="73"/>
      <c r="AK672" s="71"/>
      <c r="AL672" s="71"/>
      <c r="AM672" s="71"/>
      <c r="AN672" s="72"/>
      <c r="AO672" s="73"/>
      <c r="AQ672" s="71"/>
      <c r="AR672" s="71"/>
      <c r="AS672" s="71"/>
      <c r="AT672" s="72"/>
      <c r="AU672" s="73"/>
      <c r="AW672" s="71"/>
      <c r="AX672" s="71"/>
      <c r="AY672" s="71"/>
      <c r="AZ672" s="72" t="s">
        <v>4</v>
      </c>
      <c r="BA672" s="73"/>
    </row>
    <row r="686" spans="4:52" s="2" customFormat="1" ht="17.100000000000001" customHeight="1" x14ac:dyDescent="0.25">
      <c r="D686" s="3"/>
      <c r="E686" s="3"/>
      <c r="F686" s="4"/>
      <c r="G686" s="4"/>
      <c r="H686" s="138"/>
      <c r="I686" s="97"/>
      <c r="J686" s="6"/>
      <c r="K686" s="6"/>
      <c r="L686" s="6"/>
      <c r="M686" s="6"/>
      <c r="N686" s="6"/>
      <c r="O686" s="6"/>
      <c r="P686" s="6"/>
      <c r="Q686" s="6"/>
      <c r="R686" s="6"/>
      <c r="S686" s="6"/>
      <c r="T686" s="6"/>
      <c r="U686" s="6"/>
      <c r="V686" s="339"/>
      <c r="W686" s="339"/>
      <c r="X686" s="6"/>
      <c r="Y686" s="206"/>
      <c r="AE686" s="6"/>
      <c r="AF686" s="6"/>
      <c r="AG686" s="6"/>
      <c r="AH686" s="206"/>
      <c r="AJ686" s="213"/>
      <c r="AK686" s="6"/>
      <c r="AL686" s="6"/>
      <c r="AM686" s="6"/>
      <c r="AN686" s="206"/>
      <c r="AP686" s="213"/>
      <c r="AQ686" s="6"/>
      <c r="AR686" s="6"/>
      <c r="AS686" s="6"/>
      <c r="AT686" s="206"/>
      <c r="AV686" s="213"/>
      <c r="AW686" s="6"/>
      <c r="AX686" s="6"/>
      <c r="AY686" s="6"/>
      <c r="AZ686" s="206"/>
    </row>
    <row r="687" spans="4:52" s="2" customFormat="1" ht="17.100000000000001" customHeight="1" x14ac:dyDescent="0.25">
      <c r="D687" s="3"/>
      <c r="E687" s="3"/>
      <c r="F687" s="4"/>
      <c r="G687" s="4"/>
      <c r="H687" s="138"/>
      <c r="I687" s="97"/>
      <c r="J687" s="6"/>
      <c r="K687" s="6"/>
      <c r="L687" s="6"/>
      <c r="M687" s="6"/>
      <c r="N687" s="6"/>
      <c r="O687" s="6"/>
      <c r="P687" s="6"/>
      <c r="Q687" s="6"/>
      <c r="R687" s="6"/>
      <c r="S687" s="6"/>
      <c r="T687" s="6"/>
      <c r="U687" s="6"/>
      <c r="V687" s="339"/>
      <c r="W687" s="339"/>
      <c r="X687" s="6"/>
      <c r="Y687" s="206"/>
      <c r="AE687" s="6"/>
      <c r="AF687" s="6"/>
      <c r="AG687" s="6"/>
      <c r="AH687" s="206"/>
      <c r="AJ687" s="213"/>
      <c r="AK687" s="6"/>
      <c r="AL687" s="6"/>
      <c r="AM687" s="6"/>
      <c r="AN687" s="206"/>
      <c r="AP687" s="213"/>
      <c r="AQ687" s="6"/>
      <c r="AR687" s="6"/>
      <c r="AS687" s="6"/>
      <c r="AT687" s="206"/>
      <c r="AV687" s="213"/>
      <c r="AW687" s="6"/>
      <c r="AX687" s="6"/>
      <c r="AY687" s="6"/>
      <c r="AZ687" s="206"/>
    </row>
    <row r="688" spans="4:52" s="2" customFormat="1" ht="17.100000000000001" customHeight="1" x14ac:dyDescent="0.25">
      <c r="D688" s="3"/>
      <c r="E688" s="3"/>
      <c r="F688" s="4"/>
      <c r="G688" s="4"/>
      <c r="H688" s="138"/>
      <c r="I688" s="97"/>
      <c r="J688" s="6"/>
      <c r="K688" s="6"/>
      <c r="L688" s="6"/>
      <c r="M688" s="6"/>
      <c r="N688" s="6"/>
      <c r="O688" s="6"/>
      <c r="P688" s="6"/>
      <c r="Q688" s="6"/>
      <c r="R688" s="6"/>
      <c r="S688" s="6"/>
      <c r="T688" s="6"/>
      <c r="U688" s="6"/>
      <c r="V688" s="339"/>
      <c r="W688" s="339"/>
      <c r="X688" s="6"/>
      <c r="Y688" s="206"/>
      <c r="AE688" s="6"/>
      <c r="AF688" s="6"/>
      <c r="AG688" s="6"/>
      <c r="AH688" s="206"/>
      <c r="AJ688" s="213"/>
      <c r="AK688" s="6"/>
      <c r="AL688" s="6"/>
      <c r="AM688" s="6"/>
      <c r="AN688" s="206"/>
      <c r="AP688" s="213"/>
      <c r="AQ688" s="6"/>
      <c r="AR688" s="6"/>
      <c r="AS688" s="6"/>
      <c r="AT688" s="206"/>
      <c r="AV688" s="213"/>
      <c r="AW688" s="6"/>
      <c r="AX688" s="6"/>
      <c r="AY688" s="6"/>
      <c r="AZ688" s="206"/>
    </row>
    <row r="689" spans="4:52" s="2" customFormat="1" ht="17.100000000000001" customHeight="1" x14ac:dyDescent="0.25">
      <c r="D689" s="3"/>
      <c r="E689" s="3"/>
      <c r="F689" s="4"/>
      <c r="G689" s="4"/>
      <c r="H689" s="138"/>
      <c r="I689" s="97"/>
      <c r="J689" s="6"/>
      <c r="K689" s="6"/>
      <c r="L689" s="6"/>
      <c r="M689" s="6"/>
      <c r="N689" s="6"/>
      <c r="O689" s="6"/>
      <c r="P689" s="6"/>
      <c r="Q689" s="6"/>
      <c r="R689" s="6"/>
      <c r="S689" s="6"/>
      <c r="T689" s="6"/>
      <c r="U689" s="6"/>
      <c r="V689" s="339"/>
      <c r="W689" s="339"/>
      <c r="X689" s="6"/>
      <c r="Y689" s="206"/>
      <c r="AE689" s="6"/>
      <c r="AF689" s="6"/>
      <c r="AG689" s="6"/>
      <c r="AH689" s="206"/>
      <c r="AJ689" s="213"/>
      <c r="AK689" s="6"/>
      <c r="AL689" s="6"/>
      <c r="AM689" s="6"/>
      <c r="AN689" s="206"/>
      <c r="AP689" s="213"/>
      <c r="AQ689" s="6"/>
      <c r="AR689" s="6"/>
      <c r="AS689" s="6"/>
      <c r="AT689" s="206"/>
      <c r="AV689" s="213"/>
      <c r="AW689" s="6"/>
      <c r="AX689" s="6"/>
      <c r="AY689" s="6"/>
      <c r="AZ689" s="206"/>
    </row>
    <row r="690" spans="4:52" s="2" customFormat="1" ht="17.100000000000001" customHeight="1" x14ac:dyDescent="0.25">
      <c r="D690" s="3"/>
      <c r="E690" s="3"/>
      <c r="F690" s="4"/>
      <c r="G690" s="4"/>
      <c r="H690" s="138"/>
      <c r="I690" s="97"/>
      <c r="J690" s="6"/>
      <c r="K690" s="6"/>
      <c r="L690" s="6"/>
      <c r="M690" s="6"/>
      <c r="N690" s="6"/>
      <c r="O690" s="6"/>
      <c r="P690" s="6"/>
      <c r="Q690" s="6"/>
      <c r="R690" s="6"/>
      <c r="S690" s="6"/>
      <c r="T690" s="6"/>
      <c r="U690" s="6"/>
      <c r="V690" s="339"/>
      <c r="W690" s="339"/>
      <c r="X690" s="6"/>
      <c r="Y690" s="206"/>
      <c r="AE690" s="6"/>
      <c r="AF690" s="6"/>
      <c r="AG690" s="6"/>
      <c r="AH690" s="206"/>
      <c r="AJ690" s="213"/>
      <c r="AK690" s="6"/>
      <c r="AL690" s="6"/>
      <c r="AM690" s="6"/>
      <c r="AN690" s="206"/>
      <c r="AP690" s="213"/>
      <c r="AQ690" s="6"/>
      <c r="AR690" s="6"/>
      <c r="AS690" s="6"/>
      <c r="AT690" s="206"/>
      <c r="AV690" s="213"/>
      <c r="AW690" s="6"/>
      <c r="AX690" s="6"/>
      <c r="AY690" s="6"/>
      <c r="AZ690" s="206"/>
    </row>
    <row r="691" spans="4:52" s="2" customFormat="1" ht="17.100000000000001" customHeight="1" x14ac:dyDescent="0.25">
      <c r="D691" s="3"/>
      <c r="E691" s="3"/>
      <c r="F691" s="4"/>
      <c r="G691" s="4"/>
      <c r="H691" s="138"/>
      <c r="I691" s="97"/>
      <c r="J691" s="6"/>
      <c r="K691" s="6"/>
      <c r="L691" s="6"/>
      <c r="M691" s="6"/>
      <c r="N691" s="6"/>
      <c r="O691" s="6"/>
      <c r="P691" s="6"/>
      <c r="Q691" s="6"/>
      <c r="R691" s="6"/>
      <c r="S691" s="6"/>
      <c r="T691" s="6"/>
      <c r="U691" s="6"/>
      <c r="V691" s="339"/>
      <c r="W691" s="339"/>
      <c r="X691" s="6"/>
      <c r="Y691" s="206"/>
      <c r="AE691" s="6"/>
      <c r="AF691" s="6"/>
      <c r="AG691" s="6"/>
      <c r="AH691" s="206"/>
      <c r="AJ691" s="213"/>
      <c r="AK691" s="6"/>
      <c r="AL691" s="6"/>
      <c r="AM691" s="6"/>
      <c r="AN691" s="206"/>
      <c r="AP691" s="213"/>
      <c r="AQ691" s="6"/>
      <c r="AR691" s="6"/>
      <c r="AS691" s="6"/>
      <c r="AT691" s="206"/>
      <c r="AV691" s="213"/>
      <c r="AW691" s="6"/>
      <c r="AX691" s="6"/>
      <c r="AY691" s="6"/>
      <c r="AZ691" s="206"/>
    </row>
    <row r="692" spans="4:52" s="2" customFormat="1" ht="17.100000000000001" customHeight="1" x14ac:dyDescent="0.25">
      <c r="D692" s="3"/>
      <c r="E692" s="3"/>
      <c r="F692" s="4"/>
      <c r="G692" s="4"/>
      <c r="H692" s="138"/>
      <c r="I692" s="97"/>
      <c r="J692" s="6"/>
      <c r="K692" s="6"/>
      <c r="L692" s="6"/>
      <c r="M692" s="6"/>
      <c r="N692" s="6"/>
      <c r="O692" s="6"/>
      <c r="P692" s="6"/>
      <c r="Q692" s="6"/>
      <c r="R692" s="6"/>
      <c r="S692" s="6"/>
      <c r="T692" s="6"/>
      <c r="U692" s="6"/>
      <c r="V692" s="339"/>
      <c r="W692" s="339"/>
      <c r="X692" s="6"/>
      <c r="Y692" s="206"/>
      <c r="AE692" s="6"/>
      <c r="AF692" s="6"/>
      <c r="AG692" s="6"/>
      <c r="AH692" s="206"/>
      <c r="AJ692" s="213"/>
      <c r="AK692" s="6"/>
      <c r="AL692" s="6"/>
      <c r="AM692" s="6"/>
      <c r="AN692" s="206"/>
      <c r="AP692" s="213"/>
      <c r="AQ692" s="6"/>
      <c r="AR692" s="6"/>
      <c r="AS692" s="6"/>
      <c r="AT692" s="206"/>
      <c r="AV692" s="213"/>
      <c r="AW692" s="6"/>
      <c r="AX692" s="6"/>
      <c r="AY692" s="6"/>
      <c r="AZ692" s="206"/>
    </row>
    <row r="693" spans="4:52" s="2" customFormat="1" ht="17.100000000000001" customHeight="1" x14ac:dyDescent="0.25">
      <c r="D693" s="3"/>
      <c r="E693" s="3"/>
      <c r="F693" s="4"/>
      <c r="G693" s="4"/>
      <c r="H693" s="138"/>
      <c r="I693" s="97"/>
      <c r="J693" s="6"/>
      <c r="K693" s="6"/>
      <c r="L693" s="6"/>
      <c r="M693" s="6"/>
      <c r="N693" s="6"/>
      <c r="O693" s="6"/>
      <c r="P693" s="6"/>
      <c r="Q693" s="6"/>
      <c r="R693" s="6"/>
      <c r="S693" s="6"/>
      <c r="T693" s="6"/>
      <c r="U693" s="6"/>
      <c r="V693" s="339"/>
      <c r="W693" s="339"/>
      <c r="X693" s="6"/>
      <c r="Y693" s="206"/>
      <c r="AE693" s="6"/>
      <c r="AF693" s="6"/>
      <c r="AG693" s="6"/>
      <c r="AH693" s="206"/>
      <c r="AJ693" s="213"/>
      <c r="AK693" s="6"/>
      <c r="AL693" s="6"/>
      <c r="AM693" s="6"/>
      <c r="AN693" s="206"/>
      <c r="AP693" s="213"/>
      <c r="AQ693" s="6"/>
      <c r="AR693" s="6"/>
      <c r="AS693" s="6"/>
      <c r="AT693" s="206"/>
      <c r="AV693" s="213"/>
      <c r="AW693" s="6"/>
      <c r="AX693" s="6"/>
      <c r="AY693" s="6"/>
      <c r="AZ693" s="206"/>
    </row>
    <row r="694" spans="4:52" s="2" customFormat="1" ht="17.100000000000001" customHeight="1" x14ac:dyDescent="0.25">
      <c r="D694" s="3"/>
      <c r="E694" s="3"/>
      <c r="F694" s="4"/>
      <c r="G694" s="4"/>
      <c r="H694" s="138"/>
      <c r="I694" s="97"/>
      <c r="J694" s="6"/>
      <c r="K694" s="6"/>
      <c r="L694" s="6"/>
      <c r="M694" s="6"/>
      <c r="N694" s="6"/>
      <c r="O694" s="6"/>
      <c r="P694" s="6"/>
      <c r="Q694" s="6"/>
      <c r="R694" s="6"/>
      <c r="S694" s="6"/>
      <c r="T694" s="6"/>
      <c r="U694" s="6"/>
      <c r="V694" s="339"/>
      <c r="W694" s="339"/>
      <c r="X694" s="6"/>
      <c r="Y694" s="206"/>
      <c r="AE694" s="6"/>
      <c r="AF694" s="6"/>
      <c r="AG694" s="6"/>
      <c r="AH694" s="206"/>
      <c r="AJ694" s="213"/>
      <c r="AK694" s="6"/>
      <c r="AL694" s="6"/>
      <c r="AM694" s="6"/>
      <c r="AN694" s="206"/>
      <c r="AP694" s="213"/>
      <c r="AQ694" s="6"/>
      <c r="AR694" s="6"/>
      <c r="AS694" s="6"/>
      <c r="AT694" s="206"/>
      <c r="AV694" s="213"/>
      <c r="AW694" s="6"/>
      <c r="AX694" s="6"/>
      <c r="AY694" s="6"/>
      <c r="AZ694" s="206"/>
    </row>
    <row r="695" spans="4:52" s="2" customFormat="1" ht="17.100000000000001" customHeight="1" x14ac:dyDescent="0.25">
      <c r="D695" s="3"/>
      <c r="E695" s="3"/>
      <c r="F695" s="4"/>
      <c r="G695" s="4"/>
      <c r="H695" s="138"/>
      <c r="I695" s="97"/>
      <c r="J695" s="6"/>
      <c r="K695" s="6"/>
      <c r="L695" s="6"/>
      <c r="M695" s="6"/>
      <c r="N695" s="6"/>
      <c r="O695" s="6"/>
      <c r="P695" s="6"/>
      <c r="Q695" s="6"/>
      <c r="R695" s="6"/>
      <c r="S695" s="6"/>
      <c r="T695" s="6"/>
      <c r="U695" s="6"/>
      <c r="V695" s="339"/>
      <c r="W695" s="339"/>
      <c r="X695" s="6"/>
      <c r="Y695" s="206"/>
      <c r="AE695" s="6"/>
      <c r="AF695" s="6"/>
      <c r="AG695" s="6"/>
      <c r="AH695" s="206"/>
      <c r="AJ695" s="213"/>
      <c r="AK695" s="6"/>
      <c r="AL695" s="6"/>
      <c r="AM695" s="6"/>
      <c r="AN695" s="206"/>
      <c r="AP695" s="213"/>
      <c r="AQ695" s="6"/>
      <c r="AR695" s="6"/>
      <c r="AS695" s="6"/>
      <c r="AT695" s="206"/>
      <c r="AV695" s="213"/>
      <c r="AW695" s="6"/>
      <c r="AX695" s="6"/>
      <c r="AY695" s="6"/>
      <c r="AZ695" s="206"/>
    </row>
    <row r="696" spans="4:52" s="2" customFormat="1" ht="17.100000000000001" customHeight="1" x14ac:dyDescent="0.25">
      <c r="D696" s="3"/>
      <c r="E696" s="3"/>
      <c r="F696" s="4"/>
      <c r="G696" s="4"/>
      <c r="H696" s="138"/>
      <c r="I696" s="97"/>
      <c r="J696" s="6"/>
      <c r="K696" s="6"/>
      <c r="L696" s="6"/>
      <c r="M696" s="6"/>
      <c r="N696" s="6"/>
      <c r="O696" s="6"/>
      <c r="P696" s="6"/>
      <c r="Q696" s="6"/>
      <c r="R696" s="6"/>
      <c r="S696" s="6"/>
      <c r="T696" s="6"/>
      <c r="U696" s="6"/>
      <c r="V696" s="339"/>
      <c r="W696" s="339"/>
      <c r="X696" s="6"/>
      <c r="Y696" s="206"/>
      <c r="AE696" s="6"/>
      <c r="AF696" s="6"/>
      <c r="AG696" s="6"/>
      <c r="AH696" s="206"/>
      <c r="AJ696" s="213"/>
      <c r="AK696" s="6"/>
      <c r="AL696" s="6"/>
      <c r="AM696" s="6"/>
      <c r="AN696" s="206"/>
      <c r="AP696" s="213"/>
      <c r="AQ696" s="6"/>
      <c r="AR696" s="6"/>
      <c r="AS696" s="6"/>
      <c r="AT696" s="206"/>
      <c r="AV696" s="213"/>
      <c r="AW696" s="6"/>
      <c r="AX696" s="6"/>
      <c r="AY696" s="6"/>
      <c r="AZ696" s="206"/>
    </row>
    <row r="697" spans="4:52" s="2" customFormat="1" ht="17.100000000000001" customHeight="1" x14ac:dyDescent="0.25">
      <c r="D697" s="3"/>
      <c r="E697" s="3"/>
      <c r="F697" s="4"/>
      <c r="G697" s="4"/>
      <c r="H697" s="138"/>
      <c r="I697" s="97"/>
      <c r="J697" s="6"/>
      <c r="K697" s="6"/>
      <c r="L697" s="6"/>
      <c r="M697" s="6"/>
      <c r="N697" s="6"/>
      <c r="O697" s="6"/>
      <c r="P697" s="6"/>
      <c r="Q697" s="6"/>
      <c r="R697" s="6"/>
      <c r="S697" s="6"/>
      <c r="T697" s="6"/>
      <c r="U697" s="6"/>
      <c r="V697" s="339"/>
      <c r="W697" s="339"/>
      <c r="X697" s="6"/>
      <c r="Y697" s="206"/>
      <c r="AE697" s="6"/>
      <c r="AF697" s="6"/>
      <c r="AG697" s="6"/>
      <c r="AH697" s="206"/>
      <c r="AJ697" s="213"/>
      <c r="AK697" s="6"/>
      <c r="AL697" s="6"/>
      <c r="AM697" s="6"/>
      <c r="AN697" s="206"/>
      <c r="AP697" s="213"/>
      <c r="AQ697" s="6"/>
      <c r="AR697" s="6"/>
      <c r="AS697" s="6"/>
      <c r="AT697" s="206"/>
      <c r="AV697" s="213"/>
      <c r="AW697" s="6"/>
      <c r="AX697" s="6"/>
      <c r="AY697" s="6"/>
      <c r="AZ697" s="206"/>
    </row>
    <row r="698" spans="4:52" s="2" customFormat="1" ht="17.100000000000001" customHeight="1" x14ac:dyDescent="0.25">
      <c r="D698" s="3"/>
      <c r="E698" s="3"/>
      <c r="F698" s="4"/>
      <c r="G698" s="4"/>
      <c r="H698" s="138"/>
      <c r="I698" s="97"/>
      <c r="J698" s="6"/>
      <c r="K698" s="6"/>
      <c r="L698" s="6"/>
      <c r="M698" s="6"/>
      <c r="N698" s="6"/>
      <c r="O698" s="6"/>
      <c r="P698" s="6"/>
      <c r="Q698" s="6"/>
      <c r="R698" s="6"/>
      <c r="S698" s="6"/>
      <c r="T698" s="6"/>
      <c r="U698" s="6"/>
      <c r="V698" s="339"/>
      <c r="W698" s="339"/>
      <c r="X698" s="6"/>
      <c r="Y698" s="206"/>
      <c r="AE698" s="6"/>
      <c r="AF698" s="6"/>
      <c r="AG698" s="6"/>
      <c r="AH698" s="206"/>
      <c r="AJ698" s="213"/>
      <c r="AK698" s="6"/>
      <c r="AL698" s="6"/>
      <c r="AM698" s="6"/>
      <c r="AN698" s="206"/>
      <c r="AP698" s="213"/>
      <c r="AQ698" s="6"/>
      <c r="AR698" s="6"/>
      <c r="AS698" s="6"/>
      <c r="AT698" s="206"/>
      <c r="AV698" s="213"/>
      <c r="AW698" s="6"/>
      <c r="AX698" s="6"/>
      <c r="AY698" s="6"/>
      <c r="AZ698" s="206"/>
    </row>
    <row r="699" spans="4:52" s="2" customFormat="1" ht="17.100000000000001" customHeight="1" x14ac:dyDescent="0.25">
      <c r="D699" s="3"/>
      <c r="E699" s="3"/>
      <c r="F699" s="4"/>
      <c r="G699" s="4"/>
      <c r="H699" s="138"/>
      <c r="I699" s="97"/>
      <c r="J699" s="6"/>
      <c r="K699" s="6"/>
      <c r="L699" s="6"/>
      <c r="M699" s="6"/>
      <c r="N699" s="6"/>
      <c r="O699" s="6"/>
      <c r="P699" s="6"/>
      <c r="Q699" s="6"/>
      <c r="R699" s="6"/>
      <c r="S699" s="6"/>
      <c r="T699" s="6"/>
      <c r="U699" s="6"/>
      <c r="V699" s="339"/>
      <c r="W699" s="339"/>
      <c r="X699" s="6"/>
      <c r="Y699" s="206"/>
      <c r="AE699" s="6"/>
      <c r="AF699" s="6"/>
      <c r="AG699" s="6"/>
      <c r="AH699" s="206"/>
      <c r="AJ699" s="213"/>
      <c r="AK699" s="6"/>
      <c r="AL699" s="6"/>
      <c r="AM699" s="6"/>
      <c r="AN699" s="206"/>
      <c r="AP699" s="213"/>
      <c r="AQ699" s="6"/>
      <c r="AR699" s="6"/>
      <c r="AS699" s="6"/>
      <c r="AT699" s="206"/>
      <c r="AV699" s="213"/>
      <c r="AW699" s="6"/>
      <c r="AX699" s="6"/>
      <c r="AY699" s="6"/>
      <c r="AZ699" s="206"/>
    </row>
    <row r="700" spans="4:52" s="2" customFormat="1" ht="17.100000000000001" customHeight="1" x14ac:dyDescent="0.25">
      <c r="D700" s="3"/>
      <c r="E700" s="3"/>
      <c r="F700" s="4"/>
      <c r="G700" s="4"/>
      <c r="H700" s="138"/>
      <c r="I700" s="97"/>
      <c r="J700" s="6"/>
      <c r="K700" s="6"/>
      <c r="L700" s="6"/>
      <c r="M700" s="6"/>
      <c r="N700" s="6"/>
      <c r="O700" s="6"/>
      <c r="P700" s="6"/>
      <c r="Q700" s="6"/>
      <c r="R700" s="6"/>
      <c r="S700" s="6"/>
      <c r="T700" s="6"/>
      <c r="U700" s="6"/>
      <c r="V700" s="339"/>
      <c r="W700" s="339"/>
      <c r="X700" s="6"/>
      <c r="Y700" s="206"/>
      <c r="AE700" s="6"/>
      <c r="AF700" s="6"/>
      <c r="AG700" s="6"/>
      <c r="AH700" s="206"/>
      <c r="AJ700" s="213"/>
      <c r="AK700" s="6"/>
      <c r="AL700" s="6"/>
      <c r="AM700" s="6"/>
      <c r="AN700" s="206"/>
      <c r="AP700" s="213"/>
      <c r="AQ700" s="6"/>
      <c r="AR700" s="6"/>
      <c r="AS700" s="6"/>
      <c r="AT700" s="206"/>
      <c r="AV700" s="213"/>
      <c r="AW700" s="6"/>
      <c r="AX700" s="6"/>
      <c r="AY700" s="6"/>
      <c r="AZ700" s="206"/>
    </row>
    <row r="701" spans="4:52" s="2" customFormat="1" ht="17.100000000000001" customHeight="1" x14ac:dyDescent="0.25">
      <c r="D701" s="3"/>
      <c r="E701" s="3"/>
      <c r="F701" s="4"/>
      <c r="G701" s="4"/>
      <c r="H701" s="138"/>
      <c r="I701" s="97"/>
      <c r="J701" s="6"/>
      <c r="K701" s="6"/>
      <c r="L701" s="6"/>
      <c r="M701" s="6"/>
      <c r="N701" s="6"/>
      <c r="O701" s="6"/>
      <c r="P701" s="6"/>
      <c r="Q701" s="6"/>
      <c r="R701" s="6"/>
      <c r="S701" s="6"/>
      <c r="T701" s="6"/>
      <c r="U701" s="6"/>
      <c r="V701" s="339"/>
      <c r="W701" s="339"/>
      <c r="X701" s="6"/>
      <c r="Y701" s="206"/>
      <c r="AE701" s="6"/>
      <c r="AF701" s="6"/>
      <c r="AG701" s="6"/>
      <c r="AH701" s="206"/>
      <c r="AJ701" s="213"/>
      <c r="AK701" s="6"/>
      <c r="AL701" s="6"/>
      <c r="AM701" s="6"/>
      <c r="AN701" s="206"/>
      <c r="AP701" s="213"/>
      <c r="AQ701" s="6"/>
      <c r="AR701" s="6"/>
      <c r="AS701" s="6"/>
      <c r="AT701" s="206"/>
      <c r="AV701" s="213"/>
      <c r="AW701" s="6"/>
      <c r="AX701" s="6"/>
      <c r="AY701" s="6"/>
      <c r="AZ701" s="206"/>
    </row>
    <row r="702" spans="4:52" s="2" customFormat="1" ht="17.100000000000001" customHeight="1" x14ac:dyDescent="0.25">
      <c r="D702" s="3"/>
      <c r="E702" s="3"/>
      <c r="F702" s="4"/>
      <c r="G702" s="4"/>
      <c r="H702" s="138"/>
      <c r="I702" s="97"/>
      <c r="J702" s="6"/>
      <c r="K702" s="6"/>
      <c r="L702" s="6"/>
      <c r="M702" s="6"/>
      <c r="N702" s="6"/>
      <c r="O702" s="6"/>
      <c r="P702" s="6"/>
      <c r="Q702" s="6"/>
      <c r="R702" s="6"/>
      <c r="S702" s="6"/>
      <c r="T702" s="6"/>
      <c r="U702" s="6"/>
      <c r="V702" s="339"/>
      <c r="W702" s="339"/>
      <c r="X702" s="6"/>
      <c r="Y702" s="206"/>
      <c r="AE702" s="6"/>
      <c r="AF702" s="6"/>
      <c r="AG702" s="6"/>
      <c r="AH702" s="206"/>
      <c r="AJ702" s="213"/>
      <c r="AK702" s="6"/>
      <c r="AL702" s="6"/>
      <c r="AM702" s="6"/>
      <c r="AN702" s="206"/>
      <c r="AP702" s="213"/>
      <c r="AQ702" s="6"/>
      <c r="AR702" s="6"/>
      <c r="AS702" s="6"/>
      <c r="AT702" s="206"/>
      <c r="AV702" s="213"/>
      <c r="AW702" s="6"/>
      <c r="AX702" s="6"/>
      <c r="AY702" s="6"/>
      <c r="AZ702" s="206"/>
    </row>
    <row r="703" spans="4:52" s="2" customFormat="1" ht="17.100000000000001" customHeight="1" x14ac:dyDescent="0.25">
      <c r="D703" s="3"/>
      <c r="E703" s="3"/>
      <c r="F703" s="4"/>
      <c r="G703" s="4"/>
      <c r="H703" s="138"/>
      <c r="I703" s="97"/>
      <c r="J703" s="6"/>
      <c r="K703" s="6"/>
      <c r="L703" s="6"/>
      <c r="M703" s="6"/>
      <c r="N703" s="6"/>
      <c r="O703" s="6"/>
      <c r="P703" s="6"/>
      <c r="Q703" s="6"/>
      <c r="R703" s="6"/>
      <c r="S703" s="6"/>
      <c r="T703" s="6"/>
      <c r="U703" s="6"/>
      <c r="V703" s="339"/>
      <c r="W703" s="339"/>
      <c r="X703" s="6"/>
      <c r="Y703" s="206"/>
      <c r="AE703" s="6"/>
      <c r="AF703" s="6"/>
      <c r="AG703" s="6"/>
      <c r="AH703" s="206"/>
      <c r="AJ703" s="213"/>
      <c r="AK703" s="6"/>
      <c r="AL703" s="6"/>
      <c r="AM703" s="6"/>
      <c r="AN703" s="206"/>
      <c r="AP703" s="213"/>
      <c r="AQ703" s="6"/>
      <c r="AR703" s="6"/>
      <c r="AS703" s="6"/>
      <c r="AT703" s="206"/>
      <c r="AV703" s="213"/>
      <c r="AW703" s="6"/>
      <c r="AX703" s="6"/>
      <c r="AY703" s="6"/>
      <c r="AZ703" s="206"/>
    </row>
    <row r="704" spans="4:52" s="2" customFormat="1" ht="17.100000000000001" customHeight="1" x14ac:dyDescent="0.25">
      <c r="D704" s="3"/>
      <c r="E704" s="3"/>
      <c r="F704" s="4"/>
      <c r="G704" s="4"/>
      <c r="H704" s="138"/>
      <c r="I704" s="97"/>
      <c r="J704" s="6"/>
      <c r="K704" s="6"/>
      <c r="L704" s="6"/>
      <c r="M704" s="6"/>
      <c r="N704" s="6"/>
      <c r="O704" s="6"/>
      <c r="P704" s="6"/>
      <c r="Q704" s="6"/>
      <c r="R704" s="6"/>
      <c r="S704" s="6"/>
      <c r="T704" s="6"/>
      <c r="U704" s="6"/>
      <c r="V704" s="339"/>
      <c r="W704" s="339"/>
      <c r="X704" s="6"/>
      <c r="Y704" s="206"/>
      <c r="AE704" s="6"/>
      <c r="AF704" s="6"/>
      <c r="AG704" s="6"/>
      <c r="AH704" s="206"/>
      <c r="AJ704" s="213"/>
      <c r="AK704" s="6"/>
      <c r="AL704" s="6"/>
      <c r="AM704" s="6"/>
      <c r="AN704" s="206"/>
      <c r="AP704" s="213"/>
      <c r="AQ704" s="6"/>
      <c r="AR704" s="6"/>
      <c r="AS704" s="6"/>
      <c r="AT704" s="206"/>
      <c r="AV704" s="213"/>
      <c r="AW704" s="6"/>
      <c r="AX704" s="6"/>
      <c r="AY704" s="6"/>
      <c r="AZ704" s="206"/>
    </row>
    <row r="705" spans="4:52" s="2" customFormat="1" ht="17.100000000000001" customHeight="1" x14ac:dyDescent="0.25">
      <c r="D705" s="3"/>
      <c r="E705" s="3"/>
      <c r="F705" s="4"/>
      <c r="G705" s="4"/>
      <c r="H705" s="138"/>
      <c r="I705" s="97"/>
      <c r="J705" s="6"/>
      <c r="K705" s="6"/>
      <c r="L705" s="6"/>
      <c r="M705" s="6"/>
      <c r="N705" s="6"/>
      <c r="O705" s="6"/>
      <c r="P705" s="6"/>
      <c r="Q705" s="6"/>
      <c r="R705" s="6"/>
      <c r="S705" s="6"/>
      <c r="T705" s="6"/>
      <c r="U705" s="6"/>
      <c r="V705" s="339"/>
      <c r="W705" s="339"/>
      <c r="X705" s="6"/>
      <c r="Y705" s="206"/>
      <c r="AE705" s="6"/>
      <c r="AF705" s="6"/>
      <c r="AG705" s="6"/>
      <c r="AH705" s="206"/>
      <c r="AJ705" s="213"/>
      <c r="AK705" s="6"/>
      <c r="AL705" s="6"/>
      <c r="AM705" s="6"/>
      <c r="AN705" s="206"/>
      <c r="AP705" s="213"/>
      <c r="AQ705" s="6"/>
      <c r="AR705" s="6"/>
      <c r="AS705" s="6"/>
      <c r="AT705" s="206"/>
      <c r="AV705" s="213"/>
      <c r="AW705" s="6"/>
      <c r="AX705" s="6"/>
      <c r="AY705" s="6"/>
      <c r="AZ705" s="206"/>
    </row>
    <row r="706" spans="4:52" s="2" customFormat="1" ht="17.100000000000001" customHeight="1" x14ac:dyDescent="0.25">
      <c r="D706" s="3"/>
      <c r="E706" s="3"/>
      <c r="F706" s="4"/>
      <c r="G706" s="4"/>
      <c r="H706" s="138"/>
      <c r="I706" s="97"/>
      <c r="J706" s="6"/>
      <c r="K706" s="6"/>
      <c r="L706" s="6"/>
      <c r="M706" s="6"/>
      <c r="N706" s="6"/>
      <c r="O706" s="6"/>
      <c r="P706" s="6"/>
      <c r="Q706" s="6"/>
      <c r="R706" s="6"/>
      <c r="S706" s="6"/>
      <c r="T706" s="6"/>
      <c r="U706" s="6"/>
      <c r="V706" s="339"/>
      <c r="W706" s="339"/>
      <c r="X706" s="6"/>
      <c r="Y706" s="206"/>
      <c r="AE706" s="6"/>
      <c r="AF706" s="6"/>
      <c r="AG706" s="6"/>
      <c r="AH706" s="206"/>
      <c r="AJ706" s="213"/>
      <c r="AK706" s="6"/>
      <c r="AL706" s="6"/>
      <c r="AM706" s="6"/>
      <c r="AN706" s="206"/>
      <c r="AP706" s="213"/>
      <c r="AQ706" s="6"/>
      <c r="AR706" s="6"/>
      <c r="AS706" s="6"/>
      <c r="AT706" s="206"/>
      <c r="AV706" s="213"/>
      <c r="AW706" s="6"/>
      <c r="AX706" s="6"/>
      <c r="AY706" s="6"/>
      <c r="AZ706" s="206"/>
    </row>
    <row r="707" spans="4:52" s="2" customFormat="1" ht="17.100000000000001" customHeight="1" x14ac:dyDescent="0.25">
      <c r="D707" s="3"/>
      <c r="E707" s="3"/>
      <c r="F707" s="4"/>
      <c r="G707" s="4"/>
      <c r="H707" s="138"/>
      <c r="I707" s="97"/>
      <c r="J707" s="6"/>
      <c r="K707" s="6"/>
      <c r="L707" s="6"/>
      <c r="M707" s="6"/>
      <c r="N707" s="6"/>
      <c r="O707" s="6"/>
      <c r="P707" s="6"/>
      <c r="Q707" s="6"/>
      <c r="R707" s="6"/>
      <c r="S707" s="6"/>
      <c r="T707" s="6"/>
      <c r="U707" s="6"/>
      <c r="V707" s="339"/>
      <c r="W707" s="339"/>
      <c r="X707" s="6"/>
      <c r="Y707" s="206"/>
      <c r="AE707" s="6"/>
      <c r="AF707" s="6"/>
      <c r="AG707" s="6"/>
      <c r="AH707" s="206"/>
      <c r="AJ707" s="213"/>
      <c r="AK707" s="6"/>
      <c r="AL707" s="6"/>
      <c r="AM707" s="6"/>
      <c r="AN707" s="206"/>
      <c r="AP707" s="213"/>
      <c r="AQ707" s="6"/>
      <c r="AR707" s="6"/>
      <c r="AS707" s="6"/>
      <c r="AT707" s="206"/>
      <c r="AV707" s="213"/>
      <c r="AW707" s="6"/>
      <c r="AX707" s="6"/>
      <c r="AY707" s="6"/>
      <c r="AZ707" s="206"/>
    </row>
    <row r="708" spans="4:52" s="2" customFormat="1" ht="17.100000000000001" customHeight="1" x14ac:dyDescent="0.25">
      <c r="D708" s="3"/>
      <c r="E708" s="3"/>
      <c r="F708" s="4"/>
      <c r="G708" s="4"/>
      <c r="H708" s="138"/>
      <c r="I708" s="97"/>
      <c r="J708" s="6"/>
      <c r="K708" s="6"/>
      <c r="L708" s="6"/>
      <c r="M708" s="6"/>
      <c r="N708" s="6"/>
      <c r="O708" s="6"/>
      <c r="P708" s="6"/>
      <c r="Q708" s="6"/>
      <c r="R708" s="6"/>
      <c r="S708" s="6"/>
      <c r="T708" s="6"/>
      <c r="U708" s="6"/>
      <c r="V708" s="339"/>
      <c r="W708" s="339"/>
      <c r="X708" s="6"/>
      <c r="Y708" s="206"/>
      <c r="AE708" s="6"/>
      <c r="AF708" s="6"/>
      <c r="AG708" s="6"/>
      <c r="AH708" s="206"/>
      <c r="AJ708" s="213"/>
      <c r="AK708" s="6"/>
      <c r="AL708" s="6"/>
      <c r="AM708" s="6"/>
      <c r="AN708" s="206"/>
      <c r="AP708" s="213"/>
      <c r="AQ708" s="6"/>
      <c r="AR708" s="6"/>
      <c r="AS708" s="6"/>
      <c r="AT708" s="206"/>
      <c r="AV708" s="213"/>
      <c r="AW708" s="6"/>
      <c r="AX708" s="6"/>
      <c r="AY708" s="6"/>
      <c r="AZ708" s="206"/>
    </row>
    <row r="709" spans="4:52" s="2" customFormat="1" ht="17.100000000000001" customHeight="1" x14ac:dyDescent="0.25">
      <c r="D709" s="3"/>
      <c r="E709" s="3"/>
      <c r="F709" s="4"/>
      <c r="G709" s="4"/>
      <c r="H709" s="138"/>
      <c r="I709" s="97"/>
      <c r="J709" s="6"/>
      <c r="K709" s="6"/>
      <c r="L709" s="6"/>
      <c r="M709" s="6"/>
      <c r="N709" s="6"/>
      <c r="O709" s="6"/>
      <c r="P709" s="6"/>
      <c r="Q709" s="6"/>
      <c r="R709" s="6"/>
      <c r="S709" s="6"/>
      <c r="T709" s="6"/>
      <c r="U709" s="6"/>
      <c r="V709" s="339"/>
      <c r="W709" s="339"/>
      <c r="X709" s="6"/>
      <c r="Y709" s="206"/>
      <c r="AE709" s="6"/>
      <c r="AF709" s="6"/>
      <c r="AG709" s="6"/>
      <c r="AH709" s="206"/>
      <c r="AJ709" s="213"/>
      <c r="AK709" s="6"/>
      <c r="AL709" s="6"/>
      <c r="AM709" s="6"/>
      <c r="AN709" s="206"/>
      <c r="AP709" s="213"/>
      <c r="AQ709" s="6"/>
      <c r="AR709" s="6"/>
      <c r="AS709" s="6"/>
      <c r="AT709" s="206"/>
      <c r="AV709" s="213"/>
      <c r="AW709" s="6"/>
      <c r="AX709" s="6"/>
      <c r="AY709" s="6"/>
      <c r="AZ709" s="206"/>
    </row>
    <row r="710" spans="4:52" s="2" customFormat="1" ht="17.100000000000001" customHeight="1" x14ac:dyDescent="0.25">
      <c r="D710" s="3"/>
      <c r="E710" s="3"/>
      <c r="F710" s="4"/>
      <c r="G710" s="4"/>
      <c r="H710" s="138"/>
      <c r="I710" s="97"/>
      <c r="J710" s="6"/>
      <c r="K710" s="6"/>
      <c r="L710" s="6"/>
      <c r="M710" s="6"/>
      <c r="N710" s="6"/>
      <c r="O710" s="6"/>
      <c r="P710" s="6"/>
      <c r="Q710" s="6"/>
      <c r="R710" s="6"/>
      <c r="S710" s="6"/>
      <c r="T710" s="6"/>
      <c r="U710" s="6"/>
      <c r="V710" s="339"/>
      <c r="W710" s="339"/>
      <c r="X710" s="6"/>
      <c r="Y710" s="206"/>
      <c r="AE710" s="6"/>
      <c r="AF710" s="6"/>
      <c r="AG710" s="6"/>
      <c r="AH710" s="206"/>
      <c r="AJ710" s="213"/>
      <c r="AK710" s="6"/>
      <c r="AL710" s="6"/>
      <c r="AM710" s="6"/>
      <c r="AN710" s="206"/>
      <c r="AP710" s="213"/>
      <c r="AQ710" s="6"/>
      <c r="AR710" s="6"/>
      <c r="AS710" s="6"/>
      <c r="AT710" s="206"/>
      <c r="AV710" s="213"/>
      <c r="AW710" s="6"/>
      <c r="AX710" s="6"/>
      <c r="AY710" s="6"/>
      <c r="AZ710" s="206"/>
    </row>
    <row r="711" spans="4:52" s="2" customFormat="1" ht="17.100000000000001" customHeight="1" x14ac:dyDescent="0.25">
      <c r="D711" s="3"/>
      <c r="E711" s="3"/>
      <c r="F711" s="4"/>
      <c r="G711" s="4"/>
      <c r="H711" s="138"/>
      <c r="I711" s="97"/>
      <c r="J711" s="6"/>
      <c r="K711" s="6"/>
      <c r="L711" s="6"/>
      <c r="M711" s="6"/>
      <c r="N711" s="6"/>
      <c r="O711" s="6"/>
      <c r="P711" s="6"/>
      <c r="Q711" s="6"/>
      <c r="R711" s="6"/>
      <c r="S711" s="6"/>
      <c r="T711" s="6"/>
      <c r="U711" s="6"/>
      <c r="V711" s="339"/>
      <c r="W711" s="339"/>
      <c r="X711" s="6"/>
      <c r="Y711" s="206"/>
      <c r="AE711" s="6"/>
      <c r="AF711" s="6"/>
      <c r="AG711" s="6"/>
      <c r="AH711" s="206"/>
      <c r="AJ711" s="213"/>
      <c r="AK711" s="6"/>
      <c r="AL711" s="6"/>
      <c r="AM711" s="6"/>
      <c r="AN711" s="206"/>
      <c r="AP711" s="213"/>
      <c r="AQ711" s="6"/>
      <c r="AR711" s="6"/>
      <c r="AS711" s="6"/>
      <c r="AT711" s="206"/>
      <c r="AV711" s="213"/>
      <c r="AW711" s="6"/>
      <c r="AX711" s="6"/>
      <c r="AY711" s="6"/>
      <c r="AZ711" s="206"/>
    </row>
    <row r="712" spans="4:52" s="2" customFormat="1" ht="17.100000000000001" customHeight="1" x14ac:dyDescent="0.25">
      <c r="D712" s="3"/>
      <c r="E712" s="3"/>
      <c r="F712" s="4"/>
      <c r="G712" s="4"/>
      <c r="H712" s="138"/>
      <c r="I712" s="97"/>
      <c r="J712" s="6"/>
      <c r="K712" s="6"/>
      <c r="L712" s="6"/>
      <c r="M712" s="6"/>
      <c r="N712" s="6"/>
      <c r="O712" s="6"/>
      <c r="P712" s="6"/>
      <c r="Q712" s="6"/>
      <c r="R712" s="6"/>
      <c r="S712" s="6"/>
      <c r="T712" s="6"/>
      <c r="U712" s="6"/>
      <c r="V712" s="339"/>
      <c r="W712" s="339"/>
      <c r="X712" s="6"/>
      <c r="Y712" s="206"/>
      <c r="AE712" s="6"/>
      <c r="AF712" s="6"/>
      <c r="AG712" s="6"/>
      <c r="AH712" s="206"/>
      <c r="AJ712" s="213"/>
      <c r="AK712" s="6"/>
      <c r="AL712" s="6"/>
      <c r="AM712" s="6"/>
      <c r="AN712" s="206"/>
      <c r="AP712" s="213"/>
      <c r="AQ712" s="6"/>
      <c r="AR712" s="6"/>
      <c r="AS712" s="6"/>
      <c r="AT712" s="206"/>
      <c r="AV712" s="213"/>
      <c r="AW712" s="6"/>
      <c r="AX712" s="6"/>
      <c r="AY712" s="6"/>
      <c r="AZ712" s="206"/>
    </row>
    <row r="713" spans="4:52" s="2" customFormat="1" ht="17.100000000000001" customHeight="1" x14ac:dyDescent="0.25">
      <c r="D713" s="3"/>
      <c r="E713" s="3"/>
      <c r="F713" s="4"/>
      <c r="G713" s="4"/>
      <c r="H713" s="138"/>
      <c r="I713" s="97"/>
      <c r="J713" s="6"/>
      <c r="K713" s="6"/>
      <c r="L713" s="6"/>
      <c r="M713" s="6"/>
      <c r="N713" s="6"/>
      <c r="O713" s="6"/>
      <c r="P713" s="6"/>
      <c r="Q713" s="6"/>
      <c r="R713" s="6"/>
      <c r="S713" s="6"/>
      <c r="T713" s="6"/>
      <c r="U713" s="6"/>
      <c r="V713" s="339"/>
      <c r="W713" s="339"/>
      <c r="X713" s="6"/>
      <c r="Y713" s="206"/>
      <c r="AE713" s="6"/>
      <c r="AF713" s="6"/>
      <c r="AG713" s="6"/>
      <c r="AH713" s="206"/>
      <c r="AJ713" s="213"/>
      <c r="AK713" s="6"/>
      <c r="AL713" s="6"/>
      <c r="AM713" s="6"/>
      <c r="AN713" s="206"/>
      <c r="AP713" s="213"/>
      <c r="AQ713" s="6"/>
      <c r="AR713" s="6"/>
      <c r="AS713" s="6"/>
      <c r="AT713" s="206"/>
      <c r="AV713" s="213"/>
      <c r="AW713" s="6"/>
      <c r="AX713" s="6"/>
      <c r="AY713" s="6"/>
      <c r="AZ713" s="206"/>
    </row>
    <row r="714" spans="4:52" s="2" customFormat="1" ht="17.100000000000001" customHeight="1" x14ac:dyDescent="0.25">
      <c r="D714" s="3"/>
      <c r="E714" s="3"/>
      <c r="F714" s="4"/>
      <c r="G714" s="4"/>
      <c r="H714" s="138"/>
      <c r="I714" s="97"/>
      <c r="J714" s="6"/>
      <c r="K714" s="6"/>
      <c r="L714" s="6"/>
      <c r="M714" s="6"/>
      <c r="N714" s="6"/>
      <c r="O714" s="6"/>
      <c r="P714" s="6"/>
      <c r="Q714" s="6"/>
      <c r="R714" s="6"/>
      <c r="S714" s="6"/>
      <c r="T714" s="6"/>
      <c r="U714" s="6"/>
      <c r="V714" s="339"/>
      <c r="W714" s="339"/>
      <c r="X714" s="6"/>
      <c r="Y714" s="206"/>
      <c r="AE714" s="6"/>
      <c r="AF714" s="6"/>
      <c r="AG714" s="6"/>
      <c r="AH714" s="206"/>
      <c r="AJ714" s="213"/>
      <c r="AK714" s="6"/>
      <c r="AL714" s="6"/>
      <c r="AM714" s="6"/>
      <c r="AN714" s="206"/>
      <c r="AP714" s="213"/>
      <c r="AQ714" s="6"/>
      <c r="AR714" s="6"/>
      <c r="AS714" s="6"/>
      <c r="AT714" s="206"/>
      <c r="AV714" s="213"/>
      <c r="AW714" s="6"/>
      <c r="AX714" s="6"/>
      <c r="AY714" s="6"/>
      <c r="AZ714" s="206"/>
    </row>
    <row r="715" spans="4:52" s="2" customFormat="1" ht="17.100000000000001" customHeight="1" x14ac:dyDescent="0.25">
      <c r="D715" s="3"/>
      <c r="E715" s="3"/>
      <c r="F715" s="4"/>
      <c r="G715" s="4"/>
      <c r="H715" s="138"/>
      <c r="I715" s="97"/>
      <c r="J715" s="6"/>
      <c r="K715" s="6"/>
      <c r="L715" s="6"/>
      <c r="M715" s="6"/>
      <c r="N715" s="6"/>
      <c r="O715" s="6"/>
      <c r="P715" s="6"/>
      <c r="Q715" s="6"/>
      <c r="R715" s="6"/>
      <c r="S715" s="6"/>
      <c r="T715" s="6"/>
      <c r="U715" s="6"/>
      <c r="V715" s="339"/>
      <c r="W715" s="339"/>
      <c r="X715" s="6"/>
      <c r="Y715" s="206"/>
      <c r="AE715" s="6"/>
      <c r="AF715" s="6"/>
      <c r="AG715" s="6"/>
      <c r="AH715" s="206"/>
      <c r="AJ715" s="213"/>
      <c r="AK715" s="6"/>
      <c r="AL715" s="6"/>
      <c r="AM715" s="6"/>
      <c r="AN715" s="206"/>
      <c r="AP715" s="213"/>
      <c r="AQ715" s="6"/>
      <c r="AR715" s="6"/>
      <c r="AS715" s="6"/>
      <c r="AT715" s="206"/>
      <c r="AV715" s="213"/>
      <c r="AW715" s="6"/>
      <c r="AX715" s="6"/>
      <c r="AY715" s="6"/>
      <c r="AZ715" s="206"/>
    </row>
    <row r="716" spans="4:52" s="2" customFormat="1" ht="17.100000000000001" customHeight="1" x14ac:dyDescent="0.25">
      <c r="D716" s="3"/>
      <c r="E716" s="3"/>
      <c r="F716" s="4"/>
      <c r="G716" s="4"/>
      <c r="H716" s="138"/>
      <c r="I716" s="97"/>
      <c r="J716" s="6"/>
      <c r="K716" s="6"/>
      <c r="L716" s="6"/>
      <c r="M716" s="6"/>
      <c r="N716" s="6"/>
      <c r="O716" s="6"/>
      <c r="P716" s="6"/>
      <c r="Q716" s="6"/>
      <c r="R716" s="6"/>
      <c r="S716" s="6"/>
      <c r="T716" s="6"/>
      <c r="U716" s="6"/>
      <c r="V716" s="339"/>
      <c r="W716" s="339"/>
      <c r="X716" s="6"/>
      <c r="Y716" s="206"/>
      <c r="AE716" s="6"/>
      <c r="AF716" s="6"/>
      <c r="AG716" s="6"/>
      <c r="AH716" s="206"/>
      <c r="AJ716" s="213"/>
      <c r="AK716" s="6"/>
      <c r="AL716" s="6"/>
      <c r="AM716" s="6"/>
      <c r="AN716" s="206"/>
      <c r="AP716" s="213"/>
      <c r="AQ716" s="6"/>
      <c r="AR716" s="6"/>
      <c r="AS716" s="6"/>
      <c r="AT716" s="206"/>
      <c r="AV716" s="213"/>
      <c r="AW716" s="6"/>
      <c r="AX716" s="6"/>
      <c r="AY716" s="6"/>
      <c r="AZ716" s="206"/>
    </row>
    <row r="717" spans="4:52" s="2" customFormat="1" ht="17.100000000000001" customHeight="1" x14ac:dyDescent="0.25">
      <c r="D717" s="3"/>
      <c r="E717" s="3"/>
      <c r="F717" s="4"/>
      <c r="G717" s="4"/>
      <c r="H717" s="138"/>
      <c r="I717" s="97"/>
      <c r="J717" s="6"/>
      <c r="K717" s="6"/>
      <c r="L717" s="6"/>
      <c r="M717" s="6"/>
      <c r="N717" s="6"/>
      <c r="O717" s="6"/>
      <c r="P717" s="6"/>
      <c r="Q717" s="6"/>
      <c r="R717" s="6"/>
      <c r="S717" s="6"/>
      <c r="T717" s="6"/>
      <c r="U717" s="6"/>
      <c r="V717" s="339"/>
      <c r="W717" s="339"/>
      <c r="X717" s="6"/>
      <c r="Y717" s="206"/>
      <c r="AE717" s="6"/>
      <c r="AF717" s="6"/>
      <c r="AG717" s="6"/>
      <c r="AH717" s="206"/>
      <c r="AJ717" s="213"/>
      <c r="AK717" s="6"/>
      <c r="AL717" s="6"/>
      <c r="AM717" s="6"/>
      <c r="AN717" s="206"/>
      <c r="AP717" s="213"/>
      <c r="AQ717" s="6"/>
      <c r="AR717" s="6"/>
      <c r="AS717" s="6"/>
      <c r="AT717" s="206"/>
      <c r="AV717" s="213"/>
      <c r="AW717" s="6"/>
      <c r="AX717" s="6"/>
      <c r="AY717" s="6"/>
      <c r="AZ717" s="206"/>
    </row>
    <row r="718" spans="4:52" s="2" customFormat="1" ht="17.100000000000001" customHeight="1" x14ac:dyDescent="0.25">
      <c r="D718" s="3"/>
      <c r="E718" s="3"/>
      <c r="F718" s="4"/>
      <c r="G718" s="4"/>
      <c r="H718" s="138"/>
      <c r="I718" s="97"/>
      <c r="J718" s="6"/>
      <c r="K718" s="6"/>
      <c r="L718" s="6"/>
      <c r="M718" s="6"/>
      <c r="N718" s="6"/>
      <c r="O718" s="6"/>
      <c r="P718" s="6"/>
      <c r="Q718" s="6"/>
      <c r="R718" s="6"/>
      <c r="S718" s="6"/>
      <c r="T718" s="6"/>
      <c r="U718" s="6"/>
      <c r="V718" s="339"/>
      <c r="W718" s="339"/>
      <c r="X718" s="6"/>
      <c r="Y718" s="206"/>
      <c r="AE718" s="6"/>
      <c r="AF718" s="6"/>
      <c r="AG718" s="6"/>
      <c r="AH718" s="206"/>
      <c r="AJ718" s="213"/>
      <c r="AK718" s="6"/>
      <c r="AL718" s="6"/>
      <c r="AM718" s="6"/>
      <c r="AN718" s="206"/>
      <c r="AP718" s="213"/>
      <c r="AQ718" s="6"/>
      <c r="AR718" s="6"/>
      <c r="AS718" s="6"/>
      <c r="AT718" s="206"/>
      <c r="AV718" s="213"/>
      <c r="AW718" s="6"/>
      <c r="AX718" s="6"/>
      <c r="AY718" s="6"/>
      <c r="AZ718" s="206"/>
    </row>
    <row r="719" spans="4:52" s="2" customFormat="1" ht="17.100000000000001" customHeight="1" x14ac:dyDescent="0.25">
      <c r="D719" s="3"/>
      <c r="E719" s="3"/>
      <c r="F719" s="4"/>
      <c r="G719" s="4"/>
      <c r="H719" s="138"/>
      <c r="I719" s="97"/>
      <c r="J719" s="6"/>
      <c r="K719" s="6"/>
      <c r="L719" s="6"/>
      <c r="M719" s="6"/>
      <c r="N719" s="6"/>
      <c r="O719" s="6"/>
      <c r="P719" s="6"/>
      <c r="Q719" s="6"/>
      <c r="R719" s="6"/>
      <c r="S719" s="6"/>
      <c r="T719" s="6"/>
      <c r="U719" s="6"/>
      <c r="V719" s="339"/>
      <c r="W719" s="339"/>
      <c r="X719" s="6"/>
      <c r="Y719" s="206"/>
      <c r="AE719" s="6"/>
      <c r="AF719" s="6"/>
      <c r="AG719" s="6"/>
      <c r="AH719" s="206"/>
      <c r="AJ719" s="213"/>
      <c r="AK719" s="6"/>
      <c r="AL719" s="6"/>
      <c r="AM719" s="6"/>
      <c r="AN719" s="206"/>
      <c r="AP719" s="213"/>
      <c r="AQ719" s="6"/>
      <c r="AR719" s="6"/>
      <c r="AS719" s="6"/>
      <c r="AT719" s="206"/>
      <c r="AV719" s="213"/>
      <c r="AW719" s="6"/>
      <c r="AX719" s="6"/>
      <c r="AY719" s="6"/>
      <c r="AZ719" s="206"/>
    </row>
    <row r="720" spans="4:52" s="2" customFormat="1" ht="17.100000000000001" customHeight="1" x14ac:dyDescent="0.25">
      <c r="D720" s="3"/>
      <c r="E720" s="3"/>
      <c r="F720" s="4"/>
      <c r="G720" s="4"/>
      <c r="H720" s="138"/>
      <c r="I720" s="97"/>
      <c r="J720" s="6"/>
      <c r="K720" s="6"/>
      <c r="L720" s="6"/>
      <c r="M720" s="6"/>
      <c r="N720" s="6"/>
      <c r="O720" s="6"/>
      <c r="P720" s="6"/>
      <c r="Q720" s="6"/>
      <c r="R720" s="6"/>
      <c r="S720" s="6"/>
      <c r="T720" s="6"/>
      <c r="U720" s="6"/>
      <c r="V720" s="339"/>
      <c r="W720" s="339"/>
      <c r="X720" s="6"/>
      <c r="Y720" s="206"/>
      <c r="AE720" s="6"/>
      <c r="AF720" s="6"/>
      <c r="AG720" s="6"/>
      <c r="AH720" s="206"/>
      <c r="AJ720" s="213"/>
      <c r="AK720" s="6"/>
      <c r="AL720" s="6"/>
      <c r="AM720" s="6"/>
      <c r="AN720" s="206"/>
      <c r="AP720" s="213"/>
      <c r="AQ720" s="6"/>
      <c r="AR720" s="6"/>
      <c r="AS720" s="6"/>
      <c r="AT720" s="206"/>
      <c r="AV720" s="213"/>
      <c r="AW720" s="6"/>
      <c r="AX720" s="6"/>
      <c r="AY720" s="6"/>
      <c r="AZ720" s="206"/>
    </row>
    <row r="721" spans="4:52" s="2" customFormat="1" ht="17.100000000000001" customHeight="1" x14ac:dyDescent="0.25">
      <c r="D721" s="3"/>
      <c r="E721" s="3"/>
      <c r="F721" s="4"/>
      <c r="G721" s="4"/>
      <c r="H721" s="138"/>
      <c r="I721" s="97"/>
      <c r="J721" s="6"/>
      <c r="K721" s="6"/>
      <c r="L721" s="6"/>
      <c r="M721" s="6"/>
      <c r="N721" s="6"/>
      <c r="O721" s="6"/>
      <c r="P721" s="6"/>
      <c r="Q721" s="6"/>
      <c r="R721" s="6"/>
      <c r="S721" s="6"/>
      <c r="T721" s="6"/>
      <c r="U721" s="6"/>
      <c r="V721" s="339"/>
      <c r="W721" s="339"/>
      <c r="X721" s="6"/>
      <c r="Y721" s="206"/>
      <c r="AE721" s="6"/>
      <c r="AF721" s="6"/>
      <c r="AG721" s="6"/>
      <c r="AH721" s="206"/>
      <c r="AJ721" s="213"/>
      <c r="AK721" s="6"/>
      <c r="AL721" s="6"/>
      <c r="AM721" s="6"/>
      <c r="AN721" s="206"/>
      <c r="AP721" s="213"/>
      <c r="AQ721" s="6"/>
      <c r="AR721" s="6"/>
      <c r="AS721" s="6"/>
      <c r="AT721" s="206"/>
      <c r="AV721" s="213"/>
      <c r="AW721" s="6"/>
      <c r="AX721" s="6"/>
      <c r="AY721" s="6"/>
      <c r="AZ721" s="206"/>
    </row>
    <row r="722" spans="4:52" s="2" customFormat="1" ht="17.100000000000001" customHeight="1" x14ac:dyDescent="0.25">
      <c r="D722" s="3"/>
      <c r="E722" s="3"/>
      <c r="F722" s="4"/>
      <c r="G722" s="4"/>
      <c r="H722" s="138"/>
      <c r="I722" s="97"/>
      <c r="J722" s="6"/>
      <c r="K722" s="6"/>
      <c r="L722" s="6"/>
      <c r="M722" s="6"/>
      <c r="N722" s="6"/>
      <c r="O722" s="6"/>
      <c r="P722" s="6"/>
      <c r="Q722" s="6"/>
      <c r="R722" s="6"/>
      <c r="S722" s="6"/>
      <c r="T722" s="6"/>
      <c r="U722" s="6"/>
      <c r="V722" s="339"/>
      <c r="W722" s="339"/>
      <c r="X722" s="6"/>
      <c r="Y722" s="206"/>
      <c r="AE722" s="6"/>
      <c r="AF722" s="6"/>
      <c r="AG722" s="6"/>
      <c r="AH722" s="206"/>
      <c r="AJ722" s="213"/>
      <c r="AK722" s="6"/>
      <c r="AL722" s="6"/>
      <c r="AM722" s="6"/>
      <c r="AN722" s="206"/>
      <c r="AP722" s="213"/>
      <c r="AQ722" s="6"/>
      <c r="AR722" s="6"/>
      <c r="AS722" s="6"/>
      <c r="AT722" s="206"/>
      <c r="AV722" s="213"/>
      <c r="AW722" s="6"/>
      <c r="AX722" s="6"/>
      <c r="AY722" s="6"/>
      <c r="AZ722" s="206"/>
    </row>
    <row r="723" spans="4:52" s="2" customFormat="1" ht="17.100000000000001" customHeight="1" x14ac:dyDescent="0.25">
      <c r="D723" s="3"/>
      <c r="E723" s="3"/>
      <c r="F723" s="4"/>
      <c r="G723" s="4"/>
      <c r="H723" s="138"/>
      <c r="I723" s="97"/>
      <c r="J723" s="6"/>
      <c r="K723" s="6"/>
      <c r="L723" s="6"/>
      <c r="M723" s="6"/>
      <c r="N723" s="6"/>
      <c r="O723" s="6"/>
      <c r="P723" s="6"/>
      <c r="Q723" s="6"/>
      <c r="R723" s="6"/>
      <c r="S723" s="6"/>
      <c r="T723" s="6"/>
      <c r="U723" s="6"/>
      <c r="V723" s="339"/>
      <c r="W723" s="339"/>
      <c r="X723" s="6"/>
      <c r="Y723" s="206"/>
      <c r="AE723" s="6"/>
      <c r="AF723" s="6"/>
      <c r="AG723" s="6"/>
      <c r="AH723" s="206"/>
      <c r="AJ723" s="213"/>
      <c r="AK723" s="6"/>
      <c r="AL723" s="6"/>
      <c r="AM723" s="6"/>
      <c r="AN723" s="206"/>
      <c r="AP723" s="213"/>
      <c r="AQ723" s="6"/>
      <c r="AR723" s="6"/>
      <c r="AS723" s="6"/>
      <c r="AT723" s="206"/>
      <c r="AV723" s="213"/>
      <c r="AW723" s="6"/>
      <c r="AX723" s="6"/>
      <c r="AY723" s="6"/>
      <c r="AZ723" s="206"/>
    </row>
    <row r="724" spans="4:52" s="2" customFormat="1" ht="17.100000000000001" customHeight="1" x14ac:dyDescent="0.25">
      <c r="D724" s="3"/>
      <c r="E724" s="3"/>
      <c r="F724" s="4"/>
      <c r="G724" s="4"/>
      <c r="H724" s="138"/>
      <c r="I724" s="97"/>
      <c r="J724" s="6"/>
      <c r="K724" s="6"/>
      <c r="L724" s="6"/>
      <c r="M724" s="6"/>
      <c r="N724" s="6"/>
      <c r="O724" s="6"/>
      <c r="P724" s="6"/>
      <c r="Q724" s="6"/>
      <c r="R724" s="6"/>
      <c r="S724" s="6"/>
      <c r="T724" s="6"/>
      <c r="U724" s="6"/>
      <c r="V724" s="339"/>
      <c r="W724" s="339"/>
      <c r="X724" s="6"/>
      <c r="Y724" s="206"/>
      <c r="AE724" s="6"/>
      <c r="AF724" s="6"/>
      <c r="AG724" s="6"/>
      <c r="AH724" s="206"/>
      <c r="AJ724" s="213"/>
      <c r="AK724" s="6"/>
      <c r="AL724" s="6"/>
      <c r="AM724" s="6"/>
      <c r="AN724" s="206"/>
      <c r="AP724" s="213"/>
      <c r="AQ724" s="6"/>
      <c r="AR724" s="6"/>
      <c r="AS724" s="6"/>
      <c r="AT724" s="206"/>
      <c r="AV724" s="213"/>
      <c r="AW724" s="6"/>
      <c r="AX724" s="6"/>
      <c r="AY724" s="6"/>
      <c r="AZ724" s="206"/>
    </row>
    <row r="725" spans="4:52" s="2" customFormat="1" ht="17.100000000000001" customHeight="1" x14ac:dyDescent="0.25">
      <c r="D725" s="3"/>
      <c r="E725" s="3"/>
      <c r="F725" s="4"/>
      <c r="G725" s="4"/>
      <c r="H725" s="138"/>
      <c r="I725" s="97"/>
      <c r="J725" s="6"/>
      <c r="K725" s="6"/>
      <c r="L725" s="6"/>
      <c r="M725" s="6"/>
      <c r="N725" s="6"/>
      <c r="O725" s="6"/>
      <c r="P725" s="6"/>
      <c r="Q725" s="6"/>
      <c r="R725" s="6"/>
      <c r="S725" s="6"/>
      <c r="T725" s="6"/>
      <c r="U725" s="6"/>
      <c r="V725" s="339"/>
      <c r="W725" s="339"/>
      <c r="X725" s="6"/>
      <c r="Y725" s="206"/>
      <c r="AE725" s="6"/>
      <c r="AF725" s="6"/>
      <c r="AG725" s="6"/>
      <c r="AH725" s="206"/>
      <c r="AJ725" s="213"/>
      <c r="AK725" s="6"/>
      <c r="AL725" s="6"/>
      <c r="AM725" s="6"/>
      <c r="AN725" s="206"/>
      <c r="AP725" s="213"/>
      <c r="AQ725" s="6"/>
      <c r="AR725" s="6"/>
      <c r="AS725" s="6"/>
      <c r="AT725" s="206"/>
      <c r="AV725" s="213"/>
      <c r="AW725" s="6"/>
      <c r="AX725" s="6"/>
      <c r="AY725" s="6"/>
      <c r="AZ725" s="206"/>
    </row>
    <row r="726" spans="4:52" s="2" customFormat="1" ht="17.100000000000001" customHeight="1" x14ac:dyDescent="0.25">
      <c r="D726" s="3"/>
      <c r="E726" s="3"/>
      <c r="F726" s="4"/>
      <c r="G726" s="4"/>
      <c r="H726" s="138"/>
      <c r="I726" s="97"/>
      <c r="J726" s="6"/>
      <c r="K726" s="6"/>
      <c r="L726" s="6"/>
      <c r="M726" s="6"/>
      <c r="N726" s="6"/>
      <c r="O726" s="6"/>
      <c r="P726" s="6"/>
      <c r="Q726" s="6"/>
      <c r="R726" s="6"/>
      <c r="S726" s="6"/>
      <c r="T726" s="6"/>
      <c r="U726" s="6"/>
      <c r="V726" s="339"/>
      <c r="W726" s="339"/>
      <c r="X726" s="6"/>
      <c r="Y726" s="206"/>
      <c r="AE726" s="6"/>
      <c r="AF726" s="6"/>
      <c r="AG726" s="6"/>
      <c r="AH726" s="206"/>
      <c r="AJ726" s="213"/>
      <c r="AK726" s="6"/>
      <c r="AL726" s="6"/>
      <c r="AM726" s="6"/>
      <c r="AN726" s="206"/>
      <c r="AP726" s="213"/>
      <c r="AQ726" s="6"/>
      <c r="AR726" s="6"/>
      <c r="AS726" s="6"/>
      <c r="AT726" s="206"/>
      <c r="AV726" s="213"/>
      <c r="AW726" s="6"/>
      <c r="AX726" s="6"/>
      <c r="AY726" s="6"/>
      <c r="AZ726" s="206"/>
    </row>
    <row r="727" spans="4:52" s="2" customFormat="1" ht="17.100000000000001" customHeight="1" x14ac:dyDescent="0.25">
      <c r="D727" s="3"/>
      <c r="E727" s="3"/>
      <c r="F727" s="4"/>
      <c r="G727" s="4"/>
      <c r="H727" s="138"/>
      <c r="I727" s="97"/>
      <c r="J727" s="6"/>
      <c r="K727" s="6"/>
      <c r="L727" s="6"/>
      <c r="M727" s="6"/>
      <c r="N727" s="6"/>
      <c r="O727" s="6"/>
      <c r="P727" s="6"/>
      <c r="Q727" s="6"/>
      <c r="R727" s="6"/>
      <c r="S727" s="6"/>
      <c r="T727" s="6"/>
      <c r="U727" s="6"/>
      <c r="V727" s="339"/>
      <c r="W727" s="339"/>
      <c r="X727" s="6"/>
      <c r="Y727" s="206"/>
      <c r="AE727" s="6"/>
      <c r="AF727" s="6"/>
      <c r="AG727" s="6"/>
      <c r="AH727" s="206"/>
      <c r="AJ727" s="213"/>
      <c r="AK727" s="6"/>
      <c r="AL727" s="6"/>
      <c r="AM727" s="6"/>
      <c r="AN727" s="206"/>
      <c r="AP727" s="213"/>
      <c r="AQ727" s="6"/>
      <c r="AR727" s="6"/>
      <c r="AS727" s="6"/>
      <c r="AT727" s="206"/>
      <c r="AV727" s="213"/>
      <c r="AW727" s="6"/>
      <c r="AX727" s="6"/>
      <c r="AY727" s="6"/>
      <c r="AZ727" s="206"/>
    </row>
    <row r="728" spans="4:52" s="2" customFormat="1" ht="17.100000000000001" customHeight="1" x14ac:dyDescent="0.25">
      <c r="D728" s="3"/>
      <c r="E728" s="3"/>
      <c r="F728" s="4"/>
      <c r="G728" s="4"/>
      <c r="H728" s="138"/>
      <c r="I728" s="97"/>
      <c r="J728" s="6"/>
      <c r="K728" s="6"/>
      <c r="L728" s="6"/>
      <c r="M728" s="6"/>
      <c r="N728" s="6"/>
      <c r="O728" s="6"/>
      <c r="P728" s="6"/>
      <c r="Q728" s="6"/>
      <c r="R728" s="6"/>
      <c r="S728" s="6"/>
      <c r="T728" s="6"/>
      <c r="U728" s="6"/>
      <c r="V728" s="339"/>
      <c r="W728" s="339"/>
      <c r="X728" s="6"/>
      <c r="Y728" s="206"/>
      <c r="AE728" s="6"/>
      <c r="AF728" s="6"/>
      <c r="AG728" s="6"/>
      <c r="AH728" s="206"/>
      <c r="AJ728" s="213"/>
      <c r="AK728" s="6"/>
      <c r="AL728" s="6"/>
      <c r="AM728" s="6"/>
      <c r="AN728" s="206"/>
      <c r="AP728" s="213"/>
      <c r="AQ728" s="6"/>
      <c r="AR728" s="6"/>
      <c r="AS728" s="6"/>
      <c r="AT728" s="206"/>
      <c r="AV728" s="213"/>
      <c r="AW728" s="6"/>
      <c r="AX728" s="6"/>
      <c r="AY728" s="6"/>
      <c r="AZ728" s="206"/>
    </row>
    <row r="729" spans="4:52" s="2" customFormat="1" ht="17.100000000000001" customHeight="1" x14ac:dyDescent="0.25">
      <c r="D729" s="3"/>
      <c r="E729" s="3"/>
      <c r="F729" s="4"/>
      <c r="G729" s="4"/>
      <c r="H729" s="138"/>
      <c r="I729" s="97"/>
      <c r="J729" s="6"/>
      <c r="K729" s="6"/>
      <c r="L729" s="6"/>
      <c r="M729" s="6"/>
      <c r="N729" s="6"/>
      <c r="O729" s="6"/>
      <c r="P729" s="6"/>
      <c r="Q729" s="6"/>
      <c r="R729" s="6"/>
      <c r="S729" s="6"/>
      <c r="T729" s="6"/>
      <c r="U729" s="6"/>
      <c r="V729" s="339"/>
      <c r="W729" s="339"/>
      <c r="X729" s="6"/>
      <c r="Y729" s="206"/>
      <c r="AE729" s="6"/>
      <c r="AF729" s="6"/>
      <c r="AG729" s="6"/>
      <c r="AH729" s="206"/>
      <c r="AJ729" s="213"/>
      <c r="AK729" s="6"/>
      <c r="AL729" s="6"/>
      <c r="AM729" s="6"/>
      <c r="AN729" s="206"/>
      <c r="AP729" s="213"/>
      <c r="AQ729" s="6"/>
      <c r="AR729" s="6"/>
      <c r="AS729" s="6"/>
      <c r="AT729" s="206"/>
      <c r="AV729" s="213"/>
      <c r="AW729" s="6"/>
      <c r="AX729" s="6"/>
      <c r="AY729" s="6"/>
      <c r="AZ729" s="206"/>
    </row>
    <row r="730" spans="4:52" s="2" customFormat="1" ht="17.100000000000001" customHeight="1" x14ac:dyDescent="0.25">
      <c r="D730" s="3"/>
      <c r="E730" s="3"/>
      <c r="F730" s="4"/>
      <c r="G730" s="4"/>
      <c r="H730" s="138"/>
      <c r="I730" s="97"/>
      <c r="J730" s="6"/>
      <c r="K730" s="6"/>
      <c r="L730" s="6"/>
      <c r="M730" s="6"/>
      <c r="N730" s="6"/>
      <c r="O730" s="6"/>
      <c r="P730" s="6"/>
      <c r="Q730" s="6"/>
      <c r="R730" s="6"/>
      <c r="S730" s="6"/>
      <c r="T730" s="6"/>
      <c r="U730" s="6"/>
      <c r="V730" s="339"/>
      <c r="W730" s="339"/>
      <c r="X730" s="6"/>
      <c r="Y730" s="206"/>
      <c r="AE730" s="6"/>
      <c r="AF730" s="6"/>
      <c r="AG730" s="6"/>
      <c r="AH730" s="206"/>
      <c r="AJ730" s="213"/>
      <c r="AK730" s="6"/>
      <c r="AL730" s="6"/>
      <c r="AM730" s="6"/>
      <c r="AN730" s="206"/>
      <c r="AP730" s="213"/>
      <c r="AQ730" s="6"/>
      <c r="AR730" s="6"/>
      <c r="AS730" s="6"/>
      <c r="AT730" s="206"/>
      <c r="AV730" s="213"/>
      <c r="AW730" s="6"/>
      <c r="AX730" s="6"/>
      <c r="AY730" s="6"/>
      <c r="AZ730" s="206"/>
    </row>
    <row r="731" spans="4:52" s="2" customFormat="1" ht="17.100000000000001" customHeight="1" x14ac:dyDescent="0.25">
      <c r="D731" s="3"/>
      <c r="E731" s="3"/>
      <c r="F731" s="4"/>
      <c r="G731" s="4"/>
      <c r="H731" s="138"/>
      <c r="I731" s="97"/>
      <c r="J731" s="6"/>
      <c r="K731" s="6"/>
      <c r="L731" s="6"/>
      <c r="M731" s="6"/>
      <c r="N731" s="6"/>
      <c r="O731" s="6"/>
      <c r="P731" s="6"/>
      <c r="Q731" s="6"/>
      <c r="R731" s="6"/>
      <c r="S731" s="6"/>
      <c r="T731" s="6"/>
      <c r="U731" s="6"/>
      <c r="V731" s="339"/>
      <c r="W731" s="339"/>
      <c r="X731" s="6"/>
      <c r="Y731" s="206"/>
      <c r="AE731" s="6"/>
      <c r="AF731" s="6"/>
      <c r="AG731" s="6"/>
      <c r="AH731" s="206"/>
      <c r="AJ731" s="213"/>
      <c r="AK731" s="6"/>
      <c r="AL731" s="6"/>
      <c r="AM731" s="6"/>
      <c r="AN731" s="206"/>
      <c r="AP731" s="213"/>
      <c r="AQ731" s="6"/>
      <c r="AR731" s="6"/>
      <c r="AS731" s="6"/>
      <c r="AT731" s="206"/>
      <c r="AV731" s="213"/>
      <c r="AW731" s="6"/>
      <c r="AX731" s="6"/>
      <c r="AY731" s="6"/>
      <c r="AZ731" s="206"/>
    </row>
    <row r="732" spans="4:52" s="2" customFormat="1" ht="17.100000000000001" customHeight="1" x14ac:dyDescent="0.25">
      <c r="D732" s="3"/>
      <c r="E732" s="3"/>
      <c r="F732" s="4"/>
      <c r="G732" s="4"/>
      <c r="H732" s="138"/>
      <c r="I732" s="97"/>
      <c r="J732" s="6"/>
      <c r="K732" s="6"/>
      <c r="L732" s="6"/>
      <c r="M732" s="6"/>
      <c r="N732" s="6"/>
      <c r="O732" s="6"/>
      <c r="P732" s="6"/>
      <c r="Q732" s="6"/>
      <c r="R732" s="6"/>
      <c r="S732" s="6"/>
      <c r="T732" s="6"/>
      <c r="U732" s="6"/>
      <c r="V732" s="339"/>
      <c r="W732" s="339"/>
      <c r="X732" s="6"/>
      <c r="Y732" s="206"/>
      <c r="AE732" s="6"/>
      <c r="AF732" s="6"/>
      <c r="AG732" s="6"/>
      <c r="AH732" s="206"/>
      <c r="AJ732" s="213"/>
      <c r="AK732" s="6"/>
      <c r="AL732" s="6"/>
      <c r="AM732" s="6"/>
      <c r="AN732" s="206"/>
      <c r="AP732" s="213"/>
      <c r="AQ732" s="6"/>
      <c r="AR732" s="6"/>
      <c r="AS732" s="6"/>
      <c r="AT732" s="206"/>
      <c r="AV732" s="213"/>
      <c r="AW732" s="6"/>
      <c r="AX732" s="6"/>
      <c r="AY732" s="6"/>
      <c r="AZ732" s="206"/>
    </row>
    <row r="733" spans="4:52" s="2" customFormat="1" ht="17.100000000000001" customHeight="1" x14ac:dyDescent="0.25">
      <c r="D733" s="3"/>
      <c r="E733" s="3"/>
      <c r="F733" s="4"/>
      <c r="G733" s="4"/>
      <c r="H733" s="138"/>
      <c r="I733" s="97"/>
      <c r="J733" s="6"/>
      <c r="K733" s="6"/>
      <c r="L733" s="6"/>
      <c r="M733" s="6"/>
      <c r="N733" s="6"/>
      <c r="O733" s="6"/>
      <c r="P733" s="6"/>
      <c r="Q733" s="6"/>
      <c r="R733" s="6"/>
      <c r="S733" s="6"/>
      <c r="T733" s="6"/>
      <c r="U733" s="6"/>
      <c r="V733" s="339"/>
      <c r="W733" s="339"/>
      <c r="X733" s="6"/>
      <c r="Y733" s="206"/>
      <c r="AE733" s="6"/>
      <c r="AF733" s="6"/>
      <c r="AG733" s="6"/>
      <c r="AH733" s="206"/>
      <c r="AJ733" s="213"/>
      <c r="AK733" s="6"/>
      <c r="AL733" s="6"/>
      <c r="AM733" s="6"/>
      <c r="AN733" s="206"/>
      <c r="AP733" s="213"/>
      <c r="AQ733" s="6"/>
      <c r="AR733" s="6"/>
      <c r="AS733" s="6"/>
      <c r="AT733" s="206"/>
      <c r="AV733" s="213"/>
      <c r="AW733" s="6"/>
      <c r="AX733" s="6"/>
      <c r="AY733" s="6"/>
      <c r="AZ733" s="206"/>
    </row>
    <row r="734" spans="4:52" s="2" customFormat="1" ht="17.100000000000001" customHeight="1" x14ac:dyDescent="0.25">
      <c r="D734" s="3"/>
      <c r="E734" s="3"/>
      <c r="F734" s="4"/>
      <c r="G734" s="4"/>
      <c r="H734" s="138"/>
      <c r="I734" s="97"/>
      <c r="J734" s="6"/>
      <c r="K734" s="6"/>
      <c r="L734" s="6"/>
      <c r="M734" s="6"/>
      <c r="N734" s="6"/>
      <c r="O734" s="6"/>
      <c r="P734" s="6"/>
      <c r="Q734" s="6"/>
      <c r="R734" s="6"/>
      <c r="S734" s="6"/>
      <c r="T734" s="6"/>
      <c r="U734" s="6"/>
      <c r="V734" s="339"/>
      <c r="W734" s="339"/>
      <c r="X734" s="6"/>
      <c r="Y734" s="206"/>
      <c r="AE734" s="6"/>
      <c r="AF734" s="6"/>
      <c r="AG734" s="6"/>
      <c r="AH734" s="206"/>
      <c r="AJ734" s="213"/>
      <c r="AK734" s="6"/>
      <c r="AL734" s="6"/>
      <c r="AM734" s="6"/>
      <c r="AN734" s="206"/>
      <c r="AP734" s="213"/>
      <c r="AQ734" s="6"/>
      <c r="AR734" s="6"/>
      <c r="AS734" s="6"/>
      <c r="AT734" s="206"/>
      <c r="AV734" s="213"/>
      <c r="AW734" s="6"/>
      <c r="AX734" s="6"/>
      <c r="AY734" s="6"/>
      <c r="AZ734" s="206"/>
    </row>
    <row r="735" spans="4:52" s="2" customFormat="1" ht="17.100000000000001" customHeight="1" x14ac:dyDescent="0.25">
      <c r="D735" s="3"/>
      <c r="E735" s="3"/>
      <c r="F735" s="4"/>
      <c r="G735" s="4"/>
      <c r="H735" s="138"/>
      <c r="I735" s="97"/>
      <c r="J735" s="6"/>
      <c r="K735" s="6"/>
      <c r="L735" s="6"/>
      <c r="M735" s="6"/>
      <c r="N735" s="6"/>
      <c r="O735" s="6"/>
      <c r="P735" s="6"/>
      <c r="Q735" s="6"/>
      <c r="R735" s="6"/>
      <c r="S735" s="6"/>
      <c r="T735" s="6"/>
      <c r="U735" s="6"/>
      <c r="V735" s="339"/>
      <c r="W735" s="339"/>
      <c r="X735" s="6"/>
      <c r="Y735" s="206"/>
      <c r="AE735" s="6"/>
      <c r="AF735" s="6"/>
      <c r="AG735" s="6"/>
      <c r="AH735" s="206"/>
      <c r="AJ735" s="213"/>
      <c r="AK735" s="6"/>
      <c r="AL735" s="6"/>
      <c r="AM735" s="6"/>
      <c r="AN735" s="206"/>
      <c r="AP735" s="213"/>
      <c r="AQ735" s="6"/>
      <c r="AR735" s="6"/>
      <c r="AS735" s="6"/>
      <c r="AT735" s="206"/>
      <c r="AV735" s="213"/>
      <c r="AW735" s="6"/>
      <c r="AX735" s="6"/>
      <c r="AY735" s="6"/>
      <c r="AZ735" s="206"/>
    </row>
    <row r="736" spans="4:52" s="2" customFormat="1" ht="17.100000000000001" customHeight="1" x14ac:dyDescent="0.25">
      <c r="D736" s="3"/>
      <c r="E736" s="3"/>
      <c r="F736" s="4"/>
      <c r="G736" s="4"/>
      <c r="H736" s="138"/>
      <c r="I736" s="97"/>
      <c r="J736" s="6"/>
      <c r="K736" s="6"/>
      <c r="L736" s="6"/>
      <c r="M736" s="6"/>
      <c r="N736" s="6"/>
      <c r="O736" s="6"/>
      <c r="P736" s="6"/>
      <c r="Q736" s="6"/>
      <c r="R736" s="6"/>
      <c r="S736" s="6"/>
      <c r="T736" s="6"/>
      <c r="U736" s="6"/>
      <c r="V736" s="339"/>
      <c r="W736" s="339"/>
      <c r="X736" s="6"/>
      <c r="Y736" s="206"/>
      <c r="AE736" s="6"/>
      <c r="AF736" s="6"/>
      <c r="AG736" s="6"/>
      <c r="AH736" s="206"/>
      <c r="AJ736" s="213"/>
      <c r="AK736" s="6"/>
      <c r="AL736" s="6"/>
      <c r="AM736" s="6"/>
      <c r="AN736" s="206"/>
      <c r="AP736" s="213"/>
      <c r="AQ736" s="6"/>
      <c r="AR736" s="6"/>
      <c r="AS736" s="6"/>
      <c r="AT736" s="206"/>
      <c r="AV736" s="213"/>
      <c r="AW736" s="6"/>
      <c r="AX736" s="6"/>
      <c r="AY736" s="6"/>
      <c r="AZ736" s="206"/>
    </row>
    <row r="737" spans="4:52" s="2" customFormat="1" ht="17.100000000000001" customHeight="1" x14ac:dyDescent="0.25">
      <c r="D737" s="3"/>
      <c r="E737" s="3"/>
      <c r="F737" s="4"/>
      <c r="G737" s="4"/>
      <c r="H737" s="138"/>
      <c r="I737" s="97"/>
      <c r="J737" s="6"/>
      <c r="K737" s="6"/>
      <c r="L737" s="6"/>
      <c r="M737" s="6"/>
      <c r="N737" s="6"/>
      <c r="O737" s="6"/>
      <c r="P737" s="6"/>
      <c r="Q737" s="6"/>
      <c r="R737" s="6"/>
      <c r="S737" s="6"/>
      <c r="T737" s="6"/>
      <c r="U737" s="6"/>
      <c r="V737" s="339"/>
      <c r="W737" s="339"/>
      <c r="X737" s="6"/>
      <c r="Y737" s="206"/>
      <c r="AE737" s="6"/>
      <c r="AF737" s="6"/>
      <c r="AG737" s="6"/>
      <c r="AH737" s="206"/>
      <c r="AJ737" s="213"/>
      <c r="AK737" s="6"/>
      <c r="AL737" s="6"/>
      <c r="AM737" s="6"/>
      <c r="AN737" s="206"/>
      <c r="AP737" s="213"/>
      <c r="AQ737" s="6"/>
      <c r="AR737" s="6"/>
      <c r="AS737" s="6"/>
      <c r="AT737" s="206"/>
      <c r="AV737" s="213"/>
      <c r="AW737" s="6"/>
      <c r="AX737" s="6"/>
      <c r="AY737" s="6"/>
      <c r="AZ737" s="206"/>
    </row>
    <row r="738" spans="4:52" s="2" customFormat="1" ht="17.100000000000001" customHeight="1" x14ac:dyDescent="0.25">
      <c r="D738" s="3"/>
      <c r="E738" s="3"/>
      <c r="F738" s="4"/>
      <c r="G738" s="4"/>
      <c r="H738" s="138"/>
      <c r="I738" s="97"/>
      <c r="J738" s="6"/>
      <c r="K738" s="6"/>
      <c r="L738" s="6"/>
      <c r="M738" s="6"/>
      <c r="N738" s="6"/>
      <c r="O738" s="6"/>
      <c r="P738" s="6"/>
      <c r="Q738" s="6"/>
      <c r="R738" s="6"/>
      <c r="S738" s="6"/>
      <c r="T738" s="6"/>
      <c r="U738" s="6"/>
      <c r="V738" s="339"/>
      <c r="W738" s="339"/>
      <c r="X738" s="6"/>
      <c r="Y738" s="206"/>
      <c r="AE738" s="6"/>
      <c r="AF738" s="6"/>
      <c r="AG738" s="6"/>
      <c r="AH738" s="206"/>
      <c r="AJ738" s="213"/>
      <c r="AK738" s="6"/>
      <c r="AL738" s="6"/>
      <c r="AM738" s="6"/>
      <c r="AN738" s="206"/>
      <c r="AP738" s="213"/>
      <c r="AQ738" s="6"/>
      <c r="AR738" s="6"/>
      <c r="AS738" s="6"/>
      <c r="AT738" s="206"/>
      <c r="AV738" s="213"/>
      <c r="AW738" s="6"/>
      <c r="AX738" s="6"/>
      <c r="AY738" s="6"/>
      <c r="AZ738" s="206"/>
    </row>
    <row r="739" spans="4:52" s="2" customFormat="1" ht="17.100000000000001" customHeight="1" x14ac:dyDescent="0.25">
      <c r="D739" s="3"/>
      <c r="E739" s="3"/>
      <c r="F739" s="4"/>
      <c r="G739" s="4"/>
      <c r="H739" s="138"/>
      <c r="I739" s="97"/>
      <c r="J739" s="6"/>
      <c r="K739" s="6"/>
      <c r="L739" s="6"/>
      <c r="M739" s="6"/>
      <c r="N739" s="6"/>
      <c r="O739" s="6"/>
      <c r="P739" s="6"/>
      <c r="Q739" s="6"/>
      <c r="R739" s="6"/>
      <c r="S739" s="6"/>
      <c r="T739" s="6"/>
      <c r="U739" s="6"/>
      <c r="V739" s="339"/>
      <c r="W739" s="339"/>
      <c r="X739" s="6"/>
      <c r="Y739" s="206"/>
      <c r="AE739" s="6"/>
      <c r="AF739" s="6"/>
      <c r="AG739" s="6"/>
      <c r="AH739" s="206"/>
      <c r="AJ739" s="213"/>
      <c r="AK739" s="6"/>
      <c r="AL739" s="6"/>
      <c r="AM739" s="6"/>
      <c r="AN739" s="206"/>
      <c r="AP739" s="213"/>
      <c r="AQ739" s="6"/>
      <c r="AR739" s="6"/>
      <c r="AS739" s="6"/>
      <c r="AT739" s="206"/>
      <c r="AV739" s="213"/>
      <c r="AW739" s="6"/>
      <c r="AX739" s="6"/>
      <c r="AY739" s="6"/>
      <c r="AZ739" s="206"/>
    </row>
    <row r="740" spans="4:52" s="2" customFormat="1" ht="17.100000000000001" customHeight="1" x14ac:dyDescent="0.25">
      <c r="D740" s="3"/>
      <c r="E740" s="3"/>
      <c r="F740" s="4"/>
      <c r="G740" s="4"/>
      <c r="H740" s="138"/>
      <c r="I740" s="97"/>
      <c r="J740" s="6"/>
      <c r="K740" s="6"/>
      <c r="L740" s="6"/>
      <c r="M740" s="6"/>
      <c r="N740" s="6"/>
      <c r="O740" s="6"/>
      <c r="P740" s="6"/>
      <c r="Q740" s="6"/>
      <c r="R740" s="6"/>
      <c r="S740" s="6"/>
      <c r="T740" s="6"/>
      <c r="U740" s="6"/>
      <c r="V740" s="339"/>
      <c r="W740" s="339"/>
      <c r="X740" s="6"/>
      <c r="Y740" s="206"/>
      <c r="AE740" s="6"/>
      <c r="AF740" s="6"/>
      <c r="AG740" s="6"/>
      <c r="AH740" s="206"/>
      <c r="AJ740" s="213"/>
      <c r="AK740" s="6"/>
      <c r="AL740" s="6"/>
      <c r="AM740" s="6"/>
      <c r="AN740" s="206"/>
      <c r="AP740" s="213"/>
      <c r="AQ740" s="6"/>
      <c r="AR740" s="6"/>
      <c r="AS740" s="6"/>
      <c r="AT740" s="206"/>
      <c r="AV740" s="213"/>
      <c r="AW740" s="6"/>
      <c r="AX740" s="6"/>
      <c r="AY740" s="6"/>
      <c r="AZ740" s="206"/>
    </row>
    <row r="741" spans="4:52" s="2" customFormat="1" ht="17.100000000000001" customHeight="1" x14ac:dyDescent="0.25">
      <c r="D741" s="3"/>
      <c r="E741" s="3"/>
      <c r="F741" s="4"/>
      <c r="G741" s="4"/>
      <c r="H741" s="138"/>
      <c r="I741" s="97"/>
      <c r="J741" s="6"/>
      <c r="K741" s="6"/>
      <c r="L741" s="6"/>
      <c r="M741" s="6"/>
      <c r="N741" s="6"/>
      <c r="O741" s="6"/>
      <c r="P741" s="6"/>
      <c r="Q741" s="6"/>
      <c r="R741" s="6"/>
      <c r="S741" s="6"/>
      <c r="T741" s="6"/>
      <c r="U741" s="6"/>
      <c r="V741" s="339"/>
      <c r="W741" s="339"/>
      <c r="X741" s="6"/>
      <c r="Y741" s="206"/>
      <c r="AE741" s="6"/>
      <c r="AF741" s="6"/>
      <c r="AG741" s="6"/>
      <c r="AH741" s="206"/>
      <c r="AJ741" s="213"/>
      <c r="AK741" s="6"/>
      <c r="AL741" s="6"/>
      <c r="AM741" s="6"/>
      <c r="AN741" s="206"/>
      <c r="AP741" s="213"/>
      <c r="AQ741" s="6"/>
      <c r="AR741" s="6"/>
      <c r="AS741" s="6"/>
      <c r="AT741" s="206"/>
      <c r="AV741" s="213"/>
      <c r="AW741" s="6"/>
      <c r="AX741" s="6"/>
      <c r="AY741" s="6"/>
      <c r="AZ741" s="206"/>
    </row>
    <row r="742" spans="4:52" s="2" customFormat="1" ht="17.100000000000001" customHeight="1" x14ac:dyDescent="0.25">
      <c r="D742" s="3"/>
      <c r="E742" s="3"/>
      <c r="F742" s="4"/>
      <c r="G742" s="4"/>
      <c r="H742" s="138"/>
      <c r="I742" s="97"/>
      <c r="J742" s="6"/>
      <c r="K742" s="6"/>
      <c r="L742" s="6"/>
      <c r="M742" s="6"/>
      <c r="N742" s="6"/>
      <c r="O742" s="6"/>
      <c r="P742" s="6"/>
      <c r="Q742" s="6"/>
      <c r="R742" s="6"/>
      <c r="S742" s="6"/>
      <c r="T742" s="6"/>
      <c r="U742" s="6"/>
      <c r="V742" s="339"/>
      <c r="W742" s="339"/>
      <c r="X742" s="6"/>
      <c r="Y742" s="206"/>
      <c r="AE742" s="6"/>
      <c r="AF742" s="6"/>
      <c r="AG742" s="6"/>
      <c r="AH742" s="206"/>
      <c r="AJ742" s="213"/>
      <c r="AK742" s="6"/>
      <c r="AL742" s="6"/>
      <c r="AM742" s="6"/>
      <c r="AN742" s="206"/>
      <c r="AP742" s="213"/>
      <c r="AQ742" s="6"/>
      <c r="AR742" s="6"/>
      <c r="AS742" s="6"/>
      <c r="AT742" s="206"/>
      <c r="AV742" s="213"/>
      <c r="AW742" s="6"/>
      <c r="AX742" s="6"/>
      <c r="AY742" s="6"/>
      <c r="AZ742" s="206"/>
    </row>
    <row r="743" spans="4:52" s="2" customFormat="1" ht="17.100000000000001" customHeight="1" x14ac:dyDescent="0.25">
      <c r="D743" s="3"/>
      <c r="E743" s="3"/>
      <c r="F743" s="4"/>
      <c r="G743" s="4"/>
      <c r="H743" s="138"/>
      <c r="I743" s="97"/>
      <c r="J743" s="6"/>
      <c r="K743" s="6"/>
      <c r="L743" s="6"/>
      <c r="M743" s="6"/>
      <c r="N743" s="6"/>
      <c r="O743" s="6"/>
      <c r="P743" s="6"/>
      <c r="Q743" s="6"/>
      <c r="R743" s="6"/>
      <c r="S743" s="6"/>
      <c r="T743" s="6"/>
      <c r="U743" s="6"/>
      <c r="V743" s="339"/>
      <c r="W743" s="339"/>
      <c r="X743" s="6"/>
      <c r="Y743" s="206"/>
      <c r="AE743" s="6"/>
      <c r="AF743" s="6"/>
      <c r="AG743" s="6"/>
      <c r="AH743" s="206"/>
      <c r="AJ743" s="213"/>
      <c r="AK743" s="6"/>
      <c r="AL743" s="6"/>
      <c r="AM743" s="6"/>
      <c r="AN743" s="206"/>
      <c r="AP743" s="213"/>
      <c r="AQ743" s="6"/>
      <c r="AR743" s="6"/>
      <c r="AS743" s="6"/>
      <c r="AT743" s="206"/>
      <c r="AV743" s="213"/>
      <c r="AW743" s="6"/>
      <c r="AX743" s="6"/>
      <c r="AY743" s="6"/>
      <c r="AZ743" s="206"/>
    </row>
    <row r="744" spans="4:52" s="2" customFormat="1" ht="17.100000000000001" customHeight="1" x14ac:dyDescent="0.25">
      <c r="D744" s="3"/>
      <c r="E744" s="3"/>
      <c r="F744" s="4"/>
      <c r="G744" s="4"/>
      <c r="H744" s="138"/>
      <c r="I744" s="97"/>
      <c r="J744" s="6"/>
      <c r="K744" s="6"/>
      <c r="L744" s="6"/>
      <c r="M744" s="6"/>
      <c r="N744" s="6"/>
      <c r="O744" s="6"/>
      <c r="P744" s="6"/>
      <c r="Q744" s="6"/>
      <c r="R744" s="6"/>
      <c r="S744" s="6"/>
      <c r="T744" s="6"/>
      <c r="U744" s="6"/>
      <c r="V744" s="339"/>
      <c r="W744" s="339"/>
      <c r="X744" s="6"/>
      <c r="Y744" s="206"/>
      <c r="AE744" s="6"/>
      <c r="AF744" s="6"/>
      <c r="AG744" s="6"/>
      <c r="AH744" s="206"/>
      <c r="AJ744" s="213"/>
      <c r="AK744" s="6"/>
      <c r="AL744" s="6"/>
      <c r="AM744" s="6"/>
      <c r="AN744" s="206"/>
      <c r="AP744" s="213"/>
      <c r="AQ744" s="6"/>
      <c r="AR744" s="6"/>
      <c r="AS744" s="6"/>
      <c r="AT744" s="206"/>
      <c r="AV744" s="213"/>
      <c r="AW744" s="6"/>
      <c r="AX744" s="6"/>
      <c r="AY744" s="6"/>
      <c r="AZ744" s="206"/>
    </row>
    <row r="745" spans="4:52" s="2" customFormat="1" ht="17.100000000000001" customHeight="1" x14ac:dyDescent="0.25">
      <c r="D745" s="3"/>
      <c r="E745" s="3"/>
      <c r="F745" s="4"/>
      <c r="G745" s="4"/>
      <c r="H745" s="138"/>
      <c r="I745" s="97"/>
      <c r="J745" s="6"/>
      <c r="K745" s="6"/>
      <c r="L745" s="6"/>
      <c r="M745" s="6"/>
      <c r="N745" s="6"/>
      <c r="O745" s="6"/>
      <c r="P745" s="6"/>
      <c r="Q745" s="6"/>
      <c r="R745" s="6"/>
      <c r="S745" s="6"/>
      <c r="T745" s="6"/>
      <c r="U745" s="6"/>
      <c r="V745" s="339"/>
      <c r="W745" s="339"/>
      <c r="X745" s="6"/>
      <c r="Y745" s="206"/>
      <c r="AE745" s="6"/>
      <c r="AF745" s="6"/>
      <c r="AG745" s="6"/>
      <c r="AH745" s="206"/>
      <c r="AJ745" s="213"/>
      <c r="AK745" s="6"/>
      <c r="AL745" s="6"/>
      <c r="AM745" s="6"/>
      <c r="AN745" s="206"/>
      <c r="AP745" s="213"/>
      <c r="AQ745" s="6"/>
      <c r="AR745" s="6"/>
      <c r="AS745" s="6"/>
      <c r="AT745" s="206"/>
      <c r="AV745" s="213"/>
      <c r="AW745" s="6"/>
      <c r="AX745" s="6"/>
      <c r="AY745" s="6"/>
      <c r="AZ745" s="206"/>
    </row>
    <row r="746" spans="4:52" s="2" customFormat="1" ht="17.100000000000001" customHeight="1" x14ac:dyDescent="0.25">
      <c r="D746" s="3"/>
      <c r="E746" s="3"/>
      <c r="F746" s="4"/>
      <c r="G746" s="4"/>
      <c r="H746" s="138"/>
      <c r="I746" s="97"/>
      <c r="J746" s="6"/>
      <c r="K746" s="6"/>
      <c r="L746" s="6"/>
      <c r="M746" s="6"/>
      <c r="N746" s="6"/>
      <c r="O746" s="6"/>
      <c r="P746" s="6"/>
      <c r="Q746" s="6"/>
      <c r="R746" s="6"/>
      <c r="S746" s="6"/>
      <c r="T746" s="6"/>
      <c r="U746" s="6"/>
      <c r="V746" s="339"/>
      <c r="W746" s="339"/>
      <c r="X746" s="6"/>
      <c r="Y746" s="206"/>
      <c r="AE746" s="6"/>
      <c r="AF746" s="6"/>
      <c r="AG746" s="6"/>
      <c r="AH746" s="206"/>
      <c r="AJ746" s="213"/>
      <c r="AK746" s="6"/>
      <c r="AL746" s="6"/>
      <c r="AM746" s="6"/>
      <c r="AN746" s="206"/>
      <c r="AP746" s="213"/>
      <c r="AQ746" s="6"/>
      <c r="AR746" s="6"/>
      <c r="AS746" s="6"/>
      <c r="AT746" s="206"/>
      <c r="AV746" s="213"/>
      <c r="AW746" s="6"/>
      <c r="AX746" s="6"/>
      <c r="AY746" s="6"/>
      <c r="AZ746" s="206"/>
    </row>
    <row r="747" spans="4:52" s="2" customFormat="1" ht="17.100000000000001" customHeight="1" x14ac:dyDescent="0.25">
      <c r="D747" s="3"/>
      <c r="E747" s="3"/>
      <c r="F747" s="4"/>
      <c r="G747" s="4"/>
      <c r="H747" s="138"/>
      <c r="I747" s="97"/>
      <c r="J747" s="6"/>
      <c r="K747" s="6"/>
      <c r="L747" s="6"/>
      <c r="M747" s="6"/>
      <c r="N747" s="6"/>
      <c r="O747" s="6"/>
      <c r="P747" s="6"/>
      <c r="Q747" s="6"/>
      <c r="R747" s="6"/>
      <c r="S747" s="6"/>
      <c r="T747" s="6"/>
      <c r="U747" s="6"/>
      <c r="V747" s="339"/>
      <c r="W747" s="339"/>
      <c r="X747" s="6"/>
      <c r="Y747" s="206"/>
      <c r="AE747" s="6"/>
      <c r="AF747" s="6"/>
      <c r="AG747" s="6"/>
      <c r="AH747" s="206"/>
      <c r="AJ747" s="213"/>
      <c r="AK747" s="6"/>
      <c r="AL747" s="6"/>
      <c r="AM747" s="6"/>
      <c r="AN747" s="206"/>
      <c r="AP747" s="213"/>
      <c r="AQ747" s="6"/>
      <c r="AR747" s="6"/>
      <c r="AS747" s="6"/>
      <c r="AT747" s="206"/>
      <c r="AV747" s="213"/>
      <c r="AW747" s="6"/>
      <c r="AX747" s="6"/>
      <c r="AY747" s="6"/>
      <c r="AZ747" s="206"/>
    </row>
    <row r="748" spans="4:52" s="2" customFormat="1" ht="17.100000000000001" customHeight="1" x14ac:dyDescent="0.25">
      <c r="D748" s="3"/>
      <c r="E748" s="3"/>
      <c r="F748" s="4"/>
      <c r="G748" s="4"/>
      <c r="H748" s="138"/>
      <c r="I748" s="97"/>
      <c r="J748" s="6"/>
      <c r="K748" s="6"/>
      <c r="L748" s="6"/>
      <c r="M748" s="6"/>
      <c r="N748" s="6"/>
      <c r="O748" s="6"/>
      <c r="P748" s="6"/>
      <c r="Q748" s="6"/>
      <c r="R748" s="6"/>
      <c r="S748" s="6"/>
      <c r="T748" s="6"/>
      <c r="U748" s="6"/>
      <c r="V748" s="339"/>
      <c r="W748" s="339"/>
      <c r="X748" s="6"/>
      <c r="Y748" s="206"/>
      <c r="AE748" s="6"/>
      <c r="AF748" s="6"/>
      <c r="AG748" s="6"/>
      <c r="AH748" s="206"/>
      <c r="AJ748" s="213"/>
      <c r="AK748" s="6"/>
      <c r="AL748" s="6"/>
      <c r="AM748" s="6"/>
      <c r="AN748" s="206"/>
      <c r="AP748" s="213"/>
      <c r="AQ748" s="6"/>
      <c r="AR748" s="6"/>
      <c r="AS748" s="6"/>
      <c r="AT748" s="206"/>
      <c r="AV748" s="213"/>
      <c r="AW748" s="6"/>
      <c r="AX748" s="6"/>
      <c r="AY748" s="6"/>
      <c r="AZ748" s="206"/>
    </row>
    <row r="749" spans="4:52" s="2" customFormat="1" ht="17.100000000000001" customHeight="1" x14ac:dyDescent="0.25">
      <c r="D749" s="3"/>
      <c r="E749" s="3"/>
      <c r="F749" s="4"/>
      <c r="G749" s="4"/>
      <c r="H749" s="138"/>
      <c r="I749" s="97"/>
      <c r="J749" s="6"/>
      <c r="K749" s="6"/>
      <c r="L749" s="6"/>
      <c r="M749" s="6"/>
      <c r="N749" s="6"/>
      <c r="O749" s="6"/>
      <c r="P749" s="6"/>
      <c r="Q749" s="6"/>
      <c r="R749" s="6"/>
      <c r="S749" s="6"/>
      <c r="T749" s="6"/>
      <c r="U749" s="6"/>
      <c r="V749" s="339"/>
      <c r="W749" s="339"/>
      <c r="X749" s="6"/>
      <c r="Y749" s="206"/>
      <c r="AE749" s="6"/>
      <c r="AF749" s="6"/>
      <c r="AG749" s="6"/>
      <c r="AH749" s="206"/>
      <c r="AJ749" s="213"/>
      <c r="AK749" s="6"/>
      <c r="AL749" s="6"/>
      <c r="AM749" s="6"/>
      <c r="AN749" s="206"/>
      <c r="AP749" s="213"/>
      <c r="AQ749" s="6"/>
      <c r="AR749" s="6"/>
      <c r="AS749" s="6"/>
      <c r="AT749" s="206"/>
      <c r="AV749" s="213"/>
      <c r="AW749" s="6"/>
      <c r="AX749" s="6"/>
      <c r="AY749" s="6"/>
      <c r="AZ749" s="206"/>
    </row>
    <row r="750" spans="4:52" s="2" customFormat="1" ht="17.100000000000001" customHeight="1" x14ac:dyDescent="0.25">
      <c r="D750" s="3"/>
      <c r="E750" s="3"/>
      <c r="F750" s="4"/>
      <c r="G750" s="4"/>
      <c r="H750" s="138"/>
      <c r="I750" s="97"/>
      <c r="J750" s="6"/>
      <c r="K750" s="6"/>
      <c r="L750" s="6"/>
      <c r="M750" s="6"/>
      <c r="N750" s="6"/>
      <c r="O750" s="6"/>
      <c r="P750" s="6"/>
      <c r="Q750" s="6"/>
      <c r="R750" s="6"/>
      <c r="S750" s="6"/>
      <c r="T750" s="6"/>
      <c r="U750" s="6"/>
      <c r="V750" s="339"/>
      <c r="W750" s="339"/>
      <c r="X750" s="6"/>
      <c r="Y750" s="206"/>
      <c r="AE750" s="6"/>
      <c r="AF750" s="6"/>
      <c r="AG750" s="6"/>
      <c r="AH750" s="206"/>
      <c r="AJ750" s="213"/>
      <c r="AK750" s="6"/>
      <c r="AL750" s="6"/>
      <c r="AM750" s="6"/>
      <c r="AN750" s="206"/>
      <c r="AP750" s="213"/>
      <c r="AQ750" s="6"/>
      <c r="AR750" s="6"/>
      <c r="AS750" s="6"/>
      <c r="AT750" s="206"/>
      <c r="AV750" s="213"/>
      <c r="AW750" s="6"/>
      <c r="AX750" s="6"/>
      <c r="AY750" s="6"/>
      <c r="AZ750" s="206"/>
    </row>
    <row r="751" spans="4:52" s="2" customFormat="1" ht="17.100000000000001" customHeight="1" x14ac:dyDescent="0.25">
      <c r="D751" s="3"/>
      <c r="E751" s="3"/>
      <c r="F751" s="4"/>
      <c r="G751" s="4"/>
      <c r="H751" s="138"/>
      <c r="I751" s="97"/>
      <c r="J751" s="6"/>
      <c r="K751" s="6"/>
      <c r="L751" s="6"/>
      <c r="M751" s="6"/>
      <c r="N751" s="6"/>
      <c r="O751" s="6"/>
      <c r="P751" s="6"/>
      <c r="Q751" s="6"/>
      <c r="R751" s="6"/>
      <c r="S751" s="6"/>
      <c r="T751" s="6"/>
      <c r="U751" s="6"/>
      <c r="V751" s="339"/>
      <c r="W751" s="339"/>
      <c r="X751" s="6"/>
      <c r="Y751" s="206"/>
      <c r="AE751" s="6"/>
      <c r="AF751" s="6"/>
      <c r="AG751" s="6"/>
      <c r="AH751" s="206"/>
      <c r="AJ751" s="213"/>
      <c r="AK751" s="6"/>
      <c r="AL751" s="6"/>
      <c r="AM751" s="6"/>
      <c r="AN751" s="206"/>
      <c r="AP751" s="213"/>
      <c r="AQ751" s="6"/>
      <c r="AR751" s="6"/>
      <c r="AS751" s="6"/>
      <c r="AT751" s="206"/>
      <c r="AV751" s="213"/>
      <c r="AW751" s="6"/>
      <c r="AX751" s="6"/>
      <c r="AY751" s="6"/>
      <c r="AZ751" s="206"/>
    </row>
    <row r="752" spans="4:52" s="2" customFormat="1" ht="17.100000000000001" customHeight="1" x14ac:dyDescent="0.25">
      <c r="D752" s="3"/>
      <c r="E752" s="3"/>
      <c r="F752" s="4"/>
      <c r="G752" s="4"/>
      <c r="H752" s="138"/>
      <c r="I752" s="97"/>
      <c r="J752" s="6"/>
      <c r="K752" s="6"/>
      <c r="L752" s="6"/>
      <c r="M752" s="6"/>
      <c r="N752" s="6"/>
      <c r="O752" s="6"/>
      <c r="P752" s="6"/>
      <c r="Q752" s="6"/>
      <c r="R752" s="6"/>
      <c r="S752" s="6"/>
      <c r="T752" s="6"/>
      <c r="U752" s="6"/>
      <c r="V752" s="339"/>
      <c r="W752" s="339"/>
      <c r="X752" s="6"/>
      <c r="Y752" s="206"/>
      <c r="AE752" s="6"/>
      <c r="AF752" s="6"/>
      <c r="AG752" s="6"/>
      <c r="AH752" s="206"/>
      <c r="AJ752" s="213"/>
      <c r="AK752" s="6"/>
      <c r="AL752" s="6"/>
      <c r="AM752" s="6"/>
      <c r="AN752" s="206"/>
      <c r="AP752" s="213"/>
      <c r="AQ752" s="6"/>
      <c r="AR752" s="6"/>
      <c r="AS752" s="6"/>
      <c r="AT752" s="206"/>
      <c r="AV752" s="213"/>
      <c r="AW752" s="6"/>
      <c r="AX752" s="6"/>
      <c r="AY752" s="6"/>
      <c r="AZ752" s="206"/>
    </row>
    <row r="753" spans="4:52" s="2" customFormat="1" ht="17.100000000000001" customHeight="1" x14ac:dyDescent="0.25">
      <c r="D753" s="3"/>
      <c r="E753" s="3"/>
      <c r="F753" s="4"/>
      <c r="G753" s="4"/>
      <c r="H753" s="138"/>
      <c r="I753" s="97"/>
      <c r="J753" s="6"/>
      <c r="K753" s="6"/>
      <c r="L753" s="6"/>
      <c r="M753" s="6"/>
      <c r="N753" s="6"/>
      <c r="O753" s="6"/>
      <c r="P753" s="6"/>
      <c r="Q753" s="6"/>
      <c r="R753" s="6"/>
      <c r="S753" s="6"/>
      <c r="T753" s="6"/>
      <c r="U753" s="6"/>
      <c r="V753" s="339"/>
      <c r="W753" s="339"/>
      <c r="X753" s="6"/>
      <c r="Y753" s="206"/>
      <c r="AE753" s="6"/>
      <c r="AF753" s="6"/>
      <c r="AG753" s="6"/>
      <c r="AH753" s="206"/>
      <c r="AJ753" s="213"/>
      <c r="AK753" s="6"/>
      <c r="AL753" s="6"/>
      <c r="AM753" s="6"/>
      <c r="AN753" s="206"/>
      <c r="AP753" s="213"/>
      <c r="AQ753" s="6"/>
      <c r="AR753" s="6"/>
      <c r="AS753" s="6"/>
      <c r="AT753" s="206"/>
      <c r="AV753" s="213"/>
      <c r="AW753" s="6"/>
      <c r="AX753" s="6"/>
      <c r="AY753" s="6"/>
      <c r="AZ753" s="206"/>
    </row>
    <row r="754" spans="4:52" s="2" customFormat="1" ht="17.100000000000001" customHeight="1" x14ac:dyDescent="0.25">
      <c r="D754" s="3"/>
      <c r="E754" s="3"/>
      <c r="F754" s="4"/>
      <c r="G754" s="4"/>
      <c r="H754" s="138"/>
      <c r="I754" s="97"/>
      <c r="J754" s="6"/>
      <c r="K754" s="6"/>
      <c r="L754" s="6"/>
      <c r="M754" s="6"/>
      <c r="N754" s="6"/>
      <c r="O754" s="6"/>
      <c r="P754" s="6"/>
      <c r="Q754" s="6"/>
      <c r="R754" s="6"/>
      <c r="S754" s="6"/>
      <c r="T754" s="6"/>
      <c r="U754" s="6"/>
      <c r="V754" s="339"/>
      <c r="W754" s="339"/>
      <c r="X754" s="6"/>
      <c r="Y754" s="206"/>
      <c r="AE754" s="6"/>
      <c r="AF754" s="6"/>
      <c r="AG754" s="6"/>
      <c r="AH754" s="206"/>
      <c r="AJ754" s="213"/>
      <c r="AK754" s="6"/>
      <c r="AL754" s="6"/>
      <c r="AM754" s="6"/>
      <c r="AN754" s="206"/>
      <c r="AP754" s="213"/>
      <c r="AQ754" s="6"/>
      <c r="AR754" s="6"/>
      <c r="AS754" s="6"/>
      <c r="AT754" s="206"/>
      <c r="AV754" s="213"/>
      <c r="AW754" s="6"/>
      <c r="AX754" s="6"/>
      <c r="AY754" s="6"/>
      <c r="AZ754" s="206"/>
    </row>
    <row r="755" spans="4:52" s="2" customFormat="1" ht="17.100000000000001" customHeight="1" x14ac:dyDescent="0.25">
      <c r="D755" s="3"/>
      <c r="E755" s="3"/>
      <c r="F755" s="4"/>
      <c r="G755" s="4"/>
      <c r="H755" s="138"/>
      <c r="I755" s="97"/>
      <c r="J755" s="6"/>
      <c r="K755" s="6"/>
      <c r="L755" s="6"/>
      <c r="M755" s="6"/>
      <c r="N755" s="6"/>
      <c r="O755" s="6"/>
      <c r="P755" s="6"/>
      <c r="Q755" s="6"/>
      <c r="R755" s="6"/>
      <c r="S755" s="6"/>
      <c r="T755" s="6"/>
      <c r="U755" s="6"/>
      <c r="V755" s="339"/>
      <c r="W755" s="339"/>
      <c r="X755" s="6"/>
      <c r="Y755" s="206"/>
      <c r="AE755" s="6"/>
      <c r="AF755" s="6"/>
      <c r="AG755" s="6"/>
      <c r="AH755" s="206"/>
      <c r="AJ755" s="213"/>
      <c r="AK755" s="6"/>
      <c r="AL755" s="6"/>
      <c r="AM755" s="6"/>
      <c r="AN755" s="206"/>
      <c r="AP755" s="213"/>
      <c r="AQ755" s="6"/>
      <c r="AR755" s="6"/>
      <c r="AS755" s="6"/>
      <c r="AT755" s="206"/>
      <c r="AV755" s="213"/>
      <c r="AW755" s="6"/>
      <c r="AX755" s="6"/>
      <c r="AY755" s="6"/>
      <c r="AZ755" s="206"/>
    </row>
    <row r="756" spans="4:52" s="2" customFormat="1" ht="17.100000000000001" customHeight="1" x14ac:dyDescent="0.25">
      <c r="D756" s="3"/>
      <c r="E756" s="3"/>
      <c r="F756" s="4"/>
      <c r="G756" s="4"/>
      <c r="H756" s="138"/>
      <c r="I756" s="97"/>
      <c r="J756" s="6"/>
      <c r="K756" s="6"/>
      <c r="L756" s="6"/>
      <c r="M756" s="6"/>
      <c r="N756" s="6"/>
      <c r="O756" s="6"/>
      <c r="P756" s="6"/>
      <c r="Q756" s="6"/>
      <c r="R756" s="6"/>
      <c r="S756" s="6"/>
      <c r="T756" s="6"/>
      <c r="U756" s="6"/>
      <c r="V756" s="339"/>
      <c r="W756" s="339"/>
      <c r="X756" s="6"/>
      <c r="Y756" s="206"/>
      <c r="AE756" s="6"/>
      <c r="AF756" s="6"/>
      <c r="AG756" s="6"/>
      <c r="AH756" s="206"/>
      <c r="AJ756" s="213"/>
      <c r="AK756" s="6"/>
      <c r="AL756" s="6"/>
      <c r="AM756" s="6"/>
      <c r="AN756" s="206"/>
      <c r="AP756" s="213"/>
      <c r="AQ756" s="6"/>
      <c r="AR756" s="6"/>
      <c r="AS756" s="6"/>
      <c r="AT756" s="206"/>
      <c r="AV756" s="213"/>
      <c r="AW756" s="6"/>
      <c r="AX756" s="6"/>
      <c r="AY756" s="6"/>
      <c r="AZ756" s="206"/>
    </row>
    <row r="757" spans="4:52" s="2" customFormat="1" ht="17.100000000000001" customHeight="1" x14ac:dyDescent="0.25">
      <c r="D757" s="3"/>
      <c r="E757" s="3"/>
      <c r="F757" s="4"/>
      <c r="G757" s="4"/>
      <c r="H757" s="138"/>
      <c r="I757" s="97"/>
      <c r="J757" s="6"/>
      <c r="K757" s="6"/>
      <c r="L757" s="6"/>
      <c r="M757" s="6"/>
      <c r="N757" s="6"/>
      <c r="O757" s="6"/>
      <c r="P757" s="6"/>
      <c r="Q757" s="6"/>
      <c r="R757" s="6"/>
      <c r="S757" s="6"/>
      <c r="T757" s="6"/>
      <c r="U757" s="6"/>
      <c r="V757" s="339"/>
      <c r="W757" s="339"/>
      <c r="X757" s="6"/>
      <c r="Y757" s="206"/>
      <c r="AE757" s="6"/>
      <c r="AF757" s="6"/>
      <c r="AG757" s="6"/>
      <c r="AH757" s="206"/>
      <c r="AJ757" s="213"/>
      <c r="AK757" s="6"/>
      <c r="AL757" s="6"/>
      <c r="AM757" s="6"/>
      <c r="AN757" s="206"/>
      <c r="AP757" s="213"/>
      <c r="AQ757" s="6"/>
      <c r="AR757" s="6"/>
      <c r="AS757" s="6"/>
      <c r="AT757" s="206"/>
      <c r="AV757" s="213"/>
      <c r="AW757" s="6"/>
      <c r="AX757" s="6"/>
      <c r="AY757" s="6"/>
      <c r="AZ757" s="206"/>
    </row>
    <row r="758" spans="4:52" s="2" customFormat="1" ht="17.100000000000001" customHeight="1" x14ac:dyDescent="0.25">
      <c r="D758" s="3"/>
      <c r="E758" s="3"/>
      <c r="F758" s="4"/>
      <c r="G758" s="4"/>
      <c r="H758" s="138"/>
      <c r="I758" s="97"/>
      <c r="J758" s="6"/>
      <c r="K758" s="6"/>
      <c r="L758" s="6"/>
      <c r="M758" s="6"/>
      <c r="N758" s="6"/>
      <c r="O758" s="6"/>
      <c r="P758" s="6"/>
      <c r="Q758" s="6"/>
      <c r="R758" s="6"/>
      <c r="S758" s="6"/>
      <c r="T758" s="6"/>
      <c r="U758" s="6"/>
      <c r="V758" s="339"/>
      <c r="W758" s="339"/>
      <c r="X758" s="6"/>
      <c r="Y758" s="206"/>
      <c r="AE758" s="6"/>
      <c r="AF758" s="6"/>
      <c r="AG758" s="6"/>
      <c r="AH758" s="206"/>
      <c r="AJ758" s="213"/>
      <c r="AK758" s="6"/>
      <c r="AL758" s="6"/>
      <c r="AM758" s="6"/>
      <c r="AN758" s="206"/>
      <c r="AP758" s="213"/>
      <c r="AQ758" s="6"/>
      <c r="AR758" s="6"/>
      <c r="AS758" s="6"/>
      <c r="AT758" s="206"/>
      <c r="AV758" s="213"/>
      <c r="AW758" s="6"/>
      <c r="AX758" s="6"/>
      <c r="AY758" s="6"/>
      <c r="AZ758" s="206"/>
    </row>
    <row r="759" spans="4:52" s="2" customFormat="1" ht="17.100000000000001" customHeight="1" x14ac:dyDescent="0.25">
      <c r="D759" s="3"/>
      <c r="E759" s="3"/>
      <c r="F759" s="4"/>
      <c r="G759" s="4"/>
      <c r="H759" s="138"/>
      <c r="I759" s="97"/>
      <c r="J759" s="6"/>
      <c r="K759" s="6"/>
      <c r="L759" s="6"/>
      <c r="M759" s="6"/>
      <c r="N759" s="6"/>
      <c r="O759" s="6"/>
      <c r="P759" s="6"/>
      <c r="Q759" s="6"/>
      <c r="R759" s="6"/>
      <c r="S759" s="6"/>
      <c r="T759" s="6"/>
      <c r="U759" s="6"/>
      <c r="V759" s="339"/>
      <c r="W759" s="339"/>
      <c r="X759" s="6"/>
      <c r="Y759" s="206"/>
      <c r="AE759" s="6"/>
      <c r="AF759" s="6"/>
      <c r="AG759" s="6"/>
      <c r="AH759" s="206"/>
      <c r="AJ759" s="213"/>
      <c r="AK759" s="6"/>
      <c r="AL759" s="6"/>
      <c r="AM759" s="6"/>
      <c r="AN759" s="206"/>
      <c r="AP759" s="213"/>
      <c r="AQ759" s="6"/>
      <c r="AR759" s="6"/>
      <c r="AS759" s="6"/>
      <c r="AT759" s="206"/>
      <c r="AV759" s="213"/>
      <c r="AW759" s="6"/>
      <c r="AX759" s="6"/>
      <c r="AY759" s="6"/>
      <c r="AZ759" s="206"/>
    </row>
    <row r="760" spans="4:52" s="2" customFormat="1" ht="17.100000000000001" customHeight="1" x14ac:dyDescent="0.25">
      <c r="D760" s="3"/>
      <c r="E760" s="3"/>
      <c r="F760" s="4"/>
      <c r="G760" s="4"/>
      <c r="H760" s="138"/>
      <c r="I760" s="97"/>
      <c r="J760" s="6"/>
      <c r="K760" s="6"/>
      <c r="L760" s="6"/>
      <c r="M760" s="6"/>
      <c r="N760" s="6"/>
      <c r="O760" s="6"/>
      <c r="P760" s="6"/>
      <c r="Q760" s="6"/>
      <c r="R760" s="6"/>
      <c r="S760" s="6"/>
      <c r="T760" s="6"/>
      <c r="U760" s="6"/>
      <c r="V760" s="339"/>
      <c r="W760" s="339"/>
      <c r="X760" s="6"/>
      <c r="Y760" s="206"/>
      <c r="AE760" s="6"/>
      <c r="AF760" s="6"/>
      <c r="AG760" s="6"/>
      <c r="AH760" s="206"/>
      <c r="AJ760" s="213"/>
      <c r="AK760" s="6"/>
      <c r="AL760" s="6"/>
      <c r="AM760" s="6"/>
      <c r="AN760" s="206"/>
      <c r="AP760" s="213"/>
      <c r="AQ760" s="6"/>
      <c r="AR760" s="6"/>
      <c r="AS760" s="6"/>
      <c r="AT760" s="206"/>
      <c r="AV760" s="213"/>
      <c r="AW760" s="6"/>
      <c r="AX760" s="6"/>
      <c r="AY760" s="6"/>
      <c r="AZ760" s="206"/>
    </row>
    <row r="761" spans="4:52" s="2" customFormat="1" ht="17.100000000000001" customHeight="1" x14ac:dyDescent="0.25">
      <c r="D761" s="3"/>
      <c r="E761" s="3"/>
      <c r="F761" s="4"/>
      <c r="G761" s="4"/>
      <c r="H761" s="138"/>
      <c r="I761" s="97"/>
      <c r="J761" s="6"/>
      <c r="K761" s="6"/>
      <c r="L761" s="6"/>
      <c r="M761" s="6"/>
      <c r="N761" s="6"/>
      <c r="O761" s="6"/>
      <c r="P761" s="6"/>
      <c r="Q761" s="6"/>
      <c r="R761" s="6"/>
      <c r="S761" s="6"/>
      <c r="T761" s="6"/>
      <c r="U761" s="6"/>
      <c r="V761" s="339"/>
      <c r="W761" s="339"/>
      <c r="X761" s="6"/>
      <c r="Y761" s="206"/>
      <c r="AE761" s="6"/>
      <c r="AF761" s="6"/>
      <c r="AG761" s="6"/>
      <c r="AH761" s="206"/>
      <c r="AJ761" s="213"/>
      <c r="AK761" s="6"/>
      <c r="AL761" s="6"/>
      <c r="AM761" s="6"/>
      <c r="AN761" s="206"/>
      <c r="AP761" s="213"/>
      <c r="AQ761" s="6"/>
      <c r="AR761" s="6"/>
      <c r="AS761" s="6"/>
      <c r="AT761" s="206"/>
      <c r="AV761" s="213"/>
      <c r="AW761" s="6"/>
      <c r="AX761" s="6"/>
      <c r="AY761" s="6"/>
      <c r="AZ761" s="206"/>
    </row>
    <row r="762" spans="4:52" s="2" customFormat="1" ht="17.100000000000001" customHeight="1" x14ac:dyDescent="0.25">
      <c r="D762" s="3"/>
      <c r="E762" s="3"/>
      <c r="F762" s="4"/>
      <c r="G762" s="4"/>
      <c r="H762" s="138"/>
      <c r="I762" s="97"/>
      <c r="J762" s="6"/>
      <c r="K762" s="6"/>
      <c r="L762" s="6"/>
      <c r="M762" s="6"/>
      <c r="N762" s="6"/>
      <c r="O762" s="6"/>
      <c r="P762" s="6"/>
      <c r="Q762" s="6"/>
      <c r="R762" s="6"/>
      <c r="S762" s="6"/>
      <c r="T762" s="6"/>
      <c r="U762" s="6"/>
      <c r="V762" s="339"/>
      <c r="W762" s="339"/>
      <c r="X762" s="6"/>
      <c r="Y762" s="206"/>
      <c r="AE762" s="6"/>
      <c r="AF762" s="6"/>
      <c r="AG762" s="6"/>
      <c r="AH762" s="206"/>
      <c r="AJ762" s="213"/>
      <c r="AK762" s="6"/>
      <c r="AL762" s="6"/>
      <c r="AM762" s="6"/>
      <c r="AN762" s="206"/>
      <c r="AP762" s="213"/>
      <c r="AQ762" s="6"/>
      <c r="AR762" s="6"/>
      <c r="AS762" s="6"/>
      <c r="AT762" s="206"/>
      <c r="AV762" s="213"/>
      <c r="AW762" s="6"/>
      <c r="AX762" s="6"/>
      <c r="AY762" s="6"/>
      <c r="AZ762" s="206"/>
    </row>
    <row r="763" spans="4:52" s="2" customFormat="1" ht="17.100000000000001" customHeight="1" x14ac:dyDescent="0.25">
      <c r="D763" s="3"/>
      <c r="E763" s="3"/>
      <c r="F763" s="4"/>
      <c r="G763" s="4"/>
      <c r="H763" s="138"/>
      <c r="I763" s="97"/>
      <c r="J763" s="6"/>
      <c r="K763" s="6"/>
      <c r="L763" s="6"/>
      <c r="M763" s="6"/>
      <c r="N763" s="6"/>
      <c r="O763" s="6"/>
      <c r="P763" s="6"/>
      <c r="Q763" s="6"/>
      <c r="R763" s="6"/>
      <c r="S763" s="6"/>
      <c r="T763" s="6"/>
      <c r="U763" s="6"/>
      <c r="V763" s="339"/>
      <c r="W763" s="339"/>
      <c r="X763" s="6"/>
      <c r="Y763" s="206"/>
      <c r="AE763" s="6"/>
      <c r="AF763" s="6"/>
      <c r="AG763" s="6"/>
      <c r="AH763" s="206"/>
      <c r="AJ763" s="213"/>
      <c r="AK763" s="6"/>
      <c r="AL763" s="6"/>
      <c r="AM763" s="6"/>
      <c r="AN763" s="206"/>
      <c r="AP763" s="213"/>
      <c r="AQ763" s="6"/>
      <c r="AR763" s="6"/>
      <c r="AS763" s="6"/>
      <c r="AT763" s="206"/>
      <c r="AV763" s="213"/>
      <c r="AW763" s="6"/>
      <c r="AX763" s="6"/>
      <c r="AY763" s="6"/>
      <c r="AZ763" s="206"/>
    </row>
    <row r="764" spans="4:52" s="2" customFormat="1" ht="17.100000000000001" customHeight="1" x14ac:dyDescent="0.25">
      <c r="D764" s="3"/>
      <c r="E764" s="3"/>
      <c r="F764" s="4"/>
      <c r="G764" s="4"/>
      <c r="H764" s="138"/>
      <c r="I764" s="97"/>
      <c r="J764" s="6"/>
      <c r="K764" s="6"/>
      <c r="L764" s="6"/>
      <c r="M764" s="6"/>
      <c r="N764" s="6"/>
      <c r="O764" s="6"/>
      <c r="P764" s="6"/>
      <c r="Q764" s="6"/>
      <c r="R764" s="6"/>
      <c r="S764" s="6"/>
      <c r="T764" s="6"/>
      <c r="U764" s="6"/>
      <c r="V764" s="339"/>
      <c r="W764" s="339"/>
      <c r="X764" s="6"/>
      <c r="Y764" s="206"/>
      <c r="AE764" s="6"/>
      <c r="AF764" s="6"/>
      <c r="AG764" s="6"/>
      <c r="AH764" s="206"/>
      <c r="AJ764" s="213"/>
      <c r="AK764" s="6"/>
      <c r="AL764" s="6"/>
      <c r="AM764" s="6"/>
      <c r="AN764" s="206"/>
      <c r="AP764" s="213"/>
      <c r="AQ764" s="6"/>
      <c r="AR764" s="6"/>
      <c r="AS764" s="6"/>
      <c r="AT764" s="206"/>
      <c r="AV764" s="213"/>
      <c r="AW764" s="6"/>
      <c r="AX764" s="6"/>
      <c r="AY764" s="6"/>
      <c r="AZ764" s="206"/>
    </row>
    <row r="765" spans="4:52" s="2" customFormat="1" ht="17.100000000000001" customHeight="1" x14ac:dyDescent="0.25">
      <c r="D765" s="3"/>
      <c r="E765" s="3"/>
      <c r="F765" s="4"/>
      <c r="G765" s="4"/>
      <c r="H765" s="138"/>
      <c r="I765" s="97"/>
      <c r="J765" s="6"/>
      <c r="K765" s="6"/>
      <c r="L765" s="6"/>
      <c r="M765" s="6"/>
      <c r="N765" s="6"/>
      <c r="O765" s="6"/>
      <c r="P765" s="6"/>
      <c r="Q765" s="6"/>
      <c r="R765" s="6"/>
      <c r="S765" s="6"/>
      <c r="T765" s="6"/>
      <c r="U765" s="6"/>
      <c r="V765" s="339"/>
      <c r="W765" s="339"/>
      <c r="X765" s="6"/>
      <c r="Y765" s="206"/>
      <c r="AE765" s="6"/>
      <c r="AF765" s="6"/>
      <c r="AG765" s="6"/>
      <c r="AH765" s="206"/>
      <c r="AJ765" s="213"/>
      <c r="AK765" s="6"/>
      <c r="AL765" s="6"/>
      <c r="AM765" s="6"/>
      <c r="AN765" s="206"/>
      <c r="AP765" s="213"/>
      <c r="AQ765" s="6"/>
      <c r="AR765" s="6"/>
      <c r="AS765" s="6"/>
      <c r="AT765" s="206"/>
      <c r="AV765" s="213"/>
      <c r="AW765" s="6"/>
      <c r="AX765" s="6"/>
      <c r="AY765" s="6"/>
      <c r="AZ765" s="206"/>
    </row>
    <row r="766" spans="4:52" s="2" customFormat="1" ht="17.100000000000001" customHeight="1" x14ac:dyDescent="0.25">
      <c r="D766" s="3"/>
      <c r="E766" s="3"/>
      <c r="F766" s="4"/>
      <c r="G766" s="4"/>
      <c r="H766" s="138"/>
      <c r="I766" s="97"/>
      <c r="J766" s="6"/>
      <c r="K766" s="6"/>
      <c r="L766" s="6"/>
      <c r="M766" s="6"/>
      <c r="N766" s="6"/>
      <c r="O766" s="6"/>
      <c r="P766" s="6"/>
      <c r="Q766" s="6"/>
      <c r="R766" s="6"/>
      <c r="S766" s="6"/>
      <c r="T766" s="6"/>
      <c r="U766" s="6"/>
      <c r="V766" s="339"/>
      <c r="W766" s="339"/>
      <c r="X766" s="6"/>
      <c r="Y766" s="206"/>
      <c r="AE766" s="6"/>
      <c r="AF766" s="6"/>
      <c r="AG766" s="6"/>
      <c r="AH766" s="206"/>
      <c r="AJ766" s="213"/>
      <c r="AK766" s="6"/>
      <c r="AL766" s="6"/>
      <c r="AM766" s="6"/>
      <c r="AN766" s="206"/>
      <c r="AP766" s="213"/>
      <c r="AQ766" s="6"/>
      <c r="AR766" s="6"/>
      <c r="AS766" s="6"/>
      <c r="AT766" s="206"/>
      <c r="AV766" s="213"/>
      <c r="AW766" s="6"/>
      <c r="AX766" s="6"/>
      <c r="AY766" s="6"/>
      <c r="AZ766" s="206"/>
    </row>
    <row r="767" spans="4:52" s="2" customFormat="1" ht="17.100000000000001" customHeight="1" x14ac:dyDescent="0.25">
      <c r="D767" s="3"/>
      <c r="E767" s="3"/>
      <c r="F767" s="4"/>
      <c r="G767" s="4"/>
      <c r="H767" s="138"/>
      <c r="I767" s="97"/>
      <c r="J767" s="6"/>
      <c r="K767" s="6"/>
      <c r="L767" s="6"/>
      <c r="M767" s="6"/>
      <c r="N767" s="6"/>
      <c r="O767" s="6"/>
      <c r="P767" s="6"/>
      <c r="Q767" s="6"/>
      <c r="R767" s="6"/>
      <c r="S767" s="6"/>
      <c r="T767" s="6"/>
      <c r="U767" s="6"/>
      <c r="V767" s="339"/>
      <c r="W767" s="339"/>
      <c r="X767" s="6"/>
      <c r="Y767" s="206"/>
      <c r="AE767" s="6"/>
      <c r="AF767" s="6"/>
      <c r="AG767" s="6"/>
      <c r="AH767" s="206"/>
      <c r="AJ767" s="213"/>
      <c r="AK767" s="6"/>
      <c r="AL767" s="6"/>
      <c r="AM767" s="6"/>
      <c r="AN767" s="206"/>
      <c r="AP767" s="213"/>
      <c r="AQ767" s="6"/>
      <c r="AR767" s="6"/>
      <c r="AS767" s="6"/>
      <c r="AT767" s="206"/>
      <c r="AV767" s="213"/>
      <c r="AW767" s="6"/>
      <c r="AX767" s="6"/>
      <c r="AY767" s="6"/>
      <c r="AZ767" s="206"/>
    </row>
    <row r="768" spans="4:52" s="2" customFormat="1" ht="17.100000000000001" customHeight="1" x14ac:dyDescent="0.25">
      <c r="D768" s="3"/>
      <c r="E768" s="3"/>
      <c r="F768" s="4"/>
      <c r="G768" s="4"/>
      <c r="H768" s="138"/>
      <c r="I768" s="97"/>
      <c r="J768" s="6"/>
      <c r="K768" s="6"/>
      <c r="L768" s="6"/>
      <c r="M768" s="6"/>
      <c r="N768" s="6"/>
      <c r="O768" s="6"/>
      <c r="P768" s="6"/>
      <c r="Q768" s="6"/>
      <c r="R768" s="6"/>
      <c r="S768" s="6"/>
      <c r="T768" s="6"/>
      <c r="U768" s="6"/>
      <c r="V768" s="339"/>
      <c r="W768" s="339"/>
      <c r="X768" s="6"/>
      <c r="Y768" s="206"/>
      <c r="AE768" s="6"/>
      <c r="AF768" s="6"/>
      <c r="AG768" s="6"/>
      <c r="AH768" s="206"/>
      <c r="AJ768" s="213"/>
      <c r="AK768" s="6"/>
      <c r="AL768" s="6"/>
      <c r="AM768" s="6"/>
      <c r="AN768" s="206"/>
      <c r="AP768" s="213"/>
      <c r="AQ768" s="6"/>
      <c r="AR768" s="6"/>
      <c r="AS768" s="6"/>
      <c r="AT768" s="206"/>
      <c r="AV768" s="213"/>
      <c r="AW768" s="6"/>
      <c r="AX768" s="6"/>
      <c r="AY768" s="6"/>
      <c r="AZ768" s="206"/>
    </row>
    <row r="769" spans="4:52" s="2" customFormat="1" ht="17.100000000000001" customHeight="1" x14ac:dyDescent="0.25">
      <c r="D769" s="3"/>
      <c r="E769" s="3"/>
      <c r="F769" s="4"/>
      <c r="G769" s="4"/>
      <c r="H769" s="138"/>
      <c r="I769" s="97"/>
      <c r="J769" s="6"/>
      <c r="K769" s="6"/>
      <c r="L769" s="6"/>
      <c r="M769" s="6"/>
      <c r="N769" s="6"/>
      <c r="O769" s="6"/>
      <c r="P769" s="6"/>
      <c r="Q769" s="6"/>
      <c r="R769" s="6"/>
      <c r="S769" s="6"/>
      <c r="T769" s="6"/>
      <c r="U769" s="6"/>
      <c r="V769" s="339"/>
      <c r="W769" s="339"/>
      <c r="X769" s="6"/>
      <c r="Y769" s="206"/>
      <c r="AE769" s="6"/>
      <c r="AF769" s="6"/>
      <c r="AG769" s="6"/>
      <c r="AH769" s="206"/>
      <c r="AJ769" s="213"/>
      <c r="AK769" s="6"/>
      <c r="AL769" s="6"/>
      <c r="AM769" s="6"/>
      <c r="AN769" s="206"/>
      <c r="AP769" s="213"/>
      <c r="AQ769" s="6"/>
      <c r="AR769" s="6"/>
      <c r="AS769" s="6"/>
      <c r="AT769" s="206"/>
      <c r="AV769" s="213"/>
      <c r="AW769" s="6"/>
      <c r="AX769" s="6"/>
      <c r="AY769" s="6"/>
      <c r="AZ769" s="206"/>
    </row>
    <row r="770" spans="4:52" s="2" customFormat="1" ht="17.100000000000001" customHeight="1" x14ac:dyDescent="0.25">
      <c r="D770" s="3"/>
      <c r="E770" s="3"/>
      <c r="F770" s="4"/>
      <c r="G770" s="4"/>
      <c r="H770" s="138"/>
      <c r="I770" s="97"/>
      <c r="J770" s="6"/>
      <c r="K770" s="6"/>
      <c r="L770" s="6"/>
      <c r="M770" s="6"/>
      <c r="N770" s="6"/>
      <c r="O770" s="6"/>
      <c r="P770" s="6"/>
      <c r="Q770" s="6"/>
      <c r="R770" s="6"/>
      <c r="S770" s="6"/>
      <c r="T770" s="6"/>
      <c r="U770" s="6"/>
      <c r="V770" s="339"/>
      <c r="W770" s="339"/>
      <c r="X770" s="6"/>
      <c r="Y770" s="206"/>
      <c r="AE770" s="6"/>
      <c r="AF770" s="6"/>
      <c r="AG770" s="6"/>
      <c r="AH770" s="206"/>
      <c r="AJ770" s="213"/>
      <c r="AK770" s="6"/>
      <c r="AL770" s="6"/>
      <c r="AM770" s="6"/>
      <c r="AN770" s="206"/>
      <c r="AP770" s="213"/>
      <c r="AQ770" s="6"/>
      <c r="AR770" s="6"/>
      <c r="AS770" s="6"/>
      <c r="AT770" s="206"/>
      <c r="AV770" s="213"/>
      <c r="AW770" s="6"/>
      <c r="AX770" s="6"/>
      <c r="AY770" s="6"/>
      <c r="AZ770" s="206"/>
    </row>
    <row r="771" spans="4:52" s="2" customFormat="1" ht="17.100000000000001" customHeight="1" x14ac:dyDescent="0.25">
      <c r="D771" s="3"/>
      <c r="E771" s="3"/>
      <c r="F771" s="4"/>
      <c r="G771" s="4"/>
      <c r="H771" s="138"/>
      <c r="I771" s="97"/>
      <c r="J771" s="6"/>
      <c r="K771" s="6"/>
      <c r="L771" s="6"/>
      <c r="M771" s="6"/>
      <c r="N771" s="6"/>
      <c r="O771" s="6"/>
      <c r="P771" s="6"/>
      <c r="Q771" s="6"/>
      <c r="R771" s="6"/>
      <c r="S771" s="6"/>
      <c r="T771" s="6"/>
      <c r="U771" s="6"/>
      <c r="V771" s="339"/>
      <c r="W771" s="339"/>
      <c r="X771" s="6"/>
      <c r="Y771" s="206"/>
      <c r="AE771" s="6"/>
      <c r="AF771" s="6"/>
      <c r="AG771" s="6"/>
      <c r="AH771" s="206"/>
      <c r="AJ771" s="213"/>
      <c r="AK771" s="6"/>
      <c r="AL771" s="6"/>
      <c r="AM771" s="6"/>
      <c r="AN771" s="206"/>
      <c r="AP771" s="213"/>
      <c r="AQ771" s="6"/>
      <c r="AR771" s="6"/>
      <c r="AS771" s="6"/>
      <c r="AT771" s="206"/>
      <c r="AV771" s="213"/>
      <c r="AW771" s="6"/>
      <c r="AX771" s="6"/>
      <c r="AY771" s="6"/>
      <c r="AZ771" s="206"/>
    </row>
    <row r="772" spans="4:52" s="2" customFormat="1" ht="17.100000000000001" customHeight="1" x14ac:dyDescent="0.25">
      <c r="D772" s="3"/>
      <c r="E772" s="3"/>
      <c r="F772" s="4"/>
      <c r="G772" s="4"/>
      <c r="H772" s="138"/>
      <c r="I772" s="97"/>
      <c r="J772" s="6"/>
      <c r="K772" s="6"/>
      <c r="L772" s="6"/>
      <c r="M772" s="6"/>
      <c r="N772" s="6"/>
      <c r="O772" s="6"/>
      <c r="P772" s="6"/>
      <c r="Q772" s="6"/>
      <c r="R772" s="6"/>
      <c r="S772" s="6"/>
      <c r="T772" s="6"/>
      <c r="U772" s="6"/>
      <c r="V772" s="339"/>
      <c r="W772" s="339"/>
      <c r="X772" s="6"/>
      <c r="Y772" s="206"/>
      <c r="AE772" s="6"/>
      <c r="AF772" s="6"/>
      <c r="AG772" s="6"/>
      <c r="AH772" s="206"/>
      <c r="AJ772" s="213"/>
      <c r="AK772" s="6"/>
      <c r="AL772" s="6"/>
      <c r="AM772" s="6"/>
      <c r="AN772" s="206"/>
      <c r="AP772" s="213"/>
      <c r="AQ772" s="6"/>
      <c r="AR772" s="6"/>
      <c r="AS772" s="6"/>
      <c r="AT772" s="206"/>
      <c r="AV772" s="213"/>
      <c r="AW772" s="6"/>
      <c r="AX772" s="6"/>
      <c r="AY772" s="6"/>
      <c r="AZ772" s="206"/>
    </row>
    <row r="773" spans="4:52" s="2" customFormat="1" ht="17.100000000000001" customHeight="1" x14ac:dyDescent="0.25">
      <c r="D773" s="3"/>
      <c r="E773" s="3"/>
      <c r="F773" s="4"/>
      <c r="G773" s="4"/>
      <c r="H773" s="138"/>
      <c r="I773" s="97"/>
      <c r="J773" s="6"/>
      <c r="K773" s="6"/>
      <c r="L773" s="6"/>
      <c r="M773" s="6"/>
      <c r="N773" s="6"/>
      <c r="O773" s="6"/>
      <c r="P773" s="6"/>
      <c r="Q773" s="6"/>
      <c r="R773" s="6"/>
      <c r="S773" s="6"/>
      <c r="T773" s="6"/>
      <c r="U773" s="6"/>
      <c r="V773" s="339"/>
      <c r="W773" s="339"/>
      <c r="X773" s="6"/>
      <c r="Y773" s="206"/>
      <c r="AE773" s="6"/>
      <c r="AF773" s="6"/>
      <c r="AG773" s="6"/>
      <c r="AH773" s="206"/>
      <c r="AJ773" s="213"/>
      <c r="AK773" s="6"/>
      <c r="AL773" s="6"/>
      <c r="AM773" s="6"/>
      <c r="AN773" s="206"/>
      <c r="AP773" s="213"/>
      <c r="AQ773" s="6"/>
      <c r="AR773" s="6"/>
      <c r="AS773" s="6"/>
      <c r="AT773" s="206"/>
      <c r="AV773" s="213"/>
      <c r="AW773" s="6"/>
      <c r="AX773" s="6"/>
      <c r="AY773" s="6"/>
      <c r="AZ773" s="206"/>
    </row>
    <row r="774" spans="4:52" s="2" customFormat="1" ht="17.100000000000001" customHeight="1" x14ac:dyDescent="0.25">
      <c r="D774" s="3"/>
      <c r="E774" s="3"/>
      <c r="F774" s="4"/>
      <c r="G774" s="4"/>
      <c r="H774" s="138"/>
      <c r="I774" s="97"/>
      <c r="J774" s="6"/>
      <c r="K774" s="6"/>
      <c r="L774" s="6"/>
      <c r="M774" s="6"/>
      <c r="N774" s="6"/>
      <c r="O774" s="6"/>
      <c r="P774" s="6"/>
      <c r="Q774" s="6"/>
      <c r="R774" s="6"/>
      <c r="S774" s="6"/>
      <c r="T774" s="6"/>
      <c r="U774" s="6"/>
      <c r="V774" s="339"/>
      <c r="W774" s="339"/>
      <c r="X774" s="6"/>
      <c r="Y774" s="206"/>
      <c r="AE774" s="6"/>
      <c r="AF774" s="6"/>
      <c r="AG774" s="6"/>
      <c r="AH774" s="206"/>
      <c r="AJ774" s="213"/>
      <c r="AK774" s="6"/>
      <c r="AL774" s="6"/>
      <c r="AM774" s="6"/>
      <c r="AN774" s="206"/>
      <c r="AP774" s="213"/>
      <c r="AQ774" s="6"/>
      <c r="AR774" s="6"/>
      <c r="AS774" s="6"/>
      <c r="AT774" s="206"/>
      <c r="AV774" s="213"/>
      <c r="AW774" s="6"/>
      <c r="AX774" s="6"/>
      <c r="AY774" s="6"/>
      <c r="AZ774" s="206"/>
    </row>
    <row r="775" spans="4:52" s="2" customFormat="1" ht="17.100000000000001" customHeight="1" x14ac:dyDescent="0.25">
      <c r="D775" s="3"/>
      <c r="E775" s="3"/>
      <c r="F775" s="4"/>
      <c r="G775" s="4"/>
      <c r="H775" s="138"/>
      <c r="I775" s="97"/>
      <c r="J775" s="6"/>
      <c r="K775" s="6"/>
      <c r="L775" s="6"/>
      <c r="M775" s="6"/>
      <c r="N775" s="6"/>
      <c r="O775" s="6"/>
      <c r="P775" s="6"/>
      <c r="Q775" s="6"/>
      <c r="R775" s="6"/>
      <c r="S775" s="6"/>
      <c r="T775" s="6"/>
      <c r="U775" s="6"/>
      <c r="V775" s="339"/>
      <c r="W775" s="339"/>
      <c r="X775" s="6"/>
      <c r="Y775" s="206"/>
      <c r="AE775" s="6"/>
      <c r="AF775" s="6"/>
      <c r="AG775" s="6"/>
      <c r="AH775" s="206"/>
      <c r="AJ775" s="213"/>
      <c r="AK775" s="6"/>
      <c r="AL775" s="6"/>
      <c r="AM775" s="6"/>
      <c r="AN775" s="206"/>
      <c r="AP775" s="213"/>
      <c r="AQ775" s="6"/>
      <c r="AR775" s="6"/>
      <c r="AS775" s="6"/>
      <c r="AT775" s="206"/>
      <c r="AV775" s="213"/>
      <c r="AW775" s="6"/>
      <c r="AX775" s="6"/>
      <c r="AY775" s="6"/>
      <c r="AZ775" s="206"/>
    </row>
    <row r="776" spans="4:52" s="2" customFormat="1" ht="17.100000000000001" customHeight="1" x14ac:dyDescent="0.25">
      <c r="D776" s="3"/>
      <c r="E776" s="3"/>
      <c r="F776" s="4"/>
      <c r="G776" s="4"/>
      <c r="H776" s="138"/>
      <c r="I776" s="97"/>
      <c r="J776" s="6"/>
      <c r="K776" s="6"/>
      <c r="L776" s="6"/>
      <c r="M776" s="6"/>
      <c r="N776" s="6"/>
      <c r="O776" s="6"/>
      <c r="P776" s="6"/>
      <c r="Q776" s="6"/>
      <c r="R776" s="6"/>
      <c r="S776" s="6"/>
      <c r="T776" s="6"/>
      <c r="U776" s="6"/>
      <c r="V776" s="339"/>
      <c r="W776" s="339"/>
      <c r="X776" s="6"/>
      <c r="Y776" s="206"/>
      <c r="AE776" s="6"/>
      <c r="AF776" s="6"/>
      <c r="AG776" s="6"/>
      <c r="AH776" s="206"/>
      <c r="AJ776" s="213"/>
      <c r="AK776" s="6"/>
      <c r="AL776" s="6"/>
      <c r="AM776" s="6"/>
      <c r="AN776" s="206"/>
      <c r="AP776" s="213"/>
      <c r="AQ776" s="6"/>
      <c r="AR776" s="6"/>
      <c r="AS776" s="6"/>
      <c r="AT776" s="206"/>
      <c r="AV776" s="213"/>
      <c r="AW776" s="6"/>
      <c r="AX776" s="6"/>
      <c r="AY776" s="6"/>
      <c r="AZ776" s="206"/>
    </row>
    <row r="777" spans="4:52" s="2" customFormat="1" ht="17.100000000000001" customHeight="1" x14ac:dyDescent="0.25">
      <c r="D777" s="3"/>
      <c r="E777" s="3"/>
      <c r="F777" s="4"/>
      <c r="G777" s="4"/>
      <c r="H777" s="138"/>
      <c r="I777" s="97"/>
      <c r="J777" s="6"/>
      <c r="K777" s="6"/>
      <c r="L777" s="6"/>
      <c r="M777" s="6"/>
      <c r="N777" s="6"/>
      <c r="O777" s="6"/>
      <c r="P777" s="6"/>
      <c r="Q777" s="6"/>
      <c r="R777" s="6"/>
      <c r="S777" s="6"/>
      <c r="T777" s="6"/>
      <c r="U777" s="6"/>
      <c r="V777" s="339"/>
      <c r="W777" s="339"/>
      <c r="X777" s="6"/>
      <c r="Y777" s="206"/>
      <c r="AE777" s="6"/>
      <c r="AF777" s="6"/>
      <c r="AG777" s="6"/>
      <c r="AH777" s="206"/>
      <c r="AJ777" s="213"/>
      <c r="AK777" s="6"/>
      <c r="AL777" s="6"/>
      <c r="AM777" s="6"/>
      <c r="AN777" s="206"/>
      <c r="AP777" s="213"/>
      <c r="AQ777" s="6"/>
      <c r="AR777" s="6"/>
      <c r="AS777" s="6"/>
      <c r="AT777" s="206"/>
      <c r="AV777" s="213"/>
      <c r="AW777" s="6"/>
      <c r="AX777" s="6"/>
      <c r="AY777" s="6"/>
      <c r="AZ777" s="206"/>
    </row>
    <row r="778" spans="4:52" s="2" customFormat="1" ht="17.100000000000001" customHeight="1" x14ac:dyDescent="0.25">
      <c r="D778" s="3"/>
      <c r="E778" s="3"/>
      <c r="F778" s="4"/>
      <c r="G778" s="4"/>
      <c r="H778" s="138"/>
      <c r="I778" s="97"/>
      <c r="J778" s="6"/>
      <c r="K778" s="6"/>
      <c r="L778" s="6"/>
      <c r="M778" s="6"/>
      <c r="N778" s="6"/>
      <c r="O778" s="6"/>
      <c r="P778" s="6"/>
      <c r="Q778" s="6"/>
      <c r="R778" s="6"/>
      <c r="S778" s="6"/>
      <c r="T778" s="6"/>
      <c r="U778" s="6"/>
      <c r="V778" s="339"/>
      <c r="W778" s="339"/>
      <c r="X778" s="6"/>
      <c r="Y778" s="206"/>
      <c r="AE778" s="6"/>
      <c r="AF778" s="6"/>
      <c r="AG778" s="6"/>
      <c r="AH778" s="206"/>
      <c r="AJ778" s="213"/>
      <c r="AK778" s="6"/>
      <c r="AL778" s="6"/>
      <c r="AM778" s="6"/>
      <c r="AN778" s="206"/>
      <c r="AP778" s="213"/>
      <c r="AQ778" s="6"/>
      <c r="AR778" s="6"/>
      <c r="AS778" s="6"/>
      <c r="AT778" s="206"/>
      <c r="AV778" s="213"/>
      <c r="AW778" s="6"/>
      <c r="AX778" s="6"/>
      <c r="AY778" s="6"/>
      <c r="AZ778" s="206"/>
    </row>
    <row r="779" spans="4:52" s="2" customFormat="1" ht="17.100000000000001" customHeight="1" x14ac:dyDescent="0.25">
      <c r="D779" s="3"/>
      <c r="E779" s="3"/>
      <c r="F779" s="4"/>
      <c r="G779" s="4"/>
      <c r="H779" s="138"/>
      <c r="I779" s="97"/>
      <c r="J779" s="6"/>
      <c r="K779" s="6"/>
      <c r="L779" s="6"/>
      <c r="M779" s="6"/>
      <c r="N779" s="6"/>
      <c r="O779" s="6"/>
      <c r="P779" s="6"/>
      <c r="Q779" s="6"/>
      <c r="R779" s="6"/>
      <c r="S779" s="6"/>
      <c r="T779" s="6"/>
      <c r="U779" s="6"/>
      <c r="V779" s="339"/>
      <c r="W779" s="339"/>
      <c r="X779" s="6"/>
      <c r="Y779" s="206"/>
      <c r="AE779" s="6"/>
      <c r="AF779" s="6"/>
      <c r="AG779" s="6"/>
      <c r="AH779" s="206"/>
      <c r="AJ779" s="213"/>
      <c r="AK779" s="6"/>
      <c r="AL779" s="6"/>
      <c r="AM779" s="6"/>
      <c r="AN779" s="206"/>
      <c r="AP779" s="213"/>
      <c r="AQ779" s="6"/>
      <c r="AR779" s="6"/>
      <c r="AS779" s="6"/>
      <c r="AT779" s="206"/>
      <c r="AV779" s="213"/>
      <c r="AW779" s="6"/>
      <c r="AX779" s="6"/>
      <c r="AY779" s="6"/>
      <c r="AZ779" s="206"/>
    </row>
    <row r="780" spans="4:52" s="2" customFormat="1" ht="17.100000000000001" customHeight="1" x14ac:dyDescent="0.25">
      <c r="D780" s="3"/>
      <c r="E780" s="3"/>
      <c r="F780" s="4"/>
      <c r="G780" s="4"/>
      <c r="H780" s="138"/>
      <c r="I780" s="97"/>
      <c r="J780" s="6"/>
      <c r="K780" s="6"/>
      <c r="L780" s="6"/>
      <c r="M780" s="6"/>
      <c r="N780" s="6"/>
      <c r="O780" s="6"/>
      <c r="P780" s="6"/>
      <c r="Q780" s="6"/>
      <c r="R780" s="6"/>
      <c r="S780" s="6"/>
      <c r="T780" s="6"/>
      <c r="U780" s="6"/>
      <c r="V780" s="339"/>
      <c r="W780" s="339"/>
      <c r="X780" s="6"/>
      <c r="Y780" s="206"/>
      <c r="AE780" s="6"/>
      <c r="AF780" s="6"/>
      <c r="AG780" s="6"/>
      <c r="AH780" s="206"/>
      <c r="AJ780" s="213"/>
      <c r="AK780" s="6"/>
      <c r="AL780" s="6"/>
      <c r="AM780" s="6"/>
      <c r="AN780" s="206"/>
      <c r="AP780" s="213"/>
      <c r="AQ780" s="6"/>
      <c r="AR780" s="6"/>
      <c r="AS780" s="6"/>
      <c r="AT780" s="206"/>
      <c r="AV780" s="213"/>
      <c r="AW780" s="6"/>
      <c r="AX780" s="6"/>
      <c r="AY780" s="6"/>
      <c r="AZ780" s="206"/>
    </row>
    <row r="781" spans="4:52" s="2" customFormat="1" ht="17.100000000000001" customHeight="1" x14ac:dyDescent="0.25">
      <c r="D781" s="3"/>
      <c r="E781" s="3"/>
      <c r="F781" s="4"/>
      <c r="G781" s="4"/>
      <c r="H781" s="138"/>
      <c r="I781" s="97"/>
      <c r="J781" s="6"/>
      <c r="K781" s="6"/>
      <c r="L781" s="6"/>
      <c r="M781" s="6"/>
      <c r="N781" s="6"/>
      <c r="O781" s="6"/>
      <c r="P781" s="6"/>
      <c r="Q781" s="6"/>
      <c r="R781" s="6"/>
      <c r="S781" s="6"/>
      <c r="T781" s="6"/>
      <c r="U781" s="6"/>
      <c r="V781" s="339"/>
      <c r="W781" s="339"/>
      <c r="X781" s="6"/>
      <c r="Y781" s="206"/>
      <c r="AE781" s="6"/>
      <c r="AF781" s="6"/>
      <c r="AG781" s="6"/>
      <c r="AH781" s="206"/>
      <c r="AJ781" s="213"/>
      <c r="AK781" s="6"/>
      <c r="AL781" s="6"/>
      <c r="AM781" s="6"/>
      <c r="AN781" s="206"/>
      <c r="AP781" s="213"/>
      <c r="AQ781" s="6"/>
      <c r="AR781" s="6"/>
      <c r="AS781" s="6"/>
      <c r="AT781" s="206"/>
      <c r="AV781" s="213"/>
      <c r="AW781" s="6"/>
      <c r="AX781" s="6"/>
      <c r="AY781" s="6"/>
      <c r="AZ781" s="206"/>
    </row>
    <row r="782" spans="4:52" s="2" customFormat="1" ht="17.100000000000001" customHeight="1" x14ac:dyDescent="0.25">
      <c r="D782" s="3"/>
      <c r="E782" s="3"/>
      <c r="F782" s="4"/>
      <c r="G782" s="4"/>
      <c r="H782" s="138"/>
      <c r="I782" s="97"/>
      <c r="J782" s="6"/>
      <c r="K782" s="6"/>
      <c r="L782" s="6"/>
      <c r="M782" s="6"/>
      <c r="N782" s="6"/>
      <c r="O782" s="6"/>
      <c r="P782" s="6"/>
      <c r="Q782" s="6"/>
      <c r="R782" s="6"/>
      <c r="S782" s="6"/>
      <c r="T782" s="6"/>
      <c r="U782" s="6"/>
      <c r="V782" s="339"/>
      <c r="W782" s="339"/>
      <c r="X782" s="6"/>
      <c r="Y782" s="206"/>
      <c r="AE782" s="6"/>
      <c r="AF782" s="6"/>
      <c r="AG782" s="6"/>
      <c r="AH782" s="206"/>
      <c r="AJ782" s="213"/>
      <c r="AK782" s="6"/>
      <c r="AL782" s="6"/>
      <c r="AM782" s="6"/>
      <c r="AN782" s="206"/>
      <c r="AP782" s="213"/>
      <c r="AQ782" s="6"/>
      <c r="AR782" s="6"/>
      <c r="AS782" s="6"/>
      <c r="AT782" s="206"/>
      <c r="AV782" s="213"/>
      <c r="AW782" s="6"/>
      <c r="AX782" s="6"/>
      <c r="AY782" s="6"/>
      <c r="AZ782" s="206"/>
    </row>
    <row r="783" spans="4:52" s="2" customFormat="1" ht="17.100000000000001" customHeight="1" x14ac:dyDescent="0.25">
      <c r="D783" s="3"/>
      <c r="E783" s="3"/>
      <c r="F783" s="4"/>
      <c r="G783" s="4"/>
      <c r="H783" s="138"/>
      <c r="I783" s="97"/>
      <c r="J783" s="6"/>
      <c r="K783" s="6"/>
      <c r="L783" s="6"/>
      <c r="M783" s="6"/>
      <c r="N783" s="6"/>
      <c r="O783" s="6"/>
      <c r="P783" s="6"/>
      <c r="Q783" s="6"/>
      <c r="R783" s="6"/>
      <c r="S783" s="6"/>
      <c r="T783" s="6"/>
      <c r="U783" s="6"/>
      <c r="V783" s="339"/>
      <c r="W783" s="339"/>
      <c r="X783" s="6"/>
      <c r="Y783" s="206"/>
      <c r="AE783" s="6"/>
      <c r="AF783" s="6"/>
      <c r="AG783" s="6"/>
      <c r="AH783" s="206"/>
      <c r="AJ783" s="213"/>
      <c r="AK783" s="6"/>
      <c r="AL783" s="6"/>
      <c r="AM783" s="6"/>
      <c r="AN783" s="206"/>
      <c r="AP783" s="213"/>
      <c r="AQ783" s="6"/>
      <c r="AR783" s="6"/>
      <c r="AS783" s="6"/>
      <c r="AT783" s="206"/>
      <c r="AV783" s="213"/>
      <c r="AW783" s="6"/>
      <c r="AX783" s="6"/>
      <c r="AY783" s="6"/>
      <c r="AZ783" s="206"/>
    </row>
    <row r="784" spans="4:52" s="2" customFormat="1" ht="17.100000000000001" customHeight="1" x14ac:dyDescent="0.25">
      <c r="D784" s="3"/>
      <c r="E784" s="3"/>
      <c r="F784" s="4"/>
      <c r="G784" s="4"/>
      <c r="H784" s="138"/>
      <c r="I784" s="97"/>
      <c r="J784" s="6"/>
      <c r="K784" s="6"/>
      <c r="L784" s="6"/>
      <c r="M784" s="6"/>
      <c r="N784" s="6"/>
      <c r="O784" s="6"/>
      <c r="P784" s="6"/>
      <c r="Q784" s="6"/>
      <c r="R784" s="6"/>
      <c r="S784" s="6"/>
      <c r="T784" s="6"/>
      <c r="U784" s="6"/>
      <c r="V784" s="339"/>
      <c r="W784" s="339"/>
      <c r="X784" s="6"/>
      <c r="Y784" s="206"/>
      <c r="AE784" s="6"/>
      <c r="AF784" s="6"/>
      <c r="AG784" s="6"/>
      <c r="AH784" s="206"/>
      <c r="AJ784" s="213"/>
      <c r="AK784" s="6"/>
      <c r="AL784" s="6"/>
      <c r="AM784" s="6"/>
      <c r="AN784" s="206"/>
      <c r="AP784" s="213"/>
      <c r="AQ784" s="6"/>
      <c r="AR784" s="6"/>
      <c r="AS784" s="6"/>
      <c r="AT784" s="206"/>
      <c r="AV784" s="213"/>
      <c r="AW784" s="6"/>
      <c r="AX784" s="6"/>
      <c r="AY784" s="6"/>
      <c r="AZ784" s="206"/>
    </row>
    <row r="785" spans="4:52" s="2" customFormat="1" ht="17.100000000000001" customHeight="1" x14ac:dyDescent="0.25">
      <c r="D785" s="3"/>
      <c r="E785" s="3"/>
      <c r="F785" s="4"/>
      <c r="G785" s="4"/>
      <c r="H785" s="138"/>
      <c r="I785" s="97"/>
      <c r="J785" s="6"/>
      <c r="K785" s="6"/>
      <c r="L785" s="6"/>
      <c r="M785" s="6"/>
      <c r="N785" s="6"/>
      <c r="O785" s="6"/>
      <c r="P785" s="6"/>
      <c r="Q785" s="6"/>
      <c r="R785" s="6"/>
      <c r="S785" s="6"/>
      <c r="T785" s="6"/>
      <c r="U785" s="6"/>
      <c r="V785" s="339"/>
      <c r="W785" s="339"/>
      <c r="X785" s="6"/>
      <c r="Y785" s="206"/>
      <c r="AE785" s="6"/>
      <c r="AF785" s="6"/>
      <c r="AG785" s="6"/>
      <c r="AH785" s="206"/>
      <c r="AJ785" s="213"/>
      <c r="AK785" s="6"/>
      <c r="AL785" s="6"/>
      <c r="AM785" s="6"/>
      <c r="AN785" s="206"/>
      <c r="AP785" s="213"/>
      <c r="AQ785" s="6"/>
      <c r="AR785" s="6"/>
      <c r="AS785" s="6"/>
      <c r="AT785" s="206"/>
      <c r="AV785" s="213"/>
      <c r="AW785" s="6"/>
      <c r="AX785" s="6"/>
      <c r="AY785" s="6"/>
      <c r="AZ785" s="206"/>
    </row>
    <row r="786" spans="4:52" s="2" customFormat="1" ht="17.100000000000001" customHeight="1" x14ac:dyDescent="0.25">
      <c r="D786" s="3"/>
      <c r="E786" s="3"/>
      <c r="F786" s="4"/>
      <c r="G786" s="4"/>
      <c r="H786" s="138"/>
      <c r="I786" s="97"/>
      <c r="J786" s="6"/>
      <c r="K786" s="6"/>
      <c r="L786" s="6"/>
      <c r="M786" s="6"/>
      <c r="N786" s="6"/>
      <c r="O786" s="6"/>
      <c r="P786" s="6"/>
      <c r="Q786" s="6"/>
      <c r="R786" s="6"/>
      <c r="S786" s="6"/>
      <c r="T786" s="6"/>
      <c r="U786" s="6"/>
      <c r="V786" s="339"/>
      <c r="W786" s="339"/>
      <c r="X786" s="6"/>
      <c r="Y786" s="206"/>
      <c r="AE786" s="6"/>
      <c r="AF786" s="6"/>
      <c r="AG786" s="6"/>
      <c r="AH786" s="206"/>
      <c r="AJ786" s="213"/>
      <c r="AK786" s="6"/>
      <c r="AL786" s="6"/>
      <c r="AM786" s="6"/>
      <c r="AN786" s="206"/>
      <c r="AP786" s="213"/>
      <c r="AQ786" s="6"/>
      <c r="AR786" s="6"/>
      <c r="AS786" s="6"/>
      <c r="AT786" s="206"/>
      <c r="AV786" s="213"/>
      <c r="AW786" s="6"/>
      <c r="AX786" s="6"/>
      <c r="AY786" s="6"/>
      <c r="AZ786" s="206"/>
    </row>
    <row r="787" spans="4:52" s="2" customFormat="1" ht="17.100000000000001" customHeight="1" x14ac:dyDescent="0.25">
      <c r="D787" s="3"/>
      <c r="E787" s="3"/>
      <c r="F787" s="4"/>
      <c r="G787" s="4"/>
      <c r="H787" s="138"/>
      <c r="I787" s="97"/>
      <c r="J787" s="6"/>
      <c r="K787" s="6"/>
      <c r="L787" s="6"/>
      <c r="M787" s="6"/>
      <c r="N787" s="6"/>
      <c r="O787" s="6"/>
      <c r="P787" s="6"/>
      <c r="Q787" s="6"/>
      <c r="R787" s="6"/>
      <c r="S787" s="6"/>
      <c r="T787" s="6"/>
      <c r="U787" s="6"/>
      <c r="V787" s="339"/>
      <c r="W787" s="339"/>
      <c r="X787" s="6"/>
      <c r="Y787" s="206"/>
      <c r="AE787" s="6"/>
      <c r="AF787" s="6"/>
      <c r="AG787" s="6"/>
      <c r="AH787" s="206"/>
      <c r="AJ787" s="213"/>
      <c r="AK787" s="6"/>
      <c r="AL787" s="6"/>
      <c r="AM787" s="6"/>
      <c r="AN787" s="206"/>
      <c r="AP787" s="213"/>
      <c r="AQ787" s="6"/>
      <c r="AR787" s="6"/>
      <c r="AS787" s="6"/>
      <c r="AT787" s="206"/>
      <c r="AV787" s="213"/>
      <c r="AW787" s="6"/>
      <c r="AX787" s="6"/>
      <c r="AY787" s="6"/>
      <c r="AZ787" s="206"/>
    </row>
    <row r="788" spans="4:52" s="2" customFormat="1" ht="17.100000000000001" customHeight="1" x14ac:dyDescent="0.25">
      <c r="D788" s="3"/>
      <c r="E788" s="3"/>
      <c r="F788" s="4"/>
      <c r="G788" s="4"/>
      <c r="H788" s="138"/>
      <c r="I788" s="97"/>
      <c r="J788" s="6"/>
      <c r="K788" s="6"/>
      <c r="L788" s="6"/>
      <c r="M788" s="6"/>
      <c r="N788" s="6"/>
      <c r="O788" s="6"/>
      <c r="P788" s="6"/>
      <c r="Q788" s="6"/>
      <c r="R788" s="6"/>
      <c r="S788" s="6"/>
      <c r="T788" s="6"/>
      <c r="U788" s="6"/>
      <c r="V788" s="339"/>
      <c r="W788" s="339"/>
      <c r="X788" s="6"/>
      <c r="Y788" s="206"/>
      <c r="AE788" s="6"/>
      <c r="AF788" s="6"/>
      <c r="AG788" s="6"/>
      <c r="AH788" s="206"/>
      <c r="AJ788" s="213"/>
      <c r="AK788" s="6"/>
      <c r="AL788" s="6"/>
      <c r="AM788" s="6"/>
      <c r="AN788" s="206"/>
      <c r="AP788" s="213"/>
      <c r="AQ788" s="6"/>
      <c r="AR788" s="6"/>
      <c r="AS788" s="6"/>
      <c r="AT788" s="206"/>
      <c r="AV788" s="213"/>
      <c r="AW788" s="6"/>
      <c r="AX788" s="6"/>
      <c r="AY788" s="6"/>
      <c r="AZ788" s="206"/>
    </row>
    <row r="789" spans="4:52" s="2" customFormat="1" ht="17.100000000000001" customHeight="1" x14ac:dyDescent="0.25">
      <c r="D789" s="3"/>
      <c r="E789" s="3"/>
      <c r="F789" s="4"/>
      <c r="G789" s="4"/>
      <c r="H789" s="138"/>
      <c r="I789" s="97"/>
      <c r="J789" s="6"/>
      <c r="K789" s="6"/>
      <c r="L789" s="6"/>
      <c r="M789" s="6"/>
      <c r="N789" s="6"/>
      <c r="O789" s="6"/>
      <c r="P789" s="6"/>
      <c r="Q789" s="6"/>
      <c r="R789" s="6"/>
      <c r="S789" s="6"/>
      <c r="T789" s="6"/>
      <c r="U789" s="6"/>
      <c r="V789" s="339"/>
      <c r="W789" s="339"/>
      <c r="X789" s="6"/>
      <c r="Y789" s="206"/>
      <c r="AE789" s="6"/>
      <c r="AF789" s="6"/>
      <c r="AG789" s="6"/>
      <c r="AH789" s="206"/>
      <c r="AJ789" s="213"/>
      <c r="AK789" s="6"/>
      <c r="AL789" s="6"/>
      <c r="AM789" s="6"/>
      <c r="AN789" s="206"/>
      <c r="AP789" s="213"/>
      <c r="AQ789" s="6"/>
      <c r="AR789" s="6"/>
      <c r="AS789" s="6"/>
      <c r="AT789" s="206"/>
      <c r="AV789" s="213"/>
      <c r="AW789" s="6"/>
      <c r="AX789" s="6"/>
      <c r="AY789" s="6"/>
      <c r="AZ789" s="206"/>
    </row>
    <row r="790" spans="4:52" s="2" customFormat="1" ht="17.100000000000001" customHeight="1" x14ac:dyDescent="0.25">
      <c r="D790" s="3"/>
      <c r="E790" s="3"/>
      <c r="F790" s="4"/>
      <c r="G790" s="4"/>
      <c r="H790" s="138"/>
      <c r="I790" s="97"/>
      <c r="J790" s="6"/>
      <c r="K790" s="6"/>
      <c r="L790" s="6"/>
      <c r="M790" s="6"/>
      <c r="N790" s="6"/>
      <c r="O790" s="6"/>
      <c r="P790" s="6"/>
      <c r="Q790" s="6"/>
      <c r="R790" s="6"/>
      <c r="S790" s="6"/>
      <c r="T790" s="6"/>
      <c r="U790" s="6"/>
      <c r="V790" s="339"/>
      <c r="W790" s="339"/>
      <c r="X790" s="6"/>
      <c r="Y790" s="206"/>
      <c r="AE790" s="6"/>
      <c r="AF790" s="6"/>
      <c r="AG790" s="6"/>
      <c r="AH790" s="206"/>
      <c r="AJ790" s="213"/>
      <c r="AK790" s="6"/>
      <c r="AL790" s="6"/>
      <c r="AM790" s="6"/>
      <c r="AN790" s="206"/>
      <c r="AP790" s="213"/>
      <c r="AQ790" s="6"/>
      <c r="AR790" s="6"/>
      <c r="AS790" s="6"/>
      <c r="AT790" s="206"/>
      <c r="AV790" s="213"/>
      <c r="AW790" s="6"/>
      <c r="AX790" s="6"/>
      <c r="AY790" s="6"/>
      <c r="AZ790" s="206"/>
    </row>
    <row r="791" spans="4:52" s="2" customFormat="1" ht="17.100000000000001" customHeight="1" x14ac:dyDescent="0.25">
      <c r="D791" s="3"/>
      <c r="E791" s="3"/>
      <c r="F791" s="4"/>
      <c r="G791" s="4"/>
      <c r="H791" s="138"/>
      <c r="I791" s="97"/>
      <c r="J791" s="6"/>
      <c r="K791" s="6"/>
      <c r="L791" s="6"/>
      <c r="M791" s="6"/>
      <c r="N791" s="6"/>
      <c r="O791" s="6"/>
      <c r="P791" s="6"/>
      <c r="Q791" s="6"/>
      <c r="R791" s="6"/>
      <c r="S791" s="6"/>
      <c r="T791" s="6"/>
      <c r="U791" s="6"/>
      <c r="V791" s="339"/>
      <c r="W791" s="339"/>
      <c r="X791" s="6"/>
      <c r="Y791" s="206"/>
      <c r="AE791" s="6"/>
      <c r="AF791" s="6"/>
      <c r="AG791" s="6"/>
      <c r="AH791" s="206"/>
      <c r="AJ791" s="213"/>
      <c r="AK791" s="6"/>
      <c r="AL791" s="6"/>
      <c r="AM791" s="6"/>
      <c r="AN791" s="206"/>
      <c r="AP791" s="213"/>
      <c r="AQ791" s="6"/>
      <c r="AR791" s="6"/>
      <c r="AS791" s="6"/>
      <c r="AT791" s="206"/>
      <c r="AV791" s="213"/>
      <c r="AW791" s="6"/>
      <c r="AX791" s="6"/>
      <c r="AY791" s="6"/>
      <c r="AZ791" s="206"/>
    </row>
    <row r="792" spans="4:52" s="2" customFormat="1" ht="17.100000000000001" customHeight="1" x14ac:dyDescent="0.25">
      <c r="D792" s="3"/>
      <c r="E792" s="3"/>
      <c r="F792" s="4"/>
      <c r="G792" s="4"/>
      <c r="H792" s="138"/>
      <c r="I792" s="97"/>
      <c r="J792" s="6"/>
      <c r="K792" s="6"/>
      <c r="L792" s="6"/>
      <c r="M792" s="6"/>
      <c r="N792" s="6"/>
      <c r="O792" s="6"/>
      <c r="P792" s="6"/>
      <c r="Q792" s="6"/>
      <c r="R792" s="6"/>
      <c r="S792" s="6"/>
      <c r="T792" s="6"/>
      <c r="U792" s="6"/>
      <c r="V792" s="339"/>
      <c r="W792" s="339"/>
      <c r="X792" s="6"/>
      <c r="Y792" s="206"/>
      <c r="AE792" s="6"/>
      <c r="AF792" s="6"/>
      <c r="AG792" s="6"/>
      <c r="AH792" s="206"/>
      <c r="AJ792" s="213"/>
      <c r="AK792" s="6"/>
      <c r="AL792" s="6"/>
      <c r="AM792" s="6"/>
      <c r="AN792" s="206"/>
      <c r="AP792" s="213"/>
      <c r="AQ792" s="6"/>
      <c r="AR792" s="6"/>
      <c r="AS792" s="6"/>
      <c r="AT792" s="206"/>
      <c r="AV792" s="213"/>
      <c r="AW792" s="6"/>
      <c r="AX792" s="6"/>
      <c r="AY792" s="6"/>
      <c r="AZ792" s="206"/>
    </row>
    <row r="793" spans="4:52" s="2" customFormat="1" ht="17.100000000000001" customHeight="1" x14ac:dyDescent="0.25">
      <c r="D793" s="3"/>
      <c r="E793" s="3"/>
      <c r="F793" s="4"/>
      <c r="G793" s="4"/>
      <c r="H793" s="138"/>
      <c r="I793" s="97"/>
      <c r="J793" s="6"/>
      <c r="K793" s="6"/>
      <c r="L793" s="6"/>
      <c r="M793" s="6"/>
      <c r="N793" s="6"/>
      <c r="O793" s="6"/>
      <c r="P793" s="6"/>
      <c r="Q793" s="6"/>
      <c r="R793" s="6"/>
      <c r="S793" s="6"/>
      <c r="T793" s="6"/>
      <c r="U793" s="6"/>
      <c r="V793" s="339"/>
      <c r="W793" s="339"/>
      <c r="X793" s="6"/>
      <c r="Y793" s="206"/>
      <c r="AE793" s="6"/>
      <c r="AF793" s="6"/>
      <c r="AG793" s="6"/>
      <c r="AH793" s="206"/>
      <c r="AJ793" s="213"/>
      <c r="AK793" s="6"/>
      <c r="AL793" s="6"/>
      <c r="AM793" s="6"/>
      <c r="AN793" s="206"/>
      <c r="AP793" s="213"/>
      <c r="AQ793" s="6"/>
      <c r="AR793" s="6"/>
      <c r="AS793" s="6"/>
      <c r="AT793" s="206"/>
      <c r="AV793" s="213"/>
      <c r="AW793" s="6"/>
      <c r="AX793" s="6"/>
      <c r="AY793" s="6"/>
      <c r="AZ793" s="206"/>
    </row>
    <row r="794" spans="4:52" s="2" customFormat="1" ht="17.100000000000001" customHeight="1" x14ac:dyDescent="0.25">
      <c r="D794" s="3"/>
      <c r="E794" s="3"/>
      <c r="F794" s="4"/>
      <c r="G794" s="4"/>
      <c r="H794" s="138"/>
      <c r="I794" s="97"/>
      <c r="J794" s="6"/>
      <c r="K794" s="6"/>
      <c r="L794" s="6"/>
      <c r="M794" s="6"/>
      <c r="N794" s="6"/>
      <c r="O794" s="6"/>
      <c r="P794" s="6"/>
      <c r="Q794" s="6"/>
      <c r="R794" s="6"/>
      <c r="S794" s="6"/>
      <c r="T794" s="6"/>
      <c r="U794" s="6"/>
      <c r="V794" s="339"/>
      <c r="W794" s="339"/>
      <c r="X794" s="6"/>
      <c r="Y794" s="206"/>
      <c r="AE794" s="6"/>
      <c r="AF794" s="6"/>
      <c r="AG794" s="6"/>
      <c r="AH794" s="206"/>
      <c r="AJ794" s="213"/>
      <c r="AK794" s="6"/>
      <c r="AL794" s="6"/>
      <c r="AM794" s="6"/>
      <c r="AN794" s="206"/>
      <c r="AP794" s="213"/>
      <c r="AQ794" s="6"/>
      <c r="AR794" s="6"/>
      <c r="AS794" s="6"/>
      <c r="AT794" s="206"/>
      <c r="AV794" s="213"/>
      <c r="AW794" s="6"/>
      <c r="AX794" s="6"/>
      <c r="AY794" s="6"/>
      <c r="AZ794" s="206"/>
    </row>
    <row r="795" spans="4:52" s="2" customFormat="1" ht="17.100000000000001" customHeight="1" x14ac:dyDescent="0.25">
      <c r="D795" s="3"/>
      <c r="E795" s="3"/>
      <c r="F795" s="4"/>
      <c r="G795" s="4"/>
      <c r="H795" s="138"/>
      <c r="I795" s="97"/>
      <c r="J795" s="6"/>
      <c r="K795" s="6"/>
      <c r="L795" s="6"/>
      <c r="M795" s="6"/>
      <c r="N795" s="6"/>
      <c r="O795" s="6"/>
      <c r="P795" s="6"/>
      <c r="Q795" s="6"/>
      <c r="R795" s="6"/>
      <c r="S795" s="6"/>
      <c r="T795" s="6"/>
      <c r="U795" s="6"/>
      <c r="V795" s="339"/>
      <c r="W795" s="339"/>
      <c r="X795" s="6"/>
      <c r="Y795" s="206"/>
      <c r="AE795" s="6"/>
      <c r="AF795" s="6"/>
      <c r="AG795" s="6"/>
      <c r="AH795" s="206"/>
      <c r="AJ795" s="213"/>
      <c r="AK795" s="6"/>
      <c r="AL795" s="6"/>
      <c r="AM795" s="6"/>
      <c r="AN795" s="206"/>
      <c r="AP795" s="213"/>
      <c r="AQ795" s="6"/>
      <c r="AR795" s="6"/>
      <c r="AS795" s="6"/>
      <c r="AT795" s="206"/>
      <c r="AV795" s="213"/>
      <c r="AW795" s="6"/>
      <c r="AX795" s="6"/>
      <c r="AY795" s="6"/>
      <c r="AZ795" s="206"/>
    </row>
    <row r="796" spans="4:52" s="2" customFormat="1" ht="17.100000000000001" customHeight="1" x14ac:dyDescent="0.25">
      <c r="D796" s="3"/>
      <c r="E796" s="3"/>
      <c r="F796" s="4"/>
      <c r="G796" s="4"/>
      <c r="H796" s="138"/>
      <c r="I796" s="97"/>
      <c r="J796" s="6"/>
      <c r="K796" s="6"/>
      <c r="L796" s="6"/>
      <c r="M796" s="6"/>
      <c r="N796" s="6"/>
      <c r="O796" s="6"/>
      <c r="P796" s="6"/>
      <c r="Q796" s="6"/>
      <c r="R796" s="6"/>
      <c r="S796" s="6"/>
      <c r="T796" s="6"/>
      <c r="U796" s="6"/>
      <c r="V796" s="339"/>
      <c r="W796" s="339"/>
      <c r="X796" s="6"/>
      <c r="Y796" s="206"/>
      <c r="AE796" s="6"/>
      <c r="AF796" s="6"/>
      <c r="AG796" s="6"/>
      <c r="AH796" s="206"/>
      <c r="AJ796" s="213"/>
      <c r="AK796" s="6"/>
      <c r="AL796" s="6"/>
      <c r="AM796" s="6"/>
      <c r="AN796" s="206"/>
      <c r="AP796" s="213"/>
      <c r="AQ796" s="6"/>
      <c r="AR796" s="6"/>
      <c r="AS796" s="6"/>
      <c r="AT796" s="206"/>
      <c r="AV796" s="213"/>
      <c r="AW796" s="6"/>
      <c r="AX796" s="6"/>
      <c r="AY796" s="6"/>
      <c r="AZ796" s="206"/>
    </row>
    <row r="797" spans="4:52" s="2" customFormat="1" ht="17.100000000000001" customHeight="1" x14ac:dyDescent="0.25">
      <c r="D797" s="3"/>
      <c r="E797" s="3"/>
      <c r="F797" s="4"/>
      <c r="G797" s="4"/>
      <c r="H797" s="138"/>
      <c r="I797" s="97"/>
      <c r="J797" s="6"/>
      <c r="K797" s="6"/>
      <c r="L797" s="6"/>
      <c r="M797" s="6"/>
      <c r="N797" s="6"/>
      <c r="O797" s="6"/>
      <c r="P797" s="6"/>
      <c r="Q797" s="6"/>
      <c r="R797" s="6"/>
      <c r="S797" s="6"/>
      <c r="T797" s="6"/>
      <c r="U797" s="6"/>
      <c r="V797" s="339"/>
      <c r="W797" s="339"/>
      <c r="X797" s="6"/>
      <c r="Y797" s="206"/>
      <c r="AE797" s="6"/>
      <c r="AF797" s="6"/>
      <c r="AG797" s="6"/>
      <c r="AH797" s="206"/>
      <c r="AJ797" s="213"/>
      <c r="AK797" s="6"/>
      <c r="AL797" s="6"/>
      <c r="AM797" s="6"/>
      <c r="AN797" s="206"/>
      <c r="AP797" s="213"/>
      <c r="AQ797" s="6"/>
      <c r="AR797" s="6"/>
      <c r="AS797" s="6"/>
      <c r="AT797" s="206"/>
      <c r="AV797" s="213"/>
      <c r="AW797" s="6"/>
      <c r="AX797" s="6"/>
      <c r="AY797" s="6"/>
      <c r="AZ797" s="206"/>
    </row>
    <row r="798" spans="4:52" s="2" customFormat="1" ht="17.100000000000001" customHeight="1" x14ac:dyDescent="0.25">
      <c r="D798" s="3"/>
      <c r="E798" s="3"/>
      <c r="F798" s="4"/>
      <c r="G798" s="4"/>
      <c r="H798" s="138"/>
      <c r="I798" s="97"/>
      <c r="J798" s="6"/>
      <c r="K798" s="6"/>
      <c r="L798" s="6"/>
      <c r="M798" s="6"/>
      <c r="N798" s="6"/>
      <c r="O798" s="6"/>
      <c r="P798" s="6"/>
      <c r="Q798" s="6"/>
      <c r="R798" s="6"/>
      <c r="S798" s="6"/>
      <c r="T798" s="6"/>
      <c r="U798" s="6"/>
      <c r="V798" s="339"/>
      <c r="W798" s="339"/>
      <c r="X798" s="6"/>
      <c r="Y798" s="206"/>
      <c r="AE798" s="6"/>
      <c r="AF798" s="6"/>
      <c r="AG798" s="6"/>
      <c r="AH798" s="206"/>
      <c r="AJ798" s="213"/>
      <c r="AK798" s="6"/>
      <c r="AL798" s="6"/>
      <c r="AM798" s="6"/>
      <c r="AN798" s="206"/>
      <c r="AP798" s="213"/>
      <c r="AQ798" s="6"/>
      <c r="AR798" s="6"/>
      <c r="AS798" s="6"/>
      <c r="AT798" s="206"/>
      <c r="AV798" s="213"/>
      <c r="AW798" s="6"/>
      <c r="AX798" s="6"/>
      <c r="AY798" s="6"/>
      <c r="AZ798" s="206"/>
    </row>
    <row r="799" spans="4:52" s="2" customFormat="1" ht="17.100000000000001" customHeight="1" x14ac:dyDescent="0.25">
      <c r="D799" s="3"/>
      <c r="E799" s="3"/>
      <c r="F799" s="4"/>
      <c r="G799" s="4"/>
      <c r="H799" s="138"/>
      <c r="I799" s="97"/>
      <c r="J799" s="6"/>
      <c r="K799" s="6"/>
      <c r="L799" s="6"/>
      <c r="M799" s="6"/>
      <c r="N799" s="6"/>
      <c r="O799" s="6"/>
      <c r="P799" s="6"/>
      <c r="Q799" s="6"/>
      <c r="R799" s="6"/>
      <c r="S799" s="6"/>
      <c r="T799" s="6"/>
      <c r="U799" s="6"/>
      <c r="V799" s="339"/>
      <c r="W799" s="339"/>
      <c r="X799" s="6"/>
      <c r="Y799" s="206"/>
      <c r="AE799" s="6"/>
      <c r="AF799" s="6"/>
      <c r="AG799" s="6"/>
      <c r="AH799" s="206"/>
      <c r="AJ799" s="213"/>
      <c r="AK799" s="6"/>
      <c r="AL799" s="6"/>
      <c r="AM799" s="6"/>
      <c r="AN799" s="206"/>
      <c r="AP799" s="213"/>
      <c r="AQ799" s="6"/>
      <c r="AR799" s="6"/>
      <c r="AS799" s="6"/>
      <c r="AT799" s="206"/>
      <c r="AV799" s="213"/>
      <c r="AW799" s="6"/>
      <c r="AX799" s="6"/>
      <c r="AY799" s="6"/>
      <c r="AZ799" s="206"/>
    </row>
    <row r="800" spans="4:52" s="2" customFormat="1" ht="17.100000000000001" customHeight="1" x14ac:dyDescent="0.25">
      <c r="D800" s="3"/>
      <c r="E800" s="3"/>
      <c r="F800" s="4"/>
      <c r="G800" s="4"/>
      <c r="H800" s="138"/>
      <c r="I800" s="97"/>
      <c r="J800" s="6"/>
      <c r="K800" s="6"/>
      <c r="L800" s="6"/>
      <c r="M800" s="6"/>
      <c r="N800" s="6"/>
      <c r="O800" s="6"/>
      <c r="P800" s="6"/>
      <c r="Q800" s="6"/>
      <c r="R800" s="6"/>
      <c r="S800" s="6"/>
      <c r="T800" s="6"/>
      <c r="U800" s="6"/>
      <c r="V800" s="339"/>
      <c r="W800" s="339"/>
      <c r="X800" s="6"/>
      <c r="Y800" s="206"/>
      <c r="AE800" s="6"/>
      <c r="AF800" s="6"/>
      <c r="AG800" s="6"/>
      <c r="AH800" s="206"/>
      <c r="AJ800" s="213"/>
      <c r="AK800" s="6"/>
      <c r="AL800" s="6"/>
      <c r="AM800" s="6"/>
      <c r="AN800" s="206"/>
      <c r="AP800" s="213"/>
      <c r="AQ800" s="6"/>
      <c r="AR800" s="6"/>
      <c r="AS800" s="6"/>
      <c r="AT800" s="206"/>
      <c r="AV800" s="213"/>
      <c r="AW800" s="6"/>
      <c r="AX800" s="6"/>
      <c r="AY800" s="6"/>
      <c r="AZ800" s="206"/>
    </row>
    <row r="801" spans="4:52" s="2" customFormat="1" ht="17.100000000000001" customHeight="1" x14ac:dyDescent="0.25">
      <c r="D801" s="3"/>
      <c r="E801" s="3"/>
      <c r="F801" s="4"/>
      <c r="G801" s="4"/>
      <c r="H801" s="138"/>
      <c r="I801" s="97"/>
      <c r="J801" s="6"/>
      <c r="K801" s="6"/>
      <c r="L801" s="6"/>
      <c r="M801" s="6"/>
      <c r="N801" s="6"/>
      <c r="O801" s="6"/>
      <c r="P801" s="6"/>
      <c r="Q801" s="6"/>
      <c r="R801" s="6"/>
      <c r="S801" s="6"/>
      <c r="T801" s="6"/>
      <c r="U801" s="6"/>
      <c r="V801" s="339"/>
      <c r="W801" s="339"/>
      <c r="X801" s="6"/>
      <c r="Y801" s="206"/>
      <c r="AE801" s="6"/>
      <c r="AF801" s="6"/>
      <c r="AG801" s="6"/>
      <c r="AH801" s="206"/>
      <c r="AJ801" s="213"/>
      <c r="AK801" s="6"/>
      <c r="AL801" s="6"/>
      <c r="AM801" s="6"/>
      <c r="AN801" s="206"/>
      <c r="AP801" s="213"/>
      <c r="AQ801" s="6"/>
      <c r="AR801" s="6"/>
      <c r="AS801" s="6"/>
      <c r="AT801" s="206"/>
      <c r="AV801" s="213"/>
      <c r="AW801" s="6"/>
      <c r="AX801" s="6"/>
      <c r="AY801" s="6"/>
      <c r="AZ801" s="206"/>
    </row>
    <row r="802" spans="4:52" s="2" customFormat="1" ht="17.100000000000001" customHeight="1" x14ac:dyDescent="0.25">
      <c r="D802" s="3"/>
      <c r="E802" s="3"/>
      <c r="F802" s="4"/>
      <c r="G802" s="4"/>
      <c r="H802" s="138"/>
      <c r="I802" s="97"/>
      <c r="J802" s="6"/>
      <c r="K802" s="6"/>
      <c r="L802" s="6"/>
      <c r="M802" s="6"/>
      <c r="N802" s="6"/>
      <c r="O802" s="6"/>
      <c r="P802" s="6"/>
      <c r="Q802" s="6"/>
      <c r="R802" s="6"/>
      <c r="S802" s="6"/>
      <c r="T802" s="6"/>
      <c r="U802" s="6"/>
      <c r="V802" s="339"/>
      <c r="W802" s="339"/>
      <c r="X802" s="6"/>
      <c r="Y802" s="206"/>
      <c r="AE802" s="6"/>
      <c r="AF802" s="6"/>
      <c r="AG802" s="6"/>
      <c r="AH802" s="206"/>
      <c r="AJ802" s="213"/>
      <c r="AK802" s="6"/>
      <c r="AL802" s="6"/>
      <c r="AM802" s="6"/>
      <c r="AN802" s="206"/>
      <c r="AP802" s="213"/>
      <c r="AQ802" s="6"/>
      <c r="AR802" s="6"/>
      <c r="AS802" s="6"/>
      <c r="AT802" s="206"/>
      <c r="AV802" s="213"/>
      <c r="AW802" s="6"/>
      <c r="AX802" s="6"/>
      <c r="AY802" s="6"/>
      <c r="AZ802" s="206"/>
    </row>
    <row r="803" spans="4:52" s="2" customFormat="1" ht="17.100000000000001" customHeight="1" x14ac:dyDescent="0.25">
      <c r="D803" s="3"/>
      <c r="E803" s="3"/>
      <c r="F803" s="4"/>
      <c r="G803" s="4"/>
      <c r="H803" s="138"/>
      <c r="I803" s="97"/>
      <c r="J803" s="6"/>
      <c r="K803" s="6"/>
      <c r="L803" s="6"/>
      <c r="M803" s="6"/>
      <c r="N803" s="6"/>
      <c r="O803" s="6"/>
      <c r="P803" s="6"/>
      <c r="Q803" s="6"/>
      <c r="R803" s="6"/>
      <c r="S803" s="6"/>
      <c r="T803" s="6"/>
      <c r="U803" s="6"/>
      <c r="V803" s="339"/>
      <c r="W803" s="339"/>
      <c r="X803" s="6"/>
      <c r="Y803" s="206"/>
      <c r="AE803" s="6"/>
      <c r="AF803" s="6"/>
      <c r="AG803" s="6"/>
      <c r="AH803" s="206"/>
      <c r="AJ803" s="213"/>
      <c r="AK803" s="6"/>
      <c r="AL803" s="6"/>
      <c r="AM803" s="6"/>
      <c r="AN803" s="206"/>
      <c r="AP803" s="213"/>
      <c r="AQ803" s="6"/>
      <c r="AR803" s="6"/>
      <c r="AS803" s="6"/>
      <c r="AT803" s="206"/>
      <c r="AV803" s="213"/>
      <c r="AW803" s="6"/>
      <c r="AX803" s="6"/>
      <c r="AY803" s="6"/>
      <c r="AZ803" s="206"/>
    </row>
    <row r="804" spans="4:52" s="2" customFormat="1" ht="17.100000000000001" customHeight="1" x14ac:dyDescent="0.25">
      <c r="D804" s="3"/>
      <c r="E804" s="3"/>
      <c r="F804" s="4"/>
      <c r="G804" s="4"/>
      <c r="H804" s="138"/>
      <c r="I804" s="97"/>
      <c r="J804" s="6"/>
      <c r="K804" s="6"/>
      <c r="L804" s="6"/>
      <c r="M804" s="6"/>
      <c r="N804" s="6"/>
      <c r="O804" s="6"/>
      <c r="P804" s="6"/>
      <c r="Q804" s="6"/>
      <c r="R804" s="6"/>
      <c r="S804" s="6"/>
      <c r="T804" s="6"/>
      <c r="U804" s="6"/>
      <c r="V804" s="339"/>
      <c r="W804" s="339"/>
      <c r="X804" s="6"/>
      <c r="Y804" s="206"/>
      <c r="AE804" s="6"/>
      <c r="AF804" s="6"/>
      <c r="AG804" s="6"/>
      <c r="AH804" s="206"/>
      <c r="AJ804" s="213"/>
      <c r="AK804" s="6"/>
      <c r="AL804" s="6"/>
      <c r="AM804" s="6"/>
      <c r="AN804" s="206"/>
      <c r="AP804" s="213"/>
      <c r="AQ804" s="6"/>
      <c r="AR804" s="6"/>
      <c r="AS804" s="6"/>
      <c r="AT804" s="206"/>
      <c r="AV804" s="213"/>
      <c r="AW804" s="6"/>
      <c r="AX804" s="6"/>
      <c r="AY804" s="6"/>
      <c r="AZ804" s="206"/>
    </row>
    <row r="805" spans="4:52" s="2" customFormat="1" ht="17.100000000000001" customHeight="1" x14ac:dyDescent="0.25">
      <c r="D805" s="3"/>
      <c r="E805" s="3"/>
      <c r="F805" s="4"/>
      <c r="G805" s="4"/>
      <c r="H805" s="138"/>
      <c r="I805" s="97"/>
      <c r="J805" s="6"/>
      <c r="K805" s="6"/>
      <c r="L805" s="6"/>
      <c r="M805" s="6"/>
      <c r="N805" s="6"/>
      <c r="O805" s="6"/>
      <c r="P805" s="6"/>
      <c r="Q805" s="6"/>
      <c r="R805" s="6"/>
      <c r="S805" s="6"/>
      <c r="T805" s="6"/>
      <c r="U805" s="6"/>
      <c r="V805" s="339"/>
      <c r="W805" s="339"/>
      <c r="X805" s="6"/>
      <c r="Y805" s="206"/>
      <c r="AE805" s="6"/>
      <c r="AF805" s="6"/>
      <c r="AG805" s="6"/>
      <c r="AH805" s="206"/>
      <c r="AJ805" s="213"/>
      <c r="AK805" s="6"/>
      <c r="AL805" s="6"/>
      <c r="AM805" s="6"/>
      <c r="AN805" s="206"/>
      <c r="AP805" s="213"/>
      <c r="AQ805" s="6"/>
      <c r="AR805" s="6"/>
      <c r="AS805" s="6"/>
      <c r="AT805" s="206"/>
      <c r="AV805" s="213"/>
      <c r="AW805" s="6"/>
      <c r="AX805" s="6"/>
      <c r="AY805" s="6"/>
      <c r="AZ805" s="206"/>
    </row>
    <row r="806" spans="4:52" s="2" customFormat="1" ht="17.100000000000001" customHeight="1" x14ac:dyDescent="0.25">
      <c r="D806" s="3"/>
      <c r="E806" s="3"/>
      <c r="F806" s="4"/>
      <c r="G806" s="4"/>
      <c r="H806" s="138"/>
      <c r="I806" s="97"/>
      <c r="J806" s="6"/>
      <c r="K806" s="6"/>
      <c r="L806" s="6"/>
      <c r="M806" s="6"/>
      <c r="N806" s="6"/>
      <c r="O806" s="6"/>
      <c r="P806" s="6"/>
      <c r="Q806" s="6"/>
      <c r="R806" s="6"/>
      <c r="S806" s="6"/>
      <c r="T806" s="6"/>
      <c r="U806" s="6"/>
      <c r="V806" s="339"/>
      <c r="W806" s="339"/>
      <c r="X806" s="6"/>
      <c r="Y806" s="206"/>
      <c r="AE806" s="6"/>
      <c r="AF806" s="6"/>
      <c r="AG806" s="6"/>
      <c r="AH806" s="206"/>
      <c r="AJ806" s="213"/>
      <c r="AK806" s="6"/>
      <c r="AL806" s="6"/>
      <c r="AM806" s="6"/>
      <c r="AN806" s="206"/>
      <c r="AP806" s="213"/>
      <c r="AQ806" s="6"/>
      <c r="AR806" s="6"/>
      <c r="AS806" s="6"/>
      <c r="AT806" s="206"/>
      <c r="AV806" s="213"/>
      <c r="AW806" s="6"/>
      <c r="AX806" s="6"/>
      <c r="AY806" s="6"/>
      <c r="AZ806" s="206"/>
    </row>
    <row r="807" spans="4:52" s="2" customFormat="1" ht="17.100000000000001" customHeight="1" x14ac:dyDescent="0.25">
      <c r="D807" s="3"/>
      <c r="E807" s="3"/>
      <c r="F807" s="4"/>
      <c r="G807" s="4"/>
      <c r="H807" s="138"/>
      <c r="I807" s="97"/>
      <c r="J807" s="6"/>
      <c r="K807" s="6"/>
      <c r="L807" s="6"/>
      <c r="M807" s="6"/>
      <c r="N807" s="6"/>
      <c r="O807" s="6"/>
      <c r="P807" s="6"/>
      <c r="Q807" s="6"/>
      <c r="R807" s="6"/>
      <c r="S807" s="6"/>
      <c r="T807" s="6"/>
      <c r="U807" s="6"/>
      <c r="V807" s="339"/>
      <c r="W807" s="339"/>
      <c r="X807" s="6"/>
      <c r="Y807" s="206"/>
      <c r="AE807" s="6"/>
      <c r="AF807" s="6"/>
      <c r="AG807" s="6"/>
      <c r="AH807" s="206"/>
      <c r="AJ807" s="213"/>
      <c r="AK807" s="6"/>
      <c r="AL807" s="6"/>
      <c r="AM807" s="6"/>
      <c r="AN807" s="206"/>
      <c r="AP807" s="213"/>
      <c r="AQ807" s="6"/>
      <c r="AR807" s="6"/>
      <c r="AS807" s="6"/>
      <c r="AT807" s="206"/>
      <c r="AV807" s="213"/>
      <c r="AW807" s="6"/>
      <c r="AX807" s="6"/>
      <c r="AY807" s="6"/>
      <c r="AZ807" s="206"/>
    </row>
    <row r="808" spans="4:52" s="2" customFormat="1" ht="17.100000000000001" customHeight="1" x14ac:dyDescent="0.25">
      <c r="D808" s="3"/>
      <c r="E808" s="3"/>
      <c r="F808" s="4"/>
      <c r="G808" s="4"/>
      <c r="H808" s="138"/>
      <c r="I808" s="97"/>
      <c r="J808" s="6"/>
      <c r="K808" s="6"/>
      <c r="L808" s="6"/>
      <c r="M808" s="6"/>
      <c r="N808" s="6"/>
      <c r="O808" s="6"/>
      <c r="P808" s="6"/>
      <c r="Q808" s="6"/>
      <c r="R808" s="6"/>
      <c r="S808" s="6"/>
      <c r="T808" s="6"/>
      <c r="U808" s="6"/>
      <c r="V808" s="339"/>
      <c r="W808" s="339"/>
      <c r="X808" s="6"/>
      <c r="Y808" s="206"/>
      <c r="AE808" s="6"/>
      <c r="AF808" s="6"/>
      <c r="AG808" s="6"/>
      <c r="AH808" s="206"/>
      <c r="AJ808" s="213"/>
      <c r="AK808" s="6"/>
      <c r="AL808" s="6"/>
      <c r="AM808" s="6"/>
      <c r="AN808" s="206"/>
      <c r="AP808" s="213"/>
      <c r="AQ808" s="6"/>
      <c r="AR808" s="6"/>
      <c r="AS808" s="6"/>
      <c r="AT808" s="206"/>
      <c r="AV808" s="213"/>
      <c r="AW808" s="6"/>
      <c r="AX808" s="6"/>
      <c r="AY808" s="6"/>
      <c r="AZ808" s="206"/>
    </row>
    <row r="809" spans="4:52" s="2" customFormat="1" ht="17.100000000000001" customHeight="1" x14ac:dyDescent="0.25">
      <c r="D809" s="3"/>
      <c r="E809" s="3"/>
      <c r="F809" s="4"/>
      <c r="G809" s="4"/>
      <c r="H809" s="138"/>
      <c r="I809" s="97"/>
      <c r="J809" s="6"/>
      <c r="K809" s="6"/>
      <c r="L809" s="6"/>
      <c r="M809" s="6"/>
      <c r="N809" s="6"/>
      <c r="O809" s="6"/>
      <c r="P809" s="6"/>
      <c r="Q809" s="6"/>
      <c r="R809" s="6"/>
      <c r="S809" s="6"/>
      <c r="T809" s="6"/>
      <c r="U809" s="6"/>
      <c r="V809" s="339"/>
      <c r="W809" s="339"/>
      <c r="X809" s="6"/>
      <c r="Y809" s="206"/>
      <c r="AE809" s="6"/>
      <c r="AF809" s="6"/>
      <c r="AG809" s="6"/>
      <c r="AH809" s="206"/>
      <c r="AJ809" s="213"/>
      <c r="AK809" s="6"/>
      <c r="AL809" s="6"/>
      <c r="AM809" s="6"/>
      <c r="AN809" s="206"/>
      <c r="AP809" s="213"/>
      <c r="AQ809" s="6"/>
      <c r="AR809" s="6"/>
      <c r="AS809" s="6"/>
      <c r="AT809" s="206"/>
      <c r="AV809" s="213"/>
      <c r="AW809" s="6"/>
      <c r="AX809" s="6"/>
      <c r="AY809" s="6"/>
      <c r="AZ809" s="206"/>
    </row>
    <row r="810" spans="4:52" s="2" customFormat="1" ht="17.100000000000001" customHeight="1" x14ac:dyDescent="0.25">
      <c r="D810" s="3"/>
      <c r="E810" s="3"/>
      <c r="F810" s="4"/>
      <c r="G810" s="4"/>
      <c r="H810" s="138"/>
      <c r="I810" s="97"/>
      <c r="J810" s="6"/>
      <c r="K810" s="6"/>
      <c r="L810" s="6"/>
      <c r="M810" s="6"/>
      <c r="N810" s="6"/>
      <c r="O810" s="6"/>
      <c r="P810" s="6"/>
      <c r="Q810" s="6"/>
      <c r="R810" s="6"/>
      <c r="S810" s="6"/>
      <c r="T810" s="6"/>
      <c r="U810" s="6"/>
      <c r="V810" s="339"/>
      <c r="W810" s="339"/>
      <c r="X810" s="6"/>
      <c r="Y810" s="206"/>
      <c r="AE810" s="6"/>
      <c r="AF810" s="6"/>
      <c r="AG810" s="6"/>
      <c r="AH810" s="206"/>
      <c r="AJ810" s="213"/>
      <c r="AK810" s="6"/>
      <c r="AL810" s="6"/>
      <c r="AM810" s="6"/>
      <c r="AN810" s="206"/>
      <c r="AP810" s="213"/>
      <c r="AQ810" s="6"/>
      <c r="AR810" s="6"/>
      <c r="AS810" s="6"/>
      <c r="AT810" s="206"/>
      <c r="AV810" s="213"/>
      <c r="AW810" s="6"/>
      <c r="AX810" s="6"/>
      <c r="AY810" s="6"/>
      <c r="AZ810" s="206"/>
    </row>
    <row r="811" spans="4:52" s="2" customFormat="1" ht="17.100000000000001" customHeight="1" x14ac:dyDescent="0.25">
      <c r="D811" s="3"/>
      <c r="E811" s="3"/>
      <c r="F811" s="4"/>
      <c r="G811" s="4"/>
      <c r="H811" s="138"/>
      <c r="I811" s="97"/>
      <c r="J811" s="6"/>
      <c r="K811" s="6"/>
      <c r="L811" s="6"/>
      <c r="M811" s="6"/>
      <c r="N811" s="6"/>
      <c r="O811" s="6"/>
      <c r="P811" s="6"/>
      <c r="Q811" s="6"/>
      <c r="R811" s="6"/>
      <c r="S811" s="6"/>
      <c r="T811" s="6"/>
      <c r="U811" s="6"/>
      <c r="V811" s="339"/>
      <c r="W811" s="339"/>
      <c r="X811" s="6"/>
      <c r="Y811" s="206"/>
      <c r="AE811" s="6"/>
      <c r="AF811" s="6"/>
      <c r="AG811" s="6"/>
      <c r="AH811" s="206"/>
      <c r="AJ811" s="213"/>
      <c r="AK811" s="6"/>
      <c r="AL811" s="6"/>
      <c r="AM811" s="6"/>
      <c r="AN811" s="206"/>
      <c r="AP811" s="213"/>
      <c r="AQ811" s="6"/>
      <c r="AR811" s="6"/>
      <c r="AS811" s="6"/>
      <c r="AT811" s="206"/>
      <c r="AV811" s="213"/>
      <c r="AW811" s="6"/>
      <c r="AX811" s="6"/>
      <c r="AY811" s="6"/>
      <c r="AZ811" s="206"/>
    </row>
    <row r="812" spans="4:52" s="2" customFormat="1" ht="17.100000000000001" customHeight="1" x14ac:dyDescent="0.25">
      <c r="D812" s="3"/>
      <c r="E812" s="3"/>
      <c r="F812" s="4"/>
      <c r="G812" s="4"/>
      <c r="H812" s="138"/>
      <c r="I812" s="97"/>
      <c r="J812" s="6"/>
      <c r="K812" s="6"/>
      <c r="L812" s="6"/>
      <c r="M812" s="6"/>
      <c r="N812" s="6"/>
      <c r="O812" s="6"/>
      <c r="P812" s="6"/>
      <c r="Q812" s="6"/>
      <c r="R812" s="6"/>
      <c r="S812" s="6"/>
      <c r="T812" s="6"/>
      <c r="U812" s="6"/>
      <c r="V812" s="339"/>
      <c r="W812" s="339"/>
      <c r="X812" s="6"/>
      <c r="Y812" s="206"/>
      <c r="AE812" s="6"/>
      <c r="AF812" s="6"/>
      <c r="AG812" s="6"/>
      <c r="AH812" s="206"/>
      <c r="AJ812" s="213"/>
      <c r="AK812" s="6"/>
      <c r="AL812" s="6"/>
      <c r="AM812" s="6"/>
      <c r="AN812" s="206"/>
      <c r="AP812" s="213"/>
      <c r="AQ812" s="6"/>
      <c r="AR812" s="6"/>
      <c r="AS812" s="6"/>
      <c r="AT812" s="206"/>
      <c r="AV812" s="213"/>
      <c r="AW812" s="6"/>
      <c r="AX812" s="6"/>
      <c r="AY812" s="6"/>
      <c r="AZ812" s="206"/>
    </row>
    <row r="813" spans="4:52" s="2" customFormat="1" ht="17.100000000000001" customHeight="1" x14ac:dyDescent="0.25">
      <c r="D813" s="3"/>
      <c r="E813" s="3"/>
      <c r="F813" s="4"/>
      <c r="G813" s="4"/>
      <c r="H813" s="138"/>
      <c r="I813" s="97"/>
      <c r="J813" s="6"/>
      <c r="K813" s="6"/>
      <c r="L813" s="6"/>
      <c r="M813" s="6"/>
      <c r="N813" s="6"/>
      <c r="O813" s="6"/>
      <c r="P813" s="6"/>
      <c r="Q813" s="6"/>
      <c r="R813" s="6"/>
      <c r="S813" s="6"/>
      <c r="T813" s="6"/>
      <c r="U813" s="6"/>
      <c r="V813" s="339"/>
      <c r="W813" s="339"/>
      <c r="X813" s="6"/>
      <c r="Y813" s="206"/>
      <c r="AE813" s="6"/>
      <c r="AF813" s="6"/>
      <c r="AG813" s="6"/>
      <c r="AH813" s="206"/>
      <c r="AJ813" s="213"/>
      <c r="AK813" s="6"/>
      <c r="AL813" s="6"/>
      <c r="AM813" s="6"/>
      <c r="AN813" s="206"/>
      <c r="AP813" s="213"/>
      <c r="AQ813" s="6"/>
      <c r="AR813" s="6"/>
      <c r="AS813" s="6"/>
      <c r="AT813" s="206"/>
      <c r="AV813" s="213"/>
      <c r="AW813" s="6"/>
      <c r="AX813" s="6"/>
      <c r="AY813" s="6"/>
      <c r="AZ813" s="206"/>
    </row>
    <row r="814" spans="4:52" s="2" customFormat="1" ht="17.100000000000001" customHeight="1" x14ac:dyDescent="0.25">
      <c r="D814" s="3"/>
      <c r="E814" s="3"/>
      <c r="F814" s="4"/>
      <c r="G814" s="4"/>
      <c r="H814" s="138"/>
      <c r="I814" s="97"/>
      <c r="J814" s="6"/>
      <c r="K814" s="6"/>
      <c r="L814" s="6"/>
      <c r="M814" s="6"/>
      <c r="N814" s="6"/>
      <c r="O814" s="6"/>
      <c r="P814" s="6"/>
      <c r="Q814" s="6"/>
      <c r="R814" s="6"/>
      <c r="S814" s="6"/>
      <c r="T814" s="6"/>
      <c r="U814" s="6"/>
      <c r="V814" s="339"/>
      <c r="W814" s="339"/>
      <c r="X814" s="6"/>
      <c r="Y814" s="206"/>
      <c r="AE814" s="6"/>
      <c r="AF814" s="6"/>
      <c r="AG814" s="6"/>
      <c r="AH814" s="206"/>
      <c r="AJ814" s="213"/>
      <c r="AK814" s="6"/>
      <c r="AL814" s="6"/>
      <c r="AM814" s="6"/>
      <c r="AN814" s="206"/>
      <c r="AP814" s="213"/>
      <c r="AQ814" s="6"/>
      <c r="AR814" s="6"/>
      <c r="AS814" s="6"/>
      <c r="AT814" s="206"/>
      <c r="AV814" s="213"/>
      <c r="AW814" s="6"/>
      <c r="AX814" s="6"/>
      <c r="AY814" s="6"/>
      <c r="AZ814" s="206"/>
    </row>
    <row r="815" spans="4:52" s="2" customFormat="1" ht="17.100000000000001" customHeight="1" x14ac:dyDescent="0.25">
      <c r="D815" s="3"/>
      <c r="E815" s="3"/>
      <c r="F815" s="4"/>
      <c r="G815" s="4"/>
      <c r="H815" s="138"/>
      <c r="I815" s="97"/>
      <c r="J815" s="6"/>
      <c r="K815" s="6"/>
      <c r="L815" s="6"/>
      <c r="M815" s="6"/>
      <c r="N815" s="6"/>
      <c r="O815" s="6"/>
      <c r="P815" s="6"/>
      <c r="Q815" s="6"/>
      <c r="R815" s="6"/>
      <c r="S815" s="6"/>
      <c r="T815" s="6"/>
      <c r="U815" s="6"/>
      <c r="V815" s="339"/>
      <c r="W815" s="339"/>
      <c r="X815" s="6"/>
      <c r="Y815" s="206"/>
      <c r="AE815" s="6"/>
      <c r="AF815" s="6"/>
      <c r="AG815" s="6"/>
      <c r="AH815" s="206"/>
      <c r="AJ815" s="213"/>
      <c r="AK815" s="6"/>
      <c r="AL815" s="6"/>
      <c r="AM815" s="6"/>
      <c r="AN815" s="206"/>
      <c r="AP815" s="213"/>
      <c r="AQ815" s="6"/>
      <c r="AR815" s="6"/>
      <c r="AS815" s="6"/>
      <c r="AT815" s="206"/>
      <c r="AV815" s="213"/>
      <c r="AW815" s="6"/>
      <c r="AX815" s="6"/>
      <c r="AY815" s="6"/>
      <c r="AZ815" s="206"/>
    </row>
    <row r="816" spans="4:52" s="2" customFormat="1" ht="17.100000000000001" customHeight="1" x14ac:dyDescent="0.25">
      <c r="D816" s="3"/>
      <c r="E816" s="3"/>
      <c r="F816" s="4"/>
      <c r="G816" s="4"/>
      <c r="H816" s="138"/>
      <c r="I816" s="97"/>
      <c r="J816" s="6"/>
      <c r="K816" s="6"/>
      <c r="L816" s="6"/>
      <c r="M816" s="6"/>
      <c r="N816" s="6"/>
      <c r="O816" s="6"/>
      <c r="P816" s="6"/>
      <c r="Q816" s="6"/>
      <c r="R816" s="6"/>
      <c r="S816" s="6"/>
      <c r="T816" s="6"/>
      <c r="U816" s="6"/>
      <c r="V816" s="339"/>
      <c r="W816" s="339"/>
      <c r="X816" s="6"/>
      <c r="Y816" s="206"/>
      <c r="AE816" s="6"/>
      <c r="AF816" s="6"/>
      <c r="AG816" s="6"/>
      <c r="AH816" s="206"/>
      <c r="AJ816" s="213"/>
      <c r="AK816" s="6"/>
      <c r="AL816" s="6"/>
      <c r="AM816" s="6"/>
      <c r="AN816" s="206"/>
      <c r="AP816" s="213"/>
      <c r="AQ816" s="6"/>
      <c r="AR816" s="6"/>
      <c r="AS816" s="6"/>
      <c r="AT816" s="206"/>
      <c r="AV816" s="213"/>
      <c r="AW816" s="6"/>
      <c r="AX816" s="6"/>
      <c r="AY816" s="6"/>
      <c r="AZ816" s="206"/>
    </row>
    <row r="817" spans="4:52" s="2" customFormat="1" ht="17.100000000000001" customHeight="1" x14ac:dyDescent="0.25">
      <c r="D817" s="3"/>
      <c r="E817" s="3"/>
      <c r="F817" s="4"/>
      <c r="G817" s="4"/>
      <c r="H817" s="138"/>
      <c r="I817" s="97"/>
      <c r="J817" s="6"/>
      <c r="K817" s="6"/>
      <c r="L817" s="6"/>
      <c r="M817" s="6"/>
      <c r="N817" s="6"/>
      <c r="O817" s="6"/>
      <c r="P817" s="6"/>
      <c r="Q817" s="6"/>
      <c r="R817" s="6"/>
      <c r="S817" s="6"/>
      <c r="T817" s="6"/>
      <c r="U817" s="6"/>
      <c r="V817" s="339"/>
      <c r="W817" s="339"/>
      <c r="X817" s="6"/>
      <c r="Y817" s="206"/>
      <c r="AE817" s="6"/>
      <c r="AF817" s="6"/>
      <c r="AG817" s="6"/>
      <c r="AH817" s="206"/>
      <c r="AJ817" s="213"/>
      <c r="AK817" s="6"/>
      <c r="AL817" s="6"/>
      <c r="AM817" s="6"/>
      <c r="AN817" s="206"/>
      <c r="AP817" s="213"/>
      <c r="AQ817" s="6"/>
      <c r="AR817" s="6"/>
      <c r="AS817" s="6"/>
      <c r="AT817" s="206"/>
      <c r="AV817" s="213"/>
      <c r="AW817" s="6"/>
      <c r="AX817" s="6"/>
      <c r="AY817" s="6"/>
      <c r="AZ817" s="206"/>
    </row>
    <row r="818" spans="4:52" s="2" customFormat="1" ht="17.100000000000001" customHeight="1" x14ac:dyDescent="0.25">
      <c r="D818" s="3"/>
      <c r="E818" s="3"/>
      <c r="F818" s="4"/>
      <c r="G818" s="4"/>
      <c r="H818" s="138"/>
      <c r="I818" s="97"/>
      <c r="J818" s="6"/>
      <c r="K818" s="6"/>
      <c r="L818" s="6"/>
      <c r="M818" s="6"/>
      <c r="N818" s="6"/>
      <c r="O818" s="6"/>
      <c r="P818" s="6"/>
      <c r="Q818" s="6"/>
      <c r="R818" s="6"/>
      <c r="S818" s="6"/>
      <c r="T818" s="6"/>
      <c r="U818" s="6"/>
      <c r="V818" s="339"/>
      <c r="W818" s="339"/>
      <c r="X818" s="6"/>
      <c r="Y818" s="206"/>
      <c r="AE818" s="6"/>
      <c r="AF818" s="6"/>
      <c r="AG818" s="6"/>
      <c r="AH818" s="206"/>
      <c r="AJ818" s="213"/>
      <c r="AK818" s="6"/>
      <c r="AL818" s="6"/>
      <c r="AM818" s="6"/>
      <c r="AN818" s="206"/>
      <c r="AP818" s="213"/>
      <c r="AQ818" s="6"/>
      <c r="AR818" s="6"/>
      <c r="AS818" s="6"/>
      <c r="AT818" s="206"/>
      <c r="AV818" s="213"/>
      <c r="AW818" s="6"/>
      <c r="AX818" s="6"/>
      <c r="AY818" s="6"/>
      <c r="AZ818" s="206"/>
    </row>
    <row r="819" spans="4:52" s="2" customFormat="1" ht="17.100000000000001" customHeight="1" x14ac:dyDescent="0.25">
      <c r="D819" s="3"/>
      <c r="E819" s="3"/>
      <c r="F819" s="4"/>
      <c r="G819" s="4"/>
      <c r="H819" s="138"/>
      <c r="I819" s="97"/>
      <c r="J819" s="6"/>
      <c r="K819" s="6"/>
      <c r="L819" s="6"/>
      <c r="M819" s="6"/>
      <c r="N819" s="6"/>
      <c r="O819" s="6"/>
      <c r="P819" s="6"/>
      <c r="Q819" s="6"/>
      <c r="R819" s="6"/>
      <c r="S819" s="6"/>
      <c r="T819" s="6"/>
      <c r="U819" s="6"/>
      <c r="V819" s="339"/>
      <c r="W819" s="339"/>
      <c r="X819" s="6"/>
      <c r="Y819" s="206"/>
      <c r="AE819" s="6"/>
      <c r="AF819" s="6"/>
      <c r="AG819" s="6"/>
      <c r="AH819" s="206"/>
      <c r="AJ819" s="213"/>
      <c r="AK819" s="6"/>
      <c r="AL819" s="6"/>
      <c r="AM819" s="6"/>
      <c r="AN819" s="206"/>
      <c r="AP819" s="213"/>
      <c r="AQ819" s="6"/>
      <c r="AR819" s="6"/>
      <c r="AS819" s="6"/>
      <c r="AT819" s="206"/>
      <c r="AV819" s="213"/>
      <c r="AW819" s="6"/>
      <c r="AX819" s="6"/>
      <c r="AY819" s="6"/>
      <c r="AZ819" s="206"/>
    </row>
    <row r="820" spans="4:52" s="2" customFormat="1" ht="17.100000000000001" customHeight="1" x14ac:dyDescent="0.25">
      <c r="D820" s="3"/>
      <c r="E820" s="3"/>
      <c r="F820" s="4"/>
      <c r="G820" s="4"/>
      <c r="H820" s="138"/>
      <c r="I820" s="97"/>
      <c r="J820" s="6"/>
      <c r="K820" s="6"/>
      <c r="L820" s="6"/>
      <c r="M820" s="6"/>
      <c r="N820" s="6"/>
      <c r="O820" s="6"/>
      <c r="P820" s="6"/>
      <c r="Q820" s="6"/>
      <c r="R820" s="6"/>
      <c r="S820" s="6"/>
      <c r="T820" s="6"/>
      <c r="U820" s="6"/>
      <c r="V820" s="339"/>
      <c r="W820" s="339"/>
      <c r="X820" s="6"/>
      <c r="Y820" s="206"/>
      <c r="AE820" s="6"/>
      <c r="AF820" s="6"/>
      <c r="AG820" s="6"/>
      <c r="AH820" s="206"/>
      <c r="AJ820" s="213"/>
      <c r="AK820" s="6"/>
      <c r="AL820" s="6"/>
      <c r="AM820" s="6"/>
      <c r="AN820" s="206"/>
      <c r="AP820" s="213"/>
      <c r="AQ820" s="6"/>
      <c r="AR820" s="6"/>
      <c r="AS820" s="6"/>
      <c r="AT820" s="206"/>
      <c r="AV820" s="213"/>
      <c r="AW820" s="6"/>
      <c r="AX820" s="6"/>
      <c r="AY820" s="6"/>
      <c r="AZ820" s="206"/>
    </row>
    <row r="821" spans="4:52" s="2" customFormat="1" ht="17.100000000000001" customHeight="1" x14ac:dyDescent="0.25">
      <c r="D821" s="3"/>
      <c r="E821" s="3"/>
      <c r="F821" s="4"/>
      <c r="G821" s="4"/>
      <c r="H821" s="138"/>
      <c r="I821" s="97"/>
      <c r="J821" s="6"/>
      <c r="K821" s="6"/>
      <c r="L821" s="6"/>
      <c r="M821" s="6"/>
      <c r="N821" s="6"/>
      <c r="O821" s="6"/>
      <c r="P821" s="6"/>
      <c r="Q821" s="6"/>
      <c r="R821" s="6"/>
      <c r="S821" s="6"/>
      <c r="T821" s="6"/>
      <c r="U821" s="6"/>
      <c r="V821" s="339"/>
      <c r="W821" s="339"/>
      <c r="X821" s="6"/>
      <c r="Y821" s="206"/>
      <c r="AE821" s="6"/>
      <c r="AF821" s="6"/>
      <c r="AG821" s="6"/>
      <c r="AH821" s="206"/>
      <c r="AJ821" s="213"/>
      <c r="AK821" s="6"/>
      <c r="AL821" s="6"/>
      <c r="AM821" s="6"/>
      <c r="AN821" s="206"/>
      <c r="AP821" s="213"/>
      <c r="AQ821" s="6"/>
      <c r="AR821" s="6"/>
      <c r="AS821" s="6"/>
      <c r="AT821" s="206"/>
      <c r="AV821" s="213"/>
      <c r="AW821" s="6"/>
      <c r="AX821" s="6"/>
      <c r="AY821" s="6"/>
      <c r="AZ821" s="206"/>
    </row>
    <row r="822" spans="4:52" s="2" customFormat="1" ht="17.100000000000001" customHeight="1" x14ac:dyDescent="0.25">
      <c r="D822" s="3"/>
      <c r="E822" s="3"/>
      <c r="F822" s="4"/>
      <c r="G822" s="4"/>
      <c r="H822" s="138"/>
      <c r="I822" s="97"/>
      <c r="J822" s="6"/>
      <c r="K822" s="6"/>
      <c r="L822" s="6"/>
      <c r="M822" s="6"/>
      <c r="N822" s="6"/>
      <c r="O822" s="6"/>
      <c r="P822" s="6"/>
      <c r="Q822" s="6"/>
      <c r="R822" s="6"/>
      <c r="S822" s="6"/>
      <c r="T822" s="6"/>
      <c r="U822" s="6"/>
      <c r="V822" s="339"/>
      <c r="W822" s="339"/>
      <c r="X822" s="6"/>
      <c r="Y822" s="206"/>
      <c r="AE822" s="6"/>
      <c r="AF822" s="6"/>
      <c r="AG822" s="6"/>
      <c r="AH822" s="206"/>
      <c r="AJ822" s="213"/>
      <c r="AK822" s="6"/>
      <c r="AL822" s="6"/>
      <c r="AM822" s="6"/>
      <c r="AN822" s="206"/>
      <c r="AP822" s="213"/>
      <c r="AQ822" s="6"/>
      <c r="AR822" s="6"/>
      <c r="AS822" s="6"/>
      <c r="AT822" s="206"/>
      <c r="AV822" s="213"/>
      <c r="AW822" s="6"/>
      <c r="AX822" s="6"/>
      <c r="AY822" s="6"/>
      <c r="AZ822" s="206"/>
    </row>
    <row r="823" spans="4:52" s="2" customFormat="1" ht="17.100000000000001" customHeight="1" x14ac:dyDescent="0.25">
      <c r="D823" s="3"/>
      <c r="E823" s="3"/>
      <c r="F823" s="4"/>
      <c r="G823" s="4"/>
      <c r="H823" s="138"/>
      <c r="I823" s="97"/>
      <c r="J823" s="6"/>
      <c r="K823" s="6"/>
      <c r="L823" s="6"/>
      <c r="M823" s="6"/>
      <c r="N823" s="6"/>
      <c r="O823" s="6"/>
      <c r="P823" s="6"/>
      <c r="Q823" s="6"/>
      <c r="R823" s="6"/>
      <c r="S823" s="6"/>
      <c r="T823" s="6"/>
      <c r="U823" s="6"/>
      <c r="V823" s="339"/>
      <c r="W823" s="339"/>
      <c r="X823" s="6"/>
      <c r="Y823" s="206"/>
      <c r="AE823" s="6"/>
      <c r="AF823" s="6"/>
      <c r="AG823" s="6"/>
      <c r="AH823" s="206"/>
      <c r="AJ823" s="213"/>
      <c r="AK823" s="6"/>
      <c r="AL823" s="6"/>
      <c r="AM823" s="6"/>
      <c r="AN823" s="206"/>
      <c r="AP823" s="213"/>
      <c r="AQ823" s="6"/>
      <c r="AR823" s="6"/>
      <c r="AS823" s="6"/>
      <c r="AT823" s="206"/>
      <c r="AV823" s="213"/>
      <c r="AW823" s="6"/>
      <c r="AX823" s="6"/>
      <c r="AY823" s="6"/>
      <c r="AZ823" s="206"/>
    </row>
    <row r="824" spans="4:52" s="2" customFormat="1" ht="17.100000000000001" customHeight="1" x14ac:dyDescent="0.25">
      <c r="D824" s="3"/>
      <c r="E824" s="3"/>
      <c r="F824" s="4"/>
      <c r="G824" s="4"/>
      <c r="H824" s="138"/>
      <c r="I824" s="97"/>
      <c r="J824" s="6"/>
      <c r="K824" s="6"/>
      <c r="L824" s="6"/>
      <c r="M824" s="6"/>
      <c r="N824" s="6"/>
      <c r="O824" s="6"/>
      <c r="P824" s="6"/>
      <c r="Q824" s="6"/>
      <c r="R824" s="6"/>
      <c r="S824" s="6"/>
      <c r="T824" s="6"/>
      <c r="U824" s="6"/>
      <c r="V824" s="339"/>
      <c r="W824" s="339"/>
      <c r="X824" s="6"/>
      <c r="Y824" s="206"/>
      <c r="AE824" s="6"/>
      <c r="AF824" s="6"/>
      <c r="AG824" s="6"/>
      <c r="AH824" s="206"/>
      <c r="AJ824" s="213"/>
      <c r="AK824" s="6"/>
      <c r="AL824" s="6"/>
      <c r="AM824" s="6"/>
      <c r="AN824" s="206"/>
      <c r="AP824" s="213"/>
      <c r="AQ824" s="6"/>
      <c r="AR824" s="6"/>
      <c r="AS824" s="6"/>
      <c r="AT824" s="206"/>
      <c r="AV824" s="213"/>
      <c r="AW824" s="6"/>
      <c r="AX824" s="6"/>
      <c r="AY824" s="6"/>
      <c r="AZ824" s="206"/>
    </row>
    <row r="825" spans="4:52" s="2" customFormat="1" ht="17.100000000000001" customHeight="1" x14ac:dyDescent="0.25">
      <c r="D825" s="3"/>
      <c r="E825" s="3"/>
      <c r="F825" s="4"/>
      <c r="G825" s="4"/>
      <c r="H825" s="138"/>
      <c r="I825" s="97"/>
      <c r="J825" s="6"/>
      <c r="K825" s="6"/>
      <c r="L825" s="6"/>
      <c r="M825" s="6"/>
      <c r="N825" s="6"/>
      <c r="O825" s="6"/>
      <c r="P825" s="6"/>
      <c r="Q825" s="6"/>
      <c r="R825" s="6"/>
      <c r="S825" s="6"/>
      <c r="T825" s="6"/>
      <c r="U825" s="6"/>
      <c r="V825" s="339"/>
      <c r="W825" s="339"/>
      <c r="X825" s="6"/>
      <c r="Y825" s="206"/>
      <c r="AE825" s="6"/>
      <c r="AF825" s="6"/>
      <c r="AG825" s="6"/>
      <c r="AH825" s="206"/>
      <c r="AJ825" s="213"/>
      <c r="AK825" s="6"/>
      <c r="AL825" s="6"/>
      <c r="AM825" s="6"/>
      <c r="AN825" s="206"/>
      <c r="AP825" s="213"/>
      <c r="AQ825" s="6"/>
      <c r="AR825" s="6"/>
      <c r="AS825" s="6"/>
      <c r="AT825" s="206"/>
      <c r="AV825" s="213"/>
      <c r="AW825" s="6"/>
      <c r="AX825" s="6"/>
      <c r="AY825" s="6"/>
      <c r="AZ825" s="206"/>
    </row>
    <row r="826" spans="4:52" s="2" customFormat="1" ht="17.100000000000001" customHeight="1" x14ac:dyDescent="0.25">
      <c r="D826" s="3"/>
      <c r="E826" s="3"/>
      <c r="F826" s="4"/>
      <c r="G826" s="4"/>
      <c r="H826" s="138"/>
      <c r="I826" s="97"/>
      <c r="J826" s="6"/>
      <c r="K826" s="6"/>
      <c r="L826" s="6"/>
      <c r="M826" s="6"/>
      <c r="N826" s="6"/>
      <c r="O826" s="6"/>
      <c r="P826" s="6"/>
      <c r="Q826" s="6"/>
      <c r="R826" s="6"/>
      <c r="S826" s="6"/>
      <c r="T826" s="6"/>
      <c r="U826" s="6"/>
      <c r="V826" s="339"/>
      <c r="W826" s="339"/>
      <c r="X826" s="6"/>
      <c r="Y826" s="206"/>
      <c r="AE826" s="6"/>
      <c r="AF826" s="6"/>
      <c r="AG826" s="6"/>
      <c r="AH826" s="206"/>
      <c r="AJ826" s="213"/>
      <c r="AK826" s="6"/>
      <c r="AL826" s="6"/>
      <c r="AM826" s="6"/>
      <c r="AN826" s="206"/>
      <c r="AP826" s="213"/>
      <c r="AQ826" s="6"/>
      <c r="AR826" s="6"/>
      <c r="AS826" s="6"/>
      <c r="AT826" s="206"/>
      <c r="AV826" s="213"/>
      <c r="AW826" s="6"/>
      <c r="AX826" s="6"/>
      <c r="AY826" s="6"/>
      <c r="AZ826" s="206"/>
    </row>
    <row r="827" spans="4:52" s="2" customFormat="1" ht="17.100000000000001" customHeight="1" x14ac:dyDescent="0.25">
      <c r="D827" s="3"/>
      <c r="E827" s="3"/>
      <c r="F827" s="4"/>
      <c r="G827" s="4"/>
      <c r="H827" s="138"/>
      <c r="I827" s="97"/>
      <c r="J827" s="6"/>
      <c r="K827" s="6"/>
      <c r="L827" s="6"/>
      <c r="M827" s="6"/>
      <c r="N827" s="6"/>
      <c r="O827" s="6"/>
      <c r="P827" s="6"/>
      <c r="Q827" s="6"/>
      <c r="R827" s="6"/>
      <c r="S827" s="6"/>
      <c r="T827" s="6"/>
      <c r="U827" s="6"/>
      <c r="V827" s="339"/>
      <c r="W827" s="339"/>
      <c r="X827" s="6"/>
      <c r="Y827" s="206"/>
      <c r="AE827" s="6"/>
      <c r="AF827" s="6"/>
      <c r="AG827" s="6"/>
      <c r="AH827" s="206"/>
      <c r="AJ827" s="213"/>
      <c r="AK827" s="6"/>
      <c r="AL827" s="6"/>
      <c r="AM827" s="6"/>
      <c r="AN827" s="206"/>
      <c r="AP827" s="213"/>
      <c r="AQ827" s="6"/>
      <c r="AR827" s="6"/>
      <c r="AS827" s="6"/>
      <c r="AT827" s="206"/>
      <c r="AV827" s="213"/>
      <c r="AW827" s="6"/>
      <c r="AX827" s="6"/>
      <c r="AY827" s="6"/>
      <c r="AZ827" s="206"/>
    </row>
    <row r="828" spans="4:52" s="2" customFormat="1" ht="17.100000000000001" customHeight="1" x14ac:dyDescent="0.25">
      <c r="D828" s="3"/>
      <c r="E828" s="3"/>
      <c r="F828" s="4"/>
      <c r="G828" s="4"/>
      <c r="H828" s="138"/>
      <c r="I828" s="97"/>
      <c r="J828" s="6"/>
      <c r="K828" s="6"/>
      <c r="L828" s="6"/>
      <c r="M828" s="6"/>
      <c r="N828" s="6"/>
      <c r="O828" s="6"/>
      <c r="P828" s="6"/>
      <c r="Q828" s="6"/>
      <c r="R828" s="6"/>
      <c r="S828" s="6"/>
      <c r="T828" s="6"/>
      <c r="U828" s="6"/>
      <c r="V828" s="339"/>
      <c r="W828" s="339"/>
      <c r="X828" s="6"/>
      <c r="Y828" s="206"/>
      <c r="AE828" s="6"/>
      <c r="AF828" s="6"/>
      <c r="AG828" s="6"/>
      <c r="AH828" s="206"/>
      <c r="AJ828" s="213"/>
      <c r="AK828" s="6"/>
      <c r="AL828" s="6"/>
      <c r="AM828" s="6"/>
      <c r="AN828" s="206"/>
      <c r="AP828" s="213"/>
      <c r="AQ828" s="6"/>
      <c r="AR828" s="6"/>
      <c r="AS828" s="6"/>
      <c r="AT828" s="206"/>
      <c r="AV828" s="213"/>
      <c r="AW828" s="6"/>
      <c r="AX828" s="6"/>
      <c r="AY828" s="6"/>
      <c r="AZ828" s="206"/>
    </row>
    <row r="829" spans="4:52" s="2" customFormat="1" ht="17.100000000000001" customHeight="1" x14ac:dyDescent="0.25">
      <c r="D829" s="3"/>
      <c r="E829" s="3"/>
      <c r="F829" s="4"/>
      <c r="G829" s="4"/>
      <c r="H829" s="138"/>
      <c r="I829" s="97"/>
      <c r="J829" s="6"/>
      <c r="K829" s="6"/>
      <c r="L829" s="6"/>
      <c r="M829" s="6"/>
      <c r="N829" s="6"/>
      <c r="O829" s="6"/>
      <c r="P829" s="6"/>
      <c r="Q829" s="6"/>
      <c r="R829" s="6"/>
      <c r="S829" s="6"/>
      <c r="T829" s="6"/>
      <c r="U829" s="6"/>
      <c r="V829" s="339"/>
      <c r="W829" s="339"/>
      <c r="X829" s="6"/>
      <c r="Y829" s="206"/>
      <c r="AE829" s="6"/>
      <c r="AF829" s="6"/>
      <c r="AG829" s="6"/>
      <c r="AH829" s="206"/>
      <c r="AJ829" s="213"/>
      <c r="AK829" s="6"/>
      <c r="AL829" s="6"/>
      <c r="AM829" s="6"/>
      <c r="AN829" s="206"/>
      <c r="AP829" s="213"/>
      <c r="AQ829" s="6"/>
      <c r="AR829" s="6"/>
      <c r="AS829" s="6"/>
      <c r="AT829" s="206"/>
      <c r="AV829" s="213"/>
      <c r="AW829" s="6"/>
      <c r="AX829" s="6"/>
      <c r="AY829" s="6"/>
      <c r="AZ829" s="206"/>
    </row>
    <row r="830" spans="4:52" s="2" customFormat="1" ht="17.100000000000001" customHeight="1" x14ac:dyDescent="0.25">
      <c r="D830" s="3"/>
      <c r="E830" s="3"/>
      <c r="F830" s="4"/>
      <c r="G830" s="4"/>
      <c r="H830" s="138"/>
      <c r="I830" s="97"/>
      <c r="J830" s="6"/>
      <c r="K830" s="6"/>
      <c r="L830" s="6"/>
      <c r="M830" s="6"/>
      <c r="N830" s="6"/>
      <c r="O830" s="6"/>
      <c r="P830" s="6"/>
      <c r="Q830" s="6"/>
      <c r="R830" s="6"/>
      <c r="S830" s="6"/>
      <c r="T830" s="6"/>
      <c r="U830" s="6"/>
      <c r="V830" s="339"/>
      <c r="W830" s="339"/>
      <c r="X830" s="6"/>
      <c r="Y830" s="206"/>
      <c r="AE830" s="6"/>
      <c r="AF830" s="6"/>
      <c r="AG830" s="6"/>
      <c r="AH830" s="206"/>
      <c r="AJ830" s="213"/>
      <c r="AK830" s="6"/>
      <c r="AL830" s="6"/>
      <c r="AM830" s="6"/>
      <c r="AN830" s="206"/>
      <c r="AP830" s="213"/>
      <c r="AQ830" s="6"/>
      <c r="AR830" s="6"/>
      <c r="AS830" s="6"/>
      <c r="AT830" s="206"/>
      <c r="AV830" s="213"/>
      <c r="AW830" s="6"/>
      <c r="AX830" s="6"/>
      <c r="AY830" s="6"/>
      <c r="AZ830" s="206"/>
    </row>
    <row r="831" spans="4:52" s="2" customFormat="1" ht="17.100000000000001" customHeight="1" x14ac:dyDescent="0.25">
      <c r="D831" s="3"/>
      <c r="E831" s="3"/>
      <c r="F831" s="4"/>
      <c r="G831" s="4"/>
      <c r="H831" s="138"/>
      <c r="I831" s="97"/>
      <c r="J831" s="6"/>
      <c r="K831" s="6"/>
      <c r="L831" s="6"/>
      <c r="M831" s="6"/>
      <c r="N831" s="6"/>
      <c r="O831" s="6"/>
      <c r="P831" s="6"/>
      <c r="Q831" s="6"/>
      <c r="R831" s="6"/>
      <c r="S831" s="6"/>
      <c r="T831" s="6"/>
      <c r="U831" s="6"/>
      <c r="V831" s="339"/>
      <c r="W831" s="339"/>
      <c r="X831" s="6"/>
      <c r="Y831" s="206"/>
      <c r="AE831" s="6"/>
      <c r="AF831" s="6"/>
      <c r="AG831" s="6"/>
      <c r="AH831" s="206"/>
      <c r="AJ831" s="213"/>
      <c r="AK831" s="6"/>
      <c r="AL831" s="6"/>
      <c r="AM831" s="6"/>
      <c r="AN831" s="206"/>
      <c r="AP831" s="213"/>
      <c r="AQ831" s="6"/>
      <c r="AR831" s="6"/>
      <c r="AS831" s="6"/>
      <c r="AT831" s="206"/>
      <c r="AV831" s="213"/>
      <c r="AW831" s="6"/>
      <c r="AX831" s="6"/>
      <c r="AY831" s="6"/>
      <c r="AZ831" s="206"/>
    </row>
    <row r="832" spans="4:52" s="2" customFormat="1" ht="17.100000000000001" customHeight="1" x14ac:dyDescent="0.25">
      <c r="D832" s="3"/>
      <c r="E832" s="3"/>
      <c r="F832" s="4"/>
      <c r="G832" s="4"/>
      <c r="H832" s="138"/>
      <c r="I832" s="97"/>
      <c r="J832" s="6"/>
      <c r="K832" s="6"/>
      <c r="L832" s="6"/>
      <c r="M832" s="6"/>
      <c r="N832" s="6"/>
      <c r="O832" s="6"/>
      <c r="P832" s="6"/>
      <c r="Q832" s="6"/>
      <c r="R832" s="6"/>
      <c r="S832" s="6"/>
      <c r="T832" s="6"/>
      <c r="U832" s="6"/>
      <c r="V832" s="339"/>
      <c r="W832" s="339"/>
      <c r="X832" s="6"/>
      <c r="Y832" s="206"/>
      <c r="AE832" s="6"/>
      <c r="AF832" s="6"/>
      <c r="AG832" s="6"/>
      <c r="AH832" s="206"/>
      <c r="AJ832" s="213"/>
      <c r="AK832" s="6"/>
      <c r="AL832" s="6"/>
      <c r="AM832" s="6"/>
      <c r="AN832" s="206"/>
      <c r="AP832" s="213"/>
      <c r="AQ832" s="6"/>
      <c r="AR832" s="6"/>
      <c r="AS832" s="6"/>
      <c r="AT832" s="206"/>
      <c r="AV832" s="213"/>
      <c r="AW832" s="6"/>
      <c r="AX832" s="6"/>
      <c r="AY832" s="6"/>
      <c r="AZ832" s="206"/>
    </row>
    <row r="833" spans="4:52" s="2" customFormat="1" ht="17.100000000000001" customHeight="1" x14ac:dyDescent="0.25">
      <c r="D833" s="3"/>
      <c r="E833" s="3"/>
      <c r="F833" s="4"/>
      <c r="G833" s="4"/>
      <c r="H833" s="138"/>
      <c r="I833" s="97"/>
      <c r="J833" s="6"/>
      <c r="K833" s="6"/>
      <c r="L833" s="6"/>
      <c r="M833" s="6"/>
      <c r="N833" s="6"/>
      <c r="O833" s="6"/>
      <c r="P833" s="6"/>
      <c r="Q833" s="6"/>
      <c r="R833" s="6"/>
      <c r="S833" s="6"/>
      <c r="T833" s="6"/>
      <c r="U833" s="6"/>
      <c r="V833" s="339"/>
      <c r="W833" s="339"/>
      <c r="X833" s="6"/>
      <c r="Y833" s="206"/>
      <c r="AE833" s="6"/>
      <c r="AF833" s="6"/>
      <c r="AG833" s="6"/>
      <c r="AH833" s="206"/>
      <c r="AJ833" s="213"/>
      <c r="AK833" s="6"/>
      <c r="AL833" s="6"/>
      <c r="AM833" s="6"/>
      <c r="AN833" s="206"/>
      <c r="AP833" s="213"/>
      <c r="AQ833" s="6"/>
      <c r="AR833" s="6"/>
      <c r="AS833" s="6"/>
      <c r="AT833" s="206"/>
      <c r="AV833" s="213"/>
      <c r="AW833" s="6"/>
      <c r="AX833" s="6"/>
      <c r="AY833" s="6"/>
      <c r="AZ833" s="206"/>
    </row>
    <row r="834" spans="4:52" s="2" customFormat="1" ht="17.100000000000001" customHeight="1" x14ac:dyDescent="0.25">
      <c r="D834" s="3"/>
      <c r="E834" s="3"/>
      <c r="F834" s="4"/>
      <c r="G834" s="4"/>
      <c r="H834" s="138"/>
      <c r="I834" s="97"/>
      <c r="J834" s="6"/>
      <c r="K834" s="6"/>
      <c r="L834" s="6"/>
      <c r="M834" s="6"/>
      <c r="N834" s="6"/>
      <c r="O834" s="6"/>
      <c r="P834" s="6"/>
      <c r="Q834" s="6"/>
      <c r="R834" s="6"/>
      <c r="S834" s="6"/>
      <c r="T834" s="6"/>
      <c r="U834" s="6"/>
      <c r="V834" s="339"/>
      <c r="W834" s="339"/>
      <c r="X834" s="6"/>
      <c r="Y834" s="206"/>
      <c r="AE834" s="6"/>
      <c r="AF834" s="6"/>
      <c r="AG834" s="6"/>
      <c r="AH834" s="206"/>
      <c r="AJ834" s="213"/>
      <c r="AK834" s="6"/>
      <c r="AL834" s="6"/>
      <c r="AM834" s="6"/>
      <c r="AN834" s="206"/>
      <c r="AP834" s="213"/>
      <c r="AQ834" s="6"/>
      <c r="AR834" s="6"/>
      <c r="AS834" s="6"/>
      <c r="AT834" s="206"/>
      <c r="AV834" s="213"/>
      <c r="AW834" s="6"/>
      <c r="AX834" s="6"/>
      <c r="AY834" s="6"/>
      <c r="AZ834" s="206"/>
    </row>
    <row r="835" spans="4:52" s="2" customFormat="1" ht="17.100000000000001" customHeight="1" x14ac:dyDescent="0.25">
      <c r="D835" s="3"/>
      <c r="E835" s="3"/>
      <c r="F835" s="4"/>
      <c r="G835" s="4"/>
      <c r="H835" s="138"/>
      <c r="I835" s="97"/>
      <c r="J835" s="6"/>
      <c r="K835" s="6"/>
      <c r="L835" s="6"/>
      <c r="M835" s="6"/>
      <c r="N835" s="6"/>
      <c r="O835" s="6"/>
      <c r="P835" s="6"/>
      <c r="Q835" s="6"/>
      <c r="R835" s="6"/>
      <c r="S835" s="6"/>
      <c r="T835" s="6"/>
      <c r="U835" s="6"/>
      <c r="V835" s="339"/>
      <c r="W835" s="339"/>
      <c r="X835" s="6"/>
      <c r="Y835" s="206"/>
      <c r="AE835" s="6"/>
      <c r="AF835" s="6"/>
      <c r="AG835" s="6"/>
      <c r="AH835" s="206"/>
      <c r="AJ835" s="213"/>
      <c r="AK835" s="6"/>
      <c r="AL835" s="6"/>
      <c r="AM835" s="6"/>
      <c r="AN835" s="206"/>
      <c r="AP835" s="213"/>
      <c r="AQ835" s="6"/>
      <c r="AR835" s="6"/>
      <c r="AS835" s="6"/>
      <c r="AT835" s="206"/>
      <c r="AV835" s="213"/>
      <c r="AW835" s="6"/>
      <c r="AX835" s="6"/>
      <c r="AY835" s="6"/>
      <c r="AZ835" s="206"/>
    </row>
    <row r="836" spans="4:52" s="2" customFormat="1" ht="17.100000000000001" customHeight="1" x14ac:dyDescent="0.25">
      <c r="D836" s="3"/>
      <c r="E836" s="3"/>
      <c r="F836" s="4"/>
      <c r="G836" s="4"/>
      <c r="H836" s="138"/>
      <c r="I836" s="97"/>
      <c r="J836" s="6"/>
      <c r="K836" s="6"/>
      <c r="L836" s="6"/>
      <c r="M836" s="6"/>
      <c r="N836" s="6"/>
      <c r="O836" s="6"/>
      <c r="P836" s="6"/>
      <c r="Q836" s="6"/>
      <c r="R836" s="6"/>
      <c r="S836" s="6"/>
      <c r="T836" s="6"/>
      <c r="U836" s="6"/>
      <c r="V836" s="339"/>
      <c r="W836" s="339"/>
      <c r="X836" s="6"/>
      <c r="Y836" s="206"/>
      <c r="AE836" s="6"/>
      <c r="AF836" s="6"/>
      <c r="AG836" s="6"/>
      <c r="AH836" s="206"/>
      <c r="AJ836" s="213"/>
      <c r="AK836" s="6"/>
      <c r="AL836" s="6"/>
      <c r="AM836" s="6"/>
      <c r="AN836" s="206"/>
      <c r="AP836" s="213"/>
      <c r="AQ836" s="6"/>
      <c r="AR836" s="6"/>
      <c r="AS836" s="6"/>
      <c r="AT836" s="206"/>
      <c r="AV836" s="213"/>
      <c r="AW836" s="6"/>
      <c r="AX836" s="6"/>
      <c r="AY836" s="6"/>
      <c r="AZ836" s="206"/>
    </row>
    <row r="837" spans="4:52" s="2" customFormat="1" ht="17.100000000000001" customHeight="1" x14ac:dyDescent="0.25">
      <c r="D837" s="3"/>
      <c r="E837" s="3"/>
      <c r="F837" s="4"/>
      <c r="G837" s="4"/>
      <c r="H837" s="138"/>
      <c r="I837" s="97"/>
      <c r="J837" s="6"/>
      <c r="K837" s="6"/>
      <c r="L837" s="6"/>
      <c r="M837" s="6"/>
      <c r="N837" s="6"/>
      <c r="O837" s="6"/>
      <c r="P837" s="6"/>
      <c r="Q837" s="6"/>
      <c r="R837" s="6"/>
      <c r="S837" s="6"/>
      <c r="T837" s="6"/>
      <c r="U837" s="6"/>
      <c r="V837" s="339"/>
      <c r="W837" s="339"/>
      <c r="X837" s="6"/>
      <c r="Y837" s="206"/>
      <c r="AE837" s="6"/>
      <c r="AF837" s="6"/>
      <c r="AG837" s="6"/>
      <c r="AH837" s="206"/>
      <c r="AJ837" s="213"/>
      <c r="AK837" s="6"/>
      <c r="AL837" s="6"/>
      <c r="AM837" s="6"/>
      <c r="AN837" s="206"/>
      <c r="AP837" s="213"/>
      <c r="AQ837" s="6"/>
      <c r="AR837" s="6"/>
      <c r="AS837" s="6"/>
      <c r="AT837" s="206"/>
      <c r="AV837" s="213"/>
      <c r="AW837" s="6"/>
      <c r="AX837" s="6"/>
      <c r="AY837" s="6"/>
      <c r="AZ837" s="206"/>
    </row>
    <row r="838" spans="4:52" s="2" customFormat="1" ht="17.100000000000001" customHeight="1" x14ac:dyDescent="0.25">
      <c r="D838" s="3"/>
      <c r="E838" s="3"/>
      <c r="F838" s="4"/>
      <c r="G838" s="4"/>
      <c r="H838" s="138"/>
      <c r="I838" s="97"/>
      <c r="J838" s="6"/>
      <c r="K838" s="6"/>
      <c r="L838" s="6"/>
      <c r="M838" s="6"/>
      <c r="N838" s="6"/>
      <c r="O838" s="6"/>
      <c r="P838" s="6"/>
      <c r="Q838" s="6"/>
      <c r="R838" s="6"/>
      <c r="S838" s="6"/>
      <c r="T838" s="6"/>
      <c r="U838" s="6"/>
      <c r="V838" s="339"/>
      <c r="W838" s="339"/>
      <c r="X838" s="6"/>
      <c r="Y838" s="206"/>
      <c r="AE838" s="6"/>
      <c r="AF838" s="6"/>
      <c r="AG838" s="6"/>
      <c r="AH838" s="206"/>
      <c r="AJ838" s="213"/>
      <c r="AK838" s="6"/>
      <c r="AL838" s="6"/>
      <c r="AM838" s="6"/>
      <c r="AN838" s="206"/>
      <c r="AP838" s="213"/>
      <c r="AQ838" s="6"/>
      <c r="AR838" s="6"/>
      <c r="AS838" s="6"/>
      <c r="AT838" s="206"/>
      <c r="AV838" s="213"/>
      <c r="AW838" s="6"/>
      <c r="AX838" s="6"/>
      <c r="AY838" s="6"/>
      <c r="AZ838" s="206"/>
    </row>
    <row r="839" spans="4:52" s="2" customFormat="1" ht="17.100000000000001" customHeight="1" x14ac:dyDescent="0.25">
      <c r="D839" s="3"/>
      <c r="E839" s="3"/>
      <c r="F839" s="4"/>
      <c r="G839" s="4"/>
      <c r="H839" s="138"/>
      <c r="I839" s="97"/>
      <c r="J839" s="6"/>
      <c r="K839" s="6"/>
      <c r="L839" s="6"/>
      <c r="M839" s="6"/>
      <c r="N839" s="6"/>
      <c r="O839" s="6"/>
      <c r="P839" s="6"/>
      <c r="Q839" s="6"/>
      <c r="R839" s="6"/>
      <c r="S839" s="6"/>
      <c r="T839" s="6"/>
      <c r="U839" s="6"/>
      <c r="V839" s="339"/>
      <c r="W839" s="339"/>
      <c r="X839" s="6"/>
      <c r="Y839" s="206"/>
      <c r="AE839" s="6"/>
      <c r="AF839" s="6"/>
      <c r="AG839" s="6"/>
      <c r="AH839" s="206"/>
      <c r="AJ839" s="213"/>
      <c r="AK839" s="6"/>
      <c r="AL839" s="6"/>
      <c r="AM839" s="6"/>
      <c r="AN839" s="206"/>
      <c r="AP839" s="213"/>
      <c r="AQ839" s="6"/>
      <c r="AR839" s="6"/>
      <c r="AS839" s="6"/>
      <c r="AT839" s="206"/>
      <c r="AV839" s="213"/>
      <c r="AW839" s="6"/>
      <c r="AX839" s="6"/>
      <c r="AY839" s="6"/>
      <c r="AZ839" s="206"/>
    </row>
    <row r="840" spans="4:52" s="2" customFormat="1" ht="17.100000000000001" customHeight="1" x14ac:dyDescent="0.25">
      <c r="D840" s="3"/>
      <c r="E840" s="3"/>
      <c r="F840" s="4"/>
      <c r="G840" s="4"/>
      <c r="H840" s="138"/>
      <c r="I840" s="97"/>
      <c r="J840" s="6"/>
      <c r="K840" s="6"/>
      <c r="L840" s="6"/>
      <c r="M840" s="6"/>
      <c r="N840" s="6"/>
      <c r="O840" s="6"/>
      <c r="P840" s="6"/>
      <c r="Q840" s="6"/>
      <c r="R840" s="6"/>
      <c r="S840" s="6"/>
      <c r="T840" s="6"/>
      <c r="U840" s="6"/>
      <c r="V840" s="339"/>
      <c r="W840" s="339"/>
      <c r="X840" s="6"/>
      <c r="Y840" s="206"/>
      <c r="AE840" s="6"/>
      <c r="AF840" s="6"/>
      <c r="AG840" s="6"/>
      <c r="AH840" s="206"/>
      <c r="AJ840" s="213"/>
      <c r="AK840" s="6"/>
      <c r="AL840" s="6"/>
      <c r="AM840" s="6"/>
      <c r="AN840" s="206"/>
      <c r="AP840" s="213"/>
      <c r="AQ840" s="6"/>
      <c r="AR840" s="6"/>
      <c r="AS840" s="6"/>
      <c r="AT840" s="206"/>
      <c r="AV840" s="213"/>
      <c r="AW840" s="6"/>
      <c r="AX840" s="6"/>
      <c r="AY840" s="6"/>
      <c r="AZ840" s="206"/>
    </row>
  </sheetData>
  <dataConsolidate/>
  <mergeCells count="19">
    <mergeCell ref="AQ10:AU10"/>
    <mergeCell ref="AW10:BA10"/>
    <mergeCell ref="E382:G382"/>
    <mergeCell ref="E384:G384"/>
    <mergeCell ref="E446:G446"/>
    <mergeCell ref="E447:G447"/>
    <mergeCell ref="AE8:AO8"/>
    <mergeCell ref="J9:M9"/>
    <mergeCell ref="N9:P9"/>
    <mergeCell ref="Q9:S9"/>
    <mergeCell ref="T9:V9"/>
    <mergeCell ref="AE10:AI10"/>
    <mergeCell ref="AK10:AO10"/>
    <mergeCell ref="W8:Y9"/>
    <mergeCell ref="L6:M6"/>
    <mergeCell ref="J8:M8"/>
    <mergeCell ref="N8:P8"/>
    <mergeCell ref="Q8:S8"/>
    <mergeCell ref="T8:V8"/>
  </mergeCells>
  <pageMargins left="0.7" right="0.7" top="0.75" bottom="0.75" header="0.3" footer="0.3"/>
  <pageSetup paperSize="9" scale="70" fitToHeight="5" orientation="portrait" r:id="rId1"/>
  <headerFooter>
    <oddFooter>&amp;L&amp;10SANITATION DEMAND AND SUPPLY STUDY&amp;C&amp;10&amp;P&amp;R&amp;10HOUSEHOLDS WITH TOILET</oddFooter>
  </headerFooter>
  <rowBreaks count="4" manualBreakCount="4">
    <brk id="89" max="10" man="1"/>
    <brk id="212" max="10" man="1"/>
    <brk id="373" max="10" man="1"/>
    <brk id="567" max="10" man="1"/>
  </rowBreaks>
  <ignoredErrors>
    <ignoredError sqref="W365:AC367" formulaRange="1"/>
    <ignoredError sqref="U190" unlockedFormula="1"/>
    <ignoredError sqref="P527:V528"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BH840"/>
  <sheetViews>
    <sheetView zoomScale="80" zoomScaleNormal="80" workbookViewId="0">
      <pane xSplit="7" ySplit="11" topLeftCell="H12" activePane="bottomRight" state="frozen"/>
      <selection activeCell="W396" sqref="W396:X399"/>
      <selection pane="topRight" activeCell="W396" sqref="W396:X399"/>
      <selection pane="bottomLeft" activeCell="W396" sqref="W396:X399"/>
      <selection pane="bottomRight" activeCell="O5" sqref="O5"/>
    </sheetView>
  </sheetViews>
  <sheetFormatPr defaultRowHeight="17.100000000000001" customHeight="1" x14ac:dyDescent="0.25"/>
  <cols>
    <col min="1" max="2" width="4.7109375" style="2" customWidth="1"/>
    <col min="3" max="3" width="6.7109375" style="2" customWidth="1"/>
    <col min="4" max="4" width="7.7109375" style="3" customWidth="1"/>
    <col min="5" max="5" width="4.7109375" style="3" customWidth="1"/>
    <col min="6" max="6" width="30.7109375" style="4" customWidth="1"/>
    <col min="7" max="7" width="3.7109375" style="4" customWidth="1"/>
    <col min="8" max="8" width="4.42578125" style="138" customWidth="1"/>
    <col min="9" max="9" width="3.7109375" style="97" customWidth="1"/>
    <col min="10" max="21" width="10.7109375" style="6" customWidth="1"/>
    <col min="22" max="23" width="10.7109375" style="339" customWidth="1"/>
    <col min="24" max="24" width="10.7109375" style="6" customWidth="1"/>
    <col min="25" max="25" width="10.7109375" style="7" customWidth="1"/>
    <col min="26" max="29" width="10.7109375" style="3" customWidth="1"/>
    <col min="30" max="30" width="8.7109375" style="3" customWidth="1"/>
    <col min="31" max="33" width="9.7109375" style="8" customWidth="1"/>
    <col min="34" max="34" width="9.7109375" style="7" customWidth="1"/>
    <col min="35" max="35" width="9.7109375" style="3" customWidth="1"/>
    <col min="36" max="36" width="8.7109375" style="117" customWidth="1"/>
    <col min="37" max="39" width="9.7109375" style="8" customWidth="1"/>
    <col min="40" max="40" width="9.7109375" style="7" customWidth="1"/>
    <col min="41" max="41" width="9.7109375" style="3" customWidth="1"/>
    <col min="42" max="42" width="8.7109375" style="117" customWidth="1"/>
    <col min="43" max="45" width="9.7109375" style="8" customWidth="1"/>
    <col min="46" max="46" width="9.7109375" style="7" customWidth="1"/>
    <col min="47" max="47" width="9.7109375" style="3" customWidth="1"/>
    <col min="48" max="48" width="8.7109375" style="117" customWidth="1"/>
    <col min="49" max="51" width="9.7109375" style="8" customWidth="1"/>
    <col min="52" max="52" width="9.7109375" style="7" customWidth="1"/>
    <col min="53" max="53" width="9.7109375" style="3" customWidth="1"/>
    <col min="54" max="16384" width="9.140625" style="3"/>
  </cols>
  <sheetData>
    <row r="1" spans="1:53" ht="17.100000000000001" customHeight="1" x14ac:dyDescent="0.25">
      <c r="A1" s="1" t="s">
        <v>363</v>
      </c>
      <c r="J1" s="5" t="s">
        <v>883</v>
      </c>
      <c r="V1" s="6"/>
      <c r="W1" s="6"/>
    </row>
    <row r="2" spans="1:53" ht="17.100000000000001" customHeight="1" x14ac:dyDescent="0.25">
      <c r="A2" s="1" t="str">
        <f>'STUDY VILLAGES'!U7</f>
        <v>KAMPOT PROVINCE</v>
      </c>
      <c r="J2" s="5"/>
      <c r="V2" s="6"/>
      <c r="W2" s="6"/>
    </row>
    <row r="3" spans="1:53" ht="17.100000000000001" customHeight="1" x14ac:dyDescent="0.25">
      <c r="A3" s="1" t="str">
        <f>'STUDY VILLAGES'!U8</f>
        <v>BANTEAY MEAS DISTRICT</v>
      </c>
      <c r="J3" s="268" t="s">
        <v>555</v>
      </c>
      <c r="K3" s="95"/>
      <c r="L3" s="267" t="str">
        <f>'STUDY VILLAGES'!B15</f>
        <v>V A KHANG CHEUNG</v>
      </c>
      <c r="M3" s="267"/>
      <c r="V3" s="6"/>
      <c r="W3" s="6"/>
    </row>
    <row r="4" spans="1:53" ht="12.75" x14ac:dyDescent="0.25">
      <c r="A4" s="3"/>
      <c r="B4" s="3"/>
      <c r="C4" s="3"/>
      <c r="F4" s="3"/>
      <c r="G4" s="3"/>
      <c r="H4" s="213"/>
      <c r="J4" s="3"/>
      <c r="K4" s="3"/>
      <c r="L4" s="3"/>
      <c r="M4" s="3"/>
      <c r="N4" s="3"/>
      <c r="O4" s="3"/>
      <c r="P4" s="3"/>
      <c r="V4" s="6"/>
      <c r="W4" s="6"/>
    </row>
    <row r="5" spans="1:53" ht="21" x14ac:dyDescent="0.25">
      <c r="A5" s="1" t="s">
        <v>743</v>
      </c>
      <c r="J5" s="9" t="s">
        <v>1</v>
      </c>
      <c r="K5" s="10"/>
      <c r="L5" s="653"/>
      <c r="M5" s="397"/>
      <c r="N5" s="3"/>
      <c r="O5" s="519" t="s">
        <v>1073</v>
      </c>
      <c r="P5" s="3"/>
      <c r="V5" s="6"/>
      <c r="W5" s="6"/>
    </row>
    <row r="6" spans="1:53" ht="21" customHeight="1" x14ac:dyDescent="0.25">
      <c r="A6" s="444" t="s">
        <v>618</v>
      </c>
      <c r="J6" s="11" t="s">
        <v>2</v>
      </c>
      <c r="K6" s="10"/>
      <c r="L6" s="1379"/>
      <c r="M6" s="1379"/>
      <c r="N6" s="3"/>
      <c r="O6" s="3"/>
      <c r="P6" s="3"/>
      <c r="V6" s="6"/>
      <c r="W6" s="6"/>
    </row>
    <row r="7" spans="1:53" ht="9.9499999999999993" customHeight="1" x14ac:dyDescent="0.25">
      <c r="A7" s="12"/>
      <c r="B7" s="13"/>
      <c r="C7" s="14"/>
      <c r="D7" s="15"/>
      <c r="E7" s="16"/>
      <c r="F7" s="16"/>
      <c r="G7" s="16"/>
      <c r="H7" s="214"/>
      <c r="I7" s="16"/>
      <c r="V7" s="6"/>
      <c r="W7" s="6"/>
    </row>
    <row r="8" spans="1:53" ht="17.100000000000001" customHeight="1" x14ac:dyDescent="0.25">
      <c r="D8" s="2"/>
      <c r="E8" s="2"/>
      <c r="F8" s="21"/>
      <c r="G8" s="21"/>
      <c r="H8" s="12"/>
      <c r="I8" s="138"/>
      <c r="J8" s="1384" t="s">
        <v>541</v>
      </c>
      <c r="K8" s="1385"/>
      <c r="L8" s="1385"/>
      <c r="M8" s="1386"/>
      <c r="N8" s="1384" t="s">
        <v>364</v>
      </c>
      <c r="O8" s="1385"/>
      <c r="P8" s="1386"/>
      <c r="Q8" s="1384" t="s">
        <v>365</v>
      </c>
      <c r="R8" s="1385"/>
      <c r="S8" s="1386"/>
      <c r="T8" s="1384" t="s">
        <v>366</v>
      </c>
      <c r="U8" s="1385"/>
      <c r="V8" s="1385"/>
      <c r="W8" s="1396" t="s">
        <v>4</v>
      </c>
      <c r="X8" s="1397"/>
      <c r="Y8" s="1397"/>
      <c r="AE8" s="1383" t="s">
        <v>731</v>
      </c>
      <c r="AF8" s="1383"/>
      <c r="AG8" s="1383"/>
      <c r="AH8" s="1383"/>
      <c r="AI8" s="1383"/>
      <c r="AJ8" s="1383"/>
      <c r="AK8" s="1383"/>
      <c r="AL8" s="1383"/>
      <c r="AM8" s="1383"/>
      <c r="AN8" s="1383"/>
      <c r="AO8" s="1383"/>
      <c r="AP8" s="3"/>
      <c r="AV8" s="3"/>
    </row>
    <row r="9" spans="1:53" ht="17.100000000000001" customHeight="1" x14ac:dyDescent="0.25">
      <c r="D9" s="2"/>
      <c r="E9" s="2"/>
      <c r="F9" s="21"/>
      <c r="G9" s="21"/>
      <c r="H9" s="12"/>
      <c r="I9" s="138"/>
      <c r="J9" s="1384" t="s">
        <v>542</v>
      </c>
      <c r="K9" s="1385"/>
      <c r="L9" s="1385"/>
      <c r="M9" s="1386"/>
      <c r="N9" s="1387" t="str">
        <f>'STUDY VILLAGES'!C15</f>
        <v>Ponhea Angkor</v>
      </c>
      <c r="O9" s="1388"/>
      <c r="P9" s="1389"/>
      <c r="Q9" s="1387" t="str">
        <f>'STUDY VILLAGES'!F15</f>
        <v>Svay Pa am (substitute)</v>
      </c>
      <c r="R9" s="1388"/>
      <c r="S9" s="1389"/>
      <c r="T9" s="1387">
        <f>'STUDY VILLAGES'!I15</f>
        <v>0</v>
      </c>
      <c r="U9" s="1388"/>
      <c r="V9" s="1389"/>
      <c r="W9" s="1396"/>
      <c r="X9" s="1397"/>
      <c r="Y9" s="1397"/>
      <c r="AB9" s="513" t="s">
        <v>900</v>
      </c>
      <c r="AC9" s="514">
        <f>SUM(AA10:AC10)</f>
        <v>2</v>
      </c>
    </row>
    <row r="10" spans="1:53" ht="17.100000000000001" customHeight="1" x14ac:dyDescent="0.25">
      <c r="A10" s="21"/>
      <c r="B10" s="21"/>
      <c r="C10" s="21"/>
      <c r="D10" s="4"/>
      <c r="E10" s="4"/>
      <c r="G10" s="22"/>
      <c r="H10" s="166"/>
      <c r="I10" s="208"/>
      <c r="J10" s="334" t="s">
        <v>733</v>
      </c>
      <c r="K10" s="334" t="s">
        <v>734</v>
      </c>
      <c r="L10" s="334" t="s">
        <v>657</v>
      </c>
      <c r="M10" s="334" t="s">
        <v>320</v>
      </c>
      <c r="N10" s="334" t="s">
        <v>735</v>
      </c>
      <c r="O10" s="334" t="s">
        <v>657</v>
      </c>
      <c r="P10" s="334" t="s">
        <v>320</v>
      </c>
      <c r="Q10" s="334" t="s">
        <v>735</v>
      </c>
      <c r="R10" s="334" t="s">
        <v>657</v>
      </c>
      <c r="S10" s="334" t="s">
        <v>320</v>
      </c>
      <c r="T10" s="334" t="s">
        <v>735</v>
      </c>
      <c r="U10" s="334" t="s">
        <v>657</v>
      </c>
      <c r="V10" s="544" t="s">
        <v>320</v>
      </c>
      <c r="W10" s="375" t="s">
        <v>735</v>
      </c>
      <c r="X10" s="335" t="s">
        <v>657</v>
      </c>
      <c r="Y10" s="410" t="s">
        <v>4</v>
      </c>
      <c r="AA10" s="2">
        <f>IF(P20&gt;0,1,0)</f>
        <v>1</v>
      </c>
      <c r="AB10" s="2">
        <f>IF(S20&gt;0,1,0)</f>
        <v>1</v>
      </c>
      <c r="AC10" s="2">
        <f>IF(V20&gt;0,1,0)</f>
        <v>0</v>
      </c>
      <c r="AE10" s="1400" t="s">
        <v>733</v>
      </c>
      <c r="AF10" s="1401"/>
      <c r="AG10" s="1401"/>
      <c r="AH10" s="1401"/>
      <c r="AI10" s="1402"/>
      <c r="AK10" s="1390" t="s">
        <v>734</v>
      </c>
      <c r="AL10" s="1391"/>
      <c r="AM10" s="1391"/>
      <c r="AN10" s="1391"/>
      <c r="AO10" s="1392"/>
      <c r="AQ10" s="1380" t="s">
        <v>732</v>
      </c>
      <c r="AR10" s="1381"/>
      <c r="AS10" s="1381"/>
      <c r="AT10" s="1381"/>
      <c r="AU10" s="1382"/>
      <c r="AW10" s="1393" t="s">
        <v>556</v>
      </c>
      <c r="AX10" s="1394"/>
      <c r="AY10" s="1394"/>
      <c r="AZ10" s="1394"/>
      <c r="BA10" s="1395"/>
    </row>
    <row r="11" spans="1:53" s="32" customFormat="1" ht="17.100000000000001" customHeight="1" thickBot="1" x14ac:dyDescent="0.3">
      <c r="A11" s="24">
        <v>0</v>
      </c>
      <c r="B11" s="25" t="s">
        <v>3</v>
      </c>
      <c r="C11" s="26"/>
      <c r="D11" s="27"/>
      <c r="E11" s="27"/>
      <c r="F11" s="27"/>
      <c r="G11" s="28"/>
      <c r="H11" s="215"/>
      <c r="I11" s="228"/>
      <c r="J11" s="29"/>
      <c r="K11" s="29"/>
      <c r="L11" s="29"/>
      <c r="M11" s="29"/>
      <c r="N11" s="29"/>
      <c r="O11" s="29"/>
      <c r="P11" s="29"/>
      <c r="Q11" s="29"/>
      <c r="R11" s="29"/>
      <c r="S11" s="29"/>
      <c r="T11" s="29"/>
      <c r="U11" s="29"/>
      <c r="V11" s="354"/>
      <c r="W11" s="376"/>
      <c r="X11" s="29"/>
      <c r="Y11" s="30"/>
      <c r="Z11" s="31" t="s">
        <v>5</v>
      </c>
      <c r="AA11" s="31" t="s">
        <v>181</v>
      </c>
      <c r="AB11" s="31" t="s">
        <v>182</v>
      </c>
      <c r="AC11" s="31" t="s">
        <v>6</v>
      </c>
      <c r="AE11" s="33" t="s">
        <v>181</v>
      </c>
      <c r="AF11" s="33" t="s">
        <v>182</v>
      </c>
      <c r="AG11" s="33" t="s">
        <v>6</v>
      </c>
      <c r="AH11" s="33" t="s">
        <v>4</v>
      </c>
      <c r="AI11" s="34" t="s">
        <v>5</v>
      </c>
      <c r="AJ11" s="406"/>
      <c r="AK11" s="36" t="s">
        <v>181</v>
      </c>
      <c r="AL11" s="36" t="s">
        <v>182</v>
      </c>
      <c r="AM11" s="36" t="s">
        <v>6</v>
      </c>
      <c r="AN11" s="36" t="s">
        <v>4</v>
      </c>
      <c r="AO11" s="37" t="s">
        <v>5</v>
      </c>
      <c r="AP11" s="406"/>
      <c r="AQ11" s="398" t="s">
        <v>181</v>
      </c>
      <c r="AR11" s="398" t="s">
        <v>182</v>
      </c>
      <c r="AS11" s="398" t="s">
        <v>6</v>
      </c>
      <c r="AT11" s="398" t="s">
        <v>4</v>
      </c>
      <c r="AU11" s="399" t="s">
        <v>5</v>
      </c>
      <c r="AV11" s="406"/>
      <c r="AW11" s="400" t="s">
        <v>181</v>
      </c>
      <c r="AX11" s="400" t="s">
        <v>182</v>
      </c>
      <c r="AY11" s="400" t="s">
        <v>6</v>
      </c>
      <c r="AZ11" s="400" t="s">
        <v>4</v>
      </c>
      <c r="BA11" s="401" t="s">
        <v>5</v>
      </c>
    </row>
    <row r="12" spans="1:53" ht="17.100000000000001" customHeight="1" x14ac:dyDescent="0.25">
      <c r="A12" s="40"/>
      <c r="B12" s="414">
        <v>0</v>
      </c>
      <c r="C12" s="42" t="s">
        <v>367</v>
      </c>
      <c r="D12" s="43"/>
      <c r="E12" s="43"/>
      <c r="F12" s="43"/>
      <c r="G12" s="44"/>
      <c r="H12" s="219"/>
      <c r="I12" s="229"/>
      <c r="J12" s="577"/>
      <c r="K12" s="577"/>
      <c r="L12" s="578"/>
      <c r="M12" s="578"/>
      <c r="N12" s="578"/>
      <c r="O12" s="578"/>
      <c r="P12" s="578"/>
      <c r="Q12" s="578"/>
      <c r="R12" s="578"/>
      <c r="S12" s="578"/>
      <c r="T12" s="578"/>
      <c r="U12" s="578"/>
      <c r="V12" s="579"/>
      <c r="W12" s="580"/>
      <c r="X12" s="578"/>
      <c r="Y12" s="220"/>
      <c r="Z12" s="51"/>
      <c r="AA12" s="51"/>
      <c r="AB12" s="51"/>
      <c r="AC12" s="51"/>
      <c r="AE12" s="52"/>
      <c r="AF12" s="52"/>
      <c r="AG12" s="52"/>
      <c r="AH12" s="53"/>
      <c r="AI12" s="54"/>
      <c r="AK12" s="52"/>
      <c r="AL12" s="52"/>
      <c r="AM12" s="52"/>
      <c r="AN12" s="53"/>
      <c r="AO12" s="54"/>
      <c r="AQ12" s="52"/>
      <c r="AR12" s="52"/>
      <c r="AS12" s="52"/>
      <c r="AT12" s="53"/>
      <c r="AU12" s="54"/>
      <c r="AW12" s="52"/>
      <c r="AX12" s="52"/>
      <c r="AY12" s="52"/>
      <c r="AZ12" s="53"/>
      <c r="BA12" s="54"/>
    </row>
    <row r="13" spans="1:53" ht="17.100000000000001" customHeight="1" x14ac:dyDescent="0.25">
      <c r="A13" s="47"/>
      <c r="B13" s="55"/>
      <c r="C13" s="56" t="s">
        <v>626</v>
      </c>
      <c r="D13" s="57" t="s">
        <v>368</v>
      </c>
      <c r="E13" s="58"/>
      <c r="F13" s="58"/>
      <c r="G13" s="59"/>
      <c r="H13" s="218">
        <v>1</v>
      </c>
      <c r="I13" s="229"/>
      <c r="J13" s="581"/>
      <c r="K13" s="581"/>
      <c r="L13" s="582"/>
      <c r="M13" s="17">
        <f>SUM(J13:L13)</f>
        <v>0</v>
      </c>
      <c r="N13" s="111"/>
      <c r="O13" s="111"/>
      <c r="P13" s="111"/>
      <c r="Q13" s="111"/>
      <c r="R13" s="111"/>
      <c r="S13" s="111"/>
      <c r="T13" s="111"/>
      <c r="U13" s="111"/>
      <c r="V13" s="358"/>
      <c r="W13" s="391">
        <f>J13+K13+N13+Q13+T13</f>
        <v>0</v>
      </c>
      <c r="X13" s="17">
        <f>L13+O13+R13+U13</f>
        <v>0</v>
      </c>
      <c r="Y13" s="18">
        <f>SUM(W13:X13)</f>
        <v>0</v>
      </c>
      <c r="Z13" s="19">
        <f>IF(Y$15=0,0,Y13/Y$15)</f>
        <v>0</v>
      </c>
      <c r="AA13" s="19"/>
      <c r="AB13" s="19"/>
      <c r="AC13" s="20"/>
      <c r="AE13" s="17"/>
      <c r="AF13" s="17"/>
      <c r="AG13" s="17"/>
      <c r="AH13" s="18">
        <f>J13</f>
        <v>0</v>
      </c>
      <c r="AI13" s="19">
        <f>IF(AH$15=0,0,AH13/AH$15)</f>
        <v>0</v>
      </c>
      <c r="AK13" s="17"/>
      <c r="AL13" s="17"/>
      <c r="AM13" s="17"/>
      <c r="AN13" s="18">
        <f>K13</f>
        <v>0</v>
      </c>
      <c r="AO13" s="19">
        <f>IF(AN$15=0,0,AN13/AN$15)</f>
        <v>0</v>
      </c>
      <c r="AQ13" s="17"/>
      <c r="AR13" s="17"/>
      <c r="AS13" s="17"/>
      <c r="AT13" s="18">
        <f>W13</f>
        <v>0</v>
      </c>
      <c r="AU13" s="19">
        <f>IF(AT$15=0,0,AT13/AT$15)</f>
        <v>0</v>
      </c>
      <c r="AW13" s="17"/>
      <c r="AX13" s="17"/>
      <c r="AY13" s="17"/>
      <c r="AZ13" s="18">
        <f>X13</f>
        <v>0</v>
      </c>
      <c r="BA13" s="19">
        <f>IF(AZ$15=0,0,AZ13/AZ$15)</f>
        <v>0</v>
      </c>
    </row>
    <row r="14" spans="1:53" ht="17.100000000000001" customHeight="1" x14ac:dyDescent="0.25">
      <c r="A14" s="47"/>
      <c r="B14" s="55"/>
      <c r="C14" s="56" t="s">
        <v>627</v>
      </c>
      <c r="D14" s="57" t="s">
        <v>369</v>
      </c>
      <c r="E14" s="58"/>
      <c r="F14" s="58"/>
      <c r="G14" s="59"/>
      <c r="H14" s="218">
        <v>1</v>
      </c>
      <c r="I14" s="229"/>
      <c r="J14" s="583"/>
      <c r="K14" s="583"/>
      <c r="L14" s="584"/>
      <c r="M14" s="17">
        <f>SUM(J14:L14)</f>
        <v>0</v>
      </c>
      <c r="N14" s="111"/>
      <c r="O14" s="111"/>
      <c r="P14" s="111"/>
      <c r="Q14" s="111"/>
      <c r="R14" s="111"/>
      <c r="S14" s="111"/>
      <c r="T14" s="111"/>
      <c r="U14" s="111"/>
      <c r="V14" s="358"/>
      <c r="W14" s="391">
        <f>J14+K14+N14+Q14+T14</f>
        <v>0</v>
      </c>
      <c r="X14" s="17">
        <f>L14+O14+R14+U14</f>
        <v>0</v>
      </c>
      <c r="Y14" s="18">
        <f>SUM(W14:X14)</f>
        <v>0</v>
      </c>
      <c r="Z14" s="19">
        <f>IF(Y$15=0,0,Y14/Y$15)</f>
        <v>0</v>
      </c>
      <c r="AA14" s="19"/>
      <c r="AB14" s="19"/>
      <c r="AC14" s="20"/>
      <c r="AE14" s="17"/>
      <c r="AF14" s="17"/>
      <c r="AG14" s="17"/>
      <c r="AH14" s="18">
        <f>J14</f>
        <v>0</v>
      </c>
      <c r="AI14" s="19">
        <f>IF(AH$15=0,0,AH14/AH$15)</f>
        <v>0</v>
      </c>
      <c r="AK14" s="17"/>
      <c r="AL14" s="17"/>
      <c r="AM14" s="17"/>
      <c r="AN14" s="18">
        <f>K14</f>
        <v>0</v>
      </c>
      <c r="AO14" s="19">
        <f>IF(AN$15=0,0,AN14/AN$15)</f>
        <v>0</v>
      </c>
      <c r="AQ14" s="17"/>
      <c r="AR14" s="17"/>
      <c r="AS14" s="17"/>
      <c r="AT14" s="18">
        <f>W14</f>
        <v>0</v>
      </c>
      <c r="AU14" s="19">
        <f>IF(AT$15=0,0,AT14/AT$15)</f>
        <v>0</v>
      </c>
      <c r="AW14" s="17"/>
      <c r="AX14" s="17"/>
      <c r="AY14" s="17"/>
      <c r="AZ14" s="18">
        <f>X14</f>
        <v>0</v>
      </c>
      <c r="BA14" s="19">
        <f>IF(AZ$15=0,0,AZ14/AZ$15)</f>
        <v>0</v>
      </c>
    </row>
    <row r="15" spans="1:53" ht="17.100000000000001" customHeight="1" x14ac:dyDescent="0.25">
      <c r="A15" s="47"/>
      <c r="B15" s="47"/>
      <c r="C15" s="252"/>
      <c r="D15" s="62"/>
      <c r="E15" s="62"/>
      <c r="F15" s="62"/>
      <c r="G15" s="63"/>
      <c r="H15" s="216"/>
      <c r="I15" s="229"/>
      <c r="J15" s="64">
        <f>SUM(J13:J14)</f>
        <v>0</v>
      </c>
      <c r="K15" s="64">
        <f t="shared" ref="K15:M15" si="0">SUM(K13:K14)</f>
        <v>0</v>
      </c>
      <c r="L15" s="64">
        <f t="shared" si="0"/>
        <v>0</v>
      </c>
      <c r="M15" s="64">
        <f t="shared" si="0"/>
        <v>0</v>
      </c>
      <c r="N15" s="64"/>
      <c r="O15" s="64"/>
      <c r="P15" s="64"/>
      <c r="Q15" s="81"/>
      <c r="R15" s="81"/>
      <c r="S15" s="81"/>
      <c r="T15" s="81"/>
      <c r="U15" s="81"/>
      <c r="V15" s="356"/>
      <c r="W15" s="381">
        <f>SUM(W13:W14)</f>
        <v>0</v>
      </c>
      <c r="X15" s="82">
        <f t="shared" ref="X15:Y15" si="1">SUM(X13:X14)</f>
        <v>0</v>
      </c>
      <c r="Y15" s="82">
        <f t="shared" si="1"/>
        <v>0</v>
      </c>
      <c r="Z15" s="205">
        <f>IF(Y$15=0,0,Y15/Y$15)</f>
        <v>0</v>
      </c>
      <c r="AA15" s="205"/>
      <c r="AB15" s="205"/>
      <c r="AC15" s="83"/>
      <c r="AE15" s="67"/>
      <c r="AF15" s="67"/>
      <c r="AG15" s="67"/>
      <c r="AH15" s="65">
        <f>SUM(AH13:AH14)</f>
        <v>0</v>
      </c>
      <c r="AI15" s="66">
        <f>IF(AH$15=0,0,AH15/AH$15)</f>
        <v>0</v>
      </c>
      <c r="AK15" s="67"/>
      <c r="AL15" s="67"/>
      <c r="AM15" s="67"/>
      <c r="AN15" s="65">
        <f>SUM(AN13:AN14)</f>
        <v>0</v>
      </c>
      <c r="AO15" s="66">
        <f>IF(AN$15=0,0,AN15/AN$15)</f>
        <v>0</v>
      </c>
      <c r="AQ15" s="67"/>
      <c r="AR15" s="67"/>
      <c r="AS15" s="67"/>
      <c r="AT15" s="65">
        <f>SUM(AT13:AT14)</f>
        <v>0</v>
      </c>
      <c r="AU15" s="66">
        <f>IF(AT$15=0,0,AT15/AT$15)</f>
        <v>0</v>
      </c>
      <c r="AW15" s="67"/>
      <c r="AX15" s="67"/>
      <c r="AY15" s="67"/>
      <c r="AZ15" s="65">
        <f>SUM(AZ13:AZ14)</f>
        <v>0</v>
      </c>
      <c r="BA15" s="66">
        <f>IF(AZ$15=0,0,AZ15/AZ$15)</f>
        <v>0</v>
      </c>
    </row>
    <row r="16" spans="1:53" s="117" customFormat="1" ht="17.100000000000001" customHeight="1" x14ac:dyDescent="0.25">
      <c r="A16" s="186"/>
      <c r="B16" s="253"/>
      <c r="C16" s="254"/>
      <c r="D16" s="255"/>
      <c r="E16" s="93"/>
      <c r="F16" s="93"/>
      <c r="G16" s="209"/>
      <c r="H16" s="540"/>
      <c r="I16" s="12"/>
      <c r="J16" s="198"/>
      <c r="K16" s="585"/>
      <c r="L16" s="17"/>
      <c r="M16" s="17"/>
      <c r="N16" s="17"/>
      <c r="O16" s="17"/>
      <c r="P16" s="17"/>
      <c r="Q16" s="17"/>
      <c r="R16" s="17"/>
      <c r="S16" s="17"/>
      <c r="T16" s="17"/>
      <c r="U16" s="17"/>
      <c r="V16" s="359"/>
      <c r="W16" s="395">
        <f>IF($Y$15=0,0,W15/$Y$15)</f>
        <v>0</v>
      </c>
      <c r="X16" s="91">
        <f>IF($Y$15=0,0,X15/$Y$15)</f>
        <v>0</v>
      </c>
      <c r="Y16" s="201">
        <f>IF($Y$15=0,0,Y15/$Y$15)</f>
        <v>0</v>
      </c>
      <c r="Z16" s="201"/>
      <c r="AA16" s="201"/>
      <c r="AB16" s="201"/>
      <c r="AC16" s="84"/>
      <c r="AE16" s="256"/>
      <c r="AF16" s="256"/>
      <c r="AG16" s="256"/>
      <c r="AH16" s="257"/>
      <c r="AI16" s="91"/>
      <c r="AK16" s="256"/>
      <c r="AL16" s="256"/>
      <c r="AM16" s="256"/>
      <c r="AN16" s="257"/>
      <c r="AO16" s="91"/>
      <c r="AQ16" s="256"/>
      <c r="AR16" s="256"/>
      <c r="AS16" s="256"/>
      <c r="AT16" s="257"/>
      <c r="AU16" s="91"/>
      <c r="AW16" s="256"/>
      <c r="AX16" s="256"/>
      <c r="AY16" s="256"/>
      <c r="AZ16" s="257"/>
      <c r="BA16" s="91"/>
    </row>
    <row r="17" spans="1:60" ht="17.100000000000001" customHeight="1" x14ac:dyDescent="0.25">
      <c r="A17" s="40"/>
      <c r="B17" s="41">
        <v>0.1</v>
      </c>
      <c r="C17" s="42" t="s">
        <v>628</v>
      </c>
      <c r="D17" s="43"/>
      <c r="E17" s="43"/>
      <c r="F17" s="43"/>
      <c r="G17" s="44"/>
      <c r="H17" s="219"/>
      <c r="I17" s="229"/>
      <c r="J17" s="586"/>
      <c r="K17" s="586"/>
      <c r="L17" s="71"/>
      <c r="M17" s="71"/>
      <c r="N17" s="71"/>
      <c r="O17" s="71"/>
      <c r="P17" s="71"/>
      <c r="Q17" s="71"/>
      <c r="R17" s="71"/>
      <c r="S17" s="71"/>
      <c r="T17" s="71"/>
      <c r="U17" s="71"/>
      <c r="V17" s="355"/>
      <c r="W17" s="377"/>
      <c r="X17" s="71"/>
      <c r="Y17" s="72"/>
      <c r="Z17" s="73"/>
      <c r="AA17" s="73"/>
      <c r="AB17" s="73"/>
      <c r="AC17" s="73"/>
      <c r="AE17" s="52"/>
      <c r="AF17" s="52"/>
      <c r="AG17" s="52"/>
      <c r="AH17" s="53"/>
      <c r="AI17" s="54"/>
      <c r="AK17" s="52"/>
      <c r="AL17" s="52"/>
      <c r="AM17" s="52"/>
      <c r="AN17" s="53"/>
      <c r="AO17" s="54"/>
      <c r="AQ17" s="52"/>
      <c r="AR17" s="52"/>
      <c r="AS17" s="52"/>
      <c r="AT17" s="53"/>
      <c r="AU17" s="54"/>
      <c r="AW17" s="52"/>
      <c r="AX17" s="52"/>
      <c r="AY17" s="52"/>
      <c r="AZ17" s="53"/>
      <c r="BA17" s="54"/>
    </row>
    <row r="18" spans="1:60" ht="17.100000000000001" customHeight="1" x14ac:dyDescent="0.25">
      <c r="A18" s="47"/>
      <c r="B18" s="55"/>
      <c r="C18" s="56" t="s">
        <v>371</v>
      </c>
      <c r="D18" s="120" t="s">
        <v>629</v>
      </c>
      <c r="E18" s="58"/>
      <c r="F18" s="58"/>
      <c r="G18" s="59"/>
      <c r="H18" s="216"/>
      <c r="I18" s="229"/>
      <c r="J18" s="174"/>
      <c r="K18" s="174"/>
      <c r="L18" s="111"/>
      <c r="M18" s="111"/>
      <c r="N18" s="60"/>
      <c r="O18" s="60">
        <v>1</v>
      </c>
      <c r="P18" s="17">
        <f>SUM(N18:O18)</f>
        <v>1</v>
      </c>
      <c r="Q18" s="60"/>
      <c r="R18" s="60">
        <v>2</v>
      </c>
      <c r="S18" s="17">
        <f>SUM(Q18:R18)</f>
        <v>2</v>
      </c>
      <c r="T18" s="60"/>
      <c r="U18" s="60"/>
      <c r="V18" s="359">
        <f>SUM(T18:U18)</f>
        <v>0</v>
      </c>
      <c r="W18" s="391">
        <f t="shared" ref="W18:W19" si="2">J18+K18+N18+Q18+T18</f>
        <v>0</v>
      </c>
      <c r="X18" s="17">
        <f t="shared" ref="X18:X19" si="3">L18+O18+R18+U18</f>
        <v>3</v>
      </c>
      <c r="Y18" s="18">
        <f>SUM(W18:X18)</f>
        <v>3</v>
      </c>
      <c r="Z18" s="19">
        <f>IF(Y$20=0,0,Y18/Y$20)</f>
        <v>0.2</v>
      </c>
      <c r="AA18" s="19"/>
      <c r="AB18" s="19"/>
      <c r="AC18" s="20"/>
      <c r="AE18" s="17"/>
      <c r="AF18" s="17"/>
      <c r="AG18" s="17"/>
      <c r="AH18" s="18">
        <f>J18</f>
        <v>0</v>
      </c>
      <c r="AI18" s="19">
        <f>IF(AH$15=0,0,AH18/AH$15)</f>
        <v>0</v>
      </c>
      <c r="AK18" s="17"/>
      <c r="AL18" s="17"/>
      <c r="AM18" s="17"/>
      <c r="AN18" s="18">
        <f>K18</f>
        <v>0</v>
      </c>
      <c r="AO18" s="19">
        <f>IF(AN$20=0,0,AN18/AN$20)</f>
        <v>0</v>
      </c>
      <c r="AQ18" s="17"/>
      <c r="AR18" s="17"/>
      <c r="AS18" s="17"/>
      <c r="AT18" s="18">
        <f>W18</f>
        <v>0</v>
      </c>
      <c r="AU18" s="19">
        <f>IF(AT$20=0,0,AT18/AT$20)</f>
        <v>0</v>
      </c>
      <c r="AW18" s="17"/>
      <c r="AX18" s="17"/>
      <c r="AY18" s="17"/>
      <c r="AZ18" s="18">
        <f>X18</f>
        <v>3</v>
      </c>
      <c r="BA18" s="19">
        <f>IF(AZ$20=0,0,AZ18/AZ$20)</f>
        <v>0.25</v>
      </c>
    </row>
    <row r="19" spans="1:60" ht="17.100000000000001" customHeight="1" x14ac:dyDescent="0.25">
      <c r="A19" s="47"/>
      <c r="B19" s="55"/>
      <c r="C19" s="56" t="s">
        <v>372</v>
      </c>
      <c r="D19" s="120" t="s">
        <v>630</v>
      </c>
      <c r="E19" s="58"/>
      <c r="F19" s="58"/>
      <c r="G19" s="59"/>
      <c r="H19" s="216"/>
      <c r="I19" s="229"/>
      <c r="J19" s="174"/>
      <c r="K19" s="174"/>
      <c r="L19" s="111"/>
      <c r="M19" s="111"/>
      <c r="N19" s="61"/>
      <c r="O19" s="61">
        <v>7</v>
      </c>
      <c r="P19" s="17">
        <f>SUM(N19:O19)</f>
        <v>7</v>
      </c>
      <c r="Q19" s="61">
        <v>3</v>
      </c>
      <c r="R19" s="61">
        <v>2</v>
      </c>
      <c r="S19" s="17">
        <f>SUM(Q19:R19)</f>
        <v>5</v>
      </c>
      <c r="T19" s="61"/>
      <c r="U19" s="61"/>
      <c r="V19" s="359">
        <f>SUM(T19:U19)</f>
        <v>0</v>
      </c>
      <c r="W19" s="391">
        <f t="shared" si="2"/>
        <v>3</v>
      </c>
      <c r="X19" s="17">
        <f t="shared" si="3"/>
        <v>9</v>
      </c>
      <c r="Y19" s="18">
        <f>SUM(W19:X19)</f>
        <v>12</v>
      </c>
      <c r="Z19" s="19">
        <f t="shared" ref="Z19:Z20" si="4">IF(Y$20=0,0,Y19/Y$20)</f>
        <v>0.8</v>
      </c>
      <c r="AA19" s="19"/>
      <c r="AB19" s="19"/>
      <c r="AC19" s="20"/>
      <c r="AE19" s="17"/>
      <c r="AF19" s="17"/>
      <c r="AG19" s="17"/>
      <c r="AH19" s="18">
        <f>J19</f>
        <v>0</v>
      </c>
      <c r="AI19" s="19">
        <f>IF(AH$15=0,0,AH19/AH$15)</f>
        <v>0</v>
      </c>
      <c r="AK19" s="17"/>
      <c r="AL19" s="17"/>
      <c r="AM19" s="17"/>
      <c r="AN19" s="18">
        <f>K19</f>
        <v>0</v>
      </c>
      <c r="AO19" s="19">
        <f t="shared" ref="AO19:AO20" si="5">IF(AN$20=0,0,AN19/AN$20)</f>
        <v>0</v>
      </c>
      <c r="AQ19" s="17"/>
      <c r="AR19" s="17"/>
      <c r="AS19" s="17"/>
      <c r="AT19" s="18">
        <f>W19</f>
        <v>3</v>
      </c>
      <c r="AU19" s="19">
        <f t="shared" ref="AU19:AU20" si="6">IF(AT$20=0,0,AT19/AT$20)</f>
        <v>1</v>
      </c>
      <c r="AW19" s="17"/>
      <c r="AX19" s="17"/>
      <c r="AY19" s="17"/>
      <c r="AZ19" s="18">
        <f>X19</f>
        <v>9</v>
      </c>
      <c r="BA19" s="19">
        <f t="shared" ref="BA19:BA20" si="7">IF(AZ$20=0,0,AZ19/AZ$20)</f>
        <v>0.75</v>
      </c>
    </row>
    <row r="20" spans="1:60" ht="17.100000000000001" customHeight="1" x14ac:dyDescent="0.25">
      <c r="A20" s="47"/>
      <c r="B20" s="47"/>
      <c r="C20" s="252"/>
      <c r="D20" s="62"/>
      <c r="E20" s="62"/>
      <c r="F20" s="62"/>
      <c r="G20" s="63"/>
      <c r="H20" s="216"/>
      <c r="I20" s="229"/>
      <c r="J20" s="64"/>
      <c r="K20" s="64"/>
      <c r="L20" s="64"/>
      <c r="M20" s="64"/>
      <c r="N20" s="64">
        <f>SUM(N18:N19)</f>
        <v>0</v>
      </c>
      <c r="O20" s="64">
        <f t="shared" ref="O20:V20" si="8">SUM(O18:O19)</f>
        <v>8</v>
      </c>
      <c r="P20" s="64">
        <f t="shared" si="8"/>
        <v>8</v>
      </c>
      <c r="Q20" s="64">
        <f t="shared" si="8"/>
        <v>3</v>
      </c>
      <c r="R20" s="64">
        <f t="shared" si="8"/>
        <v>4</v>
      </c>
      <c r="S20" s="64">
        <f t="shared" si="8"/>
        <v>7</v>
      </c>
      <c r="T20" s="64">
        <f t="shared" si="8"/>
        <v>0</v>
      </c>
      <c r="U20" s="64">
        <f t="shared" si="8"/>
        <v>0</v>
      </c>
      <c r="V20" s="64">
        <f t="shared" si="8"/>
        <v>0</v>
      </c>
      <c r="W20" s="381">
        <f>SUM(W18:W19)</f>
        <v>3</v>
      </c>
      <c r="X20" s="82">
        <f t="shared" ref="X20:Y20" si="9">SUM(X18:X19)</f>
        <v>12</v>
      </c>
      <c r="Y20" s="82">
        <f t="shared" si="9"/>
        <v>15</v>
      </c>
      <c r="Z20" s="205">
        <f t="shared" si="4"/>
        <v>1</v>
      </c>
      <c r="AA20" s="205"/>
      <c r="AB20" s="205"/>
      <c r="AC20" s="83"/>
      <c r="AE20" s="67"/>
      <c r="AF20" s="67"/>
      <c r="AG20" s="67"/>
      <c r="AH20" s="65">
        <f>SUM(AH18:AH19)</f>
        <v>0</v>
      </c>
      <c r="AI20" s="66">
        <f>IF(AH$15=0,0,AH20/AH$15)</f>
        <v>0</v>
      </c>
      <c r="AK20" s="67"/>
      <c r="AL20" s="67"/>
      <c r="AM20" s="67"/>
      <c r="AN20" s="65">
        <f>SUM(AN18:AN19)</f>
        <v>0</v>
      </c>
      <c r="AO20" s="66">
        <f t="shared" si="5"/>
        <v>0</v>
      </c>
      <c r="AQ20" s="67"/>
      <c r="AR20" s="67"/>
      <c r="AS20" s="67"/>
      <c r="AT20" s="65">
        <f>SUM(AT18:AT19)</f>
        <v>3</v>
      </c>
      <c r="AU20" s="66">
        <f t="shared" si="6"/>
        <v>1</v>
      </c>
      <c r="AW20" s="67"/>
      <c r="AX20" s="67"/>
      <c r="AY20" s="67"/>
      <c r="AZ20" s="65">
        <f>SUM(AZ18:AZ19)</f>
        <v>12</v>
      </c>
      <c r="BA20" s="66">
        <f t="shared" si="7"/>
        <v>1</v>
      </c>
    </row>
    <row r="21" spans="1:60" s="117" customFormat="1" ht="17.100000000000001" customHeight="1" x14ac:dyDescent="0.25">
      <c r="A21" s="186"/>
      <c r="B21" s="253"/>
      <c r="C21" s="254"/>
      <c r="D21" s="255"/>
      <c r="E21" s="93"/>
      <c r="F21" s="93"/>
      <c r="G21" s="209"/>
      <c r="H21" s="540"/>
      <c r="I21" s="12"/>
      <c r="J21" s="198"/>
      <c r="K21" s="585"/>
      <c r="L21" s="17"/>
      <c r="M21" s="17"/>
      <c r="N21" s="17"/>
      <c r="O21" s="17"/>
      <c r="P21" s="17"/>
      <c r="Q21" s="17"/>
      <c r="R21" s="17"/>
      <c r="S21" s="17"/>
      <c r="T21" s="17"/>
      <c r="U21" s="17"/>
      <c r="V21" s="359"/>
      <c r="W21" s="395">
        <f>IF($Y$20=0,0,W20/$Y$20)</f>
        <v>0.2</v>
      </c>
      <c r="X21" s="91">
        <f>IF($Y$20=0,0,X20/$Y$20)</f>
        <v>0.8</v>
      </c>
      <c r="Y21" s="201">
        <f>IF($Y$20=0,0,Y20/$Y$20)</f>
        <v>1</v>
      </c>
      <c r="Z21" s="201"/>
      <c r="AA21" s="201"/>
      <c r="AB21" s="201"/>
      <c r="AC21" s="84"/>
      <c r="AE21" s="256"/>
      <c r="AF21" s="256"/>
      <c r="AG21" s="256"/>
      <c r="AH21" s="257"/>
      <c r="AI21" s="91"/>
      <c r="AK21" s="256"/>
      <c r="AL21" s="256"/>
      <c r="AM21" s="256"/>
      <c r="AN21" s="257"/>
      <c r="AO21" s="91"/>
      <c r="AQ21" s="256"/>
      <c r="AR21" s="256"/>
      <c r="AS21" s="256"/>
      <c r="AT21" s="257"/>
      <c r="AU21" s="91"/>
      <c r="AW21" s="256"/>
      <c r="AX21" s="256"/>
      <c r="AY21" s="256"/>
      <c r="AZ21" s="257"/>
      <c r="BA21" s="91"/>
      <c r="BC21" s="3"/>
      <c r="BD21" s="3"/>
      <c r="BE21" s="3"/>
      <c r="BF21" s="3"/>
      <c r="BG21" s="3"/>
      <c r="BH21" s="3"/>
    </row>
    <row r="22" spans="1:60" ht="17.100000000000001" customHeight="1" x14ac:dyDescent="0.25">
      <c r="A22" s="68"/>
      <c r="B22" s="41">
        <v>0.2</v>
      </c>
      <c r="C22" s="69" t="s">
        <v>370</v>
      </c>
      <c r="D22" s="50"/>
      <c r="E22" s="70"/>
      <c r="F22" s="70"/>
      <c r="G22" s="70"/>
      <c r="H22" s="119"/>
      <c r="J22" s="71"/>
      <c r="K22" s="71"/>
      <c r="L22" s="71"/>
      <c r="M22" s="71"/>
      <c r="N22" s="71"/>
      <c r="O22" s="71"/>
      <c r="P22" s="71"/>
      <c r="Q22" s="71"/>
      <c r="R22" s="71"/>
      <c r="S22" s="71"/>
      <c r="T22" s="71"/>
      <c r="U22" s="71"/>
      <c r="V22" s="355"/>
      <c r="W22" s="377"/>
      <c r="X22" s="71"/>
      <c r="Y22" s="72"/>
      <c r="Z22" s="73"/>
      <c r="AA22" s="73"/>
      <c r="AB22" s="73"/>
      <c r="AC22" s="73"/>
      <c r="AE22" s="71"/>
      <c r="AF22" s="71"/>
      <c r="AG22" s="71"/>
      <c r="AH22" s="72"/>
      <c r="AI22" s="73"/>
      <c r="AK22" s="71"/>
      <c r="AL22" s="71"/>
      <c r="AM22" s="71"/>
      <c r="AN22" s="72"/>
      <c r="AO22" s="73"/>
      <c r="AQ22" s="71"/>
      <c r="AR22" s="71"/>
      <c r="AS22" s="71"/>
      <c r="AT22" s="72"/>
      <c r="AU22" s="73"/>
      <c r="AW22" s="71"/>
      <c r="AX22" s="71"/>
      <c r="AY22" s="71"/>
      <c r="AZ22" s="72"/>
      <c r="BA22" s="73"/>
    </row>
    <row r="23" spans="1:60" ht="17.100000000000001" customHeight="1" x14ac:dyDescent="0.25">
      <c r="A23" s="40"/>
      <c r="B23" s="40"/>
      <c r="C23" s="74" t="s">
        <v>7</v>
      </c>
      <c r="D23" s="542" t="s">
        <v>9</v>
      </c>
      <c r="E23" s="75"/>
      <c r="F23" s="75"/>
      <c r="G23" s="76"/>
      <c r="H23" s="589">
        <v>5</v>
      </c>
      <c r="I23" s="229"/>
      <c r="J23" s="581"/>
      <c r="K23" s="581"/>
      <c r="L23" s="582"/>
      <c r="M23" s="17">
        <f t="shared" ref="M23:M25" si="10">SUM(J23:L23)</f>
        <v>0</v>
      </c>
      <c r="N23" s="111"/>
      <c r="O23" s="111"/>
      <c r="P23" s="111"/>
      <c r="Q23" s="111"/>
      <c r="R23" s="111"/>
      <c r="S23" s="111"/>
      <c r="T23" s="111"/>
      <c r="U23" s="111"/>
      <c r="V23" s="358"/>
      <c r="W23" s="391">
        <f t="shared" ref="W23:W25" si="11">J23+K23+N23+Q23+T23</f>
        <v>0</v>
      </c>
      <c r="X23" s="17">
        <f t="shared" ref="X23:X25" si="12">L23+O23+R23+U23</f>
        <v>0</v>
      </c>
      <c r="Y23" s="18">
        <f>SUM(W23:X23)</f>
        <v>0</v>
      </c>
      <c r="Z23" s="19">
        <f>IF(Y$26=0,0,Y23/Y$26)</f>
        <v>0</v>
      </c>
      <c r="AA23" s="19"/>
      <c r="AB23" s="19"/>
      <c r="AC23" s="20"/>
      <c r="AE23" s="17"/>
      <c r="AF23" s="17"/>
      <c r="AG23" s="17"/>
      <c r="AH23" s="18">
        <f>J23</f>
        <v>0</v>
      </c>
      <c r="AI23" s="19">
        <f>IF(AH$26=0,0,AH23/AH$26)</f>
        <v>0</v>
      </c>
      <c r="AK23" s="17"/>
      <c r="AL23" s="17"/>
      <c r="AM23" s="17"/>
      <c r="AN23" s="18">
        <f>K23</f>
        <v>0</v>
      </c>
      <c r="AO23" s="19">
        <f>IF(AN$26=0,0,AN23/AN$26)</f>
        <v>0</v>
      </c>
      <c r="AQ23" s="17"/>
      <c r="AR23" s="17"/>
      <c r="AS23" s="17"/>
      <c r="AT23" s="18">
        <f>W23</f>
        <v>0</v>
      </c>
      <c r="AU23" s="19">
        <f>IF(AT$26=0,0,AT23/AT$26)</f>
        <v>0</v>
      </c>
      <c r="AW23" s="17"/>
      <c r="AX23" s="17"/>
      <c r="AY23" s="17"/>
      <c r="AZ23" s="18">
        <f>X23</f>
        <v>0</v>
      </c>
      <c r="BA23" s="19">
        <f>IF(AZ$26=0,0,AZ23/AZ$26)</f>
        <v>0</v>
      </c>
    </row>
    <row r="24" spans="1:60" ht="17.100000000000001" customHeight="1" x14ac:dyDescent="0.25">
      <c r="A24" s="40"/>
      <c r="B24" s="40"/>
      <c r="C24" s="74" t="s">
        <v>8</v>
      </c>
      <c r="D24" s="542" t="s">
        <v>10</v>
      </c>
      <c r="E24" s="75"/>
      <c r="F24" s="75"/>
      <c r="G24" s="76"/>
      <c r="H24" s="211"/>
      <c r="I24" s="229"/>
      <c r="J24" s="583"/>
      <c r="K24" s="583"/>
      <c r="L24" s="584"/>
      <c r="M24" s="17">
        <f t="shared" si="10"/>
        <v>0</v>
      </c>
      <c r="N24" s="111"/>
      <c r="O24" s="111"/>
      <c r="P24" s="111"/>
      <c r="Q24" s="111"/>
      <c r="R24" s="111"/>
      <c r="S24" s="111"/>
      <c r="T24" s="111"/>
      <c r="U24" s="111"/>
      <c r="V24" s="358"/>
      <c r="W24" s="391">
        <f t="shared" si="11"/>
        <v>0</v>
      </c>
      <c r="X24" s="17">
        <f t="shared" si="12"/>
        <v>0</v>
      </c>
      <c r="Y24" s="18">
        <f>SUM(W24:X24)</f>
        <v>0</v>
      </c>
      <c r="Z24" s="19">
        <f t="shared" ref="Z24:Z25" si="13">IF(Y$26=0,0,Y24/Y$26)</f>
        <v>0</v>
      </c>
      <c r="AA24" s="19"/>
      <c r="AB24" s="19"/>
      <c r="AC24" s="20"/>
      <c r="AE24" s="17"/>
      <c r="AF24" s="17"/>
      <c r="AG24" s="17"/>
      <c r="AH24" s="18">
        <f t="shared" ref="AH24:AH25" si="14">J24</f>
        <v>0</v>
      </c>
      <c r="AI24" s="19">
        <f t="shared" ref="AI24:AI26" si="15">IF(AH$26=0,0,AH24/AH$26)</f>
        <v>0</v>
      </c>
      <c r="AK24" s="17"/>
      <c r="AL24" s="17"/>
      <c r="AM24" s="17"/>
      <c r="AN24" s="18">
        <f t="shared" ref="AN24:AN25" si="16">K24</f>
        <v>0</v>
      </c>
      <c r="AO24" s="19">
        <f t="shared" ref="AO24:AO26" si="17">IF(AN$26=0,0,AN24/AN$26)</f>
        <v>0</v>
      </c>
      <c r="AQ24" s="17"/>
      <c r="AR24" s="17"/>
      <c r="AS24" s="17"/>
      <c r="AT24" s="18">
        <f t="shared" ref="AT24:AT25" si="18">W24</f>
        <v>0</v>
      </c>
      <c r="AU24" s="19">
        <f t="shared" ref="AU24:AU26" si="19">IF(AT$26=0,0,AT24/AT$26)</f>
        <v>0</v>
      </c>
      <c r="AW24" s="17"/>
      <c r="AX24" s="17"/>
      <c r="AY24" s="17"/>
      <c r="AZ24" s="18">
        <f t="shared" ref="AZ24:AZ25" si="20">X24</f>
        <v>0</v>
      </c>
      <c r="BA24" s="19">
        <f t="shared" ref="BA24:BA26" si="21">IF(AZ$26=0,0,AZ24/AZ$26)</f>
        <v>0</v>
      </c>
    </row>
    <row r="25" spans="1:60" ht="17.100000000000001" customHeight="1" x14ac:dyDescent="0.25">
      <c r="A25" s="40"/>
      <c r="B25" s="40"/>
      <c r="C25" s="74" t="s">
        <v>531</v>
      </c>
      <c r="D25" s="542" t="s">
        <v>530</v>
      </c>
      <c r="E25" s="75"/>
      <c r="F25" s="75"/>
      <c r="G25" s="76"/>
      <c r="H25" s="211"/>
      <c r="I25" s="229"/>
      <c r="J25" s="581"/>
      <c r="K25" s="581"/>
      <c r="L25" s="582"/>
      <c r="M25" s="17">
        <f t="shared" si="10"/>
        <v>0</v>
      </c>
      <c r="N25" s="111"/>
      <c r="O25" s="111"/>
      <c r="P25" s="111"/>
      <c r="Q25" s="111"/>
      <c r="R25" s="111"/>
      <c r="S25" s="111"/>
      <c r="T25" s="111"/>
      <c r="U25" s="111"/>
      <c r="V25" s="358"/>
      <c r="W25" s="391">
        <f t="shared" si="11"/>
        <v>0</v>
      </c>
      <c r="X25" s="17">
        <f t="shared" si="12"/>
        <v>0</v>
      </c>
      <c r="Y25" s="18">
        <f>SUM(W25:X25)</f>
        <v>0</v>
      </c>
      <c r="Z25" s="19">
        <f t="shared" si="13"/>
        <v>0</v>
      </c>
      <c r="AA25" s="19"/>
      <c r="AB25" s="19"/>
      <c r="AC25" s="20"/>
      <c r="AE25" s="17"/>
      <c r="AF25" s="17"/>
      <c r="AG25" s="17"/>
      <c r="AH25" s="18">
        <f t="shared" si="14"/>
        <v>0</v>
      </c>
      <c r="AI25" s="19">
        <f t="shared" si="15"/>
        <v>0</v>
      </c>
      <c r="AK25" s="17"/>
      <c r="AL25" s="17"/>
      <c r="AM25" s="17"/>
      <c r="AN25" s="18">
        <f t="shared" si="16"/>
        <v>0</v>
      </c>
      <c r="AO25" s="19">
        <f t="shared" si="17"/>
        <v>0</v>
      </c>
      <c r="AQ25" s="17"/>
      <c r="AR25" s="17"/>
      <c r="AS25" s="17"/>
      <c r="AT25" s="18">
        <f t="shared" si="18"/>
        <v>0</v>
      </c>
      <c r="AU25" s="19">
        <f t="shared" si="19"/>
        <v>0</v>
      </c>
      <c r="AW25" s="17"/>
      <c r="AX25" s="17"/>
      <c r="AY25" s="17"/>
      <c r="AZ25" s="18">
        <f t="shared" si="20"/>
        <v>0</v>
      </c>
      <c r="BA25" s="19">
        <f t="shared" si="21"/>
        <v>0</v>
      </c>
    </row>
    <row r="26" spans="1:60" ht="17.100000000000001" customHeight="1" x14ac:dyDescent="0.25">
      <c r="A26" s="40"/>
      <c r="B26" s="40"/>
      <c r="C26" s="77"/>
      <c r="D26" s="78"/>
      <c r="E26" s="78"/>
      <c r="F26" s="78"/>
      <c r="G26" s="79"/>
      <c r="H26" s="211"/>
      <c r="I26" s="230"/>
      <c r="J26" s="80">
        <f>SUM(J23:J25)</f>
        <v>0</v>
      </c>
      <c r="K26" s="80">
        <f t="shared" ref="K26:M26" si="22">SUM(K23:K25)</f>
        <v>0</v>
      </c>
      <c r="L26" s="80">
        <f t="shared" si="22"/>
        <v>0</v>
      </c>
      <c r="M26" s="80">
        <f t="shared" si="22"/>
        <v>0</v>
      </c>
      <c r="N26" s="80"/>
      <c r="O26" s="80"/>
      <c r="P26" s="80"/>
      <c r="Q26" s="81"/>
      <c r="R26" s="81"/>
      <c r="S26" s="81"/>
      <c r="T26" s="81"/>
      <c r="U26" s="81"/>
      <c r="V26" s="356"/>
      <c r="W26" s="381">
        <f>SUM(W23:W25)</f>
        <v>0</v>
      </c>
      <c r="X26" s="82">
        <f t="shared" ref="X26:Y26" si="23">SUM(X23:X25)</f>
        <v>0</v>
      </c>
      <c r="Y26" s="82">
        <f t="shared" si="23"/>
        <v>0</v>
      </c>
      <c r="Z26" s="205">
        <f>IF(Y$26=0,0,Y26/Y$26)</f>
        <v>0</v>
      </c>
      <c r="AA26" s="205"/>
      <c r="AB26" s="205"/>
      <c r="AC26" s="83"/>
      <c r="AE26" s="67"/>
      <c r="AF26" s="67"/>
      <c r="AG26" s="67"/>
      <c r="AH26" s="65">
        <f>SUM(AH23:AH25)</f>
        <v>0</v>
      </c>
      <c r="AI26" s="66">
        <f t="shared" si="15"/>
        <v>0</v>
      </c>
      <c r="AK26" s="67"/>
      <c r="AL26" s="67"/>
      <c r="AM26" s="67"/>
      <c r="AN26" s="65">
        <f>SUM(AN23:AN25)</f>
        <v>0</v>
      </c>
      <c r="AO26" s="66">
        <f t="shared" si="17"/>
        <v>0</v>
      </c>
      <c r="AQ26" s="67"/>
      <c r="AR26" s="67"/>
      <c r="AS26" s="67"/>
      <c r="AT26" s="65">
        <f>SUM(AT23:AT25)</f>
        <v>0</v>
      </c>
      <c r="AU26" s="66">
        <f t="shared" si="19"/>
        <v>0</v>
      </c>
      <c r="AW26" s="67"/>
      <c r="AX26" s="67"/>
      <c r="AY26" s="67"/>
      <c r="AZ26" s="65">
        <f>SUM(AZ23:AZ25)</f>
        <v>0</v>
      </c>
      <c r="BA26" s="66">
        <f t="shared" si="21"/>
        <v>0</v>
      </c>
    </row>
    <row r="27" spans="1:60" s="97" customFormat="1" ht="17.100000000000001" customHeight="1" x14ac:dyDescent="0.25">
      <c r="A27" s="68"/>
      <c r="B27" s="68"/>
      <c r="C27" s="92"/>
      <c r="D27" s="93"/>
      <c r="E27" s="93"/>
      <c r="F27" s="93"/>
      <c r="G27" s="93"/>
      <c r="H27" s="165"/>
      <c r="I27" s="12"/>
      <c r="J27" s="94" t="str">
        <f>IF(J26=J$15,"OK","NOK")</f>
        <v>OK</v>
      </c>
      <c r="K27" s="94" t="str">
        <f t="shared" ref="K27:L27" si="24">IF(K26=K$15,"OK","NOK")</f>
        <v>OK</v>
      </c>
      <c r="L27" s="94" t="str">
        <f t="shared" si="24"/>
        <v>OK</v>
      </c>
      <c r="M27" s="95"/>
      <c r="N27" s="95"/>
      <c r="O27" s="95"/>
      <c r="P27" s="95"/>
      <c r="Q27" s="95"/>
      <c r="R27" s="95"/>
      <c r="S27" s="95"/>
      <c r="T27" s="95"/>
      <c r="U27" s="95"/>
      <c r="V27" s="95"/>
      <c r="W27" s="378"/>
      <c r="X27" s="95"/>
      <c r="Y27" s="96"/>
      <c r="AE27" s="98"/>
      <c r="AF27" s="98"/>
      <c r="AG27" s="98"/>
      <c r="AH27" s="99"/>
      <c r="AI27" s="100"/>
      <c r="AJ27" s="407"/>
      <c r="AK27" s="98"/>
      <c r="AL27" s="98"/>
      <c r="AM27" s="98"/>
      <c r="AN27" s="99"/>
      <c r="AO27" s="100"/>
      <c r="AP27" s="407"/>
      <c r="AQ27" s="98"/>
      <c r="AR27" s="98"/>
      <c r="AS27" s="98"/>
      <c r="AT27" s="99"/>
      <c r="AU27" s="100"/>
      <c r="AV27" s="407"/>
      <c r="AW27" s="98"/>
      <c r="AX27" s="98"/>
      <c r="AY27" s="98"/>
      <c r="AZ27" s="99"/>
      <c r="BA27" s="100"/>
      <c r="BC27" s="3"/>
      <c r="BD27" s="3"/>
      <c r="BE27" s="3"/>
      <c r="BF27" s="3"/>
      <c r="BG27" s="3"/>
      <c r="BH27" s="3"/>
    </row>
    <row r="28" spans="1:60" s="32" customFormat="1" ht="16.5" thickBot="1" x14ac:dyDescent="0.3">
      <c r="A28" s="24" t="s">
        <v>13</v>
      </c>
      <c r="B28" s="25" t="s">
        <v>14</v>
      </c>
      <c r="C28" s="26"/>
      <c r="D28" s="27"/>
      <c r="E28" s="27"/>
      <c r="F28" s="27"/>
      <c r="G28" s="28"/>
      <c r="H28" s="215"/>
      <c r="I28" s="228"/>
      <c r="J28" s="101"/>
      <c r="K28" s="101"/>
      <c r="L28" s="101"/>
      <c r="M28" s="101"/>
      <c r="N28" s="101"/>
      <c r="O28" s="101"/>
      <c r="P28" s="101"/>
      <c r="Q28" s="101"/>
      <c r="R28" s="101"/>
      <c r="S28" s="101"/>
      <c r="T28" s="101"/>
      <c r="U28" s="101"/>
      <c r="V28" s="357"/>
      <c r="W28" s="379"/>
      <c r="X28" s="101"/>
      <c r="Y28" s="30" t="s">
        <v>4</v>
      </c>
      <c r="Z28" s="31" t="s">
        <v>5</v>
      </c>
      <c r="AA28" s="31"/>
      <c r="AB28" s="31"/>
      <c r="AC28" s="31"/>
      <c r="AE28" s="33" t="s">
        <v>181</v>
      </c>
      <c r="AF28" s="33" t="s">
        <v>182</v>
      </c>
      <c r="AG28" s="33" t="s">
        <v>6</v>
      </c>
      <c r="AH28" s="33" t="s">
        <v>4</v>
      </c>
      <c r="AI28" s="34" t="s">
        <v>5</v>
      </c>
      <c r="AJ28" s="408"/>
      <c r="AK28" s="36" t="s">
        <v>181</v>
      </c>
      <c r="AL28" s="36" t="s">
        <v>182</v>
      </c>
      <c r="AM28" s="36" t="s">
        <v>6</v>
      </c>
      <c r="AN28" s="36" t="s">
        <v>4</v>
      </c>
      <c r="AO28" s="37" t="s">
        <v>5</v>
      </c>
      <c r="AP28" s="408"/>
      <c r="AQ28" s="398"/>
      <c r="AR28" s="398"/>
      <c r="AS28" s="398"/>
      <c r="AT28" s="398"/>
      <c r="AU28" s="399"/>
      <c r="AV28" s="408"/>
      <c r="AW28" s="400" t="s">
        <v>181</v>
      </c>
      <c r="AX28" s="400" t="s">
        <v>182</v>
      </c>
      <c r="AY28" s="400" t="s">
        <v>6</v>
      </c>
      <c r="AZ28" s="400" t="s">
        <v>4</v>
      </c>
      <c r="BA28" s="401" t="s">
        <v>5</v>
      </c>
      <c r="BC28" s="3"/>
      <c r="BD28" s="3"/>
      <c r="BE28" s="3"/>
      <c r="BF28" s="3"/>
      <c r="BG28" s="3"/>
      <c r="BH28" s="3"/>
    </row>
    <row r="29" spans="1:60" ht="17.100000000000001" customHeight="1" x14ac:dyDescent="0.25">
      <c r="A29" s="68"/>
      <c r="B29" s="41" t="s">
        <v>15</v>
      </c>
      <c r="C29" s="69" t="s">
        <v>16</v>
      </c>
      <c r="D29" s="50"/>
      <c r="E29" s="70"/>
      <c r="F29" s="70"/>
      <c r="G29" s="70"/>
      <c r="H29" s="589">
        <v>8</v>
      </c>
      <c r="J29" s="71"/>
      <c r="K29" s="71"/>
      <c r="L29" s="71"/>
      <c r="M29" s="71"/>
      <c r="N29" s="71"/>
      <c r="O29" s="71"/>
      <c r="P29" s="71"/>
      <c r="Q29" s="71"/>
      <c r="R29" s="71"/>
      <c r="S29" s="71"/>
      <c r="T29" s="71"/>
      <c r="U29" s="71"/>
      <c r="V29" s="355"/>
      <c r="W29" s="377"/>
      <c r="X29" s="71"/>
      <c r="Y29" s="72"/>
      <c r="Z29" s="73"/>
      <c r="AA29" s="73"/>
      <c r="AB29" s="73"/>
      <c r="AC29" s="73"/>
      <c r="AE29" s="71"/>
      <c r="AF29" s="71"/>
      <c r="AG29" s="71"/>
      <c r="AH29" s="72"/>
      <c r="AI29" s="73"/>
      <c r="AK29" s="71"/>
      <c r="AL29" s="71"/>
      <c r="AM29" s="71"/>
      <c r="AN29" s="72"/>
      <c r="AO29" s="73"/>
      <c r="AQ29" s="71"/>
      <c r="AR29" s="71"/>
      <c r="AS29" s="71"/>
      <c r="AT29" s="72"/>
      <c r="AU29" s="73"/>
      <c r="AW29" s="71"/>
      <c r="AX29" s="71"/>
      <c r="AY29" s="71"/>
      <c r="AZ29" s="72"/>
      <c r="BA29" s="73"/>
    </row>
    <row r="30" spans="1:60" ht="17.100000000000001" customHeight="1" x14ac:dyDescent="0.25">
      <c r="A30" s="102"/>
      <c r="B30" s="102"/>
      <c r="C30" s="103" t="s">
        <v>17</v>
      </c>
      <c r="D30" s="104" t="s">
        <v>609</v>
      </c>
      <c r="E30" s="105"/>
      <c r="F30" s="105"/>
      <c r="G30" s="106"/>
      <c r="H30" s="210"/>
      <c r="I30" s="231"/>
      <c r="J30" s="198">
        <f>J15</f>
        <v>0</v>
      </c>
      <c r="K30" s="198"/>
      <c r="L30" s="17"/>
      <c r="M30" s="17">
        <f t="shared" ref="M30:M32" si="25">SUM(J30:L30)</f>
        <v>0</v>
      </c>
      <c r="N30" s="111"/>
      <c r="O30" s="111"/>
      <c r="P30" s="111"/>
      <c r="Q30" s="111"/>
      <c r="R30" s="111"/>
      <c r="S30" s="111"/>
      <c r="T30" s="111"/>
      <c r="U30" s="111"/>
      <c r="V30" s="358"/>
      <c r="W30" s="391">
        <f t="shared" ref="W30:W32" si="26">J30+K30+N30+Q30+T30</f>
        <v>0</v>
      </c>
      <c r="X30" s="17">
        <f t="shared" ref="X30:X32" si="27">L30+O30+R30+U30</f>
        <v>0</v>
      </c>
      <c r="Y30" s="18">
        <f>SUM(W30:X30)</f>
        <v>0</v>
      </c>
      <c r="Z30" s="19">
        <f>IF(Y$33=0,0,Y30/Y$33)</f>
        <v>0</v>
      </c>
      <c r="AA30" s="19"/>
      <c r="AB30" s="19"/>
      <c r="AC30" s="20"/>
      <c r="AE30" s="17"/>
      <c r="AF30" s="17"/>
      <c r="AG30" s="17"/>
      <c r="AH30" s="18">
        <f t="shared" ref="AH30:AH32" si="28">J30</f>
        <v>0</v>
      </c>
      <c r="AI30" s="19">
        <f>IF(AH$33=0,0,AH30/AH$33)</f>
        <v>0</v>
      </c>
      <c r="AK30" s="17"/>
      <c r="AL30" s="17"/>
      <c r="AM30" s="17"/>
      <c r="AN30" s="18">
        <f t="shared" ref="AN30:AN32" si="29">K30</f>
        <v>0</v>
      </c>
      <c r="AO30" s="19">
        <f>IF(AN$33=0,0,AN30/AN$33)</f>
        <v>0</v>
      </c>
      <c r="AQ30" s="17"/>
      <c r="AR30" s="17"/>
      <c r="AS30" s="17"/>
      <c r="AT30" s="18">
        <f t="shared" ref="AT30:AT32" si="30">W30</f>
        <v>0</v>
      </c>
      <c r="AU30" s="19">
        <f>IF(AT$33=0,0,AT30/AT$33)</f>
        <v>0</v>
      </c>
      <c r="AW30" s="17"/>
      <c r="AX30" s="17"/>
      <c r="AY30" s="17"/>
      <c r="AZ30" s="18">
        <f t="shared" ref="AZ30:AZ32" si="31">X30</f>
        <v>0</v>
      </c>
      <c r="BA30" s="19">
        <f>IF(AZ$33=0,0,AZ30/AZ$33)</f>
        <v>0</v>
      </c>
    </row>
    <row r="31" spans="1:60" ht="17.100000000000001" customHeight="1" x14ac:dyDescent="0.25">
      <c r="A31" s="102"/>
      <c r="B31" s="102"/>
      <c r="C31" s="103" t="s">
        <v>18</v>
      </c>
      <c r="D31" s="104" t="s">
        <v>610</v>
      </c>
      <c r="E31" s="105"/>
      <c r="F31" s="105"/>
      <c r="G31" s="106"/>
      <c r="H31" s="210"/>
      <c r="I31" s="231"/>
      <c r="J31" s="198"/>
      <c r="K31" s="198">
        <f>K15</f>
        <v>0</v>
      </c>
      <c r="L31" s="17"/>
      <c r="M31" s="17">
        <f t="shared" si="25"/>
        <v>0</v>
      </c>
      <c r="N31" s="111"/>
      <c r="O31" s="111"/>
      <c r="P31" s="111"/>
      <c r="Q31" s="111"/>
      <c r="R31" s="111"/>
      <c r="S31" s="111"/>
      <c r="T31" s="111"/>
      <c r="U31" s="111"/>
      <c r="V31" s="358"/>
      <c r="W31" s="391">
        <f t="shared" si="26"/>
        <v>0</v>
      </c>
      <c r="X31" s="17">
        <f t="shared" si="27"/>
        <v>0</v>
      </c>
      <c r="Y31" s="18">
        <f>SUM(W31:X31)</f>
        <v>0</v>
      </c>
      <c r="Z31" s="19">
        <f t="shared" ref="Z31:Z33" si="32">IF(Y$33=0,0,Y31/Y$33)</f>
        <v>0</v>
      </c>
      <c r="AA31" s="19"/>
      <c r="AB31" s="19"/>
      <c r="AC31" s="20"/>
      <c r="AE31" s="17"/>
      <c r="AF31" s="17"/>
      <c r="AG31" s="17"/>
      <c r="AH31" s="18">
        <f t="shared" si="28"/>
        <v>0</v>
      </c>
      <c r="AI31" s="19">
        <f>IF(AH$33=0,0,AH31/AH$33)</f>
        <v>0</v>
      </c>
      <c r="AK31" s="17"/>
      <c r="AL31" s="17"/>
      <c r="AM31" s="17"/>
      <c r="AN31" s="18">
        <f t="shared" si="29"/>
        <v>0</v>
      </c>
      <c r="AO31" s="19">
        <f>IF(AN$33=0,0,AN31/AN$33)</f>
        <v>0</v>
      </c>
      <c r="AQ31" s="17"/>
      <c r="AR31" s="17"/>
      <c r="AS31" s="17"/>
      <c r="AT31" s="18">
        <f t="shared" si="30"/>
        <v>0</v>
      </c>
      <c r="AU31" s="19">
        <f>IF(AT$33=0,0,AT31/AT$33)</f>
        <v>0</v>
      </c>
      <c r="AW31" s="17"/>
      <c r="AX31" s="17"/>
      <c r="AY31" s="17"/>
      <c r="AZ31" s="18">
        <f t="shared" si="31"/>
        <v>0</v>
      </c>
      <c r="BA31" s="19">
        <f>IF(AZ$33=0,0,AZ31/AZ$33)</f>
        <v>0</v>
      </c>
    </row>
    <row r="32" spans="1:60" ht="17.100000000000001" customHeight="1" x14ac:dyDescent="0.25">
      <c r="A32" s="102"/>
      <c r="B32" s="102"/>
      <c r="C32" s="103" t="s">
        <v>19</v>
      </c>
      <c r="D32" s="104" t="s">
        <v>611</v>
      </c>
      <c r="E32" s="105"/>
      <c r="F32" s="105"/>
      <c r="G32" s="106"/>
      <c r="H32" s="210"/>
      <c r="I32" s="231"/>
      <c r="J32" s="198"/>
      <c r="K32" s="198"/>
      <c r="L32" s="17">
        <f>L15</f>
        <v>0</v>
      </c>
      <c r="M32" s="17">
        <f t="shared" si="25"/>
        <v>0</v>
      </c>
      <c r="N32" s="111"/>
      <c r="O32" s="111"/>
      <c r="P32" s="111"/>
      <c r="Q32" s="111"/>
      <c r="R32" s="111"/>
      <c r="S32" s="111"/>
      <c r="T32" s="111"/>
      <c r="U32" s="111"/>
      <c r="V32" s="358"/>
      <c r="W32" s="391">
        <f t="shared" si="26"/>
        <v>0</v>
      </c>
      <c r="X32" s="17">
        <f t="shared" si="27"/>
        <v>0</v>
      </c>
      <c r="Y32" s="18">
        <f>SUM(W32:X32)</f>
        <v>0</v>
      </c>
      <c r="Z32" s="19">
        <f t="shared" si="32"/>
        <v>0</v>
      </c>
      <c r="AA32" s="19"/>
      <c r="AB32" s="19"/>
      <c r="AC32" s="20"/>
      <c r="AE32" s="17"/>
      <c r="AF32" s="17"/>
      <c r="AG32" s="17"/>
      <c r="AH32" s="18">
        <f t="shared" si="28"/>
        <v>0</v>
      </c>
      <c r="AI32" s="19">
        <f>IF(AH$33=0,0,AH32/AH$33)</f>
        <v>0</v>
      </c>
      <c r="AK32" s="17"/>
      <c r="AL32" s="17"/>
      <c r="AM32" s="17"/>
      <c r="AN32" s="18">
        <f t="shared" si="29"/>
        <v>0</v>
      </c>
      <c r="AO32" s="19">
        <f>IF(AN$33=0,0,AN32/AN$33)</f>
        <v>0</v>
      </c>
      <c r="AQ32" s="17"/>
      <c r="AR32" s="17"/>
      <c r="AS32" s="17"/>
      <c r="AT32" s="18">
        <f t="shared" si="30"/>
        <v>0</v>
      </c>
      <c r="AU32" s="19">
        <f>IF(AT$33=0,0,AT32/AT$33)</f>
        <v>0</v>
      </c>
      <c r="AW32" s="17"/>
      <c r="AX32" s="17"/>
      <c r="AY32" s="17"/>
      <c r="AZ32" s="18">
        <f t="shared" si="31"/>
        <v>0</v>
      </c>
      <c r="BA32" s="19">
        <f>IF(AZ$33=0,0,AZ32/AZ$33)</f>
        <v>0</v>
      </c>
    </row>
    <row r="33" spans="1:53" ht="17.100000000000001" customHeight="1" x14ac:dyDescent="0.25">
      <c r="A33" s="40"/>
      <c r="B33" s="40"/>
      <c r="C33" s="77"/>
      <c r="D33" s="78"/>
      <c r="E33" s="78"/>
      <c r="F33" s="78"/>
      <c r="G33" s="79"/>
      <c r="H33" s="217"/>
      <c r="I33" s="230"/>
      <c r="J33" s="80">
        <f>SUM(J30:J32)</f>
        <v>0</v>
      </c>
      <c r="K33" s="80">
        <f t="shared" ref="K33:M33" si="33">SUM(K30:K32)</f>
        <v>0</v>
      </c>
      <c r="L33" s="80">
        <f t="shared" si="33"/>
        <v>0</v>
      </c>
      <c r="M33" s="80">
        <f t="shared" si="33"/>
        <v>0</v>
      </c>
      <c r="N33" s="81"/>
      <c r="O33" s="81"/>
      <c r="P33" s="81"/>
      <c r="Q33" s="81"/>
      <c r="R33" s="81"/>
      <c r="S33" s="81"/>
      <c r="T33" s="81"/>
      <c r="U33" s="81"/>
      <c r="V33" s="356"/>
      <c r="W33" s="381">
        <f>SUM(W30:W32)</f>
        <v>0</v>
      </c>
      <c r="X33" s="82">
        <f t="shared" ref="X33:Y33" si="34">SUM(X30:X32)</f>
        <v>0</v>
      </c>
      <c r="Y33" s="82">
        <f t="shared" si="34"/>
        <v>0</v>
      </c>
      <c r="Z33" s="205">
        <f t="shared" si="32"/>
        <v>0</v>
      </c>
      <c r="AA33" s="205"/>
      <c r="AB33" s="205"/>
      <c r="AC33" s="83"/>
      <c r="AE33" s="107"/>
      <c r="AF33" s="107"/>
      <c r="AG33" s="107"/>
      <c r="AH33" s="82">
        <f>SUM(AH30:AH32)</f>
        <v>0</v>
      </c>
      <c r="AI33" s="66">
        <f>IF(AH$33=0,0,AH33/AH$33)</f>
        <v>0</v>
      </c>
      <c r="AK33" s="107"/>
      <c r="AL33" s="107"/>
      <c r="AM33" s="107"/>
      <c r="AN33" s="82">
        <f>SUM(AN30:AN32)</f>
        <v>0</v>
      </c>
      <c r="AO33" s="66">
        <f>IF(AN$33=0,0,AN33/AN$33)</f>
        <v>0</v>
      </c>
      <c r="AQ33" s="107"/>
      <c r="AR33" s="107"/>
      <c r="AS33" s="107"/>
      <c r="AT33" s="82">
        <f>SUM(AT30:AT32)</f>
        <v>0</v>
      </c>
      <c r="AU33" s="66">
        <f>IF(AT$33=0,0,AT33/AT$33)</f>
        <v>0</v>
      </c>
      <c r="AW33" s="107"/>
      <c r="AX33" s="107"/>
      <c r="AY33" s="107"/>
      <c r="AZ33" s="82">
        <f>SUM(AZ30:AZ32)</f>
        <v>0</v>
      </c>
      <c r="BA33" s="66">
        <f>IF(AZ$33=0,0,AZ33/AZ$33)</f>
        <v>0</v>
      </c>
    </row>
    <row r="34" spans="1:53" s="97" customFormat="1" ht="17.100000000000001" customHeight="1" x14ac:dyDescent="0.25">
      <c r="A34" s="68"/>
      <c r="B34" s="68"/>
      <c r="C34" s="92"/>
      <c r="D34" s="93"/>
      <c r="E34" s="93"/>
      <c r="F34" s="93"/>
      <c r="G34" s="93"/>
      <c r="H34" s="92"/>
      <c r="I34" s="12"/>
      <c r="J34" s="94"/>
      <c r="K34" s="94"/>
      <c r="L34" s="94"/>
      <c r="M34" s="95"/>
      <c r="N34" s="95"/>
      <c r="O34" s="95"/>
      <c r="P34" s="95"/>
      <c r="Q34" s="95"/>
      <c r="R34" s="95"/>
      <c r="S34" s="95"/>
      <c r="T34" s="95"/>
      <c r="U34" s="95"/>
      <c r="V34" s="95"/>
      <c r="W34" s="378"/>
      <c r="X34" s="95"/>
      <c r="Y34" s="96"/>
      <c r="AE34" s="109"/>
      <c r="AF34" s="109"/>
      <c r="AG34" s="109"/>
      <c r="AH34" s="96"/>
      <c r="AK34" s="109"/>
      <c r="AL34" s="109"/>
      <c r="AM34" s="109"/>
      <c r="AN34" s="96"/>
      <c r="AQ34" s="109"/>
      <c r="AR34" s="109"/>
      <c r="AS34" s="109"/>
      <c r="AT34" s="96"/>
      <c r="AW34" s="109"/>
      <c r="AX34" s="109"/>
      <c r="AY34" s="109"/>
      <c r="AZ34" s="96"/>
    </row>
    <row r="35" spans="1:53" s="32" customFormat="1" ht="16.5" thickBot="1" x14ac:dyDescent="0.3">
      <c r="A35" s="24" t="s">
        <v>20</v>
      </c>
      <c r="B35" s="25" t="s">
        <v>21</v>
      </c>
      <c r="C35" s="26"/>
      <c r="D35" s="27"/>
      <c r="E35" s="27"/>
      <c r="F35" s="27"/>
      <c r="G35" s="28"/>
      <c r="H35" s="215"/>
      <c r="I35" s="228"/>
      <c r="J35" s="101"/>
      <c r="K35" s="101"/>
      <c r="L35" s="101"/>
      <c r="M35" s="101"/>
      <c r="N35" s="101"/>
      <c r="O35" s="101"/>
      <c r="P35" s="101"/>
      <c r="Q35" s="101"/>
      <c r="R35" s="101"/>
      <c r="S35" s="101"/>
      <c r="T35" s="101"/>
      <c r="U35" s="101"/>
      <c r="V35" s="357"/>
      <c r="W35" s="379"/>
      <c r="X35" s="101"/>
      <c r="Y35" s="30" t="s">
        <v>4</v>
      </c>
      <c r="Z35" s="31" t="s">
        <v>5</v>
      </c>
      <c r="AA35" s="31" t="s">
        <v>181</v>
      </c>
      <c r="AB35" s="31" t="s">
        <v>182</v>
      </c>
      <c r="AC35" s="31" t="s">
        <v>6</v>
      </c>
      <c r="AE35" s="33" t="s">
        <v>181</v>
      </c>
      <c r="AF35" s="33" t="s">
        <v>182</v>
      </c>
      <c r="AG35" s="33" t="s">
        <v>6</v>
      </c>
      <c r="AH35" s="33" t="s">
        <v>4</v>
      </c>
      <c r="AI35" s="34" t="s">
        <v>5</v>
      </c>
      <c r="AJ35" s="408"/>
      <c r="AK35" s="36" t="s">
        <v>181</v>
      </c>
      <c r="AL35" s="36" t="s">
        <v>182</v>
      </c>
      <c r="AM35" s="36" t="s">
        <v>6</v>
      </c>
      <c r="AN35" s="36" t="s">
        <v>4</v>
      </c>
      <c r="AO35" s="37" t="s">
        <v>5</v>
      </c>
      <c r="AP35" s="408"/>
      <c r="AQ35" s="36"/>
      <c r="AR35" s="36"/>
      <c r="AS35" s="36"/>
      <c r="AT35" s="36"/>
      <c r="AU35" s="37"/>
      <c r="AV35" s="408"/>
      <c r="AW35" s="38" t="s">
        <v>181</v>
      </c>
      <c r="AX35" s="38" t="s">
        <v>182</v>
      </c>
      <c r="AY35" s="38" t="s">
        <v>6</v>
      </c>
      <c r="AZ35" s="38" t="s">
        <v>4</v>
      </c>
      <c r="BA35" s="39" t="s">
        <v>5</v>
      </c>
    </row>
    <row r="36" spans="1:53" ht="17.100000000000001" customHeight="1" x14ac:dyDescent="0.25">
      <c r="A36" s="119"/>
      <c r="B36" s="41" t="s">
        <v>22</v>
      </c>
      <c r="C36" s="332" t="s">
        <v>23</v>
      </c>
      <c r="D36" s="50"/>
      <c r="E36" s="70"/>
      <c r="F36" s="70"/>
      <c r="G36" s="70"/>
      <c r="H36" s="589">
        <v>9</v>
      </c>
      <c r="J36" s="71"/>
      <c r="K36" s="71"/>
      <c r="L36" s="71"/>
      <c r="M36" s="71"/>
      <c r="N36" s="71"/>
      <c r="O36" s="71"/>
      <c r="P36" s="71"/>
      <c r="Q36" s="71"/>
      <c r="R36" s="71"/>
      <c r="S36" s="71"/>
      <c r="T36" s="71"/>
      <c r="U36" s="71"/>
      <c r="V36" s="355"/>
      <c r="W36" s="377"/>
      <c r="X36" s="71"/>
      <c r="Y36" s="72"/>
      <c r="Z36" s="73"/>
      <c r="AA36" s="73"/>
      <c r="AB36" s="73"/>
      <c r="AC36" s="73"/>
      <c r="AE36" s="71"/>
      <c r="AF36" s="71"/>
      <c r="AG36" s="71"/>
      <c r="AH36" s="72"/>
      <c r="AI36" s="73"/>
      <c r="AK36" s="71"/>
      <c r="AL36" s="71"/>
      <c r="AM36" s="71"/>
      <c r="AN36" s="72"/>
      <c r="AO36" s="73"/>
      <c r="AQ36" s="71"/>
      <c r="AR36" s="71"/>
      <c r="AS36" s="71"/>
      <c r="AT36" s="72"/>
      <c r="AU36" s="73"/>
      <c r="AW36" s="71"/>
      <c r="AX36" s="71"/>
      <c r="AY36" s="71"/>
      <c r="AZ36" s="72"/>
      <c r="BA36" s="73"/>
    </row>
    <row r="37" spans="1:53" ht="17.100000000000001" customHeight="1" x14ac:dyDescent="0.25">
      <c r="A37" s="119"/>
      <c r="B37" s="540"/>
      <c r="C37" s="103" t="s">
        <v>631</v>
      </c>
      <c r="D37" s="313" t="s">
        <v>658</v>
      </c>
      <c r="E37" s="108"/>
      <c r="F37" s="108"/>
      <c r="G37" s="108"/>
      <c r="H37" s="119"/>
      <c r="J37" s="111"/>
      <c r="K37" s="111"/>
      <c r="L37" s="111"/>
      <c r="M37" s="111"/>
      <c r="N37" s="111"/>
      <c r="O37" s="111"/>
      <c r="P37" s="111"/>
      <c r="Q37" s="111"/>
      <c r="R37" s="111"/>
      <c r="S37" s="111"/>
      <c r="T37" s="111"/>
      <c r="U37" s="111"/>
      <c r="V37" s="358"/>
      <c r="W37" s="380"/>
      <c r="X37" s="111"/>
      <c r="Y37" s="112"/>
      <c r="Z37" s="113"/>
      <c r="AA37" s="113"/>
      <c r="AB37" s="113"/>
      <c r="AC37" s="113"/>
      <c r="AE37" s="111"/>
      <c r="AF37" s="111"/>
      <c r="AG37" s="111"/>
      <c r="AH37" s="112"/>
      <c r="AI37" s="113"/>
      <c r="AK37" s="111"/>
      <c r="AL37" s="111"/>
      <c r="AM37" s="111"/>
      <c r="AN37" s="112"/>
      <c r="AO37" s="113"/>
      <c r="AQ37" s="111"/>
      <c r="AR37" s="111"/>
      <c r="AS37" s="111"/>
      <c r="AT37" s="112"/>
      <c r="AU37" s="113"/>
      <c r="AW37" s="111"/>
      <c r="AX37" s="111"/>
      <c r="AY37" s="111"/>
      <c r="AZ37" s="112"/>
      <c r="BA37" s="113"/>
    </row>
    <row r="38" spans="1:53" ht="17.100000000000001" customHeight="1" x14ac:dyDescent="0.25">
      <c r="A38" s="47"/>
      <c r="B38" s="55"/>
      <c r="C38" s="56"/>
      <c r="D38" s="120" t="s">
        <v>632</v>
      </c>
      <c r="E38" s="58" t="s">
        <v>659</v>
      </c>
      <c r="F38" s="58"/>
      <c r="G38" s="59"/>
      <c r="H38" s="216"/>
      <c r="I38" s="229"/>
      <c r="J38" s="174"/>
      <c r="K38" s="174"/>
      <c r="L38" s="111"/>
      <c r="M38" s="111"/>
      <c r="N38" s="60"/>
      <c r="O38" s="60">
        <v>8</v>
      </c>
      <c r="P38" s="17">
        <f>SUM(N38:O38)</f>
        <v>8</v>
      </c>
      <c r="Q38" s="60"/>
      <c r="R38" s="60">
        <v>1</v>
      </c>
      <c r="S38" s="17">
        <f>SUM(Q38:R38)</f>
        <v>1</v>
      </c>
      <c r="T38" s="60"/>
      <c r="U38" s="60"/>
      <c r="V38" s="17">
        <f>SUM(T38:U38)</f>
        <v>0</v>
      </c>
      <c r="W38" s="391">
        <f t="shared" ref="W38:W40" si="35">J38+K38+N38+Q38+T38</f>
        <v>0</v>
      </c>
      <c r="X38" s="17">
        <f t="shared" ref="X38:X40" si="36">L38+O38+R38+U38</f>
        <v>9</v>
      </c>
      <c r="Y38" s="18">
        <f>SUM(W38:X38)</f>
        <v>9</v>
      </c>
      <c r="Z38" s="19">
        <f>IF(Y$41=0,0,Y38/Y$41)</f>
        <v>0.6</v>
      </c>
      <c r="AA38" s="19"/>
      <c r="AB38" s="19"/>
      <c r="AC38" s="20"/>
      <c r="AE38" s="111"/>
      <c r="AF38" s="111"/>
      <c r="AG38" s="111"/>
      <c r="AH38" s="545"/>
      <c r="AI38" s="131"/>
      <c r="AK38" s="111"/>
      <c r="AL38" s="111"/>
      <c r="AM38" s="111"/>
      <c r="AN38" s="545"/>
      <c r="AO38" s="131"/>
      <c r="AQ38" s="17"/>
      <c r="AR38" s="17"/>
      <c r="AS38" s="17"/>
      <c r="AT38" s="18">
        <f>W38</f>
        <v>0</v>
      </c>
      <c r="AU38" s="19">
        <f>IF(AT$41=0,0,AT38/AT$41)</f>
        <v>0</v>
      </c>
      <c r="AW38" s="17"/>
      <c r="AX38" s="17"/>
      <c r="AY38" s="17"/>
      <c r="AZ38" s="18">
        <f>X38</f>
        <v>9</v>
      </c>
      <c r="BA38" s="19">
        <f>IF(AZ$41=0,0,AZ38/AZ$41)</f>
        <v>0.75</v>
      </c>
    </row>
    <row r="39" spans="1:53" ht="17.100000000000001" customHeight="1" x14ac:dyDescent="0.25">
      <c r="A39" s="47"/>
      <c r="B39" s="55"/>
      <c r="C39" s="56"/>
      <c r="D39" s="120" t="s">
        <v>633</v>
      </c>
      <c r="E39" s="58" t="s">
        <v>634</v>
      </c>
      <c r="F39" s="58"/>
      <c r="G39" s="59"/>
      <c r="H39" s="216"/>
      <c r="I39" s="229"/>
      <c r="J39" s="174"/>
      <c r="K39" s="174"/>
      <c r="L39" s="111"/>
      <c r="M39" s="111"/>
      <c r="N39" s="61"/>
      <c r="O39" s="61"/>
      <c r="P39" s="17">
        <f t="shared" ref="P39:P40" si="37">SUM(N39:O39)</f>
        <v>0</v>
      </c>
      <c r="Q39" s="61">
        <v>3</v>
      </c>
      <c r="R39" s="61">
        <v>3</v>
      </c>
      <c r="S39" s="17">
        <f t="shared" ref="S39:S40" si="38">SUM(Q39:R39)</f>
        <v>6</v>
      </c>
      <c r="T39" s="61"/>
      <c r="U39" s="61"/>
      <c r="V39" s="17">
        <f t="shared" ref="V39:V40" si="39">SUM(T39:U39)</f>
        <v>0</v>
      </c>
      <c r="W39" s="391">
        <f t="shared" si="35"/>
        <v>3</v>
      </c>
      <c r="X39" s="17">
        <f t="shared" si="36"/>
        <v>3</v>
      </c>
      <c r="Y39" s="18">
        <f>SUM(W39:X39)</f>
        <v>6</v>
      </c>
      <c r="Z39" s="19">
        <f>IF(Y$41=0,0,Y39/Y$41)</f>
        <v>0.4</v>
      </c>
      <c r="AA39" s="19"/>
      <c r="AB39" s="19"/>
      <c r="AC39" s="20"/>
      <c r="AE39" s="111"/>
      <c r="AF39" s="111"/>
      <c r="AG39" s="111"/>
      <c r="AH39" s="545"/>
      <c r="AI39" s="131"/>
      <c r="AK39" s="111"/>
      <c r="AL39" s="111"/>
      <c r="AM39" s="111"/>
      <c r="AN39" s="545"/>
      <c r="AO39" s="131"/>
      <c r="AQ39" s="17"/>
      <c r="AR39" s="17"/>
      <c r="AS39" s="17"/>
      <c r="AT39" s="18">
        <f>W39</f>
        <v>3</v>
      </c>
      <c r="AU39" s="19">
        <f>IF(AT$41=0,0,AT39/AT$41)</f>
        <v>1</v>
      </c>
      <c r="AW39" s="17"/>
      <c r="AX39" s="17"/>
      <c r="AY39" s="17"/>
      <c r="AZ39" s="18">
        <f>X39</f>
        <v>3</v>
      </c>
      <c r="BA39" s="19">
        <f>IF(AZ$41=0,0,AZ39/AZ$41)</f>
        <v>0.25</v>
      </c>
    </row>
    <row r="40" spans="1:53" ht="17.100000000000001" customHeight="1" x14ac:dyDescent="0.25">
      <c r="A40" s="47"/>
      <c r="B40" s="55"/>
      <c r="C40" s="56"/>
      <c r="D40" s="120" t="s">
        <v>744</v>
      </c>
      <c r="E40" s="58" t="s">
        <v>745</v>
      </c>
      <c r="F40" s="58"/>
      <c r="G40" s="59"/>
      <c r="H40" s="216"/>
      <c r="I40" s="229"/>
      <c r="J40" s="174"/>
      <c r="K40" s="174"/>
      <c r="L40" s="111"/>
      <c r="M40" s="111"/>
      <c r="N40" s="60"/>
      <c r="O40" s="60"/>
      <c r="P40" s="17">
        <f t="shared" si="37"/>
        <v>0</v>
      </c>
      <c r="Q40" s="60"/>
      <c r="R40" s="60"/>
      <c r="S40" s="17">
        <f t="shared" si="38"/>
        <v>0</v>
      </c>
      <c r="T40" s="60"/>
      <c r="U40" s="60"/>
      <c r="V40" s="17">
        <f t="shared" si="39"/>
        <v>0</v>
      </c>
      <c r="W40" s="391">
        <f t="shared" si="35"/>
        <v>0</v>
      </c>
      <c r="X40" s="17">
        <f t="shared" si="36"/>
        <v>0</v>
      </c>
      <c r="Y40" s="18">
        <f>SUM(W40:X40)</f>
        <v>0</v>
      </c>
      <c r="Z40" s="19">
        <f>IF(Y$41=0,0,Y40/Y$41)</f>
        <v>0</v>
      </c>
      <c r="AA40" s="19"/>
      <c r="AB40" s="19"/>
      <c r="AC40" s="20"/>
      <c r="AE40" s="111"/>
      <c r="AF40" s="111"/>
      <c r="AG40" s="111"/>
      <c r="AH40" s="545"/>
      <c r="AI40" s="131"/>
      <c r="AK40" s="111"/>
      <c r="AL40" s="111"/>
      <c r="AM40" s="111"/>
      <c r="AN40" s="545"/>
      <c r="AO40" s="131"/>
      <c r="AQ40" s="17"/>
      <c r="AR40" s="17"/>
      <c r="AS40" s="17"/>
      <c r="AT40" s="18">
        <f>W40</f>
        <v>0</v>
      </c>
      <c r="AU40" s="19">
        <f>IF(AT$41=0,0,AT40/AT$41)</f>
        <v>0</v>
      </c>
      <c r="AW40" s="17"/>
      <c r="AX40" s="17"/>
      <c r="AY40" s="17"/>
      <c r="AZ40" s="18">
        <f>X40</f>
        <v>0</v>
      </c>
      <c r="BA40" s="19">
        <f>IF(AZ$41=0,0,AZ40/AZ$41)</f>
        <v>0</v>
      </c>
    </row>
    <row r="41" spans="1:53" ht="17.100000000000001" customHeight="1" x14ac:dyDescent="0.25">
      <c r="A41" s="40"/>
      <c r="B41" s="40"/>
      <c r="C41" s="77"/>
      <c r="D41" s="78"/>
      <c r="E41" s="78"/>
      <c r="F41" s="78"/>
      <c r="G41" s="78"/>
      <c r="H41" s="242"/>
      <c r="I41" s="230"/>
      <c r="J41" s="80"/>
      <c r="K41" s="80"/>
      <c r="L41" s="80"/>
      <c r="M41" s="80"/>
      <c r="N41" s="64">
        <f>SUM(N38:N40)</f>
        <v>0</v>
      </c>
      <c r="O41" s="64">
        <f t="shared" ref="O41:V41" si="40">SUM(O38:O40)</f>
        <v>8</v>
      </c>
      <c r="P41" s="64">
        <f t="shared" si="40"/>
        <v>8</v>
      </c>
      <c r="Q41" s="64">
        <f t="shared" si="40"/>
        <v>3</v>
      </c>
      <c r="R41" s="64">
        <f t="shared" si="40"/>
        <v>4</v>
      </c>
      <c r="S41" s="64">
        <f t="shared" si="40"/>
        <v>7</v>
      </c>
      <c r="T41" s="64">
        <f t="shared" si="40"/>
        <v>0</v>
      </c>
      <c r="U41" s="64">
        <f t="shared" si="40"/>
        <v>0</v>
      </c>
      <c r="V41" s="64">
        <f t="shared" si="40"/>
        <v>0</v>
      </c>
      <c r="W41" s="381">
        <f>SUM(W38:W40)</f>
        <v>3</v>
      </c>
      <c r="X41" s="82">
        <f t="shared" ref="X41:Y41" si="41">SUM(X38:X40)</f>
        <v>12</v>
      </c>
      <c r="Y41" s="82">
        <f t="shared" si="41"/>
        <v>15</v>
      </c>
      <c r="Z41" s="205">
        <f>IF(Y$41=0,0,Y41/Y$41)</f>
        <v>1</v>
      </c>
      <c r="AA41" s="205"/>
      <c r="AB41" s="205"/>
      <c r="AC41" s="83"/>
      <c r="AE41" s="81"/>
      <c r="AF41" s="81"/>
      <c r="AG41" s="81"/>
      <c r="AH41" s="82"/>
      <c r="AI41" s="66"/>
      <c r="AK41" s="81"/>
      <c r="AL41" s="81"/>
      <c r="AM41" s="81"/>
      <c r="AN41" s="82"/>
      <c r="AO41" s="66"/>
      <c r="AQ41" s="81"/>
      <c r="AR41" s="81"/>
      <c r="AS41" s="81"/>
      <c r="AT41" s="82">
        <f>SUM(AT38:AT40)</f>
        <v>3</v>
      </c>
      <c r="AU41" s="66">
        <f>IF(AT$41=0,0,AT41/AT$41)</f>
        <v>1</v>
      </c>
      <c r="AW41" s="81"/>
      <c r="AX41" s="81"/>
      <c r="AY41" s="81"/>
      <c r="AZ41" s="82">
        <f>SUM(AZ38:AZ40)</f>
        <v>12</v>
      </c>
      <c r="BA41" s="66">
        <f>IF(AZ$41=0,0,AZ41/AZ$41)</f>
        <v>1</v>
      </c>
    </row>
    <row r="42" spans="1:53" s="117" customFormat="1" ht="17.100000000000001" customHeight="1" x14ac:dyDescent="0.25">
      <c r="A42" s="119"/>
      <c r="B42" s="119"/>
      <c r="C42" s="540"/>
      <c r="D42" s="212"/>
      <c r="E42" s="212"/>
      <c r="F42" s="212"/>
      <c r="G42" s="212"/>
      <c r="H42" s="242"/>
      <c r="I42" s="230"/>
      <c r="J42" s="17"/>
      <c r="K42" s="17"/>
      <c r="L42" s="17"/>
      <c r="M42" s="17"/>
      <c r="N42" s="17" t="str">
        <f>IF(N41=N$20,"OK","NOK")</f>
        <v>OK</v>
      </c>
      <c r="O42" s="17" t="str">
        <f>IF(O41=O$20,"OK","NOK")</f>
        <v>OK</v>
      </c>
      <c r="P42" s="17"/>
      <c r="Q42" s="17" t="str">
        <f>IF(Q41=Q$20,"OK","NOK")</f>
        <v>OK</v>
      </c>
      <c r="R42" s="17" t="str">
        <f>IF(R41=R$20,"OK","NOK")</f>
        <v>OK</v>
      </c>
      <c r="S42" s="17"/>
      <c r="T42" s="17" t="str">
        <f>IF(T41=T$20,"OK","NOK")</f>
        <v>OK</v>
      </c>
      <c r="U42" s="17" t="str">
        <f>IF(U41=U$20,"OK","NOK")</f>
        <v>OK</v>
      </c>
      <c r="V42" s="359"/>
      <c r="W42" s="395">
        <f>IF($Y$41=0,0,W41/$Y$41)</f>
        <v>0.2</v>
      </c>
      <c r="X42" s="91">
        <f>IF($Y$41=0,0,X41/$Y$41)</f>
        <v>0.8</v>
      </c>
      <c r="Y42" s="201">
        <f>IF($Y$41=0,0,Y41/$Y$41)</f>
        <v>1</v>
      </c>
      <c r="Z42" s="201"/>
      <c r="AA42" s="201"/>
      <c r="AB42" s="201"/>
      <c r="AC42" s="84"/>
      <c r="AE42" s="17"/>
      <c r="AF42" s="17"/>
      <c r="AG42" s="17"/>
      <c r="AH42" s="539"/>
      <c r="AI42" s="91"/>
      <c r="AK42" s="17"/>
      <c r="AL42" s="17"/>
      <c r="AM42" s="17"/>
      <c r="AN42" s="539"/>
      <c r="AO42" s="91"/>
      <c r="AQ42" s="17"/>
      <c r="AR42" s="17"/>
      <c r="AS42" s="17"/>
      <c r="AT42" s="539"/>
      <c r="AU42" s="91"/>
      <c r="AW42" s="17"/>
      <c r="AX42" s="17"/>
      <c r="AY42" s="17"/>
      <c r="AZ42" s="539"/>
      <c r="BA42" s="91"/>
    </row>
    <row r="43" spans="1:53" ht="17.100000000000001" customHeight="1" x14ac:dyDescent="0.25">
      <c r="A43" s="68"/>
      <c r="B43" s="540"/>
      <c r="C43" s="103" t="s">
        <v>24</v>
      </c>
      <c r="D43" s="110" t="s">
        <v>373</v>
      </c>
      <c r="E43" s="108"/>
      <c r="F43" s="108"/>
      <c r="G43" s="108"/>
      <c r="H43" s="589">
        <v>9</v>
      </c>
      <c r="J43" s="111"/>
      <c r="K43" s="111"/>
      <c r="L43" s="111"/>
      <c r="M43" s="111"/>
      <c r="N43" s="111"/>
      <c r="O43" s="111"/>
      <c r="P43" s="111"/>
      <c r="Q43" s="111"/>
      <c r="R43" s="111"/>
      <c r="S43" s="111"/>
      <c r="T43" s="111"/>
      <c r="U43" s="111"/>
      <c r="V43" s="358"/>
      <c r="W43" s="380"/>
      <c r="X43" s="111"/>
      <c r="Y43" s="112"/>
      <c r="Z43" s="113"/>
      <c r="AA43" s="113"/>
      <c r="AB43" s="113"/>
      <c r="AC43" s="113"/>
      <c r="AE43" s="111"/>
      <c r="AF43" s="111"/>
      <c r="AG43" s="111"/>
      <c r="AH43" s="112"/>
      <c r="AI43" s="113"/>
      <c r="AK43" s="111"/>
      <c r="AL43" s="111"/>
      <c r="AM43" s="111"/>
      <c r="AN43" s="112"/>
      <c r="AO43" s="113"/>
      <c r="AQ43" s="111"/>
      <c r="AR43" s="111"/>
      <c r="AS43" s="111"/>
      <c r="AT43" s="112"/>
      <c r="AU43" s="113"/>
      <c r="AW43" s="111"/>
      <c r="AX43" s="111"/>
      <c r="AY43" s="111"/>
      <c r="AZ43" s="112"/>
      <c r="BA43" s="113"/>
    </row>
    <row r="44" spans="1:53" ht="17.100000000000001" customHeight="1" x14ac:dyDescent="0.25">
      <c r="A44" s="68"/>
      <c r="B44" s="540"/>
      <c r="C44" s="23"/>
      <c r="D44" s="202" t="s">
        <v>25</v>
      </c>
      <c r="E44" s="85" t="s">
        <v>384</v>
      </c>
      <c r="F44" s="75"/>
      <c r="G44" s="75"/>
      <c r="H44" s="119"/>
      <c r="J44" s="581"/>
      <c r="K44" s="581"/>
      <c r="L44" s="582"/>
      <c r="M44" s="17">
        <f t="shared" ref="M44:M57" si="42">SUM(J44:L44)</f>
        <v>0</v>
      </c>
      <c r="N44" s="111"/>
      <c r="O44" s="111"/>
      <c r="P44" s="111"/>
      <c r="Q44" s="111"/>
      <c r="R44" s="111"/>
      <c r="S44" s="111"/>
      <c r="T44" s="111"/>
      <c r="U44" s="111"/>
      <c r="V44" s="358"/>
      <c r="W44" s="391">
        <f t="shared" ref="W44:W57" si="43">J44+K44+N44+Q44+T44</f>
        <v>0</v>
      </c>
      <c r="X44" s="17">
        <f t="shared" ref="X44:X57" si="44">L44+O44+R44+U44</f>
        <v>0</v>
      </c>
      <c r="Y44" s="18">
        <f t="shared" ref="Y44:Y57" si="45">SUM(W44:X44)</f>
        <v>0</v>
      </c>
      <c r="Z44" s="19">
        <f>IF(Y$58=0,0,Y44/Y$58)</f>
        <v>0</v>
      </c>
      <c r="AA44" s="19"/>
      <c r="AB44" s="19"/>
      <c r="AC44" s="84"/>
      <c r="AE44" s="17"/>
      <c r="AF44" s="17"/>
      <c r="AG44" s="17"/>
      <c r="AH44" s="18">
        <f t="shared" ref="AH44:AH57" si="46">J44</f>
        <v>0</v>
      </c>
      <c r="AI44" s="19">
        <f>IF(AH$58=0,0,AH44/AH$58)</f>
        <v>0</v>
      </c>
      <c r="AK44" s="17"/>
      <c r="AL44" s="17"/>
      <c r="AM44" s="17"/>
      <c r="AN44" s="18">
        <f t="shared" ref="AN44:AN57" si="47">K44</f>
        <v>0</v>
      </c>
      <c r="AO44" s="19">
        <f>IF(AN$58=0,0,AN44/AN$58)</f>
        <v>0</v>
      </c>
      <c r="AQ44" s="17"/>
      <c r="AR44" s="17"/>
      <c r="AS44" s="17"/>
      <c r="AT44" s="18">
        <f t="shared" ref="AT44:AT57" si="48">W44</f>
        <v>0</v>
      </c>
      <c r="AU44" s="19">
        <f>IF(AT$58=0,0,AT44/AT$58)</f>
        <v>0</v>
      </c>
      <c r="AW44" s="17"/>
      <c r="AX44" s="17"/>
      <c r="AY44" s="17"/>
      <c r="AZ44" s="18">
        <f t="shared" ref="AZ44:AZ57" si="49">X44</f>
        <v>0</v>
      </c>
      <c r="BA44" s="19">
        <f>IF(AZ$58=0,0,AZ44/AZ$58)</f>
        <v>0</v>
      </c>
    </row>
    <row r="45" spans="1:53" ht="17.100000000000001" customHeight="1" x14ac:dyDescent="0.25">
      <c r="A45" s="68"/>
      <c r="B45" s="540"/>
      <c r="C45" s="23"/>
      <c r="D45" s="202" t="s">
        <v>27</v>
      </c>
      <c r="E45" s="85" t="s">
        <v>385</v>
      </c>
      <c r="F45" s="75"/>
      <c r="G45" s="75"/>
      <c r="H45" s="119"/>
      <c r="J45" s="583"/>
      <c r="K45" s="583"/>
      <c r="L45" s="584"/>
      <c r="M45" s="17">
        <f t="shared" si="42"/>
        <v>0</v>
      </c>
      <c r="N45" s="111"/>
      <c r="O45" s="111"/>
      <c r="P45" s="111"/>
      <c r="Q45" s="111"/>
      <c r="R45" s="111"/>
      <c r="S45" s="111"/>
      <c r="T45" s="111"/>
      <c r="U45" s="111"/>
      <c r="V45" s="358"/>
      <c r="W45" s="391">
        <f t="shared" si="43"/>
        <v>0</v>
      </c>
      <c r="X45" s="17">
        <f t="shared" si="44"/>
        <v>0</v>
      </c>
      <c r="Y45" s="18">
        <f t="shared" si="45"/>
        <v>0</v>
      </c>
      <c r="Z45" s="19">
        <f t="shared" ref="Z45:Z58" si="50">IF(Y$58=0,0,Y45/Y$58)</f>
        <v>0</v>
      </c>
      <c r="AA45" s="19"/>
      <c r="AB45" s="19"/>
      <c r="AC45" s="84"/>
      <c r="AE45" s="17"/>
      <c r="AF45" s="17"/>
      <c r="AG45" s="17"/>
      <c r="AH45" s="18">
        <f t="shared" si="46"/>
        <v>0</v>
      </c>
      <c r="AI45" s="19">
        <f t="shared" ref="AI45:AI58" si="51">IF(AH$58=0,0,AH45/AH$58)</f>
        <v>0</v>
      </c>
      <c r="AK45" s="17"/>
      <c r="AL45" s="17"/>
      <c r="AM45" s="17"/>
      <c r="AN45" s="18">
        <f t="shared" si="47"/>
        <v>0</v>
      </c>
      <c r="AO45" s="19">
        <f t="shared" ref="AO45:AO58" si="52">IF(AN$58=0,0,AN45/AN$58)</f>
        <v>0</v>
      </c>
      <c r="AQ45" s="17"/>
      <c r="AR45" s="17"/>
      <c r="AS45" s="17"/>
      <c r="AT45" s="18">
        <f t="shared" si="48"/>
        <v>0</v>
      </c>
      <c r="AU45" s="19">
        <f t="shared" ref="AU45:AU58" si="53">IF(AT$58=0,0,AT45/AT$58)</f>
        <v>0</v>
      </c>
      <c r="AW45" s="17"/>
      <c r="AX45" s="17"/>
      <c r="AY45" s="17"/>
      <c r="AZ45" s="18">
        <f t="shared" si="49"/>
        <v>0</v>
      </c>
      <c r="BA45" s="19">
        <f t="shared" ref="BA45:BA58" si="54">IF(AZ$58=0,0,AZ45/AZ$58)</f>
        <v>0</v>
      </c>
    </row>
    <row r="46" spans="1:53" ht="17.100000000000001" customHeight="1" x14ac:dyDescent="0.25">
      <c r="A46" s="68"/>
      <c r="B46" s="540"/>
      <c r="C46" s="23"/>
      <c r="D46" s="202" t="s">
        <v>29</v>
      </c>
      <c r="E46" s="85" t="s">
        <v>386</v>
      </c>
      <c r="F46" s="75"/>
      <c r="G46" s="75"/>
      <c r="H46" s="119"/>
      <c r="J46" s="581"/>
      <c r="K46" s="581"/>
      <c r="L46" s="582"/>
      <c r="M46" s="17">
        <f t="shared" si="42"/>
        <v>0</v>
      </c>
      <c r="N46" s="111"/>
      <c r="O46" s="111"/>
      <c r="P46" s="111"/>
      <c r="Q46" s="111"/>
      <c r="R46" s="111"/>
      <c r="S46" s="111"/>
      <c r="T46" s="111"/>
      <c r="U46" s="111"/>
      <c r="V46" s="358"/>
      <c r="W46" s="391">
        <f t="shared" si="43"/>
        <v>0</v>
      </c>
      <c r="X46" s="17">
        <f t="shared" si="44"/>
        <v>0</v>
      </c>
      <c r="Y46" s="18">
        <f t="shared" si="45"/>
        <v>0</v>
      </c>
      <c r="Z46" s="19">
        <f t="shared" si="50"/>
        <v>0</v>
      </c>
      <c r="AA46" s="19"/>
      <c r="AB46" s="19"/>
      <c r="AC46" s="84"/>
      <c r="AE46" s="17"/>
      <c r="AF46" s="17"/>
      <c r="AG46" s="17"/>
      <c r="AH46" s="18">
        <f t="shared" si="46"/>
        <v>0</v>
      </c>
      <c r="AI46" s="19">
        <f t="shared" si="51"/>
        <v>0</v>
      </c>
      <c r="AK46" s="17"/>
      <c r="AL46" s="17"/>
      <c r="AM46" s="17"/>
      <c r="AN46" s="18">
        <f t="shared" si="47"/>
        <v>0</v>
      </c>
      <c r="AO46" s="19">
        <f t="shared" si="52"/>
        <v>0</v>
      </c>
      <c r="AQ46" s="17"/>
      <c r="AR46" s="17"/>
      <c r="AS46" s="17"/>
      <c r="AT46" s="18">
        <f t="shared" si="48"/>
        <v>0</v>
      </c>
      <c r="AU46" s="19">
        <f t="shared" si="53"/>
        <v>0</v>
      </c>
      <c r="AW46" s="17"/>
      <c r="AX46" s="17"/>
      <c r="AY46" s="17"/>
      <c r="AZ46" s="18">
        <f t="shared" si="49"/>
        <v>0</v>
      </c>
      <c r="BA46" s="19">
        <f t="shared" si="54"/>
        <v>0</v>
      </c>
    </row>
    <row r="47" spans="1:53" ht="17.100000000000001" customHeight="1" x14ac:dyDescent="0.25">
      <c r="A47" s="68"/>
      <c r="B47" s="540"/>
      <c r="C47" s="23"/>
      <c r="D47" s="202" t="s">
        <v>31</v>
      </c>
      <c r="E47" s="85" t="s">
        <v>533</v>
      </c>
      <c r="F47" s="75"/>
      <c r="G47" s="75"/>
      <c r="H47" s="119"/>
      <c r="J47" s="583"/>
      <c r="K47" s="583"/>
      <c r="L47" s="584"/>
      <c r="M47" s="17">
        <f t="shared" si="42"/>
        <v>0</v>
      </c>
      <c r="N47" s="111"/>
      <c r="O47" s="111"/>
      <c r="P47" s="111"/>
      <c r="Q47" s="111"/>
      <c r="R47" s="111"/>
      <c r="S47" s="111"/>
      <c r="T47" s="111"/>
      <c r="U47" s="111"/>
      <c r="V47" s="358"/>
      <c r="W47" s="391">
        <f t="shared" si="43"/>
        <v>0</v>
      </c>
      <c r="X47" s="17">
        <f t="shared" si="44"/>
        <v>0</v>
      </c>
      <c r="Y47" s="18">
        <f t="shared" si="45"/>
        <v>0</v>
      </c>
      <c r="Z47" s="19">
        <f t="shared" si="50"/>
        <v>0</v>
      </c>
      <c r="AA47" s="19"/>
      <c r="AB47" s="19"/>
      <c r="AC47" s="84"/>
      <c r="AE47" s="17"/>
      <c r="AF47" s="17"/>
      <c r="AG47" s="17"/>
      <c r="AH47" s="18">
        <f t="shared" si="46"/>
        <v>0</v>
      </c>
      <c r="AI47" s="19">
        <f t="shared" si="51"/>
        <v>0</v>
      </c>
      <c r="AK47" s="17"/>
      <c r="AL47" s="17"/>
      <c r="AM47" s="17"/>
      <c r="AN47" s="18">
        <f t="shared" si="47"/>
        <v>0</v>
      </c>
      <c r="AO47" s="19">
        <f t="shared" si="52"/>
        <v>0</v>
      </c>
      <c r="AQ47" s="17"/>
      <c r="AR47" s="17"/>
      <c r="AS47" s="17"/>
      <c r="AT47" s="18">
        <f t="shared" si="48"/>
        <v>0</v>
      </c>
      <c r="AU47" s="19">
        <f t="shared" si="53"/>
        <v>0</v>
      </c>
      <c r="AW47" s="17"/>
      <c r="AX47" s="17"/>
      <c r="AY47" s="17"/>
      <c r="AZ47" s="18">
        <f t="shared" si="49"/>
        <v>0</v>
      </c>
      <c r="BA47" s="19">
        <f t="shared" si="54"/>
        <v>0</v>
      </c>
    </row>
    <row r="48" spans="1:53" ht="17.100000000000001" customHeight="1" x14ac:dyDescent="0.25">
      <c r="A48" s="68"/>
      <c r="B48" s="540"/>
      <c r="C48" s="93"/>
      <c r="D48" s="202" t="s">
        <v>374</v>
      </c>
      <c r="E48" s="85" t="s">
        <v>534</v>
      </c>
      <c r="F48" s="75"/>
      <c r="G48" s="75"/>
      <c r="H48" s="119"/>
      <c r="J48" s="581"/>
      <c r="K48" s="581"/>
      <c r="L48" s="582"/>
      <c r="M48" s="17">
        <f t="shared" si="42"/>
        <v>0</v>
      </c>
      <c r="N48" s="111"/>
      <c r="O48" s="111"/>
      <c r="P48" s="111"/>
      <c r="Q48" s="111"/>
      <c r="R48" s="111"/>
      <c r="S48" s="111"/>
      <c r="T48" s="111"/>
      <c r="U48" s="111"/>
      <c r="V48" s="358"/>
      <c r="W48" s="391">
        <f t="shared" si="43"/>
        <v>0</v>
      </c>
      <c r="X48" s="17">
        <f t="shared" si="44"/>
        <v>0</v>
      </c>
      <c r="Y48" s="18">
        <f t="shared" si="45"/>
        <v>0</v>
      </c>
      <c r="Z48" s="19">
        <f t="shared" si="50"/>
        <v>0</v>
      </c>
      <c r="AA48" s="19"/>
      <c r="AB48" s="19"/>
      <c r="AC48" s="84"/>
      <c r="AE48" s="17"/>
      <c r="AF48" s="17"/>
      <c r="AG48" s="17"/>
      <c r="AH48" s="18">
        <f t="shared" si="46"/>
        <v>0</v>
      </c>
      <c r="AI48" s="19">
        <f t="shared" si="51"/>
        <v>0</v>
      </c>
      <c r="AK48" s="17"/>
      <c r="AL48" s="17"/>
      <c r="AM48" s="17"/>
      <c r="AN48" s="18">
        <f t="shared" si="47"/>
        <v>0</v>
      </c>
      <c r="AO48" s="19">
        <f t="shared" si="52"/>
        <v>0</v>
      </c>
      <c r="AQ48" s="17"/>
      <c r="AR48" s="17"/>
      <c r="AS48" s="17"/>
      <c r="AT48" s="18">
        <f t="shared" si="48"/>
        <v>0</v>
      </c>
      <c r="AU48" s="19">
        <f t="shared" si="53"/>
        <v>0</v>
      </c>
      <c r="AW48" s="17"/>
      <c r="AX48" s="17"/>
      <c r="AY48" s="17"/>
      <c r="AZ48" s="18">
        <f t="shared" si="49"/>
        <v>0</v>
      </c>
      <c r="BA48" s="19">
        <f t="shared" si="54"/>
        <v>0</v>
      </c>
    </row>
    <row r="49" spans="1:53" ht="17.100000000000001" customHeight="1" x14ac:dyDescent="0.25">
      <c r="A49" s="68"/>
      <c r="B49" s="540"/>
      <c r="C49" s="93"/>
      <c r="D49" s="202" t="s">
        <v>375</v>
      </c>
      <c r="E49" s="85" t="s">
        <v>535</v>
      </c>
      <c r="F49" s="75"/>
      <c r="G49" s="75"/>
      <c r="H49" s="119"/>
      <c r="J49" s="583"/>
      <c r="K49" s="583"/>
      <c r="L49" s="584"/>
      <c r="M49" s="17">
        <f t="shared" si="42"/>
        <v>0</v>
      </c>
      <c r="N49" s="111"/>
      <c r="O49" s="111"/>
      <c r="P49" s="111"/>
      <c r="Q49" s="111"/>
      <c r="R49" s="111"/>
      <c r="S49" s="111"/>
      <c r="T49" s="111"/>
      <c r="U49" s="111"/>
      <c r="V49" s="358"/>
      <c r="W49" s="391">
        <f t="shared" si="43"/>
        <v>0</v>
      </c>
      <c r="X49" s="17">
        <f t="shared" si="44"/>
        <v>0</v>
      </c>
      <c r="Y49" s="18">
        <f t="shared" si="45"/>
        <v>0</v>
      </c>
      <c r="Z49" s="19">
        <f t="shared" si="50"/>
        <v>0</v>
      </c>
      <c r="AA49" s="19"/>
      <c r="AB49" s="19"/>
      <c r="AC49" s="84"/>
      <c r="AE49" s="17"/>
      <c r="AF49" s="17"/>
      <c r="AG49" s="17"/>
      <c r="AH49" s="18">
        <f t="shared" si="46"/>
        <v>0</v>
      </c>
      <c r="AI49" s="19">
        <f t="shared" si="51"/>
        <v>0</v>
      </c>
      <c r="AK49" s="17"/>
      <c r="AL49" s="17"/>
      <c r="AM49" s="17"/>
      <c r="AN49" s="18">
        <f t="shared" si="47"/>
        <v>0</v>
      </c>
      <c r="AO49" s="19">
        <f t="shared" si="52"/>
        <v>0</v>
      </c>
      <c r="AQ49" s="17"/>
      <c r="AR49" s="17"/>
      <c r="AS49" s="17"/>
      <c r="AT49" s="18">
        <f t="shared" si="48"/>
        <v>0</v>
      </c>
      <c r="AU49" s="19">
        <f t="shared" si="53"/>
        <v>0</v>
      </c>
      <c r="AW49" s="17"/>
      <c r="AX49" s="17"/>
      <c r="AY49" s="17"/>
      <c r="AZ49" s="18">
        <f t="shared" si="49"/>
        <v>0</v>
      </c>
      <c r="BA49" s="19">
        <f t="shared" si="54"/>
        <v>0</v>
      </c>
    </row>
    <row r="50" spans="1:53" ht="17.100000000000001" customHeight="1" x14ac:dyDescent="0.25">
      <c r="A50" s="68"/>
      <c r="B50" s="540"/>
      <c r="C50" s="93"/>
      <c r="D50" s="202" t="s">
        <v>376</v>
      </c>
      <c r="E50" s="85" t="s">
        <v>387</v>
      </c>
      <c r="F50" s="75"/>
      <c r="G50" s="75"/>
      <c r="H50" s="119"/>
      <c r="J50" s="581"/>
      <c r="K50" s="581"/>
      <c r="L50" s="582"/>
      <c r="M50" s="17">
        <f t="shared" si="42"/>
        <v>0</v>
      </c>
      <c r="N50" s="111"/>
      <c r="O50" s="111"/>
      <c r="P50" s="111"/>
      <c r="Q50" s="111"/>
      <c r="R50" s="111"/>
      <c r="S50" s="111"/>
      <c r="T50" s="111"/>
      <c r="U50" s="111"/>
      <c r="V50" s="358"/>
      <c r="W50" s="391">
        <f t="shared" si="43"/>
        <v>0</v>
      </c>
      <c r="X50" s="17">
        <f t="shared" si="44"/>
        <v>0</v>
      </c>
      <c r="Y50" s="18">
        <f t="shared" si="45"/>
        <v>0</v>
      </c>
      <c r="Z50" s="19">
        <f t="shared" si="50"/>
        <v>0</v>
      </c>
      <c r="AA50" s="19"/>
      <c r="AB50" s="19"/>
      <c r="AC50" s="84"/>
      <c r="AE50" s="17"/>
      <c r="AF50" s="17"/>
      <c r="AG50" s="17"/>
      <c r="AH50" s="18">
        <f t="shared" si="46"/>
        <v>0</v>
      </c>
      <c r="AI50" s="19">
        <f t="shared" si="51"/>
        <v>0</v>
      </c>
      <c r="AK50" s="17"/>
      <c r="AL50" s="17"/>
      <c r="AM50" s="17"/>
      <c r="AN50" s="18">
        <f t="shared" si="47"/>
        <v>0</v>
      </c>
      <c r="AO50" s="19">
        <f t="shared" si="52"/>
        <v>0</v>
      </c>
      <c r="AQ50" s="17"/>
      <c r="AR50" s="17"/>
      <c r="AS50" s="17"/>
      <c r="AT50" s="18">
        <f t="shared" si="48"/>
        <v>0</v>
      </c>
      <c r="AU50" s="19">
        <f t="shared" si="53"/>
        <v>0</v>
      </c>
      <c r="AW50" s="17"/>
      <c r="AX50" s="17"/>
      <c r="AY50" s="17"/>
      <c r="AZ50" s="18">
        <f t="shared" si="49"/>
        <v>0</v>
      </c>
      <c r="BA50" s="19">
        <f t="shared" si="54"/>
        <v>0</v>
      </c>
    </row>
    <row r="51" spans="1:53" ht="17.100000000000001" customHeight="1" x14ac:dyDescent="0.25">
      <c r="A51" s="68"/>
      <c r="B51" s="540"/>
      <c r="C51" s="93"/>
      <c r="D51" s="202" t="s">
        <v>377</v>
      </c>
      <c r="E51" s="85" t="s">
        <v>388</v>
      </c>
      <c r="F51" s="75"/>
      <c r="G51" s="75"/>
      <c r="H51" s="119"/>
      <c r="J51" s="583"/>
      <c r="K51" s="583"/>
      <c r="L51" s="584"/>
      <c r="M51" s="17">
        <f t="shared" si="42"/>
        <v>0</v>
      </c>
      <c r="N51" s="111"/>
      <c r="O51" s="111"/>
      <c r="P51" s="111"/>
      <c r="Q51" s="111"/>
      <c r="R51" s="111"/>
      <c r="S51" s="111"/>
      <c r="T51" s="111"/>
      <c r="U51" s="111"/>
      <c r="V51" s="358"/>
      <c r="W51" s="391">
        <f t="shared" si="43"/>
        <v>0</v>
      </c>
      <c r="X51" s="17">
        <f t="shared" si="44"/>
        <v>0</v>
      </c>
      <c r="Y51" s="18">
        <f t="shared" si="45"/>
        <v>0</v>
      </c>
      <c r="Z51" s="19">
        <f t="shared" si="50"/>
        <v>0</v>
      </c>
      <c r="AA51" s="19"/>
      <c r="AB51" s="19"/>
      <c r="AC51" s="84"/>
      <c r="AE51" s="17"/>
      <c r="AF51" s="17"/>
      <c r="AG51" s="17"/>
      <c r="AH51" s="18">
        <f t="shared" si="46"/>
        <v>0</v>
      </c>
      <c r="AI51" s="19">
        <f t="shared" si="51"/>
        <v>0</v>
      </c>
      <c r="AK51" s="17"/>
      <c r="AL51" s="17"/>
      <c r="AM51" s="17"/>
      <c r="AN51" s="18">
        <f t="shared" si="47"/>
        <v>0</v>
      </c>
      <c r="AO51" s="19">
        <f t="shared" si="52"/>
        <v>0</v>
      </c>
      <c r="AQ51" s="17"/>
      <c r="AR51" s="17"/>
      <c r="AS51" s="17"/>
      <c r="AT51" s="18">
        <f t="shared" si="48"/>
        <v>0</v>
      </c>
      <c r="AU51" s="19">
        <f t="shared" si="53"/>
        <v>0</v>
      </c>
      <c r="AW51" s="17"/>
      <c r="AX51" s="17"/>
      <c r="AY51" s="17"/>
      <c r="AZ51" s="18">
        <f t="shared" si="49"/>
        <v>0</v>
      </c>
      <c r="BA51" s="19">
        <f t="shared" si="54"/>
        <v>0</v>
      </c>
    </row>
    <row r="52" spans="1:53" ht="17.100000000000001" customHeight="1" x14ac:dyDescent="0.25">
      <c r="A52" s="68"/>
      <c r="B52" s="540"/>
      <c r="C52" s="93"/>
      <c r="D52" s="202" t="s">
        <v>378</v>
      </c>
      <c r="E52" s="85" t="s">
        <v>532</v>
      </c>
      <c r="F52" s="75"/>
      <c r="G52" s="75"/>
      <c r="H52" s="119"/>
      <c r="J52" s="581"/>
      <c r="K52" s="581"/>
      <c r="L52" s="582"/>
      <c r="M52" s="17">
        <f t="shared" si="42"/>
        <v>0</v>
      </c>
      <c r="N52" s="111"/>
      <c r="O52" s="111"/>
      <c r="P52" s="111"/>
      <c r="Q52" s="111"/>
      <c r="R52" s="111"/>
      <c r="S52" s="111"/>
      <c r="T52" s="111"/>
      <c r="U52" s="111"/>
      <c r="V52" s="358"/>
      <c r="W52" s="391">
        <f t="shared" si="43"/>
        <v>0</v>
      </c>
      <c r="X52" s="17">
        <f t="shared" si="44"/>
        <v>0</v>
      </c>
      <c r="Y52" s="18">
        <f t="shared" si="45"/>
        <v>0</v>
      </c>
      <c r="Z52" s="19">
        <f t="shared" si="50"/>
        <v>0</v>
      </c>
      <c r="AA52" s="19"/>
      <c r="AB52" s="19"/>
      <c r="AC52" s="84"/>
      <c r="AE52" s="17"/>
      <c r="AF52" s="17"/>
      <c r="AG52" s="17"/>
      <c r="AH52" s="18">
        <f t="shared" si="46"/>
        <v>0</v>
      </c>
      <c r="AI52" s="19">
        <f t="shared" si="51"/>
        <v>0</v>
      </c>
      <c r="AK52" s="17"/>
      <c r="AL52" s="17"/>
      <c r="AM52" s="17"/>
      <c r="AN52" s="18">
        <f t="shared" si="47"/>
        <v>0</v>
      </c>
      <c r="AO52" s="19">
        <f t="shared" si="52"/>
        <v>0</v>
      </c>
      <c r="AQ52" s="17"/>
      <c r="AR52" s="17"/>
      <c r="AS52" s="17"/>
      <c r="AT52" s="18">
        <f t="shared" si="48"/>
        <v>0</v>
      </c>
      <c r="AU52" s="19">
        <f t="shared" si="53"/>
        <v>0</v>
      </c>
      <c r="AW52" s="17"/>
      <c r="AX52" s="17"/>
      <c r="AY52" s="17"/>
      <c r="AZ52" s="18">
        <f t="shared" si="49"/>
        <v>0</v>
      </c>
      <c r="BA52" s="19">
        <f t="shared" si="54"/>
        <v>0</v>
      </c>
    </row>
    <row r="53" spans="1:53" ht="17.100000000000001" customHeight="1" x14ac:dyDescent="0.25">
      <c r="A53" s="68"/>
      <c r="B53" s="540"/>
      <c r="C53" s="93"/>
      <c r="D53" s="202" t="s">
        <v>379</v>
      </c>
      <c r="E53" s="85" t="s">
        <v>389</v>
      </c>
      <c r="F53" s="75"/>
      <c r="G53" s="105"/>
      <c r="H53" s="119"/>
      <c r="J53" s="583"/>
      <c r="K53" s="583"/>
      <c r="L53" s="584"/>
      <c r="M53" s="17">
        <f t="shared" si="42"/>
        <v>0</v>
      </c>
      <c r="N53" s="111"/>
      <c r="O53" s="111"/>
      <c r="P53" s="111"/>
      <c r="Q53" s="111"/>
      <c r="R53" s="111"/>
      <c r="S53" s="111"/>
      <c r="T53" s="111"/>
      <c r="U53" s="111"/>
      <c r="V53" s="358"/>
      <c r="W53" s="391">
        <f t="shared" si="43"/>
        <v>0</v>
      </c>
      <c r="X53" s="17">
        <f t="shared" si="44"/>
        <v>0</v>
      </c>
      <c r="Y53" s="18">
        <f t="shared" si="45"/>
        <v>0</v>
      </c>
      <c r="Z53" s="19">
        <f t="shared" si="50"/>
        <v>0</v>
      </c>
      <c r="AA53" s="19"/>
      <c r="AB53" s="19"/>
      <c r="AC53" s="84"/>
      <c r="AE53" s="17"/>
      <c r="AF53" s="17"/>
      <c r="AG53" s="17"/>
      <c r="AH53" s="18">
        <f t="shared" si="46"/>
        <v>0</v>
      </c>
      <c r="AI53" s="19">
        <f t="shared" si="51"/>
        <v>0</v>
      </c>
      <c r="AK53" s="17"/>
      <c r="AL53" s="17"/>
      <c r="AM53" s="17"/>
      <c r="AN53" s="18">
        <f t="shared" si="47"/>
        <v>0</v>
      </c>
      <c r="AO53" s="19">
        <f t="shared" si="52"/>
        <v>0</v>
      </c>
      <c r="AQ53" s="17"/>
      <c r="AR53" s="17"/>
      <c r="AS53" s="17"/>
      <c r="AT53" s="18">
        <f t="shared" si="48"/>
        <v>0</v>
      </c>
      <c r="AU53" s="19">
        <f t="shared" si="53"/>
        <v>0</v>
      </c>
      <c r="AW53" s="17"/>
      <c r="AX53" s="17"/>
      <c r="AY53" s="17"/>
      <c r="AZ53" s="18">
        <f t="shared" si="49"/>
        <v>0</v>
      </c>
      <c r="BA53" s="19">
        <f t="shared" si="54"/>
        <v>0</v>
      </c>
    </row>
    <row r="54" spans="1:53" ht="17.100000000000001" customHeight="1" x14ac:dyDescent="0.25">
      <c r="A54" s="68"/>
      <c r="B54" s="540"/>
      <c r="C54" s="93"/>
      <c r="D54" s="202" t="s">
        <v>380</v>
      </c>
      <c r="E54" s="85" t="s">
        <v>390</v>
      </c>
      <c r="F54" s="75"/>
      <c r="G54" s="105"/>
      <c r="H54" s="119"/>
      <c r="J54" s="581"/>
      <c r="K54" s="581"/>
      <c r="L54" s="582"/>
      <c r="M54" s="17">
        <f t="shared" si="42"/>
        <v>0</v>
      </c>
      <c r="N54" s="111"/>
      <c r="O54" s="111"/>
      <c r="P54" s="111"/>
      <c r="Q54" s="111"/>
      <c r="R54" s="111"/>
      <c r="S54" s="111"/>
      <c r="T54" s="111"/>
      <c r="U54" s="111"/>
      <c r="V54" s="358"/>
      <c r="W54" s="391">
        <f t="shared" si="43"/>
        <v>0</v>
      </c>
      <c r="X54" s="17">
        <f t="shared" si="44"/>
        <v>0</v>
      </c>
      <c r="Y54" s="18">
        <f t="shared" si="45"/>
        <v>0</v>
      </c>
      <c r="Z54" s="19">
        <f t="shared" si="50"/>
        <v>0</v>
      </c>
      <c r="AA54" s="19"/>
      <c r="AB54" s="19"/>
      <c r="AC54" s="84"/>
      <c r="AE54" s="17"/>
      <c r="AF54" s="17"/>
      <c r="AG54" s="17"/>
      <c r="AH54" s="18">
        <f t="shared" si="46"/>
        <v>0</v>
      </c>
      <c r="AI54" s="19">
        <f t="shared" si="51"/>
        <v>0</v>
      </c>
      <c r="AK54" s="17"/>
      <c r="AL54" s="17"/>
      <c r="AM54" s="17"/>
      <c r="AN54" s="18">
        <f t="shared" si="47"/>
        <v>0</v>
      </c>
      <c r="AO54" s="19">
        <f t="shared" si="52"/>
        <v>0</v>
      </c>
      <c r="AQ54" s="17"/>
      <c r="AR54" s="17"/>
      <c r="AS54" s="17"/>
      <c r="AT54" s="18">
        <f t="shared" si="48"/>
        <v>0</v>
      </c>
      <c r="AU54" s="19">
        <f t="shared" si="53"/>
        <v>0</v>
      </c>
      <c r="AW54" s="17"/>
      <c r="AX54" s="17"/>
      <c r="AY54" s="17"/>
      <c r="AZ54" s="18">
        <f t="shared" si="49"/>
        <v>0</v>
      </c>
      <c r="BA54" s="19">
        <f t="shared" si="54"/>
        <v>0</v>
      </c>
    </row>
    <row r="55" spans="1:53" ht="17.100000000000001" customHeight="1" x14ac:dyDescent="0.25">
      <c r="A55" s="68"/>
      <c r="B55" s="540"/>
      <c r="C55" s="93"/>
      <c r="D55" s="202" t="s">
        <v>381</v>
      </c>
      <c r="E55" s="85" t="s">
        <v>536</v>
      </c>
      <c r="F55" s="75"/>
      <c r="G55" s="105"/>
      <c r="H55" s="119"/>
      <c r="J55" s="583"/>
      <c r="K55" s="583"/>
      <c r="L55" s="584"/>
      <c r="M55" s="17">
        <f t="shared" si="42"/>
        <v>0</v>
      </c>
      <c r="N55" s="111"/>
      <c r="O55" s="111"/>
      <c r="P55" s="111"/>
      <c r="Q55" s="111"/>
      <c r="R55" s="111"/>
      <c r="S55" s="111"/>
      <c r="T55" s="111"/>
      <c r="U55" s="111"/>
      <c r="V55" s="358"/>
      <c r="W55" s="391">
        <f t="shared" si="43"/>
        <v>0</v>
      </c>
      <c r="X55" s="17">
        <f t="shared" si="44"/>
        <v>0</v>
      </c>
      <c r="Y55" s="18">
        <f t="shared" si="45"/>
        <v>0</v>
      </c>
      <c r="Z55" s="19">
        <f t="shared" si="50"/>
        <v>0</v>
      </c>
      <c r="AA55" s="19"/>
      <c r="AB55" s="19"/>
      <c r="AC55" s="84"/>
      <c r="AE55" s="17"/>
      <c r="AF55" s="17"/>
      <c r="AG55" s="17"/>
      <c r="AH55" s="18">
        <f t="shared" si="46"/>
        <v>0</v>
      </c>
      <c r="AI55" s="19">
        <f t="shared" si="51"/>
        <v>0</v>
      </c>
      <c r="AK55" s="17"/>
      <c r="AL55" s="17"/>
      <c r="AM55" s="17"/>
      <c r="AN55" s="18">
        <f t="shared" si="47"/>
        <v>0</v>
      </c>
      <c r="AO55" s="19">
        <f t="shared" si="52"/>
        <v>0</v>
      </c>
      <c r="AQ55" s="17"/>
      <c r="AR55" s="17"/>
      <c r="AS55" s="17"/>
      <c r="AT55" s="18">
        <f t="shared" si="48"/>
        <v>0</v>
      </c>
      <c r="AU55" s="19">
        <f t="shared" si="53"/>
        <v>0</v>
      </c>
      <c r="AW55" s="17"/>
      <c r="AX55" s="17"/>
      <c r="AY55" s="17"/>
      <c r="AZ55" s="18">
        <f t="shared" si="49"/>
        <v>0</v>
      </c>
      <c r="BA55" s="19">
        <f t="shared" si="54"/>
        <v>0</v>
      </c>
    </row>
    <row r="56" spans="1:53" ht="17.100000000000001" customHeight="1" x14ac:dyDescent="0.25">
      <c r="A56" s="68"/>
      <c r="B56" s="540"/>
      <c r="C56" s="93"/>
      <c r="D56" s="202" t="s">
        <v>382</v>
      </c>
      <c r="E56" s="85" t="s">
        <v>391</v>
      </c>
      <c r="F56" s="75"/>
      <c r="G56" s="105"/>
      <c r="H56" s="119"/>
      <c r="J56" s="581"/>
      <c r="K56" s="581"/>
      <c r="L56" s="582"/>
      <c r="M56" s="17">
        <f t="shared" si="42"/>
        <v>0</v>
      </c>
      <c r="N56" s="111"/>
      <c r="O56" s="111"/>
      <c r="P56" s="111"/>
      <c r="Q56" s="111"/>
      <c r="R56" s="111"/>
      <c r="S56" s="111"/>
      <c r="T56" s="111"/>
      <c r="U56" s="111"/>
      <c r="V56" s="358"/>
      <c r="W56" s="391">
        <f t="shared" si="43"/>
        <v>0</v>
      </c>
      <c r="X56" s="17">
        <f t="shared" si="44"/>
        <v>0</v>
      </c>
      <c r="Y56" s="18">
        <f t="shared" si="45"/>
        <v>0</v>
      </c>
      <c r="Z56" s="19">
        <f t="shared" si="50"/>
        <v>0</v>
      </c>
      <c r="AA56" s="19"/>
      <c r="AB56" s="19"/>
      <c r="AC56" s="84"/>
      <c r="AE56" s="17"/>
      <c r="AF56" s="17"/>
      <c r="AG56" s="17"/>
      <c r="AH56" s="18">
        <f t="shared" si="46"/>
        <v>0</v>
      </c>
      <c r="AI56" s="19">
        <f t="shared" si="51"/>
        <v>0</v>
      </c>
      <c r="AK56" s="17"/>
      <c r="AL56" s="17"/>
      <c r="AM56" s="17"/>
      <c r="AN56" s="18">
        <f t="shared" si="47"/>
        <v>0</v>
      </c>
      <c r="AO56" s="19">
        <f t="shared" si="52"/>
        <v>0</v>
      </c>
      <c r="AQ56" s="17"/>
      <c r="AR56" s="17"/>
      <c r="AS56" s="17"/>
      <c r="AT56" s="18">
        <f t="shared" si="48"/>
        <v>0</v>
      </c>
      <c r="AU56" s="19">
        <f t="shared" si="53"/>
        <v>0</v>
      </c>
      <c r="AW56" s="17"/>
      <c r="AX56" s="17"/>
      <c r="AY56" s="17"/>
      <c r="AZ56" s="18">
        <f t="shared" si="49"/>
        <v>0</v>
      </c>
      <c r="BA56" s="19">
        <f t="shared" si="54"/>
        <v>0</v>
      </c>
    </row>
    <row r="57" spans="1:53" ht="17.100000000000001" customHeight="1" x14ac:dyDescent="0.25">
      <c r="A57" s="68"/>
      <c r="B57" s="540"/>
      <c r="C57" s="93"/>
      <c r="D57" s="202" t="s">
        <v>383</v>
      </c>
      <c r="E57" s="85" t="s">
        <v>392</v>
      </c>
      <c r="F57" s="75"/>
      <c r="G57" s="105"/>
      <c r="H57" s="119"/>
      <c r="J57" s="583"/>
      <c r="K57" s="583"/>
      <c r="L57" s="584"/>
      <c r="M57" s="17">
        <f t="shared" si="42"/>
        <v>0</v>
      </c>
      <c r="N57" s="111"/>
      <c r="O57" s="111"/>
      <c r="P57" s="111"/>
      <c r="Q57" s="111"/>
      <c r="R57" s="111"/>
      <c r="S57" s="111"/>
      <c r="T57" s="111"/>
      <c r="U57" s="111"/>
      <c r="V57" s="358"/>
      <c r="W57" s="391">
        <f t="shared" si="43"/>
        <v>0</v>
      </c>
      <c r="X57" s="17">
        <f t="shared" si="44"/>
        <v>0</v>
      </c>
      <c r="Y57" s="18">
        <f t="shared" si="45"/>
        <v>0</v>
      </c>
      <c r="Z57" s="19">
        <f t="shared" si="50"/>
        <v>0</v>
      </c>
      <c r="AA57" s="19"/>
      <c r="AB57" s="19"/>
      <c r="AC57" s="84"/>
      <c r="AE57" s="17"/>
      <c r="AF57" s="17"/>
      <c r="AG57" s="17"/>
      <c r="AH57" s="18">
        <f t="shared" si="46"/>
        <v>0</v>
      </c>
      <c r="AI57" s="19">
        <f t="shared" si="51"/>
        <v>0</v>
      </c>
      <c r="AK57" s="17"/>
      <c r="AL57" s="17"/>
      <c r="AM57" s="17"/>
      <c r="AN57" s="18">
        <f t="shared" si="47"/>
        <v>0</v>
      </c>
      <c r="AO57" s="19">
        <f t="shared" si="52"/>
        <v>0</v>
      </c>
      <c r="AQ57" s="17"/>
      <c r="AR57" s="17"/>
      <c r="AS57" s="17"/>
      <c r="AT57" s="18">
        <f t="shared" si="48"/>
        <v>0</v>
      </c>
      <c r="AU57" s="19">
        <f t="shared" si="53"/>
        <v>0</v>
      </c>
      <c r="AW57" s="17"/>
      <c r="AX57" s="17"/>
      <c r="AY57" s="17"/>
      <c r="AZ57" s="18">
        <f t="shared" si="49"/>
        <v>0</v>
      </c>
      <c r="BA57" s="19">
        <f t="shared" si="54"/>
        <v>0</v>
      </c>
    </row>
    <row r="58" spans="1:53" ht="17.100000000000001" customHeight="1" x14ac:dyDescent="0.25">
      <c r="A58" s="40"/>
      <c r="B58" s="40"/>
      <c r="C58" s="77"/>
      <c r="D58" s="78"/>
      <c r="E58" s="78"/>
      <c r="F58" s="78"/>
      <c r="G58" s="78"/>
      <c r="H58" s="242"/>
      <c r="I58" s="230"/>
      <c r="J58" s="80">
        <f>SUM(J44:J57)</f>
        <v>0</v>
      </c>
      <c r="K58" s="80">
        <f t="shared" ref="K58:M58" si="55">SUM(K44:K57)</f>
        <v>0</v>
      </c>
      <c r="L58" s="80">
        <f t="shared" si="55"/>
        <v>0</v>
      </c>
      <c r="M58" s="80">
        <f t="shared" si="55"/>
        <v>0</v>
      </c>
      <c r="N58" s="80"/>
      <c r="O58" s="80"/>
      <c r="P58" s="80"/>
      <c r="Q58" s="81"/>
      <c r="R58" s="81"/>
      <c r="S58" s="81"/>
      <c r="T58" s="81"/>
      <c r="U58" s="81"/>
      <c r="V58" s="356"/>
      <c r="W58" s="381">
        <f>SUM(W44:W57)</f>
        <v>0</v>
      </c>
      <c r="X58" s="82">
        <f t="shared" ref="X58:Y58" si="56">SUM(X44:X57)</f>
        <v>0</v>
      </c>
      <c r="Y58" s="82">
        <f t="shared" si="56"/>
        <v>0</v>
      </c>
      <c r="Z58" s="205">
        <f t="shared" si="50"/>
        <v>0</v>
      </c>
      <c r="AA58" s="205"/>
      <c r="AB58" s="205"/>
      <c r="AC58" s="83"/>
      <c r="AE58" s="81"/>
      <c r="AF58" s="81"/>
      <c r="AG58" s="81"/>
      <c r="AH58" s="82">
        <f>SUM(AH44:AH57)</f>
        <v>0</v>
      </c>
      <c r="AI58" s="66">
        <f t="shared" si="51"/>
        <v>0</v>
      </c>
      <c r="AK58" s="81"/>
      <c r="AL58" s="81"/>
      <c r="AM58" s="81"/>
      <c r="AN58" s="82">
        <f>SUM(AN44:AN57)</f>
        <v>0</v>
      </c>
      <c r="AO58" s="66">
        <f t="shared" si="52"/>
        <v>0</v>
      </c>
      <c r="AQ58" s="81"/>
      <c r="AR58" s="81"/>
      <c r="AS58" s="81"/>
      <c r="AT58" s="82">
        <f>SUM(AT44:AT57)</f>
        <v>0</v>
      </c>
      <c r="AU58" s="66">
        <f t="shared" si="53"/>
        <v>0</v>
      </c>
      <c r="AW58" s="81"/>
      <c r="AX58" s="81"/>
      <c r="AY58" s="81"/>
      <c r="AZ58" s="82">
        <f>SUM(AZ44:AZ57)</f>
        <v>0</v>
      </c>
      <c r="BA58" s="66">
        <f t="shared" si="54"/>
        <v>0</v>
      </c>
    </row>
    <row r="59" spans="1:53" s="117" customFormat="1" ht="17.100000000000001" customHeight="1" x14ac:dyDescent="0.25">
      <c r="A59" s="119"/>
      <c r="B59" s="119"/>
      <c r="C59" s="540"/>
      <c r="D59" s="212"/>
      <c r="E59" s="212"/>
      <c r="F59" s="212"/>
      <c r="G59" s="212"/>
      <c r="H59" s="242"/>
      <c r="I59" s="230"/>
      <c r="J59" s="17" t="str">
        <f>IF(J58=J$15,"OK","NOK")</f>
        <v>OK</v>
      </c>
      <c r="K59" s="17" t="str">
        <f t="shared" ref="K59:L59" si="57">IF(K58=K$15,"OK","NOK")</f>
        <v>OK</v>
      </c>
      <c r="L59" s="17" t="str">
        <f t="shared" si="57"/>
        <v>OK</v>
      </c>
      <c r="M59" s="17"/>
      <c r="N59" s="17"/>
      <c r="O59" s="17"/>
      <c r="P59" s="17"/>
      <c r="Q59" s="17"/>
      <c r="R59" s="17"/>
      <c r="S59" s="17"/>
      <c r="T59" s="17"/>
      <c r="U59" s="17"/>
      <c r="V59" s="359"/>
      <c r="W59" s="382"/>
      <c r="X59" s="539"/>
      <c r="Y59" s="539"/>
      <c r="Z59" s="201"/>
      <c r="AA59" s="201"/>
      <c r="AB59" s="201"/>
      <c r="AC59" s="84"/>
      <c r="AE59" s="17"/>
      <c r="AF59" s="17"/>
      <c r="AG59" s="17"/>
      <c r="AH59" s="539"/>
      <c r="AI59" s="91"/>
      <c r="AK59" s="17"/>
      <c r="AL59" s="17"/>
      <c r="AM59" s="17"/>
      <c r="AN59" s="539"/>
      <c r="AO59" s="91"/>
      <c r="AQ59" s="17"/>
      <c r="AR59" s="17"/>
      <c r="AS59" s="17"/>
      <c r="AT59" s="539"/>
      <c r="AU59" s="91"/>
      <c r="AW59" s="17"/>
      <c r="AX59" s="17"/>
      <c r="AY59" s="17"/>
      <c r="AZ59" s="539"/>
      <c r="BA59" s="91"/>
    </row>
    <row r="60" spans="1:53" ht="17.100000000000001" customHeight="1" x14ac:dyDescent="0.25">
      <c r="A60" s="102"/>
      <c r="B60" s="102"/>
      <c r="C60" s="103" t="s">
        <v>33</v>
      </c>
      <c r="D60" s="110" t="s">
        <v>736</v>
      </c>
      <c r="E60" s="108"/>
      <c r="F60" s="108"/>
      <c r="G60" s="108"/>
      <c r="H60" s="258"/>
      <c r="I60" s="232"/>
      <c r="J60" s="111"/>
      <c r="K60" s="111"/>
      <c r="L60" s="111"/>
      <c r="M60" s="111"/>
      <c r="N60" s="111"/>
      <c r="O60" s="111"/>
      <c r="P60" s="111"/>
      <c r="Q60" s="111"/>
      <c r="R60" s="111"/>
      <c r="S60" s="111"/>
      <c r="T60" s="111"/>
      <c r="U60" s="111"/>
      <c r="V60" s="358"/>
      <c r="W60" s="380"/>
      <c r="X60" s="111"/>
      <c r="Y60" s="112"/>
      <c r="Z60" s="113"/>
      <c r="AA60" s="113"/>
      <c r="AB60" s="113"/>
      <c r="AC60" s="113"/>
      <c r="AE60" s="114"/>
      <c r="AF60" s="114"/>
      <c r="AG60" s="114"/>
      <c r="AH60" s="112"/>
      <c r="AI60" s="113"/>
      <c r="AK60" s="114"/>
      <c r="AL60" s="114"/>
      <c r="AM60" s="114"/>
      <c r="AN60" s="112"/>
      <c r="AO60" s="113"/>
      <c r="AQ60" s="114"/>
      <c r="AR60" s="114"/>
      <c r="AS60" s="114"/>
      <c r="AT60" s="112"/>
      <c r="AU60" s="113"/>
      <c r="AW60" s="114"/>
      <c r="AX60" s="114"/>
      <c r="AY60" s="114"/>
      <c r="AZ60" s="112"/>
      <c r="BA60" s="113"/>
    </row>
    <row r="61" spans="1:53" s="117" customFormat="1" ht="17.100000000000001" customHeight="1" x14ac:dyDescent="0.25">
      <c r="A61" s="540"/>
      <c r="B61" s="23"/>
      <c r="C61" s="23"/>
      <c r="D61" s="74" t="s">
        <v>34</v>
      </c>
      <c r="E61" s="75" t="s">
        <v>26</v>
      </c>
      <c r="F61" s="75"/>
      <c r="G61" s="75"/>
      <c r="H61" s="540"/>
      <c r="I61" s="229"/>
      <c r="J61" s="152"/>
      <c r="K61" s="152"/>
      <c r="L61" s="111"/>
      <c r="M61" s="111"/>
      <c r="N61" s="60"/>
      <c r="O61" s="60">
        <v>8</v>
      </c>
      <c r="P61" s="17">
        <f>SUM(N61:O61)</f>
        <v>8</v>
      </c>
      <c r="Q61" s="60"/>
      <c r="R61" s="60">
        <v>1</v>
      </c>
      <c r="S61" s="17">
        <f>SUM(Q61:R61)</f>
        <v>1</v>
      </c>
      <c r="T61" s="60"/>
      <c r="U61" s="60"/>
      <c r="V61" s="359">
        <f>SUM(T61:U61)</f>
        <v>0</v>
      </c>
      <c r="W61" s="391">
        <f t="shared" ref="W61:W64" si="58">J61+K61+N61+Q61+T61</f>
        <v>0</v>
      </c>
      <c r="X61" s="17">
        <f t="shared" ref="X61:X64" si="59">L61+O61+R61+U61</f>
        <v>9</v>
      </c>
      <c r="Y61" s="18">
        <f>SUM(W61:X61)</f>
        <v>9</v>
      </c>
      <c r="Z61" s="19">
        <f>IF(Y$65=0,0,Y61/Y$65)</f>
        <v>0.6</v>
      </c>
      <c r="AA61" s="19"/>
      <c r="AB61" s="19"/>
      <c r="AC61" s="84"/>
      <c r="AE61" s="111"/>
      <c r="AF61" s="111"/>
      <c r="AG61" s="111"/>
      <c r="AH61" s="112"/>
      <c r="AI61" s="113"/>
      <c r="AK61" s="111"/>
      <c r="AL61" s="111"/>
      <c r="AM61" s="111"/>
      <c r="AN61" s="112"/>
      <c r="AO61" s="113"/>
      <c r="AQ61" s="17"/>
      <c r="AR61" s="17"/>
      <c r="AS61" s="17"/>
      <c r="AT61" s="18">
        <f>W61</f>
        <v>0</v>
      </c>
      <c r="AU61" s="19">
        <f>IF(AT$65=0,0,AT61/AT$65)</f>
        <v>0</v>
      </c>
      <c r="AW61" s="17"/>
      <c r="AX61" s="17"/>
      <c r="AY61" s="17"/>
      <c r="AZ61" s="18">
        <f>X61</f>
        <v>9</v>
      </c>
      <c r="BA61" s="19">
        <f>IF(AZ$65=0,0,AZ61/AZ$65)</f>
        <v>0.75</v>
      </c>
    </row>
    <row r="62" spans="1:53" s="117" customFormat="1" ht="17.100000000000001" customHeight="1" x14ac:dyDescent="0.25">
      <c r="A62" s="540"/>
      <c r="B62" s="23"/>
      <c r="C62" s="23"/>
      <c r="D62" s="74" t="s">
        <v>36</v>
      </c>
      <c r="E62" s="75" t="s">
        <v>28</v>
      </c>
      <c r="F62" s="75"/>
      <c r="G62" s="75"/>
      <c r="H62" s="540"/>
      <c r="I62" s="229"/>
      <c r="J62" s="152"/>
      <c r="K62" s="152"/>
      <c r="L62" s="111"/>
      <c r="M62" s="111"/>
      <c r="N62" s="61"/>
      <c r="O62" s="61"/>
      <c r="P62" s="17">
        <f>SUM(N62:O62)</f>
        <v>0</v>
      </c>
      <c r="Q62" s="61">
        <v>3</v>
      </c>
      <c r="R62" s="61">
        <v>3</v>
      </c>
      <c r="S62" s="17">
        <f>SUM(Q62:R62)</f>
        <v>6</v>
      </c>
      <c r="T62" s="61"/>
      <c r="U62" s="61"/>
      <c r="V62" s="359">
        <f>SUM(T62:U62)</f>
        <v>0</v>
      </c>
      <c r="W62" s="391">
        <f t="shared" si="58"/>
        <v>3</v>
      </c>
      <c r="X62" s="17">
        <f t="shared" si="59"/>
        <v>3</v>
      </c>
      <c r="Y62" s="18">
        <f>SUM(W62:X62)</f>
        <v>6</v>
      </c>
      <c r="Z62" s="19">
        <f t="shared" ref="Z62:Z65" si="60">IF(Y$65=0,0,Y62/Y$65)</f>
        <v>0.4</v>
      </c>
      <c r="AA62" s="19"/>
      <c r="AB62" s="19"/>
      <c r="AC62" s="84"/>
      <c r="AE62" s="111"/>
      <c r="AF62" s="111"/>
      <c r="AG62" s="111"/>
      <c r="AH62" s="112"/>
      <c r="AI62" s="113"/>
      <c r="AK62" s="111"/>
      <c r="AL62" s="111"/>
      <c r="AM62" s="111"/>
      <c r="AN62" s="112"/>
      <c r="AO62" s="113"/>
      <c r="AQ62" s="17"/>
      <c r="AR62" s="17"/>
      <c r="AS62" s="17"/>
      <c r="AT62" s="18">
        <f t="shared" ref="AT62:AT64" si="61">W62</f>
        <v>3</v>
      </c>
      <c r="AU62" s="19">
        <f t="shared" ref="AU62:AU65" si="62">IF(AT$65=0,0,AT62/AT$65)</f>
        <v>1</v>
      </c>
      <c r="AW62" s="17"/>
      <c r="AX62" s="17"/>
      <c r="AY62" s="17"/>
      <c r="AZ62" s="18">
        <f t="shared" ref="AZ62:AZ64" si="63">X62</f>
        <v>3</v>
      </c>
      <c r="BA62" s="19">
        <f t="shared" ref="BA62:BA65" si="64">IF(AZ$65=0,0,AZ62/AZ$65)</f>
        <v>0.25</v>
      </c>
    </row>
    <row r="63" spans="1:53" s="117" customFormat="1" ht="17.100000000000001" customHeight="1" x14ac:dyDescent="0.25">
      <c r="A63" s="540"/>
      <c r="B63" s="23"/>
      <c r="C63" s="23"/>
      <c r="D63" s="74" t="s">
        <v>38</v>
      </c>
      <c r="E63" s="75" t="s">
        <v>30</v>
      </c>
      <c r="F63" s="75"/>
      <c r="G63" s="75"/>
      <c r="H63" s="540"/>
      <c r="I63" s="229"/>
      <c r="J63" s="152"/>
      <c r="K63" s="152"/>
      <c r="L63" s="111"/>
      <c r="M63" s="111"/>
      <c r="N63" s="60"/>
      <c r="O63" s="60"/>
      <c r="P63" s="17">
        <f>SUM(N63:O63)</f>
        <v>0</v>
      </c>
      <c r="Q63" s="60"/>
      <c r="R63" s="60"/>
      <c r="S63" s="17">
        <f>SUM(Q63:R63)</f>
        <v>0</v>
      </c>
      <c r="T63" s="60"/>
      <c r="U63" s="60"/>
      <c r="V63" s="359">
        <f>SUM(T63:U63)</f>
        <v>0</v>
      </c>
      <c r="W63" s="391">
        <f t="shared" si="58"/>
        <v>0</v>
      </c>
      <c r="X63" s="17">
        <f t="shared" si="59"/>
        <v>0</v>
      </c>
      <c r="Y63" s="18">
        <f>SUM(W63:X63)</f>
        <v>0</v>
      </c>
      <c r="Z63" s="19">
        <f t="shared" si="60"/>
        <v>0</v>
      </c>
      <c r="AA63" s="19"/>
      <c r="AB63" s="19"/>
      <c r="AC63" s="84"/>
      <c r="AE63" s="111"/>
      <c r="AF63" s="111"/>
      <c r="AG63" s="111"/>
      <c r="AH63" s="112"/>
      <c r="AI63" s="113"/>
      <c r="AK63" s="111"/>
      <c r="AL63" s="111"/>
      <c r="AM63" s="111"/>
      <c r="AN63" s="112"/>
      <c r="AO63" s="113"/>
      <c r="AQ63" s="17"/>
      <c r="AR63" s="17"/>
      <c r="AS63" s="17"/>
      <c r="AT63" s="18">
        <f t="shared" si="61"/>
        <v>0</v>
      </c>
      <c r="AU63" s="19">
        <f t="shared" si="62"/>
        <v>0</v>
      </c>
      <c r="AW63" s="17"/>
      <c r="AX63" s="17"/>
      <c r="AY63" s="17"/>
      <c r="AZ63" s="18">
        <f t="shared" si="63"/>
        <v>0</v>
      </c>
      <c r="BA63" s="19">
        <f t="shared" si="64"/>
        <v>0</v>
      </c>
    </row>
    <row r="64" spans="1:53" s="117" customFormat="1" ht="17.100000000000001" customHeight="1" x14ac:dyDescent="0.25">
      <c r="A64" s="540"/>
      <c r="B64" s="23"/>
      <c r="C64" s="23"/>
      <c r="D64" s="74" t="s">
        <v>40</v>
      </c>
      <c r="E64" s="75" t="s">
        <v>32</v>
      </c>
      <c r="F64" s="75"/>
      <c r="G64" s="75"/>
      <c r="H64" s="540"/>
      <c r="I64" s="229"/>
      <c r="J64" s="152"/>
      <c r="K64" s="152"/>
      <c r="L64" s="111"/>
      <c r="M64" s="111"/>
      <c r="N64" s="61"/>
      <c r="O64" s="61"/>
      <c r="P64" s="17">
        <f>SUM(N64:O64)</f>
        <v>0</v>
      </c>
      <c r="Q64" s="61"/>
      <c r="R64" s="61"/>
      <c r="S64" s="17">
        <f>SUM(Q64:R64)</f>
        <v>0</v>
      </c>
      <c r="T64" s="61"/>
      <c r="U64" s="61"/>
      <c r="V64" s="359">
        <f>SUM(T64:U64)</f>
        <v>0</v>
      </c>
      <c r="W64" s="391">
        <f t="shared" si="58"/>
        <v>0</v>
      </c>
      <c r="X64" s="17">
        <f t="shared" si="59"/>
        <v>0</v>
      </c>
      <c r="Y64" s="18">
        <f>SUM(W64:X64)</f>
        <v>0</v>
      </c>
      <c r="Z64" s="19">
        <f t="shared" si="60"/>
        <v>0</v>
      </c>
      <c r="AA64" s="19"/>
      <c r="AB64" s="19"/>
      <c r="AC64" s="84"/>
      <c r="AE64" s="111"/>
      <c r="AF64" s="111"/>
      <c r="AG64" s="111"/>
      <c r="AH64" s="112"/>
      <c r="AI64" s="113"/>
      <c r="AK64" s="111"/>
      <c r="AL64" s="111"/>
      <c r="AM64" s="111"/>
      <c r="AN64" s="112"/>
      <c r="AO64" s="113"/>
      <c r="AQ64" s="17"/>
      <c r="AR64" s="17"/>
      <c r="AS64" s="17"/>
      <c r="AT64" s="18">
        <f t="shared" si="61"/>
        <v>0</v>
      </c>
      <c r="AU64" s="19">
        <f t="shared" si="62"/>
        <v>0</v>
      </c>
      <c r="AW64" s="17"/>
      <c r="AX64" s="17"/>
      <c r="AY64" s="17"/>
      <c r="AZ64" s="18">
        <f t="shared" si="63"/>
        <v>0</v>
      </c>
      <c r="BA64" s="19">
        <f t="shared" si="64"/>
        <v>0</v>
      </c>
    </row>
    <row r="65" spans="1:53" ht="17.100000000000001" customHeight="1" x14ac:dyDescent="0.25">
      <c r="A65" s="40"/>
      <c r="B65" s="40"/>
      <c r="C65" s="77"/>
      <c r="D65" s="78"/>
      <c r="E65" s="78"/>
      <c r="F65" s="78"/>
      <c r="G65" s="78"/>
      <c r="H65" s="242"/>
      <c r="I65" s="230"/>
      <c r="J65" s="80"/>
      <c r="K65" s="80"/>
      <c r="L65" s="81"/>
      <c r="M65" s="81"/>
      <c r="N65" s="81">
        <f t="shared" ref="N65:Y65" si="65">SUM(N61:N64)</f>
        <v>0</v>
      </c>
      <c r="O65" s="81">
        <f t="shared" si="65"/>
        <v>8</v>
      </c>
      <c r="P65" s="81">
        <f t="shared" si="65"/>
        <v>8</v>
      </c>
      <c r="Q65" s="81">
        <f t="shared" si="65"/>
        <v>3</v>
      </c>
      <c r="R65" s="81">
        <f t="shared" si="65"/>
        <v>4</v>
      </c>
      <c r="S65" s="81">
        <f t="shared" si="65"/>
        <v>7</v>
      </c>
      <c r="T65" s="81">
        <f t="shared" si="65"/>
        <v>0</v>
      </c>
      <c r="U65" s="81">
        <f t="shared" si="65"/>
        <v>0</v>
      </c>
      <c r="V65" s="81">
        <f t="shared" si="65"/>
        <v>0</v>
      </c>
      <c r="W65" s="381">
        <f t="shared" si="65"/>
        <v>3</v>
      </c>
      <c r="X65" s="82">
        <f t="shared" si="65"/>
        <v>12</v>
      </c>
      <c r="Y65" s="82">
        <f t="shared" si="65"/>
        <v>15</v>
      </c>
      <c r="Z65" s="205">
        <f t="shared" si="60"/>
        <v>1</v>
      </c>
      <c r="AA65" s="205"/>
      <c r="AB65" s="205"/>
      <c r="AC65" s="83"/>
      <c r="AE65" s="81"/>
      <c r="AF65" s="81"/>
      <c r="AG65" s="81"/>
      <c r="AH65" s="82"/>
      <c r="AI65" s="66"/>
      <c r="AK65" s="81"/>
      <c r="AL65" s="81"/>
      <c r="AM65" s="81"/>
      <c r="AN65" s="82"/>
      <c r="AO65" s="66"/>
      <c r="AQ65" s="81"/>
      <c r="AR65" s="81"/>
      <c r="AS65" s="81"/>
      <c r="AT65" s="82">
        <f>SUM(AT61:AT64)</f>
        <v>3</v>
      </c>
      <c r="AU65" s="66">
        <f t="shared" si="62"/>
        <v>1</v>
      </c>
      <c r="AW65" s="81"/>
      <c r="AX65" s="81"/>
      <c r="AY65" s="81"/>
      <c r="AZ65" s="82">
        <f>SUM(AZ61:AZ64)</f>
        <v>12</v>
      </c>
      <c r="BA65" s="66">
        <f t="shared" si="64"/>
        <v>1</v>
      </c>
    </row>
    <row r="66" spans="1:53" s="117" customFormat="1" ht="17.100000000000001" customHeight="1" x14ac:dyDescent="0.25">
      <c r="A66" s="119"/>
      <c r="B66" s="119"/>
      <c r="C66" s="540"/>
      <c r="D66" s="212"/>
      <c r="E66" s="212"/>
      <c r="F66" s="212"/>
      <c r="G66" s="212"/>
      <c r="H66" s="242"/>
      <c r="I66" s="230"/>
      <c r="J66" s="17"/>
      <c r="K66" s="17"/>
      <c r="L66" s="17"/>
      <c r="M66" s="17"/>
      <c r="N66" s="17" t="str">
        <f>IF(N65=N$20,"OK","NOK")</f>
        <v>OK</v>
      </c>
      <c r="O66" s="17" t="str">
        <f>IF(O65=O$20,"OK","NOK")</f>
        <v>OK</v>
      </c>
      <c r="P66" s="17"/>
      <c r="Q66" s="17" t="str">
        <f>IF(Q65=Q$20,"OK","NOK")</f>
        <v>OK</v>
      </c>
      <c r="R66" s="17" t="str">
        <f>IF(R65=R$20,"OK","NOK")</f>
        <v>OK</v>
      </c>
      <c r="S66" s="17"/>
      <c r="T66" s="17" t="str">
        <f>IF(T65=T$20,"OK","NOK")</f>
        <v>OK</v>
      </c>
      <c r="U66" s="17" t="str">
        <f>IF(U65=U$20,"OK","NOK")</f>
        <v>OK</v>
      </c>
      <c r="V66" s="359"/>
      <c r="W66" s="382"/>
      <c r="X66" s="539"/>
      <c r="Y66" s="539"/>
      <c r="Z66" s="201"/>
      <c r="AA66" s="201"/>
      <c r="AB66" s="201"/>
      <c r="AC66" s="84"/>
      <c r="AE66" s="17"/>
      <c r="AF66" s="17"/>
      <c r="AG66" s="17"/>
      <c r="AH66" s="539"/>
      <c r="AI66" s="91"/>
      <c r="AK66" s="17"/>
      <c r="AL66" s="17"/>
      <c r="AM66" s="17"/>
      <c r="AN66" s="539"/>
      <c r="AO66" s="91"/>
      <c r="AQ66" s="17"/>
      <c r="AR66" s="17"/>
      <c r="AS66" s="17"/>
      <c r="AT66" s="539"/>
      <c r="AU66" s="91"/>
      <c r="AW66" s="17"/>
      <c r="AX66" s="17"/>
      <c r="AY66" s="17"/>
      <c r="AZ66" s="539"/>
      <c r="BA66" s="91"/>
    </row>
    <row r="67" spans="1:53" ht="17.100000000000001" customHeight="1" x14ac:dyDescent="0.25">
      <c r="A67" s="102"/>
      <c r="B67" s="23"/>
      <c r="C67" s="103" t="s">
        <v>393</v>
      </c>
      <c r="D67" s="110" t="s">
        <v>737</v>
      </c>
      <c r="E67" s="313"/>
      <c r="F67" s="313"/>
      <c r="G67" s="313"/>
      <c r="H67" s="313"/>
      <c r="I67" s="313"/>
      <c r="J67" s="314"/>
      <c r="K67" s="111"/>
      <c r="L67" s="111"/>
      <c r="M67" s="111"/>
      <c r="N67" s="111"/>
      <c r="O67" s="111"/>
      <c r="P67" s="111"/>
      <c r="Q67" s="111"/>
      <c r="R67" s="111"/>
      <c r="S67" s="111"/>
      <c r="T67" s="111"/>
      <c r="U67" s="111"/>
      <c r="V67" s="358"/>
      <c r="W67" s="380"/>
      <c r="X67" s="111"/>
      <c r="Y67" s="112"/>
      <c r="Z67" s="113"/>
      <c r="AA67" s="113"/>
      <c r="AB67" s="113"/>
      <c r="AC67" s="113"/>
      <c r="AE67" s="114"/>
      <c r="AF67" s="114"/>
      <c r="AG67" s="114"/>
      <c r="AH67" s="112"/>
      <c r="AI67" s="113"/>
      <c r="AK67" s="114"/>
      <c r="AL67" s="114"/>
      <c r="AM67" s="114"/>
      <c r="AN67" s="112"/>
      <c r="AO67" s="113"/>
      <c r="AQ67" s="114"/>
      <c r="AR67" s="114"/>
      <c r="AS67" s="114"/>
      <c r="AT67" s="112"/>
      <c r="AU67" s="113"/>
      <c r="AW67" s="114"/>
      <c r="AX67" s="114"/>
      <c r="AY67" s="114"/>
      <c r="AZ67" s="112"/>
      <c r="BA67" s="113"/>
    </row>
    <row r="68" spans="1:53" ht="17.100000000000001" customHeight="1" x14ac:dyDescent="0.25">
      <c r="A68" s="102"/>
      <c r="B68" s="118"/>
      <c r="C68" s="118"/>
      <c r="D68" s="103" t="s">
        <v>394</v>
      </c>
      <c r="E68" s="108" t="s">
        <v>35</v>
      </c>
      <c r="F68" s="108"/>
      <c r="G68" s="108"/>
      <c r="H68" s="258"/>
      <c r="I68" s="232"/>
      <c r="J68" s="152"/>
      <c r="K68" s="152"/>
      <c r="L68" s="111"/>
      <c r="M68" s="111"/>
      <c r="N68" s="60"/>
      <c r="O68" s="60">
        <v>8</v>
      </c>
      <c r="P68" s="17">
        <f>SUM(N68:O68)</f>
        <v>8</v>
      </c>
      <c r="Q68" s="60"/>
      <c r="R68" s="60"/>
      <c r="S68" s="17">
        <f>SUM(Q68:R68)</f>
        <v>0</v>
      </c>
      <c r="T68" s="60"/>
      <c r="U68" s="60"/>
      <c r="V68" s="359">
        <f>SUM(T68:U68)</f>
        <v>0</v>
      </c>
      <c r="W68" s="391">
        <f t="shared" ref="W68:W72" si="66">J68+K68+N68+Q68+T68</f>
        <v>0</v>
      </c>
      <c r="X68" s="17">
        <f t="shared" ref="X68:X72" si="67">L68+O68+R68+U68</f>
        <v>8</v>
      </c>
      <c r="Y68" s="18">
        <f>SUM(W68:X68)</f>
        <v>8</v>
      </c>
      <c r="Z68" s="19">
        <f>IF(Y$73=0,0,Y68/Y$73)</f>
        <v>0.53333333333333333</v>
      </c>
      <c r="AA68" s="19"/>
      <c r="AB68" s="19"/>
      <c r="AC68" s="20"/>
      <c r="AE68" s="111"/>
      <c r="AF68" s="111"/>
      <c r="AG68" s="111"/>
      <c r="AH68" s="112"/>
      <c r="AI68" s="113"/>
      <c r="AK68" s="111"/>
      <c r="AL68" s="111"/>
      <c r="AM68" s="111"/>
      <c r="AN68" s="112"/>
      <c r="AO68" s="113"/>
      <c r="AQ68" s="17"/>
      <c r="AR68" s="17"/>
      <c r="AS68" s="17"/>
      <c r="AT68" s="18">
        <f t="shared" ref="AT68:AT72" si="68">W68</f>
        <v>0</v>
      </c>
      <c r="AU68" s="19">
        <f>IF(AT$73=0,0,AT68/AT$73)</f>
        <v>0</v>
      </c>
      <c r="AW68" s="17"/>
      <c r="AX68" s="17"/>
      <c r="AY68" s="17"/>
      <c r="AZ68" s="18">
        <f t="shared" ref="AZ68:AZ72" si="69">X68</f>
        <v>8</v>
      </c>
      <c r="BA68" s="19">
        <f>IF(AZ$73=0,0,AZ68/AZ$73)</f>
        <v>0.66666666666666663</v>
      </c>
    </row>
    <row r="69" spans="1:53" ht="17.100000000000001" customHeight="1" x14ac:dyDescent="0.25">
      <c r="A69" s="102"/>
      <c r="B69" s="118"/>
      <c r="C69" s="118"/>
      <c r="D69" s="103" t="s">
        <v>395</v>
      </c>
      <c r="E69" s="108" t="s">
        <v>37</v>
      </c>
      <c r="F69" s="108"/>
      <c r="G69" s="108"/>
      <c r="H69" s="258"/>
      <c r="I69" s="232"/>
      <c r="J69" s="152"/>
      <c r="K69" s="152"/>
      <c r="L69" s="111"/>
      <c r="M69" s="111"/>
      <c r="N69" s="61"/>
      <c r="O69" s="61"/>
      <c r="P69" s="17">
        <f>SUM(N69:O69)</f>
        <v>0</v>
      </c>
      <c r="Q69" s="61"/>
      <c r="R69" s="61"/>
      <c r="S69" s="17">
        <f>SUM(Q69:R69)</f>
        <v>0</v>
      </c>
      <c r="T69" s="61"/>
      <c r="U69" s="61"/>
      <c r="V69" s="359">
        <f>SUM(T69:U69)</f>
        <v>0</v>
      </c>
      <c r="W69" s="391">
        <f t="shared" si="66"/>
        <v>0</v>
      </c>
      <c r="X69" s="17">
        <f t="shared" si="67"/>
        <v>0</v>
      </c>
      <c r="Y69" s="18">
        <f>SUM(W69:X69)</f>
        <v>0</v>
      </c>
      <c r="Z69" s="19">
        <f t="shared" ref="Z69:Z73" si="70">IF(Y$73=0,0,Y69/Y$73)</f>
        <v>0</v>
      </c>
      <c r="AA69" s="19"/>
      <c r="AB69" s="19"/>
      <c r="AC69" s="20"/>
      <c r="AE69" s="111"/>
      <c r="AF69" s="111"/>
      <c r="AG69" s="111"/>
      <c r="AH69" s="112"/>
      <c r="AI69" s="113"/>
      <c r="AK69" s="111"/>
      <c r="AL69" s="111"/>
      <c r="AM69" s="111"/>
      <c r="AN69" s="112"/>
      <c r="AO69" s="113"/>
      <c r="AQ69" s="17"/>
      <c r="AR69" s="17"/>
      <c r="AS69" s="17"/>
      <c r="AT69" s="18">
        <f t="shared" si="68"/>
        <v>0</v>
      </c>
      <c r="AU69" s="19">
        <f t="shared" ref="AU69:AU73" si="71">IF(AT$73=0,0,AT69/AT$73)</f>
        <v>0</v>
      </c>
      <c r="AW69" s="17"/>
      <c r="AX69" s="17"/>
      <c r="AY69" s="17"/>
      <c r="AZ69" s="18">
        <f t="shared" si="69"/>
        <v>0</v>
      </c>
      <c r="BA69" s="19">
        <f t="shared" ref="BA69:BA72" si="72">IF(AZ$65=0,0,AZ69/AZ$65)</f>
        <v>0</v>
      </c>
    </row>
    <row r="70" spans="1:53" ht="17.100000000000001" customHeight="1" x14ac:dyDescent="0.25">
      <c r="A70" s="102"/>
      <c r="B70" s="118"/>
      <c r="C70" s="118"/>
      <c r="D70" s="103" t="s">
        <v>396</v>
      </c>
      <c r="E70" s="108" t="s">
        <v>39</v>
      </c>
      <c r="F70" s="108"/>
      <c r="G70" s="108"/>
      <c r="H70" s="258"/>
      <c r="I70" s="232"/>
      <c r="J70" s="152"/>
      <c r="K70" s="152"/>
      <c r="L70" s="111"/>
      <c r="M70" s="111"/>
      <c r="N70" s="60"/>
      <c r="O70" s="60"/>
      <c r="P70" s="17">
        <f>SUM(N70:O70)</f>
        <v>0</v>
      </c>
      <c r="Q70" s="60">
        <v>3</v>
      </c>
      <c r="R70" s="60">
        <v>4</v>
      </c>
      <c r="S70" s="17">
        <f>SUM(Q70:R70)</f>
        <v>7</v>
      </c>
      <c r="T70" s="60"/>
      <c r="U70" s="60"/>
      <c r="V70" s="359">
        <f>SUM(T70:U70)</f>
        <v>0</v>
      </c>
      <c r="W70" s="391">
        <f t="shared" si="66"/>
        <v>3</v>
      </c>
      <c r="X70" s="17">
        <f t="shared" si="67"/>
        <v>4</v>
      </c>
      <c r="Y70" s="18">
        <f>SUM(W70:X70)</f>
        <v>7</v>
      </c>
      <c r="Z70" s="19">
        <f t="shared" si="70"/>
        <v>0.46666666666666667</v>
      </c>
      <c r="AA70" s="19"/>
      <c r="AB70" s="19"/>
      <c r="AC70" s="20"/>
      <c r="AE70" s="111"/>
      <c r="AF70" s="111"/>
      <c r="AG70" s="111"/>
      <c r="AH70" s="112"/>
      <c r="AI70" s="113"/>
      <c r="AK70" s="111"/>
      <c r="AL70" s="111"/>
      <c r="AM70" s="111"/>
      <c r="AN70" s="112"/>
      <c r="AO70" s="113"/>
      <c r="AQ70" s="17"/>
      <c r="AR70" s="17"/>
      <c r="AS70" s="17"/>
      <c r="AT70" s="18">
        <f t="shared" si="68"/>
        <v>3</v>
      </c>
      <c r="AU70" s="19">
        <f t="shared" si="71"/>
        <v>1</v>
      </c>
      <c r="AW70" s="17"/>
      <c r="AX70" s="17"/>
      <c r="AY70" s="17"/>
      <c r="AZ70" s="18">
        <f t="shared" si="69"/>
        <v>4</v>
      </c>
      <c r="BA70" s="19">
        <f t="shared" si="72"/>
        <v>0.33333333333333331</v>
      </c>
    </row>
    <row r="71" spans="1:53" ht="17.100000000000001" customHeight="1" x14ac:dyDescent="0.25">
      <c r="A71" s="102"/>
      <c r="B71" s="118"/>
      <c r="C71" s="118"/>
      <c r="D71" s="103" t="s">
        <v>397</v>
      </c>
      <c r="E71" s="108" t="s">
        <v>41</v>
      </c>
      <c r="F71" s="108"/>
      <c r="G71" s="108"/>
      <c r="H71" s="258"/>
      <c r="I71" s="232"/>
      <c r="J71" s="152"/>
      <c r="K71" s="152"/>
      <c r="L71" s="111"/>
      <c r="M71" s="111"/>
      <c r="N71" s="61"/>
      <c r="O71" s="61"/>
      <c r="P71" s="17">
        <f>SUM(N71:O71)</f>
        <v>0</v>
      </c>
      <c r="Q71" s="61"/>
      <c r="R71" s="61"/>
      <c r="S71" s="17">
        <f>SUM(Q71:R71)</f>
        <v>0</v>
      </c>
      <c r="T71" s="61"/>
      <c r="U71" s="61"/>
      <c r="V71" s="359">
        <f>SUM(T71:U71)</f>
        <v>0</v>
      </c>
      <c r="W71" s="391">
        <f t="shared" si="66"/>
        <v>0</v>
      </c>
      <c r="X71" s="17">
        <f t="shared" si="67"/>
        <v>0</v>
      </c>
      <c r="Y71" s="18">
        <f>SUM(W71:X71)</f>
        <v>0</v>
      </c>
      <c r="Z71" s="19">
        <f t="shared" si="70"/>
        <v>0</v>
      </c>
      <c r="AA71" s="19"/>
      <c r="AB71" s="19"/>
      <c r="AC71" s="20"/>
      <c r="AE71" s="111"/>
      <c r="AF71" s="111"/>
      <c r="AG71" s="111"/>
      <c r="AH71" s="112"/>
      <c r="AI71" s="113"/>
      <c r="AK71" s="111"/>
      <c r="AL71" s="111"/>
      <c r="AM71" s="111"/>
      <c r="AN71" s="112"/>
      <c r="AO71" s="113"/>
      <c r="AQ71" s="17"/>
      <c r="AR71" s="17"/>
      <c r="AS71" s="17"/>
      <c r="AT71" s="18">
        <f t="shared" si="68"/>
        <v>0</v>
      </c>
      <c r="AU71" s="19">
        <f t="shared" si="71"/>
        <v>0</v>
      </c>
      <c r="AW71" s="17"/>
      <c r="AX71" s="17"/>
      <c r="AY71" s="17"/>
      <c r="AZ71" s="18">
        <f t="shared" si="69"/>
        <v>0</v>
      </c>
      <c r="BA71" s="19">
        <f t="shared" si="72"/>
        <v>0</v>
      </c>
    </row>
    <row r="72" spans="1:53" ht="17.100000000000001" customHeight="1" x14ac:dyDescent="0.25">
      <c r="A72" s="102"/>
      <c r="B72" s="118"/>
      <c r="C72" s="118"/>
      <c r="D72" s="103" t="s">
        <v>398</v>
      </c>
      <c r="E72" s="108" t="s">
        <v>42</v>
      </c>
      <c r="F72" s="108"/>
      <c r="G72" s="108"/>
      <c r="H72" s="258"/>
      <c r="I72" s="232"/>
      <c r="J72" s="152"/>
      <c r="K72" s="152"/>
      <c r="L72" s="111"/>
      <c r="M72" s="111"/>
      <c r="N72" s="60"/>
      <c r="O72" s="60"/>
      <c r="P72" s="17">
        <f>SUM(N72:O72)</f>
        <v>0</v>
      </c>
      <c r="Q72" s="60"/>
      <c r="R72" s="60"/>
      <c r="S72" s="17">
        <f>SUM(Q72:R72)</f>
        <v>0</v>
      </c>
      <c r="T72" s="60"/>
      <c r="U72" s="60"/>
      <c r="V72" s="359">
        <f>SUM(T72:U72)</f>
        <v>0</v>
      </c>
      <c r="W72" s="391">
        <f t="shared" si="66"/>
        <v>0</v>
      </c>
      <c r="X72" s="17">
        <f t="shared" si="67"/>
        <v>0</v>
      </c>
      <c r="Y72" s="18">
        <f>SUM(W72:X72)</f>
        <v>0</v>
      </c>
      <c r="Z72" s="19">
        <f t="shared" si="70"/>
        <v>0</v>
      </c>
      <c r="AA72" s="19"/>
      <c r="AB72" s="19"/>
      <c r="AC72" s="20"/>
      <c r="AE72" s="111"/>
      <c r="AF72" s="111"/>
      <c r="AG72" s="111"/>
      <c r="AH72" s="112"/>
      <c r="AI72" s="113"/>
      <c r="AK72" s="111"/>
      <c r="AL72" s="111"/>
      <c r="AM72" s="111"/>
      <c r="AN72" s="112"/>
      <c r="AO72" s="113"/>
      <c r="AQ72" s="17"/>
      <c r="AR72" s="17"/>
      <c r="AS72" s="17"/>
      <c r="AT72" s="18">
        <f t="shared" si="68"/>
        <v>0</v>
      </c>
      <c r="AU72" s="19">
        <f t="shared" si="71"/>
        <v>0</v>
      </c>
      <c r="AW72" s="17"/>
      <c r="AX72" s="17"/>
      <c r="AY72" s="17"/>
      <c r="AZ72" s="18">
        <f t="shared" si="69"/>
        <v>0</v>
      </c>
      <c r="BA72" s="19">
        <f t="shared" si="72"/>
        <v>0</v>
      </c>
    </row>
    <row r="73" spans="1:53" ht="17.100000000000001" customHeight="1" x14ac:dyDescent="0.25">
      <c r="A73" s="40"/>
      <c r="B73" s="40"/>
      <c r="C73" s="77"/>
      <c r="D73" s="78"/>
      <c r="E73" s="78"/>
      <c r="F73" s="78"/>
      <c r="G73" s="78"/>
      <c r="H73" s="242"/>
      <c r="I73" s="230"/>
      <c r="J73" s="80"/>
      <c r="K73" s="80"/>
      <c r="L73" s="81"/>
      <c r="M73" s="81"/>
      <c r="N73" s="81">
        <f t="shared" ref="N73:X73" si="73">SUM(N68:N72)</f>
        <v>0</v>
      </c>
      <c r="O73" s="81">
        <f t="shared" si="73"/>
        <v>8</v>
      </c>
      <c r="P73" s="81">
        <f t="shared" si="73"/>
        <v>8</v>
      </c>
      <c r="Q73" s="81">
        <f t="shared" si="73"/>
        <v>3</v>
      </c>
      <c r="R73" s="81">
        <f t="shared" si="73"/>
        <v>4</v>
      </c>
      <c r="S73" s="81">
        <f t="shared" si="73"/>
        <v>7</v>
      </c>
      <c r="T73" s="81">
        <f t="shared" si="73"/>
        <v>0</v>
      </c>
      <c r="U73" s="81">
        <f t="shared" si="73"/>
        <v>0</v>
      </c>
      <c r="V73" s="81">
        <f t="shared" si="73"/>
        <v>0</v>
      </c>
      <c r="W73" s="381">
        <f t="shared" si="73"/>
        <v>3</v>
      </c>
      <c r="X73" s="82">
        <f t="shared" si="73"/>
        <v>12</v>
      </c>
      <c r="Y73" s="82">
        <f>SUM(Y68:Y72)</f>
        <v>15</v>
      </c>
      <c r="Z73" s="205">
        <f t="shared" si="70"/>
        <v>1</v>
      </c>
      <c r="AA73" s="205"/>
      <c r="AB73" s="205"/>
      <c r="AC73" s="83"/>
      <c r="AE73" s="81"/>
      <c r="AF73" s="81"/>
      <c r="AG73" s="81"/>
      <c r="AH73" s="82"/>
      <c r="AI73" s="66"/>
      <c r="AK73" s="81"/>
      <c r="AL73" s="81"/>
      <c r="AM73" s="81"/>
      <c r="AN73" s="82"/>
      <c r="AO73" s="66"/>
      <c r="AQ73" s="81"/>
      <c r="AR73" s="81"/>
      <c r="AS73" s="81"/>
      <c r="AT73" s="82">
        <f>SUM(AT68:AT72)</f>
        <v>3</v>
      </c>
      <c r="AU73" s="66">
        <f t="shared" si="71"/>
        <v>1</v>
      </c>
      <c r="AW73" s="81"/>
      <c r="AX73" s="81"/>
      <c r="AY73" s="81"/>
      <c r="AZ73" s="82">
        <f>SUM(AZ68:AZ72)</f>
        <v>12</v>
      </c>
      <c r="BA73" s="66">
        <f t="shared" ref="BA73" si="74">IF(AZ$73=0,0,AZ73/AZ$73)</f>
        <v>1</v>
      </c>
    </row>
    <row r="74" spans="1:53" s="117" customFormat="1" ht="17.100000000000001" customHeight="1" x14ac:dyDescent="0.25">
      <c r="A74" s="119"/>
      <c r="B74" s="119"/>
      <c r="C74" s="540"/>
      <c r="D74" s="212"/>
      <c r="E74" s="212"/>
      <c r="F74" s="212"/>
      <c r="G74" s="212"/>
      <c r="H74" s="242"/>
      <c r="I74" s="230"/>
      <c r="J74" s="17"/>
      <c r="K74" s="17"/>
      <c r="L74" s="17"/>
      <c r="M74" s="17"/>
      <c r="N74" s="17" t="str">
        <f>IF(N73=N$20,"OK","NOK")</f>
        <v>OK</v>
      </c>
      <c r="O74" s="17" t="str">
        <f>IF(O73=O$20,"OK","NOK")</f>
        <v>OK</v>
      </c>
      <c r="P74" s="17"/>
      <c r="Q74" s="17" t="str">
        <f>IF(Q73=Q$20,"OK","NOK")</f>
        <v>OK</v>
      </c>
      <c r="R74" s="17" t="str">
        <f>IF(R73=R$20,"OK","NOK")</f>
        <v>OK</v>
      </c>
      <c r="S74" s="17"/>
      <c r="T74" s="17" t="str">
        <f>IF(T73=T$20,"OK","NOK")</f>
        <v>OK</v>
      </c>
      <c r="U74" s="17" t="str">
        <f>IF(U73=U$20,"OK","NOK")</f>
        <v>OK</v>
      </c>
      <c r="V74" s="359"/>
      <c r="W74" s="382"/>
      <c r="X74" s="539"/>
      <c r="Y74" s="539"/>
      <c r="Z74" s="201"/>
      <c r="AA74" s="201"/>
      <c r="AB74" s="201"/>
      <c r="AC74" s="84"/>
      <c r="AE74" s="17"/>
      <c r="AF74" s="17"/>
      <c r="AG74" s="17"/>
      <c r="AH74" s="539"/>
      <c r="AI74" s="91"/>
      <c r="AK74" s="17"/>
      <c r="AL74" s="17"/>
      <c r="AM74" s="17"/>
      <c r="AN74" s="539"/>
      <c r="AO74" s="91"/>
      <c r="AQ74" s="17"/>
      <c r="AR74" s="17"/>
      <c r="AS74" s="17"/>
      <c r="AT74" s="539"/>
      <c r="AU74" s="91"/>
      <c r="AW74" s="17"/>
      <c r="AX74" s="17"/>
      <c r="AY74" s="17"/>
      <c r="AZ74" s="539"/>
      <c r="BA74" s="91"/>
    </row>
    <row r="75" spans="1:53" ht="17.100000000000001" customHeight="1" x14ac:dyDescent="0.25">
      <c r="A75" s="68"/>
      <c r="B75" s="41" t="s">
        <v>43</v>
      </c>
      <c r="C75" s="69" t="s">
        <v>44</v>
      </c>
      <c r="D75" s="50"/>
      <c r="E75" s="70"/>
      <c r="F75" s="70"/>
      <c r="G75" s="70"/>
      <c r="H75" s="119"/>
      <c r="J75" s="71"/>
      <c r="K75" s="71"/>
      <c r="L75" s="71"/>
      <c r="M75" s="71"/>
      <c r="N75" s="71"/>
      <c r="O75" s="71"/>
      <c r="P75" s="71"/>
      <c r="Q75" s="71"/>
      <c r="R75" s="71"/>
      <c r="S75" s="71"/>
      <c r="T75" s="71"/>
      <c r="U75" s="71"/>
      <c r="V75" s="355"/>
      <c r="W75" s="377"/>
      <c r="X75" s="71"/>
      <c r="Y75" s="72"/>
      <c r="Z75" s="73"/>
      <c r="AA75" s="73"/>
      <c r="AB75" s="73"/>
      <c r="AC75" s="73"/>
      <c r="AE75" s="71"/>
      <c r="AF75" s="71"/>
      <c r="AG75" s="71"/>
      <c r="AH75" s="72"/>
      <c r="AI75" s="73"/>
      <c r="AK75" s="71"/>
      <c r="AL75" s="71"/>
      <c r="AM75" s="71"/>
      <c r="AN75" s="72"/>
      <c r="AO75" s="73"/>
      <c r="AQ75" s="71"/>
      <c r="AR75" s="71"/>
      <c r="AS75" s="71"/>
      <c r="AT75" s="72"/>
      <c r="AU75" s="73"/>
      <c r="AW75" s="71"/>
      <c r="AX75" s="71"/>
      <c r="AY75" s="71"/>
      <c r="AZ75" s="72"/>
      <c r="BA75" s="73"/>
    </row>
    <row r="76" spans="1:53" ht="17.100000000000001" customHeight="1" x14ac:dyDescent="0.25">
      <c r="A76" s="102"/>
      <c r="B76" s="102"/>
      <c r="C76" s="103" t="s">
        <v>45</v>
      </c>
      <c r="D76" s="108" t="s">
        <v>46</v>
      </c>
      <c r="E76" s="108"/>
      <c r="F76" s="108"/>
      <c r="G76" s="108"/>
      <c r="H76" s="258"/>
      <c r="I76" s="232"/>
      <c r="J76" s="111"/>
      <c r="K76" s="111"/>
      <c r="L76" s="111"/>
      <c r="M76" s="111"/>
      <c r="N76" s="111"/>
      <c r="O76" s="111"/>
      <c r="P76" s="111"/>
      <c r="Q76" s="111"/>
      <c r="R76" s="111"/>
      <c r="S76" s="111"/>
      <c r="T76" s="111"/>
      <c r="U76" s="111"/>
      <c r="V76" s="358"/>
      <c r="W76" s="380"/>
      <c r="X76" s="111"/>
      <c r="Y76" s="112"/>
      <c r="Z76" s="113"/>
      <c r="AA76" s="113"/>
      <c r="AB76" s="113"/>
      <c r="AC76" s="113"/>
      <c r="AE76" s="114"/>
      <c r="AF76" s="114"/>
      <c r="AG76" s="114"/>
      <c r="AH76" s="112"/>
      <c r="AI76" s="113"/>
      <c r="AK76" s="114"/>
      <c r="AL76" s="114"/>
      <c r="AM76" s="114"/>
      <c r="AN76" s="112"/>
      <c r="AO76" s="113"/>
      <c r="AQ76" s="114"/>
      <c r="AR76" s="114"/>
      <c r="AS76" s="114"/>
      <c r="AT76" s="112"/>
      <c r="AU76" s="113"/>
      <c r="AW76" s="114"/>
      <c r="AX76" s="114"/>
      <c r="AY76" s="114"/>
      <c r="AZ76" s="112"/>
      <c r="BA76" s="113"/>
    </row>
    <row r="77" spans="1:53" ht="17.100000000000001" customHeight="1" x14ac:dyDescent="0.25">
      <c r="A77" s="102"/>
      <c r="B77" s="102"/>
      <c r="C77" s="102"/>
      <c r="D77" s="103" t="s">
        <v>47</v>
      </c>
      <c r="E77" s="108" t="s">
        <v>35</v>
      </c>
      <c r="F77" s="108"/>
      <c r="G77" s="108"/>
      <c r="H77" s="258"/>
      <c r="I77" s="232"/>
      <c r="J77" s="152"/>
      <c r="K77" s="152"/>
      <c r="L77" s="111"/>
      <c r="M77" s="111"/>
      <c r="N77" s="152"/>
      <c r="O77" s="111"/>
      <c r="P77" s="60">
        <v>1</v>
      </c>
      <c r="Q77" s="152"/>
      <c r="R77" s="111"/>
      <c r="S77" s="60">
        <v>1</v>
      </c>
      <c r="T77" s="152"/>
      <c r="U77" s="111"/>
      <c r="V77" s="361"/>
      <c r="W77" s="391"/>
      <c r="X77" s="17"/>
      <c r="Y77" s="18">
        <f>M77+P77+S77+V77</f>
        <v>2</v>
      </c>
      <c r="Z77" s="19">
        <f>IF(Y$81=0,0,Y77/Y$81)</f>
        <v>1</v>
      </c>
      <c r="AA77" s="19"/>
      <c r="AB77" s="19"/>
      <c r="AC77" s="20"/>
      <c r="AE77" s="111"/>
      <c r="AF77" s="111"/>
      <c r="AG77" s="111"/>
      <c r="AH77" s="545"/>
      <c r="AI77" s="131"/>
      <c r="AK77" s="111"/>
      <c r="AL77" s="111"/>
      <c r="AM77" s="111"/>
      <c r="AN77" s="545"/>
      <c r="AO77" s="131"/>
      <c r="AQ77" s="111"/>
      <c r="AR77" s="111"/>
      <c r="AS77" s="111"/>
      <c r="AT77" s="545"/>
      <c r="AU77" s="131"/>
      <c r="AW77" s="111"/>
      <c r="AX77" s="111"/>
      <c r="AY77" s="111"/>
      <c r="AZ77" s="545"/>
      <c r="BA77" s="131"/>
    </row>
    <row r="78" spans="1:53" ht="17.100000000000001" customHeight="1" x14ac:dyDescent="0.25">
      <c r="A78" s="102"/>
      <c r="B78" s="102"/>
      <c r="C78" s="102"/>
      <c r="D78" s="103" t="s">
        <v>48</v>
      </c>
      <c r="E78" s="108" t="s">
        <v>49</v>
      </c>
      <c r="F78" s="108"/>
      <c r="G78" s="108"/>
      <c r="H78" s="258"/>
      <c r="I78" s="232"/>
      <c r="J78" s="152"/>
      <c r="K78" s="152"/>
      <c r="L78" s="111"/>
      <c r="M78" s="111"/>
      <c r="N78" s="152"/>
      <c r="O78" s="111"/>
      <c r="P78" s="61"/>
      <c r="Q78" s="152"/>
      <c r="R78" s="111"/>
      <c r="S78" s="61"/>
      <c r="T78" s="152"/>
      <c r="U78" s="111"/>
      <c r="V78" s="362"/>
      <c r="W78" s="391"/>
      <c r="X78" s="17"/>
      <c r="Y78" s="18">
        <f t="shared" ref="Y78:Y80" si="75">M78+P78+S78+V78</f>
        <v>0</v>
      </c>
      <c r="Z78" s="19">
        <f t="shared" ref="Z78:Z81" si="76">IF(Y$81=0,0,Y78/Y$81)</f>
        <v>0</v>
      </c>
      <c r="AA78" s="19"/>
      <c r="AB78" s="19"/>
      <c r="AC78" s="20"/>
      <c r="AE78" s="111"/>
      <c r="AF78" s="111"/>
      <c r="AG78" s="111"/>
      <c r="AH78" s="545"/>
      <c r="AI78" s="131"/>
      <c r="AK78" s="111"/>
      <c r="AL78" s="111"/>
      <c r="AM78" s="111"/>
      <c r="AN78" s="545"/>
      <c r="AO78" s="131"/>
      <c r="AQ78" s="111"/>
      <c r="AR78" s="111"/>
      <c r="AS78" s="111"/>
      <c r="AT78" s="545"/>
      <c r="AU78" s="131"/>
      <c r="AW78" s="111"/>
      <c r="AX78" s="111"/>
      <c r="AY78" s="111"/>
      <c r="AZ78" s="545"/>
      <c r="BA78" s="131"/>
    </row>
    <row r="79" spans="1:53" ht="17.100000000000001" customHeight="1" x14ac:dyDescent="0.25">
      <c r="A79" s="102"/>
      <c r="B79" s="102"/>
      <c r="C79" s="102"/>
      <c r="D79" s="103" t="s">
        <v>50</v>
      </c>
      <c r="E79" s="108" t="s">
        <v>51</v>
      </c>
      <c r="F79" s="108"/>
      <c r="G79" s="108"/>
      <c r="H79" s="258"/>
      <c r="I79" s="232"/>
      <c r="J79" s="152"/>
      <c r="K79" s="152"/>
      <c r="L79" s="111"/>
      <c r="M79" s="111"/>
      <c r="N79" s="152"/>
      <c r="O79" s="111"/>
      <c r="P79" s="60"/>
      <c r="Q79" s="152"/>
      <c r="R79" s="111"/>
      <c r="S79" s="60"/>
      <c r="T79" s="152"/>
      <c r="U79" s="111"/>
      <c r="V79" s="361"/>
      <c r="W79" s="391"/>
      <c r="X79" s="17"/>
      <c r="Y79" s="18">
        <f t="shared" si="75"/>
        <v>0</v>
      </c>
      <c r="Z79" s="19">
        <f t="shared" si="76"/>
        <v>0</v>
      </c>
      <c r="AA79" s="19"/>
      <c r="AB79" s="19"/>
      <c r="AC79" s="20"/>
      <c r="AE79" s="111"/>
      <c r="AF79" s="111"/>
      <c r="AG79" s="111"/>
      <c r="AH79" s="545"/>
      <c r="AI79" s="131"/>
      <c r="AK79" s="111"/>
      <c r="AL79" s="111"/>
      <c r="AM79" s="111"/>
      <c r="AN79" s="545"/>
      <c r="AO79" s="131"/>
      <c r="AQ79" s="111"/>
      <c r="AR79" s="111"/>
      <c r="AS79" s="111"/>
      <c r="AT79" s="545"/>
      <c r="AU79" s="131"/>
      <c r="AW79" s="111"/>
      <c r="AX79" s="111"/>
      <c r="AY79" s="111"/>
      <c r="AZ79" s="545"/>
      <c r="BA79" s="131"/>
    </row>
    <row r="80" spans="1:53" ht="17.100000000000001" customHeight="1" x14ac:dyDescent="0.25">
      <c r="A80" s="102"/>
      <c r="B80" s="102"/>
      <c r="C80" s="102"/>
      <c r="D80" s="103" t="s">
        <v>52</v>
      </c>
      <c r="E80" s="108" t="s">
        <v>53</v>
      </c>
      <c r="F80" s="108"/>
      <c r="G80" s="108"/>
      <c r="H80" s="258"/>
      <c r="I80" s="232"/>
      <c r="J80" s="152"/>
      <c r="K80" s="152"/>
      <c r="L80" s="111"/>
      <c r="M80" s="111"/>
      <c r="N80" s="152"/>
      <c r="O80" s="111"/>
      <c r="P80" s="61"/>
      <c r="Q80" s="152"/>
      <c r="R80" s="111"/>
      <c r="S80" s="61"/>
      <c r="T80" s="152"/>
      <c r="U80" s="111"/>
      <c r="V80" s="362"/>
      <c r="W80" s="391"/>
      <c r="X80" s="17"/>
      <c r="Y80" s="18">
        <f t="shared" si="75"/>
        <v>0</v>
      </c>
      <c r="Z80" s="19">
        <f t="shared" si="76"/>
        <v>0</v>
      </c>
      <c r="AA80" s="19"/>
      <c r="AB80" s="19"/>
      <c r="AC80" s="20"/>
      <c r="AE80" s="111"/>
      <c r="AF80" s="111"/>
      <c r="AG80" s="111"/>
      <c r="AH80" s="545"/>
      <c r="AI80" s="131"/>
      <c r="AK80" s="111"/>
      <c r="AL80" s="111"/>
      <c r="AM80" s="111"/>
      <c r="AN80" s="545"/>
      <c r="AO80" s="131"/>
      <c r="AQ80" s="111"/>
      <c r="AR80" s="111"/>
      <c r="AS80" s="111"/>
      <c r="AT80" s="545"/>
      <c r="AU80" s="131"/>
      <c r="AW80" s="111"/>
      <c r="AX80" s="111"/>
      <c r="AY80" s="111"/>
      <c r="AZ80" s="545"/>
      <c r="BA80" s="131"/>
    </row>
    <row r="81" spans="1:53" ht="17.100000000000001" customHeight="1" x14ac:dyDescent="0.25">
      <c r="A81" s="40"/>
      <c r="B81" s="40"/>
      <c r="C81" s="77"/>
      <c r="D81" s="78"/>
      <c r="E81" s="78"/>
      <c r="F81" s="78"/>
      <c r="G81" s="78"/>
      <c r="H81" s="242"/>
      <c r="I81" s="230"/>
      <c r="J81" s="80"/>
      <c r="K81" s="80"/>
      <c r="L81" s="81"/>
      <c r="M81" s="81"/>
      <c r="N81" s="81"/>
      <c r="O81" s="81"/>
      <c r="P81" s="82">
        <f>SUM(P77:P80)</f>
        <v>1</v>
      </c>
      <c r="Q81" s="81"/>
      <c r="R81" s="81"/>
      <c r="S81" s="82">
        <f>SUM(S77:S80)</f>
        <v>1</v>
      </c>
      <c r="T81" s="81"/>
      <c r="U81" s="81"/>
      <c r="V81" s="360">
        <f>SUM(V77:V80)</f>
        <v>0</v>
      </c>
      <c r="W81" s="381"/>
      <c r="X81" s="82"/>
      <c r="Y81" s="82">
        <f t="shared" ref="Y81" si="77">SUM(Y77:Y80)</f>
        <v>2</v>
      </c>
      <c r="Z81" s="205">
        <f t="shared" si="76"/>
        <v>1</v>
      </c>
      <c r="AA81" s="205"/>
      <c r="AB81" s="205"/>
      <c r="AC81" s="83"/>
      <c r="AE81" s="81"/>
      <c r="AF81" s="81"/>
      <c r="AG81" s="81"/>
      <c r="AH81" s="82"/>
      <c r="AI81" s="66"/>
      <c r="AK81" s="81"/>
      <c r="AL81" s="81"/>
      <c r="AM81" s="81"/>
      <c r="AN81" s="82"/>
      <c r="AO81" s="66"/>
      <c r="AQ81" s="81"/>
      <c r="AR81" s="81"/>
      <c r="AS81" s="81"/>
      <c r="AT81" s="82"/>
      <c r="AU81" s="66"/>
      <c r="AW81" s="81"/>
      <c r="AX81" s="81"/>
      <c r="AY81" s="81"/>
      <c r="AZ81" s="82"/>
      <c r="BA81" s="66"/>
    </row>
    <row r="82" spans="1:53" s="117" customFormat="1" ht="17.100000000000001" customHeight="1" x14ac:dyDescent="0.25">
      <c r="A82" s="119"/>
      <c r="B82" s="119"/>
      <c r="C82" s="540"/>
      <c r="D82" s="212"/>
      <c r="E82" s="212"/>
      <c r="F82" s="212"/>
      <c r="G82" s="212"/>
      <c r="H82" s="242"/>
      <c r="I82" s="230"/>
      <c r="J82" s="17"/>
      <c r="K82" s="17"/>
      <c r="L82" s="17"/>
      <c r="M82" s="17"/>
      <c r="N82" s="17"/>
      <c r="O82" s="17"/>
      <c r="P82" s="359" t="str">
        <f>IF(P$20=0,"",IF(P81=1,"OK","NOK"))</f>
        <v>OK</v>
      </c>
      <c r="Q82" s="17"/>
      <c r="R82" s="17"/>
      <c r="S82" s="359" t="str">
        <f>IF(S$20=0,"",IF(S81=1,"OK","NOK"))</f>
        <v>OK</v>
      </c>
      <c r="T82" s="17"/>
      <c r="U82" s="17"/>
      <c r="V82" s="359" t="str">
        <f>IF(V$20=0,"",IF(V81=1,"OK","NOK"))</f>
        <v/>
      </c>
      <c r="W82" s="382"/>
      <c r="X82" s="539"/>
      <c r="Y82" s="539"/>
      <c r="Z82" s="201"/>
      <c r="AA82" s="201"/>
      <c r="AB82" s="201"/>
      <c r="AC82" s="84"/>
      <c r="AE82" s="17"/>
      <c r="AF82" s="17"/>
      <c r="AG82" s="17"/>
      <c r="AH82" s="539"/>
      <c r="AI82" s="91"/>
      <c r="AK82" s="17"/>
      <c r="AL82" s="17"/>
      <c r="AM82" s="17"/>
      <c r="AN82" s="539"/>
      <c r="AO82" s="91"/>
      <c r="AQ82" s="17"/>
      <c r="AR82" s="17"/>
      <c r="AS82" s="17"/>
      <c r="AT82" s="539"/>
      <c r="AU82" s="91"/>
      <c r="AW82" s="17"/>
      <c r="AX82" s="17"/>
      <c r="AY82" s="17"/>
      <c r="AZ82" s="539"/>
      <c r="BA82" s="91"/>
    </row>
    <row r="83" spans="1:53" ht="17.100000000000001" customHeight="1" x14ac:dyDescent="0.25">
      <c r="A83" s="102"/>
      <c r="B83" s="102"/>
      <c r="C83" s="103" t="s">
        <v>54</v>
      </c>
      <c r="D83" s="108" t="s">
        <v>55</v>
      </c>
      <c r="E83" s="108"/>
      <c r="F83" s="108"/>
      <c r="G83" s="108"/>
      <c r="H83" s="258"/>
      <c r="I83" s="232"/>
      <c r="J83" s="111"/>
      <c r="K83" s="111"/>
      <c r="L83" s="111"/>
      <c r="M83" s="111"/>
      <c r="N83" s="111"/>
      <c r="O83" s="111"/>
      <c r="P83" s="111"/>
      <c r="Q83" s="111"/>
      <c r="R83" s="111"/>
      <c r="S83" s="111"/>
      <c r="T83" s="111"/>
      <c r="U83" s="111"/>
      <c r="V83" s="358"/>
      <c r="W83" s="380"/>
      <c r="X83" s="111"/>
      <c r="Y83" s="112"/>
      <c r="Z83" s="113"/>
      <c r="AA83" s="113"/>
      <c r="AB83" s="113"/>
      <c r="AC83" s="113"/>
      <c r="AE83" s="114"/>
      <c r="AF83" s="114"/>
      <c r="AG83" s="114"/>
      <c r="AH83" s="112"/>
      <c r="AI83" s="113"/>
      <c r="AK83" s="114"/>
      <c r="AL83" s="114"/>
      <c r="AM83" s="114"/>
      <c r="AN83" s="112"/>
      <c r="AO83" s="113"/>
      <c r="AQ83" s="114"/>
      <c r="AR83" s="114"/>
      <c r="AS83" s="114"/>
      <c r="AT83" s="112"/>
      <c r="AU83" s="113"/>
      <c r="AW83" s="114"/>
      <c r="AX83" s="114"/>
      <c r="AY83" s="114"/>
      <c r="AZ83" s="112"/>
      <c r="BA83" s="113"/>
    </row>
    <row r="84" spans="1:53" ht="17.100000000000001" customHeight="1" x14ac:dyDescent="0.25">
      <c r="A84" s="102"/>
      <c r="B84" s="118"/>
      <c r="C84" s="118"/>
      <c r="D84" s="103" t="s">
        <v>56</v>
      </c>
      <c r="E84" s="108" t="s">
        <v>35</v>
      </c>
      <c r="F84" s="108"/>
      <c r="G84" s="108"/>
      <c r="H84" s="258"/>
      <c r="I84" s="232"/>
      <c r="J84" s="152"/>
      <c r="K84" s="152"/>
      <c r="L84" s="111"/>
      <c r="M84" s="111"/>
      <c r="N84" s="152"/>
      <c r="O84" s="111"/>
      <c r="P84" s="60">
        <v>1</v>
      </c>
      <c r="Q84" s="152"/>
      <c r="R84" s="111"/>
      <c r="S84" s="1315">
        <v>1</v>
      </c>
      <c r="T84" s="152"/>
      <c r="U84" s="111"/>
      <c r="V84" s="361"/>
      <c r="W84" s="391"/>
      <c r="X84" s="17"/>
      <c r="Y84" s="18">
        <f>M84+P84+S84+V84</f>
        <v>2</v>
      </c>
      <c r="Z84" s="19">
        <f>IF(Y$88=0,0,Y84/Y$88)</f>
        <v>1</v>
      </c>
      <c r="AA84" s="19"/>
      <c r="AB84" s="19"/>
      <c r="AC84" s="20"/>
      <c r="AE84" s="111"/>
      <c r="AF84" s="111"/>
      <c r="AG84" s="111"/>
      <c r="AH84" s="545"/>
      <c r="AI84" s="131"/>
      <c r="AK84" s="111"/>
      <c r="AL84" s="111"/>
      <c r="AM84" s="111"/>
      <c r="AN84" s="545"/>
      <c r="AO84" s="131"/>
      <c r="AQ84" s="111"/>
      <c r="AR84" s="111"/>
      <c r="AS84" s="111"/>
      <c r="AT84" s="545"/>
      <c r="AU84" s="131"/>
      <c r="AW84" s="111"/>
      <c r="AX84" s="111"/>
      <c r="AY84" s="111"/>
      <c r="AZ84" s="545"/>
      <c r="BA84" s="131"/>
    </row>
    <row r="85" spans="1:53" ht="17.100000000000001" customHeight="1" x14ac:dyDescent="0.25">
      <c r="A85" s="102"/>
      <c r="B85" s="118"/>
      <c r="C85" s="118"/>
      <c r="D85" s="103" t="s">
        <v>57</v>
      </c>
      <c r="E85" s="108" t="s">
        <v>58</v>
      </c>
      <c r="F85" s="108"/>
      <c r="G85" s="108"/>
      <c r="H85" s="258"/>
      <c r="I85" s="232"/>
      <c r="J85" s="152"/>
      <c r="K85" s="152"/>
      <c r="L85" s="111"/>
      <c r="M85" s="111"/>
      <c r="N85" s="152"/>
      <c r="O85" s="111"/>
      <c r="P85" s="61"/>
      <c r="Q85" s="152"/>
      <c r="R85" s="111"/>
      <c r="S85" s="990"/>
      <c r="T85" s="152"/>
      <c r="U85" s="111"/>
      <c r="V85" s="362"/>
      <c r="W85" s="391"/>
      <c r="X85" s="17"/>
      <c r="Y85" s="18">
        <f t="shared" ref="Y85:Y87" si="78">M85+P85+S85+V85</f>
        <v>0</v>
      </c>
      <c r="Z85" s="19">
        <f t="shared" ref="Z85:Z88" si="79">IF(Y$88=0,0,Y85/Y$88)</f>
        <v>0</v>
      </c>
      <c r="AA85" s="19"/>
      <c r="AB85" s="19"/>
      <c r="AC85" s="20"/>
      <c r="AE85" s="111"/>
      <c r="AF85" s="111"/>
      <c r="AG85" s="111"/>
      <c r="AH85" s="545"/>
      <c r="AI85" s="131"/>
      <c r="AK85" s="111"/>
      <c r="AL85" s="111"/>
      <c r="AM85" s="111"/>
      <c r="AN85" s="545"/>
      <c r="AO85" s="131"/>
      <c r="AQ85" s="111"/>
      <c r="AR85" s="111"/>
      <c r="AS85" s="111"/>
      <c r="AT85" s="545"/>
      <c r="AU85" s="131"/>
      <c r="AW85" s="111"/>
      <c r="AX85" s="111"/>
      <c r="AY85" s="111"/>
      <c r="AZ85" s="545"/>
      <c r="BA85" s="131"/>
    </row>
    <row r="86" spans="1:53" ht="17.100000000000001" customHeight="1" x14ac:dyDescent="0.25">
      <c r="A86" s="102"/>
      <c r="B86" s="118"/>
      <c r="C86" s="118"/>
      <c r="D86" s="103" t="s">
        <v>59</v>
      </c>
      <c r="E86" s="108" t="s">
        <v>60</v>
      </c>
      <c r="F86" s="108"/>
      <c r="G86" s="108"/>
      <c r="H86" s="258"/>
      <c r="I86" s="232"/>
      <c r="J86" s="152"/>
      <c r="K86" s="152"/>
      <c r="L86" s="111"/>
      <c r="M86" s="111"/>
      <c r="N86" s="152"/>
      <c r="O86" s="111"/>
      <c r="P86" s="60"/>
      <c r="Q86" s="152"/>
      <c r="R86" s="111"/>
      <c r="S86" s="60"/>
      <c r="T86" s="152"/>
      <c r="U86" s="111"/>
      <c r="V86" s="361"/>
      <c r="W86" s="391"/>
      <c r="X86" s="17"/>
      <c r="Y86" s="18">
        <f t="shared" si="78"/>
        <v>0</v>
      </c>
      <c r="Z86" s="19">
        <f t="shared" si="79"/>
        <v>0</v>
      </c>
      <c r="AA86" s="19"/>
      <c r="AB86" s="19"/>
      <c r="AC86" s="20"/>
      <c r="AE86" s="111"/>
      <c r="AF86" s="111"/>
      <c r="AG86" s="111"/>
      <c r="AH86" s="545"/>
      <c r="AI86" s="131"/>
      <c r="AK86" s="111"/>
      <c r="AL86" s="111"/>
      <c r="AM86" s="111"/>
      <c r="AN86" s="545"/>
      <c r="AO86" s="131"/>
      <c r="AQ86" s="111"/>
      <c r="AR86" s="111"/>
      <c r="AS86" s="111"/>
      <c r="AT86" s="545"/>
      <c r="AU86" s="131"/>
      <c r="AW86" s="111"/>
      <c r="AX86" s="111"/>
      <c r="AY86" s="111"/>
      <c r="AZ86" s="545"/>
      <c r="BA86" s="131"/>
    </row>
    <row r="87" spans="1:53" ht="17.100000000000001" customHeight="1" x14ac:dyDescent="0.25">
      <c r="A87" s="102"/>
      <c r="B87" s="118"/>
      <c r="C87" s="118"/>
      <c r="D87" s="103" t="s">
        <v>61</v>
      </c>
      <c r="E87" s="108" t="s">
        <v>62</v>
      </c>
      <c r="F87" s="108"/>
      <c r="G87" s="108"/>
      <c r="H87" s="258"/>
      <c r="I87" s="232"/>
      <c r="J87" s="152"/>
      <c r="K87" s="152"/>
      <c r="L87" s="111"/>
      <c r="M87" s="111"/>
      <c r="N87" s="152"/>
      <c r="O87" s="111"/>
      <c r="P87" s="61"/>
      <c r="Q87" s="152"/>
      <c r="R87" s="111"/>
      <c r="S87" s="61"/>
      <c r="T87" s="152"/>
      <c r="U87" s="111"/>
      <c r="V87" s="362"/>
      <c r="W87" s="391"/>
      <c r="X87" s="17"/>
      <c r="Y87" s="18">
        <f t="shared" si="78"/>
        <v>0</v>
      </c>
      <c r="Z87" s="19">
        <f t="shared" si="79"/>
        <v>0</v>
      </c>
      <c r="AA87" s="19"/>
      <c r="AB87" s="19"/>
      <c r="AC87" s="20"/>
      <c r="AE87" s="111"/>
      <c r="AF87" s="111"/>
      <c r="AG87" s="111"/>
      <c r="AH87" s="545"/>
      <c r="AI87" s="131"/>
      <c r="AK87" s="111"/>
      <c r="AL87" s="111"/>
      <c r="AM87" s="111"/>
      <c r="AN87" s="545"/>
      <c r="AO87" s="131"/>
      <c r="AQ87" s="111"/>
      <c r="AR87" s="111"/>
      <c r="AS87" s="111"/>
      <c r="AT87" s="545"/>
      <c r="AU87" s="131"/>
      <c r="AW87" s="111"/>
      <c r="AX87" s="111"/>
      <c r="AY87" s="111"/>
      <c r="AZ87" s="545"/>
      <c r="BA87" s="131"/>
    </row>
    <row r="88" spans="1:53" ht="17.100000000000001" customHeight="1" x14ac:dyDescent="0.25">
      <c r="A88" s="40"/>
      <c r="B88" s="40"/>
      <c r="C88" s="77"/>
      <c r="D88" s="78"/>
      <c r="E88" s="78"/>
      <c r="F88" s="78"/>
      <c r="G88" s="78"/>
      <c r="H88" s="242"/>
      <c r="I88" s="230"/>
      <c r="J88" s="80"/>
      <c r="K88" s="80"/>
      <c r="L88" s="81"/>
      <c r="M88" s="81"/>
      <c r="N88" s="81"/>
      <c r="O88" s="81"/>
      <c r="P88" s="82">
        <f>SUM(P84:P87)</f>
        <v>1</v>
      </c>
      <c r="Q88" s="81"/>
      <c r="R88" s="81"/>
      <c r="S88" s="82">
        <f>SUM(S84:S87)</f>
        <v>1</v>
      </c>
      <c r="T88" s="81"/>
      <c r="U88" s="81"/>
      <c r="V88" s="360">
        <f>SUM(V84:V87)</f>
        <v>0</v>
      </c>
      <c r="W88" s="381"/>
      <c r="X88" s="82"/>
      <c r="Y88" s="82">
        <f t="shared" ref="Y88" si="80">SUM(Y84:Y87)</f>
        <v>2</v>
      </c>
      <c r="Z88" s="205">
        <f t="shared" si="79"/>
        <v>1</v>
      </c>
      <c r="AA88" s="205"/>
      <c r="AB88" s="205"/>
      <c r="AC88" s="83"/>
      <c r="AE88" s="81"/>
      <c r="AF88" s="81"/>
      <c r="AG88" s="81"/>
      <c r="AH88" s="82"/>
      <c r="AI88" s="66"/>
      <c r="AK88" s="81"/>
      <c r="AL88" s="81"/>
      <c r="AM88" s="81"/>
      <c r="AN88" s="82"/>
      <c r="AO88" s="66"/>
      <c r="AQ88" s="81"/>
      <c r="AR88" s="81"/>
      <c r="AS88" s="81"/>
      <c r="AT88" s="82"/>
      <c r="AU88" s="66"/>
      <c r="AW88" s="81"/>
      <c r="AX88" s="81"/>
      <c r="AY88" s="81"/>
      <c r="AZ88" s="82"/>
      <c r="BA88" s="66"/>
    </row>
    <row r="89" spans="1:53" s="117" customFormat="1" ht="17.100000000000001" customHeight="1" x14ac:dyDescent="0.25">
      <c r="A89" s="119"/>
      <c r="B89" s="119"/>
      <c r="C89" s="540"/>
      <c r="D89" s="212"/>
      <c r="E89" s="212"/>
      <c r="F89" s="212"/>
      <c r="G89" s="212"/>
      <c r="H89" s="242"/>
      <c r="I89" s="230"/>
      <c r="J89" s="17"/>
      <c r="K89" s="17"/>
      <c r="L89" s="17"/>
      <c r="M89" s="17"/>
      <c r="N89" s="17"/>
      <c r="O89" s="17"/>
      <c r="P89" s="359" t="str">
        <f>IF(P$20=0,"",IF(P88=1,"OK","NOK"))</f>
        <v>OK</v>
      </c>
      <c r="Q89" s="17"/>
      <c r="R89" s="17"/>
      <c r="S89" s="359" t="str">
        <f>IF(S$20=0,"",IF(S88=1,"OK","NOK"))</f>
        <v>OK</v>
      </c>
      <c r="T89" s="17"/>
      <c r="U89" s="17"/>
      <c r="V89" s="359" t="str">
        <f>IF(V$20=0,"",IF(V88=1,"OK","NOK"))</f>
        <v/>
      </c>
      <c r="W89" s="382"/>
      <c r="X89" s="539"/>
      <c r="Y89" s="539"/>
      <c r="Z89" s="201"/>
      <c r="AA89" s="201"/>
      <c r="AB89" s="201"/>
      <c r="AC89" s="84"/>
      <c r="AE89" s="17"/>
      <c r="AF89" s="17"/>
      <c r="AG89" s="17"/>
      <c r="AH89" s="539"/>
      <c r="AI89" s="91"/>
      <c r="AK89" s="17"/>
      <c r="AL89" s="17"/>
      <c r="AM89" s="17"/>
      <c r="AN89" s="539"/>
      <c r="AO89" s="91"/>
      <c r="AQ89" s="17"/>
      <c r="AR89" s="17"/>
      <c r="AS89" s="17"/>
      <c r="AT89" s="539"/>
      <c r="AU89" s="91"/>
      <c r="AW89" s="17"/>
      <c r="AX89" s="17"/>
      <c r="AY89" s="17"/>
      <c r="AZ89" s="539"/>
      <c r="BA89" s="91"/>
    </row>
    <row r="90" spans="1:53" ht="17.100000000000001" customHeight="1" x14ac:dyDescent="0.25">
      <c r="A90" s="68"/>
      <c r="B90" s="41" t="s">
        <v>63</v>
      </c>
      <c r="C90" s="69" t="s">
        <v>64</v>
      </c>
      <c r="D90" s="50"/>
      <c r="E90" s="70"/>
      <c r="F90" s="70"/>
      <c r="G90" s="70"/>
      <c r="H90" s="119"/>
      <c r="J90" s="71"/>
      <c r="K90" s="71"/>
      <c r="L90" s="71"/>
      <c r="M90" s="71"/>
      <c r="N90" s="71"/>
      <c r="O90" s="71"/>
      <c r="P90" s="71"/>
      <c r="Q90" s="71"/>
      <c r="R90" s="71"/>
      <c r="S90" s="71"/>
      <c r="T90" s="71"/>
      <c r="U90" s="71"/>
      <c r="V90" s="355"/>
      <c r="W90" s="377"/>
      <c r="X90" s="71"/>
      <c r="Y90" s="72"/>
      <c r="Z90" s="73"/>
      <c r="AA90" s="73"/>
      <c r="AB90" s="73"/>
      <c r="AC90" s="73"/>
      <c r="AE90" s="71"/>
      <c r="AF90" s="71"/>
      <c r="AG90" s="71"/>
      <c r="AH90" s="72"/>
      <c r="AI90" s="73"/>
      <c r="AK90" s="71"/>
      <c r="AL90" s="71"/>
      <c r="AM90" s="71"/>
      <c r="AN90" s="72"/>
      <c r="AO90" s="73"/>
      <c r="AQ90" s="71"/>
      <c r="AR90" s="71"/>
      <c r="AS90" s="71"/>
      <c r="AT90" s="72"/>
      <c r="AU90" s="73"/>
      <c r="AW90" s="71"/>
      <c r="AX90" s="71"/>
      <c r="AY90" s="71"/>
      <c r="AZ90" s="72"/>
      <c r="BA90" s="73"/>
    </row>
    <row r="91" spans="1:53" ht="17.100000000000001" customHeight="1" x14ac:dyDescent="0.25">
      <c r="A91" s="102"/>
      <c r="B91" s="102"/>
      <c r="C91" s="103" t="s">
        <v>65</v>
      </c>
      <c r="D91" s="108" t="s">
        <v>66</v>
      </c>
      <c r="E91" s="108"/>
      <c r="F91" s="108"/>
      <c r="G91" s="108"/>
      <c r="H91" s="258"/>
      <c r="I91" s="232"/>
      <c r="J91" s="111"/>
      <c r="K91" s="111"/>
      <c r="L91" s="111"/>
      <c r="M91" s="111"/>
      <c r="N91" s="111"/>
      <c r="O91" s="111"/>
      <c r="P91" s="111"/>
      <c r="Q91" s="111"/>
      <c r="R91" s="111"/>
      <c r="S91" s="111"/>
      <c r="T91" s="111"/>
      <c r="U91" s="111"/>
      <c r="V91" s="358"/>
      <c r="W91" s="380"/>
      <c r="X91" s="111"/>
      <c r="Y91" s="112"/>
      <c r="Z91" s="113"/>
      <c r="AA91" s="113"/>
      <c r="AB91" s="113"/>
      <c r="AC91" s="113"/>
      <c r="AE91" s="114"/>
      <c r="AF91" s="114"/>
      <c r="AG91" s="114"/>
      <c r="AH91" s="112"/>
      <c r="AI91" s="113"/>
      <c r="AK91" s="114"/>
      <c r="AL91" s="114"/>
      <c r="AM91" s="114"/>
      <c r="AN91" s="112"/>
      <c r="AO91" s="113"/>
      <c r="AQ91" s="114"/>
      <c r="AR91" s="114"/>
      <c r="AS91" s="114"/>
      <c r="AT91" s="112"/>
      <c r="AU91" s="113"/>
      <c r="AW91" s="114"/>
      <c r="AX91" s="114"/>
      <c r="AY91" s="114"/>
      <c r="AZ91" s="112"/>
      <c r="BA91" s="113"/>
    </row>
    <row r="92" spans="1:53" ht="17.100000000000001" customHeight="1" x14ac:dyDescent="0.25">
      <c r="A92" s="102"/>
      <c r="B92" s="118"/>
      <c r="C92" s="118"/>
      <c r="D92" s="103" t="s">
        <v>67</v>
      </c>
      <c r="E92" s="110" t="s">
        <v>68</v>
      </c>
      <c r="F92" s="313"/>
      <c r="G92" s="314"/>
      <c r="H92" s="259"/>
      <c r="I92" s="233"/>
      <c r="J92" s="152"/>
      <c r="K92" s="152"/>
      <c r="L92" s="152"/>
      <c r="M92" s="152"/>
      <c r="N92" s="152"/>
      <c r="O92" s="111"/>
      <c r="P92" s="60"/>
      <c r="Q92" s="152"/>
      <c r="R92" s="111"/>
      <c r="S92" s="60"/>
      <c r="T92" s="152"/>
      <c r="U92" s="111"/>
      <c r="V92" s="361"/>
      <c r="W92" s="391"/>
      <c r="X92" s="17"/>
      <c r="Y92" s="18">
        <f>M92+P92+S92+V92</f>
        <v>0</v>
      </c>
      <c r="Z92" s="19">
        <f>IF(Y$96=0,0,Y92/Y$96)</f>
        <v>0</v>
      </c>
      <c r="AA92" s="19"/>
      <c r="AB92" s="19"/>
      <c r="AC92" s="20"/>
      <c r="AE92" s="111"/>
      <c r="AF92" s="111"/>
      <c r="AG92" s="111"/>
      <c r="AH92" s="545"/>
      <c r="AI92" s="131"/>
      <c r="AK92" s="111"/>
      <c r="AL92" s="111"/>
      <c r="AM92" s="111"/>
      <c r="AN92" s="545"/>
      <c r="AO92" s="131"/>
      <c r="AQ92" s="111"/>
      <c r="AR92" s="111"/>
      <c r="AS92" s="111"/>
      <c r="AT92" s="545"/>
      <c r="AU92" s="131"/>
      <c r="AW92" s="111"/>
      <c r="AX92" s="111"/>
      <c r="AY92" s="111"/>
      <c r="AZ92" s="545"/>
      <c r="BA92" s="131"/>
    </row>
    <row r="93" spans="1:53" ht="17.100000000000001" customHeight="1" x14ac:dyDescent="0.25">
      <c r="A93" s="102"/>
      <c r="B93" s="118"/>
      <c r="C93" s="118"/>
      <c r="D93" s="103" t="s">
        <v>69</v>
      </c>
      <c r="E93" s="110" t="s">
        <v>70</v>
      </c>
      <c r="F93" s="226"/>
      <c r="G93" s="226"/>
      <c r="H93" s="260"/>
      <c r="I93" s="234"/>
      <c r="J93" s="152"/>
      <c r="K93" s="152"/>
      <c r="L93" s="111"/>
      <c r="M93" s="111"/>
      <c r="N93" s="152"/>
      <c r="O93" s="111"/>
      <c r="P93" s="61">
        <v>1</v>
      </c>
      <c r="Q93" s="152"/>
      <c r="R93" s="111"/>
      <c r="S93" s="61">
        <v>1</v>
      </c>
      <c r="T93" s="152"/>
      <c r="U93" s="111"/>
      <c r="V93" s="362"/>
      <c r="W93" s="391"/>
      <c r="X93" s="17"/>
      <c r="Y93" s="18">
        <f t="shared" ref="Y93:Y95" si="81">M93+P93+S93+V93</f>
        <v>2</v>
      </c>
      <c r="Z93" s="19">
        <f t="shared" ref="Z93:Z96" si="82">IF(Y$96=0,0,Y93/Y$96)</f>
        <v>1</v>
      </c>
      <c r="AA93" s="19"/>
      <c r="AB93" s="19"/>
      <c r="AC93" s="20"/>
      <c r="AE93" s="111"/>
      <c r="AF93" s="111"/>
      <c r="AG93" s="111"/>
      <c r="AH93" s="545"/>
      <c r="AI93" s="131"/>
      <c r="AK93" s="111"/>
      <c r="AL93" s="111"/>
      <c r="AM93" s="111"/>
      <c r="AN93" s="545"/>
      <c r="AO93" s="131"/>
      <c r="AQ93" s="111"/>
      <c r="AR93" s="111"/>
      <c r="AS93" s="111"/>
      <c r="AT93" s="545"/>
      <c r="AU93" s="131"/>
      <c r="AW93" s="111"/>
      <c r="AX93" s="111"/>
      <c r="AY93" s="111"/>
      <c r="AZ93" s="545"/>
      <c r="BA93" s="131"/>
    </row>
    <row r="94" spans="1:53" ht="17.100000000000001" customHeight="1" x14ac:dyDescent="0.25">
      <c r="A94" s="102"/>
      <c r="B94" s="118"/>
      <c r="C94" s="118"/>
      <c r="D94" s="103" t="s">
        <v>71</v>
      </c>
      <c r="E94" s="110" t="s">
        <v>72</v>
      </c>
      <c r="F94" s="226"/>
      <c r="G94" s="226"/>
      <c r="H94" s="260"/>
      <c r="I94" s="234"/>
      <c r="J94" s="152"/>
      <c r="K94" s="152"/>
      <c r="L94" s="111"/>
      <c r="M94" s="111"/>
      <c r="N94" s="152"/>
      <c r="O94" s="111"/>
      <c r="P94" s="60"/>
      <c r="Q94" s="152"/>
      <c r="R94" s="111"/>
      <c r="S94" s="60"/>
      <c r="T94" s="152"/>
      <c r="U94" s="111"/>
      <c r="V94" s="361"/>
      <c r="W94" s="391"/>
      <c r="X94" s="17"/>
      <c r="Y94" s="18">
        <f t="shared" si="81"/>
        <v>0</v>
      </c>
      <c r="Z94" s="19">
        <f t="shared" si="82"/>
        <v>0</v>
      </c>
      <c r="AA94" s="19"/>
      <c r="AB94" s="19"/>
      <c r="AC94" s="20"/>
      <c r="AE94" s="111"/>
      <c r="AF94" s="111"/>
      <c r="AG94" s="111"/>
      <c r="AH94" s="545"/>
      <c r="AI94" s="131"/>
      <c r="AK94" s="111"/>
      <c r="AL94" s="111"/>
      <c r="AM94" s="111"/>
      <c r="AN94" s="545"/>
      <c r="AO94" s="131"/>
      <c r="AQ94" s="111"/>
      <c r="AR94" s="111"/>
      <c r="AS94" s="111"/>
      <c r="AT94" s="545"/>
      <c r="AU94" s="131"/>
      <c r="AW94" s="111"/>
      <c r="AX94" s="111"/>
      <c r="AY94" s="111"/>
      <c r="AZ94" s="545"/>
      <c r="BA94" s="131"/>
    </row>
    <row r="95" spans="1:53" ht="17.100000000000001" customHeight="1" x14ac:dyDescent="0.25">
      <c r="A95" s="102"/>
      <c r="B95" s="118"/>
      <c r="C95" s="118"/>
      <c r="D95" s="103" t="s">
        <v>73</v>
      </c>
      <c r="E95" s="278" t="s">
        <v>561</v>
      </c>
      <c r="F95" s="313"/>
      <c r="G95" s="314"/>
      <c r="H95" s="259"/>
      <c r="I95" s="233"/>
      <c r="J95" s="152"/>
      <c r="K95" s="152"/>
      <c r="L95" s="111"/>
      <c r="M95" s="111"/>
      <c r="N95" s="152"/>
      <c r="O95" s="111"/>
      <c r="P95" s="61"/>
      <c r="Q95" s="152"/>
      <c r="R95" s="111"/>
      <c r="S95" s="61"/>
      <c r="T95" s="152"/>
      <c r="U95" s="111"/>
      <c r="V95" s="362"/>
      <c r="W95" s="391"/>
      <c r="X95" s="17"/>
      <c r="Y95" s="18">
        <f t="shared" si="81"/>
        <v>0</v>
      </c>
      <c r="Z95" s="19">
        <f t="shared" si="82"/>
        <v>0</v>
      </c>
      <c r="AA95" s="19"/>
      <c r="AB95" s="19"/>
      <c r="AC95" s="20"/>
      <c r="AE95" s="111"/>
      <c r="AF95" s="111"/>
      <c r="AG95" s="111"/>
      <c r="AH95" s="545"/>
      <c r="AI95" s="131"/>
      <c r="AK95" s="111"/>
      <c r="AL95" s="111"/>
      <c r="AM95" s="111"/>
      <c r="AN95" s="545"/>
      <c r="AO95" s="131"/>
      <c r="AQ95" s="111"/>
      <c r="AR95" s="111"/>
      <c r="AS95" s="111"/>
      <c r="AT95" s="545"/>
      <c r="AU95" s="131"/>
      <c r="AW95" s="111"/>
      <c r="AX95" s="111"/>
      <c r="AY95" s="111"/>
      <c r="AZ95" s="545"/>
      <c r="BA95" s="131"/>
    </row>
    <row r="96" spans="1:53" ht="17.100000000000001" customHeight="1" x14ac:dyDescent="0.25">
      <c r="A96" s="40"/>
      <c r="B96" s="40"/>
      <c r="C96" s="77"/>
      <c r="D96" s="78"/>
      <c r="E96" s="78"/>
      <c r="F96" s="78"/>
      <c r="G96" s="78"/>
      <c r="H96" s="242"/>
      <c r="I96" s="230"/>
      <c r="J96" s="80"/>
      <c r="K96" s="80"/>
      <c r="L96" s="81"/>
      <c r="M96" s="81"/>
      <c r="N96" s="81"/>
      <c r="O96" s="81"/>
      <c r="P96" s="82">
        <f>SUM(P92:P95)</f>
        <v>1</v>
      </c>
      <c r="Q96" s="81"/>
      <c r="R96" s="81"/>
      <c r="S96" s="82">
        <f>SUM(S92:S95)</f>
        <v>1</v>
      </c>
      <c r="T96" s="81"/>
      <c r="U96" s="81"/>
      <c r="V96" s="360">
        <f>SUM(V92:V95)</f>
        <v>0</v>
      </c>
      <c r="W96" s="381"/>
      <c r="X96" s="82"/>
      <c r="Y96" s="82">
        <f t="shared" ref="Y96" si="83">SUM(Y92:Y95)</f>
        <v>2</v>
      </c>
      <c r="Z96" s="205">
        <f t="shared" si="82"/>
        <v>1</v>
      </c>
      <c r="AA96" s="205"/>
      <c r="AB96" s="205"/>
      <c r="AC96" s="83"/>
      <c r="AE96" s="81"/>
      <c r="AF96" s="81"/>
      <c r="AG96" s="81"/>
      <c r="AH96" s="82"/>
      <c r="AI96" s="66"/>
      <c r="AK96" s="81"/>
      <c r="AL96" s="81"/>
      <c r="AM96" s="81"/>
      <c r="AN96" s="82"/>
      <c r="AO96" s="66"/>
      <c r="AQ96" s="81"/>
      <c r="AR96" s="81"/>
      <c r="AS96" s="81"/>
      <c r="AT96" s="82"/>
      <c r="AU96" s="66"/>
      <c r="AW96" s="81"/>
      <c r="AX96" s="81"/>
      <c r="AY96" s="81"/>
      <c r="AZ96" s="82"/>
      <c r="BA96" s="66"/>
    </row>
    <row r="97" spans="1:53" s="117" customFormat="1" ht="17.100000000000001" customHeight="1" x14ac:dyDescent="0.25">
      <c r="A97" s="119"/>
      <c r="B97" s="119"/>
      <c r="C97" s="540"/>
      <c r="D97" s="212"/>
      <c r="E97" s="212"/>
      <c r="F97" s="212"/>
      <c r="G97" s="212"/>
      <c r="H97" s="242"/>
      <c r="I97" s="230"/>
      <c r="J97" s="17"/>
      <c r="K97" s="17"/>
      <c r="L97" s="17"/>
      <c r="M97" s="17"/>
      <c r="N97" s="17"/>
      <c r="O97" s="17"/>
      <c r="P97" s="359" t="str">
        <f>IF(P$20=0,"",IF(P96=1,"OK","NOK"))</f>
        <v>OK</v>
      </c>
      <c r="Q97" s="17"/>
      <c r="R97" s="17"/>
      <c r="S97" s="359" t="str">
        <f>IF(S$20=0,"",IF(S96=1,"OK","NOK"))</f>
        <v>OK</v>
      </c>
      <c r="T97" s="17"/>
      <c r="U97" s="17"/>
      <c r="V97" s="359" t="str">
        <f>IF(V$20=0,"",IF(V96=1,"OK","NOK"))</f>
        <v/>
      </c>
      <c r="W97" s="382"/>
      <c r="X97" s="539"/>
      <c r="Y97" s="539"/>
      <c r="Z97" s="201"/>
      <c r="AA97" s="201"/>
      <c r="AB97" s="201"/>
      <c r="AC97" s="84"/>
      <c r="AE97" s="17"/>
      <c r="AF97" s="17"/>
      <c r="AG97" s="17"/>
      <c r="AH97" s="539"/>
      <c r="AI97" s="91"/>
      <c r="AK97" s="17"/>
      <c r="AL97" s="17"/>
      <c r="AM97" s="17"/>
      <c r="AN97" s="539"/>
      <c r="AO97" s="91"/>
      <c r="AQ97" s="17"/>
      <c r="AR97" s="17"/>
      <c r="AS97" s="17"/>
      <c r="AT97" s="539"/>
      <c r="AU97" s="91"/>
      <c r="AW97" s="17"/>
      <c r="AX97" s="17"/>
      <c r="AY97" s="17"/>
      <c r="AZ97" s="539"/>
      <c r="BA97" s="91"/>
    </row>
    <row r="98" spans="1:53" ht="17.100000000000001" customHeight="1" x14ac:dyDescent="0.25">
      <c r="A98" s="68"/>
      <c r="B98" s="41" t="s">
        <v>74</v>
      </c>
      <c r="C98" s="69" t="s">
        <v>12</v>
      </c>
      <c r="D98" s="50"/>
      <c r="E98" s="70"/>
      <c r="F98" s="70"/>
      <c r="G98" s="70"/>
      <c r="H98" s="119"/>
      <c r="J98" s="71"/>
      <c r="K98" s="71"/>
      <c r="L98" s="71"/>
      <c r="M98" s="71"/>
      <c r="N98" s="71"/>
      <c r="O98" s="71"/>
      <c r="P98" s="71"/>
      <c r="Q98" s="71"/>
      <c r="R98" s="71"/>
      <c r="S98" s="71"/>
      <c r="T98" s="71"/>
      <c r="U98" s="71"/>
      <c r="V98" s="355"/>
      <c r="W98" s="377"/>
      <c r="X98" s="71"/>
      <c r="Y98" s="72"/>
      <c r="Z98" s="73"/>
      <c r="AA98" s="73"/>
      <c r="AB98" s="73"/>
      <c r="AC98" s="73"/>
      <c r="AE98" s="71"/>
      <c r="AF98" s="71"/>
      <c r="AG98" s="71"/>
      <c r="AH98" s="72"/>
      <c r="AI98" s="73"/>
      <c r="AK98" s="71"/>
      <c r="AL98" s="71"/>
      <c r="AM98" s="71"/>
      <c r="AN98" s="72"/>
      <c r="AO98" s="73"/>
      <c r="AQ98" s="71"/>
      <c r="AR98" s="71"/>
      <c r="AS98" s="71"/>
      <c r="AT98" s="72"/>
      <c r="AU98" s="73"/>
      <c r="AW98" s="71"/>
      <c r="AX98" s="71"/>
      <c r="AY98" s="71"/>
      <c r="AZ98" s="72"/>
      <c r="BA98" s="73"/>
    </row>
    <row r="99" spans="1:53" s="97" customFormat="1" ht="17.100000000000001" customHeight="1" x14ac:dyDescent="0.25">
      <c r="A99" s="119"/>
      <c r="B99" s="119"/>
      <c r="C99" s="120" t="s">
        <v>895</v>
      </c>
      <c r="D99" s="85"/>
      <c r="E99" s="75"/>
      <c r="F99" s="75"/>
      <c r="G99" s="75"/>
      <c r="H99" s="540"/>
      <c r="I99" s="229"/>
      <c r="J99" s="111"/>
      <c r="K99" s="111"/>
      <c r="L99" s="111"/>
      <c r="M99" s="111"/>
      <c r="N99" s="111"/>
      <c r="O99" s="111"/>
      <c r="P99" s="111"/>
      <c r="Q99" s="111"/>
      <c r="R99" s="111"/>
      <c r="S99" s="111"/>
      <c r="T99" s="111"/>
      <c r="U99" s="111"/>
      <c r="V99" s="358"/>
      <c r="W99" s="380"/>
      <c r="X99" s="111"/>
      <c r="Y99" s="112"/>
      <c r="Z99" s="113"/>
      <c r="AA99" s="113"/>
      <c r="AB99" s="113"/>
      <c r="AC99" s="113"/>
      <c r="AE99" s="114"/>
      <c r="AF99" s="114"/>
      <c r="AG99" s="114"/>
      <c r="AH99" s="112"/>
      <c r="AI99" s="113"/>
      <c r="AK99" s="114"/>
      <c r="AL99" s="114"/>
      <c r="AM99" s="114"/>
      <c r="AN99" s="112"/>
      <c r="AO99" s="113"/>
      <c r="AQ99" s="114"/>
      <c r="AR99" s="114"/>
      <c r="AS99" s="114"/>
      <c r="AT99" s="112"/>
      <c r="AU99" s="113"/>
      <c r="AW99" s="114"/>
      <c r="AX99" s="114"/>
      <c r="AY99" s="114"/>
      <c r="AZ99" s="112"/>
      <c r="BA99" s="113"/>
    </row>
    <row r="100" spans="1:53" s="97" customFormat="1" ht="17.100000000000001" customHeight="1" x14ac:dyDescent="0.25">
      <c r="A100" s="119"/>
      <c r="B100" s="119"/>
      <c r="C100" s="540"/>
      <c r="D100" s="121" t="s">
        <v>75</v>
      </c>
      <c r="E100" s="122"/>
      <c r="F100" s="122"/>
      <c r="G100" s="122"/>
      <c r="H100" s="540"/>
      <c r="I100" s="229"/>
      <c r="J100" s="123"/>
      <c r="K100" s="123"/>
      <c r="L100" s="123"/>
      <c r="M100" s="123"/>
      <c r="N100" s="123"/>
      <c r="O100" s="123"/>
      <c r="P100" s="123"/>
      <c r="Q100" s="123"/>
      <c r="R100" s="123"/>
      <c r="S100" s="123"/>
      <c r="T100" s="123"/>
      <c r="U100" s="123"/>
      <c r="V100" s="363"/>
      <c r="W100" s="383"/>
      <c r="X100" s="123"/>
      <c r="Y100" s="124"/>
      <c r="Z100" s="125"/>
      <c r="AA100" s="125"/>
      <c r="AB100" s="125"/>
      <c r="AC100" s="125"/>
      <c r="AE100" s="126"/>
      <c r="AF100" s="126"/>
      <c r="AG100" s="126"/>
      <c r="AH100" s="124"/>
      <c r="AI100" s="125"/>
      <c r="AK100" s="126"/>
      <c r="AL100" s="126"/>
      <c r="AM100" s="126"/>
      <c r="AN100" s="124"/>
      <c r="AO100" s="125"/>
      <c r="AQ100" s="126"/>
      <c r="AR100" s="126"/>
      <c r="AS100" s="126"/>
      <c r="AT100" s="124"/>
      <c r="AU100" s="125"/>
      <c r="AW100" s="126"/>
      <c r="AX100" s="126"/>
      <c r="AY100" s="126"/>
      <c r="AZ100" s="124"/>
      <c r="BA100" s="125"/>
    </row>
    <row r="101" spans="1:53" s="97" customFormat="1" ht="17.100000000000001" customHeight="1" x14ac:dyDescent="0.25">
      <c r="A101" s="137"/>
      <c r="B101" s="137"/>
      <c r="C101" s="928"/>
      <c r="D101" s="941" t="s">
        <v>1438</v>
      </c>
      <c r="E101" s="122"/>
      <c r="F101" s="122"/>
      <c r="G101" s="122"/>
      <c r="H101" s="928"/>
      <c r="I101" s="229"/>
      <c r="J101" s="123"/>
      <c r="K101" s="123"/>
      <c r="L101" s="123"/>
      <c r="M101" s="123"/>
      <c r="N101" s="123">
        <f>N40</f>
        <v>0</v>
      </c>
      <c r="O101" s="123">
        <f>O40</f>
        <v>0</v>
      </c>
      <c r="P101" s="942">
        <f>SUM(N101:O101)</f>
        <v>0</v>
      </c>
      <c r="Q101" s="123">
        <f>Q40</f>
        <v>0</v>
      </c>
      <c r="R101" s="123">
        <f>R40</f>
        <v>0</v>
      </c>
      <c r="S101" s="942">
        <f>SUM(Q101:R101)</f>
        <v>0</v>
      </c>
      <c r="T101" s="123">
        <f>T40</f>
        <v>0</v>
      </c>
      <c r="U101" s="123">
        <f>U40</f>
        <v>0</v>
      </c>
      <c r="V101" s="942">
        <f>SUM(T101:U101)</f>
        <v>0</v>
      </c>
      <c r="W101" s="383"/>
      <c r="X101" s="123"/>
      <c r="Y101" s="129"/>
      <c r="Z101" s="125"/>
      <c r="AA101" s="125"/>
      <c r="AB101" s="125"/>
      <c r="AC101" s="125"/>
      <c r="AE101" s="126"/>
      <c r="AF101" s="126"/>
      <c r="AG101" s="126"/>
      <c r="AH101" s="124"/>
      <c r="AI101" s="125"/>
      <c r="AK101" s="126"/>
      <c r="AL101" s="126"/>
      <c r="AM101" s="126"/>
      <c r="AN101" s="124"/>
      <c r="AO101" s="125"/>
      <c r="AQ101" s="126"/>
      <c r="AR101" s="126"/>
      <c r="AS101" s="126"/>
      <c r="AT101" s="124"/>
      <c r="AU101" s="125"/>
      <c r="AW101" s="126"/>
      <c r="AX101" s="126"/>
      <c r="AY101" s="126"/>
      <c r="AZ101" s="124"/>
      <c r="BA101" s="125"/>
    </row>
    <row r="102" spans="1:53" s="97" customFormat="1" ht="17.100000000000001" customHeight="1" x14ac:dyDescent="0.25">
      <c r="A102" s="137"/>
      <c r="B102" s="119"/>
      <c r="C102" s="928"/>
      <c r="D102" s="127" t="s">
        <v>76</v>
      </c>
      <c r="E102" s="128"/>
      <c r="F102" s="122"/>
      <c r="G102" s="122"/>
      <c r="H102" s="928"/>
      <c r="I102" s="229"/>
      <c r="J102" s="123"/>
      <c r="K102" s="123"/>
      <c r="L102" s="123"/>
      <c r="M102" s="123"/>
      <c r="N102" s="943">
        <f>N63</f>
        <v>0</v>
      </c>
      <c r="O102" s="943">
        <f>O63</f>
        <v>0</v>
      </c>
      <c r="P102" s="942">
        <f>SUM(N102:O102)</f>
        <v>0</v>
      </c>
      <c r="Q102" s="943">
        <f>Q63</f>
        <v>0</v>
      </c>
      <c r="R102" s="943">
        <f>R63</f>
        <v>0</v>
      </c>
      <c r="S102" s="942">
        <f>SUM(Q102:R102)</f>
        <v>0</v>
      </c>
      <c r="T102" s="943">
        <f>T63</f>
        <v>0</v>
      </c>
      <c r="U102" s="943">
        <f>U63</f>
        <v>0</v>
      </c>
      <c r="V102" s="942">
        <f>SUM(T102:U102)</f>
        <v>0</v>
      </c>
      <c r="W102" s="383"/>
      <c r="X102" s="123"/>
      <c r="Y102" s="129"/>
      <c r="Z102" s="125"/>
      <c r="AA102" s="125"/>
      <c r="AB102" s="125"/>
      <c r="AC102" s="125"/>
      <c r="AE102" s="123"/>
      <c r="AF102" s="123"/>
      <c r="AG102" s="123"/>
      <c r="AH102" s="124"/>
      <c r="AI102" s="125"/>
      <c r="AK102" s="123"/>
      <c r="AL102" s="123"/>
      <c r="AM102" s="123"/>
      <c r="AN102" s="124"/>
      <c r="AO102" s="125"/>
      <c r="AQ102" s="123"/>
      <c r="AR102" s="123"/>
      <c r="AS102" s="123"/>
      <c r="AT102" s="124"/>
      <c r="AU102" s="125"/>
      <c r="AW102" s="123"/>
      <c r="AX102" s="123"/>
      <c r="AY102" s="123"/>
      <c r="AZ102" s="124"/>
      <c r="BA102" s="125"/>
    </row>
    <row r="103" spans="1:53" s="97" customFormat="1" ht="17.100000000000001" customHeight="1" x14ac:dyDescent="0.25">
      <c r="A103" s="137"/>
      <c r="B103" s="119"/>
      <c r="C103" s="928"/>
      <c r="D103" s="127" t="s">
        <v>77</v>
      </c>
      <c r="E103" s="128"/>
      <c r="F103" s="122"/>
      <c r="G103" s="122"/>
      <c r="H103" s="928"/>
      <c r="I103" s="229"/>
      <c r="J103" s="123"/>
      <c r="K103" s="123"/>
      <c r="L103" s="123"/>
      <c r="M103" s="123"/>
      <c r="N103" s="943">
        <f>N64</f>
        <v>0</v>
      </c>
      <c r="O103" s="943">
        <f>O64</f>
        <v>0</v>
      </c>
      <c r="P103" s="942">
        <f t="shared" ref="P103:P107" si="84">SUM(N103:O103)</f>
        <v>0</v>
      </c>
      <c r="Q103" s="943">
        <f>Q64</f>
        <v>0</v>
      </c>
      <c r="R103" s="943">
        <f>R64</f>
        <v>0</v>
      </c>
      <c r="S103" s="942">
        <f t="shared" ref="S103:S107" si="85">SUM(Q103:R103)</f>
        <v>0</v>
      </c>
      <c r="T103" s="943">
        <f>T64</f>
        <v>0</v>
      </c>
      <c r="U103" s="943">
        <f>U64</f>
        <v>0</v>
      </c>
      <c r="V103" s="942">
        <f t="shared" ref="V103:V107" si="86">SUM(T103:U103)</f>
        <v>0</v>
      </c>
      <c r="W103" s="383"/>
      <c r="X103" s="123"/>
      <c r="Y103" s="129"/>
      <c r="Z103" s="125"/>
      <c r="AA103" s="125"/>
      <c r="AB103" s="125"/>
      <c r="AC103" s="125"/>
      <c r="AE103" s="123"/>
      <c r="AF103" s="123"/>
      <c r="AG103" s="123"/>
      <c r="AH103" s="124"/>
      <c r="AI103" s="125"/>
      <c r="AK103" s="123"/>
      <c r="AL103" s="123"/>
      <c r="AM103" s="123"/>
      <c r="AN103" s="124"/>
      <c r="AO103" s="125"/>
      <c r="AQ103" s="123"/>
      <c r="AR103" s="123"/>
      <c r="AS103" s="123"/>
      <c r="AT103" s="124"/>
      <c r="AU103" s="125"/>
      <c r="AW103" s="123"/>
      <c r="AX103" s="123"/>
      <c r="AY103" s="123"/>
      <c r="AZ103" s="124"/>
      <c r="BA103" s="125"/>
    </row>
    <row r="104" spans="1:53" s="97" customFormat="1" ht="17.100000000000001" customHeight="1" x14ac:dyDescent="0.25">
      <c r="A104" s="137"/>
      <c r="B104" s="119"/>
      <c r="C104" s="928"/>
      <c r="D104" s="127" t="s">
        <v>78</v>
      </c>
      <c r="E104" s="128"/>
      <c r="F104" s="122"/>
      <c r="G104" s="122"/>
      <c r="H104" s="928"/>
      <c r="I104" s="229"/>
      <c r="J104" s="123"/>
      <c r="K104" s="123"/>
      <c r="L104" s="123"/>
      <c r="M104" s="123"/>
      <c r="N104" s="943">
        <f>N71</f>
        <v>0</v>
      </c>
      <c r="O104" s="943">
        <f>O71</f>
        <v>0</v>
      </c>
      <c r="P104" s="942">
        <f t="shared" si="84"/>
        <v>0</v>
      </c>
      <c r="Q104" s="943">
        <f>Q71</f>
        <v>0</v>
      </c>
      <c r="R104" s="943">
        <f>R71</f>
        <v>0</v>
      </c>
      <c r="S104" s="942">
        <f t="shared" si="85"/>
        <v>0</v>
      </c>
      <c r="T104" s="943">
        <f>T71</f>
        <v>0</v>
      </c>
      <c r="U104" s="943">
        <f>U71</f>
        <v>0</v>
      </c>
      <c r="V104" s="942">
        <f t="shared" si="86"/>
        <v>0</v>
      </c>
      <c r="W104" s="383"/>
      <c r="X104" s="123"/>
      <c r="Y104" s="129"/>
      <c r="Z104" s="125"/>
      <c r="AA104" s="125"/>
      <c r="AB104" s="125"/>
      <c r="AC104" s="125"/>
      <c r="AE104" s="123"/>
      <c r="AF104" s="123"/>
      <c r="AG104" s="123"/>
      <c r="AH104" s="124"/>
      <c r="AI104" s="125"/>
      <c r="AK104" s="123"/>
      <c r="AL104" s="123"/>
      <c r="AM104" s="123"/>
      <c r="AN104" s="124"/>
      <c r="AO104" s="125"/>
      <c r="AQ104" s="123"/>
      <c r="AR104" s="123"/>
      <c r="AS104" s="123"/>
      <c r="AT104" s="124"/>
      <c r="AU104" s="125"/>
      <c r="AW104" s="123"/>
      <c r="AX104" s="123"/>
      <c r="AY104" s="123"/>
      <c r="AZ104" s="124"/>
      <c r="BA104" s="125"/>
    </row>
    <row r="105" spans="1:53" s="97" customFormat="1" ht="17.100000000000001" customHeight="1" x14ac:dyDescent="0.25">
      <c r="A105" s="137"/>
      <c r="B105" s="119"/>
      <c r="C105" s="928"/>
      <c r="D105" s="127" t="s">
        <v>79</v>
      </c>
      <c r="E105" s="122"/>
      <c r="F105" s="122"/>
      <c r="G105" s="122"/>
      <c r="H105" s="928"/>
      <c r="I105" s="229"/>
      <c r="J105" s="123"/>
      <c r="K105" s="123"/>
      <c r="L105" s="123"/>
      <c r="M105" s="123"/>
      <c r="N105" s="943">
        <f>N72</f>
        <v>0</v>
      </c>
      <c r="O105" s="943">
        <f>O72</f>
        <v>0</v>
      </c>
      <c r="P105" s="942">
        <f t="shared" si="84"/>
        <v>0</v>
      </c>
      <c r="Q105" s="943">
        <f>Q72</f>
        <v>0</v>
      </c>
      <c r="R105" s="943">
        <f>R72</f>
        <v>0</v>
      </c>
      <c r="S105" s="942">
        <f t="shared" si="85"/>
        <v>0</v>
      </c>
      <c r="T105" s="943">
        <f>T72</f>
        <v>0</v>
      </c>
      <c r="U105" s="943">
        <f>U72</f>
        <v>0</v>
      </c>
      <c r="V105" s="942">
        <f t="shared" si="86"/>
        <v>0</v>
      </c>
      <c r="W105" s="383"/>
      <c r="X105" s="123"/>
      <c r="Y105" s="129"/>
      <c r="Z105" s="125"/>
      <c r="AA105" s="125"/>
      <c r="AB105" s="125"/>
      <c r="AC105" s="125"/>
      <c r="AE105" s="123"/>
      <c r="AF105" s="123"/>
      <c r="AG105" s="123"/>
      <c r="AH105" s="124"/>
      <c r="AI105" s="125"/>
      <c r="AK105" s="123"/>
      <c r="AL105" s="123"/>
      <c r="AM105" s="123"/>
      <c r="AN105" s="124"/>
      <c r="AO105" s="125"/>
      <c r="AQ105" s="123"/>
      <c r="AR105" s="123"/>
      <c r="AS105" s="123"/>
      <c r="AT105" s="124"/>
      <c r="AU105" s="125"/>
      <c r="AW105" s="123"/>
      <c r="AX105" s="123"/>
      <c r="AY105" s="123"/>
      <c r="AZ105" s="124"/>
      <c r="BA105" s="125"/>
    </row>
    <row r="106" spans="1:53" s="97" customFormat="1" ht="17.100000000000001" customHeight="1" x14ac:dyDescent="0.25">
      <c r="A106" s="137"/>
      <c r="B106" s="137"/>
      <c r="C106" s="928"/>
      <c r="D106" s="127" t="s">
        <v>81</v>
      </c>
      <c r="E106" s="122"/>
      <c r="F106" s="122"/>
      <c r="G106" s="122"/>
      <c r="H106" s="928"/>
      <c r="I106" s="229"/>
      <c r="J106" s="123"/>
      <c r="K106" s="123"/>
      <c r="L106" s="123"/>
      <c r="M106" s="123"/>
      <c r="N106" s="943">
        <f>SUM(N101:N105)</f>
        <v>0</v>
      </c>
      <c r="O106" s="943">
        <f>SUM(O101:O105)</f>
        <v>0</v>
      </c>
      <c r="P106" s="942">
        <f t="shared" si="84"/>
        <v>0</v>
      </c>
      <c r="Q106" s="943">
        <f>SUM(Q101:Q105)</f>
        <v>0</v>
      </c>
      <c r="R106" s="943">
        <f>SUM(R101:R105)</f>
        <v>0</v>
      </c>
      <c r="S106" s="942">
        <f t="shared" si="85"/>
        <v>0</v>
      </c>
      <c r="T106" s="943">
        <f>SUM(T101:T105)</f>
        <v>0</v>
      </c>
      <c r="U106" s="943">
        <f>SUM(U101:U105)</f>
        <v>0</v>
      </c>
      <c r="V106" s="942">
        <f t="shared" si="86"/>
        <v>0</v>
      </c>
      <c r="W106" s="383"/>
      <c r="X106" s="123"/>
      <c r="Y106" s="129"/>
      <c r="Z106" s="125"/>
      <c r="AA106" s="125"/>
      <c r="AB106" s="125"/>
      <c r="AC106" s="125"/>
      <c r="AE106" s="123"/>
      <c r="AF106" s="123"/>
      <c r="AG106" s="123"/>
      <c r="AH106" s="124"/>
      <c r="AI106" s="125"/>
      <c r="AK106" s="123"/>
      <c r="AL106" s="123"/>
      <c r="AM106" s="123"/>
      <c r="AN106" s="124"/>
      <c r="AO106" s="125"/>
      <c r="AQ106" s="123"/>
      <c r="AR106" s="123"/>
      <c r="AS106" s="123"/>
      <c r="AT106" s="124"/>
      <c r="AU106" s="125"/>
      <c r="AW106" s="123"/>
      <c r="AX106" s="123"/>
      <c r="AY106" s="123"/>
      <c r="AZ106" s="124"/>
      <c r="BA106" s="125"/>
    </row>
    <row r="107" spans="1:53" s="97" customFormat="1" ht="17.100000000000001" customHeight="1" x14ac:dyDescent="0.25">
      <c r="A107" s="137"/>
      <c r="B107" s="137"/>
      <c r="C107" s="928"/>
      <c r="D107" s="127" t="s">
        <v>1439</v>
      </c>
      <c r="E107" s="122"/>
      <c r="F107" s="122"/>
      <c r="G107" s="122"/>
      <c r="H107" s="928"/>
      <c r="I107" s="229"/>
      <c r="J107" s="123"/>
      <c r="K107" s="123"/>
      <c r="L107" s="123"/>
      <c r="M107" s="123"/>
      <c r="N107" s="943">
        <f>N20*3</f>
        <v>0</v>
      </c>
      <c r="O107" s="943">
        <f>O20*3</f>
        <v>24</v>
      </c>
      <c r="P107" s="942">
        <f t="shared" si="84"/>
        <v>24</v>
      </c>
      <c r="Q107" s="943">
        <f>Q20*3</f>
        <v>9</v>
      </c>
      <c r="R107" s="943">
        <f>R20*3</f>
        <v>12</v>
      </c>
      <c r="S107" s="942">
        <f t="shared" si="85"/>
        <v>21</v>
      </c>
      <c r="T107" s="943">
        <f>T20*3</f>
        <v>0</v>
      </c>
      <c r="U107" s="943">
        <f>U20*3</f>
        <v>0</v>
      </c>
      <c r="V107" s="942">
        <f t="shared" si="86"/>
        <v>0</v>
      </c>
      <c r="W107" s="383"/>
      <c r="X107" s="123"/>
      <c r="Y107" s="129"/>
      <c r="Z107" s="125"/>
      <c r="AA107" s="125"/>
      <c r="AB107" s="125"/>
      <c r="AC107" s="125"/>
      <c r="AE107" s="123"/>
      <c r="AF107" s="123"/>
      <c r="AG107" s="123"/>
      <c r="AH107" s="124"/>
      <c r="AI107" s="125"/>
      <c r="AK107" s="123"/>
      <c r="AL107" s="123"/>
      <c r="AM107" s="123"/>
      <c r="AN107" s="124"/>
      <c r="AO107" s="125"/>
      <c r="AQ107" s="123"/>
      <c r="AR107" s="123"/>
      <c r="AS107" s="123"/>
      <c r="AT107" s="124"/>
      <c r="AU107" s="125"/>
      <c r="AW107" s="123"/>
      <c r="AX107" s="123"/>
      <c r="AY107" s="123"/>
      <c r="AZ107" s="124"/>
      <c r="BA107" s="125"/>
    </row>
    <row r="108" spans="1:53" s="97" customFormat="1" ht="17.100000000000001" customHeight="1" x14ac:dyDescent="0.25">
      <c r="A108" s="137"/>
      <c r="B108" s="137"/>
      <c r="C108" s="928"/>
      <c r="D108" s="127" t="s">
        <v>1440</v>
      </c>
      <c r="E108" s="122"/>
      <c r="F108" s="122"/>
      <c r="G108" s="122"/>
      <c r="H108" s="928"/>
      <c r="I108" s="229"/>
      <c r="J108" s="123"/>
      <c r="K108" s="123"/>
      <c r="L108" s="123"/>
      <c r="M108" s="123"/>
      <c r="N108" s="130">
        <f>IF(N107=0,0,N106/N107)</f>
        <v>0</v>
      </c>
      <c r="O108" s="130">
        <f t="shared" ref="O108:V108" si="87">IF(O107=0,0,O106/O107)</f>
        <v>0</v>
      </c>
      <c r="P108" s="130">
        <f t="shared" si="87"/>
        <v>0</v>
      </c>
      <c r="Q108" s="130">
        <f t="shared" si="87"/>
        <v>0</v>
      </c>
      <c r="R108" s="130">
        <f t="shared" si="87"/>
        <v>0</v>
      </c>
      <c r="S108" s="130">
        <f t="shared" si="87"/>
        <v>0</v>
      </c>
      <c r="T108" s="130">
        <f t="shared" si="87"/>
        <v>0</v>
      </c>
      <c r="U108" s="130">
        <f t="shared" si="87"/>
        <v>0</v>
      </c>
      <c r="V108" s="130">
        <f t="shared" si="87"/>
        <v>0</v>
      </c>
      <c r="W108" s="383"/>
      <c r="X108" s="123"/>
      <c r="Y108" s="129"/>
      <c r="Z108" s="125"/>
      <c r="AA108" s="125"/>
      <c r="AB108" s="125"/>
      <c r="AC108" s="125"/>
      <c r="AE108" s="123"/>
      <c r="AF108" s="123"/>
      <c r="AG108" s="123"/>
      <c r="AH108" s="124"/>
      <c r="AI108" s="125"/>
      <c r="AK108" s="123"/>
      <c r="AL108" s="123"/>
      <c r="AM108" s="123"/>
      <c r="AN108" s="124"/>
      <c r="AO108" s="125"/>
      <c r="AQ108" s="123"/>
      <c r="AR108" s="123"/>
      <c r="AS108" s="123"/>
      <c r="AT108" s="124"/>
      <c r="AU108" s="125"/>
      <c r="AW108" s="123"/>
      <c r="AX108" s="123"/>
      <c r="AY108" s="123"/>
      <c r="AZ108" s="124"/>
      <c r="BA108" s="125"/>
    </row>
    <row r="109" spans="1:53" s="97" customFormat="1" ht="17.100000000000001" customHeight="1" x14ac:dyDescent="0.25">
      <c r="A109" s="137"/>
      <c r="B109" s="119"/>
      <c r="C109" s="103" t="s">
        <v>80</v>
      </c>
      <c r="D109" s="85" t="s">
        <v>896</v>
      </c>
      <c r="E109" s="75"/>
      <c r="F109" s="75"/>
      <c r="G109" s="75"/>
      <c r="H109" s="1310"/>
      <c r="I109" s="229"/>
      <c r="J109" s="1309"/>
      <c r="K109" s="1309"/>
      <c r="L109" s="1309"/>
      <c r="M109" s="1309"/>
      <c r="N109" s="1309"/>
      <c r="O109" s="1309"/>
      <c r="P109" s="1309">
        <f>IF(P108&gt;=0.5,1,0)</f>
        <v>0</v>
      </c>
      <c r="Q109" s="1309"/>
      <c r="R109" s="1309"/>
      <c r="S109" s="1309">
        <f>IF(S108&gt;=0.5,1,0)</f>
        <v>0</v>
      </c>
      <c r="T109" s="1309"/>
      <c r="U109" s="1309"/>
      <c r="V109" s="1309">
        <f>IF(V108&gt;=0.5,1,0)</f>
        <v>0</v>
      </c>
      <c r="W109" s="382"/>
      <c r="X109" s="1309"/>
      <c r="Y109" s="1309">
        <f t="shared" ref="Y109" si="88">M109+P109+S109+V109</f>
        <v>0</v>
      </c>
      <c r="Z109" s="91"/>
      <c r="AA109" s="91"/>
      <c r="AB109" s="91"/>
      <c r="AC109" s="84"/>
      <c r="AE109" s="1309"/>
      <c r="AF109" s="1309"/>
      <c r="AG109" s="1309"/>
      <c r="AH109" s="1309"/>
      <c r="AI109" s="91"/>
      <c r="AK109" s="1309"/>
      <c r="AL109" s="1309"/>
      <c r="AM109" s="1309"/>
      <c r="AN109" s="1309"/>
      <c r="AO109" s="91"/>
      <c r="AQ109" s="1309"/>
      <c r="AR109" s="1309"/>
      <c r="AS109" s="1309"/>
      <c r="AT109" s="1309"/>
      <c r="AU109" s="91"/>
      <c r="AW109" s="1309"/>
      <c r="AX109" s="1309"/>
      <c r="AY109" s="1309"/>
      <c r="AZ109" s="1309"/>
      <c r="BA109" s="91"/>
    </row>
    <row r="110" spans="1:53" s="97" customFormat="1" ht="16.5" customHeight="1" x14ac:dyDescent="0.25">
      <c r="A110" s="119"/>
      <c r="B110" s="119"/>
      <c r="C110" s="928"/>
      <c r="D110" s="121" t="s">
        <v>82</v>
      </c>
      <c r="E110" s="122"/>
      <c r="F110" s="122"/>
      <c r="G110" s="122"/>
      <c r="H110" s="928"/>
      <c r="I110" s="229"/>
      <c r="J110" s="123"/>
      <c r="K110" s="123"/>
      <c r="L110" s="123"/>
      <c r="M110" s="123"/>
      <c r="N110" s="123"/>
      <c r="O110" s="123"/>
      <c r="P110" s="123"/>
      <c r="Q110" s="123"/>
      <c r="R110" s="123"/>
      <c r="S110" s="123"/>
      <c r="T110" s="123"/>
      <c r="U110" s="123"/>
      <c r="V110" s="363"/>
      <c r="W110" s="383"/>
      <c r="X110" s="123"/>
      <c r="Y110" s="124"/>
      <c r="Z110" s="125"/>
      <c r="AA110" s="125"/>
      <c r="AB110" s="125"/>
      <c r="AC110" s="125"/>
      <c r="AE110" s="126"/>
      <c r="AF110" s="126"/>
      <c r="AG110" s="126"/>
      <c r="AH110" s="124"/>
      <c r="AI110" s="125"/>
      <c r="AK110" s="126"/>
      <c r="AL110" s="126"/>
      <c r="AM110" s="126"/>
      <c r="AN110" s="124"/>
      <c r="AO110" s="125"/>
      <c r="AQ110" s="126"/>
      <c r="AR110" s="126"/>
      <c r="AS110" s="126"/>
      <c r="AT110" s="124"/>
      <c r="AU110" s="125"/>
      <c r="AW110" s="126"/>
      <c r="AX110" s="126"/>
      <c r="AY110" s="126"/>
      <c r="AZ110" s="124"/>
      <c r="BA110" s="125"/>
    </row>
    <row r="111" spans="1:53" s="97" customFormat="1" ht="17.100000000000001" customHeight="1" x14ac:dyDescent="0.25">
      <c r="A111" s="119"/>
      <c r="B111" s="119"/>
      <c r="C111" s="928"/>
      <c r="D111" s="127" t="s">
        <v>910</v>
      </c>
      <c r="E111" s="122"/>
      <c r="F111" s="122"/>
      <c r="G111" s="122"/>
      <c r="H111" s="928"/>
      <c r="I111" s="229"/>
      <c r="J111" s="123"/>
      <c r="K111" s="123"/>
      <c r="L111" s="123"/>
      <c r="M111" s="123"/>
      <c r="N111" s="123"/>
      <c r="O111" s="123"/>
      <c r="P111" s="129">
        <f>P80</f>
        <v>0</v>
      </c>
      <c r="Q111" s="123"/>
      <c r="R111" s="123"/>
      <c r="S111" s="129">
        <f>S80</f>
        <v>0</v>
      </c>
      <c r="T111" s="123"/>
      <c r="U111" s="123"/>
      <c r="V111" s="129">
        <f>V80</f>
        <v>0</v>
      </c>
      <c r="W111" s="383"/>
      <c r="X111" s="123"/>
      <c r="Y111" s="124"/>
      <c r="Z111" s="125"/>
      <c r="AA111" s="125"/>
      <c r="AB111" s="125"/>
      <c r="AC111" s="125"/>
      <c r="AE111" s="126"/>
      <c r="AF111" s="126"/>
      <c r="AG111" s="126"/>
      <c r="AH111" s="124"/>
      <c r="AI111" s="125"/>
      <c r="AK111" s="126"/>
      <c r="AL111" s="126"/>
      <c r="AM111" s="126"/>
      <c r="AN111" s="124"/>
      <c r="AO111" s="125"/>
      <c r="AQ111" s="126"/>
      <c r="AR111" s="126"/>
      <c r="AS111" s="126"/>
      <c r="AT111" s="124"/>
      <c r="AU111" s="125"/>
      <c r="AW111" s="126"/>
      <c r="AX111" s="126"/>
      <c r="AY111" s="126"/>
      <c r="AZ111" s="124"/>
      <c r="BA111" s="125"/>
    </row>
    <row r="112" spans="1:53" s="97" customFormat="1" ht="17.100000000000001" customHeight="1" x14ac:dyDescent="0.25">
      <c r="A112" s="119"/>
      <c r="B112" s="119"/>
      <c r="C112" s="928"/>
      <c r="D112" s="127" t="s">
        <v>83</v>
      </c>
      <c r="E112" s="122"/>
      <c r="F112" s="122"/>
      <c r="G112" s="122"/>
      <c r="H112" s="928"/>
      <c r="I112" s="229"/>
      <c r="J112" s="123"/>
      <c r="K112" s="123"/>
      <c r="L112" s="123"/>
      <c r="M112" s="123"/>
      <c r="N112" s="123"/>
      <c r="O112" s="123"/>
      <c r="P112" s="129">
        <f t="shared" ref="P112:P114" si="89">P85</f>
        <v>0</v>
      </c>
      <c r="Q112" s="123"/>
      <c r="R112" s="123"/>
      <c r="S112" s="129">
        <f>S85</f>
        <v>0</v>
      </c>
      <c r="T112" s="123"/>
      <c r="U112" s="123"/>
      <c r="V112" s="129">
        <f>V85</f>
        <v>0</v>
      </c>
      <c r="W112" s="383"/>
      <c r="X112" s="123"/>
      <c r="Y112" s="129"/>
      <c r="Z112" s="125"/>
      <c r="AA112" s="125"/>
      <c r="AB112" s="125"/>
      <c r="AC112" s="125"/>
      <c r="AE112" s="123"/>
      <c r="AF112" s="123"/>
      <c r="AG112" s="123"/>
      <c r="AH112" s="124"/>
      <c r="AI112" s="125"/>
      <c r="AK112" s="123"/>
      <c r="AL112" s="123"/>
      <c r="AM112" s="123"/>
      <c r="AN112" s="124"/>
      <c r="AO112" s="125"/>
      <c r="AQ112" s="123"/>
      <c r="AR112" s="123"/>
      <c r="AS112" s="123"/>
      <c r="AT112" s="124"/>
      <c r="AU112" s="125"/>
      <c r="AW112" s="123"/>
      <c r="AX112" s="123"/>
      <c r="AY112" s="123"/>
      <c r="AZ112" s="124"/>
      <c r="BA112" s="125"/>
    </row>
    <row r="113" spans="1:53" s="97" customFormat="1" ht="17.100000000000001" customHeight="1" x14ac:dyDescent="0.25">
      <c r="A113" s="119"/>
      <c r="B113" s="119"/>
      <c r="C113" s="928"/>
      <c r="D113" s="127" t="s">
        <v>84</v>
      </c>
      <c r="E113" s="122"/>
      <c r="F113" s="122"/>
      <c r="G113" s="122"/>
      <c r="H113" s="928"/>
      <c r="I113" s="229"/>
      <c r="J113" s="123"/>
      <c r="K113" s="123"/>
      <c r="L113" s="123"/>
      <c r="M113" s="123"/>
      <c r="N113" s="123"/>
      <c r="O113" s="123"/>
      <c r="P113" s="129">
        <f t="shared" si="89"/>
        <v>0</v>
      </c>
      <c r="Q113" s="123"/>
      <c r="R113" s="123"/>
      <c r="S113" s="129">
        <f>S86</f>
        <v>0</v>
      </c>
      <c r="T113" s="123"/>
      <c r="U113" s="123"/>
      <c r="V113" s="129">
        <f>V86</f>
        <v>0</v>
      </c>
      <c r="W113" s="383"/>
      <c r="X113" s="123"/>
      <c r="Y113" s="129"/>
      <c r="Z113" s="125"/>
      <c r="AA113" s="125"/>
      <c r="AB113" s="125"/>
      <c r="AC113" s="125"/>
      <c r="AE113" s="123"/>
      <c r="AF113" s="123"/>
      <c r="AG113" s="123"/>
      <c r="AH113" s="124"/>
      <c r="AI113" s="125"/>
      <c r="AK113" s="123"/>
      <c r="AL113" s="123"/>
      <c r="AM113" s="123"/>
      <c r="AN113" s="124"/>
      <c r="AO113" s="125"/>
      <c r="AQ113" s="123"/>
      <c r="AR113" s="123"/>
      <c r="AS113" s="123"/>
      <c r="AT113" s="124"/>
      <c r="AU113" s="125"/>
      <c r="AW113" s="123"/>
      <c r="AX113" s="123"/>
      <c r="AY113" s="123"/>
      <c r="AZ113" s="124"/>
      <c r="BA113" s="125"/>
    </row>
    <row r="114" spans="1:53" s="97" customFormat="1" ht="17.100000000000001" customHeight="1" x14ac:dyDescent="0.25">
      <c r="A114" s="119"/>
      <c r="B114" s="119"/>
      <c r="C114" s="928"/>
      <c r="D114" s="127" t="s">
        <v>85</v>
      </c>
      <c r="E114" s="122"/>
      <c r="F114" s="122"/>
      <c r="G114" s="122"/>
      <c r="H114" s="928"/>
      <c r="I114" s="229"/>
      <c r="J114" s="123"/>
      <c r="K114" s="123"/>
      <c r="L114" s="123"/>
      <c r="M114" s="123"/>
      <c r="N114" s="123"/>
      <c r="O114" s="123"/>
      <c r="P114" s="129">
        <f t="shared" si="89"/>
        <v>0</v>
      </c>
      <c r="Q114" s="123"/>
      <c r="R114" s="123"/>
      <c r="S114" s="129">
        <f>S87</f>
        <v>0</v>
      </c>
      <c r="T114" s="123"/>
      <c r="U114" s="123"/>
      <c r="V114" s="129">
        <f>V87</f>
        <v>0</v>
      </c>
      <c r="W114" s="383"/>
      <c r="X114" s="123"/>
      <c r="Y114" s="129"/>
      <c r="Z114" s="125"/>
      <c r="AA114" s="125"/>
      <c r="AB114" s="125"/>
      <c r="AC114" s="125"/>
      <c r="AE114" s="123"/>
      <c r="AF114" s="123"/>
      <c r="AG114" s="123"/>
      <c r="AH114" s="124"/>
      <c r="AI114" s="125"/>
      <c r="AK114" s="123"/>
      <c r="AL114" s="123"/>
      <c r="AM114" s="123"/>
      <c r="AN114" s="124"/>
      <c r="AO114" s="125"/>
      <c r="AQ114" s="123"/>
      <c r="AR114" s="123"/>
      <c r="AS114" s="123"/>
      <c r="AT114" s="124"/>
      <c r="AU114" s="125"/>
      <c r="AW114" s="123"/>
      <c r="AX114" s="123"/>
      <c r="AY114" s="123"/>
      <c r="AZ114" s="124"/>
      <c r="BA114" s="125"/>
    </row>
    <row r="115" spans="1:53" s="97" customFormat="1" ht="17.100000000000001" customHeight="1" x14ac:dyDescent="0.25">
      <c r="A115" s="119"/>
      <c r="B115" s="119"/>
      <c r="C115" s="103" t="s">
        <v>86</v>
      </c>
      <c r="D115" s="85" t="s">
        <v>907</v>
      </c>
      <c r="E115" s="75"/>
      <c r="F115" s="75"/>
      <c r="G115" s="75"/>
      <c r="H115" s="540"/>
      <c r="I115" s="229"/>
      <c r="J115" s="545"/>
      <c r="K115" s="545"/>
      <c r="L115" s="545"/>
      <c r="M115" s="545"/>
      <c r="N115" s="545"/>
      <c r="O115" s="545"/>
      <c r="P115" s="545"/>
      <c r="Q115" s="545"/>
      <c r="R115" s="545"/>
      <c r="S115" s="545"/>
      <c r="T115" s="545"/>
      <c r="U115" s="545"/>
      <c r="V115" s="545"/>
      <c r="W115" s="385"/>
      <c r="X115" s="545"/>
      <c r="Y115" s="545"/>
      <c r="Z115" s="131"/>
      <c r="AA115" s="131"/>
      <c r="AB115" s="131"/>
      <c r="AC115" s="113"/>
      <c r="AE115" s="539"/>
      <c r="AF115" s="539"/>
      <c r="AG115" s="539"/>
      <c r="AH115" s="539"/>
      <c r="AI115" s="91"/>
      <c r="AK115" s="539"/>
      <c r="AL115" s="539"/>
      <c r="AM115" s="539"/>
      <c r="AN115" s="539"/>
      <c r="AO115" s="91"/>
      <c r="AQ115" s="539"/>
      <c r="AR115" s="539"/>
      <c r="AS115" s="539"/>
      <c r="AT115" s="539"/>
      <c r="AU115" s="91"/>
      <c r="AW115" s="539"/>
      <c r="AX115" s="539"/>
      <c r="AY115" s="539"/>
      <c r="AZ115" s="539"/>
      <c r="BA115" s="91"/>
    </row>
    <row r="116" spans="1:53" s="97" customFormat="1" ht="17.100000000000001" customHeight="1" x14ac:dyDescent="0.25">
      <c r="A116" s="119"/>
      <c r="B116" s="119"/>
      <c r="C116" s="119"/>
      <c r="D116" s="74" t="s">
        <v>905</v>
      </c>
      <c r="E116" s="75" t="s">
        <v>908</v>
      </c>
      <c r="F116" s="75"/>
      <c r="G116" s="75"/>
      <c r="H116" s="540"/>
      <c r="I116" s="229"/>
      <c r="J116" s="539"/>
      <c r="K116" s="539"/>
      <c r="L116" s="539"/>
      <c r="M116" s="539"/>
      <c r="N116" s="539"/>
      <c r="O116" s="539"/>
      <c r="P116" s="539">
        <f>IF(SUM(P111:P112)&gt;=1,1,0)</f>
        <v>0</v>
      </c>
      <c r="Q116" s="539"/>
      <c r="R116" s="539"/>
      <c r="S116" s="539">
        <f>IF(SUM(S111:S112)&gt;=1,1,0)</f>
        <v>0</v>
      </c>
      <c r="T116" s="539"/>
      <c r="U116" s="539"/>
      <c r="V116" s="539">
        <f>IF(SUM(V111:V112)&gt;=1,1,0)</f>
        <v>0</v>
      </c>
      <c r="W116" s="382"/>
      <c r="X116" s="539"/>
      <c r="Y116" s="539">
        <f t="shared" ref="Y116:Y121" si="90">M116+P116+S116+V116</f>
        <v>0</v>
      </c>
      <c r="Z116" s="91"/>
      <c r="AA116" s="91"/>
      <c r="AB116" s="91"/>
      <c r="AC116" s="84"/>
      <c r="AE116" s="539"/>
      <c r="AF116" s="539"/>
      <c r="AG116" s="539"/>
      <c r="AH116" s="539"/>
      <c r="AI116" s="91"/>
      <c r="AK116" s="539"/>
      <c r="AL116" s="539"/>
      <c r="AM116" s="539"/>
      <c r="AN116" s="539"/>
      <c r="AO116" s="91"/>
      <c r="AQ116" s="539"/>
      <c r="AR116" s="539"/>
      <c r="AS116" s="539"/>
      <c r="AT116" s="539"/>
      <c r="AU116" s="91"/>
      <c r="AW116" s="539"/>
      <c r="AX116" s="539"/>
      <c r="AY116" s="539"/>
      <c r="AZ116" s="539"/>
      <c r="BA116" s="91"/>
    </row>
    <row r="117" spans="1:53" s="97" customFormat="1" ht="17.100000000000001" customHeight="1" x14ac:dyDescent="0.25">
      <c r="A117" s="119"/>
      <c r="B117" s="119"/>
      <c r="C117" s="119"/>
      <c r="D117" s="74" t="s">
        <v>906</v>
      </c>
      <c r="E117" s="75" t="s">
        <v>909</v>
      </c>
      <c r="F117" s="75"/>
      <c r="G117" s="75"/>
      <c r="H117" s="540"/>
      <c r="I117" s="229"/>
      <c r="J117" s="539"/>
      <c r="K117" s="539"/>
      <c r="L117" s="539"/>
      <c r="M117" s="539"/>
      <c r="N117" s="539"/>
      <c r="O117" s="539"/>
      <c r="P117" s="539">
        <f>IF(SUM(P113:P114)&gt;=1,1,0)</f>
        <v>0</v>
      </c>
      <c r="Q117" s="539"/>
      <c r="R117" s="539"/>
      <c r="S117" s="539">
        <f>IF(SUM(S113:S114)&gt;=1,1,0)</f>
        <v>0</v>
      </c>
      <c r="T117" s="539"/>
      <c r="U117" s="539"/>
      <c r="V117" s="539">
        <f>IF(SUM(V113:V114)&gt;=1,1,0)</f>
        <v>0</v>
      </c>
      <c r="W117" s="382"/>
      <c r="X117" s="539"/>
      <c r="Y117" s="539">
        <f t="shared" si="90"/>
        <v>0</v>
      </c>
      <c r="Z117" s="91"/>
      <c r="AA117" s="91"/>
      <c r="AB117" s="91"/>
      <c r="AC117" s="84"/>
      <c r="AE117" s="539"/>
      <c r="AF117" s="539"/>
      <c r="AG117" s="539"/>
      <c r="AH117" s="539"/>
      <c r="AI117" s="91"/>
      <c r="AK117" s="539"/>
      <c r="AL117" s="539"/>
      <c r="AM117" s="539"/>
      <c r="AN117" s="539"/>
      <c r="AO117" s="91"/>
      <c r="AQ117" s="539"/>
      <c r="AR117" s="539"/>
      <c r="AS117" s="539"/>
      <c r="AT117" s="539"/>
      <c r="AU117" s="91"/>
      <c r="AW117" s="539"/>
      <c r="AX117" s="539"/>
      <c r="AY117" s="539"/>
      <c r="AZ117" s="539"/>
      <c r="BA117" s="91"/>
    </row>
    <row r="118" spans="1:53" s="97" customFormat="1" ht="17.100000000000001" customHeight="1" x14ac:dyDescent="0.25">
      <c r="A118" s="119"/>
      <c r="B118" s="119"/>
      <c r="C118" s="540"/>
      <c r="D118" s="121" t="s">
        <v>88</v>
      </c>
      <c r="E118" s="122"/>
      <c r="F118" s="122"/>
      <c r="G118" s="122"/>
      <c r="H118" s="540"/>
      <c r="I118" s="229"/>
      <c r="J118" s="123"/>
      <c r="K118" s="123"/>
      <c r="L118" s="123"/>
      <c r="M118" s="123"/>
      <c r="N118" s="123"/>
      <c r="O118" s="123"/>
      <c r="P118" s="123"/>
      <c r="Q118" s="123"/>
      <c r="R118" s="123"/>
      <c r="S118" s="123"/>
      <c r="T118" s="123"/>
      <c r="U118" s="123"/>
      <c r="V118" s="363"/>
      <c r="W118" s="383"/>
      <c r="X118" s="123"/>
      <c r="Y118" s="124"/>
      <c r="Z118" s="125"/>
      <c r="AA118" s="125"/>
      <c r="AB118" s="125"/>
      <c r="AC118" s="125"/>
      <c r="AE118" s="126"/>
      <c r="AF118" s="126"/>
      <c r="AG118" s="126"/>
      <c r="AH118" s="124"/>
      <c r="AI118" s="125"/>
      <c r="AK118" s="126"/>
      <c r="AL118" s="126"/>
      <c r="AM118" s="126"/>
      <c r="AN118" s="124"/>
      <c r="AO118" s="125"/>
      <c r="AQ118" s="126"/>
      <c r="AR118" s="126"/>
      <c r="AS118" s="126"/>
      <c r="AT118" s="124"/>
      <c r="AU118" s="125"/>
      <c r="AW118" s="126"/>
      <c r="AX118" s="126"/>
      <c r="AY118" s="126"/>
      <c r="AZ118" s="124"/>
      <c r="BA118" s="125"/>
    </row>
    <row r="119" spans="1:53" s="97" customFormat="1" ht="17.100000000000001" customHeight="1" x14ac:dyDescent="0.25">
      <c r="A119" s="119"/>
      <c r="B119" s="119"/>
      <c r="C119" s="540"/>
      <c r="D119" s="127" t="s">
        <v>90</v>
      </c>
      <c r="E119" s="122"/>
      <c r="F119" s="122"/>
      <c r="G119" s="279"/>
      <c r="H119" s="540"/>
      <c r="I119" s="229"/>
      <c r="J119" s="123"/>
      <c r="K119" s="123"/>
      <c r="L119" s="123"/>
      <c r="M119" s="123"/>
      <c r="N119" s="123"/>
      <c r="O119" s="123"/>
      <c r="P119" s="123">
        <f>P92</f>
        <v>0</v>
      </c>
      <c r="Q119" s="123"/>
      <c r="R119" s="123"/>
      <c r="S119" s="123">
        <f>S92</f>
        <v>0</v>
      </c>
      <c r="T119" s="123"/>
      <c r="U119" s="123"/>
      <c r="V119" s="123">
        <f>V92</f>
        <v>0</v>
      </c>
      <c r="W119" s="383"/>
      <c r="X119" s="123"/>
      <c r="Y119" s="123">
        <f t="shared" si="90"/>
        <v>0</v>
      </c>
      <c r="Z119" s="125"/>
      <c r="AA119" s="125"/>
      <c r="AB119" s="125"/>
      <c r="AC119" s="125"/>
      <c r="AE119" s="123"/>
      <c r="AF119" s="123"/>
      <c r="AG119" s="123"/>
      <c r="AH119" s="124"/>
      <c r="AI119" s="125"/>
      <c r="AK119" s="123"/>
      <c r="AL119" s="123"/>
      <c r="AM119" s="123"/>
      <c r="AN119" s="124"/>
      <c r="AO119" s="125"/>
      <c r="AQ119" s="123"/>
      <c r="AR119" s="123"/>
      <c r="AS119" s="123"/>
      <c r="AT119" s="124"/>
      <c r="AU119" s="125"/>
      <c r="AW119" s="123"/>
      <c r="AX119" s="123"/>
      <c r="AY119" s="123"/>
      <c r="AZ119" s="124"/>
      <c r="BA119" s="125"/>
    </row>
    <row r="120" spans="1:53" s="97" customFormat="1" ht="17.100000000000001" customHeight="1" x14ac:dyDescent="0.25">
      <c r="A120" s="119"/>
      <c r="B120" s="119"/>
      <c r="C120" s="540"/>
      <c r="D120" s="127" t="s">
        <v>89</v>
      </c>
      <c r="E120" s="122"/>
      <c r="F120" s="128"/>
      <c r="G120" s="279"/>
      <c r="H120" s="540"/>
      <c r="I120" s="229"/>
      <c r="J120" s="123"/>
      <c r="K120" s="123"/>
      <c r="L120" s="123"/>
      <c r="M120" s="123"/>
      <c r="N120" s="123"/>
      <c r="O120" s="123"/>
      <c r="P120" s="123">
        <f>SUM(P93:P95)</f>
        <v>1</v>
      </c>
      <c r="Q120" s="123"/>
      <c r="R120" s="123"/>
      <c r="S120" s="123">
        <f>SUM(S93:S95)</f>
        <v>1</v>
      </c>
      <c r="T120" s="123"/>
      <c r="U120" s="123"/>
      <c r="V120" s="123">
        <f>SUM(V93:V95)</f>
        <v>0</v>
      </c>
      <c r="W120" s="383"/>
      <c r="X120" s="123"/>
      <c r="Y120" s="123">
        <f t="shared" si="90"/>
        <v>2</v>
      </c>
      <c r="Z120" s="125"/>
      <c r="AA120" s="125"/>
      <c r="AB120" s="125"/>
      <c r="AC120" s="125"/>
      <c r="AE120" s="123"/>
      <c r="AF120" s="123"/>
      <c r="AG120" s="123"/>
      <c r="AH120" s="124"/>
      <c r="AI120" s="125"/>
      <c r="AK120" s="123"/>
      <c r="AL120" s="123"/>
      <c r="AM120" s="123"/>
      <c r="AN120" s="124"/>
      <c r="AO120" s="125"/>
      <c r="AQ120" s="123"/>
      <c r="AR120" s="123"/>
      <c r="AS120" s="123"/>
      <c r="AT120" s="124"/>
      <c r="AU120" s="125"/>
      <c r="AW120" s="123"/>
      <c r="AX120" s="123"/>
      <c r="AY120" s="123"/>
      <c r="AZ120" s="124"/>
      <c r="BA120" s="125"/>
    </row>
    <row r="121" spans="1:53" s="97" customFormat="1" ht="17.100000000000001" customHeight="1" x14ac:dyDescent="0.25">
      <c r="A121" s="119"/>
      <c r="B121" s="119"/>
      <c r="C121" s="540"/>
      <c r="D121" s="127" t="s">
        <v>91</v>
      </c>
      <c r="E121" s="122"/>
      <c r="F121" s="122"/>
      <c r="G121" s="279"/>
      <c r="H121" s="540"/>
      <c r="I121" s="229"/>
      <c r="J121" s="129"/>
      <c r="K121" s="129"/>
      <c r="L121" s="129"/>
      <c r="M121" s="129"/>
      <c r="N121" s="129"/>
      <c r="O121" s="129"/>
      <c r="P121" s="129">
        <f t="shared" ref="P121" si="91">IF(P119=1,0,IF(P120=1,1,0))</f>
        <v>1</v>
      </c>
      <c r="Q121" s="129"/>
      <c r="R121" s="129"/>
      <c r="S121" s="129">
        <f t="shared" ref="S121" si="92">IF(S119=1,0,IF(S120=1,1,0))</f>
        <v>1</v>
      </c>
      <c r="T121" s="129"/>
      <c r="U121" s="129"/>
      <c r="V121" s="129">
        <f t="shared" ref="V121" si="93">IF(V119=1,0,IF(V120=1,1,0))</f>
        <v>0</v>
      </c>
      <c r="W121" s="384"/>
      <c r="X121" s="129"/>
      <c r="Y121" s="129">
        <f t="shared" si="90"/>
        <v>2</v>
      </c>
      <c r="Z121" s="130"/>
      <c r="AA121" s="130"/>
      <c r="AB121" s="130"/>
      <c r="AC121" s="125"/>
      <c r="AE121" s="129"/>
      <c r="AF121" s="129"/>
      <c r="AG121" s="129"/>
      <c r="AH121" s="129"/>
      <c r="AI121" s="130"/>
      <c r="AK121" s="129"/>
      <c r="AL121" s="129"/>
      <c r="AM121" s="129"/>
      <c r="AN121" s="129"/>
      <c r="AO121" s="130"/>
      <c r="AQ121" s="129"/>
      <c r="AR121" s="129"/>
      <c r="AS121" s="129"/>
      <c r="AT121" s="129"/>
      <c r="AU121" s="130"/>
      <c r="AW121" s="129"/>
      <c r="AX121" s="129"/>
      <c r="AY121" s="129"/>
      <c r="AZ121" s="129"/>
      <c r="BA121" s="130"/>
    </row>
    <row r="122" spans="1:53" s="97" customFormat="1" ht="17.100000000000001" customHeight="1" x14ac:dyDescent="0.25">
      <c r="A122" s="119"/>
      <c r="B122" s="119"/>
      <c r="C122" s="103" t="s">
        <v>92</v>
      </c>
      <c r="D122" s="85" t="s">
        <v>914</v>
      </c>
      <c r="E122" s="75"/>
      <c r="F122" s="75"/>
      <c r="G122" s="75"/>
      <c r="H122" s="540"/>
      <c r="I122" s="229"/>
      <c r="J122" s="539"/>
      <c r="K122" s="539"/>
      <c r="L122" s="539"/>
      <c r="M122" s="539"/>
      <c r="N122" s="539"/>
      <c r="O122" s="539"/>
      <c r="P122" s="539">
        <f>P121</f>
        <v>1</v>
      </c>
      <c r="Q122" s="539"/>
      <c r="R122" s="539"/>
      <c r="S122" s="539">
        <f>S121</f>
        <v>1</v>
      </c>
      <c r="T122" s="539"/>
      <c r="U122" s="539"/>
      <c r="V122" s="539">
        <f>V121</f>
        <v>0</v>
      </c>
      <c r="W122" s="382"/>
      <c r="X122" s="539"/>
      <c r="Y122" s="539">
        <f>SUM(J122:X122)</f>
        <v>2</v>
      </c>
      <c r="Z122" s="91"/>
      <c r="AA122" s="91"/>
      <c r="AB122" s="91"/>
      <c r="AC122" s="84"/>
      <c r="AE122" s="539"/>
      <c r="AF122" s="539"/>
      <c r="AG122" s="539"/>
      <c r="AH122" s="539"/>
      <c r="AI122" s="91"/>
      <c r="AK122" s="539"/>
      <c r="AL122" s="539"/>
      <c r="AM122" s="539"/>
      <c r="AN122" s="539"/>
      <c r="AO122" s="91"/>
      <c r="AQ122" s="539"/>
      <c r="AR122" s="539"/>
      <c r="AS122" s="539"/>
      <c r="AT122" s="539"/>
      <c r="AU122" s="91"/>
      <c r="AW122" s="539"/>
      <c r="AX122" s="539"/>
      <c r="AY122" s="539"/>
      <c r="AZ122" s="539"/>
      <c r="BA122" s="91"/>
    </row>
    <row r="123" spans="1:53" s="97" customFormat="1" ht="17.100000000000001" customHeight="1" x14ac:dyDescent="0.25">
      <c r="A123" s="119"/>
      <c r="B123" s="119"/>
      <c r="C123" s="103" t="s">
        <v>93</v>
      </c>
      <c r="D123" s="85" t="s">
        <v>94</v>
      </c>
      <c r="E123" s="75"/>
      <c r="F123" s="75"/>
      <c r="G123" s="75"/>
      <c r="H123" s="928"/>
      <c r="I123" s="229"/>
      <c r="J123" s="932"/>
      <c r="K123" s="932"/>
      <c r="L123" s="932"/>
      <c r="M123" s="932"/>
      <c r="N123" s="932"/>
      <c r="O123" s="932"/>
      <c r="P123" s="932"/>
      <c r="Q123" s="932"/>
      <c r="R123" s="932"/>
      <c r="S123" s="932"/>
      <c r="T123" s="932"/>
      <c r="U123" s="932"/>
      <c r="V123" s="364"/>
      <c r="W123" s="385"/>
      <c r="X123" s="932"/>
      <c r="Y123" s="932"/>
      <c r="Z123" s="131"/>
      <c r="AA123" s="131"/>
      <c r="AB123" s="131"/>
      <c r="AC123" s="113"/>
      <c r="AE123" s="114"/>
      <c r="AF123" s="114"/>
      <c r="AG123" s="114"/>
      <c r="AH123" s="112"/>
      <c r="AI123" s="113"/>
      <c r="AK123" s="114"/>
      <c r="AL123" s="114"/>
      <c r="AM123" s="114"/>
      <c r="AN123" s="112"/>
      <c r="AO123" s="113"/>
      <c r="AQ123" s="114"/>
      <c r="AR123" s="114"/>
      <c r="AS123" s="114"/>
      <c r="AT123" s="112"/>
      <c r="AU123" s="113"/>
      <c r="AW123" s="114"/>
      <c r="AX123" s="114"/>
      <c r="AY123" s="114"/>
      <c r="AZ123" s="112"/>
      <c r="BA123" s="113"/>
    </row>
    <row r="124" spans="1:53" s="97" customFormat="1" ht="17.100000000000001" customHeight="1" x14ac:dyDescent="0.25">
      <c r="A124" s="137"/>
      <c r="B124" s="119"/>
      <c r="C124" s="132"/>
      <c r="D124" s="133" t="s">
        <v>95</v>
      </c>
      <c r="E124" s="134"/>
      <c r="F124" s="134"/>
      <c r="G124" s="134"/>
      <c r="H124" s="928"/>
      <c r="I124" s="229"/>
      <c r="J124" s="82"/>
      <c r="K124" s="82" t="str">
        <f>IF(SUM(K30:K32)=1,1-SUM(K125:K127),"")</f>
        <v/>
      </c>
      <c r="L124" s="82" t="str">
        <f>IF(SUM(L30:L32)=1,1-SUM(L125:L127),"")</f>
        <v/>
      </c>
      <c r="M124" s="82"/>
      <c r="N124" s="82"/>
      <c r="O124" s="82"/>
      <c r="P124" s="82">
        <f>IF(P20=0,0,IF(P109+P116+P117+P122=0,1,0))</f>
        <v>0</v>
      </c>
      <c r="Q124" s="82"/>
      <c r="R124" s="82"/>
      <c r="S124" s="82">
        <f>IF(S20=0,0,IF(S109+S116+S117+S122=0,1,0))</f>
        <v>0</v>
      </c>
      <c r="T124" s="82"/>
      <c r="U124" s="82"/>
      <c r="V124" s="82">
        <f>IF(V20=0,0,IF(V109+V116+V117+V122=0,1,0))</f>
        <v>0</v>
      </c>
      <c r="W124" s="381"/>
      <c r="X124" s="82" t="str">
        <f>IF(SUM(X30:X32)=1,1-SUM(X125:X127),"")</f>
        <v/>
      </c>
      <c r="Y124" s="82">
        <f>P124+S124+V124</f>
        <v>0</v>
      </c>
      <c r="Z124" s="66">
        <f>IF(Y$128=0,0,Y124/Y$128)</f>
        <v>0</v>
      </c>
      <c r="AA124" s="66"/>
      <c r="AB124" s="66"/>
      <c r="AC124" s="83"/>
      <c r="AE124" s="82"/>
      <c r="AF124" s="82"/>
      <c r="AG124" s="82"/>
      <c r="AH124" s="82"/>
      <c r="AI124" s="66"/>
      <c r="AK124" s="82"/>
      <c r="AL124" s="82"/>
      <c r="AM124" s="82"/>
      <c r="AN124" s="82"/>
      <c r="AO124" s="66"/>
      <c r="AQ124" s="82"/>
      <c r="AR124" s="82"/>
      <c r="AS124" s="82"/>
      <c r="AT124" s="82"/>
      <c r="AU124" s="66"/>
      <c r="AW124" s="82"/>
      <c r="AX124" s="82"/>
      <c r="AY124" s="82"/>
      <c r="AZ124" s="82"/>
      <c r="BA124" s="66"/>
    </row>
    <row r="125" spans="1:53" s="97" customFormat="1" ht="17.100000000000001" customHeight="1" x14ac:dyDescent="0.25">
      <c r="A125" s="119"/>
      <c r="B125" s="119"/>
      <c r="C125" s="135"/>
      <c r="D125" s="133" t="s">
        <v>96</v>
      </c>
      <c r="E125" s="134"/>
      <c r="F125" s="134"/>
      <c r="G125" s="134"/>
      <c r="H125" s="928"/>
      <c r="I125" s="229"/>
      <c r="J125" s="82"/>
      <c r="K125" s="82"/>
      <c r="L125" s="82"/>
      <c r="M125" s="82"/>
      <c r="N125" s="82"/>
      <c r="O125" s="82"/>
      <c r="P125" s="82">
        <f>IF(P109+P116+P117+P122=1,1,0)</f>
        <v>1</v>
      </c>
      <c r="Q125" s="82"/>
      <c r="R125" s="82"/>
      <c r="S125" s="82">
        <f>IF(S109+S116+S117+S122=1,1,0)</f>
        <v>1</v>
      </c>
      <c r="T125" s="82"/>
      <c r="U125" s="82"/>
      <c r="V125" s="82">
        <f>IF(V109+V116+V117+V122=1,1,0)</f>
        <v>0</v>
      </c>
      <c r="W125" s="381"/>
      <c r="X125" s="82"/>
      <c r="Y125" s="82">
        <f t="shared" ref="Y125:Y127" si="94">P125+S125+V125</f>
        <v>2</v>
      </c>
      <c r="Z125" s="66">
        <f>IF(Y$128=0,0,Y125/Y$128)</f>
        <v>1</v>
      </c>
      <c r="AA125" s="66"/>
      <c r="AB125" s="66"/>
      <c r="AC125" s="83"/>
      <c r="AE125" s="82"/>
      <c r="AF125" s="82"/>
      <c r="AG125" s="82"/>
      <c r="AH125" s="82"/>
      <c r="AI125" s="66"/>
      <c r="AK125" s="82"/>
      <c r="AL125" s="82"/>
      <c r="AM125" s="82"/>
      <c r="AN125" s="82"/>
      <c r="AO125" s="66"/>
      <c r="AQ125" s="82"/>
      <c r="AR125" s="82"/>
      <c r="AS125" s="82"/>
      <c r="AT125" s="82"/>
      <c r="AU125" s="66"/>
      <c r="AW125" s="82"/>
      <c r="AX125" s="82"/>
      <c r="AY125" s="82"/>
      <c r="AZ125" s="82"/>
      <c r="BA125" s="66"/>
    </row>
    <row r="126" spans="1:53" s="97" customFormat="1" ht="17.100000000000001" customHeight="1" x14ac:dyDescent="0.25">
      <c r="A126" s="119"/>
      <c r="B126" s="119"/>
      <c r="C126" s="136"/>
      <c r="D126" s="133" t="s">
        <v>97</v>
      </c>
      <c r="E126" s="134"/>
      <c r="F126" s="134"/>
      <c r="G126" s="134"/>
      <c r="H126" s="928"/>
      <c r="I126" s="229"/>
      <c r="J126" s="82"/>
      <c r="K126" s="82"/>
      <c r="L126" s="82"/>
      <c r="M126" s="82"/>
      <c r="N126" s="82"/>
      <c r="O126" s="82"/>
      <c r="P126" s="82">
        <f>IF(P109+P116+P117+P122=2,1,0)</f>
        <v>0</v>
      </c>
      <c r="Q126" s="82"/>
      <c r="R126" s="82"/>
      <c r="S126" s="82">
        <f>IF(S109+S116+S117+S122=2,1,0)</f>
        <v>0</v>
      </c>
      <c r="T126" s="82"/>
      <c r="U126" s="82"/>
      <c r="V126" s="82">
        <f>IF(V109+V116+V117+V122=2,1,0)</f>
        <v>0</v>
      </c>
      <c r="W126" s="381"/>
      <c r="X126" s="82"/>
      <c r="Y126" s="82">
        <f t="shared" si="94"/>
        <v>0</v>
      </c>
      <c r="Z126" s="66">
        <f>IF(Y$128=0,0,Y126/Y$128)</f>
        <v>0</v>
      </c>
      <c r="AA126" s="66"/>
      <c r="AB126" s="66"/>
      <c r="AC126" s="83"/>
      <c r="AE126" s="82"/>
      <c r="AF126" s="82"/>
      <c r="AG126" s="82"/>
      <c r="AH126" s="82"/>
      <c r="AI126" s="66"/>
      <c r="AK126" s="82"/>
      <c r="AL126" s="82"/>
      <c r="AM126" s="82"/>
      <c r="AN126" s="82"/>
      <c r="AO126" s="66"/>
      <c r="AQ126" s="82"/>
      <c r="AR126" s="82"/>
      <c r="AS126" s="82"/>
      <c r="AT126" s="82"/>
      <c r="AU126" s="66"/>
      <c r="AW126" s="82"/>
      <c r="AX126" s="82"/>
      <c r="AY126" s="82"/>
      <c r="AZ126" s="82"/>
      <c r="BA126" s="66"/>
    </row>
    <row r="127" spans="1:53" s="97" customFormat="1" ht="17.100000000000001" customHeight="1" x14ac:dyDescent="0.25">
      <c r="A127" s="119"/>
      <c r="B127" s="119"/>
      <c r="C127" s="137"/>
      <c r="D127" s="133" t="s">
        <v>98</v>
      </c>
      <c r="E127" s="134"/>
      <c r="F127" s="134"/>
      <c r="G127" s="134"/>
      <c r="H127" s="928"/>
      <c r="I127" s="229"/>
      <c r="J127" s="82"/>
      <c r="K127" s="82"/>
      <c r="L127" s="82"/>
      <c r="M127" s="82"/>
      <c r="N127" s="82"/>
      <c r="O127" s="82"/>
      <c r="P127" s="82">
        <f>IF(P109+P116+P117+P122=3,1,0)</f>
        <v>0</v>
      </c>
      <c r="Q127" s="82"/>
      <c r="R127" s="82"/>
      <c r="S127" s="82">
        <f>IF(S109+S116+S117+S122=3,1,0)</f>
        <v>0</v>
      </c>
      <c r="T127" s="82"/>
      <c r="U127" s="82"/>
      <c r="V127" s="82">
        <f>IF(V109+V116+V117+V122=3,1,0)</f>
        <v>0</v>
      </c>
      <c r="W127" s="381"/>
      <c r="X127" s="82"/>
      <c r="Y127" s="82">
        <f t="shared" si="94"/>
        <v>0</v>
      </c>
      <c r="Z127" s="66">
        <f>IF(Y$128=0,0,Y127/Y$128)</f>
        <v>0</v>
      </c>
      <c r="AA127" s="66"/>
      <c r="AB127" s="66"/>
      <c r="AC127" s="83"/>
      <c r="AE127" s="82"/>
      <c r="AF127" s="82"/>
      <c r="AG127" s="82"/>
      <c r="AH127" s="82"/>
      <c r="AI127" s="66"/>
      <c r="AK127" s="82"/>
      <c r="AL127" s="82"/>
      <c r="AM127" s="82"/>
      <c r="AN127" s="82"/>
      <c r="AO127" s="66"/>
      <c r="AQ127" s="82"/>
      <c r="AR127" s="82"/>
      <c r="AS127" s="82"/>
      <c r="AT127" s="82"/>
      <c r="AU127" s="66"/>
      <c r="AW127" s="82"/>
      <c r="AX127" s="82"/>
      <c r="AY127" s="82"/>
      <c r="AZ127" s="82"/>
      <c r="BA127" s="66"/>
    </row>
    <row r="128" spans="1:53" s="97" customFormat="1" ht="17.100000000000001" customHeight="1" x14ac:dyDescent="0.25">
      <c r="A128" s="119"/>
      <c r="B128" s="119"/>
      <c r="C128" s="928"/>
      <c r="D128" s="133"/>
      <c r="E128" s="134"/>
      <c r="F128" s="134"/>
      <c r="G128" s="134"/>
      <c r="H128" s="928"/>
      <c r="I128" s="229"/>
      <c r="J128" s="82"/>
      <c r="K128" s="82"/>
      <c r="L128" s="82"/>
      <c r="M128" s="82"/>
      <c r="N128" s="82"/>
      <c r="O128" s="82"/>
      <c r="P128" s="82"/>
      <c r="Q128" s="82"/>
      <c r="R128" s="82"/>
      <c r="S128" s="82"/>
      <c r="T128" s="82"/>
      <c r="U128" s="82"/>
      <c r="V128" s="360"/>
      <c r="W128" s="381"/>
      <c r="X128" s="82"/>
      <c r="Y128" s="82">
        <f>SUM(Y124:Y127)</f>
        <v>2</v>
      </c>
      <c r="Z128" s="66">
        <f>IF(Y$128=0,0,Y128/Y$128)</f>
        <v>1</v>
      </c>
      <c r="AA128" s="66"/>
      <c r="AB128" s="66"/>
      <c r="AC128" s="83"/>
      <c r="AE128" s="82"/>
      <c r="AF128" s="82"/>
      <c r="AG128" s="82"/>
      <c r="AH128" s="82"/>
      <c r="AI128" s="66"/>
      <c r="AK128" s="82"/>
      <c r="AL128" s="82"/>
      <c r="AM128" s="82"/>
      <c r="AN128" s="82"/>
      <c r="AO128" s="66"/>
      <c r="AQ128" s="82"/>
      <c r="AR128" s="82"/>
      <c r="AS128" s="82"/>
      <c r="AT128" s="82"/>
      <c r="AU128" s="66"/>
      <c r="AW128" s="82"/>
      <c r="AX128" s="82"/>
      <c r="AY128" s="82"/>
      <c r="AZ128" s="82"/>
      <c r="BA128" s="66"/>
    </row>
    <row r="129" spans="1:53" s="97" customFormat="1" ht="17.100000000000001" customHeight="1" x14ac:dyDescent="0.25">
      <c r="A129" s="119"/>
      <c r="B129" s="119"/>
      <c r="C129" s="928"/>
      <c r="D129" s="127" t="s">
        <v>81</v>
      </c>
      <c r="E129" s="122"/>
      <c r="F129" s="122"/>
      <c r="G129" s="122"/>
      <c r="H129" s="928"/>
      <c r="I129" s="229"/>
      <c r="J129" s="123"/>
      <c r="K129" s="123"/>
      <c r="L129" s="123"/>
      <c r="M129" s="123"/>
      <c r="N129" s="123"/>
      <c r="O129" s="123"/>
      <c r="P129" s="123">
        <f t="shared" ref="P129" si="95">P109</f>
        <v>0</v>
      </c>
      <c r="Q129" s="123"/>
      <c r="R129" s="123"/>
      <c r="S129" s="123">
        <f t="shared" ref="S129" si="96">S109</f>
        <v>0</v>
      </c>
      <c r="T129" s="123"/>
      <c r="U129" s="123"/>
      <c r="V129" s="123">
        <f t="shared" ref="V129" si="97">V109</f>
        <v>0</v>
      </c>
      <c r="W129" s="383"/>
      <c r="X129" s="123"/>
      <c r="Y129" s="123">
        <f t="shared" ref="Y129" si="98">Y109</f>
        <v>0</v>
      </c>
      <c r="Z129" s="525"/>
      <c r="AA129" s="125"/>
      <c r="AB129" s="125"/>
      <c r="AC129" s="125"/>
      <c r="AE129" s="123"/>
      <c r="AF129" s="123"/>
      <c r="AG129" s="123"/>
      <c r="AH129" s="124"/>
      <c r="AI129" s="125"/>
      <c r="AK129" s="123"/>
      <c r="AL129" s="123"/>
      <c r="AM129" s="123"/>
      <c r="AN129" s="124"/>
      <c r="AO129" s="125"/>
      <c r="AQ129" s="123"/>
      <c r="AR129" s="123"/>
      <c r="AS129" s="123"/>
      <c r="AT129" s="124"/>
      <c r="AU129" s="125"/>
      <c r="AW129" s="123"/>
      <c r="AX129" s="123"/>
      <c r="AY129" s="123"/>
      <c r="AZ129" s="124"/>
      <c r="BA129" s="125"/>
    </row>
    <row r="130" spans="1:53" s="97" customFormat="1" ht="17.100000000000001" customHeight="1" x14ac:dyDescent="0.25">
      <c r="A130" s="119"/>
      <c r="B130" s="119"/>
      <c r="C130" s="1310"/>
      <c r="D130" s="127" t="s">
        <v>87</v>
      </c>
      <c r="E130" s="122"/>
      <c r="F130" s="122"/>
      <c r="G130" s="122"/>
      <c r="H130" s="1310"/>
      <c r="I130" s="229"/>
      <c r="J130" s="123"/>
      <c r="K130" s="123"/>
      <c r="L130" s="123"/>
      <c r="M130" s="123"/>
      <c r="N130" s="123"/>
      <c r="O130" s="123"/>
      <c r="P130" s="123">
        <f>P116+P117</f>
        <v>0</v>
      </c>
      <c r="Q130" s="123"/>
      <c r="R130" s="123"/>
      <c r="S130" s="123">
        <f>S116+S117</f>
        <v>0</v>
      </c>
      <c r="T130" s="123"/>
      <c r="U130" s="123"/>
      <c r="V130" s="123">
        <f>V116+V117</f>
        <v>0</v>
      </c>
      <c r="W130" s="383"/>
      <c r="X130" s="123"/>
      <c r="Y130" s="123">
        <f>Y116+Y117</f>
        <v>0</v>
      </c>
      <c r="Z130" s="525"/>
      <c r="AA130" s="125"/>
      <c r="AB130" s="125"/>
      <c r="AC130" s="125"/>
      <c r="AE130" s="123"/>
      <c r="AF130" s="123"/>
      <c r="AG130" s="123"/>
      <c r="AH130" s="124"/>
      <c r="AI130" s="125"/>
      <c r="AK130" s="123"/>
      <c r="AL130" s="123"/>
      <c r="AM130" s="123"/>
      <c r="AN130" s="124"/>
      <c r="AO130" s="125"/>
      <c r="AQ130" s="123"/>
      <c r="AR130" s="123"/>
      <c r="AS130" s="123"/>
      <c r="AT130" s="124"/>
      <c r="AU130" s="125"/>
      <c r="AW130" s="123"/>
      <c r="AX130" s="123"/>
      <c r="AY130" s="123"/>
      <c r="AZ130" s="124"/>
      <c r="BA130" s="125"/>
    </row>
    <row r="131" spans="1:53" s="97" customFormat="1" ht="17.100000000000001" customHeight="1" x14ac:dyDescent="0.25">
      <c r="A131" s="119"/>
      <c r="B131" s="119"/>
      <c r="C131" s="928"/>
      <c r="D131" s="127" t="s">
        <v>923</v>
      </c>
      <c r="E131" s="122"/>
      <c r="F131" s="122"/>
      <c r="G131" s="122"/>
      <c r="H131" s="928"/>
      <c r="I131" s="229"/>
      <c r="J131" s="123"/>
      <c r="K131" s="123"/>
      <c r="L131" s="123"/>
      <c r="M131" s="123"/>
      <c r="N131" s="123"/>
      <c r="O131" s="123"/>
      <c r="P131" s="123"/>
      <c r="Q131" s="123"/>
      <c r="R131" s="123"/>
      <c r="S131" s="123"/>
      <c r="T131" s="123"/>
      <c r="U131" s="123"/>
      <c r="V131" s="123"/>
      <c r="W131" s="383"/>
      <c r="X131" s="123"/>
      <c r="Y131" s="123"/>
      <c r="Z131" s="525"/>
      <c r="AA131" s="130"/>
      <c r="AB131" s="130"/>
      <c r="AC131" s="125"/>
      <c r="AE131" s="123"/>
      <c r="AF131" s="123"/>
      <c r="AG131" s="123"/>
      <c r="AH131" s="129"/>
      <c r="AI131" s="130"/>
      <c r="AK131" s="123"/>
      <c r="AL131" s="123"/>
      <c r="AM131" s="123"/>
      <c r="AN131" s="129"/>
      <c r="AO131" s="130"/>
      <c r="AQ131" s="123"/>
      <c r="AR131" s="123"/>
      <c r="AS131" s="123"/>
      <c r="AT131" s="129"/>
      <c r="AU131" s="130"/>
      <c r="AW131" s="123"/>
      <c r="AX131" s="123"/>
      <c r="AY131" s="123"/>
      <c r="AZ131" s="129"/>
      <c r="BA131" s="130"/>
    </row>
    <row r="132" spans="1:53" s="97" customFormat="1" ht="17.100000000000001" customHeight="1" x14ac:dyDescent="0.25">
      <c r="A132" s="119"/>
      <c r="B132" s="119"/>
      <c r="C132" s="928"/>
      <c r="D132" s="127" t="s">
        <v>922</v>
      </c>
      <c r="E132" s="122"/>
      <c r="F132" s="122"/>
      <c r="G132" s="122"/>
      <c r="H132" s="928"/>
      <c r="I132" s="229"/>
      <c r="J132" s="123"/>
      <c r="K132" s="123"/>
      <c r="L132" s="123"/>
      <c r="M132" s="123"/>
      <c r="N132" s="123"/>
      <c r="O132" s="123"/>
      <c r="P132" s="123">
        <f t="shared" ref="P132" si="99">SUM(P129:P131)</f>
        <v>0</v>
      </c>
      <c r="Q132" s="123"/>
      <c r="R132" s="123"/>
      <c r="S132" s="123">
        <f t="shared" ref="S132" si="100">SUM(S129:S131)</f>
        <v>0</v>
      </c>
      <c r="T132" s="123"/>
      <c r="U132" s="123"/>
      <c r="V132" s="123">
        <f t="shared" ref="V132" si="101">SUM(V129:V131)</f>
        <v>0</v>
      </c>
      <c r="W132" s="383"/>
      <c r="X132" s="123"/>
      <c r="Y132" s="123">
        <f t="shared" ref="Y132:Y133" si="102">SUM(Y129:Y131)</f>
        <v>0</v>
      </c>
      <c r="Z132" s="525"/>
      <c r="AA132" s="125"/>
      <c r="AB132" s="125"/>
      <c r="AC132" s="125"/>
      <c r="AE132" s="123"/>
      <c r="AF132" s="123"/>
      <c r="AG132" s="123"/>
      <c r="AH132" s="124"/>
      <c r="AI132" s="125"/>
      <c r="AK132" s="123"/>
      <c r="AL132" s="123"/>
      <c r="AM132" s="123"/>
      <c r="AN132" s="124"/>
      <c r="AO132" s="125"/>
      <c r="AQ132" s="123"/>
      <c r="AR132" s="123"/>
      <c r="AS132" s="123"/>
      <c r="AT132" s="124"/>
      <c r="AU132" s="125"/>
      <c r="AW132" s="123"/>
      <c r="AX132" s="123"/>
      <c r="AY132" s="123"/>
      <c r="AZ132" s="124"/>
      <c r="BA132" s="125"/>
    </row>
    <row r="133" spans="1:53" s="97" customFormat="1" ht="17.100000000000001" customHeight="1" x14ac:dyDescent="0.25">
      <c r="A133" s="119"/>
      <c r="B133" s="119"/>
      <c r="C133" s="103" t="s">
        <v>99</v>
      </c>
      <c r="D133" s="85" t="s">
        <v>921</v>
      </c>
      <c r="E133" s="75"/>
      <c r="F133" s="75"/>
      <c r="G133" s="75"/>
      <c r="H133" s="928"/>
      <c r="I133" s="229"/>
      <c r="J133" s="927"/>
      <c r="K133" s="927"/>
      <c r="L133" s="927"/>
      <c r="M133" s="927"/>
      <c r="N133" s="927"/>
      <c r="O133" s="927"/>
      <c r="P133" s="927">
        <f t="shared" ref="P133" si="103">IF(P132&gt;=1,1,0)</f>
        <v>0</v>
      </c>
      <c r="Q133" s="927"/>
      <c r="R133" s="927"/>
      <c r="S133" s="927">
        <f t="shared" ref="S133" si="104">IF(S132&gt;=1,1,0)</f>
        <v>0</v>
      </c>
      <c r="T133" s="927"/>
      <c r="U133" s="927"/>
      <c r="V133" s="927">
        <f t="shared" ref="V133" si="105">IF(V132&gt;=1,1,0)</f>
        <v>0</v>
      </c>
      <c r="W133" s="382"/>
      <c r="X133" s="927"/>
      <c r="Y133" s="927">
        <f t="shared" si="102"/>
        <v>0</v>
      </c>
      <c r="Z133" s="91"/>
      <c r="AA133" s="91"/>
      <c r="AB133" s="91"/>
      <c r="AC133" s="84"/>
      <c r="AE133" s="927"/>
      <c r="AF133" s="927"/>
      <c r="AG133" s="927"/>
      <c r="AH133" s="927"/>
      <c r="AI133" s="91"/>
      <c r="AK133" s="927"/>
      <c r="AL133" s="927"/>
      <c r="AM133" s="927"/>
      <c r="AN133" s="927"/>
      <c r="AO133" s="91"/>
      <c r="AQ133" s="927"/>
      <c r="AR133" s="927"/>
      <c r="AS133" s="927"/>
      <c r="AT133" s="927"/>
      <c r="AU133" s="91"/>
      <c r="AW133" s="927"/>
      <c r="AX133" s="927"/>
      <c r="AY133" s="927"/>
      <c r="AZ133" s="927"/>
      <c r="BA133" s="91"/>
    </row>
    <row r="134" spans="1:53" s="97" customFormat="1" ht="17.100000000000001" customHeight="1" x14ac:dyDescent="0.25">
      <c r="A134" s="138"/>
      <c r="B134" s="138"/>
      <c r="C134" s="139"/>
      <c r="D134" s="12"/>
      <c r="E134" s="12"/>
      <c r="F134" s="12"/>
      <c r="G134" s="12"/>
      <c r="H134" s="139"/>
      <c r="I134" s="12"/>
      <c r="J134" s="95"/>
      <c r="K134" s="95"/>
      <c r="L134" s="95"/>
      <c r="M134" s="95"/>
      <c r="N134" s="95"/>
      <c r="O134" s="95"/>
      <c r="P134" s="95"/>
      <c r="Q134" s="95"/>
      <c r="R134" s="95"/>
      <c r="S134" s="95"/>
      <c r="T134" s="95"/>
      <c r="U134" s="95"/>
      <c r="V134" s="95"/>
      <c r="W134" s="378"/>
      <c r="X134" s="95"/>
      <c r="Y134" s="96"/>
      <c r="AE134" s="109"/>
      <c r="AF134" s="109"/>
      <c r="AG134" s="109"/>
      <c r="AH134" s="96"/>
      <c r="AK134" s="109"/>
      <c r="AL134" s="109"/>
      <c r="AM134" s="109"/>
      <c r="AN134" s="96"/>
      <c r="AQ134" s="109"/>
      <c r="AR134" s="109"/>
      <c r="AS134" s="109"/>
      <c r="AT134" s="96"/>
      <c r="AW134" s="109"/>
      <c r="AX134" s="109"/>
      <c r="AY134" s="109"/>
      <c r="AZ134" s="96"/>
    </row>
    <row r="135" spans="1:53" s="32" customFormat="1" ht="16.5" thickBot="1" x14ac:dyDescent="0.3">
      <c r="A135" s="24" t="s">
        <v>100</v>
      </c>
      <c r="B135" s="25" t="s">
        <v>101</v>
      </c>
      <c r="C135" s="26"/>
      <c r="D135" s="27"/>
      <c r="E135" s="27"/>
      <c r="F135" s="27"/>
      <c r="G135" s="28"/>
      <c r="H135" s="215"/>
      <c r="I135" s="228"/>
      <c r="J135" s="140"/>
      <c r="K135" s="140"/>
      <c r="L135" s="140"/>
      <c r="M135" s="140"/>
      <c r="N135" s="140"/>
      <c r="O135" s="140"/>
      <c r="P135" s="140"/>
      <c r="Q135" s="140"/>
      <c r="R135" s="140"/>
      <c r="S135" s="140"/>
      <c r="T135" s="140"/>
      <c r="U135" s="140"/>
      <c r="V135" s="365"/>
      <c r="W135" s="379"/>
      <c r="X135" s="140"/>
      <c r="Y135" s="30" t="s">
        <v>4</v>
      </c>
      <c r="Z135" s="31" t="s">
        <v>5</v>
      </c>
      <c r="AA135" s="31" t="s">
        <v>181</v>
      </c>
      <c r="AB135" s="31" t="s">
        <v>182</v>
      </c>
      <c r="AC135" s="31" t="s">
        <v>6</v>
      </c>
      <c r="AE135" s="33" t="s">
        <v>181</v>
      </c>
      <c r="AF135" s="33" t="s">
        <v>182</v>
      </c>
      <c r="AG135" s="33" t="s">
        <v>6</v>
      </c>
      <c r="AH135" s="33" t="s">
        <v>4</v>
      </c>
      <c r="AI135" s="34" t="s">
        <v>5</v>
      </c>
      <c r="AJ135" s="408"/>
      <c r="AK135" s="36" t="s">
        <v>181</v>
      </c>
      <c r="AL135" s="36" t="s">
        <v>182</v>
      </c>
      <c r="AM135" s="36" t="s">
        <v>6</v>
      </c>
      <c r="AN135" s="36" t="s">
        <v>4</v>
      </c>
      <c r="AO135" s="37" t="s">
        <v>5</v>
      </c>
      <c r="AP135" s="408"/>
      <c r="AQ135" s="36"/>
      <c r="AR135" s="36"/>
      <c r="AS135" s="36"/>
      <c r="AT135" s="36"/>
      <c r="AU135" s="37"/>
      <c r="AV135" s="408"/>
      <c r="AW135" s="38" t="s">
        <v>181</v>
      </c>
      <c r="AX135" s="38" t="s">
        <v>182</v>
      </c>
      <c r="AY135" s="38" t="s">
        <v>6</v>
      </c>
      <c r="AZ135" s="38" t="s">
        <v>4</v>
      </c>
      <c r="BA135" s="39" t="s">
        <v>5</v>
      </c>
    </row>
    <row r="136" spans="1:53" ht="17.100000000000001" customHeight="1" x14ac:dyDescent="0.25">
      <c r="A136" s="68"/>
      <c r="B136" s="41" t="s">
        <v>102</v>
      </c>
      <c r="C136" s="69" t="s">
        <v>103</v>
      </c>
      <c r="D136" s="50"/>
      <c r="E136" s="70"/>
      <c r="F136" s="70"/>
      <c r="G136" s="70"/>
      <c r="H136" s="263">
        <v>2</v>
      </c>
      <c r="J136" s="71"/>
      <c r="K136" s="71"/>
      <c r="L136" s="71"/>
      <c r="M136" s="71"/>
      <c r="N136" s="71"/>
      <c r="O136" s="71"/>
      <c r="P136" s="71"/>
      <c r="Q136" s="71"/>
      <c r="R136" s="71"/>
      <c r="S136" s="71"/>
      <c r="T136" s="71"/>
      <c r="U136" s="71"/>
      <c r="V136" s="355"/>
      <c r="W136" s="377"/>
      <c r="X136" s="71"/>
      <c r="Y136" s="72"/>
      <c r="Z136" s="73"/>
      <c r="AA136" s="73"/>
      <c r="AB136" s="73"/>
      <c r="AC136" s="73"/>
      <c r="AE136" s="71"/>
      <c r="AF136" s="71"/>
      <c r="AG136" s="71"/>
      <c r="AH136" s="72"/>
      <c r="AI136" s="73"/>
      <c r="AK136" s="71"/>
      <c r="AL136" s="71"/>
      <c r="AM136" s="71"/>
      <c r="AN136" s="72"/>
      <c r="AO136" s="73"/>
      <c r="AQ136" s="71"/>
      <c r="AR136" s="71"/>
      <c r="AS136" s="71"/>
      <c r="AT136" s="72"/>
      <c r="AU136" s="73"/>
      <c r="AW136" s="71"/>
      <c r="AX136" s="71"/>
      <c r="AY136" s="71"/>
      <c r="AZ136" s="72"/>
      <c r="BA136" s="73"/>
    </row>
    <row r="137" spans="1:53" ht="17.100000000000001" customHeight="1" x14ac:dyDescent="0.25">
      <c r="A137" s="40"/>
      <c r="B137" s="40"/>
      <c r="C137" s="74" t="s">
        <v>104</v>
      </c>
      <c r="D137" s="75" t="s">
        <v>404</v>
      </c>
      <c r="E137" s="75"/>
      <c r="F137" s="75"/>
      <c r="G137" s="542"/>
      <c r="H137" s="540"/>
      <c r="I137" s="235"/>
      <c r="J137" s="581"/>
      <c r="K137" s="581"/>
      <c r="L137" s="582"/>
      <c r="M137" s="17">
        <f t="shared" ref="M137:M146" si="106">SUM(J137:L137)</f>
        <v>0</v>
      </c>
      <c r="N137" s="111"/>
      <c r="O137" s="111"/>
      <c r="P137" s="111"/>
      <c r="Q137" s="111"/>
      <c r="R137" s="111"/>
      <c r="S137" s="111"/>
      <c r="T137" s="111"/>
      <c r="U137" s="111"/>
      <c r="V137" s="358"/>
      <c r="W137" s="391">
        <f t="shared" ref="W137:W146" si="107">J137+K137+N137+Q137+T137</f>
        <v>0</v>
      </c>
      <c r="X137" s="17">
        <f t="shared" ref="X137:X146" si="108">L137+O137+R137+U137</f>
        <v>0</v>
      </c>
      <c r="Y137" s="18">
        <f t="shared" ref="Y137:Y146" si="109">SUM(W137:X137)</f>
        <v>0</v>
      </c>
      <c r="Z137" s="19">
        <f>IF(Y$147=0,0,Y137/Y$147)</f>
        <v>0</v>
      </c>
      <c r="AA137" s="19"/>
      <c r="AB137" s="19"/>
      <c r="AC137" s="20"/>
      <c r="AE137" s="17"/>
      <c r="AF137" s="17"/>
      <c r="AG137" s="17"/>
      <c r="AH137" s="18">
        <f t="shared" ref="AH137:AH146" si="110">J137</f>
        <v>0</v>
      </c>
      <c r="AI137" s="19">
        <f>IF(AH$147=0,0,AH137/AH$147)</f>
        <v>0</v>
      </c>
      <c r="AK137" s="17"/>
      <c r="AL137" s="17"/>
      <c r="AM137" s="17"/>
      <c r="AN137" s="18">
        <f t="shared" ref="AN137:AN146" si="111">K137</f>
        <v>0</v>
      </c>
      <c r="AO137" s="19">
        <f>IF(AN$147=0,0,AN137/AN$147)</f>
        <v>0</v>
      </c>
      <c r="AQ137" s="17"/>
      <c r="AR137" s="17"/>
      <c r="AS137" s="17"/>
      <c r="AT137" s="18">
        <f t="shared" ref="AT137:AT146" si="112">W137</f>
        <v>0</v>
      </c>
      <c r="AU137" s="19">
        <f>IF(AT$147=0,0,AT137/AT$147)</f>
        <v>0</v>
      </c>
      <c r="AW137" s="17"/>
      <c r="AX137" s="17"/>
      <c r="AY137" s="17"/>
      <c r="AZ137" s="18">
        <f t="shared" ref="AZ137:AZ146" si="113">X137</f>
        <v>0</v>
      </c>
      <c r="BA137" s="19">
        <f>IF(AZ$147=0,0,AZ137/AZ$147)</f>
        <v>0</v>
      </c>
    </row>
    <row r="138" spans="1:53" ht="17.100000000000001" customHeight="1" x14ac:dyDescent="0.25">
      <c r="A138" s="40"/>
      <c r="B138" s="40"/>
      <c r="C138" s="74" t="s">
        <v>105</v>
      </c>
      <c r="D138" s="75" t="s">
        <v>405</v>
      </c>
      <c r="E138" s="75"/>
      <c r="F138" s="75"/>
      <c r="G138" s="542"/>
      <c r="H138" s="540"/>
      <c r="I138" s="235"/>
      <c r="J138" s="583"/>
      <c r="K138" s="583"/>
      <c r="L138" s="584"/>
      <c r="M138" s="17">
        <f t="shared" si="106"/>
        <v>0</v>
      </c>
      <c r="N138" s="111"/>
      <c r="O138" s="111"/>
      <c r="P138" s="111"/>
      <c r="Q138" s="111"/>
      <c r="R138" s="111"/>
      <c r="S138" s="111"/>
      <c r="T138" s="111"/>
      <c r="U138" s="111"/>
      <c r="V138" s="358"/>
      <c r="W138" s="391">
        <f t="shared" si="107"/>
        <v>0</v>
      </c>
      <c r="X138" s="17">
        <f t="shared" si="108"/>
        <v>0</v>
      </c>
      <c r="Y138" s="18">
        <f t="shared" si="109"/>
        <v>0</v>
      </c>
      <c r="Z138" s="19">
        <f t="shared" ref="Z138:Z146" si="114">IF(Y$147=0,0,Y138/Y$147)</f>
        <v>0</v>
      </c>
      <c r="AA138" s="19"/>
      <c r="AB138" s="19"/>
      <c r="AC138" s="20"/>
      <c r="AE138" s="17"/>
      <c r="AF138" s="17"/>
      <c r="AG138" s="17"/>
      <c r="AH138" s="18">
        <f t="shared" si="110"/>
        <v>0</v>
      </c>
      <c r="AI138" s="19">
        <f t="shared" ref="AI138:AI147" si="115">IF(AH$147=0,0,AH138/AH$147)</f>
        <v>0</v>
      </c>
      <c r="AK138" s="17"/>
      <c r="AL138" s="17"/>
      <c r="AM138" s="17"/>
      <c r="AN138" s="18">
        <f t="shared" si="111"/>
        <v>0</v>
      </c>
      <c r="AO138" s="19">
        <f t="shared" ref="AO138:AO147" si="116">IF(AN$147=0,0,AN138/AN$147)</f>
        <v>0</v>
      </c>
      <c r="AQ138" s="17"/>
      <c r="AR138" s="17"/>
      <c r="AS138" s="17"/>
      <c r="AT138" s="18">
        <f t="shared" si="112"/>
        <v>0</v>
      </c>
      <c r="AU138" s="19">
        <f t="shared" ref="AU138:AU147" si="117">IF(AT$147=0,0,AT138/AT$147)</f>
        <v>0</v>
      </c>
      <c r="AW138" s="17"/>
      <c r="AX138" s="17"/>
      <c r="AY138" s="17"/>
      <c r="AZ138" s="18">
        <f t="shared" si="113"/>
        <v>0</v>
      </c>
      <c r="BA138" s="19">
        <f t="shared" ref="BA138:BA147" si="118">IF(AZ$147=0,0,AZ138/AZ$147)</f>
        <v>0</v>
      </c>
    </row>
    <row r="139" spans="1:53" ht="17.100000000000001" customHeight="1" x14ac:dyDescent="0.25">
      <c r="A139" s="40"/>
      <c r="B139" s="40"/>
      <c r="C139" s="74" t="s">
        <v>106</v>
      </c>
      <c r="D139" s="75" t="s">
        <v>406</v>
      </c>
      <c r="E139" s="75"/>
      <c r="F139" s="75"/>
      <c r="G139" s="542"/>
      <c r="H139" s="540"/>
      <c r="I139" s="235"/>
      <c r="J139" s="581"/>
      <c r="K139" s="581"/>
      <c r="L139" s="582"/>
      <c r="M139" s="17">
        <f t="shared" si="106"/>
        <v>0</v>
      </c>
      <c r="N139" s="111"/>
      <c r="O139" s="111"/>
      <c r="P139" s="111"/>
      <c r="Q139" s="111"/>
      <c r="R139" s="111"/>
      <c r="S139" s="111"/>
      <c r="T139" s="111"/>
      <c r="U139" s="111"/>
      <c r="V139" s="358"/>
      <c r="W139" s="391">
        <f t="shared" si="107"/>
        <v>0</v>
      </c>
      <c r="X139" s="17">
        <f t="shared" si="108"/>
        <v>0</v>
      </c>
      <c r="Y139" s="18">
        <f t="shared" si="109"/>
        <v>0</v>
      </c>
      <c r="Z139" s="19">
        <f t="shared" si="114"/>
        <v>0</v>
      </c>
      <c r="AA139" s="19"/>
      <c r="AB139" s="19"/>
      <c r="AC139" s="20"/>
      <c r="AE139" s="17"/>
      <c r="AF139" s="17"/>
      <c r="AG139" s="17"/>
      <c r="AH139" s="18">
        <f t="shared" si="110"/>
        <v>0</v>
      </c>
      <c r="AI139" s="19">
        <f t="shared" si="115"/>
        <v>0</v>
      </c>
      <c r="AK139" s="17"/>
      <c r="AL139" s="17"/>
      <c r="AM139" s="17"/>
      <c r="AN139" s="18">
        <f t="shared" si="111"/>
        <v>0</v>
      </c>
      <c r="AO139" s="19">
        <f t="shared" si="116"/>
        <v>0</v>
      </c>
      <c r="AQ139" s="17"/>
      <c r="AR139" s="17"/>
      <c r="AS139" s="17"/>
      <c r="AT139" s="18">
        <f t="shared" si="112"/>
        <v>0</v>
      </c>
      <c r="AU139" s="19">
        <f t="shared" si="117"/>
        <v>0</v>
      </c>
      <c r="AW139" s="17"/>
      <c r="AX139" s="17"/>
      <c r="AY139" s="17"/>
      <c r="AZ139" s="18">
        <f t="shared" si="113"/>
        <v>0</v>
      </c>
      <c r="BA139" s="19">
        <f t="shared" si="118"/>
        <v>0</v>
      </c>
    </row>
    <row r="140" spans="1:53" ht="17.100000000000001" customHeight="1" x14ac:dyDescent="0.25">
      <c r="A140" s="40"/>
      <c r="B140" s="40"/>
      <c r="C140" s="74" t="s">
        <v>107</v>
      </c>
      <c r="D140" s="75" t="s">
        <v>407</v>
      </c>
      <c r="E140" s="75"/>
      <c r="F140" s="75"/>
      <c r="G140" s="75"/>
      <c r="H140" s="540"/>
      <c r="I140" s="229"/>
      <c r="J140" s="583"/>
      <c r="K140" s="583"/>
      <c r="L140" s="584"/>
      <c r="M140" s="17">
        <f t="shared" si="106"/>
        <v>0</v>
      </c>
      <c r="N140" s="111"/>
      <c r="O140" s="111"/>
      <c r="P140" s="111"/>
      <c r="Q140" s="111"/>
      <c r="R140" s="111"/>
      <c r="S140" s="111"/>
      <c r="T140" s="111"/>
      <c r="U140" s="111"/>
      <c r="V140" s="358"/>
      <c r="W140" s="391">
        <f t="shared" si="107"/>
        <v>0</v>
      </c>
      <c r="X140" s="17">
        <f t="shared" si="108"/>
        <v>0</v>
      </c>
      <c r="Y140" s="18">
        <f t="shared" si="109"/>
        <v>0</v>
      </c>
      <c r="Z140" s="19">
        <f t="shared" si="114"/>
        <v>0</v>
      </c>
      <c r="AA140" s="19"/>
      <c r="AB140" s="19"/>
      <c r="AC140" s="20"/>
      <c r="AE140" s="17"/>
      <c r="AF140" s="17"/>
      <c r="AG140" s="17"/>
      <c r="AH140" s="18">
        <f t="shared" si="110"/>
        <v>0</v>
      </c>
      <c r="AI140" s="19">
        <f t="shared" si="115"/>
        <v>0</v>
      </c>
      <c r="AK140" s="17"/>
      <c r="AL140" s="17"/>
      <c r="AM140" s="17"/>
      <c r="AN140" s="18">
        <f t="shared" si="111"/>
        <v>0</v>
      </c>
      <c r="AO140" s="19">
        <f t="shared" si="116"/>
        <v>0</v>
      </c>
      <c r="AQ140" s="17"/>
      <c r="AR140" s="17"/>
      <c r="AS140" s="17"/>
      <c r="AT140" s="18">
        <f t="shared" si="112"/>
        <v>0</v>
      </c>
      <c r="AU140" s="19">
        <f t="shared" si="117"/>
        <v>0</v>
      </c>
      <c r="AW140" s="17"/>
      <c r="AX140" s="17"/>
      <c r="AY140" s="17"/>
      <c r="AZ140" s="18">
        <f t="shared" si="113"/>
        <v>0</v>
      </c>
      <c r="BA140" s="19">
        <f t="shared" si="118"/>
        <v>0</v>
      </c>
    </row>
    <row r="141" spans="1:53" ht="17.100000000000001" customHeight="1" x14ac:dyDescent="0.25">
      <c r="A141" s="40"/>
      <c r="B141" s="40"/>
      <c r="C141" s="56" t="s">
        <v>108</v>
      </c>
      <c r="D141" s="75" t="s">
        <v>408</v>
      </c>
      <c r="E141" s="542"/>
      <c r="F141" s="542"/>
      <c r="G141" s="542"/>
      <c r="H141" s="540"/>
      <c r="I141" s="235"/>
      <c r="J141" s="581"/>
      <c r="K141" s="581"/>
      <c r="L141" s="582"/>
      <c r="M141" s="17">
        <f t="shared" si="106"/>
        <v>0</v>
      </c>
      <c r="N141" s="111"/>
      <c r="O141" s="111"/>
      <c r="P141" s="111"/>
      <c r="Q141" s="111"/>
      <c r="R141" s="111"/>
      <c r="S141" s="111"/>
      <c r="T141" s="111"/>
      <c r="U141" s="111"/>
      <c r="V141" s="358"/>
      <c r="W141" s="391">
        <f t="shared" si="107"/>
        <v>0</v>
      </c>
      <c r="X141" s="17">
        <f t="shared" si="108"/>
        <v>0</v>
      </c>
      <c r="Y141" s="18">
        <f t="shared" si="109"/>
        <v>0</v>
      </c>
      <c r="Z141" s="19">
        <f t="shared" si="114"/>
        <v>0</v>
      </c>
      <c r="AA141" s="19"/>
      <c r="AB141" s="19"/>
      <c r="AC141" s="20"/>
      <c r="AE141" s="17"/>
      <c r="AF141" s="17"/>
      <c r="AG141" s="17"/>
      <c r="AH141" s="18">
        <f t="shared" si="110"/>
        <v>0</v>
      </c>
      <c r="AI141" s="19">
        <f t="shared" si="115"/>
        <v>0</v>
      </c>
      <c r="AK141" s="17"/>
      <c r="AL141" s="17"/>
      <c r="AM141" s="17"/>
      <c r="AN141" s="18">
        <f t="shared" si="111"/>
        <v>0</v>
      </c>
      <c r="AO141" s="19">
        <f t="shared" si="116"/>
        <v>0</v>
      </c>
      <c r="AQ141" s="17"/>
      <c r="AR141" s="17"/>
      <c r="AS141" s="17"/>
      <c r="AT141" s="18">
        <f t="shared" si="112"/>
        <v>0</v>
      </c>
      <c r="AU141" s="19">
        <f t="shared" si="117"/>
        <v>0</v>
      </c>
      <c r="AW141" s="17"/>
      <c r="AX141" s="17"/>
      <c r="AY141" s="17"/>
      <c r="AZ141" s="18">
        <f t="shared" si="113"/>
        <v>0</v>
      </c>
      <c r="BA141" s="19">
        <f t="shared" si="118"/>
        <v>0</v>
      </c>
    </row>
    <row r="142" spans="1:53" ht="17.100000000000001" customHeight="1" x14ac:dyDescent="0.25">
      <c r="A142" s="40"/>
      <c r="B142" s="40"/>
      <c r="C142" s="74" t="s">
        <v>399</v>
      </c>
      <c r="D142" s="75" t="s">
        <v>409</v>
      </c>
      <c r="E142" s="150"/>
      <c r="F142" s="151"/>
      <c r="G142" s="151"/>
      <c r="H142" s="119"/>
      <c r="I142" s="236"/>
      <c r="J142" s="583"/>
      <c r="K142" s="583"/>
      <c r="L142" s="584"/>
      <c r="M142" s="17">
        <f t="shared" si="106"/>
        <v>0</v>
      </c>
      <c r="N142" s="111"/>
      <c r="O142" s="111"/>
      <c r="P142" s="111"/>
      <c r="Q142" s="111"/>
      <c r="R142" s="111"/>
      <c r="S142" s="111"/>
      <c r="T142" s="111"/>
      <c r="U142" s="111"/>
      <c r="V142" s="358"/>
      <c r="W142" s="391">
        <f t="shared" si="107"/>
        <v>0</v>
      </c>
      <c r="X142" s="17">
        <f t="shared" si="108"/>
        <v>0</v>
      </c>
      <c r="Y142" s="18">
        <f t="shared" si="109"/>
        <v>0</v>
      </c>
      <c r="Z142" s="19">
        <f t="shared" si="114"/>
        <v>0</v>
      </c>
      <c r="AA142" s="19"/>
      <c r="AB142" s="19"/>
      <c r="AC142" s="20"/>
      <c r="AE142" s="17"/>
      <c r="AF142" s="17"/>
      <c r="AG142" s="17"/>
      <c r="AH142" s="18">
        <f t="shared" si="110"/>
        <v>0</v>
      </c>
      <c r="AI142" s="19">
        <f t="shared" si="115"/>
        <v>0</v>
      </c>
      <c r="AK142" s="17"/>
      <c r="AL142" s="17"/>
      <c r="AM142" s="17"/>
      <c r="AN142" s="18">
        <f t="shared" si="111"/>
        <v>0</v>
      </c>
      <c r="AO142" s="19">
        <f t="shared" si="116"/>
        <v>0</v>
      </c>
      <c r="AQ142" s="17"/>
      <c r="AR142" s="17"/>
      <c r="AS142" s="17"/>
      <c r="AT142" s="18">
        <f t="shared" si="112"/>
        <v>0</v>
      </c>
      <c r="AU142" s="19">
        <f t="shared" si="117"/>
        <v>0</v>
      </c>
      <c r="AW142" s="17"/>
      <c r="AX142" s="17"/>
      <c r="AY142" s="17"/>
      <c r="AZ142" s="18">
        <f t="shared" si="113"/>
        <v>0</v>
      </c>
      <c r="BA142" s="19">
        <f t="shared" si="118"/>
        <v>0</v>
      </c>
    </row>
    <row r="143" spans="1:53" ht="17.100000000000001" customHeight="1" x14ac:dyDescent="0.25">
      <c r="A143" s="40"/>
      <c r="B143" s="40"/>
      <c r="C143" s="56" t="s">
        <v>400</v>
      </c>
      <c r="D143" s="75" t="s">
        <v>410</v>
      </c>
      <c r="E143" s="150"/>
      <c r="F143" s="151"/>
      <c r="G143" s="151"/>
      <c r="H143" s="119"/>
      <c r="I143" s="236"/>
      <c r="J143" s="581"/>
      <c r="K143" s="581"/>
      <c r="L143" s="582"/>
      <c r="M143" s="17">
        <f t="shared" si="106"/>
        <v>0</v>
      </c>
      <c r="N143" s="111"/>
      <c r="O143" s="111"/>
      <c r="P143" s="111"/>
      <c r="Q143" s="111"/>
      <c r="R143" s="111"/>
      <c r="S143" s="111"/>
      <c r="T143" s="111"/>
      <c r="U143" s="111"/>
      <c r="V143" s="358"/>
      <c r="W143" s="391">
        <f t="shared" si="107"/>
        <v>0</v>
      </c>
      <c r="X143" s="17">
        <f t="shared" si="108"/>
        <v>0</v>
      </c>
      <c r="Y143" s="18">
        <f t="shared" si="109"/>
        <v>0</v>
      </c>
      <c r="Z143" s="19">
        <f t="shared" si="114"/>
        <v>0</v>
      </c>
      <c r="AA143" s="19"/>
      <c r="AB143" s="19"/>
      <c r="AC143" s="20"/>
      <c r="AE143" s="17"/>
      <c r="AF143" s="17"/>
      <c r="AG143" s="17"/>
      <c r="AH143" s="18">
        <f t="shared" si="110"/>
        <v>0</v>
      </c>
      <c r="AI143" s="19">
        <f t="shared" si="115"/>
        <v>0</v>
      </c>
      <c r="AK143" s="17"/>
      <c r="AL143" s="17"/>
      <c r="AM143" s="17"/>
      <c r="AN143" s="18">
        <f t="shared" si="111"/>
        <v>0</v>
      </c>
      <c r="AO143" s="19">
        <f t="shared" si="116"/>
        <v>0</v>
      </c>
      <c r="AQ143" s="17"/>
      <c r="AR143" s="17"/>
      <c r="AS143" s="17"/>
      <c r="AT143" s="18">
        <f t="shared" si="112"/>
        <v>0</v>
      </c>
      <c r="AU143" s="19">
        <f t="shared" si="117"/>
        <v>0</v>
      </c>
      <c r="AW143" s="17"/>
      <c r="AX143" s="17"/>
      <c r="AY143" s="17"/>
      <c r="AZ143" s="18">
        <f t="shared" si="113"/>
        <v>0</v>
      </c>
      <c r="BA143" s="19">
        <f t="shared" si="118"/>
        <v>0</v>
      </c>
    </row>
    <row r="144" spans="1:53" ht="17.100000000000001" customHeight="1" x14ac:dyDescent="0.25">
      <c r="A144" s="40"/>
      <c r="B144" s="40"/>
      <c r="C144" s="74" t="s">
        <v>401</v>
      </c>
      <c r="D144" s="75" t="s">
        <v>411</v>
      </c>
      <c r="E144" s="150"/>
      <c r="F144" s="151"/>
      <c r="G144" s="151"/>
      <c r="H144" s="119"/>
      <c r="I144" s="236"/>
      <c r="J144" s="583"/>
      <c r="K144" s="583"/>
      <c r="L144" s="584"/>
      <c r="M144" s="17">
        <f t="shared" si="106"/>
        <v>0</v>
      </c>
      <c r="N144" s="111"/>
      <c r="O144" s="111"/>
      <c r="P144" s="111"/>
      <c r="Q144" s="111"/>
      <c r="R144" s="111"/>
      <c r="S144" s="111"/>
      <c r="T144" s="111"/>
      <c r="U144" s="111"/>
      <c r="V144" s="358"/>
      <c r="W144" s="391">
        <f t="shared" si="107"/>
        <v>0</v>
      </c>
      <c r="X144" s="17">
        <f t="shared" si="108"/>
        <v>0</v>
      </c>
      <c r="Y144" s="18">
        <f t="shared" si="109"/>
        <v>0</v>
      </c>
      <c r="Z144" s="19">
        <f t="shared" si="114"/>
        <v>0</v>
      </c>
      <c r="AA144" s="19"/>
      <c r="AB144" s="19"/>
      <c r="AC144" s="20"/>
      <c r="AE144" s="17"/>
      <c r="AF144" s="17"/>
      <c r="AG144" s="17"/>
      <c r="AH144" s="18">
        <f t="shared" si="110"/>
        <v>0</v>
      </c>
      <c r="AI144" s="19">
        <f t="shared" si="115"/>
        <v>0</v>
      </c>
      <c r="AK144" s="17"/>
      <c r="AL144" s="17"/>
      <c r="AM144" s="17"/>
      <c r="AN144" s="18">
        <f t="shared" si="111"/>
        <v>0</v>
      </c>
      <c r="AO144" s="19">
        <f t="shared" si="116"/>
        <v>0</v>
      </c>
      <c r="AQ144" s="17"/>
      <c r="AR144" s="17"/>
      <c r="AS144" s="17"/>
      <c r="AT144" s="18">
        <f t="shared" si="112"/>
        <v>0</v>
      </c>
      <c r="AU144" s="19">
        <f t="shared" si="117"/>
        <v>0</v>
      </c>
      <c r="AW144" s="17"/>
      <c r="AX144" s="17"/>
      <c r="AY144" s="17"/>
      <c r="AZ144" s="18">
        <f t="shared" si="113"/>
        <v>0</v>
      </c>
      <c r="BA144" s="19">
        <f t="shared" si="118"/>
        <v>0</v>
      </c>
    </row>
    <row r="145" spans="1:53" ht="17.100000000000001" customHeight="1" x14ac:dyDescent="0.25">
      <c r="A145" s="40"/>
      <c r="B145" s="40"/>
      <c r="C145" s="56" t="s">
        <v>402</v>
      </c>
      <c r="D145" s="75" t="s">
        <v>412</v>
      </c>
      <c r="E145" s="150"/>
      <c r="F145" s="151"/>
      <c r="G145" s="151"/>
      <c r="H145" s="119"/>
      <c r="I145" s="236"/>
      <c r="J145" s="581"/>
      <c r="K145" s="581"/>
      <c r="L145" s="582"/>
      <c r="M145" s="17">
        <f t="shared" si="106"/>
        <v>0</v>
      </c>
      <c r="N145" s="111"/>
      <c r="O145" s="111"/>
      <c r="P145" s="111"/>
      <c r="Q145" s="111"/>
      <c r="R145" s="111"/>
      <c r="S145" s="111"/>
      <c r="T145" s="111"/>
      <c r="U145" s="111"/>
      <c r="V145" s="358"/>
      <c r="W145" s="391">
        <f t="shared" si="107"/>
        <v>0</v>
      </c>
      <c r="X145" s="17">
        <f t="shared" si="108"/>
        <v>0</v>
      </c>
      <c r="Y145" s="18">
        <f t="shared" si="109"/>
        <v>0</v>
      </c>
      <c r="Z145" s="19">
        <f t="shared" si="114"/>
        <v>0</v>
      </c>
      <c r="AA145" s="19"/>
      <c r="AB145" s="19"/>
      <c r="AC145" s="20"/>
      <c r="AE145" s="17"/>
      <c r="AF145" s="17"/>
      <c r="AG145" s="17"/>
      <c r="AH145" s="18">
        <f t="shared" si="110"/>
        <v>0</v>
      </c>
      <c r="AI145" s="19">
        <f t="shared" si="115"/>
        <v>0</v>
      </c>
      <c r="AK145" s="17"/>
      <c r="AL145" s="17"/>
      <c r="AM145" s="17"/>
      <c r="AN145" s="18">
        <f t="shared" si="111"/>
        <v>0</v>
      </c>
      <c r="AO145" s="19">
        <f t="shared" si="116"/>
        <v>0</v>
      </c>
      <c r="AQ145" s="17"/>
      <c r="AR145" s="17"/>
      <c r="AS145" s="17"/>
      <c r="AT145" s="18">
        <f t="shared" si="112"/>
        <v>0</v>
      </c>
      <c r="AU145" s="19">
        <f t="shared" si="117"/>
        <v>0</v>
      </c>
      <c r="AW145" s="17"/>
      <c r="AX145" s="17"/>
      <c r="AY145" s="17"/>
      <c r="AZ145" s="18">
        <f t="shared" si="113"/>
        <v>0</v>
      </c>
      <c r="BA145" s="19">
        <f t="shared" si="118"/>
        <v>0</v>
      </c>
    </row>
    <row r="146" spans="1:53" ht="17.100000000000001" customHeight="1" x14ac:dyDescent="0.25">
      <c r="A146" s="40"/>
      <c r="B146" s="40"/>
      <c r="C146" s="74" t="s">
        <v>403</v>
      </c>
      <c r="D146" s="75" t="s">
        <v>392</v>
      </c>
      <c r="E146" s="150"/>
      <c r="F146" s="151"/>
      <c r="G146" s="151"/>
      <c r="H146" s="119"/>
      <c r="I146" s="236"/>
      <c r="J146" s="583"/>
      <c r="K146" s="583"/>
      <c r="L146" s="584"/>
      <c r="M146" s="17">
        <f t="shared" si="106"/>
        <v>0</v>
      </c>
      <c r="N146" s="111"/>
      <c r="O146" s="111"/>
      <c r="P146" s="111"/>
      <c r="Q146" s="111"/>
      <c r="R146" s="111"/>
      <c r="S146" s="111"/>
      <c r="T146" s="111"/>
      <c r="U146" s="111"/>
      <c r="V146" s="358"/>
      <c r="W146" s="391">
        <f t="shared" si="107"/>
        <v>0</v>
      </c>
      <c r="X146" s="17">
        <f t="shared" si="108"/>
        <v>0</v>
      </c>
      <c r="Y146" s="18">
        <f t="shared" si="109"/>
        <v>0</v>
      </c>
      <c r="Z146" s="19">
        <f t="shared" si="114"/>
        <v>0</v>
      </c>
      <c r="AA146" s="19"/>
      <c r="AB146" s="19"/>
      <c r="AC146" s="20"/>
      <c r="AE146" s="17"/>
      <c r="AF146" s="17"/>
      <c r="AG146" s="17"/>
      <c r="AH146" s="18">
        <f t="shared" si="110"/>
        <v>0</v>
      </c>
      <c r="AI146" s="19">
        <f t="shared" si="115"/>
        <v>0</v>
      </c>
      <c r="AK146" s="17"/>
      <c r="AL146" s="17"/>
      <c r="AM146" s="17"/>
      <c r="AN146" s="18">
        <f t="shared" si="111"/>
        <v>0</v>
      </c>
      <c r="AO146" s="19">
        <f t="shared" si="116"/>
        <v>0</v>
      </c>
      <c r="AQ146" s="17"/>
      <c r="AR146" s="17"/>
      <c r="AS146" s="17"/>
      <c r="AT146" s="18">
        <f t="shared" si="112"/>
        <v>0</v>
      </c>
      <c r="AU146" s="19">
        <f t="shared" si="117"/>
        <v>0</v>
      </c>
      <c r="AW146" s="17"/>
      <c r="AX146" s="17"/>
      <c r="AY146" s="17"/>
      <c r="AZ146" s="18">
        <f t="shared" si="113"/>
        <v>0</v>
      </c>
      <c r="BA146" s="19">
        <f t="shared" si="118"/>
        <v>0</v>
      </c>
    </row>
    <row r="147" spans="1:53" ht="17.100000000000001" customHeight="1" x14ac:dyDescent="0.25">
      <c r="A147" s="40"/>
      <c r="B147" s="40"/>
      <c r="C147" s="77"/>
      <c r="D147" s="144"/>
      <c r="E147" s="144"/>
      <c r="F147" s="145"/>
      <c r="G147" s="145"/>
      <c r="H147" s="119"/>
      <c r="I147" s="236"/>
      <c r="J147" s="80">
        <f>SUM(J137:J146)</f>
        <v>0</v>
      </c>
      <c r="K147" s="80">
        <f t="shared" ref="K147:M147" si="119">SUM(K137:K146)</f>
        <v>0</v>
      </c>
      <c r="L147" s="80">
        <f t="shared" si="119"/>
        <v>0</v>
      </c>
      <c r="M147" s="80">
        <f t="shared" si="119"/>
        <v>0</v>
      </c>
      <c r="N147" s="80"/>
      <c r="O147" s="80"/>
      <c r="P147" s="80"/>
      <c r="Q147" s="81"/>
      <c r="R147" s="81"/>
      <c r="S147" s="81"/>
      <c r="T147" s="81"/>
      <c r="U147" s="81"/>
      <c r="V147" s="356"/>
      <c r="W147" s="381">
        <f>SUM(W138:W146)</f>
        <v>0</v>
      </c>
      <c r="X147" s="82">
        <f t="shared" ref="X147:Y147" si="120">SUM(X138:X146)</f>
        <v>0</v>
      </c>
      <c r="Y147" s="82">
        <f t="shared" si="120"/>
        <v>0</v>
      </c>
      <c r="Z147" s="205">
        <f>IF(Y$147=0,0,Y147/Y$147)</f>
        <v>0</v>
      </c>
      <c r="AA147" s="205"/>
      <c r="AB147" s="205"/>
      <c r="AC147" s="83"/>
      <c r="AE147" s="80"/>
      <c r="AF147" s="80"/>
      <c r="AG147" s="81"/>
      <c r="AH147" s="82">
        <f>SUM(AH137:AH146)</f>
        <v>0</v>
      </c>
      <c r="AI147" s="66">
        <f t="shared" si="115"/>
        <v>0</v>
      </c>
      <c r="AK147" s="80"/>
      <c r="AL147" s="80"/>
      <c r="AM147" s="81"/>
      <c r="AN147" s="82">
        <f>SUM(AN137:AN146)</f>
        <v>0</v>
      </c>
      <c r="AO147" s="66">
        <f t="shared" si="116"/>
        <v>0</v>
      </c>
      <c r="AQ147" s="80"/>
      <c r="AR147" s="80"/>
      <c r="AS147" s="81"/>
      <c r="AT147" s="82"/>
      <c r="AU147" s="66">
        <f t="shared" si="117"/>
        <v>0</v>
      </c>
      <c r="AW147" s="80"/>
      <c r="AX147" s="80"/>
      <c r="AY147" s="81"/>
      <c r="AZ147" s="82">
        <f>SUM(AZ137:AZ146)</f>
        <v>0</v>
      </c>
      <c r="BA147" s="66">
        <f t="shared" si="118"/>
        <v>0</v>
      </c>
    </row>
    <row r="148" spans="1:53" s="117" customFormat="1" ht="17.100000000000001" customHeight="1" x14ac:dyDescent="0.25">
      <c r="A148" s="68"/>
      <c r="B148" s="119"/>
      <c r="C148" s="540"/>
      <c r="D148" s="261"/>
      <c r="E148" s="261"/>
      <c r="F148" s="68"/>
      <c r="G148" s="68"/>
      <c r="H148" s="119"/>
      <c r="I148" s="138"/>
      <c r="J148" s="17" t="str">
        <f>IF(J147=J$15,"OK","NOK")</f>
        <v>OK</v>
      </c>
      <c r="K148" s="17" t="str">
        <f t="shared" ref="K148:L148" si="121">IF(K147=K$15,"OK","NOK")</f>
        <v>OK</v>
      </c>
      <c r="L148" s="17" t="str">
        <f t="shared" si="121"/>
        <v>OK</v>
      </c>
      <c r="M148" s="17"/>
      <c r="N148" s="17"/>
      <c r="O148" s="17"/>
      <c r="P148" s="17"/>
      <c r="Q148" s="17"/>
      <c r="R148" s="17"/>
      <c r="S148" s="17"/>
      <c r="T148" s="17"/>
      <c r="U148" s="17"/>
      <c r="V148" s="359"/>
      <c r="W148" s="382"/>
      <c r="X148" s="539"/>
      <c r="Y148" s="539"/>
      <c r="Z148" s="201"/>
      <c r="AA148" s="201"/>
      <c r="AB148" s="201"/>
      <c r="AC148" s="84"/>
      <c r="AE148" s="46"/>
      <c r="AF148" s="46"/>
      <c r="AG148" s="17"/>
      <c r="AH148" s="539"/>
      <c r="AI148" s="91"/>
      <c r="AK148" s="46"/>
      <c r="AL148" s="46"/>
      <c r="AM148" s="17"/>
      <c r="AN148" s="539"/>
      <c r="AO148" s="91"/>
      <c r="AQ148" s="46"/>
      <c r="AR148" s="46"/>
      <c r="AS148" s="17"/>
      <c r="AT148" s="539"/>
      <c r="AU148" s="91"/>
      <c r="AW148" s="46"/>
      <c r="AX148" s="46"/>
      <c r="AY148" s="17"/>
      <c r="AZ148" s="539"/>
      <c r="BA148" s="91"/>
    </row>
    <row r="149" spans="1:53" ht="17.100000000000001" customHeight="1" x14ac:dyDescent="0.25">
      <c r="A149" s="68"/>
      <c r="B149" s="41" t="s">
        <v>110</v>
      </c>
      <c r="C149" s="69" t="s">
        <v>111</v>
      </c>
      <c r="D149" s="50"/>
      <c r="E149" s="70"/>
      <c r="F149" s="70"/>
      <c r="G149" s="70"/>
      <c r="H149" s="119"/>
      <c r="J149" s="71"/>
      <c r="K149" s="71"/>
      <c r="L149" s="71"/>
      <c r="M149" s="71"/>
      <c r="N149" s="71"/>
      <c r="O149" s="71"/>
      <c r="P149" s="71"/>
      <c r="Q149" s="71"/>
      <c r="R149" s="71"/>
      <c r="S149" s="71"/>
      <c r="T149" s="71"/>
      <c r="U149" s="71"/>
      <c r="V149" s="355"/>
      <c r="W149" s="377"/>
      <c r="X149" s="71"/>
      <c r="Y149" s="72"/>
      <c r="Z149" s="73"/>
      <c r="AA149" s="73"/>
      <c r="AB149" s="73"/>
      <c r="AC149" s="73"/>
      <c r="AE149" s="71"/>
      <c r="AF149" s="71"/>
      <c r="AG149" s="71"/>
      <c r="AH149" s="72"/>
      <c r="AI149" s="73"/>
      <c r="AK149" s="71"/>
      <c r="AL149" s="71"/>
      <c r="AM149" s="71"/>
      <c r="AN149" s="72"/>
      <c r="AO149" s="73"/>
      <c r="AQ149" s="71"/>
      <c r="AR149" s="71"/>
      <c r="AS149" s="71"/>
      <c r="AT149" s="72"/>
      <c r="AU149" s="73"/>
      <c r="AW149" s="71"/>
      <c r="AX149" s="71"/>
      <c r="AY149" s="71"/>
      <c r="AZ149" s="72"/>
      <c r="BA149" s="73"/>
    </row>
    <row r="150" spans="1:53" ht="17.100000000000001" customHeight="1" x14ac:dyDescent="0.25">
      <c r="A150" s="40"/>
      <c r="B150" s="40"/>
      <c r="C150" s="141" t="s">
        <v>112</v>
      </c>
      <c r="D150" s="85" t="s">
        <v>113</v>
      </c>
      <c r="E150" s="75"/>
      <c r="F150" s="75"/>
      <c r="G150" s="75"/>
      <c r="H150" s="540"/>
      <c r="I150" s="229"/>
      <c r="J150" s="111"/>
      <c r="K150" s="111"/>
      <c r="L150" s="111"/>
      <c r="M150" s="111"/>
      <c r="N150" s="60"/>
      <c r="O150" s="60"/>
      <c r="P150" s="17">
        <f>SUM(N150:O150)</f>
        <v>0</v>
      </c>
      <c r="Q150" s="60">
        <v>1</v>
      </c>
      <c r="R150" s="60">
        <v>2</v>
      </c>
      <c r="S150" s="17">
        <f>SUM(Q150:R150)</f>
        <v>3</v>
      </c>
      <c r="T150" s="60"/>
      <c r="U150" s="60"/>
      <c r="V150" s="359">
        <f>SUM(T150:U150)</f>
        <v>0</v>
      </c>
      <c r="W150" s="391">
        <f t="shared" ref="W150:W151" si="122">J150+K150+N150+Q150+T150</f>
        <v>1</v>
      </c>
      <c r="X150" s="17">
        <f t="shared" ref="X150:X151" si="123">L150+O150+R150+U150</f>
        <v>2</v>
      </c>
      <c r="Y150" s="18">
        <f>SUM(W150:X150)</f>
        <v>3</v>
      </c>
      <c r="Z150" s="19">
        <f>IF(Y$152=0,0,Y150/Y$152)</f>
        <v>0.2</v>
      </c>
      <c r="AA150" s="19"/>
      <c r="AB150" s="19"/>
      <c r="AC150" s="20"/>
      <c r="AE150" s="111"/>
      <c r="AF150" s="111"/>
      <c r="AG150" s="111"/>
      <c r="AH150" s="112"/>
      <c r="AI150" s="113"/>
      <c r="AK150" s="111"/>
      <c r="AL150" s="111"/>
      <c r="AM150" s="111"/>
      <c r="AN150" s="112"/>
      <c r="AO150" s="113"/>
      <c r="AQ150" s="17"/>
      <c r="AR150" s="17"/>
      <c r="AS150" s="17"/>
      <c r="AT150" s="18">
        <f t="shared" ref="AT150:AT151" si="124">W150</f>
        <v>1</v>
      </c>
      <c r="AU150" s="19">
        <f>IF(AT$152=0,0,AT150/AT$152)</f>
        <v>0.33333333333333331</v>
      </c>
      <c r="AW150" s="17"/>
      <c r="AX150" s="17"/>
      <c r="AY150" s="17"/>
      <c r="AZ150" s="18">
        <f t="shared" ref="AZ150:AZ151" si="125">X150</f>
        <v>2</v>
      </c>
      <c r="BA150" s="19">
        <f>IF(AZ$152=0,0,AZ150/AZ$152)</f>
        <v>0.16666666666666666</v>
      </c>
    </row>
    <row r="151" spans="1:53" ht="17.100000000000001" customHeight="1" x14ac:dyDescent="0.25">
      <c r="A151" s="40"/>
      <c r="B151" s="40"/>
      <c r="C151" s="141" t="s">
        <v>114</v>
      </c>
      <c r="D151" s="146" t="s">
        <v>115</v>
      </c>
      <c r="E151" s="75"/>
      <c r="F151" s="75"/>
      <c r="G151" s="75"/>
      <c r="H151" s="540"/>
      <c r="I151" s="229"/>
      <c r="J151" s="111"/>
      <c r="K151" s="111"/>
      <c r="L151" s="111"/>
      <c r="M151" s="111"/>
      <c r="N151" s="61"/>
      <c r="O151" s="61">
        <v>8</v>
      </c>
      <c r="P151" s="17">
        <f>SUM(N151:O151)</f>
        <v>8</v>
      </c>
      <c r="Q151" s="61">
        <v>2</v>
      </c>
      <c r="R151" s="61">
        <v>2</v>
      </c>
      <c r="S151" s="17">
        <f>SUM(Q151:R151)</f>
        <v>4</v>
      </c>
      <c r="T151" s="61"/>
      <c r="U151" s="61"/>
      <c r="V151" s="359">
        <f>SUM(T151:U151)</f>
        <v>0</v>
      </c>
      <c r="W151" s="391">
        <f t="shared" si="122"/>
        <v>2</v>
      </c>
      <c r="X151" s="17">
        <f t="shared" si="123"/>
        <v>10</v>
      </c>
      <c r="Y151" s="18">
        <f>SUM(W151:X151)</f>
        <v>12</v>
      </c>
      <c r="Z151" s="19">
        <f>IF(Y$152=0,0,Y151/Y$152)</f>
        <v>0.8</v>
      </c>
      <c r="AA151" s="19"/>
      <c r="AB151" s="19"/>
      <c r="AC151" s="20"/>
      <c r="AE151" s="111"/>
      <c r="AF151" s="111"/>
      <c r="AG151" s="111"/>
      <c r="AH151" s="112"/>
      <c r="AI151" s="113"/>
      <c r="AK151" s="111"/>
      <c r="AL151" s="111"/>
      <c r="AM151" s="111"/>
      <c r="AN151" s="112"/>
      <c r="AO151" s="113"/>
      <c r="AQ151" s="17"/>
      <c r="AR151" s="17"/>
      <c r="AS151" s="17"/>
      <c r="AT151" s="18">
        <f t="shared" si="124"/>
        <v>2</v>
      </c>
      <c r="AU151" s="19">
        <f t="shared" ref="AU151:AU152" si="126">IF(AT$152=0,0,AT151/AT$152)</f>
        <v>0.66666666666666663</v>
      </c>
      <c r="AW151" s="17"/>
      <c r="AX151" s="17"/>
      <c r="AY151" s="17"/>
      <c r="AZ151" s="18">
        <f t="shared" si="125"/>
        <v>10</v>
      </c>
      <c r="BA151" s="19">
        <f t="shared" ref="BA151:BA152" si="127">IF(AZ$152=0,0,AZ151/AZ$152)</f>
        <v>0.83333333333333337</v>
      </c>
    </row>
    <row r="152" spans="1:53" ht="17.100000000000001" customHeight="1" x14ac:dyDescent="0.25">
      <c r="A152" s="40"/>
      <c r="B152" s="40"/>
      <c r="C152" s="77"/>
      <c r="D152" s="144"/>
      <c r="E152" s="144"/>
      <c r="F152" s="145"/>
      <c r="G152" s="145"/>
      <c r="H152" s="119"/>
      <c r="I152" s="236"/>
      <c r="J152" s="80"/>
      <c r="K152" s="80"/>
      <c r="L152" s="81"/>
      <c r="M152" s="81"/>
      <c r="N152" s="81">
        <f t="shared" ref="N152:Y152" si="128">SUM(N150:N151)</f>
        <v>0</v>
      </c>
      <c r="O152" s="81">
        <f t="shared" si="128"/>
        <v>8</v>
      </c>
      <c r="P152" s="81">
        <f t="shared" si="128"/>
        <v>8</v>
      </c>
      <c r="Q152" s="81">
        <f t="shared" si="128"/>
        <v>3</v>
      </c>
      <c r="R152" s="81">
        <f t="shared" si="128"/>
        <v>4</v>
      </c>
      <c r="S152" s="81">
        <f t="shared" si="128"/>
        <v>7</v>
      </c>
      <c r="T152" s="81">
        <f t="shared" si="128"/>
        <v>0</v>
      </c>
      <c r="U152" s="81">
        <f t="shared" si="128"/>
        <v>0</v>
      </c>
      <c r="V152" s="81">
        <f t="shared" si="128"/>
        <v>0</v>
      </c>
      <c r="W152" s="381">
        <f t="shared" si="128"/>
        <v>3</v>
      </c>
      <c r="X152" s="82">
        <f t="shared" si="128"/>
        <v>12</v>
      </c>
      <c r="Y152" s="82">
        <f t="shared" si="128"/>
        <v>15</v>
      </c>
      <c r="Z152" s="205">
        <f t="shared" ref="Z152" si="129">IF(Y$152=0,0,Y152/Y$152)</f>
        <v>1</v>
      </c>
      <c r="AA152" s="205"/>
      <c r="AB152" s="205"/>
      <c r="AC152" s="83"/>
      <c r="AE152" s="80"/>
      <c r="AF152" s="80"/>
      <c r="AG152" s="81"/>
      <c r="AH152" s="82"/>
      <c r="AI152" s="66"/>
      <c r="AK152" s="80"/>
      <c r="AL152" s="80"/>
      <c r="AM152" s="81"/>
      <c r="AN152" s="82"/>
      <c r="AO152" s="66"/>
      <c r="AQ152" s="80"/>
      <c r="AR152" s="80"/>
      <c r="AS152" s="81"/>
      <c r="AT152" s="82">
        <f>SUM(AT150:AT151)</f>
        <v>3</v>
      </c>
      <c r="AU152" s="66">
        <f t="shared" si="126"/>
        <v>1</v>
      </c>
      <c r="AW152" s="80"/>
      <c r="AX152" s="80"/>
      <c r="AY152" s="81"/>
      <c r="AZ152" s="82">
        <f>SUM(AZ150:AZ151)</f>
        <v>12</v>
      </c>
      <c r="BA152" s="66">
        <f t="shared" si="127"/>
        <v>1</v>
      </c>
    </row>
    <row r="153" spans="1:53" s="117" customFormat="1" ht="17.100000000000001" customHeight="1" x14ac:dyDescent="0.25">
      <c r="A153" s="68"/>
      <c r="B153" s="119"/>
      <c r="C153" s="540"/>
      <c r="D153" s="261"/>
      <c r="E153" s="261"/>
      <c r="F153" s="68"/>
      <c r="G153" s="68"/>
      <c r="H153" s="119"/>
      <c r="I153" s="138"/>
      <c r="J153" s="17"/>
      <c r="K153" s="17"/>
      <c r="L153" s="17"/>
      <c r="M153" s="17"/>
      <c r="N153" s="17" t="str">
        <f>IF(N152=N$20,"OK","NOK")</f>
        <v>OK</v>
      </c>
      <c r="O153" s="17" t="str">
        <f>IF(O152=O$20,"OK","NOK")</f>
        <v>OK</v>
      </c>
      <c r="P153" s="17"/>
      <c r="Q153" s="17" t="str">
        <f>IF(Q152=Q$20,"OK","NOK")</f>
        <v>OK</v>
      </c>
      <c r="R153" s="17" t="str">
        <f>IF(R152=R$20,"OK","NOK")</f>
        <v>OK</v>
      </c>
      <c r="S153" s="17"/>
      <c r="T153" s="17" t="str">
        <f>IF(T152=T$20,"OK","NOK")</f>
        <v>OK</v>
      </c>
      <c r="U153" s="17" t="str">
        <f>IF(U152=U$20,"OK","NOK")</f>
        <v>OK</v>
      </c>
      <c r="V153" s="359"/>
      <c r="W153" s="382"/>
      <c r="X153" s="539"/>
      <c r="Y153" s="539"/>
      <c r="Z153" s="201"/>
      <c r="AA153" s="201"/>
      <c r="AB153" s="201"/>
      <c r="AC153" s="84"/>
      <c r="AE153" s="46"/>
      <c r="AF153" s="46"/>
      <c r="AG153" s="17"/>
      <c r="AH153" s="539"/>
      <c r="AI153" s="91"/>
      <c r="AK153" s="46"/>
      <c r="AL153" s="46"/>
      <c r="AM153" s="17"/>
      <c r="AN153" s="539"/>
      <c r="AO153" s="91"/>
      <c r="AQ153" s="46"/>
      <c r="AR153" s="46"/>
      <c r="AS153" s="17"/>
      <c r="AT153" s="539"/>
      <c r="AU153" s="91"/>
      <c r="AW153" s="46"/>
      <c r="AX153" s="46"/>
      <c r="AY153" s="17"/>
      <c r="AZ153" s="539"/>
      <c r="BA153" s="91"/>
    </row>
    <row r="154" spans="1:53" ht="17.100000000000001" customHeight="1" x14ac:dyDescent="0.25">
      <c r="A154" s="68"/>
      <c r="B154" s="41" t="s">
        <v>116</v>
      </c>
      <c r="C154" s="69" t="s">
        <v>427</v>
      </c>
      <c r="D154" s="50"/>
      <c r="E154" s="70"/>
      <c r="F154" s="70"/>
      <c r="G154" s="70"/>
      <c r="H154" s="243">
        <v>34</v>
      </c>
      <c r="J154" s="71"/>
      <c r="K154" s="71"/>
      <c r="L154" s="71"/>
      <c r="M154" s="71"/>
      <c r="N154" s="71"/>
      <c r="O154" s="71"/>
      <c r="P154" s="71"/>
      <c r="Q154" s="71"/>
      <c r="R154" s="71"/>
      <c r="S154" s="71"/>
      <c r="T154" s="71"/>
      <c r="U154" s="71"/>
      <c r="V154" s="355"/>
      <c r="W154" s="377"/>
      <c r="X154" s="71"/>
      <c r="Y154" s="72"/>
      <c r="Z154" s="73"/>
      <c r="AA154" s="73"/>
      <c r="AB154" s="73"/>
      <c r="AC154" s="73"/>
      <c r="AE154" s="71"/>
      <c r="AF154" s="71"/>
      <c r="AG154" s="71"/>
      <c r="AH154" s="72"/>
      <c r="AI154" s="73"/>
      <c r="AK154" s="71"/>
      <c r="AL154" s="71"/>
      <c r="AM154" s="71"/>
      <c r="AN154" s="72"/>
      <c r="AO154" s="73"/>
      <c r="AQ154" s="71"/>
      <c r="AR154" s="71"/>
      <c r="AS154" s="71"/>
      <c r="AT154" s="72"/>
      <c r="AU154" s="73"/>
      <c r="AW154" s="71"/>
      <c r="AX154" s="71"/>
      <c r="AY154" s="71"/>
      <c r="AZ154" s="72"/>
      <c r="BA154" s="73"/>
    </row>
    <row r="155" spans="1:53" ht="17.100000000000001" customHeight="1" x14ac:dyDescent="0.25">
      <c r="A155" s="40"/>
      <c r="B155" s="40"/>
      <c r="C155" s="141" t="s">
        <v>117</v>
      </c>
      <c r="D155" s="85" t="s">
        <v>428</v>
      </c>
      <c r="E155" s="75"/>
      <c r="F155" s="75"/>
      <c r="G155" s="75"/>
      <c r="H155" s="540"/>
      <c r="I155" s="229"/>
      <c r="J155" s="581"/>
      <c r="K155" s="581"/>
      <c r="L155" s="582"/>
      <c r="M155" s="17">
        <f t="shared" ref="M155:M160" si="130">SUM(J155:L155)</f>
        <v>0</v>
      </c>
      <c r="N155" s="111"/>
      <c r="O155" s="111"/>
      <c r="P155" s="111"/>
      <c r="Q155" s="111"/>
      <c r="R155" s="111"/>
      <c r="S155" s="111"/>
      <c r="T155" s="111"/>
      <c r="U155" s="111"/>
      <c r="V155" s="358"/>
      <c r="W155" s="391">
        <f t="shared" ref="W155:W160" si="131">J155+K155+N155+Q155+T155</f>
        <v>0</v>
      </c>
      <c r="X155" s="17">
        <f t="shared" ref="X155:X160" si="132">L155+O155+R155+U155</f>
        <v>0</v>
      </c>
      <c r="Y155" s="18">
        <f t="shared" ref="Y155:Y160" si="133">SUM(W155:X155)</f>
        <v>0</v>
      </c>
      <c r="Z155" s="19">
        <f>IF($Y$161=0,0,Y155/$Y$161)</f>
        <v>0</v>
      </c>
      <c r="AA155" s="19"/>
      <c r="AB155" s="19"/>
      <c r="AC155" s="20"/>
      <c r="AE155" s="17"/>
      <c r="AF155" s="17"/>
      <c r="AG155" s="17"/>
      <c r="AH155" s="18">
        <f t="shared" ref="AH155:AH160" si="134">J155</f>
        <v>0</v>
      </c>
      <c r="AI155" s="19">
        <f>IF(AH$161=0,0,AH155/AH$161)</f>
        <v>0</v>
      </c>
      <c r="AK155" s="17"/>
      <c r="AL155" s="17"/>
      <c r="AM155" s="17"/>
      <c r="AN155" s="18">
        <f t="shared" ref="AN155:AN160" si="135">K155</f>
        <v>0</v>
      </c>
      <c r="AO155" s="19">
        <f>IF(AN$161=0,0,AN155/AN$161)</f>
        <v>0</v>
      </c>
      <c r="AQ155" s="17"/>
      <c r="AR155" s="17"/>
      <c r="AS155" s="17"/>
      <c r="AT155" s="18">
        <f t="shared" ref="AT155:AT160" si="136">W155</f>
        <v>0</v>
      </c>
      <c r="AU155" s="19">
        <f>IF(AT$161=0,0,AT155/AT$161)</f>
        <v>0</v>
      </c>
      <c r="AW155" s="17"/>
      <c r="AX155" s="17"/>
      <c r="AY155" s="17"/>
      <c r="AZ155" s="18">
        <f t="shared" ref="AZ155:AZ160" si="137">X155</f>
        <v>0</v>
      </c>
      <c r="BA155" s="19">
        <f>IF(AZ$161=0,0,AZ155/AZ$161)</f>
        <v>0</v>
      </c>
    </row>
    <row r="156" spans="1:53" ht="17.100000000000001" customHeight="1" x14ac:dyDescent="0.25">
      <c r="A156" s="40"/>
      <c r="B156" s="40"/>
      <c r="C156" s="141" t="s">
        <v>118</v>
      </c>
      <c r="D156" s="85" t="s">
        <v>429</v>
      </c>
      <c r="E156" s="75"/>
      <c r="F156" s="75"/>
      <c r="G156" s="75"/>
      <c r="H156" s="540"/>
      <c r="I156" s="229"/>
      <c r="J156" s="583"/>
      <c r="K156" s="583"/>
      <c r="L156" s="584"/>
      <c r="M156" s="17">
        <f t="shared" si="130"/>
        <v>0</v>
      </c>
      <c r="N156" s="111"/>
      <c r="O156" s="111"/>
      <c r="P156" s="111"/>
      <c r="Q156" s="111"/>
      <c r="R156" s="111"/>
      <c r="S156" s="111"/>
      <c r="T156" s="111"/>
      <c r="U156" s="111"/>
      <c r="V156" s="358"/>
      <c r="W156" s="391">
        <f t="shared" si="131"/>
        <v>0</v>
      </c>
      <c r="X156" s="17">
        <f t="shared" si="132"/>
        <v>0</v>
      </c>
      <c r="Y156" s="18">
        <f t="shared" si="133"/>
        <v>0</v>
      </c>
      <c r="Z156" s="19">
        <f t="shared" ref="Z156:Z161" si="138">IF($Y$161=0,0,Y156/$Y$161)</f>
        <v>0</v>
      </c>
      <c r="AA156" s="19"/>
      <c r="AB156" s="19"/>
      <c r="AC156" s="20"/>
      <c r="AE156" s="17"/>
      <c r="AF156" s="17"/>
      <c r="AG156" s="17"/>
      <c r="AH156" s="18">
        <f t="shared" si="134"/>
        <v>0</v>
      </c>
      <c r="AI156" s="19">
        <f t="shared" ref="AI156:AI161" si="139">IF(AH$161=0,0,AH156/AH$161)</f>
        <v>0</v>
      </c>
      <c r="AK156" s="17"/>
      <c r="AL156" s="17"/>
      <c r="AM156" s="17"/>
      <c r="AN156" s="18">
        <f t="shared" si="135"/>
        <v>0</v>
      </c>
      <c r="AO156" s="19">
        <f t="shared" ref="AO156:AO161" si="140">IF(AN$161=0,0,AN156/AN$161)</f>
        <v>0</v>
      </c>
      <c r="AQ156" s="17"/>
      <c r="AR156" s="17"/>
      <c r="AS156" s="17"/>
      <c r="AT156" s="18">
        <f t="shared" si="136"/>
        <v>0</v>
      </c>
      <c r="AU156" s="19">
        <f t="shared" ref="AU156:AU161" si="141">IF(AT$161=0,0,AT156/AT$161)</f>
        <v>0</v>
      </c>
      <c r="AW156" s="17"/>
      <c r="AX156" s="17"/>
      <c r="AY156" s="17"/>
      <c r="AZ156" s="18">
        <f t="shared" si="137"/>
        <v>0</v>
      </c>
      <c r="BA156" s="19">
        <f t="shared" ref="BA156:BA161" si="142">IF(AZ$161=0,0,AZ156/AZ$161)</f>
        <v>0</v>
      </c>
    </row>
    <row r="157" spans="1:53" ht="17.100000000000001" customHeight="1" x14ac:dyDescent="0.25">
      <c r="A157" s="40"/>
      <c r="B157" s="40"/>
      <c r="C157" s="141" t="s">
        <v>119</v>
      </c>
      <c r="D157" s="85" t="s">
        <v>430</v>
      </c>
      <c r="E157" s="75"/>
      <c r="F157" s="75"/>
      <c r="G157" s="75"/>
      <c r="H157" s="540"/>
      <c r="I157" s="229"/>
      <c r="J157" s="581"/>
      <c r="K157" s="581"/>
      <c r="L157" s="582"/>
      <c r="M157" s="17">
        <f t="shared" si="130"/>
        <v>0</v>
      </c>
      <c r="N157" s="111"/>
      <c r="O157" s="111"/>
      <c r="P157" s="111"/>
      <c r="Q157" s="111"/>
      <c r="R157" s="111"/>
      <c r="S157" s="111"/>
      <c r="T157" s="111"/>
      <c r="U157" s="111"/>
      <c r="V157" s="358"/>
      <c r="W157" s="391">
        <f t="shared" si="131"/>
        <v>0</v>
      </c>
      <c r="X157" s="17">
        <f t="shared" si="132"/>
        <v>0</v>
      </c>
      <c r="Y157" s="18">
        <f t="shared" si="133"/>
        <v>0</v>
      </c>
      <c r="Z157" s="19">
        <f t="shared" si="138"/>
        <v>0</v>
      </c>
      <c r="AA157" s="19"/>
      <c r="AB157" s="19"/>
      <c r="AC157" s="20"/>
      <c r="AE157" s="17"/>
      <c r="AF157" s="17"/>
      <c r="AG157" s="17"/>
      <c r="AH157" s="18">
        <f t="shared" si="134"/>
        <v>0</v>
      </c>
      <c r="AI157" s="19">
        <f t="shared" si="139"/>
        <v>0</v>
      </c>
      <c r="AK157" s="17"/>
      <c r="AL157" s="17"/>
      <c r="AM157" s="17"/>
      <c r="AN157" s="18">
        <f t="shared" si="135"/>
        <v>0</v>
      </c>
      <c r="AO157" s="19">
        <f t="shared" si="140"/>
        <v>0</v>
      </c>
      <c r="AQ157" s="17"/>
      <c r="AR157" s="17"/>
      <c r="AS157" s="17"/>
      <c r="AT157" s="18">
        <f t="shared" si="136"/>
        <v>0</v>
      </c>
      <c r="AU157" s="19">
        <f t="shared" si="141"/>
        <v>0</v>
      </c>
      <c r="AW157" s="17"/>
      <c r="AX157" s="17"/>
      <c r="AY157" s="17"/>
      <c r="AZ157" s="18">
        <f t="shared" si="137"/>
        <v>0</v>
      </c>
      <c r="BA157" s="19">
        <f t="shared" si="142"/>
        <v>0</v>
      </c>
    </row>
    <row r="158" spans="1:53" ht="17.100000000000001" customHeight="1" x14ac:dyDescent="0.25">
      <c r="A158" s="40"/>
      <c r="B158" s="40"/>
      <c r="C158" s="141" t="s">
        <v>120</v>
      </c>
      <c r="D158" s="85" t="s">
        <v>431</v>
      </c>
      <c r="E158" s="75"/>
      <c r="F158" s="75"/>
      <c r="G158" s="75"/>
      <c r="H158" s="540"/>
      <c r="I158" s="229"/>
      <c r="J158" s="583"/>
      <c r="K158" s="583"/>
      <c r="L158" s="584"/>
      <c r="M158" s="17">
        <f t="shared" si="130"/>
        <v>0</v>
      </c>
      <c r="N158" s="111"/>
      <c r="O158" s="111"/>
      <c r="P158" s="111"/>
      <c r="Q158" s="111"/>
      <c r="R158" s="111"/>
      <c r="S158" s="111"/>
      <c r="T158" s="111"/>
      <c r="U158" s="111"/>
      <c r="V158" s="358"/>
      <c r="W158" s="391">
        <f t="shared" si="131"/>
        <v>0</v>
      </c>
      <c r="X158" s="17">
        <f t="shared" si="132"/>
        <v>0</v>
      </c>
      <c r="Y158" s="18">
        <f t="shared" si="133"/>
        <v>0</v>
      </c>
      <c r="Z158" s="19">
        <f t="shared" si="138"/>
        <v>0</v>
      </c>
      <c r="AA158" s="19"/>
      <c r="AB158" s="19"/>
      <c r="AC158" s="20"/>
      <c r="AE158" s="17"/>
      <c r="AF158" s="17"/>
      <c r="AG158" s="17"/>
      <c r="AH158" s="18">
        <f t="shared" si="134"/>
        <v>0</v>
      </c>
      <c r="AI158" s="19">
        <f t="shared" si="139"/>
        <v>0</v>
      </c>
      <c r="AK158" s="17"/>
      <c r="AL158" s="17"/>
      <c r="AM158" s="17"/>
      <c r="AN158" s="18">
        <f t="shared" si="135"/>
        <v>0</v>
      </c>
      <c r="AO158" s="19">
        <f t="shared" si="140"/>
        <v>0</v>
      </c>
      <c r="AQ158" s="17"/>
      <c r="AR158" s="17"/>
      <c r="AS158" s="17"/>
      <c r="AT158" s="18">
        <f t="shared" si="136"/>
        <v>0</v>
      </c>
      <c r="AU158" s="19">
        <f t="shared" si="141"/>
        <v>0</v>
      </c>
      <c r="AW158" s="17"/>
      <c r="AX158" s="17"/>
      <c r="AY158" s="17"/>
      <c r="AZ158" s="18">
        <f t="shared" si="137"/>
        <v>0</v>
      </c>
      <c r="BA158" s="19">
        <f t="shared" si="142"/>
        <v>0</v>
      </c>
    </row>
    <row r="159" spans="1:53" ht="17.100000000000001" customHeight="1" x14ac:dyDescent="0.25">
      <c r="A159" s="40"/>
      <c r="B159" s="40"/>
      <c r="C159" s="141" t="s">
        <v>121</v>
      </c>
      <c r="D159" s="85" t="s">
        <v>432</v>
      </c>
      <c r="E159" s="75"/>
      <c r="F159" s="75"/>
      <c r="G159" s="75"/>
      <c r="H159" s="540"/>
      <c r="I159" s="229"/>
      <c r="J159" s="581"/>
      <c r="K159" s="581"/>
      <c r="L159" s="582"/>
      <c r="M159" s="17">
        <f t="shared" si="130"/>
        <v>0</v>
      </c>
      <c r="N159" s="111"/>
      <c r="O159" s="111"/>
      <c r="P159" s="111"/>
      <c r="Q159" s="111"/>
      <c r="R159" s="111"/>
      <c r="S159" s="111"/>
      <c r="T159" s="111"/>
      <c r="U159" s="111"/>
      <c r="V159" s="358"/>
      <c r="W159" s="391">
        <f t="shared" si="131"/>
        <v>0</v>
      </c>
      <c r="X159" s="17">
        <f t="shared" si="132"/>
        <v>0</v>
      </c>
      <c r="Y159" s="18">
        <f t="shared" si="133"/>
        <v>0</v>
      </c>
      <c r="Z159" s="19">
        <f t="shared" si="138"/>
        <v>0</v>
      </c>
      <c r="AA159" s="19"/>
      <c r="AB159" s="19"/>
      <c r="AC159" s="20"/>
      <c r="AE159" s="17"/>
      <c r="AF159" s="17"/>
      <c r="AG159" s="17"/>
      <c r="AH159" s="18">
        <f t="shared" si="134"/>
        <v>0</v>
      </c>
      <c r="AI159" s="19">
        <f t="shared" si="139"/>
        <v>0</v>
      </c>
      <c r="AK159" s="17"/>
      <c r="AL159" s="17"/>
      <c r="AM159" s="17"/>
      <c r="AN159" s="18">
        <f t="shared" si="135"/>
        <v>0</v>
      </c>
      <c r="AO159" s="19">
        <f t="shared" si="140"/>
        <v>0</v>
      </c>
      <c r="AQ159" s="17"/>
      <c r="AR159" s="17"/>
      <c r="AS159" s="17"/>
      <c r="AT159" s="18">
        <f t="shared" si="136"/>
        <v>0</v>
      </c>
      <c r="AU159" s="19">
        <f t="shared" si="141"/>
        <v>0</v>
      </c>
      <c r="AW159" s="17"/>
      <c r="AX159" s="17"/>
      <c r="AY159" s="17"/>
      <c r="AZ159" s="18">
        <f t="shared" si="137"/>
        <v>0</v>
      </c>
      <c r="BA159" s="19">
        <f t="shared" si="142"/>
        <v>0</v>
      </c>
    </row>
    <row r="160" spans="1:53" ht="17.100000000000001" customHeight="1" x14ac:dyDescent="0.25">
      <c r="A160" s="40"/>
      <c r="B160" s="40"/>
      <c r="C160" s="141" t="s">
        <v>122</v>
      </c>
      <c r="D160" s="85" t="s">
        <v>129</v>
      </c>
      <c r="E160" s="75"/>
      <c r="F160" s="75"/>
      <c r="G160" s="75"/>
      <c r="H160" s="540"/>
      <c r="I160" s="229"/>
      <c r="J160" s="583"/>
      <c r="K160" s="583"/>
      <c r="L160" s="584"/>
      <c r="M160" s="17">
        <f t="shared" si="130"/>
        <v>0</v>
      </c>
      <c r="N160" s="111"/>
      <c r="O160" s="111"/>
      <c r="P160" s="111"/>
      <c r="Q160" s="111"/>
      <c r="R160" s="111"/>
      <c r="S160" s="111"/>
      <c r="T160" s="111"/>
      <c r="U160" s="111"/>
      <c r="V160" s="358"/>
      <c r="W160" s="391">
        <f t="shared" si="131"/>
        <v>0</v>
      </c>
      <c r="X160" s="17">
        <f t="shared" si="132"/>
        <v>0</v>
      </c>
      <c r="Y160" s="18">
        <f t="shared" si="133"/>
        <v>0</v>
      </c>
      <c r="Z160" s="19">
        <f t="shared" si="138"/>
        <v>0</v>
      </c>
      <c r="AA160" s="19"/>
      <c r="AB160" s="19"/>
      <c r="AC160" s="20"/>
      <c r="AE160" s="17"/>
      <c r="AF160" s="17"/>
      <c r="AG160" s="17"/>
      <c r="AH160" s="18">
        <f t="shared" si="134"/>
        <v>0</v>
      </c>
      <c r="AI160" s="19">
        <f t="shared" si="139"/>
        <v>0</v>
      </c>
      <c r="AK160" s="17"/>
      <c r="AL160" s="17"/>
      <c r="AM160" s="17"/>
      <c r="AN160" s="18">
        <f t="shared" si="135"/>
        <v>0</v>
      </c>
      <c r="AO160" s="19">
        <f t="shared" si="140"/>
        <v>0</v>
      </c>
      <c r="AQ160" s="17"/>
      <c r="AR160" s="17"/>
      <c r="AS160" s="17"/>
      <c r="AT160" s="18">
        <f t="shared" si="136"/>
        <v>0</v>
      </c>
      <c r="AU160" s="19">
        <f t="shared" si="141"/>
        <v>0</v>
      </c>
      <c r="AW160" s="17"/>
      <c r="AX160" s="17"/>
      <c r="AY160" s="17"/>
      <c r="AZ160" s="18">
        <f t="shared" si="137"/>
        <v>0</v>
      </c>
      <c r="BA160" s="19">
        <f t="shared" si="142"/>
        <v>0</v>
      </c>
    </row>
    <row r="161" spans="1:53" ht="17.100000000000001" customHeight="1" x14ac:dyDescent="0.25">
      <c r="A161" s="40"/>
      <c r="B161" s="40"/>
      <c r="C161" s="77"/>
      <c r="D161" s="144"/>
      <c r="E161" s="144"/>
      <c r="F161" s="145"/>
      <c r="G161" s="145"/>
      <c r="H161" s="119"/>
      <c r="I161" s="236"/>
      <c r="J161" s="64">
        <f>SUM(J155:J160)</f>
        <v>0</v>
      </c>
      <c r="K161" s="64">
        <f t="shared" ref="K161:M161" si="143">SUM(K155:K160)</f>
        <v>0</v>
      </c>
      <c r="L161" s="64">
        <f t="shared" si="143"/>
        <v>0</v>
      </c>
      <c r="M161" s="64">
        <f t="shared" si="143"/>
        <v>0</v>
      </c>
      <c r="N161" s="64"/>
      <c r="O161" s="64"/>
      <c r="P161" s="64"/>
      <c r="Q161" s="81"/>
      <c r="R161" s="81"/>
      <c r="S161" s="81"/>
      <c r="T161" s="81"/>
      <c r="U161" s="81"/>
      <c r="V161" s="356"/>
      <c r="W161" s="381">
        <f>SUM(W155:W160)</f>
        <v>0</v>
      </c>
      <c r="X161" s="82">
        <f t="shared" ref="X161:Y161" si="144">SUM(X155:X160)</f>
        <v>0</v>
      </c>
      <c r="Y161" s="82">
        <f t="shared" si="144"/>
        <v>0</v>
      </c>
      <c r="Z161" s="205">
        <f t="shared" si="138"/>
        <v>0</v>
      </c>
      <c r="AA161" s="205"/>
      <c r="AB161" s="205"/>
      <c r="AC161" s="83"/>
      <c r="AE161" s="80"/>
      <c r="AF161" s="80"/>
      <c r="AG161" s="81"/>
      <c r="AH161" s="82">
        <f>SUM(AH155:AH160)</f>
        <v>0</v>
      </c>
      <c r="AI161" s="66">
        <f t="shared" si="139"/>
        <v>0</v>
      </c>
      <c r="AK161" s="80"/>
      <c r="AL161" s="80"/>
      <c r="AM161" s="81"/>
      <c r="AN161" s="82">
        <f>SUM(AN155:AN160)</f>
        <v>0</v>
      </c>
      <c r="AO161" s="66">
        <f t="shared" si="140"/>
        <v>0</v>
      </c>
      <c r="AQ161" s="80"/>
      <c r="AR161" s="80"/>
      <c r="AS161" s="81"/>
      <c r="AT161" s="82">
        <f>SUM(AT155:AT160)</f>
        <v>0</v>
      </c>
      <c r="AU161" s="66">
        <f t="shared" si="141"/>
        <v>0</v>
      </c>
      <c r="AW161" s="80"/>
      <c r="AX161" s="80"/>
      <c r="AY161" s="81"/>
      <c r="AZ161" s="82">
        <f>SUM(AZ155:AZ160)</f>
        <v>0</v>
      </c>
      <c r="BA161" s="66">
        <f t="shared" si="142"/>
        <v>0</v>
      </c>
    </row>
    <row r="162" spans="1:53" s="117" customFormat="1" ht="17.100000000000001" customHeight="1" x14ac:dyDescent="0.25">
      <c r="A162" s="68"/>
      <c r="B162" s="119"/>
      <c r="C162" s="540"/>
      <c r="D162" s="261"/>
      <c r="E162" s="261"/>
      <c r="F162" s="68"/>
      <c r="G162" s="68"/>
      <c r="H162" s="119"/>
      <c r="I162" s="138"/>
      <c r="J162" s="17" t="str">
        <f>IF(J161=J$15,"OK","NOK")</f>
        <v>OK</v>
      </c>
      <c r="K162" s="17" t="str">
        <f t="shared" ref="K162:L162" si="145">IF(K161=K$15,"OK","NOK")</f>
        <v>OK</v>
      </c>
      <c r="L162" s="17" t="str">
        <f t="shared" si="145"/>
        <v>OK</v>
      </c>
      <c r="M162" s="17"/>
      <c r="N162" s="17"/>
      <c r="O162" s="17"/>
      <c r="P162" s="17"/>
      <c r="Q162" s="17"/>
      <c r="R162" s="17"/>
      <c r="S162" s="17"/>
      <c r="T162" s="17"/>
      <c r="U162" s="17"/>
      <c r="V162" s="359"/>
      <c r="W162" s="382"/>
      <c r="X162" s="539"/>
      <c r="Y162" s="539"/>
      <c r="Z162" s="201"/>
      <c r="AA162" s="201"/>
      <c r="AB162" s="201"/>
      <c r="AC162" s="84"/>
      <c r="AE162" s="46"/>
      <c r="AF162" s="46"/>
      <c r="AG162" s="17"/>
      <c r="AH162" s="539"/>
      <c r="AI162" s="91"/>
      <c r="AK162" s="46"/>
      <c r="AL162" s="46"/>
      <c r="AM162" s="17"/>
      <c r="AN162" s="539"/>
      <c r="AO162" s="91"/>
      <c r="AQ162" s="46"/>
      <c r="AR162" s="46"/>
      <c r="AS162" s="17"/>
      <c r="AT162" s="539"/>
      <c r="AU162" s="91"/>
      <c r="AW162" s="46"/>
      <c r="AX162" s="46"/>
      <c r="AY162" s="17"/>
      <c r="AZ162" s="539"/>
      <c r="BA162" s="91"/>
    </row>
    <row r="163" spans="1:53" ht="17.100000000000001" customHeight="1" x14ac:dyDescent="0.25">
      <c r="A163" s="68"/>
      <c r="B163" s="41" t="s">
        <v>123</v>
      </c>
      <c r="C163" s="49" t="s">
        <v>426</v>
      </c>
      <c r="D163" s="50"/>
      <c r="E163" s="70"/>
      <c r="F163" s="70"/>
      <c r="G163" s="70"/>
      <c r="H163" s="243">
        <v>8</v>
      </c>
      <c r="J163" s="71"/>
      <c r="K163" s="71"/>
      <c r="L163" s="71"/>
      <c r="M163" s="71"/>
      <c r="N163" s="71"/>
      <c r="O163" s="71"/>
      <c r="P163" s="71"/>
      <c r="Q163" s="71"/>
      <c r="R163" s="71"/>
      <c r="S163" s="71"/>
      <c r="T163" s="71"/>
      <c r="U163" s="71"/>
      <c r="V163" s="355"/>
      <c r="W163" s="377"/>
      <c r="X163" s="71"/>
      <c r="Y163" s="72"/>
      <c r="Z163" s="73"/>
      <c r="AA163" s="73"/>
      <c r="AB163" s="73"/>
      <c r="AC163" s="73"/>
      <c r="AE163" s="71"/>
      <c r="AF163" s="71"/>
      <c r="AG163" s="71"/>
      <c r="AH163" s="72"/>
      <c r="AI163" s="73"/>
      <c r="AK163" s="71"/>
      <c r="AL163" s="71"/>
      <c r="AM163" s="71"/>
      <c r="AN163" s="72"/>
      <c r="AO163" s="73"/>
      <c r="AQ163" s="71"/>
      <c r="AR163" s="71"/>
      <c r="AS163" s="71"/>
      <c r="AT163" s="72"/>
      <c r="AU163" s="73"/>
      <c r="AW163" s="71"/>
      <c r="AX163" s="71"/>
      <c r="AY163" s="71"/>
      <c r="AZ163" s="72"/>
      <c r="BA163" s="73"/>
    </row>
    <row r="164" spans="1:53" ht="17.100000000000001" customHeight="1" x14ac:dyDescent="0.25">
      <c r="A164" s="40"/>
      <c r="B164" s="40"/>
      <c r="C164" s="74" t="s">
        <v>125</v>
      </c>
      <c r="D164" s="75" t="s">
        <v>148</v>
      </c>
      <c r="E164" s="75"/>
      <c r="F164" s="75"/>
      <c r="G164" s="75"/>
      <c r="H164" s="540"/>
      <c r="I164" s="229"/>
      <c r="J164" s="581"/>
      <c r="K164" s="581"/>
      <c r="L164" s="582"/>
      <c r="M164" s="17">
        <f t="shared" ref="M164:M165" si="146">SUM(J164:L164)</f>
        <v>0</v>
      </c>
      <c r="N164" s="111"/>
      <c r="O164" s="111"/>
      <c r="P164" s="111"/>
      <c r="Q164" s="111"/>
      <c r="R164" s="111"/>
      <c r="S164" s="111"/>
      <c r="T164" s="111"/>
      <c r="U164" s="111"/>
      <c r="V164" s="358"/>
      <c r="W164" s="391">
        <f t="shared" ref="W164:W165" si="147">J164+K164+N164+Q164+T164</f>
        <v>0</v>
      </c>
      <c r="X164" s="17">
        <f t="shared" ref="X164:X165" si="148">L164+O164+R164+U164</f>
        <v>0</v>
      </c>
      <c r="Y164" s="18">
        <f>SUM(W164:X164)</f>
        <v>0</v>
      </c>
      <c r="Z164" s="19">
        <f>IF($Y$166=0,0,Y164/$Y$166)</f>
        <v>0</v>
      </c>
      <c r="AA164" s="19"/>
      <c r="AB164" s="19"/>
      <c r="AC164" s="20"/>
      <c r="AE164" s="17"/>
      <c r="AF164" s="17"/>
      <c r="AG164" s="17"/>
      <c r="AH164" s="18">
        <f t="shared" ref="AH164:AH165" si="149">J164</f>
        <v>0</v>
      </c>
      <c r="AI164" s="19">
        <f>IF(AH$166=0,0,AH164/AH$166)</f>
        <v>0</v>
      </c>
      <c r="AK164" s="17"/>
      <c r="AL164" s="17"/>
      <c r="AM164" s="17"/>
      <c r="AN164" s="18">
        <f t="shared" ref="AN164:AN165" si="150">K164</f>
        <v>0</v>
      </c>
      <c r="AO164" s="19">
        <f>IF(AN$166=0,0,AN164/AN$166)</f>
        <v>0</v>
      </c>
      <c r="AQ164" s="17"/>
      <c r="AR164" s="17"/>
      <c r="AS164" s="17"/>
      <c r="AT164" s="18">
        <f t="shared" ref="AT164:AT165" si="151">W164</f>
        <v>0</v>
      </c>
      <c r="AU164" s="19">
        <f>IF(AT$166=0,0,AT164/AT$166)</f>
        <v>0</v>
      </c>
      <c r="AW164" s="17"/>
      <c r="AX164" s="17"/>
      <c r="AY164" s="17"/>
      <c r="AZ164" s="18">
        <f t="shared" ref="AZ164:AZ165" si="152">X164</f>
        <v>0</v>
      </c>
      <c r="BA164" s="19">
        <f>IF(AZ$166=0,0,AZ164/AZ$166)</f>
        <v>0</v>
      </c>
    </row>
    <row r="165" spans="1:53" ht="17.100000000000001" customHeight="1" x14ac:dyDescent="0.25">
      <c r="A165" s="40"/>
      <c r="B165" s="40"/>
      <c r="C165" s="74" t="s">
        <v>126</v>
      </c>
      <c r="D165" s="75" t="s">
        <v>149</v>
      </c>
      <c r="E165" s="75"/>
      <c r="F165" s="75"/>
      <c r="G165" s="75"/>
      <c r="H165" s="540"/>
      <c r="I165" s="229"/>
      <c r="J165" s="583"/>
      <c r="K165" s="583"/>
      <c r="L165" s="584"/>
      <c r="M165" s="17">
        <f t="shared" si="146"/>
        <v>0</v>
      </c>
      <c r="N165" s="111"/>
      <c r="O165" s="111"/>
      <c r="P165" s="111"/>
      <c r="Q165" s="111"/>
      <c r="R165" s="111"/>
      <c r="S165" s="111"/>
      <c r="T165" s="111"/>
      <c r="U165" s="111"/>
      <c r="V165" s="358"/>
      <c r="W165" s="391">
        <f t="shared" si="147"/>
        <v>0</v>
      </c>
      <c r="X165" s="17">
        <f t="shared" si="148"/>
        <v>0</v>
      </c>
      <c r="Y165" s="18">
        <f>SUM(W165:X165)</f>
        <v>0</v>
      </c>
      <c r="Z165" s="19">
        <f t="shared" ref="Z165:Z166" si="153">IF($Y$166=0,0,Y165/$Y$166)</f>
        <v>0</v>
      </c>
      <c r="AA165" s="19"/>
      <c r="AB165" s="19"/>
      <c r="AC165" s="20"/>
      <c r="AE165" s="17"/>
      <c r="AF165" s="17"/>
      <c r="AG165" s="17"/>
      <c r="AH165" s="18">
        <f t="shared" si="149"/>
        <v>0</v>
      </c>
      <c r="AI165" s="19">
        <f t="shared" ref="AI165:AI166" si="154">IF(AH$166=0,0,AH165/AH$166)</f>
        <v>0</v>
      </c>
      <c r="AK165" s="17"/>
      <c r="AL165" s="17"/>
      <c r="AM165" s="17"/>
      <c r="AN165" s="18">
        <f t="shared" si="150"/>
        <v>0</v>
      </c>
      <c r="AO165" s="19">
        <f t="shared" ref="AO165:AO166" si="155">IF(AN$166=0,0,AN165/AN$166)</f>
        <v>0</v>
      </c>
      <c r="AQ165" s="17"/>
      <c r="AR165" s="17"/>
      <c r="AS165" s="17"/>
      <c r="AT165" s="18">
        <f t="shared" si="151"/>
        <v>0</v>
      </c>
      <c r="AU165" s="19">
        <f t="shared" ref="AU165:AU166" si="156">IF(AT$166=0,0,AT165/AT$166)</f>
        <v>0</v>
      </c>
      <c r="AW165" s="17"/>
      <c r="AX165" s="17"/>
      <c r="AY165" s="17"/>
      <c r="AZ165" s="18">
        <f t="shared" si="152"/>
        <v>0</v>
      </c>
      <c r="BA165" s="19">
        <f t="shared" ref="BA165:BA166" si="157">IF(AZ$166=0,0,AZ165/AZ$166)</f>
        <v>0</v>
      </c>
    </row>
    <row r="166" spans="1:53" ht="17.100000000000001" customHeight="1" x14ac:dyDescent="0.25">
      <c r="A166" s="40"/>
      <c r="B166" s="40"/>
      <c r="C166" s="77"/>
      <c r="D166" s="144"/>
      <c r="E166" s="144"/>
      <c r="F166" s="145"/>
      <c r="G166" s="145"/>
      <c r="H166" s="119"/>
      <c r="I166" s="236"/>
      <c r="J166" s="64">
        <f>SUM(J164:J165)</f>
        <v>0</v>
      </c>
      <c r="K166" s="64">
        <f t="shared" ref="K166:M166" si="158">SUM(K164:K165)</f>
        <v>0</v>
      </c>
      <c r="L166" s="64">
        <f t="shared" si="158"/>
        <v>0</v>
      </c>
      <c r="M166" s="64">
        <f t="shared" si="158"/>
        <v>0</v>
      </c>
      <c r="N166" s="64"/>
      <c r="O166" s="64"/>
      <c r="P166" s="64"/>
      <c r="Q166" s="81"/>
      <c r="R166" s="81"/>
      <c r="S166" s="81"/>
      <c r="T166" s="81"/>
      <c r="U166" s="81"/>
      <c r="V166" s="356"/>
      <c r="W166" s="381">
        <f>SUM(W164:W165)</f>
        <v>0</v>
      </c>
      <c r="X166" s="82">
        <f t="shared" ref="X166:Y166" si="159">SUM(X164:X165)</f>
        <v>0</v>
      </c>
      <c r="Y166" s="82">
        <f t="shared" si="159"/>
        <v>0</v>
      </c>
      <c r="Z166" s="205">
        <f t="shared" si="153"/>
        <v>0</v>
      </c>
      <c r="AA166" s="205"/>
      <c r="AB166" s="205"/>
      <c r="AC166" s="83"/>
      <c r="AE166" s="80"/>
      <c r="AF166" s="80"/>
      <c r="AG166" s="81"/>
      <c r="AH166" s="82">
        <f>SUM(AH164:AH165)</f>
        <v>0</v>
      </c>
      <c r="AI166" s="66">
        <f t="shared" si="154"/>
        <v>0</v>
      </c>
      <c r="AK166" s="80"/>
      <c r="AL166" s="80"/>
      <c r="AM166" s="81"/>
      <c r="AN166" s="82">
        <f>SUM(AN164:AN165)</f>
        <v>0</v>
      </c>
      <c r="AO166" s="66">
        <f t="shared" si="155"/>
        <v>0</v>
      </c>
      <c r="AQ166" s="80"/>
      <c r="AR166" s="80"/>
      <c r="AS166" s="81"/>
      <c r="AT166" s="82">
        <f>SUM(AT164:AT165)</f>
        <v>0</v>
      </c>
      <c r="AU166" s="66">
        <f t="shared" si="156"/>
        <v>0</v>
      </c>
      <c r="AW166" s="80"/>
      <c r="AX166" s="80"/>
      <c r="AY166" s="81"/>
      <c r="AZ166" s="82">
        <f>SUM(AZ164:AZ165)</f>
        <v>0</v>
      </c>
      <c r="BA166" s="66">
        <f t="shared" si="157"/>
        <v>0</v>
      </c>
    </row>
    <row r="167" spans="1:53" s="117" customFormat="1" ht="17.100000000000001" customHeight="1" x14ac:dyDescent="0.25">
      <c r="A167" s="68"/>
      <c r="B167" s="119"/>
      <c r="C167" s="540"/>
      <c r="D167" s="261"/>
      <c r="E167" s="261"/>
      <c r="F167" s="68"/>
      <c r="G167" s="68"/>
      <c r="H167" s="119"/>
      <c r="I167" s="138"/>
      <c r="J167" s="17" t="str">
        <f>IF(J166=J$15,"OK","NOK")</f>
        <v>OK</v>
      </c>
      <c r="K167" s="17" t="str">
        <f t="shared" ref="K167:L167" si="160">IF(K166=K$15,"OK","NOK")</f>
        <v>OK</v>
      </c>
      <c r="L167" s="17" t="str">
        <f t="shared" si="160"/>
        <v>OK</v>
      </c>
      <c r="M167" s="17"/>
      <c r="N167" s="17"/>
      <c r="O167" s="17"/>
      <c r="P167" s="17"/>
      <c r="Q167" s="17"/>
      <c r="R167" s="17"/>
      <c r="S167" s="17"/>
      <c r="T167" s="17"/>
      <c r="U167" s="17"/>
      <c r="V167" s="359"/>
      <c r="W167" s="382"/>
      <c r="X167" s="539"/>
      <c r="Y167" s="539"/>
      <c r="Z167" s="201"/>
      <c r="AA167" s="201"/>
      <c r="AB167" s="201"/>
      <c r="AC167" s="84"/>
      <c r="AE167" s="46"/>
      <c r="AF167" s="46"/>
      <c r="AG167" s="17"/>
      <c r="AH167" s="539"/>
      <c r="AI167" s="91"/>
      <c r="AK167" s="46"/>
      <c r="AL167" s="46"/>
      <c r="AM167" s="17"/>
      <c r="AN167" s="539"/>
      <c r="AO167" s="91"/>
      <c r="AQ167" s="46"/>
      <c r="AR167" s="46"/>
      <c r="AS167" s="17"/>
      <c r="AT167" s="539"/>
      <c r="AU167" s="91"/>
      <c r="AW167" s="46"/>
      <c r="AX167" s="46"/>
      <c r="AY167" s="17"/>
      <c r="AZ167" s="539"/>
      <c r="BA167" s="91"/>
    </row>
    <row r="168" spans="1:53" ht="17.100000000000001" customHeight="1" x14ac:dyDescent="0.25">
      <c r="A168" s="68"/>
      <c r="B168" s="41" t="s">
        <v>130</v>
      </c>
      <c r="C168" s="69" t="s">
        <v>413</v>
      </c>
      <c r="D168" s="50"/>
      <c r="E168" s="70"/>
      <c r="F168" s="70"/>
      <c r="G168" s="70"/>
      <c r="H168" s="119"/>
      <c r="J168" s="71"/>
      <c r="K168" s="71"/>
      <c r="L168" s="71"/>
      <c r="M168" s="71"/>
      <c r="N168" s="71"/>
      <c r="O168" s="71"/>
      <c r="P168" s="71"/>
      <c r="Q168" s="71"/>
      <c r="R168" s="71"/>
      <c r="S168" s="71"/>
      <c r="T168" s="71"/>
      <c r="U168" s="71"/>
      <c r="V168" s="355"/>
      <c r="W168" s="377"/>
      <c r="X168" s="71"/>
      <c r="Y168" s="72"/>
      <c r="Z168" s="73"/>
      <c r="AA168" s="73"/>
      <c r="AB168" s="73"/>
      <c r="AC168" s="73"/>
      <c r="AE168" s="71"/>
      <c r="AF168" s="71"/>
      <c r="AG168" s="71"/>
      <c r="AH168" s="72"/>
      <c r="AI168" s="73"/>
      <c r="AK168" s="71"/>
      <c r="AL168" s="71"/>
      <c r="AM168" s="71"/>
      <c r="AN168" s="72"/>
      <c r="AO168" s="73"/>
      <c r="AQ168" s="71"/>
      <c r="AR168" s="71"/>
      <c r="AS168" s="71"/>
      <c r="AT168" s="72"/>
      <c r="AU168" s="73"/>
      <c r="AW168" s="71"/>
      <c r="AX168" s="71"/>
      <c r="AY168" s="71"/>
      <c r="AZ168" s="72"/>
      <c r="BA168" s="73"/>
    </row>
    <row r="169" spans="1:53" ht="17.100000000000001" customHeight="1" x14ac:dyDescent="0.25">
      <c r="A169" s="40"/>
      <c r="B169" s="40"/>
      <c r="C169" s="74" t="s">
        <v>131</v>
      </c>
      <c r="D169" s="542" t="s">
        <v>457</v>
      </c>
      <c r="E169" s="542"/>
      <c r="F169" s="542"/>
      <c r="G169" s="542"/>
      <c r="H169" s="540"/>
      <c r="I169" s="235"/>
      <c r="J169" s="111"/>
      <c r="K169" s="111"/>
      <c r="L169" s="111"/>
      <c r="M169" s="111"/>
      <c r="N169" s="60"/>
      <c r="O169" s="60"/>
      <c r="P169" s="17">
        <f>SUM(N169:O169)</f>
        <v>0</v>
      </c>
      <c r="Q169" s="60"/>
      <c r="R169" s="60"/>
      <c r="S169" s="17">
        <f>SUM(Q169:R169)</f>
        <v>0</v>
      </c>
      <c r="T169" s="60"/>
      <c r="U169" s="60"/>
      <c r="V169" s="359">
        <f>SUM(T169:U169)</f>
        <v>0</v>
      </c>
      <c r="W169" s="391">
        <f t="shared" ref="W169:W173" si="161">J169+K169+N169+Q169+T169</f>
        <v>0</v>
      </c>
      <c r="X169" s="17">
        <f t="shared" ref="X169:X173" si="162">L169+O169+R169+U169</f>
        <v>0</v>
      </c>
      <c r="Y169" s="18">
        <f>SUM(W169:X169)</f>
        <v>0</v>
      </c>
      <c r="Z169" s="19">
        <f t="shared" ref="Z169:Z174" si="163">IF(Y$174=0,0,Y169/Y$174)</f>
        <v>0</v>
      </c>
      <c r="AA169" s="19"/>
      <c r="AB169" s="19"/>
      <c r="AC169" s="20"/>
      <c r="AE169" s="111"/>
      <c r="AF169" s="111"/>
      <c r="AG169" s="111"/>
      <c r="AH169" s="112"/>
      <c r="AI169" s="113"/>
      <c r="AK169" s="111"/>
      <c r="AL169" s="111"/>
      <c r="AM169" s="111"/>
      <c r="AN169" s="112"/>
      <c r="AO169" s="113"/>
      <c r="AQ169" s="17"/>
      <c r="AR169" s="17"/>
      <c r="AS169" s="17"/>
      <c r="AT169" s="18">
        <f t="shared" ref="AT169:AT173" si="164">W169</f>
        <v>0</v>
      </c>
      <c r="AU169" s="19">
        <f t="shared" ref="AU169:AU174" si="165">IF(AT$174=0,0,AT169/AT$174)</f>
        <v>0</v>
      </c>
      <c r="AW169" s="17"/>
      <c r="AX169" s="17"/>
      <c r="AY169" s="17"/>
      <c r="AZ169" s="18">
        <f t="shared" ref="AZ169:AZ173" si="166">X169</f>
        <v>0</v>
      </c>
      <c r="BA169" s="19">
        <f t="shared" ref="BA169:BA174" si="167">IF(AZ$174=0,0,AZ169/AZ$174)</f>
        <v>0</v>
      </c>
    </row>
    <row r="170" spans="1:53" ht="17.100000000000001" customHeight="1" x14ac:dyDescent="0.25">
      <c r="A170" s="40"/>
      <c r="B170" s="40"/>
      <c r="C170" s="74" t="s">
        <v>132</v>
      </c>
      <c r="D170" s="542" t="s">
        <v>459</v>
      </c>
      <c r="E170" s="542"/>
      <c r="F170" s="542"/>
      <c r="G170" s="542"/>
      <c r="H170" s="540"/>
      <c r="I170" s="235"/>
      <c r="J170" s="111"/>
      <c r="K170" s="111"/>
      <c r="L170" s="111"/>
      <c r="M170" s="111"/>
      <c r="N170" s="61"/>
      <c r="O170" s="61"/>
      <c r="P170" s="17">
        <f>SUM(N170:O170)</f>
        <v>0</v>
      </c>
      <c r="Q170" s="61"/>
      <c r="R170" s="61">
        <v>1</v>
      </c>
      <c r="S170" s="17">
        <f>SUM(Q170:R170)</f>
        <v>1</v>
      </c>
      <c r="T170" s="61"/>
      <c r="U170" s="61"/>
      <c r="V170" s="359">
        <f>SUM(T170:U170)</f>
        <v>0</v>
      </c>
      <c r="W170" s="391">
        <f t="shared" si="161"/>
        <v>0</v>
      </c>
      <c r="X170" s="17">
        <f t="shared" si="162"/>
        <v>1</v>
      </c>
      <c r="Y170" s="18">
        <f>SUM(W170:X170)</f>
        <v>1</v>
      </c>
      <c r="Z170" s="19">
        <f t="shared" si="163"/>
        <v>6.6666666666666666E-2</v>
      </c>
      <c r="AA170" s="19"/>
      <c r="AB170" s="19"/>
      <c r="AC170" s="20"/>
      <c r="AE170" s="111"/>
      <c r="AF170" s="111"/>
      <c r="AG170" s="111"/>
      <c r="AH170" s="112"/>
      <c r="AI170" s="113"/>
      <c r="AK170" s="111"/>
      <c r="AL170" s="111"/>
      <c r="AM170" s="111"/>
      <c r="AN170" s="112"/>
      <c r="AO170" s="113"/>
      <c r="AQ170" s="17"/>
      <c r="AR170" s="17"/>
      <c r="AS170" s="17"/>
      <c r="AT170" s="18">
        <f t="shared" si="164"/>
        <v>0</v>
      </c>
      <c r="AU170" s="19">
        <f t="shared" si="165"/>
        <v>0</v>
      </c>
      <c r="AW170" s="17"/>
      <c r="AX170" s="17"/>
      <c r="AY170" s="17"/>
      <c r="AZ170" s="18">
        <f t="shared" si="166"/>
        <v>1</v>
      </c>
      <c r="BA170" s="19">
        <f t="shared" si="167"/>
        <v>8.3333333333333329E-2</v>
      </c>
    </row>
    <row r="171" spans="1:53" ht="17.100000000000001" customHeight="1" x14ac:dyDescent="0.25">
      <c r="A171" s="40"/>
      <c r="B171" s="40"/>
      <c r="C171" s="74" t="s">
        <v>133</v>
      </c>
      <c r="D171" s="542" t="s">
        <v>460</v>
      </c>
      <c r="E171" s="542"/>
      <c r="F171" s="542"/>
      <c r="G171" s="542"/>
      <c r="H171" s="540"/>
      <c r="I171" s="235"/>
      <c r="J171" s="111"/>
      <c r="K171" s="111"/>
      <c r="L171" s="111"/>
      <c r="M171" s="111"/>
      <c r="N171" s="60"/>
      <c r="O171" s="60"/>
      <c r="P171" s="17">
        <f>SUM(N171:O171)</f>
        <v>0</v>
      </c>
      <c r="Q171" s="60">
        <v>2</v>
      </c>
      <c r="R171" s="60">
        <v>3</v>
      </c>
      <c r="S171" s="17">
        <f>SUM(Q171:R171)</f>
        <v>5</v>
      </c>
      <c r="T171" s="60"/>
      <c r="U171" s="60"/>
      <c r="V171" s="359">
        <f>SUM(T171:U171)</f>
        <v>0</v>
      </c>
      <c r="W171" s="391">
        <f t="shared" si="161"/>
        <v>2</v>
      </c>
      <c r="X171" s="17">
        <f t="shared" si="162"/>
        <v>3</v>
      </c>
      <c r="Y171" s="18">
        <f>SUM(W171:X171)</f>
        <v>5</v>
      </c>
      <c r="Z171" s="19">
        <f t="shared" si="163"/>
        <v>0.33333333333333331</v>
      </c>
      <c r="AA171" s="19"/>
      <c r="AB171" s="19"/>
      <c r="AC171" s="20"/>
      <c r="AE171" s="111"/>
      <c r="AF171" s="111"/>
      <c r="AG171" s="111"/>
      <c r="AH171" s="112"/>
      <c r="AI171" s="113"/>
      <c r="AK171" s="111"/>
      <c r="AL171" s="111"/>
      <c r="AM171" s="111"/>
      <c r="AN171" s="112"/>
      <c r="AO171" s="113"/>
      <c r="AQ171" s="17"/>
      <c r="AR171" s="17"/>
      <c r="AS171" s="17"/>
      <c r="AT171" s="18">
        <f t="shared" si="164"/>
        <v>2</v>
      </c>
      <c r="AU171" s="19">
        <f t="shared" si="165"/>
        <v>0.66666666666666663</v>
      </c>
      <c r="AW171" s="17"/>
      <c r="AX171" s="17"/>
      <c r="AY171" s="17"/>
      <c r="AZ171" s="18">
        <f t="shared" si="166"/>
        <v>3</v>
      </c>
      <c r="BA171" s="19">
        <f t="shared" si="167"/>
        <v>0.25</v>
      </c>
    </row>
    <row r="172" spans="1:53" ht="17.100000000000001" customHeight="1" x14ac:dyDescent="0.25">
      <c r="A172" s="40"/>
      <c r="B172" s="40"/>
      <c r="C172" s="74" t="s">
        <v>134</v>
      </c>
      <c r="D172" s="542" t="s">
        <v>461</v>
      </c>
      <c r="E172" s="542"/>
      <c r="F172" s="542"/>
      <c r="G172" s="542"/>
      <c r="H172" s="540"/>
      <c r="I172" s="235"/>
      <c r="J172" s="111"/>
      <c r="K172" s="111"/>
      <c r="L172" s="111"/>
      <c r="M172" s="111"/>
      <c r="N172" s="61"/>
      <c r="O172" s="61">
        <v>8</v>
      </c>
      <c r="P172" s="17">
        <f>SUM(N172:O172)</f>
        <v>8</v>
      </c>
      <c r="Q172" s="61">
        <v>1</v>
      </c>
      <c r="R172" s="61"/>
      <c r="S172" s="17">
        <f>SUM(Q172:R172)</f>
        <v>1</v>
      </c>
      <c r="T172" s="61"/>
      <c r="U172" s="61"/>
      <c r="V172" s="359">
        <f>SUM(T172:U172)</f>
        <v>0</v>
      </c>
      <c r="W172" s="391">
        <f t="shared" si="161"/>
        <v>1</v>
      </c>
      <c r="X172" s="17">
        <f t="shared" si="162"/>
        <v>8</v>
      </c>
      <c r="Y172" s="18">
        <f>SUM(W172:X172)</f>
        <v>9</v>
      </c>
      <c r="Z172" s="19">
        <f t="shared" si="163"/>
        <v>0.6</v>
      </c>
      <c r="AA172" s="19"/>
      <c r="AB172" s="19"/>
      <c r="AC172" s="20"/>
      <c r="AE172" s="111"/>
      <c r="AF172" s="111"/>
      <c r="AG172" s="111"/>
      <c r="AH172" s="112"/>
      <c r="AI172" s="113"/>
      <c r="AK172" s="111"/>
      <c r="AL172" s="111"/>
      <c r="AM172" s="111"/>
      <c r="AN172" s="112"/>
      <c r="AO172" s="113"/>
      <c r="AQ172" s="17"/>
      <c r="AR172" s="17"/>
      <c r="AS172" s="17"/>
      <c r="AT172" s="18">
        <f t="shared" si="164"/>
        <v>1</v>
      </c>
      <c r="AU172" s="19">
        <f t="shared" si="165"/>
        <v>0.33333333333333331</v>
      </c>
      <c r="AW172" s="17"/>
      <c r="AX172" s="17"/>
      <c r="AY172" s="17"/>
      <c r="AZ172" s="18">
        <f t="shared" si="166"/>
        <v>8</v>
      </c>
      <c r="BA172" s="19">
        <f t="shared" si="167"/>
        <v>0.66666666666666663</v>
      </c>
    </row>
    <row r="173" spans="1:53" ht="17.100000000000001" customHeight="1" x14ac:dyDescent="0.25">
      <c r="A173" s="40"/>
      <c r="B173" s="40"/>
      <c r="C173" s="74" t="s">
        <v>135</v>
      </c>
      <c r="D173" s="542" t="s">
        <v>458</v>
      </c>
      <c r="E173" s="542"/>
      <c r="F173" s="542"/>
      <c r="G173" s="542"/>
      <c r="H173" s="540"/>
      <c r="I173" s="235"/>
      <c r="J173" s="111"/>
      <c r="K173" s="111"/>
      <c r="L173" s="111"/>
      <c r="M173" s="111"/>
      <c r="N173" s="60"/>
      <c r="O173" s="60"/>
      <c r="P173" s="17">
        <f>SUM(N173:O173)</f>
        <v>0</v>
      </c>
      <c r="Q173" s="60"/>
      <c r="R173" s="60"/>
      <c r="S173" s="17">
        <f>SUM(Q173:R173)</f>
        <v>0</v>
      </c>
      <c r="T173" s="60"/>
      <c r="U173" s="60"/>
      <c r="V173" s="359">
        <f>SUM(T173:U173)</f>
        <v>0</v>
      </c>
      <c r="W173" s="391">
        <f t="shared" si="161"/>
        <v>0</v>
      </c>
      <c r="X173" s="17">
        <f t="shared" si="162"/>
        <v>0</v>
      </c>
      <c r="Y173" s="18">
        <f>SUM(W173:X173)</f>
        <v>0</v>
      </c>
      <c r="Z173" s="19">
        <f t="shared" si="163"/>
        <v>0</v>
      </c>
      <c r="AA173" s="19"/>
      <c r="AB173" s="19"/>
      <c r="AC173" s="20"/>
      <c r="AE173" s="111"/>
      <c r="AF173" s="111"/>
      <c r="AG173" s="111"/>
      <c r="AH173" s="112"/>
      <c r="AI173" s="113"/>
      <c r="AK173" s="111"/>
      <c r="AL173" s="111"/>
      <c r="AM173" s="111"/>
      <c r="AN173" s="112"/>
      <c r="AO173" s="113"/>
      <c r="AQ173" s="17"/>
      <c r="AR173" s="17"/>
      <c r="AS173" s="17"/>
      <c r="AT173" s="18">
        <f t="shared" si="164"/>
        <v>0</v>
      </c>
      <c r="AU173" s="19">
        <f t="shared" si="165"/>
        <v>0</v>
      </c>
      <c r="AW173" s="17"/>
      <c r="AX173" s="17"/>
      <c r="AY173" s="17"/>
      <c r="AZ173" s="18">
        <f t="shared" si="166"/>
        <v>0</v>
      </c>
      <c r="BA173" s="19">
        <f t="shared" si="167"/>
        <v>0</v>
      </c>
    </row>
    <row r="174" spans="1:53" ht="17.100000000000001" customHeight="1" x14ac:dyDescent="0.25">
      <c r="A174" s="40"/>
      <c r="B174" s="40"/>
      <c r="C174" s="77"/>
      <c r="D174" s="144"/>
      <c r="E174" s="144"/>
      <c r="F174" s="145"/>
      <c r="G174" s="145"/>
      <c r="H174" s="119"/>
      <c r="I174" s="236"/>
      <c r="J174" s="80"/>
      <c r="K174" s="80"/>
      <c r="L174" s="81"/>
      <c r="M174" s="81"/>
      <c r="N174" s="81">
        <f t="shared" ref="N174:Y174" si="168">SUM(N169:N173)</f>
        <v>0</v>
      </c>
      <c r="O174" s="81">
        <f t="shared" si="168"/>
        <v>8</v>
      </c>
      <c r="P174" s="81">
        <f t="shared" si="168"/>
        <v>8</v>
      </c>
      <c r="Q174" s="81">
        <f t="shared" si="168"/>
        <v>3</v>
      </c>
      <c r="R174" s="81">
        <f t="shared" si="168"/>
        <v>4</v>
      </c>
      <c r="S174" s="81">
        <f t="shared" si="168"/>
        <v>7</v>
      </c>
      <c r="T174" s="81">
        <f t="shared" si="168"/>
        <v>0</v>
      </c>
      <c r="U174" s="81">
        <f t="shared" si="168"/>
        <v>0</v>
      </c>
      <c r="V174" s="81">
        <f t="shared" si="168"/>
        <v>0</v>
      </c>
      <c r="W174" s="381">
        <f t="shared" si="168"/>
        <v>3</v>
      </c>
      <c r="X174" s="82">
        <f t="shared" si="168"/>
        <v>12</v>
      </c>
      <c r="Y174" s="82">
        <f t="shared" si="168"/>
        <v>15</v>
      </c>
      <c r="Z174" s="205">
        <f t="shared" si="163"/>
        <v>1</v>
      </c>
      <c r="AA174" s="205"/>
      <c r="AB174" s="205"/>
      <c r="AC174" s="83"/>
      <c r="AE174" s="80"/>
      <c r="AF174" s="80"/>
      <c r="AG174" s="81"/>
      <c r="AH174" s="82"/>
      <c r="AI174" s="66"/>
      <c r="AK174" s="80"/>
      <c r="AL174" s="80"/>
      <c r="AM174" s="81"/>
      <c r="AN174" s="82"/>
      <c r="AO174" s="66"/>
      <c r="AQ174" s="80"/>
      <c r="AR174" s="80"/>
      <c r="AS174" s="81"/>
      <c r="AT174" s="82">
        <f>SUM(AT169:AT173)</f>
        <v>3</v>
      </c>
      <c r="AU174" s="66">
        <f t="shared" si="165"/>
        <v>1</v>
      </c>
      <c r="AW174" s="80"/>
      <c r="AX174" s="80"/>
      <c r="AY174" s="81"/>
      <c r="AZ174" s="82">
        <f>SUM(AZ169:AZ173)</f>
        <v>12</v>
      </c>
      <c r="BA174" s="66">
        <f t="shared" si="167"/>
        <v>1</v>
      </c>
    </row>
    <row r="175" spans="1:53" s="117" customFormat="1" ht="17.100000000000001" customHeight="1" x14ac:dyDescent="0.25">
      <c r="A175" s="68"/>
      <c r="B175" s="119"/>
      <c r="C175" s="540"/>
      <c r="D175" s="261"/>
      <c r="E175" s="261"/>
      <c r="F175" s="68"/>
      <c r="G175" s="68"/>
      <c r="H175" s="119"/>
      <c r="I175" s="138"/>
      <c r="J175" s="17"/>
      <c r="K175" s="17"/>
      <c r="L175" s="17"/>
      <c r="M175" s="17"/>
      <c r="N175" s="17" t="str">
        <f>IF(N174=N$20,"OK","NOK")</f>
        <v>OK</v>
      </c>
      <c r="O175" s="17" t="str">
        <f>IF(O174=O$20,"OK","NOK")</f>
        <v>OK</v>
      </c>
      <c r="P175" s="17"/>
      <c r="Q175" s="17" t="str">
        <f>IF(Q174=Q$20,"OK","NOK")</f>
        <v>OK</v>
      </c>
      <c r="R175" s="17" t="str">
        <f>IF(R174=R$20,"OK","NOK")</f>
        <v>OK</v>
      </c>
      <c r="S175" s="17"/>
      <c r="T175" s="17" t="str">
        <f>IF(T174=T$20,"OK","NOK")</f>
        <v>OK</v>
      </c>
      <c r="U175" s="17" t="str">
        <f>IF(U174=U$20,"OK","NOK")</f>
        <v>OK</v>
      </c>
      <c r="V175" s="359"/>
      <c r="W175" s="382"/>
      <c r="X175" s="539"/>
      <c r="Y175" s="539"/>
      <c r="Z175" s="201"/>
      <c r="AA175" s="201"/>
      <c r="AB175" s="201"/>
      <c r="AC175" s="84"/>
      <c r="AE175" s="46"/>
      <c r="AF175" s="46"/>
      <c r="AG175" s="17"/>
      <c r="AH175" s="539"/>
      <c r="AI175" s="91"/>
      <c r="AK175" s="46"/>
      <c r="AL175" s="46"/>
      <c r="AM175" s="17"/>
      <c r="AN175" s="539"/>
      <c r="AO175" s="91"/>
      <c r="AQ175" s="46"/>
      <c r="AR175" s="46"/>
      <c r="AS175" s="17"/>
      <c r="AT175" s="539"/>
      <c r="AU175" s="91"/>
      <c r="AW175" s="46"/>
      <c r="AX175" s="46"/>
      <c r="AY175" s="17"/>
      <c r="AZ175" s="539"/>
      <c r="BA175" s="91"/>
    </row>
    <row r="176" spans="1:53" ht="17.100000000000001" customHeight="1" x14ac:dyDescent="0.25">
      <c r="A176" s="68"/>
      <c r="B176" s="41" t="s">
        <v>137</v>
      </c>
      <c r="C176" s="69" t="s">
        <v>124</v>
      </c>
      <c r="D176" s="50"/>
      <c r="E176" s="70"/>
      <c r="F176" s="70"/>
      <c r="G176" s="70"/>
      <c r="H176" s="119"/>
      <c r="J176" s="71"/>
      <c r="K176" s="71"/>
      <c r="L176" s="71"/>
      <c r="M176" s="71"/>
      <c r="N176" s="71"/>
      <c r="O176" s="71"/>
      <c r="P176" s="71"/>
      <c r="Q176" s="71"/>
      <c r="R176" s="71"/>
      <c r="S176" s="71"/>
      <c r="T176" s="71"/>
      <c r="U176" s="71"/>
      <c r="V176" s="355"/>
      <c r="W176" s="377"/>
      <c r="X176" s="71"/>
      <c r="Y176" s="72"/>
      <c r="Z176" s="73"/>
      <c r="AA176" s="73"/>
      <c r="AB176" s="73"/>
      <c r="AC176" s="73"/>
      <c r="AE176" s="71"/>
      <c r="AF176" s="71"/>
      <c r="AG176" s="71"/>
      <c r="AH176" s="72"/>
      <c r="AI176" s="73"/>
      <c r="AK176" s="71"/>
      <c r="AL176" s="71"/>
      <c r="AM176" s="71"/>
      <c r="AN176" s="72"/>
      <c r="AO176" s="73"/>
      <c r="AQ176" s="71"/>
      <c r="AR176" s="71"/>
      <c r="AS176" s="71"/>
      <c r="AT176" s="72"/>
      <c r="AU176" s="73"/>
      <c r="AW176" s="71"/>
      <c r="AX176" s="71"/>
      <c r="AY176" s="71"/>
      <c r="AZ176" s="72"/>
      <c r="BA176" s="73"/>
    </row>
    <row r="177" spans="1:53" ht="17.100000000000001" customHeight="1" x14ac:dyDescent="0.25">
      <c r="A177" s="40"/>
      <c r="B177" s="40"/>
      <c r="C177" s="74" t="s">
        <v>139</v>
      </c>
      <c r="D177" s="541" t="s">
        <v>666</v>
      </c>
      <c r="E177" s="542"/>
      <c r="F177" s="542"/>
      <c r="G177" s="542"/>
      <c r="H177" s="540"/>
      <c r="I177" s="235"/>
      <c r="J177" s="111"/>
      <c r="K177" s="111"/>
      <c r="L177" s="111"/>
      <c r="M177" s="111"/>
      <c r="N177" s="111">
        <f>SUM(N178:N183)</f>
        <v>0</v>
      </c>
      <c r="O177" s="111">
        <f>SUM(O178:O183)</f>
        <v>7</v>
      </c>
      <c r="P177" s="111">
        <f t="shared" ref="P177:P183" si="169">SUM(N177:O177)</f>
        <v>7</v>
      </c>
      <c r="Q177" s="111">
        <f>SUM(Q178:Q183)</f>
        <v>3</v>
      </c>
      <c r="R177" s="111">
        <f>SUM(R178:R183)</f>
        <v>4</v>
      </c>
      <c r="S177" s="111">
        <f t="shared" ref="S177:S183" si="170">SUM(Q177:R177)</f>
        <v>7</v>
      </c>
      <c r="T177" s="111">
        <f>SUM(T178:T183)</f>
        <v>0</v>
      </c>
      <c r="U177" s="111">
        <f>SUM(U178:U183)</f>
        <v>0</v>
      </c>
      <c r="V177" s="358">
        <f t="shared" ref="V177:V183" si="171">SUM(T177:U177)</f>
        <v>0</v>
      </c>
      <c r="W177" s="385">
        <f t="shared" ref="W177:W183" si="172">J177+K177+N177+Q177+T177</f>
        <v>3</v>
      </c>
      <c r="X177" s="545">
        <f t="shared" ref="X177:X183" si="173">L177+O177+R177+U177</f>
        <v>11</v>
      </c>
      <c r="Y177" s="545">
        <f t="shared" ref="Y177:Y183" si="174">SUM(W177:X177)</f>
        <v>14</v>
      </c>
      <c r="Z177" s="172">
        <f t="shared" ref="Z177:Z183" si="175">IF(Y$187=0,0,Y177/Y$187)</f>
        <v>0.93333333333333335</v>
      </c>
      <c r="AA177" s="172"/>
      <c r="AB177" s="172"/>
      <c r="AC177" s="113"/>
      <c r="AE177" s="111"/>
      <c r="AF177" s="111"/>
      <c r="AG177" s="111"/>
      <c r="AH177" s="545"/>
      <c r="AI177" s="131"/>
      <c r="AK177" s="111"/>
      <c r="AL177" s="111"/>
      <c r="AM177" s="111"/>
      <c r="AN177" s="545"/>
      <c r="AO177" s="131"/>
      <c r="AQ177" s="111"/>
      <c r="AR177" s="111"/>
      <c r="AS177" s="111"/>
      <c r="AT177" s="545">
        <f>SUM(AT178:AT183)</f>
        <v>3</v>
      </c>
      <c r="AU177" s="131">
        <f>IF(AT$187=0,0,AT177/AT$187)</f>
        <v>1</v>
      </c>
      <c r="AW177" s="111"/>
      <c r="AX177" s="111"/>
      <c r="AY177" s="111"/>
      <c r="AZ177" s="545">
        <f t="shared" ref="AZ177:AZ186" si="176">X177</f>
        <v>11</v>
      </c>
      <c r="BA177" s="131">
        <f>IF(AZ$187=0,0,AZ177/AZ$187)</f>
        <v>0.91666666666666663</v>
      </c>
    </row>
    <row r="178" spans="1:53" ht="17.100000000000001" customHeight="1" x14ac:dyDescent="0.25">
      <c r="A178" s="40"/>
      <c r="B178" s="40"/>
      <c r="C178" s="540"/>
      <c r="D178" s="74" t="s">
        <v>140</v>
      </c>
      <c r="E178" s="542" t="s">
        <v>414</v>
      </c>
      <c r="F178" s="542"/>
      <c r="G178" s="542"/>
      <c r="H178" s="540"/>
      <c r="I178" s="235"/>
      <c r="J178" s="111"/>
      <c r="K178" s="111"/>
      <c r="L178" s="111"/>
      <c r="M178" s="111"/>
      <c r="N178" s="60"/>
      <c r="O178" s="60"/>
      <c r="P178" s="17">
        <f t="shared" si="169"/>
        <v>0</v>
      </c>
      <c r="Q178" s="60"/>
      <c r="R178" s="60"/>
      <c r="S178" s="17">
        <f t="shared" si="170"/>
        <v>0</v>
      </c>
      <c r="T178" s="60"/>
      <c r="U178" s="60"/>
      <c r="V178" s="359">
        <f t="shared" si="171"/>
        <v>0</v>
      </c>
      <c r="W178" s="391">
        <f t="shared" si="172"/>
        <v>0</v>
      </c>
      <c r="X178" s="17">
        <f t="shared" si="173"/>
        <v>0</v>
      </c>
      <c r="Y178" s="18">
        <f t="shared" si="174"/>
        <v>0</v>
      </c>
      <c r="Z178" s="19">
        <f t="shared" si="175"/>
        <v>0</v>
      </c>
      <c r="AA178" s="19"/>
      <c r="AB178" s="19"/>
      <c r="AC178" s="20"/>
      <c r="AE178" s="111"/>
      <c r="AF178" s="111"/>
      <c r="AG178" s="111"/>
      <c r="AH178" s="112"/>
      <c r="AI178" s="113"/>
      <c r="AK178" s="111"/>
      <c r="AL178" s="111"/>
      <c r="AM178" s="111"/>
      <c r="AN178" s="112"/>
      <c r="AO178" s="113"/>
      <c r="AQ178" s="17"/>
      <c r="AR178" s="17"/>
      <c r="AS178" s="17"/>
      <c r="AT178" s="18">
        <f t="shared" ref="AT178:AT183" si="177">W178</f>
        <v>0</v>
      </c>
      <c r="AU178" s="91">
        <f t="shared" ref="AU178:AU187" si="178">IF(AT$187=0,0,AT178/AT$187)</f>
        <v>0</v>
      </c>
      <c r="AW178" s="17"/>
      <c r="AX178" s="17"/>
      <c r="AY178" s="17"/>
      <c r="AZ178" s="18">
        <f t="shared" si="176"/>
        <v>0</v>
      </c>
      <c r="BA178" s="91">
        <f t="shared" ref="BA178:BA187" si="179">IF(AZ$187=0,0,AZ178/AZ$187)</f>
        <v>0</v>
      </c>
    </row>
    <row r="179" spans="1:53" ht="17.100000000000001" customHeight="1" x14ac:dyDescent="0.25">
      <c r="A179" s="40"/>
      <c r="B179" s="40"/>
      <c r="C179" s="540"/>
      <c r="D179" s="74" t="s">
        <v>660</v>
      </c>
      <c r="E179" s="542" t="s">
        <v>415</v>
      </c>
      <c r="F179" s="542"/>
      <c r="G179" s="542"/>
      <c r="H179" s="540"/>
      <c r="I179" s="235"/>
      <c r="J179" s="111"/>
      <c r="K179" s="111"/>
      <c r="L179" s="111"/>
      <c r="M179" s="111"/>
      <c r="N179" s="61"/>
      <c r="O179" s="61"/>
      <c r="P179" s="17">
        <f t="shared" si="169"/>
        <v>0</v>
      </c>
      <c r="Q179" s="61">
        <v>2</v>
      </c>
      <c r="R179" s="61">
        <v>4</v>
      </c>
      <c r="S179" s="17">
        <f t="shared" si="170"/>
        <v>6</v>
      </c>
      <c r="T179" s="61"/>
      <c r="U179" s="61"/>
      <c r="V179" s="359">
        <f t="shared" si="171"/>
        <v>0</v>
      </c>
      <c r="W179" s="391">
        <f t="shared" si="172"/>
        <v>2</v>
      </c>
      <c r="X179" s="17">
        <f t="shared" si="173"/>
        <v>4</v>
      </c>
      <c r="Y179" s="18">
        <f t="shared" si="174"/>
        <v>6</v>
      </c>
      <c r="Z179" s="19">
        <f t="shared" si="175"/>
        <v>0.4</v>
      </c>
      <c r="AA179" s="19"/>
      <c r="AB179" s="19"/>
      <c r="AC179" s="20"/>
      <c r="AE179" s="111"/>
      <c r="AF179" s="111"/>
      <c r="AG179" s="111"/>
      <c r="AH179" s="112"/>
      <c r="AI179" s="113"/>
      <c r="AK179" s="111"/>
      <c r="AL179" s="111"/>
      <c r="AM179" s="111"/>
      <c r="AN179" s="112"/>
      <c r="AO179" s="113"/>
      <c r="AQ179" s="17"/>
      <c r="AR179" s="17"/>
      <c r="AS179" s="17"/>
      <c r="AT179" s="18">
        <f t="shared" si="177"/>
        <v>2</v>
      </c>
      <c r="AU179" s="91">
        <f t="shared" si="178"/>
        <v>0.66666666666666663</v>
      </c>
      <c r="AW179" s="17"/>
      <c r="AX179" s="17"/>
      <c r="AY179" s="17"/>
      <c r="AZ179" s="18">
        <f t="shared" si="176"/>
        <v>4</v>
      </c>
      <c r="BA179" s="91">
        <f t="shared" si="179"/>
        <v>0.33333333333333331</v>
      </c>
    </row>
    <row r="180" spans="1:53" ht="17.100000000000001" customHeight="1" x14ac:dyDescent="0.25">
      <c r="A180" s="40"/>
      <c r="B180" s="40"/>
      <c r="C180" s="540"/>
      <c r="D180" s="74" t="s">
        <v>661</v>
      </c>
      <c r="E180" s="542" t="s">
        <v>416</v>
      </c>
      <c r="F180" s="542"/>
      <c r="G180" s="542"/>
      <c r="H180" s="540"/>
      <c r="I180" s="235"/>
      <c r="J180" s="111"/>
      <c r="K180" s="111"/>
      <c r="L180" s="111"/>
      <c r="M180" s="111"/>
      <c r="N180" s="60"/>
      <c r="O180" s="60"/>
      <c r="P180" s="17">
        <f t="shared" si="169"/>
        <v>0</v>
      </c>
      <c r="Q180" s="60"/>
      <c r="R180" s="60"/>
      <c r="S180" s="17">
        <f t="shared" si="170"/>
        <v>0</v>
      </c>
      <c r="T180" s="60"/>
      <c r="U180" s="60"/>
      <c r="V180" s="359">
        <f t="shared" si="171"/>
        <v>0</v>
      </c>
      <c r="W180" s="391">
        <f t="shared" si="172"/>
        <v>0</v>
      </c>
      <c r="X180" s="17">
        <f t="shared" si="173"/>
        <v>0</v>
      </c>
      <c r="Y180" s="18">
        <f t="shared" si="174"/>
        <v>0</v>
      </c>
      <c r="Z180" s="19">
        <f t="shared" si="175"/>
        <v>0</v>
      </c>
      <c r="AA180" s="19"/>
      <c r="AB180" s="19"/>
      <c r="AC180" s="20"/>
      <c r="AE180" s="111"/>
      <c r="AF180" s="111"/>
      <c r="AG180" s="111"/>
      <c r="AH180" s="112"/>
      <c r="AI180" s="113"/>
      <c r="AK180" s="111"/>
      <c r="AL180" s="111"/>
      <c r="AM180" s="111"/>
      <c r="AN180" s="112"/>
      <c r="AO180" s="113"/>
      <c r="AQ180" s="17"/>
      <c r="AR180" s="17"/>
      <c r="AS180" s="17"/>
      <c r="AT180" s="18">
        <f t="shared" si="177"/>
        <v>0</v>
      </c>
      <c r="AU180" s="91">
        <f t="shared" si="178"/>
        <v>0</v>
      </c>
      <c r="AW180" s="17"/>
      <c r="AX180" s="17"/>
      <c r="AY180" s="17"/>
      <c r="AZ180" s="18">
        <f t="shared" si="176"/>
        <v>0</v>
      </c>
      <c r="BA180" s="91">
        <f t="shared" si="179"/>
        <v>0</v>
      </c>
    </row>
    <row r="181" spans="1:53" ht="17.100000000000001" customHeight="1" x14ac:dyDescent="0.25">
      <c r="A181" s="40"/>
      <c r="B181" s="40"/>
      <c r="C181" s="540"/>
      <c r="D181" s="74" t="s">
        <v>662</v>
      </c>
      <c r="E181" s="542" t="s">
        <v>127</v>
      </c>
      <c r="F181" s="542"/>
      <c r="G181" s="542"/>
      <c r="H181" s="540"/>
      <c r="I181" s="235"/>
      <c r="J181" s="111"/>
      <c r="K181" s="111"/>
      <c r="L181" s="111"/>
      <c r="M181" s="111"/>
      <c r="N181" s="61"/>
      <c r="O181" s="61">
        <v>1</v>
      </c>
      <c r="P181" s="17">
        <f t="shared" si="169"/>
        <v>1</v>
      </c>
      <c r="Q181" s="61">
        <v>1</v>
      </c>
      <c r="R181" s="61"/>
      <c r="S181" s="17">
        <f t="shared" si="170"/>
        <v>1</v>
      </c>
      <c r="T181" s="61"/>
      <c r="U181" s="61"/>
      <c r="V181" s="359">
        <f t="shared" si="171"/>
        <v>0</v>
      </c>
      <c r="W181" s="391">
        <f t="shared" si="172"/>
        <v>1</v>
      </c>
      <c r="X181" s="17">
        <f t="shared" si="173"/>
        <v>1</v>
      </c>
      <c r="Y181" s="18">
        <f t="shared" si="174"/>
        <v>2</v>
      </c>
      <c r="Z181" s="19">
        <f t="shared" si="175"/>
        <v>0.13333333333333333</v>
      </c>
      <c r="AA181" s="19"/>
      <c r="AB181" s="19"/>
      <c r="AC181" s="20"/>
      <c r="AE181" s="111"/>
      <c r="AF181" s="111"/>
      <c r="AG181" s="111"/>
      <c r="AH181" s="112"/>
      <c r="AI181" s="113"/>
      <c r="AK181" s="111"/>
      <c r="AL181" s="111"/>
      <c r="AM181" s="111"/>
      <c r="AN181" s="112"/>
      <c r="AO181" s="113"/>
      <c r="AQ181" s="17"/>
      <c r="AR181" s="17"/>
      <c r="AS181" s="17"/>
      <c r="AT181" s="18">
        <f t="shared" si="177"/>
        <v>1</v>
      </c>
      <c r="AU181" s="91">
        <f t="shared" si="178"/>
        <v>0.33333333333333331</v>
      </c>
      <c r="AW181" s="17"/>
      <c r="AX181" s="17"/>
      <c r="AY181" s="17"/>
      <c r="AZ181" s="18">
        <f t="shared" si="176"/>
        <v>1</v>
      </c>
      <c r="BA181" s="91">
        <f t="shared" si="179"/>
        <v>8.3333333333333329E-2</v>
      </c>
    </row>
    <row r="182" spans="1:53" ht="17.100000000000001" customHeight="1" x14ac:dyDescent="0.25">
      <c r="A182" s="40"/>
      <c r="B182" s="40"/>
      <c r="C182" s="540"/>
      <c r="D182" s="74" t="s">
        <v>663</v>
      </c>
      <c r="E182" s="542" t="s">
        <v>417</v>
      </c>
      <c r="F182" s="542"/>
      <c r="G182" s="542"/>
      <c r="H182" s="540"/>
      <c r="I182" s="235"/>
      <c r="J182" s="111"/>
      <c r="K182" s="111"/>
      <c r="L182" s="111"/>
      <c r="M182" s="111"/>
      <c r="N182" s="60"/>
      <c r="O182" s="60">
        <v>4</v>
      </c>
      <c r="P182" s="17">
        <f t="shared" si="169"/>
        <v>4</v>
      </c>
      <c r="Q182" s="60"/>
      <c r="R182" s="60"/>
      <c r="S182" s="17">
        <f t="shared" si="170"/>
        <v>0</v>
      </c>
      <c r="T182" s="60"/>
      <c r="U182" s="60"/>
      <c r="V182" s="359">
        <f t="shared" si="171"/>
        <v>0</v>
      </c>
      <c r="W182" s="391">
        <f t="shared" si="172"/>
        <v>0</v>
      </c>
      <c r="X182" s="17">
        <f t="shared" si="173"/>
        <v>4</v>
      </c>
      <c r="Y182" s="18">
        <f t="shared" si="174"/>
        <v>4</v>
      </c>
      <c r="Z182" s="19">
        <f t="shared" si="175"/>
        <v>0.26666666666666666</v>
      </c>
      <c r="AA182" s="19"/>
      <c r="AB182" s="19"/>
      <c r="AC182" s="20"/>
      <c r="AE182" s="111"/>
      <c r="AF182" s="111"/>
      <c r="AG182" s="111"/>
      <c r="AH182" s="112"/>
      <c r="AI182" s="113"/>
      <c r="AK182" s="111"/>
      <c r="AL182" s="111"/>
      <c r="AM182" s="111"/>
      <c r="AN182" s="112"/>
      <c r="AO182" s="113"/>
      <c r="AQ182" s="17"/>
      <c r="AR182" s="17"/>
      <c r="AS182" s="17"/>
      <c r="AT182" s="18">
        <f t="shared" si="177"/>
        <v>0</v>
      </c>
      <c r="AU182" s="91">
        <f t="shared" si="178"/>
        <v>0</v>
      </c>
      <c r="AW182" s="17"/>
      <c r="AX182" s="17"/>
      <c r="AY182" s="17"/>
      <c r="AZ182" s="18">
        <f t="shared" si="176"/>
        <v>4</v>
      </c>
      <c r="BA182" s="91">
        <f t="shared" si="179"/>
        <v>0.33333333333333331</v>
      </c>
    </row>
    <row r="183" spans="1:53" ht="17.100000000000001" customHeight="1" x14ac:dyDescent="0.25">
      <c r="A183" s="40"/>
      <c r="B183" s="40"/>
      <c r="C183" s="540"/>
      <c r="D183" s="74" t="s">
        <v>664</v>
      </c>
      <c r="E183" s="542" t="s">
        <v>418</v>
      </c>
      <c r="F183" s="542"/>
      <c r="G183" s="542"/>
      <c r="H183" s="540"/>
      <c r="I183" s="235"/>
      <c r="J183" s="111"/>
      <c r="K183" s="111"/>
      <c r="L183" s="111"/>
      <c r="M183" s="111"/>
      <c r="N183" s="61"/>
      <c r="O183" s="61">
        <v>2</v>
      </c>
      <c r="P183" s="17">
        <f t="shared" si="169"/>
        <v>2</v>
      </c>
      <c r="Q183" s="61"/>
      <c r="R183" s="61"/>
      <c r="S183" s="17">
        <f t="shared" si="170"/>
        <v>0</v>
      </c>
      <c r="T183" s="61"/>
      <c r="U183" s="61"/>
      <c r="V183" s="359">
        <f t="shared" si="171"/>
        <v>0</v>
      </c>
      <c r="W183" s="391">
        <f t="shared" si="172"/>
        <v>0</v>
      </c>
      <c r="X183" s="17">
        <f t="shared" si="173"/>
        <v>2</v>
      </c>
      <c r="Y183" s="18">
        <f t="shared" si="174"/>
        <v>2</v>
      </c>
      <c r="Z183" s="19">
        <f t="shared" si="175"/>
        <v>0.13333333333333333</v>
      </c>
      <c r="AA183" s="19"/>
      <c r="AB183" s="19"/>
      <c r="AC183" s="20"/>
      <c r="AE183" s="111"/>
      <c r="AF183" s="111"/>
      <c r="AG183" s="111"/>
      <c r="AH183" s="112"/>
      <c r="AI183" s="113"/>
      <c r="AK183" s="111"/>
      <c r="AL183" s="111"/>
      <c r="AM183" s="111"/>
      <c r="AN183" s="112"/>
      <c r="AO183" s="113"/>
      <c r="AQ183" s="17"/>
      <c r="AR183" s="17"/>
      <c r="AS183" s="17"/>
      <c r="AT183" s="18">
        <f t="shared" si="177"/>
        <v>0</v>
      </c>
      <c r="AU183" s="91">
        <f t="shared" si="178"/>
        <v>0</v>
      </c>
      <c r="AW183" s="17"/>
      <c r="AX183" s="17"/>
      <c r="AY183" s="17"/>
      <c r="AZ183" s="18">
        <f t="shared" si="176"/>
        <v>2</v>
      </c>
      <c r="BA183" s="91">
        <f t="shared" si="179"/>
        <v>0.16666666666666666</v>
      </c>
    </row>
    <row r="184" spans="1:53" ht="17.100000000000001" customHeight="1" x14ac:dyDescent="0.25">
      <c r="A184" s="40"/>
      <c r="B184" s="40"/>
      <c r="C184" s="74" t="s">
        <v>141</v>
      </c>
      <c r="D184" s="57" t="s">
        <v>128</v>
      </c>
      <c r="E184" s="542"/>
      <c r="F184" s="542"/>
      <c r="G184" s="542"/>
      <c r="H184" s="540"/>
      <c r="I184" s="235"/>
      <c r="J184" s="111"/>
      <c r="K184" s="111"/>
      <c r="L184" s="111"/>
      <c r="M184" s="111"/>
      <c r="N184" s="111"/>
      <c r="O184" s="111"/>
      <c r="P184" s="111"/>
      <c r="Q184" s="111"/>
      <c r="R184" s="111"/>
      <c r="S184" s="111"/>
      <c r="T184" s="111"/>
      <c r="U184" s="111"/>
      <c r="V184" s="358"/>
      <c r="W184" s="380"/>
      <c r="X184" s="111"/>
      <c r="Y184" s="545"/>
      <c r="Z184" s="172"/>
      <c r="AA184" s="172"/>
      <c r="AB184" s="172"/>
      <c r="AC184" s="113"/>
      <c r="AE184" s="111"/>
      <c r="AF184" s="111"/>
      <c r="AG184" s="111"/>
      <c r="AH184" s="545"/>
      <c r="AI184" s="131"/>
      <c r="AK184" s="111"/>
      <c r="AL184" s="111"/>
      <c r="AM184" s="111"/>
      <c r="AN184" s="545"/>
      <c r="AO184" s="131"/>
      <c r="AQ184" s="111"/>
      <c r="AR184" s="111"/>
      <c r="AS184" s="111"/>
      <c r="AT184" s="545"/>
      <c r="AU184" s="131"/>
      <c r="AW184" s="111"/>
      <c r="AX184" s="111"/>
      <c r="AY184" s="111"/>
      <c r="AZ184" s="545">
        <f t="shared" si="176"/>
        <v>0</v>
      </c>
      <c r="BA184" s="131"/>
    </row>
    <row r="185" spans="1:53" ht="17.100000000000001" customHeight="1" x14ac:dyDescent="0.25">
      <c r="A185" s="40"/>
      <c r="B185" s="40"/>
      <c r="C185" s="540"/>
      <c r="D185" s="74" t="s">
        <v>142</v>
      </c>
      <c r="E185" s="542" t="s">
        <v>665</v>
      </c>
      <c r="F185" s="542"/>
      <c r="G185" s="542"/>
      <c r="H185" s="540"/>
      <c r="I185" s="235"/>
      <c r="J185" s="111"/>
      <c r="K185" s="111"/>
      <c r="L185" s="111"/>
      <c r="M185" s="111"/>
      <c r="N185" s="60"/>
      <c r="O185" s="60">
        <v>1</v>
      </c>
      <c r="P185" s="17">
        <f>SUM(N185:O185)</f>
        <v>1</v>
      </c>
      <c r="Q185" s="60"/>
      <c r="R185" s="60"/>
      <c r="S185" s="17">
        <f>SUM(Q185:R185)</f>
        <v>0</v>
      </c>
      <c r="T185" s="60"/>
      <c r="U185" s="60"/>
      <c r="V185" s="359">
        <f>SUM(T185:U185)</f>
        <v>0</v>
      </c>
      <c r="W185" s="391">
        <f t="shared" ref="W185:W186" si="180">J185+K185+N185+Q185+T185</f>
        <v>0</v>
      </c>
      <c r="X185" s="17">
        <f t="shared" ref="X185:X186" si="181">L185+O185+R185+U185</f>
        <v>1</v>
      </c>
      <c r="Y185" s="18">
        <f>SUM(W185:X185)</f>
        <v>1</v>
      </c>
      <c r="Z185" s="19">
        <f t="shared" ref="Z185:Z186" si="182">IF(Y$187=0,0,Y185/Y$187)</f>
        <v>6.6666666666666666E-2</v>
      </c>
      <c r="AA185" s="19"/>
      <c r="AB185" s="19"/>
      <c r="AC185" s="20"/>
      <c r="AE185" s="111"/>
      <c r="AF185" s="111"/>
      <c r="AG185" s="111"/>
      <c r="AH185" s="112"/>
      <c r="AI185" s="113"/>
      <c r="AK185" s="111"/>
      <c r="AL185" s="111"/>
      <c r="AM185" s="111"/>
      <c r="AN185" s="112"/>
      <c r="AO185" s="113"/>
      <c r="AQ185" s="17"/>
      <c r="AR185" s="17"/>
      <c r="AS185" s="17"/>
      <c r="AT185" s="18">
        <f t="shared" ref="AT185:AT186" si="183">W185</f>
        <v>0</v>
      </c>
      <c r="AU185" s="91">
        <f t="shared" si="178"/>
        <v>0</v>
      </c>
      <c r="AW185" s="17"/>
      <c r="AX185" s="17"/>
      <c r="AY185" s="17"/>
      <c r="AZ185" s="18">
        <f t="shared" si="176"/>
        <v>1</v>
      </c>
      <c r="BA185" s="91">
        <f t="shared" si="179"/>
        <v>8.3333333333333329E-2</v>
      </c>
    </row>
    <row r="186" spans="1:53" ht="17.100000000000001" customHeight="1" x14ac:dyDescent="0.25">
      <c r="A186" s="40"/>
      <c r="B186" s="40"/>
      <c r="C186" s="74" t="s">
        <v>144</v>
      </c>
      <c r="D186" s="120" t="s">
        <v>129</v>
      </c>
      <c r="E186" s="542"/>
      <c r="F186" s="542"/>
      <c r="G186" s="542"/>
      <c r="H186" s="540"/>
      <c r="I186" s="235"/>
      <c r="J186" s="111"/>
      <c r="K186" s="111"/>
      <c r="L186" s="111"/>
      <c r="M186" s="111"/>
      <c r="N186" s="61"/>
      <c r="O186" s="61"/>
      <c r="P186" s="17">
        <f>SUM(N186:O186)</f>
        <v>0</v>
      </c>
      <c r="Q186" s="61"/>
      <c r="R186" s="61"/>
      <c r="S186" s="17">
        <f>SUM(Q186:R186)</f>
        <v>0</v>
      </c>
      <c r="T186" s="61"/>
      <c r="U186" s="61"/>
      <c r="V186" s="359">
        <f>SUM(T186:U186)</f>
        <v>0</v>
      </c>
      <c r="W186" s="391">
        <f t="shared" si="180"/>
        <v>0</v>
      </c>
      <c r="X186" s="17">
        <f t="shared" si="181"/>
        <v>0</v>
      </c>
      <c r="Y186" s="18">
        <f>SUM(W186:X186)</f>
        <v>0</v>
      </c>
      <c r="Z186" s="221">
        <f t="shared" si="182"/>
        <v>0</v>
      </c>
      <c r="AA186" s="221"/>
      <c r="AB186" s="221"/>
      <c r="AC186" s="20"/>
      <c r="AE186" s="111"/>
      <c r="AF186" s="111"/>
      <c r="AG186" s="111"/>
      <c r="AH186" s="112"/>
      <c r="AI186" s="113"/>
      <c r="AK186" s="111"/>
      <c r="AL186" s="111"/>
      <c r="AM186" s="111"/>
      <c r="AN186" s="112"/>
      <c r="AO186" s="113"/>
      <c r="AQ186" s="17"/>
      <c r="AR186" s="17"/>
      <c r="AS186" s="17"/>
      <c r="AT186" s="18">
        <f t="shared" si="183"/>
        <v>0</v>
      </c>
      <c r="AU186" s="91">
        <f t="shared" si="178"/>
        <v>0</v>
      </c>
      <c r="AW186" s="17"/>
      <c r="AX186" s="17"/>
      <c r="AY186" s="17"/>
      <c r="AZ186" s="18">
        <f t="shared" si="176"/>
        <v>0</v>
      </c>
      <c r="BA186" s="91">
        <f t="shared" si="179"/>
        <v>0</v>
      </c>
    </row>
    <row r="187" spans="1:53" ht="17.100000000000001" customHeight="1" x14ac:dyDescent="0.25">
      <c r="A187" s="40"/>
      <c r="B187" s="40"/>
      <c r="C187" s="77"/>
      <c r="D187" s="144"/>
      <c r="E187" s="144"/>
      <c r="F187" s="145"/>
      <c r="G187" s="145"/>
      <c r="H187" s="119"/>
      <c r="I187" s="236"/>
      <c r="J187" s="80"/>
      <c r="K187" s="80"/>
      <c r="L187" s="81"/>
      <c r="M187" s="81"/>
      <c r="N187" s="81">
        <f>SUM(N178:N186)</f>
        <v>0</v>
      </c>
      <c r="O187" s="81">
        <f t="shared" ref="O187:Y187" si="184">SUM(O178:O186)</f>
        <v>8</v>
      </c>
      <c r="P187" s="81">
        <f t="shared" si="184"/>
        <v>8</v>
      </c>
      <c r="Q187" s="81">
        <f t="shared" si="184"/>
        <v>3</v>
      </c>
      <c r="R187" s="81">
        <f t="shared" si="184"/>
        <v>4</v>
      </c>
      <c r="S187" s="81">
        <f t="shared" si="184"/>
        <v>7</v>
      </c>
      <c r="T187" s="81">
        <f t="shared" si="184"/>
        <v>0</v>
      </c>
      <c r="U187" s="81">
        <f t="shared" si="184"/>
        <v>0</v>
      </c>
      <c r="V187" s="81">
        <f t="shared" si="184"/>
        <v>0</v>
      </c>
      <c r="W187" s="82">
        <f t="shared" si="184"/>
        <v>3</v>
      </c>
      <c r="X187" s="82">
        <f t="shared" si="184"/>
        <v>12</v>
      </c>
      <c r="Y187" s="82">
        <f t="shared" si="184"/>
        <v>15</v>
      </c>
      <c r="Z187" s="205">
        <f>IF(Y$187=0,0,Y187/Y$187)</f>
        <v>1</v>
      </c>
      <c r="AA187" s="205"/>
      <c r="AB187" s="205"/>
      <c r="AC187" s="83"/>
      <c r="AE187" s="80"/>
      <c r="AF187" s="80"/>
      <c r="AG187" s="81"/>
      <c r="AH187" s="82"/>
      <c r="AI187" s="66"/>
      <c r="AK187" s="80"/>
      <c r="AL187" s="80"/>
      <c r="AM187" s="81"/>
      <c r="AN187" s="82"/>
      <c r="AO187" s="66"/>
      <c r="AQ187" s="80"/>
      <c r="AR187" s="80"/>
      <c r="AS187" s="81"/>
      <c r="AT187" s="82">
        <f t="shared" ref="AT187" si="185">SUM(AT178:AT186)</f>
        <v>3</v>
      </c>
      <c r="AU187" s="66">
        <f t="shared" si="178"/>
        <v>1</v>
      </c>
      <c r="AW187" s="80"/>
      <c r="AX187" s="80"/>
      <c r="AY187" s="81"/>
      <c r="AZ187" s="82">
        <f t="shared" ref="AZ187" si="186">SUM(AZ178:AZ186)</f>
        <v>12</v>
      </c>
      <c r="BA187" s="66">
        <f t="shared" si="179"/>
        <v>1</v>
      </c>
    </row>
    <row r="188" spans="1:53" s="117" customFormat="1" ht="17.100000000000001" customHeight="1" x14ac:dyDescent="0.25">
      <c r="A188" s="68"/>
      <c r="B188" s="119"/>
      <c r="C188" s="540"/>
      <c r="D188" s="261"/>
      <c r="E188" s="261"/>
      <c r="F188" s="68"/>
      <c r="G188" s="68"/>
      <c r="H188" s="119"/>
      <c r="I188" s="138"/>
      <c r="J188" s="17"/>
      <c r="K188" s="17"/>
      <c r="L188" s="17"/>
      <c r="M188" s="17"/>
      <c r="N188" s="17" t="str">
        <f>IF(N187=N$20,"OK","NOK")</f>
        <v>OK</v>
      </c>
      <c r="O188" s="17" t="str">
        <f>IF(O187=O$20,"OK","NOK")</f>
        <v>OK</v>
      </c>
      <c r="P188" s="17"/>
      <c r="Q188" s="17" t="str">
        <f>IF(Q187=Q$20,"OK","NOK")</f>
        <v>OK</v>
      </c>
      <c r="R188" s="17" t="str">
        <f>IF(R187=R$20,"OK","NOK")</f>
        <v>OK</v>
      </c>
      <c r="S188" s="17"/>
      <c r="T188" s="17" t="str">
        <f>IF(T187=T$20,"OK","NOK")</f>
        <v>OK</v>
      </c>
      <c r="U188" s="17" t="str">
        <f>IF(U187=U$20,"OK","NOK")</f>
        <v>OK</v>
      </c>
      <c r="V188" s="359"/>
      <c r="W188" s="382"/>
      <c r="X188" s="539"/>
      <c r="Y188" s="539"/>
      <c r="Z188" s="201"/>
      <c r="AA188" s="201"/>
      <c r="AB188" s="201"/>
      <c r="AC188" s="84"/>
      <c r="AE188" s="46"/>
      <c r="AF188" s="46"/>
      <c r="AG188" s="17"/>
      <c r="AH188" s="539"/>
      <c r="AI188" s="91"/>
      <c r="AK188" s="46"/>
      <c r="AL188" s="46"/>
      <c r="AM188" s="17"/>
      <c r="AN188" s="539"/>
      <c r="AO188" s="91"/>
      <c r="AQ188" s="46"/>
      <c r="AR188" s="46"/>
      <c r="AS188" s="17"/>
      <c r="AT188" s="539"/>
      <c r="AU188" s="91"/>
      <c r="AW188" s="46"/>
      <c r="AX188" s="46"/>
      <c r="AY188" s="17"/>
      <c r="AZ188" s="539"/>
      <c r="BA188" s="91"/>
    </row>
    <row r="189" spans="1:53" ht="17.100000000000001" customHeight="1" x14ac:dyDescent="0.25">
      <c r="A189" s="40"/>
      <c r="B189" s="40"/>
      <c r="C189" s="74" t="s">
        <v>141</v>
      </c>
      <c r="D189" s="57" t="s">
        <v>128</v>
      </c>
      <c r="E189" s="542"/>
      <c r="F189" s="542"/>
      <c r="G189" s="542"/>
      <c r="H189" s="540"/>
      <c r="I189" s="235"/>
      <c r="J189" s="111"/>
      <c r="K189" s="111"/>
      <c r="L189" s="111"/>
      <c r="M189" s="111"/>
      <c r="N189" s="111"/>
      <c r="O189" s="111"/>
      <c r="P189" s="111"/>
      <c r="Q189" s="111"/>
      <c r="R189" s="111"/>
      <c r="S189" s="111"/>
      <c r="T189" s="111"/>
      <c r="U189" s="111"/>
      <c r="V189" s="358"/>
      <c r="W189" s="386"/>
      <c r="X189" s="113"/>
      <c r="Y189" s="178"/>
      <c r="Z189" s="172"/>
      <c r="AA189" s="545" t="s">
        <v>181</v>
      </c>
      <c r="AB189" s="545" t="s">
        <v>182</v>
      </c>
      <c r="AC189" s="545" t="s">
        <v>6</v>
      </c>
      <c r="AE189" s="111"/>
      <c r="AF189" s="111"/>
      <c r="AG189" s="111"/>
      <c r="AH189" s="545"/>
      <c r="AI189" s="131"/>
      <c r="AK189" s="111"/>
      <c r="AL189" s="111"/>
      <c r="AM189" s="111"/>
      <c r="AN189" s="545"/>
      <c r="AO189" s="131"/>
      <c r="AQ189" s="545" t="s">
        <v>181</v>
      </c>
      <c r="AR189" s="545" t="s">
        <v>182</v>
      </c>
      <c r="AS189" s="545" t="s">
        <v>6</v>
      </c>
      <c r="AT189" s="545"/>
      <c r="AU189" s="131"/>
      <c r="AW189" s="545" t="s">
        <v>181</v>
      </c>
      <c r="AX189" s="545" t="s">
        <v>182</v>
      </c>
      <c r="AY189" s="545" t="s">
        <v>6</v>
      </c>
      <c r="AZ189" s="545"/>
      <c r="BA189" s="131"/>
    </row>
    <row r="190" spans="1:53" s="117" customFormat="1" ht="17.100000000000001" customHeight="1" x14ac:dyDescent="0.25">
      <c r="A190" s="68"/>
      <c r="B190" s="119"/>
      <c r="C190" s="92"/>
      <c r="D190" s="74" t="s">
        <v>143</v>
      </c>
      <c r="E190" s="146" t="s">
        <v>667</v>
      </c>
      <c r="F190" s="149"/>
      <c r="G190" s="151"/>
      <c r="H190" s="119"/>
      <c r="I190" s="138"/>
      <c r="J190" s="17"/>
      <c r="K190" s="17"/>
      <c r="L190" s="17"/>
      <c r="M190" s="17"/>
      <c r="N190" s="336"/>
      <c r="O190" s="336">
        <f>1.14*1.57*2</f>
        <v>3.5795999999999997</v>
      </c>
      <c r="P190" s="341"/>
      <c r="Q190" s="336"/>
      <c r="R190" s="336"/>
      <c r="S190" s="341"/>
      <c r="T190" s="336"/>
      <c r="U190" s="336"/>
      <c r="V190" s="592"/>
      <c r="W190" s="386"/>
      <c r="X190" s="113"/>
      <c r="Y190" s="178"/>
      <c r="Z190" s="131"/>
      <c r="AA190" s="403">
        <f>MIN(N190:U190)</f>
        <v>3.5795999999999997</v>
      </c>
      <c r="AB190" s="403">
        <f>MAX(N190:U190)</f>
        <v>3.5795999999999997</v>
      </c>
      <c r="AC190" s="337">
        <f>IF(SUM(N190:U190)=0,0,AVERAGE(N190:U190))</f>
        <v>3.5795999999999997</v>
      </c>
      <c r="AE190" s="152"/>
      <c r="AF190" s="152"/>
      <c r="AG190" s="111"/>
      <c r="AH190" s="545"/>
      <c r="AI190" s="131"/>
      <c r="AK190" s="152"/>
      <c r="AL190" s="152"/>
      <c r="AM190" s="111"/>
      <c r="AN190" s="545"/>
      <c r="AO190" s="131"/>
      <c r="AQ190" s="402">
        <f>MIN(N190,Q190,T190)</f>
        <v>0</v>
      </c>
      <c r="AR190" s="402">
        <f>MAX(N190,Q190,T190)</f>
        <v>0</v>
      </c>
      <c r="AS190" s="403">
        <f>IF(N190+Q190+Q190=0,0,AVERAGE(N190,Q190,T190))</f>
        <v>0</v>
      </c>
      <c r="AT190" s="539"/>
      <c r="AU190" s="91"/>
      <c r="AW190" s="402">
        <f>MIN(O190,R190,U190)</f>
        <v>3.5795999999999997</v>
      </c>
      <c r="AX190" s="402">
        <f>MAX(O190,R190,U190)</f>
        <v>3.5795999999999997</v>
      </c>
      <c r="AY190" s="403">
        <f>IF(O190+R190+U190=0,0,AVERAGE(O190,R190,U190))</f>
        <v>3.5795999999999997</v>
      </c>
      <c r="AZ190" s="539"/>
      <c r="BA190" s="91"/>
    </row>
    <row r="191" spans="1:53" ht="17.100000000000001" customHeight="1" x14ac:dyDescent="0.25">
      <c r="A191" s="40"/>
      <c r="B191" s="40"/>
      <c r="C191" s="77"/>
      <c r="D191" s="144"/>
      <c r="E191" s="144"/>
      <c r="F191" s="145"/>
      <c r="G191" s="145"/>
      <c r="H191" s="119"/>
      <c r="I191" s="236"/>
      <c r="J191" s="80"/>
      <c r="K191" s="80"/>
      <c r="L191" s="81"/>
      <c r="M191" s="81"/>
      <c r="N191" s="81"/>
      <c r="O191" s="81"/>
      <c r="P191" s="82"/>
      <c r="Q191" s="81"/>
      <c r="R191" s="81"/>
      <c r="S191" s="82"/>
      <c r="T191" s="81"/>
      <c r="U191" s="81"/>
      <c r="V191" s="360"/>
      <c r="W191" s="381"/>
      <c r="X191" s="82"/>
      <c r="Y191" s="82"/>
      <c r="Z191" s="205"/>
      <c r="AA191" s="205"/>
      <c r="AB191" s="205"/>
      <c r="AC191" s="83"/>
      <c r="AE191" s="80"/>
      <c r="AF191" s="80"/>
      <c r="AG191" s="81"/>
      <c r="AH191" s="82"/>
      <c r="AI191" s="66"/>
      <c r="AK191" s="80"/>
      <c r="AL191" s="80"/>
      <c r="AM191" s="81"/>
      <c r="AN191" s="82"/>
      <c r="AO191" s="66"/>
      <c r="AQ191" s="80"/>
      <c r="AR191" s="80"/>
      <c r="AS191" s="81"/>
      <c r="AT191" s="82"/>
      <c r="AU191" s="66"/>
      <c r="AW191" s="80"/>
      <c r="AX191" s="80"/>
      <c r="AY191" s="81"/>
      <c r="AZ191" s="82"/>
      <c r="BA191" s="66"/>
    </row>
    <row r="192" spans="1:53" ht="17.100000000000001" customHeight="1" x14ac:dyDescent="0.25">
      <c r="A192" s="68"/>
      <c r="B192" s="41" t="s">
        <v>145</v>
      </c>
      <c r="C192" s="69" t="s">
        <v>419</v>
      </c>
      <c r="D192" s="50"/>
      <c r="E192" s="70"/>
      <c r="F192" s="70"/>
      <c r="G192" s="70"/>
      <c r="H192" s="119"/>
      <c r="J192" s="71"/>
      <c r="K192" s="71"/>
      <c r="L192" s="71"/>
      <c r="M192" s="71"/>
      <c r="N192" s="71"/>
      <c r="O192" s="71"/>
      <c r="P192" s="71"/>
      <c r="Q192" s="71"/>
      <c r="R192" s="71"/>
      <c r="S192" s="71"/>
      <c r="T192" s="71"/>
      <c r="U192" s="71"/>
      <c r="V192" s="355"/>
      <c r="W192" s="377"/>
      <c r="X192" s="71"/>
      <c r="Y192" s="72"/>
      <c r="Z192" s="73"/>
      <c r="AA192" s="73"/>
      <c r="AB192" s="73"/>
      <c r="AC192" s="73"/>
      <c r="AE192" s="71"/>
      <c r="AF192" s="71"/>
      <c r="AG192" s="71"/>
      <c r="AH192" s="72"/>
      <c r="AI192" s="73"/>
      <c r="AK192" s="71"/>
      <c r="AL192" s="71"/>
      <c r="AM192" s="71"/>
      <c r="AN192" s="72"/>
      <c r="AO192" s="73"/>
      <c r="AQ192" s="71"/>
      <c r="AR192" s="71"/>
      <c r="AS192" s="71"/>
      <c r="AT192" s="72"/>
      <c r="AU192" s="73"/>
      <c r="AW192" s="71"/>
      <c r="AX192" s="71"/>
      <c r="AY192" s="71"/>
      <c r="AZ192" s="72"/>
      <c r="BA192" s="73"/>
    </row>
    <row r="193" spans="1:53" ht="17.100000000000001" customHeight="1" x14ac:dyDescent="0.25">
      <c r="A193" s="40"/>
      <c r="B193" s="40"/>
      <c r="C193" s="56" t="s">
        <v>146</v>
      </c>
      <c r="D193" s="147" t="s">
        <v>358</v>
      </c>
      <c r="E193" s="147"/>
      <c r="F193" s="147"/>
      <c r="G193" s="147"/>
      <c r="H193" s="243">
        <v>30</v>
      </c>
      <c r="I193" s="237"/>
      <c r="J193" s="174"/>
      <c r="K193" s="174"/>
      <c r="L193" s="111"/>
      <c r="M193" s="111"/>
      <c r="N193" s="111"/>
      <c r="O193" s="111"/>
      <c r="P193" s="111"/>
      <c r="Q193" s="111"/>
      <c r="R193" s="111"/>
      <c r="S193" s="111"/>
      <c r="T193" s="111"/>
      <c r="U193" s="111"/>
      <c r="V193" s="358"/>
      <c r="W193" s="380"/>
      <c r="X193" s="111"/>
      <c r="Y193" s="545"/>
      <c r="Z193" s="131"/>
      <c r="AA193" s="131"/>
      <c r="AB193" s="131"/>
      <c r="AC193" s="113"/>
      <c r="AE193" s="111"/>
      <c r="AF193" s="111"/>
      <c r="AG193" s="111"/>
      <c r="AH193" s="545"/>
      <c r="AI193" s="131"/>
      <c r="AK193" s="111"/>
      <c r="AL193" s="111"/>
      <c r="AM193" s="111"/>
      <c r="AN193" s="545"/>
      <c r="AO193" s="131"/>
      <c r="AQ193" s="111"/>
      <c r="AR193" s="111"/>
      <c r="AS193" s="111"/>
      <c r="AT193" s="545"/>
      <c r="AU193" s="131"/>
      <c r="AW193" s="111"/>
      <c r="AX193" s="111"/>
      <c r="AY193" s="111"/>
      <c r="AZ193" s="545"/>
      <c r="BA193" s="131"/>
    </row>
    <row r="194" spans="1:53" ht="17.100000000000001" customHeight="1" x14ac:dyDescent="0.25">
      <c r="A194" s="40"/>
      <c r="B194" s="40"/>
      <c r="C194" s="182"/>
      <c r="D194" s="74" t="s">
        <v>537</v>
      </c>
      <c r="E194" s="147" t="s">
        <v>9</v>
      </c>
      <c r="F194" s="147"/>
      <c r="G194" s="147"/>
      <c r="H194" s="262"/>
      <c r="I194" s="237"/>
      <c r="J194" s="581"/>
      <c r="K194" s="581"/>
      <c r="L194" s="582"/>
      <c r="M194" s="17">
        <f t="shared" ref="M194:M195" si="187">SUM(J194:L194)</f>
        <v>0</v>
      </c>
      <c r="N194" s="111"/>
      <c r="O194" s="111"/>
      <c r="P194" s="111"/>
      <c r="Q194" s="111"/>
      <c r="R194" s="111"/>
      <c r="S194" s="111"/>
      <c r="T194" s="111"/>
      <c r="U194" s="111"/>
      <c r="V194" s="358"/>
      <c r="W194" s="391">
        <f t="shared" ref="W194:W195" si="188">J194+K194+N194+Q194+T194</f>
        <v>0</v>
      </c>
      <c r="X194" s="17">
        <f t="shared" ref="X194:X195" si="189">L194+O194+R194+U194</f>
        <v>0</v>
      </c>
      <c r="Y194" s="539">
        <f>SUM(W194:X194)</f>
        <v>0</v>
      </c>
      <c r="Z194" s="91">
        <f>IF(Y$197=0,0,Y194/Y$197)</f>
        <v>0</v>
      </c>
      <c r="AA194" s="91"/>
      <c r="AB194" s="91"/>
      <c r="AC194" s="20"/>
      <c r="AE194" s="17"/>
      <c r="AF194" s="17"/>
      <c r="AG194" s="17"/>
      <c r="AH194" s="18">
        <f t="shared" ref="AH194:AH195" si="190">J194</f>
        <v>0</v>
      </c>
      <c r="AI194" s="91">
        <f>IF(AH$197=0,0,AH194/AH$197)</f>
        <v>0</v>
      </c>
      <c r="AK194" s="17"/>
      <c r="AL194" s="17"/>
      <c r="AM194" s="17"/>
      <c r="AN194" s="18">
        <f t="shared" ref="AN194:AN195" si="191">K194</f>
        <v>0</v>
      </c>
      <c r="AO194" s="91">
        <f>IF(AN$197=0,0,AN194/AN$197)</f>
        <v>0</v>
      </c>
      <c r="AQ194" s="17"/>
      <c r="AR194" s="17"/>
      <c r="AS194" s="17"/>
      <c r="AT194" s="18">
        <f t="shared" ref="AT194:AT195" si="192">W194</f>
        <v>0</v>
      </c>
      <c r="AU194" s="91">
        <f>IF(AT$197=0,0,AT194/AT$197)</f>
        <v>0</v>
      </c>
      <c r="AW194" s="17"/>
      <c r="AX194" s="17"/>
      <c r="AY194" s="17"/>
      <c r="AZ194" s="18">
        <f t="shared" ref="AZ194:AZ195" si="193">X194</f>
        <v>0</v>
      </c>
      <c r="BA194" s="91">
        <f>IF(AZ$197=0,0,AZ194/AZ$197)</f>
        <v>0</v>
      </c>
    </row>
    <row r="195" spans="1:53" ht="17.100000000000001" customHeight="1" x14ac:dyDescent="0.25">
      <c r="A195" s="40"/>
      <c r="B195" s="40"/>
      <c r="C195" s="182"/>
      <c r="D195" s="74" t="s">
        <v>538</v>
      </c>
      <c r="E195" s="147" t="s">
        <v>11</v>
      </c>
      <c r="F195" s="147"/>
      <c r="G195" s="147"/>
      <c r="H195" s="262"/>
      <c r="I195" s="237"/>
      <c r="J195" s="583"/>
      <c r="K195" s="583"/>
      <c r="L195" s="584"/>
      <c r="M195" s="17">
        <f t="shared" si="187"/>
        <v>0</v>
      </c>
      <c r="N195" s="111"/>
      <c r="O195" s="111"/>
      <c r="P195" s="111"/>
      <c r="Q195" s="111"/>
      <c r="R195" s="111"/>
      <c r="S195" s="111"/>
      <c r="T195" s="111"/>
      <c r="U195" s="111"/>
      <c r="V195" s="358"/>
      <c r="W195" s="391">
        <f t="shared" si="188"/>
        <v>0</v>
      </c>
      <c r="X195" s="17">
        <f t="shared" si="189"/>
        <v>0</v>
      </c>
      <c r="Y195" s="539">
        <f>SUM(W195:X195)</f>
        <v>0</v>
      </c>
      <c r="Z195" s="91">
        <f>IF(Y$197=0,0,Y195/Y$197)</f>
        <v>0</v>
      </c>
      <c r="AA195" s="91"/>
      <c r="AB195" s="91"/>
      <c r="AC195" s="20"/>
      <c r="AE195" s="17"/>
      <c r="AF195" s="17"/>
      <c r="AG195" s="17"/>
      <c r="AH195" s="18">
        <f t="shared" si="190"/>
        <v>0</v>
      </c>
      <c r="AI195" s="91">
        <f>IF(AH$197=0,0,AH195/AH$197)</f>
        <v>0</v>
      </c>
      <c r="AK195" s="17"/>
      <c r="AL195" s="17"/>
      <c r="AM195" s="17"/>
      <c r="AN195" s="18">
        <f t="shared" si="191"/>
        <v>0</v>
      </c>
      <c r="AO195" s="91">
        <f>IF(AN$197=0,0,AN195/AN$197)</f>
        <v>0</v>
      </c>
      <c r="AQ195" s="17"/>
      <c r="AR195" s="17"/>
      <c r="AS195" s="17"/>
      <c r="AT195" s="18">
        <f t="shared" si="192"/>
        <v>0</v>
      </c>
      <c r="AU195" s="91">
        <f>IF(AT$197=0,0,AT195/AT$197)</f>
        <v>0</v>
      </c>
      <c r="AW195" s="17"/>
      <c r="AX195" s="17"/>
      <c r="AY195" s="17"/>
      <c r="AZ195" s="18">
        <f t="shared" si="193"/>
        <v>0</v>
      </c>
      <c r="BA195" s="91">
        <f>IF(AZ$197=0,0,AZ195/AZ$197)</f>
        <v>0</v>
      </c>
    </row>
    <row r="196" spans="1:53" ht="17.100000000000001" customHeight="1" x14ac:dyDescent="0.25">
      <c r="A196" s="40"/>
      <c r="B196" s="40"/>
      <c r="C196" s="182"/>
      <c r="D196" s="74" t="s">
        <v>1433</v>
      </c>
      <c r="E196" s="147" t="s">
        <v>1435</v>
      </c>
      <c r="F196" s="147"/>
      <c r="G196" s="147"/>
      <c r="H196" s="262"/>
      <c r="I196" s="237"/>
      <c r="J196" s="581"/>
      <c r="K196" s="581"/>
      <c r="L196" s="582"/>
      <c r="M196" s="17">
        <f t="shared" ref="M196" si="194">SUM(J196:L196)</f>
        <v>0</v>
      </c>
      <c r="N196" s="111"/>
      <c r="O196" s="111"/>
      <c r="P196" s="111"/>
      <c r="Q196" s="111"/>
      <c r="R196" s="111"/>
      <c r="S196" s="111"/>
      <c r="T196" s="111"/>
      <c r="U196" s="111"/>
      <c r="V196" s="358"/>
      <c r="W196" s="391">
        <f t="shared" ref="W196" si="195">J196+K196+N196+Q196+T196</f>
        <v>0</v>
      </c>
      <c r="X196" s="17">
        <f t="shared" ref="X196" si="196">L196+O196+R196+U196</f>
        <v>0</v>
      </c>
      <c r="Y196" s="921">
        <f>SUM(W196:X196)</f>
        <v>0</v>
      </c>
      <c r="Z196" s="91">
        <f>IF(Y$197=0,0,Y196/Y$197)</f>
        <v>0</v>
      </c>
      <c r="AA196" s="91"/>
      <c r="AB196" s="91"/>
      <c r="AC196" s="20"/>
      <c r="AE196" s="17"/>
      <c r="AF196" s="17"/>
      <c r="AG196" s="17"/>
      <c r="AH196" s="18">
        <f t="shared" ref="AH196" si="197">J196</f>
        <v>0</v>
      </c>
      <c r="AI196" s="91">
        <f>IF(AH$197=0,0,AH196/AH$197)</f>
        <v>0</v>
      </c>
      <c r="AK196" s="17"/>
      <c r="AL196" s="17"/>
      <c r="AM196" s="17"/>
      <c r="AN196" s="18">
        <f t="shared" ref="AN196" si="198">K196</f>
        <v>0</v>
      </c>
      <c r="AO196" s="91">
        <f>IF(AN$197=0,0,AN196/AN$197)</f>
        <v>0</v>
      </c>
      <c r="AQ196" s="17"/>
      <c r="AR196" s="17"/>
      <c r="AS196" s="17"/>
      <c r="AT196" s="18">
        <f t="shared" ref="AT196" si="199">W196</f>
        <v>0</v>
      </c>
      <c r="AU196" s="91">
        <f>IF(AT$197=0,0,AT196/AT$197)</f>
        <v>0</v>
      </c>
      <c r="AW196" s="17"/>
      <c r="AX196" s="17"/>
      <c r="AY196" s="17"/>
      <c r="AZ196" s="18">
        <f t="shared" ref="AZ196" si="200">X196</f>
        <v>0</v>
      </c>
      <c r="BA196" s="91">
        <f>IF(AZ$197=0,0,AZ196/AZ$197)</f>
        <v>0</v>
      </c>
    </row>
    <row r="197" spans="1:53" ht="17.100000000000001" customHeight="1" x14ac:dyDescent="0.25">
      <c r="A197" s="40"/>
      <c r="B197" s="40"/>
      <c r="C197" s="77"/>
      <c r="D197" s="144"/>
      <c r="E197" s="144"/>
      <c r="F197" s="145"/>
      <c r="G197" s="145"/>
      <c r="H197" s="119"/>
      <c r="I197" s="236"/>
      <c r="J197" s="80">
        <f>SUM(J194:J196)</f>
        <v>0</v>
      </c>
      <c r="K197" s="80">
        <f t="shared" ref="K197:M197" si="201">SUM(K194:K196)</f>
        <v>0</v>
      </c>
      <c r="L197" s="80">
        <f t="shared" si="201"/>
        <v>0</v>
      </c>
      <c r="M197" s="80">
        <f t="shared" si="201"/>
        <v>0</v>
      </c>
      <c r="N197" s="80"/>
      <c r="O197" s="80"/>
      <c r="P197" s="80"/>
      <c r="Q197" s="81"/>
      <c r="R197" s="81"/>
      <c r="S197" s="81"/>
      <c r="T197" s="81"/>
      <c r="U197" s="81"/>
      <c r="V197" s="356"/>
      <c r="W197" s="381">
        <f>SUM(W194:W196)</f>
        <v>0</v>
      </c>
      <c r="X197" s="82">
        <f t="shared" ref="X197:Y197" si="202">SUM(X194:X196)</f>
        <v>0</v>
      </c>
      <c r="Y197" s="82">
        <f t="shared" si="202"/>
        <v>0</v>
      </c>
      <c r="Z197" s="205">
        <f>IF(Y$197=0,0,Y197/Y$197)</f>
        <v>0</v>
      </c>
      <c r="AA197" s="205"/>
      <c r="AB197" s="205"/>
      <c r="AC197" s="83"/>
      <c r="AE197" s="80"/>
      <c r="AF197" s="80"/>
      <c r="AG197" s="81"/>
      <c r="AH197" s="82">
        <f>SUM(AH194:AH196)</f>
        <v>0</v>
      </c>
      <c r="AI197" s="66">
        <f>IF(AH$197=0,0,AH197/AH$197)</f>
        <v>0</v>
      </c>
      <c r="AK197" s="80"/>
      <c r="AL197" s="80"/>
      <c r="AM197" s="81"/>
      <c r="AN197" s="82">
        <f>SUM(AN194:AN196)</f>
        <v>0</v>
      </c>
      <c r="AO197" s="66">
        <f>IF(AN$197=0,0,AN197/AN$197)</f>
        <v>0</v>
      </c>
      <c r="AQ197" s="80"/>
      <c r="AR197" s="80"/>
      <c r="AS197" s="81"/>
      <c r="AT197" s="82">
        <f>SUM(AT194:AT196)</f>
        <v>0</v>
      </c>
      <c r="AU197" s="66">
        <f>IF(AT$197=0,0,AT197/AT$197)</f>
        <v>0</v>
      </c>
      <c r="AW197" s="80"/>
      <c r="AX197" s="80"/>
      <c r="AY197" s="81"/>
      <c r="AZ197" s="82">
        <f>SUM(AZ194:AZ196)</f>
        <v>0</v>
      </c>
      <c r="BA197" s="66">
        <f>IF(AZ$197=0,0,AZ197/AZ$197)</f>
        <v>0</v>
      </c>
    </row>
    <row r="198" spans="1:53" s="117" customFormat="1" ht="17.100000000000001" customHeight="1" x14ac:dyDescent="0.25">
      <c r="A198" s="68"/>
      <c r="B198" s="119"/>
      <c r="C198" s="540"/>
      <c r="D198" s="261"/>
      <c r="E198" s="261"/>
      <c r="F198" s="68"/>
      <c r="G198" s="68"/>
      <c r="H198" s="119"/>
      <c r="I198" s="138"/>
      <c r="J198" s="17" t="str">
        <f>IF(J197=J$15,"OK","NOK")</f>
        <v>OK</v>
      </c>
      <c r="K198" s="17" t="str">
        <f t="shared" ref="K198:L198" si="203">IF(K197=K$15,"OK","NOK")</f>
        <v>OK</v>
      </c>
      <c r="L198" s="17" t="str">
        <f t="shared" si="203"/>
        <v>OK</v>
      </c>
      <c r="M198" s="17"/>
      <c r="N198" s="17"/>
      <c r="O198" s="17"/>
      <c r="P198" s="17"/>
      <c r="Q198" s="17"/>
      <c r="R198" s="17"/>
      <c r="S198" s="17"/>
      <c r="T198" s="17"/>
      <c r="U198" s="17"/>
      <c r="V198" s="359"/>
      <c r="W198" s="382"/>
      <c r="X198" s="539"/>
      <c r="Y198" s="539"/>
      <c r="Z198" s="201"/>
      <c r="AA198" s="201"/>
      <c r="AB198" s="201"/>
      <c r="AC198" s="84"/>
      <c r="AE198" s="46"/>
      <c r="AF198" s="46"/>
      <c r="AG198" s="17"/>
      <c r="AH198" s="539"/>
      <c r="AI198" s="91"/>
      <c r="AK198" s="46"/>
      <c r="AL198" s="46"/>
      <c r="AM198" s="17"/>
      <c r="AN198" s="539"/>
      <c r="AO198" s="91"/>
      <c r="AQ198" s="46"/>
      <c r="AR198" s="46"/>
      <c r="AS198" s="17"/>
      <c r="AT198" s="539"/>
      <c r="AU198" s="91"/>
      <c r="AW198" s="46"/>
      <c r="AX198" s="46"/>
      <c r="AY198" s="17"/>
      <c r="AZ198" s="539"/>
      <c r="BA198" s="91"/>
    </row>
    <row r="199" spans="1:53" ht="17.100000000000001" customHeight="1" x14ac:dyDescent="0.25">
      <c r="A199" s="40"/>
      <c r="B199" s="40"/>
      <c r="C199" s="56" t="s">
        <v>147</v>
      </c>
      <c r="D199" s="147" t="s">
        <v>420</v>
      </c>
      <c r="E199" s="147"/>
      <c r="F199" s="147"/>
      <c r="G199" s="147"/>
      <c r="H199" s="243">
        <v>31</v>
      </c>
      <c r="I199" s="237"/>
      <c r="J199" s="174"/>
      <c r="K199" s="174"/>
      <c r="L199" s="111"/>
      <c r="M199" s="111"/>
      <c r="N199" s="111"/>
      <c r="O199" s="111"/>
      <c r="P199" s="111"/>
      <c r="Q199" s="111"/>
      <c r="R199" s="111"/>
      <c r="S199" s="111"/>
      <c r="T199" s="111"/>
      <c r="U199" s="111"/>
      <c r="V199" s="358"/>
      <c r="W199" s="380"/>
      <c r="X199" s="111"/>
      <c r="Y199" s="545"/>
      <c r="Z199" s="131"/>
      <c r="AA199" s="131"/>
      <c r="AB199" s="131"/>
      <c r="AC199" s="113"/>
      <c r="AE199" s="111"/>
      <c r="AF199" s="111"/>
      <c r="AG199" s="111"/>
      <c r="AH199" s="545"/>
      <c r="AI199" s="131"/>
      <c r="AK199" s="111"/>
      <c r="AL199" s="111"/>
      <c r="AM199" s="111"/>
      <c r="AN199" s="545"/>
      <c r="AO199" s="131"/>
      <c r="AQ199" s="111"/>
      <c r="AR199" s="111"/>
      <c r="AS199" s="111"/>
      <c r="AT199" s="545"/>
      <c r="AU199" s="131"/>
      <c r="AW199" s="111"/>
      <c r="AX199" s="111"/>
      <c r="AY199" s="111"/>
      <c r="AZ199" s="545"/>
      <c r="BA199" s="131"/>
    </row>
    <row r="200" spans="1:53" ht="17.100000000000001" customHeight="1" x14ac:dyDescent="0.25">
      <c r="A200" s="40"/>
      <c r="B200" s="40"/>
      <c r="C200" s="182"/>
      <c r="D200" s="74" t="s">
        <v>539</v>
      </c>
      <c r="E200" s="147" t="s">
        <v>9</v>
      </c>
      <c r="F200" s="147"/>
      <c r="G200" s="147"/>
      <c r="H200" s="262"/>
      <c r="I200" s="237"/>
      <c r="J200" s="581"/>
      <c r="K200" s="581"/>
      <c r="L200" s="582"/>
      <c r="M200" s="17">
        <f t="shared" ref="M200:M201" si="204">SUM(J200:L200)</f>
        <v>0</v>
      </c>
      <c r="N200" s="111"/>
      <c r="O200" s="111"/>
      <c r="P200" s="111"/>
      <c r="Q200" s="111"/>
      <c r="R200" s="111"/>
      <c r="S200" s="111"/>
      <c r="T200" s="111"/>
      <c r="U200" s="111"/>
      <c r="V200" s="358"/>
      <c r="W200" s="391">
        <f t="shared" ref="W200:W201" si="205">J200+K200+N200+Q200+T200</f>
        <v>0</v>
      </c>
      <c r="X200" s="17">
        <f t="shared" ref="X200:X201" si="206">L200+O200+R200+U200</f>
        <v>0</v>
      </c>
      <c r="Y200" s="539">
        <f>SUM(W200:X200)</f>
        <v>0</v>
      </c>
      <c r="Z200" s="91">
        <f>IF(Y$203=0,0,Y200/Y$203)</f>
        <v>0</v>
      </c>
      <c r="AA200" s="91"/>
      <c r="AB200" s="91"/>
      <c r="AC200" s="20"/>
      <c r="AE200" s="17"/>
      <c r="AF200" s="17"/>
      <c r="AG200" s="17"/>
      <c r="AH200" s="18">
        <f t="shared" ref="AH200:AH201" si="207">J200</f>
        <v>0</v>
      </c>
      <c r="AI200" s="91">
        <f>IF(AH$203=0,0,AH200/AH$203)</f>
        <v>0</v>
      </c>
      <c r="AK200" s="17"/>
      <c r="AL200" s="17"/>
      <c r="AM200" s="17"/>
      <c r="AN200" s="18">
        <f t="shared" ref="AN200:AN201" si="208">K200</f>
        <v>0</v>
      </c>
      <c r="AO200" s="91">
        <f>IF(AN$203=0,0,AN200/AN$203)</f>
        <v>0</v>
      </c>
      <c r="AQ200" s="17"/>
      <c r="AR200" s="17"/>
      <c r="AS200" s="17"/>
      <c r="AT200" s="18">
        <f t="shared" ref="AT200:AT201" si="209">W200</f>
        <v>0</v>
      </c>
      <c r="AU200" s="91">
        <f>IF(AT$203=0,0,AT200/AT$203)</f>
        <v>0</v>
      </c>
      <c r="AW200" s="17"/>
      <c r="AX200" s="17"/>
      <c r="AY200" s="17"/>
      <c r="AZ200" s="18">
        <f t="shared" ref="AZ200:AZ201" si="210">X200</f>
        <v>0</v>
      </c>
      <c r="BA200" s="91">
        <f>IF(AZ$203=0,0,AZ200/AZ$203)</f>
        <v>0</v>
      </c>
    </row>
    <row r="201" spans="1:53" ht="17.100000000000001" customHeight="1" x14ac:dyDescent="0.25">
      <c r="A201" s="40"/>
      <c r="B201" s="40"/>
      <c r="C201" s="182"/>
      <c r="D201" s="74" t="s">
        <v>540</v>
      </c>
      <c r="E201" s="147" t="s">
        <v>11</v>
      </c>
      <c r="F201" s="147"/>
      <c r="G201" s="147"/>
      <c r="H201" s="262"/>
      <c r="I201" s="237"/>
      <c r="J201" s="583"/>
      <c r="K201" s="583"/>
      <c r="L201" s="584"/>
      <c r="M201" s="17">
        <f t="shared" si="204"/>
        <v>0</v>
      </c>
      <c r="N201" s="111"/>
      <c r="O201" s="111"/>
      <c r="P201" s="111"/>
      <c r="Q201" s="111"/>
      <c r="R201" s="111"/>
      <c r="S201" s="111"/>
      <c r="T201" s="111"/>
      <c r="U201" s="111"/>
      <c r="V201" s="358"/>
      <c r="W201" s="391">
        <f t="shared" si="205"/>
        <v>0</v>
      </c>
      <c r="X201" s="17">
        <f t="shared" si="206"/>
        <v>0</v>
      </c>
      <c r="Y201" s="539">
        <f>SUM(W201:X201)</f>
        <v>0</v>
      </c>
      <c r="Z201" s="91">
        <f>IF(Y$203=0,0,Y201/Y$203)</f>
        <v>0</v>
      </c>
      <c r="AA201" s="91"/>
      <c r="AB201" s="91"/>
      <c r="AC201" s="20"/>
      <c r="AE201" s="17"/>
      <c r="AF201" s="17"/>
      <c r="AG201" s="17"/>
      <c r="AH201" s="18">
        <f t="shared" si="207"/>
        <v>0</v>
      </c>
      <c r="AI201" s="91">
        <f>IF(AH$203=0,0,AH201/AH$203)</f>
        <v>0</v>
      </c>
      <c r="AK201" s="17"/>
      <c r="AL201" s="17"/>
      <c r="AM201" s="17"/>
      <c r="AN201" s="18">
        <f t="shared" si="208"/>
        <v>0</v>
      </c>
      <c r="AO201" s="91">
        <f>IF(AN$203=0,0,AN201/AN$203)</f>
        <v>0</v>
      </c>
      <c r="AQ201" s="17"/>
      <c r="AR201" s="17"/>
      <c r="AS201" s="17"/>
      <c r="AT201" s="18">
        <f t="shared" si="209"/>
        <v>0</v>
      </c>
      <c r="AU201" s="91">
        <f>IF(AT$203=0,0,AT201/AT$203)</f>
        <v>0</v>
      </c>
      <c r="AW201" s="17"/>
      <c r="AX201" s="17"/>
      <c r="AY201" s="17"/>
      <c r="AZ201" s="18">
        <f t="shared" si="210"/>
        <v>0</v>
      </c>
      <c r="BA201" s="91">
        <f>IF(AZ$203=0,0,AZ201/AZ$203)</f>
        <v>0</v>
      </c>
    </row>
    <row r="202" spans="1:53" ht="17.100000000000001" customHeight="1" x14ac:dyDescent="0.25">
      <c r="A202" s="40"/>
      <c r="B202" s="40"/>
      <c r="C202" s="182"/>
      <c r="D202" s="74" t="s">
        <v>1434</v>
      </c>
      <c r="E202" s="147" t="s">
        <v>1435</v>
      </c>
      <c r="F202" s="147"/>
      <c r="G202" s="147"/>
      <c r="H202" s="262"/>
      <c r="I202" s="237"/>
      <c r="J202" s="581"/>
      <c r="K202" s="581"/>
      <c r="L202" s="582"/>
      <c r="M202" s="17">
        <f t="shared" ref="M202" si="211">SUM(J202:L202)</f>
        <v>0</v>
      </c>
      <c r="N202" s="111"/>
      <c r="O202" s="111"/>
      <c r="P202" s="111"/>
      <c r="Q202" s="111"/>
      <c r="R202" s="111"/>
      <c r="S202" s="111"/>
      <c r="T202" s="111"/>
      <c r="U202" s="111"/>
      <c r="V202" s="358"/>
      <c r="W202" s="391">
        <f t="shared" ref="W202" si="212">J202+K202+N202+Q202+T202</f>
        <v>0</v>
      </c>
      <c r="X202" s="17">
        <f t="shared" ref="X202" si="213">L202+O202+R202+U202</f>
        <v>0</v>
      </c>
      <c r="Y202" s="921">
        <f>SUM(W202:X202)</f>
        <v>0</v>
      </c>
      <c r="Z202" s="91">
        <f>IF(Y$203=0,0,Y202/Y$203)</f>
        <v>0</v>
      </c>
      <c r="AA202" s="91"/>
      <c r="AB202" s="91"/>
      <c r="AC202" s="20"/>
      <c r="AE202" s="17"/>
      <c r="AF202" s="17"/>
      <c r="AG202" s="17"/>
      <c r="AH202" s="18">
        <f t="shared" ref="AH202" si="214">J202</f>
        <v>0</v>
      </c>
      <c r="AI202" s="91">
        <f>IF(AH$203=0,0,AH202/AH$203)</f>
        <v>0</v>
      </c>
      <c r="AK202" s="17"/>
      <c r="AL202" s="17"/>
      <c r="AM202" s="17"/>
      <c r="AN202" s="18">
        <f t="shared" ref="AN202" si="215">K202</f>
        <v>0</v>
      </c>
      <c r="AO202" s="91">
        <f>IF(AN$203=0,0,AN202/AN$203)</f>
        <v>0</v>
      </c>
      <c r="AQ202" s="17"/>
      <c r="AR202" s="17"/>
      <c r="AS202" s="17"/>
      <c r="AT202" s="18">
        <f t="shared" ref="AT202" si="216">W202</f>
        <v>0</v>
      </c>
      <c r="AU202" s="91">
        <f>IF(AT$203=0,0,AT202/AT$203)</f>
        <v>0</v>
      </c>
      <c r="AW202" s="17"/>
      <c r="AX202" s="17"/>
      <c r="AY202" s="17"/>
      <c r="AZ202" s="18">
        <f t="shared" ref="AZ202" si="217">X202</f>
        <v>0</v>
      </c>
      <c r="BA202" s="91">
        <f>IF(AZ$203=0,0,AZ202/AZ$203)</f>
        <v>0</v>
      </c>
    </row>
    <row r="203" spans="1:53" ht="17.100000000000001" customHeight="1" x14ac:dyDescent="0.25">
      <c r="A203" s="40"/>
      <c r="B203" s="40"/>
      <c r="C203" s="77"/>
      <c r="D203" s="144"/>
      <c r="E203" s="144"/>
      <c r="F203" s="145"/>
      <c r="G203" s="145"/>
      <c r="H203" s="119"/>
      <c r="I203" s="236"/>
      <c r="J203" s="80">
        <f>SUM(J200:J202)</f>
        <v>0</v>
      </c>
      <c r="K203" s="80">
        <f t="shared" ref="K203" si="218">SUM(K200:K202)</f>
        <v>0</v>
      </c>
      <c r="L203" s="80">
        <f t="shared" ref="L203" si="219">SUM(L200:L202)</f>
        <v>0</v>
      </c>
      <c r="M203" s="80">
        <f t="shared" ref="M203" si="220">SUM(M200:M202)</f>
        <v>0</v>
      </c>
      <c r="N203" s="80"/>
      <c r="O203" s="80"/>
      <c r="P203" s="80"/>
      <c r="Q203" s="81"/>
      <c r="R203" s="81"/>
      <c r="S203" s="81"/>
      <c r="T203" s="81"/>
      <c r="U203" s="81"/>
      <c r="V203" s="356"/>
      <c r="W203" s="381">
        <f>SUM(W200:W202)</f>
        <v>0</v>
      </c>
      <c r="X203" s="82">
        <f t="shared" ref="X203" si="221">SUM(X200:X202)</f>
        <v>0</v>
      </c>
      <c r="Y203" s="82">
        <f t="shared" ref="Y203" si="222">SUM(Y200:Y202)</f>
        <v>0</v>
      </c>
      <c r="Z203" s="205">
        <f>IF(Y$203=0,0,Y203/Y$203)</f>
        <v>0</v>
      </c>
      <c r="AA203" s="205"/>
      <c r="AB203" s="205"/>
      <c r="AC203" s="83"/>
      <c r="AE203" s="80"/>
      <c r="AF203" s="80"/>
      <c r="AG203" s="81"/>
      <c r="AH203" s="82">
        <f>SUM(AH200:AH202)</f>
        <v>0</v>
      </c>
      <c r="AI203" s="66">
        <f>IF(AH$203=0,0,AH203/AH$203)</f>
        <v>0</v>
      </c>
      <c r="AK203" s="80"/>
      <c r="AL203" s="80"/>
      <c r="AM203" s="81"/>
      <c r="AN203" s="82">
        <f>SUM(AN200:AN202)</f>
        <v>0</v>
      </c>
      <c r="AO203" s="66">
        <f>IF(AN$203=0,0,AN203/AN$203)</f>
        <v>0</v>
      </c>
      <c r="AQ203" s="80"/>
      <c r="AR203" s="80"/>
      <c r="AS203" s="81"/>
      <c r="AT203" s="82">
        <f>SUM(AT200:AT202)</f>
        <v>0</v>
      </c>
      <c r="AU203" s="66">
        <f>IF(AT$203=0,0,AT203/AT$203)</f>
        <v>0</v>
      </c>
      <c r="AW203" s="80"/>
      <c r="AX203" s="80"/>
      <c r="AY203" s="81"/>
      <c r="AZ203" s="82">
        <f>SUM(AZ200:AZ202)</f>
        <v>0</v>
      </c>
      <c r="BA203" s="66">
        <f>IF(AZ$203=0,0,AZ203/AZ$203)</f>
        <v>0</v>
      </c>
    </row>
    <row r="204" spans="1:53" s="117" customFormat="1" ht="17.100000000000001" customHeight="1" x14ac:dyDescent="0.25">
      <c r="A204" s="68"/>
      <c r="B204" s="119"/>
      <c r="C204" s="540"/>
      <c r="D204" s="261"/>
      <c r="E204" s="261"/>
      <c r="F204" s="68"/>
      <c r="G204" s="68"/>
      <c r="H204" s="119"/>
      <c r="I204" s="138"/>
      <c r="J204" s="17" t="str">
        <f>IF(J203=J$15,"OK","NOK")</f>
        <v>OK</v>
      </c>
      <c r="K204" s="17" t="str">
        <f t="shared" ref="K204:L204" si="223">IF(K203=K$15,"OK","NOK")</f>
        <v>OK</v>
      </c>
      <c r="L204" s="17" t="str">
        <f t="shared" si="223"/>
        <v>OK</v>
      </c>
      <c r="M204" s="17"/>
      <c r="N204" s="17"/>
      <c r="O204" s="17"/>
      <c r="P204" s="17"/>
      <c r="Q204" s="17"/>
      <c r="R204" s="17"/>
      <c r="S204" s="17"/>
      <c r="T204" s="17"/>
      <c r="U204" s="17"/>
      <c r="V204" s="359"/>
      <c r="W204" s="382"/>
      <c r="X204" s="539"/>
      <c r="Y204" s="539"/>
      <c r="Z204" s="201"/>
      <c r="AA204" s="201"/>
      <c r="AB204" s="201"/>
      <c r="AC204" s="84"/>
      <c r="AE204" s="46"/>
      <c r="AF204" s="46"/>
      <c r="AG204" s="17"/>
      <c r="AH204" s="539"/>
      <c r="AI204" s="91"/>
      <c r="AK204" s="46"/>
      <c r="AL204" s="46"/>
      <c r="AM204" s="17"/>
      <c r="AN204" s="539"/>
      <c r="AO204" s="91"/>
      <c r="AQ204" s="46"/>
      <c r="AR204" s="46"/>
      <c r="AS204" s="17"/>
      <c r="AT204" s="539"/>
      <c r="AU204" s="91"/>
      <c r="AW204" s="46"/>
      <c r="AX204" s="46"/>
      <c r="AY204" s="17"/>
      <c r="AZ204" s="539"/>
      <c r="BA204" s="91"/>
    </row>
    <row r="205" spans="1:53" ht="17.100000000000001" customHeight="1" x14ac:dyDescent="0.25">
      <c r="A205" s="40"/>
      <c r="B205" s="40"/>
      <c r="C205" s="56" t="s">
        <v>519</v>
      </c>
      <c r="D205" s="147" t="s">
        <v>421</v>
      </c>
      <c r="E205" s="147"/>
      <c r="F205" s="147"/>
      <c r="G205" s="147"/>
      <c r="H205" s="182"/>
      <c r="I205" s="237"/>
      <c r="J205" s="111"/>
      <c r="K205" s="111"/>
      <c r="L205" s="111"/>
      <c r="M205" s="111"/>
      <c r="N205" s="111"/>
      <c r="O205" s="111"/>
      <c r="P205" s="111"/>
      <c r="Q205" s="111"/>
      <c r="R205" s="111"/>
      <c r="S205" s="111"/>
      <c r="T205" s="111"/>
      <c r="U205" s="111"/>
      <c r="V205" s="358"/>
      <c r="W205" s="380"/>
      <c r="X205" s="111"/>
      <c r="Y205" s="545"/>
      <c r="Z205" s="131"/>
      <c r="AA205" s="131"/>
      <c r="AB205" s="131"/>
      <c r="AC205" s="113"/>
      <c r="AE205" s="111"/>
      <c r="AF205" s="111"/>
      <c r="AG205" s="111"/>
      <c r="AH205" s="545"/>
      <c r="AI205" s="131"/>
      <c r="AK205" s="111"/>
      <c r="AL205" s="111"/>
      <c r="AM205" s="111"/>
      <c r="AN205" s="545"/>
      <c r="AO205" s="131"/>
      <c r="AQ205" s="111"/>
      <c r="AR205" s="111"/>
      <c r="AS205" s="111"/>
      <c r="AT205" s="545"/>
      <c r="AU205" s="131"/>
      <c r="AW205" s="111"/>
      <c r="AX205" s="111"/>
      <c r="AY205" s="111"/>
      <c r="AZ205" s="545"/>
      <c r="BA205" s="131"/>
    </row>
    <row r="206" spans="1:53" ht="17.100000000000001" customHeight="1" x14ac:dyDescent="0.25">
      <c r="A206" s="40"/>
      <c r="B206" s="40"/>
      <c r="C206" s="40"/>
      <c r="D206" s="56" t="s">
        <v>520</v>
      </c>
      <c r="E206" s="146" t="s">
        <v>423</v>
      </c>
      <c r="F206" s="149"/>
      <c r="G206" s="149"/>
      <c r="H206" s="244"/>
      <c r="I206" s="238"/>
      <c r="J206" s="111"/>
      <c r="K206" s="111"/>
      <c r="L206" s="111"/>
      <c r="M206" s="111"/>
      <c r="N206" s="61"/>
      <c r="O206" s="61">
        <v>8</v>
      </c>
      <c r="P206" s="17">
        <f>SUM(N206:O206)</f>
        <v>8</v>
      </c>
      <c r="Q206" s="61">
        <v>1</v>
      </c>
      <c r="R206" s="61">
        <v>1</v>
      </c>
      <c r="S206" s="17">
        <f>SUM(Q206:R206)</f>
        <v>2</v>
      </c>
      <c r="T206" s="61"/>
      <c r="U206" s="61"/>
      <c r="V206" s="17">
        <f>SUM(T206:U206)</f>
        <v>0</v>
      </c>
      <c r="W206" s="391">
        <f t="shared" ref="W206:W209" si="224">J206+K206+N206+Q206+T206</f>
        <v>1</v>
      </c>
      <c r="X206" s="17">
        <f t="shared" ref="X206:X209" si="225">L206+O206+R206+U206</f>
        <v>9</v>
      </c>
      <c r="Y206" s="18">
        <f>SUM(W206:X206)</f>
        <v>10</v>
      </c>
      <c r="Z206" s="19">
        <f>IF(Y$210=0,0,Y206/Y$210)</f>
        <v>0.66666666666666663</v>
      </c>
      <c r="AA206" s="19"/>
      <c r="AB206" s="19"/>
      <c r="AC206" s="20"/>
      <c r="AE206" s="111"/>
      <c r="AF206" s="111"/>
      <c r="AG206" s="111"/>
      <c r="AH206" s="112"/>
      <c r="AI206" s="113"/>
      <c r="AK206" s="111"/>
      <c r="AL206" s="111"/>
      <c r="AM206" s="111"/>
      <c r="AN206" s="112"/>
      <c r="AO206" s="113"/>
      <c r="AQ206" s="17"/>
      <c r="AR206" s="17"/>
      <c r="AS206" s="17"/>
      <c r="AT206" s="18">
        <f t="shared" ref="AT206:AT209" si="226">W206</f>
        <v>1</v>
      </c>
      <c r="AU206" s="19">
        <f>IF(AT$210=0,0,AT206/AT$210)</f>
        <v>0.33333333333333331</v>
      </c>
      <c r="AW206" s="17"/>
      <c r="AX206" s="17"/>
      <c r="AY206" s="17"/>
      <c r="AZ206" s="18">
        <f t="shared" ref="AZ206:AZ209" si="227">X206</f>
        <v>9</v>
      </c>
      <c r="BA206" s="19">
        <f>IF(AZ$210=0,0,AZ206/AZ$210)</f>
        <v>0.75</v>
      </c>
    </row>
    <row r="207" spans="1:53" ht="17.100000000000001" customHeight="1" x14ac:dyDescent="0.25">
      <c r="A207" s="40"/>
      <c r="B207" s="40"/>
      <c r="C207" s="40"/>
      <c r="D207" s="56" t="s">
        <v>521</v>
      </c>
      <c r="E207" s="147" t="s">
        <v>422</v>
      </c>
      <c r="F207" s="223"/>
      <c r="G207" s="223"/>
      <c r="H207" s="244"/>
      <c r="I207" s="238"/>
      <c r="J207" s="111"/>
      <c r="K207" s="111"/>
      <c r="L207" s="111"/>
      <c r="M207" s="111"/>
      <c r="N207" s="60"/>
      <c r="O207" s="60"/>
      <c r="P207" s="17">
        <f t="shared" ref="P207:P209" si="228">SUM(N207:O207)</f>
        <v>0</v>
      </c>
      <c r="Q207" s="60">
        <v>1</v>
      </c>
      <c r="R207" s="60">
        <v>2</v>
      </c>
      <c r="S207" s="17">
        <f t="shared" ref="S207:S209" si="229">SUM(Q207:R207)</f>
        <v>3</v>
      </c>
      <c r="T207" s="60"/>
      <c r="U207" s="60"/>
      <c r="V207" s="17">
        <f t="shared" ref="V207:V209" si="230">SUM(T207:U207)</f>
        <v>0</v>
      </c>
      <c r="W207" s="391">
        <f t="shared" si="224"/>
        <v>1</v>
      </c>
      <c r="X207" s="17">
        <f t="shared" si="225"/>
        <v>2</v>
      </c>
      <c r="Y207" s="18">
        <f>SUM(W207:X207)</f>
        <v>3</v>
      </c>
      <c r="Z207" s="19">
        <f>IF(Y$210=0,0,Y207/Y$210)</f>
        <v>0.2</v>
      </c>
      <c r="AA207" s="19"/>
      <c r="AB207" s="19"/>
      <c r="AC207" s="20"/>
      <c r="AE207" s="111"/>
      <c r="AF207" s="111"/>
      <c r="AG207" s="111"/>
      <c r="AH207" s="112"/>
      <c r="AI207" s="113"/>
      <c r="AK207" s="111"/>
      <c r="AL207" s="111"/>
      <c r="AM207" s="111"/>
      <c r="AN207" s="112"/>
      <c r="AO207" s="113"/>
      <c r="AQ207" s="17"/>
      <c r="AR207" s="17"/>
      <c r="AS207" s="17"/>
      <c r="AT207" s="18">
        <f t="shared" si="226"/>
        <v>1</v>
      </c>
      <c r="AU207" s="19">
        <f>IF(AT$210=0,0,AT207/AT$210)</f>
        <v>0.33333333333333331</v>
      </c>
      <c r="AW207" s="17"/>
      <c r="AX207" s="17"/>
      <c r="AY207" s="17"/>
      <c r="AZ207" s="18">
        <f t="shared" si="227"/>
        <v>2</v>
      </c>
      <c r="BA207" s="19">
        <f>IF(AZ$210=0,0,AZ207/AZ$210)</f>
        <v>0.16666666666666666</v>
      </c>
    </row>
    <row r="208" spans="1:53" ht="17.100000000000001" customHeight="1" x14ac:dyDescent="0.25">
      <c r="A208" s="40"/>
      <c r="B208" s="40"/>
      <c r="C208" s="40"/>
      <c r="D208" s="56" t="s">
        <v>522</v>
      </c>
      <c r="E208" s="147" t="s">
        <v>136</v>
      </c>
      <c r="F208" s="147"/>
      <c r="G208" s="147"/>
      <c r="H208" s="182"/>
      <c r="I208" s="237"/>
      <c r="J208" s="111"/>
      <c r="K208" s="111"/>
      <c r="L208" s="111"/>
      <c r="M208" s="111"/>
      <c r="N208" s="61"/>
      <c r="O208" s="61"/>
      <c r="P208" s="17">
        <f t="shared" si="228"/>
        <v>0</v>
      </c>
      <c r="Q208" s="61"/>
      <c r="R208" s="61"/>
      <c r="S208" s="17">
        <f t="shared" si="229"/>
        <v>0</v>
      </c>
      <c r="T208" s="61"/>
      <c r="U208" s="61"/>
      <c r="V208" s="17">
        <f t="shared" si="230"/>
        <v>0</v>
      </c>
      <c r="W208" s="391">
        <f t="shared" si="224"/>
        <v>0</v>
      </c>
      <c r="X208" s="17">
        <f t="shared" si="225"/>
        <v>0</v>
      </c>
      <c r="Y208" s="18">
        <f>SUM(W208:X208)</f>
        <v>0</v>
      </c>
      <c r="Z208" s="19">
        <f>IF(Y$210=0,0,Y208/Y$210)</f>
        <v>0</v>
      </c>
      <c r="AA208" s="19"/>
      <c r="AB208" s="19"/>
      <c r="AC208" s="20"/>
      <c r="AE208" s="111"/>
      <c r="AF208" s="111"/>
      <c r="AG208" s="111"/>
      <c r="AH208" s="112"/>
      <c r="AI208" s="113"/>
      <c r="AK208" s="111"/>
      <c r="AL208" s="111"/>
      <c r="AM208" s="111"/>
      <c r="AN208" s="112"/>
      <c r="AO208" s="113"/>
      <c r="AQ208" s="17"/>
      <c r="AR208" s="17"/>
      <c r="AS208" s="17"/>
      <c r="AT208" s="18">
        <f t="shared" si="226"/>
        <v>0</v>
      </c>
      <c r="AU208" s="19">
        <f>IF(AT$210=0,0,AT208/AT$210)</f>
        <v>0</v>
      </c>
      <c r="AW208" s="17"/>
      <c r="AX208" s="17"/>
      <c r="AY208" s="17"/>
      <c r="AZ208" s="18">
        <f t="shared" si="227"/>
        <v>0</v>
      </c>
      <c r="BA208" s="19">
        <f>IF(AZ$210=0,0,AZ208/AZ$210)</f>
        <v>0</v>
      </c>
    </row>
    <row r="209" spans="1:53" ht="17.100000000000001" customHeight="1" x14ac:dyDescent="0.25">
      <c r="A209" s="40"/>
      <c r="B209" s="40"/>
      <c r="C209" s="40"/>
      <c r="D209" s="56" t="s">
        <v>746</v>
      </c>
      <c r="E209" s="147" t="s">
        <v>747</v>
      </c>
      <c r="F209" s="223"/>
      <c r="G209" s="223"/>
      <c r="H209" s="244"/>
      <c r="I209" s="238"/>
      <c r="J209" s="111"/>
      <c r="K209" s="111"/>
      <c r="L209" s="111"/>
      <c r="M209" s="111"/>
      <c r="N209" s="60"/>
      <c r="O209" s="60"/>
      <c r="P209" s="17">
        <f t="shared" si="228"/>
        <v>0</v>
      </c>
      <c r="Q209" s="60">
        <v>1</v>
      </c>
      <c r="R209" s="60">
        <v>1</v>
      </c>
      <c r="S209" s="17">
        <f t="shared" si="229"/>
        <v>2</v>
      </c>
      <c r="T209" s="60"/>
      <c r="U209" s="60"/>
      <c r="V209" s="17">
        <f t="shared" si="230"/>
        <v>0</v>
      </c>
      <c r="W209" s="391">
        <f t="shared" si="224"/>
        <v>1</v>
      </c>
      <c r="X209" s="17">
        <f t="shared" si="225"/>
        <v>1</v>
      </c>
      <c r="Y209" s="18">
        <f>SUM(W209:X209)</f>
        <v>2</v>
      </c>
      <c r="Z209" s="19">
        <f>IF(Y$210=0,0,Y209/Y$210)</f>
        <v>0.13333333333333333</v>
      </c>
      <c r="AA209" s="19"/>
      <c r="AB209" s="19"/>
      <c r="AC209" s="20"/>
      <c r="AE209" s="111"/>
      <c r="AF209" s="111"/>
      <c r="AG209" s="111"/>
      <c r="AH209" s="112"/>
      <c r="AI209" s="113"/>
      <c r="AK209" s="111"/>
      <c r="AL209" s="111"/>
      <c r="AM209" s="111"/>
      <c r="AN209" s="112"/>
      <c r="AO209" s="113"/>
      <c r="AQ209" s="17"/>
      <c r="AR209" s="17"/>
      <c r="AS209" s="17"/>
      <c r="AT209" s="18">
        <f t="shared" si="226"/>
        <v>1</v>
      </c>
      <c r="AU209" s="19">
        <f>IF(AT$210=0,0,AT209/AT$210)</f>
        <v>0.33333333333333331</v>
      </c>
      <c r="AW209" s="17"/>
      <c r="AX209" s="17"/>
      <c r="AY209" s="17"/>
      <c r="AZ209" s="18">
        <f t="shared" si="227"/>
        <v>1</v>
      </c>
      <c r="BA209" s="19">
        <f>IF(AZ$210=0,0,AZ209/AZ$210)</f>
        <v>8.3333333333333329E-2</v>
      </c>
    </row>
    <row r="210" spans="1:53" ht="17.100000000000001" customHeight="1" x14ac:dyDescent="0.25">
      <c r="A210" s="40"/>
      <c r="B210" s="40"/>
      <c r="C210" s="77"/>
      <c r="D210" s="144"/>
      <c r="E210" s="144"/>
      <c r="F210" s="145"/>
      <c r="G210" s="145"/>
      <c r="H210" s="119"/>
      <c r="I210" s="236"/>
      <c r="J210" s="80"/>
      <c r="K210" s="80"/>
      <c r="L210" s="81"/>
      <c r="M210" s="81"/>
      <c r="N210" s="81">
        <f>SUM(N206:N209)</f>
        <v>0</v>
      </c>
      <c r="O210" s="81">
        <f t="shared" ref="O210:V210" si="231">SUM(O206:O209)</f>
        <v>8</v>
      </c>
      <c r="P210" s="81">
        <f t="shared" si="231"/>
        <v>8</v>
      </c>
      <c r="Q210" s="81">
        <f t="shared" si="231"/>
        <v>3</v>
      </c>
      <c r="R210" s="81">
        <f t="shared" si="231"/>
        <v>4</v>
      </c>
      <c r="S210" s="81">
        <f t="shared" si="231"/>
        <v>7</v>
      </c>
      <c r="T210" s="81">
        <f t="shared" si="231"/>
        <v>0</v>
      </c>
      <c r="U210" s="81">
        <f t="shared" si="231"/>
        <v>0</v>
      </c>
      <c r="V210" s="81">
        <f t="shared" si="231"/>
        <v>0</v>
      </c>
      <c r="W210" s="381">
        <f>SUM(W206:W209)</f>
        <v>3</v>
      </c>
      <c r="X210" s="82">
        <f>SUM(X206:X209)</f>
        <v>12</v>
      </c>
      <c r="Y210" s="82">
        <f>SUM(Y206:Y209)</f>
        <v>15</v>
      </c>
      <c r="Z210" s="205">
        <f>IF(Y$210=0,0,Y210/Y$210)</f>
        <v>1</v>
      </c>
      <c r="AA210" s="205"/>
      <c r="AB210" s="205"/>
      <c r="AC210" s="83"/>
      <c r="AE210" s="80"/>
      <c r="AF210" s="80"/>
      <c r="AG210" s="81"/>
      <c r="AH210" s="82"/>
      <c r="AI210" s="66"/>
      <c r="AK210" s="80"/>
      <c r="AL210" s="80"/>
      <c r="AM210" s="81"/>
      <c r="AN210" s="82"/>
      <c r="AO210" s="66"/>
      <c r="AQ210" s="80"/>
      <c r="AR210" s="80"/>
      <c r="AS210" s="81"/>
      <c r="AT210" s="82">
        <f>SUM(AT206:AT209)</f>
        <v>3</v>
      </c>
      <c r="AU210" s="66">
        <f>IF(AT$210=0,0,AT210/AT$210)</f>
        <v>1</v>
      </c>
      <c r="AW210" s="80"/>
      <c r="AX210" s="80"/>
      <c r="AY210" s="81"/>
      <c r="AZ210" s="82">
        <f>SUM(AZ206:AZ209)</f>
        <v>12</v>
      </c>
      <c r="BA210" s="66">
        <f>IF(AZ$210=0,0,AZ210/AZ$210)</f>
        <v>1</v>
      </c>
    </row>
    <row r="211" spans="1:53" s="117" customFormat="1" ht="17.100000000000001" customHeight="1" x14ac:dyDescent="0.25">
      <c r="A211" s="68"/>
      <c r="B211" s="119"/>
      <c r="C211" s="540"/>
      <c r="D211" s="261"/>
      <c r="E211" s="261"/>
      <c r="F211" s="68"/>
      <c r="G211" s="68"/>
      <c r="H211" s="119"/>
      <c r="I211" s="138"/>
      <c r="J211" s="17"/>
      <c r="K211" s="17"/>
      <c r="L211" s="17"/>
      <c r="M211" s="17"/>
      <c r="N211" s="17" t="str">
        <f>IF(N210=N$20,"OK","NOK")</f>
        <v>OK</v>
      </c>
      <c r="O211" s="17" t="str">
        <f>IF(O210=O$20,"OK","NOK")</f>
        <v>OK</v>
      </c>
      <c r="P211" s="17"/>
      <c r="Q211" s="17" t="str">
        <f>IF(Q210=Q$20,"OK","NOK")</f>
        <v>OK</v>
      </c>
      <c r="R211" s="17" t="str">
        <f>IF(R210=R$20,"OK","NOK")</f>
        <v>OK</v>
      </c>
      <c r="S211" s="17"/>
      <c r="T211" s="17" t="str">
        <f>IF(T210=T$20,"OK","NOK")</f>
        <v>OK</v>
      </c>
      <c r="U211" s="17" t="str">
        <f>IF(U210=U$20,"OK","NOK")</f>
        <v>OK</v>
      </c>
      <c r="V211" s="359"/>
      <c r="W211" s="382"/>
      <c r="X211" s="539"/>
      <c r="Y211" s="539"/>
      <c r="Z211" s="201"/>
      <c r="AA211" s="201"/>
      <c r="AB211" s="201"/>
      <c r="AC211" s="84"/>
      <c r="AE211" s="46"/>
      <c r="AF211" s="46"/>
      <c r="AG211" s="17"/>
      <c r="AH211" s="539"/>
      <c r="AI211" s="91"/>
      <c r="AK211" s="46"/>
      <c r="AL211" s="46"/>
      <c r="AM211" s="17"/>
      <c r="AN211" s="539"/>
      <c r="AO211" s="91"/>
      <c r="AQ211" s="46"/>
      <c r="AR211" s="46"/>
      <c r="AS211" s="17"/>
      <c r="AT211" s="539"/>
      <c r="AU211" s="91"/>
      <c r="AW211" s="46"/>
      <c r="AX211" s="46"/>
      <c r="AY211" s="17"/>
      <c r="AZ211" s="539"/>
      <c r="BA211" s="91"/>
    </row>
    <row r="212" spans="1:53" ht="17.100000000000001" customHeight="1" x14ac:dyDescent="0.25">
      <c r="A212" s="68"/>
      <c r="B212" s="41" t="s">
        <v>635</v>
      </c>
      <c r="C212" s="69" t="s">
        <v>138</v>
      </c>
      <c r="D212" s="50"/>
      <c r="E212" s="70"/>
      <c r="F212" s="70"/>
      <c r="G212" s="70"/>
      <c r="H212" s="119"/>
      <c r="J212" s="71"/>
      <c r="K212" s="71"/>
      <c r="L212" s="71"/>
      <c r="M212" s="71"/>
      <c r="N212" s="71"/>
      <c r="O212" s="71"/>
      <c r="P212" s="71"/>
      <c r="Q212" s="71"/>
      <c r="R212" s="71"/>
      <c r="S212" s="71"/>
      <c r="T212" s="71"/>
      <c r="U212" s="71"/>
      <c r="V212" s="355"/>
      <c r="W212" s="377"/>
      <c r="X212" s="71"/>
      <c r="Y212" s="72"/>
      <c r="Z212" s="73"/>
      <c r="AA212" s="73"/>
      <c r="AB212" s="73"/>
      <c r="AC212" s="73"/>
      <c r="AE212" s="71"/>
      <c r="AF212" s="71"/>
      <c r="AG212" s="71"/>
      <c r="AH212" s="72"/>
      <c r="AI212" s="73"/>
      <c r="AK212" s="71"/>
      <c r="AL212" s="71"/>
      <c r="AM212" s="71"/>
      <c r="AN212" s="72"/>
      <c r="AO212" s="73"/>
      <c r="AQ212" s="71"/>
      <c r="AR212" s="71"/>
      <c r="AS212" s="71"/>
      <c r="AT212" s="72"/>
      <c r="AU212" s="73"/>
      <c r="AW212" s="71"/>
      <c r="AX212" s="71"/>
      <c r="AY212" s="71"/>
      <c r="AZ212" s="72"/>
      <c r="BA212" s="73"/>
    </row>
    <row r="213" spans="1:53" ht="17.100000000000001" customHeight="1" x14ac:dyDescent="0.25">
      <c r="A213" s="40"/>
      <c r="B213" s="40"/>
      <c r="C213" s="74" t="s">
        <v>636</v>
      </c>
      <c r="D213" s="542" t="s">
        <v>424</v>
      </c>
      <c r="E213" s="542"/>
      <c r="F213" s="542"/>
      <c r="G213" s="542"/>
      <c r="H213" s="243">
        <v>26</v>
      </c>
      <c r="I213" s="235"/>
      <c r="J213" s="111"/>
      <c r="K213" s="111"/>
      <c r="L213" s="111"/>
      <c r="M213" s="111"/>
      <c r="N213" s="111"/>
      <c r="O213" s="111"/>
      <c r="P213" s="111"/>
      <c r="Q213" s="111"/>
      <c r="R213" s="111"/>
      <c r="S213" s="111"/>
      <c r="T213" s="111"/>
      <c r="U213" s="111"/>
      <c r="V213" s="358"/>
      <c r="W213" s="380"/>
      <c r="X213" s="111"/>
      <c r="Y213" s="112"/>
      <c r="Z213" s="113"/>
      <c r="AA213" s="113"/>
      <c r="AB213" s="113"/>
      <c r="AC213" s="113"/>
      <c r="AE213" s="111"/>
      <c r="AF213" s="111"/>
      <c r="AG213" s="148"/>
      <c r="AH213" s="112"/>
      <c r="AI213" s="113"/>
      <c r="AK213" s="111"/>
      <c r="AL213" s="111"/>
      <c r="AM213" s="148"/>
      <c r="AN213" s="112"/>
      <c r="AO213" s="113"/>
      <c r="AQ213" s="111"/>
      <c r="AR213" s="111"/>
      <c r="AS213" s="148"/>
      <c r="AT213" s="112"/>
      <c r="AU213" s="113"/>
      <c r="AW213" s="111"/>
      <c r="AX213" s="111"/>
      <c r="AY213" s="148"/>
      <c r="AZ213" s="112"/>
      <c r="BA213" s="113"/>
    </row>
    <row r="214" spans="1:53" ht="17.100000000000001" customHeight="1" x14ac:dyDescent="0.25">
      <c r="A214" s="40"/>
      <c r="B214" s="40"/>
      <c r="C214" s="40"/>
      <c r="D214" s="74" t="s">
        <v>637</v>
      </c>
      <c r="E214" s="542" t="s">
        <v>9</v>
      </c>
      <c r="F214" s="542"/>
      <c r="G214" s="542"/>
      <c r="H214" s="540"/>
      <c r="I214" s="235"/>
      <c r="J214" s="583"/>
      <c r="K214" s="583"/>
      <c r="L214" s="584"/>
      <c r="M214" s="17">
        <f t="shared" ref="M214:M215" si="232">SUM(J214:L214)</f>
        <v>0</v>
      </c>
      <c r="N214" s="111"/>
      <c r="O214" s="111"/>
      <c r="P214" s="111"/>
      <c r="Q214" s="111"/>
      <c r="R214" s="111"/>
      <c r="S214" s="111"/>
      <c r="T214" s="111"/>
      <c r="U214" s="111"/>
      <c r="V214" s="358"/>
      <c r="W214" s="391">
        <f t="shared" ref="W214:W215" si="233">J214+K214+N214+Q214+T214</f>
        <v>0</v>
      </c>
      <c r="X214" s="17">
        <f t="shared" ref="X214:X215" si="234">L214+O214+R214+U214</f>
        <v>0</v>
      </c>
      <c r="Y214" s="18">
        <f>SUM(W214:X214)</f>
        <v>0</v>
      </c>
      <c r="Z214" s="19">
        <f>IF(Y$217=0,0,Y214/Y$217)</f>
        <v>0</v>
      </c>
      <c r="AA214" s="19"/>
      <c r="AB214" s="19"/>
      <c r="AC214" s="20"/>
      <c r="AE214" s="17"/>
      <c r="AF214" s="17"/>
      <c r="AG214" s="17"/>
      <c r="AH214" s="18">
        <f t="shared" ref="AH214:AH215" si="235">J214</f>
        <v>0</v>
      </c>
      <c r="AI214" s="19">
        <f>IF(AH$217=0,0,AH214/AH$217)</f>
        <v>0</v>
      </c>
      <c r="AK214" s="17"/>
      <c r="AL214" s="17"/>
      <c r="AM214" s="17"/>
      <c r="AN214" s="18">
        <f t="shared" ref="AN214:AN215" si="236">K214</f>
        <v>0</v>
      </c>
      <c r="AO214" s="19">
        <f>IF(AN$217=0,0,AN214/AN$217)</f>
        <v>0</v>
      </c>
      <c r="AQ214" s="17"/>
      <c r="AR214" s="17"/>
      <c r="AS214" s="17"/>
      <c r="AT214" s="18">
        <f t="shared" ref="AT214:AT215" si="237">W214</f>
        <v>0</v>
      </c>
      <c r="AU214" s="19">
        <f>IF(AT$217=0,0,AT214/AT$217)</f>
        <v>0</v>
      </c>
      <c r="AW214" s="17"/>
      <c r="AX214" s="17"/>
      <c r="AY214" s="17"/>
      <c r="AZ214" s="18">
        <f t="shared" ref="AZ214:AZ215" si="238">X214</f>
        <v>0</v>
      </c>
      <c r="BA214" s="19">
        <f>IF(AZ$217=0,0,AZ214/AZ$217)</f>
        <v>0</v>
      </c>
    </row>
    <row r="215" spans="1:53" ht="17.100000000000001" customHeight="1" x14ac:dyDescent="0.25">
      <c r="A215" s="40"/>
      <c r="B215" s="40"/>
      <c r="C215" s="40"/>
      <c r="D215" s="74" t="s">
        <v>638</v>
      </c>
      <c r="E215" s="542" t="s">
        <v>11</v>
      </c>
      <c r="F215" s="542"/>
      <c r="G215" s="542"/>
      <c r="H215" s="540"/>
      <c r="I215" s="235"/>
      <c r="J215" s="581"/>
      <c r="K215" s="581"/>
      <c r="L215" s="582"/>
      <c r="M215" s="17">
        <f t="shared" si="232"/>
        <v>0</v>
      </c>
      <c r="N215" s="111"/>
      <c r="O215" s="111"/>
      <c r="P215" s="111"/>
      <c r="Q215" s="111"/>
      <c r="R215" s="111"/>
      <c r="S215" s="111"/>
      <c r="T215" s="111"/>
      <c r="U215" s="111"/>
      <c r="V215" s="358"/>
      <c r="W215" s="391">
        <f t="shared" si="233"/>
        <v>0</v>
      </c>
      <c r="X215" s="17">
        <f t="shared" si="234"/>
        <v>0</v>
      </c>
      <c r="Y215" s="18">
        <f>SUM(W215:X215)</f>
        <v>0</v>
      </c>
      <c r="Z215" s="19">
        <f>IF(Y$217=0,0,Y215/Y$217)</f>
        <v>0</v>
      </c>
      <c r="AA215" s="19"/>
      <c r="AB215" s="19"/>
      <c r="AC215" s="20"/>
      <c r="AE215" s="17"/>
      <c r="AF215" s="17"/>
      <c r="AG215" s="17"/>
      <c r="AH215" s="18">
        <f t="shared" si="235"/>
        <v>0</v>
      </c>
      <c r="AI215" s="19">
        <f>IF(AH$217=0,0,AH215/AH$217)</f>
        <v>0</v>
      </c>
      <c r="AK215" s="17"/>
      <c r="AL215" s="17"/>
      <c r="AM215" s="17"/>
      <c r="AN215" s="18">
        <f t="shared" si="236"/>
        <v>0</v>
      </c>
      <c r="AO215" s="19">
        <f>IF(AN$217=0,0,AN215/AN$217)</f>
        <v>0</v>
      </c>
      <c r="AQ215" s="17"/>
      <c r="AR215" s="17"/>
      <c r="AS215" s="17"/>
      <c r="AT215" s="18">
        <f t="shared" si="237"/>
        <v>0</v>
      </c>
      <c r="AU215" s="19">
        <f>IF(AT$217=0,0,AT215/AT$217)</f>
        <v>0</v>
      </c>
      <c r="AW215" s="17"/>
      <c r="AX215" s="17"/>
      <c r="AY215" s="17"/>
      <c r="AZ215" s="18">
        <f t="shared" si="238"/>
        <v>0</v>
      </c>
      <c r="BA215" s="19">
        <f>IF(AZ$217=0,0,AZ215/AZ$217)</f>
        <v>0</v>
      </c>
    </row>
    <row r="216" spans="1:53" ht="17.100000000000001" customHeight="1" x14ac:dyDescent="0.25">
      <c r="A216" s="40"/>
      <c r="B216" s="40"/>
      <c r="C216" s="40"/>
      <c r="D216" s="74" t="s">
        <v>1436</v>
      </c>
      <c r="E216" s="147" t="s">
        <v>1435</v>
      </c>
      <c r="F216" s="923"/>
      <c r="G216" s="923"/>
      <c r="H216" s="922"/>
      <c r="I216" s="235"/>
      <c r="J216" s="583"/>
      <c r="K216" s="583"/>
      <c r="L216" s="584"/>
      <c r="M216" s="17">
        <f t="shared" ref="M216" si="239">SUM(J216:L216)</f>
        <v>0</v>
      </c>
      <c r="N216" s="111"/>
      <c r="O216" s="111"/>
      <c r="P216" s="111"/>
      <c r="Q216" s="111"/>
      <c r="R216" s="111"/>
      <c r="S216" s="111"/>
      <c r="T216" s="111"/>
      <c r="U216" s="111"/>
      <c r="V216" s="358"/>
      <c r="W216" s="391">
        <f t="shared" ref="W216" si="240">J216+K216+N216+Q216+T216</f>
        <v>0</v>
      </c>
      <c r="X216" s="17">
        <f t="shared" ref="X216" si="241">L216+O216+R216+U216</f>
        <v>0</v>
      </c>
      <c r="Y216" s="18">
        <f>SUM(W216:X216)</f>
        <v>0</v>
      </c>
      <c r="Z216" s="19">
        <f>IF(Y$217=0,0,Y216/Y$217)</f>
        <v>0</v>
      </c>
      <c r="AA216" s="19"/>
      <c r="AB216" s="19"/>
      <c r="AC216" s="20"/>
      <c r="AE216" s="17"/>
      <c r="AF216" s="17"/>
      <c r="AG216" s="17"/>
      <c r="AH216" s="18">
        <f t="shared" ref="AH216" si="242">J216</f>
        <v>0</v>
      </c>
      <c r="AI216" s="19">
        <f>IF(AH$217=0,0,AH216/AH$217)</f>
        <v>0</v>
      </c>
      <c r="AK216" s="17"/>
      <c r="AL216" s="17"/>
      <c r="AM216" s="17"/>
      <c r="AN216" s="18">
        <f t="shared" ref="AN216" si="243">K216</f>
        <v>0</v>
      </c>
      <c r="AO216" s="19">
        <f>IF(AN$217=0,0,AN216/AN$217)</f>
        <v>0</v>
      </c>
      <c r="AQ216" s="17"/>
      <c r="AR216" s="17"/>
      <c r="AS216" s="17"/>
      <c r="AT216" s="18">
        <f t="shared" ref="AT216" si="244">W216</f>
        <v>0</v>
      </c>
      <c r="AU216" s="19">
        <f>IF(AT$217=0,0,AT216/AT$217)</f>
        <v>0</v>
      </c>
      <c r="AW216" s="17"/>
      <c r="AX216" s="17"/>
      <c r="AY216" s="17"/>
      <c r="AZ216" s="18">
        <f t="shared" ref="AZ216" si="245">X216</f>
        <v>0</v>
      </c>
      <c r="BA216" s="19">
        <f>IF(AZ$217=0,0,AZ216/AZ$217)</f>
        <v>0</v>
      </c>
    </row>
    <row r="217" spans="1:53" ht="17.100000000000001" customHeight="1" x14ac:dyDescent="0.25">
      <c r="A217" s="40"/>
      <c r="B217" s="40"/>
      <c r="C217" s="77"/>
      <c r="D217" s="144"/>
      <c r="E217" s="144"/>
      <c r="F217" s="145"/>
      <c r="G217" s="145"/>
      <c r="H217" s="119"/>
      <c r="I217" s="236"/>
      <c r="J217" s="80">
        <f>SUM(J214:J216)</f>
        <v>0</v>
      </c>
      <c r="K217" s="80">
        <f t="shared" ref="K217:L217" si="246">SUM(K214:K216)</f>
        <v>0</v>
      </c>
      <c r="L217" s="80">
        <f t="shared" si="246"/>
        <v>0</v>
      </c>
      <c r="M217" s="80">
        <f t="shared" ref="M217" si="247">SUM(M214:M215)</f>
        <v>0</v>
      </c>
      <c r="N217" s="81"/>
      <c r="O217" s="81"/>
      <c r="P217" s="81"/>
      <c r="Q217" s="81"/>
      <c r="R217" s="81"/>
      <c r="S217" s="81"/>
      <c r="T217" s="81"/>
      <c r="U217" s="81"/>
      <c r="V217" s="356"/>
      <c r="W217" s="381">
        <f>SUM(W214:W216)</f>
        <v>0</v>
      </c>
      <c r="X217" s="224">
        <f t="shared" ref="X217" si="248">SUM(X214:X216)</f>
        <v>0</v>
      </c>
      <c r="Y217" s="224">
        <f t="shared" ref="Y217" si="249">SUM(Y214:Y216)</f>
        <v>0</v>
      </c>
      <c r="Z217" s="205">
        <f>IF(Y$217=0,0,Y217/Y$217)</f>
        <v>0</v>
      </c>
      <c r="AA217" s="205"/>
      <c r="AB217" s="205"/>
      <c r="AC217" s="83"/>
      <c r="AE217" s="80"/>
      <c r="AF217" s="80"/>
      <c r="AG217" s="81"/>
      <c r="AH217" s="224">
        <f t="shared" ref="AH217" si="250">SUM(AH214:AH216)</f>
        <v>0</v>
      </c>
      <c r="AI217" s="66">
        <f>IF(AH$217=0,0,AH217/AH$217)</f>
        <v>0</v>
      </c>
      <c r="AK217" s="80"/>
      <c r="AL217" s="80"/>
      <c r="AM217" s="81"/>
      <c r="AN217" s="224">
        <f t="shared" ref="AN217" si="251">SUM(AN214:AN216)</f>
        <v>0</v>
      </c>
      <c r="AO217" s="66">
        <f>IF(AN$217=0,0,AN217/AN$217)</f>
        <v>0</v>
      </c>
      <c r="AQ217" s="80"/>
      <c r="AR217" s="80"/>
      <c r="AS217" s="81"/>
      <c r="AT217" s="224">
        <f t="shared" ref="AT217" si="252">SUM(AT214:AT216)</f>
        <v>0</v>
      </c>
      <c r="AU217" s="66">
        <f>IF(AT$217=0,0,AT217/AT$217)</f>
        <v>0</v>
      </c>
      <c r="AW217" s="80"/>
      <c r="AX217" s="80"/>
      <c r="AY217" s="81"/>
      <c r="AZ217" s="224">
        <f t="shared" ref="AZ217" si="253">SUM(AZ214:AZ216)</f>
        <v>0</v>
      </c>
      <c r="BA217" s="66">
        <f>IF(AZ$217=0,0,AZ217/AZ$217)</f>
        <v>0</v>
      </c>
    </row>
    <row r="218" spans="1:53" s="117" customFormat="1" ht="17.100000000000001" customHeight="1" x14ac:dyDescent="0.25">
      <c r="A218" s="68"/>
      <c r="B218" s="119"/>
      <c r="C218" s="540"/>
      <c r="D218" s="261"/>
      <c r="E218" s="261"/>
      <c r="F218" s="68"/>
      <c r="G218" s="68"/>
      <c r="H218" s="119"/>
      <c r="I218" s="138"/>
      <c r="J218" s="17" t="str">
        <f>IF(J217=J$15,"OK","NOK")</f>
        <v>OK</v>
      </c>
      <c r="K218" s="17" t="str">
        <f t="shared" ref="K218:L218" si="254">IF(K217=K$15,"OK","NOK")</f>
        <v>OK</v>
      </c>
      <c r="L218" s="17" t="str">
        <f t="shared" si="254"/>
        <v>OK</v>
      </c>
      <c r="M218" s="17"/>
      <c r="N218" s="17"/>
      <c r="O218" s="17"/>
      <c r="P218" s="17"/>
      <c r="Q218" s="17"/>
      <c r="R218" s="17"/>
      <c r="S218" s="17"/>
      <c r="T218" s="17"/>
      <c r="U218" s="17"/>
      <c r="V218" s="359"/>
      <c r="W218" s="382"/>
      <c r="X218" s="539"/>
      <c r="Y218" s="539"/>
      <c r="Z218" s="201"/>
      <c r="AA218" s="201"/>
      <c r="AB218" s="201"/>
      <c r="AC218" s="84"/>
      <c r="AE218" s="46"/>
      <c r="AF218" s="46"/>
      <c r="AG218" s="17"/>
      <c r="AH218" s="539"/>
      <c r="AI218" s="91"/>
      <c r="AK218" s="46"/>
      <c r="AL218" s="46"/>
      <c r="AM218" s="17"/>
      <c r="AN218" s="539"/>
      <c r="AO218" s="91"/>
      <c r="AQ218" s="46"/>
      <c r="AR218" s="46"/>
      <c r="AS218" s="17"/>
      <c r="AT218" s="539"/>
      <c r="AU218" s="91"/>
      <c r="AW218" s="46"/>
      <c r="AX218" s="46"/>
      <c r="AY218" s="17"/>
      <c r="AZ218" s="539"/>
      <c r="BA218" s="91"/>
    </row>
    <row r="219" spans="1:53" ht="17.100000000000001" customHeight="1" x14ac:dyDescent="0.25">
      <c r="A219" s="40"/>
      <c r="B219" s="40"/>
      <c r="C219" s="74" t="s">
        <v>639</v>
      </c>
      <c r="D219" s="542" t="s">
        <v>359</v>
      </c>
      <c r="E219" s="542"/>
      <c r="F219" s="542"/>
      <c r="G219" s="542"/>
      <c r="H219" s="243">
        <v>9</v>
      </c>
      <c r="I219" s="235"/>
      <c r="J219" s="111"/>
      <c r="K219" s="111"/>
      <c r="L219" s="111"/>
      <c r="M219" s="111"/>
      <c r="N219" s="111"/>
      <c r="O219" s="111"/>
      <c r="P219" s="111"/>
      <c r="Q219" s="111"/>
      <c r="R219" s="111"/>
      <c r="S219" s="111"/>
      <c r="T219" s="111"/>
      <c r="U219" s="111"/>
      <c r="V219" s="358"/>
      <c r="W219" s="380"/>
      <c r="X219" s="111"/>
      <c r="Y219" s="112"/>
      <c r="Z219" s="113"/>
      <c r="AA219" s="113"/>
      <c r="AB219" s="113"/>
      <c r="AC219" s="113"/>
      <c r="AE219" s="111"/>
      <c r="AF219" s="111"/>
      <c r="AG219" s="148"/>
      <c r="AH219" s="112"/>
      <c r="AI219" s="113"/>
      <c r="AK219" s="111"/>
      <c r="AL219" s="111"/>
      <c r="AM219" s="148"/>
      <c r="AN219" s="112"/>
      <c r="AO219" s="113"/>
      <c r="AQ219" s="111"/>
      <c r="AR219" s="111"/>
      <c r="AS219" s="148"/>
      <c r="AT219" s="112"/>
      <c r="AU219" s="113"/>
      <c r="AW219" s="111"/>
      <c r="AX219" s="111"/>
      <c r="AY219" s="148"/>
      <c r="AZ219" s="112"/>
      <c r="BA219" s="113"/>
    </row>
    <row r="220" spans="1:53" ht="17.100000000000001" customHeight="1" x14ac:dyDescent="0.25">
      <c r="A220" s="40"/>
      <c r="B220" s="40"/>
      <c r="C220" s="40"/>
      <c r="D220" s="74" t="s">
        <v>640</v>
      </c>
      <c r="E220" s="542" t="s">
        <v>11</v>
      </c>
      <c r="F220" s="542"/>
      <c r="G220" s="542"/>
      <c r="H220" s="540"/>
      <c r="I220" s="235"/>
      <c r="J220" s="581"/>
      <c r="K220" s="581"/>
      <c r="L220" s="582"/>
      <c r="M220" s="17">
        <f t="shared" ref="M220:M221" si="255">SUM(J220:L220)</f>
        <v>0</v>
      </c>
      <c r="N220" s="111"/>
      <c r="O220" s="111"/>
      <c r="P220" s="111"/>
      <c r="Q220" s="111"/>
      <c r="R220" s="111"/>
      <c r="S220" s="111"/>
      <c r="T220" s="111"/>
      <c r="U220" s="111"/>
      <c r="V220" s="358"/>
      <c r="W220" s="391">
        <f t="shared" ref="W220:W221" si="256">J220+K220+N220+Q220+T220</f>
        <v>0</v>
      </c>
      <c r="X220" s="17">
        <f t="shared" ref="X220:X221" si="257">L220+O220+R220+U220</f>
        <v>0</v>
      </c>
      <c r="Y220" s="18">
        <f>SUM(W220:X220)</f>
        <v>0</v>
      </c>
      <c r="Z220" s="19">
        <f>IF(Y$223=0,0,Y220/Y$223)</f>
        <v>0</v>
      </c>
      <c r="AA220" s="19"/>
      <c r="AB220" s="19"/>
      <c r="AC220" s="20"/>
      <c r="AE220" s="17"/>
      <c r="AF220" s="17"/>
      <c r="AG220" s="17"/>
      <c r="AH220" s="18">
        <f t="shared" ref="AH220:AH221" si="258">J220</f>
        <v>0</v>
      </c>
      <c r="AI220" s="19">
        <f>IF(AH$223=0,0,AH220/AH$223)</f>
        <v>0</v>
      </c>
      <c r="AK220" s="17"/>
      <c r="AL220" s="17"/>
      <c r="AM220" s="17"/>
      <c r="AN220" s="18">
        <f t="shared" ref="AN220:AN221" si="259">K220</f>
        <v>0</v>
      </c>
      <c r="AO220" s="19">
        <f>IF(AN$223=0,0,AN220/AN$223)</f>
        <v>0</v>
      </c>
      <c r="AQ220" s="17"/>
      <c r="AR220" s="17"/>
      <c r="AS220" s="17"/>
      <c r="AT220" s="18">
        <f t="shared" ref="AT220:AT221" si="260">W220</f>
        <v>0</v>
      </c>
      <c r="AU220" s="19">
        <f>IF(AT$223=0,0,AT220/AT$223)</f>
        <v>0</v>
      </c>
      <c r="AW220" s="17"/>
      <c r="AX220" s="17"/>
      <c r="AY220" s="17"/>
      <c r="AZ220" s="18">
        <f t="shared" ref="AZ220:AZ221" si="261">X220</f>
        <v>0</v>
      </c>
      <c r="BA220" s="19">
        <f>IF(AZ$223=0,0,AZ220/AZ$223)</f>
        <v>0</v>
      </c>
    </row>
    <row r="221" spans="1:53" ht="17.100000000000001" customHeight="1" x14ac:dyDescent="0.25">
      <c r="A221" s="40"/>
      <c r="B221" s="40"/>
      <c r="C221" s="40"/>
      <c r="D221" s="74" t="s">
        <v>641</v>
      </c>
      <c r="E221" s="542" t="s">
        <v>9</v>
      </c>
      <c r="F221" s="542"/>
      <c r="G221" s="542"/>
      <c r="H221" s="540"/>
      <c r="I221" s="235"/>
      <c r="J221" s="583"/>
      <c r="K221" s="583"/>
      <c r="L221" s="584"/>
      <c r="M221" s="17">
        <f t="shared" si="255"/>
        <v>0</v>
      </c>
      <c r="N221" s="111"/>
      <c r="O221" s="111"/>
      <c r="P221" s="111"/>
      <c r="Q221" s="111"/>
      <c r="R221" s="111"/>
      <c r="S221" s="111"/>
      <c r="T221" s="111"/>
      <c r="U221" s="111"/>
      <c r="V221" s="358"/>
      <c r="W221" s="391">
        <f t="shared" si="256"/>
        <v>0</v>
      </c>
      <c r="X221" s="17">
        <f t="shared" si="257"/>
        <v>0</v>
      </c>
      <c r="Y221" s="18">
        <f>SUM(W221:X221)</f>
        <v>0</v>
      </c>
      <c r="Z221" s="19">
        <f>IF(Y$223=0,0,Y221/Y$223)</f>
        <v>0</v>
      </c>
      <c r="AA221" s="19"/>
      <c r="AB221" s="19"/>
      <c r="AC221" s="20"/>
      <c r="AE221" s="17"/>
      <c r="AF221" s="17"/>
      <c r="AG221" s="17"/>
      <c r="AH221" s="18">
        <f t="shared" si="258"/>
        <v>0</v>
      </c>
      <c r="AI221" s="19">
        <f>IF(AH$223=0,0,AH221/AH$223)</f>
        <v>0</v>
      </c>
      <c r="AK221" s="17"/>
      <c r="AL221" s="17"/>
      <c r="AM221" s="17"/>
      <c r="AN221" s="18">
        <f t="shared" si="259"/>
        <v>0</v>
      </c>
      <c r="AO221" s="19">
        <f>IF(AN$223=0,0,AN221/AN$223)</f>
        <v>0</v>
      </c>
      <c r="AQ221" s="17"/>
      <c r="AR221" s="17"/>
      <c r="AS221" s="17"/>
      <c r="AT221" s="18">
        <f t="shared" si="260"/>
        <v>0</v>
      </c>
      <c r="AU221" s="19">
        <f>IF(AT$223=0,0,AT221/AT$223)</f>
        <v>0</v>
      </c>
      <c r="AW221" s="17"/>
      <c r="AX221" s="17"/>
      <c r="AY221" s="17"/>
      <c r="AZ221" s="18">
        <f t="shared" si="261"/>
        <v>0</v>
      </c>
      <c r="BA221" s="19">
        <f>IF(AZ$223=0,0,AZ221/AZ$223)</f>
        <v>0</v>
      </c>
    </row>
    <row r="222" spans="1:53" ht="17.100000000000001" customHeight="1" x14ac:dyDescent="0.25">
      <c r="A222" s="40"/>
      <c r="B222" s="40"/>
      <c r="C222" s="40"/>
      <c r="D222" s="74" t="s">
        <v>1437</v>
      </c>
      <c r="E222" s="147" t="s">
        <v>1435</v>
      </c>
      <c r="F222" s="923"/>
      <c r="G222" s="923"/>
      <c r="H222" s="922"/>
      <c r="I222" s="235"/>
      <c r="J222" s="581"/>
      <c r="K222" s="581"/>
      <c r="L222" s="582"/>
      <c r="M222" s="17">
        <f t="shared" ref="M222" si="262">SUM(J222:L222)</f>
        <v>0</v>
      </c>
      <c r="N222" s="111"/>
      <c r="O222" s="111"/>
      <c r="P222" s="111"/>
      <c r="Q222" s="111"/>
      <c r="R222" s="111"/>
      <c r="S222" s="111"/>
      <c r="T222" s="111"/>
      <c r="U222" s="111"/>
      <c r="V222" s="358"/>
      <c r="W222" s="391">
        <f t="shared" ref="W222" si="263">J222+K222+N222+Q222+T222</f>
        <v>0</v>
      </c>
      <c r="X222" s="17">
        <f t="shared" ref="X222" si="264">L222+O222+R222+U222</f>
        <v>0</v>
      </c>
      <c r="Y222" s="18">
        <f>SUM(W222:X222)</f>
        <v>0</v>
      </c>
      <c r="Z222" s="19">
        <f>IF(Y$223=0,0,Y222/Y$223)</f>
        <v>0</v>
      </c>
      <c r="AA222" s="19"/>
      <c r="AB222" s="19"/>
      <c r="AC222" s="20"/>
      <c r="AE222" s="17"/>
      <c r="AF222" s="17"/>
      <c r="AG222" s="17"/>
      <c r="AH222" s="18">
        <f t="shared" ref="AH222" si="265">J222</f>
        <v>0</v>
      </c>
      <c r="AI222" s="19">
        <f>IF(AH$223=0,0,AH222/AH$223)</f>
        <v>0</v>
      </c>
      <c r="AK222" s="17"/>
      <c r="AL222" s="17"/>
      <c r="AM222" s="17"/>
      <c r="AN222" s="18">
        <f t="shared" ref="AN222" si="266">K222</f>
        <v>0</v>
      </c>
      <c r="AO222" s="19">
        <f>IF(AN$223=0,0,AN222/AN$223)</f>
        <v>0</v>
      </c>
      <c r="AQ222" s="17"/>
      <c r="AR222" s="17"/>
      <c r="AS222" s="17"/>
      <c r="AT222" s="18">
        <f t="shared" ref="AT222" si="267">W222</f>
        <v>0</v>
      </c>
      <c r="AU222" s="19">
        <f>IF(AT$223=0,0,AT222/AT$223)</f>
        <v>0</v>
      </c>
      <c r="AW222" s="17"/>
      <c r="AX222" s="17"/>
      <c r="AY222" s="17"/>
      <c r="AZ222" s="18">
        <f t="shared" ref="AZ222" si="268">X222</f>
        <v>0</v>
      </c>
      <c r="BA222" s="19">
        <f>IF(AZ$223=0,0,AZ222/AZ$223)</f>
        <v>0</v>
      </c>
    </row>
    <row r="223" spans="1:53" ht="17.100000000000001" customHeight="1" x14ac:dyDescent="0.25">
      <c r="A223" s="40"/>
      <c r="B223" s="40"/>
      <c r="C223" s="77"/>
      <c r="D223" s="144"/>
      <c r="E223" s="144"/>
      <c r="F223" s="145"/>
      <c r="G223" s="145"/>
      <c r="H223" s="119"/>
      <c r="I223" s="236"/>
      <c r="J223" s="80">
        <f>SUM(J220:J222)</f>
        <v>0</v>
      </c>
      <c r="K223" s="80">
        <f t="shared" ref="K223" si="269">SUM(K220:K222)</f>
        <v>0</v>
      </c>
      <c r="L223" s="80">
        <f t="shared" ref="L223" si="270">SUM(L220:L222)</f>
        <v>0</v>
      </c>
      <c r="M223" s="80">
        <f t="shared" ref="M223" si="271">SUM(M220:M221)</f>
        <v>0</v>
      </c>
      <c r="N223" s="81"/>
      <c r="O223" s="81"/>
      <c r="P223" s="81"/>
      <c r="Q223" s="81"/>
      <c r="R223" s="81"/>
      <c r="S223" s="81"/>
      <c r="T223" s="81"/>
      <c r="U223" s="81"/>
      <c r="V223" s="356"/>
      <c r="W223" s="381">
        <f>SUM(W220:W222)</f>
        <v>0</v>
      </c>
      <c r="X223" s="224">
        <f t="shared" ref="X223" si="272">SUM(X220:X222)</f>
        <v>0</v>
      </c>
      <c r="Y223" s="224">
        <f t="shared" ref="Y223" si="273">SUM(Y220:Y222)</f>
        <v>0</v>
      </c>
      <c r="Z223" s="205">
        <f>IF(Y$223=0,0,Y223/Y$223)</f>
        <v>0</v>
      </c>
      <c r="AA223" s="205"/>
      <c r="AB223" s="205"/>
      <c r="AC223" s="83"/>
      <c r="AE223" s="80"/>
      <c r="AF223" s="80"/>
      <c r="AG223" s="81"/>
      <c r="AH223" s="224">
        <f t="shared" ref="AH223" si="274">SUM(AH220:AH222)</f>
        <v>0</v>
      </c>
      <c r="AI223" s="66">
        <f>IF(AH$223=0,0,AH223/AH$223)</f>
        <v>0</v>
      </c>
      <c r="AK223" s="80"/>
      <c r="AL223" s="80"/>
      <c r="AM223" s="81"/>
      <c r="AN223" s="224">
        <f t="shared" ref="AN223" si="275">SUM(AN220:AN222)</f>
        <v>0</v>
      </c>
      <c r="AO223" s="66">
        <f>IF(AN$223=0,0,AN223/AN$223)</f>
        <v>0</v>
      </c>
      <c r="AQ223" s="80"/>
      <c r="AR223" s="80"/>
      <c r="AS223" s="81"/>
      <c r="AT223" s="224">
        <f t="shared" ref="AT223" si="276">SUM(AT220:AT222)</f>
        <v>0</v>
      </c>
      <c r="AU223" s="66">
        <f>IF(AT$223=0,0,AT223/AT$223)</f>
        <v>0</v>
      </c>
      <c r="AW223" s="80"/>
      <c r="AX223" s="80"/>
      <c r="AY223" s="81"/>
      <c r="AZ223" s="224">
        <f t="shared" ref="AZ223" si="277">SUM(AZ220:AZ222)</f>
        <v>0</v>
      </c>
      <c r="BA223" s="66">
        <f>IF(AZ$223=0,0,AZ223/AZ$223)</f>
        <v>0</v>
      </c>
    </row>
    <row r="224" spans="1:53" s="117" customFormat="1" ht="17.100000000000001" customHeight="1" x14ac:dyDescent="0.25">
      <c r="A224" s="68"/>
      <c r="B224" s="119"/>
      <c r="C224" s="540"/>
      <c r="D224" s="261"/>
      <c r="E224" s="261"/>
      <c r="F224" s="68"/>
      <c r="G224" s="68"/>
      <c r="H224" s="119"/>
      <c r="I224" s="236"/>
      <c r="J224" s="17" t="str">
        <f>IF(J223=J$15,"OK","NOK")</f>
        <v>OK</v>
      </c>
      <c r="K224" s="17" t="str">
        <f t="shared" ref="K224:L224" si="278">IF(K223=K$15,"OK","NOK")</f>
        <v>OK</v>
      </c>
      <c r="L224" s="17" t="str">
        <f t="shared" si="278"/>
        <v>OK</v>
      </c>
      <c r="M224" s="17"/>
      <c r="N224" s="17"/>
      <c r="O224" s="17"/>
      <c r="P224" s="17"/>
      <c r="Q224" s="17"/>
      <c r="R224" s="17"/>
      <c r="S224" s="17"/>
      <c r="T224" s="17"/>
      <c r="U224" s="17"/>
      <c r="V224" s="359"/>
      <c r="W224" s="382"/>
      <c r="X224" s="539"/>
      <c r="Y224" s="539"/>
      <c r="Z224" s="201"/>
      <c r="AA224" s="201"/>
      <c r="AB224" s="201"/>
      <c r="AC224" s="84"/>
      <c r="AE224" s="46"/>
      <c r="AF224" s="46"/>
      <c r="AG224" s="17"/>
      <c r="AH224" s="539"/>
      <c r="AI224" s="91"/>
      <c r="AK224" s="46"/>
      <c r="AL224" s="46"/>
      <c r="AM224" s="17"/>
      <c r="AN224" s="539"/>
      <c r="AO224" s="91"/>
      <c r="AQ224" s="46"/>
      <c r="AR224" s="46"/>
      <c r="AS224" s="17"/>
      <c r="AT224" s="539"/>
      <c r="AU224" s="91"/>
      <c r="AW224" s="46"/>
      <c r="AX224" s="46"/>
      <c r="AY224" s="17"/>
      <c r="AZ224" s="539"/>
      <c r="BA224" s="91"/>
    </row>
    <row r="225" spans="1:53" ht="17.100000000000001" customHeight="1" x14ac:dyDescent="0.25">
      <c r="A225" s="333"/>
      <c r="B225" s="137"/>
      <c r="C225" s="74" t="s">
        <v>642</v>
      </c>
      <c r="D225" s="147" t="s">
        <v>425</v>
      </c>
      <c r="E225" s="105"/>
      <c r="F225" s="105"/>
      <c r="G225" s="105"/>
      <c r="H225" s="243">
        <v>15</v>
      </c>
      <c r="I225" s="236"/>
      <c r="J225" s="111"/>
      <c r="K225" s="111"/>
      <c r="L225" s="111"/>
      <c r="M225" s="111"/>
      <c r="N225" s="111"/>
      <c r="O225" s="111"/>
      <c r="P225" s="111"/>
      <c r="Q225" s="111"/>
      <c r="R225" s="111"/>
      <c r="S225" s="111"/>
      <c r="T225" s="111"/>
      <c r="U225" s="111"/>
      <c r="V225" s="358"/>
      <c r="W225" s="380"/>
      <c r="X225" s="111"/>
      <c r="Y225" s="112"/>
      <c r="Z225" s="113"/>
      <c r="AA225" s="113"/>
      <c r="AB225" s="113"/>
      <c r="AC225" s="113"/>
      <c r="AE225" s="71"/>
      <c r="AF225" s="71"/>
      <c r="AG225" s="71"/>
      <c r="AH225" s="72"/>
      <c r="AI225" s="73"/>
      <c r="AK225" s="71"/>
      <c r="AL225" s="71"/>
      <c r="AM225" s="71"/>
      <c r="AN225" s="72"/>
      <c r="AO225" s="73"/>
      <c r="AQ225" s="71"/>
      <c r="AR225" s="71"/>
      <c r="AS225" s="71"/>
      <c r="AT225" s="72"/>
      <c r="AU225" s="73"/>
      <c r="AW225" s="71"/>
      <c r="AX225" s="71"/>
      <c r="AY225" s="71"/>
      <c r="AZ225" s="72"/>
      <c r="BA225" s="73"/>
    </row>
    <row r="226" spans="1:53" ht="17.100000000000001" customHeight="1" x14ac:dyDescent="0.25">
      <c r="A226" s="137"/>
      <c r="B226" s="137"/>
      <c r="C226" s="40"/>
      <c r="D226" s="74" t="s">
        <v>643</v>
      </c>
      <c r="E226" s="542" t="s">
        <v>11</v>
      </c>
      <c r="F226" s="75"/>
      <c r="G226" s="75"/>
      <c r="H226" s="540"/>
      <c r="I226" s="236"/>
      <c r="J226" s="111"/>
      <c r="K226" s="111"/>
      <c r="L226" s="111"/>
      <c r="M226" s="111"/>
      <c r="N226" s="60"/>
      <c r="O226" s="60"/>
      <c r="P226" s="60"/>
      <c r="Q226" s="111"/>
      <c r="R226" s="111"/>
      <c r="S226" s="111"/>
      <c r="T226" s="111"/>
      <c r="U226" s="111"/>
      <c r="V226" s="358"/>
      <c r="W226" s="391">
        <f t="shared" ref="W226:W227" si="279">J226+K226+N226+Q226+T226</f>
        <v>0</v>
      </c>
      <c r="X226" s="17">
        <f t="shared" ref="X226:X227" si="280">L226+O226+R226+U226</f>
        <v>0</v>
      </c>
      <c r="Y226" s="18">
        <f>SUM(W226:X226)</f>
        <v>0</v>
      </c>
      <c r="Z226" s="19">
        <f>IF(Y$228=0,0,Y226/Y$228)</f>
        <v>0</v>
      </c>
      <c r="AA226" s="19"/>
      <c r="AB226" s="19"/>
      <c r="AC226" s="20"/>
      <c r="AE226" s="17"/>
      <c r="AF226" s="17"/>
      <c r="AG226" s="17"/>
      <c r="AH226" s="18">
        <f>W226</f>
        <v>0</v>
      </c>
      <c r="AI226" s="19">
        <f>IF(AH$228=0,0,AH226/AH$228)</f>
        <v>0</v>
      </c>
      <c r="AK226" s="17"/>
      <c r="AL226" s="17"/>
      <c r="AM226" s="17"/>
      <c r="AN226" s="18" t="e">
        <f>#REF!</f>
        <v>#REF!</v>
      </c>
      <c r="AO226" s="19" t="e">
        <f>IF(AN$228=0,0,AN226/AN$228)</f>
        <v>#REF!</v>
      </c>
      <c r="AQ226" s="17"/>
      <c r="AR226" s="17"/>
      <c r="AS226" s="17"/>
      <c r="AT226" s="18"/>
      <c r="AU226" s="19"/>
      <c r="AW226" s="17"/>
      <c r="AX226" s="17"/>
      <c r="AY226" s="17"/>
      <c r="AZ226" s="18">
        <f>X226</f>
        <v>0</v>
      </c>
      <c r="BA226" s="19">
        <f>IF(AZ$228=0,0,AZ226/AZ$228)</f>
        <v>0</v>
      </c>
    </row>
    <row r="227" spans="1:53" ht="17.100000000000001" customHeight="1" x14ac:dyDescent="0.25">
      <c r="A227" s="137"/>
      <c r="B227" s="137"/>
      <c r="C227" s="40"/>
      <c r="D227" s="74" t="s">
        <v>644</v>
      </c>
      <c r="E227" s="542" t="s">
        <v>9</v>
      </c>
      <c r="F227" s="75"/>
      <c r="G227" s="75"/>
      <c r="H227" s="540"/>
      <c r="I227" s="229"/>
      <c r="J227" s="111"/>
      <c r="K227" s="111"/>
      <c r="L227" s="111"/>
      <c r="M227" s="111"/>
      <c r="N227" s="61"/>
      <c r="O227" s="61"/>
      <c r="P227" s="61"/>
      <c r="Q227" s="111"/>
      <c r="R227" s="111"/>
      <c r="S227" s="111"/>
      <c r="T227" s="111"/>
      <c r="U227" s="111"/>
      <c r="V227" s="358"/>
      <c r="W227" s="391">
        <f t="shared" si="279"/>
        <v>0</v>
      </c>
      <c r="X227" s="17">
        <f t="shared" si="280"/>
        <v>0</v>
      </c>
      <c r="Y227" s="18">
        <f>SUM(W227:X227)</f>
        <v>0</v>
      </c>
      <c r="Z227" s="19">
        <f>IF(Y$228=0,0,Y227/Y$228)</f>
        <v>0</v>
      </c>
      <c r="AA227" s="19"/>
      <c r="AB227" s="19"/>
      <c r="AC227" s="20"/>
      <c r="AE227" s="17"/>
      <c r="AF227" s="17"/>
      <c r="AG227" s="17"/>
      <c r="AH227" s="18">
        <f>W227</f>
        <v>0</v>
      </c>
      <c r="AI227" s="19">
        <f>IF(AH$228=0,0,AH227/AH$228)</f>
        <v>0</v>
      </c>
      <c r="AK227" s="17"/>
      <c r="AL227" s="17"/>
      <c r="AM227" s="17"/>
      <c r="AN227" s="18" t="e">
        <f>#REF!</f>
        <v>#REF!</v>
      </c>
      <c r="AO227" s="19" t="e">
        <f>IF(AN$228=0,0,AN227/AN$228)</f>
        <v>#REF!</v>
      </c>
      <c r="AQ227" s="17"/>
      <c r="AR227" s="17"/>
      <c r="AS227" s="17"/>
      <c r="AT227" s="18"/>
      <c r="AU227" s="19"/>
      <c r="AW227" s="17"/>
      <c r="AX227" s="17"/>
      <c r="AY227" s="17"/>
      <c r="AZ227" s="18">
        <f>X227</f>
        <v>0</v>
      </c>
      <c r="BA227" s="19">
        <f>IF(AZ$228=0,0,AZ227/AZ$228)</f>
        <v>0</v>
      </c>
    </row>
    <row r="228" spans="1:53" ht="17.100000000000001" customHeight="1" x14ac:dyDescent="0.25">
      <c r="A228" s="137"/>
      <c r="B228" s="137"/>
      <c r="C228" s="77"/>
      <c r="D228" s="144"/>
      <c r="E228" s="144"/>
      <c r="F228" s="145"/>
      <c r="G228" s="145"/>
      <c r="H228" s="119"/>
      <c r="I228" s="236"/>
      <c r="J228" s="64"/>
      <c r="K228" s="80"/>
      <c r="L228" s="81"/>
      <c r="M228" s="81"/>
      <c r="N228" s="81"/>
      <c r="O228" s="81"/>
      <c r="P228" s="81"/>
      <c r="Q228" s="81"/>
      <c r="R228" s="81"/>
      <c r="S228" s="81"/>
      <c r="T228" s="81"/>
      <c r="U228" s="81"/>
      <c r="V228" s="356"/>
      <c r="W228" s="381">
        <f>SUM(W226:W227)</f>
        <v>0</v>
      </c>
      <c r="X228" s="82">
        <f t="shared" ref="X228:Y228" si="281">SUM(X226:X227)</f>
        <v>0</v>
      </c>
      <c r="Y228" s="82">
        <f t="shared" si="281"/>
        <v>0</v>
      </c>
      <c r="Z228" s="205">
        <f>IF(Y$228=0,0,Y228/Y$228)</f>
        <v>0</v>
      </c>
      <c r="AA228" s="205"/>
      <c r="AB228" s="205"/>
      <c r="AC228" s="83"/>
      <c r="AE228" s="80"/>
      <c r="AF228" s="80"/>
      <c r="AG228" s="81"/>
      <c r="AH228" s="82">
        <f>SUM(AH226:AH227)</f>
        <v>0</v>
      </c>
      <c r="AI228" s="66">
        <f>IF(AH$228=0,0,AH228/AH$228)</f>
        <v>0</v>
      </c>
      <c r="AK228" s="80"/>
      <c r="AL228" s="80"/>
      <c r="AM228" s="81"/>
      <c r="AN228" s="82" t="e">
        <f>SUM(AN226:AN227)</f>
        <v>#REF!</v>
      </c>
      <c r="AO228" s="66" t="e">
        <f>IF(AN$228=0,0,AN228/AN$228)</f>
        <v>#REF!</v>
      </c>
      <c r="AQ228" s="80"/>
      <c r="AR228" s="80"/>
      <c r="AS228" s="81"/>
      <c r="AT228" s="82"/>
      <c r="AU228" s="66"/>
      <c r="AW228" s="80"/>
      <c r="AX228" s="80"/>
      <c r="AY228" s="81"/>
      <c r="AZ228" s="82">
        <f>SUM(AZ226:AZ227)</f>
        <v>0</v>
      </c>
      <c r="BA228" s="66">
        <f>IF(AZ$228=0,0,AZ228/AZ$228)</f>
        <v>0</v>
      </c>
    </row>
    <row r="229" spans="1:53" s="117" customFormat="1" ht="17.100000000000001" customHeight="1" x14ac:dyDescent="0.25">
      <c r="A229" s="68"/>
      <c r="B229" s="119"/>
      <c r="C229" s="540"/>
      <c r="D229" s="261"/>
      <c r="E229" s="261"/>
      <c r="F229" s="68"/>
      <c r="G229" s="68"/>
      <c r="H229" s="119"/>
      <c r="I229" s="138"/>
      <c r="J229" s="17" t="str">
        <f>IF(J228=J$15,"OK","NOK")</f>
        <v>OK</v>
      </c>
      <c r="K229" s="17" t="str">
        <f t="shared" ref="K229:L229" si="282">IF(K228=K$15,"OK","NOK")</f>
        <v>OK</v>
      </c>
      <c r="L229" s="17" t="str">
        <f t="shared" si="282"/>
        <v>OK</v>
      </c>
      <c r="M229" s="17"/>
      <c r="N229" s="17"/>
      <c r="O229" s="17"/>
      <c r="P229" s="17"/>
      <c r="Q229" s="17"/>
      <c r="R229" s="17"/>
      <c r="S229" s="17"/>
      <c r="T229" s="17"/>
      <c r="U229" s="17"/>
      <c r="V229" s="359"/>
      <c r="W229" s="382"/>
      <c r="X229" s="539"/>
      <c r="Y229" s="539"/>
      <c r="Z229" s="201"/>
      <c r="AA229" s="201"/>
      <c r="AB229" s="201"/>
      <c r="AC229" s="84"/>
      <c r="AE229" s="46"/>
      <c r="AF229" s="46"/>
      <c r="AG229" s="17"/>
      <c r="AH229" s="539"/>
      <c r="AI229" s="91"/>
      <c r="AK229" s="46"/>
      <c r="AL229" s="46"/>
      <c r="AM229" s="17"/>
      <c r="AN229" s="539"/>
      <c r="AO229" s="91"/>
      <c r="AQ229" s="46"/>
      <c r="AR229" s="46"/>
      <c r="AS229" s="17"/>
      <c r="AT229" s="539"/>
      <c r="AU229" s="91"/>
      <c r="AW229" s="46"/>
      <c r="AX229" s="46"/>
      <c r="AY229" s="17"/>
      <c r="AZ229" s="539"/>
      <c r="BA229" s="91"/>
    </row>
    <row r="230" spans="1:53" ht="17.100000000000001" customHeight="1" x14ac:dyDescent="0.25">
      <c r="A230" s="68"/>
      <c r="B230" s="40"/>
      <c r="C230" s="74" t="s">
        <v>645</v>
      </c>
      <c r="D230" s="147" t="s">
        <v>524</v>
      </c>
      <c r="E230" s="105"/>
      <c r="F230" s="105"/>
      <c r="G230" s="105"/>
      <c r="H230" s="243">
        <v>136</v>
      </c>
      <c r="J230" s="111"/>
      <c r="K230" s="111"/>
      <c r="L230" s="111"/>
      <c r="M230" s="111"/>
      <c r="N230" s="111"/>
      <c r="O230" s="111"/>
      <c r="P230" s="111"/>
      <c r="Q230" s="111"/>
      <c r="R230" s="111"/>
      <c r="S230" s="111"/>
      <c r="T230" s="111"/>
      <c r="U230" s="111"/>
      <c r="V230" s="358"/>
      <c r="W230" s="380"/>
      <c r="X230" s="111"/>
      <c r="Y230" s="112"/>
      <c r="Z230" s="113"/>
      <c r="AA230" s="113"/>
      <c r="AB230" s="113"/>
      <c r="AC230" s="113"/>
      <c r="AE230" s="71"/>
      <c r="AF230" s="71"/>
      <c r="AG230" s="71"/>
      <c r="AH230" s="72"/>
      <c r="AI230" s="73"/>
      <c r="AK230" s="71"/>
      <c r="AL230" s="71"/>
      <c r="AM230" s="71"/>
      <c r="AN230" s="72"/>
      <c r="AO230" s="73"/>
      <c r="AQ230" s="71"/>
      <c r="AR230" s="71"/>
      <c r="AS230" s="71"/>
      <c r="AT230" s="72"/>
      <c r="AU230" s="73"/>
      <c r="AW230" s="71"/>
      <c r="AX230" s="71"/>
      <c r="AY230" s="71"/>
      <c r="AZ230" s="72"/>
      <c r="BA230" s="73"/>
    </row>
    <row r="231" spans="1:53" ht="17.100000000000001" customHeight="1" x14ac:dyDescent="0.25">
      <c r="A231" s="40"/>
      <c r="B231" s="40"/>
      <c r="C231" s="137"/>
      <c r="D231" s="74" t="s">
        <v>646</v>
      </c>
      <c r="E231" s="542" t="s">
        <v>523</v>
      </c>
      <c r="F231" s="75"/>
      <c r="G231" s="75"/>
      <c r="H231" s="540"/>
      <c r="I231" s="229"/>
      <c r="J231" s="581"/>
      <c r="K231" s="581"/>
      <c r="L231" s="582"/>
      <c r="M231" s="17">
        <f t="shared" ref="M231:M235" si="283">SUM(J231:L231)</f>
        <v>0</v>
      </c>
      <c r="N231" s="111"/>
      <c r="O231" s="111"/>
      <c r="P231" s="111"/>
      <c r="Q231" s="111"/>
      <c r="R231" s="111"/>
      <c r="S231" s="111"/>
      <c r="T231" s="111"/>
      <c r="U231" s="111"/>
      <c r="V231" s="358"/>
      <c r="W231" s="391">
        <f t="shared" ref="W231:W235" si="284">J231+K231+N231+Q231+T231</f>
        <v>0</v>
      </c>
      <c r="X231" s="17">
        <f t="shared" ref="X231:X235" si="285">L231+O231+R231+U231</f>
        <v>0</v>
      </c>
      <c r="Y231" s="18">
        <f>SUM(W231:X231)</f>
        <v>0</v>
      </c>
      <c r="Z231" s="19">
        <f>IF(Y$236=0,0,Y231/Y$236)</f>
        <v>0</v>
      </c>
      <c r="AA231" s="19"/>
      <c r="AB231" s="19"/>
      <c r="AC231" s="84"/>
      <c r="AE231" s="17"/>
      <c r="AF231" s="17"/>
      <c r="AG231" s="17"/>
      <c r="AH231" s="18">
        <f t="shared" ref="AH231:AH235" si="286">J231</f>
        <v>0</v>
      </c>
      <c r="AI231" s="19">
        <f>IF(AH$236=0,0,AH231/AH$236)</f>
        <v>0</v>
      </c>
      <c r="AK231" s="17"/>
      <c r="AL231" s="17"/>
      <c r="AM231" s="17"/>
      <c r="AN231" s="18">
        <f t="shared" ref="AN231:AN235" si="287">K231</f>
        <v>0</v>
      </c>
      <c r="AO231" s="19">
        <f>IF(AN$236=0,0,AN231/AN$236)</f>
        <v>0</v>
      </c>
      <c r="AQ231" s="17"/>
      <c r="AR231" s="17"/>
      <c r="AS231" s="17"/>
      <c r="AT231" s="18">
        <f t="shared" ref="AT231:AT235" si="288">W231</f>
        <v>0</v>
      </c>
      <c r="AU231" s="19">
        <f>IF(AT$236=0,0,AT231/AT$236)</f>
        <v>0</v>
      </c>
      <c r="AW231" s="17"/>
      <c r="AX231" s="17"/>
      <c r="AY231" s="17"/>
      <c r="AZ231" s="18">
        <f t="shared" ref="AZ231:AZ235" si="289">X231</f>
        <v>0</v>
      </c>
      <c r="BA231" s="19">
        <f>IF(AZ$236=0,0,AZ231/AZ$236)</f>
        <v>0</v>
      </c>
    </row>
    <row r="232" spans="1:53" ht="17.100000000000001" customHeight="1" x14ac:dyDescent="0.25">
      <c r="A232" s="40"/>
      <c r="B232" s="248"/>
      <c r="C232" s="251"/>
      <c r="D232" s="74" t="s">
        <v>647</v>
      </c>
      <c r="E232" s="542" t="s">
        <v>525</v>
      </c>
      <c r="F232" s="75"/>
      <c r="G232" s="75"/>
      <c r="H232" s="540"/>
      <c r="I232" s="229"/>
      <c r="J232" s="583"/>
      <c r="K232" s="583"/>
      <c r="L232" s="584"/>
      <c r="M232" s="17">
        <f t="shared" si="283"/>
        <v>0</v>
      </c>
      <c r="N232" s="111"/>
      <c r="O232" s="111"/>
      <c r="P232" s="111"/>
      <c r="Q232" s="111"/>
      <c r="R232" s="111"/>
      <c r="S232" s="111"/>
      <c r="T232" s="111"/>
      <c r="U232" s="111"/>
      <c r="V232" s="358"/>
      <c r="W232" s="391">
        <f t="shared" si="284"/>
        <v>0</v>
      </c>
      <c r="X232" s="17">
        <f t="shared" si="285"/>
        <v>0</v>
      </c>
      <c r="Y232" s="18">
        <f>SUM(W232:X232)</f>
        <v>0</v>
      </c>
      <c r="Z232" s="19">
        <f t="shared" ref="Z232:Z236" si="290">IF(Y$236=0,0,Y232/Y$236)</f>
        <v>0</v>
      </c>
      <c r="AA232" s="19"/>
      <c r="AB232" s="19"/>
      <c r="AC232" s="84"/>
      <c r="AE232" s="17"/>
      <c r="AF232" s="17"/>
      <c r="AG232" s="17"/>
      <c r="AH232" s="18">
        <f t="shared" si="286"/>
        <v>0</v>
      </c>
      <c r="AI232" s="19">
        <f t="shared" ref="AI232:AI236" si="291">IF(AH$236=0,0,AH232/AH$236)</f>
        <v>0</v>
      </c>
      <c r="AK232" s="17"/>
      <c r="AL232" s="17"/>
      <c r="AM232" s="17"/>
      <c r="AN232" s="18">
        <f t="shared" si="287"/>
        <v>0</v>
      </c>
      <c r="AO232" s="19">
        <f t="shared" ref="AO232:AO236" si="292">IF(AN$236=0,0,AN232/AN$236)</f>
        <v>0</v>
      </c>
      <c r="AQ232" s="17"/>
      <c r="AR232" s="17"/>
      <c r="AS232" s="17"/>
      <c r="AT232" s="18">
        <f t="shared" si="288"/>
        <v>0</v>
      </c>
      <c r="AU232" s="19">
        <f t="shared" ref="AU232:AU236" si="293">IF(AT$236=0,0,AT232/AT$236)</f>
        <v>0</v>
      </c>
      <c r="AW232" s="17"/>
      <c r="AX232" s="17"/>
      <c r="AY232" s="17"/>
      <c r="AZ232" s="18">
        <f t="shared" si="289"/>
        <v>0</v>
      </c>
      <c r="BA232" s="19">
        <f t="shared" ref="BA232:BA236" si="294">IF(AZ$236=0,0,AZ232/AZ$236)</f>
        <v>0</v>
      </c>
    </row>
    <row r="233" spans="1:53" ht="17.100000000000001" customHeight="1" x14ac:dyDescent="0.25">
      <c r="A233" s="175"/>
      <c r="B233" s="248"/>
      <c r="C233" s="222"/>
      <c r="D233" s="74" t="s">
        <v>648</v>
      </c>
      <c r="E233" s="542" t="s">
        <v>526</v>
      </c>
      <c r="F233" s="151"/>
      <c r="G233" s="151"/>
      <c r="H233" s="119"/>
      <c r="I233" s="138"/>
      <c r="J233" s="581"/>
      <c r="K233" s="581"/>
      <c r="L233" s="582"/>
      <c r="M233" s="17">
        <f t="shared" si="283"/>
        <v>0</v>
      </c>
      <c r="N233" s="111"/>
      <c r="O233" s="111"/>
      <c r="P233" s="111"/>
      <c r="Q233" s="111"/>
      <c r="R233" s="111"/>
      <c r="S233" s="111"/>
      <c r="T233" s="111"/>
      <c r="U233" s="111"/>
      <c r="V233" s="358"/>
      <c r="W233" s="391">
        <f t="shared" si="284"/>
        <v>0</v>
      </c>
      <c r="X233" s="17">
        <f t="shared" si="285"/>
        <v>0</v>
      </c>
      <c r="Y233" s="18">
        <f>SUM(W233:X233)</f>
        <v>0</v>
      </c>
      <c r="Z233" s="19">
        <f t="shared" si="290"/>
        <v>0</v>
      </c>
      <c r="AA233" s="19"/>
      <c r="AB233" s="19"/>
      <c r="AC233" s="84"/>
      <c r="AE233" s="17"/>
      <c r="AF233" s="17"/>
      <c r="AG233" s="17"/>
      <c r="AH233" s="18">
        <f t="shared" si="286"/>
        <v>0</v>
      </c>
      <c r="AI233" s="19">
        <f t="shared" si="291"/>
        <v>0</v>
      </c>
      <c r="AK233" s="17"/>
      <c r="AL233" s="17"/>
      <c r="AM233" s="17"/>
      <c r="AN233" s="18">
        <f t="shared" si="287"/>
        <v>0</v>
      </c>
      <c r="AO233" s="19">
        <f t="shared" si="292"/>
        <v>0</v>
      </c>
      <c r="AQ233" s="17"/>
      <c r="AR233" s="17"/>
      <c r="AS233" s="17"/>
      <c r="AT233" s="18">
        <f t="shared" si="288"/>
        <v>0</v>
      </c>
      <c r="AU233" s="19">
        <f t="shared" si="293"/>
        <v>0</v>
      </c>
      <c r="AW233" s="17"/>
      <c r="AX233" s="17"/>
      <c r="AY233" s="17"/>
      <c r="AZ233" s="18">
        <f t="shared" si="289"/>
        <v>0</v>
      </c>
      <c r="BA233" s="19">
        <f t="shared" si="294"/>
        <v>0</v>
      </c>
    </row>
    <row r="234" spans="1:53" ht="17.100000000000001" customHeight="1" x14ac:dyDescent="0.25">
      <c r="A234" s="68"/>
      <c r="B234" s="249"/>
      <c r="C234" s="157"/>
      <c r="D234" s="74" t="s">
        <v>649</v>
      </c>
      <c r="E234" s="542" t="s">
        <v>527</v>
      </c>
      <c r="F234" s="105"/>
      <c r="G234" s="105"/>
      <c r="H234" s="119"/>
      <c r="J234" s="583"/>
      <c r="K234" s="583"/>
      <c r="L234" s="584"/>
      <c r="M234" s="17">
        <f t="shared" si="283"/>
        <v>0</v>
      </c>
      <c r="N234" s="111"/>
      <c r="O234" s="111"/>
      <c r="P234" s="111"/>
      <c r="Q234" s="111"/>
      <c r="R234" s="111"/>
      <c r="S234" s="111"/>
      <c r="T234" s="111"/>
      <c r="U234" s="111"/>
      <c r="V234" s="358"/>
      <c r="W234" s="391">
        <f t="shared" si="284"/>
        <v>0</v>
      </c>
      <c r="X234" s="17">
        <f t="shared" si="285"/>
        <v>0</v>
      </c>
      <c r="Y234" s="18">
        <f>SUM(W234:X234)</f>
        <v>0</v>
      </c>
      <c r="Z234" s="19">
        <f t="shared" si="290"/>
        <v>0</v>
      </c>
      <c r="AA234" s="19"/>
      <c r="AB234" s="19"/>
      <c r="AC234" s="84"/>
      <c r="AE234" s="17"/>
      <c r="AF234" s="17"/>
      <c r="AG234" s="17"/>
      <c r="AH234" s="18">
        <f t="shared" si="286"/>
        <v>0</v>
      </c>
      <c r="AI234" s="19">
        <f t="shared" si="291"/>
        <v>0</v>
      </c>
      <c r="AK234" s="17"/>
      <c r="AL234" s="17"/>
      <c r="AM234" s="17"/>
      <c r="AN234" s="18">
        <f t="shared" si="287"/>
        <v>0</v>
      </c>
      <c r="AO234" s="19">
        <f t="shared" si="292"/>
        <v>0</v>
      </c>
      <c r="AQ234" s="17"/>
      <c r="AR234" s="17"/>
      <c r="AS234" s="17"/>
      <c r="AT234" s="18">
        <f t="shared" si="288"/>
        <v>0</v>
      </c>
      <c r="AU234" s="19">
        <f t="shared" si="293"/>
        <v>0</v>
      </c>
      <c r="AW234" s="17"/>
      <c r="AX234" s="17"/>
      <c r="AY234" s="17"/>
      <c r="AZ234" s="18">
        <f t="shared" si="289"/>
        <v>0</v>
      </c>
      <c r="BA234" s="19">
        <f t="shared" si="294"/>
        <v>0</v>
      </c>
    </row>
    <row r="235" spans="1:53" ht="17.100000000000001" customHeight="1" x14ac:dyDescent="0.25">
      <c r="A235" s="40"/>
      <c r="B235" s="248"/>
      <c r="C235" s="250"/>
      <c r="D235" s="74" t="s">
        <v>650</v>
      </c>
      <c r="E235" s="542" t="s">
        <v>528</v>
      </c>
      <c r="F235" s="75"/>
      <c r="G235" s="75"/>
      <c r="H235" s="540"/>
      <c r="I235" s="229"/>
      <c r="J235" s="581"/>
      <c r="K235" s="581"/>
      <c r="L235" s="582"/>
      <c r="M235" s="17">
        <f t="shared" si="283"/>
        <v>0</v>
      </c>
      <c r="N235" s="111"/>
      <c r="O235" s="111"/>
      <c r="P235" s="111"/>
      <c r="Q235" s="111"/>
      <c r="R235" s="111"/>
      <c r="S235" s="111"/>
      <c r="T235" s="111"/>
      <c r="U235" s="111"/>
      <c r="V235" s="358"/>
      <c r="W235" s="391">
        <f t="shared" si="284"/>
        <v>0</v>
      </c>
      <c r="X235" s="17">
        <f t="shared" si="285"/>
        <v>0</v>
      </c>
      <c r="Y235" s="18">
        <f>SUM(W235:X235)</f>
        <v>0</v>
      </c>
      <c r="Z235" s="19">
        <f t="shared" si="290"/>
        <v>0</v>
      </c>
      <c r="AA235" s="19"/>
      <c r="AB235" s="19"/>
      <c r="AC235" s="84"/>
      <c r="AE235" s="17"/>
      <c r="AF235" s="17"/>
      <c r="AG235" s="17"/>
      <c r="AH235" s="18">
        <f t="shared" si="286"/>
        <v>0</v>
      </c>
      <c r="AI235" s="19">
        <f t="shared" si="291"/>
        <v>0</v>
      </c>
      <c r="AK235" s="17"/>
      <c r="AL235" s="17"/>
      <c r="AM235" s="17"/>
      <c r="AN235" s="18">
        <f t="shared" si="287"/>
        <v>0</v>
      </c>
      <c r="AO235" s="19">
        <f t="shared" si="292"/>
        <v>0</v>
      </c>
      <c r="AQ235" s="17"/>
      <c r="AR235" s="17"/>
      <c r="AS235" s="17"/>
      <c r="AT235" s="18">
        <f t="shared" si="288"/>
        <v>0</v>
      </c>
      <c r="AU235" s="19">
        <f t="shared" si="293"/>
        <v>0</v>
      </c>
      <c r="AW235" s="17"/>
      <c r="AX235" s="17"/>
      <c r="AY235" s="17"/>
      <c r="AZ235" s="18">
        <f t="shared" si="289"/>
        <v>0</v>
      </c>
      <c r="BA235" s="19">
        <f t="shared" si="294"/>
        <v>0</v>
      </c>
    </row>
    <row r="236" spans="1:53" ht="17.100000000000001" customHeight="1" x14ac:dyDescent="0.25">
      <c r="A236" s="40"/>
      <c r="B236" s="40"/>
      <c r="C236" s="77"/>
      <c r="D236" s="144"/>
      <c r="E236" s="144"/>
      <c r="F236" s="145"/>
      <c r="G236" s="145"/>
      <c r="H236" s="119"/>
      <c r="I236" s="236"/>
      <c r="J236" s="64">
        <f>SUM(J231:J235)</f>
        <v>0</v>
      </c>
      <c r="K236" s="64">
        <f t="shared" ref="K236:M236" si="295">SUM(K231:K235)</f>
        <v>0</v>
      </c>
      <c r="L236" s="64">
        <f t="shared" si="295"/>
        <v>0</v>
      </c>
      <c r="M236" s="64">
        <f t="shared" si="295"/>
        <v>0</v>
      </c>
      <c r="N236" s="81"/>
      <c r="O236" s="81"/>
      <c r="P236" s="81"/>
      <c r="Q236" s="81"/>
      <c r="R236" s="81"/>
      <c r="S236" s="81"/>
      <c r="T236" s="81"/>
      <c r="U236" s="81"/>
      <c r="V236" s="356"/>
      <c r="W236" s="381">
        <f>SUM(W231:W235)</f>
        <v>0</v>
      </c>
      <c r="X236" s="82">
        <f t="shared" ref="X236:Y236" si="296">SUM(X231:X235)</f>
        <v>0</v>
      </c>
      <c r="Y236" s="82">
        <f t="shared" si="296"/>
        <v>0</v>
      </c>
      <c r="Z236" s="205">
        <f t="shared" si="290"/>
        <v>0</v>
      </c>
      <c r="AA236" s="205"/>
      <c r="AB236" s="205"/>
      <c r="AC236" s="83"/>
      <c r="AE236" s="80"/>
      <c r="AF236" s="80"/>
      <c r="AG236" s="81"/>
      <c r="AH236" s="82">
        <f>SUM(AH231:AH235)</f>
        <v>0</v>
      </c>
      <c r="AI236" s="66">
        <f t="shared" si="291"/>
        <v>0</v>
      </c>
      <c r="AK236" s="80"/>
      <c r="AL236" s="80"/>
      <c r="AM236" s="81"/>
      <c r="AN236" s="82">
        <f>SUM(AN231:AN235)</f>
        <v>0</v>
      </c>
      <c r="AO236" s="66">
        <f t="shared" si="292"/>
        <v>0</v>
      </c>
      <c r="AQ236" s="80"/>
      <c r="AR236" s="80"/>
      <c r="AS236" s="81"/>
      <c r="AT236" s="82">
        <f>SUM(AT231:AT235)</f>
        <v>0</v>
      </c>
      <c r="AU236" s="66">
        <f t="shared" si="293"/>
        <v>0</v>
      </c>
      <c r="AW236" s="80"/>
      <c r="AX236" s="80"/>
      <c r="AY236" s="81"/>
      <c r="AZ236" s="82">
        <f>SUM(AZ231:AZ235)</f>
        <v>0</v>
      </c>
      <c r="BA236" s="66">
        <f t="shared" si="294"/>
        <v>0</v>
      </c>
    </row>
    <row r="237" spans="1:53" s="117" customFormat="1" ht="17.100000000000001" customHeight="1" x14ac:dyDescent="0.25">
      <c r="A237" s="68"/>
      <c r="B237" s="119"/>
      <c r="C237" s="540"/>
      <c r="D237" s="261"/>
      <c r="E237" s="261"/>
      <c r="F237" s="68"/>
      <c r="G237" s="68"/>
      <c r="H237" s="119"/>
      <c r="I237" s="138"/>
      <c r="J237" s="17" t="str">
        <f>IF(J236=J$15,"OK","NOK")</f>
        <v>OK</v>
      </c>
      <c r="K237" s="17" t="str">
        <f t="shared" ref="K237:L237" si="297">IF(K236=K$15,"OK","NOK")</f>
        <v>OK</v>
      </c>
      <c r="L237" s="17" t="str">
        <f t="shared" si="297"/>
        <v>OK</v>
      </c>
      <c r="M237" s="17"/>
      <c r="N237" s="17"/>
      <c r="O237" s="17"/>
      <c r="P237" s="17"/>
      <c r="Q237" s="17"/>
      <c r="R237" s="17"/>
      <c r="S237" s="17"/>
      <c r="T237" s="17"/>
      <c r="U237" s="17"/>
      <c r="V237" s="359"/>
      <c r="W237" s="382"/>
      <c r="X237" s="539"/>
      <c r="Y237" s="539"/>
      <c r="Z237" s="201"/>
      <c r="AA237" s="201"/>
      <c r="AB237" s="201"/>
      <c r="AC237" s="84"/>
      <c r="AE237" s="46"/>
      <c r="AF237" s="46"/>
      <c r="AG237" s="17"/>
      <c r="AH237" s="539"/>
      <c r="AI237" s="91"/>
      <c r="AK237" s="46"/>
      <c r="AL237" s="46"/>
      <c r="AM237" s="17"/>
      <c r="AN237" s="539"/>
      <c r="AO237" s="91"/>
      <c r="AQ237" s="46"/>
      <c r="AR237" s="46"/>
      <c r="AS237" s="17"/>
      <c r="AT237" s="539"/>
      <c r="AU237" s="91"/>
      <c r="AW237" s="46"/>
      <c r="AX237" s="46"/>
      <c r="AY237" s="17"/>
      <c r="AZ237" s="539"/>
      <c r="BA237" s="91"/>
    </row>
    <row r="238" spans="1:53" ht="17.100000000000001" customHeight="1" x14ac:dyDescent="0.25">
      <c r="A238" s="68"/>
      <c r="B238" s="40"/>
      <c r="C238" s="74" t="s">
        <v>651</v>
      </c>
      <c r="D238" s="147" t="s">
        <v>529</v>
      </c>
      <c r="E238" s="105"/>
      <c r="F238" s="105"/>
      <c r="G238" s="105"/>
      <c r="H238" s="243">
        <v>145</v>
      </c>
      <c r="J238" s="111"/>
      <c r="K238" s="111"/>
      <c r="L238" s="111"/>
      <c r="M238" s="111"/>
      <c r="N238" s="111"/>
      <c r="O238" s="111"/>
      <c r="P238" s="111"/>
      <c r="Q238" s="111"/>
      <c r="R238" s="111"/>
      <c r="S238" s="111"/>
      <c r="T238" s="111"/>
      <c r="U238" s="111"/>
      <c r="V238" s="358"/>
      <c r="W238" s="380"/>
      <c r="X238" s="111"/>
      <c r="Y238" s="112"/>
      <c r="Z238" s="113"/>
      <c r="AA238" s="113"/>
      <c r="AB238" s="113"/>
      <c r="AC238" s="113"/>
      <c r="AE238" s="71"/>
      <c r="AF238" s="71"/>
      <c r="AG238" s="71"/>
      <c r="AH238" s="72"/>
      <c r="AI238" s="73"/>
      <c r="AK238" s="71"/>
      <c r="AL238" s="71"/>
      <c r="AM238" s="71"/>
      <c r="AN238" s="72"/>
      <c r="AO238" s="73"/>
      <c r="AQ238" s="71"/>
      <c r="AR238" s="71"/>
      <c r="AS238" s="71"/>
      <c r="AT238" s="72"/>
      <c r="AU238" s="73"/>
      <c r="AW238" s="71"/>
      <c r="AX238" s="71"/>
      <c r="AY238" s="71"/>
      <c r="AZ238" s="72"/>
      <c r="BA238" s="73"/>
    </row>
    <row r="239" spans="1:53" ht="17.100000000000001" customHeight="1" x14ac:dyDescent="0.25">
      <c r="A239" s="40"/>
      <c r="B239" s="40"/>
      <c r="C239" s="137"/>
      <c r="D239" s="74" t="s">
        <v>652</v>
      </c>
      <c r="E239" s="542" t="s">
        <v>523</v>
      </c>
      <c r="F239" s="75"/>
      <c r="G239" s="75"/>
      <c r="H239" s="540"/>
      <c r="I239" s="229"/>
      <c r="J239" s="581"/>
      <c r="K239" s="581"/>
      <c r="L239" s="582"/>
      <c r="M239" s="17">
        <f t="shared" ref="M239:M243" si="298">SUM(J239:L239)</f>
        <v>0</v>
      </c>
      <c r="N239" s="111"/>
      <c r="O239" s="111"/>
      <c r="P239" s="111"/>
      <c r="Q239" s="111"/>
      <c r="R239" s="111"/>
      <c r="S239" s="111"/>
      <c r="T239" s="111"/>
      <c r="U239" s="111"/>
      <c r="V239" s="358"/>
      <c r="W239" s="391">
        <f t="shared" ref="W239:W243" si="299">J239+K239+N239+Q239+T239</f>
        <v>0</v>
      </c>
      <c r="X239" s="17">
        <f t="shared" ref="X239:X243" si="300">L239+O239+R239+U239</f>
        <v>0</v>
      </c>
      <c r="Y239" s="18">
        <f>SUM(W239:X239)</f>
        <v>0</v>
      </c>
      <c r="Z239" s="19">
        <f>IF(Y$244=0,0,Y239/Y$244)</f>
        <v>0</v>
      </c>
      <c r="AA239" s="19"/>
      <c r="AB239" s="19"/>
      <c r="AC239" s="84"/>
      <c r="AE239" s="17"/>
      <c r="AF239" s="17"/>
      <c r="AG239" s="17"/>
      <c r="AH239" s="18">
        <f t="shared" ref="AH239:AH243" si="301">J239</f>
        <v>0</v>
      </c>
      <c r="AI239" s="19">
        <f>IF(AH$244=0,0,AH239/AH$244)</f>
        <v>0</v>
      </c>
      <c r="AK239" s="17"/>
      <c r="AL239" s="17"/>
      <c r="AM239" s="17"/>
      <c r="AN239" s="18">
        <f t="shared" ref="AN239:AN243" si="302">K239</f>
        <v>0</v>
      </c>
      <c r="AO239" s="19">
        <f>IF(AN$244=0,0,AN239/AN$244)</f>
        <v>0</v>
      </c>
      <c r="AQ239" s="17"/>
      <c r="AR239" s="17"/>
      <c r="AS239" s="17"/>
      <c r="AT239" s="18">
        <f t="shared" ref="AT239:AT243" si="303">W239</f>
        <v>0</v>
      </c>
      <c r="AU239" s="19">
        <f>IF(AT$244=0,0,AT239/AT$244)</f>
        <v>0</v>
      </c>
      <c r="AW239" s="17"/>
      <c r="AX239" s="17"/>
      <c r="AY239" s="17"/>
      <c r="AZ239" s="18">
        <f t="shared" ref="AZ239:AZ243" si="304">X239</f>
        <v>0</v>
      </c>
      <c r="BA239" s="19">
        <f>IF(AZ$244=0,0,AZ239/AZ$244)</f>
        <v>0</v>
      </c>
    </row>
    <row r="240" spans="1:53" ht="17.100000000000001" customHeight="1" x14ac:dyDescent="0.25">
      <c r="A240" s="40"/>
      <c r="B240" s="248"/>
      <c r="C240" s="251"/>
      <c r="D240" s="74" t="s">
        <v>653</v>
      </c>
      <c r="E240" s="542" t="s">
        <v>525</v>
      </c>
      <c r="F240" s="75"/>
      <c r="G240" s="75"/>
      <c r="H240" s="540"/>
      <c r="I240" s="229"/>
      <c r="J240" s="583"/>
      <c r="K240" s="583"/>
      <c r="L240" s="584"/>
      <c r="M240" s="17">
        <f t="shared" si="298"/>
        <v>0</v>
      </c>
      <c r="N240" s="111"/>
      <c r="O240" s="111"/>
      <c r="P240" s="111"/>
      <c r="Q240" s="111"/>
      <c r="R240" s="111"/>
      <c r="S240" s="111"/>
      <c r="T240" s="111"/>
      <c r="U240" s="111"/>
      <c r="V240" s="358"/>
      <c r="W240" s="391">
        <f t="shared" si="299"/>
        <v>0</v>
      </c>
      <c r="X240" s="17">
        <f t="shared" si="300"/>
        <v>0</v>
      </c>
      <c r="Y240" s="18">
        <f>SUM(W240:X240)</f>
        <v>0</v>
      </c>
      <c r="Z240" s="19">
        <f t="shared" ref="Z240:Z244" si="305">IF(Y$244=0,0,Y240/Y$244)</f>
        <v>0</v>
      </c>
      <c r="AA240" s="19"/>
      <c r="AB240" s="19"/>
      <c r="AC240" s="84"/>
      <c r="AE240" s="17"/>
      <c r="AF240" s="17"/>
      <c r="AG240" s="17"/>
      <c r="AH240" s="18">
        <f t="shared" si="301"/>
        <v>0</v>
      </c>
      <c r="AI240" s="19">
        <f t="shared" ref="AI240:AI244" si="306">IF(AH$244=0,0,AH240/AH$244)</f>
        <v>0</v>
      </c>
      <c r="AK240" s="17"/>
      <c r="AL240" s="17"/>
      <c r="AM240" s="17"/>
      <c r="AN240" s="18">
        <f t="shared" si="302"/>
        <v>0</v>
      </c>
      <c r="AO240" s="19">
        <f t="shared" ref="AO240:AO244" si="307">IF(AN$244=0,0,AN240/AN$244)</f>
        <v>0</v>
      </c>
      <c r="AQ240" s="17"/>
      <c r="AR240" s="17"/>
      <c r="AS240" s="17"/>
      <c r="AT240" s="18">
        <f t="shared" si="303"/>
        <v>0</v>
      </c>
      <c r="AU240" s="19">
        <f t="shared" ref="AU240:AU244" si="308">IF(AT$244=0,0,AT240/AT$244)</f>
        <v>0</v>
      </c>
      <c r="AW240" s="17"/>
      <c r="AX240" s="17"/>
      <c r="AY240" s="17"/>
      <c r="AZ240" s="18">
        <f t="shared" si="304"/>
        <v>0</v>
      </c>
      <c r="BA240" s="19">
        <f t="shared" ref="BA240:BA244" si="309">IF(AZ$244=0,0,AZ240/AZ$244)</f>
        <v>0</v>
      </c>
    </row>
    <row r="241" spans="1:53" ht="17.100000000000001" customHeight="1" x14ac:dyDescent="0.25">
      <c r="A241" s="175"/>
      <c r="B241" s="248"/>
      <c r="C241" s="222"/>
      <c r="D241" s="74" t="s">
        <v>654</v>
      </c>
      <c r="E241" s="542" t="s">
        <v>526</v>
      </c>
      <c r="F241" s="151"/>
      <c r="G241" s="151"/>
      <c r="H241" s="119"/>
      <c r="I241" s="138"/>
      <c r="J241" s="581"/>
      <c r="K241" s="581"/>
      <c r="L241" s="582"/>
      <c r="M241" s="17">
        <f t="shared" si="298"/>
        <v>0</v>
      </c>
      <c r="N241" s="111"/>
      <c r="O241" s="111"/>
      <c r="P241" s="111"/>
      <c r="Q241" s="111"/>
      <c r="R241" s="111"/>
      <c r="S241" s="111"/>
      <c r="T241" s="111"/>
      <c r="U241" s="111"/>
      <c r="V241" s="358"/>
      <c r="W241" s="391">
        <f t="shared" si="299"/>
        <v>0</v>
      </c>
      <c r="X241" s="17">
        <f t="shared" si="300"/>
        <v>0</v>
      </c>
      <c r="Y241" s="18">
        <f>SUM(W241:X241)</f>
        <v>0</v>
      </c>
      <c r="Z241" s="19">
        <f t="shared" si="305"/>
        <v>0</v>
      </c>
      <c r="AA241" s="19"/>
      <c r="AB241" s="19"/>
      <c r="AC241" s="84"/>
      <c r="AE241" s="17"/>
      <c r="AF241" s="17"/>
      <c r="AG241" s="17"/>
      <c r="AH241" s="18">
        <f t="shared" si="301"/>
        <v>0</v>
      </c>
      <c r="AI241" s="19">
        <f t="shared" si="306"/>
        <v>0</v>
      </c>
      <c r="AK241" s="17"/>
      <c r="AL241" s="17"/>
      <c r="AM241" s="17"/>
      <c r="AN241" s="18">
        <f t="shared" si="302"/>
        <v>0</v>
      </c>
      <c r="AO241" s="19">
        <f t="shared" si="307"/>
        <v>0</v>
      </c>
      <c r="AQ241" s="17"/>
      <c r="AR241" s="17"/>
      <c r="AS241" s="17"/>
      <c r="AT241" s="18">
        <f t="shared" si="303"/>
        <v>0</v>
      </c>
      <c r="AU241" s="19">
        <f t="shared" si="308"/>
        <v>0</v>
      </c>
      <c r="AW241" s="17"/>
      <c r="AX241" s="17"/>
      <c r="AY241" s="17"/>
      <c r="AZ241" s="18">
        <f t="shared" si="304"/>
        <v>0</v>
      </c>
      <c r="BA241" s="19">
        <f t="shared" si="309"/>
        <v>0</v>
      </c>
    </row>
    <row r="242" spans="1:53" ht="17.100000000000001" customHeight="1" x14ac:dyDescent="0.25">
      <c r="A242" s="68"/>
      <c r="B242" s="249"/>
      <c r="C242" s="157"/>
      <c r="D242" s="74" t="s">
        <v>655</v>
      </c>
      <c r="E242" s="542" t="s">
        <v>527</v>
      </c>
      <c r="F242" s="105"/>
      <c r="G242" s="105"/>
      <c r="H242" s="119"/>
      <c r="J242" s="583"/>
      <c r="K242" s="583"/>
      <c r="L242" s="584"/>
      <c r="M242" s="17">
        <f t="shared" si="298"/>
        <v>0</v>
      </c>
      <c r="N242" s="111"/>
      <c r="O242" s="111"/>
      <c r="P242" s="111"/>
      <c r="Q242" s="111"/>
      <c r="R242" s="111"/>
      <c r="S242" s="111"/>
      <c r="T242" s="111"/>
      <c r="U242" s="111"/>
      <c r="V242" s="358"/>
      <c r="W242" s="391">
        <f t="shared" si="299"/>
        <v>0</v>
      </c>
      <c r="X242" s="17">
        <f t="shared" si="300"/>
        <v>0</v>
      </c>
      <c r="Y242" s="18">
        <f>SUM(W242:X242)</f>
        <v>0</v>
      </c>
      <c r="Z242" s="19">
        <f t="shared" si="305"/>
        <v>0</v>
      </c>
      <c r="AA242" s="19"/>
      <c r="AB242" s="19"/>
      <c r="AC242" s="84"/>
      <c r="AE242" s="17"/>
      <c r="AF242" s="17"/>
      <c r="AG242" s="17"/>
      <c r="AH242" s="18">
        <f t="shared" si="301"/>
        <v>0</v>
      </c>
      <c r="AI242" s="19">
        <f t="shared" si="306"/>
        <v>0</v>
      </c>
      <c r="AK242" s="17"/>
      <c r="AL242" s="17"/>
      <c r="AM242" s="17"/>
      <c r="AN242" s="18">
        <f t="shared" si="302"/>
        <v>0</v>
      </c>
      <c r="AO242" s="19">
        <f t="shared" si="307"/>
        <v>0</v>
      </c>
      <c r="AQ242" s="17"/>
      <c r="AR242" s="17"/>
      <c r="AS242" s="17"/>
      <c r="AT242" s="18">
        <f t="shared" si="303"/>
        <v>0</v>
      </c>
      <c r="AU242" s="19">
        <f t="shared" si="308"/>
        <v>0</v>
      </c>
      <c r="AW242" s="17"/>
      <c r="AX242" s="17"/>
      <c r="AY242" s="17"/>
      <c r="AZ242" s="18">
        <f t="shared" si="304"/>
        <v>0</v>
      </c>
      <c r="BA242" s="19">
        <f t="shared" si="309"/>
        <v>0</v>
      </c>
    </row>
    <row r="243" spans="1:53" ht="17.100000000000001" customHeight="1" x14ac:dyDescent="0.25">
      <c r="A243" s="40"/>
      <c r="B243" s="248"/>
      <c r="C243" s="250"/>
      <c r="D243" s="74" t="s">
        <v>656</v>
      </c>
      <c r="E243" s="542" t="s">
        <v>528</v>
      </c>
      <c r="F243" s="75"/>
      <c r="G243" s="75"/>
      <c r="H243" s="540"/>
      <c r="I243" s="229"/>
      <c r="J243" s="581"/>
      <c r="K243" s="581"/>
      <c r="L243" s="582"/>
      <c r="M243" s="17">
        <f t="shared" si="298"/>
        <v>0</v>
      </c>
      <c r="N243" s="111"/>
      <c r="O243" s="111"/>
      <c r="P243" s="111"/>
      <c r="Q243" s="111"/>
      <c r="R243" s="111"/>
      <c r="S243" s="111"/>
      <c r="T243" s="111"/>
      <c r="U243" s="111"/>
      <c r="V243" s="358"/>
      <c r="W243" s="391">
        <f t="shared" si="299"/>
        <v>0</v>
      </c>
      <c r="X243" s="17">
        <f t="shared" si="300"/>
        <v>0</v>
      </c>
      <c r="Y243" s="18">
        <f>SUM(W243:X243)</f>
        <v>0</v>
      </c>
      <c r="Z243" s="19">
        <f t="shared" si="305"/>
        <v>0</v>
      </c>
      <c r="AA243" s="19"/>
      <c r="AB243" s="19"/>
      <c r="AC243" s="84"/>
      <c r="AE243" s="17"/>
      <c r="AF243" s="17"/>
      <c r="AG243" s="17"/>
      <c r="AH243" s="18">
        <f t="shared" si="301"/>
        <v>0</v>
      </c>
      <c r="AI243" s="19">
        <f t="shared" si="306"/>
        <v>0</v>
      </c>
      <c r="AK243" s="17"/>
      <c r="AL243" s="17"/>
      <c r="AM243" s="17"/>
      <c r="AN243" s="18">
        <f t="shared" si="302"/>
        <v>0</v>
      </c>
      <c r="AO243" s="19">
        <f t="shared" si="307"/>
        <v>0</v>
      </c>
      <c r="AQ243" s="17"/>
      <c r="AR243" s="17"/>
      <c r="AS243" s="17"/>
      <c r="AT243" s="18">
        <f t="shared" si="303"/>
        <v>0</v>
      </c>
      <c r="AU243" s="19">
        <f t="shared" si="308"/>
        <v>0</v>
      </c>
      <c r="AW243" s="17"/>
      <c r="AX243" s="17"/>
      <c r="AY243" s="17"/>
      <c r="AZ243" s="18">
        <f t="shared" si="304"/>
        <v>0</v>
      </c>
      <c r="BA243" s="19">
        <f t="shared" si="309"/>
        <v>0</v>
      </c>
    </row>
    <row r="244" spans="1:53" ht="17.100000000000001" customHeight="1" x14ac:dyDescent="0.25">
      <c r="A244" s="40"/>
      <c r="B244" s="40"/>
      <c r="C244" s="77"/>
      <c r="D244" s="144"/>
      <c r="E244" s="144"/>
      <c r="F244" s="145"/>
      <c r="G244" s="145"/>
      <c r="H244" s="119"/>
      <c r="I244" s="236"/>
      <c r="J244" s="64">
        <f>SUM(J239:J243)</f>
        <v>0</v>
      </c>
      <c r="K244" s="64">
        <f t="shared" ref="K244:M244" si="310">SUM(K239:K243)</f>
        <v>0</v>
      </c>
      <c r="L244" s="64">
        <f t="shared" si="310"/>
        <v>0</v>
      </c>
      <c r="M244" s="64">
        <f t="shared" si="310"/>
        <v>0</v>
      </c>
      <c r="N244" s="81"/>
      <c r="O244" s="81"/>
      <c r="P244" s="81"/>
      <c r="Q244" s="81"/>
      <c r="R244" s="81"/>
      <c r="S244" s="81"/>
      <c r="T244" s="81"/>
      <c r="U244" s="81"/>
      <c r="V244" s="356"/>
      <c r="W244" s="381">
        <f>SUM(W239:W243)</f>
        <v>0</v>
      </c>
      <c r="X244" s="82">
        <f t="shared" ref="X244:Y244" si="311">SUM(X239:X243)</f>
        <v>0</v>
      </c>
      <c r="Y244" s="82">
        <f t="shared" si="311"/>
        <v>0</v>
      </c>
      <c r="Z244" s="205">
        <f t="shared" si="305"/>
        <v>0</v>
      </c>
      <c r="AA244" s="205"/>
      <c r="AB244" s="205"/>
      <c r="AC244" s="83"/>
      <c r="AE244" s="80"/>
      <c r="AF244" s="80"/>
      <c r="AG244" s="81"/>
      <c r="AH244" s="82">
        <f>SUM(AH239:AH243)</f>
        <v>0</v>
      </c>
      <c r="AI244" s="66">
        <f t="shared" si="306"/>
        <v>0</v>
      </c>
      <c r="AK244" s="80"/>
      <c r="AL244" s="80"/>
      <c r="AM244" s="81"/>
      <c r="AN244" s="82">
        <f>SUM(AN239:AN243)</f>
        <v>0</v>
      </c>
      <c r="AO244" s="66">
        <f t="shared" si="307"/>
        <v>0</v>
      </c>
      <c r="AQ244" s="80"/>
      <c r="AR244" s="80"/>
      <c r="AS244" s="81"/>
      <c r="AT244" s="82">
        <f>SUM(AT239:AT243)</f>
        <v>0</v>
      </c>
      <c r="AU244" s="66">
        <f t="shared" si="308"/>
        <v>0</v>
      </c>
      <c r="AW244" s="80"/>
      <c r="AX244" s="80"/>
      <c r="AY244" s="81"/>
      <c r="AZ244" s="82">
        <f>SUM(AZ239:AZ243)</f>
        <v>0</v>
      </c>
      <c r="BA244" s="66">
        <f t="shared" si="309"/>
        <v>0</v>
      </c>
    </row>
    <row r="245" spans="1:53" s="117" customFormat="1" ht="17.100000000000001" customHeight="1" x14ac:dyDescent="0.25">
      <c r="A245" s="68"/>
      <c r="B245" s="119"/>
      <c r="C245" s="540"/>
      <c r="D245" s="261"/>
      <c r="E245" s="261"/>
      <c r="F245" s="68"/>
      <c r="G245" s="68"/>
      <c r="H245" s="119"/>
      <c r="I245" s="138"/>
      <c r="J245" s="17" t="str">
        <f>IF(J244=J$15,"OK","NOK")</f>
        <v>OK</v>
      </c>
      <c r="K245" s="17" t="str">
        <f t="shared" ref="K245:L245" si="312">IF(K244=K$15,"OK","NOK")</f>
        <v>OK</v>
      </c>
      <c r="L245" s="17" t="str">
        <f t="shared" si="312"/>
        <v>OK</v>
      </c>
      <c r="M245" s="17"/>
      <c r="N245" s="17"/>
      <c r="O245" s="17"/>
      <c r="P245" s="17"/>
      <c r="Q245" s="17"/>
      <c r="R245" s="17"/>
      <c r="S245" s="17"/>
      <c r="T245" s="17"/>
      <c r="U245" s="17"/>
      <c r="V245" s="359"/>
      <c r="W245" s="382"/>
      <c r="X245" s="539"/>
      <c r="Y245" s="539"/>
      <c r="Z245" s="201"/>
      <c r="AA245" s="201"/>
      <c r="AB245" s="201"/>
      <c r="AC245" s="84"/>
      <c r="AE245" s="46"/>
      <c r="AF245" s="46"/>
      <c r="AG245" s="17"/>
      <c r="AH245" s="539"/>
      <c r="AI245" s="91"/>
      <c r="AK245" s="46"/>
      <c r="AL245" s="46"/>
      <c r="AM245" s="17"/>
      <c r="AN245" s="539"/>
      <c r="AO245" s="91"/>
      <c r="AQ245" s="46"/>
      <c r="AR245" s="46"/>
      <c r="AS245" s="17"/>
      <c r="AT245" s="539"/>
      <c r="AU245" s="91"/>
      <c r="AW245" s="46"/>
      <c r="AX245" s="46"/>
      <c r="AY245" s="17"/>
      <c r="AZ245" s="539"/>
      <c r="BA245" s="91"/>
    </row>
    <row r="246" spans="1:53" ht="17.100000000000001" customHeight="1" x14ac:dyDescent="0.25">
      <c r="A246" s="68"/>
      <c r="B246" s="41" t="s">
        <v>956</v>
      </c>
      <c r="C246" s="69" t="s">
        <v>12</v>
      </c>
      <c r="D246" s="50"/>
      <c r="E246" s="70"/>
      <c r="F246" s="70"/>
      <c r="G246" s="70"/>
      <c r="H246" s="119"/>
      <c r="J246" s="71"/>
      <c r="K246" s="71"/>
      <c r="L246" s="71"/>
      <c r="M246" s="71"/>
      <c r="N246" s="71"/>
      <c r="O246" s="71"/>
      <c r="P246" s="71"/>
      <c r="Q246" s="71"/>
      <c r="R246" s="71"/>
      <c r="S246" s="71"/>
      <c r="T246" s="71"/>
      <c r="U246" s="71"/>
      <c r="V246" s="355"/>
      <c r="W246" s="377"/>
      <c r="X246" s="71"/>
      <c r="Y246" s="72"/>
      <c r="Z246" s="73"/>
      <c r="AA246" s="73"/>
      <c r="AB246" s="73"/>
      <c r="AC246" s="73"/>
      <c r="AE246" s="71"/>
      <c r="AF246" s="71"/>
      <c r="AG246" s="71"/>
      <c r="AH246" s="72"/>
      <c r="AI246" s="73"/>
      <c r="AK246" s="71"/>
      <c r="AL246" s="71"/>
      <c r="AM246" s="71"/>
      <c r="AN246" s="72"/>
      <c r="AO246" s="73"/>
      <c r="AQ246" s="71"/>
      <c r="AR246" s="71"/>
      <c r="AS246" s="71"/>
      <c r="AT246" s="72"/>
      <c r="AU246" s="73"/>
      <c r="AW246" s="71"/>
      <c r="AX246" s="71"/>
      <c r="AY246" s="71"/>
      <c r="AZ246" s="72"/>
      <c r="BA246" s="73"/>
    </row>
    <row r="247" spans="1:53" ht="17.100000000000001" customHeight="1" x14ac:dyDescent="0.25">
      <c r="A247" s="40"/>
      <c r="B247" s="40"/>
      <c r="C247" s="41" t="s">
        <v>957</v>
      </c>
      <c r="D247" s="476" t="s">
        <v>955</v>
      </c>
      <c r="E247" s="322"/>
      <c r="F247" s="301"/>
      <c r="G247" s="301"/>
      <c r="H247" s="119"/>
      <c r="I247" s="236"/>
      <c r="J247" s="87"/>
      <c r="K247" s="87"/>
      <c r="L247" s="71"/>
      <c r="M247" s="71"/>
      <c r="N247" s="71"/>
      <c r="O247" s="71"/>
      <c r="P247" s="71"/>
      <c r="Q247" s="71"/>
      <c r="R247" s="71"/>
      <c r="S247" s="71"/>
      <c r="T247" s="71"/>
      <c r="U247" s="71"/>
      <c r="V247" s="355"/>
      <c r="W247" s="377"/>
      <c r="X247" s="71"/>
      <c r="Y247" s="89"/>
      <c r="Z247" s="90"/>
      <c r="AA247" s="90"/>
      <c r="AB247" s="90"/>
      <c r="AC247" s="73"/>
      <c r="AE247" s="87"/>
      <c r="AF247" s="87"/>
      <c r="AG247" s="71"/>
      <c r="AH247" s="89"/>
      <c r="AI247" s="90"/>
      <c r="AK247" s="87"/>
      <c r="AL247" s="87"/>
      <c r="AM247" s="71"/>
      <c r="AN247" s="89"/>
      <c r="AO247" s="90"/>
      <c r="AQ247" s="87"/>
      <c r="AR247" s="87"/>
      <c r="AS247" s="71"/>
      <c r="AT247" s="89"/>
      <c r="AU247" s="90"/>
      <c r="AW247" s="87"/>
      <c r="AX247" s="87"/>
      <c r="AY247" s="71"/>
      <c r="AZ247" s="89"/>
      <c r="BA247" s="90"/>
    </row>
    <row r="248" spans="1:53" ht="17.100000000000001" customHeight="1" x14ac:dyDescent="0.25">
      <c r="A248" s="40"/>
      <c r="B248" s="40"/>
      <c r="C248" s="119"/>
      <c r="D248" s="153" t="s">
        <v>933</v>
      </c>
      <c r="E248" s="142"/>
      <c r="F248" s="143"/>
      <c r="G248" s="143"/>
      <c r="H248" s="119"/>
      <c r="I248" s="236"/>
      <c r="J248" s="527">
        <v>0.39285714285714202</v>
      </c>
      <c r="K248" s="527"/>
      <c r="L248" s="528"/>
      <c r="M248" s="154"/>
      <c r="N248" s="154"/>
      <c r="O248" s="154"/>
      <c r="P248" s="154"/>
      <c r="Q248" s="154"/>
      <c r="R248" s="154"/>
      <c r="S248" s="154"/>
      <c r="T248" s="154"/>
      <c r="U248" s="154"/>
      <c r="V248" s="159"/>
      <c r="W248" s="387"/>
      <c r="X248" s="154"/>
      <c r="Y248" s="129"/>
      <c r="Z248" s="130"/>
      <c r="AA248" s="130"/>
      <c r="AB248" s="130"/>
      <c r="AC248" s="125"/>
      <c r="AE248" s="154"/>
      <c r="AF248" s="154"/>
      <c r="AG248" s="154"/>
      <c r="AH248" s="129"/>
      <c r="AI248" s="130"/>
      <c r="AK248" s="154"/>
      <c r="AL248" s="154"/>
      <c r="AM248" s="154"/>
      <c r="AN248" s="129"/>
      <c r="AO248" s="130"/>
      <c r="AQ248" s="154"/>
      <c r="AR248" s="154"/>
      <c r="AS248" s="154"/>
      <c r="AT248" s="129"/>
      <c r="AU248" s="130"/>
      <c r="AW248" s="154"/>
      <c r="AX248" s="154"/>
      <c r="AY248" s="154"/>
      <c r="AZ248" s="129"/>
      <c r="BA248" s="130"/>
    </row>
    <row r="249" spans="1:53" ht="17.100000000000001" customHeight="1" x14ac:dyDescent="0.25">
      <c r="A249" s="40"/>
      <c r="B249" s="40"/>
      <c r="C249" s="119"/>
      <c r="D249" s="153" t="s">
        <v>934</v>
      </c>
      <c r="E249" s="142"/>
      <c r="F249" s="143"/>
      <c r="G249" s="143"/>
      <c r="H249" s="119"/>
      <c r="I249" s="236"/>
      <c r="J249" s="527">
        <f>J248/2</f>
        <v>0.19642857142857101</v>
      </c>
      <c r="K249" s="527"/>
      <c r="L249" s="154"/>
      <c r="M249" s="154"/>
      <c r="N249" s="154"/>
      <c r="O249" s="154"/>
      <c r="P249" s="154"/>
      <c r="Q249" s="154"/>
      <c r="R249" s="154"/>
      <c r="S249" s="154"/>
      <c r="T249" s="154"/>
      <c r="U249" s="154"/>
      <c r="V249" s="159"/>
      <c r="W249" s="387"/>
      <c r="X249" s="154"/>
      <c r="Y249" s="129"/>
      <c r="Z249" s="130"/>
      <c r="AA249" s="130"/>
      <c r="AB249" s="130"/>
      <c r="AC249" s="125"/>
      <c r="AE249" s="154"/>
      <c r="AF249" s="154"/>
      <c r="AG249" s="154"/>
      <c r="AH249" s="129"/>
      <c r="AI249" s="130"/>
      <c r="AK249" s="154"/>
      <c r="AL249" s="154"/>
      <c r="AM249" s="154"/>
      <c r="AN249" s="129"/>
      <c r="AO249" s="130"/>
      <c r="AQ249" s="154"/>
      <c r="AR249" s="154"/>
      <c r="AS249" s="154"/>
      <c r="AT249" s="129"/>
      <c r="AU249" s="130"/>
      <c r="AW249" s="154"/>
      <c r="AX249" s="154"/>
      <c r="AY249" s="154"/>
      <c r="AZ249" s="129"/>
      <c r="BA249" s="130"/>
    </row>
    <row r="250" spans="1:53" ht="17.100000000000001" customHeight="1" x14ac:dyDescent="0.25">
      <c r="A250" s="40"/>
      <c r="B250" s="40"/>
      <c r="C250" s="119"/>
      <c r="D250" s="153" t="s">
        <v>940</v>
      </c>
      <c r="E250" s="142"/>
      <c r="F250" s="143"/>
      <c r="G250" s="143"/>
      <c r="H250" s="119"/>
      <c r="I250" s="236"/>
      <c r="J250" s="527">
        <f>J248*0.75</f>
        <v>0.29464285714285654</v>
      </c>
      <c r="K250" s="527"/>
      <c r="L250" s="154"/>
      <c r="M250" s="154"/>
      <c r="N250" s="154"/>
      <c r="O250" s="154"/>
      <c r="P250" s="154"/>
      <c r="Q250" s="154"/>
      <c r="R250" s="154"/>
      <c r="S250" s="154"/>
      <c r="T250" s="154"/>
      <c r="U250" s="154"/>
      <c r="V250" s="159"/>
      <c r="W250" s="387"/>
      <c r="X250" s="154"/>
      <c r="Y250" s="129"/>
      <c r="Z250" s="130"/>
      <c r="AA250" s="130"/>
      <c r="AB250" s="130"/>
      <c r="AC250" s="125"/>
      <c r="AE250" s="154"/>
      <c r="AF250" s="154"/>
      <c r="AG250" s="154"/>
      <c r="AH250" s="129"/>
      <c r="AI250" s="130"/>
      <c r="AK250" s="154"/>
      <c r="AL250" s="154"/>
      <c r="AM250" s="154"/>
      <c r="AN250" s="129"/>
      <c r="AO250" s="130"/>
      <c r="AQ250" s="154"/>
      <c r="AR250" s="154"/>
      <c r="AS250" s="154"/>
      <c r="AT250" s="129"/>
      <c r="AU250" s="130"/>
      <c r="AW250" s="154"/>
      <c r="AX250" s="154"/>
      <c r="AY250" s="154"/>
      <c r="AZ250" s="129"/>
      <c r="BA250" s="130"/>
    </row>
    <row r="251" spans="1:53" ht="17.100000000000001" customHeight="1" x14ac:dyDescent="0.25">
      <c r="A251" s="40"/>
      <c r="B251" s="40"/>
      <c r="C251" s="119"/>
      <c r="D251" s="153" t="s">
        <v>941</v>
      </c>
      <c r="E251" s="142"/>
      <c r="F251" s="143"/>
      <c r="G251" s="143"/>
      <c r="H251" s="119"/>
      <c r="I251" s="236"/>
      <c r="J251" s="527">
        <f>J248</f>
        <v>0.39285714285714202</v>
      </c>
      <c r="K251" s="527"/>
      <c r="L251" s="154"/>
      <c r="M251" s="154"/>
      <c r="N251" s="154"/>
      <c r="O251" s="154"/>
      <c r="P251" s="154"/>
      <c r="Q251" s="154"/>
      <c r="R251" s="154"/>
      <c r="S251" s="154"/>
      <c r="T251" s="154"/>
      <c r="U251" s="154"/>
      <c r="V251" s="159"/>
      <c r="W251" s="387"/>
      <c r="X251" s="154"/>
      <c r="Y251" s="129"/>
      <c r="Z251" s="130"/>
      <c r="AA251" s="130"/>
      <c r="AB251" s="130"/>
      <c r="AC251" s="125"/>
      <c r="AE251" s="154"/>
      <c r="AF251" s="154"/>
      <c r="AG251" s="154"/>
      <c r="AH251" s="129"/>
      <c r="AI251" s="130"/>
      <c r="AK251" s="154"/>
      <c r="AL251" s="154"/>
      <c r="AM251" s="154"/>
      <c r="AN251" s="129"/>
      <c r="AO251" s="130"/>
      <c r="AQ251" s="154"/>
      <c r="AR251" s="154"/>
      <c r="AS251" s="154"/>
      <c r="AT251" s="129"/>
      <c r="AU251" s="130"/>
      <c r="AW251" s="154"/>
      <c r="AX251" s="154"/>
      <c r="AY251" s="154"/>
      <c r="AZ251" s="129"/>
      <c r="BA251" s="130"/>
    </row>
    <row r="252" spans="1:53" ht="17.100000000000001" customHeight="1" x14ac:dyDescent="0.25">
      <c r="A252" s="40"/>
      <c r="B252" s="40"/>
      <c r="C252" s="119"/>
      <c r="D252" s="153" t="s">
        <v>942</v>
      </c>
      <c r="E252" s="142"/>
      <c r="F252" s="143"/>
      <c r="G252" s="143"/>
      <c r="H252" s="119"/>
      <c r="I252" s="236"/>
      <c r="J252" s="527">
        <f>J249</f>
        <v>0.19642857142857101</v>
      </c>
      <c r="K252" s="527"/>
      <c r="L252" s="154"/>
      <c r="M252" s="154"/>
      <c r="N252" s="154"/>
      <c r="O252" s="154"/>
      <c r="P252" s="154"/>
      <c r="Q252" s="154"/>
      <c r="R252" s="154"/>
      <c r="S252" s="154"/>
      <c r="T252" s="154"/>
      <c r="U252" s="154"/>
      <c r="V252" s="159"/>
      <c r="W252" s="387"/>
      <c r="X252" s="154"/>
      <c r="Y252" s="129"/>
      <c r="Z252" s="130"/>
      <c r="AA252" s="130"/>
      <c r="AB252" s="130"/>
      <c r="AC252" s="125"/>
      <c r="AE252" s="154"/>
      <c r="AF252" s="154"/>
      <c r="AG252" s="154"/>
      <c r="AH252" s="129"/>
      <c r="AI252" s="130"/>
      <c r="AK252" s="154"/>
      <c r="AL252" s="154"/>
      <c r="AM252" s="154"/>
      <c r="AN252" s="129"/>
      <c r="AO252" s="130"/>
      <c r="AQ252" s="154"/>
      <c r="AR252" s="154"/>
      <c r="AS252" s="154"/>
      <c r="AT252" s="129"/>
      <c r="AU252" s="130"/>
      <c r="AW252" s="154"/>
      <c r="AX252" s="154"/>
      <c r="AY252" s="154"/>
      <c r="AZ252" s="129"/>
      <c r="BA252" s="130"/>
    </row>
    <row r="253" spans="1:53" ht="17.100000000000001" customHeight="1" x14ac:dyDescent="0.25">
      <c r="A253" s="40"/>
      <c r="B253" s="40"/>
      <c r="C253" s="119"/>
      <c r="D253" s="153" t="s">
        <v>943</v>
      </c>
      <c r="E253" s="142"/>
      <c r="F253" s="143"/>
      <c r="G253" s="143"/>
      <c r="H253" s="119"/>
      <c r="I253" s="236"/>
      <c r="J253" s="527">
        <f>J248</f>
        <v>0.39285714285714202</v>
      </c>
      <c r="K253" s="527"/>
      <c r="L253" s="154"/>
      <c r="M253" s="154"/>
      <c r="N253" s="154"/>
      <c r="O253" s="154"/>
      <c r="P253" s="154"/>
      <c r="Q253" s="154"/>
      <c r="R253" s="154"/>
      <c r="S253" s="154"/>
      <c r="T253" s="154"/>
      <c r="U253" s="154"/>
      <c r="V253" s="159"/>
      <c r="W253" s="387"/>
      <c r="X253" s="154"/>
      <c r="Y253" s="129"/>
      <c r="Z253" s="130"/>
      <c r="AA253" s="130"/>
      <c r="AB253" s="130"/>
      <c r="AC253" s="125"/>
      <c r="AE253" s="154"/>
      <c r="AF253" s="154"/>
      <c r="AG253" s="154"/>
      <c r="AH253" s="129"/>
      <c r="AI253" s="130"/>
      <c r="AK253" s="154"/>
      <c r="AL253" s="154"/>
      <c r="AM253" s="154"/>
      <c r="AN253" s="129"/>
      <c r="AO253" s="130"/>
      <c r="AQ253" s="154"/>
      <c r="AR253" s="154"/>
      <c r="AS253" s="154"/>
      <c r="AT253" s="129"/>
      <c r="AU253" s="130"/>
      <c r="AW253" s="154"/>
      <c r="AX253" s="154"/>
      <c r="AY253" s="154"/>
      <c r="AZ253" s="129"/>
      <c r="BA253" s="130"/>
    </row>
    <row r="254" spans="1:53" ht="17.100000000000001" customHeight="1" x14ac:dyDescent="0.25">
      <c r="A254" s="40"/>
      <c r="B254" s="40"/>
      <c r="C254" s="119"/>
      <c r="D254" s="153" t="s">
        <v>944</v>
      </c>
      <c r="E254" s="142"/>
      <c r="F254" s="143"/>
      <c r="G254" s="143"/>
      <c r="H254" s="119"/>
      <c r="I254" s="236"/>
      <c r="J254" s="527">
        <f>J249</f>
        <v>0.19642857142857101</v>
      </c>
      <c r="K254" s="527"/>
      <c r="L254" s="154"/>
      <c r="M254" s="154"/>
      <c r="N254" s="154"/>
      <c r="O254" s="154"/>
      <c r="P254" s="154"/>
      <c r="Q254" s="154"/>
      <c r="R254" s="154"/>
      <c r="S254" s="154"/>
      <c r="T254" s="154"/>
      <c r="U254" s="154"/>
      <c r="V254" s="159"/>
      <c r="W254" s="387"/>
      <c r="X254" s="154"/>
      <c r="Y254" s="129"/>
      <c r="Z254" s="130"/>
      <c r="AA254" s="130"/>
      <c r="AB254" s="130"/>
      <c r="AC254" s="125"/>
      <c r="AE254" s="154"/>
      <c r="AF254" s="154"/>
      <c r="AG254" s="154"/>
      <c r="AH254" s="129"/>
      <c r="AI254" s="130"/>
      <c r="AK254" s="154"/>
      <c r="AL254" s="154"/>
      <c r="AM254" s="154"/>
      <c r="AN254" s="129"/>
      <c r="AO254" s="130"/>
      <c r="AQ254" s="154"/>
      <c r="AR254" s="154"/>
      <c r="AS254" s="154"/>
      <c r="AT254" s="129"/>
      <c r="AU254" s="130"/>
      <c r="AW254" s="154"/>
      <c r="AX254" s="154"/>
      <c r="AY254" s="154"/>
      <c r="AZ254" s="129"/>
      <c r="BA254" s="130"/>
    </row>
    <row r="255" spans="1:53" ht="17.100000000000001" customHeight="1" x14ac:dyDescent="0.25">
      <c r="A255" s="40"/>
      <c r="B255" s="40"/>
      <c r="C255" s="68"/>
      <c r="D255" s="153" t="s">
        <v>945</v>
      </c>
      <c r="E255" s="142"/>
      <c r="F255" s="143"/>
      <c r="G255" s="143"/>
      <c r="H255" s="119"/>
      <c r="I255" s="236"/>
      <c r="J255" s="527">
        <f>J248</f>
        <v>0.39285714285714202</v>
      </c>
      <c r="K255" s="527"/>
      <c r="L255" s="154"/>
      <c r="M255" s="154"/>
      <c r="N255" s="154"/>
      <c r="O255" s="154"/>
      <c r="P255" s="154"/>
      <c r="Q255" s="154"/>
      <c r="R255" s="154"/>
      <c r="S255" s="154"/>
      <c r="T255" s="154"/>
      <c r="U255" s="154"/>
      <c r="V255" s="159"/>
      <c r="W255" s="387"/>
      <c r="X255" s="154"/>
      <c r="Y255" s="129"/>
      <c r="Z255" s="130"/>
      <c r="AA255" s="130"/>
      <c r="AB255" s="130"/>
      <c r="AC255" s="125"/>
      <c r="AE255" s="154"/>
      <c r="AF255" s="154"/>
      <c r="AG255" s="154"/>
      <c r="AH255" s="129"/>
      <c r="AI255" s="130"/>
      <c r="AK255" s="154"/>
      <c r="AL255" s="154"/>
      <c r="AM255" s="154"/>
      <c r="AN255" s="129"/>
      <c r="AO255" s="130"/>
      <c r="AQ255" s="154"/>
      <c r="AR255" s="154"/>
      <c r="AS255" s="154"/>
      <c r="AT255" s="129"/>
      <c r="AU255" s="130"/>
      <c r="AW255" s="154"/>
      <c r="AX255" s="154"/>
      <c r="AY255" s="154"/>
      <c r="AZ255" s="129"/>
      <c r="BA255" s="130"/>
    </row>
    <row r="256" spans="1:53" ht="17.100000000000001" customHeight="1" x14ac:dyDescent="0.25">
      <c r="A256" s="40"/>
      <c r="B256" s="40"/>
      <c r="C256" s="40"/>
      <c r="D256" s="69" t="s">
        <v>413</v>
      </c>
      <c r="E256" s="322"/>
      <c r="F256" s="301"/>
      <c r="G256" s="301"/>
      <c r="H256" s="421"/>
      <c r="I256" s="236"/>
      <c r="J256" s="529"/>
      <c r="K256" s="529"/>
      <c r="L256" s="87"/>
      <c r="M256" s="87"/>
      <c r="N256" s="87"/>
      <c r="O256" s="87"/>
      <c r="P256" s="87"/>
      <c r="Q256" s="87"/>
      <c r="R256" s="87"/>
      <c r="S256" s="87"/>
      <c r="T256" s="87"/>
      <c r="U256" s="87"/>
      <c r="V256" s="530"/>
      <c r="W256" s="531"/>
      <c r="X256" s="87"/>
      <c r="Y256" s="89"/>
      <c r="Z256" s="90"/>
      <c r="AA256" s="90"/>
      <c r="AB256" s="90"/>
      <c r="AC256" s="73"/>
      <c r="AE256" s="154"/>
      <c r="AF256" s="154"/>
      <c r="AG256" s="154"/>
      <c r="AH256" s="129"/>
      <c r="AI256" s="130"/>
      <c r="AK256" s="154"/>
      <c r="AL256" s="154"/>
      <c r="AM256" s="154"/>
      <c r="AN256" s="129"/>
      <c r="AO256" s="130"/>
      <c r="AQ256" s="154"/>
      <c r="AR256" s="154"/>
      <c r="AS256" s="154"/>
      <c r="AT256" s="129"/>
      <c r="AU256" s="130"/>
      <c r="AW256" s="154"/>
      <c r="AX256" s="154"/>
      <c r="AY256" s="154"/>
      <c r="AZ256" s="129"/>
      <c r="BA256" s="130"/>
    </row>
    <row r="257" spans="1:53" ht="17.100000000000001" customHeight="1" x14ac:dyDescent="0.25">
      <c r="A257" s="40"/>
      <c r="B257" s="40"/>
      <c r="C257" s="119"/>
      <c r="D257" s="293" t="s">
        <v>935</v>
      </c>
      <c r="E257" s="142"/>
      <c r="F257" s="143"/>
      <c r="G257" s="143"/>
      <c r="H257" s="119"/>
      <c r="I257" s="236"/>
      <c r="J257" s="532"/>
      <c r="K257" s="532"/>
      <c r="L257" s="533">
        <f>(1*J250+3*J251)</f>
        <v>1.4732142857142827</v>
      </c>
      <c r="M257" s="533">
        <f>L257*N257</f>
        <v>0</v>
      </c>
      <c r="N257" s="532">
        <f t="shared" ref="N257:O259" si="313">N170</f>
        <v>0</v>
      </c>
      <c r="O257" s="532">
        <f t="shared" si="313"/>
        <v>0</v>
      </c>
      <c r="P257" s="532"/>
      <c r="Q257" s="532">
        <f t="shared" ref="Q257:R259" si="314">Q170</f>
        <v>0</v>
      </c>
      <c r="R257" s="532">
        <f t="shared" si="314"/>
        <v>1</v>
      </c>
      <c r="S257" s="532"/>
      <c r="T257" s="532">
        <f t="shared" ref="T257:U259" si="315">T170</f>
        <v>0</v>
      </c>
      <c r="U257" s="532">
        <f t="shared" si="315"/>
        <v>0</v>
      </c>
      <c r="V257" s="159"/>
      <c r="W257" s="387"/>
      <c r="X257" s="154"/>
      <c r="Y257" s="129"/>
      <c r="Z257" s="130"/>
      <c r="AA257" s="130"/>
      <c r="AB257" s="130"/>
      <c r="AC257" s="125"/>
      <c r="AE257" s="154"/>
      <c r="AF257" s="154"/>
      <c r="AG257" s="154"/>
      <c r="AH257" s="129"/>
      <c r="AI257" s="130"/>
      <c r="AK257" s="154"/>
      <c r="AL257" s="154"/>
      <c r="AM257" s="154"/>
      <c r="AN257" s="129"/>
      <c r="AO257" s="130"/>
      <c r="AQ257" s="154"/>
      <c r="AR257" s="154"/>
      <c r="AS257" s="154"/>
      <c r="AT257" s="129"/>
      <c r="AU257" s="130"/>
      <c r="AW257" s="154"/>
      <c r="AX257" s="154"/>
      <c r="AY257" s="154"/>
      <c r="AZ257" s="129"/>
      <c r="BA257" s="130"/>
    </row>
    <row r="258" spans="1:53" ht="17.100000000000001" customHeight="1" x14ac:dyDescent="0.25">
      <c r="A258" s="40"/>
      <c r="B258" s="40"/>
      <c r="C258" s="119"/>
      <c r="D258" s="293" t="s">
        <v>927</v>
      </c>
      <c r="E258" s="142"/>
      <c r="F258" s="143"/>
      <c r="G258" s="143"/>
      <c r="H258" s="119"/>
      <c r="I258" s="236"/>
      <c r="J258" s="532"/>
      <c r="K258" s="532"/>
      <c r="L258" s="533">
        <f>(1*J252+3*J253)</f>
        <v>1.3749999999999971</v>
      </c>
      <c r="M258" s="533">
        <f t="shared" ref="M258:M259" si="316">L258*N258</f>
        <v>0</v>
      </c>
      <c r="N258" s="532">
        <f t="shared" si="313"/>
        <v>0</v>
      </c>
      <c r="O258" s="532">
        <f t="shared" si="313"/>
        <v>0</v>
      </c>
      <c r="P258" s="532"/>
      <c r="Q258" s="532">
        <f t="shared" si="314"/>
        <v>2</v>
      </c>
      <c r="R258" s="532">
        <f t="shared" si="314"/>
        <v>3</v>
      </c>
      <c r="S258" s="532"/>
      <c r="T258" s="532">
        <f t="shared" si="315"/>
        <v>0</v>
      </c>
      <c r="U258" s="532">
        <f t="shared" si="315"/>
        <v>0</v>
      </c>
      <c r="V258" s="159"/>
      <c r="W258" s="387"/>
      <c r="X258" s="154"/>
      <c r="Y258" s="129"/>
      <c r="Z258" s="130"/>
      <c r="AA258" s="130"/>
      <c r="AB258" s="130"/>
      <c r="AC258" s="125"/>
      <c r="AE258" s="154"/>
      <c r="AF258" s="154"/>
      <c r="AG258" s="154"/>
      <c r="AH258" s="129"/>
      <c r="AI258" s="130"/>
      <c r="AK258" s="154"/>
      <c r="AL258" s="154"/>
      <c r="AM258" s="154"/>
      <c r="AN258" s="129"/>
      <c r="AO258" s="130"/>
      <c r="AQ258" s="154"/>
      <c r="AR258" s="154"/>
      <c r="AS258" s="154"/>
      <c r="AT258" s="129"/>
      <c r="AU258" s="130"/>
      <c r="AW258" s="154"/>
      <c r="AX258" s="154"/>
      <c r="AY258" s="154"/>
      <c r="AZ258" s="129"/>
      <c r="BA258" s="130"/>
    </row>
    <row r="259" spans="1:53" ht="17.100000000000001" customHeight="1" x14ac:dyDescent="0.25">
      <c r="A259" s="40"/>
      <c r="B259" s="40"/>
      <c r="C259" s="119"/>
      <c r="D259" s="293" t="s">
        <v>936</v>
      </c>
      <c r="E259" s="142"/>
      <c r="F259" s="143"/>
      <c r="G259" s="143"/>
      <c r="H259" s="119"/>
      <c r="I259" s="236"/>
      <c r="J259" s="532"/>
      <c r="K259" s="532"/>
      <c r="L259" s="533">
        <f>(5*J255)</f>
        <v>1.96428571428571</v>
      </c>
      <c r="M259" s="533">
        <f t="shared" si="316"/>
        <v>0</v>
      </c>
      <c r="N259" s="532">
        <f t="shared" si="313"/>
        <v>0</v>
      </c>
      <c r="O259" s="532">
        <f t="shared" si="313"/>
        <v>8</v>
      </c>
      <c r="P259" s="532"/>
      <c r="Q259" s="532">
        <f t="shared" si="314"/>
        <v>1</v>
      </c>
      <c r="R259" s="532">
        <f t="shared" si="314"/>
        <v>0</v>
      </c>
      <c r="S259" s="532"/>
      <c r="T259" s="532">
        <f t="shared" si="315"/>
        <v>0</v>
      </c>
      <c r="U259" s="532">
        <f t="shared" si="315"/>
        <v>0</v>
      </c>
      <c r="V259" s="159"/>
      <c r="W259" s="387"/>
      <c r="X259" s="154"/>
      <c r="Y259" s="129"/>
      <c r="Z259" s="130"/>
      <c r="AA259" s="130"/>
      <c r="AB259" s="130"/>
      <c r="AC259" s="125"/>
      <c r="AE259" s="154"/>
      <c r="AF259" s="154"/>
      <c r="AG259" s="154"/>
      <c r="AH259" s="129"/>
      <c r="AI259" s="130"/>
      <c r="AK259" s="154"/>
      <c r="AL259" s="154"/>
      <c r="AM259" s="154"/>
      <c r="AN259" s="129"/>
      <c r="AO259" s="130"/>
      <c r="AQ259" s="154"/>
      <c r="AR259" s="154"/>
      <c r="AS259" s="154"/>
      <c r="AT259" s="129"/>
      <c r="AU259" s="130"/>
      <c r="AW259" s="154"/>
      <c r="AX259" s="154"/>
      <c r="AY259" s="154"/>
      <c r="AZ259" s="129"/>
      <c r="BA259" s="130"/>
    </row>
    <row r="260" spans="1:53" ht="17.100000000000001" customHeight="1" x14ac:dyDescent="0.25">
      <c r="A260" s="40"/>
      <c r="B260" s="40"/>
      <c r="C260" s="119"/>
      <c r="D260" s="293" t="s">
        <v>922</v>
      </c>
      <c r="E260" s="142"/>
      <c r="F260" s="143"/>
      <c r="G260" s="143"/>
      <c r="H260" s="119"/>
      <c r="I260" s="236"/>
      <c r="J260" s="532"/>
      <c r="K260" s="532"/>
      <c r="L260" s="532"/>
      <c r="M260" s="533">
        <f>SUM(M257:M259)</f>
        <v>0</v>
      </c>
      <c r="N260" s="532">
        <f>SUM(N257:N259)</f>
        <v>0</v>
      </c>
      <c r="O260" s="532"/>
      <c r="P260" s="532"/>
      <c r="Q260" s="532"/>
      <c r="R260" s="532"/>
      <c r="S260" s="532"/>
      <c r="T260" s="532"/>
      <c r="U260" s="532"/>
      <c r="V260" s="159"/>
      <c r="W260" s="387"/>
      <c r="X260" s="154"/>
      <c r="Y260" s="129"/>
      <c r="Z260" s="130"/>
      <c r="AA260" s="130"/>
      <c r="AB260" s="130"/>
      <c r="AC260" s="125"/>
      <c r="AE260" s="154"/>
      <c r="AF260" s="154"/>
      <c r="AG260" s="154"/>
      <c r="AH260" s="129"/>
      <c r="AI260" s="130"/>
      <c r="AK260" s="154"/>
      <c r="AL260" s="154"/>
      <c r="AM260" s="154"/>
      <c r="AN260" s="129"/>
      <c r="AO260" s="130"/>
      <c r="AQ260" s="154"/>
      <c r="AR260" s="154"/>
      <c r="AS260" s="154"/>
      <c r="AT260" s="129"/>
      <c r="AU260" s="130"/>
      <c r="AW260" s="154"/>
      <c r="AX260" s="154"/>
      <c r="AY260" s="154"/>
      <c r="AZ260" s="129"/>
      <c r="BA260" s="130"/>
    </row>
    <row r="261" spans="1:53" ht="17.100000000000001" customHeight="1" x14ac:dyDescent="0.25">
      <c r="A261" s="40"/>
      <c r="B261" s="40"/>
      <c r="C261" s="119"/>
      <c r="D261" s="69" t="s">
        <v>124</v>
      </c>
      <c r="E261" s="322"/>
      <c r="F261" s="301"/>
      <c r="G261" s="301"/>
      <c r="H261" s="421"/>
      <c r="I261" s="236"/>
      <c r="J261" s="529"/>
      <c r="K261" s="529"/>
      <c r="L261" s="87"/>
      <c r="M261" s="87"/>
      <c r="N261" s="87"/>
      <c r="O261" s="87"/>
      <c r="P261" s="87"/>
      <c r="Q261" s="87"/>
      <c r="R261" s="87"/>
      <c r="S261" s="87"/>
      <c r="T261" s="87"/>
      <c r="U261" s="87"/>
      <c r="V261" s="530"/>
      <c r="W261" s="531"/>
      <c r="X261" s="87"/>
      <c r="Y261" s="89"/>
      <c r="Z261" s="90"/>
      <c r="AA261" s="90"/>
      <c r="AB261" s="90"/>
      <c r="AC261" s="73"/>
      <c r="AE261" s="154"/>
      <c r="AF261" s="154"/>
      <c r="AG261" s="154"/>
      <c r="AH261" s="129"/>
      <c r="AI261" s="130"/>
      <c r="AK261" s="154"/>
      <c r="AL261" s="154"/>
      <c r="AM261" s="154"/>
      <c r="AN261" s="129"/>
      <c r="AO261" s="130"/>
      <c r="AQ261" s="154"/>
      <c r="AR261" s="154"/>
      <c r="AS261" s="154"/>
      <c r="AT261" s="129"/>
      <c r="AU261" s="130"/>
      <c r="AW261" s="154"/>
      <c r="AX261" s="154"/>
      <c r="AY261" s="154"/>
      <c r="AZ261" s="129"/>
      <c r="BA261" s="130"/>
    </row>
    <row r="262" spans="1:53" ht="17.100000000000001" customHeight="1" x14ac:dyDescent="0.25">
      <c r="A262" s="40"/>
      <c r="B262" s="40"/>
      <c r="C262" s="119"/>
      <c r="D262" s="931" t="s">
        <v>666</v>
      </c>
      <c r="E262" s="150"/>
      <c r="F262" s="151"/>
      <c r="G262" s="151"/>
      <c r="H262" s="119"/>
      <c r="I262" s="236"/>
      <c r="J262" s="152"/>
      <c r="K262" s="152"/>
      <c r="L262" s="111"/>
      <c r="M262" s="111"/>
      <c r="N262" s="111"/>
      <c r="O262" s="111"/>
      <c r="P262" s="111"/>
      <c r="Q262" s="111"/>
      <c r="R262" s="111"/>
      <c r="S262" s="111"/>
      <c r="T262" s="111"/>
      <c r="U262" s="111"/>
      <c r="V262" s="358"/>
      <c r="W262" s="380"/>
      <c r="X262" s="111"/>
      <c r="Y262" s="932"/>
      <c r="Z262" s="131"/>
      <c r="AA262" s="131"/>
      <c r="AB262" s="131"/>
      <c r="AC262" s="113"/>
      <c r="AE262" s="152"/>
      <c r="AF262" s="152"/>
      <c r="AG262" s="111"/>
      <c r="AH262" s="932"/>
      <c r="AI262" s="131"/>
      <c r="AK262" s="152"/>
      <c r="AL262" s="152"/>
      <c r="AM262" s="111"/>
      <c r="AN262" s="932"/>
      <c r="AO262" s="131"/>
      <c r="AQ262" s="152"/>
      <c r="AR262" s="152"/>
      <c r="AS262" s="111"/>
      <c r="AT262" s="932"/>
      <c r="AU262" s="131"/>
      <c r="AW262" s="152"/>
      <c r="AX262" s="152"/>
      <c r="AY262" s="111"/>
      <c r="AZ262" s="932"/>
      <c r="BA262" s="131"/>
    </row>
    <row r="263" spans="1:53" ht="17.100000000000001" customHeight="1" x14ac:dyDescent="0.25">
      <c r="A263" s="40"/>
      <c r="B263" s="40"/>
      <c r="C263" s="119"/>
      <c r="D263" s="293" t="s">
        <v>414</v>
      </c>
      <c r="E263" s="142"/>
      <c r="F263" s="143"/>
      <c r="G263" s="143"/>
      <c r="H263" s="245"/>
      <c r="I263" s="239"/>
      <c r="J263" s="154"/>
      <c r="K263" s="154"/>
      <c r="L263" s="154"/>
      <c r="M263" s="154"/>
      <c r="N263" s="154">
        <f t="shared" ref="N263:O268" si="317">N178</f>
        <v>0</v>
      </c>
      <c r="O263" s="154">
        <f t="shared" si="317"/>
        <v>0</v>
      </c>
      <c r="P263" s="154"/>
      <c r="Q263" s="154">
        <f>Q178</f>
        <v>0</v>
      </c>
      <c r="R263" s="154">
        <f>R178</f>
        <v>0</v>
      </c>
      <c r="S263" s="154"/>
      <c r="T263" s="154">
        <f>T178</f>
        <v>0</v>
      </c>
      <c r="U263" s="154">
        <f>U178</f>
        <v>0</v>
      </c>
      <c r="V263" s="159"/>
      <c r="W263" s="387"/>
      <c r="X263" s="154"/>
      <c r="Y263" s="129"/>
      <c r="Z263" s="130"/>
      <c r="AA263" s="130"/>
      <c r="AB263" s="130"/>
      <c r="AC263" s="125"/>
      <c r="AE263" s="154"/>
      <c r="AF263" s="154"/>
      <c r="AG263" s="154"/>
      <c r="AH263" s="129"/>
      <c r="AI263" s="130"/>
      <c r="AK263" s="154"/>
      <c r="AL263" s="154"/>
      <c r="AM263" s="154"/>
      <c r="AN263" s="129"/>
      <c r="AO263" s="130"/>
      <c r="AQ263" s="154"/>
      <c r="AR263" s="154"/>
      <c r="AS263" s="154"/>
      <c r="AT263" s="129"/>
      <c r="AU263" s="130"/>
      <c r="AW263" s="154"/>
      <c r="AX263" s="154"/>
      <c r="AY263" s="154"/>
      <c r="AZ263" s="129"/>
      <c r="BA263" s="130"/>
    </row>
    <row r="264" spans="1:53" ht="17.100000000000001" customHeight="1" x14ac:dyDescent="0.25">
      <c r="A264" s="40"/>
      <c r="B264" s="40"/>
      <c r="C264" s="119"/>
      <c r="D264" s="293" t="s">
        <v>415</v>
      </c>
      <c r="E264" s="142"/>
      <c r="F264" s="143"/>
      <c r="G264" s="143"/>
      <c r="H264" s="245"/>
      <c r="I264" s="239"/>
      <c r="J264" s="154"/>
      <c r="K264" s="154"/>
      <c r="L264" s="154"/>
      <c r="M264" s="154"/>
      <c r="N264" s="154">
        <f t="shared" si="317"/>
        <v>0</v>
      </c>
      <c r="O264" s="154">
        <f t="shared" si="317"/>
        <v>0</v>
      </c>
      <c r="P264" s="154"/>
      <c r="Q264" s="154">
        <f t="shared" ref="Q264:R268" si="318">Q179</f>
        <v>2</v>
      </c>
      <c r="R264" s="154">
        <f t="shared" si="318"/>
        <v>4</v>
      </c>
      <c r="S264" s="154"/>
      <c r="T264" s="154">
        <f t="shared" ref="T264:U268" si="319">T179</f>
        <v>0</v>
      </c>
      <c r="U264" s="154">
        <f t="shared" si="319"/>
        <v>0</v>
      </c>
      <c r="V264" s="159"/>
      <c r="W264" s="387"/>
      <c r="X264" s="154"/>
      <c r="Y264" s="129"/>
      <c r="Z264" s="130"/>
      <c r="AA264" s="130"/>
      <c r="AB264" s="130"/>
      <c r="AC264" s="125"/>
      <c r="AE264" s="154"/>
      <c r="AF264" s="154"/>
      <c r="AG264" s="154"/>
      <c r="AH264" s="129"/>
      <c r="AI264" s="130"/>
      <c r="AK264" s="154"/>
      <c r="AL264" s="154"/>
      <c r="AM264" s="154"/>
      <c r="AN264" s="129"/>
      <c r="AO264" s="130"/>
      <c r="AQ264" s="154"/>
      <c r="AR264" s="154"/>
      <c r="AS264" s="154"/>
      <c r="AT264" s="129"/>
      <c r="AU264" s="130"/>
      <c r="AW264" s="154"/>
      <c r="AX264" s="154"/>
      <c r="AY264" s="154"/>
      <c r="AZ264" s="129"/>
      <c r="BA264" s="130"/>
    </row>
    <row r="265" spans="1:53" ht="17.100000000000001" customHeight="1" x14ac:dyDescent="0.25">
      <c r="A265" s="40"/>
      <c r="B265" s="40"/>
      <c r="C265" s="119"/>
      <c r="D265" s="293" t="s">
        <v>416</v>
      </c>
      <c r="E265" s="142"/>
      <c r="F265" s="143"/>
      <c r="G265" s="143"/>
      <c r="H265" s="245"/>
      <c r="I265" s="239"/>
      <c r="J265" s="154"/>
      <c r="K265" s="154"/>
      <c r="L265" s="154"/>
      <c r="M265" s="154"/>
      <c r="N265" s="154">
        <f t="shared" si="317"/>
        <v>0</v>
      </c>
      <c r="O265" s="154">
        <f t="shared" si="317"/>
        <v>0</v>
      </c>
      <c r="P265" s="154"/>
      <c r="Q265" s="154">
        <f t="shared" si="318"/>
        <v>0</v>
      </c>
      <c r="R265" s="154">
        <f t="shared" si="318"/>
        <v>0</v>
      </c>
      <c r="S265" s="154"/>
      <c r="T265" s="154">
        <f t="shared" si="319"/>
        <v>0</v>
      </c>
      <c r="U265" s="154">
        <f t="shared" si="319"/>
        <v>0</v>
      </c>
      <c r="V265" s="159"/>
      <c r="W265" s="387"/>
      <c r="X265" s="154"/>
      <c r="Y265" s="129"/>
      <c r="Z265" s="130"/>
      <c r="AA265" s="130"/>
      <c r="AB265" s="130"/>
      <c r="AC265" s="125"/>
      <c r="AE265" s="154"/>
      <c r="AF265" s="154"/>
      <c r="AG265" s="154"/>
      <c r="AH265" s="129"/>
      <c r="AI265" s="130"/>
      <c r="AK265" s="154"/>
      <c r="AL265" s="154"/>
      <c r="AM265" s="154"/>
      <c r="AN265" s="129"/>
      <c r="AO265" s="130"/>
      <c r="AQ265" s="154"/>
      <c r="AR265" s="154"/>
      <c r="AS265" s="154"/>
      <c r="AT265" s="129"/>
      <c r="AU265" s="130"/>
      <c r="AW265" s="154"/>
      <c r="AX265" s="154"/>
      <c r="AY265" s="154"/>
      <c r="AZ265" s="129"/>
      <c r="BA265" s="130"/>
    </row>
    <row r="266" spans="1:53" ht="17.100000000000001" customHeight="1" x14ac:dyDescent="0.25">
      <c r="A266" s="40"/>
      <c r="B266" s="40"/>
      <c r="C266" s="119"/>
      <c r="D266" s="293" t="s">
        <v>127</v>
      </c>
      <c r="E266" s="142"/>
      <c r="F266" s="143"/>
      <c r="G266" s="143"/>
      <c r="H266" s="245"/>
      <c r="I266" s="239"/>
      <c r="J266" s="154"/>
      <c r="K266" s="154"/>
      <c r="L266" s="154"/>
      <c r="M266" s="154"/>
      <c r="N266" s="154">
        <f t="shared" si="317"/>
        <v>0</v>
      </c>
      <c r="O266" s="154">
        <f t="shared" si="317"/>
        <v>1</v>
      </c>
      <c r="P266" s="154"/>
      <c r="Q266" s="154">
        <f t="shared" si="318"/>
        <v>1</v>
      </c>
      <c r="R266" s="154">
        <f t="shared" si="318"/>
        <v>0</v>
      </c>
      <c r="S266" s="154"/>
      <c r="T266" s="154">
        <f t="shared" si="319"/>
        <v>0</v>
      </c>
      <c r="U266" s="154">
        <f t="shared" si="319"/>
        <v>0</v>
      </c>
      <c r="V266" s="159"/>
      <c r="W266" s="387"/>
      <c r="X266" s="154"/>
      <c r="Y266" s="129"/>
      <c r="Z266" s="130"/>
      <c r="AA266" s="130"/>
      <c r="AB266" s="130"/>
      <c r="AC266" s="125"/>
      <c r="AE266" s="154"/>
      <c r="AF266" s="154"/>
      <c r="AG266" s="154"/>
      <c r="AH266" s="129"/>
      <c r="AI266" s="130"/>
      <c r="AK266" s="154"/>
      <c r="AL266" s="154"/>
      <c r="AM266" s="154"/>
      <c r="AN266" s="129"/>
      <c r="AO266" s="130"/>
      <c r="AQ266" s="154"/>
      <c r="AR266" s="154"/>
      <c r="AS266" s="154"/>
      <c r="AT266" s="129"/>
      <c r="AU266" s="130"/>
      <c r="AW266" s="154"/>
      <c r="AX266" s="154"/>
      <c r="AY266" s="154"/>
      <c r="AZ266" s="129"/>
      <c r="BA266" s="130"/>
    </row>
    <row r="267" spans="1:53" ht="17.100000000000001" customHeight="1" x14ac:dyDescent="0.25">
      <c r="A267" s="40"/>
      <c r="B267" s="40"/>
      <c r="C267" s="119"/>
      <c r="D267" s="293" t="s">
        <v>417</v>
      </c>
      <c r="E267" s="142"/>
      <c r="F267" s="143"/>
      <c r="G267" s="143"/>
      <c r="H267" s="245"/>
      <c r="I267" s="239"/>
      <c r="J267" s="154"/>
      <c r="K267" s="154"/>
      <c r="L267" s="154"/>
      <c r="M267" s="154"/>
      <c r="N267" s="154">
        <f t="shared" si="317"/>
        <v>0</v>
      </c>
      <c r="O267" s="154">
        <f t="shared" si="317"/>
        <v>4</v>
      </c>
      <c r="P267" s="154"/>
      <c r="Q267" s="154">
        <f t="shared" si="318"/>
        <v>0</v>
      </c>
      <c r="R267" s="154">
        <f t="shared" si="318"/>
        <v>0</v>
      </c>
      <c r="S267" s="154"/>
      <c r="T267" s="154">
        <f t="shared" si="319"/>
        <v>0</v>
      </c>
      <c r="U267" s="154">
        <f t="shared" si="319"/>
        <v>0</v>
      </c>
      <c r="V267" s="159"/>
      <c r="W267" s="387"/>
      <c r="X267" s="154"/>
      <c r="Y267" s="129"/>
      <c r="Z267" s="130"/>
      <c r="AA267" s="130"/>
      <c r="AB267" s="130"/>
      <c r="AC267" s="125"/>
      <c r="AE267" s="154"/>
      <c r="AF267" s="154"/>
      <c r="AG267" s="154"/>
      <c r="AH267" s="129"/>
      <c r="AI267" s="130"/>
      <c r="AK267" s="154"/>
      <c r="AL267" s="154"/>
      <c r="AM267" s="154"/>
      <c r="AN267" s="129"/>
      <c r="AO267" s="130"/>
      <c r="AQ267" s="154"/>
      <c r="AR267" s="154"/>
      <c r="AS267" s="154"/>
      <c r="AT267" s="129"/>
      <c r="AU267" s="130"/>
      <c r="AW267" s="154"/>
      <c r="AX267" s="154"/>
      <c r="AY267" s="154"/>
      <c r="AZ267" s="129"/>
      <c r="BA267" s="130"/>
    </row>
    <row r="268" spans="1:53" ht="17.100000000000001" customHeight="1" x14ac:dyDescent="0.25">
      <c r="A268" s="40"/>
      <c r="B268" s="40"/>
      <c r="C268" s="119"/>
      <c r="D268" s="293" t="s">
        <v>418</v>
      </c>
      <c r="E268" s="142"/>
      <c r="F268" s="143"/>
      <c r="G268" s="143"/>
      <c r="H268" s="245"/>
      <c r="I268" s="239"/>
      <c r="J268" s="154"/>
      <c r="K268" s="154"/>
      <c r="L268" s="154"/>
      <c r="M268" s="154"/>
      <c r="N268" s="154">
        <f t="shared" si="317"/>
        <v>0</v>
      </c>
      <c r="O268" s="154">
        <f t="shared" si="317"/>
        <v>2</v>
      </c>
      <c r="P268" s="154"/>
      <c r="Q268" s="154">
        <f t="shared" si="318"/>
        <v>0</v>
      </c>
      <c r="R268" s="154">
        <f t="shared" si="318"/>
        <v>0</v>
      </c>
      <c r="S268" s="154"/>
      <c r="T268" s="154">
        <f t="shared" si="319"/>
        <v>0</v>
      </c>
      <c r="U268" s="154">
        <f t="shared" si="319"/>
        <v>0</v>
      </c>
      <c r="V268" s="159"/>
      <c r="W268" s="387"/>
      <c r="X268" s="154"/>
      <c r="Y268" s="129"/>
      <c r="Z268" s="130"/>
      <c r="AA268" s="130"/>
      <c r="AB268" s="130"/>
      <c r="AC268" s="125"/>
      <c r="AE268" s="154"/>
      <c r="AF268" s="154"/>
      <c r="AG268" s="154"/>
      <c r="AH268" s="129"/>
      <c r="AI268" s="130"/>
      <c r="AK268" s="154"/>
      <c r="AL268" s="154"/>
      <c r="AM268" s="154"/>
      <c r="AN268" s="129"/>
      <c r="AO268" s="130"/>
      <c r="AQ268" s="154"/>
      <c r="AR268" s="154"/>
      <c r="AS268" s="154"/>
      <c r="AT268" s="129"/>
      <c r="AU268" s="130"/>
      <c r="AW268" s="154"/>
      <c r="AX268" s="154"/>
      <c r="AY268" s="154"/>
      <c r="AZ268" s="129"/>
      <c r="BA268" s="130"/>
    </row>
    <row r="269" spans="1:53" s="158" customFormat="1" ht="17.100000000000001" customHeight="1" x14ac:dyDescent="0.25">
      <c r="A269" s="102"/>
      <c r="B269" s="102"/>
      <c r="C269" s="928"/>
      <c r="D269" s="944" t="s">
        <v>922</v>
      </c>
      <c r="E269" s="945"/>
      <c r="F269" s="946"/>
      <c r="G269" s="946"/>
      <c r="H269" s="242"/>
      <c r="I269" s="230"/>
      <c r="J269" s="160"/>
      <c r="K269" s="160"/>
      <c r="L269" s="160"/>
      <c r="M269" s="160"/>
      <c r="N269" s="160">
        <f>SUM(N263:N268)</f>
        <v>0</v>
      </c>
      <c r="O269" s="160">
        <f>SUM(O263:O268)</f>
        <v>7</v>
      </c>
      <c r="P269" s="160"/>
      <c r="Q269" s="160">
        <f>SUM(Q263:Q268)</f>
        <v>3</v>
      </c>
      <c r="R269" s="160">
        <f>SUM(R263:R268)</f>
        <v>4</v>
      </c>
      <c r="S269" s="160"/>
      <c r="T269" s="160">
        <f>SUM(T263:T268)</f>
        <v>0</v>
      </c>
      <c r="U269" s="160">
        <f>SUM(U263:U268)</f>
        <v>0</v>
      </c>
      <c r="V269" s="947"/>
      <c r="W269" s="948"/>
      <c r="X269" s="160"/>
      <c r="Y269" s="129"/>
      <c r="Z269" s="949"/>
      <c r="AA269" s="949"/>
      <c r="AB269" s="949"/>
      <c r="AC269" s="904"/>
      <c r="AE269" s="160"/>
      <c r="AF269" s="160"/>
      <c r="AG269" s="160"/>
      <c r="AH269" s="129"/>
      <c r="AI269" s="949"/>
      <c r="AJ269" s="409"/>
      <c r="AK269" s="160"/>
      <c r="AL269" s="160"/>
      <c r="AM269" s="160"/>
      <c r="AN269" s="129"/>
      <c r="AO269" s="949"/>
      <c r="AP269" s="409"/>
      <c r="AQ269" s="160"/>
      <c r="AR269" s="160"/>
      <c r="AS269" s="160"/>
      <c r="AT269" s="129"/>
      <c r="AU269" s="949"/>
      <c r="AV269" s="409"/>
      <c r="AW269" s="160"/>
      <c r="AX269" s="160"/>
      <c r="AY269" s="160"/>
      <c r="AZ269" s="129"/>
      <c r="BA269" s="949"/>
    </row>
    <row r="270" spans="1:53" ht="17.100000000000001" customHeight="1" x14ac:dyDescent="0.25">
      <c r="A270" s="40"/>
      <c r="B270" s="40"/>
      <c r="C270" s="119"/>
      <c r="D270" s="293" t="s">
        <v>938</v>
      </c>
      <c r="E270" s="142"/>
      <c r="F270" s="143"/>
      <c r="G270" s="143"/>
      <c r="H270" s="245"/>
      <c r="I270" s="239"/>
      <c r="J270" s="154"/>
      <c r="K270" s="154"/>
      <c r="L270" s="154"/>
      <c r="M270" s="154"/>
      <c r="N270" s="154"/>
      <c r="O270" s="154"/>
      <c r="P270" s="154"/>
      <c r="Q270" s="154"/>
      <c r="R270" s="154"/>
      <c r="S270" s="154"/>
      <c r="T270" s="154"/>
      <c r="U270" s="154"/>
      <c r="V270" s="159"/>
      <c r="W270" s="387"/>
      <c r="X270" s="154"/>
      <c r="Y270" s="129"/>
      <c r="Z270" s="130"/>
      <c r="AA270" s="130"/>
      <c r="AB270" s="130"/>
      <c r="AC270" s="125"/>
      <c r="AE270" s="154"/>
      <c r="AF270" s="154"/>
      <c r="AG270" s="154"/>
      <c r="AH270" s="129"/>
      <c r="AI270" s="130"/>
      <c r="AK270" s="154"/>
      <c r="AL270" s="154"/>
      <c r="AM270" s="154"/>
      <c r="AN270" s="129"/>
      <c r="AO270" s="130"/>
      <c r="AQ270" s="154"/>
      <c r="AR270" s="154"/>
      <c r="AS270" s="154"/>
      <c r="AT270" s="129"/>
      <c r="AU270" s="130"/>
      <c r="AW270" s="154"/>
      <c r="AX270" s="154"/>
      <c r="AY270" s="154"/>
      <c r="AZ270" s="129"/>
      <c r="BA270" s="130"/>
    </row>
    <row r="271" spans="1:53" ht="17.100000000000001" customHeight="1" x14ac:dyDescent="0.25">
      <c r="A271" s="40"/>
      <c r="B271" s="40"/>
      <c r="C271" s="119"/>
      <c r="D271" s="293" t="s">
        <v>414</v>
      </c>
      <c r="E271" s="142"/>
      <c r="F271" s="143"/>
      <c r="G271" s="143"/>
      <c r="H271" s="245"/>
      <c r="I271" s="239"/>
      <c r="J271" s="154"/>
      <c r="K271" s="154"/>
      <c r="L271" s="154"/>
      <c r="M271" s="154"/>
      <c r="N271" s="950">
        <f>IF(N263&gt;0,N263*2,0)</f>
        <v>0</v>
      </c>
      <c r="O271" s="950">
        <f>IF(O263&gt;0,O263*2,0)</f>
        <v>0</v>
      </c>
      <c r="P271" s="154"/>
      <c r="Q271" s="950">
        <f>IF(Q263&gt;0,Q263*2,0)</f>
        <v>0</v>
      </c>
      <c r="R271" s="950">
        <f>IF(R263&gt;0,R263*2,0)</f>
        <v>0</v>
      </c>
      <c r="S271" s="154"/>
      <c r="T271" s="950">
        <f>IF(T263&gt;0,T263*2,0)</f>
        <v>0</v>
      </c>
      <c r="U271" s="950">
        <f>IF(U263&gt;0,U263*2,0)</f>
        <v>0</v>
      </c>
      <c r="V271" s="159"/>
      <c r="W271" s="387"/>
      <c r="X271" s="154"/>
      <c r="Y271" s="129"/>
      <c r="Z271" s="130"/>
      <c r="AA271" s="130"/>
      <c r="AB271" s="130"/>
      <c r="AC271" s="125"/>
      <c r="AE271" s="154"/>
      <c r="AF271" s="154"/>
      <c r="AG271" s="154"/>
      <c r="AH271" s="129"/>
      <c r="AI271" s="130"/>
      <c r="AK271" s="154"/>
      <c r="AL271" s="154"/>
      <c r="AM271" s="154"/>
      <c r="AN271" s="129"/>
      <c r="AO271" s="130"/>
      <c r="AQ271" s="154"/>
      <c r="AR271" s="154"/>
      <c r="AS271" s="154"/>
      <c r="AT271" s="129"/>
      <c r="AU271" s="130"/>
      <c r="AW271" s="154"/>
      <c r="AX271" s="154"/>
      <c r="AY271" s="154"/>
      <c r="AZ271" s="129"/>
      <c r="BA271" s="130"/>
    </row>
    <row r="272" spans="1:53" ht="17.100000000000001" customHeight="1" x14ac:dyDescent="0.25">
      <c r="A272" s="40"/>
      <c r="B272" s="40"/>
      <c r="C272" s="119"/>
      <c r="D272" s="293" t="s">
        <v>415</v>
      </c>
      <c r="E272" s="142"/>
      <c r="F272" s="143"/>
      <c r="G272" s="143"/>
      <c r="H272" s="245"/>
      <c r="I272" s="239"/>
      <c r="J272" s="154"/>
      <c r="K272" s="154"/>
      <c r="L272" s="154"/>
      <c r="M272" s="154"/>
      <c r="N272" s="950">
        <f>IF(N264&gt;0,N264*3,0)</f>
        <v>0</v>
      </c>
      <c r="O272" s="950">
        <f>IF(O264&gt;0,O264*3,0)</f>
        <v>0</v>
      </c>
      <c r="P272" s="154"/>
      <c r="Q272" s="950">
        <f>IF(Q264&gt;0,Q264*3,0)</f>
        <v>6</v>
      </c>
      <c r="R272" s="950">
        <f>IF(R264&gt;0,R264*3,0)</f>
        <v>12</v>
      </c>
      <c r="S272" s="154"/>
      <c r="T272" s="950">
        <f>IF(T264&gt;0,T264*3,0)</f>
        <v>0</v>
      </c>
      <c r="U272" s="950">
        <f>IF(U264&gt;0,U264*3,0)</f>
        <v>0</v>
      </c>
      <c r="V272" s="159"/>
      <c r="W272" s="387"/>
      <c r="X272" s="154"/>
      <c r="Y272" s="129"/>
      <c r="Z272" s="130"/>
      <c r="AA272" s="130"/>
      <c r="AB272" s="130"/>
      <c r="AC272" s="125"/>
      <c r="AE272" s="154"/>
      <c r="AF272" s="154"/>
      <c r="AG272" s="154"/>
      <c r="AH272" s="129"/>
      <c r="AI272" s="130"/>
      <c r="AK272" s="154"/>
      <c r="AL272" s="154"/>
      <c r="AM272" s="154"/>
      <c r="AN272" s="129"/>
      <c r="AO272" s="130"/>
      <c r="AQ272" s="154"/>
      <c r="AR272" s="154"/>
      <c r="AS272" s="154"/>
      <c r="AT272" s="129"/>
      <c r="AU272" s="130"/>
      <c r="AW272" s="154"/>
      <c r="AX272" s="154"/>
      <c r="AY272" s="154"/>
      <c r="AZ272" s="129"/>
      <c r="BA272" s="130"/>
    </row>
    <row r="273" spans="1:53" ht="17.100000000000001" customHeight="1" x14ac:dyDescent="0.25">
      <c r="A273" s="40"/>
      <c r="B273" s="40"/>
      <c r="C273" s="119"/>
      <c r="D273" s="293" t="s">
        <v>416</v>
      </c>
      <c r="E273" s="142"/>
      <c r="F273" s="143"/>
      <c r="G273" s="143"/>
      <c r="H273" s="245"/>
      <c r="I273" s="239"/>
      <c r="J273" s="154"/>
      <c r="K273" s="154"/>
      <c r="L273" s="154"/>
      <c r="M273" s="154"/>
      <c r="N273" s="950">
        <f>IF(N265&gt;0,N265*4,0)</f>
        <v>0</v>
      </c>
      <c r="O273" s="950">
        <f>IF(O265&gt;0,O265*4,0)</f>
        <v>0</v>
      </c>
      <c r="P273" s="154"/>
      <c r="Q273" s="950">
        <f>IF(Q265&gt;0,Q265*4,0)</f>
        <v>0</v>
      </c>
      <c r="R273" s="950">
        <f>IF(R265&gt;0,R265*4,0)</f>
        <v>0</v>
      </c>
      <c r="S273" s="154"/>
      <c r="T273" s="950">
        <f>IF(T265&gt;0,T265*4,0)</f>
        <v>0</v>
      </c>
      <c r="U273" s="950">
        <f>IF(U265&gt;0,U265*4,0)</f>
        <v>0</v>
      </c>
      <c r="V273" s="159"/>
      <c r="W273" s="387"/>
      <c r="X273" s="154"/>
      <c r="Y273" s="129"/>
      <c r="Z273" s="130"/>
      <c r="AA273" s="130"/>
      <c r="AB273" s="130"/>
      <c r="AC273" s="125"/>
      <c r="AE273" s="154"/>
      <c r="AF273" s="154"/>
      <c r="AG273" s="154"/>
      <c r="AH273" s="129"/>
      <c r="AI273" s="130"/>
      <c r="AK273" s="154"/>
      <c r="AL273" s="154"/>
      <c r="AM273" s="154"/>
      <c r="AN273" s="129"/>
      <c r="AO273" s="130"/>
      <c r="AQ273" s="154"/>
      <c r="AR273" s="154"/>
      <c r="AS273" s="154"/>
      <c r="AT273" s="129"/>
      <c r="AU273" s="130"/>
      <c r="AW273" s="154"/>
      <c r="AX273" s="154"/>
      <c r="AY273" s="154"/>
      <c r="AZ273" s="129"/>
      <c r="BA273" s="130"/>
    </row>
    <row r="274" spans="1:53" ht="17.100000000000001" customHeight="1" x14ac:dyDescent="0.25">
      <c r="A274" s="40"/>
      <c r="B274" s="40"/>
      <c r="C274" s="119"/>
      <c r="D274" s="293" t="s">
        <v>127</v>
      </c>
      <c r="E274" s="142"/>
      <c r="F274" s="143"/>
      <c r="G274" s="143"/>
      <c r="H274" s="245"/>
      <c r="I274" s="239"/>
      <c r="J274" s="154"/>
      <c r="K274" s="154"/>
      <c r="L274" s="154"/>
      <c r="M274" s="154"/>
      <c r="N274" s="950">
        <f>IF(N266&gt;0,N266*5,0)</f>
        <v>0</v>
      </c>
      <c r="O274" s="950">
        <f>IF(O266&gt;0,O266*5,0)</f>
        <v>5</v>
      </c>
      <c r="P274" s="154"/>
      <c r="Q274" s="950">
        <f>IF(Q266&gt;0,Q266*5,0)</f>
        <v>5</v>
      </c>
      <c r="R274" s="950">
        <f>IF(R266&gt;0,R266*5,0)</f>
        <v>0</v>
      </c>
      <c r="S274" s="154"/>
      <c r="T274" s="950">
        <f>IF(T266&gt;0,T266*5,0)</f>
        <v>0</v>
      </c>
      <c r="U274" s="950">
        <f>IF(U266&gt;0,U266*5,0)</f>
        <v>0</v>
      </c>
      <c r="V274" s="159"/>
      <c r="W274" s="387"/>
      <c r="X274" s="154"/>
      <c r="Y274" s="129"/>
      <c r="Z274" s="130"/>
      <c r="AA274" s="130"/>
      <c r="AB274" s="130"/>
      <c r="AC274" s="125"/>
      <c r="AE274" s="154"/>
      <c r="AF274" s="154"/>
      <c r="AG274" s="154"/>
      <c r="AH274" s="129"/>
      <c r="AI274" s="130"/>
      <c r="AK274" s="154"/>
      <c r="AL274" s="154"/>
      <c r="AM274" s="154"/>
      <c r="AN274" s="129"/>
      <c r="AO274" s="130"/>
      <c r="AQ274" s="154"/>
      <c r="AR274" s="154"/>
      <c r="AS274" s="154"/>
      <c r="AT274" s="129"/>
      <c r="AU274" s="130"/>
      <c r="AW274" s="154"/>
      <c r="AX274" s="154"/>
      <c r="AY274" s="154"/>
      <c r="AZ274" s="129"/>
      <c r="BA274" s="130"/>
    </row>
    <row r="275" spans="1:53" ht="17.100000000000001" customHeight="1" x14ac:dyDescent="0.25">
      <c r="A275" s="40"/>
      <c r="B275" s="40"/>
      <c r="C275" s="119"/>
      <c r="D275" s="293" t="s">
        <v>417</v>
      </c>
      <c r="E275" s="142"/>
      <c r="F275" s="143"/>
      <c r="G275" s="143"/>
      <c r="H275" s="245"/>
      <c r="I275" s="239"/>
      <c r="J275" s="154"/>
      <c r="K275" s="154"/>
      <c r="L275" s="154"/>
      <c r="M275" s="154"/>
      <c r="N275" s="950">
        <f>IF(N267&gt;0,N267*6,0)</f>
        <v>0</v>
      </c>
      <c r="O275" s="950">
        <f>IF(O267&gt;0,O267*6,0)</f>
        <v>24</v>
      </c>
      <c r="P275" s="154"/>
      <c r="Q275" s="950">
        <f>IF(Q267&gt;0,Q267*6,0)</f>
        <v>0</v>
      </c>
      <c r="R275" s="950">
        <f>IF(R267&gt;0,R267*6,0)</f>
        <v>0</v>
      </c>
      <c r="S275" s="154"/>
      <c r="T275" s="950">
        <f>IF(T267&gt;0,T267*6,0)</f>
        <v>0</v>
      </c>
      <c r="U275" s="950">
        <f>IF(U267&gt;0,U267*6,0)</f>
        <v>0</v>
      </c>
      <c r="V275" s="159"/>
      <c r="W275" s="387"/>
      <c r="X275" s="154"/>
      <c r="Y275" s="129"/>
      <c r="Z275" s="130"/>
      <c r="AA275" s="130"/>
      <c r="AB275" s="130"/>
      <c r="AC275" s="125"/>
      <c r="AE275" s="154"/>
      <c r="AF275" s="154"/>
      <c r="AG275" s="154"/>
      <c r="AH275" s="129"/>
      <c r="AI275" s="130"/>
      <c r="AK275" s="154"/>
      <c r="AL275" s="154"/>
      <c r="AM275" s="154"/>
      <c r="AN275" s="129"/>
      <c r="AO275" s="130"/>
      <c r="AQ275" s="154"/>
      <c r="AR275" s="154"/>
      <c r="AS275" s="154"/>
      <c r="AT275" s="129"/>
      <c r="AU275" s="130"/>
      <c r="AW275" s="154"/>
      <c r="AX275" s="154"/>
      <c r="AY275" s="154"/>
      <c r="AZ275" s="129"/>
      <c r="BA275" s="130"/>
    </row>
    <row r="276" spans="1:53" ht="17.100000000000001" customHeight="1" x14ac:dyDescent="0.25">
      <c r="A276" s="951"/>
      <c r="B276" s="951"/>
      <c r="C276" s="119"/>
      <c r="D276" s="293" t="s">
        <v>418</v>
      </c>
      <c r="E276" s="142"/>
      <c r="F276" s="143"/>
      <c r="G276" s="143"/>
      <c r="H276" s="245"/>
      <c r="I276" s="239"/>
      <c r="J276" s="154"/>
      <c r="K276" s="154"/>
      <c r="L276" s="154"/>
      <c r="M276" s="154"/>
      <c r="N276" s="950">
        <f>IF(N268&gt;0,N268*7.5,0)</f>
        <v>0</v>
      </c>
      <c r="O276" s="950">
        <f>IF(O268&gt;0,O268*7.5,"")</f>
        <v>15</v>
      </c>
      <c r="P276" s="154"/>
      <c r="Q276" s="950">
        <f>IF(Q268&gt;0,Q268*7.5,0)</f>
        <v>0</v>
      </c>
      <c r="R276" s="950" t="str">
        <f>IF(R268&gt;0,R268*7.5,"")</f>
        <v/>
      </c>
      <c r="S276" s="154"/>
      <c r="T276" s="950">
        <f>IF(T268&gt;0,T268*7.5,0)</f>
        <v>0</v>
      </c>
      <c r="U276" s="950" t="str">
        <f>IF(U268&gt;0,U268*7.5,"")</f>
        <v/>
      </c>
      <c r="V276" s="159"/>
      <c r="W276" s="387"/>
      <c r="X276" s="154"/>
      <c r="Y276" s="129"/>
      <c r="Z276" s="130"/>
      <c r="AA276" s="130"/>
      <c r="AB276" s="130"/>
      <c r="AC276" s="125"/>
      <c r="AE276" s="154"/>
      <c r="AF276" s="154"/>
      <c r="AG276" s="154"/>
      <c r="AH276" s="129"/>
      <c r="AI276" s="130"/>
      <c r="AK276" s="154"/>
      <c r="AL276" s="154"/>
      <c r="AM276" s="154"/>
      <c r="AN276" s="129"/>
      <c r="AO276" s="130"/>
      <c r="AQ276" s="154"/>
      <c r="AR276" s="154"/>
      <c r="AS276" s="154"/>
      <c r="AT276" s="129"/>
      <c r="AU276" s="130"/>
      <c r="AW276" s="154"/>
      <c r="AX276" s="154"/>
      <c r="AY276" s="154"/>
      <c r="AZ276" s="129"/>
      <c r="BA276" s="130"/>
    </row>
    <row r="277" spans="1:53" ht="17.100000000000001" customHeight="1" x14ac:dyDescent="0.25">
      <c r="A277" s="40"/>
      <c r="B277" s="40"/>
      <c r="C277" s="119"/>
      <c r="D277" s="293" t="s">
        <v>1441</v>
      </c>
      <c r="E277" s="142"/>
      <c r="F277" s="143"/>
      <c r="G277" s="143"/>
      <c r="H277" s="245"/>
      <c r="I277" s="239"/>
      <c r="J277" s="534"/>
      <c r="K277" s="154"/>
      <c r="L277" s="154"/>
      <c r="M277" s="154"/>
      <c r="N277" s="952">
        <f>SUM(N271:N276)</f>
        <v>0</v>
      </c>
      <c r="O277" s="952">
        <f>SUM(O271:O276)</f>
        <v>44</v>
      </c>
      <c r="P277" s="154"/>
      <c r="Q277" s="952">
        <f>SUM(Q271:Q276)</f>
        <v>11</v>
      </c>
      <c r="R277" s="952">
        <f>SUM(R271:R276)</f>
        <v>12</v>
      </c>
      <c r="S277" s="154"/>
      <c r="T277" s="952">
        <f>SUM(T271:T276)</f>
        <v>0</v>
      </c>
      <c r="U277" s="952">
        <f>SUM(U271:U276)</f>
        <v>0</v>
      </c>
      <c r="V277" s="159"/>
      <c r="W277" s="387"/>
      <c r="X277" s="154"/>
      <c r="Y277" s="129"/>
      <c r="Z277" s="130"/>
      <c r="AA277" s="130"/>
      <c r="AB277" s="130"/>
      <c r="AC277" s="125"/>
      <c r="AE277" s="154"/>
      <c r="AF277" s="154"/>
      <c r="AG277" s="154"/>
      <c r="AH277" s="129"/>
      <c r="AI277" s="130"/>
      <c r="AK277" s="154"/>
      <c r="AL277" s="154"/>
      <c r="AM277" s="154"/>
      <c r="AN277" s="129"/>
      <c r="AO277" s="130"/>
      <c r="AQ277" s="154"/>
      <c r="AR277" s="154"/>
      <c r="AS277" s="154"/>
      <c r="AT277" s="129"/>
      <c r="AU277" s="130"/>
      <c r="AW277" s="154"/>
      <c r="AX277" s="154"/>
      <c r="AY277" s="154"/>
      <c r="AZ277" s="129"/>
      <c r="BA277" s="130"/>
    </row>
    <row r="278" spans="1:53" s="409" customFormat="1" ht="17.100000000000001" customHeight="1" x14ac:dyDescent="0.25">
      <c r="A278" s="928"/>
      <c r="B278" s="928"/>
      <c r="C278" s="928"/>
      <c r="D278" s="559" t="s">
        <v>939</v>
      </c>
      <c r="E278" s="556"/>
      <c r="F278" s="92"/>
      <c r="G278" s="92"/>
      <c r="H278" s="242"/>
      <c r="I278" s="230"/>
      <c r="J278" s="536"/>
      <c r="K278" s="536"/>
      <c r="L278" s="155"/>
      <c r="M278" s="155"/>
      <c r="N278" s="536" t="str">
        <f>IF(N269=0,"",N277/N269)</f>
        <v/>
      </c>
      <c r="O278" s="536">
        <f>IF(O269=0,"",O277/O269)</f>
        <v>6.2857142857142856</v>
      </c>
      <c r="P278" s="155"/>
      <c r="Q278" s="536">
        <f>IF(Q269=0,"",Q277/Q269)</f>
        <v>3.6666666666666665</v>
      </c>
      <c r="R278" s="536">
        <f>IF(R269=0,"",R277/R269)</f>
        <v>3</v>
      </c>
      <c r="S278" s="155"/>
      <c r="T278" s="536" t="str">
        <f>IF(T269=0,"",T277/T269)</f>
        <v/>
      </c>
      <c r="U278" s="536" t="str">
        <f>IF(U269=0,"",U277/U269)</f>
        <v/>
      </c>
      <c r="V278" s="366"/>
      <c r="W278" s="550">
        <f>AS278</f>
        <v>3.6666666666666665</v>
      </c>
      <c r="X278" s="537">
        <f>AY278</f>
        <v>4.6428571428571423</v>
      </c>
      <c r="Y278" s="537">
        <f>AC278</f>
        <v>4.3174603174603172</v>
      </c>
      <c r="Z278" s="201"/>
      <c r="AA278" s="340">
        <f>MIN(N278:U278)</f>
        <v>3</v>
      </c>
      <c r="AB278" s="340">
        <f>MAX(N278:U278)</f>
        <v>6.2857142857142856</v>
      </c>
      <c r="AC278" s="560">
        <f>IF(SUM(N278:U278)=0,0,AVERAGE(N278:U278))</f>
        <v>4.3174603174603172</v>
      </c>
      <c r="AE278" s="155"/>
      <c r="AF278" s="155"/>
      <c r="AG278" s="155"/>
      <c r="AH278" s="927"/>
      <c r="AI278" s="201"/>
      <c r="AK278" s="155"/>
      <c r="AL278" s="155"/>
      <c r="AM278" s="155"/>
      <c r="AN278" s="927"/>
      <c r="AO278" s="201"/>
      <c r="AQ278" s="537">
        <f>MIN(N278,Q278,T278)</f>
        <v>3.6666666666666665</v>
      </c>
      <c r="AR278" s="537">
        <f>MAX(N278,Q278,T278)</f>
        <v>3.6666666666666665</v>
      </c>
      <c r="AS278" s="537">
        <f>IF(N277+Q277+T277=0,0,AVERAGE(N278,Q278,T278))</f>
        <v>3.6666666666666665</v>
      </c>
      <c r="AT278" s="560"/>
      <c r="AU278" s="340"/>
      <c r="AV278" s="561"/>
      <c r="AW278" s="537">
        <f>MIN(O278,R278,U278)</f>
        <v>3</v>
      </c>
      <c r="AX278" s="537">
        <f>MAX(O278,R278,U278)</f>
        <v>6.2857142857142856</v>
      </c>
      <c r="AY278" s="537">
        <f>IF(O277+R277+U277=0,0,AVERAGE(O278,R278,U278))</f>
        <v>4.6428571428571423</v>
      </c>
      <c r="AZ278" s="927"/>
      <c r="BA278" s="201"/>
    </row>
    <row r="279" spans="1:53" s="964" customFormat="1" ht="17.100000000000001" customHeight="1" x14ac:dyDescent="0.25">
      <c r="A279" s="177"/>
      <c r="B279" s="177"/>
      <c r="C279" s="953"/>
      <c r="D279" s="954" t="s">
        <v>946</v>
      </c>
      <c r="E279" s="955"/>
      <c r="F279" s="956"/>
      <c r="G279" s="956"/>
      <c r="H279" s="957"/>
      <c r="I279" s="958"/>
      <c r="J279" s="950"/>
      <c r="K279" s="950"/>
      <c r="L279" s="950"/>
      <c r="M279" s="950"/>
      <c r="N279" s="952">
        <f>IF(N277=0,0,N278)</f>
        <v>0</v>
      </c>
      <c r="O279" s="952">
        <f>IF(O277=0,0,O278)</f>
        <v>6.2857142857142856</v>
      </c>
      <c r="P279" s="952"/>
      <c r="Q279" s="952">
        <f>IF(Q277=0,0,Q278)</f>
        <v>3.6666666666666665</v>
      </c>
      <c r="R279" s="952">
        <f>IF(R277=0,0,R278)</f>
        <v>3</v>
      </c>
      <c r="S279" s="952"/>
      <c r="T279" s="952">
        <f>IF(T277=0,0,T278)</f>
        <v>0</v>
      </c>
      <c r="U279" s="952">
        <f>IF(U277=0,0,U278)</f>
        <v>0</v>
      </c>
      <c r="V279" s="959"/>
      <c r="W279" s="960"/>
      <c r="X279" s="950"/>
      <c r="Y279" s="961"/>
      <c r="Z279" s="962"/>
      <c r="AA279" s="962"/>
      <c r="AB279" s="962"/>
      <c r="AC279" s="963"/>
      <c r="AE279" s="950"/>
      <c r="AF279" s="950"/>
      <c r="AG279" s="950"/>
      <c r="AH279" s="961"/>
      <c r="AI279" s="962"/>
      <c r="AJ279" s="965"/>
      <c r="AK279" s="950"/>
      <c r="AL279" s="950"/>
      <c r="AM279" s="950"/>
      <c r="AN279" s="961"/>
      <c r="AO279" s="962"/>
      <c r="AP279" s="965"/>
      <c r="AQ279" s="950"/>
      <c r="AR279" s="950"/>
      <c r="AS279" s="950"/>
      <c r="AT279" s="961"/>
      <c r="AU279" s="962"/>
      <c r="AV279" s="965"/>
      <c r="AW279" s="950"/>
      <c r="AX279" s="950"/>
      <c r="AY279" s="950"/>
      <c r="AZ279" s="961"/>
      <c r="BA279" s="962"/>
    </row>
    <row r="280" spans="1:53" ht="17.100000000000001" customHeight="1" x14ac:dyDescent="0.25">
      <c r="A280" s="40"/>
      <c r="B280" s="40"/>
      <c r="C280" s="40"/>
      <c r="D280" s="930" t="s">
        <v>937</v>
      </c>
      <c r="E280" s="150"/>
      <c r="F280" s="151"/>
      <c r="G280" s="151"/>
      <c r="H280" s="119"/>
      <c r="I280" s="236"/>
      <c r="J280" s="152"/>
      <c r="K280" s="152"/>
      <c r="L280" s="111"/>
      <c r="M280" s="111"/>
      <c r="N280" s="111"/>
      <c r="O280" s="111"/>
      <c r="P280" s="111"/>
      <c r="Q280" s="111"/>
      <c r="R280" s="111"/>
      <c r="S280" s="111"/>
      <c r="T280" s="111"/>
      <c r="U280" s="111"/>
      <c r="V280" s="358"/>
      <c r="W280" s="380"/>
      <c r="X280" s="111"/>
      <c r="Y280" s="932"/>
      <c r="Z280" s="131"/>
      <c r="AA280" s="131"/>
      <c r="AB280" s="131"/>
      <c r="AC280" s="113"/>
      <c r="AE280" s="152"/>
      <c r="AF280" s="152"/>
      <c r="AG280" s="111"/>
      <c r="AH280" s="932"/>
      <c r="AI280" s="131"/>
      <c r="AK280" s="152"/>
      <c r="AL280" s="152"/>
      <c r="AM280" s="111"/>
      <c r="AN280" s="932"/>
      <c r="AO280" s="131"/>
      <c r="AQ280" s="152"/>
      <c r="AR280" s="152"/>
      <c r="AS280" s="111"/>
      <c r="AT280" s="932"/>
      <c r="AU280" s="131"/>
      <c r="AW280" s="152"/>
      <c r="AX280" s="152"/>
      <c r="AY280" s="111"/>
      <c r="AZ280" s="932"/>
      <c r="BA280" s="131"/>
    </row>
    <row r="281" spans="1:53" ht="17.100000000000001" customHeight="1" x14ac:dyDescent="0.25">
      <c r="A281" s="40"/>
      <c r="B281" s="40"/>
      <c r="C281" s="119"/>
      <c r="D281" s="535" t="s">
        <v>947</v>
      </c>
      <c r="E281" s="418"/>
      <c r="F281" s="418"/>
      <c r="G281" s="418"/>
      <c r="H281" s="245"/>
      <c r="I281" s="239"/>
      <c r="J281" s="154"/>
      <c r="K281" s="154"/>
      <c r="L281" s="154"/>
      <c r="M281" s="154"/>
      <c r="N281" s="533">
        <f>1*$J$250+((N279-1)*$J$251)</f>
        <v>-9.8214285714285476E-2</v>
      </c>
      <c r="O281" s="533">
        <f>1*$J$250+((O279-1)*$J$251)</f>
        <v>2.3711734693877498</v>
      </c>
      <c r="P281" s="534"/>
      <c r="Q281" s="533">
        <f>1*$J$250+((Q279-1)*$J$251)</f>
        <v>1.3422619047619018</v>
      </c>
      <c r="R281" s="533">
        <f>1*$J$250+((R279-1)*$J$251)</f>
        <v>1.0803571428571406</v>
      </c>
      <c r="S281" s="154"/>
      <c r="T281" s="533">
        <f>1*$J$250+((T279-1)*$J$251)</f>
        <v>-9.8214285714285476E-2</v>
      </c>
      <c r="U281" s="533">
        <f>1*$J$250+((U279-1)*$J$251)</f>
        <v>-9.8214285714285476E-2</v>
      </c>
      <c r="V281" s="159"/>
      <c r="W281" s="387"/>
      <c r="X281" s="154"/>
      <c r="Y281" s="129"/>
      <c r="Z281" s="130"/>
      <c r="AA281" s="130"/>
      <c r="AB281" s="130"/>
      <c r="AC281" s="125"/>
      <c r="AE281" s="154"/>
      <c r="AF281" s="154"/>
      <c r="AG281" s="154"/>
      <c r="AH281" s="129"/>
      <c r="AI281" s="130"/>
      <c r="AK281" s="154"/>
      <c r="AL281" s="154"/>
      <c r="AM281" s="154"/>
      <c r="AN281" s="129"/>
      <c r="AO281" s="130"/>
      <c r="AQ281" s="154"/>
      <c r="AR281" s="154"/>
      <c r="AS281" s="154"/>
      <c r="AT281" s="129"/>
      <c r="AU281" s="130"/>
      <c r="AW281" s="154"/>
      <c r="AX281" s="154"/>
      <c r="AY281" s="154"/>
      <c r="AZ281" s="129"/>
      <c r="BA281" s="130"/>
    </row>
    <row r="282" spans="1:53" ht="17.100000000000001" customHeight="1" x14ac:dyDescent="0.25">
      <c r="A282" s="40"/>
      <c r="B282" s="40"/>
      <c r="C282" s="119"/>
      <c r="D282" s="535" t="s">
        <v>948</v>
      </c>
      <c r="E282" s="418"/>
      <c r="F282" s="418"/>
      <c r="G282" s="418"/>
      <c r="H282" s="245"/>
      <c r="I282" s="239"/>
      <c r="J282" s="154"/>
      <c r="K282" s="154"/>
      <c r="L282" s="154"/>
      <c r="M282" s="154"/>
      <c r="N282" s="533">
        <f>1*$J$252+((N279-1)*$J$253)</f>
        <v>-0.19642857142857101</v>
      </c>
      <c r="O282" s="533">
        <f>1*$J$252+((O279-1)*$J$253)</f>
        <v>2.2729591836734646</v>
      </c>
      <c r="P282" s="534"/>
      <c r="Q282" s="533">
        <f>1*$J$252+((Q279-1)*$J$253)</f>
        <v>1.2440476190476162</v>
      </c>
      <c r="R282" s="533">
        <f>1*$J$252+((R279-1)*$J$253)</f>
        <v>0.98214285714285499</v>
      </c>
      <c r="S282" s="154"/>
      <c r="T282" s="533">
        <f>1*$J$252+((T279-1)*$J$253)</f>
        <v>-0.19642857142857101</v>
      </c>
      <c r="U282" s="533">
        <f>1*$J$252+((U279-1)*$J$253)</f>
        <v>-0.19642857142857101</v>
      </c>
      <c r="V282" s="159"/>
      <c r="W282" s="387"/>
      <c r="X282" s="154"/>
      <c r="Y282" s="129"/>
      <c r="Z282" s="130"/>
      <c r="AA282" s="130"/>
      <c r="AB282" s="130"/>
      <c r="AC282" s="125"/>
      <c r="AE282" s="154"/>
      <c r="AF282" s="154"/>
      <c r="AG282" s="154"/>
      <c r="AH282" s="129"/>
      <c r="AI282" s="130"/>
      <c r="AK282" s="154"/>
      <c r="AL282" s="154"/>
      <c r="AM282" s="154"/>
      <c r="AN282" s="129"/>
      <c r="AO282" s="130"/>
      <c r="AQ282" s="154"/>
      <c r="AR282" s="154"/>
      <c r="AS282" s="154"/>
      <c r="AT282" s="129"/>
      <c r="AU282" s="130"/>
      <c r="AW282" s="154"/>
      <c r="AX282" s="154"/>
      <c r="AY282" s="154"/>
      <c r="AZ282" s="129"/>
      <c r="BA282" s="130"/>
    </row>
    <row r="283" spans="1:53" ht="17.100000000000001" customHeight="1" x14ac:dyDescent="0.25">
      <c r="A283" s="40"/>
      <c r="B283" s="40"/>
      <c r="C283" s="119"/>
      <c r="D283" s="535" t="s">
        <v>949</v>
      </c>
      <c r="E283" s="418"/>
      <c r="F283" s="418"/>
      <c r="G283" s="418"/>
      <c r="H283" s="245"/>
      <c r="I283" s="239"/>
      <c r="J283" s="154"/>
      <c r="K283" s="154"/>
      <c r="L283" s="154"/>
      <c r="M283" s="154"/>
      <c r="N283" s="533">
        <f>(N279-1)*$J$255</f>
        <v>-0.39285714285714202</v>
      </c>
      <c r="O283" s="533">
        <f>(O279-1)*$J$255</f>
        <v>2.0765306122448934</v>
      </c>
      <c r="P283" s="534"/>
      <c r="Q283" s="533">
        <f>(Q279-1)*$J$255</f>
        <v>1.0476190476190452</v>
      </c>
      <c r="R283" s="533">
        <f>(R279-1)*$J$255</f>
        <v>0.78571428571428403</v>
      </c>
      <c r="S283" s="154"/>
      <c r="T283" s="533">
        <f>(T279-1)*$J$255</f>
        <v>-0.39285714285714202</v>
      </c>
      <c r="U283" s="533">
        <f>(U279-1)*$J$255</f>
        <v>-0.39285714285714202</v>
      </c>
      <c r="V283" s="159"/>
      <c r="W283" s="387"/>
      <c r="X283" s="154"/>
      <c r="Y283" s="129"/>
      <c r="Z283" s="130"/>
      <c r="AA283" s="130"/>
      <c r="AB283" s="130"/>
      <c r="AC283" s="125"/>
      <c r="AE283" s="154"/>
      <c r="AF283" s="154"/>
      <c r="AG283" s="154"/>
      <c r="AH283" s="129"/>
      <c r="AI283" s="130"/>
      <c r="AK283" s="154"/>
      <c r="AL283" s="154"/>
      <c r="AM283" s="154"/>
      <c r="AN283" s="129"/>
      <c r="AO283" s="130"/>
      <c r="AQ283" s="154"/>
      <c r="AR283" s="154"/>
      <c r="AS283" s="154"/>
      <c r="AT283" s="129"/>
      <c r="AU283" s="130"/>
      <c r="AW283" s="154"/>
      <c r="AX283" s="154"/>
      <c r="AY283" s="154"/>
      <c r="AZ283" s="129"/>
      <c r="BA283" s="130"/>
    </row>
    <row r="284" spans="1:53" ht="17.100000000000001" customHeight="1" x14ac:dyDescent="0.25">
      <c r="A284" s="40"/>
      <c r="B284" s="40"/>
      <c r="C284" s="119"/>
      <c r="D284" s="535" t="s">
        <v>950</v>
      </c>
      <c r="E284" s="418"/>
      <c r="F284" s="418"/>
      <c r="G284" s="418"/>
      <c r="H284" s="245"/>
      <c r="I284" s="239"/>
      <c r="J284" s="154"/>
      <c r="K284" s="154"/>
      <c r="L284" s="154"/>
      <c r="M284" s="154"/>
      <c r="N284" s="533">
        <f t="shared" ref="N284:O286" si="320">N257*N281</f>
        <v>0</v>
      </c>
      <c r="O284" s="533">
        <f t="shared" si="320"/>
        <v>0</v>
      </c>
      <c r="P284" s="534"/>
      <c r="Q284" s="533">
        <f t="shared" ref="Q284:R286" si="321">Q257*Q281</f>
        <v>0</v>
      </c>
      <c r="R284" s="533">
        <f t="shared" si="321"/>
        <v>1.0803571428571406</v>
      </c>
      <c r="S284" s="154"/>
      <c r="T284" s="533">
        <f t="shared" ref="T284:U286" si="322">T257*T281</f>
        <v>0</v>
      </c>
      <c r="U284" s="533">
        <f t="shared" si="322"/>
        <v>0</v>
      </c>
      <c r="V284" s="159"/>
      <c r="W284" s="387"/>
      <c r="X284" s="154"/>
      <c r="Y284" s="129"/>
      <c r="Z284" s="130"/>
      <c r="AA284" s="130"/>
      <c r="AB284" s="130"/>
      <c r="AC284" s="125"/>
      <c r="AE284" s="154"/>
      <c r="AF284" s="154"/>
      <c r="AG284" s="154"/>
      <c r="AH284" s="129"/>
      <c r="AI284" s="130"/>
      <c r="AK284" s="154"/>
      <c r="AL284" s="154"/>
      <c r="AM284" s="154"/>
      <c r="AN284" s="129"/>
      <c r="AO284" s="130"/>
      <c r="AQ284" s="154"/>
      <c r="AR284" s="154"/>
      <c r="AS284" s="154"/>
      <c r="AT284" s="129"/>
      <c r="AU284" s="130"/>
      <c r="AW284" s="154"/>
      <c r="AX284" s="154"/>
      <c r="AY284" s="154"/>
      <c r="AZ284" s="129"/>
      <c r="BA284" s="130"/>
    </row>
    <row r="285" spans="1:53" ht="17.100000000000001" customHeight="1" x14ac:dyDescent="0.25">
      <c r="A285" s="40"/>
      <c r="B285" s="40"/>
      <c r="C285" s="119"/>
      <c r="D285" s="535" t="s">
        <v>951</v>
      </c>
      <c r="E285" s="418"/>
      <c r="F285" s="418"/>
      <c r="G285" s="418"/>
      <c r="H285" s="245"/>
      <c r="I285" s="239"/>
      <c r="J285" s="154"/>
      <c r="K285" s="154"/>
      <c r="L285" s="154"/>
      <c r="M285" s="154"/>
      <c r="N285" s="533">
        <f t="shared" si="320"/>
        <v>0</v>
      </c>
      <c r="O285" s="533">
        <f t="shared" si="320"/>
        <v>0</v>
      </c>
      <c r="P285" s="534"/>
      <c r="Q285" s="533">
        <f t="shared" si="321"/>
        <v>2.4880952380952324</v>
      </c>
      <c r="R285" s="533">
        <f t="shared" si="321"/>
        <v>2.946428571428565</v>
      </c>
      <c r="S285" s="154"/>
      <c r="T285" s="533">
        <f t="shared" si="322"/>
        <v>0</v>
      </c>
      <c r="U285" s="533">
        <f t="shared" si="322"/>
        <v>0</v>
      </c>
      <c r="V285" s="159"/>
      <c r="W285" s="387"/>
      <c r="X285" s="154"/>
      <c r="Y285" s="129"/>
      <c r="Z285" s="130"/>
      <c r="AA285" s="130"/>
      <c r="AB285" s="130"/>
      <c r="AC285" s="125"/>
      <c r="AE285" s="154"/>
      <c r="AF285" s="154"/>
      <c r="AG285" s="154"/>
      <c r="AH285" s="129"/>
      <c r="AI285" s="130"/>
      <c r="AK285" s="154"/>
      <c r="AL285" s="154"/>
      <c r="AM285" s="154"/>
      <c r="AN285" s="129"/>
      <c r="AO285" s="130"/>
      <c r="AQ285" s="154"/>
      <c r="AR285" s="154"/>
      <c r="AS285" s="154"/>
      <c r="AT285" s="129"/>
      <c r="AU285" s="130"/>
      <c r="AW285" s="154"/>
      <c r="AX285" s="154"/>
      <c r="AY285" s="154"/>
      <c r="AZ285" s="129"/>
      <c r="BA285" s="130"/>
    </row>
    <row r="286" spans="1:53" ht="17.100000000000001" customHeight="1" x14ac:dyDescent="0.25">
      <c r="A286" s="40"/>
      <c r="B286" s="40"/>
      <c r="C286" s="119"/>
      <c r="D286" s="535" t="s">
        <v>952</v>
      </c>
      <c r="E286" s="418"/>
      <c r="F286" s="418"/>
      <c r="G286" s="418"/>
      <c r="H286" s="245"/>
      <c r="I286" s="239"/>
      <c r="J286" s="154"/>
      <c r="K286" s="154"/>
      <c r="L286" s="154"/>
      <c r="M286" s="154"/>
      <c r="N286" s="533">
        <f t="shared" si="320"/>
        <v>0</v>
      </c>
      <c r="O286" s="533">
        <f t="shared" si="320"/>
        <v>16.612244897959147</v>
      </c>
      <c r="P286" s="534"/>
      <c r="Q286" s="533">
        <f t="shared" si="321"/>
        <v>1.0476190476190452</v>
      </c>
      <c r="R286" s="533">
        <f t="shared" si="321"/>
        <v>0</v>
      </c>
      <c r="S286" s="154"/>
      <c r="T286" s="533">
        <f t="shared" si="322"/>
        <v>0</v>
      </c>
      <c r="U286" s="533">
        <f t="shared" si="322"/>
        <v>0</v>
      </c>
      <c r="V286" s="159"/>
      <c r="W286" s="387"/>
      <c r="X286" s="154"/>
      <c r="Y286" s="129"/>
      <c r="Z286" s="130"/>
      <c r="AA286" s="130"/>
      <c r="AB286" s="130"/>
      <c r="AC286" s="125"/>
      <c r="AE286" s="154"/>
      <c r="AF286" s="154"/>
      <c r="AG286" s="154"/>
      <c r="AH286" s="129"/>
      <c r="AI286" s="130"/>
      <c r="AK286" s="154"/>
      <c r="AL286" s="154"/>
      <c r="AM286" s="154"/>
      <c r="AN286" s="129"/>
      <c r="AO286" s="130"/>
      <c r="AQ286" s="154"/>
      <c r="AR286" s="154"/>
      <c r="AS286" s="154"/>
      <c r="AT286" s="129"/>
      <c r="AU286" s="130"/>
      <c r="AW286" s="154"/>
      <c r="AX286" s="154"/>
      <c r="AY286" s="154"/>
      <c r="AZ286" s="129"/>
      <c r="BA286" s="130"/>
    </row>
    <row r="287" spans="1:53" s="409" customFormat="1" ht="17.100000000000001" customHeight="1" x14ac:dyDescent="0.25">
      <c r="A287" s="928"/>
      <c r="B287" s="928"/>
      <c r="C287" s="928"/>
      <c r="D287" s="461" t="s">
        <v>953</v>
      </c>
      <c r="E287" s="212"/>
      <c r="F287" s="212"/>
      <c r="G287" s="212"/>
      <c r="H287" s="242"/>
      <c r="I287" s="230"/>
      <c r="J287" s="155"/>
      <c r="K287" s="155"/>
      <c r="L287" s="155"/>
      <c r="M287" s="155"/>
      <c r="N287" s="537">
        <f>SUM(N284:N286)</f>
        <v>0</v>
      </c>
      <c r="O287" s="537">
        <f>SUM(O284:O286)</f>
        <v>16.612244897959147</v>
      </c>
      <c r="P287" s="536"/>
      <c r="Q287" s="537">
        <f>SUM(Q284:Q286)</f>
        <v>3.5357142857142776</v>
      </c>
      <c r="R287" s="537">
        <f>SUM(R284:R286)</f>
        <v>4.0267857142857055</v>
      </c>
      <c r="S287" s="155"/>
      <c r="T287" s="537">
        <f>SUM(T284:T286)</f>
        <v>0</v>
      </c>
      <c r="U287" s="537">
        <f>SUM(U284:U286)</f>
        <v>0</v>
      </c>
      <c r="V287" s="366"/>
      <c r="W287" s="550">
        <f>N287+Q287+T287</f>
        <v>3.5357142857142776</v>
      </c>
      <c r="X287" s="537">
        <f>O287+R287+U287</f>
        <v>20.639030612244852</v>
      </c>
      <c r="Y287" s="537">
        <f>SUM(W287:X287)</f>
        <v>24.17474489795913</v>
      </c>
      <c r="Z287" s="546"/>
      <c r="AA287" s="537"/>
      <c r="AB287" s="537"/>
      <c r="AC287" s="547"/>
      <c r="AE287" s="154"/>
      <c r="AF287" s="154"/>
      <c r="AG287" s="154"/>
      <c r="AH287" s="129"/>
      <c r="AI287" s="130"/>
      <c r="AJ287" s="117"/>
      <c r="AK287" s="154"/>
      <c r="AL287" s="154"/>
      <c r="AM287" s="154"/>
      <c r="AN287" s="129"/>
      <c r="AO287" s="130"/>
      <c r="AQ287" s="155"/>
      <c r="AR287" s="155"/>
      <c r="AS287" s="155"/>
      <c r="AT287" s="927"/>
      <c r="AU287" s="201"/>
      <c r="AW287" s="155"/>
      <c r="AX287" s="155"/>
      <c r="AY287" s="155"/>
      <c r="AZ287" s="927"/>
      <c r="BA287" s="201"/>
    </row>
    <row r="288" spans="1:53" s="409" customFormat="1" ht="17.100000000000001" customHeight="1" x14ac:dyDescent="0.25">
      <c r="A288" s="928"/>
      <c r="B288" s="928"/>
      <c r="C288" s="928"/>
      <c r="D288" s="461" t="s">
        <v>954</v>
      </c>
      <c r="E288" s="212"/>
      <c r="F288" s="212"/>
      <c r="G288" s="212"/>
      <c r="H288" s="242"/>
      <c r="I288" s="230"/>
      <c r="J288" s="155"/>
      <c r="K288" s="155"/>
      <c r="L288" s="155"/>
      <c r="M288" s="155"/>
      <c r="N288" s="537" t="str">
        <f>IF(N269=0,"",N287/N269)</f>
        <v/>
      </c>
      <c r="O288" s="537">
        <f>IF(O269=0,"",O287/O269)</f>
        <v>2.3731778425655925</v>
      </c>
      <c r="P288" s="536"/>
      <c r="Q288" s="537">
        <f>IF(Q269=0,"",Q287/Q269)</f>
        <v>1.1785714285714259</v>
      </c>
      <c r="R288" s="537">
        <f>IF(R269=0,"",R287/R269)</f>
        <v>1.0066964285714264</v>
      </c>
      <c r="S288" s="155"/>
      <c r="T288" s="537" t="str">
        <f>IF(T269=0,"",T287/T269)</f>
        <v/>
      </c>
      <c r="U288" s="537" t="str">
        <f>IF(U269=0,"",U287/U269)</f>
        <v/>
      </c>
      <c r="V288" s="366"/>
      <c r="W288" s="549"/>
      <c r="X288" s="536"/>
      <c r="Y288" s="164"/>
      <c r="Z288" s="546"/>
      <c r="AA288" s="537">
        <f>MIN(N288:U288)</f>
        <v>1.0066964285714264</v>
      </c>
      <c r="AB288" s="537">
        <f>MAX(N288:U288)</f>
        <v>2.3731778425655925</v>
      </c>
      <c r="AC288" s="548">
        <f>IF(SUM(N288:U288)=0,0,AVERAGE(N288:U288))</f>
        <v>1.519481899902815</v>
      </c>
      <c r="AE288" s="154"/>
      <c r="AF288" s="154"/>
      <c r="AG288" s="154"/>
      <c r="AH288" s="129"/>
      <c r="AI288" s="130"/>
      <c r="AJ288" s="117"/>
      <c r="AK288" s="154"/>
      <c r="AL288" s="154"/>
      <c r="AM288" s="154"/>
      <c r="AN288" s="129"/>
      <c r="AO288" s="130"/>
      <c r="AQ288" s="966">
        <f>MIN(N288,Q288,T288)</f>
        <v>1.1785714285714259</v>
      </c>
      <c r="AR288" s="966">
        <f>MAX(N288,Q288,T288)</f>
        <v>1.1785714285714259</v>
      </c>
      <c r="AS288" s="966">
        <f>IF(N287+Q287+T287=0,0,AVERAGE(N288,Q288,T288))</f>
        <v>1.1785714285714259</v>
      </c>
      <c r="AT288" s="927"/>
      <c r="AU288" s="201"/>
      <c r="AW288" s="537">
        <f>MIN(O288,R288,U288)</f>
        <v>1.0066964285714264</v>
      </c>
      <c r="AX288" s="537">
        <f>MAX(O288,R288,U288)</f>
        <v>2.3731778425655925</v>
      </c>
      <c r="AY288" s="537">
        <f>IF(O287+R287+U287=0,0,AVERAGE(O288,R288,U288))</f>
        <v>1.6899371355685093</v>
      </c>
      <c r="AZ288" s="927"/>
      <c r="BA288" s="201"/>
    </row>
    <row r="289" spans="1:53" ht="17.100000000000001" customHeight="1" x14ac:dyDescent="0.25">
      <c r="A289" s="40"/>
      <c r="B289" s="40"/>
      <c r="C289" s="41" t="s">
        <v>957</v>
      </c>
      <c r="D289" s="551" t="s">
        <v>958</v>
      </c>
      <c r="E289" s="43"/>
      <c r="F289" s="301"/>
      <c r="G289" s="301"/>
      <c r="H289" s="119"/>
      <c r="I289" s="236"/>
      <c r="J289" s="552"/>
      <c r="K289" s="552"/>
      <c r="L289" s="552"/>
      <c r="M289" s="552"/>
      <c r="N289" s="552"/>
      <c r="O289" s="552"/>
      <c r="P289" s="552"/>
      <c r="Q289" s="552"/>
      <c r="R289" s="552"/>
      <c r="S289" s="552"/>
      <c r="T289" s="552"/>
      <c r="U289" s="552"/>
      <c r="V289" s="553"/>
      <c r="W289" s="554"/>
      <c r="X289" s="552"/>
      <c r="Y289" s="89"/>
      <c r="Z289" s="90"/>
      <c r="AA289" s="90"/>
      <c r="AB289" s="90"/>
      <c r="AC289" s="73"/>
      <c r="AD289" s="117"/>
      <c r="AE289" s="552"/>
      <c r="AF289" s="552"/>
      <c r="AG289" s="552"/>
      <c r="AH289" s="89"/>
      <c r="AI289" s="90"/>
      <c r="AK289" s="552"/>
      <c r="AL289" s="552"/>
      <c r="AM289" s="552"/>
      <c r="AN289" s="89"/>
      <c r="AO289" s="90"/>
      <c r="AQ289" s="552"/>
      <c r="AR289" s="552"/>
      <c r="AS289" s="552"/>
      <c r="AT289" s="89"/>
      <c r="AU289" s="90"/>
      <c r="AW289" s="552"/>
      <c r="AX289" s="552"/>
      <c r="AY289" s="552"/>
      <c r="AZ289" s="89"/>
      <c r="BA289" s="90"/>
    </row>
    <row r="290" spans="1:53" ht="17.100000000000001" customHeight="1" x14ac:dyDescent="0.25">
      <c r="A290" s="40"/>
      <c r="B290" s="40"/>
      <c r="C290" s="119"/>
      <c r="D290" s="535" t="s">
        <v>428</v>
      </c>
      <c r="E290" s="142"/>
      <c r="F290" s="143"/>
      <c r="G290" s="143"/>
      <c r="H290" s="119"/>
      <c r="I290" s="236"/>
      <c r="J290" s="154">
        <f t="shared" ref="J290:L295" si="323">J155</f>
        <v>0</v>
      </c>
      <c r="K290" s="154">
        <f t="shared" si="323"/>
        <v>0</v>
      </c>
      <c r="L290" s="154">
        <f t="shared" si="323"/>
        <v>0</v>
      </c>
      <c r="M290" s="154"/>
      <c r="N290" s="154"/>
      <c r="O290" s="154"/>
      <c r="P290" s="154"/>
      <c r="Q290" s="154"/>
      <c r="R290" s="154"/>
      <c r="S290" s="154"/>
      <c r="T290" s="154"/>
      <c r="U290" s="154"/>
      <c r="V290" s="159"/>
      <c r="W290" s="387"/>
      <c r="X290" s="154"/>
      <c r="Y290" s="129"/>
      <c r="Z290" s="130"/>
      <c r="AA290" s="130"/>
      <c r="AB290" s="130"/>
      <c r="AC290" s="125"/>
      <c r="AE290" s="154"/>
      <c r="AF290" s="154"/>
      <c r="AG290" s="154"/>
      <c r="AH290" s="129"/>
      <c r="AI290" s="130"/>
      <c r="AK290" s="154"/>
      <c r="AL290" s="154"/>
      <c r="AM290" s="154"/>
      <c r="AN290" s="129"/>
      <c r="AO290" s="130"/>
      <c r="AQ290" s="557">
        <f>J290*0.75</f>
        <v>0</v>
      </c>
      <c r="AR290" s="154"/>
      <c r="AS290" s="154"/>
      <c r="AT290" s="129"/>
      <c r="AU290" s="130"/>
      <c r="AW290" s="154"/>
      <c r="AX290" s="154"/>
      <c r="AY290" s="154"/>
      <c r="AZ290" s="129"/>
      <c r="BA290" s="130"/>
    </row>
    <row r="291" spans="1:53" ht="17.100000000000001" customHeight="1" x14ac:dyDescent="0.25">
      <c r="A291" s="40"/>
      <c r="B291" s="40"/>
      <c r="C291" s="119"/>
      <c r="D291" s="535" t="s">
        <v>429</v>
      </c>
      <c r="E291" s="142"/>
      <c r="F291" s="143"/>
      <c r="G291" s="143"/>
      <c r="H291" s="119"/>
      <c r="I291" s="236"/>
      <c r="J291" s="154">
        <f t="shared" si="323"/>
        <v>0</v>
      </c>
      <c r="K291" s="154">
        <f>K156</f>
        <v>0</v>
      </c>
      <c r="L291" s="154">
        <f t="shared" si="323"/>
        <v>0</v>
      </c>
      <c r="M291" s="154"/>
      <c r="N291" s="154"/>
      <c r="O291" s="154"/>
      <c r="P291" s="154"/>
      <c r="Q291" s="154"/>
      <c r="R291" s="154"/>
      <c r="S291" s="154"/>
      <c r="T291" s="154"/>
      <c r="U291" s="154"/>
      <c r="V291" s="159"/>
      <c r="W291" s="387"/>
      <c r="X291" s="154"/>
      <c r="Y291" s="129"/>
      <c r="Z291" s="130"/>
      <c r="AA291" s="130"/>
      <c r="AB291" s="130"/>
      <c r="AC291" s="125"/>
      <c r="AD291" s="117"/>
      <c r="AE291" s="154"/>
      <c r="AF291" s="154"/>
      <c r="AG291" s="154"/>
      <c r="AH291" s="129"/>
      <c r="AI291" s="130"/>
      <c r="AK291" s="154"/>
      <c r="AL291" s="154"/>
      <c r="AM291" s="154"/>
      <c r="AN291" s="129"/>
      <c r="AO291" s="130"/>
      <c r="AQ291" s="154"/>
      <c r="AR291" s="154"/>
      <c r="AS291" s="154"/>
      <c r="AT291" s="129"/>
      <c r="AU291" s="130"/>
      <c r="AW291" s="154"/>
      <c r="AX291" s="154"/>
      <c r="AY291" s="154"/>
      <c r="AZ291" s="129"/>
      <c r="BA291" s="130"/>
    </row>
    <row r="292" spans="1:53" ht="17.100000000000001" customHeight="1" x14ac:dyDescent="0.25">
      <c r="A292" s="40"/>
      <c r="B292" s="40"/>
      <c r="C292" s="119"/>
      <c r="D292" s="535" t="s">
        <v>430</v>
      </c>
      <c r="E292" s="142"/>
      <c r="F292" s="143"/>
      <c r="G292" s="143"/>
      <c r="H292" s="119"/>
      <c r="I292" s="236"/>
      <c r="J292" s="154">
        <f t="shared" si="323"/>
        <v>0</v>
      </c>
      <c r="K292" s="154">
        <f>K157</f>
        <v>0</v>
      </c>
      <c r="L292" s="154">
        <f t="shared" si="323"/>
        <v>0</v>
      </c>
      <c r="M292" s="154"/>
      <c r="N292" s="154"/>
      <c r="O292" s="154"/>
      <c r="P292" s="154"/>
      <c r="Q292" s="154"/>
      <c r="R292" s="154"/>
      <c r="S292" s="154"/>
      <c r="T292" s="154"/>
      <c r="U292" s="154"/>
      <c r="V292" s="159"/>
      <c r="W292" s="387"/>
      <c r="X292" s="154"/>
      <c r="Y292" s="129"/>
      <c r="Z292" s="130"/>
      <c r="AA292" s="130"/>
      <c r="AB292" s="130"/>
      <c r="AC292" s="125"/>
      <c r="AE292" s="154"/>
      <c r="AF292" s="154"/>
      <c r="AG292" s="154"/>
      <c r="AH292" s="129"/>
      <c r="AI292" s="130"/>
      <c r="AK292" s="154"/>
      <c r="AL292" s="154"/>
      <c r="AM292" s="154"/>
      <c r="AN292" s="129"/>
      <c r="AO292" s="130"/>
      <c r="AQ292" s="154"/>
      <c r="AR292" s="154"/>
      <c r="AS292" s="154"/>
      <c r="AT292" s="129"/>
      <c r="AU292" s="130"/>
      <c r="AW292" s="154"/>
      <c r="AX292" s="154"/>
      <c r="AY292" s="154"/>
      <c r="AZ292" s="129"/>
      <c r="BA292" s="130"/>
    </row>
    <row r="293" spans="1:53" ht="17.100000000000001" customHeight="1" x14ac:dyDescent="0.25">
      <c r="A293" s="40"/>
      <c r="B293" s="40"/>
      <c r="C293" s="119"/>
      <c r="D293" s="535" t="s">
        <v>431</v>
      </c>
      <c r="E293" s="142"/>
      <c r="F293" s="143"/>
      <c r="G293" s="143"/>
      <c r="H293" s="119"/>
      <c r="I293" s="236"/>
      <c r="J293" s="154">
        <f t="shared" si="323"/>
        <v>0</v>
      </c>
      <c r="K293" s="154">
        <f>K158</f>
        <v>0</v>
      </c>
      <c r="L293" s="154">
        <f t="shared" si="323"/>
        <v>0</v>
      </c>
      <c r="M293" s="154"/>
      <c r="N293" s="154"/>
      <c r="O293" s="154"/>
      <c r="P293" s="154"/>
      <c r="Q293" s="154"/>
      <c r="R293" s="154"/>
      <c r="S293" s="154"/>
      <c r="T293" s="154"/>
      <c r="U293" s="154"/>
      <c r="V293" s="159"/>
      <c r="W293" s="387"/>
      <c r="X293" s="154"/>
      <c r="Y293" s="129"/>
      <c r="Z293" s="130"/>
      <c r="AA293" s="130"/>
      <c r="AB293" s="130"/>
      <c r="AC293" s="125"/>
      <c r="AE293" s="154"/>
      <c r="AF293" s="154"/>
      <c r="AG293" s="154"/>
      <c r="AH293" s="129"/>
      <c r="AI293" s="130"/>
      <c r="AK293" s="154"/>
      <c r="AL293" s="154"/>
      <c r="AM293" s="154"/>
      <c r="AN293" s="129"/>
      <c r="AO293" s="130"/>
      <c r="AQ293" s="154"/>
      <c r="AR293" s="154"/>
      <c r="AS293" s="154"/>
      <c r="AT293" s="129"/>
      <c r="AU293" s="130"/>
      <c r="AW293" s="154"/>
      <c r="AX293" s="154"/>
      <c r="AY293" s="154"/>
      <c r="AZ293" s="129"/>
      <c r="BA293" s="130"/>
    </row>
    <row r="294" spans="1:53" s="158" customFormat="1" ht="17.100000000000001" customHeight="1" x14ac:dyDescent="0.25">
      <c r="A294" s="102"/>
      <c r="B294" s="102"/>
      <c r="C294" s="119"/>
      <c r="D294" s="535" t="s">
        <v>432</v>
      </c>
      <c r="E294" s="142"/>
      <c r="F294" s="143"/>
      <c r="G294" s="143"/>
      <c r="H294" s="182"/>
      <c r="I294" s="240"/>
      <c r="J294" s="154">
        <f t="shared" si="323"/>
        <v>0</v>
      </c>
      <c r="K294" s="154">
        <f>K159</f>
        <v>0</v>
      </c>
      <c r="L294" s="154">
        <f t="shared" si="323"/>
        <v>0</v>
      </c>
      <c r="M294" s="154"/>
      <c r="N294" s="154"/>
      <c r="O294" s="154"/>
      <c r="P294" s="154"/>
      <c r="Q294" s="154"/>
      <c r="R294" s="154"/>
      <c r="S294" s="154"/>
      <c r="T294" s="154"/>
      <c r="U294" s="154"/>
      <c r="V294" s="159"/>
      <c r="W294" s="387"/>
      <c r="X294" s="154"/>
      <c r="Y294" s="129"/>
      <c r="Z294" s="130"/>
      <c r="AA294" s="130"/>
      <c r="AB294" s="130"/>
      <c r="AC294" s="125"/>
      <c r="AE294" s="154"/>
      <c r="AF294" s="154"/>
      <c r="AG294" s="154"/>
      <c r="AH294" s="129"/>
      <c r="AI294" s="130"/>
      <c r="AJ294" s="409"/>
      <c r="AK294" s="154"/>
      <c r="AL294" s="154"/>
      <c r="AM294" s="154"/>
      <c r="AN294" s="129"/>
      <c r="AO294" s="130"/>
      <c r="AP294" s="409"/>
      <c r="AQ294" s="557">
        <f>J294*0.75</f>
        <v>0</v>
      </c>
      <c r="AR294" s="154"/>
      <c r="AS294" s="154"/>
      <c r="AT294" s="129"/>
      <c r="AU294" s="130"/>
      <c r="AV294" s="409"/>
      <c r="AW294" s="154"/>
      <c r="AX294" s="154"/>
      <c r="AY294" s="154"/>
      <c r="AZ294" s="129"/>
      <c r="BA294" s="130"/>
    </row>
    <row r="295" spans="1:53" s="158" customFormat="1" ht="17.100000000000001" customHeight="1" x14ac:dyDescent="0.25">
      <c r="A295" s="102"/>
      <c r="B295" s="102"/>
      <c r="C295" s="119"/>
      <c r="D295" s="535" t="s">
        <v>129</v>
      </c>
      <c r="E295" s="142"/>
      <c r="F295" s="143"/>
      <c r="G295" s="143"/>
      <c r="H295" s="182"/>
      <c r="I295" s="240"/>
      <c r="J295" s="154">
        <f t="shared" si="323"/>
        <v>0</v>
      </c>
      <c r="K295" s="154">
        <f>K160</f>
        <v>0</v>
      </c>
      <c r="L295" s="154">
        <f t="shared" si="323"/>
        <v>0</v>
      </c>
      <c r="M295" s="154"/>
      <c r="N295" s="154"/>
      <c r="O295" s="154"/>
      <c r="P295" s="154"/>
      <c r="Q295" s="154"/>
      <c r="R295" s="154"/>
      <c r="S295" s="154"/>
      <c r="T295" s="154"/>
      <c r="U295" s="154"/>
      <c r="V295" s="159"/>
      <c r="W295" s="387"/>
      <c r="X295" s="154"/>
      <c r="Y295" s="129"/>
      <c r="Z295" s="130"/>
      <c r="AA295" s="130"/>
      <c r="AB295" s="130"/>
      <c r="AC295" s="125"/>
      <c r="AE295" s="154"/>
      <c r="AF295" s="154"/>
      <c r="AG295" s="154"/>
      <c r="AH295" s="129"/>
      <c r="AI295" s="130"/>
      <c r="AJ295" s="409"/>
      <c r="AK295" s="154"/>
      <c r="AL295" s="154"/>
      <c r="AM295" s="154"/>
      <c r="AN295" s="129"/>
      <c r="AO295" s="130"/>
      <c r="AP295" s="409"/>
      <c r="AQ295" s="154"/>
      <c r="AR295" s="154"/>
      <c r="AS295" s="154"/>
      <c r="AT295" s="129"/>
      <c r="AU295" s="130"/>
      <c r="AV295" s="409"/>
      <c r="AW295" s="154"/>
      <c r="AX295" s="154"/>
      <c r="AY295" s="154"/>
      <c r="AZ295" s="129"/>
      <c r="BA295" s="130"/>
    </row>
    <row r="296" spans="1:53" s="158" customFormat="1" ht="17.100000000000001" customHeight="1" x14ac:dyDescent="0.25">
      <c r="A296" s="102"/>
      <c r="B296" s="102"/>
      <c r="C296" s="119"/>
      <c r="D296" s="535" t="s">
        <v>965</v>
      </c>
      <c r="E296" s="142"/>
      <c r="F296" s="143"/>
      <c r="G296" s="143"/>
      <c r="H296" s="182"/>
      <c r="I296" s="240"/>
      <c r="J296" s="154">
        <f>SUM(J290:J294)</f>
        <v>0</v>
      </c>
      <c r="K296" s="154">
        <f t="shared" ref="K296:L296" si="324">SUM(K290:K294)</f>
        <v>0</v>
      </c>
      <c r="L296" s="154">
        <f t="shared" si="324"/>
        <v>0</v>
      </c>
      <c r="M296" s="154"/>
      <c r="N296" s="154"/>
      <c r="O296" s="154"/>
      <c r="P296" s="154"/>
      <c r="Q296" s="154"/>
      <c r="R296" s="154"/>
      <c r="S296" s="154"/>
      <c r="T296" s="154"/>
      <c r="U296" s="154"/>
      <c r="V296" s="159"/>
      <c r="W296" s="387"/>
      <c r="X296" s="154"/>
      <c r="Y296" s="129"/>
      <c r="Z296" s="130"/>
      <c r="AA296" s="130"/>
      <c r="AB296" s="130"/>
      <c r="AC296" s="125"/>
      <c r="AE296" s="154"/>
      <c r="AF296" s="154"/>
      <c r="AG296" s="154"/>
      <c r="AH296" s="129"/>
      <c r="AI296" s="130"/>
      <c r="AJ296" s="409"/>
      <c r="AK296" s="154"/>
      <c r="AL296" s="154"/>
      <c r="AM296" s="154"/>
      <c r="AN296" s="129"/>
      <c r="AO296" s="130"/>
      <c r="AP296" s="409"/>
      <c r="AQ296" s="154"/>
      <c r="AR296" s="154"/>
      <c r="AS296" s="154"/>
      <c r="AT296" s="129"/>
      <c r="AU296" s="130"/>
      <c r="AV296" s="409"/>
      <c r="AW296" s="154"/>
      <c r="AX296" s="154"/>
      <c r="AY296" s="154"/>
      <c r="AZ296" s="129"/>
      <c r="BA296" s="130"/>
    </row>
    <row r="297" spans="1:53" s="158" customFormat="1" ht="17.100000000000001" customHeight="1" x14ac:dyDescent="0.25">
      <c r="A297" s="102"/>
      <c r="B297" s="102"/>
      <c r="C297" s="119"/>
      <c r="D297" s="535" t="s">
        <v>981</v>
      </c>
      <c r="E297" s="142"/>
      <c r="F297" s="143"/>
      <c r="G297" s="143"/>
      <c r="H297" s="182"/>
      <c r="I297" s="240"/>
      <c r="J297" s="154"/>
      <c r="K297" s="154"/>
      <c r="L297" s="154"/>
      <c r="M297" s="154"/>
      <c r="N297" s="154"/>
      <c r="O297" s="154"/>
      <c r="P297" s="154"/>
      <c r="Q297" s="154"/>
      <c r="R297" s="154"/>
      <c r="S297" s="154"/>
      <c r="T297" s="154"/>
      <c r="U297" s="154"/>
      <c r="V297" s="159"/>
      <c r="W297" s="387"/>
      <c r="X297" s="154"/>
      <c r="Y297" s="129"/>
      <c r="Z297" s="130"/>
      <c r="AA297" s="130"/>
      <c r="AB297" s="130"/>
      <c r="AC297" s="125"/>
      <c r="AE297" s="154"/>
      <c r="AF297" s="154"/>
      <c r="AG297" s="154"/>
      <c r="AH297" s="129"/>
      <c r="AI297" s="130"/>
      <c r="AJ297" s="409"/>
      <c r="AK297" s="154"/>
      <c r="AL297" s="154"/>
      <c r="AM297" s="154"/>
      <c r="AN297" s="129"/>
      <c r="AO297" s="130"/>
      <c r="AP297" s="409"/>
      <c r="AQ297" s="154"/>
      <c r="AR297" s="154"/>
      <c r="AS297" s="154"/>
      <c r="AT297" s="129"/>
      <c r="AU297" s="130"/>
      <c r="AV297" s="409"/>
      <c r="AW297" s="154"/>
      <c r="AX297" s="154"/>
      <c r="AY297" s="154"/>
      <c r="AZ297" s="129"/>
      <c r="BA297" s="130"/>
    </row>
    <row r="298" spans="1:53" s="158" customFormat="1" ht="17.100000000000001" customHeight="1" x14ac:dyDescent="0.25">
      <c r="A298" s="967"/>
      <c r="B298" s="967"/>
      <c r="C298" s="119"/>
      <c r="D298" s="535" t="s">
        <v>1442</v>
      </c>
      <c r="E298" s="142"/>
      <c r="F298" s="143"/>
      <c r="G298" s="143"/>
      <c r="H298" s="182"/>
      <c r="I298" s="240"/>
      <c r="J298" s="527" t="str">
        <f>IF(J290&gt;0,0.75,"")</f>
        <v/>
      </c>
      <c r="K298" s="527" t="str">
        <f t="shared" ref="K298:L298" si="325">IF(K290&gt;0,0.75,"")</f>
        <v/>
      </c>
      <c r="L298" s="527" t="str">
        <f t="shared" si="325"/>
        <v/>
      </c>
      <c r="M298" s="154"/>
      <c r="N298" s="154"/>
      <c r="O298" s="154"/>
      <c r="P298" s="154"/>
      <c r="Q298" s="154"/>
      <c r="R298" s="154"/>
      <c r="S298" s="154"/>
      <c r="T298" s="154"/>
      <c r="U298" s="154"/>
      <c r="V298" s="159"/>
      <c r="W298" s="387"/>
      <c r="X298" s="154"/>
      <c r="Y298" s="129"/>
      <c r="Z298" s="130"/>
      <c r="AA298" s="130"/>
      <c r="AB298" s="130"/>
      <c r="AC298" s="125"/>
      <c r="AE298" s="154"/>
      <c r="AF298" s="154"/>
      <c r="AG298" s="154"/>
      <c r="AH298" s="129"/>
      <c r="AI298" s="130"/>
      <c r="AJ298" s="409"/>
      <c r="AK298" s="154"/>
      <c r="AL298" s="154"/>
      <c r="AM298" s="154"/>
      <c r="AN298" s="129"/>
      <c r="AO298" s="130"/>
      <c r="AP298" s="409"/>
      <c r="AQ298" s="154"/>
      <c r="AR298" s="154"/>
      <c r="AS298" s="154"/>
      <c r="AT298" s="129"/>
      <c r="AU298" s="130"/>
      <c r="AV298" s="409"/>
      <c r="AW298" s="154"/>
      <c r="AX298" s="154"/>
      <c r="AY298" s="154"/>
      <c r="AZ298" s="129"/>
      <c r="BA298" s="130"/>
    </row>
    <row r="299" spans="1:53" s="158" customFormat="1" ht="17.100000000000001" customHeight="1" x14ac:dyDescent="0.25">
      <c r="A299" s="967"/>
      <c r="B299" s="102"/>
      <c r="C299" s="119"/>
      <c r="D299" s="535" t="s">
        <v>429</v>
      </c>
      <c r="E299" s="142"/>
      <c r="F299" s="143"/>
      <c r="G299" s="143"/>
      <c r="H299" s="182"/>
      <c r="I299" s="240"/>
      <c r="J299" s="527" t="str">
        <f>IF(J291&gt;0,1.5,"")</f>
        <v/>
      </c>
      <c r="K299" s="527" t="str">
        <f t="shared" ref="K299:L299" si="326">IF(K291&gt;0,1.5,"")</f>
        <v/>
      </c>
      <c r="L299" s="527" t="str">
        <f t="shared" si="326"/>
        <v/>
      </c>
      <c r="M299" s="154"/>
      <c r="N299" s="154"/>
      <c r="O299" s="154"/>
      <c r="P299" s="154"/>
      <c r="Q299" s="154"/>
      <c r="R299" s="154"/>
      <c r="S299" s="154"/>
      <c r="T299" s="154"/>
      <c r="U299" s="154"/>
      <c r="V299" s="159"/>
      <c r="W299" s="387"/>
      <c r="X299" s="154"/>
      <c r="Y299" s="129"/>
      <c r="Z299" s="130"/>
      <c r="AA299" s="130"/>
      <c r="AB299" s="130"/>
      <c r="AC299" s="125"/>
      <c r="AE299" s="154"/>
      <c r="AF299" s="154"/>
      <c r="AG299" s="154"/>
      <c r="AH299" s="129"/>
      <c r="AI299" s="130"/>
      <c r="AJ299" s="409"/>
      <c r="AK299" s="154"/>
      <c r="AL299" s="154"/>
      <c r="AM299" s="154"/>
      <c r="AN299" s="129"/>
      <c r="AO299" s="130"/>
      <c r="AP299" s="409"/>
      <c r="AQ299" s="154"/>
      <c r="AR299" s="154"/>
      <c r="AS299" s="154"/>
      <c r="AT299" s="129"/>
      <c r="AU299" s="130"/>
      <c r="AV299" s="409"/>
      <c r="AW299" s="154"/>
      <c r="AX299" s="154"/>
      <c r="AY299" s="154"/>
      <c r="AZ299" s="129"/>
      <c r="BA299" s="130"/>
    </row>
    <row r="300" spans="1:53" s="158" customFormat="1" ht="17.100000000000001" customHeight="1" x14ac:dyDescent="0.25">
      <c r="A300" s="967"/>
      <c r="B300" s="102"/>
      <c r="C300" s="119"/>
      <c r="D300" s="535" t="s">
        <v>430</v>
      </c>
      <c r="E300" s="142"/>
      <c r="F300" s="143"/>
      <c r="G300" s="143"/>
      <c r="H300" s="182"/>
      <c r="I300" s="240"/>
      <c r="J300" s="527" t="str">
        <f>IF(J292&gt;0,3.5,"")</f>
        <v/>
      </c>
      <c r="K300" s="527" t="str">
        <f t="shared" ref="K300:L300" si="327">IF(K292&gt;0,3.5,"")</f>
        <v/>
      </c>
      <c r="L300" s="527" t="str">
        <f t="shared" si="327"/>
        <v/>
      </c>
      <c r="M300" s="154"/>
      <c r="N300" s="154"/>
      <c r="O300" s="154"/>
      <c r="P300" s="154"/>
      <c r="Q300" s="154"/>
      <c r="R300" s="154"/>
      <c r="S300" s="154"/>
      <c r="T300" s="154"/>
      <c r="U300" s="154"/>
      <c r="V300" s="159"/>
      <c r="W300" s="387"/>
      <c r="X300" s="154"/>
      <c r="Y300" s="129"/>
      <c r="Z300" s="130"/>
      <c r="AA300" s="130"/>
      <c r="AB300" s="130"/>
      <c r="AC300" s="125"/>
      <c r="AE300" s="154"/>
      <c r="AF300" s="154"/>
      <c r="AG300" s="154"/>
      <c r="AH300" s="129"/>
      <c r="AI300" s="130"/>
      <c r="AJ300" s="409"/>
      <c r="AK300" s="154"/>
      <c r="AL300" s="154"/>
      <c r="AM300" s="154"/>
      <c r="AN300" s="129"/>
      <c r="AO300" s="130"/>
      <c r="AP300" s="409"/>
      <c r="AQ300" s="154"/>
      <c r="AR300" s="154"/>
      <c r="AS300" s="154"/>
      <c r="AT300" s="129"/>
      <c r="AU300" s="130"/>
      <c r="AV300" s="409"/>
      <c r="AW300" s="154"/>
      <c r="AX300" s="154"/>
      <c r="AY300" s="154"/>
      <c r="AZ300" s="129"/>
      <c r="BA300" s="130"/>
    </row>
    <row r="301" spans="1:53" s="158" customFormat="1" ht="17.100000000000001" customHeight="1" x14ac:dyDescent="0.25">
      <c r="A301" s="967"/>
      <c r="B301" s="102"/>
      <c r="C301" s="119"/>
      <c r="D301" s="535" t="s">
        <v>431</v>
      </c>
      <c r="E301" s="142"/>
      <c r="F301" s="143"/>
      <c r="G301" s="143"/>
      <c r="H301" s="182"/>
      <c r="I301" s="240"/>
      <c r="J301" s="527" t="str">
        <f>IF(J293&gt;0,7.5,"")</f>
        <v/>
      </c>
      <c r="K301" s="527" t="str">
        <f t="shared" ref="K301:L301" si="328">IF(K293&gt;0,7.5,"")</f>
        <v/>
      </c>
      <c r="L301" s="527" t="str">
        <f t="shared" si="328"/>
        <v/>
      </c>
      <c r="M301" s="154"/>
      <c r="N301" s="154"/>
      <c r="O301" s="154"/>
      <c r="P301" s="154"/>
      <c r="Q301" s="154"/>
      <c r="R301" s="154"/>
      <c r="S301" s="154"/>
      <c r="T301" s="154"/>
      <c r="U301" s="154"/>
      <c r="V301" s="159"/>
      <c r="W301" s="387"/>
      <c r="X301" s="154"/>
      <c r="Y301" s="129"/>
      <c r="Z301" s="130"/>
      <c r="AA301" s="130"/>
      <c r="AB301" s="130"/>
      <c r="AC301" s="125"/>
      <c r="AE301" s="154"/>
      <c r="AF301" s="154"/>
      <c r="AG301" s="154"/>
      <c r="AH301" s="129"/>
      <c r="AI301" s="130"/>
      <c r="AJ301" s="409"/>
      <c r="AK301" s="154"/>
      <c r="AL301" s="154"/>
      <c r="AM301" s="154"/>
      <c r="AN301" s="129"/>
      <c r="AO301" s="130"/>
      <c r="AP301" s="409"/>
      <c r="AQ301" s="154"/>
      <c r="AR301" s="154"/>
      <c r="AS301" s="154"/>
      <c r="AT301" s="129"/>
      <c r="AU301" s="130"/>
      <c r="AV301" s="409"/>
      <c r="AW301" s="154"/>
      <c r="AX301" s="154"/>
      <c r="AY301" s="154"/>
      <c r="AZ301" s="129"/>
      <c r="BA301" s="130"/>
    </row>
    <row r="302" spans="1:53" s="158" customFormat="1" ht="17.100000000000001" customHeight="1" x14ac:dyDescent="0.25">
      <c r="A302" s="967"/>
      <c r="B302" s="102"/>
      <c r="C302" s="119"/>
      <c r="D302" s="535" t="s">
        <v>432</v>
      </c>
      <c r="E302" s="142"/>
      <c r="F302" s="143"/>
      <c r="G302" s="143"/>
      <c r="H302" s="182"/>
      <c r="I302" s="240"/>
      <c r="J302" s="527" t="str">
        <f>IF(J294&gt;0,12.5,"")</f>
        <v/>
      </c>
      <c r="K302" s="527" t="str">
        <f t="shared" ref="K302:L302" si="329">IF(K294&gt;0,12.5,"")</f>
        <v/>
      </c>
      <c r="L302" s="527" t="str">
        <f t="shared" si="329"/>
        <v/>
      </c>
      <c r="M302" s="154"/>
      <c r="N302" s="154"/>
      <c r="O302" s="154"/>
      <c r="P302" s="154"/>
      <c r="Q302" s="154"/>
      <c r="R302" s="154"/>
      <c r="S302" s="154"/>
      <c r="T302" s="154"/>
      <c r="U302" s="154"/>
      <c r="V302" s="159"/>
      <c r="W302" s="387"/>
      <c r="X302" s="154"/>
      <c r="Y302" s="129"/>
      <c r="Z302" s="130"/>
      <c r="AA302" s="130"/>
      <c r="AB302" s="130"/>
      <c r="AC302" s="125"/>
      <c r="AE302" s="154"/>
      <c r="AF302" s="154"/>
      <c r="AG302" s="154"/>
      <c r="AH302" s="129"/>
      <c r="AI302" s="130"/>
      <c r="AJ302" s="409"/>
      <c r="AK302" s="154"/>
      <c r="AL302" s="154"/>
      <c r="AM302" s="154"/>
      <c r="AN302" s="129"/>
      <c r="AO302" s="130"/>
      <c r="AP302" s="409"/>
      <c r="AQ302" s="154"/>
      <c r="AR302" s="154"/>
      <c r="AS302" s="154"/>
      <c r="AT302" s="129"/>
      <c r="AU302" s="130"/>
      <c r="AV302" s="409"/>
      <c r="AW302" s="154"/>
      <c r="AX302" s="154"/>
      <c r="AY302" s="154"/>
      <c r="AZ302" s="129"/>
      <c r="BA302" s="130"/>
    </row>
    <row r="303" spans="1:53" s="158" customFormat="1" ht="17.100000000000001" customHeight="1" x14ac:dyDescent="0.25">
      <c r="A303" s="967"/>
      <c r="B303" s="102"/>
      <c r="C303" s="119"/>
      <c r="D303" s="535" t="s">
        <v>959</v>
      </c>
      <c r="E303" s="142"/>
      <c r="F303" s="143"/>
      <c r="G303" s="143"/>
      <c r="H303" s="182"/>
      <c r="I303" s="240"/>
      <c r="J303" s="154"/>
      <c r="K303" s="154"/>
      <c r="L303" s="154"/>
      <c r="M303" s="154"/>
      <c r="N303" s="154"/>
      <c r="O303" s="154"/>
      <c r="P303" s="154"/>
      <c r="Q303" s="154"/>
      <c r="R303" s="154"/>
      <c r="S303" s="154"/>
      <c r="T303" s="154"/>
      <c r="U303" s="154"/>
      <c r="V303" s="159"/>
      <c r="W303" s="387"/>
      <c r="X303" s="154"/>
      <c r="Y303" s="129"/>
      <c r="Z303" s="130"/>
      <c r="AA303" s="130"/>
      <c r="AB303" s="130"/>
      <c r="AC303" s="125"/>
      <c r="AE303" s="154"/>
      <c r="AF303" s="154"/>
      <c r="AG303" s="154"/>
      <c r="AH303" s="129"/>
      <c r="AI303" s="130"/>
      <c r="AJ303" s="409"/>
      <c r="AK303" s="154"/>
      <c r="AL303" s="154"/>
      <c r="AM303" s="154"/>
      <c r="AN303" s="129"/>
      <c r="AO303" s="130"/>
      <c r="AP303" s="409"/>
      <c r="AQ303" s="154"/>
      <c r="AR303" s="154"/>
      <c r="AS303" s="154"/>
      <c r="AT303" s="129"/>
      <c r="AU303" s="130"/>
      <c r="AV303" s="409"/>
      <c r="AW303" s="154"/>
      <c r="AX303" s="154"/>
      <c r="AY303" s="154"/>
      <c r="AZ303" s="129"/>
      <c r="BA303" s="130"/>
    </row>
    <row r="304" spans="1:53" s="158" customFormat="1" ht="17.100000000000001" customHeight="1" x14ac:dyDescent="0.25">
      <c r="A304" s="967"/>
      <c r="B304" s="102"/>
      <c r="C304" s="119"/>
      <c r="D304" s="535" t="s">
        <v>961</v>
      </c>
      <c r="E304" s="142"/>
      <c r="F304" s="555"/>
      <c r="G304" s="555"/>
      <c r="H304" s="182"/>
      <c r="I304" s="240"/>
      <c r="J304" s="533">
        <f>J290*0.75</f>
        <v>0</v>
      </c>
      <c r="K304" s="533">
        <f>K290*0.75</f>
        <v>0</v>
      </c>
      <c r="L304" s="533">
        <f>L290*0.75</f>
        <v>0</v>
      </c>
      <c r="M304" s="154"/>
      <c r="N304" s="154"/>
      <c r="O304" s="154"/>
      <c r="P304" s="154"/>
      <c r="Q304" s="154"/>
      <c r="R304" s="154"/>
      <c r="S304" s="154"/>
      <c r="T304" s="154"/>
      <c r="U304" s="154"/>
      <c r="V304" s="159"/>
      <c r="W304" s="387"/>
      <c r="X304" s="154"/>
      <c r="Y304" s="129"/>
      <c r="Z304" s="130"/>
      <c r="AA304" s="130"/>
      <c r="AB304" s="130"/>
      <c r="AC304" s="125"/>
      <c r="AE304" s="154"/>
      <c r="AF304" s="154"/>
      <c r="AG304" s="154"/>
      <c r="AH304" s="129"/>
      <c r="AI304" s="130"/>
      <c r="AJ304" s="409"/>
      <c r="AK304" s="154"/>
      <c r="AL304" s="154"/>
      <c r="AM304" s="154"/>
      <c r="AN304" s="129"/>
      <c r="AO304" s="130"/>
      <c r="AP304" s="409"/>
      <c r="AQ304" s="154"/>
      <c r="AR304" s="154"/>
      <c r="AS304" s="154"/>
      <c r="AT304" s="129"/>
      <c r="AU304" s="130"/>
      <c r="AV304" s="409"/>
      <c r="AW304" s="154"/>
      <c r="AX304" s="154"/>
      <c r="AY304" s="154"/>
      <c r="AZ304" s="129"/>
      <c r="BA304" s="130"/>
    </row>
    <row r="305" spans="1:53" s="158" customFormat="1" ht="17.100000000000001" customHeight="1" x14ac:dyDescent="0.25">
      <c r="A305" s="967"/>
      <c r="B305" s="102"/>
      <c r="C305" s="119"/>
      <c r="D305" s="535" t="s">
        <v>960</v>
      </c>
      <c r="E305" s="142"/>
      <c r="F305" s="143"/>
      <c r="G305" s="143"/>
      <c r="H305" s="182"/>
      <c r="I305" s="240"/>
      <c r="J305" s="533">
        <f>J291*1.5</f>
        <v>0</v>
      </c>
      <c r="K305" s="533">
        <f>K291*1.5</f>
        <v>0</v>
      </c>
      <c r="L305" s="533">
        <f>L291*1.5</f>
        <v>0</v>
      </c>
      <c r="M305" s="154"/>
      <c r="N305" s="154"/>
      <c r="O305" s="154"/>
      <c r="P305" s="154"/>
      <c r="Q305" s="154"/>
      <c r="R305" s="154"/>
      <c r="S305" s="154"/>
      <c r="T305" s="154"/>
      <c r="U305" s="154"/>
      <c r="V305" s="154"/>
      <c r="W305" s="387"/>
      <c r="X305" s="154"/>
      <c r="Y305" s="129"/>
      <c r="Z305" s="130"/>
      <c r="AA305" s="130"/>
      <c r="AB305" s="130"/>
      <c r="AC305" s="125"/>
      <c r="AE305" s="154"/>
      <c r="AF305" s="154"/>
      <c r="AG305" s="154"/>
      <c r="AH305" s="129"/>
      <c r="AI305" s="130"/>
      <c r="AJ305" s="409"/>
      <c r="AK305" s="154"/>
      <c r="AL305" s="154"/>
      <c r="AM305" s="154"/>
      <c r="AN305" s="129"/>
      <c r="AO305" s="130"/>
      <c r="AP305" s="409"/>
      <c r="AQ305" s="154"/>
      <c r="AR305" s="154"/>
      <c r="AS305" s="154"/>
      <c r="AT305" s="129"/>
      <c r="AU305" s="130"/>
      <c r="AV305" s="409"/>
      <c r="AW305" s="154"/>
      <c r="AX305" s="154"/>
      <c r="AY305" s="154"/>
      <c r="AZ305" s="129"/>
      <c r="BA305" s="130"/>
    </row>
    <row r="306" spans="1:53" s="158" customFormat="1" ht="17.100000000000001" customHeight="1" x14ac:dyDescent="0.25">
      <c r="A306" s="967"/>
      <c r="B306" s="102"/>
      <c r="C306" s="119"/>
      <c r="D306" s="535" t="s">
        <v>962</v>
      </c>
      <c r="E306" s="142"/>
      <c r="F306" s="143"/>
      <c r="G306" s="143"/>
      <c r="H306" s="182"/>
      <c r="I306" s="240"/>
      <c r="J306" s="533">
        <f>J292*3.5</f>
        <v>0</v>
      </c>
      <c r="K306" s="533">
        <f>K292*3.5</f>
        <v>0</v>
      </c>
      <c r="L306" s="533">
        <f>L292*3.5</f>
        <v>0</v>
      </c>
      <c r="M306" s="154"/>
      <c r="N306" s="154"/>
      <c r="O306" s="154"/>
      <c r="P306" s="154"/>
      <c r="Q306" s="154"/>
      <c r="R306" s="154"/>
      <c r="S306" s="154"/>
      <c r="T306" s="154"/>
      <c r="U306" s="154"/>
      <c r="V306" s="154"/>
      <c r="W306" s="387"/>
      <c r="X306" s="154"/>
      <c r="Y306" s="129"/>
      <c r="Z306" s="130"/>
      <c r="AA306" s="130"/>
      <c r="AB306" s="130"/>
      <c r="AC306" s="125"/>
      <c r="AE306" s="154"/>
      <c r="AF306" s="154"/>
      <c r="AG306" s="154"/>
      <c r="AH306" s="129"/>
      <c r="AI306" s="130"/>
      <c r="AJ306" s="409"/>
      <c r="AK306" s="154"/>
      <c r="AL306" s="154"/>
      <c r="AM306" s="154"/>
      <c r="AN306" s="129"/>
      <c r="AO306" s="130"/>
      <c r="AP306" s="409"/>
      <c r="AQ306" s="154"/>
      <c r="AR306" s="154"/>
      <c r="AS306" s="154"/>
      <c r="AT306" s="129"/>
      <c r="AU306" s="130"/>
      <c r="AV306" s="409"/>
      <c r="AW306" s="154"/>
      <c r="AX306" s="154"/>
      <c r="AY306" s="154"/>
      <c r="AZ306" s="129"/>
      <c r="BA306" s="130"/>
    </row>
    <row r="307" spans="1:53" s="158" customFormat="1" ht="17.100000000000001" customHeight="1" x14ac:dyDescent="0.25">
      <c r="A307" s="967"/>
      <c r="B307" s="102"/>
      <c r="C307" s="119"/>
      <c r="D307" s="535" t="s">
        <v>963</v>
      </c>
      <c r="E307" s="142"/>
      <c r="F307" s="143"/>
      <c r="G307" s="143"/>
      <c r="H307" s="182"/>
      <c r="I307" s="240"/>
      <c r="J307" s="533">
        <f>J293*7.5</f>
        <v>0</v>
      </c>
      <c r="K307" s="533">
        <f>K293*7.5</f>
        <v>0</v>
      </c>
      <c r="L307" s="533">
        <f>L293*7.5</f>
        <v>0</v>
      </c>
      <c r="M307" s="154"/>
      <c r="N307" s="154"/>
      <c r="O307" s="154"/>
      <c r="P307" s="154"/>
      <c r="Q307" s="154"/>
      <c r="R307" s="154"/>
      <c r="S307" s="154"/>
      <c r="T307" s="154"/>
      <c r="U307" s="154"/>
      <c r="V307" s="154"/>
      <c r="W307" s="387"/>
      <c r="X307" s="154"/>
      <c r="Y307" s="129"/>
      <c r="Z307" s="130"/>
      <c r="AA307" s="130"/>
      <c r="AB307" s="130"/>
      <c r="AC307" s="125"/>
      <c r="AE307" s="154"/>
      <c r="AF307" s="154"/>
      <c r="AG307" s="154"/>
      <c r="AH307" s="129"/>
      <c r="AI307" s="130"/>
      <c r="AJ307" s="409"/>
      <c r="AK307" s="154"/>
      <c r="AL307" s="154"/>
      <c r="AM307" s="154"/>
      <c r="AN307" s="129"/>
      <c r="AO307" s="130"/>
      <c r="AP307" s="409"/>
      <c r="AQ307" s="154"/>
      <c r="AR307" s="154"/>
      <c r="AS307" s="154"/>
      <c r="AT307" s="129"/>
      <c r="AU307" s="130"/>
      <c r="AV307" s="409"/>
      <c r="AW307" s="154"/>
      <c r="AX307" s="154"/>
      <c r="AY307" s="154"/>
      <c r="AZ307" s="129"/>
      <c r="BA307" s="130"/>
    </row>
    <row r="308" spans="1:53" s="158" customFormat="1" ht="17.100000000000001" customHeight="1" x14ac:dyDescent="0.25">
      <c r="A308" s="967"/>
      <c r="B308" s="102"/>
      <c r="C308" s="119"/>
      <c r="D308" s="535" t="s">
        <v>964</v>
      </c>
      <c r="E308" s="142"/>
      <c r="F308" s="143"/>
      <c r="G308" s="143"/>
      <c r="H308" s="182"/>
      <c r="I308" s="240"/>
      <c r="J308" s="533">
        <f>J294*12.5</f>
        <v>0</v>
      </c>
      <c r="K308" s="533">
        <f>K294*12.5</f>
        <v>0</v>
      </c>
      <c r="L308" s="533">
        <f>L294*12.5</f>
        <v>0</v>
      </c>
      <c r="M308" s="154"/>
      <c r="N308" s="154"/>
      <c r="O308" s="154"/>
      <c r="P308" s="154"/>
      <c r="Q308" s="154"/>
      <c r="R308" s="154"/>
      <c r="S308" s="154"/>
      <c r="T308" s="154"/>
      <c r="U308" s="154"/>
      <c r="V308" s="154"/>
      <c r="W308" s="387"/>
      <c r="X308" s="154"/>
      <c r="Y308" s="129"/>
      <c r="Z308" s="130"/>
      <c r="AA308" s="130"/>
      <c r="AB308" s="130"/>
      <c r="AC308" s="125"/>
      <c r="AE308" s="154"/>
      <c r="AF308" s="154"/>
      <c r="AG308" s="154"/>
      <c r="AH308" s="129"/>
      <c r="AI308" s="130"/>
      <c r="AJ308" s="409"/>
      <c r="AK308" s="154"/>
      <c r="AL308" s="154"/>
      <c r="AM308" s="154"/>
      <c r="AN308" s="129"/>
      <c r="AO308" s="130"/>
      <c r="AP308" s="409"/>
      <c r="AQ308" s="154"/>
      <c r="AR308" s="154"/>
      <c r="AS308" s="154"/>
      <c r="AT308" s="129"/>
      <c r="AU308" s="130"/>
      <c r="AV308" s="409"/>
      <c r="AW308" s="154"/>
      <c r="AX308" s="154"/>
      <c r="AY308" s="154"/>
      <c r="AZ308" s="129"/>
      <c r="BA308" s="130"/>
    </row>
    <row r="309" spans="1:53" s="158" customFormat="1" ht="17.100000000000001" customHeight="1" x14ac:dyDescent="0.25">
      <c r="A309" s="967"/>
      <c r="B309" s="102"/>
      <c r="C309" s="119"/>
      <c r="D309" s="535" t="s">
        <v>922</v>
      </c>
      <c r="E309" s="142"/>
      <c r="F309" s="143"/>
      <c r="G309" s="143"/>
      <c r="H309" s="182"/>
      <c r="I309" s="240"/>
      <c r="J309" s="533">
        <f>SUM(J304:J308)</f>
        <v>0</v>
      </c>
      <c r="K309" s="533">
        <f t="shared" ref="K309:L309" si="330">SUM(K304:K308)</f>
        <v>0</v>
      </c>
      <c r="L309" s="533">
        <f t="shared" si="330"/>
        <v>0</v>
      </c>
      <c r="M309" s="154"/>
      <c r="N309" s="154"/>
      <c r="O309" s="154"/>
      <c r="P309" s="154"/>
      <c r="Q309" s="154"/>
      <c r="R309" s="154"/>
      <c r="S309" s="154"/>
      <c r="T309" s="154"/>
      <c r="U309" s="154"/>
      <c r="V309" s="154"/>
      <c r="W309" s="387"/>
      <c r="X309" s="154"/>
      <c r="Y309" s="129"/>
      <c r="Z309" s="130"/>
      <c r="AA309" s="130"/>
      <c r="AB309" s="130"/>
      <c r="AC309" s="125"/>
      <c r="AE309" s="154"/>
      <c r="AF309" s="154"/>
      <c r="AG309" s="154"/>
      <c r="AH309" s="129"/>
      <c r="AI309" s="130"/>
      <c r="AJ309" s="409"/>
      <c r="AK309" s="154"/>
      <c r="AL309" s="154"/>
      <c r="AM309" s="154"/>
      <c r="AN309" s="129"/>
      <c r="AO309" s="130"/>
      <c r="AP309" s="409"/>
      <c r="AQ309" s="154"/>
      <c r="AR309" s="154"/>
      <c r="AS309" s="154"/>
      <c r="AT309" s="129"/>
      <c r="AU309" s="130"/>
      <c r="AV309" s="409"/>
      <c r="AW309" s="154"/>
      <c r="AX309" s="154"/>
      <c r="AY309" s="154"/>
      <c r="AZ309" s="129"/>
      <c r="BA309" s="130"/>
    </row>
    <row r="310" spans="1:53" s="409" customFormat="1" ht="17.100000000000001" customHeight="1" x14ac:dyDescent="0.25">
      <c r="A310" s="967"/>
      <c r="B310" s="928"/>
      <c r="C310" s="928"/>
      <c r="D310" s="461" t="s">
        <v>980</v>
      </c>
      <c r="E310" s="556"/>
      <c r="F310" s="92"/>
      <c r="G310" s="92"/>
      <c r="H310" s="182"/>
      <c r="I310" s="240"/>
      <c r="J310" s="537" t="str">
        <f>IF(SUM(J298:J302)=0,"",MIN(J298:J302))</f>
        <v/>
      </c>
      <c r="K310" s="537" t="str">
        <f t="shared" ref="K310:L310" si="331">IF(SUM(K298:K302)=0,"",MIN(K298:K302))</f>
        <v/>
      </c>
      <c r="L310" s="537" t="str">
        <f t="shared" si="331"/>
        <v/>
      </c>
      <c r="M310" s="155"/>
      <c r="N310" s="155"/>
      <c r="O310" s="155"/>
      <c r="P310" s="155"/>
      <c r="Q310" s="155"/>
      <c r="R310" s="155"/>
      <c r="S310" s="155"/>
      <c r="T310" s="155"/>
      <c r="U310" s="155"/>
      <c r="V310" s="155"/>
      <c r="W310" s="388"/>
      <c r="X310" s="155"/>
      <c r="Y310" s="927"/>
      <c r="Z310" s="201"/>
      <c r="AA310" s="537">
        <f t="shared" ref="AA310:AA311" si="332">MIN(J310:L310)</f>
        <v>0</v>
      </c>
      <c r="AB310" s="537">
        <f t="shared" ref="AB310:AB311" si="333">MAX(J310:L310)</f>
        <v>0</v>
      </c>
      <c r="AC310" s="537">
        <f t="shared" ref="AC310:AC311" si="334">IF(SUM(J310:L310)=0,0,AVERAGE(J310:L310))</f>
        <v>0</v>
      </c>
      <c r="AE310" s="155"/>
      <c r="AF310" s="155"/>
      <c r="AG310" s="155"/>
      <c r="AH310" s="927"/>
      <c r="AI310" s="201"/>
      <c r="AK310" s="155"/>
      <c r="AL310" s="155"/>
      <c r="AM310" s="155"/>
      <c r="AN310" s="927"/>
      <c r="AO310" s="201"/>
      <c r="AQ310" s="968">
        <f t="shared" ref="AQ310:AQ311" si="335">MIN(J310,K310)</f>
        <v>0</v>
      </c>
      <c r="AR310" s="537">
        <f t="shared" ref="AR310:AR311" si="336">MAX(J310:K310)</f>
        <v>0</v>
      </c>
      <c r="AS310" s="537"/>
      <c r="AT310" s="927"/>
      <c r="AU310" s="201"/>
      <c r="AW310" s="968" t="str">
        <f t="shared" ref="AW310:AW311" si="337">L310</f>
        <v/>
      </c>
      <c r="AX310" s="537" t="str">
        <f t="shared" ref="AX310:AX311" si="338">L310</f>
        <v/>
      </c>
      <c r="AY310" s="537"/>
      <c r="AZ310" s="927"/>
      <c r="BA310" s="201"/>
    </row>
    <row r="311" spans="1:53" s="409" customFormat="1" ht="17.100000000000001" customHeight="1" x14ac:dyDescent="0.25">
      <c r="A311" s="967"/>
      <c r="B311" s="928"/>
      <c r="C311" s="928"/>
      <c r="D311" s="461" t="s">
        <v>979</v>
      </c>
      <c r="E311" s="556"/>
      <c r="F311" s="92"/>
      <c r="G311" s="92"/>
      <c r="H311" s="182"/>
      <c r="I311" s="240"/>
      <c r="J311" s="537" t="str">
        <f>IF(SUM(J298:J302)=0,"",MAX(J298:J302))</f>
        <v/>
      </c>
      <c r="K311" s="537" t="str">
        <f t="shared" ref="K311:L311" si="339">IF(SUM(K298:K302)=0,"",MAX(K298:K302))</f>
        <v/>
      </c>
      <c r="L311" s="537" t="str">
        <f t="shared" si="339"/>
        <v/>
      </c>
      <c r="M311" s="155"/>
      <c r="N311" s="155"/>
      <c r="O311" s="155"/>
      <c r="P311" s="155"/>
      <c r="Q311" s="155"/>
      <c r="R311" s="155"/>
      <c r="S311" s="155"/>
      <c r="T311" s="155"/>
      <c r="U311" s="155"/>
      <c r="V311" s="155"/>
      <c r="W311" s="388"/>
      <c r="X311" s="155"/>
      <c r="Y311" s="927"/>
      <c r="Z311" s="201"/>
      <c r="AA311" s="537">
        <f t="shared" si="332"/>
        <v>0</v>
      </c>
      <c r="AB311" s="537">
        <f t="shared" si="333"/>
        <v>0</v>
      </c>
      <c r="AC311" s="537">
        <f t="shared" si="334"/>
        <v>0</v>
      </c>
      <c r="AE311" s="155"/>
      <c r="AF311" s="155"/>
      <c r="AG311" s="155"/>
      <c r="AH311" s="927"/>
      <c r="AI311" s="201"/>
      <c r="AK311" s="155"/>
      <c r="AL311" s="155"/>
      <c r="AM311" s="155"/>
      <c r="AN311" s="927"/>
      <c r="AO311" s="201"/>
      <c r="AQ311" s="537">
        <f t="shared" si="335"/>
        <v>0</v>
      </c>
      <c r="AR311" s="968">
        <f t="shared" si="336"/>
        <v>0</v>
      </c>
      <c r="AS311" s="537"/>
      <c r="AT311" s="927"/>
      <c r="AU311" s="201"/>
      <c r="AW311" s="537" t="str">
        <f t="shared" si="337"/>
        <v/>
      </c>
      <c r="AX311" s="968" t="str">
        <f t="shared" si="338"/>
        <v/>
      </c>
      <c r="AY311" s="537"/>
      <c r="AZ311" s="927"/>
      <c r="BA311" s="201"/>
    </row>
    <row r="312" spans="1:53" s="409" customFormat="1" ht="17.100000000000001" customHeight="1" x14ac:dyDescent="0.25">
      <c r="A312" s="967"/>
      <c r="B312" s="928"/>
      <c r="C312" s="928"/>
      <c r="D312" s="461" t="s">
        <v>974</v>
      </c>
      <c r="E312" s="556"/>
      <c r="F312" s="92"/>
      <c r="G312" s="92"/>
      <c r="H312" s="182"/>
      <c r="I312" s="240"/>
      <c r="J312" s="537" t="str">
        <f>IF(J296=0,"",J309/J296)</f>
        <v/>
      </c>
      <c r="K312" s="537" t="str">
        <f t="shared" ref="K312:L312" si="340">IF(K296=0,"",K309/K296)</f>
        <v/>
      </c>
      <c r="L312" s="537" t="str">
        <f t="shared" si="340"/>
        <v/>
      </c>
      <c r="M312" s="155"/>
      <c r="N312" s="155"/>
      <c r="O312" s="155"/>
      <c r="P312" s="155"/>
      <c r="Q312" s="155"/>
      <c r="R312" s="155"/>
      <c r="S312" s="155"/>
      <c r="T312" s="155"/>
      <c r="U312" s="155"/>
      <c r="V312" s="155"/>
      <c r="W312" s="388"/>
      <c r="X312" s="155"/>
      <c r="Y312" s="927"/>
      <c r="Z312" s="201"/>
      <c r="AA312" s="537">
        <f>MIN(J312:L312)</f>
        <v>0</v>
      </c>
      <c r="AB312" s="537">
        <f>MAX(J312:L312)</f>
        <v>0</v>
      </c>
      <c r="AC312" s="537">
        <f>IF(SUM(J312:L312)=0,0,AVERAGE(J312:L312))</f>
        <v>0</v>
      </c>
      <c r="AE312" s="537" t="str">
        <f>J312</f>
        <v/>
      </c>
      <c r="AF312" s="537" t="str">
        <f>J312</f>
        <v/>
      </c>
      <c r="AG312" s="537" t="str">
        <f>J312</f>
        <v/>
      </c>
      <c r="AH312" s="927"/>
      <c r="AI312" s="201"/>
      <c r="AK312" s="537" t="str">
        <f>K312</f>
        <v/>
      </c>
      <c r="AL312" s="537" t="str">
        <f>K312</f>
        <v/>
      </c>
      <c r="AM312" s="537" t="str">
        <f>K312</f>
        <v/>
      </c>
      <c r="AN312" s="927"/>
      <c r="AO312" s="201"/>
      <c r="AQ312" s="537">
        <f>MIN(J312,K312)</f>
        <v>0</v>
      </c>
      <c r="AR312" s="537">
        <f>MAX(J312:K312)</f>
        <v>0</v>
      </c>
      <c r="AS312" s="968">
        <f>IF(SUM(J312:K312)=0,0,AVERAGE(J312:K312))</f>
        <v>0</v>
      </c>
      <c r="AT312" s="927"/>
      <c r="AU312" s="201"/>
      <c r="AW312" s="537" t="str">
        <f>L312</f>
        <v/>
      </c>
      <c r="AX312" s="537" t="str">
        <f>L312</f>
        <v/>
      </c>
      <c r="AY312" s="968" t="str">
        <f>L312</f>
        <v/>
      </c>
      <c r="AZ312" s="927"/>
      <c r="BA312" s="201"/>
    </row>
    <row r="313" spans="1:53" s="97" customFormat="1" ht="17.100000000000001" customHeight="1" x14ac:dyDescent="0.25">
      <c r="A313" s="68"/>
      <c r="B313" s="68"/>
      <c r="C313" s="165"/>
      <c r="D313" s="166"/>
      <c r="E313" s="166"/>
      <c r="F313" s="166"/>
      <c r="G313" s="166"/>
      <c r="H313" s="165"/>
      <c r="I313" s="12"/>
      <c r="J313" s="558"/>
      <c r="K313" s="94"/>
      <c r="L313" s="95"/>
      <c r="M313" s="95"/>
      <c r="N313" s="95"/>
      <c r="O313" s="95"/>
      <c r="P313" s="95"/>
      <c r="Q313" s="95"/>
      <c r="R313" s="95"/>
      <c r="S313" s="95"/>
      <c r="T313" s="95"/>
      <c r="U313" s="95"/>
      <c r="V313" s="95"/>
      <c r="W313" s="378"/>
      <c r="X313" s="95"/>
      <c r="Y313" s="96"/>
      <c r="AE313" s="109"/>
      <c r="AF313" s="109"/>
      <c r="AG313" s="109"/>
      <c r="AH313" s="96"/>
      <c r="AK313" s="109"/>
      <c r="AL313" s="109"/>
      <c r="AM313" s="109"/>
      <c r="AN313" s="96"/>
      <c r="AQ313" s="109"/>
      <c r="AR313" s="109"/>
      <c r="AS313" s="109"/>
      <c r="AT313" s="96"/>
      <c r="AW313" s="109"/>
      <c r="AX313" s="109"/>
      <c r="AY313" s="109"/>
      <c r="AZ313" s="96"/>
    </row>
    <row r="314" spans="1:53" s="32" customFormat="1" ht="16.5" thickBot="1" x14ac:dyDescent="0.3">
      <c r="A314" s="24" t="s">
        <v>150</v>
      </c>
      <c r="B314" s="25" t="s">
        <v>151</v>
      </c>
      <c r="C314" s="26"/>
      <c r="D314" s="27"/>
      <c r="E314" s="27"/>
      <c r="F314" s="27"/>
      <c r="G314" s="28"/>
      <c r="H314" s="215"/>
      <c r="I314" s="228"/>
      <c r="J314" s="101"/>
      <c r="K314" s="101"/>
      <c r="L314" s="101"/>
      <c r="M314" s="101"/>
      <c r="N314" s="101"/>
      <c r="O314" s="101"/>
      <c r="P314" s="101"/>
      <c r="Q314" s="101"/>
      <c r="R314" s="101"/>
      <c r="S314" s="101"/>
      <c r="T314" s="101"/>
      <c r="U314" s="101"/>
      <c r="V314" s="357"/>
      <c r="W314" s="379"/>
      <c r="X314" s="101"/>
      <c r="Y314" s="30" t="s">
        <v>4</v>
      </c>
      <c r="Z314" s="31" t="s">
        <v>5</v>
      </c>
      <c r="AA314" s="31" t="s">
        <v>181</v>
      </c>
      <c r="AB314" s="31" t="s">
        <v>182</v>
      </c>
      <c r="AC314" s="24" t="s">
        <v>6</v>
      </c>
      <c r="AE314" s="33" t="s">
        <v>181</v>
      </c>
      <c r="AF314" s="33" t="s">
        <v>182</v>
      </c>
      <c r="AG314" s="33" t="s">
        <v>6</v>
      </c>
      <c r="AH314" s="33" t="s">
        <v>4</v>
      </c>
      <c r="AI314" s="34" t="s">
        <v>5</v>
      </c>
      <c r="AJ314" s="408"/>
      <c r="AK314" s="36" t="s">
        <v>181</v>
      </c>
      <c r="AL314" s="36" t="s">
        <v>182</v>
      </c>
      <c r="AM314" s="36" t="s">
        <v>6</v>
      </c>
      <c r="AN314" s="36" t="s">
        <v>4</v>
      </c>
      <c r="AO314" s="37" t="s">
        <v>5</v>
      </c>
      <c r="AP314" s="408"/>
      <c r="AQ314" s="36"/>
      <c r="AR314" s="36"/>
      <c r="AS314" s="36"/>
      <c r="AT314" s="36"/>
      <c r="AU314" s="37"/>
      <c r="AV314" s="408"/>
      <c r="AW314" s="38" t="s">
        <v>181</v>
      </c>
      <c r="AX314" s="38" t="s">
        <v>182</v>
      </c>
      <c r="AY314" s="38" t="s">
        <v>6</v>
      </c>
      <c r="AZ314" s="38" t="s">
        <v>4</v>
      </c>
      <c r="BA314" s="39" t="s">
        <v>5</v>
      </c>
    </row>
    <row r="315" spans="1:53" ht="17.100000000000001" customHeight="1" x14ac:dyDescent="0.25">
      <c r="A315" s="68"/>
      <c r="B315" s="41" t="s">
        <v>152</v>
      </c>
      <c r="C315" s="69" t="s">
        <v>433</v>
      </c>
      <c r="D315" s="50"/>
      <c r="E315" s="70"/>
      <c r="F315" s="70"/>
      <c r="G315" s="70"/>
      <c r="H315" s="263">
        <v>38</v>
      </c>
      <c r="J315" s="71"/>
      <c r="K315" s="71"/>
      <c r="L315" s="71"/>
      <c r="M315" s="71"/>
      <c r="N315" s="71"/>
      <c r="O315" s="71"/>
      <c r="P315" s="71"/>
      <c r="Q315" s="71"/>
      <c r="R315" s="71"/>
      <c r="S315" s="71"/>
      <c r="T315" s="71"/>
      <c r="U315" s="71"/>
      <c r="V315" s="355"/>
      <c r="W315" s="377"/>
      <c r="X315" s="71"/>
      <c r="Y315" s="72"/>
      <c r="Z315" s="73"/>
      <c r="AA315" s="73"/>
      <c r="AB315" s="73"/>
      <c r="AC315" s="73"/>
      <c r="AE315" s="71"/>
      <c r="AF315" s="71"/>
      <c r="AG315" s="71"/>
      <c r="AH315" s="72"/>
      <c r="AI315" s="73"/>
      <c r="AK315" s="71"/>
      <c r="AL315" s="71"/>
      <c r="AM315" s="71"/>
      <c r="AN315" s="72"/>
      <c r="AO315" s="73"/>
      <c r="AQ315" s="71"/>
      <c r="AR315" s="71"/>
      <c r="AS315" s="71"/>
      <c r="AT315" s="72"/>
      <c r="AU315" s="73"/>
      <c r="AW315" s="71"/>
      <c r="AX315" s="71"/>
      <c r="AY315" s="71"/>
      <c r="AZ315" s="72"/>
      <c r="BA315" s="73"/>
    </row>
    <row r="316" spans="1:53" s="4" customFormat="1" ht="17.100000000000001" customHeight="1" x14ac:dyDescent="0.25">
      <c r="A316" s="40"/>
      <c r="B316" s="40"/>
      <c r="C316" s="74" t="s">
        <v>153</v>
      </c>
      <c r="D316" s="85" t="s">
        <v>173</v>
      </c>
      <c r="E316" s="105"/>
      <c r="F316" s="105"/>
      <c r="G316" s="105"/>
      <c r="H316" s="119"/>
      <c r="I316" s="231"/>
      <c r="J316" s="581"/>
      <c r="K316" s="581"/>
      <c r="L316" s="582"/>
      <c r="M316" s="593"/>
      <c r="N316" s="111"/>
      <c r="O316" s="111"/>
      <c r="P316" s="111"/>
      <c r="Q316" s="111"/>
      <c r="R316" s="111"/>
      <c r="S316" s="111"/>
      <c r="T316" s="111"/>
      <c r="U316" s="111"/>
      <c r="V316" s="358"/>
      <c r="W316" s="391">
        <f t="shared" ref="W316:W322" si="341">J316+K316+N316+Q316+T316</f>
        <v>0</v>
      </c>
      <c r="X316" s="17">
        <f t="shared" ref="X316:X322" si="342">L316+O316+R316+U316</f>
        <v>0</v>
      </c>
      <c r="Y316" s="18">
        <f>SUM(W316:X316)</f>
        <v>0</v>
      </c>
      <c r="Z316" s="19">
        <f>IF(Y$323=0,0,Y316/Y$323)</f>
        <v>0</v>
      </c>
      <c r="AA316" s="19"/>
      <c r="AB316" s="19"/>
      <c r="AC316" s="20"/>
      <c r="AE316" s="17"/>
      <c r="AF316" s="17"/>
      <c r="AG316" s="17"/>
      <c r="AH316" s="18">
        <f>J316</f>
        <v>0</v>
      </c>
      <c r="AI316" s="19">
        <f>IF(AH$323=0,0,AH316/AH$323)</f>
        <v>0</v>
      </c>
      <c r="AJ316" s="97"/>
      <c r="AK316" s="17"/>
      <c r="AL316" s="17"/>
      <c r="AM316" s="17"/>
      <c r="AN316" s="18">
        <f>K316</f>
        <v>0</v>
      </c>
      <c r="AO316" s="19">
        <f>IF(AN$323=0,0,AN316/AN$323)</f>
        <v>0</v>
      </c>
      <c r="AP316" s="97"/>
      <c r="AQ316" s="17"/>
      <c r="AR316" s="17"/>
      <c r="AS316" s="17"/>
      <c r="AT316" s="18">
        <f>W316</f>
        <v>0</v>
      </c>
      <c r="AU316" s="19">
        <f>IF(AT$323=0,0,AT316/AT$323)</f>
        <v>0</v>
      </c>
      <c r="AV316" s="97"/>
      <c r="AW316" s="17"/>
      <c r="AX316" s="17"/>
      <c r="AY316" s="17"/>
      <c r="AZ316" s="18">
        <f>X316</f>
        <v>0</v>
      </c>
      <c r="BA316" s="19">
        <f>IF(AZ$323=0,0,AZ316/AZ$323)</f>
        <v>0</v>
      </c>
    </row>
    <row r="317" spans="1:53" s="4" customFormat="1" ht="17.100000000000001" customHeight="1" x14ac:dyDescent="0.25">
      <c r="A317" s="40"/>
      <c r="B317" s="40"/>
      <c r="C317" s="74" t="s">
        <v>154</v>
      </c>
      <c r="D317" s="85" t="s">
        <v>544</v>
      </c>
      <c r="E317" s="105"/>
      <c r="F317" s="105"/>
      <c r="G317" s="105"/>
      <c r="H317" s="119"/>
      <c r="I317" s="231"/>
      <c r="J317" s="583"/>
      <c r="K317" s="583"/>
      <c r="L317" s="584"/>
      <c r="M317" s="593"/>
      <c r="N317" s="111"/>
      <c r="O317" s="111"/>
      <c r="P317" s="111"/>
      <c r="Q317" s="111"/>
      <c r="R317" s="111"/>
      <c r="S317" s="111"/>
      <c r="T317" s="111"/>
      <c r="U317" s="111"/>
      <c r="V317" s="358"/>
      <c r="W317" s="391">
        <f t="shared" si="341"/>
        <v>0</v>
      </c>
      <c r="X317" s="17">
        <f t="shared" si="342"/>
        <v>0</v>
      </c>
      <c r="Y317" s="18">
        <f>SUM(W317:X317)</f>
        <v>0</v>
      </c>
      <c r="Z317" s="19">
        <f>IF(Y$323=0,0,Y317/Y$323)</f>
        <v>0</v>
      </c>
      <c r="AA317" s="19"/>
      <c r="AB317" s="19"/>
      <c r="AC317" s="20"/>
      <c r="AE317" s="17"/>
      <c r="AF317" s="17"/>
      <c r="AG317" s="17"/>
      <c r="AH317" s="18">
        <f t="shared" ref="AH317:AH322" si="343">J317</f>
        <v>0</v>
      </c>
      <c r="AI317" s="19">
        <f>IF(AH$323=0,0,AH317/AH$323)</f>
        <v>0</v>
      </c>
      <c r="AJ317" s="97"/>
      <c r="AK317" s="17"/>
      <c r="AL317" s="17"/>
      <c r="AM317" s="17"/>
      <c r="AN317" s="18">
        <f t="shared" ref="AN317:AN322" si="344">K317</f>
        <v>0</v>
      </c>
      <c r="AO317" s="19">
        <f>IF(AN$323=0,0,AN317/AN$323)</f>
        <v>0</v>
      </c>
      <c r="AP317" s="97"/>
      <c r="AQ317" s="17"/>
      <c r="AR317" s="17"/>
      <c r="AS317" s="17"/>
      <c r="AT317" s="18">
        <f t="shared" ref="AT317:AT322" si="345">W317</f>
        <v>0</v>
      </c>
      <c r="AU317" s="19">
        <f>IF(AT$323=0,0,AT317/AT$323)</f>
        <v>0</v>
      </c>
      <c r="AV317" s="97"/>
      <c r="AW317" s="17"/>
      <c r="AX317" s="17"/>
      <c r="AY317" s="17"/>
      <c r="AZ317" s="18">
        <f>X317</f>
        <v>0</v>
      </c>
      <c r="BA317" s="19">
        <f>IF(AZ$323=0,0,AZ317/AZ$323)</f>
        <v>0</v>
      </c>
    </row>
    <row r="318" spans="1:53" s="4" customFormat="1" ht="17.100000000000001" customHeight="1" x14ac:dyDescent="0.25">
      <c r="A318" s="40"/>
      <c r="B318" s="40"/>
      <c r="C318" s="74" t="s">
        <v>155</v>
      </c>
      <c r="D318" s="146" t="s">
        <v>484</v>
      </c>
      <c r="E318" s="105"/>
      <c r="F318" s="105"/>
      <c r="G318" s="105"/>
      <c r="H318" s="119"/>
      <c r="I318" s="231"/>
      <c r="J318" s="581"/>
      <c r="K318" s="581"/>
      <c r="L318" s="582"/>
      <c r="M318" s="593"/>
      <c r="N318" s="111"/>
      <c r="O318" s="111"/>
      <c r="P318" s="111"/>
      <c r="Q318" s="111"/>
      <c r="R318" s="111"/>
      <c r="S318" s="111"/>
      <c r="T318" s="111"/>
      <c r="U318" s="111"/>
      <c r="V318" s="358"/>
      <c r="W318" s="391"/>
      <c r="X318" s="17">
        <f>L318</f>
        <v>0</v>
      </c>
      <c r="Y318" s="17">
        <f>M318</f>
        <v>0</v>
      </c>
      <c r="Z318" s="19"/>
      <c r="AA318" s="17">
        <f>MIN(J318:L318)</f>
        <v>0</v>
      </c>
      <c r="AB318" s="17"/>
      <c r="AC318" s="17"/>
      <c r="AE318" s="17">
        <f>J318</f>
        <v>0</v>
      </c>
      <c r="AF318" s="17"/>
      <c r="AG318" s="17"/>
      <c r="AH318" s="18"/>
      <c r="AI318" s="19"/>
      <c r="AJ318" s="97"/>
      <c r="AK318" s="17">
        <f>K318</f>
        <v>0</v>
      </c>
      <c r="AL318" s="17"/>
      <c r="AM318" s="17"/>
      <c r="AN318" s="18"/>
      <c r="AO318" s="19"/>
      <c r="AP318" s="97"/>
      <c r="AQ318" s="17">
        <f>W318</f>
        <v>0</v>
      </c>
      <c r="AR318" s="17"/>
      <c r="AS318" s="17"/>
      <c r="AT318" s="18"/>
      <c r="AU318" s="19"/>
      <c r="AV318" s="97"/>
      <c r="AW318" s="17">
        <f>L318</f>
        <v>0</v>
      </c>
      <c r="AX318" s="17"/>
      <c r="AY318" s="17"/>
      <c r="AZ318" s="18"/>
      <c r="BA318" s="19"/>
    </row>
    <row r="319" spans="1:53" s="4" customFormat="1" ht="17.100000000000001" customHeight="1" x14ac:dyDescent="0.25">
      <c r="A319" s="40"/>
      <c r="B319" s="40"/>
      <c r="C319" s="74" t="s">
        <v>156</v>
      </c>
      <c r="D319" s="146" t="s">
        <v>485</v>
      </c>
      <c r="E319" s="105"/>
      <c r="F319" s="105"/>
      <c r="G319" s="105"/>
      <c r="H319" s="119"/>
      <c r="I319" s="231"/>
      <c r="J319" s="583"/>
      <c r="K319" s="583"/>
      <c r="L319" s="584"/>
      <c r="M319" s="593"/>
      <c r="N319" s="111"/>
      <c r="O319" s="111"/>
      <c r="P319" s="111"/>
      <c r="Q319" s="111"/>
      <c r="R319" s="111"/>
      <c r="S319" s="111"/>
      <c r="T319" s="111"/>
      <c r="U319" s="111"/>
      <c r="V319" s="358"/>
      <c r="W319" s="391"/>
      <c r="X319" s="17">
        <f t="shared" ref="X319:Y320" si="346">L319</f>
        <v>0</v>
      </c>
      <c r="Y319" s="17">
        <f t="shared" si="346"/>
        <v>0</v>
      </c>
      <c r="Z319" s="19"/>
      <c r="AA319" s="17"/>
      <c r="AB319" s="17">
        <f>MAX(J319:L319)</f>
        <v>0</v>
      </c>
      <c r="AC319" s="17"/>
      <c r="AE319" s="17"/>
      <c r="AF319" s="17">
        <f>J319</f>
        <v>0</v>
      </c>
      <c r="AG319" s="17"/>
      <c r="AH319" s="18"/>
      <c r="AI319" s="19"/>
      <c r="AJ319" s="97"/>
      <c r="AK319" s="17"/>
      <c r="AL319" s="17">
        <f>K319</f>
        <v>0</v>
      </c>
      <c r="AM319" s="17"/>
      <c r="AN319" s="18"/>
      <c r="AO319" s="19"/>
      <c r="AP319" s="97"/>
      <c r="AQ319" s="17"/>
      <c r="AR319" s="17">
        <f>W319</f>
        <v>0</v>
      </c>
      <c r="AS319" s="17"/>
      <c r="AT319" s="18"/>
      <c r="AU319" s="19"/>
      <c r="AV319" s="97"/>
      <c r="AW319" s="17"/>
      <c r="AX319" s="17">
        <f>L319</f>
        <v>0</v>
      </c>
      <c r="AY319" s="17"/>
      <c r="AZ319" s="18"/>
      <c r="BA319" s="19"/>
    </row>
    <row r="320" spans="1:53" s="4" customFormat="1" ht="17.100000000000001" customHeight="1" x14ac:dyDescent="0.25">
      <c r="A320" s="40"/>
      <c r="B320" s="40"/>
      <c r="C320" s="74" t="s">
        <v>157</v>
      </c>
      <c r="D320" s="146" t="s">
        <v>543</v>
      </c>
      <c r="E320" s="105"/>
      <c r="F320" s="105"/>
      <c r="G320" s="105"/>
      <c r="H320" s="119"/>
      <c r="I320" s="231"/>
      <c r="J320" s="581"/>
      <c r="K320" s="581"/>
      <c r="L320" s="582"/>
      <c r="M320" s="593"/>
      <c r="N320" s="111"/>
      <c r="O320" s="111"/>
      <c r="P320" s="111"/>
      <c r="Q320" s="111"/>
      <c r="R320" s="111"/>
      <c r="S320" s="111"/>
      <c r="T320" s="111"/>
      <c r="U320" s="111"/>
      <c r="V320" s="358"/>
      <c r="W320" s="391"/>
      <c r="X320" s="17">
        <f t="shared" si="346"/>
        <v>0</v>
      </c>
      <c r="Y320" s="17">
        <f t="shared" si="346"/>
        <v>0</v>
      </c>
      <c r="Z320" s="19"/>
      <c r="AA320" s="17"/>
      <c r="AB320" s="17"/>
      <c r="AC320" s="17">
        <f>IF(SUM(J320:L320)=0,0,AVERAGE(J320:L320))</f>
        <v>0</v>
      </c>
      <c r="AE320" s="17"/>
      <c r="AF320" s="17"/>
      <c r="AG320" s="17">
        <f>J320</f>
        <v>0</v>
      </c>
      <c r="AH320" s="18"/>
      <c r="AI320" s="19"/>
      <c r="AJ320" s="97"/>
      <c r="AK320" s="17"/>
      <c r="AL320" s="17"/>
      <c r="AM320" s="17">
        <f>K320</f>
        <v>0</v>
      </c>
      <c r="AN320" s="18"/>
      <c r="AO320" s="19"/>
      <c r="AP320" s="97"/>
      <c r="AQ320" s="17"/>
      <c r="AR320" s="17"/>
      <c r="AS320" s="17">
        <f>W320</f>
        <v>0</v>
      </c>
      <c r="AT320" s="18"/>
      <c r="AU320" s="19"/>
      <c r="AV320" s="97"/>
      <c r="AW320" s="17"/>
      <c r="AX320" s="17"/>
      <c r="AY320" s="17">
        <f>L320</f>
        <v>0</v>
      </c>
      <c r="AZ320" s="18"/>
      <c r="BA320" s="19"/>
    </row>
    <row r="321" spans="1:53" s="4" customFormat="1" ht="17.100000000000001" customHeight="1" x14ac:dyDescent="0.25">
      <c r="A321" s="40"/>
      <c r="B321" s="40"/>
      <c r="C321" s="74" t="s">
        <v>158</v>
      </c>
      <c r="D321" s="75" t="s">
        <v>129</v>
      </c>
      <c r="E321" s="105"/>
      <c r="F321" s="105"/>
      <c r="G321" s="105"/>
      <c r="H321" s="119"/>
      <c r="I321" s="231"/>
      <c r="J321" s="583"/>
      <c r="K321" s="583"/>
      <c r="L321" s="584"/>
      <c r="M321" s="593"/>
      <c r="N321" s="111"/>
      <c r="O321" s="111"/>
      <c r="P321" s="111"/>
      <c r="Q321" s="111"/>
      <c r="R321" s="111"/>
      <c r="S321" s="111"/>
      <c r="T321" s="111"/>
      <c r="U321" s="111"/>
      <c r="V321" s="358"/>
      <c r="W321" s="391">
        <f t="shared" si="341"/>
        <v>0</v>
      </c>
      <c r="X321" s="17">
        <f t="shared" si="342"/>
        <v>0</v>
      </c>
      <c r="Y321" s="18">
        <f>SUM(W321:X321)</f>
        <v>0</v>
      </c>
      <c r="Z321" s="19">
        <f>IF(Y$323=0,0,Y321/Y$323)</f>
        <v>0</v>
      </c>
      <c r="AA321" s="19"/>
      <c r="AB321" s="19"/>
      <c r="AC321" s="20"/>
      <c r="AE321" s="17"/>
      <c r="AF321" s="17"/>
      <c r="AG321" s="17"/>
      <c r="AH321" s="18">
        <f t="shared" si="343"/>
        <v>0</v>
      </c>
      <c r="AI321" s="19">
        <f>IF(AH$323=0,0,AH321/AH$323)</f>
        <v>0</v>
      </c>
      <c r="AJ321" s="97"/>
      <c r="AK321" s="17"/>
      <c r="AL321" s="17"/>
      <c r="AM321" s="17"/>
      <c r="AN321" s="18">
        <f t="shared" si="344"/>
        <v>0</v>
      </c>
      <c r="AO321" s="19">
        <f>IF(AN$323=0,0,AN321/AN$323)</f>
        <v>0</v>
      </c>
      <c r="AP321" s="97"/>
      <c r="AQ321" s="17"/>
      <c r="AR321" s="17"/>
      <c r="AS321" s="17"/>
      <c r="AT321" s="18">
        <f t="shared" si="345"/>
        <v>0</v>
      </c>
      <c r="AU321" s="19">
        <f>IF(AT$323=0,0,AT321/AT$323)</f>
        <v>0</v>
      </c>
      <c r="AV321" s="97"/>
      <c r="AW321" s="17"/>
      <c r="AX321" s="17"/>
      <c r="AY321" s="17"/>
      <c r="AZ321" s="18">
        <f>X321</f>
        <v>0</v>
      </c>
      <c r="BA321" s="19">
        <f>IF(AZ$323=0,0,AZ321/AZ$323)</f>
        <v>0</v>
      </c>
    </row>
    <row r="322" spans="1:53" s="4" customFormat="1" ht="17.100000000000001" customHeight="1" x14ac:dyDescent="0.25">
      <c r="A322" s="40"/>
      <c r="B322" s="40"/>
      <c r="C322" s="74" t="s">
        <v>159</v>
      </c>
      <c r="D322" s="75" t="s">
        <v>530</v>
      </c>
      <c r="E322" s="75"/>
      <c r="F322" s="75"/>
      <c r="G322" s="75"/>
      <c r="H322" s="540"/>
      <c r="I322" s="229"/>
      <c r="J322" s="581"/>
      <c r="K322" s="581"/>
      <c r="L322" s="582"/>
      <c r="M322" s="593"/>
      <c r="N322" s="111"/>
      <c r="O322" s="111"/>
      <c r="P322" s="111"/>
      <c r="Q322" s="111"/>
      <c r="R322" s="111"/>
      <c r="S322" s="111"/>
      <c r="T322" s="111"/>
      <c r="U322" s="111"/>
      <c r="V322" s="358"/>
      <c r="W322" s="391">
        <f t="shared" si="341"/>
        <v>0</v>
      </c>
      <c r="X322" s="17">
        <f t="shared" si="342"/>
        <v>0</v>
      </c>
      <c r="Y322" s="18">
        <f>SUM(W322:X322)</f>
        <v>0</v>
      </c>
      <c r="Z322" s="19">
        <f>IF(Y$323=0,0,Y322/Y$323)</f>
        <v>0</v>
      </c>
      <c r="AA322" s="19"/>
      <c r="AB322" s="19"/>
      <c r="AC322" s="20"/>
      <c r="AE322" s="17"/>
      <c r="AF322" s="17"/>
      <c r="AG322" s="17"/>
      <c r="AH322" s="18">
        <f t="shared" si="343"/>
        <v>0</v>
      </c>
      <c r="AI322" s="19">
        <f>IF(AH$323=0,0,AH322/AH$323)</f>
        <v>0</v>
      </c>
      <c r="AJ322" s="97"/>
      <c r="AK322" s="17"/>
      <c r="AL322" s="17"/>
      <c r="AM322" s="17"/>
      <c r="AN322" s="18">
        <f t="shared" si="344"/>
        <v>0</v>
      </c>
      <c r="AO322" s="19">
        <f>IF(AN$323=0,0,AN322/AN$323)</f>
        <v>0</v>
      </c>
      <c r="AP322" s="97"/>
      <c r="AQ322" s="17"/>
      <c r="AR322" s="17"/>
      <c r="AS322" s="17"/>
      <c r="AT322" s="18">
        <f t="shared" si="345"/>
        <v>0</v>
      </c>
      <c r="AU322" s="19">
        <f>IF(AT$323=0,0,AT322/AT$323)</f>
        <v>0</v>
      </c>
      <c r="AV322" s="97"/>
      <c r="AW322" s="17"/>
      <c r="AX322" s="17"/>
      <c r="AY322" s="17"/>
      <c r="AZ322" s="18">
        <f>X322</f>
        <v>0</v>
      </c>
      <c r="BA322" s="19">
        <f>IF(AZ$323=0,0,AZ322/AZ$323)</f>
        <v>0</v>
      </c>
    </row>
    <row r="323" spans="1:53" s="4" customFormat="1" ht="17.100000000000001" customHeight="1" x14ac:dyDescent="0.25">
      <c r="A323" s="175"/>
      <c r="B323" s="40"/>
      <c r="C323" s="77"/>
      <c r="D323" s="134"/>
      <c r="E323" s="134"/>
      <c r="F323" s="134"/>
      <c r="G323" s="134"/>
      <c r="H323" s="540"/>
      <c r="I323" s="12"/>
      <c r="J323" s="80">
        <f>J316+J317+J321+J322</f>
        <v>0</v>
      </c>
      <c r="K323" s="80">
        <f t="shared" ref="K323:M323" si="347">K316+K317+K321+K322</f>
        <v>0</v>
      </c>
      <c r="L323" s="80">
        <f t="shared" si="347"/>
        <v>0</v>
      </c>
      <c r="M323" s="80">
        <f t="shared" si="347"/>
        <v>0</v>
      </c>
      <c r="N323" s="81"/>
      <c r="O323" s="81"/>
      <c r="P323" s="81"/>
      <c r="Q323" s="81"/>
      <c r="R323" s="81"/>
      <c r="S323" s="81"/>
      <c r="T323" s="81"/>
      <c r="U323" s="81"/>
      <c r="V323" s="356"/>
      <c r="W323" s="381">
        <f>W316+W317+W321+W322</f>
        <v>0</v>
      </c>
      <c r="X323" s="82">
        <f>X316+X317+X321+X322</f>
        <v>0</v>
      </c>
      <c r="Y323" s="82">
        <f t="shared" ref="Y323" si="348">SUM(Y316:Y322)</f>
        <v>0</v>
      </c>
      <c r="Z323" s="205">
        <f>IF(Y$323=0,0,Y323/Y$323)</f>
        <v>0</v>
      </c>
      <c r="AA323" s="205"/>
      <c r="AB323" s="205"/>
      <c r="AC323" s="83"/>
      <c r="AE323" s="80"/>
      <c r="AF323" s="80"/>
      <c r="AG323" s="81"/>
      <c r="AH323" s="82">
        <f>SUM(AH316:AH322)</f>
        <v>0</v>
      </c>
      <c r="AI323" s="66">
        <f>IF(AH$323=0,0,AH323/AH$323)</f>
        <v>0</v>
      </c>
      <c r="AJ323" s="97"/>
      <c r="AK323" s="80"/>
      <c r="AL323" s="80"/>
      <c r="AM323" s="81"/>
      <c r="AN323" s="82">
        <f>SUM(AN316:AN322)</f>
        <v>0</v>
      </c>
      <c r="AO323" s="66">
        <f>IF(AN$323=0,0,AN323/AN$323)</f>
        <v>0</v>
      </c>
      <c r="AP323" s="97"/>
      <c r="AQ323" s="80"/>
      <c r="AR323" s="80"/>
      <c r="AS323" s="81"/>
      <c r="AT323" s="82">
        <f>SUM(AT316:AT322)</f>
        <v>0</v>
      </c>
      <c r="AU323" s="66">
        <f>IF(AT$323=0,0,AT323/AT$323)</f>
        <v>0</v>
      </c>
      <c r="AV323" s="97"/>
      <c r="AW323" s="80"/>
      <c r="AX323" s="80"/>
      <c r="AY323" s="81"/>
      <c r="AZ323" s="82">
        <f>SUM(AZ316:AZ322)</f>
        <v>0</v>
      </c>
      <c r="BA323" s="66">
        <f>IF(AZ$323=0,0,AZ323/AZ$323)</f>
        <v>0</v>
      </c>
    </row>
    <row r="324" spans="1:53" s="117" customFormat="1" ht="17.100000000000001" customHeight="1" x14ac:dyDescent="0.25">
      <c r="A324" s="68"/>
      <c r="B324" s="119"/>
      <c r="C324" s="540"/>
      <c r="D324" s="261"/>
      <c r="E324" s="261"/>
      <c r="F324" s="68"/>
      <c r="G324" s="68"/>
      <c r="H324" s="119"/>
      <c r="I324" s="138"/>
      <c r="J324" s="17" t="str">
        <f>IF(J323=J$15,"OK","NOK")</f>
        <v>OK</v>
      </c>
      <c r="K324" s="17" t="str">
        <f t="shared" ref="K324:L324" si="349">IF(K323=K$15,"OK","NOK")</f>
        <v>OK</v>
      </c>
      <c r="L324" s="17" t="str">
        <f t="shared" si="349"/>
        <v>OK</v>
      </c>
      <c r="M324" s="17"/>
      <c r="N324" s="17"/>
      <c r="O324" s="17"/>
      <c r="P324" s="17"/>
      <c r="Q324" s="17"/>
      <c r="R324" s="17"/>
      <c r="S324" s="17"/>
      <c r="T324" s="17"/>
      <c r="U324" s="17"/>
      <c r="V324" s="359"/>
      <c r="W324" s="382"/>
      <c r="X324" s="539"/>
      <c r="Y324" s="539"/>
      <c r="Z324" s="201"/>
      <c r="AA324" s="201"/>
      <c r="AB324" s="201"/>
      <c r="AC324" s="84"/>
      <c r="AE324" s="46"/>
      <c r="AF324" s="46"/>
      <c r="AG324" s="17"/>
      <c r="AH324" s="539"/>
      <c r="AI324" s="91"/>
      <c r="AK324" s="46"/>
      <c r="AL324" s="46"/>
      <c r="AM324" s="17"/>
      <c r="AN324" s="539"/>
      <c r="AO324" s="91"/>
      <c r="AQ324" s="46"/>
      <c r="AR324" s="46"/>
      <c r="AS324" s="17"/>
      <c r="AT324" s="539"/>
      <c r="AU324" s="91"/>
      <c r="AW324" s="46"/>
      <c r="AX324" s="46"/>
      <c r="AY324" s="17"/>
      <c r="AZ324" s="539"/>
      <c r="BA324" s="91"/>
    </row>
    <row r="325" spans="1:53" ht="17.100000000000001" customHeight="1" x14ac:dyDescent="0.25">
      <c r="A325" s="68"/>
      <c r="B325" s="41" t="s">
        <v>160</v>
      </c>
      <c r="C325" s="69" t="s">
        <v>434</v>
      </c>
      <c r="D325" s="50"/>
      <c r="E325" s="70"/>
      <c r="F325" s="70"/>
      <c r="G325" s="70"/>
      <c r="H325" s="243">
        <v>40</v>
      </c>
      <c r="J325" s="71"/>
      <c r="K325" s="71"/>
      <c r="L325" s="71"/>
      <c r="M325" s="71"/>
      <c r="N325" s="71"/>
      <c r="O325" s="71"/>
      <c r="P325" s="71"/>
      <c r="Q325" s="71"/>
      <c r="R325" s="71"/>
      <c r="S325" s="71"/>
      <c r="T325" s="71"/>
      <c r="U325" s="71"/>
      <c r="V325" s="355"/>
      <c r="W325" s="377"/>
      <c r="X325" s="71"/>
      <c r="Y325" s="89"/>
      <c r="Z325" s="90"/>
      <c r="AA325" s="90"/>
      <c r="AB325" s="90"/>
      <c r="AC325" s="73"/>
      <c r="AE325" s="71"/>
      <c r="AF325" s="71"/>
      <c r="AG325" s="71"/>
      <c r="AH325" s="72"/>
      <c r="AI325" s="73"/>
      <c r="AK325" s="71"/>
      <c r="AL325" s="71"/>
      <c r="AM325" s="71"/>
      <c r="AN325" s="72"/>
      <c r="AO325" s="73"/>
      <c r="AQ325" s="71"/>
      <c r="AR325" s="71"/>
      <c r="AS325" s="71"/>
      <c r="AT325" s="72"/>
      <c r="AU325" s="73"/>
      <c r="AW325" s="71"/>
      <c r="AX325" s="71"/>
      <c r="AY325" s="71"/>
      <c r="AZ325" s="72"/>
      <c r="BA325" s="73"/>
    </row>
    <row r="326" spans="1:53" s="4" customFormat="1" ht="17.100000000000001" customHeight="1" x14ac:dyDescent="0.25">
      <c r="A326" s="40"/>
      <c r="B326" s="40"/>
      <c r="C326" s="74" t="s">
        <v>161</v>
      </c>
      <c r="D326" s="85" t="s">
        <v>173</v>
      </c>
      <c r="E326" s="105"/>
      <c r="F326" s="105"/>
      <c r="G326" s="105"/>
      <c r="H326" s="119"/>
      <c r="I326" s="231"/>
      <c r="J326" s="581"/>
      <c r="K326" s="581"/>
      <c r="L326" s="582"/>
      <c r="M326" s="593"/>
      <c r="N326" s="111"/>
      <c r="O326" s="111"/>
      <c r="P326" s="111"/>
      <c r="Q326" s="111"/>
      <c r="R326" s="111"/>
      <c r="S326" s="111"/>
      <c r="T326" s="111"/>
      <c r="U326" s="111"/>
      <c r="V326" s="358"/>
      <c r="W326" s="391">
        <f t="shared" ref="W326:W327" si="350">J326+K326+N326+Q326+T326</f>
        <v>0</v>
      </c>
      <c r="X326" s="17">
        <f t="shared" ref="X326:X327" si="351">L326+O326+R326+U326</f>
        <v>0</v>
      </c>
      <c r="Y326" s="18">
        <f>SUM(W326:X326)</f>
        <v>0</v>
      </c>
      <c r="Z326" s="19">
        <f>IF(Y$333=0,0,Y326/Y$333)</f>
        <v>0</v>
      </c>
      <c r="AA326" s="19"/>
      <c r="AB326" s="19"/>
      <c r="AC326" s="20"/>
      <c r="AE326" s="17"/>
      <c r="AF326" s="17"/>
      <c r="AG326" s="17"/>
      <c r="AH326" s="18">
        <f>J326</f>
        <v>0</v>
      </c>
      <c r="AI326" s="19">
        <f>IF(AH$333=0,0,AH326/AH$333)</f>
        <v>0</v>
      </c>
      <c r="AJ326" s="97"/>
      <c r="AK326" s="17"/>
      <c r="AL326" s="17"/>
      <c r="AM326" s="17"/>
      <c r="AN326" s="18">
        <f>K326</f>
        <v>0</v>
      </c>
      <c r="AO326" s="19">
        <f>IF(AN$333=0,0,AN326/AN$333)</f>
        <v>0</v>
      </c>
      <c r="AP326" s="97"/>
      <c r="AQ326" s="17"/>
      <c r="AR326" s="17"/>
      <c r="AS326" s="17"/>
      <c r="AT326" s="18">
        <f>W326</f>
        <v>0</v>
      </c>
      <c r="AU326" s="19">
        <f>IF(AT$333=0,0,AT326/AT$333)</f>
        <v>0</v>
      </c>
      <c r="AV326" s="97"/>
      <c r="AW326" s="17"/>
      <c r="AX326" s="17"/>
      <c r="AY326" s="17"/>
      <c r="AZ326" s="18">
        <f>X326</f>
        <v>0</v>
      </c>
      <c r="BA326" s="19">
        <f>IF(AZ$333=0,0,AZ326/AZ$333)</f>
        <v>0</v>
      </c>
    </row>
    <row r="327" spans="1:53" s="4" customFormat="1" ht="17.100000000000001" customHeight="1" x14ac:dyDescent="0.25">
      <c r="A327" s="40"/>
      <c r="B327" s="40"/>
      <c r="C327" s="74" t="s">
        <v>163</v>
      </c>
      <c r="D327" s="85" t="s">
        <v>544</v>
      </c>
      <c r="E327" s="105"/>
      <c r="F327" s="105"/>
      <c r="G327" s="105"/>
      <c r="H327" s="119"/>
      <c r="I327" s="231"/>
      <c r="J327" s="583"/>
      <c r="K327" s="583"/>
      <c r="L327" s="584"/>
      <c r="M327" s="593"/>
      <c r="N327" s="111"/>
      <c r="O327" s="111"/>
      <c r="P327" s="111"/>
      <c r="Q327" s="111"/>
      <c r="R327" s="111"/>
      <c r="S327" s="111"/>
      <c r="T327" s="111"/>
      <c r="U327" s="111"/>
      <c r="V327" s="358"/>
      <c r="W327" s="391">
        <f t="shared" si="350"/>
        <v>0</v>
      </c>
      <c r="X327" s="17">
        <f t="shared" si="351"/>
        <v>0</v>
      </c>
      <c r="Y327" s="18">
        <f>SUM(W327:X327)</f>
        <v>0</v>
      </c>
      <c r="Z327" s="19">
        <f>IF(Y$333=0,0,Y327/Y$333)</f>
        <v>0</v>
      </c>
      <c r="AA327" s="19"/>
      <c r="AB327" s="19"/>
      <c r="AC327" s="20"/>
      <c r="AE327" s="17"/>
      <c r="AF327" s="17"/>
      <c r="AG327" s="17"/>
      <c r="AH327" s="18">
        <f t="shared" ref="AH327" si="352">J327</f>
        <v>0</v>
      </c>
      <c r="AI327" s="19">
        <f>IF(AH$333=0,0,AH327/AH$333)</f>
        <v>0</v>
      </c>
      <c r="AJ327" s="97"/>
      <c r="AK327" s="17"/>
      <c r="AL327" s="17"/>
      <c r="AM327" s="17"/>
      <c r="AN327" s="18">
        <f t="shared" ref="AN327" si="353">K327</f>
        <v>0</v>
      </c>
      <c r="AO327" s="19">
        <f>IF(AN$333=0,0,AN327/AN$333)</f>
        <v>0</v>
      </c>
      <c r="AP327" s="97"/>
      <c r="AQ327" s="17"/>
      <c r="AR327" s="17"/>
      <c r="AS327" s="17"/>
      <c r="AT327" s="18">
        <f t="shared" ref="AT327" si="354">W327</f>
        <v>0</v>
      </c>
      <c r="AU327" s="19">
        <f>IF(AT$333=0,0,AT327/AT$333)</f>
        <v>0</v>
      </c>
      <c r="AV327" s="97"/>
      <c r="AW327" s="17"/>
      <c r="AX327" s="17"/>
      <c r="AY327" s="17"/>
      <c r="AZ327" s="18">
        <f>X327</f>
        <v>0</v>
      </c>
      <c r="BA327" s="19">
        <f>IF(AZ$333=0,0,AZ327/AZ$333)</f>
        <v>0</v>
      </c>
    </row>
    <row r="328" spans="1:53" s="4" customFormat="1" ht="17.100000000000001" customHeight="1" x14ac:dyDescent="0.25">
      <c r="A328" s="40"/>
      <c r="B328" s="40"/>
      <c r="C328" s="74" t="s">
        <v>164</v>
      </c>
      <c r="D328" s="146" t="s">
        <v>484</v>
      </c>
      <c r="E328" s="105"/>
      <c r="F328" s="105"/>
      <c r="G328" s="105"/>
      <c r="H328" s="119"/>
      <c r="I328" s="231"/>
      <c r="J328" s="581"/>
      <c r="K328" s="581"/>
      <c r="L328" s="582"/>
      <c r="M328" s="593"/>
      <c r="N328" s="111"/>
      <c r="O328" s="111"/>
      <c r="P328" s="111"/>
      <c r="Q328" s="111"/>
      <c r="R328" s="111"/>
      <c r="S328" s="111"/>
      <c r="T328" s="111"/>
      <c r="U328" s="111"/>
      <c r="V328" s="358"/>
      <c r="W328" s="391">
        <f>MIN(J328:K328)</f>
        <v>0</v>
      </c>
      <c r="X328" s="17">
        <f>L328</f>
        <v>0</v>
      </c>
      <c r="Y328" s="18"/>
      <c r="Z328" s="19"/>
      <c r="AA328" s="17">
        <f>MIN(J328:L328)</f>
        <v>0</v>
      </c>
      <c r="AB328" s="17"/>
      <c r="AC328" s="17"/>
      <c r="AE328" s="17">
        <f>J328</f>
        <v>0</v>
      </c>
      <c r="AF328" s="17"/>
      <c r="AG328" s="17"/>
      <c r="AH328" s="18"/>
      <c r="AI328" s="19"/>
      <c r="AJ328" s="97"/>
      <c r="AK328" s="17">
        <f>K328</f>
        <v>0</v>
      </c>
      <c r="AL328" s="17"/>
      <c r="AM328" s="17"/>
      <c r="AN328" s="18"/>
      <c r="AO328" s="19"/>
      <c r="AP328" s="97"/>
      <c r="AQ328" s="17">
        <f>W328</f>
        <v>0</v>
      </c>
      <c r="AR328" s="17"/>
      <c r="AS328" s="17"/>
      <c r="AT328" s="18"/>
      <c r="AU328" s="19"/>
      <c r="AV328" s="97"/>
      <c r="AW328" s="17">
        <f>L328</f>
        <v>0</v>
      </c>
      <c r="AX328" s="17"/>
      <c r="AY328" s="17"/>
      <c r="AZ328" s="18"/>
      <c r="BA328" s="19"/>
    </row>
    <row r="329" spans="1:53" s="4" customFormat="1" ht="17.100000000000001" customHeight="1" x14ac:dyDescent="0.25">
      <c r="A329" s="40"/>
      <c r="B329" s="40"/>
      <c r="C329" s="74" t="s">
        <v>166</v>
      </c>
      <c r="D329" s="146" t="s">
        <v>485</v>
      </c>
      <c r="E329" s="105"/>
      <c r="F329" s="105"/>
      <c r="G329" s="105"/>
      <c r="H329" s="119"/>
      <c r="I329" s="231"/>
      <c r="J329" s="583"/>
      <c r="K329" s="583"/>
      <c r="L329" s="584"/>
      <c r="M329" s="593"/>
      <c r="N329" s="111"/>
      <c r="O329" s="111"/>
      <c r="P329" s="111"/>
      <c r="Q329" s="111"/>
      <c r="R329" s="111"/>
      <c r="S329" s="111"/>
      <c r="T329" s="111"/>
      <c r="U329" s="111"/>
      <c r="V329" s="358"/>
      <c r="W329" s="391">
        <f>MAX(J329:K329)</f>
        <v>0</v>
      </c>
      <c r="X329" s="17">
        <f t="shared" ref="X329:X330" si="355">L329</f>
        <v>0</v>
      </c>
      <c r="Y329" s="18"/>
      <c r="Z329" s="19"/>
      <c r="AA329" s="17"/>
      <c r="AB329" s="17">
        <f>MAX(J329:L329)</f>
        <v>0</v>
      </c>
      <c r="AC329" s="17"/>
      <c r="AE329" s="17"/>
      <c r="AF329" s="17">
        <f>J329</f>
        <v>0</v>
      </c>
      <c r="AG329" s="17"/>
      <c r="AH329" s="18"/>
      <c r="AI329" s="19"/>
      <c r="AJ329" s="97"/>
      <c r="AK329" s="17"/>
      <c r="AL329" s="17">
        <f>K329</f>
        <v>0</v>
      </c>
      <c r="AM329" s="17"/>
      <c r="AN329" s="18"/>
      <c r="AO329" s="19"/>
      <c r="AP329" s="97"/>
      <c r="AQ329" s="17"/>
      <c r="AR329" s="17">
        <f>W329</f>
        <v>0</v>
      </c>
      <c r="AS329" s="17"/>
      <c r="AT329" s="18"/>
      <c r="AU329" s="19"/>
      <c r="AV329" s="97"/>
      <c r="AW329" s="17"/>
      <c r="AX329" s="17">
        <f>L329</f>
        <v>0</v>
      </c>
      <c r="AY329" s="17"/>
      <c r="AZ329" s="18"/>
      <c r="BA329" s="19"/>
    </row>
    <row r="330" spans="1:53" s="4" customFormat="1" ht="17.100000000000001" customHeight="1" x14ac:dyDescent="0.25">
      <c r="A330" s="40"/>
      <c r="B330" s="40"/>
      <c r="C330" s="74" t="s">
        <v>168</v>
      </c>
      <c r="D330" s="146" t="s">
        <v>543</v>
      </c>
      <c r="E330" s="105"/>
      <c r="F330" s="105"/>
      <c r="G330" s="105"/>
      <c r="H330" s="119"/>
      <c r="I330" s="231"/>
      <c r="J330" s="581"/>
      <c r="K330" s="581"/>
      <c r="L330" s="582"/>
      <c r="M330" s="593"/>
      <c r="N330" s="111"/>
      <c r="O330" s="111"/>
      <c r="P330" s="111"/>
      <c r="Q330" s="111"/>
      <c r="R330" s="111"/>
      <c r="S330" s="111"/>
      <c r="T330" s="111"/>
      <c r="U330" s="111"/>
      <c r="V330" s="358"/>
      <c r="W330" s="391">
        <f>IF(SUM(J330:K330)=0,0,AVERAGE(J330:K330))</f>
        <v>0</v>
      </c>
      <c r="X330" s="17">
        <f t="shared" si="355"/>
        <v>0</v>
      </c>
      <c r="Y330" s="18"/>
      <c r="Z330" s="19"/>
      <c r="AA330" s="17"/>
      <c r="AB330" s="17"/>
      <c r="AC330" s="17">
        <f>IF(SUM(J330:L330)=0,0,AVERAGE(J330:L330))</f>
        <v>0</v>
      </c>
      <c r="AE330" s="17"/>
      <c r="AF330" s="17"/>
      <c r="AG330" s="17">
        <f>J330</f>
        <v>0</v>
      </c>
      <c r="AH330" s="18"/>
      <c r="AI330" s="19"/>
      <c r="AJ330" s="97"/>
      <c r="AK330" s="17"/>
      <c r="AL330" s="17"/>
      <c r="AM330" s="17">
        <f>K330</f>
        <v>0</v>
      </c>
      <c r="AN330" s="18"/>
      <c r="AO330" s="19"/>
      <c r="AP330" s="97"/>
      <c r="AQ330" s="17"/>
      <c r="AR330" s="17"/>
      <c r="AS330" s="17">
        <f>W330</f>
        <v>0</v>
      </c>
      <c r="AT330" s="18"/>
      <c r="AU330" s="19"/>
      <c r="AV330" s="97"/>
      <c r="AW330" s="17"/>
      <c r="AX330" s="17"/>
      <c r="AY330" s="17">
        <f>L330</f>
        <v>0</v>
      </c>
      <c r="AZ330" s="18"/>
      <c r="BA330" s="19"/>
    </row>
    <row r="331" spans="1:53" s="4" customFormat="1" ht="17.100000000000001" customHeight="1" x14ac:dyDescent="0.25">
      <c r="A331" s="40"/>
      <c r="B331" s="40"/>
      <c r="C331" s="74" t="s">
        <v>169</v>
      </c>
      <c r="D331" s="75" t="s">
        <v>129</v>
      </c>
      <c r="E331" s="105"/>
      <c r="F331" s="105"/>
      <c r="G331" s="105"/>
      <c r="H331" s="119"/>
      <c r="I331" s="231"/>
      <c r="J331" s="583"/>
      <c r="K331" s="583"/>
      <c r="L331" s="584"/>
      <c r="M331" s="593"/>
      <c r="N331" s="111"/>
      <c r="O331" s="111"/>
      <c r="P331" s="111"/>
      <c r="Q331" s="111"/>
      <c r="R331" s="111"/>
      <c r="S331" s="111"/>
      <c r="T331" s="111"/>
      <c r="U331" s="111"/>
      <c r="V331" s="358"/>
      <c r="W331" s="391">
        <f t="shared" ref="W331:W332" si="356">J331+K331+N331+Q331+T331</f>
        <v>0</v>
      </c>
      <c r="X331" s="17">
        <f t="shared" ref="X331:X332" si="357">L331+O331+R331+U331</f>
        <v>0</v>
      </c>
      <c r="Y331" s="18">
        <f>SUM(W331:X331)</f>
        <v>0</v>
      </c>
      <c r="Z331" s="19">
        <f>IF(Y$333=0,0,Y331/Y$333)</f>
        <v>0</v>
      </c>
      <c r="AA331" s="19"/>
      <c r="AB331" s="19"/>
      <c r="AC331" s="20"/>
      <c r="AE331" s="17"/>
      <c r="AF331" s="17"/>
      <c r="AG331" s="17"/>
      <c r="AH331" s="18">
        <f t="shared" ref="AH331:AH332" si="358">J331</f>
        <v>0</v>
      </c>
      <c r="AI331" s="19">
        <f>IF(AH$333=0,0,AH331/AH$333)</f>
        <v>0</v>
      </c>
      <c r="AJ331" s="97"/>
      <c r="AK331" s="17"/>
      <c r="AL331" s="17"/>
      <c r="AM331" s="17"/>
      <c r="AN331" s="18">
        <f t="shared" ref="AN331:AN332" si="359">K331</f>
        <v>0</v>
      </c>
      <c r="AO331" s="19">
        <f>IF(AN$333=0,0,AN331/AN$333)</f>
        <v>0</v>
      </c>
      <c r="AP331" s="97"/>
      <c r="AQ331" s="17"/>
      <c r="AR331" s="17"/>
      <c r="AS331" s="17"/>
      <c r="AT331" s="18">
        <f t="shared" ref="AT331:AT332" si="360">W331</f>
        <v>0</v>
      </c>
      <c r="AU331" s="19">
        <f>IF(AT$333=0,0,AT331/AT$333)</f>
        <v>0</v>
      </c>
      <c r="AV331" s="97"/>
      <c r="AW331" s="17"/>
      <c r="AX331" s="17"/>
      <c r="AY331" s="17"/>
      <c r="AZ331" s="18">
        <f>X331</f>
        <v>0</v>
      </c>
      <c r="BA331" s="19">
        <f>IF(AZ$333=0,0,AZ331/AZ$333)</f>
        <v>0</v>
      </c>
    </row>
    <row r="332" spans="1:53" s="4" customFormat="1" ht="17.100000000000001" customHeight="1" x14ac:dyDescent="0.25">
      <c r="A332" s="40"/>
      <c r="B332" s="40"/>
      <c r="C332" s="74" t="s">
        <v>170</v>
      </c>
      <c r="D332" s="75" t="s">
        <v>530</v>
      </c>
      <c r="E332" s="75"/>
      <c r="F332" s="75"/>
      <c r="G332" s="75"/>
      <c r="H332" s="540"/>
      <c r="I332" s="229"/>
      <c r="J332" s="581"/>
      <c r="K332" s="581"/>
      <c r="L332" s="582"/>
      <c r="M332" s="593"/>
      <c r="N332" s="111"/>
      <c r="O332" s="111"/>
      <c r="P332" s="111"/>
      <c r="Q332" s="111"/>
      <c r="R332" s="111"/>
      <c r="S332" s="111"/>
      <c r="T332" s="111"/>
      <c r="U332" s="111"/>
      <c r="V332" s="358"/>
      <c r="W332" s="391">
        <f t="shared" si="356"/>
        <v>0</v>
      </c>
      <c r="X332" s="17">
        <f t="shared" si="357"/>
        <v>0</v>
      </c>
      <c r="Y332" s="18">
        <f>SUM(W332:X332)</f>
        <v>0</v>
      </c>
      <c r="Z332" s="19">
        <f>IF(Y$333=0,0,Y332/Y$333)</f>
        <v>0</v>
      </c>
      <c r="AA332" s="19"/>
      <c r="AB332" s="19"/>
      <c r="AC332" s="20"/>
      <c r="AE332" s="17"/>
      <c r="AF332" s="17"/>
      <c r="AG332" s="17"/>
      <c r="AH332" s="18">
        <f t="shared" si="358"/>
        <v>0</v>
      </c>
      <c r="AI332" s="19">
        <f>IF(AH$333=0,0,AH332/AH$333)</f>
        <v>0</v>
      </c>
      <c r="AJ332" s="97"/>
      <c r="AK332" s="17"/>
      <c r="AL332" s="17"/>
      <c r="AM332" s="17"/>
      <c r="AN332" s="18">
        <f t="shared" si="359"/>
        <v>0</v>
      </c>
      <c r="AO332" s="19">
        <f>IF(AN$333=0,0,AN332/AN$333)</f>
        <v>0</v>
      </c>
      <c r="AP332" s="97"/>
      <c r="AQ332" s="17"/>
      <c r="AR332" s="17"/>
      <c r="AS332" s="17"/>
      <c r="AT332" s="18">
        <f t="shared" si="360"/>
        <v>0</v>
      </c>
      <c r="AU332" s="19">
        <f>IF(AT$333=0,0,AT332/AT$333)</f>
        <v>0</v>
      </c>
      <c r="AV332" s="97"/>
      <c r="AW332" s="17"/>
      <c r="AX332" s="17"/>
      <c r="AY332" s="17"/>
      <c r="AZ332" s="18">
        <f>X332</f>
        <v>0</v>
      </c>
      <c r="BA332" s="19">
        <f>IF(AZ$333=0,0,AZ332/AZ$333)</f>
        <v>0</v>
      </c>
    </row>
    <row r="333" spans="1:53" s="4" customFormat="1" ht="17.100000000000001" customHeight="1" x14ac:dyDescent="0.25">
      <c r="A333" s="175"/>
      <c r="B333" s="40"/>
      <c r="C333" s="77"/>
      <c r="D333" s="134"/>
      <c r="E333" s="134"/>
      <c r="F333" s="134"/>
      <c r="G333" s="134"/>
      <c r="H333" s="540"/>
      <c r="I333" s="12"/>
      <c r="J333" s="80">
        <f>J326+J327+J331+J332</f>
        <v>0</v>
      </c>
      <c r="K333" s="80">
        <f t="shared" ref="K333:M333" si="361">K326+K327+K331+K332</f>
        <v>0</v>
      </c>
      <c r="L333" s="80">
        <f t="shared" si="361"/>
        <v>0</v>
      </c>
      <c r="M333" s="80">
        <f t="shared" si="361"/>
        <v>0</v>
      </c>
      <c r="N333" s="81"/>
      <c r="O333" s="81"/>
      <c r="P333" s="81"/>
      <c r="Q333" s="81"/>
      <c r="R333" s="81"/>
      <c r="S333" s="81"/>
      <c r="T333" s="81"/>
      <c r="U333" s="81"/>
      <c r="V333" s="356"/>
      <c r="W333" s="381">
        <f>W326+W327+W331+W332</f>
        <v>0</v>
      </c>
      <c r="X333" s="82">
        <f>X326+X327+X331+X332</f>
        <v>0</v>
      </c>
      <c r="Y333" s="82">
        <f t="shared" ref="Y333" si="362">SUM(Y326:Y332)</f>
        <v>0</v>
      </c>
      <c r="Z333" s="205">
        <f>IF(Y$333=0,0,Y333/Y$333)</f>
        <v>0</v>
      </c>
      <c r="AA333" s="205"/>
      <c r="AB333" s="205"/>
      <c r="AC333" s="83"/>
      <c r="AE333" s="80"/>
      <c r="AF333" s="80"/>
      <c r="AG333" s="81"/>
      <c r="AH333" s="82">
        <f>SUM(AH326:AH332)</f>
        <v>0</v>
      </c>
      <c r="AI333" s="66">
        <f>IF(AH$333=0,0,AH333/AH$333)</f>
        <v>0</v>
      </c>
      <c r="AJ333" s="97"/>
      <c r="AK333" s="80"/>
      <c r="AL333" s="80"/>
      <c r="AM333" s="81"/>
      <c r="AN333" s="82">
        <f>SUM(AN326:AN332)</f>
        <v>0</v>
      </c>
      <c r="AO333" s="66">
        <f>IF(AN$333=0,0,AN333/AN$333)</f>
        <v>0</v>
      </c>
      <c r="AP333" s="97"/>
      <c r="AQ333" s="80"/>
      <c r="AR333" s="80"/>
      <c r="AS333" s="81"/>
      <c r="AT333" s="82">
        <f>SUM(AT326:AT332)</f>
        <v>0</v>
      </c>
      <c r="AU333" s="66">
        <f>IF(AT$333=0,0,AT333/AT$333)</f>
        <v>0</v>
      </c>
      <c r="AV333" s="97"/>
      <c r="AW333" s="80"/>
      <c r="AX333" s="80"/>
      <c r="AY333" s="81"/>
      <c r="AZ333" s="82">
        <f>SUM(AZ326:AZ332)</f>
        <v>0</v>
      </c>
      <c r="BA333" s="66">
        <f>IF(AZ$333=0,0,AZ333/AZ$333)</f>
        <v>0</v>
      </c>
    </row>
    <row r="334" spans="1:53" s="117" customFormat="1" ht="17.100000000000001" customHeight="1" x14ac:dyDescent="0.25">
      <c r="A334" s="68"/>
      <c r="B334" s="119"/>
      <c r="C334" s="540"/>
      <c r="D334" s="261"/>
      <c r="E334" s="261"/>
      <c r="F334" s="68"/>
      <c r="G334" s="68"/>
      <c r="H334" s="119"/>
      <c r="I334" s="138"/>
      <c r="J334" s="17" t="str">
        <f>IF(J333=J$15,"OK","NOK")</f>
        <v>OK</v>
      </c>
      <c r="K334" s="17" t="str">
        <f t="shared" ref="K334:L334" si="363">IF(K333=K$15,"OK","NOK")</f>
        <v>OK</v>
      </c>
      <c r="L334" s="17" t="str">
        <f t="shared" si="363"/>
        <v>OK</v>
      </c>
      <c r="M334" s="17"/>
      <c r="N334" s="17"/>
      <c r="O334" s="17"/>
      <c r="P334" s="17"/>
      <c r="Q334" s="17"/>
      <c r="R334" s="17"/>
      <c r="S334" s="17"/>
      <c r="T334" s="17"/>
      <c r="U334" s="17"/>
      <c r="V334" s="359"/>
      <c r="W334" s="382"/>
      <c r="X334" s="539"/>
      <c r="Y334" s="539"/>
      <c r="Z334" s="201"/>
      <c r="AA334" s="201"/>
      <c r="AB334" s="201"/>
      <c r="AC334" s="84"/>
      <c r="AE334" s="46"/>
      <c r="AF334" s="46"/>
      <c r="AG334" s="17"/>
      <c r="AH334" s="539"/>
      <c r="AI334" s="91"/>
      <c r="AK334" s="46"/>
      <c r="AL334" s="46"/>
      <c r="AM334" s="17"/>
      <c r="AN334" s="539"/>
      <c r="AO334" s="91"/>
      <c r="AQ334" s="46"/>
      <c r="AR334" s="46"/>
      <c r="AS334" s="17"/>
      <c r="AT334" s="539"/>
      <c r="AU334" s="91"/>
      <c r="AW334" s="46"/>
      <c r="AX334" s="46"/>
      <c r="AY334" s="17"/>
      <c r="AZ334" s="539"/>
      <c r="BA334" s="91"/>
    </row>
    <row r="335" spans="1:53" ht="17.100000000000001" customHeight="1" x14ac:dyDescent="0.25">
      <c r="A335" s="68"/>
      <c r="B335" s="41" t="s">
        <v>171</v>
      </c>
      <c r="C335" s="69" t="s">
        <v>435</v>
      </c>
      <c r="D335" s="50"/>
      <c r="E335" s="70"/>
      <c r="F335" s="70"/>
      <c r="G335" s="70"/>
      <c r="H335" s="243">
        <v>42</v>
      </c>
      <c r="J335" s="71"/>
      <c r="K335" s="71"/>
      <c r="L335" s="71"/>
      <c r="M335" s="71"/>
      <c r="N335" s="71"/>
      <c r="O335" s="71"/>
      <c r="P335" s="71"/>
      <c r="Q335" s="71"/>
      <c r="R335" s="71"/>
      <c r="S335" s="71"/>
      <c r="T335" s="71"/>
      <c r="U335" s="71"/>
      <c r="V335" s="355"/>
      <c r="W335" s="377"/>
      <c r="X335" s="71"/>
      <c r="Y335" s="89"/>
      <c r="Z335" s="90"/>
      <c r="AA335" s="90"/>
      <c r="AB335" s="90"/>
      <c r="AC335" s="73"/>
      <c r="AE335" s="71"/>
      <c r="AF335" s="71"/>
      <c r="AG335" s="71"/>
      <c r="AH335" s="72"/>
      <c r="AI335" s="73"/>
      <c r="AK335" s="71"/>
      <c r="AL335" s="71"/>
      <c r="AM335" s="71"/>
      <c r="AN335" s="72"/>
      <c r="AO335" s="73"/>
      <c r="AQ335" s="71"/>
      <c r="AR335" s="71"/>
      <c r="AS335" s="71"/>
      <c r="AT335" s="72"/>
      <c r="AU335" s="73"/>
      <c r="AW335" s="71"/>
      <c r="AX335" s="71"/>
      <c r="AY335" s="71"/>
      <c r="AZ335" s="72"/>
      <c r="BA335" s="73"/>
    </row>
    <row r="336" spans="1:53" s="4" customFormat="1" ht="17.100000000000001" customHeight="1" x14ac:dyDescent="0.25">
      <c r="A336" s="40"/>
      <c r="B336" s="40"/>
      <c r="C336" s="74" t="s">
        <v>172</v>
      </c>
      <c r="D336" s="85" t="s">
        <v>173</v>
      </c>
      <c r="E336" s="105"/>
      <c r="F336" s="105"/>
      <c r="G336" s="105"/>
      <c r="H336" s="119"/>
      <c r="I336" s="231"/>
      <c r="J336" s="581"/>
      <c r="K336" s="581"/>
      <c r="L336" s="582"/>
      <c r="M336" s="593"/>
      <c r="N336" s="111"/>
      <c r="O336" s="111"/>
      <c r="P336" s="111"/>
      <c r="Q336" s="111"/>
      <c r="R336" s="111"/>
      <c r="S336" s="111"/>
      <c r="T336" s="111"/>
      <c r="U336" s="111"/>
      <c r="V336" s="358"/>
      <c r="W336" s="391">
        <f t="shared" ref="W336:W337" si="364">J336+K336+N336+Q336+T336</f>
        <v>0</v>
      </c>
      <c r="X336" s="17">
        <f t="shared" ref="X336:X337" si="365">L336+O336+R336+U336</f>
        <v>0</v>
      </c>
      <c r="Y336" s="18">
        <f>SUM(W336:X336)</f>
        <v>0</v>
      </c>
      <c r="Z336" s="19">
        <f>IF(Y$343=0,0,Y336/Y$343)</f>
        <v>0</v>
      </c>
      <c r="AA336" s="19"/>
      <c r="AB336" s="19"/>
      <c r="AC336" s="20"/>
      <c r="AE336" s="17"/>
      <c r="AF336" s="17"/>
      <c r="AG336" s="17"/>
      <c r="AH336" s="18">
        <f>J336</f>
        <v>0</v>
      </c>
      <c r="AI336" s="19">
        <f>IF(AH$343=0,0,AH336/AH$343)</f>
        <v>0</v>
      </c>
      <c r="AJ336" s="97"/>
      <c r="AK336" s="17"/>
      <c r="AL336" s="17"/>
      <c r="AM336" s="17"/>
      <c r="AN336" s="18">
        <f>K336</f>
        <v>0</v>
      </c>
      <c r="AO336" s="19">
        <f>IF(AN$343=0,0,AN336/AN$343)</f>
        <v>0</v>
      </c>
      <c r="AP336" s="97"/>
      <c r="AQ336" s="17"/>
      <c r="AR336" s="17"/>
      <c r="AS336" s="17"/>
      <c r="AT336" s="18">
        <f>W336</f>
        <v>0</v>
      </c>
      <c r="AU336" s="19">
        <f>IF(AT$343=0,0,AT336/AT$343)</f>
        <v>0</v>
      </c>
      <c r="AV336" s="97"/>
      <c r="AW336" s="17"/>
      <c r="AX336" s="17"/>
      <c r="AY336" s="17"/>
      <c r="AZ336" s="18">
        <f>X336</f>
        <v>0</v>
      </c>
      <c r="BA336" s="19">
        <f>IF(AZ$343=0,0,AZ336/AZ$343)</f>
        <v>0</v>
      </c>
    </row>
    <row r="337" spans="1:53" s="4" customFormat="1" ht="17.100000000000001" customHeight="1" x14ac:dyDescent="0.25">
      <c r="A337" s="40"/>
      <c r="B337" s="40"/>
      <c r="C337" s="74" t="s">
        <v>174</v>
      </c>
      <c r="D337" s="85" t="s">
        <v>544</v>
      </c>
      <c r="E337" s="105"/>
      <c r="F337" s="105"/>
      <c r="G337" s="105"/>
      <c r="H337" s="119"/>
      <c r="I337" s="231"/>
      <c r="J337" s="583"/>
      <c r="K337" s="583"/>
      <c r="L337" s="584"/>
      <c r="M337" s="593"/>
      <c r="N337" s="111"/>
      <c r="O337" s="111"/>
      <c r="P337" s="111"/>
      <c r="Q337" s="111"/>
      <c r="R337" s="111"/>
      <c r="S337" s="111"/>
      <c r="T337" s="111"/>
      <c r="U337" s="111"/>
      <c r="V337" s="358"/>
      <c r="W337" s="391">
        <f t="shared" si="364"/>
        <v>0</v>
      </c>
      <c r="X337" s="17">
        <f t="shared" si="365"/>
        <v>0</v>
      </c>
      <c r="Y337" s="18">
        <f>SUM(W337:X337)</f>
        <v>0</v>
      </c>
      <c r="Z337" s="19">
        <f>IF(Y$343=0,0,Y337/Y$343)</f>
        <v>0</v>
      </c>
      <c r="AA337" s="19"/>
      <c r="AB337" s="19"/>
      <c r="AC337" s="20"/>
      <c r="AE337" s="17"/>
      <c r="AF337" s="17"/>
      <c r="AG337" s="17"/>
      <c r="AH337" s="18">
        <f t="shared" ref="AH337" si="366">J337</f>
        <v>0</v>
      </c>
      <c r="AI337" s="19">
        <f>IF(AH$343=0,0,AH337/AH$343)</f>
        <v>0</v>
      </c>
      <c r="AJ337" s="97"/>
      <c r="AK337" s="17"/>
      <c r="AL337" s="17"/>
      <c r="AM337" s="17"/>
      <c r="AN337" s="18">
        <f t="shared" ref="AN337" si="367">K337</f>
        <v>0</v>
      </c>
      <c r="AO337" s="19">
        <f>IF(AN$343=0,0,AN337/AN$343)</f>
        <v>0</v>
      </c>
      <c r="AP337" s="97"/>
      <c r="AQ337" s="17"/>
      <c r="AR337" s="17"/>
      <c r="AS337" s="17"/>
      <c r="AT337" s="18">
        <f t="shared" ref="AT337" si="368">W337</f>
        <v>0</v>
      </c>
      <c r="AU337" s="19">
        <f>IF(AT$343=0,0,AT337/AT$343)</f>
        <v>0</v>
      </c>
      <c r="AV337" s="97"/>
      <c r="AW337" s="17"/>
      <c r="AX337" s="17"/>
      <c r="AY337" s="17"/>
      <c r="AZ337" s="18">
        <f>X337</f>
        <v>0</v>
      </c>
      <c r="BA337" s="19">
        <f>IF(AZ$343=0,0,AZ337/AZ$343)</f>
        <v>0</v>
      </c>
    </row>
    <row r="338" spans="1:53" s="4" customFormat="1" ht="17.100000000000001" customHeight="1" x14ac:dyDescent="0.25">
      <c r="A338" s="40"/>
      <c r="B338" s="40"/>
      <c r="C338" s="74" t="s">
        <v>175</v>
      </c>
      <c r="D338" s="146" t="s">
        <v>484</v>
      </c>
      <c r="E338" s="105"/>
      <c r="F338" s="105"/>
      <c r="G338" s="105"/>
      <c r="H338" s="119"/>
      <c r="I338" s="231"/>
      <c r="J338" s="581"/>
      <c r="K338" s="581"/>
      <c r="L338" s="582"/>
      <c r="M338" s="593"/>
      <c r="N338" s="111"/>
      <c r="O338" s="111"/>
      <c r="P338" s="111"/>
      <c r="Q338" s="111"/>
      <c r="R338" s="111"/>
      <c r="S338" s="111"/>
      <c r="T338" s="111"/>
      <c r="U338" s="111"/>
      <c r="V338" s="358"/>
      <c r="W338" s="391">
        <f>MIN(J338:K338)</f>
        <v>0</v>
      </c>
      <c r="X338" s="17">
        <f>L338</f>
        <v>0</v>
      </c>
      <c r="Y338" s="18"/>
      <c r="Z338" s="19"/>
      <c r="AA338" s="17">
        <f>MIN(J338:L338)</f>
        <v>0</v>
      </c>
      <c r="AB338" s="17"/>
      <c r="AC338" s="17"/>
      <c r="AE338" s="17">
        <f>J338</f>
        <v>0</v>
      </c>
      <c r="AF338" s="17"/>
      <c r="AG338" s="17"/>
      <c r="AH338" s="18"/>
      <c r="AI338" s="19"/>
      <c r="AJ338" s="97"/>
      <c r="AK338" s="17">
        <f>K338</f>
        <v>0</v>
      </c>
      <c r="AL338" s="17"/>
      <c r="AM338" s="17"/>
      <c r="AN338" s="18"/>
      <c r="AO338" s="19"/>
      <c r="AP338" s="97"/>
      <c r="AQ338" s="17">
        <f>W338</f>
        <v>0</v>
      </c>
      <c r="AR338" s="17"/>
      <c r="AS338" s="17"/>
      <c r="AT338" s="18"/>
      <c r="AU338" s="19"/>
      <c r="AV338" s="97"/>
      <c r="AW338" s="17">
        <f>L338</f>
        <v>0</v>
      </c>
      <c r="AX338" s="17"/>
      <c r="AY338" s="17"/>
      <c r="AZ338" s="18"/>
      <c r="BA338" s="19"/>
    </row>
    <row r="339" spans="1:53" s="4" customFormat="1" ht="17.100000000000001" customHeight="1" x14ac:dyDescent="0.25">
      <c r="A339" s="40"/>
      <c r="B339" s="40"/>
      <c r="C339" s="74" t="s">
        <v>176</v>
      </c>
      <c r="D339" s="146" t="s">
        <v>485</v>
      </c>
      <c r="E339" s="105"/>
      <c r="F339" s="105"/>
      <c r="G339" s="105"/>
      <c r="H339" s="119"/>
      <c r="I339" s="231"/>
      <c r="J339" s="583"/>
      <c r="K339" s="583"/>
      <c r="L339" s="584"/>
      <c r="M339" s="593"/>
      <c r="N339" s="111"/>
      <c r="O339" s="111"/>
      <c r="P339" s="111"/>
      <c r="Q339" s="111"/>
      <c r="R339" s="111"/>
      <c r="S339" s="111"/>
      <c r="T339" s="111"/>
      <c r="U339" s="111"/>
      <c r="V339" s="358"/>
      <c r="W339" s="391">
        <f>MAX(J339:K339)</f>
        <v>0</v>
      </c>
      <c r="X339" s="17">
        <f t="shared" ref="X339:X340" si="369">L339</f>
        <v>0</v>
      </c>
      <c r="Y339" s="18"/>
      <c r="Z339" s="19"/>
      <c r="AA339" s="17"/>
      <c r="AB339" s="17">
        <f>MAX(J339:L339)</f>
        <v>0</v>
      </c>
      <c r="AC339" s="17"/>
      <c r="AE339" s="17"/>
      <c r="AF339" s="17">
        <f>J339</f>
        <v>0</v>
      </c>
      <c r="AG339" s="17"/>
      <c r="AH339" s="18"/>
      <c r="AI339" s="19"/>
      <c r="AJ339" s="97"/>
      <c r="AK339" s="17"/>
      <c r="AL339" s="17">
        <f>K339</f>
        <v>0</v>
      </c>
      <c r="AM339" s="17"/>
      <c r="AN339" s="18"/>
      <c r="AO339" s="19"/>
      <c r="AP339" s="97"/>
      <c r="AQ339" s="17"/>
      <c r="AR339" s="17">
        <f>W339</f>
        <v>0</v>
      </c>
      <c r="AS339" s="17"/>
      <c r="AT339" s="18"/>
      <c r="AU339" s="19"/>
      <c r="AV339" s="97"/>
      <c r="AW339" s="17"/>
      <c r="AX339" s="17">
        <f>L339</f>
        <v>0</v>
      </c>
      <c r="AY339" s="17"/>
      <c r="AZ339" s="18"/>
      <c r="BA339" s="19"/>
    </row>
    <row r="340" spans="1:53" s="4" customFormat="1" ht="17.100000000000001" customHeight="1" x14ac:dyDescent="0.25">
      <c r="A340" s="40"/>
      <c r="B340" s="40"/>
      <c r="C340" s="74" t="s">
        <v>177</v>
      </c>
      <c r="D340" s="146" t="s">
        <v>543</v>
      </c>
      <c r="E340" s="105"/>
      <c r="F340" s="105"/>
      <c r="G340" s="105"/>
      <c r="H340" s="119"/>
      <c r="I340" s="231"/>
      <c r="J340" s="581"/>
      <c r="K340" s="581"/>
      <c r="L340" s="582"/>
      <c r="M340" s="593"/>
      <c r="N340" s="111"/>
      <c r="O340" s="111"/>
      <c r="P340" s="111"/>
      <c r="Q340" s="111"/>
      <c r="R340" s="111"/>
      <c r="S340" s="111"/>
      <c r="T340" s="111"/>
      <c r="U340" s="111"/>
      <c r="V340" s="358"/>
      <c r="W340" s="391">
        <f>IF(SUM(J340:K340)=0,0,AVERAGE(J340:K340))</f>
        <v>0</v>
      </c>
      <c r="X340" s="17">
        <f t="shared" si="369"/>
        <v>0</v>
      </c>
      <c r="Y340" s="18"/>
      <c r="Z340" s="19"/>
      <c r="AA340" s="17"/>
      <c r="AB340" s="17"/>
      <c r="AC340" s="17">
        <f>IF(SUM(J340:L340)=0,0,AVERAGE(J340:L340))</f>
        <v>0</v>
      </c>
      <c r="AE340" s="17"/>
      <c r="AF340" s="17"/>
      <c r="AG340" s="17">
        <f>J340</f>
        <v>0</v>
      </c>
      <c r="AH340" s="18"/>
      <c r="AI340" s="19"/>
      <c r="AJ340" s="97"/>
      <c r="AK340" s="17"/>
      <c r="AL340" s="17"/>
      <c r="AM340" s="17">
        <f>K340</f>
        <v>0</v>
      </c>
      <c r="AN340" s="18"/>
      <c r="AO340" s="19"/>
      <c r="AP340" s="97"/>
      <c r="AQ340" s="17"/>
      <c r="AR340" s="17"/>
      <c r="AS340" s="17">
        <f>W340</f>
        <v>0</v>
      </c>
      <c r="AT340" s="18"/>
      <c r="AU340" s="19"/>
      <c r="AV340" s="97"/>
      <c r="AW340" s="17"/>
      <c r="AX340" s="17"/>
      <c r="AY340" s="17">
        <f>L340</f>
        <v>0</v>
      </c>
      <c r="AZ340" s="18"/>
      <c r="BA340" s="19"/>
    </row>
    <row r="341" spans="1:53" s="4" customFormat="1" ht="17.100000000000001" customHeight="1" x14ac:dyDescent="0.25">
      <c r="A341" s="40"/>
      <c r="B341" s="40"/>
      <c r="C341" s="74" t="s">
        <v>178</v>
      </c>
      <c r="D341" s="75" t="s">
        <v>129</v>
      </c>
      <c r="E341" s="105"/>
      <c r="F341" s="105"/>
      <c r="G341" s="105"/>
      <c r="H341" s="119"/>
      <c r="I341" s="231"/>
      <c r="J341" s="583"/>
      <c r="K341" s="583"/>
      <c r="L341" s="584"/>
      <c r="M341" s="593"/>
      <c r="N341" s="111"/>
      <c r="O341" s="111"/>
      <c r="P341" s="111"/>
      <c r="Q341" s="111"/>
      <c r="R341" s="111"/>
      <c r="S341" s="111"/>
      <c r="T341" s="111"/>
      <c r="U341" s="111"/>
      <c r="V341" s="358"/>
      <c r="W341" s="391">
        <f t="shared" ref="W341:W342" si="370">J341+K341+N341+Q341+T341</f>
        <v>0</v>
      </c>
      <c r="X341" s="17">
        <f t="shared" ref="X341:X342" si="371">L341+O341+R341+U341</f>
        <v>0</v>
      </c>
      <c r="Y341" s="18">
        <f>SUM(W341:X341)</f>
        <v>0</v>
      </c>
      <c r="Z341" s="19">
        <f>IF(Y$343=0,0,Y341/Y$343)</f>
        <v>0</v>
      </c>
      <c r="AA341" s="19"/>
      <c r="AB341" s="19"/>
      <c r="AC341" s="20"/>
      <c r="AE341" s="17"/>
      <c r="AF341" s="17"/>
      <c r="AG341" s="17"/>
      <c r="AH341" s="18">
        <f t="shared" ref="AH341:AH342" si="372">J341</f>
        <v>0</v>
      </c>
      <c r="AI341" s="19">
        <f>IF(AH$343=0,0,AH341/AH$343)</f>
        <v>0</v>
      </c>
      <c r="AJ341" s="97"/>
      <c r="AK341" s="17"/>
      <c r="AL341" s="17"/>
      <c r="AM341" s="17"/>
      <c r="AN341" s="18">
        <f t="shared" ref="AN341:AN342" si="373">K341</f>
        <v>0</v>
      </c>
      <c r="AO341" s="19">
        <f>IF(AN$343=0,0,AN341/AN$343)</f>
        <v>0</v>
      </c>
      <c r="AP341" s="97"/>
      <c r="AQ341" s="17"/>
      <c r="AR341" s="17"/>
      <c r="AS341" s="17"/>
      <c r="AT341" s="18">
        <f t="shared" ref="AT341:AT342" si="374">W341</f>
        <v>0</v>
      </c>
      <c r="AU341" s="19">
        <f>IF(AT$343=0,0,AT341/AT$343)</f>
        <v>0</v>
      </c>
      <c r="AV341" s="97"/>
      <c r="AW341" s="17"/>
      <c r="AX341" s="17"/>
      <c r="AY341" s="17"/>
      <c r="AZ341" s="18">
        <f>X341</f>
        <v>0</v>
      </c>
      <c r="BA341" s="19">
        <f>IF(AZ$343=0,0,AZ341/AZ$343)</f>
        <v>0</v>
      </c>
    </row>
    <row r="342" spans="1:53" s="4" customFormat="1" ht="17.100000000000001" customHeight="1" x14ac:dyDescent="0.25">
      <c r="A342" s="40"/>
      <c r="B342" s="40"/>
      <c r="C342" s="74" t="s">
        <v>179</v>
      </c>
      <c r="D342" s="75" t="s">
        <v>530</v>
      </c>
      <c r="E342" s="75"/>
      <c r="F342" s="75"/>
      <c r="G342" s="75"/>
      <c r="H342" s="540"/>
      <c r="I342" s="229"/>
      <c r="J342" s="581"/>
      <c r="K342" s="581"/>
      <c r="L342" s="582"/>
      <c r="M342" s="593"/>
      <c r="N342" s="111"/>
      <c r="O342" s="111"/>
      <c r="P342" s="111"/>
      <c r="Q342" s="111"/>
      <c r="R342" s="111"/>
      <c r="S342" s="111"/>
      <c r="T342" s="111"/>
      <c r="U342" s="111"/>
      <c r="V342" s="358"/>
      <c r="W342" s="391">
        <f t="shared" si="370"/>
        <v>0</v>
      </c>
      <c r="X342" s="17">
        <f t="shared" si="371"/>
        <v>0</v>
      </c>
      <c r="Y342" s="18">
        <f>SUM(W342:X342)</f>
        <v>0</v>
      </c>
      <c r="Z342" s="19">
        <f>IF(Y$343=0,0,Y342/Y$343)</f>
        <v>0</v>
      </c>
      <c r="AA342" s="19"/>
      <c r="AB342" s="19"/>
      <c r="AC342" s="20"/>
      <c r="AE342" s="17"/>
      <c r="AF342" s="17"/>
      <c r="AG342" s="17"/>
      <c r="AH342" s="18">
        <f t="shared" si="372"/>
        <v>0</v>
      </c>
      <c r="AI342" s="19">
        <f>IF(AH$343=0,0,AH342/AH$343)</f>
        <v>0</v>
      </c>
      <c r="AJ342" s="97"/>
      <c r="AK342" s="17"/>
      <c r="AL342" s="17"/>
      <c r="AM342" s="17"/>
      <c r="AN342" s="18">
        <f t="shared" si="373"/>
        <v>0</v>
      </c>
      <c r="AO342" s="19">
        <f>IF(AN$343=0,0,AN342/AN$343)</f>
        <v>0</v>
      </c>
      <c r="AP342" s="97"/>
      <c r="AQ342" s="17"/>
      <c r="AR342" s="17"/>
      <c r="AS342" s="17"/>
      <c r="AT342" s="18">
        <f t="shared" si="374"/>
        <v>0</v>
      </c>
      <c r="AU342" s="19">
        <f>IF(AT$343=0,0,AT342/AT$343)</f>
        <v>0</v>
      </c>
      <c r="AV342" s="97"/>
      <c r="AW342" s="17"/>
      <c r="AX342" s="17"/>
      <c r="AY342" s="17"/>
      <c r="AZ342" s="18">
        <f>X342</f>
        <v>0</v>
      </c>
      <c r="BA342" s="19">
        <f>IF(AZ$343=0,0,AZ342/AZ$343)</f>
        <v>0</v>
      </c>
    </row>
    <row r="343" spans="1:53" s="4" customFormat="1" ht="17.100000000000001" customHeight="1" x14ac:dyDescent="0.25">
      <c r="A343" s="175"/>
      <c r="B343" s="40"/>
      <c r="C343" s="77"/>
      <c r="D343" s="134"/>
      <c r="E343" s="134"/>
      <c r="F343" s="134"/>
      <c r="G343" s="134"/>
      <c r="H343" s="540"/>
      <c r="I343" s="12"/>
      <c r="J343" s="80">
        <f>J336+J337+J341+J342</f>
        <v>0</v>
      </c>
      <c r="K343" s="80">
        <f t="shared" ref="K343:M343" si="375">K336+K337+K341+K342</f>
        <v>0</v>
      </c>
      <c r="L343" s="80">
        <f t="shared" si="375"/>
        <v>0</v>
      </c>
      <c r="M343" s="80">
        <f t="shared" si="375"/>
        <v>0</v>
      </c>
      <c r="N343" s="81"/>
      <c r="O343" s="81"/>
      <c r="P343" s="81"/>
      <c r="Q343" s="81"/>
      <c r="R343" s="81"/>
      <c r="S343" s="81"/>
      <c r="T343" s="81"/>
      <c r="U343" s="81"/>
      <c r="V343" s="356"/>
      <c r="W343" s="381">
        <f>W336+W337+W341+W342</f>
        <v>0</v>
      </c>
      <c r="X343" s="82">
        <f>X336+X337+X341+X342</f>
        <v>0</v>
      </c>
      <c r="Y343" s="82">
        <f t="shared" ref="Y343" si="376">SUM(Y336:Y342)</f>
        <v>0</v>
      </c>
      <c r="Z343" s="205">
        <f>IF(Y$343=0,0,Y343/Y$343)</f>
        <v>0</v>
      </c>
      <c r="AA343" s="205"/>
      <c r="AB343" s="205"/>
      <c r="AC343" s="83"/>
      <c r="AE343" s="80"/>
      <c r="AF343" s="80"/>
      <c r="AG343" s="81"/>
      <c r="AH343" s="82">
        <f>SUM(AH336:AH342)</f>
        <v>0</v>
      </c>
      <c r="AI343" s="66">
        <f>IF(AH$343=0,0,AH343/AH$343)</f>
        <v>0</v>
      </c>
      <c r="AJ343" s="97"/>
      <c r="AK343" s="80"/>
      <c r="AL343" s="80"/>
      <c r="AM343" s="81"/>
      <c r="AN343" s="82">
        <f>SUM(AN336:AN342)</f>
        <v>0</v>
      </c>
      <c r="AO343" s="66">
        <f>IF(AN$343=0,0,AN343/AN$343)</f>
        <v>0</v>
      </c>
      <c r="AP343" s="97"/>
      <c r="AQ343" s="80"/>
      <c r="AR343" s="80"/>
      <c r="AS343" s="81"/>
      <c r="AT343" s="82">
        <f>SUM(AT336:AT342)</f>
        <v>0</v>
      </c>
      <c r="AU343" s="66">
        <f>IF(AT$343=0,0,AT343/AT$343)</f>
        <v>0</v>
      </c>
      <c r="AV343" s="97"/>
      <c r="AW343" s="80"/>
      <c r="AX343" s="80"/>
      <c r="AY343" s="81"/>
      <c r="AZ343" s="82">
        <f>SUM(AZ336:AZ342)</f>
        <v>0</v>
      </c>
      <c r="BA343" s="66">
        <f>IF(AZ$343=0,0,AZ343/AZ$343)</f>
        <v>0</v>
      </c>
    </row>
    <row r="344" spans="1:53" s="117" customFormat="1" ht="17.100000000000001" customHeight="1" x14ac:dyDescent="0.25">
      <c r="A344" s="68"/>
      <c r="B344" s="119"/>
      <c r="C344" s="540"/>
      <c r="D344" s="261"/>
      <c r="E344" s="261"/>
      <c r="F344" s="68"/>
      <c r="G344" s="68"/>
      <c r="H344" s="119"/>
      <c r="I344" s="138"/>
      <c r="J344" s="17" t="str">
        <f>IF(J343=J$15,"OK","NOK")</f>
        <v>OK</v>
      </c>
      <c r="K344" s="17" t="str">
        <f t="shared" ref="K344:L344" si="377">IF(K343=K$15,"OK","NOK")</f>
        <v>OK</v>
      </c>
      <c r="L344" s="17" t="str">
        <f t="shared" si="377"/>
        <v>OK</v>
      </c>
      <c r="M344" s="17"/>
      <c r="N344" s="17"/>
      <c r="O344" s="17"/>
      <c r="P344" s="17"/>
      <c r="Q344" s="17"/>
      <c r="R344" s="17"/>
      <c r="S344" s="17"/>
      <c r="T344" s="17"/>
      <c r="U344" s="17"/>
      <c r="V344" s="359"/>
      <c r="W344" s="382"/>
      <c r="X344" s="539"/>
      <c r="Y344" s="539"/>
      <c r="Z344" s="201"/>
      <c r="AA344" s="201"/>
      <c r="AB344" s="201"/>
      <c r="AC344" s="84"/>
      <c r="AE344" s="46"/>
      <c r="AF344" s="46"/>
      <c r="AG344" s="17"/>
      <c r="AH344" s="539"/>
      <c r="AI344" s="91"/>
      <c r="AK344" s="46"/>
      <c r="AL344" s="46"/>
      <c r="AM344" s="17"/>
      <c r="AN344" s="539"/>
      <c r="AO344" s="91"/>
      <c r="AQ344" s="46"/>
      <c r="AR344" s="46"/>
      <c r="AS344" s="17"/>
      <c r="AT344" s="539"/>
      <c r="AU344" s="91"/>
      <c r="AW344" s="46"/>
      <c r="AX344" s="46"/>
      <c r="AY344" s="17"/>
      <c r="AZ344" s="539"/>
      <c r="BA344" s="91"/>
    </row>
    <row r="345" spans="1:53" ht="17.100000000000001" customHeight="1" x14ac:dyDescent="0.25">
      <c r="A345" s="68"/>
      <c r="B345" s="41" t="s">
        <v>180</v>
      </c>
      <c r="C345" s="69" t="s">
        <v>436</v>
      </c>
      <c r="D345" s="50"/>
      <c r="E345" s="70"/>
      <c r="F345" s="70"/>
      <c r="G345" s="70"/>
      <c r="H345" s="243">
        <v>43</v>
      </c>
      <c r="J345" s="71"/>
      <c r="K345" s="71"/>
      <c r="L345" s="71"/>
      <c r="M345" s="71"/>
      <c r="N345" s="71"/>
      <c r="O345" s="71"/>
      <c r="P345" s="71"/>
      <c r="Q345" s="71"/>
      <c r="R345" s="71"/>
      <c r="S345" s="71"/>
      <c r="T345" s="71"/>
      <c r="U345" s="71"/>
      <c r="V345" s="355"/>
      <c r="W345" s="377"/>
      <c r="X345" s="71"/>
      <c r="Y345" s="72"/>
      <c r="Z345" s="73"/>
      <c r="AA345" s="73"/>
      <c r="AB345" s="73"/>
      <c r="AC345" s="73"/>
      <c r="AE345" s="71"/>
      <c r="AF345" s="71"/>
      <c r="AG345" s="71"/>
      <c r="AH345" s="72"/>
      <c r="AI345" s="73"/>
      <c r="AK345" s="71"/>
      <c r="AL345" s="71"/>
      <c r="AM345" s="71"/>
      <c r="AN345" s="72"/>
      <c r="AO345" s="73"/>
      <c r="AQ345" s="71"/>
      <c r="AR345" s="71"/>
      <c r="AS345" s="71"/>
      <c r="AT345" s="72"/>
      <c r="AU345" s="73"/>
      <c r="AW345" s="71"/>
      <c r="AX345" s="71"/>
      <c r="AY345" s="71"/>
      <c r="AZ345" s="72"/>
      <c r="BA345" s="73"/>
    </row>
    <row r="346" spans="1:53" s="4" customFormat="1" ht="17.100000000000001" customHeight="1" x14ac:dyDescent="0.25">
      <c r="A346" s="40"/>
      <c r="B346" s="40"/>
      <c r="C346" s="74" t="s">
        <v>440</v>
      </c>
      <c r="D346" s="85" t="s">
        <v>162</v>
      </c>
      <c r="E346" s="75"/>
      <c r="F346" s="75"/>
      <c r="G346" s="75"/>
      <c r="H346" s="540"/>
      <c r="I346" s="229"/>
      <c r="J346" s="581"/>
      <c r="K346" s="581"/>
      <c r="L346" s="582"/>
      <c r="M346" s="593">
        <f t="shared" ref="M346:M353" si="378">SUM(J346:L346)</f>
        <v>0</v>
      </c>
      <c r="N346" s="111"/>
      <c r="O346" s="111"/>
      <c r="P346" s="111"/>
      <c r="Q346" s="111"/>
      <c r="R346" s="111"/>
      <c r="S346" s="111"/>
      <c r="T346" s="111"/>
      <c r="U346" s="111"/>
      <c r="V346" s="358"/>
      <c r="W346" s="391">
        <f t="shared" ref="W346:W353" si="379">J346+K346+N346+Q346+T346</f>
        <v>0</v>
      </c>
      <c r="X346" s="17">
        <f t="shared" ref="X346:X353" si="380">L346+O346+R346+U346</f>
        <v>0</v>
      </c>
      <c r="Y346" s="18">
        <f t="shared" ref="Y346:Y353" si="381">SUM(W346:X346)</f>
        <v>0</v>
      </c>
      <c r="Z346" s="19">
        <f t="shared" ref="Z346:Z353" si="382">IF(Y$354=0,0,Y346/Y$354)</f>
        <v>0</v>
      </c>
      <c r="AA346" s="19"/>
      <c r="AB346" s="19"/>
      <c r="AC346" s="20"/>
      <c r="AE346" s="17"/>
      <c r="AF346" s="17"/>
      <c r="AG346" s="17"/>
      <c r="AH346" s="18">
        <f t="shared" ref="AH346:AH353" si="383">J346</f>
        <v>0</v>
      </c>
      <c r="AI346" s="19">
        <f t="shared" ref="AI346:AI353" si="384">IF(AH$354=0,0,AH346/AH$354)</f>
        <v>0</v>
      </c>
      <c r="AJ346" s="97"/>
      <c r="AK346" s="17"/>
      <c r="AL346" s="17"/>
      <c r="AM346" s="17"/>
      <c r="AN346" s="18">
        <f t="shared" ref="AN346:AN353" si="385">K346</f>
        <v>0</v>
      </c>
      <c r="AO346" s="19">
        <f t="shared" ref="AO346:AO353" si="386">IF(AN$354=0,0,AN346/AN$354)</f>
        <v>0</v>
      </c>
      <c r="AP346" s="97"/>
      <c r="AQ346" s="17"/>
      <c r="AR346" s="17"/>
      <c r="AS346" s="17"/>
      <c r="AT346" s="18">
        <f t="shared" ref="AT346:AT353" si="387">W346</f>
        <v>0</v>
      </c>
      <c r="AU346" s="19">
        <f t="shared" ref="AU346:AU353" si="388">IF(AT$354=0,0,AT346/AT$354)</f>
        <v>0</v>
      </c>
      <c r="AV346" s="97"/>
      <c r="AW346" s="17"/>
      <c r="AX346" s="17"/>
      <c r="AY346" s="17"/>
      <c r="AZ346" s="18">
        <f t="shared" ref="AZ346:AZ353" si="389">X346</f>
        <v>0</v>
      </c>
      <c r="BA346" s="19">
        <f t="shared" ref="BA346:BA353" si="390">IF(AZ$354=0,0,AZ346/AZ$354)</f>
        <v>0</v>
      </c>
    </row>
    <row r="347" spans="1:53" s="4" customFormat="1" ht="17.100000000000001" customHeight="1" x14ac:dyDescent="0.25">
      <c r="A347" s="40"/>
      <c r="B347" s="40"/>
      <c r="C347" s="74" t="s">
        <v>441</v>
      </c>
      <c r="D347" s="85" t="s">
        <v>165</v>
      </c>
      <c r="E347" s="75"/>
      <c r="F347" s="75"/>
      <c r="G347" s="75"/>
      <c r="H347" s="540"/>
      <c r="I347" s="229"/>
      <c r="J347" s="583"/>
      <c r="K347" s="583"/>
      <c r="L347" s="584"/>
      <c r="M347" s="593">
        <f t="shared" si="378"/>
        <v>0</v>
      </c>
      <c r="N347" s="111"/>
      <c r="O347" s="111"/>
      <c r="P347" s="111"/>
      <c r="Q347" s="111"/>
      <c r="R347" s="111"/>
      <c r="S347" s="111"/>
      <c r="T347" s="111"/>
      <c r="U347" s="111"/>
      <c r="V347" s="358"/>
      <c r="W347" s="391">
        <f t="shared" si="379"/>
        <v>0</v>
      </c>
      <c r="X347" s="17">
        <f t="shared" si="380"/>
        <v>0</v>
      </c>
      <c r="Y347" s="18">
        <f t="shared" si="381"/>
        <v>0</v>
      </c>
      <c r="Z347" s="19">
        <f t="shared" si="382"/>
        <v>0</v>
      </c>
      <c r="AA347" s="19"/>
      <c r="AB347" s="19"/>
      <c r="AC347" s="20"/>
      <c r="AE347" s="17"/>
      <c r="AF347" s="17"/>
      <c r="AG347" s="17"/>
      <c r="AH347" s="18">
        <f t="shared" si="383"/>
        <v>0</v>
      </c>
      <c r="AI347" s="19">
        <f t="shared" si="384"/>
        <v>0</v>
      </c>
      <c r="AJ347" s="97"/>
      <c r="AK347" s="17"/>
      <c r="AL347" s="17"/>
      <c r="AM347" s="17"/>
      <c r="AN347" s="18">
        <f t="shared" si="385"/>
        <v>0</v>
      </c>
      <c r="AO347" s="19">
        <f t="shared" si="386"/>
        <v>0</v>
      </c>
      <c r="AP347" s="97"/>
      <c r="AQ347" s="17"/>
      <c r="AR347" s="17"/>
      <c r="AS347" s="17"/>
      <c r="AT347" s="18">
        <f t="shared" si="387"/>
        <v>0</v>
      </c>
      <c r="AU347" s="19">
        <f t="shared" si="388"/>
        <v>0</v>
      </c>
      <c r="AV347" s="97"/>
      <c r="AW347" s="17"/>
      <c r="AX347" s="17"/>
      <c r="AY347" s="17"/>
      <c r="AZ347" s="18">
        <f t="shared" si="389"/>
        <v>0</v>
      </c>
      <c r="BA347" s="19">
        <f t="shared" si="390"/>
        <v>0</v>
      </c>
    </row>
    <row r="348" spans="1:53" s="4" customFormat="1" ht="17.100000000000001" customHeight="1" x14ac:dyDescent="0.25">
      <c r="A348" s="40"/>
      <c r="B348" s="40"/>
      <c r="C348" s="74" t="s">
        <v>442</v>
      </c>
      <c r="D348" s="85" t="s">
        <v>167</v>
      </c>
      <c r="E348" s="75"/>
      <c r="F348" s="75"/>
      <c r="G348" s="75"/>
      <c r="H348" s="540"/>
      <c r="I348" s="229"/>
      <c r="J348" s="581"/>
      <c r="K348" s="581"/>
      <c r="L348" s="582"/>
      <c r="M348" s="593">
        <f t="shared" si="378"/>
        <v>0</v>
      </c>
      <c r="N348" s="111"/>
      <c r="O348" s="111"/>
      <c r="P348" s="111"/>
      <c r="Q348" s="111"/>
      <c r="R348" s="111"/>
      <c r="S348" s="111"/>
      <c r="T348" s="111"/>
      <c r="U348" s="111"/>
      <c r="V348" s="358"/>
      <c r="W348" s="391">
        <f t="shared" si="379"/>
        <v>0</v>
      </c>
      <c r="X348" s="17">
        <f t="shared" si="380"/>
        <v>0</v>
      </c>
      <c r="Y348" s="18">
        <f t="shared" si="381"/>
        <v>0</v>
      </c>
      <c r="Z348" s="19">
        <f t="shared" si="382"/>
        <v>0</v>
      </c>
      <c r="AA348" s="19"/>
      <c r="AB348" s="19"/>
      <c r="AC348" s="20"/>
      <c r="AE348" s="17"/>
      <c r="AF348" s="17"/>
      <c r="AG348" s="17"/>
      <c r="AH348" s="18">
        <f t="shared" si="383"/>
        <v>0</v>
      </c>
      <c r="AI348" s="19">
        <f t="shared" si="384"/>
        <v>0</v>
      </c>
      <c r="AJ348" s="97"/>
      <c r="AK348" s="17"/>
      <c r="AL348" s="17"/>
      <c r="AM348" s="17"/>
      <c r="AN348" s="18">
        <f t="shared" si="385"/>
        <v>0</v>
      </c>
      <c r="AO348" s="19">
        <f t="shared" si="386"/>
        <v>0</v>
      </c>
      <c r="AP348" s="97"/>
      <c r="AQ348" s="17"/>
      <c r="AR348" s="17"/>
      <c r="AS348" s="17"/>
      <c r="AT348" s="18">
        <f t="shared" si="387"/>
        <v>0</v>
      </c>
      <c r="AU348" s="19">
        <f t="shared" si="388"/>
        <v>0</v>
      </c>
      <c r="AV348" s="97"/>
      <c r="AW348" s="17"/>
      <c r="AX348" s="17"/>
      <c r="AY348" s="17"/>
      <c r="AZ348" s="18">
        <f t="shared" si="389"/>
        <v>0</v>
      </c>
      <c r="BA348" s="19">
        <f t="shared" si="390"/>
        <v>0</v>
      </c>
    </row>
    <row r="349" spans="1:53" s="4" customFormat="1" ht="17.100000000000001" customHeight="1" x14ac:dyDescent="0.25">
      <c r="A349" s="40"/>
      <c r="B349" s="40"/>
      <c r="C349" s="74" t="s">
        <v>443</v>
      </c>
      <c r="D349" s="85" t="s">
        <v>437</v>
      </c>
      <c r="E349" s="75"/>
      <c r="F349" s="75"/>
      <c r="G349" s="75"/>
      <c r="H349" s="540"/>
      <c r="I349" s="229"/>
      <c r="J349" s="583"/>
      <c r="K349" s="583"/>
      <c r="L349" s="584"/>
      <c r="M349" s="593">
        <f t="shared" si="378"/>
        <v>0</v>
      </c>
      <c r="N349" s="111"/>
      <c r="O349" s="111"/>
      <c r="P349" s="111"/>
      <c r="Q349" s="111"/>
      <c r="R349" s="111"/>
      <c r="S349" s="111"/>
      <c r="T349" s="111"/>
      <c r="U349" s="111"/>
      <c r="V349" s="358"/>
      <c r="W349" s="391">
        <f t="shared" si="379"/>
        <v>0</v>
      </c>
      <c r="X349" s="17">
        <f t="shared" si="380"/>
        <v>0</v>
      </c>
      <c r="Y349" s="18">
        <f t="shared" si="381"/>
        <v>0</v>
      </c>
      <c r="Z349" s="19">
        <f t="shared" si="382"/>
        <v>0</v>
      </c>
      <c r="AA349" s="19"/>
      <c r="AB349" s="19"/>
      <c r="AC349" s="20"/>
      <c r="AE349" s="17"/>
      <c r="AF349" s="17"/>
      <c r="AG349" s="17"/>
      <c r="AH349" s="18">
        <f t="shared" si="383"/>
        <v>0</v>
      </c>
      <c r="AI349" s="19">
        <f t="shared" si="384"/>
        <v>0</v>
      </c>
      <c r="AJ349" s="97"/>
      <c r="AK349" s="17"/>
      <c r="AL349" s="17"/>
      <c r="AM349" s="17"/>
      <c r="AN349" s="18">
        <f t="shared" si="385"/>
        <v>0</v>
      </c>
      <c r="AO349" s="19">
        <f t="shared" si="386"/>
        <v>0</v>
      </c>
      <c r="AP349" s="97"/>
      <c r="AQ349" s="17"/>
      <c r="AR349" s="17"/>
      <c r="AS349" s="17"/>
      <c r="AT349" s="18">
        <f t="shared" si="387"/>
        <v>0</v>
      </c>
      <c r="AU349" s="19">
        <f t="shared" si="388"/>
        <v>0</v>
      </c>
      <c r="AV349" s="97"/>
      <c r="AW349" s="17"/>
      <c r="AX349" s="17"/>
      <c r="AY349" s="17"/>
      <c r="AZ349" s="18">
        <f t="shared" si="389"/>
        <v>0</v>
      </c>
      <c r="BA349" s="19">
        <f t="shared" si="390"/>
        <v>0</v>
      </c>
    </row>
    <row r="350" spans="1:53" s="4" customFormat="1" ht="17.100000000000001" customHeight="1" x14ac:dyDescent="0.25">
      <c r="A350" s="40"/>
      <c r="B350" s="40"/>
      <c r="C350" s="74" t="s">
        <v>444</v>
      </c>
      <c r="D350" s="85" t="s">
        <v>438</v>
      </c>
      <c r="E350" s="542"/>
      <c r="F350" s="542"/>
      <c r="G350" s="542"/>
      <c r="H350" s="540"/>
      <c r="I350" s="235"/>
      <c r="J350" s="581"/>
      <c r="K350" s="581"/>
      <c r="L350" s="582"/>
      <c r="M350" s="593">
        <f t="shared" si="378"/>
        <v>0</v>
      </c>
      <c r="N350" s="111"/>
      <c r="O350" s="111"/>
      <c r="P350" s="111"/>
      <c r="Q350" s="111"/>
      <c r="R350" s="111"/>
      <c r="S350" s="111"/>
      <c r="T350" s="111"/>
      <c r="U350" s="111"/>
      <c r="V350" s="358"/>
      <c r="W350" s="391">
        <f t="shared" si="379"/>
        <v>0</v>
      </c>
      <c r="X350" s="17">
        <f t="shared" si="380"/>
        <v>0</v>
      </c>
      <c r="Y350" s="18">
        <f t="shared" si="381"/>
        <v>0</v>
      </c>
      <c r="Z350" s="19">
        <f t="shared" si="382"/>
        <v>0</v>
      </c>
      <c r="AA350" s="19"/>
      <c r="AB350" s="19"/>
      <c r="AC350" s="20"/>
      <c r="AE350" s="17"/>
      <c r="AF350" s="17"/>
      <c r="AG350" s="17"/>
      <c r="AH350" s="18">
        <f t="shared" si="383"/>
        <v>0</v>
      </c>
      <c r="AI350" s="19">
        <f t="shared" si="384"/>
        <v>0</v>
      </c>
      <c r="AJ350" s="97"/>
      <c r="AK350" s="17"/>
      <c r="AL350" s="17"/>
      <c r="AM350" s="17"/>
      <c r="AN350" s="18">
        <f t="shared" si="385"/>
        <v>0</v>
      </c>
      <c r="AO350" s="19">
        <f t="shared" si="386"/>
        <v>0</v>
      </c>
      <c r="AP350" s="97"/>
      <c r="AQ350" s="17"/>
      <c r="AR350" s="17"/>
      <c r="AS350" s="17"/>
      <c r="AT350" s="18">
        <f t="shared" si="387"/>
        <v>0</v>
      </c>
      <c r="AU350" s="19">
        <f t="shared" si="388"/>
        <v>0</v>
      </c>
      <c r="AV350" s="97"/>
      <c r="AW350" s="17"/>
      <c r="AX350" s="17"/>
      <c r="AY350" s="17"/>
      <c r="AZ350" s="18">
        <f t="shared" si="389"/>
        <v>0</v>
      </c>
      <c r="BA350" s="19">
        <f t="shared" si="390"/>
        <v>0</v>
      </c>
    </row>
    <row r="351" spans="1:53" s="4" customFormat="1" ht="17.100000000000001" customHeight="1" x14ac:dyDescent="0.25">
      <c r="A351" s="40"/>
      <c r="B351" s="40"/>
      <c r="C351" s="74" t="s">
        <v>445</v>
      </c>
      <c r="D351" s="85" t="s">
        <v>439</v>
      </c>
      <c r="E351" s="542"/>
      <c r="F351" s="542"/>
      <c r="G351" s="542"/>
      <c r="H351" s="540"/>
      <c r="I351" s="235"/>
      <c r="J351" s="583"/>
      <c r="K351" s="583"/>
      <c r="L351" s="584"/>
      <c r="M351" s="593">
        <f t="shared" si="378"/>
        <v>0</v>
      </c>
      <c r="N351" s="111"/>
      <c r="O351" s="111"/>
      <c r="P351" s="111"/>
      <c r="Q351" s="111"/>
      <c r="R351" s="111"/>
      <c r="S351" s="111"/>
      <c r="T351" s="111"/>
      <c r="U351" s="111"/>
      <c r="V351" s="358"/>
      <c r="W351" s="391">
        <f t="shared" si="379"/>
        <v>0</v>
      </c>
      <c r="X351" s="17">
        <f t="shared" si="380"/>
        <v>0</v>
      </c>
      <c r="Y351" s="18">
        <f t="shared" si="381"/>
        <v>0</v>
      </c>
      <c r="Z351" s="19">
        <f t="shared" si="382"/>
        <v>0</v>
      </c>
      <c r="AA351" s="19"/>
      <c r="AB351" s="19"/>
      <c r="AC351" s="20"/>
      <c r="AE351" s="17"/>
      <c r="AF351" s="17"/>
      <c r="AG351" s="17"/>
      <c r="AH351" s="18">
        <f t="shared" si="383"/>
        <v>0</v>
      </c>
      <c r="AI351" s="19">
        <f t="shared" si="384"/>
        <v>0</v>
      </c>
      <c r="AJ351" s="97"/>
      <c r="AK351" s="17"/>
      <c r="AL351" s="17"/>
      <c r="AM351" s="17"/>
      <c r="AN351" s="18">
        <f t="shared" si="385"/>
        <v>0</v>
      </c>
      <c r="AO351" s="19">
        <f t="shared" si="386"/>
        <v>0</v>
      </c>
      <c r="AP351" s="97"/>
      <c r="AQ351" s="17"/>
      <c r="AR351" s="17"/>
      <c r="AS351" s="17"/>
      <c r="AT351" s="18">
        <f t="shared" si="387"/>
        <v>0</v>
      </c>
      <c r="AU351" s="19">
        <f t="shared" si="388"/>
        <v>0</v>
      </c>
      <c r="AV351" s="97"/>
      <c r="AW351" s="17"/>
      <c r="AX351" s="17"/>
      <c r="AY351" s="17"/>
      <c r="AZ351" s="18">
        <f t="shared" si="389"/>
        <v>0</v>
      </c>
      <c r="BA351" s="19">
        <f t="shared" si="390"/>
        <v>0</v>
      </c>
    </row>
    <row r="352" spans="1:53" s="4" customFormat="1" ht="17.100000000000001" customHeight="1" x14ac:dyDescent="0.25">
      <c r="A352" s="40"/>
      <c r="B352" s="40"/>
      <c r="C352" s="74" t="s">
        <v>446</v>
      </c>
      <c r="D352" s="85" t="s">
        <v>129</v>
      </c>
      <c r="E352" s="542"/>
      <c r="F352" s="542"/>
      <c r="G352" s="542"/>
      <c r="H352" s="540"/>
      <c r="I352" s="235"/>
      <c r="J352" s="581"/>
      <c r="K352" s="581"/>
      <c r="L352" s="582"/>
      <c r="M352" s="593">
        <f t="shared" si="378"/>
        <v>0</v>
      </c>
      <c r="N352" s="111"/>
      <c r="O352" s="111"/>
      <c r="P352" s="111"/>
      <c r="Q352" s="111"/>
      <c r="R352" s="111"/>
      <c r="S352" s="111"/>
      <c r="T352" s="111"/>
      <c r="U352" s="111"/>
      <c r="V352" s="358"/>
      <c r="W352" s="391">
        <f t="shared" si="379"/>
        <v>0</v>
      </c>
      <c r="X352" s="17">
        <f t="shared" si="380"/>
        <v>0</v>
      </c>
      <c r="Y352" s="18">
        <f t="shared" si="381"/>
        <v>0</v>
      </c>
      <c r="Z352" s="19">
        <f t="shared" si="382"/>
        <v>0</v>
      </c>
      <c r="AA352" s="19"/>
      <c r="AB352" s="19"/>
      <c r="AC352" s="20"/>
      <c r="AE352" s="17"/>
      <c r="AF352" s="17"/>
      <c r="AG352" s="17"/>
      <c r="AH352" s="18">
        <f t="shared" si="383"/>
        <v>0</v>
      </c>
      <c r="AI352" s="19">
        <f t="shared" si="384"/>
        <v>0</v>
      </c>
      <c r="AJ352" s="97"/>
      <c r="AK352" s="17"/>
      <c r="AL352" s="17"/>
      <c r="AM352" s="17"/>
      <c r="AN352" s="18">
        <f t="shared" si="385"/>
        <v>0</v>
      </c>
      <c r="AO352" s="19">
        <f t="shared" si="386"/>
        <v>0</v>
      </c>
      <c r="AP352" s="97"/>
      <c r="AQ352" s="17"/>
      <c r="AR352" s="17"/>
      <c r="AS352" s="17"/>
      <c r="AT352" s="18">
        <f t="shared" si="387"/>
        <v>0</v>
      </c>
      <c r="AU352" s="19">
        <f t="shared" si="388"/>
        <v>0</v>
      </c>
      <c r="AV352" s="97"/>
      <c r="AW352" s="17"/>
      <c r="AX352" s="17"/>
      <c r="AY352" s="17"/>
      <c r="AZ352" s="18">
        <f t="shared" si="389"/>
        <v>0</v>
      </c>
      <c r="BA352" s="19">
        <f t="shared" si="390"/>
        <v>0</v>
      </c>
    </row>
    <row r="353" spans="1:53" s="4" customFormat="1" ht="17.100000000000001" customHeight="1" x14ac:dyDescent="0.25">
      <c r="A353" s="40"/>
      <c r="B353" s="40"/>
      <c r="C353" s="74" t="s">
        <v>545</v>
      </c>
      <c r="D353" s="85" t="s">
        <v>530</v>
      </c>
      <c r="E353" s="542"/>
      <c r="F353" s="542"/>
      <c r="G353" s="542"/>
      <c r="H353" s="540"/>
      <c r="I353" s="235"/>
      <c r="J353" s="583"/>
      <c r="K353" s="583"/>
      <c r="L353" s="584"/>
      <c r="M353" s="593">
        <f t="shared" si="378"/>
        <v>0</v>
      </c>
      <c r="N353" s="111"/>
      <c r="O353" s="111"/>
      <c r="P353" s="111"/>
      <c r="Q353" s="111"/>
      <c r="R353" s="111"/>
      <c r="S353" s="111"/>
      <c r="T353" s="111"/>
      <c r="U353" s="111"/>
      <c r="V353" s="358"/>
      <c r="W353" s="391">
        <f t="shared" si="379"/>
        <v>0</v>
      </c>
      <c r="X353" s="17">
        <f t="shared" si="380"/>
        <v>0</v>
      </c>
      <c r="Y353" s="18">
        <f t="shared" si="381"/>
        <v>0</v>
      </c>
      <c r="Z353" s="19">
        <f t="shared" si="382"/>
        <v>0</v>
      </c>
      <c r="AA353" s="19"/>
      <c r="AB353" s="19"/>
      <c r="AC353" s="20"/>
      <c r="AE353" s="17"/>
      <c r="AF353" s="17"/>
      <c r="AG353" s="17"/>
      <c r="AH353" s="18">
        <f t="shared" si="383"/>
        <v>0</v>
      </c>
      <c r="AI353" s="19">
        <f t="shared" si="384"/>
        <v>0</v>
      </c>
      <c r="AJ353" s="97"/>
      <c r="AK353" s="17"/>
      <c r="AL353" s="17"/>
      <c r="AM353" s="17"/>
      <c r="AN353" s="18">
        <f t="shared" si="385"/>
        <v>0</v>
      </c>
      <c r="AO353" s="19">
        <f t="shared" si="386"/>
        <v>0</v>
      </c>
      <c r="AP353" s="97"/>
      <c r="AQ353" s="17"/>
      <c r="AR353" s="17"/>
      <c r="AS353" s="17"/>
      <c r="AT353" s="18">
        <f t="shared" si="387"/>
        <v>0</v>
      </c>
      <c r="AU353" s="19">
        <f t="shared" si="388"/>
        <v>0</v>
      </c>
      <c r="AV353" s="97"/>
      <c r="AW353" s="17"/>
      <c r="AX353" s="17"/>
      <c r="AY353" s="17"/>
      <c r="AZ353" s="18">
        <f t="shared" si="389"/>
        <v>0</v>
      </c>
      <c r="BA353" s="19">
        <f t="shared" si="390"/>
        <v>0</v>
      </c>
    </row>
    <row r="354" spans="1:53" s="4" customFormat="1" ht="17.100000000000001" customHeight="1" x14ac:dyDescent="0.25">
      <c r="A354" s="40"/>
      <c r="B354" s="40"/>
      <c r="C354" s="77"/>
      <c r="D354" s="134"/>
      <c r="E354" s="134"/>
      <c r="F354" s="134"/>
      <c r="G354" s="134"/>
      <c r="H354" s="540"/>
      <c r="I354" s="229"/>
      <c r="J354" s="80">
        <f>SUM(J346:J353)</f>
        <v>0</v>
      </c>
      <c r="K354" s="80">
        <f t="shared" ref="K354:M354" si="391">SUM(K346:K353)</f>
        <v>0</v>
      </c>
      <c r="L354" s="80">
        <f t="shared" si="391"/>
        <v>0</v>
      </c>
      <c r="M354" s="80">
        <f t="shared" si="391"/>
        <v>0</v>
      </c>
      <c r="N354" s="81"/>
      <c r="O354" s="81"/>
      <c r="P354" s="81"/>
      <c r="Q354" s="81"/>
      <c r="R354" s="81"/>
      <c r="S354" s="81"/>
      <c r="T354" s="81"/>
      <c r="U354" s="81"/>
      <c r="V354" s="356"/>
      <c r="W354" s="381">
        <f>SUM(W346:W353)</f>
        <v>0</v>
      </c>
      <c r="X354" s="82">
        <f t="shared" ref="X354:Y354" si="392">SUM(X346:X353)</f>
        <v>0</v>
      </c>
      <c r="Y354" s="82">
        <f t="shared" si="392"/>
        <v>0</v>
      </c>
      <c r="Z354" s="205">
        <f>IF(Y$354=0,0,Y354/Y$354)</f>
        <v>0</v>
      </c>
      <c r="AA354" s="205"/>
      <c r="AB354" s="205"/>
      <c r="AC354" s="83"/>
      <c r="AE354" s="80"/>
      <c r="AF354" s="80"/>
      <c r="AG354" s="81"/>
      <c r="AH354" s="82">
        <f>SUM(AH346:AH353)</f>
        <v>0</v>
      </c>
      <c r="AI354" s="66">
        <f>IF(AH$354=0,0,AH354/AH$354)</f>
        <v>0</v>
      </c>
      <c r="AJ354" s="97"/>
      <c r="AK354" s="80"/>
      <c r="AL354" s="80"/>
      <c r="AM354" s="81"/>
      <c r="AN354" s="82">
        <f>SUM(AN346:AN353)</f>
        <v>0</v>
      </c>
      <c r="AO354" s="66">
        <f>IF(AN$354=0,0,AN354/AN$354)</f>
        <v>0</v>
      </c>
      <c r="AP354" s="97"/>
      <c r="AQ354" s="80"/>
      <c r="AR354" s="80"/>
      <c r="AS354" s="81"/>
      <c r="AT354" s="82">
        <f>SUM(AT346:AT353)</f>
        <v>0</v>
      </c>
      <c r="AU354" s="66">
        <f>IF(AT$354=0,0,AT354/AT$354)</f>
        <v>0</v>
      </c>
      <c r="AV354" s="97"/>
      <c r="AW354" s="80"/>
      <c r="AX354" s="80"/>
      <c r="AY354" s="81"/>
      <c r="AZ354" s="82">
        <f>SUM(AZ346:AZ353)</f>
        <v>0</v>
      </c>
      <c r="BA354" s="66">
        <f>IF(AZ$354=0,0,AZ354/AZ$354)</f>
        <v>0</v>
      </c>
    </row>
    <row r="355" spans="1:53" s="117" customFormat="1" ht="17.100000000000001" customHeight="1" x14ac:dyDescent="0.25">
      <c r="A355" s="68"/>
      <c r="B355" s="119"/>
      <c r="C355" s="540"/>
      <c r="D355" s="261"/>
      <c r="E355" s="261"/>
      <c r="F355" s="68"/>
      <c r="G355" s="68"/>
      <c r="H355" s="119"/>
      <c r="I355" s="138"/>
      <c r="J355" s="17" t="str">
        <f>IF(J354=J$15,"OK","NOK")</f>
        <v>OK</v>
      </c>
      <c r="K355" s="17" t="str">
        <f t="shared" ref="K355:L355" si="393">IF(K354=K$15,"OK","NOK")</f>
        <v>OK</v>
      </c>
      <c r="L355" s="17" t="str">
        <f t="shared" si="393"/>
        <v>OK</v>
      </c>
      <c r="M355" s="17"/>
      <c r="N355" s="17"/>
      <c r="O355" s="17"/>
      <c r="P355" s="17"/>
      <c r="Q355" s="17"/>
      <c r="R355" s="17"/>
      <c r="S355" s="17"/>
      <c r="T355" s="17"/>
      <c r="U355" s="17"/>
      <c r="V355" s="359"/>
      <c r="W355" s="382"/>
      <c r="X355" s="539"/>
      <c r="Y355" s="539"/>
      <c r="Z355" s="201"/>
      <c r="AA355" s="201"/>
      <c r="AB355" s="201"/>
      <c r="AC355" s="84"/>
      <c r="AE355" s="46"/>
      <c r="AF355" s="46"/>
      <c r="AG355" s="17"/>
      <c r="AH355" s="539"/>
      <c r="AI355" s="91"/>
      <c r="AK355" s="46"/>
      <c r="AL355" s="46"/>
      <c r="AM355" s="17"/>
      <c r="AN355" s="539"/>
      <c r="AO355" s="91"/>
      <c r="AQ355" s="46"/>
      <c r="AR355" s="46"/>
      <c r="AS355" s="17"/>
      <c r="AT355" s="539"/>
      <c r="AU355" s="91"/>
      <c r="AW355" s="46"/>
      <c r="AX355" s="46"/>
      <c r="AY355" s="17"/>
      <c r="AZ355" s="539"/>
      <c r="BA355" s="91"/>
    </row>
    <row r="356" spans="1:53" ht="17.100000000000001" customHeight="1" x14ac:dyDescent="0.25">
      <c r="A356" s="68"/>
      <c r="B356" s="41" t="s">
        <v>447</v>
      </c>
      <c r="C356" s="69" t="s">
        <v>448</v>
      </c>
      <c r="D356" s="50"/>
      <c r="E356" s="70"/>
      <c r="F356" s="70"/>
      <c r="G356" s="70"/>
      <c r="H356" s="243">
        <v>47</v>
      </c>
      <c r="J356" s="71"/>
      <c r="K356" s="71"/>
      <c r="L356" s="71"/>
      <c r="M356" s="71"/>
      <c r="N356" s="71"/>
      <c r="O356" s="71"/>
      <c r="P356" s="71"/>
      <c r="Q356" s="71"/>
      <c r="R356" s="71"/>
      <c r="S356" s="71"/>
      <c r="T356" s="71"/>
      <c r="U356" s="71"/>
      <c r="V356" s="355"/>
      <c r="W356" s="377"/>
      <c r="X356" s="71"/>
      <c r="Y356" s="72"/>
      <c r="Z356" s="73"/>
      <c r="AA356" s="73"/>
      <c r="AB356" s="73"/>
      <c r="AC356" s="73"/>
      <c r="AE356" s="71"/>
      <c r="AF356" s="71"/>
      <c r="AG356" s="71"/>
      <c r="AH356" s="72"/>
      <c r="AI356" s="73"/>
      <c r="AK356" s="71"/>
      <c r="AL356" s="71"/>
      <c r="AM356" s="71"/>
      <c r="AN356" s="72"/>
      <c r="AO356" s="73"/>
      <c r="AQ356" s="71"/>
      <c r="AR356" s="71"/>
      <c r="AS356" s="71"/>
      <c r="AT356" s="72"/>
      <c r="AU356" s="73"/>
      <c r="AW356" s="71"/>
      <c r="AX356" s="71"/>
      <c r="AY356" s="71"/>
      <c r="AZ356" s="72"/>
      <c r="BA356" s="73"/>
    </row>
    <row r="357" spans="1:53" s="4" customFormat="1" ht="17.100000000000001" customHeight="1" x14ac:dyDescent="0.25">
      <c r="A357" s="40"/>
      <c r="B357" s="40"/>
      <c r="C357" s="74" t="s">
        <v>449</v>
      </c>
      <c r="D357" s="85" t="s">
        <v>9</v>
      </c>
      <c r="E357" s="75"/>
      <c r="F357" s="75"/>
      <c r="G357" s="75"/>
      <c r="H357" s="540"/>
      <c r="I357" s="229"/>
      <c r="J357" s="581"/>
      <c r="K357" s="581"/>
      <c r="L357" s="582"/>
      <c r="M357" s="593">
        <f t="shared" ref="M357:M359" si="394">SUM(J357:L357)</f>
        <v>0</v>
      </c>
      <c r="N357" s="111"/>
      <c r="O357" s="111"/>
      <c r="P357" s="111"/>
      <c r="Q357" s="111"/>
      <c r="R357" s="111"/>
      <c r="S357" s="111"/>
      <c r="T357" s="111"/>
      <c r="U357" s="111"/>
      <c r="V357" s="358"/>
      <c r="W357" s="391">
        <f t="shared" ref="W357:W359" si="395">J357+K357+N357+Q357+T357</f>
        <v>0</v>
      </c>
      <c r="X357" s="17">
        <f t="shared" ref="X357:X359" si="396">L357+O357+R357+U357</f>
        <v>0</v>
      </c>
      <c r="Y357" s="18">
        <f>SUM(W357:X357)</f>
        <v>0</v>
      </c>
      <c r="Z357" s="19">
        <f>IF(Y$360=0,0,Y357/Y$360)</f>
        <v>0</v>
      </c>
      <c r="AA357" s="19"/>
      <c r="AB357" s="19"/>
      <c r="AC357" s="20"/>
      <c r="AE357" s="17"/>
      <c r="AF357" s="17"/>
      <c r="AG357" s="17"/>
      <c r="AH357" s="18">
        <f t="shared" ref="AH357:AH359" si="397">J357</f>
        <v>0</v>
      </c>
      <c r="AI357" s="19">
        <f>IF(AH$360=0,0,AH357/AH$360)</f>
        <v>0</v>
      </c>
      <c r="AJ357" s="97"/>
      <c r="AK357" s="17"/>
      <c r="AL357" s="17"/>
      <c r="AM357" s="17"/>
      <c r="AN357" s="18">
        <f t="shared" ref="AN357:AN359" si="398">K357</f>
        <v>0</v>
      </c>
      <c r="AO357" s="19">
        <f>IF(AN$360=0,0,AN357/AN$360)</f>
        <v>0</v>
      </c>
      <c r="AP357" s="97"/>
      <c r="AQ357" s="17"/>
      <c r="AR357" s="17"/>
      <c r="AS357" s="17"/>
      <c r="AT357" s="18">
        <f t="shared" ref="AT357:AT359" si="399">W357</f>
        <v>0</v>
      </c>
      <c r="AU357" s="19">
        <f>IF(AT$360=0,0,AT357/AT$360)</f>
        <v>0</v>
      </c>
      <c r="AV357" s="97"/>
      <c r="AW357" s="17"/>
      <c r="AX357" s="17"/>
      <c r="AY357" s="17"/>
      <c r="AZ357" s="18">
        <f t="shared" ref="AZ357:AZ359" si="400">X357</f>
        <v>0</v>
      </c>
      <c r="BA357" s="19">
        <f>IF(AZ$360=0,0,AZ357/AZ$360)</f>
        <v>0</v>
      </c>
    </row>
    <row r="358" spans="1:53" s="4" customFormat="1" ht="17.100000000000001" customHeight="1" x14ac:dyDescent="0.25">
      <c r="A358" s="40"/>
      <c r="B358" s="40"/>
      <c r="C358" s="74" t="s">
        <v>450</v>
      </c>
      <c r="D358" s="85" t="s">
        <v>10</v>
      </c>
      <c r="E358" s="75"/>
      <c r="F358" s="75"/>
      <c r="G358" s="75"/>
      <c r="H358" s="540"/>
      <c r="I358" s="229"/>
      <c r="J358" s="583"/>
      <c r="K358" s="583"/>
      <c r="L358" s="584"/>
      <c r="M358" s="593">
        <f t="shared" si="394"/>
        <v>0</v>
      </c>
      <c r="N358" s="111"/>
      <c r="O358" s="111"/>
      <c r="P358" s="111"/>
      <c r="Q358" s="111"/>
      <c r="R358" s="111"/>
      <c r="S358" s="111"/>
      <c r="T358" s="111"/>
      <c r="U358" s="111"/>
      <c r="V358" s="358"/>
      <c r="W358" s="391">
        <f t="shared" si="395"/>
        <v>0</v>
      </c>
      <c r="X358" s="17">
        <f t="shared" si="396"/>
        <v>0</v>
      </c>
      <c r="Y358" s="18">
        <f>SUM(W358:X358)</f>
        <v>0</v>
      </c>
      <c r="Z358" s="19">
        <f t="shared" ref="Z358:Z360" si="401">IF(Y$360=0,0,Y358/Y$360)</f>
        <v>0</v>
      </c>
      <c r="AA358" s="19"/>
      <c r="AB358" s="19"/>
      <c r="AC358" s="20"/>
      <c r="AE358" s="17"/>
      <c r="AF358" s="17"/>
      <c r="AG358" s="17"/>
      <c r="AH358" s="18">
        <f t="shared" si="397"/>
        <v>0</v>
      </c>
      <c r="AI358" s="19">
        <f t="shared" ref="AI358:AI360" si="402">IF(AH$360=0,0,AH358/AH$360)</f>
        <v>0</v>
      </c>
      <c r="AJ358" s="97"/>
      <c r="AK358" s="17"/>
      <c r="AL358" s="17"/>
      <c r="AM358" s="17"/>
      <c r="AN358" s="18">
        <f t="shared" si="398"/>
        <v>0</v>
      </c>
      <c r="AO358" s="19">
        <f t="shared" ref="AO358:AO360" si="403">IF(AN$360=0,0,AN358/AN$360)</f>
        <v>0</v>
      </c>
      <c r="AP358" s="97"/>
      <c r="AQ358" s="17"/>
      <c r="AR358" s="17"/>
      <c r="AS358" s="17"/>
      <c r="AT358" s="18">
        <f t="shared" si="399"/>
        <v>0</v>
      </c>
      <c r="AU358" s="19">
        <f t="shared" ref="AU358:AU360" si="404">IF(AT$360=0,0,AT358/AT$360)</f>
        <v>0</v>
      </c>
      <c r="AV358" s="97"/>
      <c r="AW358" s="17"/>
      <c r="AX358" s="17"/>
      <c r="AY358" s="17"/>
      <c r="AZ358" s="18">
        <f t="shared" si="400"/>
        <v>0</v>
      </c>
      <c r="BA358" s="19">
        <f t="shared" ref="BA358:BA360" si="405">IF(AZ$360=0,0,AZ358/AZ$360)</f>
        <v>0</v>
      </c>
    </row>
    <row r="359" spans="1:53" s="4" customFormat="1" ht="17.100000000000001" customHeight="1" x14ac:dyDescent="0.25">
      <c r="A359" s="40"/>
      <c r="B359" s="40"/>
      <c r="C359" s="74" t="s">
        <v>451</v>
      </c>
      <c r="D359" s="85" t="s">
        <v>129</v>
      </c>
      <c r="E359" s="75"/>
      <c r="F359" s="75"/>
      <c r="G359" s="75"/>
      <c r="H359" s="540"/>
      <c r="I359" s="229"/>
      <c r="J359" s="581"/>
      <c r="K359" s="581"/>
      <c r="L359" s="582"/>
      <c r="M359" s="593">
        <f t="shared" si="394"/>
        <v>0</v>
      </c>
      <c r="N359" s="111"/>
      <c r="O359" s="111"/>
      <c r="P359" s="111"/>
      <c r="Q359" s="111"/>
      <c r="R359" s="111"/>
      <c r="S359" s="111"/>
      <c r="T359" s="111"/>
      <c r="U359" s="111"/>
      <c r="V359" s="358"/>
      <c r="W359" s="391">
        <f t="shared" si="395"/>
        <v>0</v>
      </c>
      <c r="X359" s="17">
        <f t="shared" si="396"/>
        <v>0</v>
      </c>
      <c r="Y359" s="18">
        <f>SUM(W359:X359)</f>
        <v>0</v>
      </c>
      <c r="Z359" s="19">
        <f t="shared" si="401"/>
        <v>0</v>
      </c>
      <c r="AA359" s="19"/>
      <c r="AB359" s="19"/>
      <c r="AC359" s="20"/>
      <c r="AE359" s="17"/>
      <c r="AF359" s="17"/>
      <c r="AG359" s="17"/>
      <c r="AH359" s="18">
        <f t="shared" si="397"/>
        <v>0</v>
      </c>
      <c r="AI359" s="19">
        <f t="shared" si="402"/>
        <v>0</v>
      </c>
      <c r="AJ359" s="97"/>
      <c r="AK359" s="17"/>
      <c r="AL359" s="17"/>
      <c r="AM359" s="17"/>
      <c r="AN359" s="18">
        <f t="shared" si="398"/>
        <v>0</v>
      </c>
      <c r="AO359" s="19">
        <f t="shared" si="403"/>
        <v>0</v>
      </c>
      <c r="AP359" s="97"/>
      <c r="AQ359" s="17"/>
      <c r="AR359" s="17"/>
      <c r="AS359" s="17"/>
      <c r="AT359" s="18">
        <f t="shared" si="399"/>
        <v>0</v>
      </c>
      <c r="AU359" s="19">
        <f t="shared" si="404"/>
        <v>0</v>
      </c>
      <c r="AV359" s="97"/>
      <c r="AW359" s="17"/>
      <c r="AX359" s="17"/>
      <c r="AY359" s="17"/>
      <c r="AZ359" s="18">
        <f t="shared" si="400"/>
        <v>0</v>
      </c>
      <c r="BA359" s="19">
        <f t="shared" si="405"/>
        <v>0</v>
      </c>
    </row>
    <row r="360" spans="1:53" s="4" customFormat="1" ht="17.100000000000001" customHeight="1" x14ac:dyDescent="0.25">
      <c r="A360" s="40"/>
      <c r="B360" s="40"/>
      <c r="C360" s="77"/>
      <c r="D360" s="134"/>
      <c r="E360" s="134"/>
      <c r="F360" s="134"/>
      <c r="G360" s="134"/>
      <c r="H360" s="540"/>
      <c r="I360" s="229"/>
      <c r="J360" s="80">
        <f>SUM(J357:J359)</f>
        <v>0</v>
      </c>
      <c r="K360" s="80">
        <f t="shared" ref="K360:M360" si="406">SUM(K357:K359)</f>
        <v>0</v>
      </c>
      <c r="L360" s="80">
        <f t="shared" si="406"/>
        <v>0</v>
      </c>
      <c r="M360" s="80">
        <f t="shared" si="406"/>
        <v>0</v>
      </c>
      <c r="N360" s="81"/>
      <c r="O360" s="81"/>
      <c r="P360" s="81"/>
      <c r="Q360" s="81"/>
      <c r="R360" s="81"/>
      <c r="S360" s="81"/>
      <c r="T360" s="81"/>
      <c r="U360" s="81"/>
      <c r="V360" s="356"/>
      <c r="W360" s="381">
        <f>SUM(W357:W359)</f>
        <v>0</v>
      </c>
      <c r="X360" s="82">
        <f t="shared" ref="X360:Y360" si="407">SUM(X357:X359)</f>
        <v>0</v>
      </c>
      <c r="Y360" s="82">
        <f t="shared" si="407"/>
        <v>0</v>
      </c>
      <c r="Z360" s="205">
        <f t="shared" si="401"/>
        <v>0</v>
      </c>
      <c r="AA360" s="205"/>
      <c r="AB360" s="205"/>
      <c r="AC360" s="83"/>
      <c r="AE360" s="80"/>
      <c r="AF360" s="80"/>
      <c r="AG360" s="81"/>
      <c r="AH360" s="82">
        <f>SUM(AH357:AH359)</f>
        <v>0</v>
      </c>
      <c r="AI360" s="66">
        <f t="shared" si="402"/>
        <v>0</v>
      </c>
      <c r="AJ360" s="97"/>
      <c r="AK360" s="80"/>
      <c r="AL360" s="80"/>
      <c r="AM360" s="81"/>
      <c r="AN360" s="82">
        <f>SUM(AN357:AN359)</f>
        <v>0</v>
      </c>
      <c r="AO360" s="66">
        <f t="shared" si="403"/>
        <v>0</v>
      </c>
      <c r="AP360" s="97"/>
      <c r="AQ360" s="80"/>
      <c r="AR360" s="80"/>
      <c r="AS360" s="81"/>
      <c r="AT360" s="82">
        <f>SUM(AT357:AT359)</f>
        <v>0</v>
      </c>
      <c r="AU360" s="66">
        <f t="shared" si="404"/>
        <v>0</v>
      </c>
      <c r="AV360" s="97"/>
      <c r="AW360" s="80"/>
      <c r="AX360" s="80"/>
      <c r="AY360" s="81"/>
      <c r="AZ360" s="82">
        <f>SUM(AZ357:AZ359)</f>
        <v>0</v>
      </c>
      <c r="BA360" s="66">
        <f t="shared" si="405"/>
        <v>0</v>
      </c>
    </row>
    <row r="361" spans="1:53" s="117" customFormat="1" ht="17.100000000000001" customHeight="1" x14ac:dyDescent="0.25">
      <c r="A361" s="68"/>
      <c r="B361" s="119"/>
      <c r="C361" s="540"/>
      <c r="D361" s="261"/>
      <c r="E361" s="261"/>
      <c r="F361" s="68"/>
      <c r="G361" s="68"/>
      <c r="H361" s="119"/>
      <c r="I361" s="138"/>
      <c r="J361" s="17" t="str">
        <f>IF(J360=J$15,"OK","NOK")</f>
        <v>OK</v>
      </c>
      <c r="K361" s="17" t="str">
        <f t="shared" ref="K361:L361" si="408">IF(K360=K$15,"OK","NOK")</f>
        <v>OK</v>
      </c>
      <c r="L361" s="17" t="str">
        <f t="shared" si="408"/>
        <v>OK</v>
      </c>
      <c r="M361" s="17"/>
      <c r="N361" s="17"/>
      <c r="O361" s="17"/>
      <c r="P361" s="17"/>
      <c r="Q361" s="17"/>
      <c r="R361" s="17"/>
      <c r="S361" s="17"/>
      <c r="T361" s="17"/>
      <c r="U361" s="17"/>
      <c r="V361" s="359"/>
      <c r="W361" s="382"/>
      <c r="X361" s="539"/>
      <c r="Y361" s="539"/>
      <c r="Z361" s="201"/>
      <c r="AA361" s="201"/>
      <c r="AB361" s="201"/>
      <c r="AC361" s="84"/>
      <c r="AE361" s="46"/>
      <c r="AF361" s="46"/>
      <c r="AG361" s="17"/>
      <c r="AH361" s="539"/>
      <c r="AI361" s="91"/>
      <c r="AK361" s="46"/>
      <c r="AL361" s="46"/>
      <c r="AM361" s="17"/>
      <c r="AN361" s="539"/>
      <c r="AO361" s="91"/>
      <c r="AQ361" s="46"/>
      <c r="AR361" s="46"/>
      <c r="AS361" s="17"/>
      <c r="AT361" s="539"/>
      <c r="AU361" s="91"/>
      <c r="AW361" s="46"/>
      <c r="AX361" s="46"/>
      <c r="AY361" s="17"/>
      <c r="AZ361" s="539"/>
      <c r="BA361" s="91"/>
    </row>
    <row r="362" spans="1:53" ht="17.100000000000001" customHeight="1" x14ac:dyDescent="0.25">
      <c r="A362" s="68"/>
      <c r="B362" s="41" t="s">
        <v>452</v>
      </c>
      <c r="C362" s="69" t="s">
        <v>453</v>
      </c>
      <c r="D362" s="50"/>
      <c r="E362" s="70"/>
      <c r="F362" s="70"/>
      <c r="G362" s="70"/>
      <c r="H362" s="243">
        <v>48</v>
      </c>
      <c r="J362" s="71"/>
      <c r="K362" s="71"/>
      <c r="L362" s="71"/>
      <c r="M362" s="71"/>
      <c r="N362" s="71"/>
      <c r="O362" s="71"/>
      <c r="P362" s="71"/>
      <c r="Q362" s="71"/>
      <c r="R362" s="71"/>
      <c r="S362" s="71"/>
      <c r="T362" s="71"/>
      <c r="U362" s="71"/>
      <c r="V362" s="355"/>
      <c r="W362" s="377"/>
      <c r="X362" s="71"/>
      <c r="Y362" s="72"/>
      <c r="Z362" s="73"/>
      <c r="AA362" s="73"/>
      <c r="AB362" s="73"/>
      <c r="AC362" s="73"/>
      <c r="AE362" s="71"/>
      <c r="AF362" s="71"/>
      <c r="AG362" s="71"/>
      <c r="AH362" s="72"/>
      <c r="AI362" s="73"/>
      <c r="AK362" s="71"/>
      <c r="AL362" s="71"/>
      <c r="AM362" s="71"/>
      <c r="AN362" s="72"/>
      <c r="AO362" s="73"/>
      <c r="AQ362" s="71"/>
      <c r="AR362" s="71"/>
      <c r="AS362" s="71"/>
      <c r="AT362" s="72"/>
      <c r="AU362" s="73"/>
      <c r="AW362" s="71"/>
      <c r="AX362" s="71"/>
      <c r="AY362" s="71"/>
      <c r="AZ362" s="72"/>
      <c r="BA362" s="73"/>
    </row>
    <row r="363" spans="1:53" s="4" customFormat="1" ht="17.100000000000001" customHeight="1" x14ac:dyDescent="0.25">
      <c r="A363" s="40"/>
      <c r="B363" s="40"/>
      <c r="C363" s="74" t="s">
        <v>454</v>
      </c>
      <c r="D363" s="85" t="s">
        <v>173</v>
      </c>
      <c r="E363" s="542"/>
      <c r="F363" s="542"/>
      <c r="G363" s="542"/>
      <c r="H363" s="540"/>
      <c r="I363" s="235"/>
      <c r="J363" s="581"/>
      <c r="K363" s="581"/>
      <c r="L363" s="582"/>
      <c r="M363" s="593"/>
      <c r="N363" s="111"/>
      <c r="O363" s="111"/>
      <c r="P363" s="111"/>
      <c r="Q363" s="111"/>
      <c r="R363" s="111"/>
      <c r="S363" s="111"/>
      <c r="T363" s="111"/>
      <c r="U363" s="111"/>
      <c r="V363" s="358"/>
      <c r="W363" s="391">
        <f t="shared" ref="W363:W364" si="409">J363+K363+N363+Q363+T363</f>
        <v>0</v>
      </c>
      <c r="X363" s="17">
        <f t="shared" ref="X363:X364" si="410">L363+O363+R363+U363</f>
        <v>0</v>
      </c>
      <c r="Y363" s="18">
        <f>SUM(W363:X363)</f>
        <v>0</v>
      </c>
      <c r="Z363" s="19">
        <f>IF(Y$370=0,0,Y363/Y$370)</f>
        <v>0</v>
      </c>
      <c r="AA363" s="19"/>
      <c r="AB363" s="19"/>
      <c r="AC363" s="20"/>
      <c r="AE363" s="17"/>
      <c r="AF363" s="17"/>
      <c r="AG363" s="17"/>
      <c r="AH363" s="18">
        <f>J363</f>
        <v>0</v>
      </c>
      <c r="AI363" s="19">
        <f>IF(AH$370=0,0,AH363/AH$370)</f>
        <v>0</v>
      </c>
      <c r="AJ363" s="97"/>
      <c r="AK363" s="17"/>
      <c r="AL363" s="17"/>
      <c r="AM363" s="17"/>
      <c r="AN363" s="18">
        <f>K363</f>
        <v>0</v>
      </c>
      <c r="AO363" s="19">
        <f>IF(AN$370=0,0,AN363/AN$370)</f>
        <v>0</v>
      </c>
      <c r="AP363" s="97"/>
      <c r="AQ363" s="17"/>
      <c r="AR363" s="17"/>
      <c r="AS363" s="17"/>
      <c r="AT363" s="18">
        <f>W363</f>
        <v>0</v>
      </c>
      <c r="AU363" s="19">
        <f>IF(AT$370=0,0,AT363/AT$370)</f>
        <v>0</v>
      </c>
      <c r="AV363" s="97"/>
      <c r="AW363" s="17"/>
      <c r="AX363" s="17"/>
      <c r="AY363" s="17"/>
      <c r="AZ363" s="18">
        <f>X363</f>
        <v>0</v>
      </c>
      <c r="BA363" s="19">
        <f>IF(AZ$370=0,0,AZ363/AZ$370)</f>
        <v>0</v>
      </c>
    </row>
    <row r="364" spans="1:53" s="4" customFormat="1" ht="17.100000000000001" customHeight="1" x14ac:dyDescent="0.25">
      <c r="A364" s="40"/>
      <c r="B364" s="40"/>
      <c r="C364" s="74" t="s">
        <v>455</v>
      </c>
      <c r="D364" s="85" t="s">
        <v>544</v>
      </c>
      <c r="E364" s="542"/>
      <c r="F364" s="542"/>
      <c r="G364" s="542"/>
      <c r="H364" s="540"/>
      <c r="I364" s="235"/>
      <c r="J364" s="583"/>
      <c r="K364" s="583"/>
      <c r="L364" s="584"/>
      <c r="M364" s="593"/>
      <c r="N364" s="111"/>
      <c r="O364" s="111"/>
      <c r="P364" s="111"/>
      <c r="Q364" s="111"/>
      <c r="R364" s="111"/>
      <c r="S364" s="111"/>
      <c r="T364" s="111"/>
      <c r="U364" s="111"/>
      <c r="V364" s="358"/>
      <c r="W364" s="391">
        <f t="shared" si="409"/>
        <v>0</v>
      </c>
      <c r="X364" s="17">
        <f t="shared" si="410"/>
        <v>0</v>
      </c>
      <c r="Y364" s="18">
        <f>SUM(W364:X364)</f>
        <v>0</v>
      </c>
      <c r="Z364" s="19">
        <f>IF(Y$370=0,0,Y364/Y$370)</f>
        <v>0</v>
      </c>
      <c r="AA364" s="19"/>
      <c r="AB364" s="19"/>
      <c r="AC364" s="20"/>
      <c r="AE364" s="17"/>
      <c r="AF364" s="17"/>
      <c r="AG364" s="17"/>
      <c r="AH364" s="18">
        <f t="shared" ref="AH364" si="411">J364</f>
        <v>0</v>
      </c>
      <c r="AI364" s="19">
        <f>IF(AH$370=0,0,AH364/AH$370)</f>
        <v>0</v>
      </c>
      <c r="AJ364" s="97"/>
      <c r="AK364" s="17"/>
      <c r="AL364" s="17"/>
      <c r="AM364" s="17"/>
      <c r="AN364" s="18">
        <f t="shared" ref="AN364" si="412">K364</f>
        <v>0</v>
      </c>
      <c r="AO364" s="19">
        <f>IF(AN$370=0,0,AN364/AN$370)</f>
        <v>0</v>
      </c>
      <c r="AP364" s="97"/>
      <c r="AQ364" s="17"/>
      <c r="AR364" s="17"/>
      <c r="AS364" s="17"/>
      <c r="AT364" s="18">
        <f t="shared" ref="AT364" si="413">W364</f>
        <v>0</v>
      </c>
      <c r="AU364" s="19">
        <f>IF(AT$370=0,0,AT364/AT$370)</f>
        <v>0</v>
      </c>
      <c r="AV364" s="97"/>
      <c r="AW364" s="17"/>
      <c r="AX364" s="17"/>
      <c r="AY364" s="17"/>
      <c r="AZ364" s="18">
        <f>X364</f>
        <v>0</v>
      </c>
      <c r="BA364" s="19">
        <f>IF(AZ$370=0,0,AZ364/AZ$370)</f>
        <v>0</v>
      </c>
    </row>
    <row r="365" spans="1:53" s="4" customFormat="1" ht="17.100000000000001" customHeight="1" x14ac:dyDescent="0.25">
      <c r="A365" s="40"/>
      <c r="B365" s="40"/>
      <c r="C365" s="74" t="s">
        <v>456</v>
      </c>
      <c r="D365" s="146" t="s">
        <v>484</v>
      </c>
      <c r="E365" s="542"/>
      <c r="F365" s="542"/>
      <c r="G365" s="542"/>
      <c r="H365" s="540"/>
      <c r="I365" s="235"/>
      <c r="J365" s="581"/>
      <c r="K365" s="581"/>
      <c r="L365" s="582"/>
      <c r="M365" s="593"/>
      <c r="N365" s="111"/>
      <c r="O365" s="111"/>
      <c r="P365" s="111"/>
      <c r="Q365" s="111"/>
      <c r="R365" s="111"/>
      <c r="S365" s="111"/>
      <c r="T365" s="111"/>
      <c r="U365" s="111"/>
      <c r="V365" s="358"/>
      <c r="W365" s="391">
        <f>MIN(J365:K365)</f>
        <v>0</v>
      </c>
      <c r="X365" s="17">
        <f>L365</f>
        <v>0</v>
      </c>
      <c r="Y365" s="18"/>
      <c r="Z365" s="19"/>
      <c r="AA365" s="17">
        <f>MIN(J365:L365)</f>
        <v>0</v>
      </c>
      <c r="AB365" s="17"/>
      <c r="AC365" s="17"/>
      <c r="AE365" s="17">
        <f>J365</f>
        <v>0</v>
      </c>
      <c r="AF365" s="17"/>
      <c r="AG365" s="17"/>
      <c r="AH365" s="18"/>
      <c r="AI365" s="19"/>
      <c r="AJ365" s="97"/>
      <c r="AK365" s="17">
        <f>K365</f>
        <v>0</v>
      </c>
      <c r="AL365" s="17"/>
      <c r="AM365" s="17"/>
      <c r="AN365" s="18"/>
      <c r="AO365" s="19"/>
      <c r="AP365" s="97"/>
      <c r="AQ365" s="17">
        <f>W365</f>
        <v>0</v>
      </c>
      <c r="AR365" s="17"/>
      <c r="AS365" s="17"/>
      <c r="AT365" s="18"/>
      <c r="AU365" s="19"/>
      <c r="AV365" s="97"/>
      <c r="AW365" s="17">
        <f>L365</f>
        <v>0</v>
      </c>
      <c r="AX365" s="17"/>
      <c r="AY365" s="17"/>
      <c r="AZ365" s="18"/>
      <c r="BA365" s="19"/>
    </row>
    <row r="366" spans="1:53" s="4" customFormat="1" ht="17.100000000000001" customHeight="1" x14ac:dyDescent="0.25">
      <c r="A366" s="40"/>
      <c r="B366" s="40"/>
      <c r="C366" s="74" t="s">
        <v>546</v>
      </c>
      <c r="D366" s="146" t="s">
        <v>485</v>
      </c>
      <c r="E366" s="542"/>
      <c r="F366" s="542"/>
      <c r="G366" s="542"/>
      <c r="H366" s="540"/>
      <c r="I366" s="235"/>
      <c r="J366" s="583"/>
      <c r="K366" s="583"/>
      <c r="L366" s="584"/>
      <c r="M366" s="593"/>
      <c r="N366" s="111"/>
      <c r="O366" s="111"/>
      <c r="P366" s="111"/>
      <c r="Q366" s="111"/>
      <c r="R366" s="111"/>
      <c r="S366" s="111"/>
      <c r="T366" s="111"/>
      <c r="U366" s="111"/>
      <c r="V366" s="358"/>
      <c r="W366" s="391">
        <f>MAX(J366:K366)</f>
        <v>0</v>
      </c>
      <c r="X366" s="17">
        <f t="shared" ref="X366:X367" si="414">L366</f>
        <v>0</v>
      </c>
      <c r="Y366" s="18"/>
      <c r="Z366" s="19"/>
      <c r="AA366" s="17"/>
      <c r="AB366" s="17">
        <f>MAX(J366:L366)</f>
        <v>0</v>
      </c>
      <c r="AC366" s="17"/>
      <c r="AE366" s="17"/>
      <c r="AF366" s="17">
        <f>J366</f>
        <v>0</v>
      </c>
      <c r="AG366" s="17"/>
      <c r="AH366" s="18"/>
      <c r="AI366" s="19"/>
      <c r="AJ366" s="97"/>
      <c r="AK366" s="17"/>
      <c r="AL366" s="17">
        <f>K366</f>
        <v>0</v>
      </c>
      <c r="AM366" s="17"/>
      <c r="AN366" s="18"/>
      <c r="AO366" s="19"/>
      <c r="AP366" s="97"/>
      <c r="AQ366" s="17"/>
      <c r="AR366" s="17">
        <f>W366</f>
        <v>0</v>
      </c>
      <c r="AS366" s="17"/>
      <c r="AT366" s="18"/>
      <c r="AU366" s="19"/>
      <c r="AV366" s="97"/>
      <c r="AW366" s="17"/>
      <c r="AX366" s="17">
        <f>L366</f>
        <v>0</v>
      </c>
      <c r="AY366" s="17"/>
      <c r="AZ366" s="18"/>
      <c r="BA366" s="19"/>
    </row>
    <row r="367" spans="1:53" s="4" customFormat="1" ht="17.100000000000001" customHeight="1" x14ac:dyDescent="0.25">
      <c r="A367" s="40"/>
      <c r="B367" s="40"/>
      <c r="C367" s="74" t="s">
        <v>547</v>
      </c>
      <c r="D367" s="146" t="s">
        <v>543</v>
      </c>
      <c r="E367" s="542"/>
      <c r="F367" s="542"/>
      <c r="G367" s="542"/>
      <c r="H367" s="540"/>
      <c r="I367" s="235"/>
      <c r="J367" s="581"/>
      <c r="K367" s="581"/>
      <c r="L367" s="582"/>
      <c r="M367" s="593"/>
      <c r="N367" s="111"/>
      <c r="O367" s="111"/>
      <c r="P367" s="111"/>
      <c r="Q367" s="111"/>
      <c r="R367" s="111"/>
      <c r="S367" s="111"/>
      <c r="T367" s="111"/>
      <c r="U367" s="111"/>
      <c r="V367" s="358"/>
      <c r="W367" s="391">
        <f>IF(SUM(J367:K367)=0,0,AVERAGE(J367:K367))</f>
        <v>0</v>
      </c>
      <c r="X367" s="17">
        <f t="shared" si="414"/>
        <v>0</v>
      </c>
      <c r="Y367" s="18"/>
      <c r="Z367" s="19"/>
      <c r="AA367" s="17"/>
      <c r="AB367" s="17"/>
      <c r="AC367" s="17">
        <f>IF(SUM(J367:L367)=0,0,AVERAGE(J367:L367))</f>
        <v>0</v>
      </c>
      <c r="AE367" s="17"/>
      <c r="AF367" s="17"/>
      <c r="AG367" s="17">
        <f>J367</f>
        <v>0</v>
      </c>
      <c r="AH367" s="18"/>
      <c r="AI367" s="19"/>
      <c r="AJ367" s="97"/>
      <c r="AK367" s="17"/>
      <c r="AL367" s="17"/>
      <c r="AM367" s="17">
        <f>K367</f>
        <v>0</v>
      </c>
      <c r="AN367" s="18"/>
      <c r="AO367" s="19"/>
      <c r="AP367" s="97"/>
      <c r="AQ367" s="17"/>
      <c r="AR367" s="17"/>
      <c r="AS367" s="17">
        <f>W367</f>
        <v>0</v>
      </c>
      <c r="AT367" s="18"/>
      <c r="AU367" s="19"/>
      <c r="AV367" s="97"/>
      <c r="AW367" s="17"/>
      <c r="AX367" s="17"/>
      <c r="AY367" s="17">
        <f>L367</f>
        <v>0</v>
      </c>
      <c r="AZ367" s="18"/>
      <c r="BA367" s="19"/>
    </row>
    <row r="368" spans="1:53" s="4" customFormat="1" ht="17.100000000000001" customHeight="1" x14ac:dyDescent="0.25">
      <c r="A368" s="40"/>
      <c r="B368" s="40"/>
      <c r="C368" s="74" t="s">
        <v>548</v>
      </c>
      <c r="D368" s="75" t="s">
        <v>129</v>
      </c>
      <c r="E368" s="542"/>
      <c r="F368" s="542"/>
      <c r="G368" s="542"/>
      <c r="H368" s="540"/>
      <c r="I368" s="235"/>
      <c r="J368" s="583"/>
      <c r="K368" s="583"/>
      <c r="L368" s="584"/>
      <c r="M368" s="593"/>
      <c r="N368" s="111"/>
      <c r="O368" s="111"/>
      <c r="P368" s="111"/>
      <c r="Q368" s="111"/>
      <c r="R368" s="111"/>
      <c r="S368" s="111"/>
      <c r="T368" s="111"/>
      <c r="U368" s="111"/>
      <c r="V368" s="358"/>
      <c r="W368" s="391">
        <f t="shared" ref="W368:W369" si="415">J368+K368+N368+Q368+T368</f>
        <v>0</v>
      </c>
      <c r="X368" s="17">
        <f t="shared" ref="X368:X369" si="416">L368+O368+R368+U368</f>
        <v>0</v>
      </c>
      <c r="Y368" s="18">
        <f>SUM(W368:X368)</f>
        <v>0</v>
      </c>
      <c r="Z368" s="19">
        <f>IF(Y$370=0,0,Y368/Y$370)</f>
        <v>0</v>
      </c>
      <c r="AA368" s="19"/>
      <c r="AB368" s="19"/>
      <c r="AC368" s="20"/>
      <c r="AE368" s="17"/>
      <c r="AF368" s="17"/>
      <c r="AG368" s="17"/>
      <c r="AH368" s="18">
        <f t="shared" ref="AH368:AH369" si="417">J368</f>
        <v>0</v>
      </c>
      <c r="AI368" s="19">
        <f>IF(AH$370=0,0,AH368/AH$370)</f>
        <v>0</v>
      </c>
      <c r="AJ368" s="97"/>
      <c r="AK368" s="17"/>
      <c r="AL368" s="17"/>
      <c r="AM368" s="17"/>
      <c r="AN368" s="18">
        <f t="shared" ref="AN368:AN369" si="418">K368</f>
        <v>0</v>
      </c>
      <c r="AO368" s="19">
        <f>IF(AN$370=0,0,AN368/AN$370)</f>
        <v>0</v>
      </c>
      <c r="AP368" s="97"/>
      <c r="AQ368" s="17"/>
      <c r="AR368" s="17"/>
      <c r="AS368" s="17"/>
      <c r="AT368" s="18">
        <f t="shared" ref="AT368:AT369" si="419">W368</f>
        <v>0</v>
      </c>
      <c r="AU368" s="19">
        <f>IF(AT$370=0,0,AT368/AT$370)</f>
        <v>0</v>
      </c>
      <c r="AV368" s="97"/>
      <c r="AW368" s="17"/>
      <c r="AX368" s="17"/>
      <c r="AY368" s="17"/>
      <c r="AZ368" s="18">
        <f>X368</f>
        <v>0</v>
      </c>
      <c r="BA368" s="19">
        <f>IF(AZ$370=0,0,AZ368/AZ$370)</f>
        <v>0</v>
      </c>
    </row>
    <row r="369" spans="1:53" s="4" customFormat="1" ht="17.100000000000001" customHeight="1" x14ac:dyDescent="0.25">
      <c r="A369" s="40"/>
      <c r="B369" s="40"/>
      <c r="C369" s="74" t="s">
        <v>549</v>
      </c>
      <c r="D369" s="75" t="s">
        <v>530</v>
      </c>
      <c r="E369" s="542"/>
      <c r="F369" s="542"/>
      <c r="G369" s="542"/>
      <c r="H369" s="540"/>
      <c r="I369" s="235"/>
      <c r="J369" s="581"/>
      <c r="K369" s="581"/>
      <c r="L369" s="582"/>
      <c r="M369" s="593"/>
      <c r="N369" s="111"/>
      <c r="O369" s="111"/>
      <c r="P369" s="111"/>
      <c r="Q369" s="111"/>
      <c r="R369" s="111"/>
      <c r="S369" s="111"/>
      <c r="T369" s="111"/>
      <c r="U369" s="111"/>
      <c r="V369" s="358"/>
      <c r="W369" s="391">
        <f t="shared" si="415"/>
        <v>0</v>
      </c>
      <c r="X369" s="17">
        <f t="shared" si="416"/>
        <v>0</v>
      </c>
      <c r="Y369" s="18">
        <f>SUM(W369:X369)</f>
        <v>0</v>
      </c>
      <c r="Z369" s="19">
        <f>IF(Y$370=0,0,Y369/Y$370)</f>
        <v>0</v>
      </c>
      <c r="AA369" s="19"/>
      <c r="AB369" s="19"/>
      <c r="AC369" s="20"/>
      <c r="AE369" s="17"/>
      <c r="AF369" s="17"/>
      <c r="AG369" s="17"/>
      <c r="AH369" s="18">
        <f t="shared" si="417"/>
        <v>0</v>
      </c>
      <c r="AI369" s="19">
        <f>IF(AH$370=0,0,AH369/AH$370)</f>
        <v>0</v>
      </c>
      <c r="AJ369" s="97"/>
      <c r="AK369" s="17"/>
      <c r="AL369" s="17"/>
      <c r="AM369" s="17"/>
      <c r="AN369" s="18">
        <f t="shared" si="418"/>
        <v>0</v>
      </c>
      <c r="AO369" s="19">
        <f>IF(AN$370=0,0,AN369/AN$370)</f>
        <v>0</v>
      </c>
      <c r="AP369" s="97"/>
      <c r="AQ369" s="17"/>
      <c r="AR369" s="17"/>
      <c r="AS369" s="17"/>
      <c r="AT369" s="18">
        <f t="shared" si="419"/>
        <v>0</v>
      </c>
      <c r="AU369" s="19">
        <f>IF(AT$370=0,0,AT369/AT$370)</f>
        <v>0</v>
      </c>
      <c r="AV369" s="97"/>
      <c r="AW369" s="17"/>
      <c r="AX369" s="17"/>
      <c r="AY369" s="17"/>
      <c r="AZ369" s="18">
        <f>X369</f>
        <v>0</v>
      </c>
      <c r="BA369" s="19">
        <f>IF(AZ$370=0,0,AZ369/AZ$370)</f>
        <v>0</v>
      </c>
    </row>
    <row r="370" spans="1:53" s="4" customFormat="1" ht="17.100000000000001" customHeight="1" x14ac:dyDescent="0.25">
      <c r="A370" s="40"/>
      <c r="B370" s="40"/>
      <c r="C370" s="77"/>
      <c r="D370" s="134"/>
      <c r="E370" s="134"/>
      <c r="F370" s="134"/>
      <c r="G370" s="134"/>
      <c r="H370" s="540"/>
      <c r="I370" s="229"/>
      <c r="J370" s="80">
        <f>J363+J364+J368+J369</f>
        <v>0</v>
      </c>
      <c r="K370" s="80">
        <f t="shared" ref="K370:M370" si="420">K363+K364+K368+K369</f>
        <v>0</v>
      </c>
      <c r="L370" s="80">
        <f t="shared" si="420"/>
        <v>0</v>
      </c>
      <c r="M370" s="80">
        <f t="shared" si="420"/>
        <v>0</v>
      </c>
      <c r="N370" s="81"/>
      <c r="O370" s="81"/>
      <c r="P370" s="81"/>
      <c r="Q370" s="81"/>
      <c r="R370" s="81"/>
      <c r="S370" s="81"/>
      <c r="T370" s="81"/>
      <c r="U370" s="81"/>
      <c r="V370" s="356"/>
      <c r="W370" s="381">
        <f>W363+W364+W368+W369</f>
        <v>0</v>
      </c>
      <c r="X370" s="82">
        <f>X363+X364+X368+X369</f>
        <v>0</v>
      </c>
      <c r="Y370" s="82">
        <f t="shared" ref="Y370" si="421">SUM(Y363:Y369)</f>
        <v>0</v>
      </c>
      <c r="Z370" s="205">
        <f>IF(Y$370=0,0,Y370/Y$370)</f>
        <v>0</v>
      </c>
      <c r="AA370" s="205"/>
      <c r="AB370" s="205"/>
      <c r="AC370" s="83"/>
      <c r="AE370" s="80"/>
      <c r="AF370" s="80"/>
      <c r="AG370" s="81"/>
      <c r="AH370" s="82">
        <f>SUM(AH363:AH369)</f>
        <v>0</v>
      </c>
      <c r="AI370" s="66">
        <f>IF(AH$370=0,0,AH370/AH$370)</f>
        <v>0</v>
      </c>
      <c r="AJ370" s="97"/>
      <c r="AK370" s="80"/>
      <c r="AL370" s="80"/>
      <c r="AM370" s="81"/>
      <c r="AN370" s="82">
        <f>SUM(AN363:AN369)</f>
        <v>0</v>
      </c>
      <c r="AO370" s="66">
        <f>IF(AN$370=0,0,AN370/AN$370)</f>
        <v>0</v>
      </c>
      <c r="AP370" s="97"/>
      <c r="AQ370" s="80"/>
      <c r="AR370" s="80"/>
      <c r="AS370" s="81"/>
      <c r="AT370" s="82">
        <f>SUM(AT363:AT369)</f>
        <v>0</v>
      </c>
      <c r="AU370" s="66">
        <f>IF(AT$370=0,0,AT370/AT$370)</f>
        <v>0</v>
      </c>
      <c r="AV370" s="97"/>
      <c r="AW370" s="80"/>
      <c r="AX370" s="80"/>
      <c r="AY370" s="81"/>
      <c r="AZ370" s="82">
        <f>SUM(AZ363:AZ369)</f>
        <v>0</v>
      </c>
      <c r="BA370" s="66">
        <f>IF(AZ$370=0,0,AZ370/AZ$370)</f>
        <v>0</v>
      </c>
    </row>
    <row r="371" spans="1:53" s="117" customFormat="1" ht="17.100000000000001" customHeight="1" x14ac:dyDescent="0.25">
      <c r="A371" s="68"/>
      <c r="B371" s="119"/>
      <c r="C371" s="540"/>
      <c r="D371" s="261"/>
      <c r="E371" s="261"/>
      <c r="F371" s="68"/>
      <c r="G371" s="68"/>
      <c r="H371" s="119"/>
      <c r="I371" s="138"/>
      <c r="J371" s="17" t="str">
        <f>IF(J370=J$357,"OK","NOK")</f>
        <v>OK</v>
      </c>
      <c r="K371" s="17" t="str">
        <f t="shared" ref="K371:L371" si="422">IF(K370=K$357,"OK","NOK")</f>
        <v>OK</v>
      </c>
      <c r="L371" s="17" t="str">
        <f t="shared" si="422"/>
        <v>OK</v>
      </c>
      <c r="M371" s="17"/>
      <c r="N371" s="17"/>
      <c r="O371" s="17"/>
      <c r="P371" s="17"/>
      <c r="Q371" s="17"/>
      <c r="R371" s="17"/>
      <c r="S371" s="17"/>
      <c r="T371" s="17"/>
      <c r="U371" s="17"/>
      <c r="V371" s="359"/>
      <c r="W371" s="382"/>
      <c r="X371" s="539"/>
      <c r="Y371" s="539"/>
      <c r="Z371" s="19"/>
      <c r="AA371" s="201"/>
      <c r="AB371" s="201"/>
      <c r="AC371" s="84"/>
      <c r="AE371" s="46"/>
      <c r="AF371" s="46"/>
      <c r="AG371" s="17"/>
      <c r="AH371" s="539"/>
      <c r="AI371" s="91"/>
      <c r="AK371" s="46"/>
      <c r="AL371" s="46"/>
      <c r="AM371" s="17"/>
      <c r="AN371" s="539"/>
      <c r="AO371" s="91"/>
      <c r="AQ371" s="46"/>
      <c r="AR371" s="46"/>
      <c r="AS371" s="17"/>
      <c r="AT371" s="539"/>
      <c r="AU371" s="91"/>
      <c r="AW371" s="46"/>
      <c r="AX371" s="46"/>
      <c r="AY371" s="17"/>
      <c r="AZ371" s="539"/>
      <c r="BA371" s="91"/>
    </row>
    <row r="372" spans="1:53" ht="17.100000000000001" customHeight="1" x14ac:dyDescent="0.25">
      <c r="A372" s="68"/>
      <c r="B372" s="41" t="s">
        <v>1058</v>
      </c>
      <c r="C372" s="69" t="s">
        <v>12</v>
      </c>
      <c r="D372" s="50"/>
      <c r="E372" s="70"/>
      <c r="F372" s="70"/>
      <c r="G372" s="70"/>
      <c r="H372" s="119"/>
      <c r="J372" s="71"/>
      <c r="K372" s="71"/>
      <c r="L372" s="71"/>
      <c r="M372" s="71"/>
      <c r="N372" s="71"/>
      <c r="O372" s="71"/>
      <c r="P372" s="71"/>
      <c r="Q372" s="71"/>
      <c r="R372" s="71"/>
      <c r="S372" s="71"/>
      <c r="T372" s="71"/>
      <c r="U372" s="71"/>
      <c r="V372" s="355"/>
      <c r="W372" s="377"/>
      <c r="X372" s="71"/>
      <c r="Y372" s="72"/>
      <c r="Z372" s="73"/>
      <c r="AA372" s="73"/>
      <c r="AB372" s="73"/>
      <c r="AC372" s="73"/>
      <c r="AE372" s="71"/>
      <c r="AF372" s="71"/>
      <c r="AG372" s="71"/>
      <c r="AH372" s="72"/>
      <c r="AI372" s="73"/>
      <c r="AK372" s="71"/>
      <c r="AL372" s="71"/>
      <c r="AM372" s="71"/>
      <c r="AN372" s="72"/>
      <c r="AO372" s="73"/>
      <c r="AQ372" s="71"/>
      <c r="AR372" s="71"/>
      <c r="AS372" s="71"/>
      <c r="AT372" s="72"/>
      <c r="AU372" s="73"/>
      <c r="AW372" s="71"/>
      <c r="AX372" s="71"/>
      <c r="AY372" s="71"/>
      <c r="AZ372" s="72"/>
      <c r="BA372" s="73"/>
    </row>
    <row r="373" spans="1:53" s="97" customFormat="1" ht="17.100000000000001" customHeight="1" x14ac:dyDescent="0.25">
      <c r="A373" s="138"/>
      <c r="B373" s="138"/>
      <c r="C373" s="139"/>
      <c r="D373" s="12"/>
      <c r="E373" s="12"/>
      <c r="F373" s="93"/>
      <c r="G373" s="93"/>
      <c r="H373" s="92"/>
      <c r="I373" s="12"/>
      <c r="J373" s="95"/>
      <c r="K373" s="95"/>
      <c r="L373" s="95"/>
      <c r="M373" s="95"/>
      <c r="N373" s="95"/>
      <c r="O373" s="95"/>
      <c r="P373" s="95"/>
      <c r="Q373" s="95"/>
      <c r="R373" s="95"/>
      <c r="S373" s="95"/>
      <c r="T373" s="95"/>
      <c r="U373" s="95"/>
      <c r="V373" s="95"/>
      <c r="W373" s="378"/>
      <c r="X373" s="95"/>
      <c r="Y373" s="96"/>
      <c r="AE373" s="109"/>
      <c r="AF373" s="109"/>
      <c r="AG373" s="109"/>
      <c r="AH373" s="96"/>
      <c r="AK373" s="109"/>
      <c r="AL373" s="109"/>
      <c r="AM373" s="109"/>
      <c r="AN373" s="96"/>
      <c r="AQ373" s="109"/>
      <c r="AR373" s="109"/>
      <c r="AS373" s="109"/>
      <c r="AT373" s="96"/>
      <c r="AW373" s="109"/>
      <c r="AX373" s="109"/>
      <c r="AY373" s="109"/>
      <c r="AZ373" s="96"/>
    </row>
    <row r="374" spans="1:53" s="32" customFormat="1" ht="16.5" thickBot="1" x14ac:dyDescent="0.3">
      <c r="A374" s="24" t="s">
        <v>183</v>
      </c>
      <c r="B374" s="25" t="s">
        <v>184</v>
      </c>
      <c r="C374" s="26"/>
      <c r="D374" s="27"/>
      <c r="E374" s="27"/>
      <c r="F374" s="27"/>
      <c r="G374" s="27"/>
      <c r="H374" s="266"/>
      <c r="I374" s="228"/>
      <c r="J374" s="140"/>
      <c r="K374" s="140"/>
      <c r="L374" s="140"/>
      <c r="M374" s="140"/>
      <c r="N374" s="140"/>
      <c r="O374" s="140"/>
      <c r="P374" s="140"/>
      <c r="Q374" s="140"/>
      <c r="R374" s="140"/>
      <c r="S374" s="140"/>
      <c r="T374" s="140"/>
      <c r="U374" s="140"/>
      <c r="V374" s="365"/>
      <c r="W374" s="379"/>
      <c r="X374" s="140"/>
      <c r="Y374" s="30" t="s">
        <v>4</v>
      </c>
      <c r="Z374" s="30" t="s">
        <v>5</v>
      </c>
      <c r="AA374" s="30"/>
      <c r="AB374" s="30"/>
      <c r="AC374" s="29"/>
      <c r="AE374" s="33" t="s">
        <v>181</v>
      </c>
      <c r="AF374" s="33" t="s">
        <v>182</v>
      </c>
      <c r="AG374" s="33" t="s">
        <v>6</v>
      </c>
      <c r="AH374" s="33" t="s">
        <v>4</v>
      </c>
      <c r="AI374" s="34" t="s">
        <v>5</v>
      </c>
      <c r="AJ374" s="408"/>
      <c r="AK374" s="36" t="s">
        <v>181</v>
      </c>
      <c r="AL374" s="36" t="s">
        <v>182</v>
      </c>
      <c r="AM374" s="36" t="s">
        <v>6</v>
      </c>
      <c r="AN374" s="36" t="s">
        <v>4</v>
      </c>
      <c r="AO374" s="37" t="s">
        <v>5</v>
      </c>
      <c r="AP374" s="408"/>
      <c r="AQ374" s="36"/>
      <c r="AR374" s="36"/>
      <c r="AS374" s="36"/>
      <c r="AT374" s="36"/>
      <c r="AU374" s="37"/>
      <c r="AV374" s="408"/>
      <c r="AW374" s="38" t="s">
        <v>181</v>
      </c>
      <c r="AX374" s="38" t="s">
        <v>182</v>
      </c>
      <c r="AY374" s="38" t="s">
        <v>6</v>
      </c>
      <c r="AZ374" s="38" t="s">
        <v>4</v>
      </c>
      <c r="BA374" s="39" t="s">
        <v>5</v>
      </c>
    </row>
    <row r="375" spans="1:53" ht="17.100000000000001" customHeight="1" x14ac:dyDescent="0.25">
      <c r="A375" s="68"/>
      <c r="B375" s="41" t="s">
        <v>185</v>
      </c>
      <c r="C375" s="69" t="s">
        <v>186</v>
      </c>
      <c r="D375" s="50"/>
      <c r="E375" s="70"/>
      <c r="F375" s="265"/>
      <c r="G375" s="265"/>
      <c r="H375" s="253"/>
      <c r="J375" s="71"/>
      <c r="K375" s="71"/>
      <c r="L375" s="71"/>
      <c r="M375" s="71"/>
      <c r="N375" s="71"/>
      <c r="O375" s="71"/>
      <c r="P375" s="71"/>
      <c r="Q375" s="71"/>
      <c r="R375" s="71"/>
      <c r="S375" s="71"/>
      <c r="T375" s="71"/>
      <c r="U375" s="71"/>
      <c r="V375" s="355"/>
      <c r="W375" s="377"/>
      <c r="X375" s="71"/>
      <c r="Y375" s="72"/>
      <c r="Z375" s="73"/>
      <c r="AA375" s="73"/>
      <c r="AB375" s="73"/>
      <c r="AC375" s="73"/>
      <c r="AE375" s="71"/>
      <c r="AF375" s="71"/>
      <c r="AG375" s="71"/>
      <c r="AH375" s="72"/>
      <c r="AI375" s="73"/>
      <c r="AK375" s="71"/>
      <c r="AL375" s="71"/>
      <c r="AM375" s="71"/>
      <c r="AN375" s="72"/>
      <c r="AO375" s="73"/>
      <c r="AQ375" s="71"/>
      <c r="AR375" s="71"/>
      <c r="AS375" s="71"/>
      <c r="AT375" s="72"/>
      <c r="AU375" s="73"/>
      <c r="AW375" s="71"/>
      <c r="AX375" s="71"/>
      <c r="AY375" s="71"/>
      <c r="AZ375" s="72"/>
      <c r="BA375" s="73"/>
    </row>
    <row r="376" spans="1:53" ht="17.100000000000001" customHeight="1" x14ac:dyDescent="0.25">
      <c r="A376" s="40"/>
      <c r="B376" s="40"/>
      <c r="C376" s="74" t="s">
        <v>187</v>
      </c>
      <c r="D376" s="75" t="s">
        <v>129</v>
      </c>
      <c r="E376" s="105"/>
      <c r="F376" s="105"/>
      <c r="G376" s="105"/>
      <c r="H376" s="119"/>
      <c r="I376" s="231"/>
      <c r="J376" s="111"/>
      <c r="K376" s="111"/>
      <c r="L376" s="111"/>
      <c r="M376" s="111"/>
      <c r="N376" s="60"/>
      <c r="O376" s="60"/>
      <c r="P376" s="17">
        <f>SUM(N376:O376)</f>
        <v>0</v>
      </c>
      <c r="Q376" s="60"/>
      <c r="R376" s="60"/>
      <c r="S376" s="17">
        <f>SUM(Q376:R376)</f>
        <v>0</v>
      </c>
      <c r="T376" s="60"/>
      <c r="U376" s="60"/>
      <c r="V376" s="359">
        <f>SUM(T376:U376)</f>
        <v>0</v>
      </c>
      <c r="W376" s="391">
        <f t="shared" ref="W376:W378" si="423">J376+K376+N376+Q376+T376</f>
        <v>0</v>
      </c>
      <c r="X376" s="17">
        <f t="shared" ref="X376:X378" si="424">L376+O376+R376+U376</f>
        <v>0</v>
      </c>
      <c r="Y376" s="18">
        <f>SUM(W376:X376)</f>
        <v>0</v>
      </c>
      <c r="Z376" s="19">
        <f>IF(Y$379=0,0,Y376/Y$379)</f>
        <v>0</v>
      </c>
      <c r="AA376" s="19"/>
      <c r="AB376" s="19"/>
      <c r="AC376" s="17"/>
      <c r="AE376" s="111"/>
      <c r="AF376" s="111"/>
      <c r="AG376" s="111"/>
      <c r="AH376" s="112"/>
      <c r="AI376" s="113"/>
      <c r="AK376" s="111"/>
      <c r="AL376" s="111"/>
      <c r="AM376" s="111"/>
      <c r="AN376" s="112"/>
      <c r="AO376" s="113"/>
      <c r="AQ376" s="17"/>
      <c r="AR376" s="17"/>
      <c r="AS376" s="17"/>
      <c r="AT376" s="18">
        <f t="shared" ref="AT376:AT378" si="425">W376</f>
        <v>0</v>
      </c>
      <c r="AU376" s="19">
        <f>IF(AT$379=0,0,AT376/AT$379)</f>
        <v>0</v>
      </c>
      <c r="AW376" s="17"/>
      <c r="AX376" s="17"/>
      <c r="AY376" s="17"/>
      <c r="AZ376" s="18">
        <f t="shared" ref="AZ376:AZ378" si="426">X376</f>
        <v>0</v>
      </c>
      <c r="BA376" s="19">
        <f>IF(AZ$379=0,0,AZ376/AZ$379)</f>
        <v>0</v>
      </c>
    </row>
    <row r="377" spans="1:53" ht="17.100000000000001" customHeight="1" x14ac:dyDescent="0.25">
      <c r="A377" s="40"/>
      <c r="B377" s="40"/>
      <c r="C377" s="74" t="s">
        <v>188</v>
      </c>
      <c r="D377" s="85" t="s">
        <v>189</v>
      </c>
      <c r="E377" s="75"/>
      <c r="F377" s="75"/>
      <c r="G377" s="75"/>
      <c r="H377" s="540"/>
      <c r="I377" s="229"/>
      <c r="J377" s="111"/>
      <c r="K377" s="111"/>
      <c r="L377" s="111"/>
      <c r="M377" s="111"/>
      <c r="N377" s="61"/>
      <c r="O377" s="61">
        <v>7</v>
      </c>
      <c r="P377" s="17">
        <f t="shared" ref="P377:P378" si="427">SUM(N377:O377)</f>
        <v>7</v>
      </c>
      <c r="Q377" s="61">
        <v>1</v>
      </c>
      <c r="R377" s="61">
        <v>1</v>
      </c>
      <c r="S377" s="17">
        <f t="shared" ref="S377:S378" si="428">SUM(Q377:R377)</f>
        <v>2</v>
      </c>
      <c r="T377" s="61"/>
      <c r="U377" s="61"/>
      <c r="V377" s="359">
        <f t="shared" ref="V377:V378" si="429">SUM(T377:U377)</f>
        <v>0</v>
      </c>
      <c r="W377" s="391">
        <f t="shared" si="423"/>
        <v>1</v>
      </c>
      <c r="X377" s="17">
        <f t="shared" si="424"/>
        <v>8</v>
      </c>
      <c r="Y377" s="18">
        <f>SUM(W377:X377)</f>
        <v>9</v>
      </c>
      <c r="Z377" s="19">
        <f t="shared" ref="Z377:Z379" si="430">IF(Y$379=0,0,Y377/Y$379)</f>
        <v>0.6</v>
      </c>
      <c r="AA377" s="19"/>
      <c r="AB377" s="19"/>
      <c r="AC377" s="17"/>
      <c r="AE377" s="111"/>
      <c r="AF377" s="111"/>
      <c r="AG377" s="111"/>
      <c r="AH377" s="112"/>
      <c r="AI377" s="113"/>
      <c r="AK377" s="111"/>
      <c r="AL377" s="111"/>
      <c r="AM377" s="111"/>
      <c r="AN377" s="112"/>
      <c r="AO377" s="113"/>
      <c r="AQ377" s="17"/>
      <c r="AR377" s="17"/>
      <c r="AS377" s="17"/>
      <c r="AT377" s="18">
        <f t="shared" si="425"/>
        <v>1</v>
      </c>
      <c r="AU377" s="19">
        <f t="shared" ref="AU377:AU379" si="431">IF(AT$379=0,0,AT377/AT$379)</f>
        <v>0.33333333333333331</v>
      </c>
      <c r="AW377" s="17"/>
      <c r="AX377" s="17"/>
      <c r="AY377" s="17"/>
      <c r="AZ377" s="18">
        <f t="shared" si="426"/>
        <v>8</v>
      </c>
      <c r="BA377" s="19">
        <f t="shared" ref="BA377:BA379" si="432">IF(AZ$379=0,0,AZ377/AZ$379)</f>
        <v>0.66666666666666663</v>
      </c>
    </row>
    <row r="378" spans="1:53" ht="17.100000000000001" customHeight="1" x14ac:dyDescent="0.25">
      <c r="A378" s="40"/>
      <c r="B378" s="40"/>
      <c r="C378" s="74" t="s">
        <v>190</v>
      </c>
      <c r="D378" s="146" t="s">
        <v>494</v>
      </c>
      <c r="E378" s="75"/>
      <c r="F378" s="75"/>
      <c r="G378" s="75"/>
      <c r="H378" s="540"/>
      <c r="I378" s="229"/>
      <c r="J378" s="111"/>
      <c r="K378" s="111"/>
      <c r="L378" s="111"/>
      <c r="M378" s="111"/>
      <c r="N378" s="60"/>
      <c r="O378" s="60">
        <v>1</v>
      </c>
      <c r="P378" s="17">
        <f t="shared" si="427"/>
        <v>1</v>
      </c>
      <c r="Q378" s="60">
        <v>2</v>
      </c>
      <c r="R378" s="60">
        <v>3</v>
      </c>
      <c r="S378" s="17">
        <f t="shared" si="428"/>
        <v>5</v>
      </c>
      <c r="T378" s="60"/>
      <c r="U378" s="60"/>
      <c r="V378" s="359">
        <f t="shared" si="429"/>
        <v>0</v>
      </c>
      <c r="W378" s="391">
        <f t="shared" si="423"/>
        <v>2</v>
      </c>
      <c r="X378" s="17">
        <f t="shared" si="424"/>
        <v>4</v>
      </c>
      <c r="Y378" s="18">
        <f>SUM(W378:X378)</f>
        <v>6</v>
      </c>
      <c r="Z378" s="19">
        <f t="shared" si="430"/>
        <v>0.4</v>
      </c>
      <c r="AA378" s="19"/>
      <c r="AB378" s="19"/>
      <c r="AC378" s="17"/>
      <c r="AE378" s="111"/>
      <c r="AF378" s="111"/>
      <c r="AG378" s="111"/>
      <c r="AH378" s="112"/>
      <c r="AI378" s="113"/>
      <c r="AK378" s="111"/>
      <c r="AL378" s="111"/>
      <c r="AM378" s="111"/>
      <c r="AN378" s="112"/>
      <c r="AO378" s="113"/>
      <c r="AQ378" s="17"/>
      <c r="AR378" s="17"/>
      <c r="AS378" s="17"/>
      <c r="AT378" s="18">
        <f t="shared" si="425"/>
        <v>2</v>
      </c>
      <c r="AU378" s="19">
        <f t="shared" si="431"/>
        <v>0.66666666666666663</v>
      </c>
      <c r="AW378" s="17"/>
      <c r="AX378" s="17"/>
      <c r="AY378" s="17"/>
      <c r="AZ378" s="18">
        <f t="shared" si="426"/>
        <v>4</v>
      </c>
      <c r="BA378" s="19">
        <f t="shared" si="432"/>
        <v>0.33333333333333331</v>
      </c>
    </row>
    <row r="379" spans="1:53" ht="17.100000000000001" customHeight="1" x14ac:dyDescent="0.25">
      <c r="A379" s="40"/>
      <c r="B379" s="40"/>
      <c r="C379" s="77"/>
      <c r="D379" s="134"/>
      <c r="E379" s="134"/>
      <c r="F379" s="134"/>
      <c r="G379" s="134"/>
      <c r="H379" s="540"/>
      <c r="I379" s="229"/>
      <c r="J379" s="64"/>
      <c r="K379" s="64"/>
      <c r="L379" s="81"/>
      <c r="M379" s="81"/>
      <c r="N379" s="81">
        <f>SUM(N376:N378)</f>
        <v>0</v>
      </c>
      <c r="O379" s="81">
        <f t="shared" ref="O379:V379" si="433">SUM(O376:O378)</f>
        <v>8</v>
      </c>
      <c r="P379" s="81">
        <f t="shared" si="433"/>
        <v>8</v>
      </c>
      <c r="Q379" s="81">
        <f t="shared" si="433"/>
        <v>3</v>
      </c>
      <c r="R379" s="81">
        <f t="shared" si="433"/>
        <v>4</v>
      </c>
      <c r="S379" s="81">
        <f t="shared" si="433"/>
        <v>7</v>
      </c>
      <c r="T379" s="81">
        <f t="shared" si="433"/>
        <v>0</v>
      </c>
      <c r="U379" s="81">
        <f t="shared" si="433"/>
        <v>0</v>
      </c>
      <c r="V379" s="81">
        <f t="shared" si="433"/>
        <v>0</v>
      </c>
      <c r="W379" s="381">
        <f>SUM(W376:W378)</f>
        <v>3</v>
      </c>
      <c r="X379" s="82">
        <f t="shared" ref="X379:Y379" si="434">SUM(X376:X378)</f>
        <v>12</v>
      </c>
      <c r="Y379" s="82">
        <f t="shared" si="434"/>
        <v>15</v>
      </c>
      <c r="Z379" s="205">
        <f t="shared" si="430"/>
        <v>1</v>
      </c>
      <c r="AA379" s="205"/>
      <c r="AB379" s="205"/>
      <c r="AC379" s="83"/>
      <c r="AE379" s="80"/>
      <c r="AF379" s="80"/>
      <c r="AG379" s="81"/>
      <c r="AH379" s="82"/>
      <c r="AI379" s="66"/>
      <c r="AK379" s="80"/>
      <c r="AL379" s="80"/>
      <c r="AM379" s="81"/>
      <c r="AN379" s="82"/>
      <c r="AO379" s="66"/>
      <c r="AQ379" s="80"/>
      <c r="AR379" s="80"/>
      <c r="AS379" s="81"/>
      <c r="AT379" s="82">
        <f>SUM(AT376:AT378)</f>
        <v>3</v>
      </c>
      <c r="AU379" s="66">
        <f t="shared" si="431"/>
        <v>1</v>
      </c>
      <c r="AW379" s="80"/>
      <c r="AX379" s="80"/>
      <c r="AY379" s="81"/>
      <c r="AZ379" s="82">
        <f>SUM(AZ376:AZ378)</f>
        <v>12</v>
      </c>
      <c r="BA379" s="66">
        <f t="shared" si="432"/>
        <v>1</v>
      </c>
    </row>
    <row r="380" spans="1:53" s="117" customFormat="1" ht="17.100000000000001" customHeight="1" x14ac:dyDescent="0.25">
      <c r="A380" s="68"/>
      <c r="B380" s="119"/>
      <c r="C380" s="540"/>
      <c r="D380" s="261"/>
      <c r="E380" s="261"/>
      <c r="F380" s="68"/>
      <c r="G380" s="68"/>
      <c r="H380" s="119"/>
      <c r="I380" s="138"/>
      <c r="J380" s="17"/>
      <c r="K380" s="17"/>
      <c r="L380" s="17"/>
      <c r="M380" s="17"/>
      <c r="N380" s="17" t="str">
        <f>IF(N379=N$20,"OK","NOK")</f>
        <v>OK</v>
      </c>
      <c r="O380" s="17" t="str">
        <f>IF(O379=O$20,"OK","NOK")</f>
        <v>OK</v>
      </c>
      <c r="P380" s="17"/>
      <c r="Q380" s="17" t="str">
        <f>IF(Q379=Q$20,"OK","NOK")</f>
        <v>OK</v>
      </c>
      <c r="R380" s="17" t="str">
        <f>IF(R379=R$20,"OK","NOK")</f>
        <v>OK</v>
      </c>
      <c r="S380" s="17"/>
      <c r="T380" s="17" t="str">
        <f>IF(T379=T$20,"OK","NOK")</f>
        <v>OK</v>
      </c>
      <c r="U380" s="17" t="str">
        <f>IF(U379=U$20,"OK","NOK")</f>
        <v>OK</v>
      </c>
      <c r="V380" s="359"/>
      <c r="W380" s="382"/>
      <c r="X380" s="539"/>
      <c r="Y380" s="539"/>
      <c r="Z380" s="201"/>
      <c r="AA380" s="201"/>
      <c r="AB380" s="201"/>
      <c r="AC380" s="84"/>
      <c r="AE380" s="46"/>
      <c r="AF380" s="46"/>
      <c r="AG380" s="17"/>
      <c r="AH380" s="539"/>
      <c r="AI380" s="91"/>
      <c r="AK380" s="46"/>
      <c r="AL380" s="46"/>
      <c r="AM380" s="17"/>
      <c r="AN380" s="539"/>
      <c r="AO380" s="91"/>
      <c r="AQ380" s="46"/>
      <c r="AR380" s="46"/>
      <c r="AS380" s="17"/>
      <c r="AT380" s="539"/>
      <c r="AU380" s="91"/>
      <c r="AW380" s="46"/>
      <c r="AX380" s="46"/>
      <c r="AY380" s="17"/>
      <c r="AZ380" s="539"/>
      <c r="BA380" s="91"/>
    </row>
    <row r="381" spans="1:53" ht="17.100000000000001" customHeight="1" x14ac:dyDescent="0.25">
      <c r="A381" s="40"/>
      <c r="B381" s="40"/>
      <c r="C381" s="40"/>
      <c r="D381" s="146" t="s">
        <v>472</v>
      </c>
      <c r="E381" s="75"/>
      <c r="F381" s="75"/>
      <c r="G381" s="75"/>
      <c r="H381" s="74"/>
      <c r="I381" s="229"/>
      <c r="J381" s="174"/>
      <c r="K381" s="174"/>
      <c r="L381" s="111"/>
      <c r="M381" s="111"/>
      <c r="N381" s="111"/>
      <c r="O381" s="111"/>
      <c r="P381" s="111"/>
      <c r="Q381" s="111"/>
      <c r="R381" s="111"/>
      <c r="S381" s="111"/>
      <c r="T381" s="111"/>
      <c r="U381" s="111"/>
      <c r="V381" s="358"/>
      <c r="W381" s="385"/>
      <c r="X381" s="545"/>
      <c r="Y381" s="545"/>
      <c r="Z381" s="172"/>
      <c r="AA381" s="172"/>
      <c r="AB381" s="172"/>
      <c r="AC381" s="113"/>
      <c r="AE381" s="152"/>
      <c r="AF381" s="152"/>
      <c r="AG381" s="111"/>
      <c r="AH381" s="545"/>
      <c r="AI381" s="131"/>
      <c r="AK381" s="152"/>
      <c r="AL381" s="152"/>
      <c r="AM381" s="111"/>
      <c r="AN381" s="545"/>
      <c r="AO381" s="131"/>
      <c r="AQ381" s="152"/>
      <c r="AR381" s="152"/>
      <c r="AS381" s="111"/>
      <c r="AT381" s="545"/>
      <c r="AU381" s="131"/>
      <c r="AW381" s="152"/>
      <c r="AX381" s="152"/>
      <c r="AY381" s="111"/>
      <c r="AZ381" s="545"/>
      <c r="BA381" s="131"/>
    </row>
    <row r="382" spans="1:53" ht="17.100000000000001" customHeight="1" x14ac:dyDescent="0.25">
      <c r="A382" s="40"/>
      <c r="B382" s="40"/>
      <c r="C382" s="40"/>
      <c r="D382" s="74" t="s">
        <v>191</v>
      </c>
      <c r="E382" s="1398" t="s">
        <v>471</v>
      </c>
      <c r="F382" s="1399"/>
      <c r="G382" s="1399"/>
      <c r="H382" s="242"/>
      <c r="I382" s="230"/>
      <c r="J382" s="111"/>
      <c r="K382" s="111"/>
      <c r="L382" s="111"/>
      <c r="M382" s="111"/>
      <c r="N382" s="60"/>
      <c r="O382" s="60"/>
      <c r="P382" s="17">
        <f>SUM(N382:O382)</f>
        <v>0</v>
      </c>
      <c r="Q382" s="60"/>
      <c r="R382" s="60"/>
      <c r="S382" s="17">
        <f>SUM(Q382:R382)</f>
        <v>0</v>
      </c>
      <c r="T382" s="60"/>
      <c r="U382" s="60"/>
      <c r="V382" s="359">
        <f>SUM(T382:U382)</f>
        <v>0</v>
      </c>
      <c r="W382" s="391">
        <f t="shared" ref="W382:W395" si="435">J382+K382+N382+Q382+T382</f>
        <v>0</v>
      </c>
      <c r="X382" s="17">
        <f t="shared" ref="X382:X395" si="436">L382+O382+R382+U382</f>
        <v>0</v>
      </c>
      <c r="Y382" s="18">
        <f t="shared" ref="Y382:Y395" si="437">SUM(W382:X382)</f>
        <v>0</v>
      </c>
      <c r="Z382" s="19">
        <f t="shared" ref="Z382:Z395" si="438">IF(Y$400=0,0,Y382/Y$400)</f>
        <v>0</v>
      </c>
      <c r="AA382" s="19"/>
      <c r="AB382" s="19"/>
      <c r="AC382" s="20"/>
      <c r="AE382" s="111"/>
      <c r="AF382" s="111"/>
      <c r="AG382" s="111"/>
      <c r="AH382" s="112"/>
      <c r="AI382" s="113"/>
      <c r="AK382" s="111"/>
      <c r="AL382" s="111"/>
      <c r="AM382" s="111"/>
      <c r="AN382" s="112"/>
      <c r="AO382" s="113"/>
      <c r="AQ382" s="17"/>
      <c r="AR382" s="17"/>
      <c r="AS382" s="17"/>
      <c r="AT382" s="18">
        <f t="shared" ref="AT382:AT395" si="439">W382</f>
        <v>0</v>
      </c>
      <c r="AU382" s="19">
        <f t="shared" ref="AU382:AU395" si="440">IF(AT$400=0,0,AT382/AT$400)</f>
        <v>0</v>
      </c>
      <c r="AW382" s="17"/>
      <c r="AX382" s="17"/>
      <c r="AY382" s="17"/>
      <c r="AZ382" s="18">
        <f t="shared" ref="AZ382:AZ395" si="441">X382</f>
        <v>0</v>
      </c>
      <c r="BA382" s="19">
        <f t="shared" ref="BA382:BA395" si="442">IF(AZ$400=0,0,AZ382/AZ$400)</f>
        <v>0</v>
      </c>
    </row>
    <row r="383" spans="1:53" ht="17.100000000000001" customHeight="1" x14ac:dyDescent="0.25">
      <c r="A383" s="40"/>
      <c r="B383" s="40"/>
      <c r="C383" s="40"/>
      <c r="D383" s="74" t="s">
        <v>192</v>
      </c>
      <c r="E383" s="75" t="s">
        <v>462</v>
      </c>
      <c r="F383" s="75"/>
      <c r="G383" s="75"/>
      <c r="H383" s="540"/>
      <c r="I383" s="229"/>
      <c r="J383" s="111"/>
      <c r="K383" s="111"/>
      <c r="L383" s="111"/>
      <c r="M383" s="111"/>
      <c r="N383" s="61"/>
      <c r="O383" s="61"/>
      <c r="P383" s="17">
        <f t="shared" ref="P383:P395" si="443">SUM(N383:O383)</f>
        <v>0</v>
      </c>
      <c r="Q383" s="61"/>
      <c r="R383" s="61"/>
      <c r="S383" s="17">
        <f t="shared" ref="S383:S395" si="444">SUM(Q383:R383)</f>
        <v>0</v>
      </c>
      <c r="T383" s="61"/>
      <c r="U383" s="61"/>
      <c r="V383" s="359">
        <f t="shared" ref="V383:V395" si="445">SUM(T383:U383)</f>
        <v>0</v>
      </c>
      <c r="W383" s="391">
        <f t="shared" si="435"/>
        <v>0</v>
      </c>
      <c r="X383" s="17">
        <f t="shared" si="436"/>
        <v>0</v>
      </c>
      <c r="Y383" s="18">
        <f t="shared" si="437"/>
        <v>0</v>
      </c>
      <c r="Z383" s="19">
        <f t="shared" si="438"/>
        <v>0</v>
      </c>
      <c r="AA383" s="19"/>
      <c r="AB383" s="19"/>
      <c r="AC383" s="20"/>
      <c r="AE383" s="111"/>
      <c r="AF383" s="111"/>
      <c r="AG383" s="111"/>
      <c r="AH383" s="112"/>
      <c r="AI383" s="113"/>
      <c r="AK383" s="111"/>
      <c r="AL383" s="111"/>
      <c r="AM383" s="111"/>
      <c r="AN383" s="112"/>
      <c r="AO383" s="113"/>
      <c r="AQ383" s="17"/>
      <c r="AR383" s="17"/>
      <c r="AS383" s="17"/>
      <c r="AT383" s="18">
        <f t="shared" si="439"/>
        <v>0</v>
      </c>
      <c r="AU383" s="19">
        <f t="shared" si="440"/>
        <v>0</v>
      </c>
      <c r="AW383" s="17"/>
      <c r="AX383" s="17"/>
      <c r="AY383" s="17"/>
      <c r="AZ383" s="18">
        <f t="shared" si="441"/>
        <v>0</v>
      </c>
      <c r="BA383" s="19">
        <f t="shared" si="442"/>
        <v>0</v>
      </c>
    </row>
    <row r="384" spans="1:53" ht="17.100000000000001" customHeight="1" x14ac:dyDescent="0.25">
      <c r="A384" s="40"/>
      <c r="B384" s="40"/>
      <c r="C384" s="40"/>
      <c r="D384" s="74" t="s">
        <v>193</v>
      </c>
      <c r="E384" s="1398" t="s">
        <v>463</v>
      </c>
      <c r="F384" s="1399"/>
      <c r="G384" s="1399"/>
      <c r="H384" s="242"/>
      <c r="I384" s="230"/>
      <c r="J384" s="111"/>
      <c r="K384" s="111"/>
      <c r="L384" s="111"/>
      <c r="M384" s="111"/>
      <c r="N384" s="60"/>
      <c r="O384" s="60"/>
      <c r="P384" s="17">
        <f t="shared" si="443"/>
        <v>0</v>
      </c>
      <c r="Q384" s="60"/>
      <c r="R384" s="60">
        <v>1</v>
      </c>
      <c r="S384" s="17">
        <f t="shared" si="444"/>
        <v>1</v>
      </c>
      <c r="T384" s="60"/>
      <c r="U384" s="60"/>
      <c r="V384" s="359">
        <f t="shared" si="445"/>
        <v>0</v>
      </c>
      <c r="W384" s="391">
        <f t="shared" si="435"/>
        <v>0</v>
      </c>
      <c r="X384" s="17">
        <f t="shared" si="436"/>
        <v>1</v>
      </c>
      <c r="Y384" s="18">
        <f t="shared" si="437"/>
        <v>1</v>
      </c>
      <c r="Z384" s="19">
        <f t="shared" si="438"/>
        <v>0.16666666666666666</v>
      </c>
      <c r="AA384" s="19"/>
      <c r="AB384" s="19"/>
      <c r="AC384" s="20"/>
      <c r="AE384" s="111"/>
      <c r="AF384" s="111"/>
      <c r="AG384" s="111"/>
      <c r="AH384" s="112"/>
      <c r="AI384" s="113"/>
      <c r="AK384" s="111"/>
      <c r="AL384" s="111"/>
      <c r="AM384" s="111"/>
      <c r="AN384" s="112"/>
      <c r="AO384" s="113"/>
      <c r="AQ384" s="17"/>
      <c r="AR384" s="17"/>
      <c r="AS384" s="17"/>
      <c r="AT384" s="18">
        <f t="shared" si="439"/>
        <v>0</v>
      </c>
      <c r="AU384" s="19">
        <f t="shared" si="440"/>
        <v>0</v>
      </c>
      <c r="AW384" s="17"/>
      <c r="AX384" s="17"/>
      <c r="AY384" s="17"/>
      <c r="AZ384" s="18">
        <f t="shared" si="441"/>
        <v>1</v>
      </c>
      <c r="BA384" s="19">
        <f t="shared" si="442"/>
        <v>0.25</v>
      </c>
    </row>
    <row r="385" spans="1:53" ht="17.100000000000001" customHeight="1" x14ac:dyDescent="0.25">
      <c r="A385" s="40"/>
      <c r="B385" s="40"/>
      <c r="C385" s="40"/>
      <c r="D385" s="74" t="s">
        <v>194</v>
      </c>
      <c r="E385" s="75" t="s">
        <v>464</v>
      </c>
      <c r="F385" s="75"/>
      <c r="G385" s="75"/>
      <c r="H385" s="540"/>
      <c r="I385" s="229"/>
      <c r="J385" s="111"/>
      <c r="K385" s="111"/>
      <c r="L385" s="111"/>
      <c r="M385" s="111"/>
      <c r="N385" s="61"/>
      <c r="O385" s="61"/>
      <c r="P385" s="17">
        <f t="shared" si="443"/>
        <v>0</v>
      </c>
      <c r="Q385" s="61"/>
      <c r="R385" s="61"/>
      <c r="S385" s="17">
        <f t="shared" si="444"/>
        <v>0</v>
      </c>
      <c r="T385" s="61"/>
      <c r="U385" s="61"/>
      <c r="V385" s="359">
        <f t="shared" si="445"/>
        <v>0</v>
      </c>
      <c r="W385" s="391">
        <f t="shared" si="435"/>
        <v>0</v>
      </c>
      <c r="X385" s="17">
        <f t="shared" si="436"/>
        <v>0</v>
      </c>
      <c r="Y385" s="18">
        <f t="shared" si="437"/>
        <v>0</v>
      </c>
      <c r="Z385" s="19">
        <f t="shared" si="438"/>
        <v>0</v>
      </c>
      <c r="AA385" s="19"/>
      <c r="AB385" s="19"/>
      <c r="AC385" s="20"/>
      <c r="AE385" s="111"/>
      <c r="AF385" s="111"/>
      <c r="AG385" s="111"/>
      <c r="AH385" s="112"/>
      <c r="AI385" s="113"/>
      <c r="AK385" s="111"/>
      <c r="AL385" s="111"/>
      <c r="AM385" s="111"/>
      <c r="AN385" s="112"/>
      <c r="AO385" s="113"/>
      <c r="AQ385" s="17"/>
      <c r="AR385" s="17"/>
      <c r="AS385" s="17"/>
      <c r="AT385" s="18">
        <f t="shared" si="439"/>
        <v>0</v>
      </c>
      <c r="AU385" s="19">
        <f t="shared" si="440"/>
        <v>0</v>
      </c>
      <c r="AW385" s="17"/>
      <c r="AX385" s="17"/>
      <c r="AY385" s="17"/>
      <c r="AZ385" s="18">
        <f t="shared" si="441"/>
        <v>0</v>
      </c>
      <c r="BA385" s="19">
        <f t="shared" si="442"/>
        <v>0</v>
      </c>
    </row>
    <row r="386" spans="1:53" ht="17.100000000000001" customHeight="1" x14ac:dyDescent="0.25">
      <c r="A386" s="40"/>
      <c r="B386" s="40"/>
      <c r="C386" s="40"/>
      <c r="D386" s="74" t="s">
        <v>195</v>
      </c>
      <c r="E386" s="75" t="s">
        <v>465</v>
      </c>
      <c r="F386" s="75"/>
      <c r="G386" s="75"/>
      <c r="H386" s="540"/>
      <c r="I386" s="229"/>
      <c r="J386" s="111"/>
      <c r="K386" s="111"/>
      <c r="L386" s="111"/>
      <c r="M386" s="111"/>
      <c r="N386" s="60"/>
      <c r="O386" s="60"/>
      <c r="P386" s="17">
        <f t="shared" si="443"/>
        <v>0</v>
      </c>
      <c r="Q386" s="60"/>
      <c r="R386" s="60"/>
      <c r="S386" s="17">
        <f t="shared" si="444"/>
        <v>0</v>
      </c>
      <c r="T386" s="60"/>
      <c r="U386" s="60"/>
      <c r="V386" s="359">
        <f t="shared" si="445"/>
        <v>0</v>
      </c>
      <c r="W386" s="391">
        <f t="shared" si="435"/>
        <v>0</v>
      </c>
      <c r="X386" s="17">
        <f t="shared" si="436"/>
        <v>0</v>
      </c>
      <c r="Y386" s="18">
        <f t="shared" si="437"/>
        <v>0</v>
      </c>
      <c r="Z386" s="19">
        <f t="shared" si="438"/>
        <v>0</v>
      </c>
      <c r="AA386" s="19"/>
      <c r="AB386" s="19"/>
      <c r="AC386" s="20"/>
      <c r="AE386" s="111"/>
      <c r="AF386" s="111"/>
      <c r="AG386" s="111"/>
      <c r="AH386" s="112"/>
      <c r="AI386" s="113"/>
      <c r="AK386" s="111"/>
      <c r="AL386" s="111"/>
      <c r="AM386" s="111"/>
      <c r="AN386" s="112"/>
      <c r="AO386" s="113"/>
      <c r="AQ386" s="17"/>
      <c r="AR386" s="17"/>
      <c r="AS386" s="17"/>
      <c r="AT386" s="18">
        <f t="shared" si="439"/>
        <v>0</v>
      </c>
      <c r="AU386" s="19">
        <f t="shared" si="440"/>
        <v>0</v>
      </c>
      <c r="AW386" s="17"/>
      <c r="AX386" s="17"/>
      <c r="AY386" s="17"/>
      <c r="AZ386" s="18">
        <f t="shared" si="441"/>
        <v>0</v>
      </c>
      <c r="BA386" s="19">
        <f t="shared" si="442"/>
        <v>0</v>
      </c>
    </row>
    <row r="387" spans="1:53" ht="17.100000000000001" customHeight="1" x14ac:dyDescent="0.25">
      <c r="A387" s="40"/>
      <c r="B387" s="40"/>
      <c r="C387" s="40"/>
      <c r="D387" s="74" t="s">
        <v>196</v>
      </c>
      <c r="E387" s="75" t="s">
        <v>466</v>
      </c>
      <c r="F387" s="75"/>
      <c r="G387" s="75"/>
      <c r="H387" s="540"/>
      <c r="I387" s="229"/>
      <c r="J387" s="111"/>
      <c r="K387" s="111"/>
      <c r="L387" s="111"/>
      <c r="M387" s="111"/>
      <c r="N387" s="61"/>
      <c r="O387" s="61"/>
      <c r="P387" s="17">
        <f t="shared" si="443"/>
        <v>0</v>
      </c>
      <c r="Q387" s="61"/>
      <c r="R387" s="61"/>
      <c r="S387" s="17">
        <f t="shared" si="444"/>
        <v>0</v>
      </c>
      <c r="T387" s="61"/>
      <c r="U387" s="61"/>
      <c r="V387" s="359">
        <f t="shared" si="445"/>
        <v>0</v>
      </c>
      <c r="W387" s="391">
        <f t="shared" si="435"/>
        <v>0</v>
      </c>
      <c r="X387" s="17">
        <f t="shared" si="436"/>
        <v>0</v>
      </c>
      <c r="Y387" s="18">
        <f t="shared" si="437"/>
        <v>0</v>
      </c>
      <c r="Z387" s="19">
        <f t="shared" si="438"/>
        <v>0</v>
      </c>
      <c r="AA387" s="19"/>
      <c r="AB387" s="19"/>
      <c r="AC387" s="20"/>
      <c r="AE387" s="111"/>
      <c r="AF387" s="111"/>
      <c r="AG387" s="111"/>
      <c r="AH387" s="112"/>
      <c r="AI387" s="113"/>
      <c r="AK387" s="111"/>
      <c r="AL387" s="111"/>
      <c r="AM387" s="111"/>
      <c r="AN387" s="112"/>
      <c r="AO387" s="113"/>
      <c r="AQ387" s="17"/>
      <c r="AR387" s="17"/>
      <c r="AS387" s="17"/>
      <c r="AT387" s="18">
        <f t="shared" si="439"/>
        <v>0</v>
      </c>
      <c r="AU387" s="19">
        <f t="shared" si="440"/>
        <v>0</v>
      </c>
      <c r="AW387" s="17"/>
      <c r="AX387" s="17"/>
      <c r="AY387" s="17"/>
      <c r="AZ387" s="18">
        <f t="shared" si="441"/>
        <v>0</v>
      </c>
      <c r="BA387" s="19">
        <f t="shared" si="442"/>
        <v>0</v>
      </c>
    </row>
    <row r="388" spans="1:53" ht="17.100000000000001" customHeight="1" x14ac:dyDescent="0.25">
      <c r="A388" s="40"/>
      <c r="B388" s="40"/>
      <c r="C388" s="40"/>
      <c r="D388" s="74" t="s">
        <v>197</v>
      </c>
      <c r="E388" s="75" t="s">
        <v>467</v>
      </c>
      <c r="F388" s="75"/>
      <c r="G388" s="75"/>
      <c r="H388" s="540"/>
      <c r="I388" s="229"/>
      <c r="J388" s="111"/>
      <c r="K388" s="111"/>
      <c r="L388" s="111"/>
      <c r="M388" s="111"/>
      <c r="N388" s="60"/>
      <c r="O388" s="60"/>
      <c r="P388" s="17">
        <f t="shared" si="443"/>
        <v>0</v>
      </c>
      <c r="Q388" s="60"/>
      <c r="R388" s="60"/>
      <c r="S388" s="17">
        <f t="shared" si="444"/>
        <v>0</v>
      </c>
      <c r="T388" s="60"/>
      <c r="U388" s="60"/>
      <c r="V388" s="359">
        <f t="shared" si="445"/>
        <v>0</v>
      </c>
      <c r="W388" s="391">
        <f t="shared" si="435"/>
        <v>0</v>
      </c>
      <c r="X388" s="17">
        <f t="shared" si="436"/>
        <v>0</v>
      </c>
      <c r="Y388" s="18">
        <f t="shared" si="437"/>
        <v>0</v>
      </c>
      <c r="Z388" s="19">
        <f t="shared" si="438"/>
        <v>0</v>
      </c>
      <c r="AA388" s="19"/>
      <c r="AB388" s="19"/>
      <c r="AC388" s="20"/>
      <c r="AE388" s="111"/>
      <c r="AF388" s="111"/>
      <c r="AG388" s="111"/>
      <c r="AH388" s="112"/>
      <c r="AI388" s="113"/>
      <c r="AK388" s="111"/>
      <c r="AL388" s="111"/>
      <c r="AM388" s="111"/>
      <c r="AN388" s="112"/>
      <c r="AO388" s="113"/>
      <c r="AQ388" s="17"/>
      <c r="AR388" s="17"/>
      <c r="AS388" s="17"/>
      <c r="AT388" s="18">
        <f t="shared" si="439"/>
        <v>0</v>
      </c>
      <c r="AU388" s="19">
        <f t="shared" si="440"/>
        <v>0</v>
      </c>
      <c r="AW388" s="17"/>
      <c r="AX388" s="17"/>
      <c r="AY388" s="17"/>
      <c r="AZ388" s="18">
        <f t="shared" si="441"/>
        <v>0</v>
      </c>
      <c r="BA388" s="19">
        <f t="shared" si="442"/>
        <v>0</v>
      </c>
    </row>
    <row r="389" spans="1:53" ht="17.100000000000001" customHeight="1" x14ac:dyDescent="0.25">
      <c r="A389" s="40"/>
      <c r="B389" s="40"/>
      <c r="C389" s="40"/>
      <c r="D389" s="74" t="s">
        <v>199</v>
      </c>
      <c r="E389" s="75" t="s">
        <v>749</v>
      </c>
      <c r="F389" s="75"/>
      <c r="G389" s="75"/>
      <c r="H389" s="540"/>
      <c r="I389" s="229"/>
      <c r="J389" s="111"/>
      <c r="K389" s="111"/>
      <c r="L389" s="111"/>
      <c r="M389" s="111"/>
      <c r="N389" s="61"/>
      <c r="O389" s="61"/>
      <c r="P389" s="17">
        <f t="shared" si="443"/>
        <v>0</v>
      </c>
      <c r="Q389" s="61"/>
      <c r="R389" s="61"/>
      <c r="S389" s="17">
        <f t="shared" si="444"/>
        <v>0</v>
      </c>
      <c r="T389" s="61"/>
      <c r="U389" s="61"/>
      <c r="V389" s="359">
        <f t="shared" si="445"/>
        <v>0</v>
      </c>
      <c r="W389" s="391">
        <f t="shared" si="435"/>
        <v>0</v>
      </c>
      <c r="X389" s="17">
        <f t="shared" si="436"/>
        <v>0</v>
      </c>
      <c r="Y389" s="18">
        <f t="shared" si="437"/>
        <v>0</v>
      </c>
      <c r="Z389" s="19">
        <f t="shared" si="438"/>
        <v>0</v>
      </c>
      <c r="AA389" s="19"/>
      <c r="AB389" s="19"/>
      <c r="AC389" s="20"/>
      <c r="AE389" s="111"/>
      <c r="AF389" s="111"/>
      <c r="AG389" s="111"/>
      <c r="AH389" s="112"/>
      <c r="AI389" s="113"/>
      <c r="AK389" s="111"/>
      <c r="AL389" s="111"/>
      <c r="AM389" s="111"/>
      <c r="AN389" s="112"/>
      <c r="AO389" s="113"/>
      <c r="AQ389" s="17"/>
      <c r="AR389" s="17"/>
      <c r="AS389" s="17"/>
      <c r="AT389" s="18">
        <f t="shared" si="439"/>
        <v>0</v>
      </c>
      <c r="AU389" s="19">
        <f t="shared" si="440"/>
        <v>0</v>
      </c>
      <c r="AW389" s="17"/>
      <c r="AX389" s="17"/>
      <c r="AY389" s="17"/>
      <c r="AZ389" s="18">
        <f t="shared" si="441"/>
        <v>0</v>
      </c>
      <c r="BA389" s="19">
        <f t="shared" si="442"/>
        <v>0</v>
      </c>
    </row>
    <row r="390" spans="1:53" ht="17.100000000000001" customHeight="1" x14ac:dyDescent="0.25">
      <c r="A390" s="40"/>
      <c r="B390" s="40"/>
      <c r="C390" s="40"/>
      <c r="D390" s="74" t="s">
        <v>200</v>
      </c>
      <c r="E390" s="75" t="s">
        <v>468</v>
      </c>
      <c r="F390" s="75"/>
      <c r="G390" s="75"/>
      <c r="H390" s="540"/>
      <c r="I390" s="229"/>
      <c r="J390" s="111"/>
      <c r="K390" s="111"/>
      <c r="L390" s="111"/>
      <c r="M390" s="111"/>
      <c r="N390" s="60"/>
      <c r="O390" s="60">
        <v>1</v>
      </c>
      <c r="P390" s="17">
        <f t="shared" si="443"/>
        <v>1</v>
      </c>
      <c r="Q390" s="60"/>
      <c r="R390" s="60"/>
      <c r="S390" s="17">
        <f t="shared" si="444"/>
        <v>0</v>
      </c>
      <c r="T390" s="60"/>
      <c r="U390" s="60"/>
      <c r="V390" s="359">
        <f t="shared" si="445"/>
        <v>0</v>
      </c>
      <c r="W390" s="391">
        <f t="shared" si="435"/>
        <v>0</v>
      </c>
      <c r="X390" s="17">
        <f t="shared" si="436"/>
        <v>1</v>
      </c>
      <c r="Y390" s="18">
        <f t="shared" si="437"/>
        <v>1</v>
      </c>
      <c r="Z390" s="19">
        <f t="shared" si="438"/>
        <v>0.16666666666666666</v>
      </c>
      <c r="AA390" s="19"/>
      <c r="AB390" s="19"/>
      <c r="AC390" s="20"/>
      <c r="AE390" s="111"/>
      <c r="AF390" s="111"/>
      <c r="AG390" s="111"/>
      <c r="AH390" s="112"/>
      <c r="AI390" s="113"/>
      <c r="AK390" s="111"/>
      <c r="AL390" s="111"/>
      <c r="AM390" s="111"/>
      <c r="AN390" s="112"/>
      <c r="AO390" s="113"/>
      <c r="AQ390" s="17"/>
      <c r="AR390" s="17"/>
      <c r="AS390" s="17"/>
      <c r="AT390" s="18">
        <f t="shared" si="439"/>
        <v>0</v>
      </c>
      <c r="AU390" s="19">
        <f t="shared" si="440"/>
        <v>0</v>
      </c>
      <c r="AW390" s="17"/>
      <c r="AX390" s="17"/>
      <c r="AY390" s="17"/>
      <c r="AZ390" s="18">
        <f t="shared" si="441"/>
        <v>1</v>
      </c>
      <c r="BA390" s="19">
        <f t="shared" si="442"/>
        <v>0.25</v>
      </c>
    </row>
    <row r="391" spans="1:53" ht="17.100000000000001" customHeight="1" x14ac:dyDescent="0.25">
      <c r="A391" s="40"/>
      <c r="B391" s="40"/>
      <c r="C391" s="40"/>
      <c r="D391" s="74" t="s">
        <v>201</v>
      </c>
      <c r="E391" s="75" t="s">
        <v>469</v>
      </c>
      <c r="F391" s="75"/>
      <c r="G391" s="75"/>
      <c r="H391" s="540"/>
      <c r="I391" s="229"/>
      <c r="J391" s="111"/>
      <c r="K391" s="111"/>
      <c r="L391" s="111"/>
      <c r="M391" s="111"/>
      <c r="N391" s="61"/>
      <c r="O391" s="61"/>
      <c r="P391" s="17">
        <f t="shared" si="443"/>
        <v>0</v>
      </c>
      <c r="Q391" s="61"/>
      <c r="R391" s="61"/>
      <c r="S391" s="17">
        <f t="shared" si="444"/>
        <v>0</v>
      </c>
      <c r="T391" s="61"/>
      <c r="U391" s="61"/>
      <c r="V391" s="359">
        <f t="shared" si="445"/>
        <v>0</v>
      </c>
      <c r="W391" s="391">
        <f t="shared" si="435"/>
        <v>0</v>
      </c>
      <c r="X391" s="17">
        <f t="shared" si="436"/>
        <v>0</v>
      </c>
      <c r="Y391" s="18">
        <f t="shared" si="437"/>
        <v>0</v>
      </c>
      <c r="Z391" s="19">
        <f t="shared" si="438"/>
        <v>0</v>
      </c>
      <c r="AA391" s="19"/>
      <c r="AB391" s="19"/>
      <c r="AC391" s="20"/>
      <c r="AE391" s="111"/>
      <c r="AF391" s="111"/>
      <c r="AG391" s="111"/>
      <c r="AH391" s="112"/>
      <c r="AI391" s="113"/>
      <c r="AK391" s="111"/>
      <c r="AL391" s="111"/>
      <c r="AM391" s="111"/>
      <c r="AN391" s="112"/>
      <c r="AO391" s="113"/>
      <c r="AQ391" s="17"/>
      <c r="AR391" s="17"/>
      <c r="AS391" s="17"/>
      <c r="AT391" s="18">
        <f t="shared" si="439"/>
        <v>0</v>
      </c>
      <c r="AU391" s="19">
        <f t="shared" si="440"/>
        <v>0</v>
      </c>
      <c r="AW391" s="17"/>
      <c r="AX391" s="17"/>
      <c r="AY391" s="17"/>
      <c r="AZ391" s="18">
        <f t="shared" si="441"/>
        <v>0</v>
      </c>
      <c r="BA391" s="19">
        <f t="shared" si="442"/>
        <v>0</v>
      </c>
    </row>
    <row r="392" spans="1:53" ht="17.100000000000001" customHeight="1" x14ac:dyDescent="0.25">
      <c r="A392" s="40"/>
      <c r="B392" s="40"/>
      <c r="C392" s="40"/>
      <c r="D392" s="74" t="s">
        <v>202</v>
      </c>
      <c r="E392" s="75" t="s">
        <v>750</v>
      </c>
      <c r="F392" s="75"/>
      <c r="G392" s="75"/>
      <c r="H392" s="540"/>
      <c r="I392" s="229"/>
      <c r="J392" s="111"/>
      <c r="K392" s="111"/>
      <c r="L392" s="111"/>
      <c r="M392" s="111"/>
      <c r="N392" s="60"/>
      <c r="O392" s="60"/>
      <c r="P392" s="17">
        <f t="shared" si="443"/>
        <v>0</v>
      </c>
      <c r="Q392" s="60"/>
      <c r="R392" s="60">
        <v>1</v>
      </c>
      <c r="S392" s="17">
        <f t="shared" si="444"/>
        <v>1</v>
      </c>
      <c r="T392" s="60"/>
      <c r="U392" s="60"/>
      <c r="V392" s="359">
        <f t="shared" si="445"/>
        <v>0</v>
      </c>
      <c r="W392" s="391">
        <f t="shared" si="435"/>
        <v>0</v>
      </c>
      <c r="X392" s="17">
        <f t="shared" si="436"/>
        <v>1</v>
      </c>
      <c r="Y392" s="18">
        <f t="shared" si="437"/>
        <v>1</v>
      </c>
      <c r="Z392" s="19">
        <f t="shared" si="438"/>
        <v>0.16666666666666666</v>
      </c>
      <c r="AA392" s="19"/>
      <c r="AB392" s="19"/>
      <c r="AC392" s="20"/>
      <c r="AE392" s="111"/>
      <c r="AF392" s="111"/>
      <c r="AG392" s="111"/>
      <c r="AH392" s="112"/>
      <c r="AI392" s="113"/>
      <c r="AK392" s="111"/>
      <c r="AL392" s="111"/>
      <c r="AM392" s="111"/>
      <c r="AN392" s="112"/>
      <c r="AO392" s="113"/>
      <c r="AQ392" s="17"/>
      <c r="AR392" s="17"/>
      <c r="AS392" s="17"/>
      <c r="AT392" s="18">
        <f t="shared" si="439"/>
        <v>0</v>
      </c>
      <c r="AU392" s="19">
        <f t="shared" si="440"/>
        <v>0</v>
      </c>
      <c r="AW392" s="17"/>
      <c r="AX392" s="17"/>
      <c r="AY392" s="17"/>
      <c r="AZ392" s="18">
        <f t="shared" si="441"/>
        <v>1</v>
      </c>
      <c r="BA392" s="19">
        <f t="shared" si="442"/>
        <v>0.25</v>
      </c>
    </row>
    <row r="393" spans="1:53" ht="17.100000000000001" customHeight="1" x14ac:dyDescent="0.25">
      <c r="A393" s="40"/>
      <c r="B393" s="40"/>
      <c r="C393" s="40"/>
      <c r="D393" s="74" t="s">
        <v>203</v>
      </c>
      <c r="E393" s="75" t="s">
        <v>198</v>
      </c>
      <c r="F393" s="75"/>
      <c r="G393" s="75"/>
      <c r="H393" s="540"/>
      <c r="I393" s="229"/>
      <c r="J393" s="111"/>
      <c r="K393" s="111"/>
      <c r="L393" s="111"/>
      <c r="M393" s="111"/>
      <c r="N393" s="61"/>
      <c r="O393" s="61"/>
      <c r="P393" s="17">
        <f t="shared" si="443"/>
        <v>0</v>
      </c>
      <c r="Q393" s="61">
        <v>2</v>
      </c>
      <c r="R393" s="61">
        <v>1</v>
      </c>
      <c r="S393" s="17">
        <f t="shared" si="444"/>
        <v>3</v>
      </c>
      <c r="T393" s="61"/>
      <c r="U393" s="61"/>
      <c r="V393" s="359">
        <f t="shared" si="445"/>
        <v>0</v>
      </c>
      <c r="W393" s="391">
        <f t="shared" si="435"/>
        <v>2</v>
      </c>
      <c r="X393" s="17">
        <f t="shared" si="436"/>
        <v>1</v>
      </c>
      <c r="Y393" s="18">
        <f t="shared" si="437"/>
        <v>3</v>
      </c>
      <c r="Z393" s="19">
        <f t="shared" si="438"/>
        <v>0.5</v>
      </c>
      <c r="AA393" s="19"/>
      <c r="AB393" s="19"/>
      <c r="AC393" s="20"/>
      <c r="AE393" s="111"/>
      <c r="AF393" s="111"/>
      <c r="AG393" s="111"/>
      <c r="AH393" s="112"/>
      <c r="AI393" s="113"/>
      <c r="AK393" s="111"/>
      <c r="AL393" s="111"/>
      <c r="AM393" s="111"/>
      <c r="AN393" s="112"/>
      <c r="AO393" s="113"/>
      <c r="AQ393" s="17"/>
      <c r="AR393" s="17"/>
      <c r="AS393" s="17"/>
      <c r="AT393" s="18">
        <f t="shared" si="439"/>
        <v>2</v>
      </c>
      <c r="AU393" s="19">
        <f t="shared" si="440"/>
        <v>1</v>
      </c>
      <c r="AW393" s="17"/>
      <c r="AX393" s="17"/>
      <c r="AY393" s="17"/>
      <c r="AZ393" s="18">
        <f t="shared" si="441"/>
        <v>1</v>
      </c>
      <c r="BA393" s="19">
        <f t="shared" si="442"/>
        <v>0.25</v>
      </c>
    </row>
    <row r="394" spans="1:53" ht="17.100000000000001" customHeight="1" x14ac:dyDescent="0.25">
      <c r="A394" s="40"/>
      <c r="B394" s="40"/>
      <c r="C394" s="40"/>
      <c r="D394" s="74" t="s">
        <v>204</v>
      </c>
      <c r="E394" s="75" t="s">
        <v>470</v>
      </c>
      <c r="F394" s="75"/>
      <c r="G394" s="75"/>
      <c r="H394" s="540"/>
      <c r="I394" s="229"/>
      <c r="J394" s="111"/>
      <c r="K394" s="111"/>
      <c r="L394" s="111"/>
      <c r="M394" s="111"/>
      <c r="N394" s="60"/>
      <c r="O394" s="60"/>
      <c r="P394" s="17">
        <f t="shared" si="443"/>
        <v>0</v>
      </c>
      <c r="Q394" s="61"/>
      <c r="R394" s="61"/>
      <c r="S394" s="17">
        <f t="shared" si="444"/>
        <v>0</v>
      </c>
      <c r="T394" s="61"/>
      <c r="U394" s="61"/>
      <c r="V394" s="359">
        <f t="shared" si="445"/>
        <v>0</v>
      </c>
      <c r="W394" s="391">
        <f t="shared" si="435"/>
        <v>0</v>
      </c>
      <c r="X394" s="17">
        <f t="shared" si="436"/>
        <v>0</v>
      </c>
      <c r="Y394" s="18">
        <f t="shared" si="437"/>
        <v>0</v>
      </c>
      <c r="Z394" s="19">
        <f t="shared" si="438"/>
        <v>0</v>
      </c>
      <c r="AA394" s="19"/>
      <c r="AB394" s="19"/>
      <c r="AC394" s="20"/>
      <c r="AE394" s="111"/>
      <c r="AF394" s="111"/>
      <c r="AG394" s="111"/>
      <c r="AH394" s="112"/>
      <c r="AI394" s="113"/>
      <c r="AK394" s="111"/>
      <c r="AL394" s="111"/>
      <c r="AM394" s="111"/>
      <c r="AN394" s="112"/>
      <c r="AO394" s="113"/>
      <c r="AQ394" s="17"/>
      <c r="AR394" s="17"/>
      <c r="AS394" s="17"/>
      <c r="AT394" s="18">
        <f t="shared" si="439"/>
        <v>0</v>
      </c>
      <c r="AU394" s="19">
        <f t="shared" si="440"/>
        <v>0</v>
      </c>
      <c r="AW394" s="17"/>
      <c r="AX394" s="17"/>
      <c r="AY394" s="17"/>
      <c r="AZ394" s="18">
        <f t="shared" si="441"/>
        <v>0</v>
      </c>
      <c r="BA394" s="19">
        <f t="shared" si="442"/>
        <v>0</v>
      </c>
    </row>
    <row r="395" spans="1:53" ht="17.100000000000001" customHeight="1" x14ac:dyDescent="0.25">
      <c r="A395" s="40"/>
      <c r="B395" s="40"/>
      <c r="C395" s="40"/>
      <c r="D395" s="74" t="s">
        <v>748</v>
      </c>
      <c r="E395" s="75" t="s">
        <v>205</v>
      </c>
      <c r="F395" s="75"/>
      <c r="G395" s="75"/>
      <c r="H395" s="540"/>
      <c r="I395" s="229"/>
      <c r="J395" s="111"/>
      <c r="K395" s="111"/>
      <c r="L395" s="111"/>
      <c r="M395" s="111"/>
      <c r="N395" s="111">
        <f>SUM(N396:N399)</f>
        <v>0</v>
      </c>
      <c r="O395" s="111">
        <f>SUM(O396:O399)</f>
        <v>0</v>
      </c>
      <c r="P395" s="111">
        <f t="shared" si="443"/>
        <v>0</v>
      </c>
      <c r="Q395" s="111">
        <f>SUM(Q396:Q399)</f>
        <v>0</v>
      </c>
      <c r="R395" s="111">
        <f>SUM(R396:R399)</f>
        <v>0</v>
      </c>
      <c r="S395" s="111">
        <f t="shared" si="444"/>
        <v>0</v>
      </c>
      <c r="T395" s="111">
        <f>SUM(T396:T399)</f>
        <v>0</v>
      </c>
      <c r="U395" s="111">
        <f>SUM(U396:U399)</f>
        <v>0</v>
      </c>
      <c r="V395" s="358">
        <f t="shared" si="445"/>
        <v>0</v>
      </c>
      <c r="W395" s="380">
        <f t="shared" si="435"/>
        <v>0</v>
      </c>
      <c r="X395" s="111">
        <f t="shared" si="436"/>
        <v>0</v>
      </c>
      <c r="Y395" s="545">
        <f t="shared" si="437"/>
        <v>0</v>
      </c>
      <c r="Z395" s="131">
        <f t="shared" si="438"/>
        <v>0</v>
      </c>
      <c r="AA395" s="131"/>
      <c r="AB395" s="131"/>
      <c r="AC395" s="113"/>
      <c r="AE395" s="111"/>
      <c r="AF395" s="111"/>
      <c r="AG395" s="111"/>
      <c r="AH395" s="545"/>
      <c r="AI395" s="131"/>
      <c r="AK395" s="111"/>
      <c r="AL395" s="111"/>
      <c r="AM395" s="111"/>
      <c r="AN395" s="545"/>
      <c r="AO395" s="131"/>
      <c r="AQ395" s="111"/>
      <c r="AR395" s="111"/>
      <c r="AS395" s="111"/>
      <c r="AT395" s="545">
        <f t="shared" si="439"/>
        <v>0</v>
      </c>
      <c r="AU395" s="131">
        <f t="shared" si="440"/>
        <v>0</v>
      </c>
      <c r="AW395" s="111"/>
      <c r="AX395" s="111"/>
      <c r="AY395" s="111"/>
      <c r="AZ395" s="545">
        <f t="shared" si="441"/>
        <v>0</v>
      </c>
      <c r="BA395" s="131">
        <f t="shared" si="442"/>
        <v>0</v>
      </c>
    </row>
    <row r="396" spans="1:53" ht="17.100000000000001" customHeight="1" x14ac:dyDescent="0.25">
      <c r="A396" s="40"/>
      <c r="B396" s="40"/>
      <c r="C396" s="40"/>
      <c r="D396" s="74"/>
      <c r="E396" s="168"/>
      <c r="F396" s="169"/>
      <c r="G396" s="169"/>
      <c r="H396" s="17"/>
      <c r="I396" s="594"/>
      <c r="J396" s="111"/>
      <c r="K396" s="111"/>
      <c r="L396" s="111"/>
      <c r="M396" s="111"/>
      <c r="N396" s="60"/>
      <c r="O396" s="60"/>
      <c r="P396" s="17"/>
      <c r="Q396" s="60"/>
      <c r="R396" s="60"/>
      <c r="S396" s="17"/>
      <c r="T396" s="60"/>
      <c r="U396" s="60"/>
      <c r="V396" s="359"/>
      <c r="W396" s="391"/>
      <c r="X396" s="17"/>
      <c r="Y396" s="539"/>
      <c r="Z396" s="17"/>
      <c r="AA396" s="17"/>
      <c r="AB396" s="17"/>
      <c r="AC396" s="17"/>
      <c r="AE396" s="111"/>
      <c r="AF396" s="111"/>
      <c r="AG396" s="111"/>
      <c r="AH396" s="112"/>
      <c r="AI396" s="113"/>
      <c r="AK396" s="111"/>
      <c r="AL396" s="111"/>
      <c r="AM396" s="111"/>
      <c r="AN396" s="112"/>
      <c r="AO396" s="113"/>
      <c r="AQ396" s="17"/>
      <c r="AR396" s="17"/>
      <c r="AS396" s="17"/>
      <c r="AT396" s="18"/>
      <c r="AU396" s="91"/>
      <c r="AW396" s="17"/>
      <c r="AX396" s="17"/>
      <c r="AY396" s="17"/>
      <c r="AZ396" s="18"/>
      <c r="BA396" s="91"/>
    </row>
    <row r="397" spans="1:53" ht="17.100000000000001" customHeight="1" x14ac:dyDescent="0.25">
      <c r="A397" s="40"/>
      <c r="B397" s="40"/>
      <c r="C397" s="40"/>
      <c r="D397" s="74"/>
      <c r="E397" s="170"/>
      <c r="F397" s="171"/>
      <c r="G397" s="171"/>
      <c r="H397" s="17"/>
      <c r="I397" s="594"/>
      <c r="J397" s="111"/>
      <c r="K397" s="111"/>
      <c r="L397" s="111"/>
      <c r="M397" s="111"/>
      <c r="N397" s="61"/>
      <c r="O397" s="61"/>
      <c r="P397" s="17"/>
      <c r="Q397" s="61"/>
      <c r="R397" s="61"/>
      <c r="S397" s="17"/>
      <c r="T397" s="61"/>
      <c r="U397" s="61"/>
      <c r="V397" s="359"/>
      <c r="W397" s="391"/>
      <c r="X397" s="17"/>
      <c r="Y397" s="539"/>
      <c r="Z397" s="17"/>
      <c r="AA397" s="17"/>
      <c r="AB397" s="17"/>
      <c r="AC397" s="17"/>
      <c r="AE397" s="111"/>
      <c r="AF397" s="111"/>
      <c r="AG397" s="111"/>
      <c r="AH397" s="112"/>
      <c r="AI397" s="113"/>
      <c r="AK397" s="111"/>
      <c r="AL397" s="111"/>
      <c r="AM397" s="111"/>
      <c r="AN397" s="112"/>
      <c r="AO397" s="113"/>
      <c r="AQ397" s="17"/>
      <c r="AR397" s="17"/>
      <c r="AS397" s="17"/>
      <c r="AT397" s="18"/>
      <c r="AU397" s="91"/>
      <c r="AW397" s="17"/>
      <c r="AX397" s="17"/>
      <c r="AY397" s="17"/>
      <c r="AZ397" s="18"/>
      <c r="BA397" s="91"/>
    </row>
    <row r="398" spans="1:53" ht="17.100000000000001" customHeight="1" x14ac:dyDescent="0.25">
      <c r="A398" s="40"/>
      <c r="B398" s="40"/>
      <c r="C398" s="40"/>
      <c r="D398" s="74"/>
      <c r="E398" s="168"/>
      <c r="F398" s="169"/>
      <c r="G398" s="169"/>
      <c r="H398" s="17"/>
      <c r="I398" s="594"/>
      <c r="J398" s="111"/>
      <c r="K398" s="111"/>
      <c r="L398" s="111"/>
      <c r="M398" s="111"/>
      <c r="N398" s="60"/>
      <c r="O398" s="60"/>
      <c r="P398" s="17"/>
      <c r="Q398" s="60"/>
      <c r="R398" s="60"/>
      <c r="S398" s="17"/>
      <c r="T398" s="60"/>
      <c r="U398" s="60"/>
      <c r="V398" s="359"/>
      <c r="W398" s="391"/>
      <c r="X398" s="17"/>
      <c r="Y398" s="539"/>
      <c r="Z398" s="17"/>
      <c r="AA398" s="17"/>
      <c r="AB398" s="17"/>
      <c r="AC398" s="17"/>
      <c r="AE398" s="111"/>
      <c r="AF398" s="111"/>
      <c r="AG398" s="111"/>
      <c r="AH398" s="112"/>
      <c r="AI398" s="113"/>
      <c r="AK398" s="111"/>
      <c r="AL398" s="111"/>
      <c r="AM398" s="111"/>
      <c r="AN398" s="112"/>
      <c r="AO398" s="113"/>
      <c r="AQ398" s="17"/>
      <c r="AR398" s="17"/>
      <c r="AS398" s="17"/>
      <c r="AT398" s="18"/>
      <c r="AU398" s="91"/>
      <c r="AW398" s="17"/>
      <c r="AX398" s="17"/>
      <c r="AY398" s="17"/>
      <c r="AZ398" s="18"/>
      <c r="BA398" s="91"/>
    </row>
    <row r="399" spans="1:53" ht="17.100000000000001" customHeight="1" x14ac:dyDescent="0.25">
      <c r="A399" s="40"/>
      <c r="B399" s="40"/>
      <c r="C399" s="40"/>
      <c r="D399" s="74"/>
      <c r="E399" s="170"/>
      <c r="F399" s="171"/>
      <c r="G399" s="171"/>
      <c r="H399" s="17"/>
      <c r="I399" s="594"/>
      <c r="J399" s="111"/>
      <c r="K399" s="111"/>
      <c r="L399" s="111"/>
      <c r="M399" s="111"/>
      <c r="N399" s="61"/>
      <c r="O399" s="61"/>
      <c r="P399" s="17"/>
      <c r="Q399" s="61"/>
      <c r="R399" s="61"/>
      <c r="S399" s="17"/>
      <c r="T399" s="61"/>
      <c r="U399" s="61"/>
      <c r="V399" s="359"/>
      <c r="W399" s="391"/>
      <c r="X399" s="17"/>
      <c r="Y399" s="539"/>
      <c r="Z399" s="17"/>
      <c r="AA399" s="17"/>
      <c r="AB399" s="17"/>
      <c r="AC399" s="17"/>
      <c r="AE399" s="111"/>
      <c r="AF399" s="111"/>
      <c r="AG399" s="111"/>
      <c r="AH399" s="112"/>
      <c r="AI399" s="113"/>
      <c r="AK399" s="111"/>
      <c r="AL399" s="111"/>
      <c r="AM399" s="111"/>
      <c r="AN399" s="112"/>
      <c r="AO399" s="113"/>
      <c r="AQ399" s="17"/>
      <c r="AR399" s="17"/>
      <c r="AS399" s="17"/>
      <c r="AT399" s="18"/>
      <c r="AU399" s="91"/>
      <c r="AW399" s="17"/>
      <c r="AX399" s="17"/>
      <c r="AY399" s="17"/>
      <c r="AZ399" s="18"/>
      <c r="BA399" s="91"/>
    </row>
    <row r="400" spans="1:53" ht="17.100000000000001" customHeight="1" x14ac:dyDescent="0.25">
      <c r="A400" s="40"/>
      <c r="B400" s="40"/>
      <c r="C400" s="77"/>
      <c r="D400" s="134"/>
      <c r="E400" s="134"/>
      <c r="F400" s="134"/>
      <c r="G400" s="134"/>
      <c r="H400" s="540"/>
      <c r="I400" s="229"/>
      <c r="J400" s="64"/>
      <c r="K400" s="64"/>
      <c r="L400" s="81"/>
      <c r="M400" s="81"/>
      <c r="N400" s="81">
        <f t="shared" ref="N400:V400" si="446">SUM(N382:N395)</f>
        <v>0</v>
      </c>
      <c r="O400" s="81">
        <f t="shared" si="446"/>
        <v>1</v>
      </c>
      <c r="P400" s="81">
        <f t="shared" si="446"/>
        <v>1</v>
      </c>
      <c r="Q400" s="81">
        <f t="shared" si="446"/>
        <v>2</v>
      </c>
      <c r="R400" s="81">
        <f t="shared" si="446"/>
        <v>3</v>
      </c>
      <c r="S400" s="81">
        <f t="shared" si="446"/>
        <v>5</v>
      </c>
      <c r="T400" s="81">
        <f t="shared" si="446"/>
        <v>0</v>
      </c>
      <c r="U400" s="81">
        <f t="shared" si="446"/>
        <v>0</v>
      </c>
      <c r="V400" s="81">
        <f t="shared" si="446"/>
        <v>0</v>
      </c>
      <c r="W400" s="381">
        <f>SUM(W382:W395)</f>
        <v>2</v>
      </c>
      <c r="X400" s="82">
        <f t="shared" ref="X400:Y400" si="447">SUM(X382:X395)</f>
        <v>4</v>
      </c>
      <c r="Y400" s="82">
        <f t="shared" si="447"/>
        <v>6</v>
      </c>
      <c r="Z400" s="205">
        <f t="shared" ref="Z400" si="448">IF(Y$400=0,0,Y400/Y$400)</f>
        <v>1</v>
      </c>
      <c r="AA400" s="205"/>
      <c r="AB400" s="205"/>
      <c r="AC400" s="83"/>
      <c r="AE400" s="80"/>
      <c r="AF400" s="80"/>
      <c r="AG400" s="81"/>
      <c r="AH400" s="82"/>
      <c r="AI400" s="66"/>
      <c r="AK400" s="80"/>
      <c r="AL400" s="80"/>
      <c r="AM400" s="81"/>
      <c r="AN400" s="82"/>
      <c r="AO400" s="66"/>
      <c r="AQ400" s="80"/>
      <c r="AR400" s="80"/>
      <c r="AS400" s="81"/>
      <c r="AT400" s="82">
        <f t="shared" ref="AT400" si="449">SUM(AT382:AT395)</f>
        <v>2</v>
      </c>
      <c r="AU400" s="66">
        <f>IF(AT$400=0,0,AT400/AT$400)</f>
        <v>1</v>
      </c>
      <c r="AW400" s="80"/>
      <c r="AX400" s="80"/>
      <c r="AY400" s="81"/>
      <c r="AZ400" s="82">
        <f t="shared" ref="AZ400" si="450">SUM(AZ382:AZ395)</f>
        <v>4</v>
      </c>
      <c r="BA400" s="66">
        <f>IF(AZ$400=0,0,AZ400/AZ$400)</f>
        <v>1</v>
      </c>
    </row>
    <row r="401" spans="1:53" ht="17.100000000000001" customHeight="1" x14ac:dyDescent="0.25">
      <c r="A401" s="175"/>
      <c r="B401" s="48" t="s">
        <v>206</v>
      </c>
      <c r="C401" s="49" t="s">
        <v>473</v>
      </c>
      <c r="D401" s="176"/>
      <c r="E401" s="43"/>
      <c r="F401" s="43"/>
      <c r="G401" s="43"/>
      <c r="H401" s="540"/>
      <c r="I401" s="12"/>
      <c r="J401" s="88"/>
      <c r="K401" s="88"/>
      <c r="L401" s="71"/>
      <c r="M401" s="71"/>
      <c r="N401" s="71"/>
      <c r="O401" s="71"/>
      <c r="P401" s="71"/>
      <c r="Q401" s="71"/>
      <c r="R401" s="71"/>
      <c r="S401" s="71"/>
      <c r="T401" s="71"/>
      <c r="U401" s="71"/>
      <c r="V401" s="355"/>
      <c r="W401" s="377"/>
      <c r="X401" s="71"/>
      <c r="Y401" s="89"/>
      <c r="Z401" s="90"/>
      <c r="AA401" s="90"/>
      <c r="AB401" s="90"/>
      <c r="AC401" s="73"/>
      <c r="AE401" s="87"/>
      <c r="AF401" s="87"/>
      <c r="AG401" s="71"/>
      <c r="AH401" s="89"/>
      <c r="AI401" s="90"/>
      <c r="AK401" s="87"/>
      <c r="AL401" s="87"/>
      <c r="AM401" s="71"/>
      <c r="AN401" s="89"/>
      <c r="AO401" s="90"/>
      <c r="AQ401" s="87"/>
      <c r="AR401" s="87"/>
      <c r="AS401" s="71"/>
      <c r="AT401" s="89"/>
      <c r="AU401" s="90"/>
      <c r="AW401" s="87"/>
      <c r="AX401" s="87"/>
      <c r="AY401" s="71"/>
      <c r="AZ401" s="89"/>
      <c r="BA401" s="90"/>
    </row>
    <row r="402" spans="1:53" ht="17.100000000000001" customHeight="1" x14ac:dyDescent="0.25">
      <c r="A402" s="175"/>
      <c r="B402" s="177"/>
      <c r="C402" s="56" t="s">
        <v>207</v>
      </c>
      <c r="D402" s="57" t="s">
        <v>173</v>
      </c>
      <c r="E402" s="75"/>
      <c r="F402" s="75"/>
      <c r="G402" s="75"/>
      <c r="H402" s="540"/>
      <c r="I402" s="12"/>
      <c r="J402" s="111"/>
      <c r="K402" s="111"/>
      <c r="L402" s="111"/>
      <c r="M402" s="111"/>
      <c r="N402" s="60"/>
      <c r="O402" s="60">
        <v>6</v>
      </c>
      <c r="P402" s="17">
        <f t="shared" ref="P402:P406" si="451">SUM(N402:O402)</f>
        <v>6</v>
      </c>
      <c r="Q402" s="60">
        <v>1</v>
      </c>
      <c r="R402" s="60">
        <v>1</v>
      </c>
      <c r="S402" s="17">
        <f t="shared" ref="S402:S406" si="452">SUM(Q402:R402)</f>
        <v>2</v>
      </c>
      <c r="T402" s="60"/>
      <c r="U402" s="60"/>
      <c r="V402" s="359">
        <f t="shared" ref="V402:V406" si="453">SUM(T402:U402)</f>
        <v>0</v>
      </c>
      <c r="W402" s="391">
        <f t="shared" ref="W402:W406" si="454">J402+K402+N402+Q402+T402</f>
        <v>1</v>
      </c>
      <c r="X402" s="17">
        <f t="shared" ref="X402:X406" si="455">L402+O402+R402+U402</f>
        <v>7</v>
      </c>
      <c r="Y402" s="18">
        <f>SUM(W402:X402)</f>
        <v>8</v>
      </c>
      <c r="Z402" s="19">
        <f>IF(Y$407=0,0,Y402/Y$407)</f>
        <v>0.53333333333333333</v>
      </c>
      <c r="AA402" s="19"/>
      <c r="AB402" s="19"/>
      <c r="AC402" s="84"/>
      <c r="AE402" s="111"/>
      <c r="AF402" s="111"/>
      <c r="AG402" s="111"/>
      <c r="AH402" s="112"/>
      <c r="AI402" s="113"/>
      <c r="AK402" s="111"/>
      <c r="AL402" s="111"/>
      <c r="AM402" s="111"/>
      <c r="AN402" s="112"/>
      <c r="AO402" s="113"/>
      <c r="AQ402" s="17"/>
      <c r="AR402" s="17"/>
      <c r="AS402" s="17"/>
      <c r="AT402" s="18">
        <f t="shared" ref="AT402:AT406" si="456">W402</f>
        <v>1</v>
      </c>
      <c r="AU402" s="19">
        <f t="shared" ref="AU402:AU407" si="457">IF(AT$407=0,0,AT402/AT$407)</f>
        <v>0.33333333333333331</v>
      </c>
      <c r="AW402" s="17"/>
      <c r="AX402" s="17"/>
      <c r="AY402" s="17"/>
      <c r="AZ402" s="18">
        <f t="shared" ref="AZ402:AZ406" si="458">X402</f>
        <v>7</v>
      </c>
      <c r="BA402" s="19">
        <f t="shared" ref="BA402:BA407" si="459">IF(AZ$407=0,0,AZ402/AZ$407)</f>
        <v>0.58333333333333337</v>
      </c>
    </row>
    <row r="403" spans="1:53" ht="17.100000000000001" customHeight="1" x14ac:dyDescent="0.25">
      <c r="A403" s="175"/>
      <c r="B403" s="177"/>
      <c r="C403" s="56" t="s">
        <v>208</v>
      </c>
      <c r="D403" s="57" t="s">
        <v>209</v>
      </c>
      <c r="E403" s="75"/>
      <c r="F403" s="75"/>
      <c r="G403" s="75"/>
      <c r="H403" s="540"/>
      <c r="I403" s="12"/>
      <c r="J403" s="111"/>
      <c r="K403" s="111"/>
      <c r="L403" s="111"/>
      <c r="M403" s="111"/>
      <c r="N403" s="61"/>
      <c r="O403" s="61">
        <v>1</v>
      </c>
      <c r="P403" s="17">
        <f t="shared" si="451"/>
        <v>1</v>
      </c>
      <c r="Q403" s="61">
        <v>2</v>
      </c>
      <c r="R403" s="61">
        <v>2</v>
      </c>
      <c r="S403" s="17">
        <f t="shared" si="452"/>
        <v>4</v>
      </c>
      <c r="T403" s="61"/>
      <c r="U403" s="61"/>
      <c r="V403" s="359">
        <f t="shared" si="453"/>
        <v>0</v>
      </c>
      <c r="W403" s="391">
        <f t="shared" si="454"/>
        <v>2</v>
      </c>
      <c r="X403" s="17">
        <f t="shared" si="455"/>
        <v>3</v>
      </c>
      <c r="Y403" s="18">
        <f>SUM(W403:X403)</f>
        <v>5</v>
      </c>
      <c r="Z403" s="19">
        <f t="shared" ref="Z403:Z406" si="460">IF(Y$407=0,0,Y403/Y$407)</f>
        <v>0.33333333333333331</v>
      </c>
      <c r="AA403" s="19"/>
      <c r="AB403" s="19"/>
      <c r="AC403" s="84"/>
      <c r="AE403" s="111"/>
      <c r="AF403" s="111"/>
      <c r="AG403" s="111"/>
      <c r="AH403" s="112"/>
      <c r="AI403" s="113"/>
      <c r="AK403" s="111"/>
      <c r="AL403" s="111"/>
      <c r="AM403" s="111"/>
      <c r="AN403" s="112"/>
      <c r="AO403" s="113"/>
      <c r="AQ403" s="17"/>
      <c r="AR403" s="17"/>
      <c r="AS403" s="17"/>
      <c r="AT403" s="18">
        <f t="shared" si="456"/>
        <v>2</v>
      </c>
      <c r="AU403" s="19">
        <f t="shared" si="457"/>
        <v>0.66666666666666663</v>
      </c>
      <c r="AW403" s="17"/>
      <c r="AX403" s="17"/>
      <c r="AY403" s="17"/>
      <c r="AZ403" s="18">
        <f t="shared" si="458"/>
        <v>3</v>
      </c>
      <c r="BA403" s="19">
        <f t="shared" si="459"/>
        <v>0.25</v>
      </c>
    </row>
    <row r="404" spans="1:53" ht="17.100000000000001" customHeight="1" x14ac:dyDescent="0.25">
      <c r="A404" s="175"/>
      <c r="B404" s="177"/>
      <c r="C404" s="56" t="s">
        <v>210</v>
      </c>
      <c r="D404" s="57" t="s">
        <v>211</v>
      </c>
      <c r="E404" s="75"/>
      <c r="F404" s="75"/>
      <c r="G404" s="75"/>
      <c r="H404" s="540"/>
      <c r="I404" s="12"/>
      <c r="J404" s="111"/>
      <c r="K404" s="111"/>
      <c r="L404" s="111"/>
      <c r="M404" s="111"/>
      <c r="N404" s="60"/>
      <c r="O404" s="60">
        <v>1</v>
      </c>
      <c r="P404" s="17">
        <f t="shared" si="451"/>
        <v>1</v>
      </c>
      <c r="Q404" s="60"/>
      <c r="R404" s="60">
        <v>1</v>
      </c>
      <c r="S404" s="17">
        <f t="shared" si="452"/>
        <v>1</v>
      </c>
      <c r="T404" s="60"/>
      <c r="U404" s="60"/>
      <c r="V404" s="359">
        <f t="shared" si="453"/>
        <v>0</v>
      </c>
      <c r="W404" s="391">
        <f t="shared" si="454"/>
        <v>0</v>
      </c>
      <c r="X404" s="17">
        <f t="shared" si="455"/>
        <v>2</v>
      </c>
      <c r="Y404" s="18">
        <f>SUM(W404:X404)</f>
        <v>2</v>
      </c>
      <c r="Z404" s="19">
        <f t="shared" si="460"/>
        <v>0.13333333333333333</v>
      </c>
      <c r="AA404" s="19"/>
      <c r="AB404" s="19"/>
      <c r="AC404" s="84"/>
      <c r="AE404" s="111"/>
      <c r="AF404" s="111"/>
      <c r="AG404" s="111"/>
      <c r="AH404" s="112"/>
      <c r="AI404" s="113"/>
      <c r="AK404" s="111"/>
      <c r="AL404" s="111"/>
      <c r="AM404" s="111"/>
      <c r="AN404" s="112"/>
      <c r="AO404" s="113"/>
      <c r="AQ404" s="17"/>
      <c r="AR404" s="17"/>
      <c r="AS404" s="17"/>
      <c r="AT404" s="18">
        <f t="shared" si="456"/>
        <v>0</v>
      </c>
      <c r="AU404" s="19">
        <f t="shared" si="457"/>
        <v>0</v>
      </c>
      <c r="AW404" s="17"/>
      <c r="AX404" s="17"/>
      <c r="AY404" s="17"/>
      <c r="AZ404" s="18">
        <f t="shared" si="458"/>
        <v>2</v>
      </c>
      <c r="BA404" s="19">
        <f t="shared" si="459"/>
        <v>0.16666666666666666</v>
      </c>
    </row>
    <row r="405" spans="1:53" ht="17.100000000000001" customHeight="1" x14ac:dyDescent="0.25">
      <c r="A405" s="175"/>
      <c r="B405" s="177"/>
      <c r="C405" s="56" t="s">
        <v>212</v>
      </c>
      <c r="D405" s="57" t="s">
        <v>213</v>
      </c>
      <c r="E405" s="75"/>
      <c r="F405" s="75"/>
      <c r="G405" s="75"/>
      <c r="H405" s="540"/>
      <c r="I405" s="12"/>
      <c r="J405" s="111"/>
      <c r="K405" s="111"/>
      <c r="L405" s="111"/>
      <c r="M405" s="111"/>
      <c r="N405" s="61"/>
      <c r="O405" s="61"/>
      <c r="P405" s="17">
        <f t="shared" si="451"/>
        <v>0</v>
      </c>
      <c r="Q405" s="61"/>
      <c r="R405" s="61"/>
      <c r="S405" s="17">
        <f t="shared" si="452"/>
        <v>0</v>
      </c>
      <c r="T405" s="61"/>
      <c r="U405" s="61"/>
      <c r="V405" s="359">
        <f t="shared" si="453"/>
        <v>0</v>
      </c>
      <c r="W405" s="391">
        <f t="shared" si="454"/>
        <v>0</v>
      </c>
      <c r="X405" s="17">
        <f t="shared" si="455"/>
        <v>0</v>
      </c>
      <c r="Y405" s="18">
        <f>SUM(W405:X405)</f>
        <v>0</v>
      </c>
      <c r="Z405" s="19">
        <f t="shared" si="460"/>
        <v>0</v>
      </c>
      <c r="AA405" s="19"/>
      <c r="AB405" s="19"/>
      <c r="AC405" s="84"/>
      <c r="AE405" s="111"/>
      <c r="AF405" s="111"/>
      <c r="AG405" s="111"/>
      <c r="AH405" s="112"/>
      <c r="AI405" s="113"/>
      <c r="AK405" s="111"/>
      <c r="AL405" s="111"/>
      <c r="AM405" s="111"/>
      <c r="AN405" s="112"/>
      <c r="AO405" s="113"/>
      <c r="AQ405" s="17"/>
      <c r="AR405" s="17"/>
      <c r="AS405" s="17"/>
      <c r="AT405" s="18">
        <f t="shared" si="456"/>
        <v>0</v>
      </c>
      <c r="AU405" s="19">
        <f t="shared" si="457"/>
        <v>0</v>
      </c>
      <c r="AW405" s="17"/>
      <c r="AX405" s="17"/>
      <c r="AY405" s="17"/>
      <c r="AZ405" s="18">
        <f t="shared" si="458"/>
        <v>0</v>
      </c>
      <c r="BA405" s="19">
        <f t="shared" si="459"/>
        <v>0</v>
      </c>
    </row>
    <row r="406" spans="1:53" ht="17.100000000000001" customHeight="1" x14ac:dyDescent="0.25">
      <c r="A406" s="175"/>
      <c r="B406" s="177"/>
      <c r="C406" s="56" t="s">
        <v>214</v>
      </c>
      <c r="D406" s="147" t="s">
        <v>129</v>
      </c>
      <c r="E406" s="75"/>
      <c r="F406" s="75"/>
      <c r="G406" s="75"/>
      <c r="H406" s="540"/>
      <c r="I406" s="12"/>
      <c r="J406" s="111"/>
      <c r="K406" s="111"/>
      <c r="L406" s="111"/>
      <c r="M406" s="111"/>
      <c r="N406" s="60"/>
      <c r="O406" s="60"/>
      <c r="P406" s="17">
        <f t="shared" si="451"/>
        <v>0</v>
      </c>
      <c r="Q406" s="60"/>
      <c r="R406" s="60"/>
      <c r="S406" s="17">
        <f t="shared" si="452"/>
        <v>0</v>
      </c>
      <c r="T406" s="60"/>
      <c r="U406" s="60"/>
      <c r="V406" s="359">
        <f t="shared" si="453"/>
        <v>0</v>
      </c>
      <c r="W406" s="391">
        <f t="shared" si="454"/>
        <v>0</v>
      </c>
      <c r="X406" s="17">
        <f t="shared" si="455"/>
        <v>0</v>
      </c>
      <c r="Y406" s="18">
        <f>SUM(W406:X406)</f>
        <v>0</v>
      </c>
      <c r="Z406" s="19">
        <f t="shared" si="460"/>
        <v>0</v>
      </c>
      <c r="AA406" s="19"/>
      <c r="AB406" s="19"/>
      <c r="AC406" s="84"/>
      <c r="AE406" s="111"/>
      <c r="AF406" s="111"/>
      <c r="AG406" s="111"/>
      <c r="AH406" s="112"/>
      <c r="AI406" s="113"/>
      <c r="AK406" s="111"/>
      <c r="AL406" s="111"/>
      <c r="AM406" s="111"/>
      <c r="AN406" s="112"/>
      <c r="AO406" s="113"/>
      <c r="AQ406" s="17"/>
      <c r="AR406" s="17"/>
      <c r="AS406" s="17"/>
      <c r="AT406" s="18">
        <f t="shared" si="456"/>
        <v>0</v>
      </c>
      <c r="AU406" s="19">
        <f t="shared" si="457"/>
        <v>0</v>
      </c>
      <c r="AW406" s="17"/>
      <c r="AX406" s="17"/>
      <c r="AY406" s="17"/>
      <c r="AZ406" s="18">
        <f t="shared" si="458"/>
        <v>0</v>
      </c>
      <c r="BA406" s="19">
        <f t="shared" si="459"/>
        <v>0</v>
      </c>
    </row>
    <row r="407" spans="1:53" ht="17.100000000000001" customHeight="1" x14ac:dyDescent="0.25">
      <c r="A407" s="175"/>
      <c r="B407" s="40"/>
      <c r="C407" s="77"/>
      <c r="D407" s="134"/>
      <c r="E407" s="134"/>
      <c r="F407" s="134"/>
      <c r="G407" s="134"/>
      <c r="H407" s="540"/>
      <c r="I407" s="12"/>
      <c r="J407" s="64"/>
      <c r="K407" s="64"/>
      <c r="L407" s="64"/>
      <c r="M407" s="64"/>
      <c r="N407" s="64">
        <f>SUM(N402:N406)</f>
        <v>0</v>
      </c>
      <c r="O407" s="64">
        <f t="shared" ref="O407:V407" si="461">SUM(O402:O406)</f>
        <v>8</v>
      </c>
      <c r="P407" s="64">
        <f t="shared" si="461"/>
        <v>8</v>
      </c>
      <c r="Q407" s="64">
        <f t="shared" si="461"/>
        <v>3</v>
      </c>
      <c r="R407" s="64">
        <f t="shared" si="461"/>
        <v>4</v>
      </c>
      <c r="S407" s="64">
        <f t="shared" si="461"/>
        <v>7</v>
      </c>
      <c r="T407" s="64">
        <f t="shared" si="461"/>
        <v>0</v>
      </c>
      <c r="U407" s="64">
        <f t="shared" si="461"/>
        <v>0</v>
      </c>
      <c r="V407" s="64">
        <f t="shared" si="461"/>
        <v>0</v>
      </c>
      <c r="W407" s="390">
        <f>SUM(W402:W406)</f>
        <v>3</v>
      </c>
      <c r="X407" s="224">
        <f t="shared" ref="X407:Y407" si="462">SUM(X402:X406)</f>
        <v>12</v>
      </c>
      <c r="Y407" s="224">
        <f t="shared" si="462"/>
        <v>15</v>
      </c>
      <c r="Z407" s="66">
        <f>IF(Y$407=0,0,Y407/Y$407)</f>
        <v>1</v>
      </c>
      <c r="AA407" s="66"/>
      <c r="AB407" s="66"/>
      <c r="AC407" s="83"/>
      <c r="AE407" s="80"/>
      <c r="AF407" s="80"/>
      <c r="AG407" s="81"/>
      <c r="AH407" s="82"/>
      <c r="AI407" s="66"/>
      <c r="AK407" s="80"/>
      <c r="AL407" s="80"/>
      <c r="AM407" s="81"/>
      <c r="AN407" s="82"/>
      <c r="AO407" s="66"/>
      <c r="AQ407" s="80"/>
      <c r="AR407" s="80"/>
      <c r="AS407" s="81"/>
      <c r="AT407" s="82">
        <f>SUM(AT402:AT406)</f>
        <v>3</v>
      </c>
      <c r="AU407" s="66">
        <f t="shared" si="457"/>
        <v>1</v>
      </c>
      <c r="AW407" s="80"/>
      <c r="AX407" s="80"/>
      <c r="AY407" s="81"/>
      <c r="AZ407" s="82">
        <f>SUM(AZ402:AZ406)</f>
        <v>12</v>
      </c>
      <c r="BA407" s="66">
        <f t="shared" si="459"/>
        <v>1</v>
      </c>
    </row>
    <row r="408" spans="1:53" s="117" customFormat="1" ht="17.100000000000001" customHeight="1" x14ac:dyDescent="0.25">
      <c r="A408" s="68"/>
      <c r="B408" s="119"/>
      <c r="C408" s="540"/>
      <c r="D408" s="261"/>
      <c r="E408" s="261"/>
      <c r="F408" s="68"/>
      <c r="G408" s="68"/>
      <c r="H408" s="119"/>
      <c r="I408" s="138"/>
      <c r="J408" s="17"/>
      <c r="K408" s="17"/>
      <c r="L408" s="17"/>
      <c r="M408" s="17"/>
      <c r="N408" s="17" t="str">
        <f>IF(N407=N$20,"OK","NOK")</f>
        <v>OK</v>
      </c>
      <c r="O408" s="17" t="str">
        <f>IF(O407=O$20,"OK","NOK")</f>
        <v>OK</v>
      </c>
      <c r="P408" s="17"/>
      <c r="Q408" s="17" t="str">
        <f>IF(Q407=Q$20,"OK","NOK")</f>
        <v>OK</v>
      </c>
      <c r="R408" s="17" t="str">
        <f>IF(R407=R$20,"OK","NOK")</f>
        <v>OK</v>
      </c>
      <c r="S408" s="17"/>
      <c r="T408" s="17" t="str">
        <f>IF(T407=T$20,"OK","NOK")</f>
        <v>OK</v>
      </c>
      <c r="U408" s="17" t="str">
        <f>IF(U407=U$20,"OK","NOK")</f>
        <v>OK</v>
      </c>
      <c r="V408" s="359"/>
      <c r="W408" s="382"/>
      <c r="X408" s="539"/>
      <c r="Y408" s="539"/>
      <c r="Z408" s="201"/>
      <c r="AA408" s="201"/>
      <c r="AB408" s="201"/>
      <c r="AC408" s="84"/>
      <c r="AE408" s="46"/>
      <c r="AF408" s="46"/>
      <c r="AG408" s="17"/>
      <c r="AH408" s="539"/>
      <c r="AI408" s="91"/>
      <c r="AK408" s="46"/>
      <c r="AL408" s="46"/>
      <c r="AM408" s="17"/>
      <c r="AN408" s="539"/>
      <c r="AO408" s="91"/>
      <c r="AQ408" s="46"/>
      <c r="AR408" s="46"/>
      <c r="AS408" s="17"/>
      <c r="AT408" s="539"/>
      <c r="AU408" s="91"/>
      <c r="AW408" s="46"/>
      <c r="AX408" s="46"/>
      <c r="AY408" s="17"/>
      <c r="AZ408" s="539"/>
      <c r="BA408" s="91"/>
    </row>
    <row r="409" spans="1:53" ht="17.100000000000001" customHeight="1" x14ac:dyDescent="0.25">
      <c r="A409" s="68"/>
      <c r="B409" s="48" t="s">
        <v>215</v>
      </c>
      <c r="C409" s="49" t="s">
        <v>216</v>
      </c>
      <c r="D409" s="50"/>
      <c r="E409" s="70"/>
      <c r="F409" s="70"/>
      <c r="G409" s="70"/>
      <c r="H409" s="119"/>
      <c r="J409" s="71"/>
      <c r="K409" s="71"/>
      <c r="L409" s="71"/>
      <c r="M409" s="71"/>
      <c r="N409" s="71">
        <f t="shared" ref="N409:X409" si="463">N403</f>
        <v>0</v>
      </c>
      <c r="O409" s="71">
        <f t="shared" si="463"/>
        <v>1</v>
      </c>
      <c r="P409" s="71"/>
      <c r="Q409" s="71">
        <f t="shared" si="463"/>
        <v>2</v>
      </c>
      <c r="R409" s="71">
        <f t="shared" si="463"/>
        <v>2</v>
      </c>
      <c r="S409" s="71"/>
      <c r="T409" s="71">
        <f t="shared" si="463"/>
        <v>0</v>
      </c>
      <c r="U409" s="71">
        <f t="shared" si="463"/>
        <v>0</v>
      </c>
      <c r="V409" s="355"/>
      <c r="W409" s="377">
        <f t="shared" si="463"/>
        <v>2</v>
      </c>
      <c r="X409" s="71">
        <f t="shared" si="463"/>
        <v>3</v>
      </c>
      <c r="Y409" s="72"/>
      <c r="Z409" s="73"/>
      <c r="AA409" s="73"/>
      <c r="AB409" s="73"/>
      <c r="AC409" s="73"/>
      <c r="AE409" s="71"/>
      <c r="AF409" s="71"/>
      <c r="AG409" s="71"/>
      <c r="AH409" s="72"/>
      <c r="AI409" s="73"/>
      <c r="AK409" s="71"/>
      <c r="AL409" s="71"/>
      <c r="AM409" s="71"/>
      <c r="AN409" s="72"/>
      <c r="AO409" s="73"/>
      <c r="AQ409" s="71"/>
      <c r="AR409" s="71"/>
      <c r="AS409" s="71"/>
      <c r="AT409" s="72"/>
      <c r="AU409" s="73"/>
      <c r="AW409" s="71"/>
      <c r="AX409" s="71"/>
      <c r="AY409" s="71"/>
      <c r="AZ409" s="72"/>
      <c r="BA409" s="73"/>
    </row>
    <row r="410" spans="1:53" ht="17.100000000000001" customHeight="1" x14ac:dyDescent="0.25">
      <c r="A410" s="40"/>
      <c r="B410" s="40"/>
      <c r="C410" s="56" t="s">
        <v>217</v>
      </c>
      <c r="D410" s="149" t="s">
        <v>218</v>
      </c>
      <c r="E410" s="149"/>
      <c r="F410" s="75"/>
      <c r="G410" s="75"/>
      <c r="H410" s="540"/>
      <c r="I410" s="229"/>
      <c r="J410" s="111"/>
      <c r="K410" s="111"/>
      <c r="L410" s="111"/>
      <c r="M410" s="111"/>
      <c r="N410" s="111"/>
      <c r="O410" s="111"/>
      <c r="P410" s="111"/>
      <c r="Q410" s="111"/>
      <c r="R410" s="111"/>
      <c r="S410" s="111"/>
      <c r="T410" s="111"/>
      <c r="U410" s="111"/>
      <c r="V410" s="358"/>
      <c r="W410" s="380"/>
      <c r="X410" s="111"/>
      <c r="Y410" s="545"/>
      <c r="Z410" s="131"/>
      <c r="AA410" s="131"/>
      <c r="AB410" s="131"/>
      <c r="AC410" s="111"/>
      <c r="AE410" s="111"/>
      <c r="AF410" s="111"/>
      <c r="AG410" s="111"/>
      <c r="AH410" s="545"/>
      <c r="AI410" s="131"/>
      <c r="AK410" s="111"/>
      <c r="AL410" s="111"/>
      <c r="AM410" s="111"/>
      <c r="AN410" s="545"/>
      <c r="AO410" s="131"/>
      <c r="AQ410" s="111"/>
      <c r="AR410" s="111"/>
      <c r="AS410" s="111"/>
      <c r="AT410" s="545"/>
      <c r="AU410" s="131"/>
      <c r="AW410" s="111"/>
      <c r="AX410" s="111"/>
      <c r="AY410" s="111"/>
      <c r="AZ410" s="545"/>
      <c r="BA410" s="131"/>
    </row>
    <row r="411" spans="1:53" ht="17.100000000000001" customHeight="1" x14ac:dyDescent="0.25">
      <c r="A411" s="40"/>
      <c r="B411" s="40"/>
      <c r="C411" s="55"/>
      <c r="D411" s="56" t="s">
        <v>219</v>
      </c>
      <c r="E411" s="149" t="s">
        <v>474</v>
      </c>
      <c r="F411" s="75"/>
      <c r="G411" s="75"/>
      <c r="H411" s="540"/>
      <c r="I411" s="229"/>
      <c r="J411" s="111"/>
      <c r="K411" s="111"/>
      <c r="L411" s="111"/>
      <c r="M411" s="111"/>
      <c r="N411" s="60"/>
      <c r="O411" s="60">
        <v>1</v>
      </c>
      <c r="P411" s="17">
        <f t="shared" ref="P411:P415" si="464">SUM(N411:O411)</f>
        <v>1</v>
      </c>
      <c r="Q411" s="60"/>
      <c r="R411" s="60"/>
      <c r="S411" s="17">
        <f t="shared" ref="S411:S415" si="465">SUM(Q411:R411)</f>
        <v>0</v>
      </c>
      <c r="T411" s="60"/>
      <c r="U411" s="60"/>
      <c r="V411" s="359">
        <f t="shared" ref="V411:V415" si="466">SUM(T411:U411)</f>
        <v>0</v>
      </c>
      <c r="W411" s="391">
        <f t="shared" ref="W411:W416" si="467">J411+K411+N411+Q411+T411</f>
        <v>0</v>
      </c>
      <c r="X411" s="17">
        <f t="shared" ref="X411:X416" si="468">L411+O411+R411+U411</f>
        <v>1</v>
      </c>
      <c r="Y411" s="18">
        <f>SUM(W411:X411)</f>
        <v>1</v>
      </c>
      <c r="Z411" s="19">
        <f>IF(Y$421=0,0,Y411/Y$421)</f>
        <v>0.2</v>
      </c>
      <c r="AA411" s="19"/>
      <c r="AB411" s="19"/>
      <c r="AC411" s="17"/>
      <c r="AE411" s="111"/>
      <c r="AF411" s="111"/>
      <c r="AG411" s="111"/>
      <c r="AH411" s="112"/>
      <c r="AI411" s="113"/>
      <c r="AK411" s="111"/>
      <c r="AL411" s="111"/>
      <c r="AM411" s="111"/>
      <c r="AN411" s="112"/>
      <c r="AO411" s="113"/>
      <c r="AQ411" s="17"/>
      <c r="AR411" s="17"/>
      <c r="AS411" s="17"/>
      <c r="AT411" s="18">
        <f t="shared" ref="AT411:AT416" si="469">W411</f>
        <v>0</v>
      </c>
      <c r="AU411" s="19">
        <f>IF(AT$421=0,0,AT411/AT$421)</f>
        <v>0</v>
      </c>
      <c r="AW411" s="17"/>
      <c r="AX411" s="17"/>
      <c r="AY411" s="17"/>
      <c r="AZ411" s="18">
        <f t="shared" ref="AZ411:AZ416" si="470">X411</f>
        <v>1</v>
      </c>
      <c r="BA411" s="19">
        <f>IF(AZ$421=0,0,AZ411/AZ$421)</f>
        <v>0.33333333333333331</v>
      </c>
    </row>
    <row r="412" spans="1:53" ht="17.100000000000001" customHeight="1" x14ac:dyDescent="0.25">
      <c r="A412" s="40"/>
      <c r="B412" s="40"/>
      <c r="C412" s="40"/>
      <c r="D412" s="56" t="s">
        <v>220</v>
      </c>
      <c r="E412" s="149" t="s">
        <v>221</v>
      </c>
      <c r="F412" s="75"/>
      <c r="G412" s="75"/>
      <c r="H412" s="540"/>
      <c r="I412" s="229"/>
      <c r="J412" s="111"/>
      <c r="K412" s="111"/>
      <c r="L412" s="111"/>
      <c r="M412" s="111"/>
      <c r="N412" s="61"/>
      <c r="O412" s="61"/>
      <c r="P412" s="17">
        <f t="shared" si="464"/>
        <v>0</v>
      </c>
      <c r="Q412" s="61"/>
      <c r="R412" s="61"/>
      <c r="S412" s="17">
        <f t="shared" si="465"/>
        <v>0</v>
      </c>
      <c r="T412" s="61"/>
      <c r="U412" s="61"/>
      <c r="V412" s="359">
        <f t="shared" si="466"/>
        <v>0</v>
      </c>
      <c r="W412" s="391">
        <f t="shared" si="467"/>
        <v>0</v>
      </c>
      <c r="X412" s="17">
        <f t="shared" si="468"/>
        <v>0</v>
      </c>
      <c r="Y412" s="18">
        <f>SUM(W412:X412)</f>
        <v>0</v>
      </c>
      <c r="Z412" s="19">
        <f t="shared" ref="Z412:Z415" si="471">IF(Y$421=0,0,Y412/Y$421)</f>
        <v>0</v>
      </c>
      <c r="AA412" s="19"/>
      <c r="AB412" s="19"/>
      <c r="AC412" s="17"/>
      <c r="AE412" s="111"/>
      <c r="AF412" s="111"/>
      <c r="AG412" s="111"/>
      <c r="AH412" s="112"/>
      <c r="AI412" s="113"/>
      <c r="AK412" s="111"/>
      <c r="AL412" s="111"/>
      <c r="AM412" s="111"/>
      <c r="AN412" s="112"/>
      <c r="AO412" s="113"/>
      <c r="AQ412" s="17"/>
      <c r="AR412" s="17"/>
      <c r="AS412" s="17"/>
      <c r="AT412" s="18">
        <f t="shared" si="469"/>
        <v>0</v>
      </c>
      <c r="AU412" s="19">
        <f t="shared" ref="AU412:AU421" si="472">IF(AT$421=0,0,AT412/AT$421)</f>
        <v>0</v>
      </c>
      <c r="AW412" s="17"/>
      <c r="AX412" s="17"/>
      <c r="AY412" s="17"/>
      <c r="AZ412" s="18">
        <f t="shared" si="470"/>
        <v>0</v>
      </c>
      <c r="BA412" s="19">
        <f t="shared" ref="BA412:BA421" si="473">IF(AZ$421=0,0,AZ412/AZ$421)</f>
        <v>0</v>
      </c>
    </row>
    <row r="413" spans="1:53" ht="17.100000000000001" customHeight="1" x14ac:dyDescent="0.25">
      <c r="A413" s="40"/>
      <c r="B413" s="40"/>
      <c r="C413" s="40"/>
      <c r="D413" s="56" t="s">
        <v>222</v>
      </c>
      <c r="E413" s="149" t="s">
        <v>223</v>
      </c>
      <c r="F413" s="75"/>
      <c r="G413" s="75"/>
      <c r="H413" s="540"/>
      <c r="I413" s="229"/>
      <c r="J413" s="111"/>
      <c r="K413" s="111"/>
      <c r="L413" s="111"/>
      <c r="M413" s="111"/>
      <c r="N413" s="60"/>
      <c r="O413" s="60"/>
      <c r="P413" s="17">
        <f t="shared" si="464"/>
        <v>0</v>
      </c>
      <c r="Q413" s="60"/>
      <c r="R413" s="60"/>
      <c r="S413" s="17">
        <f t="shared" si="465"/>
        <v>0</v>
      </c>
      <c r="T413" s="60"/>
      <c r="U413" s="60"/>
      <c r="V413" s="359">
        <f t="shared" si="466"/>
        <v>0</v>
      </c>
      <c r="W413" s="391">
        <f t="shared" si="467"/>
        <v>0</v>
      </c>
      <c r="X413" s="17">
        <f t="shared" si="468"/>
        <v>0</v>
      </c>
      <c r="Y413" s="18">
        <f>SUM(W413:X413)</f>
        <v>0</v>
      </c>
      <c r="Z413" s="19">
        <f t="shared" si="471"/>
        <v>0</v>
      </c>
      <c r="AA413" s="19"/>
      <c r="AB413" s="19"/>
      <c r="AC413" s="17"/>
      <c r="AE413" s="111"/>
      <c r="AF413" s="111"/>
      <c r="AG413" s="111"/>
      <c r="AH413" s="112"/>
      <c r="AI413" s="113"/>
      <c r="AK413" s="111"/>
      <c r="AL413" s="111"/>
      <c r="AM413" s="111"/>
      <c r="AN413" s="112"/>
      <c r="AO413" s="113"/>
      <c r="AQ413" s="17"/>
      <c r="AR413" s="17"/>
      <c r="AS413" s="17"/>
      <c r="AT413" s="18">
        <f t="shared" si="469"/>
        <v>0</v>
      </c>
      <c r="AU413" s="19">
        <f t="shared" si="472"/>
        <v>0</v>
      </c>
      <c r="AW413" s="17"/>
      <c r="AX413" s="17"/>
      <c r="AY413" s="17"/>
      <c r="AZ413" s="18">
        <f t="shared" si="470"/>
        <v>0</v>
      </c>
      <c r="BA413" s="19">
        <f t="shared" si="473"/>
        <v>0</v>
      </c>
    </row>
    <row r="414" spans="1:53" ht="17.100000000000001" customHeight="1" x14ac:dyDescent="0.25">
      <c r="A414" s="40"/>
      <c r="B414" s="40"/>
      <c r="C414" s="40"/>
      <c r="D414" s="56" t="s">
        <v>224</v>
      </c>
      <c r="E414" s="149" t="s">
        <v>225</v>
      </c>
      <c r="F414" s="75"/>
      <c r="G414" s="75"/>
      <c r="H414" s="540"/>
      <c r="I414" s="229"/>
      <c r="J414" s="111"/>
      <c r="K414" s="111"/>
      <c r="L414" s="111"/>
      <c r="M414" s="111"/>
      <c r="N414" s="61"/>
      <c r="O414" s="61"/>
      <c r="P414" s="17">
        <f t="shared" si="464"/>
        <v>0</v>
      </c>
      <c r="Q414" s="61">
        <v>2</v>
      </c>
      <c r="R414" s="61">
        <v>2</v>
      </c>
      <c r="S414" s="17">
        <f t="shared" si="465"/>
        <v>4</v>
      </c>
      <c r="T414" s="61"/>
      <c r="U414" s="61"/>
      <c r="V414" s="359">
        <f t="shared" si="466"/>
        <v>0</v>
      </c>
      <c r="W414" s="391">
        <f t="shared" si="467"/>
        <v>2</v>
      </c>
      <c r="X414" s="17">
        <f t="shared" si="468"/>
        <v>2</v>
      </c>
      <c r="Y414" s="18">
        <f>SUM(W414:X414)</f>
        <v>4</v>
      </c>
      <c r="Z414" s="19">
        <f t="shared" si="471"/>
        <v>0.8</v>
      </c>
      <c r="AA414" s="19"/>
      <c r="AB414" s="19"/>
      <c r="AC414" s="17"/>
      <c r="AE414" s="111"/>
      <c r="AF414" s="111"/>
      <c r="AG414" s="111"/>
      <c r="AH414" s="112"/>
      <c r="AI414" s="113"/>
      <c r="AK414" s="111"/>
      <c r="AL414" s="111"/>
      <c r="AM414" s="111"/>
      <c r="AN414" s="112"/>
      <c r="AO414" s="113"/>
      <c r="AQ414" s="17"/>
      <c r="AR414" s="17"/>
      <c r="AS414" s="17"/>
      <c r="AT414" s="18">
        <f t="shared" si="469"/>
        <v>2</v>
      </c>
      <c r="AU414" s="19">
        <f t="shared" si="472"/>
        <v>1</v>
      </c>
      <c r="AW414" s="17"/>
      <c r="AX414" s="17"/>
      <c r="AY414" s="17"/>
      <c r="AZ414" s="18">
        <f t="shared" si="470"/>
        <v>2</v>
      </c>
      <c r="BA414" s="19">
        <f t="shared" si="473"/>
        <v>0.66666666666666663</v>
      </c>
    </row>
    <row r="415" spans="1:53" ht="17.100000000000001" customHeight="1" x14ac:dyDescent="0.25">
      <c r="A415" s="40"/>
      <c r="B415" s="40"/>
      <c r="C415" s="40"/>
      <c r="D415" s="56" t="s">
        <v>226</v>
      </c>
      <c r="E415" s="75" t="s">
        <v>227</v>
      </c>
      <c r="F415" s="75"/>
      <c r="G415" s="75"/>
      <c r="H415" s="540"/>
      <c r="I415" s="229"/>
      <c r="J415" s="111"/>
      <c r="K415" s="111"/>
      <c r="L415" s="111"/>
      <c r="M415" s="111"/>
      <c r="N415" s="60"/>
      <c r="O415" s="60"/>
      <c r="P415" s="17">
        <f t="shared" si="464"/>
        <v>0</v>
      </c>
      <c r="Q415" s="60"/>
      <c r="R415" s="60"/>
      <c r="S415" s="17">
        <f t="shared" si="465"/>
        <v>0</v>
      </c>
      <c r="T415" s="60"/>
      <c r="U415" s="60"/>
      <c r="V415" s="359">
        <f t="shared" si="466"/>
        <v>0</v>
      </c>
      <c r="W415" s="391">
        <f t="shared" si="467"/>
        <v>0</v>
      </c>
      <c r="X415" s="17">
        <f t="shared" si="468"/>
        <v>0</v>
      </c>
      <c r="Y415" s="18">
        <f>SUM(W415:X415)</f>
        <v>0</v>
      </c>
      <c r="Z415" s="19">
        <f t="shared" si="471"/>
        <v>0</v>
      </c>
      <c r="AA415" s="19"/>
      <c r="AB415" s="19"/>
      <c r="AC415" s="17"/>
      <c r="AE415" s="111"/>
      <c r="AF415" s="111"/>
      <c r="AG415" s="111"/>
      <c r="AH415" s="112"/>
      <c r="AI415" s="113"/>
      <c r="AK415" s="111"/>
      <c r="AL415" s="111"/>
      <c r="AM415" s="111"/>
      <c r="AN415" s="112"/>
      <c r="AO415" s="113"/>
      <c r="AQ415" s="17"/>
      <c r="AR415" s="17"/>
      <c r="AS415" s="17"/>
      <c r="AT415" s="18">
        <f t="shared" si="469"/>
        <v>0</v>
      </c>
      <c r="AU415" s="19">
        <f t="shared" si="472"/>
        <v>0</v>
      </c>
      <c r="AW415" s="17"/>
      <c r="AX415" s="17"/>
      <c r="AY415" s="17"/>
      <c r="AZ415" s="18">
        <f t="shared" si="470"/>
        <v>0</v>
      </c>
      <c r="BA415" s="19">
        <f t="shared" si="473"/>
        <v>0</v>
      </c>
    </row>
    <row r="416" spans="1:53" ht="17.100000000000001" customHeight="1" x14ac:dyDescent="0.25">
      <c r="A416" s="40"/>
      <c r="B416" s="40"/>
      <c r="C416" s="179"/>
      <c r="D416" s="56" t="s">
        <v>228</v>
      </c>
      <c r="E416" s="75" t="s">
        <v>229</v>
      </c>
      <c r="F416" s="75"/>
      <c r="G416" s="75"/>
      <c r="H416" s="540"/>
      <c r="I416" s="229"/>
      <c r="J416" s="111"/>
      <c r="K416" s="111"/>
      <c r="L416" s="111"/>
      <c r="M416" s="111"/>
      <c r="N416" s="111">
        <f t="shared" ref="N416:V416" si="474">SUM(N417:N420)</f>
        <v>0</v>
      </c>
      <c r="O416" s="111">
        <f t="shared" si="474"/>
        <v>0</v>
      </c>
      <c r="P416" s="111">
        <f t="shared" si="474"/>
        <v>0</v>
      </c>
      <c r="Q416" s="111">
        <f t="shared" si="474"/>
        <v>0</v>
      </c>
      <c r="R416" s="111">
        <f t="shared" si="474"/>
        <v>0</v>
      </c>
      <c r="S416" s="111">
        <f t="shared" si="474"/>
        <v>0</v>
      </c>
      <c r="T416" s="111">
        <f t="shared" si="474"/>
        <v>0</v>
      </c>
      <c r="U416" s="111">
        <f t="shared" si="474"/>
        <v>0</v>
      </c>
      <c r="V416" s="111">
        <f t="shared" si="474"/>
        <v>0</v>
      </c>
      <c r="W416" s="380">
        <f t="shared" si="467"/>
        <v>0</v>
      </c>
      <c r="X416" s="111">
        <f t="shared" si="468"/>
        <v>0</v>
      </c>
      <c r="Y416" s="545">
        <f>SUM(J416:X416)</f>
        <v>0</v>
      </c>
      <c r="Z416" s="131">
        <f>IF(Y$421=0,0,Y416/Y$421)</f>
        <v>0</v>
      </c>
      <c r="AA416" s="131"/>
      <c r="AB416" s="131"/>
      <c r="AC416" s="111"/>
      <c r="AE416" s="111"/>
      <c r="AF416" s="111"/>
      <c r="AG416" s="111"/>
      <c r="AH416" s="112"/>
      <c r="AI416" s="113"/>
      <c r="AK416" s="111"/>
      <c r="AL416" s="111"/>
      <c r="AM416" s="111"/>
      <c r="AN416" s="112"/>
      <c r="AO416" s="113"/>
      <c r="AQ416" s="111"/>
      <c r="AR416" s="111"/>
      <c r="AS416" s="111"/>
      <c r="AT416" s="545">
        <f t="shared" si="469"/>
        <v>0</v>
      </c>
      <c r="AU416" s="404">
        <f t="shared" si="472"/>
        <v>0</v>
      </c>
      <c r="AW416" s="174"/>
      <c r="AX416" s="174"/>
      <c r="AY416" s="174"/>
      <c r="AZ416" s="405">
        <f t="shared" si="470"/>
        <v>0</v>
      </c>
      <c r="BA416" s="404">
        <f t="shared" si="473"/>
        <v>0</v>
      </c>
    </row>
    <row r="417" spans="1:53" ht="17.100000000000001" customHeight="1" x14ac:dyDescent="0.25">
      <c r="A417" s="40"/>
      <c r="B417" s="40"/>
      <c r="C417" s="179"/>
      <c r="D417" s="74"/>
      <c r="E417" s="168"/>
      <c r="F417" s="169"/>
      <c r="G417" s="169"/>
      <c r="H417" s="17"/>
      <c r="I417" s="594"/>
      <c r="J417" s="111"/>
      <c r="K417" s="111"/>
      <c r="L417" s="111"/>
      <c r="M417" s="111"/>
      <c r="N417" s="60"/>
      <c r="O417" s="60"/>
      <c r="P417" s="17"/>
      <c r="Q417" s="60"/>
      <c r="R417" s="60"/>
      <c r="S417" s="17"/>
      <c r="T417" s="60"/>
      <c r="U417" s="60"/>
      <c r="V417" s="359"/>
      <c r="W417" s="391"/>
      <c r="X417" s="17"/>
      <c r="Y417" s="18"/>
      <c r="Z417" s="19"/>
      <c r="AA417" s="19"/>
      <c r="AB417" s="19"/>
      <c r="AC417" s="17"/>
      <c r="AE417" s="111"/>
      <c r="AF417" s="111"/>
      <c r="AG417" s="111"/>
      <c r="AH417" s="545"/>
      <c r="AI417" s="131"/>
      <c r="AK417" s="111"/>
      <c r="AL417" s="111"/>
      <c r="AM417" s="111"/>
      <c r="AN417" s="545"/>
      <c r="AO417" s="131"/>
      <c r="AQ417" s="17"/>
      <c r="AR417" s="17"/>
      <c r="AS417" s="17"/>
      <c r="AT417" s="18"/>
      <c r="AU417" s="19"/>
      <c r="AW417" s="17"/>
      <c r="AX417" s="17"/>
      <c r="AY417" s="17"/>
      <c r="AZ417" s="18"/>
      <c r="BA417" s="19"/>
    </row>
    <row r="418" spans="1:53" ht="17.100000000000001" customHeight="1" x14ac:dyDescent="0.25">
      <c r="A418" s="40"/>
      <c r="B418" s="40"/>
      <c r="C418" s="179"/>
      <c r="D418" s="74"/>
      <c r="E418" s="170"/>
      <c r="F418" s="171"/>
      <c r="G418" s="171"/>
      <c r="H418" s="17"/>
      <c r="I418" s="594"/>
      <c r="J418" s="111"/>
      <c r="K418" s="111"/>
      <c r="L418" s="111"/>
      <c r="M418" s="111"/>
      <c r="N418" s="61"/>
      <c r="O418" s="61"/>
      <c r="P418" s="17"/>
      <c r="Q418" s="61"/>
      <c r="R418" s="61"/>
      <c r="S418" s="17"/>
      <c r="T418" s="61"/>
      <c r="U418" s="61"/>
      <c r="V418" s="359"/>
      <c r="W418" s="391"/>
      <c r="X418" s="17"/>
      <c r="Y418" s="18"/>
      <c r="Z418" s="19"/>
      <c r="AA418" s="19"/>
      <c r="AB418" s="19"/>
      <c r="AC418" s="17"/>
      <c r="AE418" s="111"/>
      <c r="AF418" s="111"/>
      <c r="AG418" s="111"/>
      <c r="AH418" s="545"/>
      <c r="AI418" s="131"/>
      <c r="AK418" s="111"/>
      <c r="AL418" s="111"/>
      <c r="AM418" s="111"/>
      <c r="AN418" s="545"/>
      <c r="AO418" s="131"/>
      <c r="AQ418" s="17"/>
      <c r="AR418" s="17"/>
      <c r="AS418" s="17"/>
      <c r="AT418" s="18"/>
      <c r="AU418" s="19"/>
      <c r="AW418" s="17"/>
      <c r="AX418" s="17"/>
      <c r="AY418" s="17"/>
      <c r="AZ418" s="18"/>
      <c r="BA418" s="19"/>
    </row>
    <row r="419" spans="1:53" ht="17.100000000000001" customHeight="1" x14ac:dyDescent="0.25">
      <c r="A419" s="40"/>
      <c r="B419" s="40"/>
      <c r="C419" s="179"/>
      <c r="D419" s="74"/>
      <c r="E419" s="168"/>
      <c r="F419" s="169"/>
      <c r="G419" s="169"/>
      <c r="H419" s="17"/>
      <c r="I419" s="594"/>
      <c r="J419" s="111"/>
      <c r="K419" s="111"/>
      <c r="L419" s="111"/>
      <c r="M419" s="111"/>
      <c r="N419" s="60"/>
      <c r="O419" s="60"/>
      <c r="P419" s="17"/>
      <c r="Q419" s="60"/>
      <c r="R419" s="60"/>
      <c r="S419" s="17"/>
      <c r="T419" s="60"/>
      <c r="U419" s="60"/>
      <c r="V419" s="359"/>
      <c r="W419" s="391"/>
      <c r="X419" s="17"/>
      <c r="Y419" s="18"/>
      <c r="Z419" s="19"/>
      <c r="AA419" s="19"/>
      <c r="AB419" s="19"/>
      <c r="AC419" s="17"/>
      <c r="AE419" s="111"/>
      <c r="AF419" s="111"/>
      <c r="AG419" s="111"/>
      <c r="AH419" s="545"/>
      <c r="AI419" s="131"/>
      <c r="AK419" s="111"/>
      <c r="AL419" s="111"/>
      <c r="AM419" s="111"/>
      <c r="AN419" s="545"/>
      <c r="AO419" s="131"/>
      <c r="AQ419" s="17"/>
      <c r="AR419" s="17"/>
      <c r="AS419" s="17"/>
      <c r="AT419" s="18"/>
      <c r="AU419" s="19"/>
      <c r="AW419" s="17"/>
      <c r="AX419" s="17"/>
      <c r="AY419" s="17"/>
      <c r="AZ419" s="18"/>
      <c r="BA419" s="19"/>
    </row>
    <row r="420" spans="1:53" ht="17.100000000000001" customHeight="1" x14ac:dyDescent="0.25">
      <c r="A420" s="40"/>
      <c r="B420" s="40"/>
      <c r="C420" s="179"/>
      <c r="D420" s="74"/>
      <c r="E420" s="170"/>
      <c r="F420" s="171"/>
      <c r="G420" s="171"/>
      <c r="H420" s="17"/>
      <c r="I420" s="594"/>
      <c r="J420" s="111"/>
      <c r="K420" s="111"/>
      <c r="L420" s="111"/>
      <c r="M420" s="111"/>
      <c r="N420" s="61"/>
      <c r="O420" s="61"/>
      <c r="P420" s="17"/>
      <c r="Q420" s="61"/>
      <c r="R420" s="61"/>
      <c r="S420" s="17"/>
      <c r="T420" s="61"/>
      <c r="U420" s="61"/>
      <c r="V420" s="359"/>
      <c r="W420" s="391"/>
      <c r="X420" s="17"/>
      <c r="Y420" s="18"/>
      <c r="Z420" s="19"/>
      <c r="AA420" s="19"/>
      <c r="AB420" s="19"/>
      <c r="AC420" s="17"/>
      <c r="AE420" s="111"/>
      <c r="AF420" s="111"/>
      <c r="AG420" s="111"/>
      <c r="AH420" s="545"/>
      <c r="AI420" s="131"/>
      <c r="AK420" s="111"/>
      <c r="AL420" s="111"/>
      <c r="AM420" s="111"/>
      <c r="AN420" s="545"/>
      <c r="AO420" s="131"/>
      <c r="AQ420" s="17"/>
      <c r="AR420" s="17"/>
      <c r="AS420" s="17"/>
      <c r="AT420" s="18"/>
      <c r="AU420" s="19"/>
      <c r="AW420" s="17"/>
      <c r="AX420" s="17"/>
      <c r="AY420" s="17"/>
      <c r="AZ420" s="18"/>
      <c r="BA420" s="19"/>
    </row>
    <row r="421" spans="1:53" ht="17.100000000000001" customHeight="1" x14ac:dyDescent="0.25">
      <c r="A421" s="40"/>
      <c r="B421" s="40"/>
      <c r="C421" s="77"/>
      <c r="D421" s="134"/>
      <c r="E421" s="134"/>
      <c r="F421" s="134"/>
      <c r="G421" s="134"/>
      <c r="H421" s="540"/>
      <c r="I421" s="229"/>
      <c r="J421" s="80"/>
      <c r="K421" s="80"/>
      <c r="L421" s="81"/>
      <c r="M421" s="81"/>
      <c r="N421" s="81">
        <f>SUM(N411:N416)</f>
        <v>0</v>
      </c>
      <c r="O421" s="81">
        <f t="shared" ref="O421:V421" si="475">SUM(O411:O416)</f>
        <v>1</v>
      </c>
      <c r="P421" s="81">
        <f t="shared" si="475"/>
        <v>1</v>
      </c>
      <c r="Q421" s="81">
        <f t="shared" si="475"/>
        <v>2</v>
      </c>
      <c r="R421" s="81">
        <f t="shared" si="475"/>
        <v>2</v>
      </c>
      <c r="S421" s="81">
        <f t="shared" si="475"/>
        <v>4</v>
      </c>
      <c r="T421" s="81">
        <f t="shared" si="475"/>
        <v>0</v>
      </c>
      <c r="U421" s="81">
        <f t="shared" si="475"/>
        <v>0</v>
      </c>
      <c r="V421" s="81">
        <f t="shared" si="475"/>
        <v>0</v>
      </c>
      <c r="W421" s="381">
        <f>SUM(W411:W416)</f>
        <v>2</v>
      </c>
      <c r="X421" s="82">
        <f t="shared" ref="X421:Y421" si="476">SUM(X411:X416)</f>
        <v>3</v>
      </c>
      <c r="Y421" s="82">
        <f t="shared" si="476"/>
        <v>5</v>
      </c>
      <c r="Z421" s="205">
        <f t="shared" ref="Z421" si="477">IF(Y$421=0,0,Y421/Y$421)</f>
        <v>1</v>
      </c>
      <c r="AA421" s="205"/>
      <c r="AB421" s="205"/>
      <c r="AC421" s="83"/>
      <c r="AE421" s="80"/>
      <c r="AF421" s="80"/>
      <c r="AG421" s="81"/>
      <c r="AH421" s="82"/>
      <c r="AI421" s="66"/>
      <c r="AK421" s="80"/>
      <c r="AL421" s="80"/>
      <c r="AM421" s="81"/>
      <c r="AN421" s="82"/>
      <c r="AO421" s="66"/>
      <c r="AQ421" s="80"/>
      <c r="AR421" s="80"/>
      <c r="AS421" s="81"/>
      <c r="AT421" s="82">
        <f>SUM(AT411:AT416)</f>
        <v>2</v>
      </c>
      <c r="AU421" s="66">
        <f t="shared" si="472"/>
        <v>1</v>
      </c>
      <c r="AW421" s="80"/>
      <c r="AX421" s="80"/>
      <c r="AY421" s="81"/>
      <c r="AZ421" s="82">
        <f>SUM(AZ411:AZ416)</f>
        <v>3</v>
      </c>
      <c r="BA421" s="66">
        <f t="shared" si="473"/>
        <v>1</v>
      </c>
    </row>
    <row r="422" spans="1:53" s="117" customFormat="1" ht="17.100000000000001" customHeight="1" x14ac:dyDescent="0.25">
      <c r="A422" s="68"/>
      <c r="B422" s="119"/>
      <c r="C422" s="540"/>
      <c r="D422" s="261"/>
      <c r="E422" s="261"/>
      <c r="F422" s="68"/>
      <c r="G422" s="68"/>
      <c r="H422" s="119"/>
      <c r="I422" s="138"/>
      <c r="J422" s="17"/>
      <c r="K422" s="17"/>
      <c r="L422" s="17"/>
      <c r="M422" s="17"/>
      <c r="N422" s="17" t="str">
        <f>IF(N421&gt;=N$409,"OK","NOK")</f>
        <v>OK</v>
      </c>
      <c r="O422" s="17" t="str">
        <f t="shared" ref="O422:U422" si="478">IF(O421&gt;=O$409,"OK","NOK")</f>
        <v>OK</v>
      </c>
      <c r="P422" s="17"/>
      <c r="Q422" s="17" t="str">
        <f t="shared" si="478"/>
        <v>OK</v>
      </c>
      <c r="R422" s="17" t="str">
        <f t="shared" si="478"/>
        <v>OK</v>
      </c>
      <c r="S422" s="17"/>
      <c r="T422" s="17" t="str">
        <f t="shared" si="478"/>
        <v>OK</v>
      </c>
      <c r="U422" s="17" t="str">
        <f t="shared" si="478"/>
        <v>OK</v>
      </c>
      <c r="V422" s="17"/>
      <c r="W422" s="382"/>
      <c r="X422" s="539"/>
      <c r="Y422" s="539"/>
      <c r="Z422" s="201"/>
      <c r="AA422" s="201"/>
      <c r="AB422" s="201"/>
      <c r="AC422" s="84"/>
      <c r="AE422" s="46"/>
      <c r="AF422" s="46"/>
      <c r="AG422" s="17"/>
      <c r="AH422" s="539"/>
      <c r="AI422" s="91"/>
      <c r="AK422" s="46"/>
      <c r="AL422" s="46"/>
      <c r="AM422" s="17"/>
      <c r="AN422" s="539"/>
      <c r="AO422" s="91"/>
      <c r="AQ422" s="46"/>
      <c r="AR422" s="46"/>
      <c r="AS422" s="17"/>
      <c r="AT422" s="539"/>
      <c r="AU422" s="91"/>
      <c r="AW422" s="46"/>
      <c r="AX422" s="46"/>
      <c r="AY422" s="17"/>
      <c r="AZ422" s="539"/>
      <c r="BA422" s="91"/>
    </row>
    <row r="423" spans="1:53" ht="17.100000000000001" customHeight="1" x14ac:dyDescent="0.25">
      <c r="A423" s="175"/>
      <c r="B423" s="40"/>
      <c r="C423" s="56" t="s">
        <v>230</v>
      </c>
      <c r="D423" s="57" t="s">
        <v>231</v>
      </c>
      <c r="E423" s="149"/>
      <c r="F423" s="149"/>
      <c r="G423" s="149"/>
      <c r="H423" s="182"/>
      <c r="I423" s="241"/>
      <c r="J423" s="152"/>
      <c r="K423" s="152"/>
      <c r="L423" s="111"/>
      <c r="M423" s="111"/>
      <c r="N423" s="111"/>
      <c r="O423" s="111"/>
      <c r="P423" s="111"/>
      <c r="Q423" s="111"/>
      <c r="R423" s="111"/>
      <c r="S423" s="111"/>
      <c r="T423" s="111"/>
      <c r="U423" s="111"/>
      <c r="V423" s="358"/>
      <c r="W423" s="380"/>
      <c r="X423" s="111"/>
      <c r="Y423" s="545"/>
      <c r="Z423" s="131"/>
      <c r="AA423" s="131"/>
      <c r="AB423" s="131"/>
      <c r="AC423" s="113"/>
      <c r="AE423" s="152"/>
      <c r="AF423" s="152"/>
      <c r="AG423" s="111"/>
      <c r="AH423" s="545"/>
      <c r="AI423" s="131"/>
      <c r="AK423" s="152"/>
      <c r="AL423" s="152"/>
      <c r="AM423" s="111"/>
      <c r="AN423" s="545"/>
      <c r="AO423" s="131"/>
      <c r="AQ423" s="152"/>
      <c r="AR423" s="152"/>
      <c r="AS423" s="111"/>
      <c r="AT423" s="545"/>
      <c r="AU423" s="131"/>
      <c r="AW423" s="152"/>
      <c r="AX423" s="152"/>
      <c r="AY423" s="111"/>
      <c r="AZ423" s="545"/>
      <c r="BA423" s="131"/>
    </row>
    <row r="424" spans="1:53" ht="17.100000000000001" customHeight="1" x14ac:dyDescent="0.25">
      <c r="A424" s="175"/>
      <c r="B424" s="40"/>
      <c r="C424" s="55"/>
      <c r="D424" s="56" t="s">
        <v>232</v>
      </c>
      <c r="E424" s="85" t="s">
        <v>173</v>
      </c>
      <c r="F424" s="167"/>
      <c r="G424" s="149"/>
      <c r="H424" s="182"/>
      <c r="I424" s="241"/>
      <c r="J424" s="111"/>
      <c r="K424" s="111"/>
      <c r="L424" s="111"/>
      <c r="M424" s="111"/>
      <c r="N424" s="60"/>
      <c r="O424" s="60"/>
      <c r="P424" s="17">
        <f>SUM(N424:O424)</f>
        <v>0</v>
      </c>
      <c r="Q424" s="60"/>
      <c r="R424" s="60"/>
      <c r="S424" s="17">
        <f>SUM(Q424:R424)</f>
        <v>0</v>
      </c>
      <c r="T424" s="60"/>
      <c r="U424" s="60"/>
      <c r="V424" s="359">
        <f>SUM(T424:U424)</f>
        <v>0</v>
      </c>
      <c r="W424" s="391">
        <f t="shared" ref="W424:W425" si="479">J424+K424+N424+Q424+T424</f>
        <v>0</v>
      </c>
      <c r="X424" s="17">
        <f t="shared" ref="X424:X425" si="480">L424+O424+R424+U424</f>
        <v>0</v>
      </c>
      <c r="Y424" s="18">
        <f>SUM(W424:X424)</f>
        <v>0</v>
      </c>
      <c r="Z424" s="19">
        <f>IF(Y$370=0,0,Y424/Y$370)</f>
        <v>0</v>
      </c>
      <c r="AA424" s="19"/>
      <c r="AB424" s="19"/>
      <c r="AC424" s="20"/>
      <c r="AE424" s="111"/>
      <c r="AF424" s="111"/>
      <c r="AG424" s="111"/>
      <c r="AH424" s="112"/>
      <c r="AI424" s="113"/>
      <c r="AK424" s="111"/>
      <c r="AL424" s="111"/>
      <c r="AM424" s="111"/>
      <c r="AN424" s="112"/>
      <c r="AO424" s="113"/>
      <c r="AQ424" s="17"/>
      <c r="AR424" s="17"/>
      <c r="AS424" s="17"/>
      <c r="AT424" s="18">
        <f t="shared" ref="AT424:AT425" si="481">W424</f>
        <v>0</v>
      </c>
      <c r="AU424" s="19">
        <f>IF(AT$430=0,0,AT424/AT$430)</f>
        <v>0</v>
      </c>
      <c r="AW424" s="17"/>
      <c r="AX424" s="17"/>
      <c r="AY424" s="17"/>
      <c r="AZ424" s="18">
        <f t="shared" ref="AZ424:AZ425" si="482">X424</f>
        <v>0</v>
      </c>
      <c r="BA424" s="19">
        <f>IF(AZ$430=0,0,AZ424/AZ$430)</f>
        <v>0</v>
      </c>
    </row>
    <row r="425" spans="1:53" ht="17.100000000000001" customHeight="1" x14ac:dyDescent="0.25">
      <c r="A425" s="175"/>
      <c r="B425" s="40"/>
      <c r="C425" s="55"/>
      <c r="D425" s="56" t="s">
        <v>233</v>
      </c>
      <c r="E425" s="85" t="s">
        <v>544</v>
      </c>
      <c r="F425" s="167"/>
      <c r="G425" s="149"/>
      <c r="H425" s="182"/>
      <c r="I425" s="241"/>
      <c r="J425" s="111"/>
      <c r="K425" s="111"/>
      <c r="L425" s="111"/>
      <c r="M425" s="111"/>
      <c r="N425" s="61"/>
      <c r="O425" s="61">
        <v>1</v>
      </c>
      <c r="P425" s="17">
        <f t="shared" ref="P425:P429" si="483">SUM(N425:O425)</f>
        <v>1</v>
      </c>
      <c r="Q425" s="61">
        <v>2</v>
      </c>
      <c r="R425" s="61">
        <v>2</v>
      </c>
      <c r="S425" s="17">
        <f t="shared" ref="S425:S429" si="484">SUM(Q425:R425)</f>
        <v>4</v>
      </c>
      <c r="T425" s="61"/>
      <c r="U425" s="61"/>
      <c r="V425" s="359">
        <f t="shared" ref="V425:V429" si="485">SUM(T425:U425)</f>
        <v>0</v>
      </c>
      <c r="W425" s="391">
        <f t="shared" si="479"/>
        <v>2</v>
      </c>
      <c r="X425" s="17">
        <f t="shared" si="480"/>
        <v>3</v>
      </c>
      <c r="Y425" s="18">
        <f>SUM(W425:X425)</f>
        <v>5</v>
      </c>
      <c r="Z425" s="19">
        <f>IF(Y$370=0,0,Y425/Y$370)</f>
        <v>0</v>
      </c>
      <c r="AA425" s="19"/>
      <c r="AB425" s="19"/>
      <c r="AC425" s="20"/>
      <c r="AE425" s="111"/>
      <c r="AF425" s="111"/>
      <c r="AG425" s="111"/>
      <c r="AH425" s="112"/>
      <c r="AI425" s="113"/>
      <c r="AK425" s="111"/>
      <c r="AL425" s="111"/>
      <c r="AM425" s="111"/>
      <c r="AN425" s="112"/>
      <c r="AO425" s="113"/>
      <c r="AQ425" s="17"/>
      <c r="AR425" s="17"/>
      <c r="AS425" s="17"/>
      <c r="AT425" s="18">
        <f t="shared" si="481"/>
        <v>2</v>
      </c>
      <c r="AU425" s="19">
        <f>IF(AT$430=0,0,AT425/AT$430)</f>
        <v>1</v>
      </c>
      <c r="AW425" s="17"/>
      <c r="AX425" s="17"/>
      <c r="AY425" s="17"/>
      <c r="AZ425" s="18">
        <f t="shared" si="482"/>
        <v>3</v>
      </c>
      <c r="BA425" s="19">
        <f>IF(AZ$430=0,0,AZ425/AZ$430)</f>
        <v>1</v>
      </c>
    </row>
    <row r="426" spans="1:53" ht="17.100000000000001" customHeight="1" x14ac:dyDescent="0.25">
      <c r="A426" s="175"/>
      <c r="B426" s="40"/>
      <c r="C426" s="55"/>
      <c r="D426" s="56" t="s">
        <v>234</v>
      </c>
      <c r="E426" s="146" t="s">
        <v>484</v>
      </c>
      <c r="F426" s="149"/>
      <c r="G426" s="149"/>
      <c r="H426" s="182"/>
      <c r="I426" s="241"/>
      <c r="J426" s="111"/>
      <c r="K426" s="111"/>
      <c r="L426" s="111"/>
      <c r="M426" s="111"/>
      <c r="N426" s="60"/>
      <c r="O426" s="60">
        <v>400000</v>
      </c>
      <c r="P426" s="17"/>
      <c r="Q426" s="60">
        <v>400000</v>
      </c>
      <c r="R426" s="60">
        <v>250000</v>
      </c>
      <c r="S426" s="17"/>
      <c r="T426" s="60"/>
      <c r="U426" s="60"/>
      <c r="V426" s="359"/>
      <c r="W426" s="391">
        <f>MIN(N426,Q426,T426)</f>
        <v>400000</v>
      </c>
      <c r="X426" s="17">
        <f>MIN(O426,R426,U426)</f>
        <v>250000</v>
      </c>
      <c r="Y426" s="18"/>
      <c r="Z426" s="19"/>
      <c r="AA426" s="17">
        <f>MIN(N426:U426)</f>
        <v>250000</v>
      </c>
      <c r="AB426" s="17"/>
      <c r="AC426" s="17"/>
      <c r="AE426" s="111"/>
      <c r="AF426" s="111"/>
      <c r="AG426" s="111"/>
      <c r="AH426" s="545"/>
      <c r="AI426" s="131"/>
      <c r="AK426" s="111"/>
      <c r="AL426" s="111"/>
      <c r="AM426" s="111"/>
      <c r="AN426" s="545"/>
      <c r="AO426" s="131"/>
      <c r="AQ426" s="17">
        <f>W426</f>
        <v>400000</v>
      </c>
      <c r="AR426" s="17"/>
      <c r="AS426" s="17"/>
      <c r="AT426" s="18"/>
      <c r="AU426" s="19"/>
      <c r="AW426" s="17">
        <f>X426</f>
        <v>250000</v>
      </c>
      <c r="AX426" s="17"/>
      <c r="AY426" s="17"/>
      <c r="AZ426" s="18"/>
      <c r="BA426" s="19"/>
    </row>
    <row r="427" spans="1:53" ht="17.100000000000001" customHeight="1" x14ac:dyDescent="0.25">
      <c r="A427" s="175"/>
      <c r="B427" s="40"/>
      <c r="C427" s="55"/>
      <c r="D427" s="56" t="s">
        <v>235</v>
      </c>
      <c r="E427" s="146" t="s">
        <v>485</v>
      </c>
      <c r="F427" s="149"/>
      <c r="G427" s="149"/>
      <c r="H427" s="182"/>
      <c r="I427" s="241"/>
      <c r="J427" s="111"/>
      <c r="K427" s="111"/>
      <c r="L427" s="111"/>
      <c r="M427" s="111"/>
      <c r="N427" s="61"/>
      <c r="O427" s="61">
        <v>400000</v>
      </c>
      <c r="P427" s="17"/>
      <c r="Q427" s="61">
        <v>600000</v>
      </c>
      <c r="R427" s="61">
        <v>500000</v>
      </c>
      <c r="S427" s="17"/>
      <c r="T427" s="61"/>
      <c r="U427" s="61"/>
      <c r="V427" s="359"/>
      <c r="W427" s="391">
        <f>MAX(N427,Q427,T427)</f>
        <v>600000</v>
      </c>
      <c r="X427" s="17">
        <f>MAX(O427,R427,U427)</f>
        <v>500000</v>
      </c>
      <c r="Y427" s="18"/>
      <c r="Z427" s="19"/>
      <c r="AA427" s="17"/>
      <c r="AB427" s="17">
        <f>MAX(N427:U427)</f>
        <v>600000</v>
      </c>
      <c r="AC427" s="17"/>
      <c r="AE427" s="111"/>
      <c r="AF427" s="111"/>
      <c r="AG427" s="111"/>
      <c r="AH427" s="545"/>
      <c r="AI427" s="131"/>
      <c r="AK427" s="111"/>
      <c r="AL427" s="111"/>
      <c r="AM427" s="111"/>
      <c r="AN427" s="545"/>
      <c r="AO427" s="131"/>
      <c r="AQ427" s="17"/>
      <c r="AR427" s="17">
        <f>W427</f>
        <v>600000</v>
      </c>
      <c r="AS427" s="17"/>
      <c r="AT427" s="18"/>
      <c r="AU427" s="19"/>
      <c r="AW427" s="17"/>
      <c r="AX427" s="17">
        <f>X427</f>
        <v>500000</v>
      </c>
      <c r="AY427" s="17"/>
      <c r="AZ427" s="18"/>
      <c r="BA427" s="19"/>
    </row>
    <row r="428" spans="1:53" ht="17.100000000000001" customHeight="1" x14ac:dyDescent="0.25">
      <c r="A428" s="175"/>
      <c r="B428" s="40"/>
      <c r="C428" s="55"/>
      <c r="D428" s="56" t="s">
        <v>236</v>
      </c>
      <c r="E428" s="146" t="s">
        <v>543</v>
      </c>
      <c r="F428" s="149"/>
      <c r="G428" s="149"/>
      <c r="H428" s="182"/>
      <c r="I428" s="241"/>
      <c r="J428" s="111"/>
      <c r="K428" s="111"/>
      <c r="L428" s="111"/>
      <c r="M428" s="111"/>
      <c r="N428" s="60"/>
      <c r="O428" s="60">
        <v>400000</v>
      </c>
      <c r="P428" s="17"/>
      <c r="Q428" s="60">
        <v>500000</v>
      </c>
      <c r="R428" s="60">
        <v>375000</v>
      </c>
      <c r="S428" s="17"/>
      <c r="T428" s="60"/>
      <c r="U428" s="60"/>
      <c r="V428" s="359"/>
      <c r="W428" s="391">
        <f>IF(N428+Q428+T428=0,0,AVERAGE(N428,Q428,T428))</f>
        <v>500000</v>
      </c>
      <c r="X428" s="17">
        <f>IF(O428+R428+U428=0,0,AVERAGE(O428,R428,U428))</f>
        <v>387500</v>
      </c>
      <c r="Y428" s="18"/>
      <c r="Z428" s="19"/>
      <c r="AA428" s="17"/>
      <c r="AB428" s="17"/>
      <c r="AC428" s="17">
        <f>IF(SUM(N428:U428)=0,0,AVERAGE(N428:U428))</f>
        <v>425000</v>
      </c>
      <c r="AE428" s="111"/>
      <c r="AF428" s="111"/>
      <c r="AG428" s="111"/>
      <c r="AH428" s="545"/>
      <c r="AI428" s="131"/>
      <c r="AK428" s="111"/>
      <c r="AL428" s="111"/>
      <c r="AM428" s="111"/>
      <c r="AN428" s="545"/>
      <c r="AO428" s="131"/>
      <c r="AQ428" s="17"/>
      <c r="AR428" s="17"/>
      <c r="AS428" s="17">
        <f>W428</f>
        <v>500000</v>
      </c>
      <c r="AT428" s="18"/>
      <c r="AU428" s="19"/>
      <c r="AW428" s="17"/>
      <c r="AX428" s="17"/>
      <c r="AY428" s="17">
        <f>X428</f>
        <v>387500</v>
      </c>
      <c r="AZ428" s="18"/>
      <c r="BA428" s="19"/>
    </row>
    <row r="429" spans="1:53" ht="17.100000000000001" customHeight="1" x14ac:dyDescent="0.25">
      <c r="A429" s="175"/>
      <c r="B429" s="40"/>
      <c r="C429" s="55"/>
      <c r="D429" s="56" t="s">
        <v>237</v>
      </c>
      <c r="E429" s="85" t="s">
        <v>129</v>
      </c>
      <c r="F429" s="167"/>
      <c r="G429" s="149"/>
      <c r="H429" s="182"/>
      <c r="I429" s="241"/>
      <c r="J429" s="111"/>
      <c r="K429" s="111"/>
      <c r="L429" s="111"/>
      <c r="M429" s="111"/>
      <c r="N429" s="61"/>
      <c r="O429" s="61"/>
      <c r="P429" s="17">
        <f t="shared" si="483"/>
        <v>0</v>
      </c>
      <c r="Q429" s="61"/>
      <c r="R429" s="61"/>
      <c r="S429" s="17">
        <f t="shared" si="484"/>
        <v>0</v>
      </c>
      <c r="T429" s="61"/>
      <c r="U429" s="61"/>
      <c r="V429" s="359">
        <f t="shared" si="485"/>
        <v>0</v>
      </c>
      <c r="W429" s="391">
        <f t="shared" ref="W429" si="486">J429+K429+N429+Q429+T429</f>
        <v>0</v>
      </c>
      <c r="X429" s="17">
        <f t="shared" ref="X429" si="487">L429+O429+R429+U429</f>
        <v>0</v>
      </c>
      <c r="Y429" s="18">
        <f>SUM(W429:X429)</f>
        <v>0</v>
      </c>
      <c r="Z429" s="19">
        <f>IF(Y$370=0,0,Y429/Y$370)</f>
        <v>0</v>
      </c>
      <c r="AA429" s="19"/>
      <c r="AB429" s="19"/>
      <c r="AC429" s="20"/>
      <c r="AE429" s="111"/>
      <c r="AF429" s="111"/>
      <c r="AG429" s="111"/>
      <c r="AH429" s="112"/>
      <c r="AI429" s="113"/>
      <c r="AK429" s="111"/>
      <c r="AL429" s="111"/>
      <c r="AM429" s="111"/>
      <c r="AN429" s="112"/>
      <c r="AO429" s="113"/>
      <c r="AQ429" s="17"/>
      <c r="AR429" s="17"/>
      <c r="AS429" s="17"/>
      <c r="AT429" s="18">
        <f t="shared" ref="AT429" si="488">W429</f>
        <v>0</v>
      </c>
      <c r="AU429" s="19">
        <f>IF(AT$430=0,0,AT429/AT$430)</f>
        <v>0</v>
      </c>
      <c r="AW429" s="17"/>
      <c r="AX429" s="17"/>
      <c r="AY429" s="17"/>
      <c r="AZ429" s="18">
        <f t="shared" ref="AZ429" si="489">X429</f>
        <v>0</v>
      </c>
      <c r="BA429" s="19">
        <f>IF(AZ$430=0,0,AZ429/AZ$430)</f>
        <v>0</v>
      </c>
    </row>
    <row r="430" spans="1:53" ht="17.100000000000001" customHeight="1" x14ac:dyDescent="0.25">
      <c r="A430" s="40"/>
      <c r="B430" s="40"/>
      <c r="C430" s="77"/>
      <c r="D430" s="134"/>
      <c r="E430" s="134"/>
      <c r="F430" s="134"/>
      <c r="G430" s="134"/>
      <c r="H430" s="540"/>
      <c r="I430" s="229"/>
      <c r="J430" s="80"/>
      <c r="K430" s="80"/>
      <c r="L430" s="81"/>
      <c r="M430" s="81"/>
      <c r="N430" s="81">
        <f>N424+N425+N429</f>
        <v>0</v>
      </c>
      <c r="O430" s="81">
        <f t="shared" ref="O430:V430" si="490">O424+O425+O429</f>
        <v>1</v>
      </c>
      <c r="P430" s="81">
        <f t="shared" si="490"/>
        <v>1</v>
      </c>
      <c r="Q430" s="81">
        <f t="shared" si="490"/>
        <v>2</v>
      </c>
      <c r="R430" s="81">
        <f t="shared" si="490"/>
        <v>2</v>
      </c>
      <c r="S430" s="81">
        <f t="shared" si="490"/>
        <v>4</v>
      </c>
      <c r="T430" s="81">
        <f t="shared" si="490"/>
        <v>0</v>
      </c>
      <c r="U430" s="81">
        <f t="shared" si="490"/>
        <v>0</v>
      </c>
      <c r="V430" s="81">
        <f t="shared" si="490"/>
        <v>0</v>
      </c>
      <c r="W430" s="381">
        <f>W424+W425+W429</f>
        <v>2</v>
      </c>
      <c r="X430" s="82">
        <f t="shared" ref="X430:Y430" si="491">X424+X425+X429</f>
        <v>3</v>
      </c>
      <c r="Y430" s="338">
        <f t="shared" si="491"/>
        <v>5</v>
      </c>
      <c r="Z430" s="205">
        <f>IF(Y$430=0,0,Y430/Y$430)</f>
        <v>1</v>
      </c>
      <c r="AA430" s="205"/>
      <c r="AB430" s="205"/>
      <c r="AC430" s="83"/>
      <c r="AE430" s="80"/>
      <c r="AF430" s="80"/>
      <c r="AG430" s="81"/>
      <c r="AH430" s="82"/>
      <c r="AI430" s="66"/>
      <c r="AK430" s="80"/>
      <c r="AL430" s="80"/>
      <c r="AM430" s="81"/>
      <c r="AN430" s="82"/>
      <c r="AO430" s="66"/>
      <c r="AQ430" s="80"/>
      <c r="AR430" s="80"/>
      <c r="AS430" s="81"/>
      <c r="AT430" s="82">
        <f>SUM(AT424:AT429)</f>
        <v>2</v>
      </c>
      <c r="AU430" s="66">
        <f>IF(AT$430=0,0,AT430/AT$430)</f>
        <v>1</v>
      </c>
      <c r="AW430" s="80"/>
      <c r="AX430" s="80"/>
      <c r="AY430" s="81"/>
      <c r="AZ430" s="82">
        <f>SUM(AZ424:AZ429)</f>
        <v>3</v>
      </c>
      <c r="BA430" s="66">
        <f>IF(AZ$430=0,0,AZ430/AZ$430)</f>
        <v>1</v>
      </c>
    </row>
    <row r="431" spans="1:53" s="117" customFormat="1" ht="17.100000000000001" customHeight="1" x14ac:dyDescent="0.25">
      <c r="A431" s="68"/>
      <c r="B431" s="119"/>
      <c r="C431" s="540"/>
      <c r="D431" s="261"/>
      <c r="E431" s="261"/>
      <c r="F431" s="68"/>
      <c r="G431" s="68"/>
      <c r="H431" s="119"/>
      <c r="I431" s="138"/>
      <c r="J431" s="17"/>
      <c r="K431" s="17"/>
      <c r="L431" s="17"/>
      <c r="M431" s="17"/>
      <c r="N431" s="17" t="str">
        <f>IF(N430=N$403,"OK","NOK")</f>
        <v>OK</v>
      </c>
      <c r="O431" s="17" t="str">
        <f>IF(O430=O$403,"OK","NOK")</f>
        <v>OK</v>
      </c>
      <c r="P431" s="17"/>
      <c r="Q431" s="17" t="str">
        <f>IF(Q430=Q$403,"OK","NOK")</f>
        <v>OK</v>
      </c>
      <c r="R431" s="17" t="str">
        <f>IF(R430=R$403,"OK","NOK")</f>
        <v>OK</v>
      </c>
      <c r="S431" s="17"/>
      <c r="T431" s="17" t="str">
        <f>IF(T430=T$403,"OK","NOK")</f>
        <v>OK</v>
      </c>
      <c r="U431" s="17" t="str">
        <f>IF(U430=U$403,"OK","NOK")</f>
        <v>OK</v>
      </c>
      <c r="V431" s="359"/>
      <c r="W431" s="382"/>
      <c r="X431" s="539"/>
      <c r="Y431" s="539"/>
      <c r="Z431" s="201"/>
      <c r="AA431" s="201"/>
      <c r="AB431" s="201"/>
      <c r="AC431" s="84"/>
      <c r="AE431" s="46"/>
      <c r="AF431" s="46"/>
      <c r="AG431" s="17"/>
      <c r="AH431" s="539"/>
      <c r="AI431" s="91"/>
      <c r="AK431" s="46"/>
      <c r="AL431" s="46"/>
      <c r="AM431" s="17"/>
      <c r="AN431" s="539"/>
      <c r="AO431" s="91"/>
      <c r="AQ431" s="46"/>
      <c r="AR431" s="46"/>
      <c r="AS431" s="17"/>
      <c r="AT431" s="539"/>
      <c r="AU431" s="91"/>
      <c r="AW431" s="46"/>
      <c r="AX431" s="46"/>
      <c r="AY431" s="17"/>
      <c r="AZ431" s="539"/>
      <c r="BA431" s="91"/>
    </row>
    <row r="432" spans="1:53" ht="17.100000000000001" customHeight="1" x14ac:dyDescent="0.25">
      <c r="A432" s="175"/>
      <c r="B432" s="40"/>
      <c r="C432" s="56" t="s">
        <v>238</v>
      </c>
      <c r="D432" s="57" t="s">
        <v>477</v>
      </c>
      <c r="E432" s="149"/>
      <c r="F432" s="149"/>
      <c r="G432" s="149"/>
      <c r="H432" s="182"/>
      <c r="I432" s="241"/>
      <c r="J432" s="152"/>
      <c r="K432" s="152"/>
      <c r="L432" s="111"/>
      <c r="M432" s="111"/>
      <c r="N432" s="111"/>
      <c r="O432" s="111"/>
      <c r="P432" s="111"/>
      <c r="Q432" s="111"/>
      <c r="R432" s="111"/>
      <c r="S432" s="111"/>
      <c r="T432" s="111"/>
      <c r="U432" s="111"/>
      <c r="V432" s="358"/>
      <c r="W432" s="380"/>
      <c r="X432" s="111"/>
      <c r="Y432" s="545"/>
      <c r="Z432" s="131"/>
      <c r="AA432" s="131"/>
      <c r="AB432" s="131"/>
      <c r="AC432" s="113"/>
      <c r="AE432" s="152"/>
      <c r="AF432" s="152"/>
      <c r="AG432" s="111"/>
      <c r="AH432" s="545"/>
      <c r="AI432" s="131"/>
      <c r="AK432" s="152"/>
      <c r="AL432" s="152"/>
      <c r="AM432" s="111"/>
      <c r="AN432" s="545"/>
      <c r="AO432" s="131"/>
      <c r="AQ432" s="152"/>
      <c r="AR432" s="152"/>
      <c r="AS432" s="111"/>
      <c r="AT432" s="545"/>
      <c r="AU432" s="131"/>
      <c r="AW432" s="152"/>
      <c r="AX432" s="152"/>
      <c r="AY432" s="111"/>
      <c r="AZ432" s="545"/>
      <c r="BA432" s="131"/>
    </row>
    <row r="433" spans="1:53" ht="17.100000000000001" customHeight="1" x14ac:dyDescent="0.25">
      <c r="A433" s="175"/>
      <c r="B433" s="40"/>
      <c r="C433" s="55"/>
      <c r="D433" s="56" t="s">
        <v>239</v>
      </c>
      <c r="E433" s="85" t="s">
        <v>478</v>
      </c>
      <c r="F433" s="149"/>
      <c r="G433" s="149"/>
      <c r="H433" s="182"/>
      <c r="I433" s="241"/>
      <c r="J433" s="111"/>
      <c r="K433" s="111"/>
      <c r="L433" s="111"/>
      <c r="M433" s="111"/>
      <c r="N433" s="60"/>
      <c r="O433" s="60"/>
      <c r="P433" s="17">
        <f t="shared" ref="P433:P440" si="492">SUM(N433:O433)</f>
        <v>0</v>
      </c>
      <c r="Q433" s="60"/>
      <c r="R433" s="60"/>
      <c r="S433" s="17">
        <f t="shared" ref="S433:S440" si="493">SUM(Q433:R433)</f>
        <v>0</v>
      </c>
      <c r="T433" s="60"/>
      <c r="U433" s="60"/>
      <c r="V433" s="359">
        <f t="shared" ref="V433:V440" si="494">SUM(T433:U433)</f>
        <v>0</v>
      </c>
      <c r="W433" s="391">
        <f t="shared" ref="W433:W440" si="495">J433+K433+N433+Q433+T433</f>
        <v>0</v>
      </c>
      <c r="X433" s="17">
        <f t="shared" ref="X433:X440" si="496">L433+O433+R433+U433</f>
        <v>0</v>
      </c>
      <c r="Y433" s="18">
        <f t="shared" ref="Y433:Y440" si="497">SUM(W433:X433)</f>
        <v>0</v>
      </c>
      <c r="Z433" s="19">
        <f>IF(Y$441=0,0,Y433/Y$441)</f>
        <v>0</v>
      </c>
      <c r="AA433" s="19"/>
      <c r="AB433" s="19"/>
      <c r="AC433" s="84"/>
      <c r="AE433" s="111"/>
      <c r="AF433" s="111"/>
      <c r="AG433" s="111"/>
      <c r="AH433" s="112"/>
      <c r="AI433" s="113"/>
      <c r="AK433" s="111"/>
      <c r="AL433" s="111"/>
      <c r="AM433" s="111"/>
      <c r="AN433" s="112"/>
      <c r="AO433" s="113"/>
      <c r="AQ433" s="17"/>
      <c r="AR433" s="17"/>
      <c r="AS433" s="17"/>
      <c r="AT433" s="18">
        <f t="shared" ref="AT433:AT440" si="498">W433</f>
        <v>0</v>
      </c>
      <c r="AU433" s="19">
        <f>IF(AT$441=0,0,AT433/AT$441)</f>
        <v>0</v>
      </c>
      <c r="AW433" s="17"/>
      <c r="AX433" s="17"/>
      <c r="AY433" s="17"/>
      <c r="AZ433" s="18">
        <f t="shared" ref="AZ433:AZ440" si="499">X433</f>
        <v>0</v>
      </c>
      <c r="BA433" s="19">
        <f>IF(AZ$441=0,0,AZ433/AZ$441)</f>
        <v>0</v>
      </c>
    </row>
    <row r="434" spans="1:53" ht="17.100000000000001" customHeight="1" x14ac:dyDescent="0.25">
      <c r="A434" s="175"/>
      <c r="B434" s="40"/>
      <c r="C434" s="55"/>
      <c r="D434" s="56" t="s">
        <v>240</v>
      </c>
      <c r="E434" s="85" t="s">
        <v>165</v>
      </c>
      <c r="F434" s="149"/>
      <c r="G434" s="149"/>
      <c r="H434" s="182"/>
      <c r="I434" s="241"/>
      <c r="J434" s="111"/>
      <c r="K434" s="111"/>
      <c r="L434" s="111"/>
      <c r="M434" s="111"/>
      <c r="N434" s="61"/>
      <c r="O434" s="61">
        <v>1</v>
      </c>
      <c r="P434" s="17">
        <f t="shared" si="492"/>
        <v>1</v>
      </c>
      <c r="Q434" s="61">
        <v>2</v>
      </c>
      <c r="R434" s="61">
        <v>2</v>
      </c>
      <c r="S434" s="17">
        <f t="shared" si="493"/>
        <v>4</v>
      </c>
      <c r="T434" s="61"/>
      <c r="U434" s="61"/>
      <c r="V434" s="359">
        <f t="shared" si="494"/>
        <v>0</v>
      </c>
      <c r="W434" s="391">
        <f t="shared" si="495"/>
        <v>2</v>
      </c>
      <c r="X434" s="17">
        <f t="shared" si="496"/>
        <v>3</v>
      </c>
      <c r="Y434" s="18">
        <f t="shared" si="497"/>
        <v>5</v>
      </c>
      <c r="Z434" s="19">
        <f t="shared" ref="Z434:Z441" si="500">IF(Y$441=0,0,Y434/Y$441)</f>
        <v>1</v>
      </c>
      <c r="AA434" s="19"/>
      <c r="AB434" s="19"/>
      <c r="AC434" s="84"/>
      <c r="AE434" s="111"/>
      <c r="AF434" s="111"/>
      <c r="AG434" s="111"/>
      <c r="AH434" s="112"/>
      <c r="AI434" s="113"/>
      <c r="AK434" s="111"/>
      <c r="AL434" s="111"/>
      <c r="AM434" s="111"/>
      <c r="AN434" s="112"/>
      <c r="AO434" s="113"/>
      <c r="AQ434" s="17"/>
      <c r="AR434" s="17"/>
      <c r="AS434" s="17"/>
      <c r="AT434" s="18">
        <f t="shared" si="498"/>
        <v>2</v>
      </c>
      <c r="AU434" s="19">
        <f t="shared" ref="AU434:AU441" si="501">IF(AT$441=0,0,AT434/AT$441)</f>
        <v>1</v>
      </c>
      <c r="AW434" s="17"/>
      <c r="AX434" s="17"/>
      <c r="AY434" s="17"/>
      <c r="AZ434" s="18">
        <f t="shared" si="499"/>
        <v>3</v>
      </c>
      <c r="BA434" s="19">
        <f t="shared" ref="BA434:BA441" si="502">IF(AZ$441=0,0,AZ434/AZ$441)</f>
        <v>1</v>
      </c>
    </row>
    <row r="435" spans="1:53" ht="17.100000000000001" customHeight="1" x14ac:dyDescent="0.25">
      <c r="A435" s="175"/>
      <c r="B435" s="40"/>
      <c r="C435" s="55"/>
      <c r="D435" s="56" t="s">
        <v>241</v>
      </c>
      <c r="E435" s="85" t="s">
        <v>167</v>
      </c>
      <c r="F435" s="149"/>
      <c r="G435" s="149"/>
      <c r="H435" s="182"/>
      <c r="I435" s="241"/>
      <c r="J435" s="111"/>
      <c r="K435" s="111"/>
      <c r="L435" s="111"/>
      <c r="M435" s="111"/>
      <c r="N435" s="60"/>
      <c r="O435" s="60"/>
      <c r="P435" s="17">
        <f t="shared" si="492"/>
        <v>0</v>
      </c>
      <c r="Q435" s="60"/>
      <c r="R435" s="60"/>
      <c r="S435" s="17">
        <f t="shared" si="493"/>
        <v>0</v>
      </c>
      <c r="T435" s="60"/>
      <c r="U435" s="60"/>
      <c r="V435" s="359">
        <f t="shared" si="494"/>
        <v>0</v>
      </c>
      <c r="W435" s="391">
        <f t="shared" si="495"/>
        <v>0</v>
      </c>
      <c r="X435" s="17">
        <f t="shared" si="496"/>
        <v>0</v>
      </c>
      <c r="Y435" s="18">
        <f t="shared" si="497"/>
        <v>0</v>
      </c>
      <c r="Z435" s="19">
        <f t="shared" si="500"/>
        <v>0</v>
      </c>
      <c r="AA435" s="19"/>
      <c r="AB435" s="19"/>
      <c r="AC435" s="84"/>
      <c r="AE435" s="111"/>
      <c r="AF435" s="111"/>
      <c r="AG435" s="111"/>
      <c r="AH435" s="112"/>
      <c r="AI435" s="113"/>
      <c r="AK435" s="111"/>
      <c r="AL435" s="111"/>
      <c r="AM435" s="111"/>
      <c r="AN435" s="112"/>
      <c r="AO435" s="113"/>
      <c r="AQ435" s="17"/>
      <c r="AR435" s="17"/>
      <c r="AS435" s="17"/>
      <c r="AT435" s="18">
        <f t="shared" si="498"/>
        <v>0</v>
      </c>
      <c r="AU435" s="19">
        <f t="shared" si="501"/>
        <v>0</v>
      </c>
      <c r="AW435" s="17"/>
      <c r="AX435" s="17"/>
      <c r="AY435" s="17"/>
      <c r="AZ435" s="18">
        <f t="shared" si="499"/>
        <v>0</v>
      </c>
      <c r="BA435" s="19">
        <f t="shared" si="502"/>
        <v>0</v>
      </c>
    </row>
    <row r="436" spans="1:53" ht="17.100000000000001" customHeight="1" x14ac:dyDescent="0.25">
      <c r="A436" s="175"/>
      <c r="B436" s="40"/>
      <c r="C436" s="55"/>
      <c r="D436" s="56" t="s">
        <v>242</v>
      </c>
      <c r="E436" s="85" t="s">
        <v>991</v>
      </c>
      <c r="F436" s="149"/>
      <c r="G436" s="149"/>
      <c r="H436" s="182"/>
      <c r="I436" s="241"/>
      <c r="J436" s="111"/>
      <c r="K436" s="111"/>
      <c r="L436" s="111"/>
      <c r="M436" s="111"/>
      <c r="N436" s="61"/>
      <c r="O436" s="61"/>
      <c r="P436" s="17">
        <f t="shared" si="492"/>
        <v>0</v>
      </c>
      <c r="Q436" s="61"/>
      <c r="R436" s="61"/>
      <c r="S436" s="17">
        <f t="shared" si="493"/>
        <v>0</v>
      </c>
      <c r="T436" s="61"/>
      <c r="U436" s="61"/>
      <c r="V436" s="359">
        <f t="shared" si="494"/>
        <v>0</v>
      </c>
      <c r="W436" s="391">
        <f t="shared" si="495"/>
        <v>0</v>
      </c>
      <c r="X436" s="17">
        <f t="shared" si="496"/>
        <v>0</v>
      </c>
      <c r="Y436" s="18">
        <f t="shared" si="497"/>
        <v>0</v>
      </c>
      <c r="Z436" s="19">
        <f t="shared" si="500"/>
        <v>0</v>
      </c>
      <c r="AA436" s="19"/>
      <c r="AB436" s="19"/>
      <c r="AC436" s="84"/>
      <c r="AE436" s="111"/>
      <c r="AF436" s="111"/>
      <c r="AG436" s="111"/>
      <c r="AH436" s="112"/>
      <c r="AI436" s="113"/>
      <c r="AK436" s="111"/>
      <c r="AL436" s="111"/>
      <c r="AM436" s="111"/>
      <c r="AN436" s="112"/>
      <c r="AO436" s="113"/>
      <c r="AQ436" s="17"/>
      <c r="AR436" s="17"/>
      <c r="AS436" s="17"/>
      <c r="AT436" s="18">
        <f t="shared" si="498"/>
        <v>0</v>
      </c>
      <c r="AU436" s="19">
        <f t="shared" si="501"/>
        <v>0</v>
      </c>
      <c r="AW436" s="17"/>
      <c r="AX436" s="17"/>
      <c r="AY436" s="17"/>
      <c r="AZ436" s="18">
        <f t="shared" si="499"/>
        <v>0</v>
      </c>
      <c r="BA436" s="19">
        <f t="shared" si="502"/>
        <v>0</v>
      </c>
    </row>
    <row r="437" spans="1:53" ht="17.100000000000001" customHeight="1" x14ac:dyDescent="0.25">
      <c r="A437" s="175"/>
      <c r="B437" s="40"/>
      <c r="C437" s="55"/>
      <c r="D437" s="56" t="s">
        <v>243</v>
      </c>
      <c r="E437" s="85" t="s">
        <v>438</v>
      </c>
      <c r="F437" s="149"/>
      <c r="G437" s="149"/>
      <c r="H437" s="182"/>
      <c r="I437" s="241"/>
      <c r="J437" s="111"/>
      <c r="K437" s="111"/>
      <c r="L437" s="111"/>
      <c r="M437" s="111"/>
      <c r="N437" s="60"/>
      <c r="O437" s="60"/>
      <c r="P437" s="17">
        <f t="shared" si="492"/>
        <v>0</v>
      </c>
      <c r="Q437" s="60"/>
      <c r="R437" s="60"/>
      <c r="S437" s="17">
        <f t="shared" si="493"/>
        <v>0</v>
      </c>
      <c r="T437" s="60"/>
      <c r="U437" s="60"/>
      <c r="V437" s="359">
        <f t="shared" si="494"/>
        <v>0</v>
      </c>
      <c r="W437" s="391">
        <f t="shared" si="495"/>
        <v>0</v>
      </c>
      <c r="X437" s="17">
        <f t="shared" si="496"/>
        <v>0</v>
      </c>
      <c r="Y437" s="18">
        <f t="shared" si="497"/>
        <v>0</v>
      </c>
      <c r="Z437" s="19">
        <f t="shared" si="500"/>
        <v>0</v>
      </c>
      <c r="AA437" s="19"/>
      <c r="AB437" s="19"/>
      <c r="AC437" s="84"/>
      <c r="AE437" s="111"/>
      <c r="AF437" s="111"/>
      <c r="AG437" s="111"/>
      <c r="AH437" s="112"/>
      <c r="AI437" s="113"/>
      <c r="AK437" s="111"/>
      <c r="AL437" s="111"/>
      <c r="AM437" s="111"/>
      <c r="AN437" s="112"/>
      <c r="AO437" s="113"/>
      <c r="AQ437" s="17"/>
      <c r="AR437" s="17"/>
      <c r="AS437" s="17"/>
      <c r="AT437" s="18">
        <f t="shared" si="498"/>
        <v>0</v>
      </c>
      <c r="AU437" s="19">
        <f t="shared" si="501"/>
        <v>0</v>
      </c>
      <c r="AW437" s="17"/>
      <c r="AX437" s="17"/>
      <c r="AY437" s="17"/>
      <c r="AZ437" s="18">
        <f t="shared" si="499"/>
        <v>0</v>
      </c>
      <c r="BA437" s="19">
        <f t="shared" si="502"/>
        <v>0</v>
      </c>
    </row>
    <row r="438" spans="1:53" ht="17.100000000000001" customHeight="1" x14ac:dyDescent="0.25">
      <c r="A438" s="175"/>
      <c r="B438" s="40"/>
      <c r="C438" s="55"/>
      <c r="D438" s="56" t="s">
        <v>244</v>
      </c>
      <c r="E438" s="85" t="s">
        <v>439</v>
      </c>
      <c r="F438" s="595"/>
      <c r="G438" s="595"/>
      <c r="H438" s="17"/>
      <c r="I438" s="594"/>
      <c r="J438" s="111"/>
      <c r="K438" s="111"/>
      <c r="L438" s="111"/>
      <c r="M438" s="111"/>
      <c r="N438" s="61"/>
      <c r="O438" s="61"/>
      <c r="P438" s="17">
        <f t="shared" si="492"/>
        <v>0</v>
      </c>
      <c r="Q438" s="61"/>
      <c r="R438" s="61"/>
      <c r="S438" s="17">
        <f t="shared" si="493"/>
        <v>0</v>
      </c>
      <c r="T438" s="61"/>
      <c r="U438" s="61"/>
      <c r="V438" s="359">
        <f t="shared" si="494"/>
        <v>0</v>
      </c>
      <c r="W438" s="391">
        <f t="shared" si="495"/>
        <v>0</v>
      </c>
      <c r="X438" s="17">
        <f t="shared" si="496"/>
        <v>0</v>
      </c>
      <c r="Y438" s="18">
        <f t="shared" si="497"/>
        <v>0</v>
      </c>
      <c r="Z438" s="19">
        <f t="shared" si="500"/>
        <v>0</v>
      </c>
      <c r="AA438" s="19"/>
      <c r="AB438" s="19"/>
      <c r="AC438" s="84"/>
      <c r="AE438" s="111"/>
      <c r="AF438" s="111"/>
      <c r="AG438" s="111"/>
      <c r="AH438" s="112"/>
      <c r="AI438" s="113"/>
      <c r="AK438" s="111"/>
      <c r="AL438" s="111"/>
      <c r="AM438" s="111"/>
      <c r="AN438" s="112"/>
      <c r="AO438" s="113"/>
      <c r="AQ438" s="17"/>
      <c r="AR438" s="17"/>
      <c r="AS438" s="17"/>
      <c r="AT438" s="18">
        <f t="shared" si="498"/>
        <v>0</v>
      </c>
      <c r="AU438" s="19">
        <f t="shared" si="501"/>
        <v>0</v>
      </c>
      <c r="AW438" s="17"/>
      <c r="AX438" s="17"/>
      <c r="AY438" s="17"/>
      <c r="AZ438" s="18">
        <f t="shared" si="499"/>
        <v>0</v>
      </c>
      <c r="BA438" s="19">
        <f t="shared" si="502"/>
        <v>0</v>
      </c>
    </row>
    <row r="439" spans="1:53" ht="17.100000000000001" customHeight="1" x14ac:dyDescent="0.25">
      <c r="A439" s="175"/>
      <c r="B439" s="40"/>
      <c r="C439" s="55"/>
      <c r="D439" s="56" t="s">
        <v>475</v>
      </c>
      <c r="E439" s="85" t="s">
        <v>483</v>
      </c>
      <c r="F439" s="595"/>
      <c r="G439" s="595"/>
      <c r="H439" s="17"/>
      <c r="I439" s="594"/>
      <c r="J439" s="111"/>
      <c r="K439" s="111"/>
      <c r="L439" s="111"/>
      <c r="M439" s="111"/>
      <c r="N439" s="60"/>
      <c r="O439" s="60"/>
      <c r="P439" s="17">
        <f t="shared" si="492"/>
        <v>0</v>
      </c>
      <c r="Q439" s="60"/>
      <c r="R439" s="60"/>
      <c r="S439" s="17">
        <f t="shared" si="493"/>
        <v>0</v>
      </c>
      <c r="T439" s="60"/>
      <c r="U439" s="60"/>
      <c r="V439" s="359">
        <f t="shared" si="494"/>
        <v>0</v>
      </c>
      <c r="W439" s="391">
        <f t="shared" si="495"/>
        <v>0</v>
      </c>
      <c r="X439" s="17">
        <f t="shared" si="496"/>
        <v>0</v>
      </c>
      <c r="Y439" s="18">
        <f t="shared" si="497"/>
        <v>0</v>
      </c>
      <c r="Z439" s="19">
        <f t="shared" si="500"/>
        <v>0</v>
      </c>
      <c r="AA439" s="19"/>
      <c r="AB439" s="19"/>
      <c r="AC439" s="84"/>
      <c r="AE439" s="111"/>
      <c r="AF439" s="111"/>
      <c r="AG439" s="111"/>
      <c r="AH439" s="112"/>
      <c r="AI439" s="113"/>
      <c r="AK439" s="111"/>
      <c r="AL439" s="111"/>
      <c r="AM439" s="111"/>
      <c r="AN439" s="112"/>
      <c r="AO439" s="113"/>
      <c r="AQ439" s="17"/>
      <c r="AR439" s="17"/>
      <c r="AS439" s="17"/>
      <c r="AT439" s="18">
        <f t="shared" si="498"/>
        <v>0</v>
      </c>
      <c r="AU439" s="19">
        <f t="shared" si="501"/>
        <v>0</v>
      </c>
      <c r="AW439" s="17"/>
      <c r="AX439" s="17"/>
      <c r="AY439" s="17"/>
      <c r="AZ439" s="18">
        <f t="shared" si="499"/>
        <v>0</v>
      </c>
      <c r="BA439" s="19">
        <f t="shared" si="502"/>
        <v>0</v>
      </c>
    </row>
    <row r="440" spans="1:53" ht="17.100000000000001" customHeight="1" x14ac:dyDescent="0.25">
      <c r="A440" s="175"/>
      <c r="B440" s="40"/>
      <c r="C440" s="55"/>
      <c r="D440" s="56" t="s">
        <v>476</v>
      </c>
      <c r="E440" s="149" t="s">
        <v>129</v>
      </c>
      <c r="F440" s="149"/>
      <c r="G440" s="149"/>
      <c r="H440" s="182"/>
      <c r="I440" s="241"/>
      <c r="J440" s="111"/>
      <c r="K440" s="111"/>
      <c r="L440" s="111"/>
      <c r="M440" s="111"/>
      <c r="N440" s="61"/>
      <c r="O440" s="61"/>
      <c r="P440" s="17">
        <f t="shared" si="492"/>
        <v>0</v>
      </c>
      <c r="Q440" s="61"/>
      <c r="R440" s="61"/>
      <c r="S440" s="17">
        <f t="shared" si="493"/>
        <v>0</v>
      </c>
      <c r="T440" s="61"/>
      <c r="U440" s="61"/>
      <c r="V440" s="359">
        <f t="shared" si="494"/>
        <v>0</v>
      </c>
      <c r="W440" s="391">
        <f t="shared" si="495"/>
        <v>0</v>
      </c>
      <c r="X440" s="17">
        <f t="shared" si="496"/>
        <v>0</v>
      </c>
      <c r="Y440" s="18">
        <f t="shared" si="497"/>
        <v>0</v>
      </c>
      <c r="Z440" s="19">
        <f t="shared" si="500"/>
        <v>0</v>
      </c>
      <c r="AA440" s="19"/>
      <c r="AB440" s="19"/>
      <c r="AC440" s="84"/>
      <c r="AE440" s="111"/>
      <c r="AF440" s="111"/>
      <c r="AG440" s="111"/>
      <c r="AH440" s="112"/>
      <c r="AI440" s="113"/>
      <c r="AK440" s="111"/>
      <c r="AL440" s="111"/>
      <c r="AM440" s="111"/>
      <c r="AN440" s="112"/>
      <c r="AO440" s="113"/>
      <c r="AQ440" s="17"/>
      <c r="AR440" s="17"/>
      <c r="AS440" s="17"/>
      <c r="AT440" s="18">
        <f t="shared" si="498"/>
        <v>0</v>
      </c>
      <c r="AU440" s="19">
        <f t="shared" si="501"/>
        <v>0</v>
      </c>
      <c r="AW440" s="17"/>
      <c r="AX440" s="17"/>
      <c r="AY440" s="17"/>
      <c r="AZ440" s="18">
        <f t="shared" si="499"/>
        <v>0</v>
      </c>
      <c r="BA440" s="19">
        <f t="shared" si="502"/>
        <v>0</v>
      </c>
    </row>
    <row r="441" spans="1:53" ht="17.100000000000001" customHeight="1" x14ac:dyDescent="0.25">
      <c r="A441" s="175"/>
      <c r="B441" s="40"/>
      <c r="C441" s="77"/>
      <c r="D441" s="134"/>
      <c r="E441" s="134"/>
      <c r="F441" s="134"/>
      <c r="G441" s="134"/>
      <c r="H441" s="540"/>
      <c r="I441" s="12"/>
      <c r="J441" s="80"/>
      <c r="K441" s="80"/>
      <c r="L441" s="81"/>
      <c r="M441" s="81"/>
      <c r="N441" s="81">
        <f>SUM(N433:N440)</f>
        <v>0</v>
      </c>
      <c r="O441" s="81">
        <f t="shared" ref="O441:V441" si="503">SUM(O433:O440)</f>
        <v>1</v>
      </c>
      <c r="P441" s="81">
        <f t="shared" si="503"/>
        <v>1</v>
      </c>
      <c r="Q441" s="81">
        <f t="shared" si="503"/>
        <v>2</v>
      </c>
      <c r="R441" s="81">
        <f t="shared" si="503"/>
        <v>2</v>
      </c>
      <c r="S441" s="81">
        <f t="shared" si="503"/>
        <v>4</v>
      </c>
      <c r="T441" s="81">
        <f t="shared" si="503"/>
        <v>0</v>
      </c>
      <c r="U441" s="81">
        <f t="shared" si="503"/>
        <v>0</v>
      </c>
      <c r="V441" s="81">
        <f t="shared" si="503"/>
        <v>0</v>
      </c>
      <c r="W441" s="381">
        <f>SUM(W433:W440)</f>
        <v>2</v>
      </c>
      <c r="X441" s="82">
        <f t="shared" ref="X441:Y441" si="504">SUM(X433:X440)</f>
        <v>3</v>
      </c>
      <c r="Y441" s="82">
        <f t="shared" si="504"/>
        <v>5</v>
      </c>
      <c r="Z441" s="205">
        <f t="shared" si="500"/>
        <v>1</v>
      </c>
      <c r="AA441" s="205"/>
      <c r="AB441" s="205"/>
      <c r="AC441" s="83"/>
      <c r="AE441" s="80"/>
      <c r="AF441" s="80"/>
      <c r="AG441" s="81"/>
      <c r="AH441" s="82"/>
      <c r="AI441" s="66"/>
      <c r="AK441" s="80"/>
      <c r="AL441" s="80"/>
      <c r="AM441" s="81"/>
      <c r="AN441" s="82"/>
      <c r="AO441" s="66"/>
      <c r="AQ441" s="80"/>
      <c r="AR441" s="80"/>
      <c r="AS441" s="81"/>
      <c r="AT441" s="82">
        <f>SUM(AT433:AT440)</f>
        <v>2</v>
      </c>
      <c r="AU441" s="66">
        <f t="shared" si="501"/>
        <v>1</v>
      </c>
      <c r="AW441" s="80"/>
      <c r="AX441" s="80"/>
      <c r="AY441" s="81"/>
      <c r="AZ441" s="82">
        <f>SUM(AZ433:AZ440)</f>
        <v>3</v>
      </c>
      <c r="BA441" s="66">
        <f t="shared" si="502"/>
        <v>1</v>
      </c>
    </row>
    <row r="442" spans="1:53" s="117" customFormat="1" ht="17.100000000000001" customHeight="1" x14ac:dyDescent="0.25">
      <c r="A442" s="68"/>
      <c r="B442" s="119"/>
      <c r="C442" s="540"/>
      <c r="D442" s="261"/>
      <c r="E442" s="261"/>
      <c r="F442" s="68"/>
      <c r="G442" s="68"/>
      <c r="H442" s="119"/>
      <c r="I442" s="138"/>
      <c r="J442" s="17"/>
      <c r="K442" s="17"/>
      <c r="L442" s="17"/>
      <c r="M442" s="17"/>
      <c r="N442" s="17" t="str">
        <f>IF(N441=N$403,"OK","NOK")</f>
        <v>OK</v>
      </c>
      <c r="O442" s="17" t="str">
        <f>IF(O441=O$403,"OK","NOK")</f>
        <v>OK</v>
      </c>
      <c r="P442" s="17"/>
      <c r="Q442" s="17" t="str">
        <f>IF(Q441=Q$403,"OK","NOK")</f>
        <v>OK</v>
      </c>
      <c r="R442" s="17" t="str">
        <f>IF(R441=R$403,"OK","NOK")</f>
        <v>OK</v>
      </c>
      <c r="S442" s="17"/>
      <c r="T442" s="17" t="str">
        <f>IF(T441=T$403,"OK","NOK")</f>
        <v>OK</v>
      </c>
      <c r="U442" s="17" t="str">
        <f>IF(U441=U$403,"OK","NOK")</f>
        <v>OK</v>
      </c>
      <c r="V442" s="359"/>
      <c r="W442" s="382"/>
      <c r="X442" s="539"/>
      <c r="Y442" s="539"/>
      <c r="Z442" s="201"/>
      <c r="AA442" s="201"/>
      <c r="AB442" s="201"/>
      <c r="AC442" s="84"/>
      <c r="AE442" s="46"/>
      <c r="AF442" s="46"/>
      <c r="AG442" s="17"/>
      <c r="AH442" s="539"/>
      <c r="AI442" s="91"/>
      <c r="AK442" s="46"/>
      <c r="AL442" s="46"/>
      <c r="AM442" s="17"/>
      <c r="AN442" s="539"/>
      <c r="AO442" s="91"/>
      <c r="AQ442" s="46"/>
      <c r="AR442" s="46"/>
      <c r="AS442" s="17"/>
      <c r="AT442" s="539"/>
      <c r="AU442" s="91"/>
      <c r="AW442" s="46"/>
      <c r="AX442" s="46"/>
      <c r="AY442" s="17"/>
      <c r="AZ442" s="539"/>
      <c r="BA442" s="91"/>
    </row>
    <row r="443" spans="1:53" ht="17.100000000000001" customHeight="1" x14ac:dyDescent="0.25">
      <c r="A443" s="68"/>
      <c r="B443" s="48" t="s">
        <v>245</v>
      </c>
      <c r="C443" s="49" t="s">
        <v>246</v>
      </c>
      <c r="D443" s="176"/>
      <c r="E443" s="70"/>
      <c r="F443" s="70"/>
      <c r="G443" s="70"/>
      <c r="H443" s="119"/>
      <c r="J443" s="71"/>
      <c r="K443" s="71"/>
      <c r="L443" s="71"/>
      <c r="M443" s="71"/>
      <c r="N443" s="71">
        <f t="shared" ref="N443:X443" si="505">SUM(N404:N405)</f>
        <v>0</v>
      </c>
      <c r="O443" s="71">
        <f t="shared" si="505"/>
        <v>1</v>
      </c>
      <c r="P443" s="71"/>
      <c r="Q443" s="71">
        <f t="shared" si="505"/>
        <v>0</v>
      </c>
      <c r="R443" s="71">
        <f t="shared" si="505"/>
        <v>1</v>
      </c>
      <c r="S443" s="71"/>
      <c r="T443" s="71">
        <f t="shared" si="505"/>
        <v>0</v>
      </c>
      <c r="U443" s="71">
        <f t="shared" si="505"/>
        <v>0</v>
      </c>
      <c r="V443" s="355"/>
      <c r="W443" s="377">
        <f t="shared" si="505"/>
        <v>0</v>
      </c>
      <c r="X443" s="71">
        <f t="shared" si="505"/>
        <v>2</v>
      </c>
      <c r="Y443" s="72"/>
      <c r="Z443" s="73"/>
      <c r="AA443" s="73"/>
      <c r="AB443" s="73"/>
      <c r="AC443" s="73"/>
      <c r="AE443" s="71"/>
      <c r="AF443" s="71"/>
      <c r="AG443" s="71"/>
      <c r="AH443" s="72"/>
      <c r="AI443" s="73"/>
      <c r="AK443" s="71"/>
      <c r="AL443" s="71"/>
      <c r="AM443" s="71"/>
      <c r="AN443" s="72"/>
      <c r="AO443" s="73"/>
      <c r="AQ443" s="71"/>
      <c r="AR443" s="71"/>
      <c r="AS443" s="71"/>
      <c r="AT443" s="72"/>
      <c r="AU443" s="73"/>
      <c r="AW443" s="71"/>
      <c r="AX443" s="71"/>
      <c r="AY443" s="71"/>
      <c r="AZ443" s="72"/>
      <c r="BA443" s="73"/>
    </row>
    <row r="444" spans="1:53" ht="17.100000000000001" customHeight="1" x14ac:dyDescent="0.25">
      <c r="A444" s="40"/>
      <c r="B444" s="55"/>
      <c r="C444" s="56" t="s">
        <v>247</v>
      </c>
      <c r="D444" s="149" t="s">
        <v>248</v>
      </c>
      <c r="E444" s="75"/>
      <c r="F444" s="75"/>
      <c r="G444" s="75"/>
      <c r="H444" s="540"/>
      <c r="I444" s="229"/>
      <c r="J444" s="111"/>
      <c r="K444" s="111"/>
      <c r="L444" s="111"/>
      <c r="M444" s="111"/>
      <c r="N444" s="111"/>
      <c r="O444" s="111"/>
      <c r="P444" s="111"/>
      <c r="Q444" s="111"/>
      <c r="R444" s="111"/>
      <c r="S444" s="111"/>
      <c r="T444" s="111"/>
      <c r="U444" s="111"/>
      <c r="V444" s="358"/>
      <c r="W444" s="380"/>
      <c r="X444" s="111"/>
      <c r="Y444" s="545"/>
      <c r="Z444" s="131"/>
      <c r="AA444" s="131"/>
      <c r="AB444" s="131"/>
      <c r="AC444" s="111"/>
      <c r="AE444" s="111"/>
      <c r="AF444" s="111"/>
      <c r="AG444" s="111"/>
      <c r="AH444" s="545"/>
      <c r="AI444" s="131"/>
      <c r="AK444" s="111"/>
      <c r="AL444" s="111"/>
      <c r="AM444" s="111"/>
      <c r="AN444" s="545"/>
      <c r="AO444" s="131"/>
      <c r="AQ444" s="111"/>
      <c r="AR444" s="111"/>
      <c r="AS444" s="111"/>
      <c r="AT444" s="545"/>
      <c r="AU444" s="131"/>
      <c r="AW444" s="111"/>
      <c r="AX444" s="111"/>
      <c r="AY444" s="111"/>
      <c r="AZ444" s="545"/>
      <c r="BA444" s="131"/>
    </row>
    <row r="445" spans="1:53" ht="17.100000000000001" customHeight="1" x14ac:dyDescent="0.25">
      <c r="A445" s="40"/>
      <c r="B445" s="40"/>
      <c r="C445" s="40"/>
      <c r="D445" s="56" t="s">
        <v>249</v>
      </c>
      <c r="E445" s="541" t="s">
        <v>479</v>
      </c>
      <c r="F445" s="75"/>
      <c r="G445" s="75"/>
      <c r="H445" s="540"/>
      <c r="I445" s="229"/>
      <c r="J445" s="111"/>
      <c r="K445" s="111"/>
      <c r="L445" s="111"/>
      <c r="M445" s="111"/>
      <c r="N445" s="60"/>
      <c r="O445" s="60"/>
      <c r="P445" s="17">
        <f t="shared" ref="P445:P449" si="506">SUM(N445:O445)</f>
        <v>0</v>
      </c>
      <c r="Q445" s="60"/>
      <c r="R445" s="60"/>
      <c r="S445" s="17">
        <f t="shared" ref="S445:S449" si="507">SUM(Q445:R445)</f>
        <v>0</v>
      </c>
      <c r="T445" s="60"/>
      <c r="U445" s="60"/>
      <c r="V445" s="359">
        <f t="shared" ref="V445:V449" si="508">SUM(T445:U445)</f>
        <v>0</v>
      </c>
      <c r="W445" s="391">
        <f t="shared" ref="W445:W449" si="509">J445+K445+N445+Q445+T445</f>
        <v>0</v>
      </c>
      <c r="X445" s="17">
        <f t="shared" ref="X445:X449" si="510">L445+O445+R445+U445</f>
        <v>0</v>
      </c>
      <c r="Y445" s="18">
        <f>SUM(W445:X445)</f>
        <v>0</v>
      </c>
      <c r="Z445" s="19">
        <f>IF(Y$454=0,0,Y445/Y$454)</f>
        <v>0</v>
      </c>
      <c r="AA445" s="19"/>
      <c r="AB445" s="19"/>
      <c r="AC445" s="17"/>
      <c r="AE445" s="111"/>
      <c r="AF445" s="111"/>
      <c r="AG445" s="111"/>
      <c r="AH445" s="112"/>
      <c r="AI445" s="113"/>
      <c r="AK445" s="111"/>
      <c r="AL445" s="111"/>
      <c r="AM445" s="111"/>
      <c r="AN445" s="112"/>
      <c r="AO445" s="113"/>
      <c r="AQ445" s="17"/>
      <c r="AR445" s="17"/>
      <c r="AS445" s="17"/>
      <c r="AT445" s="18">
        <f t="shared" ref="AT445:AT449" si="511">W445</f>
        <v>0</v>
      </c>
      <c r="AU445" s="19">
        <f>IF(AT$454=0,0,AT445/AT$454)</f>
        <v>0</v>
      </c>
      <c r="AW445" s="17"/>
      <c r="AX445" s="17"/>
      <c r="AY445" s="17"/>
      <c r="AZ445" s="18">
        <f t="shared" ref="AZ445:AZ449" si="512">X445</f>
        <v>0</v>
      </c>
      <c r="BA445" s="19">
        <f>IF(AZ$454=0,0,AZ445/AZ$454)</f>
        <v>0</v>
      </c>
    </row>
    <row r="446" spans="1:53" ht="17.100000000000001" customHeight="1" x14ac:dyDescent="0.25">
      <c r="A446" s="40"/>
      <c r="B446" s="40"/>
      <c r="C446" s="40"/>
      <c r="D446" s="56" t="s">
        <v>250</v>
      </c>
      <c r="E446" s="1403" t="s">
        <v>405</v>
      </c>
      <c r="F446" s="1404"/>
      <c r="G446" s="1404"/>
      <c r="H446" s="242"/>
      <c r="I446" s="230"/>
      <c r="J446" s="111"/>
      <c r="K446" s="111"/>
      <c r="L446" s="111"/>
      <c r="M446" s="111"/>
      <c r="N446" s="61"/>
      <c r="O446" s="61"/>
      <c r="P446" s="17">
        <f t="shared" si="506"/>
        <v>0</v>
      </c>
      <c r="Q446" s="61"/>
      <c r="R446" s="61"/>
      <c r="S446" s="17">
        <f t="shared" si="507"/>
        <v>0</v>
      </c>
      <c r="T446" s="61"/>
      <c r="U446" s="61"/>
      <c r="V446" s="359">
        <f t="shared" si="508"/>
        <v>0</v>
      </c>
      <c r="W446" s="391">
        <f t="shared" si="509"/>
        <v>0</v>
      </c>
      <c r="X446" s="17">
        <f t="shared" si="510"/>
        <v>0</v>
      </c>
      <c r="Y446" s="18">
        <f>SUM(W446:X446)</f>
        <v>0</v>
      </c>
      <c r="Z446" s="19">
        <f>IF(Y$454=0,0,Y446/Y$454)</f>
        <v>0</v>
      </c>
      <c r="AA446" s="19"/>
      <c r="AB446" s="19"/>
      <c r="AC446" s="17"/>
      <c r="AE446" s="111"/>
      <c r="AF446" s="111"/>
      <c r="AG446" s="111"/>
      <c r="AH446" s="112"/>
      <c r="AI446" s="113"/>
      <c r="AK446" s="111"/>
      <c r="AL446" s="111"/>
      <c r="AM446" s="111"/>
      <c r="AN446" s="112"/>
      <c r="AO446" s="113"/>
      <c r="AQ446" s="17"/>
      <c r="AR446" s="17"/>
      <c r="AS446" s="17"/>
      <c r="AT446" s="18">
        <f t="shared" si="511"/>
        <v>0</v>
      </c>
      <c r="AU446" s="19">
        <f>IF(AT$454=0,0,AT446/AT$454)</f>
        <v>0</v>
      </c>
      <c r="AW446" s="17"/>
      <c r="AX446" s="17"/>
      <c r="AY446" s="17"/>
      <c r="AZ446" s="18">
        <f t="shared" si="512"/>
        <v>0</v>
      </c>
      <c r="BA446" s="19">
        <f>IF(AZ$454=0,0,AZ446/AZ$454)</f>
        <v>0</v>
      </c>
    </row>
    <row r="447" spans="1:53" ht="17.100000000000001" customHeight="1" x14ac:dyDescent="0.25">
      <c r="A447" s="40"/>
      <c r="B447" s="40"/>
      <c r="C447" s="40"/>
      <c r="D447" s="56" t="s">
        <v>251</v>
      </c>
      <c r="E447" s="1398" t="s">
        <v>480</v>
      </c>
      <c r="F447" s="1399"/>
      <c r="G447" s="1399"/>
      <c r="H447" s="540"/>
      <c r="I447" s="229"/>
      <c r="J447" s="111"/>
      <c r="K447" s="111"/>
      <c r="L447" s="111"/>
      <c r="M447" s="111"/>
      <c r="N447" s="60"/>
      <c r="O447" s="60">
        <v>1</v>
      </c>
      <c r="P447" s="17">
        <f t="shared" si="506"/>
        <v>1</v>
      </c>
      <c r="Q447" s="60"/>
      <c r="R447" s="60">
        <v>1</v>
      </c>
      <c r="S447" s="17">
        <f t="shared" si="507"/>
        <v>1</v>
      </c>
      <c r="T447" s="60"/>
      <c r="U447" s="60"/>
      <c r="V447" s="359">
        <f t="shared" si="508"/>
        <v>0</v>
      </c>
      <c r="W447" s="391">
        <f t="shared" si="509"/>
        <v>0</v>
      </c>
      <c r="X447" s="17">
        <f t="shared" si="510"/>
        <v>2</v>
      </c>
      <c r="Y447" s="18">
        <f>SUM(W447:X447)</f>
        <v>2</v>
      </c>
      <c r="Z447" s="19">
        <f>IF(Y$454=0,0,Y447/Y$454)</f>
        <v>1</v>
      </c>
      <c r="AA447" s="19"/>
      <c r="AB447" s="19"/>
      <c r="AC447" s="17"/>
      <c r="AE447" s="111"/>
      <c r="AF447" s="111"/>
      <c r="AG447" s="111"/>
      <c r="AH447" s="112"/>
      <c r="AI447" s="113"/>
      <c r="AK447" s="111"/>
      <c r="AL447" s="111"/>
      <c r="AM447" s="111"/>
      <c r="AN447" s="112"/>
      <c r="AO447" s="113"/>
      <c r="AQ447" s="17"/>
      <c r="AR447" s="17"/>
      <c r="AS447" s="17"/>
      <c r="AT447" s="18">
        <f t="shared" si="511"/>
        <v>0</v>
      </c>
      <c r="AU447" s="19">
        <f>IF(AT$454=0,0,AT447/AT$454)</f>
        <v>0</v>
      </c>
      <c r="AW447" s="17"/>
      <c r="AX447" s="17"/>
      <c r="AY447" s="17"/>
      <c r="AZ447" s="18">
        <f t="shared" si="512"/>
        <v>2</v>
      </c>
      <c r="BA447" s="19">
        <f>IF(AZ$454=0,0,AZ447/AZ$454)</f>
        <v>1</v>
      </c>
    </row>
    <row r="448" spans="1:53" ht="17.100000000000001" customHeight="1" x14ac:dyDescent="0.25">
      <c r="A448" s="40"/>
      <c r="B448" s="40"/>
      <c r="C448" s="40"/>
      <c r="D448" s="56" t="s">
        <v>252</v>
      </c>
      <c r="E448" s="541" t="s">
        <v>481</v>
      </c>
      <c r="F448" s="75"/>
      <c r="G448" s="75"/>
      <c r="H448" s="242"/>
      <c r="I448" s="230"/>
      <c r="J448" s="111"/>
      <c r="K448" s="111"/>
      <c r="L448" s="111"/>
      <c r="M448" s="111"/>
      <c r="N448" s="61"/>
      <c r="O448" s="61"/>
      <c r="P448" s="17">
        <f t="shared" si="506"/>
        <v>0</v>
      </c>
      <c r="Q448" s="61"/>
      <c r="R448" s="61"/>
      <c r="S448" s="17">
        <f t="shared" si="507"/>
        <v>0</v>
      </c>
      <c r="T448" s="61"/>
      <c r="U448" s="61"/>
      <c r="V448" s="359">
        <f t="shared" si="508"/>
        <v>0</v>
      </c>
      <c r="W448" s="391">
        <f t="shared" si="509"/>
        <v>0</v>
      </c>
      <c r="X448" s="17">
        <f t="shared" si="510"/>
        <v>0</v>
      </c>
      <c r="Y448" s="18">
        <f>SUM(W448:X448)</f>
        <v>0</v>
      </c>
      <c r="Z448" s="19">
        <f>IF(Y$454=0,0,Y448/Y$454)</f>
        <v>0</v>
      </c>
      <c r="AA448" s="19"/>
      <c r="AB448" s="19"/>
      <c r="AC448" s="17"/>
      <c r="AE448" s="111"/>
      <c r="AF448" s="111"/>
      <c r="AG448" s="111"/>
      <c r="AH448" s="112"/>
      <c r="AI448" s="113"/>
      <c r="AK448" s="111"/>
      <c r="AL448" s="111"/>
      <c r="AM448" s="111"/>
      <c r="AN448" s="112"/>
      <c r="AO448" s="113"/>
      <c r="AQ448" s="17"/>
      <c r="AR448" s="17"/>
      <c r="AS448" s="17"/>
      <c r="AT448" s="18">
        <f t="shared" si="511"/>
        <v>0</v>
      </c>
      <c r="AU448" s="19">
        <f>IF(AT$454=0,0,AT448/AT$454)</f>
        <v>0</v>
      </c>
      <c r="AW448" s="17"/>
      <c r="AX448" s="17"/>
      <c r="AY448" s="17"/>
      <c r="AZ448" s="18">
        <f t="shared" si="512"/>
        <v>0</v>
      </c>
      <c r="BA448" s="19">
        <f>IF(AZ$454=0,0,AZ448/AZ$454)</f>
        <v>0</v>
      </c>
    </row>
    <row r="449" spans="1:53" ht="17.100000000000001" customHeight="1" x14ac:dyDescent="0.25">
      <c r="A449" s="40"/>
      <c r="B449" s="40"/>
      <c r="C449" s="40"/>
      <c r="D449" s="56" t="s">
        <v>253</v>
      </c>
      <c r="E449" s="541" t="s">
        <v>109</v>
      </c>
      <c r="F449" s="543"/>
      <c r="G449" s="543"/>
      <c r="H449" s="540"/>
      <c r="I449" s="229"/>
      <c r="J449" s="111"/>
      <c r="K449" s="111"/>
      <c r="L449" s="111"/>
      <c r="M449" s="111"/>
      <c r="N449" s="111">
        <f>SUM(N450:N452)</f>
        <v>0</v>
      </c>
      <c r="O449" s="111">
        <f t="shared" ref="O449:U449" si="513">SUM(O450:O452)</f>
        <v>0</v>
      </c>
      <c r="P449" s="111">
        <f t="shared" si="506"/>
        <v>0</v>
      </c>
      <c r="Q449" s="111">
        <f t="shared" si="513"/>
        <v>0</v>
      </c>
      <c r="R449" s="111">
        <f t="shared" si="513"/>
        <v>0</v>
      </c>
      <c r="S449" s="111">
        <f t="shared" si="507"/>
        <v>0</v>
      </c>
      <c r="T449" s="111">
        <f t="shared" si="513"/>
        <v>0</v>
      </c>
      <c r="U449" s="111">
        <f t="shared" si="513"/>
        <v>0</v>
      </c>
      <c r="V449" s="358">
        <f t="shared" si="508"/>
        <v>0</v>
      </c>
      <c r="W449" s="380">
        <f t="shared" si="509"/>
        <v>0</v>
      </c>
      <c r="X449" s="111">
        <f t="shared" si="510"/>
        <v>0</v>
      </c>
      <c r="Y449" s="545">
        <f>SUM(W449:X449)</f>
        <v>0</v>
      </c>
      <c r="Z449" s="131">
        <f>IF(Y$454=0,0,Y449/Y$454)</f>
        <v>0</v>
      </c>
      <c r="AA449" s="131"/>
      <c r="AB449" s="131"/>
      <c r="AC449" s="111"/>
      <c r="AE449" s="111"/>
      <c r="AF449" s="111"/>
      <c r="AG449" s="111"/>
      <c r="AH449" s="112"/>
      <c r="AI449" s="113"/>
      <c r="AK449" s="111"/>
      <c r="AL449" s="111"/>
      <c r="AM449" s="111"/>
      <c r="AN449" s="112"/>
      <c r="AO449" s="113"/>
      <c r="AQ449" s="111"/>
      <c r="AR449" s="111"/>
      <c r="AS449" s="111"/>
      <c r="AT449" s="545">
        <f t="shared" si="511"/>
        <v>0</v>
      </c>
      <c r="AU449" s="131">
        <f>IF(AT$454=0,0,AT449/AT$454)</f>
        <v>0</v>
      </c>
      <c r="AW449" s="111"/>
      <c r="AX449" s="111"/>
      <c r="AY449" s="111"/>
      <c r="AZ449" s="545">
        <f t="shared" si="512"/>
        <v>0</v>
      </c>
      <c r="BA449" s="131">
        <f>IF(AZ$454=0,0,AZ449/AZ$454)</f>
        <v>0</v>
      </c>
    </row>
    <row r="450" spans="1:53" ht="17.100000000000001" customHeight="1" x14ac:dyDescent="0.25">
      <c r="A450" s="40"/>
      <c r="B450" s="40"/>
      <c r="C450" s="40"/>
      <c r="D450" s="74"/>
      <c r="E450" s="170"/>
      <c r="F450" s="171"/>
      <c r="G450" s="171"/>
      <c r="H450" s="17"/>
      <c r="I450" s="594"/>
      <c r="J450" s="111"/>
      <c r="K450" s="111"/>
      <c r="L450" s="111"/>
      <c r="M450" s="111"/>
      <c r="N450" s="61"/>
      <c r="O450" s="61"/>
      <c r="P450" s="17"/>
      <c r="Q450" s="61"/>
      <c r="R450" s="61"/>
      <c r="S450" s="17"/>
      <c r="T450" s="61"/>
      <c r="U450" s="61"/>
      <c r="V450" s="359"/>
      <c r="W450" s="391"/>
      <c r="X450" s="17"/>
      <c r="Y450" s="539"/>
      <c r="Z450" s="17"/>
      <c r="AA450" s="17"/>
      <c r="AB450" s="17"/>
      <c r="AC450" s="17"/>
      <c r="AE450" s="17"/>
      <c r="AF450" s="17"/>
      <c r="AG450" s="17"/>
      <c r="AH450" s="539"/>
      <c r="AI450" s="17"/>
      <c r="AK450" s="17"/>
      <c r="AL450" s="17"/>
      <c r="AM450" s="17"/>
      <c r="AN450" s="539"/>
      <c r="AO450" s="17"/>
      <c r="AQ450" s="17"/>
      <c r="AR450" s="17"/>
      <c r="AS450" s="17"/>
      <c r="AT450" s="539"/>
      <c r="AU450" s="17"/>
      <c r="AW450" s="17"/>
      <c r="AX450" s="17"/>
      <c r="AY450" s="17"/>
      <c r="AZ450" s="539"/>
      <c r="BA450" s="17"/>
    </row>
    <row r="451" spans="1:53" ht="17.100000000000001" customHeight="1" x14ac:dyDescent="0.25">
      <c r="A451" s="40"/>
      <c r="B451" s="40"/>
      <c r="C451" s="40"/>
      <c r="D451" s="74"/>
      <c r="E451" s="168"/>
      <c r="F451" s="169"/>
      <c r="G451" s="169"/>
      <c r="H451" s="17"/>
      <c r="I451" s="594"/>
      <c r="J451" s="111"/>
      <c r="K451" s="111"/>
      <c r="L451" s="111"/>
      <c r="M451" s="111"/>
      <c r="N451" s="60"/>
      <c r="O451" s="60"/>
      <c r="P451" s="17"/>
      <c r="Q451" s="60"/>
      <c r="R451" s="60"/>
      <c r="S451" s="17"/>
      <c r="T451" s="60"/>
      <c r="U451" s="60"/>
      <c r="V451" s="359"/>
      <c r="W451" s="391"/>
      <c r="X451" s="17"/>
      <c r="Y451" s="539"/>
      <c r="Z451" s="17"/>
      <c r="AA451" s="17"/>
      <c r="AB451" s="17"/>
      <c r="AC451" s="17"/>
      <c r="AE451" s="17"/>
      <c r="AF451" s="17"/>
      <c r="AG451" s="17"/>
      <c r="AH451" s="539"/>
      <c r="AI451" s="17"/>
      <c r="AK451" s="17"/>
      <c r="AL451" s="17"/>
      <c r="AM451" s="17"/>
      <c r="AN451" s="539"/>
      <c r="AO451" s="17"/>
      <c r="AQ451" s="17"/>
      <c r="AR451" s="17"/>
      <c r="AS451" s="17"/>
      <c r="AT451" s="539"/>
      <c r="AU451" s="17"/>
      <c r="AW451" s="17"/>
      <c r="AX451" s="17"/>
      <c r="AY451" s="17"/>
      <c r="AZ451" s="539"/>
      <c r="BA451" s="17"/>
    </row>
    <row r="452" spans="1:53" ht="17.100000000000001" customHeight="1" x14ac:dyDescent="0.25">
      <c r="A452" s="40"/>
      <c r="B452" s="40"/>
      <c r="C452" s="40"/>
      <c r="D452" s="74"/>
      <c r="E452" s="170"/>
      <c r="F452" s="171"/>
      <c r="G452" s="171"/>
      <c r="H452" s="17"/>
      <c r="I452" s="594"/>
      <c r="J452" s="111"/>
      <c r="K452" s="111"/>
      <c r="L452" s="111"/>
      <c r="M452" s="111"/>
      <c r="N452" s="61"/>
      <c r="O452" s="61"/>
      <c r="P452" s="17"/>
      <c r="Q452" s="61"/>
      <c r="R452" s="61"/>
      <c r="S452" s="17"/>
      <c r="T452" s="61"/>
      <c r="U452" s="61"/>
      <c r="V452" s="359"/>
      <c r="W452" s="391"/>
      <c r="X452" s="17"/>
      <c r="Y452" s="539"/>
      <c r="Z452" s="17"/>
      <c r="AA452" s="17"/>
      <c r="AB452" s="17"/>
      <c r="AC452" s="17"/>
      <c r="AE452" s="17"/>
      <c r="AF452" s="17"/>
      <c r="AG452" s="17"/>
      <c r="AH452" s="539"/>
      <c r="AI452" s="17"/>
      <c r="AK452" s="17"/>
      <c r="AL452" s="17"/>
      <c r="AM452" s="17"/>
      <c r="AN452" s="539"/>
      <c r="AO452" s="17"/>
      <c r="AQ452" s="17"/>
      <c r="AR452" s="17"/>
      <c r="AS452" s="17"/>
      <c r="AT452" s="539"/>
      <c r="AU452" s="17"/>
      <c r="AW452" s="17"/>
      <c r="AX452" s="17"/>
      <c r="AY452" s="17"/>
      <c r="AZ452" s="539"/>
      <c r="BA452" s="17"/>
    </row>
    <row r="453" spans="1:53" ht="17.100000000000001" customHeight="1" x14ac:dyDescent="0.25">
      <c r="A453" s="40"/>
      <c r="B453" s="40"/>
      <c r="C453" s="40"/>
      <c r="D453" s="56" t="s">
        <v>616</v>
      </c>
      <c r="E453" s="596" t="s">
        <v>598</v>
      </c>
      <c r="F453" s="597"/>
      <c r="G453" s="597"/>
      <c r="H453" s="17"/>
      <c r="I453" s="594"/>
      <c r="J453" s="111"/>
      <c r="K453" s="111"/>
      <c r="L453" s="111"/>
      <c r="M453" s="111"/>
      <c r="N453" s="60"/>
      <c r="O453" s="60"/>
      <c r="P453" s="17">
        <f t="shared" ref="P453" si="514">SUM(N453:O453)</f>
        <v>0</v>
      </c>
      <c r="Q453" s="60"/>
      <c r="R453" s="60"/>
      <c r="S453" s="17">
        <f t="shared" ref="S453" si="515">SUM(Q453:R453)</f>
        <v>0</v>
      </c>
      <c r="T453" s="60"/>
      <c r="U453" s="60"/>
      <c r="V453" s="359">
        <f t="shared" ref="V453" si="516">SUM(T453:U453)</f>
        <v>0</v>
      </c>
      <c r="W453" s="391">
        <f t="shared" ref="W453" si="517">J453+K453+N453+Q453+T453</f>
        <v>0</v>
      </c>
      <c r="X453" s="17">
        <f t="shared" ref="X453" si="518">L453+O453+R453+U453</f>
        <v>0</v>
      </c>
      <c r="Y453" s="18">
        <f>SUM(W453:X453)</f>
        <v>0</v>
      </c>
      <c r="Z453" s="19">
        <f>IF(Y$454=0,0,Y453/Y$454)</f>
        <v>0</v>
      </c>
      <c r="AA453" s="19"/>
      <c r="AB453" s="19"/>
      <c r="AC453" s="17"/>
      <c r="AE453" s="17"/>
      <c r="AF453" s="17"/>
      <c r="AG453" s="17"/>
      <c r="AH453" s="18"/>
      <c r="AI453" s="19"/>
      <c r="AK453" s="17"/>
      <c r="AL453" s="17"/>
      <c r="AM453" s="17"/>
      <c r="AN453" s="18"/>
      <c r="AO453" s="19"/>
      <c r="AQ453" s="17"/>
      <c r="AR453" s="17"/>
      <c r="AS453" s="17"/>
      <c r="AT453" s="18">
        <f t="shared" ref="AT453" si="519">W453</f>
        <v>0</v>
      </c>
      <c r="AU453" s="19">
        <f>IF(AT$454=0,0,AT453/AT$454)</f>
        <v>0</v>
      </c>
      <c r="AW453" s="17"/>
      <c r="AX453" s="17"/>
      <c r="AY453" s="17"/>
      <c r="AZ453" s="18">
        <f>X453</f>
        <v>0</v>
      </c>
      <c r="BA453" s="19">
        <f>IF(AZ$454=0,0,AZ453/AZ$454)</f>
        <v>0</v>
      </c>
    </row>
    <row r="454" spans="1:53" ht="17.100000000000001" customHeight="1" x14ac:dyDescent="0.25">
      <c r="A454" s="40"/>
      <c r="B454" s="40"/>
      <c r="C454" s="77"/>
      <c r="D454" s="134"/>
      <c r="E454" s="134"/>
      <c r="F454" s="134"/>
      <c r="G454" s="134"/>
      <c r="H454" s="540"/>
      <c r="I454" s="229"/>
      <c r="J454" s="80"/>
      <c r="K454" s="80"/>
      <c r="L454" s="81"/>
      <c r="M454" s="81"/>
      <c r="N454" s="81">
        <f t="shared" ref="N454:V454" si="520">SUM(N445:N449)+N453</f>
        <v>0</v>
      </c>
      <c r="O454" s="81">
        <f t="shared" si="520"/>
        <v>1</v>
      </c>
      <c r="P454" s="81">
        <f t="shared" si="520"/>
        <v>1</v>
      </c>
      <c r="Q454" s="81">
        <f t="shared" si="520"/>
        <v>0</v>
      </c>
      <c r="R454" s="81">
        <f t="shared" si="520"/>
        <v>1</v>
      </c>
      <c r="S454" s="81">
        <f t="shared" si="520"/>
        <v>1</v>
      </c>
      <c r="T454" s="81">
        <f t="shared" si="520"/>
        <v>0</v>
      </c>
      <c r="U454" s="81">
        <f t="shared" si="520"/>
        <v>0</v>
      </c>
      <c r="V454" s="81">
        <f t="shared" si="520"/>
        <v>0</v>
      </c>
      <c r="W454" s="381">
        <f t="shared" ref="W454:Y454" si="521">SUM(W445:W449)+W453</f>
        <v>0</v>
      </c>
      <c r="X454" s="82">
        <f t="shared" si="521"/>
        <v>2</v>
      </c>
      <c r="Y454" s="82">
        <f t="shared" si="521"/>
        <v>2</v>
      </c>
      <c r="Z454" s="205">
        <f t="shared" ref="Z454" si="522">IF(Y$454=0,0,Y454/Y$454)</f>
        <v>1</v>
      </c>
      <c r="AA454" s="205"/>
      <c r="AB454" s="205"/>
      <c r="AC454" s="83"/>
      <c r="AE454" s="80"/>
      <c r="AF454" s="80"/>
      <c r="AG454" s="81"/>
      <c r="AH454" s="82"/>
      <c r="AI454" s="66"/>
      <c r="AK454" s="80"/>
      <c r="AL454" s="80"/>
      <c r="AM454" s="81"/>
      <c r="AN454" s="82"/>
      <c r="AO454" s="66"/>
      <c r="AQ454" s="80"/>
      <c r="AR454" s="80"/>
      <c r="AS454" s="81"/>
      <c r="AT454" s="82">
        <f>SUM(AT445:AT453)</f>
        <v>0</v>
      </c>
      <c r="AU454" s="66">
        <f>IF(AT$454=0,0,AT454/AT$454)</f>
        <v>0</v>
      </c>
      <c r="AW454" s="80"/>
      <c r="AX454" s="80"/>
      <c r="AY454" s="81"/>
      <c r="AZ454" s="82">
        <f>SUM(AZ445:AZ453)</f>
        <v>2</v>
      </c>
      <c r="BA454" s="66">
        <f>IF(AZ$454=0,0,AZ454/AZ$454)</f>
        <v>1</v>
      </c>
    </row>
    <row r="455" spans="1:53" s="117" customFormat="1" ht="17.100000000000001" customHeight="1" x14ac:dyDescent="0.25">
      <c r="A455" s="68"/>
      <c r="B455" s="119"/>
      <c r="C455" s="540"/>
      <c r="D455" s="261"/>
      <c r="E455" s="261"/>
      <c r="F455" s="68"/>
      <c r="G455" s="68"/>
      <c r="H455" s="119"/>
      <c r="I455" s="138"/>
      <c r="J455" s="17"/>
      <c r="K455" s="17"/>
      <c r="L455" s="17"/>
      <c r="M455" s="17"/>
      <c r="N455" s="17" t="str">
        <f>IF(N454=N$443,"OK","NOK")</f>
        <v>OK</v>
      </c>
      <c r="O455" s="17" t="str">
        <f>IF(O454=O$443,"OK","NOK")</f>
        <v>OK</v>
      </c>
      <c r="P455" s="17"/>
      <c r="Q455" s="17" t="str">
        <f>IF(Q454=Q$443,"OK","NOK")</f>
        <v>OK</v>
      </c>
      <c r="R455" s="17" t="str">
        <f>IF(R454=R$443,"OK","NOK")</f>
        <v>OK</v>
      </c>
      <c r="S455" s="17"/>
      <c r="T455" s="17" t="str">
        <f>IF(T454=T$443,"OK","NOK")</f>
        <v>OK</v>
      </c>
      <c r="U455" s="17" t="str">
        <f>IF(U454=U$443,"OK","NOK")</f>
        <v>OK</v>
      </c>
      <c r="V455" s="359"/>
      <c r="W455" s="382"/>
      <c r="X455" s="539"/>
      <c r="Y455" s="539"/>
      <c r="Z455" s="201"/>
      <c r="AA455" s="201"/>
      <c r="AB455" s="201"/>
      <c r="AC455" s="84"/>
      <c r="AE455" s="46"/>
      <c r="AF455" s="46"/>
      <c r="AG455" s="17"/>
      <c r="AH455" s="539"/>
      <c r="AI455" s="91"/>
      <c r="AK455" s="46"/>
      <c r="AL455" s="46"/>
      <c r="AM455" s="17"/>
      <c r="AN455" s="539"/>
      <c r="AO455" s="91"/>
      <c r="AQ455" s="46"/>
      <c r="AR455" s="46"/>
      <c r="AS455" s="17"/>
      <c r="AT455" s="539"/>
      <c r="AU455" s="91"/>
      <c r="AW455" s="46"/>
      <c r="AX455" s="46"/>
      <c r="AY455" s="17"/>
      <c r="AZ455" s="539"/>
      <c r="BA455" s="91"/>
    </row>
    <row r="456" spans="1:53" ht="17.100000000000001" customHeight="1" x14ac:dyDescent="0.25">
      <c r="A456" s="40"/>
      <c r="B456" s="40"/>
      <c r="C456" s="56" t="s">
        <v>254</v>
      </c>
      <c r="D456" s="146" t="s">
        <v>255</v>
      </c>
      <c r="E456" s="149"/>
      <c r="F456" s="75"/>
      <c r="G456" s="75"/>
      <c r="H456" s="540"/>
      <c r="I456" s="229"/>
      <c r="J456" s="545"/>
      <c r="K456" s="545"/>
      <c r="L456" s="545"/>
      <c r="M456" s="545"/>
      <c r="N456" s="545"/>
      <c r="O456" s="545"/>
      <c r="P456" s="545"/>
      <c r="Q456" s="545"/>
      <c r="R456" s="545"/>
      <c r="S456" s="545"/>
      <c r="T456" s="545"/>
      <c r="U456" s="545"/>
      <c r="V456" s="364"/>
      <c r="W456" s="385"/>
      <c r="X456" s="545"/>
      <c r="Y456" s="545"/>
      <c r="Z456" s="545"/>
      <c r="AA456" s="545"/>
      <c r="AB456" s="545"/>
      <c r="AC456" s="545"/>
      <c r="AE456" s="545"/>
      <c r="AF456" s="545"/>
      <c r="AG456" s="545"/>
      <c r="AH456" s="545"/>
      <c r="AI456" s="545"/>
      <c r="AK456" s="545"/>
      <c r="AL456" s="545"/>
      <c r="AM456" s="545"/>
      <c r="AN456" s="545"/>
      <c r="AO456" s="545"/>
      <c r="AQ456" s="545"/>
      <c r="AR456" s="545"/>
      <c r="AS456" s="545"/>
      <c r="AT456" s="545"/>
      <c r="AU456" s="545"/>
      <c r="AW456" s="545"/>
      <c r="AX456" s="545"/>
      <c r="AY456" s="545"/>
      <c r="AZ456" s="545"/>
      <c r="BA456" s="545"/>
    </row>
    <row r="457" spans="1:53" ht="17.100000000000001" customHeight="1" x14ac:dyDescent="0.25">
      <c r="A457" s="40"/>
      <c r="B457" s="40"/>
      <c r="C457" s="55"/>
      <c r="D457" s="180" t="s">
        <v>256</v>
      </c>
      <c r="E457" s="146" t="s">
        <v>113</v>
      </c>
      <c r="F457" s="75"/>
      <c r="G457" s="75"/>
      <c r="H457" s="540"/>
      <c r="I457" s="229"/>
      <c r="J457" s="111"/>
      <c r="K457" s="111"/>
      <c r="L457" s="111"/>
      <c r="M457" s="111"/>
      <c r="N457" s="60"/>
      <c r="O457" s="60"/>
      <c r="P457" s="17">
        <f t="shared" ref="P457:P459" si="523">SUM(N457:O457)</f>
        <v>0</v>
      </c>
      <c r="Q457" s="60"/>
      <c r="R457" s="60"/>
      <c r="S457" s="17">
        <f t="shared" ref="S457:S459" si="524">SUM(Q457:R457)</f>
        <v>0</v>
      </c>
      <c r="T457" s="60"/>
      <c r="U457" s="60"/>
      <c r="V457" s="359">
        <f t="shared" ref="V457:V459" si="525">SUM(T457:U457)</f>
        <v>0</v>
      </c>
      <c r="W457" s="391">
        <f t="shared" ref="W457:W459" si="526">J457+K457+N457+Q457+T457</f>
        <v>0</v>
      </c>
      <c r="X457" s="17">
        <f t="shared" ref="X457:X459" si="527">L457+O457+R457+U457</f>
        <v>0</v>
      </c>
      <c r="Y457" s="18">
        <f>SUM(W457:X457)</f>
        <v>0</v>
      </c>
      <c r="Z457" s="19">
        <f>IF(Y$460=0,0,Y457/Y$460)</f>
        <v>0</v>
      </c>
      <c r="AA457" s="19"/>
      <c r="AB457" s="19"/>
      <c r="AC457" s="17"/>
      <c r="AE457" s="111"/>
      <c r="AF457" s="111"/>
      <c r="AG457" s="111"/>
      <c r="AH457" s="112"/>
      <c r="AI457" s="113"/>
      <c r="AK457" s="111"/>
      <c r="AL457" s="111"/>
      <c r="AM457" s="111"/>
      <c r="AN457" s="112"/>
      <c r="AO457" s="113"/>
      <c r="AQ457" s="17"/>
      <c r="AR457" s="17"/>
      <c r="AS457" s="17"/>
      <c r="AT457" s="18">
        <f t="shared" ref="AT457:AT459" si="528">W457</f>
        <v>0</v>
      </c>
      <c r="AU457" s="19">
        <f>IF(AT$460=0,0,AT457/AT$460)</f>
        <v>0</v>
      </c>
      <c r="AW457" s="17"/>
      <c r="AX457" s="17"/>
      <c r="AY457" s="17"/>
      <c r="AZ457" s="18">
        <f t="shared" ref="AZ457:AZ459" si="529">X457</f>
        <v>0</v>
      </c>
      <c r="BA457" s="19">
        <f>IF(AZ$460=0,0,AZ457/AZ$460)</f>
        <v>0</v>
      </c>
    </row>
    <row r="458" spans="1:53" ht="17.100000000000001" customHeight="1" x14ac:dyDescent="0.25">
      <c r="A458" s="40"/>
      <c r="B458" s="40"/>
      <c r="C458" s="55"/>
      <c r="D458" s="180" t="s">
        <v>257</v>
      </c>
      <c r="E458" s="146" t="s">
        <v>258</v>
      </c>
      <c r="F458" s="75"/>
      <c r="G458" s="75"/>
      <c r="H458" s="540"/>
      <c r="I458" s="229"/>
      <c r="J458" s="111"/>
      <c r="K458" s="111"/>
      <c r="L458" s="111"/>
      <c r="M458" s="111"/>
      <c r="N458" s="61"/>
      <c r="O458" s="61">
        <v>1</v>
      </c>
      <c r="P458" s="17">
        <f t="shared" si="523"/>
        <v>1</v>
      </c>
      <c r="Q458" s="61"/>
      <c r="R458" s="61">
        <v>1</v>
      </c>
      <c r="S458" s="17">
        <f t="shared" si="524"/>
        <v>1</v>
      </c>
      <c r="T458" s="61"/>
      <c r="U458" s="61"/>
      <c r="V458" s="359">
        <f t="shared" si="525"/>
        <v>0</v>
      </c>
      <c r="W458" s="391">
        <f t="shared" si="526"/>
        <v>0</v>
      </c>
      <c r="X458" s="17">
        <f t="shared" si="527"/>
        <v>2</v>
      </c>
      <c r="Y458" s="18">
        <f>SUM(W458:X458)</f>
        <v>2</v>
      </c>
      <c r="Z458" s="19">
        <f t="shared" ref="Z458:Z460" si="530">IF(Y$460=0,0,Y458/Y$460)</f>
        <v>1</v>
      </c>
      <c r="AA458" s="19"/>
      <c r="AB458" s="19"/>
      <c r="AC458" s="17"/>
      <c r="AE458" s="111"/>
      <c r="AF458" s="111"/>
      <c r="AG458" s="111"/>
      <c r="AH458" s="112"/>
      <c r="AI458" s="113"/>
      <c r="AK458" s="111"/>
      <c r="AL458" s="111"/>
      <c r="AM458" s="111"/>
      <c r="AN458" s="112"/>
      <c r="AO458" s="113"/>
      <c r="AQ458" s="17"/>
      <c r="AR458" s="17"/>
      <c r="AS458" s="17"/>
      <c r="AT458" s="18">
        <f t="shared" si="528"/>
        <v>0</v>
      </c>
      <c r="AU458" s="19">
        <f>IF(AT$460=0,0,AT458/AT$460)</f>
        <v>0</v>
      </c>
      <c r="AW458" s="17"/>
      <c r="AX458" s="17"/>
      <c r="AY458" s="17"/>
      <c r="AZ458" s="18">
        <f t="shared" si="529"/>
        <v>2</v>
      </c>
      <c r="BA458" s="19">
        <f>IF(AZ$460=0,0,AZ458/AZ$460)</f>
        <v>1</v>
      </c>
    </row>
    <row r="459" spans="1:53" ht="17.100000000000001" customHeight="1" x14ac:dyDescent="0.25">
      <c r="A459" s="40"/>
      <c r="B459" s="40"/>
      <c r="C459" s="55"/>
      <c r="D459" s="180" t="s">
        <v>259</v>
      </c>
      <c r="E459" s="596" t="s">
        <v>598</v>
      </c>
      <c r="F459" s="542"/>
      <c r="G459" s="542"/>
      <c r="H459" s="540"/>
      <c r="I459" s="235"/>
      <c r="J459" s="111"/>
      <c r="K459" s="111"/>
      <c r="L459" s="111"/>
      <c r="M459" s="111"/>
      <c r="N459" s="60"/>
      <c r="O459" s="60"/>
      <c r="P459" s="17">
        <f t="shared" si="523"/>
        <v>0</v>
      </c>
      <c r="Q459" s="60"/>
      <c r="R459" s="60"/>
      <c r="S459" s="17">
        <f t="shared" si="524"/>
        <v>0</v>
      </c>
      <c r="T459" s="60"/>
      <c r="U459" s="60"/>
      <c r="V459" s="359">
        <f t="shared" si="525"/>
        <v>0</v>
      </c>
      <c r="W459" s="391">
        <f t="shared" si="526"/>
        <v>0</v>
      </c>
      <c r="X459" s="17">
        <f t="shared" si="527"/>
        <v>0</v>
      </c>
      <c r="Y459" s="18">
        <f>SUM(W459:X459)</f>
        <v>0</v>
      </c>
      <c r="Z459" s="19">
        <f t="shared" si="530"/>
        <v>0</v>
      </c>
      <c r="AA459" s="19"/>
      <c r="AB459" s="19"/>
      <c r="AC459" s="17"/>
      <c r="AE459" s="111"/>
      <c r="AF459" s="111"/>
      <c r="AG459" s="111"/>
      <c r="AH459" s="112"/>
      <c r="AI459" s="113"/>
      <c r="AK459" s="111"/>
      <c r="AL459" s="111"/>
      <c r="AM459" s="111"/>
      <c r="AN459" s="112"/>
      <c r="AO459" s="113"/>
      <c r="AQ459" s="17"/>
      <c r="AR459" s="17"/>
      <c r="AS459" s="17"/>
      <c r="AT459" s="18">
        <f t="shared" si="528"/>
        <v>0</v>
      </c>
      <c r="AU459" s="19">
        <f>IF(AT$460=0,0,AT459/AT$460)</f>
        <v>0</v>
      </c>
      <c r="AW459" s="17"/>
      <c r="AX459" s="17"/>
      <c r="AY459" s="17"/>
      <c r="AZ459" s="18">
        <f t="shared" si="529"/>
        <v>0</v>
      </c>
      <c r="BA459" s="19">
        <f>IF(AZ$460=0,0,AZ459/AZ$460)</f>
        <v>0</v>
      </c>
    </row>
    <row r="460" spans="1:53" ht="17.100000000000001" customHeight="1" x14ac:dyDescent="0.25">
      <c r="A460" s="40"/>
      <c r="B460" s="40"/>
      <c r="C460" s="77"/>
      <c r="D460" s="134"/>
      <c r="E460" s="134"/>
      <c r="F460" s="134"/>
      <c r="G460" s="134"/>
      <c r="H460" s="540"/>
      <c r="I460" s="229"/>
      <c r="J460" s="80"/>
      <c r="K460" s="80"/>
      <c r="L460" s="81"/>
      <c r="M460" s="81"/>
      <c r="N460" s="81">
        <f>SUM(N457:N459)</f>
        <v>0</v>
      </c>
      <c r="O460" s="81">
        <f t="shared" ref="O460:V460" si="531">SUM(O457:O459)</f>
        <v>1</v>
      </c>
      <c r="P460" s="81">
        <f t="shared" si="531"/>
        <v>1</v>
      </c>
      <c r="Q460" s="81">
        <f t="shared" si="531"/>
        <v>0</v>
      </c>
      <c r="R460" s="81">
        <f t="shared" si="531"/>
        <v>1</v>
      </c>
      <c r="S460" s="81">
        <f t="shared" si="531"/>
        <v>1</v>
      </c>
      <c r="T460" s="81">
        <f t="shared" si="531"/>
        <v>0</v>
      </c>
      <c r="U460" s="81">
        <f t="shared" si="531"/>
        <v>0</v>
      </c>
      <c r="V460" s="81">
        <f t="shared" si="531"/>
        <v>0</v>
      </c>
      <c r="W460" s="381">
        <f>SUM(W457:W459)</f>
        <v>0</v>
      </c>
      <c r="X460" s="82">
        <f t="shared" ref="X460:Y460" si="532">SUM(X457:X459)</f>
        <v>2</v>
      </c>
      <c r="Y460" s="82">
        <f t="shared" si="532"/>
        <v>2</v>
      </c>
      <c r="Z460" s="205">
        <f t="shared" si="530"/>
        <v>1</v>
      </c>
      <c r="AA460" s="205"/>
      <c r="AB460" s="205"/>
      <c r="AC460" s="83"/>
      <c r="AE460" s="80"/>
      <c r="AF460" s="80"/>
      <c r="AG460" s="81"/>
      <c r="AH460" s="82"/>
      <c r="AI460" s="66"/>
      <c r="AK460" s="80"/>
      <c r="AL460" s="80"/>
      <c r="AM460" s="81"/>
      <c r="AN460" s="82"/>
      <c r="AO460" s="66"/>
      <c r="AQ460" s="80"/>
      <c r="AR460" s="80"/>
      <c r="AS460" s="81"/>
      <c r="AT460" s="82">
        <f>SUM(AT457:AT459)</f>
        <v>0</v>
      </c>
      <c r="AU460" s="66">
        <f>IF(AT$460=0,0,AT460/AT$460)</f>
        <v>0</v>
      </c>
      <c r="AW460" s="80"/>
      <c r="AX460" s="80"/>
      <c r="AY460" s="81"/>
      <c r="AZ460" s="82">
        <f>SUM(AZ457:AZ459)</f>
        <v>2</v>
      </c>
      <c r="BA460" s="66">
        <f>IF(AZ$460=0,0,AZ460/AZ$460)</f>
        <v>1</v>
      </c>
    </row>
    <row r="461" spans="1:53" s="117" customFormat="1" ht="17.100000000000001" customHeight="1" x14ac:dyDescent="0.25">
      <c r="A461" s="68"/>
      <c r="B461" s="119"/>
      <c r="C461" s="540"/>
      <c r="D461" s="261"/>
      <c r="E461" s="261"/>
      <c r="F461" s="68"/>
      <c r="G461" s="68"/>
      <c r="H461" s="119"/>
      <c r="I461" s="138"/>
      <c r="J461" s="17"/>
      <c r="K461" s="17"/>
      <c r="L461" s="17"/>
      <c r="M461" s="17"/>
      <c r="N461" s="17" t="str">
        <f>IF(N460=N$443,"OK","NOK")</f>
        <v>OK</v>
      </c>
      <c r="O461" s="17" t="str">
        <f>IF(O460=O$443,"OK","NOK")</f>
        <v>OK</v>
      </c>
      <c r="P461" s="17"/>
      <c r="Q461" s="17" t="str">
        <f>IF(Q460=Q$443,"OK","NOK")</f>
        <v>OK</v>
      </c>
      <c r="R461" s="17" t="str">
        <f>IF(R460=R$443,"OK","NOK")</f>
        <v>OK</v>
      </c>
      <c r="S461" s="17"/>
      <c r="T461" s="17" t="str">
        <f>IF(T460=T$443,"OK","NOK")</f>
        <v>OK</v>
      </c>
      <c r="U461" s="17" t="str">
        <f>IF(U460=U$443,"OK","NOK")</f>
        <v>OK</v>
      </c>
      <c r="V461" s="359"/>
      <c r="W461" s="382"/>
      <c r="X461" s="539"/>
      <c r="Y461" s="539"/>
      <c r="Z461" s="201"/>
      <c r="AA461" s="201"/>
      <c r="AB461" s="201"/>
      <c r="AC461" s="84"/>
      <c r="AE461" s="46"/>
      <c r="AF461" s="46"/>
      <c r="AG461" s="17"/>
      <c r="AH461" s="539"/>
      <c r="AI461" s="91"/>
      <c r="AK461" s="46"/>
      <c r="AL461" s="46"/>
      <c r="AM461" s="17"/>
      <c r="AN461" s="539"/>
      <c r="AO461" s="91"/>
      <c r="AQ461" s="46"/>
      <c r="AR461" s="46"/>
      <c r="AS461" s="17"/>
      <c r="AT461" s="539"/>
      <c r="AU461" s="91"/>
      <c r="AW461" s="46"/>
      <c r="AX461" s="46"/>
      <c r="AY461" s="17"/>
      <c r="AZ461" s="539"/>
      <c r="BA461" s="91"/>
    </row>
    <row r="462" spans="1:53" s="117" customFormat="1" ht="17.100000000000001" customHeight="1" x14ac:dyDescent="0.25">
      <c r="A462" s="68"/>
      <c r="B462" s="119"/>
      <c r="C462" s="56" t="s">
        <v>260</v>
      </c>
      <c r="D462" s="57" t="s">
        <v>275</v>
      </c>
      <c r="E462" s="149"/>
      <c r="F462" s="149"/>
      <c r="G462" s="149"/>
      <c r="H462" s="182"/>
      <c r="I462" s="241"/>
      <c r="J462" s="152"/>
      <c r="K462" s="152"/>
      <c r="L462" s="111"/>
      <c r="M462" s="111"/>
      <c r="N462" s="111"/>
      <c r="O462" s="111"/>
      <c r="P462" s="111"/>
      <c r="Q462" s="111"/>
      <c r="R462" s="111"/>
      <c r="S462" s="111"/>
      <c r="T462" s="111"/>
      <c r="U462" s="111"/>
      <c r="V462" s="358"/>
      <c r="W462" s="380"/>
      <c r="X462" s="111"/>
      <c r="Y462" s="545"/>
      <c r="Z462" s="131"/>
      <c r="AA462" s="131"/>
      <c r="AB462" s="131"/>
      <c r="AC462" s="113"/>
      <c r="AE462" s="152"/>
      <c r="AF462" s="152"/>
      <c r="AG462" s="111"/>
      <c r="AH462" s="545"/>
      <c r="AI462" s="131"/>
      <c r="AK462" s="152"/>
      <c r="AL462" s="152"/>
      <c r="AM462" s="111"/>
      <c r="AN462" s="545"/>
      <c r="AO462" s="131"/>
      <c r="AQ462" s="152"/>
      <c r="AR462" s="152"/>
      <c r="AS462" s="111"/>
      <c r="AT462" s="545"/>
      <c r="AU462" s="131"/>
      <c r="AW462" s="152"/>
      <c r="AX462" s="152"/>
      <c r="AY462" s="111"/>
      <c r="AZ462" s="545"/>
      <c r="BA462" s="131"/>
    </row>
    <row r="463" spans="1:53" ht="17.100000000000001" customHeight="1" x14ac:dyDescent="0.25">
      <c r="A463" s="175"/>
      <c r="B463" s="40"/>
      <c r="C463" s="55"/>
      <c r="D463" s="56" t="s">
        <v>261</v>
      </c>
      <c r="E463" s="85" t="s">
        <v>173</v>
      </c>
      <c r="F463" s="225"/>
      <c r="G463" s="149"/>
      <c r="H463" s="182"/>
      <c r="I463" s="241"/>
      <c r="J463" s="111"/>
      <c r="K463" s="111"/>
      <c r="L463" s="111"/>
      <c r="M463" s="111"/>
      <c r="N463" s="60"/>
      <c r="O463" s="60"/>
      <c r="P463" s="17">
        <f>SUM(N463:O463)</f>
        <v>0</v>
      </c>
      <c r="Q463" s="60"/>
      <c r="R463" s="60"/>
      <c r="S463" s="17">
        <f>SUM(Q463:R463)</f>
        <v>0</v>
      </c>
      <c r="T463" s="60"/>
      <c r="U463" s="60"/>
      <c r="V463" s="359">
        <f>SUM(T463:U463)</f>
        <v>0</v>
      </c>
      <c r="W463" s="391">
        <f t="shared" ref="W463:W464" si="533">J463+K463+N463+Q463+T463</f>
        <v>0</v>
      </c>
      <c r="X463" s="17">
        <f t="shared" ref="X463:X464" si="534">L463+O463+R463+U463</f>
        <v>0</v>
      </c>
      <c r="Y463" s="18">
        <f>SUM(W463:X463)</f>
        <v>0</v>
      </c>
      <c r="Z463" s="19">
        <f>IF(Y$370=0,0,Y463/Y$370)</f>
        <v>0</v>
      </c>
      <c r="AA463" s="19"/>
      <c r="AB463" s="19"/>
      <c r="AC463" s="20"/>
      <c r="AE463" s="111"/>
      <c r="AF463" s="111"/>
      <c r="AG463" s="111"/>
      <c r="AH463" s="112"/>
      <c r="AI463" s="113"/>
      <c r="AK463" s="111"/>
      <c r="AL463" s="111"/>
      <c r="AM463" s="111"/>
      <c r="AN463" s="112"/>
      <c r="AO463" s="113"/>
      <c r="AQ463" s="17"/>
      <c r="AR463" s="17"/>
      <c r="AS463" s="17"/>
      <c r="AT463" s="18">
        <f t="shared" ref="AT463:AT464" si="535">W463</f>
        <v>0</v>
      </c>
      <c r="AU463" s="19">
        <f>IF(AT$469=0,0,AT463/AT$469)</f>
        <v>0</v>
      </c>
      <c r="AW463" s="17"/>
      <c r="AX463" s="17"/>
      <c r="AY463" s="17"/>
      <c r="AZ463" s="18">
        <f t="shared" ref="AZ463:AZ464" si="536">X463</f>
        <v>0</v>
      </c>
      <c r="BA463" s="19">
        <f>IF(AZ$469=0,0,AZ463/AZ$469)</f>
        <v>0</v>
      </c>
    </row>
    <row r="464" spans="1:53" ht="17.100000000000001" customHeight="1" x14ac:dyDescent="0.25">
      <c r="A464" s="175"/>
      <c r="B464" s="40"/>
      <c r="C464" s="55"/>
      <c r="D464" s="56" t="s">
        <v>262</v>
      </c>
      <c r="E464" s="85" t="s">
        <v>544</v>
      </c>
      <c r="F464" s="225"/>
      <c r="G464" s="149"/>
      <c r="H464" s="182"/>
      <c r="I464" s="241"/>
      <c r="J464" s="111"/>
      <c r="K464" s="111"/>
      <c r="L464" s="111"/>
      <c r="M464" s="111"/>
      <c r="N464" s="61"/>
      <c r="O464" s="61">
        <v>1</v>
      </c>
      <c r="P464" s="17">
        <f t="shared" ref="P464" si="537">SUM(N464:O464)</f>
        <v>1</v>
      </c>
      <c r="Q464" s="61"/>
      <c r="R464" s="61">
        <v>1</v>
      </c>
      <c r="S464" s="17">
        <f t="shared" ref="S464" si="538">SUM(Q464:R464)</f>
        <v>1</v>
      </c>
      <c r="T464" s="61"/>
      <c r="U464" s="61"/>
      <c r="V464" s="359">
        <f t="shared" ref="V464" si="539">SUM(T464:U464)</f>
        <v>0</v>
      </c>
      <c r="W464" s="391">
        <f t="shared" si="533"/>
        <v>0</v>
      </c>
      <c r="X464" s="17">
        <f t="shared" si="534"/>
        <v>2</v>
      </c>
      <c r="Y464" s="18">
        <f>SUM(W464:X464)</f>
        <v>2</v>
      </c>
      <c r="Z464" s="19">
        <f>IF(Y$370=0,0,Y464/Y$370)</f>
        <v>0</v>
      </c>
      <c r="AA464" s="19"/>
      <c r="AB464" s="19"/>
      <c r="AC464" s="20"/>
      <c r="AE464" s="111"/>
      <c r="AF464" s="111"/>
      <c r="AG464" s="111"/>
      <c r="AH464" s="112"/>
      <c r="AI464" s="113"/>
      <c r="AK464" s="111"/>
      <c r="AL464" s="111"/>
      <c r="AM464" s="111"/>
      <c r="AN464" s="112"/>
      <c r="AO464" s="113"/>
      <c r="AQ464" s="17"/>
      <c r="AR464" s="17"/>
      <c r="AS464" s="17"/>
      <c r="AT464" s="18">
        <f t="shared" si="535"/>
        <v>0</v>
      </c>
      <c r="AU464" s="19">
        <f>IF(AT$469=0,0,AT464/AT$469)</f>
        <v>0</v>
      </c>
      <c r="AW464" s="17"/>
      <c r="AX464" s="17"/>
      <c r="AY464" s="17"/>
      <c r="AZ464" s="18">
        <f t="shared" si="536"/>
        <v>2</v>
      </c>
      <c r="BA464" s="19">
        <f>IF(AZ$469=0,0,AZ464/AZ$469)</f>
        <v>1</v>
      </c>
    </row>
    <row r="465" spans="1:53" ht="17.100000000000001" customHeight="1" x14ac:dyDescent="0.25">
      <c r="A465" s="175"/>
      <c r="B465" s="40"/>
      <c r="C465" s="55"/>
      <c r="D465" s="56" t="s">
        <v>263</v>
      </c>
      <c r="E465" s="146" t="s">
        <v>484</v>
      </c>
      <c r="F465" s="225"/>
      <c r="G465" s="149"/>
      <c r="H465" s="182"/>
      <c r="I465" s="241"/>
      <c r="J465" s="111"/>
      <c r="K465" s="111"/>
      <c r="L465" s="111"/>
      <c r="M465" s="111"/>
      <c r="N465" s="60"/>
      <c r="O465" s="60">
        <v>1600000</v>
      </c>
      <c r="P465" s="17"/>
      <c r="Q465" s="60"/>
      <c r="R465" s="60">
        <v>500000</v>
      </c>
      <c r="S465" s="17"/>
      <c r="T465" s="60"/>
      <c r="U465" s="60"/>
      <c r="V465" s="359"/>
      <c r="W465" s="391">
        <f>MIN(N465,Q465,T465)</f>
        <v>0</v>
      </c>
      <c r="X465" s="17">
        <f>MIN(O465,R465,U465)</f>
        <v>500000</v>
      </c>
      <c r="Y465" s="18"/>
      <c r="Z465" s="19"/>
      <c r="AA465" s="17">
        <f>MIN(N465:U465)</f>
        <v>500000</v>
      </c>
      <c r="AB465" s="17"/>
      <c r="AC465" s="17"/>
      <c r="AE465" s="111"/>
      <c r="AF465" s="111"/>
      <c r="AG465" s="111"/>
      <c r="AH465" s="545"/>
      <c r="AI465" s="131"/>
      <c r="AK465" s="111"/>
      <c r="AL465" s="111"/>
      <c r="AM465" s="111"/>
      <c r="AN465" s="545"/>
      <c r="AO465" s="131"/>
      <c r="AQ465" s="17">
        <f>W465</f>
        <v>0</v>
      </c>
      <c r="AR465" s="17"/>
      <c r="AS465" s="17"/>
      <c r="AT465" s="18"/>
      <c r="AU465" s="19"/>
      <c r="AW465" s="17">
        <f>X465</f>
        <v>500000</v>
      </c>
      <c r="AX465" s="17"/>
      <c r="AY465" s="17"/>
      <c r="AZ465" s="18"/>
      <c r="BA465" s="19"/>
    </row>
    <row r="466" spans="1:53" ht="17.100000000000001" customHeight="1" x14ac:dyDescent="0.25">
      <c r="A466" s="175"/>
      <c r="B466" s="40"/>
      <c r="C466" s="55"/>
      <c r="D466" s="56" t="s">
        <v>264</v>
      </c>
      <c r="E466" s="146" t="s">
        <v>485</v>
      </c>
      <c r="F466" s="225"/>
      <c r="G466" s="149"/>
      <c r="H466" s="182"/>
      <c r="I466" s="241"/>
      <c r="J466" s="111"/>
      <c r="K466" s="111"/>
      <c r="L466" s="111"/>
      <c r="M466" s="111"/>
      <c r="N466" s="61"/>
      <c r="O466" s="61">
        <v>1600000</v>
      </c>
      <c r="P466" s="17"/>
      <c r="Q466" s="61"/>
      <c r="R466" s="61">
        <v>500000</v>
      </c>
      <c r="S466" s="17"/>
      <c r="T466" s="61"/>
      <c r="U466" s="61"/>
      <c r="V466" s="359"/>
      <c r="W466" s="391">
        <f>MAX(N466,Q466,T466)</f>
        <v>0</v>
      </c>
      <c r="X466" s="17">
        <f>MAX(O466,R466,U466)</f>
        <v>1600000</v>
      </c>
      <c r="Y466" s="18"/>
      <c r="Z466" s="19"/>
      <c r="AA466" s="17"/>
      <c r="AB466" s="17">
        <f>MAX(N466:U466)</f>
        <v>1600000</v>
      </c>
      <c r="AC466" s="17"/>
      <c r="AE466" s="111"/>
      <c r="AF466" s="111"/>
      <c r="AG466" s="111"/>
      <c r="AH466" s="545"/>
      <c r="AI466" s="131"/>
      <c r="AK466" s="111"/>
      <c r="AL466" s="111"/>
      <c r="AM466" s="111"/>
      <c r="AN466" s="545"/>
      <c r="AO466" s="131"/>
      <c r="AQ466" s="17"/>
      <c r="AR466" s="17">
        <f>W466</f>
        <v>0</v>
      </c>
      <c r="AS466" s="17"/>
      <c r="AT466" s="18"/>
      <c r="AU466" s="19"/>
      <c r="AW466" s="17"/>
      <c r="AX466" s="17">
        <f>X466</f>
        <v>1600000</v>
      </c>
      <c r="AY466" s="17"/>
      <c r="AZ466" s="18"/>
      <c r="BA466" s="19"/>
    </row>
    <row r="467" spans="1:53" ht="17.100000000000001" customHeight="1" x14ac:dyDescent="0.25">
      <c r="A467" s="175"/>
      <c r="B467" s="40"/>
      <c r="C467" s="55"/>
      <c r="D467" s="56" t="s">
        <v>265</v>
      </c>
      <c r="E467" s="146" t="s">
        <v>543</v>
      </c>
      <c r="F467" s="225"/>
      <c r="G467" s="149"/>
      <c r="H467" s="182"/>
      <c r="I467" s="241"/>
      <c r="J467" s="111"/>
      <c r="K467" s="111"/>
      <c r="L467" s="111"/>
      <c r="M467" s="111"/>
      <c r="N467" s="60"/>
      <c r="O467" s="60">
        <v>1600000</v>
      </c>
      <c r="P467" s="17"/>
      <c r="Q467" s="60"/>
      <c r="R467" s="60">
        <v>500000</v>
      </c>
      <c r="S467" s="17"/>
      <c r="T467" s="60"/>
      <c r="U467" s="60"/>
      <c r="V467" s="359"/>
      <c r="W467" s="391">
        <f>IF(N467+Q467+T467=0,0,AVERAGE(N467,Q467,T467))</f>
        <v>0</v>
      </c>
      <c r="X467" s="17">
        <f>IF(O467+R467+U467=0,0,AVERAGE(O467,R467,U467))</f>
        <v>1050000</v>
      </c>
      <c r="Y467" s="18"/>
      <c r="Z467" s="19"/>
      <c r="AA467" s="17"/>
      <c r="AB467" s="17"/>
      <c r="AC467" s="17">
        <f>IF(SUM(N467:U467)=0,0,AVERAGE(N467:U467))</f>
        <v>1050000</v>
      </c>
      <c r="AE467" s="111"/>
      <c r="AF467" s="111"/>
      <c r="AG467" s="111"/>
      <c r="AH467" s="545"/>
      <c r="AI467" s="131"/>
      <c r="AK467" s="111"/>
      <c r="AL467" s="111"/>
      <c r="AM467" s="111"/>
      <c r="AN467" s="545"/>
      <c r="AO467" s="131"/>
      <c r="AQ467" s="17"/>
      <c r="AR467" s="17"/>
      <c r="AS467" s="17">
        <f>W467</f>
        <v>0</v>
      </c>
      <c r="AT467" s="18"/>
      <c r="AU467" s="19"/>
      <c r="AW467" s="17"/>
      <c r="AX467" s="17"/>
      <c r="AY467" s="17">
        <f>X467</f>
        <v>1050000</v>
      </c>
      <c r="AZ467" s="18"/>
      <c r="BA467" s="19"/>
    </row>
    <row r="468" spans="1:53" ht="17.100000000000001" customHeight="1" x14ac:dyDescent="0.25">
      <c r="A468" s="175"/>
      <c r="B468" s="40"/>
      <c r="C468" s="55"/>
      <c r="D468" s="56" t="s">
        <v>266</v>
      </c>
      <c r="E468" s="596" t="s">
        <v>598</v>
      </c>
      <c r="F468" s="225"/>
      <c r="G468" s="149"/>
      <c r="H468" s="182"/>
      <c r="I468" s="241"/>
      <c r="J468" s="111"/>
      <c r="K468" s="111"/>
      <c r="L468" s="111"/>
      <c r="M468" s="111"/>
      <c r="N468" s="61"/>
      <c r="O468" s="61"/>
      <c r="P468" s="17">
        <f t="shared" ref="P468" si="540">SUM(N468:O468)</f>
        <v>0</v>
      </c>
      <c r="Q468" s="61"/>
      <c r="R468" s="61"/>
      <c r="S468" s="17">
        <f t="shared" ref="S468" si="541">SUM(Q468:R468)</f>
        <v>0</v>
      </c>
      <c r="T468" s="61"/>
      <c r="U468" s="61"/>
      <c r="V468" s="359">
        <f t="shared" ref="V468" si="542">SUM(T468:U468)</f>
        <v>0</v>
      </c>
      <c r="W468" s="391">
        <f t="shared" ref="W468" si="543">J468+K468+N468+Q468+T468</f>
        <v>0</v>
      </c>
      <c r="X468" s="17">
        <f t="shared" ref="X468" si="544">L468+O468+R468+U468</f>
        <v>0</v>
      </c>
      <c r="Y468" s="18">
        <f>SUM(W468:X468)</f>
        <v>0</v>
      </c>
      <c r="Z468" s="19">
        <f>IF(Y$370=0,0,Y468/Y$370)</f>
        <v>0</v>
      </c>
      <c r="AA468" s="19"/>
      <c r="AB468" s="19"/>
      <c r="AC468" s="20"/>
      <c r="AE468" s="111"/>
      <c r="AF468" s="111"/>
      <c r="AG468" s="111"/>
      <c r="AH468" s="112"/>
      <c r="AI468" s="113"/>
      <c r="AK468" s="111"/>
      <c r="AL468" s="111"/>
      <c r="AM468" s="111"/>
      <c r="AN468" s="112"/>
      <c r="AO468" s="113"/>
      <c r="AQ468" s="17"/>
      <c r="AR468" s="17"/>
      <c r="AS468" s="17"/>
      <c r="AT468" s="18">
        <f t="shared" ref="AT468" si="545">W468</f>
        <v>0</v>
      </c>
      <c r="AU468" s="19">
        <f t="shared" ref="AU468:AU469" si="546">IF(AT$469=0,0,AT468/AT$469)</f>
        <v>0</v>
      </c>
      <c r="AW468" s="17"/>
      <c r="AX468" s="17"/>
      <c r="AY468" s="17"/>
      <c r="AZ468" s="18">
        <f t="shared" ref="AZ468" si="547">X468</f>
        <v>0</v>
      </c>
      <c r="BA468" s="19">
        <f t="shared" ref="BA468:BA469" si="548">IF(AZ$469=0,0,AZ468/AZ$469)</f>
        <v>0</v>
      </c>
    </row>
    <row r="469" spans="1:53" s="117" customFormat="1" ht="17.100000000000001" customHeight="1" x14ac:dyDescent="0.25">
      <c r="A469" s="68"/>
      <c r="B469" s="119"/>
      <c r="C469" s="77"/>
      <c r="D469" s="134"/>
      <c r="E469" s="134"/>
      <c r="F469" s="134"/>
      <c r="G469" s="134"/>
      <c r="H469" s="540"/>
      <c r="I469" s="229"/>
      <c r="J469" s="80"/>
      <c r="K469" s="80"/>
      <c r="L469" s="81"/>
      <c r="M469" s="81"/>
      <c r="N469" s="81">
        <f>N463+N464+N468</f>
        <v>0</v>
      </c>
      <c r="O469" s="81">
        <f t="shared" ref="O469:V469" si="549">O463+O464+O468</f>
        <v>1</v>
      </c>
      <c r="P469" s="81">
        <f t="shared" si="549"/>
        <v>1</v>
      </c>
      <c r="Q469" s="81">
        <f t="shared" si="549"/>
        <v>0</v>
      </c>
      <c r="R469" s="81">
        <f t="shared" si="549"/>
        <v>1</v>
      </c>
      <c r="S469" s="81">
        <f t="shared" si="549"/>
        <v>1</v>
      </c>
      <c r="T469" s="81">
        <f t="shared" si="549"/>
        <v>0</v>
      </c>
      <c r="U469" s="81">
        <f t="shared" si="549"/>
        <v>0</v>
      </c>
      <c r="V469" s="81">
        <f t="shared" si="549"/>
        <v>0</v>
      </c>
      <c r="W469" s="381">
        <f>W463+W464+W468</f>
        <v>0</v>
      </c>
      <c r="X469" s="82">
        <f t="shared" ref="X469:Y469" si="550">X463+X464+X468</f>
        <v>2</v>
      </c>
      <c r="Y469" s="338">
        <f t="shared" si="550"/>
        <v>2</v>
      </c>
      <c r="Z469" s="205">
        <f>IF(Y$430=0,0,Y469/Y$430)</f>
        <v>0.4</v>
      </c>
      <c r="AA469" s="205"/>
      <c r="AB469" s="205"/>
      <c r="AC469" s="83"/>
      <c r="AE469" s="80"/>
      <c r="AF469" s="80"/>
      <c r="AG469" s="81"/>
      <c r="AH469" s="82"/>
      <c r="AI469" s="66"/>
      <c r="AK469" s="80"/>
      <c r="AL469" s="80"/>
      <c r="AM469" s="81"/>
      <c r="AN469" s="82"/>
      <c r="AO469" s="66"/>
      <c r="AQ469" s="80"/>
      <c r="AR469" s="80"/>
      <c r="AS469" s="81"/>
      <c r="AT469" s="82">
        <f>SUM(AT463:AT468)</f>
        <v>0</v>
      </c>
      <c r="AU469" s="66">
        <f t="shared" si="546"/>
        <v>0</v>
      </c>
      <c r="AW469" s="80"/>
      <c r="AX469" s="80"/>
      <c r="AY469" s="81"/>
      <c r="AZ469" s="82">
        <f>SUM(AZ463:AZ468)</f>
        <v>2</v>
      </c>
      <c r="BA469" s="66">
        <f t="shared" si="548"/>
        <v>1</v>
      </c>
    </row>
    <row r="470" spans="1:53" s="117" customFormat="1" ht="17.100000000000001" customHeight="1" x14ac:dyDescent="0.25">
      <c r="A470" s="68"/>
      <c r="B470" s="119"/>
      <c r="C470" s="540"/>
      <c r="D470" s="261"/>
      <c r="E470" s="261"/>
      <c r="F470" s="68"/>
      <c r="G470" s="68"/>
      <c r="H470" s="119"/>
      <c r="I470" s="138"/>
      <c r="J470" s="17"/>
      <c r="K470" s="17"/>
      <c r="L470" s="17"/>
      <c r="M470" s="17"/>
      <c r="N470" s="17" t="str">
        <f>IF(N469=N$443,"OK","NOK")</f>
        <v>OK</v>
      </c>
      <c r="O470" s="17" t="str">
        <f>IF(O469=O$443,"OK","NOK")</f>
        <v>OK</v>
      </c>
      <c r="P470" s="17"/>
      <c r="Q470" s="17" t="str">
        <f>IF(Q469=Q$443,"OK","NOK")</f>
        <v>OK</v>
      </c>
      <c r="R470" s="17" t="str">
        <f>IF(R469=R$443,"OK","NOK")</f>
        <v>OK</v>
      </c>
      <c r="S470" s="17"/>
      <c r="T470" s="17" t="str">
        <f>IF(T469=T$443,"OK","NOK")</f>
        <v>OK</v>
      </c>
      <c r="U470" s="17" t="str">
        <f>IF(U469=U$443,"OK","NOK")</f>
        <v>OK</v>
      </c>
      <c r="V470" s="359"/>
      <c r="W470" s="382"/>
      <c r="X470" s="539"/>
      <c r="Y470" s="539"/>
      <c r="Z470" s="201"/>
      <c r="AA470" s="201"/>
      <c r="AB470" s="201"/>
      <c r="AC470" s="84"/>
      <c r="AE470" s="46"/>
      <c r="AF470" s="46"/>
      <c r="AG470" s="17"/>
      <c r="AH470" s="539"/>
      <c r="AI470" s="91"/>
      <c r="AK470" s="46"/>
      <c r="AL470" s="46"/>
      <c r="AM470" s="17"/>
      <c r="AN470" s="539"/>
      <c r="AO470" s="91"/>
      <c r="AQ470" s="46"/>
      <c r="AR470" s="46"/>
      <c r="AS470" s="17"/>
      <c r="AT470" s="539"/>
      <c r="AU470" s="91"/>
      <c r="AW470" s="46"/>
      <c r="AX470" s="46"/>
      <c r="AY470" s="17"/>
      <c r="AZ470" s="539"/>
      <c r="BA470" s="91"/>
    </row>
    <row r="471" spans="1:53" s="117" customFormat="1" ht="17.100000000000001" customHeight="1" x14ac:dyDescent="0.25">
      <c r="A471" s="68"/>
      <c r="B471" s="119"/>
      <c r="C471" s="56" t="s">
        <v>267</v>
      </c>
      <c r="D471" s="57" t="s">
        <v>276</v>
      </c>
      <c r="E471" s="149"/>
      <c r="F471" s="149"/>
      <c r="G471" s="149"/>
      <c r="H471" s="182"/>
      <c r="I471" s="241"/>
      <c r="J471" s="152"/>
      <c r="K471" s="152"/>
      <c r="L471" s="111"/>
      <c r="M471" s="111"/>
      <c r="N471" s="111"/>
      <c r="O471" s="111"/>
      <c r="P471" s="111"/>
      <c r="Q471" s="111"/>
      <c r="R471" s="111"/>
      <c r="S471" s="111"/>
      <c r="T471" s="111"/>
      <c r="U471" s="111"/>
      <c r="V471" s="358"/>
      <c r="W471" s="380"/>
      <c r="X471" s="111"/>
      <c r="Y471" s="545"/>
      <c r="Z471" s="131"/>
      <c r="AA471" s="131"/>
      <c r="AB471" s="131"/>
      <c r="AC471" s="113"/>
      <c r="AE471" s="152"/>
      <c r="AF471" s="152"/>
      <c r="AG471" s="111"/>
      <c r="AH471" s="545"/>
      <c r="AI471" s="131"/>
      <c r="AK471" s="152"/>
      <c r="AL471" s="152"/>
      <c r="AM471" s="111"/>
      <c r="AN471" s="545"/>
      <c r="AO471" s="131"/>
      <c r="AQ471" s="152"/>
      <c r="AR471" s="152"/>
      <c r="AS471" s="111"/>
      <c r="AT471" s="545"/>
      <c r="AU471" s="131"/>
      <c r="AW471" s="152"/>
      <c r="AX471" s="152"/>
      <c r="AY471" s="111"/>
      <c r="AZ471" s="545"/>
      <c r="BA471" s="131"/>
    </row>
    <row r="472" spans="1:53" s="117" customFormat="1" ht="17.100000000000001" customHeight="1" x14ac:dyDescent="0.25">
      <c r="A472" s="68"/>
      <c r="B472" s="119"/>
      <c r="C472" s="55"/>
      <c r="D472" s="56" t="s">
        <v>268</v>
      </c>
      <c r="E472" s="85" t="s">
        <v>478</v>
      </c>
      <c r="F472" s="149"/>
      <c r="G472" s="149"/>
      <c r="H472" s="182"/>
      <c r="I472" s="241"/>
      <c r="J472" s="111"/>
      <c r="K472" s="111"/>
      <c r="L472" s="111"/>
      <c r="M472" s="111"/>
      <c r="N472" s="60"/>
      <c r="O472" s="60"/>
      <c r="P472" s="17">
        <f t="shared" ref="P472:P479" si="551">SUM(N472:O472)</f>
        <v>0</v>
      </c>
      <c r="Q472" s="60"/>
      <c r="R472" s="60"/>
      <c r="S472" s="17">
        <f t="shared" ref="S472:S479" si="552">SUM(Q472:R472)</f>
        <v>0</v>
      </c>
      <c r="T472" s="60"/>
      <c r="U472" s="60"/>
      <c r="V472" s="359">
        <f t="shared" ref="V472:V479" si="553">SUM(T472:U472)</f>
        <v>0</v>
      </c>
      <c r="W472" s="391">
        <f t="shared" ref="W472:W479" si="554">J472+K472+N472+Q472+T472</f>
        <v>0</v>
      </c>
      <c r="X472" s="17">
        <f t="shared" ref="X472:X479" si="555">L472+O472+R472+U472</f>
        <v>0</v>
      </c>
      <c r="Y472" s="18">
        <f t="shared" ref="Y472:Y479" si="556">SUM(W472:X472)</f>
        <v>0</v>
      </c>
      <c r="Z472" s="19">
        <f>IF(Y$480=0,0,Y472/Y$480)</f>
        <v>0</v>
      </c>
      <c r="AA472" s="19"/>
      <c r="AB472" s="19"/>
      <c r="AC472" s="84"/>
      <c r="AE472" s="111"/>
      <c r="AF472" s="111"/>
      <c r="AG472" s="111"/>
      <c r="AH472" s="112"/>
      <c r="AI472" s="113"/>
      <c r="AK472" s="111"/>
      <c r="AL472" s="111"/>
      <c r="AM472" s="111"/>
      <c r="AN472" s="112"/>
      <c r="AO472" s="113"/>
      <c r="AQ472" s="17"/>
      <c r="AR472" s="17"/>
      <c r="AS472" s="17"/>
      <c r="AT472" s="18">
        <f t="shared" ref="AT472:AT479" si="557">W472</f>
        <v>0</v>
      </c>
      <c r="AU472" s="19">
        <f>IF(AT$480=0,0,AT472/AT$480)</f>
        <v>0</v>
      </c>
      <c r="AW472" s="17"/>
      <c r="AX472" s="17"/>
      <c r="AY472" s="17"/>
      <c r="AZ472" s="18">
        <f t="shared" ref="AZ472:AZ479" si="558">X472</f>
        <v>0</v>
      </c>
      <c r="BA472" s="19">
        <f>IF(AZ$480=0,0,AZ472/AZ$480)</f>
        <v>0</v>
      </c>
    </row>
    <row r="473" spans="1:53" s="117" customFormat="1" ht="17.100000000000001" customHeight="1" x14ac:dyDescent="0.25">
      <c r="A473" s="68"/>
      <c r="B473" s="119"/>
      <c r="C473" s="55"/>
      <c r="D473" s="56" t="s">
        <v>269</v>
      </c>
      <c r="E473" s="85" t="s">
        <v>165</v>
      </c>
      <c r="F473" s="149"/>
      <c r="G473" s="149"/>
      <c r="H473" s="182"/>
      <c r="I473" s="241"/>
      <c r="J473" s="111"/>
      <c r="K473" s="111"/>
      <c r="L473" s="111"/>
      <c r="M473" s="111"/>
      <c r="N473" s="61"/>
      <c r="O473" s="61">
        <v>1</v>
      </c>
      <c r="P473" s="17">
        <f t="shared" si="551"/>
        <v>1</v>
      </c>
      <c r="Q473" s="61"/>
      <c r="R473" s="61">
        <v>1</v>
      </c>
      <c r="S473" s="17">
        <f t="shared" si="552"/>
        <v>1</v>
      </c>
      <c r="T473" s="61"/>
      <c r="U473" s="61"/>
      <c r="V473" s="359">
        <f t="shared" si="553"/>
        <v>0</v>
      </c>
      <c r="W473" s="391">
        <f t="shared" si="554"/>
        <v>0</v>
      </c>
      <c r="X473" s="17">
        <f t="shared" si="555"/>
        <v>2</v>
      </c>
      <c r="Y473" s="18">
        <f t="shared" si="556"/>
        <v>2</v>
      </c>
      <c r="Z473" s="19">
        <f t="shared" ref="Z473:Z479" si="559">IF(Y$480=0,0,Y473/Y$480)</f>
        <v>1</v>
      </c>
      <c r="AA473" s="19"/>
      <c r="AB473" s="19"/>
      <c r="AC473" s="84"/>
      <c r="AE473" s="111"/>
      <c r="AF473" s="111"/>
      <c r="AG473" s="111"/>
      <c r="AH473" s="112"/>
      <c r="AI473" s="113"/>
      <c r="AK473" s="111"/>
      <c r="AL473" s="111"/>
      <c r="AM473" s="111"/>
      <c r="AN473" s="112"/>
      <c r="AO473" s="113"/>
      <c r="AQ473" s="17"/>
      <c r="AR473" s="17"/>
      <c r="AS473" s="17"/>
      <c r="AT473" s="18">
        <f t="shared" si="557"/>
        <v>0</v>
      </c>
      <c r="AU473" s="19">
        <f t="shared" ref="AU473:AU480" si="560">IF(AT$480=0,0,AT473/AT$480)</f>
        <v>0</v>
      </c>
      <c r="AW473" s="17"/>
      <c r="AX473" s="17"/>
      <c r="AY473" s="17"/>
      <c r="AZ473" s="18">
        <f t="shared" si="558"/>
        <v>2</v>
      </c>
      <c r="BA473" s="19">
        <f t="shared" ref="BA473:BA480" si="561">IF(AZ$480=0,0,AZ473/AZ$480)</f>
        <v>1</v>
      </c>
    </row>
    <row r="474" spans="1:53" s="117" customFormat="1" ht="17.100000000000001" customHeight="1" x14ac:dyDescent="0.25">
      <c r="A474" s="68"/>
      <c r="B474" s="119"/>
      <c r="C474" s="55"/>
      <c r="D474" s="56" t="s">
        <v>270</v>
      </c>
      <c r="E474" s="85" t="s">
        <v>167</v>
      </c>
      <c r="F474" s="149"/>
      <c r="G474" s="149"/>
      <c r="H474" s="182"/>
      <c r="I474" s="241"/>
      <c r="J474" s="111"/>
      <c r="K474" s="111"/>
      <c r="L474" s="111"/>
      <c r="M474" s="111"/>
      <c r="N474" s="60"/>
      <c r="O474" s="60"/>
      <c r="P474" s="17">
        <f t="shared" si="551"/>
        <v>0</v>
      </c>
      <c r="Q474" s="60"/>
      <c r="R474" s="60"/>
      <c r="S474" s="17">
        <f t="shared" si="552"/>
        <v>0</v>
      </c>
      <c r="T474" s="60"/>
      <c r="U474" s="60"/>
      <c r="V474" s="359">
        <f t="shared" si="553"/>
        <v>0</v>
      </c>
      <c r="W474" s="391">
        <f t="shared" si="554"/>
        <v>0</v>
      </c>
      <c r="X474" s="17">
        <f t="shared" si="555"/>
        <v>0</v>
      </c>
      <c r="Y474" s="18">
        <f t="shared" si="556"/>
        <v>0</v>
      </c>
      <c r="Z474" s="19">
        <f t="shared" si="559"/>
        <v>0</v>
      </c>
      <c r="AA474" s="19"/>
      <c r="AB474" s="19"/>
      <c r="AC474" s="84"/>
      <c r="AE474" s="111"/>
      <c r="AF474" s="111"/>
      <c r="AG474" s="111"/>
      <c r="AH474" s="112"/>
      <c r="AI474" s="113"/>
      <c r="AK474" s="111"/>
      <c r="AL474" s="111"/>
      <c r="AM474" s="111"/>
      <c r="AN474" s="112"/>
      <c r="AO474" s="113"/>
      <c r="AQ474" s="17"/>
      <c r="AR474" s="17"/>
      <c r="AS474" s="17"/>
      <c r="AT474" s="18">
        <f t="shared" si="557"/>
        <v>0</v>
      </c>
      <c r="AU474" s="19">
        <f t="shared" si="560"/>
        <v>0</v>
      </c>
      <c r="AW474" s="17"/>
      <c r="AX474" s="17"/>
      <c r="AY474" s="17"/>
      <c r="AZ474" s="18">
        <f t="shared" si="558"/>
        <v>0</v>
      </c>
      <c r="BA474" s="19">
        <f t="shared" si="561"/>
        <v>0</v>
      </c>
    </row>
    <row r="475" spans="1:53" s="117" customFormat="1" ht="17.100000000000001" customHeight="1" x14ac:dyDescent="0.25">
      <c r="A475" s="68"/>
      <c r="B475" s="119"/>
      <c r="C475" s="55"/>
      <c r="D475" s="56" t="s">
        <v>271</v>
      </c>
      <c r="E475" s="85" t="s">
        <v>437</v>
      </c>
      <c r="F475" s="149"/>
      <c r="G475" s="149"/>
      <c r="H475" s="182"/>
      <c r="I475" s="241"/>
      <c r="J475" s="111"/>
      <c r="K475" s="111"/>
      <c r="L475" s="111"/>
      <c r="M475" s="111"/>
      <c r="N475" s="61"/>
      <c r="O475" s="61"/>
      <c r="P475" s="17">
        <f t="shared" si="551"/>
        <v>0</v>
      </c>
      <c r="Q475" s="61"/>
      <c r="R475" s="61"/>
      <c r="S475" s="17">
        <f t="shared" si="552"/>
        <v>0</v>
      </c>
      <c r="T475" s="61"/>
      <c r="U475" s="61"/>
      <c r="V475" s="359">
        <f t="shared" si="553"/>
        <v>0</v>
      </c>
      <c r="W475" s="391">
        <f t="shared" si="554"/>
        <v>0</v>
      </c>
      <c r="X475" s="17">
        <f t="shared" si="555"/>
        <v>0</v>
      </c>
      <c r="Y475" s="18">
        <f t="shared" si="556"/>
        <v>0</v>
      </c>
      <c r="Z475" s="19">
        <f t="shared" si="559"/>
        <v>0</v>
      </c>
      <c r="AA475" s="19"/>
      <c r="AB475" s="19"/>
      <c r="AC475" s="84"/>
      <c r="AE475" s="111"/>
      <c r="AF475" s="111"/>
      <c r="AG475" s="111"/>
      <c r="AH475" s="112"/>
      <c r="AI475" s="113"/>
      <c r="AK475" s="111"/>
      <c r="AL475" s="111"/>
      <c r="AM475" s="111"/>
      <c r="AN475" s="112"/>
      <c r="AO475" s="113"/>
      <c r="AQ475" s="17"/>
      <c r="AR475" s="17"/>
      <c r="AS475" s="17"/>
      <c r="AT475" s="18">
        <f t="shared" si="557"/>
        <v>0</v>
      </c>
      <c r="AU475" s="19">
        <f t="shared" si="560"/>
        <v>0</v>
      </c>
      <c r="AW475" s="17"/>
      <c r="AX475" s="17"/>
      <c r="AY475" s="17"/>
      <c r="AZ475" s="18">
        <f t="shared" si="558"/>
        <v>0</v>
      </c>
      <c r="BA475" s="19">
        <f t="shared" si="561"/>
        <v>0</v>
      </c>
    </row>
    <row r="476" spans="1:53" s="117" customFormat="1" ht="17.100000000000001" customHeight="1" x14ac:dyDescent="0.25">
      <c r="A476" s="68"/>
      <c r="B476" s="119"/>
      <c r="C476" s="55"/>
      <c r="D476" s="56" t="s">
        <v>272</v>
      </c>
      <c r="E476" s="85" t="s">
        <v>438</v>
      </c>
      <c r="F476" s="149"/>
      <c r="G476" s="149"/>
      <c r="H476" s="182"/>
      <c r="I476" s="241"/>
      <c r="J476" s="111"/>
      <c r="K476" s="111"/>
      <c r="L476" s="111"/>
      <c r="M476" s="111"/>
      <c r="N476" s="60"/>
      <c r="O476" s="60"/>
      <c r="P476" s="17">
        <f t="shared" si="551"/>
        <v>0</v>
      </c>
      <c r="Q476" s="60"/>
      <c r="R476" s="60"/>
      <c r="S476" s="17">
        <f t="shared" si="552"/>
        <v>0</v>
      </c>
      <c r="T476" s="60"/>
      <c r="U476" s="60"/>
      <c r="V476" s="359">
        <f t="shared" si="553"/>
        <v>0</v>
      </c>
      <c r="W476" s="391">
        <f t="shared" si="554"/>
        <v>0</v>
      </c>
      <c r="X476" s="17">
        <f t="shared" si="555"/>
        <v>0</v>
      </c>
      <c r="Y476" s="18">
        <f t="shared" si="556"/>
        <v>0</v>
      </c>
      <c r="Z476" s="19">
        <f t="shared" si="559"/>
        <v>0</v>
      </c>
      <c r="AA476" s="19"/>
      <c r="AB476" s="19"/>
      <c r="AC476" s="84"/>
      <c r="AE476" s="111"/>
      <c r="AF476" s="111"/>
      <c r="AG476" s="111"/>
      <c r="AH476" s="112"/>
      <c r="AI476" s="113"/>
      <c r="AK476" s="111"/>
      <c r="AL476" s="111"/>
      <c r="AM476" s="111"/>
      <c r="AN476" s="112"/>
      <c r="AO476" s="113"/>
      <c r="AQ476" s="17"/>
      <c r="AR476" s="17"/>
      <c r="AS476" s="17"/>
      <c r="AT476" s="18">
        <f t="shared" si="557"/>
        <v>0</v>
      </c>
      <c r="AU476" s="19">
        <f t="shared" si="560"/>
        <v>0</v>
      </c>
      <c r="AW476" s="17"/>
      <c r="AX476" s="17"/>
      <c r="AY476" s="17"/>
      <c r="AZ476" s="18">
        <f t="shared" si="558"/>
        <v>0</v>
      </c>
      <c r="BA476" s="19">
        <f t="shared" si="561"/>
        <v>0</v>
      </c>
    </row>
    <row r="477" spans="1:53" s="117" customFormat="1" ht="17.100000000000001" customHeight="1" x14ac:dyDescent="0.25">
      <c r="A477" s="68"/>
      <c r="B477" s="119"/>
      <c r="C477" s="55"/>
      <c r="D477" s="56" t="s">
        <v>273</v>
      </c>
      <c r="E477" s="85" t="s">
        <v>439</v>
      </c>
      <c r="F477" s="595"/>
      <c r="G477" s="595"/>
      <c r="H477" s="17"/>
      <c r="I477" s="594"/>
      <c r="J477" s="111"/>
      <c r="K477" s="111"/>
      <c r="L477" s="111"/>
      <c r="M477" s="111"/>
      <c r="N477" s="61"/>
      <c r="O477" s="61"/>
      <c r="P477" s="17">
        <f t="shared" si="551"/>
        <v>0</v>
      </c>
      <c r="Q477" s="61"/>
      <c r="R477" s="61"/>
      <c r="S477" s="17">
        <f t="shared" si="552"/>
        <v>0</v>
      </c>
      <c r="T477" s="61"/>
      <c r="U477" s="61"/>
      <c r="V477" s="359">
        <f t="shared" si="553"/>
        <v>0</v>
      </c>
      <c r="W477" s="391">
        <f t="shared" si="554"/>
        <v>0</v>
      </c>
      <c r="X477" s="17">
        <f t="shared" si="555"/>
        <v>0</v>
      </c>
      <c r="Y477" s="18">
        <f t="shared" si="556"/>
        <v>0</v>
      </c>
      <c r="Z477" s="19">
        <f t="shared" si="559"/>
        <v>0</v>
      </c>
      <c r="AA477" s="19"/>
      <c r="AB477" s="19"/>
      <c r="AC477" s="84"/>
      <c r="AE477" s="111"/>
      <c r="AF477" s="111"/>
      <c r="AG477" s="111"/>
      <c r="AH477" s="112"/>
      <c r="AI477" s="113"/>
      <c r="AK477" s="111"/>
      <c r="AL477" s="111"/>
      <c r="AM477" s="111"/>
      <c r="AN477" s="112"/>
      <c r="AO477" s="113"/>
      <c r="AQ477" s="17"/>
      <c r="AR477" s="17"/>
      <c r="AS477" s="17"/>
      <c r="AT477" s="18">
        <f t="shared" si="557"/>
        <v>0</v>
      </c>
      <c r="AU477" s="19">
        <f t="shared" si="560"/>
        <v>0</v>
      </c>
      <c r="AW477" s="17"/>
      <c r="AX477" s="17"/>
      <c r="AY477" s="17"/>
      <c r="AZ477" s="18">
        <f t="shared" si="558"/>
        <v>0</v>
      </c>
      <c r="BA477" s="19">
        <f t="shared" si="561"/>
        <v>0</v>
      </c>
    </row>
    <row r="478" spans="1:53" s="117" customFormat="1" ht="17.100000000000001" customHeight="1" x14ac:dyDescent="0.25">
      <c r="A478" s="68"/>
      <c r="B478" s="119"/>
      <c r="C478" s="55"/>
      <c r="D478" s="56" t="s">
        <v>274</v>
      </c>
      <c r="E478" s="85" t="s">
        <v>483</v>
      </c>
      <c r="F478" s="595"/>
      <c r="G478" s="595"/>
      <c r="H478" s="17"/>
      <c r="I478" s="594"/>
      <c r="J478" s="111"/>
      <c r="K478" s="111"/>
      <c r="L478" s="111"/>
      <c r="M478" s="111"/>
      <c r="N478" s="60"/>
      <c r="O478" s="60"/>
      <c r="P478" s="17">
        <f t="shared" si="551"/>
        <v>0</v>
      </c>
      <c r="Q478" s="60"/>
      <c r="R478" s="60"/>
      <c r="S478" s="17">
        <f t="shared" si="552"/>
        <v>0</v>
      </c>
      <c r="T478" s="60"/>
      <c r="U478" s="60"/>
      <c r="V478" s="359">
        <f t="shared" si="553"/>
        <v>0</v>
      </c>
      <c r="W478" s="391">
        <f t="shared" si="554"/>
        <v>0</v>
      </c>
      <c r="X478" s="17">
        <f t="shared" si="555"/>
        <v>0</v>
      </c>
      <c r="Y478" s="18">
        <f t="shared" si="556"/>
        <v>0</v>
      </c>
      <c r="Z478" s="19">
        <f t="shared" si="559"/>
        <v>0</v>
      </c>
      <c r="AA478" s="19"/>
      <c r="AB478" s="19"/>
      <c r="AC478" s="84"/>
      <c r="AE478" s="111"/>
      <c r="AF478" s="111"/>
      <c r="AG478" s="111"/>
      <c r="AH478" s="112"/>
      <c r="AI478" s="113"/>
      <c r="AK478" s="111"/>
      <c r="AL478" s="111"/>
      <c r="AM478" s="111"/>
      <c r="AN478" s="112"/>
      <c r="AO478" s="113"/>
      <c r="AQ478" s="17"/>
      <c r="AR478" s="17"/>
      <c r="AS478" s="17"/>
      <c r="AT478" s="18">
        <f t="shared" si="557"/>
        <v>0</v>
      </c>
      <c r="AU478" s="19">
        <f t="shared" si="560"/>
        <v>0</v>
      </c>
      <c r="AW478" s="17"/>
      <c r="AX478" s="17"/>
      <c r="AY478" s="17"/>
      <c r="AZ478" s="18">
        <f t="shared" si="558"/>
        <v>0</v>
      </c>
      <c r="BA478" s="19">
        <f t="shared" si="561"/>
        <v>0</v>
      </c>
    </row>
    <row r="479" spans="1:53" s="117" customFormat="1" ht="17.100000000000001" customHeight="1" x14ac:dyDescent="0.25">
      <c r="A479" s="68"/>
      <c r="B479" s="119"/>
      <c r="C479" s="55"/>
      <c r="D479" s="56" t="s">
        <v>482</v>
      </c>
      <c r="E479" s="149" t="s">
        <v>129</v>
      </c>
      <c r="F479" s="149"/>
      <c r="G479" s="149"/>
      <c r="H479" s="182"/>
      <c r="I479" s="241"/>
      <c r="J479" s="111"/>
      <c r="K479" s="111"/>
      <c r="L479" s="111"/>
      <c r="M479" s="111"/>
      <c r="N479" s="61"/>
      <c r="O479" s="61"/>
      <c r="P479" s="17">
        <f t="shared" si="551"/>
        <v>0</v>
      </c>
      <c r="Q479" s="61"/>
      <c r="R479" s="61"/>
      <c r="S479" s="17">
        <f t="shared" si="552"/>
        <v>0</v>
      </c>
      <c r="T479" s="61"/>
      <c r="U479" s="61"/>
      <c r="V479" s="359">
        <f t="shared" si="553"/>
        <v>0</v>
      </c>
      <c r="W479" s="391">
        <f t="shared" si="554"/>
        <v>0</v>
      </c>
      <c r="X479" s="17">
        <f t="shared" si="555"/>
        <v>0</v>
      </c>
      <c r="Y479" s="18">
        <f t="shared" si="556"/>
        <v>0</v>
      </c>
      <c r="Z479" s="19">
        <f t="shared" si="559"/>
        <v>0</v>
      </c>
      <c r="AA479" s="19"/>
      <c r="AB479" s="19"/>
      <c r="AC479" s="84"/>
      <c r="AE479" s="111"/>
      <c r="AF479" s="111"/>
      <c r="AG479" s="111"/>
      <c r="AH479" s="112"/>
      <c r="AI479" s="113"/>
      <c r="AK479" s="111"/>
      <c r="AL479" s="111"/>
      <c r="AM479" s="111"/>
      <c r="AN479" s="112"/>
      <c r="AO479" s="113"/>
      <c r="AQ479" s="17"/>
      <c r="AR479" s="17"/>
      <c r="AS479" s="17"/>
      <c r="AT479" s="18">
        <f t="shared" si="557"/>
        <v>0</v>
      </c>
      <c r="AU479" s="19">
        <f t="shared" si="560"/>
        <v>0</v>
      </c>
      <c r="AW479" s="17"/>
      <c r="AX479" s="17"/>
      <c r="AY479" s="17"/>
      <c r="AZ479" s="18">
        <f t="shared" si="558"/>
        <v>0</v>
      </c>
      <c r="BA479" s="19">
        <f t="shared" si="561"/>
        <v>0</v>
      </c>
    </row>
    <row r="480" spans="1:53" s="117" customFormat="1" ht="17.100000000000001" customHeight="1" x14ac:dyDescent="0.25">
      <c r="A480" s="68"/>
      <c r="B480" s="119"/>
      <c r="C480" s="77"/>
      <c r="D480" s="134"/>
      <c r="E480" s="134"/>
      <c r="F480" s="134"/>
      <c r="G480" s="134"/>
      <c r="H480" s="540"/>
      <c r="I480" s="229"/>
      <c r="J480" s="80"/>
      <c r="K480" s="80"/>
      <c r="L480" s="81"/>
      <c r="M480" s="81"/>
      <c r="N480" s="81">
        <f>SUM(N472:N479)</f>
        <v>0</v>
      </c>
      <c r="O480" s="81">
        <f t="shared" ref="O480:V480" si="562">SUM(O472:O479)</f>
        <v>1</v>
      </c>
      <c r="P480" s="81">
        <f t="shared" si="562"/>
        <v>1</v>
      </c>
      <c r="Q480" s="81">
        <f t="shared" si="562"/>
        <v>0</v>
      </c>
      <c r="R480" s="81">
        <f t="shared" si="562"/>
        <v>1</v>
      </c>
      <c r="S480" s="81">
        <f t="shared" si="562"/>
        <v>1</v>
      </c>
      <c r="T480" s="81">
        <f t="shared" si="562"/>
        <v>0</v>
      </c>
      <c r="U480" s="81">
        <f t="shared" si="562"/>
        <v>0</v>
      </c>
      <c r="V480" s="81">
        <f t="shared" si="562"/>
        <v>0</v>
      </c>
      <c r="W480" s="381">
        <f>SUM(W472:W479)</f>
        <v>0</v>
      </c>
      <c r="X480" s="82">
        <f t="shared" ref="X480:Y480" si="563">SUM(X472:X479)</f>
        <v>2</v>
      </c>
      <c r="Y480" s="82">
        <f t="shared" si="563"/>
        <v>2</v>
      </c>
      <c r="Z480" s="205">
        <f>IF(Y$480=0,0,Y480/Y$480)</f>
        <v>1</v>
      </c>
      <c r="AA480" s="205"/>
      <c r="AB480" s="205"/>
      <c r="AC480" s="83"/>
      <c r="AE480" s="80"/>
      <c r="AF480" s="80"/>
      <c r="AG480" s="81"/>
      <c r="AH480" s="82"/>
      <c r="AI480" s="66"/>
      <c r="AK480" s="80"/>
      <c r="AL480" s="80"/>
      <c r="AM480" s="81"/>
      <c r="AN480" s="82"/>
      <c r="AO480" s="66"/>
      <c r="AQ480" s="80"/>
      <c r="AR480" s="80"/>
      <c r="AS480" s="81"/>
      <c r="AT480" s="82">
        <f>SUM(AT472:AT479)</f>
        <v>0</v>
      </c>
      <c r="AU480" s="66">
        <f t="shared" si="560"/>
        <v>0</v>
      </c>
      <c r="AW480" s="80"/>
      <c r="AX480" s="80"/>
      <c r="AY480" s="81"/>
      <c r="AZ480" s="82">
        <f>SUM(AZ472:AZ479)</f>
        <v>2</v>
      </c>
      <c r="BA480" s="66">
        <f t="shared" si="561"/>
        <v>1</v>
      </c>
    </row>
    <row r="481" spans="1:53" s="117" customFormat="1" ht="17.100000000000001" customHeight="1" x14ac:dyDescent="0.25">
      <c r="A481" s="68"/>
      <c r="B481" s="119"/>
      <c r="C481" s="540"/>
      <c r="D481" s="261"/>
      <c r="E481" s="261"/>
      <c r="F481" s="68"/>
      <c r="G481" s="68"/>
      <c r="H481" s="119"/>
      <c r="I481" s="138"/>
      <c r="J481" s="17"/>
      <c r="K481" s="17"/>
      <c r="L481" s="17"/>
      <c r="M481" s="17"/>
      <c r="N481" s="17" t="str">
        <f>IF(N480=N$443,"OK","NOK")</f>
        <v>OK</v>
      </c>
      <c r="O481" s="17" t="str">
        <f>IF(O480=O$443,"OK","NOK")</f>
        <v>OK</v>
      </c>
      <c r="P481" s="17"/>
      <c r="Q481" s="17" t="str">
        <f>IF(Q480=Q$443,"OK","NOK")</f>
        <v>OK</v>
      </c>
      <c r="R481" s="17" t="str">
        <f>IF(R480=R$443,"OK","NOK")</f>
        <v>OK</v>
      </c>
      <c r="S481" s="17"/>
      <c r="T481" s="17" t="str">
        <f>IF(T480=T$443,"OK","NOK")</f>
        <v>OK</v>
      </c>
      <c r="U481" s="17" t="str">
        <f>IF(U480=U$443,"OK","NOK")</f>
        <v>OK</v>
      </c>
      <c r="V481" s="359"/>
      <c r="W481" s="382"/>
      <c r="X481" s="539"/>
      <c r="Y481" s="539"/>
      <c r="Z481" s="201"/>
      <c r="AA481" s="201"/>
      <c r="AB481" s="201"/>
      <c r="AC481" s="84"/>
      <c r="AE481" s="46"/>
      <c r="AF481" s="46"/>
      <c r="AG481" s="17"/>
      <c r="AH481" s="539"/>
      <c r="AI481" s="91"/>
      <c r="AK481" s="46"/>
      <c r="AL481" s="46"/>
      <c r="AM481" s="17"/>
      <c r="AN481" s="539"/>
      <c r="AO481" s="91"/>
      <c r="AQ481" s="46"/>
      <c r="AR481" s="46"/>
      <c r="AS481" s="17"/>
      <c r="AT481" s="539"/>
      <c r="AU481" s="91"/>
      <c r="AW481" s="46"/>
      <c r="AX481" s="46"/>
      <c r="AY481" s="17"/>
      <c r="AZ481" s="539"/>
      <c r="BA481" s="91"/>
    </row>
    <row r="482" spans="1:53" s="117" customFormat="1" ht="17.100000000000001" customHeight="1" x14ac:dyDescent="0.25">
      <c r="A482" s="68"/>
      <c r="B482" s="119"/>
      <c r="C482" s="119"/>
      <c r="D482" s="56" t="s">
        <v>272</v>
      </c>
      <c r="E482" s="149" t="s">
        <v>751</v>
      </c>
      <c r="F482" s="149"/>
      <c r="G482" s="149"/>
      <c r="H482" s="182"/>
      <c r="I482" s="241"/>
      <c r="J482" s="152"/>
      <c r="K482" s="152"/>
      <c r="L482" s="111"/>
      <c r="M482" s="111"/>
      <c r="N482" s="111"/>
      <c r="O482" s="111"/>
      <c r="P482" s="111"/>
      <c r="Q482" s="111"/>
      <c r="R482" s="111"/>
      <c r="S482" s="111"/>
      <c r="T482" s="111"/>
      <c r="U482" s="111"/>
      <c r="V482" s="358"/>
      <c r="W482" s="380"/>
      <c r="X482" s="111"/>
      <c r="Y482" s="545"/>
      <c r="Z482" s="131"/>
      <c r="AA482" s="131"/>
      <c r="AB482" s="131"/>
      <c r="AC482" s="113"/>
      <c r="AE482" s="152"/>
      <c r="AF482" s="152"/>
      <c r="AG482" s="111"/>
      <c r="AH482" s="545"/>
      <c r="AI482" s="131"/>
      <c r="AK482" s="152"/>
      <c r="AL482" s="152"/>
      <c r="AM482" s="111"/>
      <c r="AN482" s="545"/>
      <c r="AO482" s="131"/>
      <c r="AQ482" s="152"/>
      <c r="AR482" s="152"/>
      <c r="AS482" s="111"/>
      <c r="AT482" s="545"/>
      <c r="AU482" s="131"/>
      <c r="AW482" s="152"/>
      <c r="AX482" s="152"/>
      <c r="AY482" s="111"/>
      <c r="AZ482" s="545"/>
      <c r="BA482" s="131"/>
    </row>
    <row r="483" spans="1:53" s="117" customFormat="1" ht="17.100000000000001" customHeight="1" x14ac:dyDescent="0.25">
      <c r="A483" s="68"/>
      <c r="B483" s="119"/>
      <c r="C483" s="55"/>
      <c r="D483" s="55"/>
      <c r="E483" s="74" t="s">
        <v>753</v>
      </c>
      <c r="F483" s="603" t="s">
        <v>752</v>
      </c>
      <c r="G483" s="603"/>
      <c r="H483" s="182"/>
      <c r="I483" s="241"/>
      <c r="J483" s="111"/>
      <c r="K483" s="152"/>
      <c r="L483" s="152"/>
      <c r="M483" s="152"/>
      <c r="N483" s="152"/>
      <c r="O483" s="111"/>
      <c r="P483" s="60"/>
      <c r="Q483" s="152"/>
      <c r="R483" s="111"/>
      <c r="S483" s="60"/>
      <c r="T483" s="152"/>
      <c r="U483" s="111"/>
      <c r="V483" s="361"/>
      <c r="W483" s="391"/>
      <c r="X483" s="17"/>
      <c r="Y483" s="18">
        <f t="shared" ref="Y483:Y485" si="564">M483+P483+S483+V483</f>
        <v>0</v>
      </c>
      <c r="Z483" s="19">
        <f>IF(Y$486=0,0,Y483/Y$486)</f>
        <v>0</v>
      </c>
      <c r="AA483" s="19"/>
      <c r="AB483" s="19"/>
      <c r="AC483" s="84"/>
      <c r="AE483" s="111"/>
      <c r="AF483" s="111"/>
      <c r="AG483" s="111"/>
      <c r="AH483" s="112"/>
      <c r="AI483" s="113"/>
      <c r="AK483" s="111"/>
      <c r="AL483" s="111"/>
      <c r="AM483" s="111"/>
      <c r="AN483" s="112"/>
      <c r="AO483" s="113"/>
      <c r="AQ483" s="111"/>
      <c r="AR483" s="111"/>
      <c r="AS483" s="111"/>
      <c r="AT483" s="545"/>
      <c r="AU483" s="131"/>
      <c r="AW483" s="111"/>
      <c r="AX483" s="111"/>
      <c r="AY483" s="111"/>
      <c r="AZ483" s="545"/>
      <c r="BA483" s="131"/>
    </row>
    <row r="484" spans="1:53" s="117" customFormat="1" ht="17.100000000000001" customHeight="1" x14ac:dyDescent="0.25">
      <c r="A484" s="68"/>
      <c r="B484" s="119"/>
      <c r="C484" s="55"/>
      <c r="D484" s="55"/>
      <c r="E484" s="74" t="s">
        <v>754</v>
      </c>
      <c r="F484" s="604"/>
      <c r="G484" s="604"/>
      <c r="H484" s="182"/>
      <c r="I484" s="241"/>
      <c r="J484" s="111"/>
      <c r="K484" s="152"/>
      <c r="L484" s="152"/>
      <c r="M484" s="152"/>
      <c r="N484" s="152"/>
      <c r="O484" s="111"/>
      <c r="P484" s="61"/>
      <c r="Q484" s="152"/>
      <c r="R484" s="111"/>
      <c r="S484" s="61"/>
      <c r="T484" s="152"/>
      <c r="U484" s="111"/>
      <c r="V484" s="362"/>
      <c r="W484" s="391"/>
      <c r="X484" s="17"/>
      <c r="Y484" s="18">
        <f t="shared" si="564"/>
        <v>0</v>
      </c>
      <c r="Z484" s="19">
        <f t="shared" ref="Z484:Z486" si="565">IF(Y$486=0,0,Y484/Y$486)</f>
        <v>0</v>
      </c>
      <c r="AA484" s="19"/>
      <c r="AB484" s="19"/>
      <c r="AC484" s="84"/>
      <c r="AE484" s="111"/>
      <c r="AF484" s="111"/>
      <c r="AG484" s="111"/>
      <c r="AH484" s="112"/>
      <c r="AI484" s="113"/>
      <c r="AK484" s="111"/>
      <c r="AL484" s="111"/>
      <c r="AM484" s="111"/>
      <c r="AN484" s="112"/>
      <c r="AO484" s="113"/>
      <c r="AQ484" s="111"/>
      <c r="AR484" s="111"/>
      <c r="AS484" s="111"/>
      <c r="AT484" s="545"/>
      <c r="AU484" s="131"/>
      <c r="AW484" s="111"/>
      <c r="AX484" s="111"/>
      <c r="AY484" s="111"/>
      <c r="AZ484" s="545"/>
      <c r="BA484" s="131"/>
    </row>
    <row r="485" spans="1:53" s="117" customFormat="1" ht="17.100000000000001" customHeight="1" x14ac:dyDescent="0.25">
      <c r="A485" s="68"/>
      <c r="B485" s="119"/>
      <c r="C485" s="55"/>
      <c r="D485" s="55"/>
      <c r="E485" s="74" t="s">
        <v>755</v>
      </c>
      <c r="F485" s="603"/>
      <c r="G485" s="603"/>
      <c r="H485" s="182"/>
      <c r="I485" s="241"/>
      <c r="J485" s="111"/>
      <c r="K485" s="152"/>
      <c r="L485" s="152"/>
      <c r="M485" s="152"/>
      <c r="N485" s="152"/>
      <c r="O485" s="111"/>
      <c r="P485" s="60"/>
      <c r="Q485" s="152"/>
      <c r="R485" s="111"/>
      <c r="S485" s="60"/>
      <c r="T485" s="152"/>
      <c r="U485" s="111"/>
      <c r="V485" s="361"/>
      <c r="W485" s="391"/>
      <c r="X485" s="17"/>
      <c r="Y485" s="18">
        <f t="shared" si="564"/>
        <v>0</v>
      </c>
      <c r="Z485" s="19">
        <f t="shared" si="565"/>
        <v>0</v>
      </c>
      <c r="AA485" s="19"/>
      <c r="AB485" s="19"/>
      <c r="AC485" s="84"/>
      <c r="AE485" s="111"/>
      <c r="AF485" s="111"/>
      <c r="AG485" s="111"/>
      <c r="AH485" s="112"/>
      <c r="AI485" s="113"/>
      <c r="AK485" s="111"/>
      <c r="AL485" s="111"/>
      <c r="AM485" s="111"/>
      <c r="AN485" s="112"/>
      <c r="AO485" s="113"/>
      <c r="AQ485" s="111"/>
      <c r="AR485" s="111"/>
      <c r="AS485" s="111"/>
      <c r="AT485" s="545"/>
      <c r="AU485" s="131"/>
      <c r="AW485" s="111"/>
      <c r="AX485" s="111"/>
      <c r="AY485" s="111"/>
      <c r="AZ485" s="545"/>
      <c r="BA485" s="131"/>
    </row>
    <row r="486" spans="1:53" s="117" customFormat="1" ht="17.100000000000001" customHeight="1" x14ac:dyDescent="0.25">
      <c r="A486" s="68"/>
      <c r="B486" s="119"/>
      <c r="C486" s="77"/>
      <c r="D486" s="134"/>
      <c r="E486" s="134"/>
      <c r="F486" s="134"/>
      <c r="G486" s="134"/>
      <c r="H486" s="540"/>
      <c r="I486" s="229"/>
      <c r="J486" s="80"/>
      <c r="K486" s="80"/>
      <c r="L486" s="81"/>
      <c r="M486" s="81"/>
      <c r="N486" s="81"/>
      <c r="O486" s="81"/>
      <c r="P486" s="81">
        <f>SUM(P483:P485)</f>
        <v>0</v>
      </c>
      <c r="Q486" s="81"/>
      <c r="R486" s="81"/>
      <c r="S486" s="81">
        <f>SUM(S483:S485)</f>
        <v>0</v>
      </c>
      <c r="T486" s="81"/>
      <c r="U486" s="81"/>
      <c r="V486" s="81">
        <f>SUM(V483:V485)</f>
        <v>0</v>
      </c>
      <c r="W486" s="381"/>
      <c r="X486" s="82"/>
      <c r="Y486" s="82">
        <f>SUM(Y483:Y485)</f>
        <v>0</v>
      </c>
      <c r="Z486" s="205">
        <f t="shared" si="565"/>
        <v>0</v>
      </c>
      <c r="AA486" s="205"/>
      <c r="AB486" s="205"/>
      <c r="AC486" s="83"/>
      <c r="AE486" s="80"/>
      <c r="AF486" s="80"/>
      <c r="AG486" s="81"/>
      <c r="AH486" s="82"/>
      <c r="AI486" s="66"/>
      <c r="AK486" s="80"/>
      <c r="AL486" s="80"/>
      <c r="AM486" s="81"/>
      <c r="AN486" s="82"/>
      <c r="AO486" s="66"/>
      <c r="AQ486" s="80"/>
      <c r="AR486" s="80"/>
      <c r="AS486" s="81"/>
      <c r="AT486" s="82"/>
      <c r="AU486" s="66"/>
      <c r="AW486" s="80"/>
      <c r="AX486" s="80"/>
      <c r="AY486" s="81"/>
      <c r="AZ486" s="82"/>
      <c r="BA486" s="66"/>
    </row>
    <row r="487" spans="1:53" s="117" customFormat="1" ht="17.100000000000001" customHeight="1" x14ac:dyDescent="0.25">
      <c r="A487" s="68"/>
      <c r="B487" s="119"/>
      <c r="C487" s="92"/>
      <c r="D487" s="93"/>
      <c r="E487" s="93"/>
      <c r="F487" s="93"/>
      <c r="G487" s="93"/>
      <c r="H487" s="540"/>
      <c r="I487" s="12"/>
      <c r="J487" s="46"/>
      <c r="K487" s="46"/>
      <c r="L487" s="17"/>
      <c r="M487" s="17"/>
      <c r="N487" s="17"/>
      <c r="O487" s="17"/>
      <c r="P487" s="17"/>
      <c r="Q487" s="17"/>
      <c r="R487" s="17"/>
      <c r="S487" s="17"/>
      <c r="T487" s="17"/>
      <c r="U487" s="17"/>
      <c r="V487" s="359"/>
      <c r="W487" s="382"/>
      <c r="X487" s="539"/>
      <c r="Y487" s="539"/>
      <c r="Z487" s="201"/>
      <c r="AA487" s="201"/>
      <c r="AB487" s="201"/>
      <c r="AC487" s="84"/>
      <c r="AE487" s="46"/>
      <c r="AF487" s="46"/>
      <c r="AG487" s="17"/>
      <c r="AH487" s="539"/>
      <c r="AI487" s="91"/>
      <c r="AK487" s="46"/>
      <c r="AL487" s="46"/>
      <c r="AM487" s="17"/>
      <c r="AN487" s="539"/>
      <c r="AO487" s="91"/>
      <c r="AQ487" s="46"/>
      <c r="AR487" s="46"/>
      <c r="AS487" s="17"/>
      <c r="AT487" s="539"/>
      <c r="AU487" s="91"/>
      <c r="AW487" s="46"/>
      <c r="AX487" s="46"/>
      <c r="AY487" s="17"/>
      <c r="AZ487" s="539"/>
      <c r="BA487" s="91"/>
    </row>
    <row r="488" spans="1:53" ht="17.100000000000001" customHeight="1" x14ac:dyDescent="0.25">
      <c r="A488" s="119"/>
      <c r="B488" s="41" t="s">
        <v>876</v>
      </c>
      <c r="C488" s="69" t="s">
        <v>12</v>
      </c>
      <c r="D488" s="50"/>
      <c r="E488" s="70"/>
      <c r="F488" s="70"/>
      <c r="G488" s="70"/>
      <c r="H488" s="119"/>
      <c r="J488" s="71"/>
      <c r="K488" s="71"/>
      <c r="L488" s="71"/>
      <c r="M488" s="71"/>
      <c r="N488" s="71"/>
      <c r="O488" s="71"/>
      <c r="P488" s="71"/>
      <c r="Q488" s="71"/>
      <c r="R488" s="71"/>
      <c r="S488" s="71"/>
      <c r="T488" s="71"/>
      <c r="U488" s="71"/>
      <c r="V488" s="355"/>
      <c r="W488" s="377"/>
      <c r="X488" s="71"/>
      <c r="Y488" s="72"/>
      <c r="Z488" s="73"/>
      <c r="AA488" s="73"/>
      <c r="AB488" s="73"/>
      <c r="AC488" s="73"/>
      <c r="AE488" s="71"/>
      <c r="AF488" s="71"/>
      <c r="AG488" s="71"/>
      <c r="AH488" s="72"/>
      <c r="AI488" s="73"/>
      <c r="AK488" s="71"/>
      <c r="AL488" s="71"/>
      <c r="AM488" s="71"/>
      <c r="AN488" s="72"/>
      <c r="AO488" s="73"/>
      <c r="AQ488" s="71"/>
      <c r="AR488" s="71"/>
      <c r="AS488" s="71"/>
      <c r="AT488" s="72"/>
      <c r="AU488" s="73"/>
      <c r="AW488" s="71"/>
      <c r="AX488" s="71"/>
      <c r="AY488" s="71"/>
      <c r="AZ488" s="72"/>
      <c r="BA488" s="73"/>
    </row>
    <row r="489" spans="1:53" s="173" customFormat="1" ht="17.100000000000001" customHeight="1" x14ac:dyDescent="0.25">
      <c r="A489" s="102"/>
      <c r="B489" s="102"/>
      <c r="C489" s="182"/>
      <c r="D489" s="127" t="s">
        <v>1006</v>
      </c>
      <c r="E489" s="128"/>
      <c r="F489" s="128"/>
      <c r="G489" s="128"/>
      <c r="H489" s="119"/>
      <c r="I489" s="231"/>
      <c r="J489" s="154"/>
      <c r="K489" s="154"/>
      <c r="L489" s="154"/>
      <c r="M489" s="154"/>
      <c r="N489" s="154">
        <f t="shared" ref="N489:O489" si="566">N174</f>
        <v>0</v>
      </c>
      <c r="O489" s="154">
        <f t="shared" si="566"/>
        <v>8</v>
      </c>
      <c r="P489" s="154">
        <f>SUM(N489:O489)</f>
        <v>8</v>
      </c>
      <c r="Q489" s="154">
        <f t="shared" ref="Q489:R489" si="567">Q174</f>
        <v>3</v>
      </c>
      <c r="R489" s="154">
        <f t="shared" si="567"/>
        <v>4</v>
      </c>
      <c r="S489" s="154">
        <f>SUM(Q489:R489)</f>
        <v>7</v>
      </c>
      <c r="T489" s="154">
        <f t="shared" ref="T489:U489" si="568">T174</f>
        <v>0</v>
      </c>
      <c r="U489" s="154">
        <f t="shared" si="568"/>
        <v>0</v>
      </c>
      <c r="V489" s="159">
        <f>SUM(T489:U489)</f>
        <v>0</v>
      </c>
      <c r="W489" s="387">
        <f t="shared" ref="W489:W490" si="569">J489+K489+N489+Q489+T489</f>
        <v>3</v>
      </c>
      <c r="X489" s="154">
        <f t="shared" ref="X489:X490" si="570">L489+O489+R489+U489</f>
        <v>12</v>
      </c>
      <c r="Y489" s="129">
        <f t="shared" ref="Y489:Y490" si="571">SUM(W489:X489)</f>
        <v>15</v>
      </c>
      <c r="Z489" s="130"/>
      <c r="AA489" s="130"/>
      <c r="AB489" s="130"/>
      <c r="AC489" s="125"/>
      <c r="AE489" s="154"/>
      <c r="AF489" s="154"/>
      <c r="AG489" s="154"/>
      <c r="AH489" s="129"/>
      <c r="AI489" s="130"/>
      <c r="AJ489" s="12"/>
      <c r="AK489" s="154"/>
      <c r="AL489" s="154"/>
      <c r="AM489" s="154"/>
      <c r="AN489" s="129"/>
      <c r="AO489" s="130"/>
      <c r="AP489" s="12"/>
      <c r="AQ489" s="154"/>
      <c r="AR489" s="154"/>
      <c r="AS489" s="154"/>
      <c r="AT489" s="129"/>
      <c r="AU489" s="130"/>
      <c r="AV489" s="12"/>
      <c r="AW489" s="154"/>
      <c r="AX489" s="154"/>
      <c r="AY489" s="154"/>
      <c r="AZ489" s="129"/>
      <c r="BA489" s="130"/>
    </row>
    <row r="490" spans="1:53" s="173" customFormat="1" ht="17.100000000000001" customHeight="1" x14ac:dyDescent="0.25">
      <c r="A490" s="102"/>
      <c r="B490" s="102"/>
      <c r="C490" s="182"/>
      <c r="D490" s="127" t="s">
        <v>278</v>
      </c>
      <c r="E490" s="128"/>
      <c r="F490" s="128"/>
      <c r="G490" s="128"/>
      <c r="H490" s="119"/>
      <c r="I490" s="231"/>
      <c r="J490" s="154"/>
      <c r="K490" s="154"/>
      <c r="L490" s="154"/>
      <c r="M490" s="154"/>
      <c r="N490" s="154">
        <f t="shared" ref="N490:O490" si="572">N377</f>
        <v>0</v>
      </c>
      <c r="O490" s="154">
        <f t="shared" si="572"/>
        <v>7</v>
      </c>
      <c r="P490" s="154">
        <f>SUM(N490:O490)</f>
        <v>7</v>
      </c>
      <c r="Q490" s="154">
        <f t="shared" ref="Q490:R490" si="573">Q377</f>
        <v>1</v>
      </c>
      <c r="R490" s="154">
        <f t="shared" si="573"/>
        <v>1</v>
      </c>
      <c r="S490" s="154">
        <f>SUM(Q490:R490)</f>
        <v>2</v>
      </c>
      <c r="T490" s="154">
        <f t="shared" ref="T490:U490" si="574">T377</f>
        <v>0</v>
      </c>
      <c r="U490" s="154">
        <f t="shared" si="574"/>
        <v>0</v>
      </c>
      <c r="V490" s="159">
        <f>SUM(T490:U490)</f>
        <v>0</v>
      </c>
      <c r="W490" s="387">
        <f t="shared" si="569"/>
        <v>1</v>
      </c>
      <c r="X490" s="154">
        <f t="shared" si="570"/>
        <v>8</v>
      </c>
      <c r="Y490" s="129">
        <f t="shared" si="571"/>
        <v>9</v>
      </c>
      <c r="Z490" s="130"/>
      <c r="AA490" s="130"/>
      <c r="AB490" s="130"/>
      <c r="AC490" s="125"/>
      <c r="AE490" s="154"/>
      <c r="AF490" s="154"/>
      <c r="AG490" s="154"/>
      <c r="AH490" s="129"/>
      <c r="AI490" s="130"/>
      <c r="AJ490" s="12"/>
      <c r="AK490" s="154"/>
      <c r="AL490" s="154"/>
      <c r="AM490" s="154"/>
      <c r="AN490" s="129"/>
      <c r="AO490" s="130"/>
      <c r="AP490" s="12"/>
      <c r="AQ490" s="154"/>
      <c r="AR490" s="154"/>
      <c r="AS490" s="154"/>
      <c r="AT490" s="129"/>
      <c r="AU490" s="130"/>
      <c r="AV490" s="12"/>
      <c r="AW490" s="154"/>
      <c r="AX490" s="154"/>
      <c r="AY490" s="154"/>
      <c r="AZ490" s="129"/>
      <c r="BA490" s="130"/>
    </row>
    <row r="491" spans="1:53" s="117" customFormat="1" ht="17.100000000000001" customHeight="1" x14ac:dyDescent="0.25">
      <c r="A491" s="119"/>
      <c r="B491" s="119"/>
      <c r="C491" s="56" t="s">
        <v>277</v>
      </c>
      <c r="D491" s="427" t="s">
        <v>1007</v>
      </c>
      <c r="E491" s="428"/>
      <c r="F491" s="428"/>
      <c r="G491" s="428"/>
      <c r="H491" s="119"/>
      <c r="I491" s="97"/>
      <c r="J491" s="17"/>
      <c r="K491" s="17"/>
      <c r="L491" s="17"/>
      <c r="M491" s="17"/>
      <c r="N491" s="91">
        <f>IF(N489=0,0,N490/N489)</f>
        <v>0</v>
      </c>
      <c r="O491" s="91">
        <f t="shared" ref="O491:P491" si="575">IF(O489=0,0,O490/O489)</f>
        <v>0.875</v>
      </c>
      <c r="P491" s="91">
        <f t="shared" si="575"/>
        <v>0.875</v>
      </c>
      <c r="Q491" s="91">
        <f>IF(Q489=0,0,Q490/Q489)</f>
        <v>0.33333333333333331</v>
      </c>
      <c r="R491" s="91">
        <f t="shared" ref="R491:S491" si="576">IF(R489=0,0,R490/R489)</f>
        <v>0.25</v>
      </c>
      <c r="S491" s="91">
        <f t="shared" si="576"/>
        <v>0.2857142857142857</v>
      </c>
      <c r="T491" s="91">
        <f>IF(T489=0,0,T490/T489)</f>
        <v>0</v>
      </c>
      <c r="U491" s="91">
        <f t="shared" ref="U491:V491" si="577">IF(U489=0,0,U490/U489)</f>
        <v>0</v>
      </c>
      <c r="V491" s="373">
        <f t="shared" si="577"/>
        <v>0</v>
      </c>
      <c r="W491" s="395">
        <f>IF(W489=0,0,W490/W489)</f>
        <v>0.33333333333333331</v>
      </c>
      <c r="X491" s="91">
        <f t="shared" ref="X491:Y491" si="578">IF(X489=0,0,X490/X489)</f>
        <v>0.66666666666666663</v>
      </c>
      <c r="Y491" s="91">
        <f t="shared" si="578"/>
        <v>0.6</v>
      </c>
      <c r="Z491" s="84"/>
      <c r="AA491" s="84"/>
      <c r="AB491" s="84"/>
      <c r="AC491" s="84"/>
      <c r="AE491" s="17"/>
      <c r="AF491" s="17"/>
      <c r="AG491" s="17"/>
      <c r="AH491" s="568"/>
      <c r="AI491" s="84"/>
      <c r="AK491" s="17"/>
      <c r="AL491" s="17"/>
      <c r="AM491" s="17"/>
      <c r="AN491" s="568"/>
      <c r="AO491" s="84"/>
      <c r="AQ491" s="17"/>
      <c r="AR491" s="17"/>
      <c r="AS491" s="17"/>
      <c r="AT491" s="568"/>
      <c r="AU491" s="84"/>
      <c r="AW491" s="17"/>
      <c r="AX491" s="17"/>
      <c r="AY491" s="17"/>
      <c r="AZ491" s="568"/>
      <c r="BA491" s="84"/>
    </row>
    <row r="492" spans="1:53" s="173" customFormat="1" ht="17.100000000000001" customHeight="1" x14ac:dyDescent="0.25">
      <c r="A492" s="102"/>
      <c r="B492" s="102"/>
      <c r="C492" s="56" t="s">
        <v>279</v>
      </c>
      <c r="D492" s="85" t="s">
        <v>280</v>
      </c>
      <c r="E492" s="75"/>
      <c r="F492" s="75"/>
      <c r="G492" s="75"/>
      <c r="H492" s="540"/>
      <c r="I492" s="229"/>
      <c r="J492" s="181"/>
      <c r="K492" s="181"/>
      <c r="L492" s="181"/>
      <c r="M492" s="181"/>
      <c r="N492" s="181"/>
      <c r="O492" s="181"/>
      <c r="P492" s="181"/>
      <c r="Q492" s="181"/>
      <c r="R492" s="181"/>
      <c r="S492" s="181"/>
      <c r="T492" s="181"/>
      <c r="U492" s="181"/>
      <c r="V492" s="367"/>
      <c r="W492" s="392"/>
      <c r="X492" s="181"/>
      <c r="Y492" s="545"/>
      <c r="Z492" s="172"/>
      <c r="AA492" s="172"/>
      <c r="AB492" s="172"/>
      <c r="AC492" s="178"/>
      <c r="AE492" s="181"/>
      <c r="AF492" s="181"/>
      <c r="AG492" s="181"/>
      <c r="AH492" s="545"/>
      <c r="AI492" s="172"/>
      <c r="AJ492" s="12"/>
      <c r="AK492" s="181"/>
      <c r="AL492" s="181"/>
      <c r="AM492" s="181"/>
      <c r="AN492" s="545"/>
      <c r="AO492" s="172"/>
      <c r="AP492" s="12"/>
      <c r="AQ492" s="181"/>
      <c r="AR492" s="181"/>
      <c r="AS492" s="181"/>
      <c r="AT492" s="545"/>
      <c r="AU492" s="172"/>
      <c r="AV492" s="12"/>
      <c r="AW492" s="181"/>
      <c r="AX492" s="181"/>
      <c r="AY492" s="181"/>
      <c r="AZ492" s="545"/>
      <c r="BA492" s="172"/>
    </row>
    <row r="493" spans="1:53" s="173" customFormat="1" ht="17.100000000000001" customHeight="1" x14ac:dyDescent="0.25">
      <c r="A493" s="102"/>
      <c r="B493" s="102"/>
      <c r="C493" s="182"/>
      <c r="D493" s="127" t="s">
        <v>281</v>
      </c>
      <c r="E493" s="128"/>
      <c r="F493" s="128"/>
      <c r="G493" s="128"/>
      <c r="H493" s="119"/>
      <c r="I493" s="231"/>
      <c r="J493" s="154"/>
      <c r="K493" s="154"/>
      <c r="L493" s="154"/>
      <c r="M493" s="154"/>
      <c r="N493" s="154">
        <f>N402</f>
        <v>0</v>
      </c>
      <c r="O493" s="154">
        <f>O402</f>
        <v>6</v>
      </c>
      <c r="P493" s="154">
        <f t="shared" ref="P493:P500" si="579">SUM(N493:O493)</f>
        <v>6</v>
      </c>
      <c r="Q493" s="154">
        <f t="shared" ref="Q493:U497" si="580">Q402</f>
        <v>1</v>
      </c>
      <c r="R493" s="154">
        <f t="shared" si="580"/>
        <v>1</v>
      </c>
      <c r="S493" s="154">
        <f t="shared" ref="S493:S497" si="581">SUM(Q493:R493)</f>
        <v>2</v>
      </c>
      <c r="T493" s="154">
        <f t="shared" si="580"/>
        <v>0</v>
      </c>
      <c r="U493" s="154">
        <f t="shared" si="580"/>
        <v>0</v>
      </c>
      <c r="V493" s="154">
        <f t="shared" ref="V493:V497" si="582">SUM(T493:U493)</f>
        <v>0</v>
      </c>
      <c r="W493" s="387">
        <f t="shared" ref="W493:W500" si="583">J493+K493+N493+Q493+T493</f>
        <v>1</v>
      </c>
      <c r="X493" s="154">
        <f t="shared" ref="X493:X500" si="584">L493+O493+R493+U493</f>
        <v>7</v>
      </c>
      <c r="Y493" s="129">
        <f t="shared" ref="Y493:Y497" si="585">SUM(W493:X493)</f>
        <v>8</v>
      </c>
      <c r="Z493" s="130">
        <f t="shared" ref="Z493:Z498" si="586">IF(Y$498=0,0,Y493/Y$498)</f>
        <v>0.53333333333333333</v>
      </c>
      <c r="AA493" s="130"/>
      <c r="AB493" s="130"/>
      <c r="AC493" s="125"/>
      <c r="AE493" s="154">
        <f t="shared" ref="AE493:AG497" si="587">AE402</f>
        <v>0</v>
      </c>
      <c r="AF493" s="154">
        <f t="shared" si="587"/>
        <v>0</v>
      </c>
      <c r="AG493" s="154">
        <f t="shared" si="587"/>
        <v>0</v>
      </c>
      <c r="AH493" s="129">
        <f>SUM(AE493:AG493)</f>
        <v>0</v>
      </c>
      <c r="AI493" s="130">
        <f t="shared" ref="AI493:AI498" si="588">IF(AH$498=0,0,AH493/AH$498)</f>
        <v>0</v>
      </c>
      <c r="AJ493" s="12"/>
      <c r="AK493" s="154">
        <f t="shared" ref="AK493:AM497" si="589">AK402</f>
        <v>0</v>
      </c>
      <c r="AL493" s="154">
        <f t="shared" si="589"/>
        <v>0</v>
      </c>
      <c r="AM493" s="154">
        <f t="shared" si="589"/>
        <v>0</v>
      </c>
      <c r="AN493" s="129">
        <f>SUM(AK493:AM493)</f>
        <v>0</v>
      </c>
      <c r="AO493" s="130">
        <f t="shared" ref="AO493:AO498" si="590">IF(AN$498=0,0,AN493/AN$498)</f>
        <v>0</v>
      </c>
      <c r="AP493" s="12"/>
      <c r="AQ493" s="154"/>
      <c r="AR493" s="154"/>
      <c r="AS493" s="154"/>
      <c r="AT493" s="129"/>
      <c r="AU493" s="130"/>
      <c r="AV493" s="12"/>
      <c r="AW493" s="154">
        <f t="shared" ref="AW493:AY497" si="591">AW402</f>
        <v>0</v>
      </c>
      <c r="AX493" s="154">
        <f t="shared" si="591"/>
        <v>0</v>
      </c>
      <c r="AY493" s="154">
        <f t="shared" si="591"/>
        <v>0</v>
      </c>
      <c r="AZ493" s="129">
        <f>SUM(AW493:AY493)</f>
        <v>0</v>
      </c>
      <c r="BA493" s="130">
        <f t="shared" ref="BA493:BA498" si="592">IF(AZ$498=0,0,AZ493/AZ$498)</f>
        <v>0</v>
      </c>
    </row>
    <row r="494" spans="1:53" ht="17.100000000000001" customHeight="1" x14ac:dyDescent="0.25">
      <c r="A494" s="40"/>
      <c r="B494" s="40"/>
      <c r="C494" s="182"/>
      <c r="D494" s="127" t="s">
        <v>282</v>
      </c>
      <c r="E494" s="128"/>
      <c r="F494" s="128"/>
      <c r="G494" s="128"/>
      <c r="H494" s="119"/>
      <c r="I494" s="231"/>
      <c r="J494" s="154"/>
      <c r="K494" s="154"/>
      <c r="L494" s="154"/>
      <c r="M494" s="154"/>
      <c r="N494" s="154">
        <f t="shared" ref="N494:O497" si="593">N403</f>
        <v>0</v>
      </c>
      <c r="O494" s="154">
        <f t="shared" si="593"/>
        <v>1</v>
      </c>
      <c r="P494" s="154">
        <f t="shared" si="579"/>
        <v>1</v>
      </c>
      <c r="Q494" s="154">
        <f t="shared" si="580"/>
        <v>2</v>
      </c>
      <c r="R494" s="154">
        <f t="shared" si="580"/>
        <v>2</v>
      </c>
      <c r="S494" s="154">
        <f t="shared" si="581"/>
        <v>4</v>
      </c>
      <c r="T494" s="154">
        <f t="shared" si="580"/>
        <v>0</v>
      </c>
      <c r="U494" s="154">
        <f t="shared" si="580"/>
        <v>0</v>
      </c>
      <c r="V494" s="154">
        <f t="shared" si="582"/>
        <v>0</v>
      </c>
      <c r="W494" s="387">
        <f t="shared" si="583"/>
        <v>2</v>
      </c>
      <c r="X494" s="154">
        <f t="shared" si="584"/>
        <v>3</v>
      </c>
      <c r="Y494" s="129">
        <f t="shared" si="585"/>
        <v>5</v>
      </c>
      <c r="Z494" s="130">
        <f t="shared" si="586"/>
        <v>0.33333333333333331</v>
      </c>
      <c r="AA494" s="130"/>
      <c r="AB494" s="130"/>
      <c r="AC494" s="125"/>
      <c r="AE494" s="154">
        <f t="shared" si="587"/>
        <v>0</v>
      </c>
      <c r="AF494" s="154">
        <f t="shared" si="587"/>
        <v>0</v>
      </c>
      <c r="AG494" s="154">
        <f t="shared" si="587"/>
        <v>0</v>
      </c>
      <c r="AH494" s="129">
        <f>SUM(AE494:AG494)</f>
        <v>0</v>
      </c>
      <c r="AI494" s="130">
        <f t="shared" si="588"/>
        <v>0</v>
      </c>
      <c r="AK494" s="154">
        <f t="shared" si="589"/>
        <v>0</v>
      </c>
      <c r="AL494" s="154">
        <f t="shared" si="589"/>
        <v>0</v>
      </c>
      <c r="AM494" s="154">
        <f t="shared" si="589"/>
        <v>0</v>
      </c>
      <c r="AN494" s="129">
        <f>SUM(AK494:AM494)</f>
        <v>0</v>
      </c>
      <c r="AO494" s="130">
        <f t="shared" si="590"/>
        <v>0</v>
      </c>
      <c r="AQ494" s="154"/>
      <c r="AR494" s="154"/>
      <c r="AS494" s="154"/>
      <c r="AT494" s="129"/>
      <c r="AU494" s="130"/>
      <c r="AW494" s="154">
        <f t="shared" si="591"/>
        <v>0</v>
      </c>
      <c r="AX494" s="154">
        <f t="shared" si="591"/>
        <v>0</v>
      </c>
      <c r="AY494" s="154">
        <f t="shared" si="591"/>
        <v>0</v>
      </c>
      <c r="AZ494" s="129">
        <f>SUM(AW494:AY494)</f>
        <v>0</v>
      </c>
      <c r="BA494" s="130">
        <f t="shared" si="592"/>
        <v>0</v>
      </c>
    </row>
    <row r="495" spans="1:53" ht="17.100000000000001" customHeight="1" x14ac:dyDescent="0.25">
      <c r="A495" s="40"/>
      <c r="B495" s="40"/>
      <c r="C495" s="182"/>
      <c r="D495" s="127" t="s">
        <v>283</v>
      </c>
      <c r="E495" s="128"/>
      <c r="F495" s="128"/>
      <c r="G495" s="128"/>
      <c r="H495" s="119"/>
      <c r="I495" s="231"/>
      <c r="J495" s="154"/>
      <c r="K495" s="154"/>
      <c r="L495" s="154"/>
      <c r="M495" s="154"/>
      <c r="N495" s="154">
        <f t="shared" si="593"/>
        <v>0</v>
      </c>
      <c r="O495" s="154">
        <f t="shared" si="593"/>
        <v>1</v>
      </c>
      <c r="P495" s="154">
        <f t="shared" si="579"/>
        <v>1</v>
      </c>
      <c r="Q495" s="154">
        <f t="shared" si="580"/>
        <v>0</v>
      </c>
      <c r="R495" s="154">
        <f t="shared" si="580"/>
        <v>1</v>
      </c>
      <c r="S495" s="154">
        <f t="shared" si="581"/>
        <v>1</v>
      </c>
      <c r="T495" s="154">
        <f t="shared" si="580"/>
        <v>0</v>
      </c>
      <c r="U495" s="154">
        <f t="shared" si="580"/>
        <v>0</v>
      </c>
      <c r="V495" s="154">
        <f t="shared" si="582"/>
        <v>0</v>
      </c>
      <c r="W495" s="387">
        <f t="shared" si="583"/>
        <v>0</v>
      </c>
      <c r="X495" s="154">
        <f t="shared" si="584"/>
        <v>2</v>
      </c>
      <c r="Y495" s="129">
        <f t="shared" si="585"/>
        <v>2</v>
      </c>
      <c r="Z495" s="130">
        <f t="shared" si="586"/>
        <v>0.13333333333333333</v>
      </c>
      <c r="AA495" s="130"/>
      <c r="AB495" s="130"/>
      <c r="AC495" s="125"/>
      <c r="AE495" s="154">
        <f t="shared" si="587"/>
        <v>0</v>
      </c>
      <c r="AF495" s="154">
        <f t="shared" si="587"/>
        <v>0</v>
      </c>
      <c r="AG495" s="154">
        <f t="shared" si="587"/>
        <v>0</v>
      </c>
      <c r="AH495" s="129">
        <f>SUM(AE495:AG495)</f>
        <v>0</v>
      </c>
      <c r="AI495" s="130">
        <f t="shared" si="588"/>
        <v>0</v>
      </c>
      <c r="AK495" s="154">
        <f t="shared" si="589"/>
        <v>0</v>
      </c>
      <c r="AL495" s="154">
        <f t="shared" si="589"/>
        <v>0</v>
      </c>
      <c r="AM495" s="154">
        <f t="shared" si="589"/>
        <v>0</v>
      </c>
      <c r="AN495" s="129">
        <f>SUM(AK495:AM495)</f>
        <v>0</v>
      </c>
      <c r="AO495" s="130">
        <f t="shared" si="590"/>
        <v>0</v>
      </c>
      <c r="AQ495" s="154"/>
      <c r="AR495" s="154"/>
      <c r="AS495" s="154"/>
      <c r="AT495" s="129"/>
      <c r="AU495" s="130"/>
      <c r="AW495" s="154">
        <f t="shared" si="591"/>
        <v>0</v>
      </c>
      <c r="AX495" s="154">
        <f t="shared" si="591"/>
        <v>0</v>
      </c>
      <c r="AY495" s="154">
        <f t="shared" si="591"/>
        <v>0</v>
      </c>
      <c r="AZ495" s="129">
        <f>SUM(AW495:AY495)</f>
        <v>0</v>
      </c>
      <c r="BA495" s="130">
        <f t="shared" si="592"/>
        <v>0</v>
      </c>
    </row>
    <row r="496" spans="1:53" ht="17.100000000000001" customHeight="1" x14ac:dyDescent="0.25">
      <c r="A496" s="40"/>
      <c r="B496" s="40"/>
      <c r="C496" s="182"/>
      <c r="D496" s="127" t="s">
        <v>284</v>
      </c>
      <c r="E496" s="128"/>
      <c r="F496" s="128"/>
      <c r="G496" s="128"/>
      <c r="H496" s="119"/>
      <c r="I496" s="231"/>
      <c r="J496" s="154"/>
      <c r="K496" s="154"/>
      <c r="L496" s="154"/>
      <c r="M496" s="154"/>
      <c r="N496" s="154">
        <f t="shared" si="593"/>
        <v>0</v>
      </c>
      <c r="O496" s="154">
        <f t="shared" si="593"/>
        <v>0</v>
      </c>
      <c r="P496" s="154">
        <f t="shared" si="579"/>
        <v>0</v>
      </c>
      <c r="Q496" s="154">
        <f t="shared" si="580"/>
        <v>0</v>
      </c>
      <c r="R496" s="154">
        <f t="shared" si="580"/>
        <v>0</v>
      </c>
      <c r="S496" s="154">
        <f t="shared" si="581"/>
        <v>0</v>
      </c>
      <c r="T496" s="154">
        <f t="shared" si="580"/>
        <v>0</v>
      </c>
      <c r="U496" s="154">
        <f t="shared" si="580"/>
        <v>0</v>
      </c>
      <c r="V496" s="154">
        <f t="shared" si="582"/>
        <v>0</v>
      </c>
      <c r="W496" s="387">
        <f t="shared" si="583"/>
        <v>0</v>
      </c>
      <c r="X496" s="154">
        <f t="shared" si="584"/>
        <v>0</v>
      </c>
      <c r="Y496" s="129">
        <f t="shared" si="585"/>
        <v>0</v>
      </c>
      <c r="Z496" s="130">
        <f t="shared" si="586"/>
        <v>0</v>
      </c>
      <c r="AA496" s="130"/>
      <c r="AB496" s="130"/>
      <c r="AC496" s="125"/>
      <c r="AE496" s="154">
        <f t="shared" si="587"/>
        <v>0</v>
      </c>
      <c r="AF496" s="154">
        <f t="shared" si="587"/>
        <v>0</v>
      </c>
      <c r="AG496" s="154">
        <f t="shared" si="587"/>
        <v>0</v>
      </c>
      <c r="AH496" s="129">
        <f>SUM(AE496:AG496)</f>
        <v>0</v>
      </c>
      <c r="AI496" s="130">
        <f t="shared" si="588"/>
        <v>0</v>
      </c>
      <c r="AK496" s="154">
        <f t="shared" si="589"/>
        <v>0</v>
      </c>
      <c r="AL496" s="154">
        <f t="shared" si="589"/>
        <v>0</v>
      </c>
      <c r="AM496" s="154">
        <f t="shared" si="589"/>
        <v>0</v>
      </c>
      <c r="AN496" s="129">
        <f>SUM(AK496:AM496)</f>
        <v>0</v>
      </c>
      <c r="AO496" s="130">
        <f t="shared" si="590"/>
        <v>0</v>
      </c>
      <c r="AQ496" s="154"/>
      <c r="AR496" s="154"/>
      <c r="AS496" s="154"/>
      <c r="AT496" s="129"/>
      <c r="AU496" s="130"/>
      <c r="AW496" s="154">
        <f t="shared" si="591"/>
        <v>0</v>
      </c>
      <c r="AX496" s="154">
        <f t="shared" si="591"/>
        <v>0</v>
      </c>
      <c r="AY496" s="154">
        <f t="shared" si="591"/>
        <v>0</v>
      </c>
      <c r="AZ496" s="129">
        <f>SUM(AW496:AY496)</f>
        <v>0</v>
      </c>
      <c r="BA496" s="130">
        <f t="shared" si="592"/>
        <v>0</v>
      </c>
    </row>
    <row r="497" spans="1:53" ht="17.100000000000001" customHeight="1" x14ac:dyDescent="0.25">
      <c r="A497" s="40"/>
      <c r="B497" s="40"/>
      <c r="C497" s="182"/>
      <c r="D497" s="183" t="s">
        <v>129</v>
      </c>
      <c r="E497" s="128"/>
      <c r="F497" s="128"/>
      <c r="G497" s="128"/>
      <c r="H497" s="119"/>
      <c r="I497" s="231"/>
      <c r="J497" s="154"/>
      <c r="K497" s="154"/>
      <c r="L497" s="154"/>
      <c r="M497" s="154"/>
      <c r="N497" s="154">
        <f t="shared" si="593"/>
        <v>0</v>
      </c>
      <c r="O497" s="154">
        <f t="shared" si="593"/>
        <v>0</v>
      </c>
      <c r="P497" s="154">
        <f t="shared" si="579"/>
        <v>0</v>
      </c>
      <c r="Q497" s="154">
        <f t="shared" si="580"/>
        <v>0</v>
      </c>
      <c r="R497" s="154">
        <f t="shared" si="580"/>
        <v>0</v>
      </c>
      <c r="S497" s="154">
        <f t="shared" si="581"/>
        <v>0</v>
      </c>
      <c r="T497" s="154">
        <f t="shared" si="580"/>
        <v>0</v>
      </c>
      <c r="U497" s="154">
        <f t="shared" si="580"/>
        <v>0</v>
      </c>
      <c r="V497" s="154">
        <f t="shared" si="582"/>
        <v>0</v>
      </c>
      <c r="W497" s="387">
        <f t="shared" si="583"/>
        <v>0</v>
      </c>
      <c r="X497" s="154">
        <f t="shared" si="584"/>
        <v>0</v>
      </c>
      <c r="Y497" s="129">
        <f t="shared" si="585"/>
        <v>0</v>
      </c>
      <c r="Z497" s="130">
        <f t="shared" si="586"/>
        <v>0</v>
      </c>
      <c r="AA497" s="130"/>
      <c r="AB497" s="130"/>
      <c r="AC497" s="125"/>
      <c r="AE497" s="154">
        <f t="shared" si="587"/>
        <v>0</v>
      </c>
      <c r="AF497" s="154">
        <f t="shared" si="587"/>
        <v>0</v>
      </c>
      <c r="AG497" s="154">
        <f t="shared" si="587"/>
        <v>0</v>
      </c>
      <c r="AH497" s="129">
        <f>SUM(AE497:AG497)</f>
        <v>0</v>
      </c>
      <c r="AI497" s="130">
        <f t="shared" si="588"/>
        <v>0</v>
      </c>
      <c r="AK497" s="154">
        <f t="shared" si="589"/>
        <v>0</v>
      </c>
      <c r="AL497" s="154">
        <f t="shared" si="589"/>
        <v>0</v>
      </c>
      <c r="AM497" s="154">
        <f t="shared" si="589"/>
        <v>0</v>
      </c>
      <c r="AN497" s="129">
        <f>SUM(AK497:AM497)</f>
        <v>0</v>
      </c>
      <c r="AO497" s="130">
        <f t="shared" si="590"/>
        <v>0</v>
      </c>
      <c r="AQ497" s="154"/>
      <c r="AR497" s="154"/>
      <c r="AS497" s="154"/>
      <c r="AT497" s="129"/>
      <c r="AU497" s="130"/>
      <c r="AW497" s="154">
        <f t="shared" si="591"/>
        <v>0</v>
      </c>
      <c r="AX497" s="154">
        <f t="shared" si="591"/>
        <v>0</v>
      </c>
      <c r="AY497" s="154">
        <f t="shared" si="591"/>
        <v>0</v>
      </c>
      <c r="AZ497" s="129">
        <f>SUM(AW497:AY497)</f>
        <v>0</v>
      </c>
      <c r="BA497" s="130">
        <f t="shared" si="592"/>
        <v>0</v>
      </c>
    </row>
    <row r="498" spans="1:53" ht="17.100000000000001" customHeight="1" x14ac:dyDescent="0.25">
      <c r="A498" s="40"/>
      <c r="B498" s="40"/>
      <c r="C498" s="182"/>
      <c r="D498" s="127"/>
      <c r="E498" s="128"/>
      <c r="F498" s="128"/>
      <c r="G498" s="128"/>
      <c r="H498" s="119"/>
      <c r="I498" s="231"/>
      <c r="J498" s="154"/>
      <c r="K498" s="154"/>
      <c r="L498" s="154"/>
      <c r="M498" s="154"/>
      <c r="N498" s="154"/>
      <c r="O498" s="154"/>
      <c r="P498" s="154"/>
      <c r="Q498" s="154"/>
      <c r="R498" s="154"/>
      <c r="S498" s="154"/>
      <c r="T498" s="154"/>
      <c r="U498" s="154"/>
      <c r="V498" s="159"/>
      <c r="W498" s="387"/>
      <c r="X498" s="154"/>
      <c r="Y498" s="129">
        <f>SUM(Y493:Y497)</f>
        <v>15</v>
      </c>
      <c r="Z498" s="130">
        <f t="shared" si="586"/>
        <v>1</v>
      </c>
      <c r="AA498" s="130"/>
      <c r="AB498" s="130"/>
      <c r="AC498" s="125"/>
      <c r="AE498" s="160"/>
      <c r="AF498" s="160"/>
      <c r="AG498" s="160"/>
      <c r="AH498" s="129">
        <f>SUM(AH493:AH497)</f>
        <v>0</v>
      </c>
      <c r="AI498" s="130">
        <f t="shared" si="588"/>
        <v>0</v>
      </c>
      <c r="AK498" s="160"/>
      <c r="AL498" s="160"/>
      <c r="AM498" s="160"/>
      <c r="AN498" s="129">
        <f>SUM(AN493:AN497)</f>
        <v>0</v>
      </c>
      <c r="AO498" s="130">
        <f t="shared" si="590"/>
        <v>0</v>
      </c>
      <c r="AQ498" s="160"/>
      <c r="AR498" s="160"/>
      <c r="AS498" s="160"/>
      <c r="AT498" s="129"/>
      <c r="AU498" s="130"/>
      <c r="AW498" s="160"/>
      <c r="AX498" s="160"/>
      <c r="AY498" s="160"/>
      <c r="AZ498" s="129">
        <f>SUM(AZ493:AZ497)</f>
        <v>0</v>
      </c>
      <c r="BA498" s="130">
        <f t="shared" si="592"/>
        <v>0</v>
      </c>
    </row>
    <row r="499" spans="1:53" ht="17.100000000000001" customHeight="1" x14ac:dyDescent="0.25">
      <c r="A499" s="40"/>
      <c r="B499" s="40"/>
      <c r="C499" s="182"/>
      <c r="D499" s="127" t="s">
        <v>285</v>
      </c>
      <c r="E499" s="128"/>
      <c r="F499" s="128"/>
      <c r="G499" s="128"/>
      <c r="H499" s="119"/>
      <c r="I499" s="231"/>
      <c r="J499" s="154"/>
      <c r="K499" s="154"/>
      <c r="L499" s="154"/>
      <c r="M499" s="154"/>
      <c r="N499" s="154">
        <f>N493+N497</f>
        <v>0</v>
      </c>
      <c r="O499" s="154">
        <f>O493+O497</f>
        <v>6</v>
      </c>
      <c r="P499" s="154">
        <f t="shared" si="579"/>
        <v>6</v>
      </c>
      <c r="Q499" s="154">
        <f>Q493+Q497</f>
        <v>1</v>
      </c>
      <c r="R499" s="154">
        <f>R493+R497</f>
        <v>1</v>
      </c>
      <c r="S499" s="154">
        <f t="shared" ref="S499:S500" si="594">SUM(Q499:R499)</f>
        <v>2</v>
      </c>
      <c r="T499" s="154">
        <f>T493+T497</f>
        <v>0</v>
      </c>
      <c r="U499" s="154">
        <f>U493+U497</f>
        <v>0</v>
      </c>
      <c r="V499" s="154">
        <f t="shared" ref="V499:V500" si="595">SUM(T499:U499)</f>
        <v>0</v>
      </c>
      <c r="W499" s="387">
        <f t="shared" si="583"/>
        <v>1</v>
      </c>
      <c r="X499" s="154">
        <f t="shared" si="584"/>
        <v>7</v>
      </c>
      <c r="Y499" s="129">
        <f t="shared" ref="Y499:Y500" si="596">SUM(W499:X499)</f>
        <v>8</v>
      </c>
      <c r="Z499" s="130"/>
      <c r="AA499" s="130"/>
      <c r="AB499" s="130"/>
      <c r="AC499" s="125"/>
      <c r="AE499" s="160">
        <f>IF((AE493+AE497)&gt;0,1,0)</f>
        <v>0</v>
      </c>
      <c r="AF499" s="160">
        <f t="shared" ref="AF499:AG499" si="597">IF((AF493+AF497)&gt;0,1,0)</f>
        <v>0</v>
      </c>
      <c r="AG499" s="160">
        <f t="shared" si="597"/>
        <v>0</v>
      </c>
      <c r="AH499" s="129">
        <f>SUM(AE499:AG499)</f>
        <v>0</v>
      </c>
      <c r="AI499" s="130"/>
      <c r="AK499" s="160">
        <f>IF((AK493+AK497)&gt;0,1,0)</f>
        <v>0</v>
      </c>
      <c r="AL499" s="160">
        <f t="shared" ref="AL499:AM499" si="598">IF((AL493+AL497)&gt;0,1,0)</f>
        <v>0</v>
      </c>
      <c r="AM499" s="160">
        <f t="shared" si="598"/>
        <v>0</v>
      </c>
      <c r="AN499" s="129">
        <f>SUM(AK499:AM499)</f>
        <v>0</v>
      </c>
      <c r="AO499" s="130"/>
      <c r="AQ499" s="160"/>
      <c r="AR499" s="160"/>
      <c r="AS499" s="160"/>
      <c r="AT499" s="129"/>
      <c r="AU499" s="130"/>
      <c r="AW499" s="160">
        <f>IF((AW493+AW497)&gt;0,1,0)</f>
        <v>0</v>
      </c>
      <c r="AX499" s="160">
        <f t="shared" ref="AX499:AY499" si="599">IF((AX493+AX497)&gt;0,1,0)</f>
        <v>0</v>
      </c>
      <c r="AY499" s="160">
        <f t="shared" si="599"/>
        <v>0</v>
      </c>
      <c r="AZ499" s="129">
        <f>SUM(AW499:AY499)</f>
        <v>0</v>
      </c>
      <c r="BA499" s="130"/>
    </row>
    <row r="500" spans="1:53" s="409" customFormat="1" ht="17.100000000000001" customHeight="1" x14ac:dyDescent="0.25">
      <c r="A500" s="540"/>
      <c r="B500" s="540"/>
      <c r="C500" s="56" t="s">
        <v>279</v>
      </c>
      <c r="D500" s="427" t="s">
        <v>286</v>
      </c>
      <c r="E500" s="93"/>
      <c r="F500" s="93"/>
      <c r="G500" s="93"/>
      <c r="H500" s="540"/>
      <c r="I500" s="12"/>
      <c r="J500" s="539"/>
      <c r="K500" s="539"/>
      <c r="L500" s="539"/>
      <c r="M500" s="539"/>
      <c r="N500" s="353">
        <f>SUM(N494:N496)</f>
        <v>0</v>
      </c>
      <c r="O500" s="353">
        <f>SUM(O494:O496)</f>
        <v>2</v>
      </c>
      <c r="P500" s="155">
        <f t="shared" si="579"/>
        <v>2</v>
      </c>
      <c r="Q500" s="353">
        <f>SUM(Q494:Q496)</f>
        <v>2</v>
      </c>
      <c r="R500" s="353">
        <f>SUM(R494:R496)</f>
        <v>3</v>
      </c>
      <c r="S500" s="155">
        <f t="shared" si="594"/>
        <v>5</v>
      </c>
      <c r="T500" s="353">
        <f>SUM(T494:T496)</f>
        <v>0</v>
      </c>
      <c r="U500" s="353">
        <f>SUM(U494:U496)</f>
        <v>0</v>
      </c>
      <c r="V500" s="155">
        <f t="shared" si="595"/>
        <v>0</v>
      </c>
      <c r="W500" s="388">
        <f t="shared" si="583"/>
        <v>2</v>
      </c>
      <c r="X500" s="155">
        <f t="shared" si="584"/>
        <v>5</v>
      </c>
      <c r="Y500" s="539">
        <f t="shared" si="596"/>
        <v>7</v>
      </c>
      <c r="Z500" s="23"/>
      <c r="AA500" s="23"/>
      <c r="AB500" s="23"/>
      <c r="AC500" s="23"/>
      <c r="AE500" s="539">
        <f>IF(SUM(AE494:AE496)&gt;0,1,0)</f>
        <v>0</v>
      </c>
      <c r="AF500" s="539">
        <f t="shared" ref="AF500:AG500" si="600">IF(SUM(AF494:AF496)&gt;0,1,0)</f>
        <v>0</v>
      </c>
      <c r="AG500" s="539">
        <f t="shared" si="600"/>
        <v>0</v>
      </c>
      <c r="AH500" s="568">
        <f>SUM(AE500:AG500)</f>
        <v>0</v>
      </c>
      <c r="AI500" s="23"/>
      <c r="AK500" s="539">
        <f>IF(SUM(AK494:AK496)&gt;0,1,0)</f>
        <v>0</v>
      </c>
      <c r="AL500" s="539">
        <f t="shared" ref="AL500:AM500" si="601">IF(SUM(AL494:AL496)&gt;0,1,0)</f>
        <v>0</v>
      </c>
      <c r="AM500" s="539">
        <f t="shared" si="601"/>
        <v>0</v>
      </c>
      <c r="AN500" s="568">
        <f>SUM(AK500:AM500)</f>
        <v>0</v>
      </c>
      <c r="AO500" s="23"/>
      <c r="AQ500" s="539"/>
      <c r="AR500" s="539"/>
      <c r="AS500" s="539"/>
      <c r="AT500" s="568"/>
      <c r="AU500" s="23"/>
      <c r="AW500" s="539">
        <f>IF(SUM(AW494:AW496)&gt;0,1,0)</f>
        <v>0</v>
      </c>
      <c r="AX500" s="539">
        <f t="shared" ref="AX500:AY500" si="602">IF(SUM(AX494:AX496)&gt;0,1,0)</f>
        <v>0</v>
      </c>
      <c r="AY500" s="539">
        <f t="shared" si="602"/>
        <v>0</v>
      </c>
      <c r="AZ500" s="568">
        <f>SUM(AW500:AY500)</f>
        <v>0</v>
      </c>
      <c r="BA500" s="23"/>
    </row>
    <row r="501" spans="1:53" s="97" customFormat="1" ht="17.100000000000001" customHeight="1" x14ac:dyDescent="0.25">
      <c r="A501" s="68"/>
      <c r="B501" s="68"/>
      <c r="C501" s="186"/>
      <c r="D501" s="165"/>
      <c r="E501" s="187"/>
      <c r="F501" s="187"/>
      <c r="G501" s="187"/>
      <c r="H501" s="540"/>
      <c r="I501" s="207"/>
      <c r="J501" s="95"/>
      <c r="K501" s="95"/>
      <c r="L501" s="95"/>
      <c r="M501" s="95"/>
      <c r="N501" s="95"/>
      <c r="O501" s="95"/>
      <c r="P501" s="95"/>
      <c r="Q501" s="95"/>
      <c r="R501" s="95"/>
      <c r="S501" s="95"/>
      <c r="T501" s="95"/>
      <c r="U501" s="95"/>
      <c r="V501" s="95"/>
      <c r="W501" s="378"/>
      <c r="X501" s="95"/>
      <c r="Y501" s="96"/>
      <c r="AE501" s="109"/>
      <c r="AF501" s="109"/>
      <c r="AG501" s="109"/>
      <c r="AH501" s="96"/>
      <c r="AK501" s="109"/>
      <c r="AL501" s="109"/>
      <c r="AM501" s="109"/>
      <c r="AN501" s="96"/>
      <c r="AQ501" s="109"/>
      <c r="AR501" s="109"/>
      <c r="AS501" s="109"/>
      <c r="AT501" s="96"/>
      <c r="AW501" s="109"/>
      <c r="AX501" s="109"/>
      <c r="AY501" s="109"/>
      <c r="AZ501" s="96"/>
    </row>
    <row r="502" spans="1:53" s="32" customFormat="1" ht="16.5" thickBot="1" x14ac:dyDescent="0.3">
      <c r="A502" s="24" t="s">
        <v>287</v>
      </c>
      <c r="B502" s="25" t="s">
        <v>288</v>
      </c>
      <c r="C502" s="26"/>
      <c r="D502" s="27"/>
      <c r="E502" s="27"/>
      <c r="F502" s="27"/>
      <c r="G502" s="27"/>
      <c r="H502" s="264"/>
      <c r="I502" s="228"/>
      <c r="J502" s="140"/>
      <c r="K502" s="140"/>
      <c r="L502" s="140"/>
      <c r="M502" s="140"/>
      <c r="N502" s="140"/>
      <c r="O502" s="140"/>
      <c r="P502" s="140"/>
      <c r="Q502" s="140"/>
      <c r="R502" s="140"/>
      <c r="S502" s="140"/>
      <c r="T502" s="140"/>
      <c r="U502" s="140"/>
      <c r="V502" s="365"/>
      <c r="W502" s="379"/>
      <c r="X502" s="140"/>
      <c r="Y502" s="30" t="s">
        <v>4</v>
      </c>
      <c r="Z502" s="30" t="s">
        <v>5</v>
      </c>
      <c r="AA502" s="30"/>
      <c r="AB502" s="30"/>
      <c r="AC502" s="188"/>
      <c r="AE502" s="33" t="s">
        <v>181</v>
      </c>
      <c r="AF502" s="33" t="s">
        <v>182</v>
      </c>
      <c r="AG502" s="33" t="s">
        <v>6</v>
      </c>
      <c r="AH502" s="33" t="s">
        <v>4</v>
      </c>
      <c r="AI502" s="34" t="s">
        <v>5</v>
      </c>
      <c r="AJ502" s="408"/>
      <c r="AK502" s="36" t="s">
        <v>181</v>
      </c>
      <c r="AL502" s="36" t="s">
        <v>182</v>
      </c>
      <c r="AM502" s="36" t="s">
        <v>6</v>
      </c>
      <c r="AN502" s="36" t="s">
        <v>4</v>
      </c>
      <c r="AO502" s="37" t="s">
        <v>5</v>
      </c>
      <c r="AP502" s="408"/>
      <c r="AQ502" s="36"/>
      <c r="AR502" s="36"/>
      <c r="AS502" s="36"/>
      <c r="AT502" s="36"/>
      <c r="AU502" s="37"/>
      <c r="AV502" s="408"/>
      <c r="AW502" s="38" t="s">
        <v>181</v>
      </c>
      <c r="AX502" s="38" t="s">
        <v>182</v>
      </c>
      <c r="AY502" s="38" t="s">
        <v>6</v>
      </c>
      <c r="AZ502" s="38" t="s">
        <v>4</v>
      </c>
      <c r="BA502" s="39" t="s">
        <v>5</v>
      </c>
    </row>
    <row r="503" spans="1:53" ht="17.100000000000001" customHeight="1" x14ac:dyDescent="0.25">
      <c r="A503" s="68"/>
      <c r="B503" s="41" t="s">
        <v>289</v>
      </c>
      <c r="C503" s="69" t="s">
        <v>620</v>
      </c>
      <c r="D503" s="50"/>
      <c r="E503" s="70"/>
      <c r="F503" s="70"/>
      <c r="G503" s="70"/>
      <c r="H503" s="119"/>
      <c r="J503" s="71"/>
      <c r="K503" s="71"/>
      <c r="L503" s="71"/>
      <c r="M503" s="71"/>
      <c r="N503" s="71"/>
      <c r="O503" s="71"/>
      <c r="P503" s="71"/>
      <c r="Q503" s="71"/>
      <c r="R503" s="71"/>
      <c r="S503" s="71"/>
      <c r="T503" s="71"/>
      <c r="U503" s="71"/>
      <c r="V503" s="355"/>
      <c r="W503" s="377"/>
      <c r="X503" s="71"/>
      <c r="Y503" s="72"/>
      <c r="Z503" s="73"/>
      <c r="AA503" s="73"/>
      <c r="AB503" s="73"/>
      <c r="AC503" s="73"/>
      <c r="AE503" s="71"/>
      <c r="AF503" s="71"/>
      <c r="AG503" s="71"/>
      <c r="AH503" s="72"/>
      <c r="AI503" s="73"/>
      <c r="AK503" s="71"/>
      <c r="AL503" s="71"/>
      <c r="AM503" s="71"/>
      <c r="AN503" s="72"/>
      <c r="AO503" s="73"/>
      <c r="AQ503" s="71"/>
      <c r="AR503" s="71"/>
      <c r="AS503" s="71"/>
      <c r="AT503" s="72"/>
      <c r="AU503" s="73"/>
      <c r="AW503" s="71"/>
      <c r="AX503" s="71"/>
      <c r="AY503" s="71"/>
      <c r="AZ503" s="72"/>
      <c r="BA503" s="73"/>
    </row>
    <row r="504" spans="1:53" ht="17.100000000000001" customHeight="1" x14ac:dyDescent="0.25">
      <c r="A504" s="40"/>
      <c r="B504" s="40"/>
      <c r="C504" s="74" t="s">
        <v>291</v>
      </c>
      <c r="D504" s="75" t="s">
        <v>292</v>
      </c>
      <c r="E504" s="105"/>
      <c r="F504" s="75"/>
      <c r="G504" s="75"/>
      <c r="H504" s="540"/>
      <c r="I504" s="229"/>
      <c r="J504" s="111"/>
      <c r="K504" s="111"/>
      <c r="L504" s="111"/>
      <c r="M504" s="111"/>
      <c r="N504" s="60"/>
      <c r="O504" s="60"/>
      <c r="P504" s="17">
        <f t="shared" ref="P504:P507" si="603">SUM(N504:O504)</f>
        <v>0</v>
      </c>
      <c r="Q504" s="60">
        <v>3</v>
      </c>
      <c r="R504" s="60">
        <v>2</v>
      </c>
      <c r="S504" s="17">
        <f t="shared" ref="S504:S507" si="604">SUM(Q504:R504)</f>
        <v>5</v>
      </c>
      <c r="T504" s="60"/>
      <c r="U504" s="60"/>
      <c r="V504" s="359">
        <f t="shared" ref="V504:V507" si="605">SUM(T504:U504)</f>
        <v>0</v>
      </c>
      <c r="W504" s="391">
        <f t="shared" ref="W504:W507" si="606">J504+K504+N504+Q504+T504</f>
        <v>3</v>
      </c>
      <c r="X504" s="17">
        <f t="shared" ref="X504:X507" si="607">L504+O504+R504+U504</f>
        <v>2</v>
      </c>
      <c r="Y504" s="18">
        <f>SUM(W504:X504)</f>
        <v>5</v>
      </c>
      <c r="Z504" s="19">
        <f>IF(Y$508=0,0,Y504/Y$508)</f>
        <v>0.33333333333333331</v>
      </c>
      <c r="AA504" s="19"/>
      <c r="AB504" s="19"/>
      <c r="AC504" s="20"/>
      <c r="AE504" s="111"/>
      <c r="AF504" s="111"/>
      <c r="AG504" s="111"/>
      <c r="AH504" s="112"/>
      <c r="AI504" s="113"/>
      <c r="AK504" s="111"/>
      <c r="AL504" s="111"/>
      <c r="AM504" s="111"/>
      <c r="AN504" s="112"/>
      <c r="AO504" s="113"/>
      <c r="AQ504" s="17"/>
      <c r="AR504" s="17"/>
      <c r="AS504" s="17"/>
      <c r="AT504" s="18">
        <f t="shared" ref="AT504:AT507" si="608">W504</f>
        <v>3</v>
      </c>
      <c r="AU504" s="19">
        <f>IF(AT$508=0,0,AT504/AT$508)</f>
        <v>1</v>
      </c>
      <c r="AW504" s="17"/>
      <c r="AX504" s="17"/>
      <c r="AY504" s="17"/>
      <c r="AZ504" s="18">
        <f t="shared" ref="AZ504:AZ507" si="609">X504</f>
        <v>2</v>
      </c>
      <c r="BA504" s="19">
        <f>IF(AZ$508=0,0,AZ504/AZ$508)</f>
        <v>0.16666666666666666</v>
      </c>
    </row>
    <row r="505" spans="1:53" ht="17.100000000000001" customHeight="1" x14ac:dyDescent="0.25">
      <c r="A505" s="40"/>
      <c r="B505" s="40"/>
      <c r="C505" s="74" t="s">
        <v>293</v>
      </c>
      <c r="D505" s="75" t="s">
        <v>11</v>
      </c>
      <c r="E505" s="105"/>
      <c r="F505" s="75"/>
      <c r="G505" s="75"/>
      <c r="H505" s="540"/>
      <c r="I505" s="229"/>
      <c r="J505" s="111"/>
      <c r="K505" s="111"/>
      <c r="L505" s="111"/>
      <c r="M505" s="111"/>
      <c r="N505" s="61"/>
      <c r="O505" s="61"/>
      <c r="P505" s="17">
        <f t="shared" si="603"/>
        <v>0</v>
      </c>
      <c r="Q505" s="61"/>
      <c r="R505" s="61"/>
      <c r="S505" s="17">
        <f t="shared" si="604"/>
        <v>0</v>
      </c>
      <c r="T505" s="61"/>
      <c r="U505" s="61"/>
      <c r="V505" s="359">
        <f t="shared" si="605"/>
        <v>0</v>
      </c>
      <c r="W505" s="391">
        <f t="shared" si="606"/>
        <v>0</v>
      </c>
      <c r="X505" s="17">
        <f t="shared" si="607"/>
        <v>0</v>
      </c>
      <c r="Y505" s="18">
        <f>SUM(W505:X505)</f>
        <v>0</v>
      </c>
      <c r="Z505" s="19">
        <f t="shared" ref="Z505:Z508" si="610">IF(Y$508=0,0,Y505/Y$508)</f>
        <v>0</v>
      </c>
      <c r="AA505" s="19"/>
      <c r="AB505" s="19"/>
      <c r="AC505" s="20"/>
      <c r="AE505" s="111"/>
      <c r="AF505" s="111"/>
      <c r="AG505" s="111"/>
      <c r="AH505" s="112"/>
      <c r="AI505" s="113"/>
      <c r="AK505" s="111"/>
      <c r="AL505" s="111"/>
      <c r="AM505" s="111"/>
      <c r="AN505" s="112"/>
      <c r="AO505" s="113"/>
      <c r="AQ505" s="17"/>
      <c r="AR505" s="17"/>
      <c r="AS505" s="17"/>
      <c r="AT505" s="18">
        <f t="shared" si="608"/>
        <v>0</v>
      </c>
      <c r="AU505" s="19">
        <f>IF(AT$508=0,0,AT505/AT$508)</f>
        <v>0</v>
      </c>
      <c r="AW505" s="17"/>
      <c r="AX505" s="17"/>
      <c r="AY505" s="17"/>
      <c r="AZ505" s="18">
        <f t="shared" si="609"/>
        <v>0</v>
      </c>
      <c r="BA505" s="19">
        <f>IF(AZ$508=0,0,AZ505/AZ$508)</f>
        <v>0</v>
      </c>
    </row>
    <row r="506" spans="1:53" ht="17.100000000000001" customHeight="1" x14ac:dyDescent="0.25">
      <c r="A506" s="40"/>
      <c r="B506" s="40"/>
      <c r="C506" s="74" t="s">
        <v>294</v>
      </c>
      <c r="D506" s="75" t="s">
        <v>295</v>
      </c>
      <c r="E506" s="105"/>
      <c r="F506" s="75"/>
      <c r="G506" s="75"/>
      <c r="H506" s="540"/>
      <c r="I506" s="229"/>
      <c r="J506" s="111"/>
      <c r="K506" s="111"/>
      <c r="L506" s="111"/>
      <c r="M506" s="111"/>
      <c r="N506" s="60"/>
      <c r="O506" s="60"/>
      <c r="P506" s="17">
        <f t="shared" si="603"/>
        <v>0</v>
      </c>
      <c r="Q506" s="60"/>
      <c r="R506" s="60"/>
      <c r="S506" s="17">
        <f t="shared" si="604"/>
        <v>0</v>
      </c>
      <c r="T506" s="60"/>
      <c r="U506" s="60"/>
      <c r="V506" s="359">
        <f t="shared" si="605"/>
        <v>0</v>
      </c>
      <c r="W506" s="391">
        <f t="shared" si="606"/>
        <v>0</v>
      </c>
      <c r="X506" s="17">
        <f t="shared" si="607"/>
        <v>0</v>
      </c>
      <c r="Y506" s="18">
        <f>SUM(W506:X506)</f>
        <v>0</v>
      </c>
      <c r="Z506" s="19">
        <f t="shared" si="610"/>
        <v>0</v>
      </c>
      <c r="AA506" s="19"/>
      <c r="AB506" s="19"/>
      <c r="AC506" s="20"/>
      <c r="AE506" s="111"/>
      <c r="AF506" s="111"/>
      <c r="AG506" s="111"/>
      <c r="AH506" s="112"/>
      <c r="AI506" s="113"/>
      <c r="AK506" s="111"/>
      <c r="AL506" s="111"/>
      <c r="AM506" s="111"/>
      <c r="AN506" s="112"/>
      <c r="AO506" s="113"/>
      <c r="AQ506" s="17"/>
      <c r="AR506" s="17"/>
      <c r="AS506" s="17"/>
      <c r="AT506" s="18">
        <f t="shared" si="608"/>
        <v>0</v>
      </c>
      <c r="AU506" s="19">
        <f>IF(AT$508=0,0,AT506/AT$508)</f>
        <v>0</v>
      </c>
      <c r="AW506" s="17"/>
      <c r="AX506" s="17"/>
      <c r="AY506" s="17"/>
      <c r="AZ506" s="18">
        <f t="shared" si="609"/>
        <v>0</v>
      </c>
      <c r="BA506" s="19">
        <f>IF(AZ$508=0,0,AZ506/AZ$508)</f>
        <v>0</v>
      </c>
    </row>
    <row r="507" spans="1:53" ht="17.100000000000001" customHeight="1" x14ac:dyDescent="0.25">
      <c r="A507" s="40"/>
      <c r="B507" s="40"/>
      <c r="C507" s="74" t="s">
        <v>296</v>
      </c>
      <c r="D507" s="75" t="s">
        <v>9</v>
      </c>
      <c r="E507" s="105"/>
      <c r="F507" s="75"/>
      <c r="G507" s="75"/>
      <c r="H507" s="540"/>
      <c r="I507" s="229"/>
      <c r="J507" s="111"/>
      <c r="K507" s="111"/>
      <c r="L507" s="111"/>
      <c r="M507" s="111"/>
      <c r="N507" s="61"/>
      <c r="O507" s="61">
        <v>8</v>
      </c>
      <c r="P507" s="17">
        <f t="shared" si="603"/>
        <v>8</v>
      </c>
      <c r="Q507" s="61"/>
      <c r="R507" s="61">
        <v>2</v>
      </c>
      <c r="S507" s="17">
        <f t="shared" si="604"/>
        <v>2</v>
      </c>
      <c r="T507" s="61"/>
      <c r="U507" s="61"/>
      <c r="V507" s="359">
        <f t="shared" si="605"/>
        <v>0</v>
      </c>
      <c r="W507" s="391">
        <f t="shared" si="606"/>
        <v>0</v>
      </c>
      <c r="X507" s="17">
        <f t="shared" si="607"/>
        <v>10</v>
      </c>
      <c r="Y507" s="18">
        <f>SUM(W507:X507)</f>
        <v>10</v>
      </c>
      <c r="Z507" s="19">
        <f t="shared" si="610"/>
        <v>0.66666666666666663</v>
      </c>
      <c r="AA507" s="19"/>
      <c r="AB507" s="19"/>
      <c r="AC507" s="20"/>
      <c r="AE507" s="111"/>
      <c r="AF507" s="111"/>
      <c r="AG507" s="111"/>
      <c r="AH507" s="112"/>
      <c r="AI507" s="113"/>
      <c r="AK507" s="111"/>
      <c r="AL507" s="111"/>
      <c r="AM507" s="111"/>
      <c r="AN507" s="112"/>
      <c r="AO507" s="113"/>
      <c r="AQ507" s="17"/>
      <c r="AR507" s="17"/>
      <c r="AS507" s="17"/>
      <c r="AT507" s="18">
        <f t="shared" si="608"/>
        <v>0</v>
      </c>
      <c r="AU507" s="19">
        <f>IF(AT$508=0,0,AT507/AT$508)</f>
        <v>0</v>
      </c>
      <c r="AW507" s="17"/>
      <c r="AX507" s="17"/>
      <c r="AY507" s="17"/>
      <c r="AZ507" s="18">
        <f t="shared" si="609"/>
        <v>10</v>
      </c>
      <c r="BA507" s="19">
        <f>IF(AZ$508=0,0,AZ507/AZ$508)</f>
        <v>0.83333333333333337</v>
      </c>
    </row>
    <row r="508" spans="1:53" ht="17.100000000000001" customHeight="1" x14ac:dyDescent="0.25">
      <c r="A508" s="40"/>
      <c r="B508" s="40"/>
      <c r="C508" s="292"/>
      <c r="D508" s="134"/>
      <c r="E508" s="134"/>
      <c r="F508" s="134"/>
      <c r="G508" s="134"/>
      <c r="H508" s="540"/>
      <c r="I508" s="229"/>
      <c r="J508" s="80"/>
      <c r="K508" s="80"/>
      <c r="L508" s="81"/>
      <c r="M508" s="81"/>
      <c r="N508" s="81">
        <f>SUM(N504:N507)</f>
        <v>0</v>
      </c>
      <c r="O508" s="81">
        <f t="shared" ref="O508:V508" si="611">SUM(O504:O507)</f>
        <v>8</v>
      </c>
      <c r="P508" s="81">
        <f t="shared" si="611"/>
        <v>8</v>
      </c>
      <c r="Q508" s="81">
        <f t="shared" si="611"/>
        <v>3</v>
      </c>
      <c r="R508" s="81">
        <f t="shared" si="611"/>
        <v>4</v>
      </c>
      <c r="S508" s="81">
        <f t="shared" si="611"/>
        <v>7</v>
      </c>
      <c r="T508" s="81">
        <f t="shared" si="611"/>
        <v>0</v>
      </c>
      <c r="U508" s="81">
        <f t="shared" si="611"/>
        <v>0</v>
      </c>
      <c r="V508" s="81">
        <f t="shared" si="611"/>
        <v>0</v>
      </c>
      <c r="W508" s="381">
        <f>SUM(W504:W507)</f>
        <v>3</v>
      </c>
      <c r="X508" s="82">
        <f t="shared" ref="X508:Y508" si="612">SUM(X504:X507)</f>
        <v>12</v>
      </c>
      <c r="Y508" s="82">
        <f t="shared" si="612"/>
        <v>15</v>
      </c>
      <c r="Z508" s="205">
        <f t="shared" si="610"/>
        <v>1</v>
      </c>
      <c r="AA508" s="205"/>
      <c r="AB508" s="205"/>
      <c r="AC508" s="83"/>
      <c r="AE508" s="80"/>
      <c r="AF508" s="80"/>
      <c r="AG508" s="81"/>
      <c r="AH508" s="82"/>
      <c r="AI508" s="66"/>
      <c r="AK508" s="80"/>
      <c r="AL508" s="80"/>
      <c r="AM508" s="81"/>
      <c r="AN508" s="82"/>
      <c r="AO508" s="66"/>
      <c r="AQ508" s="80"/>
      <c r="AR508" s="80"/>
      <c r="AS508" s="81"/>
      <c r="AT508" s="82">
        <f>SUM(AT504:AT507)</f>
        <v>3</v>
      </c>
      <c r="AU508" s="66">
        <f>IF(AT$508=0,0,AT508/AT$508)</f>
        <v>1</v>
      </c>
      <c r="AW508" s="80"/>
      <c r="AX508" s="80"/>
      <c r="AY508" s="81"/>
      <c r="AZ508" s="82">
        <f>SUM(AZ504:AZ507)</f>
        <v>12</v>
      </c>
      <c r="BA508" s="66">
        <f>IF(AZ$508=0,0,AZ508/AZ$508)</f>
        <v>1</v>
      </c>
    </row>
    <row r="509" spans="1:53" s="117" customFormat="1" ht="17.100000000000001" customHeight="1" x14ac:dyDescent="0.25">
      <c r="A509" s="68"/>
      <c r="B509" s="119"/>
      <c r="C509" s="540"/>
      <c r="D509" s="261"/>
      <c r="E509" s="261"/>
      <c r="F509" s="68"/>
      <c r="G509" s="68"/>
      <c r="H509" s="119"/>
      <c r="I509" s="138"/>
      <c r="J509" s="17"/>
      <c r="K509" s="17"/>
      <c r="L509" s="17"/>
      <c r="M509" s="17"/>
      <c r="N509" s="17" t="str">
        <f>IF(N508=N$20,"OK","NOK")</f>
        <v>OK</v>
      </c>
      <c r="O509" s="17" t="str">
        <f>IF(O508=O$20,"OK","NOK")</f>
        <v>OK</v>
      </c>
      <c r="P509" s="17"/>
      <c r="Q509" s="17" t="str">
        <f>IF(Q508=Q$20,"OK","NOK")</f>
        <v>OK</v>
      </c>
      <c r="R509" s="17" t="str">
        <f>IF(R508=R$20,"OK","NOK")</f>
        <v>OK</v>
      </c>
      <c r="S509" s="17"/>
      <c r="T509" s="17" t="str">
        <f>IF(T508=T$20,"OK","NOK")</f>
        <v>OK</v>
      </c>
      <c r="U509" s="17" t="str">
        <f>IF(U508=U$20,"OK","NOK")</f>
        <v>OK</v>
      </c>
      <c r="V509" s="359"/>
      <c r="W509" s="382"/>
      <c r="X509" s="539"/>
      <c r="Y509" s="539"/>
      <c r="Z509" s="201"/>
      <c r="AA509" s="201"/>
      <c r="AB509" s="201"/>
      <c r="AC509" s="84"/>
      <c r="AE509" s="46"/>
      <c r="AF509" s="46"/>
      <c r="AG509" s="17"/>
      <c r="AH509" s="539"/>
      <c r="AI509" s="91"/>
      <c r="AK509" s="46"/>
      <c r="AL509" s="46"/>
      <c r="AM509" s="17"/>
      <c r="AN509" s="539"/>
      <c r="AO509" s="91"/>
      <c r="AQ509" s="46"/>
      <c r="AR509" s="46"/>
      <c r="AS509" s="17"/>
      <c r="AT509" s="539"/>
      <c r="AU509" s="91"/>
      <c r="AW509" s="46"/>
      <c r="AX509" s="46"/>
      <c r="AY509" s="17"/>
      <c r="AZ509" s="539"/>
      <c r="BA509" s="91"/>
    </row>
    <row r="510" spans="1:53" ht="17.100000000000001" customHeight="1" x14ac:dyDescent="0.25">
      <c r="A510" s="68"/>
      <c r="B510" s="41" t="s">
        <v>297</v>
      </c>
      <c r="C510" s="69" t="s">
        <v>290</v>
      </c>
      <c r="D510" s="50"/>
      <c r="E510" s="70"/>
      <c r="F510" s="70"/>
      <c r="G510" s="70"/>
      <c r="H510" s="119"/>
      <c r="J510" s="71"/>
      <c r="K510" s="71"/>
      <c r="L510" s="71"/>
      <c r="M510" s="71"/>
      <c r="N510" s="71"/>
      <c r="O510" s="71"/>
      <c r="P510" s="71"/>
      <c r="Q510" s="71"/>
      <c r="R510" s="71"/>
      <c r="S510" s="71"/>
      <c r="T510" s="71"/>
      <c r="U510" s="71"/>
      <c r="V510" s="355"/>
      <c r="W510" s="377"/>
      <c r="X510" s="71"/>
      <c r="Y510" s="72"/>
      <c r="Z510" s="73"/>
      <c r="AA510" s="73"/>
      <c r="AB510" s="73"/>
      <c r="AC510" s="73"/>
      <c r="AE510" s="71"/>
      <c r="AF510" s="71"/>
      <c r="AG510" s="71"/>
      <c r="AH510" s="72"/>
      <c r="AI510" s="73"/>
      <c r="AK510" s="71"/>
      <c r="AL510" s="71"/>
      <c r="AM510" s="71"/>
      <c r="AN510" s="72"/>
      <c r="AO510" s="73"/>
      <c r="AQ510" s="71"/>
      <c r="AR510" s="71"/>
      <c r="AS510" s="71"/>
      <c r="AT510" s="72"/>
      <c r="AU510" s="73"/>
      <c r="AW510" s="71"/>
      <c r="AX510" s="71"/>
      <c r="AY510" s="71"/>
      <c r="AZ510" s="72"/>
      <c r="BA510" s="73"/>
    </row>
    <row r="511" spans="1:53" ht="17.100000000000001" customHeight="1" x14ac:dyDescent="0.25">
      <c r="A511" s="40"/>
      <c r="B511" s="40"/>
      <c r="C511" s="74" t="s">
        <v>298</v>
      </c>
      <c r="D511" s="75" t="s">
        <v>292</v>
      </c>
      <c r="E511" s="105"/>
      <c r="F511" s="75"/>
      <c r="G511" s="75"/>
      <c r="H511" s="540"/>
      <c r="I511" s="229"/>
      <c r="J511" s="111"/>
      <c r="K511" s="111"/>
      <c r="L511" s="111"/>
      <c r="M511" s="111"/>
      <c r="N511" s="60"/>
      <c r="O511" s="60"/>
      <c r="P511" s="17">
        <f t="shared" ref="P511:P514" si="613">SUM(N511:O511)</f>
        <v>0</v>
      </c>
      <c r="Q511" s="60"/>
      <c r="R511" s="60"/>
      <c r="S511" s="17">
        <f t="shared" ref="S511:S514" si="614">SUM(Q511:R511)</f>
        <v>0</v>
      </c>
      <c r="T511" s="60"/>
      <c r="U511" s="60"/>
      <c r="V511" s="359">
        <f t="shared" ref="V511:V514" si="615">SUM(T511:U511)</f>
        <v>0</v>
      </c>
      <c r="W511" s="391">
        <f t="shared" ref="W511:W514" si="616">J511+K511+N511+Q511+T511</f>
        <v>0</v>
      </c>
      <c r="X511" s="17">
        <f t="shared" ref="X511:X514" si="617">L511+O511+R511+U511</f>
        <v>0</v>
      </c>
      <c r="Y511" s="18">
        <f>SUM(W511:X511)</f>
        <v>0</v>
      </c>
      <c r="Z511" s="19">
        <f>IF(Y$515=0,0,Y511/Y$515)</f>
        <v>0</v>
      </c>
      <c r="AA511" s="19"/>
      <c r="AB511" s="19"/>
      <c r="AC511" s="20"/>
      <c r="AE511" s="111"/>
      <c r="AF511" s="111"/>
      <c r="AG511" s="111"/>
      <c r="AH511" s="112"/>
      <c r="AI511" s="113"/>
      <c r="AK511" s="111"/>
      <c r="AL511" s="111"/>
      <c r="AM511" s="111"/>
      <c r="AN511" s="112"/>
      <c r="AO511" s="113"/>
      <c r="AQ511" s="17"/>
      <c r="AR511" s="17"/>
      <c r="AS511" s="17"/>
      <c r="AT511" s="18">
        <f t="shared" ref="AT511:AT514" si="618">W511</f>
        <v>0</v>
      </c>
      <c r="AU511" s="19">
        <f t="shared" ref="AU511:AU514" si="619">IF(AT$508=0,0,AT511/AT$508)</f>
        <v>0</v>
      </c>
      <c r="AW511" s="17"/>
      <c r="AX511" s="17"/>
      <c r="AY511" s="17"/>
      <c r="AZ511" s="18">
        <f t="shared" ref="AZ511:AZ514" si="620">X511</f>
        <v>0</v>
      </c>
      <c r="BA511" s="19">
        <f>IF(AZ$515=0,0,AZ511/AZ$515)</f>
        <v>0</v>
      </c>
    </row>
    <row r="512" spans="1:53" ht="17.100000000000001" customHeight="1" x14ac:dyDescent="0.25">
      <c r="A512" s="40"/>
      <c r="B512" s="40"/>
      <c r="C512" s="74" t="s">
        <v>299</v>
      </c>
      <c r="D512" s="75" t="s">
        <v>11</v>
      </c>
      <c r="E512" s="105"/>
      <c r="F512" s="75"/>
      <c r="G512" s="75"/>
      <c r="H512" s="540"/>
      <c r="I512" s="229"/>
      <c r="J512" s="111"/>
      <c r="K512" s="111"/>
      <c r="L512" s="111"/>
      <c r="M512" s="111"/>
      <c r="N512" s="61"/>
      <c r="O512" s="61"/>
      <c r="P512" s="17">
        <f t="shared" si="613"/>
        <v>0</v>
      </c>
      <c r="Q512" s="61"/>
      <c r="R512" s="61"/>
      <c r="S512" s="17">
        <f t="shared" si="614"/>
        <v>0</v>
      </c>
      <c r="T512" s="61"/>
      <c r="U512" s="61"/>
      <c r="V512" s="359">
        <f t="shared" si="615"/>
        <v>0</v>
      </c>
      <c r="W512" s="391">
        <f t="shared" si="616"/>
        <v>0</v>
      </c>
      <c r="X512" s="17">
        <f t="shared" si="617"/>
        <v>0</v>
      </c>
      <c r="Y512" s="18">
        <f>SUM(W512:X512)</f>
        <v>0</v>
      </c>
      <c r="Z512" s="19">
        <f t="shared" ref="Z512:Z515" si="621">IF(Y$515=0,0,Y512/Y$515)</f>
        <v>0</v>
      </c>
      <c r="AA512" s="19"/>
      <c r="AB512" s="19"/>
      <c r="AC512" s="20"/>
      <c r="AE512" s="111"/>
      <c r="AF512" s="111"/>
      <c r="AG512" s="111"/>
      <c r="AH512" s="112"/>
      <c r="AI512" s="113"/>
      <c r="AK512" s="111"/>
      <c r="AL512" s="111"/>
      <c r="AM512" s="111"/>
      <c r="AN512" s="112"/>
      <c r="AO512" s="113"/>
      <c r="AQ512" s="17"/>
      <c r="AR512" s="17"/>
      <c r="AS512" s="17"/>
      <c r="AT512" s="18">
        <f t="shared" si="618"/>
        <v>0</v>
      </c>
      <c r="AU512" s="19">
        <f t="shared" si="619"/>
        <v>0</v>
      </c>
      <c r="AW512" s="17"/>
      <c r="AX512" s="17"/>
      <c r="AY512" s="17"/>
      <c r="AZ512" s="18">
        <f t="shared" si="620"/>
        <v>0</v>
      </c>
      <c r="BA512" s="19">
        <f t="shared" ref="BA512:BA515" si="622">IF(AZ$515=0,0,AZ512/AZ$515)</f>
        <v>0</v>
      </c>
    </row>
    <row r="513" spans="1:53" ht="17.100000000000001" customHeight="1" x14ac:dyDescent="0.25">
      <c r="A513" s="40"/>
      <c r="B513" s="40"/>
      <c r="C513" s="74" t="s">
        <v>301</v>
      </c>
      <c r="D513" s="75" t="s">
        <v>295</v>
      </c>
      <c r="E513" s="105"/>
      <c r="F513" s="75"/>
      <c r="G513" s="75"/>
      <c r="H513" s="540"/>
      <c r="I513" s="229"/>
      <c r="J513" s="111"/>
      <c r="K513" s="111"/>
      <c r="L513" s="111"/>
      <c r="M513" s="111"/>
      <c r="N513" s="60"/>
      <c r="O513" s="60"/>
      <c r="P513" s="17">
        <f t="shared" si="613"/>
        <v>0</v>
      </c>
      <c r="Q513" s="60"/>
      <c r="R513" s="60">
        <v>1</v>
      </c>
      <c r="S513" s="17">
        <f t="shared" si="614"/>
        <v>1</v>
      </c>
      <c r="T513" s="60"/>
      <c r="U513" s="60"/>
      <c r="V513" s="359">
        <f t="shared" si="615"/>
        <v>0</v>
      </c>
      <c r="W513" s="391">
        <f t="shared" si="616"/>
        <v>0</v>
      </c>
      <c r="X513" s="17">
        <f t="shared" si="617"/>
        <v>1</v>
      </c>
      <c r="Y513" s="18">
        <f>SUM(W513:X513)</f>
        <v>1</v>
      </c>
      <c r="Z513" s="19">
        <f t="shared" si="621"/>
        <v>6.6666666666666666E-2</v>
      </c>
      <c r="AA513" s="19"/>
      <c r="AB513" s="19"/>
      <c r="AC513" s="20"/>
      <c r="AE513" s="111"/>
      <c r="AF513" s="111"/>
      <c r="AG513" s="111"/>
      <c r="AH513" s="112"/>
      <c r="AI513" s="113"/>
      <c r="AK513" s="111"/>
      <c r="AL513" s="111"/>
      <c r="AM513" s="111"/>
      <c r="AN513" s="112"/>
      <c r="AO513" s="113"/>
      <c r="AQ513" s="17"/>
      <c r="AR513" s="17"/>
      <c r="AS513" s="17"/>
      <c r="AT513" s="18">
        <f t="shared" si="618"/>
        <v>0</v>
      </c>
      <c r="AU513" s="19">
        <f t="shared" si="619"/>
        <v>0</v>
      </c>
      <c r="AW513" s="17"/>
      <c r="AX513" s="17"/>
      <c r="AY513" s="17"/>
      <c r="AZ513" s="18">
        <f t="shared" si="620"/>
        <v>1</v>
      </c>
      <c r="BA513" s="19">
        <f t="shared" si="622"/>
        <v>8.3333333333333329E-2</v>
      </c>
    </row>
    <row r="514" spans="1:53" ht="17.100000000000001" customHeight="1" x14ac:dyDescent="0.25">
      <c r="A514" s="40"/>
      <c r="B514" s="40"/>
      <c r="C514" s="74" t="s">
        <v>303</v>
      </c>
      <c r="D514" s="75" t="s">
        <v>9</v>
      </c>
      <c r="E514" s="105"/>
      <c r="F514" s="75"/>
      <c r="G514" s="75"/>
      <c r="H514" s="540"/>
      <c r="I514" s="229"/>
      <c r="J514" s="111"/>
      <c r="K514" s="111"/>
      <c r="L514" s="111"/>
      <c r="M514" s="111"/>
      <c r="N514" s="61"/>
      <c r="O514" s="61">
        <v>8</v>
      </c>
      <c r="P514" s="17">
        <f t="shared" si="613"/>
        <v>8</v>
      </c>
      <c r="Q514" s="61">
        <v>3</v>
      </c>
      <c r="R514" s="61">
        <v>3</v>
      </c>
      <c r="S514" s="17">
        <f t="shared" si="614"/>
        <v>6</v>
      </c>
      <c r="T514" s="61"/>
      <c r="U514" s="61"/>
      <c r="V514" s="359">
        <f t="shared" si="615"/>
        <v>0</v>
      </c>
      <c r="W514" s="391">
        <f t="shared" si="616"/>
        <v>3</v>
      </c>
      <c r="X514" s="17">
        <f t="shared" si="617"/>
        <v>11</v>
      </c>
      <c r="Y514" s="18">
        <f>SUM(W514:X514)</f>
        <v>14</v>
      </c>
      <c r="Z514" s="19">
        <f t="shared" si="621"/>
        <v>0.93333333333333335</v>
      </c>
      <c r="AA514" s="19"/>
      <c r="AB514" s="19"/>
      <c r="AC514" s="20"/>
      <c r="AE514" s="111"/>
      <c r="AF514" s="111"/>
      <c r="AG514" s="111"/>
      <c r="AH514" s="112"/>
      <c r="AI514" s="113"/>
      <c r="AK514" s="111"/>
      <c r="AL514" s="111"/>
      <c r="AM514" s="111"/>
      <c r="AN514" s="112"/>
      <c r="AO514" s="113"/>
      <c r="AQ514" s="17"/>
      <c r="AR514" s="17"/>
      <c r="AS514" s="17"/>
      <c r="AT514" s="18">
        <f t="shared" si="618"/>
        <v>3</v>
      </c>
      <c r="AU514" s="19">
        <f t="shared" si="619"/>
        <v>1</v>
      </c>
      <c r="AW514" s="17"/>
      <c r="AX514" s="17"/>
      <c r="AY514" s="17"/>
      <c r="AZ514" s="18">
        <f t="shared" si="620"/>
        <v>11</v>
      </c>
      <c r="BA514" s="19">
        <f t="shared" si="622"/>
        <v>0.91666666666666663</v>
      </c>
    </row>
    <row r="515" spans="1:53" ht="17.100000000000001" customHeight="1" x14ac:dyDescent="0.25">
      <c r="A515" s="175"/>
      <c r="B515" s="40"/>
      <c r="C515" s="163"/>
      <c r="D515" s="134"/>
      <c r="E515" s="134"/>
      <c r="F515" s="134"/>
      <c r="G515" s="134"/>
      <c r="H515" s="540"/>
      <c r="I515" s="12"/>
      <c r="J515" s="80"/>
      <c r="K515" s="80"/>
      <c r="L515" s="81"/>
      <c r="M515" s="81"/>
      <c r="N515" s="81">
        <f>SUM(N511:N514)</f>
        <v>0</v>
      </c>
      <c r="O515" s="81">
        <f t="shared" ref="O515:V515" si="623">SUM(O511:O514)</f>
        <v>8</v>
      </c>
      <c r="P515" s="81">
        <f t="shared" si="623"/>
        <v>8</v>
      </c>
      <c r="Q515" s="81">
        <f t="shared" si="623"/>
        <v>3</v>
      </c>
      <c r="R515" s="81">
        <f t="shared" si="623"/>
        <v>4</v>
      </c>
      <c r="S515" s="81">
        <f t="shared" si="623"/>
        <v>7</v>
      </c>
      <c r="T515" s="81">
        <f t="shared" si="623"/>
        <v>0</v>
      </c>
      <c r="U515" s="81">
        <f t="shared" si="623"/>
        <v>0</v>
      </c>
      <c r="V515" s="81">
        <f t="shared" si="623"/>
        <v>0</v>
      </c>
      <c r="W515" s="381">
        <f>SUM(W511:W514)</f>
        <v>3</v>
      </c>
      <c r="X515" s="82">
        <f t="shared" ref="X515:Y515" si="624">SUM(X511:X514)</f>
        <v>12</v>
      </c>
      <c r="Y515" s="82">
        <f t="shared" si="624"/>
        <v>15</v>
      </c>
      <c r="Z515" s="205">
        <f t="shared" si="621"/>
        <v>1</v>
      </c>
      <c r="AA515" s="205"/>
      <c r="AB515" s="205"/>
      <c r="AC515" s="83"/>
      <c r="AE515" s="80"/>
      <c r="AF515" s="80"/>
      <c r="AG515" s="81"/>
      <c r="AH515" s="82">
        <f>SUM(AH511:AH514)</f>
        <v>0</v>
      </c>
      <c r="AI515" s="66">
        <f t="shared" ref="AI515" si="625">IF(AH$515=0,0,AH515/AH$515)</f>
        <v>0</v>
      </c>
      <c r="AK515" s="80"/>
      <c r="AL515" s="80"/>
      <c r="AM515" s="81"/>
      <c r="AN515" s="82">
        <f>SUM(AN511:AN514)</f>
        <v>0</v>
      </c>
      <c r="AO515" s="66">
        <f t="shared" ref="AO515" si="626">IF(AN$515=0,0,AN515/AN$515)</f>
        <v>0</v>
      </c>
      <c r="AQ515" s="80"/>
      <c r="AR515" s="80"/>
      <c r="AS515" s="81"/>
      <c r="AT515" s="82"/>
      <c r="AU515" s="66"/>
      <c r="AW515" s="80"/>
      <c r="AX515" s="80"/>
      <c r="AY515" s="81"/>
      <c r="AZ515" s="82">
        <f>SUM(AZ511:AZ514)</f>
        <v>12</v>
      </c>
      <c r="BA515" s="66">
        <f t="shared" si="622"/>
        <v>1</v>
      </c>
    </row>
    <row r="516" spans="1:53" s="117" customFormat="1" ht="17.100000000000001" customHeight="1" x14ac:dyDescent="0.25">
      <c r="A516" s="68"/>
      <c r="B516" s="119"/>
      <c r="C516" s="540"/>
      <c r="D516" s="261"/>
      <c r="E516" s="261"/>
      <c r="F516" s="68"/>
      <c r="G516" s="68"/>
      <c r="H516" s="119"/>
      <c r="I516" s="138"/>
      <c r="J516" s="17"/>
      <c r="K516" s="17"/>
      <c r="L516" s="17"/>
      <c r="M516" s="17"/>
      <c r="N516" s="17" t="str">
        <f>IF(N515=N$20,"OK","NOK")</f>
        <v>OK</v>
      </c>
      <c r="O516" s="17" t="str">
        <f>IF(O515=O$20,"OK","NOK")</f>
        <v>OK</v>
      </c>
      <c r="P516" s="17"/>
      <c r="Q516" s="17" t="str">
        <f>IF(Q515=Q$20,"OK","NOK")</f>
        <v>OK</v>
      </c>
      <c r="R516" s="17" t="str">
        <f>IF(R515=R$20,"OK","NOK")</f>
        <v>OK</v>
      </c>
      <c r="S516" s="17"/>
      <c r="T516" s="17" t="str">
        <f>IF(T515=T$20,"OK","NOK")</f>
        <v>OK</v>
      </c>
      <c r="U516" s="17" t="str">
        <f>IF(U515=U$20,"OK","NOK")</f>
        <v>OK</v>
      </c>
      <c r="V516" s="359"/>
      <c r="W516" s="382"/>
      <c r="X516" s="539"/>
      <c r="Y516" s="539"/>
      <c r="Z516" s="201"/>
      <c r="AA516" s="201"/>
      <c r="AB516" s="201"/>
      <c r="AC516" s="84"/>
      <c r="AE516" s="46"/>
      <c r="AF516" s="46"/>
      <c r="AG516" s="17"/>
      <c r="AH516" s="539"/>
      <c r="AI516" s="91"/>
      <c r="AK516" s="46"/>
      <c r="AL516" s="46"/>
      <c r="AM516" s="17"/>
      <c r="AN516" s="539"/>
      <c r="AO516" s="91"/>
      <c r="AQ516" s="46"/>
      <c r="AR516" s="46"/>
      <c r="AS516" s="17"/>
      <c r="AT516" s="539"/>
      <c r="AU516" s="91"/>
      <c r="AW516" s="46"/>
      <c r="AX516" s="46"/>
      <c r="AY516" s="17"/>
      <c r="AZ516" s="539"/>
      <c r="BA516" s="91"/>
    </row>
    <row r="517" spans="1:53" ht="17.100000000000001" customHeight="1" x14ac:dyDescent="0.25">
      <c r="A517" s="68"/>
      <c r="B517" s="41" t="s">
        <v>306</v>
      </c>
      <c r="C517" s="69" t="s">
        <v>486</v>
      </c>
      <c r="D517" s="50"/>
      <c r="E517" s="70"/>
      <c r="F517" s="70"/>
      <c r="G517" s="70"/>
      <c r="H517" s="119"/>
      <c r="J517" s="71"/>
      <c r="K517" s="71"/>
      <c r="L517" s="71"/>
      <c r="M517" s="71"/>
      <c r="N517" s="71"/>
      <c r="O517" s="71"/>
      <c r="P517" s="71"/>
      <c r="Q517" s="71"/>
      <c r="R517" s="71"/>
      <c r="S517" s="71"/>
      <c r="T517" s="71"/>
      <c r="U517" s="71"/>
      <c r="V517" s="355"/>
      <c r="W517" s="377"/>
      <c r="X517" s="71"/>
      <c r="Y517" s="72"/>
      <c r="Z517" s="73"/>
      <c r="AA517" s="73"/>
      <c r="AB517" s="73"/>
      <c r="AC517" s="73"/>
      <c r="AE517" s="71"/>
      <c r="AF517" s="71"/>
      <c r="AG517" s="71"/>
      <c r="AH517" s="72"/>
      <c r="AI517" s="73"/>
      <c r="AK517" s="71"/>
      <c r="AL517" s="71"/>
      <c r="AM517" s="71"/>
      <c r="AN517" s="72"/>
      <c r="AO517" s="73"/>
      <c r="AQ517" s="71"/>
      <c r="AR517" s="71"/>
      <c r="AS517" s="71"/>
      <c r="AT517" s="72"/>
      <c r="AU517" s="73"/>
      <c r="AW517" s="71"/>
      <c r="AX517" s="71"/>
      <c r="AY517" s="71"/>
      <c r="AZ517" s="72"/>
      <c r="BA517" s="73"/>
    </row>
    <row r="518" spans="1:53" ht="17.100000000000001" customHeight="1" x14ac:dyDescent="0.25">
      <c r="A518" s="40"/>
      <c r="B518" s="40"/>
      <c r="C518" s="74" t="s">
        <v>308</v>
      </c>
      <c r="D518" s="85" t="s">
        <v>292</v>
      </c>
      <c r="E518" s="105"/>
      <c r="F518" s="105"/>
      <c r="G518" s="105"/>
      <c r="H518" s="119"/>
      <c r="I518" s="231"/>
      <c r="J518" s="111"/>
      <c r="K518" s="111"/>
      <c r="L518" s="111"/>
      <c r="M518" s="111"/>
      <c r="N518" s="60"/>
      <c r="O518" s="60"/>
      <c r="P518" s="17">
        <f t="shared" ref="P518:P528" si="627">SUM(N518:O518)</f>
        <v>0</v>
      </c>
      <c r="Q518" s="60"/>
      <c r="R518" s="60"/>
      <c r="S518" s="17">
        <f t="shared" ref="S518:S528" si="628">SUM(Q518:R518)</f>
        <v>0</v>
      </c>
      <c r="T518" s="60"/>
      <c r="U518" s="60"/>
      <c r="V518" s="359">
        <f t="shared" ref="V518:V528" si="629">SUM(T518:U518)</f>
        <v>0</v>
      </c>
      <c r="W518" s="391">
        <f t="shared" ref="W518:W528" si="630">J518+K518+N518+Q518+T518</f>
        <v>0</v>
      </c>
      <c r="X518" s="17">
        <f t="shared" ref="X518:X528" si="631">L518+O518+R518+U518</f>
        <v>0</v>
      </c>
      <c r="Y518" s="18">
        <f t="shared" ref="Y518:Y528" si="632">SUM(W518:X518)</f>
        <v>0</v>
      </c>
      <c r="Z518" s="19">
        <f t="shared" ref="Z518:Z528" si="633">IF(Y$533=0,0,Y518/Y$533)</f>
        <v>0</v>
      </c>
      <c r="AA518" s="19"/>
      <c r="AB518" s="19"/>
      <c r="AC518" s="20"/>
      <c r="AE518" s="111"/>
      <c r="AF518" s="111"/>
      <c r="AG518" s="111"/>
      <c r="AH518" s="112"/>
      <c r="AI518" s="113"/>
      <c r="AK518" s="111"/>
      <c r="AL518" s="111"/>
      <c r="AM518" s="111"/>
      <c r="AN518" s="112"/>
      <c r="AO518" s="113"/>
      <c r="AQ518" s="17"/>
      <c r="AR518" s="17"/>
      <c r="AS518" s="17"/>
      <c r="AT518" s="18">
        <f t="shared" ref="AT518:AT528" si="634">W518</f>
        <v>0</v>
      </c>
      <c r="AU518" s="19">
        <f t="shared" ref="AU518:AU526" si="635">IF(AT$533=0,0,AT518/AT$533)</f>
        <v>0</v>
      </c>
      <c r="AW518" s="17"/>
      <c r="AX518" s="17"/>
      <c r="AY518" s="17"/>
      <c r="AZ518" s="18">
        <f t="shared" ref="AZ518:AZ528" si="636">X518</f>
        <v>0</v>
      </c>
      <c r="BA518" s="19">
        <f t="shared" ref="BA518:BA526" si="637">IF(AZ$533=0,0,AZ518/AZ$533)</f>
        <v>0</v>
      </c>
    </row>
    <row r="519" spans="1:53" ht="17.100000000000001" customHeight="1" x14ac:dyDescent="0.25">
      <c r="A519" s="40"/>
      <c r="B519" s="40"/>
      <c r="C519" s="74" t="s">
        <v>309</v>
      </c>
      <c r="D519" s="146" t="s">
        <v>757</v>
      </c>
      <c r="E519" s="105"/>
      <c r="F519" s="105"/>
      <c r="G519" s="105"/>
      <c r="H519" s="119"/>
      <c r="I519" s="231"/>
      <c r="J519" s="111"/>
      <c r="K519" s="111"/>
      <c r="L519" s="111"/>
      <c r="M519" s="111"/>
      <c r="N519" s="61"/>
      <c r="O519" s="61"/>
      <c r="P519" s="17">
        <f t="shared" si="627"/>
        <v>0</v>
      </c>
      <c r="Q519" s="61"/>
      <c r="R519" s="61"/>
      <c r="S519" s="17">
        <f t="shared" si="628"/>
        <v>0</v>
      </c>
      <c r="T519" s="61"/>
      <c r="U519" s="61"/>
      <c r="V519" s="359">
        <f t="shared" si="629"/>
        <v>0</v>
      </c>
      <c r="W519" s="391">
        <f t="shared" si="630"/>
        <v>0</v>
      </c>
      <c r="X519" s="17">
        <f t="shared" si="631"/>
        <v>0</v>
      </c>
      <c r="Y519" s="18">
        <f t="shared" si="632"/>
        <v>0</v>
      </c>
      <c r="Z519" s="19">
        <f t="shared" si="633"/>
        <v>0</v>
      </c>
      <c r="AA519" s="19"/>
      <c r="AB519" s="19"/>
      <c r="AC519" s="20"/>
      <c r="AE519" s="111"/>
      <c r="AF519" s="111"/>
      <c r="AG519" s="111"/>
      <c r="AH519" s="112"/>
      <c r="AI519" s="113"/>
      <c r="AK519" s="111"/>
      <c r="AL519" s="111"/>
      <c r="AM519" s="111"/>
      <c r="AN519" s="112"/>
      <c r="AO519" s="113"/>
      <c r="AQ519" s="17"/>
      <c r="AR519" s="17"/>
      <c r="AS519" s="17"/>
      <c r="AT519" s="18">
        <f t="shared" si="634"/>
        <v>0</v>
      </c>
      <c r="AU519" s="19">
        <f t="shared" si="635"/>
        <v>0</v>
      </c>
      <c r="AW519" s="17"/>
      <c r="AX519" s="17"/>
      <c r="AY519" s="17"/>
      <c r="AZ519" s="18">
        <f t="shared" si="636"/>
        <v>0</v>
      </c>
      <c r="BA519" s="19">
        <f t="shared" si="637"/>
        <v>0</v>
      </c>
    </row>
    <row r="520" spans="1:53" ht="17.100000000000001" customHeight="1" x14ac:dyDescent="0.25">
      <c r="A520" s="40"/>
      <c r="B520" s="40"/>
      <c r="C520" s="74" t="s">
        <v>489</v>
      </c>
      <c r="D520" s="85" t="s">
        <v>300</v>
      </c>
      <c r="E520" s="105"/>
      <c r="F520" s="105"/>
      <c r="G520" s="105"/>
      <c r="H520" s="119"/>
      <c r="I520" s="231"/>
      <c r="J520" s="111"/>
      <c r="K520" s="111"/>
      <c r="L520" s="111"/>
      <c r="M520" s="111"/>
      <c r="N520" s="60"/>
      <c r="O520" s="60">
        <v>1</v>
      </c>
      <c r="P520" s="17">
        <f t="shared" ref="P520:P521" si="638">SUM(N520:O520)</f>
        <v>1</v>
      </c>
      <c r="Q520" s="60"/>
      <c r="R520" s="60"/>
      <c r="S520" s="17">
        <f t="shared" ref="S520:S521" si="639">SUM(Q520:R520)</f>
        <v>0</v>
      </c>
      <c r="T520" s="60"/>
      <c r="U520" s="60"/>
      <c r="V520" s="359">
        <f t="shared" ref="V520:V521" si="640">SUM(T520:U520)</f>
        <v>0</v>
      </c>
      <c r="W520" s="391">
        <f t="shared" si="630"/>
        <v>0</v>
      </c>
      <c r="X520" s="17">
        <f t="shared" si="631"/>
        <v>1</v>
      </c>
      <c r="Y520" s="18">
        <f t="shared" si="632"/>
        <v>1</v>
      </c>
      <c r="Z520" s="19">
        <f t="shared" si="633"/>
        <v>3.4482758620689655E-2</v>
      </c>
      <c r="AA520" s="19"/>
      <c r="AB520" s="19"/>
      <c r="AC520" s="20"/>
      <c r="AE520" s="111"/>
      <c r="AF520" s="111"/>
      <c r="AG520" s="111"/>
      <c r="AH520" s="112"/>
      <c r="AI520" s="113"/>
      <c r="AK520" s="111"/>
      <c r="AL520" s="111"/>
      <c r="AM520" s="111"/>
      <c r="AN520" s="112"/>
      <c r="AO520" s="113"/>
      <c r="AQ520" s="17"/>
      <c r="AR520" s="17"/>
      <c r="AS520" s="17"/>
      <c r="AT520" s="18">
        <f t="shared" si="634"/>
        <v>0</v>
      </c>
      <c r="AU520" s="19">
        <f t="shared" si="635"/>
        <v>0</v>
      </c>
      <c r="AW520" s="17"/>
      <c r="AX520" s="17"/>
      <c r="AY520" s="17"/>
      <c r="AZ520" s="18">
        <f t="shared" si="636"/>
        <v>1</v>
      </c>
      <c r="BA520" s="19">
        <f t="shared" si="637"/>
        <v>0.05</v>
      </c>
    </row>
    <row r="521" spans="1:53" ht="17.100000000000001" customHeight="1" x14ac:dyDescent="0.25">
      <c r="A521" s="40"/>
      <c r="B521" s="40"/>
      <c r="C521" s="74" t="s">
        <v>621</v>
      </c>
      <c r="D521" s="85" t="s">
        <v>670</v>
      </c>
      <c r="E521" s="105"/>
      <c r="F521" s="105"/>
      <c r="G521" s="105"/>
      <c r="H521" s="119"/>
      <c r="I521" s="231"/>
      <c r="J521" s="111"/>
      <c r="K521" s="111"/>
      <c r="L521" s="111"/>
      <c r="M521" s="111"/>
      <c r="N521" s="61"/>
      <c r="O521" s="61"/>
      <c r="P521" s="17">
        <f t="shared" si="638"/>
        <v>0</v>
      </c>
      <c r="Q521" s="61">
        <v>3</v>
      </c>
      <c r="R521" s="61">
        <v>4</v>
      </c>
      <c r="S521" s="17">
        <f t="shared" si="639"/>
        <v>7</v>
      </c>
      <c r="T521" s="61"/>
      <c r="U521" s="61"/>
      <c r="V521" s="359">
        <f t="shared" si="640"/>
        <v>0</v>
      </c>
      <c r="W521" s="391">
        <f t="shared" si="630"/>
        <v>3</v>
      </c>
      <c r="X521" s="17">
        <f t="shared" si="631"/>
        <v>4</v>
      </c>
      <c r="Y521" s="18">
        <f t="shared" si="632"/>
        <v>7</v>
      </c>
      <c r="Z521" s="19">
        <f t="shared" si="633"/>
        <v>0.2413793103448276</v>
      </c>
      <c r="AA521" s="19"/>
      <c r="AB521" s="19"/>
      <c r="AC521" s="20"/>
      <c r="AE521" s="111"/>
      <c r="AF521" s="111"/>
      <c r="AG521" s="111"/>
      <c r="AH521" s="112"/>
      <c r="AI521" s="113"/>
      <c r="AK521" s="111"/>
      <c r="AL521" s="111"/>
      <c r="AM521" s="111"/>
      <c r="AN521" s="112"/>
      <c r="AO521" s="113"/>
      <c r="AQ521" s="17"/>
      <c r="AR521" s="17"/>
      <c r="AS521" s="17"/>
      <c r="AT521" s="18">
        <f t="shared" si="634"/>
        <v>3</v>
      </c>
      <c r="AU521" s="19">
        <f t="shared" si="635"/>
        <v>0.33333333333333331</v>
      </c>
      <c r="AW521" s="17"/>
      <c r="AX521" s="17"/>
      <c r="AY521" s="17"/>
      <c r="AZ521" s="18">
        <f t="shared" si="636"/>
        <v>4</v>
      </c>
      <c r="BA521" s="19">
        <f t="shared" si="637"/>
        <v>0.2</v>
      </c>
    </row>
    <row r="522" spans="1:53" ht="17.100000000000001" customHeight="1" x14ac:dyDescent="0.25">
      <c r="A522" s="40"/>
      <c r="B522" s="40"/>
      <c r="C522" s="74" t="s">
        <v>622</v>
      </c>
      <c r="D522" s="85" t="s">
        <v>671</v>
      </c>
      <c r="E522" s="105"/>
      <c r="F522" s="105"/>
      <c r="G522" s="105"/>
      <c r="H522" s="119"/>
      <c r="I522" s="231"/>
      <c r="J522" s="111"/>
      <c r="K522" s="111"/>
      <c r="L522" s="111"/>
      <c r="M522" s="111"/>
      <c r="N522" s="60"/>
      <c r="O522" s="60"/>
      <c r="P522" s="17">
        <f t="shared" si="627"/>
        <v>0</v>
      </c>
      <c r="Q522" s="60"/>
      <c r="R522" s="60"/>
      <c r="S522" s="17">
        <f t="shared" si="628"/>
        <v>0</v>
      </c>
      <c r="T522" s="60"/>
      <c r="U522" s="60"/>
      <c r="V522" s="359">
        <f t="shared" si="629"/>
        <v>0</v>
      </c>
      <c r="W522" s="391">
        <f t="shared" si="630"/>
        <v>0</v>
      </c>
      <c r="X522" s="17">
        <f t="shared" si="631"/>
        <v>0</v>
      </c>
      <c r="Y522" s="18">
        <f t="shared" si="632"/>
        <v>0</v>
      </c>
      <c r="Z522" s="19">
        <f t="shared" si="633"/>
        <v>0</v>
      </c>
      <c r="AA522" s="19"/>
      <c r="AB522" s="19"/>
      <c r="AC522" s="20"/>
      <c r="AE522" s="111"/>
      <c r="AF522" s="111"/>
      <c r="AG522" s="111"/>
      <c r="AH522" s="112"/>
      <c r="AI522" s="113"/>
      <c r="AK522" s="111"/>
      <c r="AL522" s="111"/>
      <c r="AM522" s="111"/>
      <c r="AN522" s="112"/>
      <c r="AO522" s="113"/>
      <c r="AQ522" s="17"/>
      <c r="AR522" s="17"/>
      <c r="AS522" s="17"/>
      <c r="AT522" s="18">
        <f t="shared" si="634"/>
        <v>0</v>
      </c>
      <c r="AU522" s="19">
        <f t="shared" si="635"/>
        <v>0</v>
      </c>
      <c r="AW522" s="17"/>
      <c r="AX522" s="17"/>
      <c r="AY522" s="17"/>
      <c r="AZ522" s="18">
        <f t="shared" si="636"/>
        <v>0</v>
      </c>
      <c r="BA522" s="19">
        <f t="shared" si="637"/>
        <v>0</v>
      </c>
    </row>
    <row r="523" spans="1:53" ht="17.100000000000001" customHeight="1" x14ac:dyDescent="0.25">
      <c r="A523" s="40"/>
      <c r="B523" s="40"/>
      <c r="C523" s="74" t="s">
        <v>623</v>
      </c>
      <c r="D523" s="85" t="s">
        <v>302</v>
      </c>
      <c r="E523" s="105"/>
      <c r="F523" s="105"/>
      <c r="G523" s="105"/>
      <c r="H523" s="119"/>
      <c r="I523" s="231"/>
      <c r="J523" s="111"/>
      <c r="K523" s="111"/>
      <c r="L523" s="111"/>
      <c r="M523" s="111"/>
      <c r="N523" s="61"/>
      <c r="O523" s="61">
        <v>6</v>
      </c>
      <c r="P523" s="17">
        <f t="shared" si="627"/>
        <v>6</v>
      </c>
      <c r="Q523" s="61"/>
      <c r="R523" s="61"/>
      <c r="S523" s="17">
        <f t="shared" si="628"/>
        <v>0</v>
      </c>
      <c r="T523" s="61"/>
      <c r="U523" s="61"/>
      <c r="V523" s="359">
        <f t="shared" si="629"/>
        <v>0</v>
      </c>
      <c r="W523" s="391">
        <f t="shared" si="630"/>
        <v>0</v>
      </c>
      <c r="X523" s="17">
        <f t="shared" si="631"/>
        <v>6</v>
      </c>
      <c r="Y523" s="18">
        <f t="shared" si="632"/>
        <v>6</v>
      </c>
      <c r="Z523" s="19">
        <f t="shared" si="633"/>
        <v>0.20689655172413793</v>
      </c>
      <c r="AA523" s="19"/>
      <c r="AB523" s="19"/>
      <c r="AC523" s="20"/>
      <c r="AE523" s="111"/>
      <c r="AF523" s="111"/>
      <c r="AG523" s="111"/>
      <c r="AH523" s="112"/>
      <c r="AI523" s="113"/>
      <c r="AK523" s="111"/>
      <c r="AL523" s="111"/>
      <c r="AM523" s="111"/>
      <c r="AN523" s="112"/>
      <c r="AO523" s="113"/>
      <c r="AQ523" s="17"/>
      <c r="AR523" s="17"/>
      <c r="AS523" s="17"/>
      <c r="AT523" s="18">
        <f t="shared" si="634"/>
        <v>0</v>
      </c>
      <c r="AU523" s="19">
        <f t="shared" si="635"/>
        <v>0</v>
      </c>
      <c r="AW523" s="17"/>
      <c r="AX523" s="17"/>
      <c r="AY523" s="17"/>
      <c r="AZ523" s="18">
        <f t="shared" si="636"/>
        <v>6</v>
      </c>
      <c r="BA523" s="19">
        <f t="shared" si="637"/>
        <v>0.3</v>
      </c>
    </row>
    <row r="524" spans="1:53" ht="17.100000000000001" customHeight="1" x14ac:dyDescent="0.25">
      <c r="A524" s="40"/>
      <c r="B524" s="40"/>
      <c r="C524" s="74" t="s">
        <v>624</v>
      </c>
      <c r="D524" s="85" t="s">
        <v>487</v>
      </c>
      <c r="E524" s="75"/>
      <c r="F524" s="75"/>
      <c r="G524" s="75"/>
      <c r="H524" s="540"/>
      <c r="I524" s="229"/>
      <c r="J524" s="111"/>
      <c r="K524" s="111"/>
      <c r="L524" s="111"/>
      <c r="M524" s="111"/>
      <c r="N524" s="60"/>
      <c r="O524" s="60">
        <v>1</v>
      </c>
      <c r="P524" s="17">
        <f t="shared" si="627"/>
        <v>1</v>
      </c>
      <c r="Q524" s="60"/>
      <c r="R524" s="60"/>
      <c r="S524" s="17">
        <f t="shared" si="628"/>
        <v>0</v>
      </c>
      <c r="T524" s="60"/>
      <c r="U524" s="60"/>
      <c r="V524" s="359">
        <f t="shared" si="629"/>
        <v>0</v>
      </c>
      <c r="W524" s="391">
        <f t="shared" si="630"/>
        <v>0</v>
      </c>
      <c r="X524" s="17">
        <f t="shared" si="631"/>
        <v>1</v>
      </c>
      <c r="Y524" s="18">
        <f t="shared" si="632"/>
        <v>1</v>
      </c>
      <c r="Z524" s="19">
        <f t="shared" si="633"/>
        <v>3.4482758620689655E-2</v>
      </c>
      <c r="AA524" s="19"/>
      <c r="AB524" s="19"/>
      <c r="AC524" s="20"/>
      <c r="AE524" s="111"/>
      <c r="AF524" s="111"/>
      <c r="AG524" s="111"/>
      <c r="AH524" s="112"/>
      <c r="AI524" s="113"/>
      <c r="AK524" s="111"/>
      <c r="AL524" s="111"/>
      <c r="AM524" s="111"/>
      <c r="AN524" s="112"/>
      <c r="AO524" s="113"/>
      <c r="AQ524" s="17"/>
      <c r="AR524" s="17"/>
      <c r="AS524" s="17"/>
      <c r="AT524" s="18">
        <f t="shared" si="634"/>
        <v>0</v>
      </c>
      <c r="AU524" s="19">
        <f t="shared" si="635"/>
        <v>0</v>
      </c>
      <c r="AW524" s="17"/>
      <c r="AX524" s="17"/>
      <c r="AY524" s="17"/>
      <c r="AZ524" s="18">
        <f t="shared" si="636"/>
        <v>1</v>
      </c>
      <c r="BA524" s="19">
        <f t="shared" si="637"/>
        <v>0.05</v>
      </c>
    </row>
    <row r="525" spans="1:53" ht="17.100000000000001" customHeight="1" x14ac:dyDescent="0.25">
      <c r="A525" s="40"/>
      <c r="B525" s="40"/>
      <c r="C525" s="74" t="s">
        <v>625</v>
      </c>
      <c r="D525" s="85" t="s">
        <v>488</v>
      </c>
      <c r="E525" s="542"/>
      <c r="F525" s="105"/>
      <c r="G525" s="105"/>
      <c r="H525" s="119"/>
      <c r="I525" s="231"/>
      <c r="J525" s="111"/>
      <c r="K525" s="111"/>
      <c r="L525" s="111"/>
      <c r="M525" s="111"/>
      <c r="N525" s="61"/>
      <c r="O525" s="61"/>
      <c r="P525" s="17">
        <f t="shared" si="627"/>
        <v>0</v>
      </c>
      <c r="Q525" s="61"/>
      <c r="R525" s="61"/>
      <c r="S525" s="17">
        <f t="shared" si="628"/>
        <v>0</v>
      </c>
      <c r="T525" s="61"/>
      <c r="U525" s="61"/>
      <c r="V525" s="359">
        <f t="shared" si="629"/>
        <v>0</v>
      </c>
      <c r="W525" s="391">
        <f t="shared" si="630"/>
        <v>0</v>
      </c>
      <c r="X525" s="17">
        <f t="shared" si="631"/>
        <v>0</v>
      </c>
      <c r="Y525" s="18">
        <f t="shared" si="632"/>
        <v>0</v>
      </c>
      <c r="Z525" s="19">
        <f t="shared" si="633"/>
        <v>0</v>
      </c>
      <c r="AA525" s="19"/>
      <c r="AB525" s="19"/>
      <c r="AC525" s="20"/>
      <c r="AE525" s="111"/>
      <c r="AF525" s="111"/>
      <c r="AG525" s="111"/>
      <c r="AH525" s="112"/>
      <c r="AI525" s="113"/>
      <c r="AK525" s="111"/>
      <c r="AL525" s="111"/>
      <c r="AM525" s="111"/>
      <c r="AN525" s="112"/>
      <c r="AO525" s="113"/>
      <c r="AQ525" s="17"/>
      <c r="AR525" s="17"/>
      <c r="AS525" s="17"/>
      <c r="AT525" s="18">
        <f t="shared" si="634"/>
        <v>0</v>
      </c>
      <c r="AU525" s="19">
        <f t="shared" si="635"/>
        <v>0</v>
      </c>
      <c r="AW525" s="17"/>
      <c r="AX525" s="17"/>
      <c r="AY525" s="17"/>
      <c r="AZ525" s="18">
        <f t="shared" si="636"/>
        <v>0</v>
      </c>
      <c r="BA525" s="19">
        <f t="shared" si="637"/>
        <v>0</v>
      </c>
    </row>
    <row r="526" spans="1:53" ht="17.100000000000001" customHeight="1" x14ac:dyDescent="0.25">
      <c r="A526" s="40"/>
      <c r="B526" s="40"/>
      <c r="C526" s="74" t="s">
        <v>668</v>
      </c>
      <c r="D526" s="85" t="s">
        <v>304</v>
      </c>
      <c r="E526" s="542"/>
      <c r="F526" s="105"/>
      <c r="G526" s="105"/>
      <c r="H526" s="119"/>
      <c r="I526" s="231"/>
      <c r="J526" s="111"/>
      <c r="K526" s="111"/>
      <c r="L526" s="111"/>
      <c r="M526" s="111"/>
      <c r="N526" s="60"/>
      <c r="O526" s="60"/>
      <c r="P526" s="17">
        <f t="shared" si="627"/>
        <v>0</v>
      </c>
      <c r="Q526" s="60"/>
      <c r="R526" s="60"/>
      <c r="S526" s="17">
        <f t="shared" si="628"/>
        <v>0</v>
      </c>
      <c r="T526" s="60"/>
      <c r="U526" s="60"/>
      <c r="V526" s="359">
        <f t="shared" si="629"/>
        <v>0</v>
      </c>
      <c r="W526" s="391">
        <f t="shared" si="630"/>
        <v>0</v>
      </c>
      <c r="X526" s="17">
        <f t="shared" si="631"/>
        <v>0</v>
      </c>
      <c r="Y526" s="18">
        <f t="shared" si="632"/>
        <v>0</v>
      </c>
      <c r="Z526" s="19">
        <f t="shared" si="633"/>
        <v>0</v>
      </c>
      <c r="AA526" s="19"/>
      <c r="AB526" s="19"/>
      <c r="AC526" s="20"/>
      <c r="AE526" s="111"/>
      <c r="AF526" s="111"/>
      <c r="AG526" s="111"/>
      <c r="AH526" s="112"/>
      <c r="AI526" s="113"/>
      <c r="AK526" s="111"/>
      <c r="AL526" s="111"/>
      <c r="AM526" s="111"/>
      <c r="AN526" s="112"/>
      <c r="AO526" s="113"/>
      <c r="AQ526" s="17"/>
      <c r="AR526" s="17"/>
      <c r="AS526" s="17"/>
      <c r="AT526" s="18">
        <f t="shared" si="634"/>
        <v>0</v>
      </c>
      <c r="AU526" s="19">
        <f t="shared" si="635"/>
        <v>0</v>
      </c>
      <c r="AW526" s="17"/>
      <c r="AX526" s="17"/>
      <c r="AY526" s="17"/>
      <c r="AZ526" s="18">
        <f t="shared" si="636"/>
        <v>0</v>
      </c>
      <c r="BA526" s="19">
        <f t="shared" si="637"/>
        <v>0</v>
      </c>
    </row>
    <row r="527" spans="1:53" ht="17.100000000000001" customHeight="1" x14ac:dyDescent="0.25">
      <c r="A527" s="40"/>
      <c r="B527" s="40"/>
      <c r="C527" s="74" t="s">
        <v>669</v>
      </c>
      <c r="D527" s="85" t="s">
        <v>758</v>
      </c>
      <c r="E527" s="542"/>
      <c r="F527" s="105"/>
      <c r="G527" s="105"/>
      <c r="H527" s="119"/>
      <c r="I527" s="231"/>
      <c r="J527" s="111"/>
      <c r="K527" s="111"/>
      <c r="L527" s="111"/>
      <c r="M527" s="111"/>
      <c r="N527" s="61"/>
      <c r="O527" s="61"/>
      <c r="P527" s="17">
        <f t="shared" ref="P527" si="641">SUM(N527:O527)</f>
        <v>0</v>
      </c>
      <c r="Q527" s="61"/>
      <c r="R527" s="61"/>
      <c r="S527" s="17">
        <f t="shared" ref="S527" si="642">SUM(Q527:R527)</f>
        <v>0</v>
      </c>
      <c r="T527" s="61"/>
      <c r="U527" s="61"/>
      <c r="V527" s="359">
        <f t="shared" ref="V527" si="643">SUM(T527:U527)</f>
        <v>0</v>
      </c>
      <c r="W527" s="391">
        <f t="shared" si="630"/>
        <v>0</v>
      </c>
      <c r="X527" s="17">
        <f t="shared" si="631"/>
        <v>0</v>
      </c>
      <c r="Y527" s="18">
        <f t="shared" si="632"/>
        <v>0</v>
      </c>
      <c r="Z527" s="19">
        <f t="shared" si="633"/>
        <v>0</v>
      </c>
      <c r="AA527" s="19"/>
      <c r="AB527" s="19"/>
      <c r="AC527" s="20"/>
      <c r="AE527" s="111"/>
      <c r="AF527" s="111"/>
      <c r="AG527" s="111"/>
      <c r="AH527" s="112"/>
      <c r="AI527" s="113"/>
      <c r="AK527" s="111"/>
      <c r="AL527" s="111"/>
      <c r="AM527" s="111"/>
      <c r="AN527" s="112"/>
      <c r="AO527" s="113"/>
      <c r="AQ527" s="17"/>
      <c r="AR527" s="17"/>
      <c r="AS527" s="17"/>
      <c r="AT527" s="18"/>
      <c r="AU527" s="19"/>
      <c r="AW527" s="17"/>
      <c r="AX527" s="17"/>
      <c r="AY527" s="17"/>
      <c r="AZ527" s="18"/>
      <c r="BA527" s="19"/>
    </row>
    <row r="528" spans="1:53" ht="17.100000000000001" customHeight="1" x14ac:dyDescent="0.25">
      <c r="A528" s="40"/>
      <c r="B528" s="40"/>
      <c r="C528" s="74" t="s">
        <v>756</v>
      </c>
      <c r="D528" s="85" t="s">
        <v>305</v>
      </c>
      <c r="E528" s="542"/>
      <c r="F528" s="105"/>
      <c r="G528" s="105"/>
      <c r="H528" s="119"/>
      <c r="I528" s="231"/>
      <c r="J528" s="111"/>
      <c r="K528" s="111"/>
      <c r="L528" s="111"/>
      <c r="M528" s="111"/>
      <c r="N528" s="111">
        <f t="shared" ref="N528:U528" si="644">SUM(N529:N532)</f>
        <v>0</v>
      </c>
      <c r="O528" s="111">
        <f t="shared" si="644"/>
        <v>0</v>
      </c>
      <c r="P528" s="111">
        <f t="shared" si="627"/>
        <v>0</v>
      </c>
      <c r="Q528" s="111">
        <f t="shared" si="644"/>
        <v>6</v>
      </c>
      <c r="R528" s="111">
        <f t="shared" si="644"/>
        <v>8</v>
      </c>
      <c r="S528" s="111">
        <f t="shared" si="628"/>
        <v>14</v>
      </c>
      <c r="T528" s="111">
        <f t="shared" si="644"/>
        <v>0</v>
      </c>
      <c r="U528" s="111">
        <f t="shared" si="644"/>
        <v>0</v>
      </c>
      <c r="V528" s="358">
        <f t="shared" si="629"/>
        <v>0</v>
      </c>
      <c r="W528" s="380">
        <f t="shared" si="630"/>
        <v>6</v>
      </c>
      <c r="X528" s="111">
        <f t="shared" si="631"/>
        <v>8</v>
      </c>
      <c r="Y528" s="545">
        <f t="shared" si="632"/>
        <v>14</v>
      </c>
      <c r="Z528" s="131">
        <f t="shared" si="633"/>
        <v>0.48275862068965519</v>
      </c>
      <c r="AA528" s="131"/>
      <c r="AB528" s="131"/>
      <c r="AC528" s="113"/>
      <c r="AE528" s="111"/>
      <c r="AF528" s="111"/>
      <c r="AG528" s="111"/>
      <c r="AH528" s="112"/>
      <c r="AI528" s="113"/>
      <c r="AK528" s="111"/>
      <c r="AL528" s="111"/>
      <c r="AM528" s="111"/>
      <c r="AN528" s="112"/>
      <c r="AO528" s="113"/>
      <c r="AQ528" s="111"/>
      <c r="AR528" s="111"/>
      <c r="AS528" s="111"/>
      <c r="AT528" s="545">
        <f t="shared" si="634"/>
        <v>6</v>
      </c>
      <c r="AU528" s="131">
        <f>IF(AT$533=0,0,AT528/AT$533)</f>
        <v>0.66666666666666663</v>
      </c>
      <c r="AW528" s="111"/>
      <c r="AX528" s="111"/>
      <c r="AY528" s="111"/>
      <c r="AZ528" s="545">
        <f t="shared" si="636"/>
        <v>8</v>
      </c>
      <c r="BA528" s="131">
        <f>IF(AZ$533=0,0,AZ528/AZ$533)</f>
        <v>0.4</v>
      </c>
    </row>
    <row r="529" spans="1:53" ht="17.100000000000001" customHeight="1" x14ac:dyDescent="0.25">
      <c r="A529" s="40"/>
      <c r="B529" s="40"/>
      <c r="C529" s="74"/>
      <c r="D529" s="168" t="s">
        <v>1410</v>
      </c>
      <c r="E529" s="169"/>
      <c r="F529" s="169"/>
      <c r="G529" s="169"/>
      <c r="H529" s="17"/>
      <c r="I529" s="594"/>
      <c r="J529" s="111"/>
      <c r="K529" s="111"/>
      <c r="L529" s="111"/>
      <c r="M529" s="111"/>
      <c r="N529" s="60"/>
      <c r="O529" s="60"/>
      <c r="P529" s="17"/>
      <c r="Q529" s="60">
        <v>3</v>
      </c>
      <c r="R529" s="60">
        <v>4</v>
      </c>
      <c r="S529" s="17"/>
      <c r="T529" s="60"/>
      <c r="U529" s="60"/>
      <c r="V529" s="359"/>
      <c r="W529" s="391"/>
      <c r="X529" s="17"/>
      <c r="Y529" s="86"/>
      <c r="Z529" s="20"/>
      <c r="AA529" s="20"/>
      <c r="AB529" s="20"/>
      <c r="AC529" s="20"/>
      <c r="AE529" s="17"/>
      <c r="AF529" s="17"/>
      <c r="AG529" s="17"/>
      <c r="AH529" s="86"/>
      <c r="AI529" s="20"/>
      <c r="AK529" s="17"/>
      <c r="AL529" s="17"/>
      <c r="AM529" s="17"/>
      <c r="AN529" s="86"/>
      <c r="AO529" s="20"/>
      <c r="AQ529" s="17"/>
      <c r="AR529" s="17"/>
      <c r="AS529" s="17"/>
      <c r="AT529" s="86"/>
      <c r="AU529" s="20"/>
      <c r="AW529" s="17"/>
      <c r="AX529" s="17"/>
      <c r="AY529" s="17"/>
      <c r="AZ529" s="86"/>
      <c r="BA529" s="20"/>
    </row>
    <row r="530" spans="1:53" ht="17.100000000000001" customHeight="1" x14ac:dyDescent="0.25">
      <c r="A530" s="40"/>
      <c r="B530" s="40"/>
      <c r="C530" s="74"/>
      <c r="D530" s="170" t="s">
        <v>1822</v>
      </c>
      <c r="E530" s="171"/>
      <c r="F530" s="171"/>
      <c r="G530" s="171"/>
      <c r="H530" s="17"/>
      <c r="I530" s="594"/>
      <c r="J530" s="111"/>
      <c r="K530" s="111"/>
      <c r="L530" s="111"/>
      <c r="M530" s="111"/>
      <c r="N530" s="61"/>
      <c r="O530" s="61"/>
      <c r="P530" s="17"/>
      <c r="Q530" s="61">
        <v>3</v>
      </c>
      <c r="R530" s="61">
        <v>4</v>
      </c>
      <c r="S530" s="17"/>
      <c r="T530" s="61"/>
      <c r="U530" s="61"/>
      <c r="V530" s="359"/>
      <c r="W530" s="391"/>
      <c r="X530" s="17"/>
      <c r="Y530" s="86"/>
      <c r="Z530" s="20"/>
      <c r="AA530" s="20"/>
      <c r="AB530" s="20"/>
      <c r="AC530" s="20"/>
      <c r="AE530" s="17"/>
      <c r="AF530" s="17"/>
      <c r="AG530" s="17"/>
      <c r="AH530" s="86"/>
      <c r="AI530" s="20"/>
      <c r="AK530" s="17"/>
      <c r="AL530" s="17"/>
      <c r="AM530" s="17"/>
      <c r="AN530" s="86"/>
      <c r="AO530" s="20"/>
      <c r="AQ530" s="17"/>
      <c r="AR530" s="17"/>
      <c r="AS530" s="17"/>
      <c r="AT530" s="86"/>
      <c r="AU530" s="20"/>
      <c r="AW530" s="17"/>
      <c r="AX530" s="17"/>
      <c r="AY530" s="17"/>
      <c r="AZ530" s="86"/>
      <c r="BA530" s="20"/>
    </row>
    <row r="531" spans="1:53" ht="17.100000000000001" customHeight="1" x14ac:dyDescent="0.25">
      <c r="A531" s="40"/>
      <c r="B531" s="40"/>
      <c r="C531" s="74"/>
      <c r="D531" s="168"/>
      <c r="E531" s="169"/>
      <c r="F531" s="169"/>
      <c r="G531" s="169"/>
      <c r="H531" s="17"/>
      <c r="I531" s="594"/>
      <c r="J531" s="111"/>
      <c r="K531" s="111"/>
      <c r="L531" s="111"/>
      <c r="M531" s="111"/>
      <c r="N531" s="60"/>
      <c r="O531" s="60"/>
      <c r="P531" s="17"/>
      <c r="Q531" s="60"/>
      <c r="R531" s="60"/>
      <c r="S531" s="17"/>
      <c r="T531" s="60"/>
      <c r="U531" s="60"/>
      <c r="V531" s="359"/>
      <c r="W531" s="391"/>
      <c r="X531" s="17"/>
      <c r="Y531" s="86"/>
      <c r="Z531" s="20"/>
      <c r="AA531" s="20"/>
      <c r="AB531" s="20"/>
      <c r="AC531" s="20"/>
      <c r="AE531" s="17"/>
      <c r="AF531" s="17"/>
      <c r="AG531" s="17"/>
      <c r="AH531" s="86"/>
      <c r="AI531" s="20"/>
      <c r="AK531" s="17"/>
      <c r="AL531" s="17"/>
      <c r="AM531" s="17"/>
      <c r="AN531" s="86"/>
      <c r="AO531" s="20"/>
      <c r="AQ531" s="17"/>
      <c r="AR531" s="17"/>
      <c r="AS531" s="17"/>
      <c r="AT531" s="86"/>
      <c r="AU531" s="20"/>
      <c r="AW531" s="17"/>
      <c r="AX531" s="17"/>
      <c r="AY531" s="17"/>
      <c r="AZ531" s="86"/>
      <c r="BA531" s="20"/>
    </row>
    <row r="532" spans="1:53" ht="17.100000000000001" customHeight="1" x14ac:dyDescent="0.25">
      <c r="A532" s="40"/>
      <c r="B532" s="40"/>
      <c r="C532" s="74"/>
      <c r="D532" s="170"/>
      <c r="E532" s="171"/>
      <c r="F532" s="171"/>
      <c r="G532" s="171"/>
      <c r="H532" s="17"/>
      <c r="I532" s="594"/>
      <c r="J532" s="111"/>
      <c r="K532" s="111"/>
      <c r="L532" s="111"/>
      <c r="M532" s="111"/>
      <c r="N532" s="61"/>
      <c r="O532" s="61"/>
      <c r="P532" s="17"/>
      <c r="Q532" s="61"/>
      <c r="R532" s="61"/>
      <c r="S532" s="17"/>
      <c r="T532" s="61"/>
      <c r="U532" s="61"/>
      <c r="V532" s="359"/>
      <c r="W532" s="391"/>
      <c r="X532" s="17"/>
      <c r="Y532" s="86"/>
      <c r="Z532" s="20"/>
      <c r="AA532" s="20"/>
      <c r="AB532" s="20"/>
      <c r="AC532" s="20"/>
      <c r="AE532" s="17"/>
      <c r="AF532" s="17"/>
      <c r="AG532" s="17"/>
      <c r="AH532" s="86"/>
      <c r="AI532" s="20"/>
      <c r="AK532" s="17"/>
      <c r="AL532" s="17"/>
      <c r="AM532" s="17"/>
      <c r="AN532" s="86"/>
      <c r="AO532" s="20"/>
      <c r="AQ532" s="17"/>
      <c r="AR532" s="17"/>
      <c r="AS532" s="17"/>
      <c r="AT532" s="86"/>
      <c r="AU532" s="20"/>
      <c r="AW532" s="17"/>
      <c r="AX532" s="17"/>
      <c r="AY532" s="17"/>
      <c r="AZ532" s="86"/>
      <c r="BA532" s="20"/>
    </row>
    <row r="533" spans="1:53" ht="17.100000000000001" customHeight="1" x14ac:dyDescent="0.25">
      <c r="A533" s="40"/>
      <c r="B533" s="40"/>
      <c r="C533" s="77"/>
      <c r="D533" s="134"/>
      <c r="E533" s="134"/>
      <c r="F533" s="134"/>
      <c r="G533" s="134"/>
      <c r="H533" s="540"/>
      <c r="I533" s="229"/>
      <c r="J533" s="80"/>
      <c r="K533" s="80"/>
      <c r="L533" s="81"/>
      <c r="M533" s="81"/>
      <c r="N533" s="81">
        <f>SUM(N518:N528)</f>
        <v>0</v>
      </c>
      <c r="O533" s="81">
        <f t="shared" ref="O533:V533" si="645">SUM(O518:O528)</f>
        <v>8</v>
      </c>
      <c r="P533" s="82">
        <f t="shared" si="645"/>
        <v>8</v>
      </c>
      <c r="Q533" s="81">
        <f>SUM(Q518:Q528)</f>
        <v>9</v>
      </c>
      <c r="R533" s="81">
        <f t="shared" si="645"/>
        <v>12</v>
      </c>
      <c r="S533" s="82">
        <f t="shared" si="645"/>
        <v>21</v>
      </c>
      <c r="T533" s="81">
        <f>SUM(T518:T528)</f>
        <v>0</v>
      </c>
      <c r="U533" s="81">
        <f t="shared" si="645"/>
        <v>0</v>
      </c>
      <c r="V533" s="360">
        <f t="shared" si="645"/>
        <v>0</v>
      </c>
      <c r="W533" s="381">
        <f>SUM(W518:W528)</f>
        <v>9</v>
      </c>
      <c r="X533" s="82">
        <f t="shared" ref="X533:Y533" si="646">SUM(X518:X528)</f>
        <v>20</v>
      </c>
      <c r="Y533" s="82">
        <f t="shared" si="646"/>
        <v>29</v>
      </c>
      <c r="Z533" s="205">
        <f t="shared" ref="Z533" si="647">IF(Y$533=0,0,Y533/Y$533)</f>
        <v>1</v>
      </c>
      <c r="AA533" s="205"/>
      <c r="AB533" s="205"/>
      <c r="AC533" s="83"/>
      <c r="AE533" s="80"/>
      <c r="AF533" s="80"/>
      <c r="AG533" s="81"/>
      <c r="AH533" s="82"/>
      <c r="AI533" s="66"/>
      <c r="AK533" s="80"/>
      <c r="AL533" s="80"/>
      <c r="AM533" s="81"/>
      <c r="AN533" s="82"/>
      <c r="AO533" s="66"/>
      <c r="AQ533" s="80"/>
      <c r="AR533" s="80"/>
      <c r="AS533" s="81"/>
      <c r="AT533" s="82">
        <f>SUM(AT518:AT528)</f>
        <v>9</v>
      </c>
      <c r="AU533" s="66">
        <f>IF(AT$533=0,0,AT533/AT$533)</f>
        <v>1</v>
      </c>
      <c r="AW533" s="80"/>
      <c r="AX533" s="80"/>
      <c r="AY533" s="81"/>
      <c r="AZ533" s="82">
        <f>SUM(AZ518:AZ528)</f>
        <v>20</v>
      </c>
      <c r="BA533" s="66">
        <f>IF(AZ$533=0,0,AZ533/AZ$533)</f>
        <v>1</v>
      </c>
    </row>
    <row r="534" spans="1:53" ht="17.100000000000001" customHeight="1" x14ac:dyDescent="0.25">
      <c r="A534" s="68"/>
      <c r="B534" s="41" t="s">
        <v>310</v>
      </c>
      <c r="C534" s="49" t="s">
        <v>307</v>
      </c>
      <c r="D534" s="50"/>
      <c r="E534" s="70"/>
      <c r="F534" s="70"/>
      <c r="G534" s="70"/>
      <c r="H534" s="119"/>
      <c r="J534" s="71"/>
      <c r="K534" s="71"/>
      <c r="L534" s="71"/>
      <c r="M534" s="71"/>
      <c r="N534" s="71"/>
      <c r="O534" s="71"/>
      <c r="P534" s="71"/>
      <c r="Q534" s="71"/>
      <c r="R534" s="71"/>
      <c r="S534" s="71"/>
      <c r="T534" s="71"/>
      <c r="U534" s="71"/>
      <c r="V534" s="355"/>
      <c r="W534" s="377"/>
      <c r="X534" s="71"/>
      <c r="Y534" s="72"/>
      <c r="Z534" s="73"/>
      <c r="AA534" s="73"/>
      <c r="AB534" s="73"/>
      <c r="AC534" s="73"/>
      <c r="AE534" s="71"/>
      <c r="AF534" s="71"/>
      <c r="AG534" s="71"/>
      <c r="AH534" s="72"/>
      <c r="AI534" s="73"/>
      <c r="AK534" s="71"/>
      <c r="AL534" s="71"/>
      <c r="AM534" s="71"/>
      <c r="AN534" s="72"/>
      <c r="AO534" s="73"/>
      <c r="AQ534" s="71"/>
      <c r="AR534" s="71"/>
      <c r="AS534" s="71"/>
      <c r="AT534" s="72"/>
      <c r="AU534" s="73"/>
      <c r="AW534" s="71"/>
      <c r="AX534" s="71"/>
      <c r="AY534" s="71"/>
      <c r="AZ534" s="72"/>
      <c r="BA534" s="73"/>
    </row>
    <row r="535" spans="1:53" ht="17.100000000000001" customHeight="1" x14ac:dyDescent="0.25">
      <c r="A535" s="119"/>
      <c r="B535" s="119"/>
      <c r="C535" s="56" t="s">
        <v>311</v>
      </c>
      <c r="D535" s="146" t="s">
        <v>9</v>
      </c>
      <c r="E535" s="105"/>
      <c r="F535" s="105"/>
      <c r="G535" s="105"/>
      <c r="H535" s="119"/>
      <c r="I535" s="231"/>
      <c r="J535" s="111"/>
      <c r="K535" s="111"/>
      <c r="L535" s="111"/>
      <c r="M535" s="111"/>
      <c r="N535" s="60"/>
      <c r="O535" s="60">
        <v>8</v>
      </c>
      <c r="P535" s="17">
        <f t="shared" ref="P535:P537" si="648">SUM(N535:O535)</f>
        <v>8</v>
      </c>
      <c r="Q535" s="60">
        <v>3</v>
      </c>
      <c r="R535" s="60">
        <v>3</v>
      </c>
      <c r="S535" s="17">
        <f t="shared" ref="S535:S537" si="649">SUM(Q535:R535)</f>
        <v>6</v>
      </c>
      <c r="T535" s="60"/>
      <c r="U535" s="60"/>
      <c r="V535" s="359">
        <f t="shared" ref="V535:V537" si="650">SUM(T535:U535)</f>
        <v>0</v>
      </c>
      <c r="W535" s="391">
        <f t="shared" ref="W535:W537" si="651">J535+K535+N535+Q535+T535</f>
        <v>3</v>
      </c>
      <c r="X535" s="17">
        <f t="shared" ref="X535:X537" si="652">L535+O535+R535+U535</f>
        <v>11</v>
      </c>
      <c r="Y535" s="18">
        <f>SUM(W535:X535)</f>
        <v>14</v>
      </c>
      <c r="Z535" s="19">
        <f>IF(Y$538=0,0,Y535/Y$538)</f>
        <v>0.93333333333333335</v>
      </c>
      <c r="AA535" s="19"/>
      <c r="AB535" s="19"/>
      <c r="AC535" s="20"/>
      <c r="AE535" s="111"/>
      <c r="AF535" s="111"/>
      <c r="AG535" s="111"/>
      <c r="AH535" s="112"/>
      <c r="AI535" s="113"/>
      <c r="AK535" s="111"/>
      <c r="AL535" s="111"/>
      <c r="AM535" s="111"/>
      <c r="AN535" s="112"/>
      <c r="AO535" s="113"/>
      <c r="AQ535" s="17"/>
      <c r="AR535" s="17"/>
      <c r="AS535" s="17"/>
      <c r="AT535" s="18">
        <f t="shared" ref="AT535:AT537" si="653">W535</f>
        <v>3</v>
      </c>
      <c r="AU535" s="19">
        <f>IF(AT$538=0,0,AT535/AT$538)</f>
        <v>1</v>
      </c>
      <c r="AW535" s="17"/>
      <c r="AX535" s="17"/>
      <c r="AY535" s="17"/>
      <c r="AZ535" s="18">
        <f t="shared" ref="AZ535:AZ537" si="654">X535</f>
        <v>11</v>
      </c>
      <c r="BA535" s="19">
        <f>IF(AZ$538=0,0,AZ535/AZ$538)</f>
        <v>0.91666666666666663</v>
      </c>
    </row>
    <row r="536" spans="1:53" ht="17.100000000000001" customHeight="1" x14ac:dyDescent="0.25">
      <c r="A536" s="119"/>
      <c r="B536" s="119"/>
      <c r="C536" s="56" t="s">
        <v>312</v>
      </c>
      <c r="D536" s="146" t="s">
        <v>11</v>
      </c>
      <c r="E536" s="105"/>
      <c r="F536" s="105"/>
      <c r="G536" s="105"/>
      <c r="H536" s="119"/>
      <c r="I536" s="231"/>
      <c r="J536" s="111"/>
      <c r="K536" s="111"/>
      <c r="L536" s="111"/>
      <c r="M536" s="111"/>
      <c r="N536" s="61"/>
      <c r="O536" s="61"/>
      <c r="P536" s="17">
        <f t="shared" si="648"/>
        <v>0</v>
      </c>
      <c r="Q536" s="61"/>
      <c r="R536" s="61">
        <v>1</v>
      </c>
      <c r="S536" s="17">
        <f t="shared" si="649"/>
        <v>1</v>
      </c>
      <c r="T536" s="61"/>
      <c r="U536" s="61"/>
      <c r="V536" s="359">
        <f t="shared" si="650"/>
        <v>0</v>
      </c>
      <c r="W536" s="391">
        <f t="shared" si="651"/>
        <v>0</v>
      </c>
      <c r="X536" s="17">
        <f t="shared" si="652"/>
        <v>1</v>
      </c>
      <c r="Y536" s="18">
        <f>SUM(W536:X536)</f>
        <v>1</v>
      </c>
      <c r="Z536" s="19">
        <f t="shared" ref="Z536:Z538" si="655">IF(Y$538=0,0,Y536/Y$538)</f>
        <v>6.6666666666666666E-2</v>
      </c>
      <c r="AA536" s="19"/>
      <c r="AB536" s="19"/>
      <c r="AC536" s="20"/>
      <c r="AE536" s="111"/>
      <c r="AF536" s="111"/>
      <c r="AG536" s="111"/>
      <c r="AH536" s="112"/>
      <c r="AI536" s="113"/>
      <c r="AK536" s="111"/>
      <c r="AL536" s="111"/>
      <c r="AM536" s="111"/>
      <c r="AN536" s="112"/>
      <c r="AO536" s="113"/>
      <c r="AQ536" s="17"/>
      <c r="AR536" s="17"/>
      <c r="AS536" s="17"/>
      <c r="AT536" s="18">
        <f t="shared" si="653"/>
        <v>0</v>
      </c>
      <c r="AU536" s="19">
        <f t="shared" ref="AU536:AU538" si="656">IF(AT$538=0,0,AT536/AT$538)</f>
        <v>0</v>
      </c>
      <c r="AW536" s="17"/>
      <c r="AX536" s="17"/>
      <c r="AY536" s="17"/>
      <c r="AZ536" s="18">
        <f t="shared" si="654"/>
        <v>1</v>
      </c>
      <c r="BA536" s="19">
        <f t="shared" ref="BA536:BA538" si="657">IF(AZ$538=0,0,AZ536/AZ$538)</f>
        <v>8.3333333333333329E-2</v>
      </c>
    </row>
    <row r="537" spans="1:53" ht="17.100000000000001" customHeight="1" x14ac:dyDescent="0.25">
      <c r="A537" s="119"/>
      <c r="B537" s="119"/>
      <c r="C537" s="56" t="s">
        <v>490</v>
      </c>
      <c r="D537" s="146" t="s">
        <v>617</v>
      </c>
      <c r="E537" s="105"/>
      <c r="F537" s="105"/>
      <c r="G537" s="105"/>
      <c r="H537" s="119"/>
      <c r="I537" s="231"/>
      <c r="J537" s="111"/>
      <c r="K537" s="111"/>
      <c r="L537" s="111"/>
      <c r="M537" s="111"/>
      <c r="N537" s="60"/>
      <c r="O537" s="60"/>
      <c r="P537" s="17">
        <f t="shared" si="648"/>
        <v>0</v>
      </c>
      <c r="Q537" s="60"/>
      <c r="R537" s="60"/>
      <c r="S537" s="17">
        <f t="shared" si="649"/>
        <v>0</v>
      </c>
      <c r="T537" s="60"/>
      <c r="U537" s="60"/>
      <c r="V537" s="359">
        <f t="shared" si="650"/>
        <v>0</v>
      </c>
      <c r="W537" s="391">
        <f t="shared" si="651"/>
        <v>0</v>
      </c>
      <c r="X537" s="17">
        <f t="shared" si="652"/>
        <v>0</v>
      </c>
      <c r="Y537" s="18">
        <f>SUM(W537:X537)</f>
        <v>0</v>
      </c>
      <c r="Z537" s="19">
        <f t="shared" si="655"/>
        <v>0</v>
      </c>
      <c r="AA537" s="19"/>
      <c r="AB537" s="19"/>
      <c r="AC537" s="20"/>
      <c r="AE537" s="111"/>
      <c r="AF537" s="111"/>
      <c r="AG537" s="111"/>
      <c r="AH537" s="112"/>
      <c r="AI537" s="113"/>
      <c r="AK537" s="111"/>
      <c r="AL537" s="111"/>
      <c r="AM537" s="111"/>
      <c r="AN537" s="112"/>
      <c r="AO537" s="113"/>
      <c r="AQ537" s="17"/>
      <c r="AR537" s="17"/>
      <c r="AS537" s="17"/>
      <c r="AT537" s="18">
        <f t="shared" si="653"/>
        <v>0</v>
      </c>
      <c r="AU537" s="19">
        <f t="shared" si="656"/>
        <v>0</v>
      </c>
      <c r="AW537" s="17"/>
      <c r="AX537" s="17"/>
      <c r="AY537" s="17"/>
      <c r="AZ537" s="18">
        <f t="shared" si="654"/>
        <v>0</v>
      </c>
      <c r="BA537" s="19">
        <f t="shared" si="657"/>
        <v>0</v>
      </c>
    </row>
    <row r="538" spans="1:53" ht="17.100000000000001" customHeight="1" x14ac:dyDescent="0.25">
      <c r="A538" s="40"/>
      <c r="B538" s="40"/>
      <c r="C538" s="77"/>
      <c r="D538" s="134"/>
      <c r="E538" s="134"/>
      <c r="F538" s="134"/>
      <c r="G538" s="134"/>
      <c r="H538" s="540"/>
      <c r="I538" s="229"/>
      <c r="J538" s="80"/>
      <c r="K538" s="80"/>
      <c r="L538" s="81"/>
      <c r="M538" s="81"/>
      <c r="N538" s="81">
        <f>SUM(N535:N537)</f>
        <v>0</v>
      </c>
      <c r="O538" s="81">
        <f t="shared" ref="O538:V538" si="658">SUM(O535:O537)</f>
        <v>8</v>
      </c>
      <c r="P538" s="81">
        <f t="shared" si="658"/>
        <v>8</v>
      </c>
      <c r="Q538" s="81">
        <f t="shared" si="658"/>
        <v>3</v>
      </c>
      <c r="R538" s="81">
        <f t="shared" si="658"/>
        <v>4</v>
      </c>
      <c r="S538" s="81">
        <f t="shared" si="658"/>
        <v>7</v>
      </c>
      <c r="T538" s="81">
        <f t="shared" si="658"/>
        <v>0</v>
      </c>
      <c r="U538" s="81">
        <f t="shared" si="658"/>
        <v>0</v>
      </c>
      <c r="V538" s="81">
        <f t="shared" si="658"/>
        <v>0</v>
      </c>
      <c r="W538" s="381">
        <f>SUM(W535:W537)</f>
        <v>3</v>
      </c>
      <c r="X538" s="82">
        <f t="shared" ref="X538:Y538" si="659">SUM(X535:X537)</f>
        <v>12</v>
      </c>
      <c r="Y538" s="82">
        <f t="shared" si="659"/>
        <v>15</v>
      </c>
      <c r="Z538" s="205">
        <f t="shared" si="655"/>
        <v>1</v>
      </c>
      <c r="AA538" s="205"/>
      <c r="AB538" s="205"/>
      <c r="AC538" s="83"/>
      <c r="AE538" s="80"/>
      <c r="AF538" s="80"/>
      <c r="AG538" s="81"/>
      <c r="AH538" s="82"/>
      <c r="AI538" s="66"/>
      <c r="AK538" s="80"/>
      <c r="AL538" s="80"/>
      <c r="AM538" s="81"/>
      <c r="AN538" s="82"/>
      <c r="AO538" s="66"/>
      <c r="AQ538" s="80"/>
      <c r="AR538" s="80"/>
      <c r="AS538" s="81"/>
      <c r="AT538" s="82">
        <f>SUM(AT535:AT537)</f>
        <v>3</v>
      </c>
      <c r="AU538" s="66">
        <f t="shared" si="656"/>
        <v>1</v>
      </c>
      <c r="AW538" s="80"/>
      <c r="AX538" s="80"/>
      <c r="AY538" s="81"/>
      <c r="AZ538" s="82">
        <f>SUM(AZ535:AZ537)</f>
        <v>12</v>
      </c>
      <c r="BA538" s="66">
        <f t="shared" si="657"/>
        <v>1</v>
      </c>
    </row>
    <row r="539" spans="1:53" s="117" customFormat="1" ht="17.100000000000001" customHeight="1" x14ac:dyDescent="0.25">
      <c r="A539" s="68"/>
      <c r="B539" s="119"/>
      <c r="C539" s="540"/>
      <c r="D539" s="261"/>
      <c r="E539" s="261"/>
      <c r="F539" s="68"/>
      <c r="G539" s="68"/>
      <c r="H539" s="119"/>
      <c r="I539" s="138"/>
      <c r="J539" s="17"/>
      <c r="K539" s="17"/>
      <c r="L539" s="17"/>
      <c r="M539" s="17"/>
      <c r="N539" s="17" t="str">
        <f>IF(N538=N$20,"OK","NOK")</f>
        <v>OK</v>
      </c>
      <c r="O539" s="17" t="str">
        <f>IF(O538=O$20,"OK","NOK")</f>
        <v>OK</v>
      </c>
      <c r="P539" s="17"/>
      <c r="Q539" s="17" t="str">
        <f>IF(Q538=Q$20,"OK","NOK")</f>
        <v>OK</v>
      </c>
      <c r="R539" s="17" t="str">
        <f>IF(R538=R$20,"OK","NOK")</f>
        <v>OK</v>
      </c>
      <c r="S539" s="17"/>
      <c r="T539" s="17" t="str">
        <f>IF(T538=T$20,"OK","NOK")</f>
        <v>OK</v>
      </c>
      <c r="U539" s="17" t="str">
        <f>IF(U538=U$20,"OK","NOK")</f>
        <v>OK</v>
      </c>
      <c r="V539" s="359"/>
      <c r="W539" s="382"/>
      <c r="X539" s="539"/>
      <c r="Y539" s="539"/>
      <c r="Z539" s="201"/>
      <c r="AA539" s="201"/>
      <c r="AB539" s="201"/>
      <c r="AC539" s="84"/>
      <c r="AE539" s="46"/>
      <c r="AF539" s="46"/>
      <c r="AG539" s="17"/>
      <c r="AH539" s="539"/>
      <c r="AI539" s="91"/>
      <c r="AK539" s="46"/>
      <c r="AL539" s="46"/>
      <c r="AM539" s="17"/>
      <c r="AN539" s="539"/>
      <c r="AO539" s="91"/>
      <c r="AQ539" s="46"/>
      <c r="AR539" s="46"/>
      <c r="AS539" s="17"/>
      <c r="AT539" s="539"/>
      <c r="AU539" s="91"/>
      <c r="AW539" s="46"/>
      <c r="AX539" s="46"/>
      <c r="AY539" s="17"/>
      <c r="AZ539" s="539"/>
      <c r="BA539" s="91"/>
    </row>
    <row r="540" spans="1:53" s="117" customFormat="1" ht="17.100000000000001" customHeight="1" x14ac:dyDescent="0.25">
      <c r="A540" s="68"/>
      <c r="B540" s="119"/>
      <c r="C540" s="56" t="s">
        <v>672</v>
      </c>
      <c r="D540" s="146" t="s">
        <v>673</v>
      </c>
      <c r="E540" s="149"/>
      <c r="F540" s="149"/>
      <c r="G540" s="151"/>
      <c r="H540" s="119"/>
      <c r="I540" s="138"/>
      <c r="J540" s="111"/>
      <c r="K540" s="111"/>
      <c r="L540" s="111"/>
      <c r="M540" s="111"/>
      <c r="N540" s="111"/>
      <c r="O540" s="111"/>
      <c r="P540" s="336">
        <v>0.5</v>
      </c>
      <c r="Q540" s="341"/>
      <c r="R540" s="341"/>
      <c r="S540" s="336">
        <v>2.5</v>
      </c>
      <c r="T540" s="341"/>
      <c r="U540" s="341"/>
      <c r="V540" s="368"/>
      <c r="W540" s="382"/>
      <c r="X540" s="539"/>
      <c r="Y540" s="539"/>
      <c r="Z540" s="201"/>
      <c r="AA540" s="340">
        <f>MIN(P540,S540,V540)</f>
        <v>0.5</v>
      </c>
      <c r="AB540" s="340">
        <f>MAX(P540,S540,V540)</f>
        <v>2.5</v>
      </c>
      <c r="AC540" s="340">
        <f>IF(P540+S540+V540=0,0,AVERAGE(P540,S540,V540))</f>
        <v>1.5</v>
      </c>
      <c r="AE540" s="152"/>
      <c r="AF540" s="152"/>
      <c r="AG540" s="111"/>
      <c r="AH540" s="545"/>
      <c r="AI540" s="131"/>
      <c r="AK540" s="152"/>
      <c r="AL540" s="152"/>
      <c r="AM540" s="111"/>
      <c r="AN540" s="545"/>
      <c r="AO540" s="131"/>
      <c r="AQ540" s="152"/>
      <c r="AR540" s="152"/>
      <c r="AS540" s="111"/>
      <c r="AT540" s="545"/>
      <c r="AU540" s="131"/>
      <c r="AW540" s="152"/>
      <c r="AX540" s="152"/>
      <c r="AY540" s="111"/>
      <c r="AZ540" s="545"/>
      <c r="BA540" s="131"/>
    </row>
    <row r="541" spans="1:53" s="117" customFormat="1" ht="17.100000000000001" customHeight="1" x14ac:dyDescent="0.25">
      <c r="A541" s="68"/>
      <c r="B541" s="119"/>
      <c r="C541" s="92"/>
      <c r="D541" s="261"/>
      <c r="E541" s="261"/>
      <c r="F541" s="68"/>
      <c r="G541" s="68"/>
      <c r="H541" s="119"/>
      <c r="I541" s="138"/>
      <c r="J541" s="17"/>
      <c r="K541" s="17"/>
      <c r="L541" s="17"/>
      <c r="M541" s="17"/>
      <c r="N541" s="17"/>
      <c r="O541" s="17"/>
      <c r="P541" s="17"/>
      <c r="Q541" s="17"/>
      <c r="R541" s="17"/>
      <c r="S541" s="17"/>
      <c r="T541" s="17"/>
      <c r="U541" s="17"/>
      <c r="V541" s="359"/>
      <c r="W541" s="382"/>
      <c r="X541" s="539"/>
      <c r="Y541" s="539"/>
      <c r="Z541" s="201"/>
      <c r="AA541" s="201"/>
      <c r="AB541" s="201"/>
      <c r="AC541" s="84"/>
      <c r="AE541" s="46"/>
      <c r="AF541" s="46"/>
      <c r="AG541" s="17"/>
      <c r="AH541" s="539"/>
      <c r="AI541" s="91"/>
      <c r="AK541" s="46"/>
      <c r="AL541" s="46"/>
      <c r="AM541" s="17"/>
      <c r="AN541" s="539"/>
      <c r="AO541" s="91"/>
      <c r="AQ541" s="46"/>
      <c r="AR541" s="46"/>
      <c r="AS541" s="17"/>
      <c r="AT541" s="539"/>
      <c r="AU541" s="91"/>
      <c r="AW541" s="46"/>
      <c r="AX541" s="46"/>
      <c r="AY541" s="17"/>
      <c r="AZ541" s="539"/>
      <c r="BA541" s="91"/>
    </row>
    <row r="542" spans="1:53" ht="17.100000000000001" customHeight="1" x14ac:dyDescent="0.25">
      <c r="A542" s="68"/>
      <c r="B542" s="41" t="s">
        <v>313</v>
      </c>
      <c r="C542" s="69" t="s">
        <v>492</v>
      </c>
      <c r="D542" s="50"/>
      <c r="E542" s="70"/>
      <c r="F542" s="70"/>
      <c r="G542" s="70"/>
      <c r="H542" s="119"/>
      <c r="J542" s="71"/>
      <c r="K542" s="71"/>
      <c r="L542" s="71"/>
      <c r="M542" s="71"/>
      <c r="N542" s="71"/>
      <c r="O542" s="71"/>
      <c r="P542" s="71"/>
      <c r="Q542" s="71"/>
      <c r="R542" s="71"/>
      <c r="S542" s="71"/>
      <c r="T542" s="71"/>
      <c r="U542" s="71"/>
      <c r="V542" s="355"/>
      <c r="W542" s="377"/>
      <c r="X542" s="71"/>
      <c r="Y542" s="72"/>
      <c r="Z542" s="73"/>
      <c r="AA542" s="73"/>
      <c r="AB542" s="73"/>
      <c r="AC542" s="73"/>
      <c r="AE542" s="71"/>
      <c r="AF542" s="71"/>
      <c r="AG542" s="71"/>
      <c r="AH542" s="72"/>
      <c r="AI542" s="73"/>
      <c r="AK542" s="71"/>
      <c r="AL542" s="71"/>
      <c r="AM542" s="71"/>
      <c r="AN542" s="72"/>
      <c r="AO542" s="73"/>
      <c r="AQ542" s="71"/>
      <c r="AR542" s="71"/>
      <c r="AS542" s="71"/>
      <c r="AT542" s="72"/>
      <c r="AU542" s="73"/>
      <c r="AW542" s="71"/>
      <c r="AX542" s="71"/>
      <c r="AY542" s="71"/>
      <c r="AZ542" s="72"/>
      <c r="BA542" s="73"/>
    </row>
    <row r="543" spans="1:53" ht="17.100000000000001" customHeight="1" x14ac:dyDescent="0.25">
      <c r="A543" s="119"/>
      <c r="B543" s="119"/>
      <c r="C543" s="56" t="s">
        <v>314</v>
      </c>
      <c r="D543" s="149" t="s">
        <v>129</v>
      </c>
      <c r="E543" s="105"/>
      <c r="F543" s="105"/>
      <c r="G543" s="105"/>
      <c r="H543" s="119"/>
      <c r="J543" s="111"/>
      <c r="K543" s="111"/>
      <c r="L543" s="111"/>
      <c r="M543" s="111"/>
      <c r="N543" s="598"/>
      <c r="O543" s="598"/>
      <c r="P543" s="327"/>
      <c r="Q543" s="598"/>
      <c r="R543" s="598"/>
      <c r="S543" s="327"/>
      <c r="T543" s="598"/>
      <c r="U543" s="598"/>
      <c r="V543" s="369"/>
      <c r="W543" s="391"/>
      <c r="X543" s="17"/>
      <c r="Y543" s="328">
        <f>P543+S543+V543</f>
        <v>0</v>
      </c>
      <c r="Z543" s="19">
        <f>IF(Y$546=0,0,Y543/Y$546)</f>
        <v>0</v>
      </c>
      <c r="AA543" s="19"/>
      <c r="AB543" s="19"/>
      <c r="AC543" s="20"/>
      <c r="AE543" s="111"/>
      <c r="AF543" s="111"/>
      <c r="AG543" s="111"/>
      <c r="AH543" s="545"/>
      <c r="AI543" s="131"/>
      <c r="AK543" s="111"/>
      <c r="AL543" s="111"/>
      <c r="AM543" s="111"/>
      <c r="AN543" s="545"/>
      <c r="AO543" s="131"/>
      <c r="AQ543" s="111"/>
      <c r="AR543" s="111"/>
      <c r="AS543" s="111"/>
      <c r="AT543" s="545"/>
      <c r="AU543" s="131"/>
      <c r="AW543" s="111"/>
      <c r="AX543" s="111"/>
      <c r="AY543" s="111"/>
      <c r="AZ543" s="545"/>
      <c r="BA543" s="131"/>
    </row>
    <row r="544" spans="1:53" ht="17.100000000000001" customHeight="1" x14ac:dyDescent="0.25">
      <c r="A544" s="119"/>
      <c r="B544" s="119"/>
      <c r="C544" s="56" t="s">
        <v>327</v>
      </c>
      <c r="D544" s="149" t="s">
        <v>491</v>
      </c>
      <c r="E544" s="105"/>
      <c r="F544" s="105"/>
      <c r="G544" s="105"/>
      <c r="H544" s="119"/>
      <c r="J544" s="599"/>
      <c r="K544" s="599"/>
      <c r="L544" s="599"/>
      <c r="M544" s="599"/>
      <c r="N544" s="598"/>
      <c r="O544" s="598"/>
      <c r="P544" s="329">
        <v>1</v>
      </c>
      <c r="Q544" s="598"/>
      <c r="R544" s="598"/>
      <c r="S544" s="329">
        <v>1</v>
      </c>
      <c r="T544" s="598"/>
      <c r="U544" s="598"/>
      <c r="V544" s="370"/>
      <c r="W544" s="391"/>
      <c r="X544" s="17"/>
      <c r="Y544" s="328">
        <f t="shared" ref="Y544:Y545" si="660">P544+S544+V544</f>
        <v>2</v>
      </c>
      <c r="Z544" s="19">
        <f>IF(Y$546=0,0,Y544/Y$546)</f>
        <v>1</v>
      </c>
      <c r="AA544" s="19"/>
      <c r="AB544" s="19"/>
      <c r="AC544" s="189"/>
      <c r="AE544" s="111"/>
      <c r="AF544" s="111"/>
      <c r="AG544" s="111"/>
      <c r="AH544" s="545"/>
      <c r="AI544" s="131"/>
      <c r="AK544" s="111"/>
      <c r="AL544" s="111"/>
      <c r="AM544" s="111"/>
      <c r="AN544" s="545"/>
      <c r="AO544" s="131"/>
      <c r="AQ544" s="111"/>
      <c r="AR544" s="111"/>
      <c r="AS544" s="111"/>
      <c r="AT544" s="545"/>
      <c r="AU544" s="131"/>
      <c r="AW544" s="111"/>
      <c r="AX544" s="111"/>
      <c r="AY544" s="111"/>
      <c r="AZ544" s="545"/>
      <c r="BA544" s="131"/>
    </row>
    <row r="545" spans="1:53" ht="17.100000000000001" customHeight="1" x14ac:dyDescent="0.25">
      <c r="A545" s="119"/>
      <c r="B545" s="119"/>
      <c r="C545" s="56" t="s">
        <v>328</v>
      </c>
      <c r="D545" s="149" t="s">
        <v>493</v>
      </c>
      <c r="E545" s="105"/>
      <c r="F545" s="105"/>
      <c r="G545" s="105"/>
      <c r="H545" s="119"/>
      <c r="J545" s="111"/>
      <c r="K545" s="111"/>
      <c r="L545" s="111"/>
      <c r="M545" s="111"/>
      <c r="N545" s="598"/>
      <c r="O545" s="598"/>
      <c r="P545" s="327"/>
      <c r="Q545" s="598"/>
      <c r="R545" s="598"/>
      <c r="S545" s="327"/>
      <c r="T545" s="598"/>
      <c r="U545" s="598"/>
      <c r="V545" s="369"/>
      <c r="W545" s="391"/>
      <c r="X545" s="17"/>
      <c r="Y545" s="328">
        <f t="shared" si="660"/>
        <v>0</v>
      </c>
      <c r="Z545" s="19">
        <f>IF(Y$546=0,0,Y545/Y$546)</f>
        <v>0</v>
      </c>
      <c r="AA545" s="19"/>
      <c r="AB545" s="19"/>
      <c r="AC545" s="20"/>
      <c r="AE545" s="111"/>
      <c r="AF545" s="111"/>
      <c r="AG545" s="111"/>
      <c r="AH545" s="545"/>
      <c r="AI545" s="131"/>
      <c r="AK545" s="111"/>
      <c r="AL545" s="111"/>
      <c r="AM545" s="111"/>
      <c r="AN545" s="545"/>
      <c r="AO545" s="131"/>
      <c r="AQ545" s="111"/>
      <c r="AR545" s="111"/>
      <c r="AS545" s="111"/>
      <c r="AT545" s="545"/>
      <c r="AU545" s="131"/>
      <c r="AW545" s="111"/>
      <c r="AX545" s="111"/>
      <c r="AY545" s="111"/>
      <c r="AZ545" s="545"/>
      <c r="BA545" s="131"/>
    </row>
    <row r="546" spans="1:53" ht="17.100000000000001" customHeight="1" x14ac:dyDescent="0.25">
      <c r="A546" s="119"/>
      <c r="B546" s="119"/>
      <c r="C546" s="325"/>
      <c r="D546" s="326"/>
      <c r="E546" s="184"/>
      <c r="F546" s="184"/>
      <c r="G546" s="184"/>
      <c r="H546" s="119"/>
      <c r="J546" s="600"/>
      <c r="K546" s="600"/>
      <c r="L546" s="600"/>
      <c r="M546" s="600"/>
      <c r="N546" s="600"/>
      <c r="O546" s="600"/>
      <c r="P546" s="601">
        <f>SUM(P543:P545)</f>
        <v>1</v>
      </c>
      <c r="Q546" s="600"/>
      <c r="R546" s="600"/>
      <c r="S546" s="601">
        <f>SUM(S543:S545)</f>
        <v>1</v>
      </c>
      <c r="T546" s="600"/>
      <c r="U546" s="600"/>
      <c r="V546" s="602">
        <f>SUM(V543:V545)</f>
        <v>0</v>
      </c>
      <c r="W546" s="381"/>
      <c r="X546" s="82"/>
      <c r="Y546" s="82">
        <f t="shared" ref="Y546" si="661">SUM(Y543:Y545)</f>
        <v>2</v>
      </c>
      <c r="Z546" s="205">
        <f>IF(Y$546=0,0,Y546/Y$546)</f>
        <v>1</v>
      </c>
      <c r="AA546" s="205"/>
      <c r="AB546" s="205"/>
      <c r="AC546" s="204"/>
      <c r="AE546" s="81"/>
      <c r="AF546" s="81"/>
      <c r="AG546" s="81"/>
      <c r="AH546" s="82"/>
      <c r="AI546" s="66"/>
      <c r="AK546" s="81"/>
      <c r="AL546" s="81"/>
      <c r="AM546" s="81"/>
      <c r="AN546" s="82"/>
      <c r="AO546" s="66"/>
      <c r="AQ546" s="81"/>
      <c r="AR546" s="81"/>
      <c r="AS546" s="81"/>
      <c r="AT546" s="82"/>
      <c r="AU546" s="66"/>
      <c r="AW546" s="81"/>
      <c r="AX546" s="81"/>
      <c r="AY546" s="81"/>
      <c r="AZ546" s="82"/>
      <c r="BA546" s="66"/>
    </row>
    <row r="547" spans="1:53" s="117" customFormat="1" ht="17.100000000000001" customHeight="1" x14ac:dyDescent="0.25">
      <c r="A547" s="68"/>
      <c r="B547" s="119"/>
      <c r="C547" s="540"/>
      <c r="D547" s="261"/>
      <c r="E547" s="261"/>
      <c r="F547" s="68"/>
      <c r="G547" s="68"/>
      <c r="H547" s="119"/>
      <c r="I547" s="138"/>
      <c r="J547" s="17"/>
      <c r="K547" s="17"/>
      <c r="L547" s="17"/>
      <c r="M547" s="17"/>
      <c r="N547" s="17"/>
      <c r="O547" s="17"/>
      <c r="P547" s="17" t="str">
        <f>IF(P546=1,"OK","NOK")</f>
        <v>OK</v>
      </c>
      <c r="Q547" s="17"/>
      <c r="R547" s="17"/>
      <c r="S547" s="17" t="str">
        <f>IF(S546=1,"OK","NOK")</f>
        <v>OK</v>
      </c>
      <c r="T547" s="17"/>
      <c r="U547" s="17"/>
      <c r="V547" s="359" t="str">
        <f>IF(V546=1,"OK","NOK")</f>
        <v>NOK</v>
      </c>
      <c r="W547" s="382"/>
      <c r="X547" s="539"/>
      <c r="Y547" s="539"/>
      <c r="Z547" s="201"/>
      <c r="AA547" s="201"/>
      <c r="AB547" s="201"/>
      <c r="AC547" s="84"/>
      <c r="AE547" s="46"/>
      <c r="AF547" s="46"/>
      <c r="AG547" s="17"/>
      <c r="AH547" s="539"/>
      <c r="AI547" s="91"/>
      <c r="AK547" s="46"/>
      <c r="AL547" s="46"/>
      <c r="AM547" s="17"/>
      <c r="AN547" s="539"/>
      <c r="AO547" s="91"/>
      <c r="AQ547" s="46"/>
      <c r="AR547" s="46"/>
      <c r="AS547" s="17"/>
      <c r="AT547" s="539"/>
      <c r="AU547" s="91"/>
      <c r="AW547" s="46"/>
      <c r="AX547" s="46"/>
      <c r="AY547" s="17"/>
      <c r="AZ547" s="539"/>
      <c r="BA547" s="91"/>
    </row>
    <row r="548" spans="1:53" s="117" customFormat="1" ht="17.100000000000001" customHeight="1" x14ac:dyDescent="0.25">
      <c r="A548" s="68"/>
      <c r="B548" s="119"/>
      <c r="C548" s="92"/>
      <c r="D548" s="93"/>
      <c r="E548" s="93"/>
      <c r="F548" s="93"/>
      <c r="G548" s="93"/>
      <c r="H548" s="540"/>
      <c r="I548" s="12"/>
      <c r="J548" s="46"/>
      <c r="K548" s="46"/>
      <c r="L548" s="17"/>
      <c r="M548" s="17"/>
      <c r="N548" s="17"/>
      <c r="O548" s="17"/>
      <c r="P548" s="17"/>
      <c r="Q548" s="17"/>
      <c r="R548" s="17"/>
      <c r="S548" s="17"/>
      <c r="T548" s="17"/>
      <c r="U548" s="17"/>
      <c r="V548" s="359"/>
      <c r="W548" s="391"/>
      <c r="X548" s="17"/>
      <c r="Y548" s="539"/>
      <c r="Z548" s="91"/>
      <c r="AA548" s="91"/>
      <c r="AB548" s="91"/>
      <c r="AC548" s="84"/>
      <c r="AE548" s="46"/>
      <c r="AF548" s="46"/>
      <c r="AG548" s="17"/>
      <c r="AH548" s="539"/>
      <c r="AI548" s="91"/>
      <c r="AK548" s="46"/>
      <c r="AL548" s="46"/>
      <c r="AM548" s="17"/>
      <c r="AN548" s="539"/>
      <c r="AO548" s="91"/>
      <c r="AQ548" s="46"/>
      <c r="AR548" s="46"/>
      <c r="AS548" s="17"/>
      <c r="AT548" s="539"/>
      <c r="AU548" s="91"/>
      <c r="AW548" s="46"/>
      <c r="AX548" s="46"/>
      <c r="AY548" s="17"/>
      <c r="AZ548" s="539"/>
      <c r="BA548" s="91"/>
    </row>
    <row r="549" spans="1:53" ht="17.100000000000001" customHeight="1" x14ac:dyDescent="0.25">
      <c r="A549" s="68"/>
      <c r="B549" s="41" t="s">
        <v>1443</v>
      </c>
      <c r="C549" s="69" t="s">
        <v>12</v>
      </c>
      <c r="D549" s="50"/>
      <c r="E549" s="70"/>
      <c r="F549" s="70"/>
      <c r="G549" s="70"/>
      <c r="H549" s="119"/>
      <c r="J549" s="71"/>
      <c r="K549" s="71"/>
      <c r="L549" s="71"/>
      <c r="M549" s="71"/>
      <c r="N549" s="71"/>
      <c r="O549" s="71"/>
      <c r="P549" s="71"/>
      <c r="Q549" s="71"/>
      <c r="R549" s="71"/>
      <c r="S549" s="71"/>
      <c r="T549" s="71"/>
      <c r="U549" s="71"/>
      <c r="V549" s="355"/>
      <c r="W549" s="377"/>
      <c r="X549" s="71"/>
      <c r="Y549" s="72"/>
      <c r="Z549" s="73"/>
      <c r="AA549" s="73"/>
      <c r="AB549" s="73"/>
      <c r="AC549" s="73"/>
      <c r="AE549" s="71"/>
      <c r="AF549" s="71"/>
      <c r="AG549" s="71"/>
      <c r="AH549" s="72"/>
      <c r="AI549" s="73"/>
      <c r="AK549" s="71"/>
      <c r="AL549" s="71"/>
      <c r="AM549" s="71"/>
      <c r="AN549" s="72"/>
      <c r="AO549" s="73"/>
      <c r="AQ549" s="71"/>
      <c r="AR549" s="71"/>
      <c r="AS549" s="71"/>
      <c r="AT549" s="72"/>
      <c r="AU549" s="73"/>
      <c r="AW549" s="71"/>
      <c r="AX549" s="71"/>
      <c r="AY549" s="71"/>
      <c r="AZ549" s="72"/>
      <c r="BA549" s="73"/>
    </row>
    <row r="550" spans="1:53" ht="17.100000000000001" customHeight="1" x14ac:dyDescent="0.25">
      <c r="A550" s="40"/>
      <c r="B550" s="40"/>
      <c r="C550" s="74" t="s">
        <v>1444</v>
      </c>
      <c r="D550" s="931" t="s">
        <v>315</v>
      </c>
      <c r="E550" s="75"/>
      <c r="F550" s="75"/>
      <c r="G550" s="75"/>
      <c r="H550" s="928"/>
      <c r="I550" s="12"/>
      <c r="J550" s="152"/>
      <c r="K550" s="152"/>
      <c r="L550" s="152"/>
      <c r="M550" s="152"/>
      <c r="N550" s="152">
        <f>IF(N20&gt;0,1,0)</f>
        <v>0</v>
      </c>
      <c r="O550" s="152">
        <f>IF(O20&gt;0,1,0)</f>
        <v>1</v>
      </c>
      <c r="P550" s="152"/>
      <c r="Q550" s="152">
        <f>IF(Q20&gt;0,1,0)</f>
        <v>1</v>
      </c>
      <c r="R550" s="152">
        <f>IF(R20&gt;0,1,0)</f>
        <v>1</v>
      </c>
      <c r="S550" s="152"/>
      <c r="T550" s="152">
        <f>IF(T20&gt;0,1,0)</f>
        <v>0</v>
      </c>
      <c r="U550" s="152">
        <f>IF(U20&gt;0,1,0)</f>
        <v>0</v>
      </c>
      <c r="V550" s="152"/>
      <c r="W550" s="389"/>
      <c r="X550" s="152"/>
      <c r="Y550" s="932"/>
      <c r="Z550" s="131"/>
      <c r="AA550" s="131"/>
      <c r="AB550" s="131"/>
      <c r="AC550" s="113"/>
      <c r="AE550" s="152"/>
      <c r="AF550" s="152"/>
      <c r="AG550" s="152"/>
      <c r="AH550" s="932"/>
      <c r="AI550" s="131"/>
      <c r="AK550" s="152"/>
      <c r="AL550" s="152"/>
      <c r="AM550" s="152"/>
      <c r="AN550" s="932"/>
      <c r="AO550" s="131"/>
      <c r="AQ550" s="152"/>
      <c r="AR550" s="152"/>
      <c r="AS550" s="152"/>
      <c r="AT550" s="932"/>
      <c r="AU550" s="131"/>
      <c r="AW550" s="152"/>
      <c r="AX550" s="152"/>
      <c r="AY550" s="152"/>
      <c r="AZ550" s="932"/>
      <c r="BA550" s="131"/>
    </row>
    <row r="551" spans="1:53" ht="17.100000000000001" customHeight="1" x14ac:dyDescent="0.25">
      <c r="A551" s="119"/>
      <c r="B551" s="40"/>
      <c r="C551" s="40"/>
      <c r="D551" s="128" t="s">
        <v>1017</v>
      </c>
      <c r="E551" s="122"/>
      <c r="F551" s="122"/>
      <c r="G551" s="122"/>
      <c r="H551" s="928"/>
      <c r="I551" s="12"/>
      <c r="J551" s="190"/>
      <c r="K551" s="190"/>
      <c r="L551" s="190"/>
      <c r="M551" s="190"/>
      <c r="N551" s="570">
        <f>IF(N508=0,0,N506/N508)*0.5</f>
        <v>0</v>
      </c>
      <c r="O551" s="570">
        <f>IF(O508=0,0,O506/O508)*0.5</f>
        <v>0</v>
      </c>
      <c r="P551" s="190"/>
      <c r="Q551" s="570">
        <f>IF(Q508=0,0,Q506/Q508)*0.5</f>
        <v>0</v>
      </c>
      <c r="R551" s="570">
        <f>IF(R508=0,0,R506/R508)*0.5</f>
        <v>0</v>
      </c>
      <c r="S551" s="190"/>
      <c r="T551" s="570">
        <f>IF(T508=0,0,T506/T508)*0.5</f>
        <v>0</v>
      </c>
      <c r="U551" s="570">
        <f>IF(U508=0,0,U506/U508)*0.5</f>
        <v>0</v>
      </c>
      <c r="V551" s="371"/>
      <c r="W551" s="393"/>
      <c r="X551" s="190"/>
      <c r="Y551" s="129"/>
      <c r="Z551" s="130"/>
      <c r="AA551" s="130"/>
      <c r="AB551" s="130"/>
      <c r="AC551" s="125"/>
      <c r="AE551" s="190"/>
      <c r="AF551" s="190"/>
      <c r="AG551" s="190"/>
      <c r="AH551" s="129"/>
      <c r="AI551" s="130"/>
      <c r="AK551" s="190"/>
      <c r="AL551" s="190"/>
      <c r="AM551" s="190"/>
      <c r="AN551" s="129"/>
      <c r="AO551" s="130"/>
      <c r="AQ551" s="190"/>
      <c r="AR551" s="190"/>
      <c r="AS551" s="190"/>
      <c r="AT551" s="129"/>
      <c r="AU551" s="130"/>
      <c r="AW551" s="190"/>
      <c r="AX551" s="190"/>
      <c r="AY551" s="190"/>
      <c r="AZ551" s="129"/>
      <c r="BA551" s="130"/>
    </row>
    <row r="552" spans="1:53" ht="17.100000000000001" customHeight="1" x14ac:dyDescent="0.25">
      <c r="A552" s="119"/>
      <c r="B552" s="40"/>
      <c r="C552" s="40"/>
      <c r="D552" s="128" t="s">
        <v>1018</v>
      </c>
      <c r="E552" s="122"/>
      <c r="F552" s="122"/>
      <c r="G552" s="122"/>
      <c r="H552" s="928"/>
      <c r="I552" s="12"/>
      <c r="J552" s="190"/>
      <c r="K552" s="190"/>
      <c r="L552" s="190"/>
      <c r="M552" s="190"/>
      <c r="N552" s="570">
        <f>IF(N508=0,0,N507/N508)*1</f>
        <v>0</v>
      </c>
      <c r="O552" s="570">
        <f>IF(O508=0,0,O507/O508)*1</f>
        <v>1</v>
      </c>
      <c r="P552" s="190"/>
      <c r="Q552" s="570">
        <f>IF(Q508=0,0,Q507/Q508)*1</f>
        <v>0</v>
      </c>
      <c r="R552" s="570">
        <f>IF(R508=0,0,R507/R508)*1</f>
        <v>0.5</v>
      </c>
      <c r="S552" s="190"/>
      <c r="T552" s="570">
        <f>IF(T508=0,0,T507/T508)*1</f>
        <v>0</v>
      </c>
      <c r="U552" s="570">
        <f>IF(U508=0,0,U507/U508)*1</f>
        <v>0</v>
      </c>
      <c r="V552" s="371"/>
      <c r="W552" s="393"/>
      <c r="X552" s="190"/>
      <c r="Y552" s="129"/>
      <c r="Z552" s="130"/>
      <c r="AA552" s="130"/>
      <c r="AB552" s="130"/>
      <c r="AC552" s="125"/>
      <c r="AE552" s="190"/>
      <c r="AF552" s="190"/>
      <c r="AG552" s="190"/>
      <c r="AH552" s="129"/>
      <c r="AI552" s="130"/>
      <c r="AK552" s="190"/>
      <c r="AL552" s="190"/>
      <c r="AM552" s="190"/>
      <c r="AN552" s="129"/>
      <c r="AO552" s="130"/>
      <c r="AQ552" s="190"/>
      <c r="AR552" s="190"/>
      <c r="AS552" s="190"/>
      <c r="AT552" s="129"/>
      <c r="AU552" s="130"/>
      <c r="AW552" s="190"/>
      <c r="AX552" s="190"/>
      <c r="AY552" s="190"/>
      <c r="AZ552" s="129"/>
      <c r="BA552" s="130"/>
    </row>
    <row r="553" spans="1:53" ht="17.100000000000001" customHeight="1" x14ac:dyDescent="0.25">
      <c r="A553" s="119"/>
      <c r="B553" s="40"/>
      <c r="C553" s="40"/>
      <c r="D553" s="128" t="s">
        <v>316</v>
      </c>
      <c r="E553" s="122"/>
      <c r="F553" s="122"/>
      <c r="G553" s="122"/>
      <c r="H553" s="928"/>
      <c r="I553" s="12"/>
      <c r="J553" s="190"/>
      <c r="K553" s="190"/>
      <c r="L553" s="190"/>
      <c r="M553" s="190"/>
      <c r="N553" s="570">
        <f>IF(N515=0,0,N513/N515)*0.5</f>
        <v>0</v>
      </c>
      <c r="O553" s="570">
        <f>IF(O515=0,0,O513/O515)*0.5</f>
        <v>0</v>
      </c>
      <c r="P553" s="190"/>
      <c r="Q553" s="570">
        <f>IF(Q515=0,0,Q513/Q515)*0.5</f>
        <v>0</v>
      </c>
      <c r="R553" s="570">
        <f>IF(R515=0,0,R513/R515)*0.5</f>
        <v>0.125</v>
      </c>
      <c r="S553" s="190"/>
      <c r="T553" s="570">
        <f>IF(T515=0,0,T513/T515)*0.5</f>
        <v>0</v>
      </c>
      <c r="U553" s="570">
        <f>IF(U515=0,0,U513/U515)*0.5</f>
        <v>0</v>
      </c>
      <c r="V553" s="371"/>
      <c r="W553" s="393"/>
      <c r="X553" s="190"/>
      <c r="Y553" s="129"/>
      <c r="Z553" s="130"/>
      <c r="AA553" s="130"/>
      <c r="AB553" s="130"/>
      <c r="AC553" s="125"/>
      <c r="AE553" s="190"/>
      <c r="AF553" s="190"/>
      <c r="AG553" s="190"/>
      <c r="AH553" s="129"/>
      <c r="AI553" s="130"/>
      <c r="AK553" s="190"/>
      <c r="AL553" s="190"/>
      <c r="AM553" s="190"/>
      <c r="AN553" s="129"/>
      <c r="AO553" s="130"/>
      <c r="AQ553" s="190"/>
      <c r="AR553" s="190"/>
      <c r="AS553" s="190"/>
      <c r="AT553" s="129"/>
      <c r="AU553" s="130"/>
      <c r="AW553" s="190"/>
      <c r="AX553" s="190"/>
      <c r="AY553" s="190"/>
      <c r="AZ553" s="129"/>
      <c r="BA553" s="130"/>
    </row>
    <row r="554" spans="1:53" ht="17.100000000000001" customHeight="1" x14ac:dyDescent="0.25">
      <c r="A554" s="119"/>
      <c r="B554" s="40"/>
      <c r="C554" s="40"/>
      <c r="D554" s="128" t="s">
        <v>317</v>
      </c>
      <c r="E554" s="122"/>
      <c r="F554" s="122"/>
      <c r="G554" s="122"/>
      <c r="H554" s="928"/>
      <c r="I554" s="12"/>
      <c r="J554" s="190"/>
      <c r="K554" s="190"/>
      <c r="L554" s="190"/>
      <c r="M554" s="190"/>
      <c r="N554" s="570">
        <f>IF(N515=0,0,N514/N515)*1</f>
        <v>0</v>
      </c>
      <c r="O554" s="570">
        <f>IF(O515=0,0,O514/O515)*1</f>
        <v>1</v>
      </c>
      <c r="P554" s="190"/>
      <c r="Q554" s="570">
        <f>IF(Q515=0,0,Q514/Q515)*1</f>
        <v>1</v>
      </c>
      <c r="R554" s="570">
        <f>IF(R515=0,0,R514/R515)*1</f>
        <v>0.75</v>
      </c>
      <c r="S554" s="190"/>
      <c r="T554" s="570">
        <f>IF(T515=0,0,T514/T515)*1</f>
        <v>0</v>
      </c>
      <c r="U554" s="570">
        <f>IF(U515=0,0,U514/U515)*1</f>
        <v>0</v>
      </c>
      <c r="V554" s="371"/>
      <c r="W554" s="393"/>
      <c r="X554" s="190"/>
      <c r="Y554" s="129"/>
      <c r="Z554" s="130"/>
      <c r="AA554" s="130"/>
      <c r="AB554" s="130"/>
      <c r="AC554" s="125"/>
      <c r="AE554" s="190"/>
      <c r="AF554" s="190"/>
      <c r="AG554" s="190"/>
      <c r="AH554" s="129"/>
      <c r="AI554" s="130"/>
      <c r="AK554" s="190"/>
      <c r="AL554" s="190"/>
      <c r="AM554" s="190"/>
      <c r="AN554" s="129"/>
      <c r="AO554" s="130"/>
      <c r="AQ554" s="190"/>
      <c r="AR554" s="190"/>
      <c r="AS554" s="190"/>
      <c r="AT554" s="129"/>
      <c r="AU554" s="130"/>
      <c r="AW554" s="190"/>
      <c r="AX554" s="190"/>
      <c r="AY554" s="190"/>
      <c r="AZ554" s="129"/>
      <c r="BA554" s="130"/>
    </row>
    <row r="555" spans="1:53" ht="17.100000000000001" customHeight="1" x14ac:dyDescent="0.25">
      <c r="A555" s="137"/>
      <c r="B555" s="40"/>
      <c r="C555" s="40"/>
      <c r="D555" s="128" t="s">
        <v>1019</v>
      </c>
      <c r="E555" s="122"/>
      <c r="F555" s="122"/>
      <c r="G555" s="122"/>
      <c r="H555" s="928"/>
      <c r="I555" s="12"/>
      <c r="J555" s="190"/>
      <c r="K555" s="190"/>
      <c r="L555" s="190"/>
      <c r="M555" s="190"/>
      <c r="N555" s="570"/>
      <c r="O555" s="570"/>
      <c r="P555" s="190"/>
      <c r="Q555" s="570"/>
      <c r="R555" s="570"/>
      <c r="S555" s="190"/>
      <c r="T555" s="570"/>
      <c r="U555" s="570"/>
      <c r="V555" s="371"/>
      <c r="W555" s="393"/>
      <c r="X555" s="190"/>
      <c r="Y555" s="129"/>
      <c r="Z555" s="130"/>
      <c r="AA555" s="130"/>
      <c r="AB555" s="130"/>
      <c r="AC555" s="125"/>
      <c r="AE555" s="190"/>
      <c r="AF555" s="190"/>
      <c r="AG555" s="190"/>
      <c r="AH555" s="129"/>
      <c r="AI555" s="130"/>
      <c r="AK555" s="190"/>
      <c r="AL555" s="190"/>
      <c r="AM555" s="190"/>
      <c r="AN555" s="129"/>
      <c r="AO555" s="130"/>
      <c r="AQ555" s="190"/>
      <c r="AR555" s="190"/>
      <c r="AS555" s="190"/>
      <c r="AT555" s="129"/>
      <c r="AU555" s="130"/>
      <c r="AW555" s="190"/>
      <c r="AX555" s="190"/>
      <c r="AY555" s="190"/>
      <c r="AZ555" s="129"/>
      <c r="BA555" s="130"/>
    </row>
    <row r="556" spans="1:53" ht="17.100000000000001" customHeight="1" x14ac:dyDescent="0.25">
      <c r="A556" s="119"/>
      <c r="B556" s="40"/>
      <c r="C556" s="40"/>
      <c r="D556" s="128" t="s">
        <v>318</v>
      </c>
      <c r="E556" s="122"/>
      <c r="F556" s="122"/>
      <c r="G556" s="122"/>
      <c r="H556" s="928"/>
      <c r="I556" s="12"/>
      <c r="J556" s="190"/>
      <c r="K556" s="190"/>
      <c r="L556" s="190"/>
      <c r="M556" s="190"/>
      <c r="N556" s="570">
        <f>IF(N533=0,0,(SUM(N524:N525)+N522+N527)/N533)</f>
        <v>0</v>
      </c>
      <c r="O556" s="570">
        <f>IF(O533=0,0,(SUM(O524:O525)+O522+O527)/O533)</f>
        <v>0.125</v>
      </c>
      <c r="P556" s="190"/>
      <c r="Q556" s="570">
        <f>IF(Q533=0,0,(SUM(Q524:Q525)+Q522+Q527)/Q533)</f>
        <v>0</v>
      </c>
      <c r="R556" s="570">
        <f>IF(R533=0,0,(SUM(R524:R525)+R522+R527)/R533)</f>
        <v>0</v>
      </c>
      <c r="S556" s="190"/>
      <c r="T556" s="570">
        <f>IF(T533=0,0,(SUM(T524:T525)+T522+T527)/T533)</f>
        <v>0</v>
      </c>
      <c r="U556" s="570">
        <f>IF(U533=0,0,(SUM(U524:U525)+U522+U527)/U533)</f>
        <v>0</v>
      </c>
      <c r="V556" s="371"/>
      <c r="W556" s="393"/>
      <c r="X556" s="190"/>
      <c r="Y556" s="129"/>
      <c r="Z556" s="130"/>
      <c r="AA556" s="130"/>
      <c r="AB556" s="130"/>
      <c r="AC556" s="125"/>
      <c r="AE556" s="190"/>
      <c r="AF556" s="190"/>
      <c r="AG556" s="190"/>
      <c r="AH556" s="129"/>
      <c r="AI556" s="130"/>
      <c r="AK556" s="190"/>
      <c r="AL556" s="190"/>
      <c r="AM556" s="190"/>
      <c r="AN556" s="129"/>
      <c r="AO556" s="130"/>
      <c r="AQ556" s="190"/>
      <c r="AR556" s="190"/>
      <c r="AS556" s="190"/>
      <c r="AT556" s="129"/>
      <c r="AU556" s="130"/>
      <c r="AW556" s="190"/>
      <c r="AX556" s="190"/>
      <c r="AY556" s="190"/>
      <c r="AZ556" s="129"/>
      <c r="BA556" s="130"/>
    </row>
    <row r="557" spans="1:53" ht="17.100000000000001" customHeight="1" x14ac:dyDescent="0.25">
      <c r="A557" s="137"/>
      <c r="B557" s="40"/>
      <c r="C557" s="40"/>
      <c r="D557" s="128" t="s">
        <v>319</v>
      </c>
      <c r="E557" s="122"/>
      <c r="F557" s="122"/>
      <c r="G557" s="122"/>
      <c r="H557" s="928"/>
      <c r="I557" s="12"/>
      <c r="J557" s="190"/>
      <c r="K557" s="190"/>
      <c r="L557" s="190"/>
      <c r="M557" s="190"/>
      <c r="N557" s="570">
        <f>IF(N538=0,0,(N535/N538)*0.5)</f>
        <v>0</v>
      </c>
      <c r="O557" s="570">
        <f>IF(O538=0,0,(O535/O538)*0.5)</f>
        <v>0.5</v>
      </c>
      <c r="P557" s="190"/>
      <c r="Q557" s="570">
        <f>IF(Q538=0,0,(Q535/Q538)*0.5)</f>
        <v>0.5</v>
      </c>
      <c r="R557" s="570">
        <f>IF(R538=0,0,(R535/R538)*0.5)</f>
        <v>0.375</v>
      </c>
      <c r="S557" s="190"/>
      <c r="T557" s="570">
        <f>IF(T538=0,0,(T535/T538)*0.5)</f>
        <v>0</v>
      </c>
      <c r="U557" s="570">
        <f>IF(U538=0,0,(U535/U538)*0.5)</f>
        <v>0</v>
      </c>
      <c r="V557" s="371"/>
      <c r="W557" s="393"/>
      <c r="X557" s="190"/>
      <c r="Y557" s="129"/>
      <c r="Z557" s="130"/>
      <c r="AA557" s="130"/>
      <c r="AB557" s="130"/>
      <c r="AC557" s="125"/>
      <c r="AE557" s="190"/>
      <c r="AF557" s="190"/>
      <c r="AG557" s="190"/>
      <c r="AH557" s="129"/>
      <c r="AI557" s="130"/>
      <c r="AK557" s="190"/>
      <c r="AL557" s="190"/>
      <c r="AM557" s="190"/>
      <c r="AN557" s="129"/>
      <c r="AO557" s="130"/>
      <c r="AQ557" s="190"/>
      <c r="AR557" s="190"/>
      <c r="AS557" s="190"/>
      <c r="AT557" s="129"/>
      <c r="AU557" s="130"/>
      <c r="AW557" s="190"/>
      <c r="AX557" s="190"/>
      <c r="AY557" s="190"/>
      <c r="AZ557" s="129"/>
      <c r="BA557" s="130"/>
    </row>
    <row r="558" spans="1:53" ht="17.100000000000001" customHeight="1" x14ac:dyDescent="0.25">
      <c r="A558" s="119"/>
      <c r="B558" s="40"/>
      <c r="C558" s="40"/>
      <c r="D558" s="128" t="s">
        <v>320</v>
      </c>
      <c r="E558" s="122"/>
      <c r="F558" s="122"/>
      <c r="G558" s="122"/>
      <c r="H558" s="928"/>
      <c r="I558" s="12"/>
      <c r="J558" s="190"/>
      <c r="K558" s="190"/>
      <c r="L558" s="190"/>
      <c r="M558" s="190"/>
      <c r="N558" s="570">
        <f>SUM(N551:N557)</f>
        <v>0</v>
      </c>
      <c r="O558" s="570">
        <f>SUM(O551:O557)</f>
        <v>2.625</v>
      </c>
      <c r="P558" s="190"/>
      <c r="Q558" s="570">
        <f>SUM(Q551:Q557)</f>
        <v>1.5</v>
      </c>
      <c r="R558" s="570">
        <f>SUM(R551:R557)</f>
        <v>1.75</v>
      </c>
      <c r="S558" s="190"/>
      <c r="T558" s="570">
        <f>SUM(T551:T557)</f>
        <v>0</v>
      </c>
      <c r="U558" s="570">
        <f>SUM(U551:U557)</f>
        <v>0</v>
      </c>
      <c r="V558" s="371"/>
      <c r="W558" s="393"/>
      <c r="X558" s="190"/>
      <c r="Y558" s="129"/>
      <c r="Z558" s="130"/>
      <c r="AA558" s="130"/>
      <c r="AB558" s="130"/>
      <c r="AC558" s="125"/>
      <c r="AE558" s="190"/>
      <c r="AF558" s="190"/>
      <c r="AG558" s="190"/>
      <c r="AH558" s="129"/>
      <c r="AI558" s="130"/>
      <c r="AK558" s="190"/>
      <c r="AL558" s="190"/>
      <c r="AM558" s="190"/>
      <c r="AN558" s="129"/>
      <c r="AO558" s="130"/>
      <c r="AQ558" s="190"/>
      <c r="AR558" s="190"/>
      <c r="AS558" s="190"/>
      <c r="AT558" s="129"/>
      <c r="AU558" s="130"/>
      <c r="AW558" s="190"/>
      <c r="AX558" s="190"/>
      <c r="AY558" s="190"/>
      <c r="AZ558" s="129"/>
      <c r="BA558" s="130"/>
    </row>
    <row r="559" spans="1:53" ht="17.100000000000001" customHeight="1" x14ac:dyDescent="0.25">
      <c r="A559" s="119"/>
      <c r="B559" s="40"/>
      <c r="C559" s="40"/>
      <c r="D559" s="128" t="s">
        <v>321</v>
      </c>
      <c r="E559" s="122"/>
      <c r="F559" s="122"/>
      <c r="G559" s="122"/>
      <c r="H559" s="928"/>
      <c r="I559" s="12"/>
      <c r="J559" s="190"/>
      <c r="K559" s="190"/>
      <c r="L559" s="190"/>
      <c r="M559" s="190"/>
      <c r="N559" s="190">
        <v>3.5</v>
      </c>
      <c r="O559" s="190">
        <v>3.5</v>
      </c>
      <c r="P559" s="190"/>
      <c r="Q559" s="190">
        <v>3.5</v>
      </c>
      <c r="R559" s="190">
        <v>3.5</v>
      </c>
      <c r="S559" s="190"/>
      <c r="T559" s="190">
        <v>3.5</v>
      </c>
      <c r="U559" s="190">
        <v>3.5</v>
      </c>
      <c r="V559" s="371"/>
      <c r="W559" s="393"/>
      <c r="X559" s="190"/>
      <c r="Y559" s="129"/>
      <c r="Z559" s="130"/>
      <c r="AA559" s="130"/>
      <c r="AB559" s="130"/>
      <c r="AC559" s="125"/>
      <c r="AE559" s="190"/>
      <c r="AF559" s="190"/>
      <c r="AG559" s="190"/>
      <c r="AH559" s="129"/>
      <c r="AI559" s="130"/>
      <c r="AK559" s="190"/>
      <c r="AL559" s="190"/>
      <c r="AM559" s="190"/>
      <c r="AN559" s="129"/>
      <c r="AO559" s="130"/>
      <c r="AQ559" s="190"/>
      <c r="AR559" s="190"/>
      <c r="AS559" s="190"/>
      <c r="AT559" s="129"/>
      <c r="AU559" s="130"/>
      <c r="AW559" s="190"/>
      <c r="AX559" s="190"/>
      <c r="AY559" s="190"/>
      <c r="AZ559" s="129"/>
      <c r="BA559" s="130"/>
    </row>
    <row r="560" spans="1:53" ht="17.100000000000001" customHeight="1" x14ac:dyDescent="0.25">
      <c r="A560" s="119"/>
      <c r="B560" s="40"/>
      <c r="C560" s="40"/>
      <c r="D560" s="75" t="s">
        <v>322</v>
      </c>
      <c r="E560" s="75"/>
      <c r="F560" s="75"/>
      <c r="G560" s="75"/>
      <c r="H560" s="1322"/>
      <c r="I560" s="12"/>
      <c r="J560" s="191" t="str">
        <f>IF(J$502=0,"",J561)</f>
        <v/>
      </c>
      <c r="K560" s="191" t="str">
        <f>IF(K$502=0,"",K561)</f>
        <v/>
      </c>
      <c r="L560" s="191" t="str">
        <f>IF(L$502=0,"",L561)</f>
        <v/>
      </c>
      <c r="M560" s="191"/>
      <c r="N560" s="191" t="str">
        <f>IF(N550=0,"",IF(N561=0,0,N561))</f>
        <v/>
      </c>
      <c r="O560" s="191">
        <f>IF(O550=0,"",IF(O561=0,0,O561))</f>
        <v>0.75</v>
      </c>
      <c r="P560" s="191"/>
      <c r="Q560" s="191">
        <f>IF(Q550=0,"",IF(Q561=0,0,Q561))</f>
        <v>0.42857142857142855</v>
      </c>
      <c r="R560" s="191">
        <f>IF(R550=0,"",IF(R561=0,0,R561))</f>
        <v>0.5</v>
      </c>
      <c r="S560" s="191"/>
      <c r="T560" s="191" t="str">
        <f>IF(T550=0,"",IF(T561=0,0,T561))</f>
        <v/>
      </c>
      <c r="U560" s="191" t="str">
        <f>IF(U550=0,"",IF(U561=0,0,U561))</f>
        <v/>
      </c>
      <c r="V560" s="191"/>
      <c r="W560" s="394"/>
      <c r="X560" s="191"/>
      <c r="Y560" s="164"/>
      <c r="Z560" s="192"/>
      <c r="AA560" s="192"/>
      <c r="AB560" s="192"/>
      <c r="AC560" s="193">
        <f>IF(Y560=0,0,AVERAGE(J560:X560))</f>
        <v>0</v>
      </c>
      <c r="AE560" s="191"/>
      <c r="AF560" s="191"/>
      <c r="AG560" s="191"/>
      <c r="AH560" s="164"/>
      <c r="AI560" s="192"/>
      <c r="AK560" s="191"/>
      <c r="AL560" s="191"/>
      <c r="AM560" s="191"/>
      <c r="AN560" s="164"/>
      <c r="AO560" s="192"/>
      <c r="AQ560" s="191"/>
      <c r="AR560" s="191"/>
      <c r="AS560" s="191"/>
      <c r="AT560" s="164"/>
      <c r="AU560" s="192"/>
      <c r="AW560" s="191"/>
      <c r="AX560" s="191"/>
      <c r="AY560" s="191"/>
      <c r="AZ560" s="164"/>
      <c r="BA560" s="192"/>
    </row>
    <row r="561" spans="1:53" ht="17.100000000000001" customHeight="1" x14ac:dyDescent="0.25">
      <c r="A561" s="119"/>
      <c r="B561" s="40"/>
      <c r="C561" s="40"/>
      <c r="D561" s="128" t="s">
        <v>323</v>
      </c>
      <c r="E561" s="122"/>
      <c r="F561" s="122"/>
      <c r="G561" s="122"/>
      <c r="H561" s="1322"/>
      <c r="I561" s="12"/>
      <c r="J561" s="194"/>
      <c r="K561" s="194"/>
      <c r="L561" s="194"/>
      <c r="M561" s="194"/>
      <c r="N561" s="194">
        <f>N558/N559</f>
        <v>0</v>
      </c>
      <c r="O561" s="194">
        <f t="shared" ref="O561" si="662">O558/O559</f>
        <v>0.75</v>
      </c>
      <c r="P561" s="194"/>
      <c r="Q561" s="194">
        <f>Q558/Q559</f>
        <v>0.42857142857142855</v>
      </c>
      <c r="R561" s="194">
        <f t="shared" ref="R561" si="663">R558/R559</f>
        <v>0.5</v>
      </c>
      <c r="S561" s="194"/>
      <c r="T561" s="194">
        <f>T558/T559</f>
        <v>0</v>
      </c>
      <c r="U561" s="194">
        <f t="shared" ref="U561" si="664">U558/U559</f>
        <v>0</v>
      </c>
      <c r="V561" s="194"/>
      <c r="W561" s="969">
        <f>N561+Q561+T561</f>
        <v>0.42857142857142855</v>
      </c>
      <c r="X561" s="504">
        <f>O561+R561+U561</f>
        <v>1.25</v>
      </c>
      <c r="Y561" s="162"/>
      <c r="Z561" s="195"/>
      <c r="AA561" s="195"/>
      <c r="AB561" s="195"/>
      <c r="AC561" s="161"/>
      <c r="AE561" s="194"/>
      <c r="AF561" s="194"/>
      <c r="AG561" s="194"/>
      <c r="AH561" s="162"/>
      <c r="AI561" s="195"/>
      <c r="AK561" s="194"/>
      <c r="AL561" s="194"/>
      <c r="AM561" s="194"/>
      <c r="AN561" s="162"/>
      <c r="AO561" s="195"/>
      <c r="AQ561" s="194"/>
      <c r="AR561" s="194"/>
      <c r="AS561" s="194"/>
      <c r="AT561" s="162"/>
      <c r="AU561" s="195"/>
      <c r="AW561" s="194"/>
      <c r="AX561" s="194"/>
      <c r="AY561" s="194"/>
      <c r="AZ561" s="162"/>
      <c r="BA561" s="195"/>
    </row>
    <row r="562" spans="1:53" ht="17.100000000000001" customHeight="1" x14ac:dyDescent="0.25">
      <c r="A562" s="137"/>
      <c r="B562" s="137"/>
      <c r="C562" s="40"/>
      <c r="D562" s="128"/>
      <c r="E562" s="122"/>
      <c r="F562" s="122"/>
      <c r="G562" s="122"/>
      <c r="H562" s="1322"/>
      <c r="I562" s="12"/>
      <c r="J562" s="194"/>
      <c r="K562" s="194"/>
      <c r="L562" s="194"/>
      <c r="M562" s="194"/>
      <c r="N562" s="194" t="str">
        <f>IF(N550=0,"",N561)</f>
        <v/>
      </c>
      <c r="O562" s="194">
        <f>IF(O550=0,"",O561)</f>
        <v>0.75</v>
      </c>
      <c r="P562" s="194"/>
      <c r="Q562" s="194">
        <f>IF(Q550=0,"",Q561)</f>
        <v>0.42857142857142855</v>
      </c>
      <c r="R562" s="194">
        <f>IF(R550=0,"",R561)</f>
        <v>0.5</v>
      </c>
      <c r="S562" s="194"/>
      <c r="T562" s="194" t="str">
        <f>IF(T550=0,"",T561)</f>
        <v/>
      </c>
      <c r="U562" s="194" t="str">
        <f>IF(U550=0,"",U561)</f>
        <v/>
      </c>
      <c r="V562" s="194"/>
      <c r="W562" s="969">
        <f>IF(W561=0,"",AVERAGE(N562,Q562,T562))</f>
        <v>0.42857142857142855</v>
      </c>
      <c r="X562" s="504">
        <f>IF(X561=0,"",AVERAGE(O562,R562,U562))</f>
        <v>0.625</v>
      </c>
      <c r="Y562" s="504">
        <f>AVERAGE(N562:U562)</f>
        <v>0.55952380952380953</v>
      </c>
      <c r="Z562" s="195"/>
      <c r="AA562" s="195"/>
      <c r="AB562" s="195"/>
      <c r="AC562" s="161"/>
      <c r="AE562" s="194"/>
      <c r="AF562" s="194"/>
      <c r="AG562" s="194"/>
      <c r="AH562" s="162"/>
      <c r="AI562" s="195"/>
      <c r="AK562" s="194"/>
      <c r="AL562" s="194"/>
      <c r="AM562" s="194"/>
      <c r="AN562" s="162"/>
      <c r="AO562" s="195"/>
      <c r="AQ562" s="194"/>
      <c r="AR562" s="194"/>
      <c r="AS562" s="194"/>
      <c r="AT562" s="162"/>
      <c r="AU562" s="195"/>
      <c r="AW562" s="194"/>
      <c r="AX562" s="194"/>
      <c r="AY562" s="194"/>
      <c r="AZ562" s="162"/>
      <c r="BA562" s="195"/>
    </row>
    <row r="563" spans="1:53" s="117" customFormat="1" ht="17.100000000000001" customHeight="1" x14ac:dyDescent="0.25">
      <c r="A563" s="119"/>
      <c r="B563" s="119"/>
      <c r="C563" s="196"/>
      <c r="D563" s="75" t="s">
        <v>324</v>
      </c>
      <c r="E563" s="75"/>
      <c r="F563" s="75"/>
      <c r="G563" s="75"/>
      <c r="H563" s="1322"/>
      <c r="I563" s="12"/>
      <c r="J563" s="55" t="str">
        <f>IF(J$502=0,"",IF(J560&gt;=0.75,1,0))</f>
        <v/>
      </c>
      <c r="K563" s="55" t="str">
        <f>IF(K$502=0,"",IF(K560&gt;=0.75,1,0))</f>
        <v/>
      </c>
      <c r="L563" s="55" t="str">
        <f>IF(L$502=0,"",IF(L560&gt;=0.75,1,0))</f>
        <v/>
      </c>
      <c r="M563" s="55"/>
      <c r="N563" s="55">
        <f>IF(N$550=0,0,IF(N$560&gt;=0.75,1,0))</f>
        <v>0</v>
      </c>
      <c r="O563" s="55">
        <f>IF(O$550=0,0,IF(O$560&gt;=0.75,1,0))</f>
        <v>1</v>
      </c>
      <c r="P563" s="55">
        <f>IF(SUM(N563:O563)=0,0,IF(SUM(N563:O563)=2,1,IF(AND(N$561=0,O563&gt;0),O563,SUM(N563:O563)/2)))</f>
        <v>1</v>
      </c>
      <c r="Q563" s="55">
        <f>IF(Q$550=0,0,IF(Q$560&gt;=0.75,1,0))</f>
        <v>0</v>
      </c>
      <c r="R563" s="55">
        <f>IF(R$550=0,0,IF(R$560&gt;=0.75,1,0))</f>
        <v>0</v>
      </c>
      <c r="S563" s="55">
        <f>IF(SUM(Q563:R563)=0,0,IF(SUM(Q563:R563)=2,1,IF(AND(Q$561=0,R563&gt;0),R563,SUM(Q563:R563)/2)))</f>
        <v>0</v>
      </c>
      <c r="T563" s="55">
        <f>IF(T$550=0,0,IF(T$560&gt;=0.75,1,0))</f>
        <v>0</v>
      </c>
      <c r="U563" s="55">
        <f>IF(U$550=0,0,IF(U$560&gt;=0.75,1,0))</f>
        <v>0</v>
      </c>
      <c r="V563" s="55">
        <f>IF(SUM(T563:U563)=0,0,IF(SUM(T563:U563)=2,1,IF(AND(T$561=0,U563&gt;0),U563,SUM(T563:U563)/2)))</f>
        <v>0</v>
      </c>
      <c r="W563" s="391">
        <f>N563+Q563+T563</f>
        <v>0</v>
      </c>
      <c r="X563" s="17">
        <f>O563+R563+U563</f>
        <v>1</v>
      </c>
      <c r="Y563" s="17">
        <f>P563+S563+V563</f>
        <v>1</v>
      </c>
      <c r="Z563" s="19">
        <f>IF(Y$566=0,0,Y563/Y$566)</f>
        <v>0.5</v>
      </c>
      <c r="AA563" s="197"/>
      <c r="AB563" s="197"/>
      <c r="AC563" s="198"/>
      <c r="AE563" s="55"/>
      <c r="AF563" s="55"/>
      <c r="AG563" s="55"/>
      <c r="AH563" s="164"/>
      <c r="AI563" s="197"/>
      <c r="AK563" s="55"/>
      <c r="AL563" s="55"/>
      <c r="AM563" s="55"/>
      <c r="AN563" s="164"/>
      <c r="AO563" s="197"/>
      <c r="AQ563" s="55"/>
      <c r="AR563" s="55"/>
      <c r="AS563" s="55"/>
      <c r="AT563" s="164"/>
      <c r="AU563" s="197"/>
      <c r="AW563" s="55"/>
      <c r="AX563" s="55"/>
      <c r="AY563" s="55"/>
      <c r="AZ563" s="164"/>
      <c r="BA563" s="197"/>
    </row>
    <row r="564" spans="1:53" s="117" customFormat="1" ht="17.100000000000001" customHeight="1" x14ac:dyDescent="0.25">
      <c r="A564" s="119"/>
      <c r="B564" s="119"/>
      <c r="C564" s="136"/>
      <c r="D564" s="75" t="s">
        <v>325</v>
      </c>
      <c r="E564" s="75"/>
      <c r="F564" s="75"/>
      <c r="G564" s="75"/>
      <c r="H564" s="1322"/>
      <c r="I564" s="12"/>
      <c r="J564" s="55" t="str">
        <f>IF(J$502=0,"",IF(AND(J561&gt;=0.5,J561&lt;0.75),1,0))</f>
        <v/>
      </c>
      <c r="K564" s="55" t="str">
        <f>IF(K$502=0,"",IF(AND(K561&gt;=0.5,K561&lt;0.75),1,0))</f>
        <v/>
      </c>
      <c r="L564" s="55" t="str">
        <f>IF(L$502=0,"",IF(AND(L561&gt;=0.5,L561&lt;0.75),1,0))</f>
        <v/>
      </c>
      <c r="M564" s="55"/>
      <c r="N564" s="55">
        <f>IF(N$550=0,0,IF(AND(N560&gt;=0.5,N560&lt;0.75),1,0))</f>
        <v>0</v>
      </c>
      <c r="O564" s="55">
        <f t="shared" ref="O564" si="665">IF(O$550=0,0,IF(AND(O560&gt;=0.5,O560&lt;0.75),1,0))</f>
        <v>0</v>
      </c>
      <c r="P564" s="55">
        <f t="shared" ref="P564:P565" si="666">IF(SUM(N564:O564)=0,0,IF(SUM(N564:O564)=2,1,IF(AND(N$561=0,O564&gt;0),O564,SUM(N564:O564)/2)))</f>
        <v>0</v>
      </c>
      <c r="Q564" s="55">
        <f>IF(Q$550=0,0,IF(AND(Q560&gt;=0.5,Q560&lt;0.75),1,0))</f>
        <v>0</v>
      </c>
      <c r="R564" s="55">
        <f t="shared" ref="R564" si="667">IF(R$550=0,0,IF(AND(R560&gt;=0.5,R560&lt;0.75),1,0))</f>
        <v>1</v>
      </c>
      <c r="S564" s="55">
        <f t="shared" ref="S564:S565" si="668">IF(SUM(Q564:R564)=0,0,IF(SUM(Q564:R564)=2,1,IF(AND(Q$561=0,R564&gt;0),R564,SUM(Q564:R564)/2)))</f>
        <v>0.5</v>
      </c>
      <c r="T564" s="55">
        <f>IF(T$550=0,0,IF(AND(T560&gt;=0.5,T560&lt;0.75),1,0))</f>
        <v>0</v>
      </c>
      <c r="U564" s="55">
        <f t="shared" ref="U564" si="669">IF(U$550=0,0,IF(AND(U560&gt;=0.5,U560&lt;0.75),1,0))</f>
        <v>0</v>
      </c>
      <c r="V564" s="55">
        <f t="shared" ref="V564:V565" si="670">IF(SUM(T564:U564)=0,0,IF(SUM(T564:U564)=2,1,IF(AND(T$561=0,U564&gt;0),U564,SUM(T564:U564)/2)))</f>
        <v>0</v>
      </c>
      <c r="W564" s="391">
        <f t="shared" ref="W564:Y565" si="671">N564+Q564+T564</f>
        <v>0</v>
      </c>
      <c r="X564" s="17">
        <f t="shared" si="671"/>
        <v>1</v>
      </c>
      <c r="Y564" s="17">
        <f t="shared" si="671"/>
        <v>0.5</v>
      </c>
      <c r="Z564" s="19">
        <f t="shared" ref="Z564:Z566" si="672">IF(Y$566=0,0,Y564/Y$566)</f>
        <v>0.25</v>
      </c>
      <c r="AA564" s="197"/>
      <c r="AB564" s="197"/>
      <c r="AC564" s="198"/>
      <c r="AE564" s="55"/>
      <c r="AF564" s="55"/>
      <c r="AG564" s="55"/>
      <c r="AH564" s="164"/>
      <c r="AI564" s="197"/>
      <c r="AK564" s="55"/>
      <c r="AL564" s="55"/>
      <c r="AM564" s="55"/>
      <c r="AN564" s="164"/>
      <c r="AO564" s="197"/>
      <c r="AQ564" s="55"/>
      <c r="AR564" s="55"/>
      <c r="AS564" s="55"/>
      <c r="AT564" s="164"/>
      <c r="AU564" s="197"/>
      <c r="AW564" s="55"/>
      <c r="AX564" s="55"/>
      <c r="AY564" s="55"/>
      <c r="AZ564" s="164"/>
      <c r="BA564" s="197"/>
    </row>
    <row r="565" spans="1:53" s="97" customFormat="1" ht="17.100000000000001" customHeight="1" x14ac:dyDescent="0.25">
      <c r="A565" s="119"/>
      <c r="B565" s="119"/>
      <c r="C565" s="137"/>
      <c r="D565" s="75" t="s">
        <v>326</v>
      </c>
      <c r="E565" s="75"/>
      <c r="F565" s="75"/>
      <c r="G565" s="75"/>
      <c r="H565" s="1322"/>
      <c r="I565" s="12"/>
      <c r="J565" s="55" t="str">
        <f>IF(J$502=0,"",IF(J561&lt;0.5,1,0))</f>
        <v/>
      </c>
      <c r="K565" s="55" t="str">
        <f>IF(K$502=0,"",IF(K561&lt;0.5,1,0))</f>
        <v/>
      </c>
      <c r="L565" s="55" t="str">
        <f>IF(L$502=0,"",IF(L561&lt;0.5,1,0))</f>
        <v/>
      </c>
      <c r="M565" s="55"/>
      <c r="N565" s="55">
        <f>IF(N$550=0,0,IF(N560&lt;0.5,1,0))</f>
        <v>0</v>
      </c>
      <c r="O565" s="55">
        <f t="shared" ref="O565" si="673">IF(O$550=0,0,IF(O560&lt;0.5,1,0))</f>
        <v>0</v>
      </c>
      <c r="P565" s="55">
        <f t="shared" si="666"/>
        <v>0</v>
      </c>
      <c r="Q565" s="55">
        <f>IF(Q$550=0,0,IF(Q560&lt;0.5,1,0))</f>
        <v>1</v>
      </c>
      <c r="R565" s="55">
        <f t="shared" ref="R565" si="674">IF(R$550=0,0,IF(R560&lt;0.5,1,0))</f>
        <v>0</v>
      </c>
      <c r="S565" s="55">
        <f t="shared" si="668"/>
        <v>0.5</v>
      </c>
      <c r="T565" s="55">
        <f>IF(T$550=0,0,IF(T560&lt;0.5,1,0))</f>
        <v>0</v>
      </c>
      <c r="U565" s="55">
        <f t="shared" ref="U565" si="675">IF(U$550=0,0,IF(U560&lt;0.5,1,0))</f>
        <v>0</v>
      </c>
      <c r="V565" s="55">
        <f t="shared" si="670"/>
        <v>0</v>
      </c>
      <c r="W565" s="391">
        <f t="shared" si="671"/>
        <v>1</v>
      </c>
      <c r="X565" s="17">
        <f t="shared" si="671"/>
        <v>0</v>
      </c>
      <c r="Y565" s="17">
        <f t="shared" si="671"/>
        <v>0.5</v>
      </c>
      <c r="Z565" s="19">
        <f t="shared" si="672"/>
        <v>0.25</v>
      </c>
      <c r="AA565" s="197"/>
      <c r="AB565" s="197"/>
      <c r="AC565" s="198"/>
      <c r="AE565" s="55"/>
      <c r="AF565" s="55"/>
      <c r="AG565" s="55"/>
      <c r="AH565" s="164"/>
      <c r="AI565" s="197"/>
      <c r="AK565" s="55"/>
      <c r="AL565" s="55"/>
      <c r="AM565" s="55"/>
      <c r="AN565" s="164"/>
      <c r="AO565" s="197"/>
      <c r="AQ565" s="55"/>
      <c r="AR565" s="55"/>
      <c r="AS565" s="55"/>
      <c r="AT565" s="164"/>
      <c r="AU565" s="197"/>
      <c r="AW565" s="55"/>
      <c r="AX565" s="55"/>
      <c r="AY565" s="55"/>
      <c r="AZ565" s="164"/>
      <c r="BA565" s="197"/>
    </row>
    <row r="566" spans="1:53" s="117" customFormat="1" ht="17.100000000000001" customHeight="1" x14ac:dyDescent="0.25">
      <c r="A566" s="119"/>
      <c r="B566" s="119"/>
      <c r="C566" s="119"/>
      <c r="D566" s="428"/>
      <c r="E566" s="93"/>
      <c r="F566" s="93"/>
      <c r="G566" s="93"/>
      <c r="H566" s="1322"/>
      <c r="I566" s="12"/>
      <c r="J566" s="191"/>
      <c r="K566" s="191"/>
      <c r="L566" s="191"/>
      <c r="M566" s="191"/>
      <c r="N566" s="191"/>
      <c r="O566" s="191"/>
      <c r="P566" s="191"/>
      <c r="Q566" s="191"/>
      <c r="R566" s="191"/>
      <c r="S566" s="191"/>
      <c r="T566" s="191"/>
      <c r="U566" s="191"/>
      <c r="V566" s="191"/>
      <c r="W566" s="394"/>
      <c r="X566" s="191"/>
      <c r="Y566" s="164">
        <f>SUM(Y563:Y565)</f>
        <v>2</v>
      </c>
      <c r="Z566" s="19">
        <f t="shared" si="672"/>
        <v>1</v>
      </c>
      <c r="AA566" s="192"/>
      <c r="AB566" s="192"/>
      <c r="AC566" s="198"/>
      <c r="AE566" s="191"/>
      <c r="AF566" s="191"/>
      <c r="AG566" s="191"/>
      <c r="AH566" s="164"/>
      <c r="AI566" s="192"/>
      <c r="AK566" s="191"/>
      <c r="AL566" s="191"/>
      <c r="AM566" s="191"/>
      <c r="AN566" s="164"/>
      <c r="AO566" s="192"/>
      <c r="AQ566" s="191"/>
      <c r="AR566" s="191"/>
      <c r="AS566" s="191"/>
      <c r="AT566" s="164"/>
      <c r="AU566" s="192"/>
      <c r="AW566" s="191"/>
      <c r="AX566" s="191"/>
      <c r="AY566" s="191"/>
      <c r="AZ566" s="164"/>
      <c r="BA566" s="192"/>
    </row>
    <row r="567" spans="1:53" s="97" customFormat="1" ht="17.100000000000001" customHeight="1" x14ac:dyDescent="0.25">
      <c r="A567" s="68"/>
      <c r="B567" s="68"/>
      <c r="C567" s="92"/>
      <c r="D567" s="93"/>
      <c r="E567" s="93"/>
      <c r="F567" s="93"/>
      <c r="G567" s="93"/>
      <c r="H567" s="165"/>
      <c r="I567" s="12"/>
      <c r="J567" s="94"/>
      <c r="K567" s="94"/>
      <c r="L567" s="95"/>
      <c r="M567" s="95"/>
      <c r="N567" s="95"/>
      <c r="O567" s="95"/>
      <c r="P567" s="95"/>
      <c r="Q567" s="95"/>
      <c r="R567" s="95"/>
      <c r="S567" s="95"/>
      <c r="T567" s="95"/>
      <c r="U567" s="95"/>
      <c r="V567" s="95"/>
      <c r="W567" s="378"/>
      <c r="X567" s="95"/>
      <c r="Y567" s="96"/>
      <c r="AE567" s="109"/>
      <c r="AF567" s="109"/>
      <c r="AG567" s="109"/>
      <c r="AH567" s="96"/>
      <c r="AK567" s="109"/>
      <c r="AL567" s="109"/>
      <c r="AM567" s="109"/>
      <c r="AN567" s="96"/>
      <c r="AQ567" s="109"/>
      <c r="AR567" s="109"/>
      <c r="AS567" s="109"/>
      <c r="AT567" s="96"/>
      <c r="AW567" s="109"/>
      <c r="AX567" s="109"/>
      <c r="AY567" s="109"/>
      <c r="AZ567" s="96"/>
    </row>
    <row r="568" spans="1:53" s="32" customFormat="1" ht="16.5" thickBot="1" x14ac:dyDescent="0.3">
      <c r="A568" s="24" t="s">
        <v>329</v>
      </c>
      <c r="B568" s="25" t="s">
        <v>330</v>
      </c>
      <c r="C568" s="26"/>
      <c r="D568" s="27"/>
      <c r="E568" s="27"/>
      <c r="F568" s="27"/>
      <c r="G568" s="28"/>
      <c r="H568" s="215"/>
      <c r="I568" s="228"/>
      <c r="J568" s="101"/>
      <c r="K568" s="101"/>
      <c r="L568" s="101"/>
      <c r="M568" s="101"/>
      <c r="N568" s="101"/>
      <c r="O568" s="101"/>
      <c r="P568" s="101"/>
      <c r="Q568" s="101"/>
      <c r="R568" s="101"/>
      <c r="S568" s="101"/>
      <c r="T568" s="101"/>
      <c r="U568" s="101"/>
      <c r="V568" s="357"/>
      <c r="W568" s="379"/>
      <c r="X568" s="101"/>
      <c r="Y568" s="30" t="s">
        <v>4</v>
      </c>
      <c r="Z568" s="30" t="s">
        <v>5</v>
      </c>
      <c r="AA568" s="30"/>
      <c r="AB568" s="30"/>
      <c r="AC568" s="30" t="s">
        <v>6</v>
      </c>
      <c r="AE568" s="33" t="s">
        <v>181</v>
      </c>
      <c r="AF568" s="33" t="s">
        <v>182</v>
      </c>
      <c r="AG568" s="33" t="s">
        <v>6</v>
      </c>
      <c r="AH568" s="33" t="s">
        <v>4</v>
      </c>
      <c r="AI568" s="34" t="s">
        <v>5</v>
      </c>
      <c r="AJ568" s="408"/>
      <c r="AK568" s="36" t="s">
        <v>181</v>
      </c>
      <c r="AL568" s="36" t="s">
        <v>182</v>
      </c>
      <c r="AM568" s="36" t="s">
        <v>6</v>
      </c>
      <c r="AN568" s="36" t="s">
        <v>4</v>
      </c>
      <c r="AO568" s="37" t="s">
        <v>5</v>
      </c>
      <c r="AP568" s="408"/>
      <c r="AQ568" s="36"/>
      <c r="AR568" s="36"/>
      <c r="AS568" s="36"/>
      <c r="AT568" s="36"/>
      <c r="AU568" s="37"/>
      <c r="AV568" s="408"/>
      <c r="AW568" s="38" t="s">
        <v>181</v>
      </c>
      <c r="AX568" s="38" t="s">
        <v>182</v>
      </c>
      <c r="AY568" s="38" t="s">
        <v>6</v>
      </c>
      <c r="AZ568" s="38" t="s">
        <v>4</v>
      </c>
      <c r="BA568" s="39" t="s">
        <v>5</v>
      </c>
    </row>
    <row r="569" spans="1:53" ht="17.100000000000001" customHeight="1" x14ac:dyDescent="0.25">
      <c r="A569" s="68"/>
      <c r="B569" s="41" t="s">
        <v>675</v>
      </c>
      <c r="C569" s="49" t="s">
        <v>674</v>
      </c>
      <c r="D569" s="50"/>
      <c r="E569" s="70"/>
      <c r="F569" s="70"/>
      <c r="G569" s="70"/>
      <c r="H569" s="119"/>
      <c r="J569" s="71"/>
      <c r="K569" s="71"/>
      <c r="L569" s="71"/>
      <c r="M569" s="71"/>
      <c r="N569" s="71"/>
      <c r="O569" s="71"/>
      <c r="P569" s="71"/>
      <c r="Q569" s="71"/>
      <c r="R569" s="71"/>
      <c r="S569" s="71"/>
      <c r="T569" s="71"/>
      <c r="U569" s="71"/>
      <c r="V569" s="355"/>
      <c r="W569" s="377"/>
      <c r="X569" s="71"/>
      <c r="Y569" s="72"/>
      <c r="Z569" s="73"/>
      <c r="AA569" s="73"/>
      <c r="AB569" s="73"/>
      <c r="AC569" s="73"/>
      <c r="AE569" s="71"/>
      <c r="AF569" s="71"/>
      <c r="AG569" s="71"/>
      <c r="AH569" s="72"/>
      <c r="AI569" s="73"/>
      <c r="AK569" s="71"/>
      <c r="AL569" s="71"/>
      <c r="AM569" s="71"/>
      <c r="AN569" s="72"/>
      <c r="AO569" s="73"/>
      <c r="AQ569" s="71"/>
      <c r="AR569" s="71"/>
      <c r="AS569" s="71"/>
      <c r="AT569" s="72"/>
      <c r="AU569" s="73"/>
      <c r="AW569" s="71"/>
      <c r="AX569" s="71"/>
      <c r="AY569" s="71"/>
      <c r="AZ569" s="72"/>
      <c r="BA569" s="73"/>
    </row>
    <row r="570" spans="1:53" ht="17.100000000000001" customHeight="1" x14ac:dyDescent="0.25">
      <c r="A570" s="119"/>
      <c r="B570" s="119"/>
      <c r="C570" s="56" t="s">
        <v>676</v>
      </c>
      <c r="D570" s="146" t="s">
        <v>9</v>
      </c>
      <c r="E570" s="105"/>
      <c r="F570" s="105"/>
      <c r="G570" s="105"/>
      <c r="H570" s="119"/>
      <c r="I570" s="231"/>
      <c r="J570" s="111"/>
      <c r="K570" s="111"/>
      <c r="L570" s="111"/>
      <c r="M570" s="111"/>
      <c r="N570" s="60"/>
      <c r="O570" s="60">
        <v>1</v>
      </c>
      <c r="P570" s="17">
        <f t="shared" ref="P570:P571" si="676">SUM(N570:O570)</f>
        <v>1</v>
      </c>
      <c r="Q570" s="60"/>
      <c r="R570" s="60">
        <v>1</v>
      </c>
      <c r="S570" s="17">
        <f t="shared" ref="S570:S571" si="677">SUM(Q570:R570)</f>
        <v>1</v>
      </c>
      <c r="T570" s="60"/>
      <c r="U570" s="60"/>
      <c r="V570" s="359">
        <f t="shared" ref="V570:V571" si="678">SUM(T570:U570)</f>
        <v>0</v>
      </c>
      <c r="W570" s="391">
        <f t="shared" ref="W570:W571" si="679">J570+K570+N570+Q570+T570</f>
        <v>0</v>
      </c>
      <c r="X570" s="17">
        <f t="shared" ref="X570:X571" si="680">L570+O570+R570+U570</f>
        <v>2</v>
      </c>
      <c r="Y570" s="18">
        <f>SUM(W570:X570)</f>
        <v>2</v>
      </c>
      <c r="Z570" s="19">
        <f>IF(Y$538=0,0,Y570/Y$538)</f>
        <v>0.13333333333333333</v>
      </c>
      <c r="AA570" s="19"/>
      <c r="AB570" s="19"/>
      <c r="AC570" s="20"/>
      <c r="AE570" s="111"/>
      <c r="AF570" s="111"/>
      <c r="AG570" s="111"/>
      <c r="AH570" s="112"/>
      <c r="AI570" s="113"/>
      <c r="AK570" s="111"/>
      <c r="AL570" s="111"/>
      <c r="AM570" s="111"/>
      <c r="AN570" s="112"/>
      <c r="AO570" s="113"/>
      <c r="AQ570" s="17"/>
      <c r="AR570" s="17"/>
      <c r="AS570" s="17"/>
      <c r="AT570" s="18">
        <f t="shared" ref="AT570:AT571" si="681">W570</f>
        <v>0</v>
      </c>
      <c r="AU570" s="19">
        <f>IF(AT$538=0,0,AT570/AT$538)</f>
        <v>0</v>
      </c>
      <c r="AW570" s="17"/>
      <c r="AX570" s="17"/>
      <c r="AY570" s="17"/>
      <c r="AZ570" s="18">
        <f t="shared" ref="AZ570:AZ571" si="682">X570</f>
        <v>2</v>
      </c>
      <c r="BA570" s="19">
        <f>IF(AZ$538=0,0,AZ570/AZ$538)</f>
        <v>0.16666666666666666</v>
      </c>
    </row>
    <row r="571" spans="1:53" ht="17.100000000000001" customHeight="1" x14ac:dyDescent="0.25">
      <c r="A571" s="119"/>
      <c r="B571" s="119"/>
      <c r="C571" s="56" t="s">
        <v>677</v>
      </c>
      <c r="D571" s="146" t="s">
        <v>11</v>
      </c>
      <c r="E571" s="105"/>
      <c r="F571" s="105"/>
      <c r="G571" s="105"/>
      <c r="H571" s="119"/>
      <c r="I571" s="231"/>
      <c r="J571" s="111"/>
      <c r="K571" s="111"/>
      <c r="L571" s="111"/>
      <c r="M571" s="111"/>
      <c r="N571" s="61"/>
      <c r="O571" s="61">
        <v>7</v>
      </c>
      <c r="P571" s="17">
        <f t="shared" si="676"/>
        <v>7</v>
      </c>
      <c r="Q571" s="61">
        <v>3</v>
      </c>
      <c r="R571" s="61">
        <v>3</v>
      </c>
      <c r="S571" s="17">
        <f t="shared" si="677"/>
        <v>6</v>
      </c>
      <c r="T571" s="61"/>
      <c r="U571" s="61"/>
      <c r="V571" s="359">
        <f t="shared" si="678"/>
        <v>0</v>
      </c>
      <c r="W571" s="391">
        <f t="shared" si="679"/>
        <v>3</v>
      </c>
      <c r="X571" s="17">
        <f t="shared" si="680"/>
        <v>10</v>
      </c>
      <c r="Y571" s="18">
        <f>SUM(W571:X571)</f>
        <v>13</v>
      </c>
      <c r="Z571" s="19">
        <f t="shared" ref="Z571:Z572" si="683">IF(Y$538=0,0,Y571/Y$538)</f>
        <v>0.8666666666666667</v>
      </c>
      <c r="AA571" s="19"/>
      <c r="AB571" s="19"/>
      <c r="AC571" s="20"/>
      <c r="AE571" s="111"/>
      <c r="AF571" s="111"/>
      <c r="AG571" s="111"/>
      <c r="AH571" s="112"/>
      <c r="AI571" s="113"/>
      <c r="AK571" s="111"/>
      <c r="AL571" s="111"/>
      <c r="AM571" s="111"/>
      <c r="AN571" s="112"/>
      <c r="AO571" s="113"/>
      <c r="AQ571" s="17"/>
      <c r="AR571" s="17"/>
      <c r="AS571" s="17"/>
      <c r="AT571" s="18">
        <f t="shared" si="681"/>
        <v>3</v>
      </c>
      <c r="AU571" s="19">
        <f t="shared" ref="AU571:AU572" si="684">IF(AT$538=0,0,AT571/AT$538)</f>
        <v>1</v>
      </c>
      <c r="AW571" s="17"/>
      <c r="AX571" s="17"/>
      <c r="AY571" s="17"/>
      <c r="AZ571" s="18">
        <f t="shared" si="682"/>
        <v>10</v>
      </c>
      <c r="BA571" s="19">
        <f t="shared" ref="BA571:BA572" si="685">IF(AZ$538=0,0,AZ571/AZ$538)</f>
        <v>0.83333333333333337</v>
      </c>
    </row>
    <row r="572" spans="1:53" ht="17.100000000000001" customHeight="1" x14ac:dyDescent="0.25">
      <c r="A572" s="40"/>
      <c r="B572" s="40"/>
      <c r="C572" s="77"/>
      <c r="D572" s="134"/>
      <c r="E572" s="134"/>
      <c r="F572" s="134"/>
      <c r="G572" s="134"/>
      <c r="H572" s="540"/>
      <c r="I572" s="229"/>
      <c r="J572" s="80"/>
      <c r="K572" s="80"/>
      <c r="L572" s="81"/>
      <c r="M572" s="81"/>
      <c r="N572" s="81">
        <f t="shared" ref="N572:Y572" si="686">SUM(N570:N571)</f>
        <v>0</v>
      </c>
      <c r="O572" s="81">
        <f t="shared" si="686"/>
        <v>8</v>
      </c>
      <c r="P572" s="81">
        <f t="shared" si="686"/>
        <v>8</v>
      </c>
      <c r="Q572" s="81">
        <f t="shared" si="686"/>
        <v>3</v>
      </c>
      <c r="R572" s="81">
        <f t="shared" si="686"/>
        <v>4</v>
      </c>
      <c r="S572" s="81">
        <f t="shared" si="686"/>
        <v>7</v>
      </c>
      <c r="T572" s="81">
        <f t="shared" si="686"/>
        <v>0</v>
      </c>
      <c r="U572" s="81">
        <f t="shared" si="686"/>
        <v>0</v>
      </c>
      <c r="V572" s="81">
        <f t="shared" si="686"/>
        <v>0</v>
      </c>
      <c r="W572" s="381">
        <f t="shared" si="686"/>
        <v>3</v>
      </c>
      <c r="X572" s="82">
        <f t="shared" si="686"/>
        <v>12</v>
      </c>
      <c r="Y572" s="82">
        <f t="shared" si="686"/>
        <v>15</v>
      </c>
      <c r="Z572" s="205">
        <f t="shared" si="683"/>
        <v>1</v>
      </c>
      <c r="AA572" s="205"/>
      <c r="AB572" s="205"/>
      <c r="AC572" s="83"/>
      <c r="AE572" s="80"/>
      <c r="AF572" s="80"/>
      <c r="AG572" s="81"/>
      <c r="AH572" s="82"/>
      <c r="AI572" s="66"/>
      <c r="AK572" s="80"/>
      <c r="AL572" s="80"/>
      <c r="AM572" s="81"/>
      <c r="AN572" s="82"/>
      <c r="AO572" s="66"/>
      <c r="AQ572" s="80"/>
      <c r="AR572" s="80"/>
      <c r="AS572" s="81"/>
      <c r="AT572" s="82">
        <f>SUM(AT570:AT571)</f>
        <v>3</v>
      </c>
      <c r="AU572" s="66">
        <f t="shared" si="684"/>
        <v>1</v>
      </c>
      <c r="AW572" s="80"/>
      <c r="AX572" s="80"/>
      <c r="AY572" s="81"/>
      <c r="AZ572" s="82">
        <f>SUM(AZ570:AZ571)</f>
        <v>12</v>
      </c>
      <c r="BA572" s="66">
        <f t="shared" si="685"/>
        <v>1</v>
      </c>
    </row>
    <row r="573" spans="1:53" s="117" customFormat="1" ht="17.100000000000001" customHeight="1" x14ac:dyDescent="0.25">
      <c r="A573" s="68"/>
      <c r="B573" s="119"/>
      <c r="C573" s="540"/>
      <c r="D573" s="261"/>
      <c r="E573" s="261"/>
      <c r="F573" s="68"/>
      <c r="G573" s="68"/>
      <c r="H573" s="119"/>
      <c r="I573" s="138"/>
      <c r="J573" s="17"/>
      <c r="K573" s="17"/>
      <c r="L573" s="17"/>
      <c r="M573" s="17"/>
      <c r="N573" s="17" t="str">
        <f>IF(N572=N$20,"OK","NOK")</f>
        <v>OK</v>
      </c>
      <c r="O573" s="17" t="str">
        <f>IF(O572=O$20,"OK","NOK")</f>
        <v>OK</v>
      </c>
      <c r="P573" s="17"/>
      <c r="Q573" s="17" t="str">
        <f>IF(Q572=Q$20,"OK","NOK")</f>
        <v>OK</v>
      </c>
      <c r="R573" s="17" t="str">
        <f>IF(R572=R$20,"OK","NOK")</f>
        <v>OK</v>
      </c>
      <c r="S573" s="17"/>
      <c r="T573" s="17" t="str">
        <f>IF(T572=T$20,"OK","NOK")</f>
        <v>OK</v>
      </c>
      <c r="U573" s="17" t="str">
        <f>IF(U572=U$20,"OK","NOK")</f>
        <v>OK</v>
      </c>
      <c r="V573" s="359"/>
      <c r="W573" s="382"/>
      <c r="X573" s="539"/>
      <c r="Y573" s="539"/>
      <c r="Z573" s="201"/>
      <c r="AA573" s="201"/>
      <c r="AB573" s="201"/>
      <c r="AC573" s="84"/>
      <c r="AE573" s="46"/>
      <c r="AF573" s="46"/>
      <c r="AG573" s="17"/>
      <c r="AH573" s="539"/>
      <c r="AI573" s="91"/>
      <c r="AK573" s="46"/>
      <c r="AL573" s="46"/>
      <c r="AM573" s="17"/>
      <c r="AN573" s="539"/>
      <c r="AO573" s="91"/>
      <c r="AQ573" s="46"/>
      <c r="AR573" s="46"/>
      <c r="AS573" s="17"/>
      <c r="AT573" s="539"/>
      <c r="AU573" s="91"/>
      <c r="AW573" s="46"/>
      <c r="AX573" s="46"/>
      <c r="AY573" s="17"/>
      <c r="AZ573" s="539"/>
      <c r="BA573" s="91"/>
    </row>
    <row r="574" spans="1:53" s="32" customFormat="1" ht="15.75" x14ac:dyDescent="0.25">
      <c r="A574" s="342"/>
      <c r="B574" s="330"/>
      <c r="C574" s="331"/>
      <c r="D574" s="343"/>
      <c r="E574" s="343"/>
      <c r="F574" s="343"/>
      <c r="G574" s="343"/>
      <c r="H574" s="344"/>
      <c r="I574" s="14"/>
      <c r="J574" s="345"/>
      <c r="K574" s="345"/>
      <c r="L574" s="345"/>
      <c r="M574" s="345"/>
      <c r="N574" s="345"/>
      <c r="O574" s="345"/>
      <c r="P574" s="345"/>
      <c r="Q574" s="345"/>
      <c r="R574" s="345"/>
      <c r="S574" s="345"/>
      <c r="T574" s="345"/>
      <c r="U574" s="345"/>
      <c r="V574" s="374"/>
      <c r="W574" s="396"/>
      <c r="X574" s="345"/>
      <c r="Y574" s="346"/>
      <c r="Z574" s="346"/>
      <c r="AA574" s="346"/>
      <c r="AB574" s="346"/>
      <c r="AC574" s="346"/>
      <c r="AE574" s="347"/>
      <c r="AF574" s="347"/>
      <c r="AG574" s="347"/>
      <c r="AH574" s="347"/>
      <c r="AI574" s="348"/>
      <c r="AJ574" s="408"/>
      <c r="AK574" s="349"/>
      <c r="AL574" s="349"/>
      <c r="AM574" s="349"/>
      <c r="AN574" s="349"/>
      <c r="AO574" s="350"/>
      <c r="AP574" s="408"/>
      <c r="AQ574" s="349"/>
      <c r="AR574" s="349"/>
      <c r="AS574" s="349"/>
      <c r="AT574" s="349"/>
      <c r="AU574" s="350"/>
      <c r="AV574" s="408"/>
      <c r="AW574" s="351"/>
      <c r="AX574" s="351"/>
      <c r="AY574" s="351"/>
      <c r="AZ574" s="351"/>
      <c r="BA574" s="352"/>
    </row>
    <row r="575" spans="1:53" ht="17.100000000000001" customHeight="1" x14ac:dyDescent="0.25">
      <c r="A575" s="68"/>
      <c r="B575" s="41" t="s">
        <v>331</v>
      </c>
      <c r="C575" s="69" t="s">
        <v>332</v>
      </c>
      <c r="D575" s="50"/>
      <c r="E575" s="70"/>
      <c r="F575" s="70"/>
      <c r="G575" s="70"/>
      <c r="H575" s="243">
        <v>17</v>
      </c>
      <c r="J575" s="71"/>
      <c r="K575" s="71"/>
      <c r="L575" s="71"/>
      <c r="M575" s="71"/>
      <c r="N575" s="71"/>
      <c r="O575" s="71"/>
      <c r="P575" s="71"/>
      <c r="Q575" s="71"/>
      <c r="R575" s="71"/>
      <c r="S575" s="71"/>
      <c r="T575" s="71"/>
      <c r="U575" s="71"/>
      <c r="V575" s="355"/>
      <c r="W575" s="377"/>
      <c r="X575" s="71"/>
      <c r="Y575" s="72"/>
      <c r="Z575" s="73"/>
      <c r="AA575" s="73"/>
      <c r="AB575" s="73"/>
      <c r="AC575" s="73"/>
      <c r="AE575" s="71"/>
      <c r="AF575" s="71"/>
      <c r="AG575" s="71"/>
      <c r="AH575" s="72"/>
      <c r="AI575" s="73"/>
      <c r="AK575" s="71"/>
      <c r="AL575" s="71"/>
      <c r="AM575" s="71"/>
      <c r="AN575" s="72"/>
      <c r="AO575" s="73"/>
      <c r="AQ575" s="71"/>
      <c r="AR575" s="71"/>
      <c r="AS575" s="71"/>
      <c r="AT575" s="72"/>
      <c r="AU575" s="73"/>
      <c r="AW575" s="71"/>
      <c r="AX575" s="71"/>
      <c r="AY575" s="71"/>
      <c r="AZ575" s="72"/>
      <c r="BA575" s="73"/>
    </row>
    <row r="576" spans="1:53" ht="17.100000000000001" customHeight="1" x14ac:dyDescent="0.25">
      <c r="A576" s="40"/>
      <c r="B576" s="40"/>
      <c r="C576" s="74" t="s">
        <v>333</v>
      </c>
      <c r="D576" s="85" t="s">
        <v>9</v>
      </c>
      <c r="E576" s="105"/>
      <c r="F576" s="105"/>
      <c r="G576" s="105"/>
      <c r="H576" s="119"/>
      <c r="I576" s="231"/>
      <c r="J576" s="581"/>
      <c r="K576" s="581"/>
      <c r="L576" s="582"/>
      <c r="M576" s="593">
        <f>SUM(J576:L576)</f>
        <v>0</v>
      </c>
      <c r="N576" s="111"/>
      <c r="O576" s="111"/>
      <c r="P576" s="111"/>
      <c r="Q576" s="111"/>
      <c r="R576" s="111"/>
      <c r="S576" s="111"/>
      <c r="T576" s="111"/>
      <c r="U576" s="111"/>
      <c r="V576" s="358"/>
      <c r="W576" s="391">
        <f t="shared" ref="W576:W579" si="687">J576+K576+N576+Q576+T576</f>
        <v>0</v>
      </c>
      <c r="X576" s="17">
        <f t="shared" ref="X576:X579" si="688">L576+O576+R576+U576</f>
        <v>0</v>
      </c>
      <c r="Y576" s="18">
        <f>SUM(W576:X576)</f>
        <v>0</v>
      </c>
      <c r="Z576" s="19">
        <f>IF(Y$580=0,0,Y576/Y$580)</f>
        <v>0</v>
      </c>
      <c r="AA576" s="19"/>
      <c r="AB576" s="19"/>
      <c r="AC576" s="17"/>
      <c r="AE576" s="17"/>
      <c r="AF576" s="17"/>
      <c r="AG576" s="17"/>
      <c r="AH576" s="18">
        <f t="shared" ref="AH576:AH579" si="689">J576</f>
        <v>0</v>
      </c>
      <c r="AI576" s="19">
        <f>IF(AH$580=0,0,AH576/AH$580)</f>
        <v>0</v>
      </c>
      <c r="AJ576" s="97"/>
      <c r="AK576" s="17"/>
      <c r="AL576" s="17"/>
      <c r="AM576" s="17"/>
      <c r="AN576" s="18">
        <f t="shared" ref="AN576:AN579" si="690">K576</f>
        <v>0</v>
      </c>
      <c r="AO576" s="19">
        <f>IF(AN$580=0,0,AN576/AN$580)</f>
        <v>0</v>
      </c>
      <c r="AP576" s="97"/>
      <c r="AQ576" s="17"/>
      <c r="AR576" s="17"/>
      <c r="AS576" s="17"/>
      <c r="AT576" s="18">
        <f t="shared" ref="AT576:AT579" si="691">W576</f>
        <v>0</v>
      </c>
      <c r="AU576" s="19">
        <f>IF(AT$580=0,0,AT576/AT$580)</f>
        <v>0</v>
      </c>
      <c r="AV576" s="97"/>
      <c r="AW576" s="17"/>
      <c r="AX576" s="17"/>
      <c r="AY576" s="17"/>
      <c r="AZ576" s="18">
        <f t="shared" ref="AZ576:AZ579" si="692">X576</f>
        <v>0</v>
      </c>
      <c r="BA576" s="19">
        <f>IF(AZ$580=0,0,AZ576/AZ$580)</f>
        <v>0</v>
      </c>
    </row>
    <row r="577" spans="1:53" ht="17.100000000000001" customHeight="1" x14ac:dyDescent="0.25">
      <c r="A577" s="40"/>
      <c r="B577" s="40"/>
      <c r="C577" s="74" t="s">
        <v>334</v>
      </c>
      <c r="D577" s="85" t="s">
        <v>335</v>
      </c>
      <c r="E577" s="105"/>
      <c r="F577" s="105"/>
      <c r="G577" s="105"/>
      <c r="H577" s="119"/>
      <c r="I577" s="231"/>
      <c r="J577" s="583"/>
      <c r="K577" s="583"/>
      <c r="L577" s="584"/>
      <c r="M577" s="593">
        <f t="shared" ref="M577:M579" si="693">SUM(J577:L577)</f>
        <v>0</v>
      </c>
      <c r="N577" s="111"/>
      <c r="O577" s="111"/>
      <c r="P577" s="111"/>
      <c r="Q577" s="111"/>
      <c r="R577" s="111"/>
      <c r="S577" s="111"/>
      <c r="T577" s="111"/>
      <c r="U577" s="111"/>
      <c r="V577" s="358"/>
      <c r="W577" s="391">
        <f t="shared" si="687"/>
        <v>0</v>
      </c>
      <c r="X577" s="17">
        <f t="shared" si="688"/>
        <v>0</v>
      </c>
      <c r="Y577" s="18">
        <f>SUM(W577:X577)</f>
        <v>0</v>
      </c>
      <c r="Z577" s="19">
        <f t="shared" ref="Z577:Z579" si="694">IF(Y$580=0,0,Y577/Y$580)</f>
        <v>0</v>
      </c>
      <c r="AA577" s="19"/>
      <c r="AB577" s="19"/>
      <c r="AC577" s="17"/>
      <c r="AE577" s="17"/>
      <c r="AF577" s="17"/>
      <c r="AG577" s="17"/>
      <c r="AH577" s="18">
        <f t="shared" si="689"/>
        <v>0</v>
      </c>
      <c r="AI577" s="19">
        <f t="shared" ref="AI577:AI580" si="695">IF(AH$580=0,0,AH577/AH$580)</f>
        <v>0</v>
      </c>
      <c r="AJ577" s="97"/>
      <c r="AK577" s="17"/>
      <c r="AL577" s="17"/>
      <c r="AM577" s="17"/>
      <c r="AN577" s="18">
        <f t="shared" si="690"/>
        <v>0</v>
      </c>
      <c r="AO577" s="19">
        <f t="shared" ref="AO577:AO580" si="696">IF(AN$580=0,0,AN577/AN$580)</f>
        <v>0</v>
      </c>
      <c r="AP577" s="97"/>
      <c r="AQ577" s="17"/>
      <c r="AR577" s="17"/>
      <c r="AS577" s="17"/>
      <c r="AT577" s="18">
        <f t="shared" si="691"/>
        <v>0</v>
      </c>
      <c r="AU577" s="19">
        <f t="shared" ref="AU577:AU580" si="697">IF(AT$580=0,0,AT577/AT$580)</f>
        <v>0</v>
      </c>
      <c r="AV577" s="97"/>
      <c r="AW577" s="17"/>
      <c r="AX577" s="17"/>
      <c r="AY577" s="17"/>
      <c r="AZ577" s="18">
        <f t="shared" si="692"/>
        <v>0</v>
      </c>
      <c r="BA577" s="19">
        <f t="shared" ref="BA577:BA580" si="698">IF(AZ$580=0,0,AZ577/AZ$580)</f>
        <v>0</v>
      </c>
    </row>
    <row r="578" spans="1:53" ht="17.100000000000001" customHeight="1" x14ac:dyDescent="0.25">
      <c r="A578" s="40"/>
      <c r="B578" s="40"/>
      <c r="C578" s="74" t="s">
        <v>336</v>
      </c>
      <c r="D578" s="85" t="s">
        <v>129</v>
      </c>
      <c r="E578" s="105"/>
      <c r="F578" s="105"/>
      <c r="G578" s="105"/>
      <c r="H578" s="119"/>
      <c r="I578" s="231"/>
      <c r="J578" s="581"/>
      <c r="K578" s="581"/>
      <c r="L578" s="582"/>
      <c r="M578" s="593">
        <f t="shared" si="693"/>
        <v>0</v>
      </c>
      <c r="N578" s="111"/>
      <c r="O578" s="111"/>
      <c r="P578" s="111"/>
      <c r="Q578" s="111"/>
      <c r="R578" s="111"/>
      <c r="S578" s="111"/>
      <c r="T578" s="111"/>
      <c r="U578" s="111"/>
      <c r="V578" s="358"/>
      <c r="W578" s="391">
        <f t="shared" si="687"/>
        <v>0</v>
      </c>
      <c r="X578" s="17">
        <f t="shared" si="688"/>
        <v>0</v>
      </c>
      <c r="Y578" s="18">
        <f>SUM(W578:X578)</f>
        <v>0</v>
      </c>
      <c r="Z578" s="19">
        <f t="shared" si="694"/>
        <v>0</v>
      </c>
      <c r="AA578" s="19"/>
      <c r="AB578" s="19"/>
      <c r="AC578" s="17"/>
      <c r="AE578" s="17"/>
      <c r="AF578" s="17"/>
      <c r="AG578" s="17"/>
      <c r="AH578" s="18">
        <f t="shared" si="689"/>
        <v>0</v>
      </c>
      <c r="AI578" s="19">
        <f t="shared" si="695"/>
        <v>0</v>
      </c>
      <c r="AJ578" s="97"/>
      <c r="AK578" s="17"/>
      <c r="AL578" s="17"/>
      <c r="AM578" s="17"/>
      <c r="AN578" s="18">
        <f t="shared" si="690"/>
        <v>0</v>
      </c>
      <c r="AO578" s="19">
        <f t="shared" si="696"/>
        <v>0</v>
      </c>
      <c r="AP578" s="97"/>
      <c r="AQ578" s="17"/>
      <c r="AR578" s="17"/>
      <c r="AS578" s="17"/>
      <c r="AT578" s="18">
        <f t="shared" si="691"/>
        <v>0</v>
      </c>
      <c r="AU578" s="19">
        <f t="shared" si="697"/>
        <v>0</v>
      </c>
      <c r="AV578" s="97"/>
      <c r="AW578" s="17"/>
      <c r="AX578" s="17"/>
      <c r="AY578" s="17"/>
      <c r="AZ578" s="18">
        <f t="shared" si="692"/>
        <v>0</v>
      </c>
      <c r="BA578" s="19">
        <f t="shared" si="698"/>
        <v>0</v>
      </c>
    </row>
    <row r="579" spans="1:53" ht="17.100000000000001" customHeight="1" x14ac:dyDescent="0.25">
      <c r="A579" s="40"/>
      <c r="B579" s="40"/>
      <c r="C579" s="74" t="s">
        <v>554</v>
      </c>
      <c r="D579" s="85" t="s">
        <v>530</v>
      </c>
      <c r="E579" s="105"/>
      <c r="F579" s="105"/>
      <c r="G579" s="105"/>
      <c r="H579" s="119"/>
      <c r="I579" s="231"/>
      <c r="J579" s="583"/>
      <c r="K579" s="583"/>
      <c r="L579" s="584"/>
      <c r="M579" s="593">
        <f t="shared" si="693"/>
        <v>0</v>
      </c>
      <c r="N579" s="111"/>
      <c r="O579" s="111"/>
      <c r="P579" s="111"/>
      <c r="Q579" s="111"/>
      <c r="R579" s="111"/>
      <c r="S579" s="111"/>
      <c r="T579" s="111"/>
      <c r="U579" s="111"/>
      <c r="V579" s="358"/>
      <c r="W579" s="391">
        <f t="shared" si="687"/>
        <v>0</v>
      </c>
      <c r="X579" s="17">
        <f t="shared" si="688"/>
        <v>0</v>
      </c>
      <c r="Y579" s="18">
        <f>SUM(W579:X579)</f>
        <v>0</v>
      </c>
      <c r="Z579" s="19">
        <f t="shared" si="694"/>
        <v>0</v>
      </c>
      <c r="AA579" s="19"/>
      <c r="AB579" s="19"/>
      <c r="AC579" s="17"/>
      <c r="AE579" s="17"/>
      <c r="AF579" s="17"/>
      <c r="AG579" s="17"/>
      <c r="AH579" s="18">
        <f t="shared" si="689"/>
        <v>0</v>
      </c>
      <c r="AI579" s="19">
        <f t="shared" si="695"/>
        <v>0</v>
      </c>
      <c r="AJ579" s="97"/>
      <c r="AK579" s="17"/>
      <c r="AL579" s="17"/>
      <c r="AM579" s="17"/>
      <c r="AN579" s="18">
        <f t="shared" si="690"/>
        <v>0</v>
      </c>
      <c r="AO579" s="19">
        <f t="shared" si="696"/>
        <v>0</v>
      </c>
      <c r="AP579" s="97"/>
      <c r="AQ579" s="17"/>
      <c r="AR579" s="17"/>
      <c r="AS579" s="17"/>
      <c r="AT579" s="18">
        <f t="shared" si="691"/>
        <v>0</v>
      </c>
      <c r="AU579" s="19">
        <f t="shared" si="697"/>
        <v>0</v>
      </c>
      <c r="AV579" s="97"/>
      <c r="AW579" s="17"/>
      <c r="AX579" s="17"/>
      <c r="AY579" s="17"/>
      <c r="AZ579" s="18">
        <f t="shared" si="692"/>
        <v>0</v>
      </c>
      <c r="BA579" s="19">
        <f t="shared" si="698"/>
        <v>0</v>
      </c>
    </row>
    <row r="580" spans="1:53" ht="17.100000000000001" customHeight="1" x14ac:dyDescent="0.25">
      <c r="A580" s="40"/>
      <c r="B580" s="40"/>
      <c r="C580" s="77"/>
      <c r="D580" s="134"/>
      <c r="E580" s="134"/>
      <c r="F580" s="134"/>
      <c r="G580" s="134"/>
      <c r="H580" s="540"/>
      <c r="I580" s="229"/>
      <c r="J580" s="80">
        <f>SUM(J576:J579)</f>
        <v>0</v>
      </c>
      <c r="K580" s="80">
        <f t="shared" ref="K580:M580" si="699">SUM(K576:K579)</f>
        <v>0</v>
      </c>
      <c r="L580" s="80">
        <f t="shared" si="699"/>
        <v>0</v>
      </c>
      <c r="M580" s="80">
        <f t="shared" si="699"/>
        <v>0</v>
      </c>
      <c r="N580" s="81"/>
      <c r="O580" s="81"/>
      <c r="P580" s="81"/>
      <c r="Q580" s="81"/>
      <c r="R580" s="81"/>
      <c r="S580" s="81"/>
      <c r="T580" s="81"/>
      <c r="U580" s="81"/>
      <c r="V580" s="356"/>
      <c r="W580" s="381">
        <f t="shared" ref="W580:X580" si="700">SUM(W576:W579)</f>
        <v>0</v>
      </c>
      <c r="X580" s="82">
        <f t="shared" si="700"/>
        <v>0</v>
      </c>
      <c r="Y580" s="82">
        <f>SUM(Y576:Y579)</f>
        <v>0</v>
      </c>
      <c r="Z580" s="205">
        <f>IF(Y$580=0,0,Y580/Y$580)</f>
        <v>0</v>
      </c>
      <c r="AA580" s="205"/>
      <c r="AB580" s="205"/>
      <c r="AC580" s="83"/>
      <c r="AE580" s="80"/>
      <c r="AF580" s="80"/>
      <c r="AG580" s="81"/>
      <c r="AH580" s="82">
        <f>SUM(AH576:AH579)</f>
        <v>0</v>
      </c>
      <c r="AI580" s="66">
        <f t="shared" si="695"/>
        <v>0</v>
      </c>
      <c r="AK580" s="80"/>
      <c r="AL580" s="80"/>
      <c r="AM580" s="81"/>
      <c r="AN580" s="82">
        <f>SUM(AN576:AN579)</f>
        <v>0</v>
      </c>
      <c r="AO580" s="66">
        <f t="shared" si="696"/>
        <v>0</v>
      </c>
      <c r="AQ580" s="80"/>
      <c r="AR580" s="80"/>
      <c r="AS580" s="81"/>
      <c r="AT580" s="82">
        <f>SUM(AT576:AT579)</f>
        <v>0</v>
      </c>
      <c r="AU580" s="66">
        <f t="shared" si="697"/>
        <v>0</v>
      </c>
      <c r="AW580" s="80"/>
      <c r="AX580" s="80"/>
      <c r="AY580" s="81"/>
      <c r="AZ580" s="82">
        <f>SUM(AZ576:AZ579)</f>
        <v>0</v>
      </c>
      <c r="BA580" s="66">
        <f t="shared" si="698"/>
        <v>0</v>
      </c>
    </row>
    <row r="581" spans="1:53" s="117" customFormat="1" ht="17.100000000000001" customHeight="1" x14ac:dyDescent="0.25">
      <c r="A581" s="68"/>
      <c r="B581" s="119"/>
      <c r="C581" s="540"/>
      <c r="D581" s="261"/>
      <c r="E581" s="261"/>
      <c r="F581" s="68"/>
      <c r="G581" s="68"/>
      <c r="H581" s="119"/>
      <c r="I581" s="138"/>
      <c r="J581" s="17" t="str">
        <f>IF(J580=J$15,"OK","NOK")</f>
        <v>OK</v>
      </c>
      <c r="K581" s="17" t="str">
        <f t="shared" ref="K581:L581" si="701">IF(K580=K$15,"OK","NOK")</f>
        <v>OK</v>
      </c>
      <c r="L581" s="17" t="str">
        <f t="shared" si="701"/>
        <v>OK</v>
      </c>
      <c r="M581" s="17"/>
      <c r="N581" s="17"/>
      <c r="O581" s="17"/>
      <c r="P581" s="17"/>
      <c r="Q581" s="17"/>
      <c r="R581" s="17"/>
      <c r="S581" s="17"/>
      <c r="T581" s="17"/>
      <c r="U581" s="17"/>
      <c r="V581" s="359"/>
      <c r="W581" s="382"/>
      <c r="X581" s="539"/>
      <c r="Y581" s="539"/>
      <c r="Z581" s="201"/>
      <c r="AA581" s="201"/>
      <c r="AB581" s="201"/>
      <c r="AC581" s="84"/>
      <c r="AE581" s="46"/>
      <c r="AF581" s="46"/>
      <c r="AG581" s="17"/>
      <c r="AH581" s="539"/>
      <c r="AI581" s="91"/>
      <c r="AK581" s="46"/>
      <c r="AL581" s="46"/>
      <c r="AM581" s="17"/>
      <c r="AN581" s="539"/>
      <c r="AO581" s="91"/>
      <c r="AQ581" s="46"/>
      <c r="AR581" s="46"/>
      <c r="AS581" s="17"/>
      <c r="AT581" s="539"/>
      <c r="AU581" s="91"/>
      <c r="AW581" s="46"/>
      <c r="AX581" s="46"/>
      <c r="AY581" s="17"/>
      <c r="AZ581" s="539"/>
      <c r="BA581" s="91"/>
    </row>
    <row r="582" spans="1:53" ht="17.100000000000001" customHeight="1" x14ac:dyDescent="0.25">
      <c r="A582" s="40"/>
      <c r="B582" s="41" t="s">
        <v>337</v>
      </c>
      <c r="C582" s="69" t="s">
        <v>361</v>
      </c>
      <c r="D582" s="50"/>
      <c r="E582" s="70"/>
      <c r="F582" s="70"/>
      <c r="G582" s="70"/>
      <c r="H582" s="243">
        <v>21</v>
      </c>
      <c r="J582" s="71"/>
      <c r="K582" s="71"/>
      <c r="L582" s="71"/>
      <c r="M582" s="71"/>
      <c r="N582" s="71"/>
      <c r="O582" s="71"/>
      <c r="P582" s="71"/>
      <c r="Q582" s="71"/>
      <c r="R582" s="71"/>
      <c r="S582" s="71"/>
      <c r="T582" s="71"/>
      <c r="U582" s="71"/>
      <c r="V582" s="355"/>
      <c r="W582" s="377"/>
      <c r="X582" s="71"/>
      <c r="Y582" s="89"/>
      <c r="Z582" s="90"/>
      <c r="AA582" s="90"/>
      <c r="AB582" s="90"/>
      <c r="AC582" s="227"/>
      <c r="AE582" s="71"/>
      <c r="AF582" s="71"/>
      <c r="AG582" s="71"/>
      <c r="AH582" s="89"/>
      <c r="AI582" s="71"/>
      <c r="AK582" s="71"/>
      <c r="AL582" s="71"/>
      <c r="AM582" s="71"/>
      <c r="AN582" s="89"/>
      <c r="AO582" s="71"/>
      <c r="AQ582" s="71"/>
      <c r="AR582" s="71"/>
      <c r="AS582" s="71"/>
      <c r="AT582" s="89"/>
      <c r="AU582" s="71"/>
      <c r="AW582" s="71"/>
      <c r="AX582" s="71"/>
      <c r="AY582" s="71"/>
      <c r="AZ582" s="89"/>
      <c r="BA582" s="71"/>
    </row>
    <row r="583" spans="1:53" ht="17.100000000000001" customHeight="1" x14ac:dyDescent="0.25">
      <c r="A583" s="40"/>
      <c r="B583" s="40"/>
      <c r="C583" s="74" t="s">
        <v>499</v>
      </c>
      <c r="D583" s="85" t="s">
        <v>495</v>
      </c>
      <c r="E583" s="105"/>
      <c r="F583" s="105"/>
      <c r="G583" s="105"/>
      <c r="H583" s="119"/>
      <c r="I583" s="231"/>
      <c r="J583" s="581"/>
      <c r="K583" s="581"/>
      <c r="L583" s="582"/>
      <c r="M583" s="593">
        <f t="shared" ref="M583:M588" si="702">SUM(J583:L583)</f>
        <v>0</v>
      </c>
      <c r="N583" s="111"/>
      <c r="O583" s="111"/>
      <c r="P583" s="111"/>
      <c r="Q583" s="111"/>
      <c r="R583" s="111"/>
      <c r="S583" s="111"/>
      <c r="T583" s="111"/>
      <c r="U583" s="111"/>
      <c r="V583" s="358"/>
      <c r="W583" s="391">
        <f t="shared" ref="W583:W588" si="703">J583+K583+N583+Q583+T583</f>
        <v>0</v>
      </c>
      <c r="X583" s="17">
        <f t="shared" ref="X583:X588" si="704">L583+O583+R583+U583</f>
        <v>0</v>
      </c>
      <c r="Y583" s="18">
        <f t="shared" ref="Y583:Y588" si="705">SUM(W583:X583)</f>
        <v>0</v>
      </c>
      <c r="Z583" s="19">
        <f>IF(Y$589=0,0,Y583/Y$589)</f>
        <v>0</v>
      </c>
      <c r="AA583" s="19"/>
      <c r="AB583" s="19"/>
      <c r="AC583" s="17"/>
      <c r="AE583" s="17"/>
      <c r="AF583" s="17"/>
      <c r="AG583" s="17"/>
      <c r="AH583" s="18">
        <f t="shared" ref="AH583:AH588" si="706">J583</f>
        <v>0</v>
      </c>
      <c r="AI583" s="19">
        <f>IF(AH$589=0,0,AH583/AH$589)</f>
        <v>0</v>
      </c>
      <c r="AJ583" s="97"/>
      <c r="AK583" s="17"/>
      <c r="AL583" s="17"/>
      <c r="AM583" s="17"/>
      <c r="AN583" s="18">
        <f t="shared" ref="AN583:AN588" si="707">K583</f>
        <v>0</v>
      </c>
      <c r="AO583" s="19">
        <f>IF(AN$589=0,0,AN583/AN$589)</f>
        <v>0</v>
      </c>
      <c r="AP583" s="97"/>
      <c r="AQ583" s="17"/>
      <c r="AR583" s="17"/>
      <c r="AS583" s="17"/>
      <c r="AT583" s="18">
        <f t="shared" ref="AT583:AT588" si="708">W583</f>
        <v>0</v>
      </c>
      <c r="AU583" s="19">
        <f>IF(AT$589=0,0,AT583/AT$589)</f>
        <v>0</v>
      </c>
      <c r="AV583" s="97"/>
      <c r="AW583" s="17"/>
      <c r="AX583" s="17"/>
      <c r="AY583" s="17"/>
      <c r="AZ583" s="18">
        <f t="shared" ref="AZ583:AZ588" si="709">X583</f>
        <v>0</v>
      </c>
      <c r="BA583" s="19">
        <f>IF(AZ$589=0,0,AZ583/AZ$589)</f>
        <v>0</v>
      </c>
    </row>
    <row r="584" spans="1:53" ht="17.100000000000001" customHeight="1" x14ac:dyDescent="0.25">
      <c r="A584" s="40"/>
      <c r="B584" s="40"/>
      <c r="C584" s="74" t="s">
        <v>500</v>
      </c>
      <c r="D584" s="85" t="s">
        <v>496</v>
      </c>
      <c r="E584" s="105"/>
      <c r="F584" s="105"/>
      <c r="G584" s="105"/>
      <c r="H584" s="119"/>
      <c r="I584" s="231"/>
      <c r="J584" s="583"/>
      <c r="K584" s="583"/>
      <c r="L584" s="584"/>
      <c r="M584" s="593">
        <f t="shared" si="702"/>
        <v>0</v>
      </c>
      <c r="N584" s="111"/>
      <c r="O584" s="111"/>
      <c r="P584" s="111"/>
      <c r="Q584" s="111"/>
      <c r="R584" s="111"/>
      <c r="S584" s="111"/>
      <c r="T584" s="111"/>
      <c r="U584" s="111"/>
      <c r="V584" s="358"/>
      <c r="W584" s="391">
        <f t="shared" si="703"/>
        <v>0</v>
      </c>
      <c r="X584" s="17">
        <f t="shared" si="704"/>
        <v>0</v>
      </c>
      <c r="Y584" s="18">
        <f t="shared" si="705"/>
        <v>0</v>
      </c>
      <c r="Z584" s="19">
        <f t="shared" ref="Z584:Z588" si="710">IF(Y$589=0,0,Y584/Y$589)</f>
        <v>0</v>
      </c>
      <c r="AA584" s="19"/>
      <c r="AB584" s="19"/>
      <c r="AC584" s="17"/>
      <c r="AE584" s="17"/>
      <c r="AF584" s="17"/>
      <c r="AG584" s="17"/>
      <c r="AH584" s="18">
        <f t="shared" si="706"/>
        <v>0</v>
      </c>
      <c r="AI584" s="19">
        <f t="shared" ref="AI584:AI589" si="711">IF(AH$589=0,0,AH584/AH$589)</f>
        <v>0</v>
      </c>
      <c r="AJ584" s="97"/>
      <c r="AK584" s="17"/>
      <c r="AL584" s="17"/>
      <c r="AM584" s="17"/>
      <c r="AN584" s="18">
        <f t="shared" si="707"/>
        <v>0</v>
      </c>
      <c r="AO584" s="19">
        <f t="shared" ref="AO584:AO589" si="712">IF(AN$589=0,0,AN584/AN$589)</f>
        <v>0</v>
      </c>
      <c r="AP584" s="97"/>
      <c r="AQ584" s="17"/>
      <c r="AR584" s="17"/>
      <c r="AS584" s="17"/>
      <c r="AT584" s="18">
        <f t="shared" si="708"/>
        <v>0</v>
      </c>
      <c r="AU584" s="19">
        <f t="shared" ref="AU584:AU589" si="713">IF(AT$589=0,0,AT584/AT$589)</f>
        <v>0</v>
      </c>
      <c r="AV584" s="97"/>
      <c r="AW584" s="17"/>
      <c r="AX584" s="17"/>
      <c r="AY584" s="17"/>
      <c r="AZ584" s="18">
        <f t="shared" si="709"/>
        <v>0</v>
      </c>
      <c r="BA584" s="19">
        <f t="shared" ref="BA584:BA589" si="714">IF(AZ$589=0,0,AZ584/AZ$589)</f>
        <v>0</v>
      </c>
    </row>
    <row r="585" spans="1:53" ht="17.100000000000001" customHeight="1" x14ac:dyDescent="0.25">
      <c r="A585" s="40"/>
      <c r="B585" s="40"/>
      <c r="C585" s="74" t="s">
        <v>501</v>
      </c>
      <c r="D585" s="85" t="s">
        <v>497</v>
      </c>
      <c r="E585" s="105"/>
      <c r="F585" s="105"/>
      <c r="G585" s="105"/>
      <c r="H585" s="119"/>
      <c r="I585" s="231"/>
      <c r="J585" s="581"/>
      <c r="K585" s="581"/>
      <c r="L585" s="582"/>
      <c r="M585" s="593">
        <f t="shared" si="702"/>
        <v>0</v>
      </c>
      <c r="N585" s="111"/>
      <c r="O585" s="111"/>
      <c r="P585" s="111"/>
      <c r="Q585" s="111"/>
      <c r="R585" s="111"/>
      <c r="S585" s="111"/>
      <c r="T585" s="111"/>
      <c r="U585" s="111"/>
      <c r="V585" s="358"/>
      <c r="W585" s="391">
        <f t="shared" si="703"/>
        <v>0</v>
      </c>
      <c r="X585" s="17">
        <f t="shared" si="704"/>
        <v>0</v>
      </c>
      <c r="Y585" s="18">
        <f t="shared" si="705"/>
        <v>0</v>
      </c>
      <c r="Z585" s="19">
        <f t="shared" si="710"/>
        <v>0</v>
      </c>
      <c r="AA585" s="19"/>
      <c r="AB585" s="19"/>
      <c r="AC585" s="17"/>
      <c r="AE585" s="17"/>
      <c r="AF585" s="17"/>
      <c r="AG585" s="17"/>
      <c r="AH585" s="18">
        <f t="shared" si="706"/>
        <v>0</v>
      </c>
      <c r="AI585" s="19">
        <f t="shared" si="711"/>
        <v>0</v>
      </c>
      <c r="AJ585" s="97"/>
      <c r="AK585" s="17"/>
      <c r="AL585" s="17"/>
      <c r="AM585" s="17"/>
      <c r="AN585" s="18">
        <f t="shared" si="707"/>
        <v>0</v>
      </c>
      <c r="AO585" s="19">
        <f t="shared" si="712"/>
        <v>0</v>
      </c>
      <c r="AP585" s="97"/>
      <c r="AQ585" s="17"/>
      <c r="AR585" s="17"/>
      <c r="AS585" s="17"/>
      <c r="AT585" s="18">
        <f t="shared" si="708"/>
        <v>0</v>
      </c>
      <c r="AU585" s="19">
        <f t="shared" si="713"/>
        <v>0</v>
      </c>
      <c r="AV585" s="97"/>
      <c r="AW585" s="17"/>
      <c r="AX585" s="17"/>
      <c r="AY585" s="17"/>
      <c r="AZ585" s="18">
        <f t="shared" si="709"/>
        <v>0</v>
      </c>
      <c r="BA585" s="19">
        <f t="shared" si="714"/>
        <v>0</v>
      </c>
    </row>
    <row r="586" spans="1:53" ht="17.100000000000001" customHeight="1" x14ac:dyDescent="0.25">
      <c r="A586" s="40"/>
      <c r="B586" s="40"/>
      <c r="C586" s="74" t="s">
        <v>502</v>
      </c>
      <c r="D586" s="85" t="s">
        <v>498</v>
      </c>
      <c r="E586" s="105"/>
      <c r="F586" s="105"/>
      <c r="G586" s="105"/>
      <c r="H586" s="119"/>
      <c r="I586" s="231"/>
      <c r="J586" s="583"/>
      <c r="K586" s="583"/>
      <c r="L586" s="584"/>
      <c r="M586" s="593">
        <f t="shared" si="702"/>
        <v>0</v>
      </c>
      <c r="N586" s="111"/>
      <c r="O586" s="111"/>
      <c r="P586" s="111"/>
      <c r="Q586" s="111"/>
      <c r="R586" s="111"/>
      <c r="S586" s="111"/>
      <c r="T586" s="111"/>
      <c r="U586" s="111"/>
      <c r="V586" s="358"/>
      <c r="W586" s="391">
        <f t="shared" si="703"/>
        <v>0</v>
      </c>
      <c r="X586" s="17">
        <f t="shared" si="704"/>
        <v>0</v>
      </c>
      <c r="Y586" s="18">
        <f t="shared" si="705"/>
        <v>0</v>
      </c>
      <c r="Z586" s="19">
        <f t="shared" si="710"/>
        <v>0</v>
      </c>
      <c r="AA586" s="19"/>
      <c r="AB586" s="19"/>
      <c r="AC586" s="17"/>
      <c r="AE586" s="17"/>
      <c r="AF586" s="17"/>
      <c r="AG586" s="17"/>
      <c r="AH586" s="18">
        <f t="shared" si="706"/>
        <v>0</v>
      </c>
      <c r="AI586" s="19">
        <f t="shared" si="711"/>
        <v>0</v>
      </c>
      <c r="AJ586" s="97"/>
      <c r="AK586" s="17"/>
      <c r="AL586" s="17"/>
      <c r="AM586" s="17"/>
      <c r="AN586" s="18">
        <f t="shared" si="707"/>
        <v>0</v>
      </c>
      <c r="AO586" s="19">
        <f t="shared" si="712"/>
        <v>0</v>
      </c>
      <c r="AP586" s="97"/>
      <c r="AQ586" s="17"/>
      <c r="AR586" s="17"/>
      <c r="AS586" s="17"/>
      <c r="AT586" s="18">
        <f t="shared" si="708"/>
        <v>0</v>
      </c>
      <c r="AU586" s="19">
        <f t="shared" si="713"/>
        <v>0</v>
      </c>
      <c r="AV586" s="97"/>
      <c r="AW586" s="17"/>
      <c r="AX586" s="17"/>
      <c r="AY586" s="17"/>
      <c r="AZ586" s="18">
        <f t="shared" si="709"/>
        <v>0</v>
      </c>
      <c r="BA586" s="19">
        <f t="shared" si="714"/>
        <v>0</v>
      </c>
    </row>
    <row r="587" spans="1:53" ht="17.100000000000001" customHeight="1" x14ac:dyDescent="0.25">
      <c r="A587" s="40"/>
      <c r="B587" s="40"/>
      <c r="C587" s="74" t="s">
        <v>503</v>
      </c>
      <c r="D587" s="85" t="s">
        <v>129</v>
      </c>
      <c r="E587" s="105"/>
      <c r="F587" s="105"/>
      <c r="G587" s="105"/>
      <c r="H587" s="119"/>
      <c r="I587" s="231"/>
      <c r="J587" s="581"/>
      <c r="K587" s="581"/>
      <c r="L587" s="582"/>
      <c r="M587" s="593">
        <f t="shared" si="702"/>
        <v>0</v>
      </c>
      <c r="N587" s="111"/>
      <c r="O587" s="111"/>
      <c r="P587" s="111"/>
      <c r="Q587" s="111"/>
      <c r="R587" s="111"/>
      <c r="S587" s="111"/>
      <c r="T587" s="111"/>
      <c r="U587" s="111"/>
      <c r="V587" s="358"/>
      <c r="W587" s="391">
        <f t="shared" si="703"/>
        <v>0</v>
      </c>
      <c r="X587" s="17">
        <f t="shared" si="704"/>
        <v>0</v>
      </c>
      <c r="Y587" s="18">
        <f t="shared" si="705"/>
        <v>0</v>
      </c>
      <c r="Z587" s="19">
        <f t="shared" si="710"/>
        <v>0</v>
      </c>
      <c r="AA587" s="19"/>
      <c r="AB587" s="19"/>
      <c r="AC587" s="17"/>
      <c r="AE587" s="17"/>
      <c r="AF587" s="17"/>
      <c r="AG587" s="17"/>
      <c r="AH587" s="18">
        <f t="shared" si="706"/>
        <v>0</v>
      </c>
      <c r="AI587" s="19">
        <f t="shared" si="711"/>
        <v>0</v>
      </c>
      <c r="AJ587" s="97"/>
      <c r="AK587" s="17"/>
      <c r="AL587" s="17"/>
      <c r="AM587" s="17"/>
      <c r="AN587" s="18">
        <f t="shared" si="707"/>
        <v>0</v>
      </c>
      <c r="AO587" s="19">
        <f t="shared" si="712"/>
        <v>0</v>
      </c>
      <c r="AP587" s="97"/>
      <c r="AQ587" s="17"/>
      <c r="AR587" s="17"/>
      <c r="AS587" s="17"/>
      <c r="AT587" s="18">
        <f t="shared" si="708"/>
        <v>0</v>
      </c>
      <c r="AU587" s="19">
        <f t="shared" si="713"/>
        <v>0</v>
      </c>
      <c r="AV587" s="97"/>
      <c r="AW587" s="17"/>
      <c r="AX587" s="17"/>
      <c r="AY587" s="17"/>
      <c r="AZ587" s="18">
        <f t="shared" si="709"/>
        <v>0</v>
      </c>
      <c r="BA587" s="19">
        <f t="shared" si="714"/>
        <v>0</v>
      </c>
    </row>
    <row r="588" spans="1:53" ht="17.100000000000001" customHeight="1" x14ac:dyDescent="0.25">
      <c r="A588" s="40"/>
      <c r="B588" s="40"/>
      <c r="C588" s="74" t="s">
        <v>551</v>
      </c>
      <c r="D588" s="85" t="s">
        <v>550</v>
      </c>
      <c r="E588" s="105"/>
      <c r="F588" s="105"/>
      <c r="G588" s="105"/>
      <c r="H588" s="119"/>
      <c r="I588" s="231"/>
      <c r="J588" s="583"/>
      <c r="K588" s="583"/>
      <c r="L588" s="584"/>
      <c r="M588" s="593">
        <f t="shared" si="702"/>
        <v>0</v>
      </c>
      <c r="N588" s="111"/>
      <c r="O588" s="111"/>
      <c r="P588" s="111"/>
      <c r="Q588" s="111"/>
      <c r="R588" s="111"/>
      <c r="S588" s="111"/>
      <c r="T588" s="111"/>
      <c r="U588" s="111"/>
      <c r="V588" s="358"/>
      <c r="W588" s="391">
        <f t="shared" si="703"/>
        <v>0</v>
      </c>
      <c r="X588" s="17">
        <f t="shared" si="704"/>
        <v>0</v>
      </c>
      <c r="Y588" s="18">
        <f t="shared" si="705"/>
        <v>0</v>
      </c>
      <c r="Z588" s="19">
        <f t="shared" si="710"/>
        <v>0</v>
      </c>
      <c r="AA588" s="19"/>
      <c r="AB588" s="19"/>
      <c r="AC588" s="17"/>
      <c r="AE588" s="17"/>
      <c r="AF588" s="17"/>
      <c r="AG588" s="17"/>
      <c r="AH588" s="18">
        <f t="shared" si="706"/>
        <v>0</v>
      </c>
      <c r="AI588" s="19">
        <f t="shared" si="711"/>
        <v>0</v>
      </c>
      <c r="AJ588" s="97"/>
      <c r="AK588" s="17"/>
      <c r="AL588" s="17"/>
      <c r="AM588" s="17"/>
      <c r="AN588" s="18">
        <f t="shared" si="707"/>
        <v>0</v>
      </c>
      <c r="AO588" s="19">
        <f t="shared" si="712"/>
        <v>0</v>
      </c>
      <c r="AP588" s="97"/>
      <c r="AQ588" s="17"/>
      <c r="AR588" s="17"/>
      <c r="AS588" s="17"/>
      <c r="AT588" s="18">
        <f t="shared" si="708"/>
        <v>0</v>
      </c>
      <c r="AU588" s="19">
        <f t="shared" si="713"/>
        <v>0</v>
      </c>
      <c r="AV588" s="97"/>
      <c r="AW588" s="17"/>
      <c r="AX588" s="17"/>
      <c r="AY588" s="17"/>
      <c r="AZ588" s="18">
        <f t="shared" si="709"/>
        <v>0</v>
      </c>
      <c r="BA588" s="19">
        <f t="shared" si="714"/>
        <v>0</v>
      </c>
    </row>
    <row r="589" spans="1:53" ht="17.100000000000001" customHeight="1" x14ac:dyDescent="0.25">
      <c r="A589" s="40"/>
      <c r="B589" s="40"/>
      <c r="C589" s="77"/>
      <c r="D589" s="134"/>
      <c r="E589" s="134"/>
      <c r="F589" s="134"/>
      <c r="G589" s="134"/>
      <c r="H589" s="540"/>
      <c r="I589" s="229"/>
      <c r="J589" s="80">
        <f>SUM(J583:J588)</f>
        <v>0</v>
      </c>
      <c r="K589" s="80">
        <f t="shared" ref="K589:M589" si="715">SUM(K583:K588)</f>
        <v>0</v>
      </c>
      <c r="L589" s="80">
        <f t="shared" si="715"/>
        <v>0</v>
      </c>
      <c r="M589" s="80">
        <f t="shared" si="715"/>
        <v>0</v>
      </c>
      <c r="N589" s="81"/>
      <c r="O589" s="81"/>
      <c r="P589" s="81"/>
      <c r="Q589" s="81"/>
      <c r="R589" s="81"/>
      <c r="S589" s="81"/>
      <c r="T589" s="81"/>
      <c r="U589" s="81"/>
      <c r="V589" s="356"/>
      <c r="W589" s="381">
        <f t="shared" ref="W589:X589" si="716">SUM(W583:W588)</f>
        <v>0</v>
      </c>
      <c r="X589" s="82">
        <f t="shared" si="716"/>
        <v>0</v>
      </c>
      <c r="Y589" s="82">
        <f>SUM(Y583:Y588)</f>
        <v>0</v>
      </c>
      <c r="Z589" s="205">
        <f>IF(Y$589=0,0,Y589/Y$589)</f>
        <v>0</v>
      </c>
      <c r="AA589" s="205"/>
      <c r="AB589" s="205"/>
      <c r="AC589" s="83"/>
      <c r="AE589" s="80"/>
      <c r="AF589" s="80"/>
      <c r="AG589" s="81"/>
      <c r="AH589" s="82">
        <f>SUM(AH583:AH588)</f>
        <v>0</v>
      </c>
      <c r="AI589" s="66">
        <f t="shared" si="711"/>
        <v>0</v>
      </c>
      <c r="AK589" s="80"/>
      <c r="AL589" s="80"/>
      <c r="AM589" s="81"/>
      <c r="AN589" s="82">
        <f>SUM(AN583:AN588)</f>
        <v>0</v>
      </c>
      <c r="AO589" s="66">
        <f t="shared" si="712"/>
        <v>0</v>
      </c>
      <c r="AQ589" s="80"/>
      <c r="AR589" s="80"/>
      <c r="AS589" s="81"/>
      <c r="AT589" s="82">
        <f>SUM(AT583:AT588)</f>
        <v>0</v>
      </c>
      <c r="AU589" s="66">
        <f t="shared" si="713"/>
        <v>0</v>
      </c>
      <c r="AW589" s="80"/>
      <c r="AX589" s="80"/>
      <c r="AY589" s="81"/>
      <c r="AZ589" s="82">
        <f>SUM(AZ583:AZ588)</f>
        <v>0</v>
      </c>
      <c r="BA589" s="66">
        <f t="shared" si="714"/>
        <v>0</v>
      </c>
    </row>
    <row r="590" spans="1:53" s="117" customFormat="1" ht="17.100000000000001" customHeight="1" x14ac:dyDescent="0.25">
      <c r="A590" s="68"/>
      <c r="B590" s="119"/>
      <c r="C590" s="540"/>
      <c r="D590" s="261"/>
      <c r="E590" s="261"/>
      <c r="F590" s="68"/>
      <c r="G590" s="68"/>
      <c r="H590" s="119"/>
      <c r="I590" s="138"/>
      <c r="J590" s="17" t="str">
        <f t="shared" ref="J590:L590" si="717">IF(J589=J$576,"OK","NOK")</f>
        <v>OK</v>
      </c>
      <c r="K590" s="17" t="str">
        <f t="shared" si="717"/>
        <v>OK</v>
      </c>
      <c r="L590" s="17" t="str">
        <f t="shared" si="717"/>
        <v>OK</v>
      </c>
      <c r="M590" s="17"/>
      <c r="N590" s="17"/>
      <c r="O590" s="17"/>
      <c r="P590" s="17"/>
      <c r="Q590" s="17"/>
      <c r="R590" s="17"/>
      <c r="S590" s="17"/>
      <c r="T590" s="17"/>
      <c r="U590" s="17"/>
      <c r="V590" s="359"/>
      <c r="W590" s="382"/>
      <c r="X590" s="539"/>
      <c r="Y590" s="539"/>
      <c r="Z590" s="201"/>
      <c r="AA590" s="201"/>
      <c r="AB590" s="201"/>
      <c r="AC590" s="84"/>
      <c r="AE590" s="46"/>
      <c r="AF590" s="46"/>
      <c r="AG590" s="17"/>
      <c r="AH590" s="539"/>
      <c r="AI590" s="91"/>
      <c r="AK590" s="46"/>
      <c r="AL590" s="46"/>
      <c r="AM590" s="17"/>
      <c r="AN590" s="539"/>
      <c r="AO590" s="91"/>
      <c r="AQ590" s="46"/>
      <c r="AR590" s="46"/>
      <c r="AS590" s="17"/>
      <c r="AT590" s="539"/>
      <c r="AU590" s="91"/>
      <c r="AW590" s="46"/>
      <c r="AX590" s="46"/>
      <c r="AY590" s="17"/>
      <c r="AZ590" s="539"/>
      <c r="BA590" s="91"/>
    </row>
    <row r="591" spans="1:53" ht="17.100000000000001" customHeight="1" x14ac:dyDescent="0.25">
      <c r="A591" s="68"/>
      <c r="B591" s="41" t="s">
        <v>338</v>
      </c>
      <c r="C591" s="69" t="s">
        <v>360</v>
      </c>
      <c r="D591" s="50"/>
      <c r="E591" s="70"/>
      <c r="F591" s="70"/>
      <c r="G591" s="70"/>
      <c r="H591" s="243">
        <v>18</v>
      </c>
      <c r="J591" s="71"/>
      <c r="K591" s="71"/>
      <c r="L591" s="71"/>
      <c r="M591" s="71"/>
      <c r="N591" s="71"/>
      <c r="O591" s="71"/>
      <c r="P591" s="71"/>
      <c r="Q591" s="71"/>
      <c r="R591" s="71"/>
      <c r="S591" s="71"/>
      <c r="T591" s="71"/>
      <c r="U591" s="71"/>
      <c r="V591" s="355"/>
      <c r="W591" s="377"/>
      <c r="X591" s="71"/>
      <c r="Y591" s="72"/>
      <c r="Z591" s="73"/>
      <c r="AA591" s="73"/>
      <c r="AB591" s="73"/>
      <c r="AC591" s="73"/>
      <c r="AE591" s="71"/>
      <c r="AF591" s="71"/>
      <c r="AG591" s="71"/>
      <c r="AH591" s="72"/>
      <c r="AI591" s="73"/>
      <c r="AK591" s="71"/>
      <c r="AL591" s="71"/>
      <c r="AM591" s="71"/>
      <c r="AN591" s="72"/>
      <c r="AO591" s="73"/>
      <c r="AQ591" s="71"/>
      <c r="AR591" s="71"/>
      <c r="AS591" s="71"/>
      <c r="AT591" s="72"/>
      <c r="AU591" s="73"/>
      <c r="AW591" s="71"/>
      <c r="AX591" s="71"/>
      <c r="AY591" s="71"/>
      <c r="AZ591" s="72"/>
      <c r="BA591" s="73"/>
    </row>
    <row r="592" spans="1:53" ht="17.100000000000001" customHeight="1" x14ac:dyDescent="0.25">
      <c r="A592" s="40"/>
      <c r="B592" s="40"/>
      <c r="C592" s="74" t="s">
        <v>339</v>
      </c>
      <c r="D592" s="85" t="s">
        <v>504</v>
      </c>
      <c r="E592" s="105"/>
      <c r="F592" s="105"/>
      <c r="G592" s="105"/>
      <c r="H592" s="119"/>
      <c r="I592" s="231"/>
      <c r="J592" s="581"/>
      <c r="K592" s="581"/>
      <c r="L592" s="582"/>
      <c r="M592" s="593">
        <f t="shared" ref="M592:M596" si="718">SUM(J592:L592)</f>
        <v>0</v>
      </c>
      <c r="N592" s="111"/>
      <c r="O592" s="111"/>
      <c r="P592" s="111"/>
      <c r="Q592" s="111"/>
      <c r="R592" s="111"/>
      <c r="S592" s="111"/>
      <c r="T592" s="111"/>
      <c r="U592" s="111"/>
      <c r="V592" s="358"/>
      <c r="W592" s="391">
        <f t="shared" ref="W592:W596" si="719">J592+K592+N592+Q592+T592</f>
        <v>0</v>
      </c>
      <c r="X592" s="17">
        <f t="shared" ref="X592:X596" si="720">L592+O592+R592+U592</f>
        <v>0</v>
      </c>
      <c r="Y592" s="18">
        <f>SUM(W592:X592)</f>
        <v>0</v>
      </c>
      <c r="Z592" s="19">
        <f>IF(Y$597=0,0,Y592/Y$597)</f>
        <v>0</v>
      </c>
      <c r="AA592" s="19"/>
      <c r="AB592" s="19"/>
      <c r="AC592" s="17"/>
      <c r="AE592" s="17"/>
      <c r="AF592" s="17"/>
      <c r="AG592" s="17"/>
      <c r="AH592" s="18">
        <f t="shared" ref="AH592:AH596" si="721">J592</f>
        <v>0</v>
      </c>
      <c r="AI592" s="19">
        <f>IF(AH$597=0,0,AH592/AH$597)</f>
        <v>0</v>
      </c>
      <c r="AJ592" s="97"/>
      <c r="AK592" s="17"/>
      <c r="AL592" s="17"/>
      <c r="AM592" s="17"/>
      <c r="AN592" s="18">
        <f t="shared" ref="AN592:AN596" si="722">K592</f>
        <v>0</v>
      </c>
      <c r="AO592" s="19">
        <f>IF(AN$597=0,0,AN592/AN$597)</f>
        <v>0</v>
      </c>
      <c r="AP592" s="97"/>
      <c r="AQ592" s="17"/>
      <c r="AR592" s="17"/>
      <c r="AS592" s="17"/>
      <c r="AT592" s="18">
        <f t="shared" ref="AT592:AT596" si="723">W592</f>
        <v>0</v>
      </c>
      <c r="AU592" s="19">
        <f>IF(AT$597=0,0,AT592/AT$597)</f>
        <v>0</v>
      </c>
      <c r="AV592" s="97"/>
      <c r="AW592" s="17"/>
      <c r="AX592" s="17"/>
      <c r="AY592" s="17"/>
      <c r="AZ592" s="18">
        <f t="shared" ref="AZ592:AZ596" si="724">X592</f>
        <v>0</v>
      </c>
      <c r="BA592" s="19">
        <f>IF(AZ$597=0,0,AZ592/AZ$597)</f>
        <v>0</v>
      </c>
    </row>
    <row r="593" spans="1:53" ht="17.100000000000001" customHeight="1" x14ac:dyDescent="0.25">
      <c r="A593" s="40"/>
      <c r="B593" s="40"/>
      <c r="C593" s="74" t="s">
        <v>340</v>
      </c>
      <c r="D593" s="85" t="s">
        <v>505</v>
      </c>
      <c r="E593" s="105"/>
      <c r="F593" s="105"/>
      <c r="G593" s="105"/>
      <c r="H593" s="119"/>
      <c r="I593" s="231"/>
      <c r="J593" s="583"/>
      <c r="K593" s="583"/>
      <c r="L593" s="584"/>
      <c r="M593" s="593">
        <f t="shared" si="718"/>
        <v>0</v>
      </c>
      <c r="N593" s="111"/>
      <c r="O593" s="111"/>
      <c r="P593" s="111"/>
      <c r="Q593" s="111"/>
      <c r="R593" s="111"/>
      <c r="S593" s="111"/>
      <c r="T593" s="111"/>
      <c r="U593" s="111"/>
      <c r="V593" s="358"/>
      <c r="W593" s="391">
        <f t="shared" si="719"/>
        <v>0</v>
      </c>
      <c r="X593" s="17">
        <f t="shared" si="720"/>
        <v>0</v>
      </c>
      <c r="Y593" s="18">
        <f>SUM(W593:X593)</f>
        <v>0</v>
      </c>
      <c r="Z593" s="19">
        <f t="shared" ref="Z593:Z596" si="725">IF(Y$597=0,0,Y593/Y$597)</f>
        <v>0</v>
      </c>
      <c r="AA593" s="19"/>
      <c r="AB593" s="19"/>
      <c r="AC593" s="17"/>
      <c r="AE593" s="17"/>
      <c r="AF593" s="17"/>
      <c r="AG593" s="17"/>
      <c r="AH593" s="18">
        <f t="shared" si="721"/>
        <v>0</v>
      </c>
      <c r="AI593" s="19">
        <f t="shared" ref="AI593:AI597" si="726">IF(AH$597=0,0,AH593/AH$597)</f>
        <v>0</v>
      </c>
      <c r="AJ593" s="97"/>
      <c r="AK593" s="17"/>
      <c r="AL593" s="17"/>
      <c r="AM593" s="17"/>
      <c r="AN593" s="18">
        <f t="shared" si="722"/>
        <v>0</v>
      </c>
      <c r="AO593" s="19">
        <f t="shared" ref="AO593:AO597" si="727">IF(AN$597=0,0,AN593/AN$597)</f>
        <v>0</v>
      </c>
      <c r="AP593" s="97"/>
      <c r="AQ593" s="17"/>
      <c r="AR593" s="17"/>
      <c r="AS593" s="17"/>
      <c r="AT593" s="18">
        <f t="shared" si="723"/>
        <v>0</v>
      </c>
      <c r="AU593" s="19">
        <f t="shared" ref="AU593:AU597" si="728">IF(AT$597=0,0,AT593/AT$597)</f>
        <v>0</v>
      </c>
      <c r="AV593" s="97"/>
      <c r="AW593" s="17"/>
      <c r="AX593" s="17"/>
      <c r="AY593" s="17"/>
      <c r="AZ593" s="18">
        <f t="shared" si="724"/>
        <v>0</v>
      </c>
      <c r="BA593" s="19">
        <f t="shared" ref="BA593:BA597" si="729">IF(AZ$597=0,0,AZ593/AZ$597)</f>
        <v>0</v>
      </c>
    </row>
    <row r="594" spans="1:53" ht="17.100000000000001" customHeight="1" x14ac:dyDescent="0.25">
      <c r="A594" s="40"/>
      <c r="B594" s="40"/>
      <c r="C594" s="74" t="s">
        <v>341</v>
      </c>
      <c r="D594" s="85" t="s">
        <v>506</v>
      </c>
      <c r="E594" s="105"/>
      <c r="F594" s="105"/>
      <c r="G594" s="105"/>
      <c r="H594" s="119"/>
      <c r="I594" s="231"/>
      <c r="J594" s="581"/>
      <c r="K594" s="581"/>
      <c r="L594" s="582"/>
      <c r="M594" s="593">
        <f t="shared" si="718"/>
        <v>0</v>
      </c>
      <c r="N594" s="111"/>
      <c r="O594" s="111"/>
      <c r="P594" s="111"/>
      <c r="Q594" s="111"/>
      <c r="R594" s="111"/>
      <c r="S594" s="111"/>
      <c r="T594" s="111"/>
      <c r="U594" s="111"/>
      <c r="V594" s="358"/>
      <c r="W594" s="391">
        <f t="shared" si="719"/>
        <v>0</v>
      </c>
      <c r="X594" s="17">
        <f t="shared" si="720"/>
        <v>0</v>
      </c>
      <c r="Y594" s="18">
        <f>SUM(W594:X594)</f>
        <v>0</v>
      </c>
      <c r="Z594" s="19">
        <f t="shared" si="725"/>
        <v>0</v>
      </c>
      <c r="AA594" s="19"/>
      <c r="AB594" s="19"/>
      <c r="AC594" s="17"/>
      <c r="AE594" s="17"/>
      <c r="AF594" s="17"/>
      <c r="AG594" s="17"/>
      <c r="AH594" s="18">
        <f t="shared" si="721"/>
        <v>0</v>
      </c>
      <c r="AI594" s="19">
        <f t="shared" si="726"/>
        <v>0</v>
      </c>
      <c r="AJ594" s="97"/>
      <c r="AK594" s="17"/>
      <c r="AL594" s="17"/>
      <c r="AM594" s="17"/>
      <c r="AN594" s="18">
        <f t="shared" si="722"/>
        <v>0</v>
      </c>
      <c r="AO594" s="19">
        <f t="shared" si="727"/>
        <v>0</v>
      </c>
      <c r="AP594" s="97"/>
      <c r="AQ594" s="17"/>
      <c r="AR594" s="17"/>
      <c r="AS594" s="17"/>
      <c r="AT594" s="18">
        <f t="shared" si="723"/>
        <v>0</v>
      </c>
      <c r="AU594" s="19">
        <f t="shared" si="728"/>
        <v>0</v>
      </c>
      <c r="AV594" s="97"/>
      <c r="AW594" s="17"/>
      <c r="AX594" s="17"/>
      <c r="AY594" s="17"/>
      <c r="AZ594" s="18">
        <f t="shared" si="724"/>
        <v>0</v>
      </c>
      <c r="BA594" s="19">
        <f t="shared" si="729"/>
        <v>0</v>
      </c>
    </row>
    <row r="595" spans="1:53" ht="17.100000000000001" customHeight="1" x14ac:dyDescent="0.25">
      <c r="A595" s="40"/>
      <c r="B595" s="40"/>
      <c r="C595" s="74" t="s">
        <v>342</v>
      </c>
      <c r="D595" s="85" t="s">
        <v>129</v>
      </c>
      <c r="E595" s="105"/>
      <c r="F595" s="105"/>
      <c r="G595" s="105"/>
      <c r="H595" s="119"/>
      <c r="I595" s="231"/>
      <c r="J595" s="583"/>
      <c r="K595" s="583"/>
      <c r="L595" s="584"/>
      <c r="M595" s="593">
        <f t="shared" si="718"/>
        <v>0</v>
      </c>
      <c r="N595" s="111"/>
      <c r="O595" s="111"/>
      <c r="P595" s="111"/>
      <c r="Q595" s="111"/>
      <c r="R595" s="111"/>
      <c r="S595" s="111"/>
      <c r="T595" s="111"/>
      <c r="U595" s="111"/>
      <c r="V595" s="358"/>
      <c r="W595" s="391">
        <f t="shared" si="719"/>
        <v>0</v>
      </c>
      <c r="X595" s="17">
        <f t="shared" si="720"/>
        <v>0</v>
      </c>
      <c r="Y595" s="18">
        <f>SUM(W595:X595)</f>
        <v>0</v>
      </c>
      <c r="Z595" s="19">
        <f t="shared" si="725"/>
        <v>0</v>
      </c>
      <c r="AA595" s="19"/>
      <c r="AB595" s="19"/>
      <c r="AC595" s="17"/>
      <c r="AE595" s="17"/>
      <c r="AF595" s="17"/>
      <c r="AG595" s="17"/>
      <c r="AH595" s="18">
        <f t="shared" si="721"/>
        <v>0</v>
      </c>
      <c r="AI595" s="19">
        <f t="shared" si="726"/>
        <v>0</v>
      </c>
      <c r="AJ595" s="97"/>
      <c r="AK595" s="17"/>
      <c r="AL595" s="17"/>
      <c r="AM595" s="17"/>
      <c r="AN595" s="18">
        <f t="shared" si="722"/>
        <v>0</v>
      </c>
      <c r="AO595" s="19">
        <f t="shared" si="727"/>
        <v>0</v>
      </c>
      <c r="AP595" s="97"/>
      <c r="AQ595" s="17"/>
      <c r="AR595" s="17"/>
      <c r="AS595" s="17"/>
      <c r="AT595" s="18">
        <f t="shared" si="723"/>
        <v>0</v>
      </c>
      <c r="AU595" s="19">
        <f t="shared" si="728"/>
        <v>0</v>
      </c>
      <c r="AV595" s="97"/>
      <c r="AW595" s="17"/>
      <c r="AX595" s="17"/>
      <c r="AY595" s="17"/>
      <c r="AZ595" s="18">
        <f t="shared" si="724"/>
        <v>0</v>
      </c>
      <c r="BA595" s="19">
        <f t="shared" si="729"/>
        <v>0</v>
      </c>
    </row>
    <row r="596" spans="1:53" ht="17.100000000000001" customHeight="1" x14ac:dyDescent="0.25">
      <c r="A596" s="40"/>
      <c r="B596" s="40"/>
      <c r="C596" s="74" t="s">
        <v>553</v>
      </c>
      <c r="D596" s="85" t="s">
        <v>530</v>
      </c>
      <c r="E596" s="105"/>
      <c r="F596" s="105"/>
      <c r="G596" s="105"/>
      <c r="H596" s="119"/>
      <c r="I596" s="231"/>
      <c r="J596" s="581"/>
      <c r="K596" s="581"/>
      <c r="L596" s="582"/>
      <c r="M596" s="593">
        <f t="shared" si="718"/>
        <v>0</v>
      </c>
      <c r="N596" s="111"/>
      <c r="O596" s="111"/>
      <c r="P596" s="111"/>
      <c r="Q596" s="111"/>
      <c r="R596" s="111"/>
      <c r="S596" s="111"/>
      <c r="T596" s="111"/>
      <c r="U596" s="111"/>
      <c r="V596" s="358"/>
      <c r="W596" s="391">
        <f t="shared" si="719"/>
        <v>0</v>
      </c>
      <c r="X596" s="17">
        <f t="shared" si="720"/>
        <v>0</v>
      </c>
      <c r="Y596" s="18">
        <f>SUM(W596:X596)</f>
        <v>0</v>
      </c>
      <c r="Z596" s="19">
        <f t="shared" si="725"/>
        <v>0</v>
      </c>
      <c r="AA596" s="19"/>
      <c r="AB596" s="19"/>
      <c r="AC596" s="17"/>
      <c r="AE596" s="17"/>
      <c r="AF596" s="17"/>
      <c r="AG596" s="17"/>
      <c r="AH596" s="18">
        <f t="shared" si="721"/>
        <v>0</v>
      </c>
      <c r="AI596" s="19">
        <f t="shared" si="726"/>
        <v>0</v>
      </c>
      <c r="AJ596" s="97"/>
      <c r="AK596" s="17"/>
      <c r="AL596" s="17"/>
      <c r="AM596" s="17"/>
      <c r="AN596" s="18">
        <f t="shared" si="722"/>
        <v>0</v>
      </c>
      <c r="AO596" s="19">
        <f t="shared" si="727"/>
        <v>0</v>
      </c>
      <c r="AP596" s="97"/>
      <c r="AQ596" s="17"/>
      <c r="AR596" s="17"/>
      <c r="AS596" s="17"/>
      <c r="AT596" s="18">
        <f t="shared" si="723"/>
        <v>0</v>
      </c>
      <c r="AU596" s="19">
        <f t="shared" si="728"/>
        <v>0</v>
      </c>
      <c r="AV596" s="97"/>
      <c r="AW596" s="17"/>
      <c r="AX596" s="17"/>
      <c r="AY596" s="17"/>
      <c r="AZ596" s="18">
        <f t="shared" si="724"/>
        <v>0</v>
      </c>
      <c r="BA596" s="19">
        <f t="shared" si="729"/>
        <v>0</v>
      </c>
    </row>
    <row r="597" spans="1:53" ht="17.100000000000001" customHeight="1" x14ac:dyDescent="0.25">
      <c r="A597" s="40"/>
      <c r="B597" s="40"/>
      <c r="C597" s="77"/>
      <c r="D597" s="134"/>
      <c r="E597" s="134"/>
      <c r="F597" s="134"/>
      <c r="G597" s="134"/>
      <c r="H597" s="540"/>
      <c r="I597" s="229"/>
      <c r="J597" s="80">
        <f>SUM(J592:J596)</f>
        <v>0</v>
      </c>
      <c r="K597" s="80">
        <f t="shared" ref="K597:M597" si="730">SUM(K592:K596)</f>
        <v>0</v>
      </c>
      <c r="L597" s="80">
        <f t="shared" si="730"/>
        <v>0</v>
      </c>
      <c r="M597" s="80">
        <f t="shared" si="730"/>
        <v>0</v>
      </c>
      <c r="N597" s="81"/>
      <c r="O597" s="81"/>
      <c r="P597" s="81"/>
      <c r="Q597" s="81"/>
      <c r="R597" s="81"/>
      <c r="S597" s="81"/>
      <c r="T597" s="81"/>
      <c r="U597" s="81"/>
      <c r="V597" s="356"/>
      <c r="W597" s="381">
        <f>SUM(W592:W596)</f>
        <v>0</v>
      </c>
      <c r="X597" s="82">
        <f t="shared" ref="X597:Y597" si="731">SUM(X592:X596)</f>
        <v>0</v>
      </c>
      <c r="Y597" s="82">
        <f t="shared" si="731"/>
        <v>0</v>
      </c>
      <c r="Z597" s="205">
        <f>IF(Y$597=0,0,Y597/Y$597)</f>
        <v>0</v>
      </c>
      <c r="AA597" s="205"/>
      <c r="AB597" s="205"/>
      <c r="AC597" s="83"/>
      <c r="AE597" s="80"/>
      <c r="AF597" s="80"/>
      <c r="AG597" s="81"/>
      <c r="AH597" s="82">
        <f>SUM(AH592:AH596)</f>
        <v>0</v>
      </c>
      <c r="AI597" s="66">
        <f t="shared" si="726"/>
        <v>0</v>
      </c>
      <c r="AK597" s="80"/>
      <c r="AL597" s="80"/>
      <c r="AM597" s="81"/>
      <c r="AN597" s="82">
        <f>SUM(AN592:AN596)</f>
        <v>0</v>
      </c>
      <c r="AO597" s="66">
        <f t="shared" si="727"/>
        <v>0</v>
      </c>
      <c r="AQ597" s="80"/>
      <c r="AR597" s="80"/>
      <c r="AS597" s="81"/>
      <c r="AT597" s="82">
        <f>SUM(AT592:AT596)</f>
        <v>0</v>
      </c>
      <c r="AU597" s="66">
        <f t="shared" si="728"/>
        <v>0</v>
      </c>
      <c r="AW597" s="80"/>
      <c r="AX597" s="80"/>
      <c r="AY597" s="81"/>
      <c r="AZ597" s="82">
        <f>SUM(AZ592:AZ596)</f>
        <v>0</v>
      </c>
      <c r="BA597" s="66">
        <f t="shared" si="729"/>
        <v>0</v>
      </c>
    </row>
    <row r="598" spans="1:53" s="117" customFormat="1" ht="17.100000000000001" customHeight="1" x14ac:dyDescent="0.25">
      <c r="A598" s="68"/>
      <c r="B598" s="119"/>
      <c r="C598" s="540"/>
      <c r="D598" s="261"/>
      <c r="E598" s="261"/>
      <c r="F598" s="68"/>
      <c r="G598" s="68"/>
      <c r="H598" s="119"/>
      <c r="I598" s="138"/>
      <c r="J598" s="17" t="str">
        <f t="shared" ref="J598:L598" si="732">IF(J597=J$576,"OK","NOK")</f>
        <v>OK</v>
      </c>
      <c r="K598" s="17" t="str">
        <f t="shared" si="732"/>
        <v>OK</v>
      </c>
      <c r="L598" s="17" t="str">
        <f t="shared" si="732"/>
        <v>OK</v>
      </c>
      <c r="M598" s="17"/>
      <c r="N598" s="17"/>
      <c r="O598" s="17"/>
      <c r="P598" s="17"/>
      <c r="Q598" s="17"/>
      <c r="R598" s="17"/>
      <c r="S598" s="17"/>
      <c r="T598" s="17"/>
      <c r="U598" s="17"/>
      <c r="V598" s="359"/>
      <c r="W598" s="382"/>
      <c r="X598" s="539"/>
      <c r="Y598" s="539"/>
      <c r="Z598" s="201"/>
      <c r="AA598" s="201"/>
      <c r="AB598" s="201"/>
      <c r="AC598" s="84"/>
      <c r="AE598" s="46"/>
      <c r="AF598" s="46"/>
      <c r="AG598" s="17"/>
      <c r="AH598" s="539"/>
      <c r="AI598" s="91"/>
      <c r="AK598" s="46"/>
      <c r="AL598" s="46"/>
      <c r="AM598" s="17"/>
      <c r="AN598" s="539"/>
      <c r="AO598" s="91"/>
      <c r="AQ598" s="46"/>
      <c r="AR598" s="46"/>
      <c r="AS598" s="17"/>
      <c r="AT598" s="539"/>
      <c r="AU598" s="91"/>
      <c r="AW598" s="46"/>
      <c r="AX598" s="46"/>
      <c r="AY598" s="17"/>
      <c r="AZ598" s="539"/>
      <c r="BA598" s="91"/>
    </row>
    <row r="599" spans="1:53" ht="17.100000000000001" customHeight="1" x14ac:dyDescent="0.25">
      <c r="A599" s="68"/>
      <c r="B599" s="41" t="s">
        <v>343</v>
      </c>
      <c r="C599" s="69" t="s">
        <v>507</v>
      </c>
      <c r="D599" s="50"/>
      <c r="E599" s="70"/>
      <c r="F599" s="70"/>
      <c r="G599" s="70"/>
      <c r="H599" s="243">
        <v>19</v>
      </c>
      <c r="J599" s="71"/>
      <c r="K599" s="71"/>
      <c r="L599" s="71"/>
      <c r="M599" s="71"/>
      <c r="N599" s="71"/>
      <c r="O599" s="71"/>
      <c r="P599" s="71"/>
      <c r="Q599" s="71"/>
      <c r="R599" s="71"/>
      <c r="S599" s="71"/>
      <c r="T599" s="71"/>
      <c r="U599" s="71"/>
      <c r="V599" s="355"/>
      <c r="W599" s="377"/>
      <c r="X599" s="71"/>
      <c r="Y599" s="72"/>
      <c r="Z599" s="73"/>
      <c r="AA599" s="73"/>
      <c r="AB599" s="73"/>
      <c r="AC599" s="73"/>
      <c r="AE599" s="71"/>
      <c r="AF599" s="71"/>
      <c r="AG599" s="71"/>
      <c r="AH599" s="72"/>
      <c r="AI599" s="73"/>
      <c r="AK599" s="71"/>
      <c r="AL599" s="71"/>
      <c r="AM599" s="71"/>
      <c r="AN599" s="72"/>
      <c r="AO599" s="73"/>
      <c r="AQ599" s="71"/>
      <c r="AR599" s="71"/>
      <c r="AS599" s="71"/>
      <c r="AT599" s="72"/>
      <c r="AU599" s="73"/>
      <c r="AW599" s="71"/>
      <c r="AX599" s="71"/>
      <c r="AY599" s="71"/>
      <c r="AZ599" s="72"/>
      <c r="BA599" s="73"/>
    </row>
    <row r="600" spans="1:53" ht="17.100000000000001" customHeight="1" x14ac:dyDescent="0.25">
      <c r="A600" s="40"/>
      <c r="B600" s="40"/>
      <c r="C600" s="74" t="s">
        <v>344</v>
      </c>
      <c r="D600" s="85" t="s">
        <v>173</v>
      </c>
      <c r="E600" s="105"/>
      <c r="F600" s="105"/>
      <c r="G600" s="105"/>
      <c r="H600" s="119"/>
      <c r="I600" s="231"/>
      <c r="J600" s="581"/>
      <c r="K600" s="581"/>
      <c r="L600" s="582"/>
      <c r="M600" s="593">
        <f t="shared" ref="M600:M606" si="733">SUM(J600:L600)</f>
        <v>0</v>
      </c>
      <c r="N600" s="111"/>
      <c r="O600" s="111"/>
      <c r="P600" s="111"/>
      <c r="Q600" s="111"/>
      <c r="R600" s="111"/>
      <c r="S600" s="111"/>
      <c r="T600" s="111"/>
      <c r="U600" s="111"/>
      <c r="V600" s="358"/>
      <c r="W600" s="391">
        <f t="shared" ref="W600:W601" si="734">J600+K600+N600+Q600+T600</f>
        <v>0</v>
      </c>
      <c r="X600" s="17">
        <f t="shared" ref="X600:X601" si="735">L600+O600+R600+U600</f>
        <v>0</v>
      </c>
      <c r="Y600" s="18">
        <f>SUM(W600:X600)</f>
        <v>0</v>
      </c>
      <c r="Z600" s="19">
        <f>IF(Y$607=0,0,Y600/Y$607)</f>
        <v>0</v>
      </c>
      <c r="AA600" s="19"/>
      <c r="AB600" s="19"/>
      <c r="AC600" s="17"/>
      <c r="AE600" s="17"/>
      <c r="AF600" s="17"/>
      <c r="AG600" s="17"/>
      <c r="AH600" s="18">
        <f t="shared" ref="AH600:AH601" si="736">J600</f>
        <v>0</v>
      </c>
      <c r="AI600" s="19">
        <f>IF(AH$607=0,0,AH600/AH$607)</f>
        <v>0</v>
      </c>
      <c r="AJ600" s="97"/>
      <c r="AK600" s="17"/>
      <c r="AL600" s="17"/>
      <c r="AM600" s="17"/>
      <c r="AN600" s="18">
        <f t="shared" ref="AN600:AN601" si="737">K600</f>
        <v>0</v>
      </c>
      <c r="AO600" s="19">
        <f>IF(AN$607=0,0,AN600/AN$607)</f>
        <v>0</v>
      </c>
      <c r="AP600" s="97"/>
      <c r="AQ600" s="17"/>
      <c r="AR600" s="17"/>
      <c r="AS600" s="17"/>
      <c r="AT600" s="18">
        <f t="shared" ref="AT600:AT601" si="738">W600</f>
        <v>0</v>
      </c>
      <c r="AU600" s="19">
        <f>IF(AT$607=0,0,AT600/AT$607)</f>
        <v>0</v>
      </c>
      <c r="AV600" s="97"/>
      <c r="AW600" s="17"/>
      <c r="AX600" s="17"/>
      <c r="AY600" s="17"/>
      <c r="AZ600" s="18">
        <f t="shared" ref="AZ600:AZ601" si="739">X600</f>
        <v>0</v>
      </c>
      <c r="BA600" s="19">
        <f>IF(AZ$607=0,0,AZ600/AZ$607)</f>
        <v>0</v>
      </c>
    </row>
    <row r="601" spans="1:53" ht="17.100000000000001" customHeight="1" x14ac:dyDescent="0.25">
      <c r="A601" s="40"/>
      <c r="B601" s="40"/>
      <c r="C601" s="74" t="s">
        <v>345</v>
      </c>
      <c r="D601" s="85" t="s">
        <v>544</v>
      </c>
      <c r="E601" s="105"/>
      <c r="F601" s="105"/>
      <c r="G601" s="105"/>
      <c r="H601" s="119"/>
      <c r="I601" s="231"/>
      <c r="J601" s="583"/>
      <c r="K601" s="583"/>
      <c r="L601" s="584"/>
      <c r="M601" s="593">
        <f t="shared" si="733"/>
        <v>0</v>
      </c>
      <c r="N601" s="111"/>
      <c r="O601" s="111"/>
      <c r="P601" s="111"/>
      <c r="Q601" s="111"/>
      <c r="R601" s="111"/>
      <c r="S601" s="111"/>
      <c r="T601" s="111"/>
      <c r="U601" s="111"/>
      <c r="V601" s="358"/>
      <c r="W601" s="391">
        <f t="shared" si="734"/>
        <v>0</v>
      </c>
      <c r="X601" s="17">
        <f t="shared" si="735"/>
        <v>0</v>
      </c>
      <c r="Y601" s="18">
        <f>SUM(W601:X601)</f>
        <v>0</v>
      </c>
      <c r="Z601" s="19">
        <f t="shared" ref="Z601:Z606" si="740">IF(Y$607=0,0,Y601/Y$607)</f>
        <v>0</v>
      </c>
      <c r="AA601" s="19"/>
      <c r="AB601" s="19"/>
      <c r="AC601" s="17"/>
      <c r="AE601" s="17"/>
      <c r="AF601" s="17"/>
      <c r="AG601" s="17"/>
      <c r="AH601" s="18">
        <f t="shared" si="736"/>
        <v>0</v>
      </c>
      <c r="AI601" s="19">
        <f>IF(AH$607=0,0,AH601/AH$607)</f>
        <v>0</v>
      </c>
      <c r="AJ601" s="97"/>
      <c r="AK601" s="17"/>
      <c r="AL601" s="17"/>
      <c r="AM601" s="17"/>
      <c r="AN601" s="18">
        <f t="shared" si="737"/>
        <v>0</v>
      </c>
      <c r="AO601" s="19">
        <f>IF(AN$607=0,0,AN601/AN$607)</f>
        <v>0</v>
      </c>
      <c r="AP601" s="97"/>
      <c r="AQ601" s="17"/>
      <c r="AR601" s="17"/>
      <c r="AS601" s="17"/>
      <c r="AT601" s="18">
        <f t="shared" si="738"/>
        <v>0</v>
      </c>
      <c r="AU601" s="19">
        <f>IF(AT$607=0,0,AT601/AT$607)</f>
        <v>0</v>
      </c>
      <c r="AV601" s="97"/>
      <c r="AW601" s="17"/>
      <c r="AX601" s="17"/>
      <c r="AY601" s="17"/>
      <c r="AZ601" s="18">
        <f t="shared" si="739"/>
        <v>0</v>
      </c>
      <c r="BA601" s="19">
        <f>IF(AZ$607=0,0,AZ601/AZ$607)</f>
        <v>0</v>
      </c>
    </row>
    <row r="602" spans="1:53" ht="17.100000000000001" customHeight="1" x14ac:dyDescent="0.25">
      <c r="A602" s="40"/>
      <c r="B602" s="40"/>
      <c r="C602" s="74" t="s">
        <v>346</v>
      </c>
      <c r="D602" s="146" t="s">
        <v>484</v>
      </c>
      <c r="E602" s="75"/>
      <c r="F602" s="105"/>
      <c r="G602" s="105"/>
      <c r="H602" s="119"/>
      <c r="I602" s="231"/>
      <c r="J602" s="581"/>
      <c r="K602" s="581"/>
      <c r="L602" s="582"/>
      <c r="M602" s="593"/>
      <c r="N602" s="111"/>
      <c r="O602" s="111"/>
      <c r="P602" s="111"/>
      <c r="Q602" s="111"/>
      <c r="R602" s="111"/>
      <c r="S602" s="111"/>
      <c r="T602" s="111"/>
      <c r="U602" s="111"/>
      <c r="V602" s="358"/>
      <c r="W602" s="391">
        <f>MIN(J602:K602)</f>
        <v>0</v>
      </c>
      <c r="X602" s="17">
        <f>L602</f>
        <v>0</v>
      </c>
      <c r="Y602" s="18"/>
      <c r="Z602" s="19"/>
      <c r="AA602" s="17">
        <f>MIN(J602:L602)</f>
        <v>0</v>
      </c>
      <c r="AB602" s="17"/>
      <c r="AC602" s="17"/>
      <c r="AE602" s="17">
        <f>J602</f>
        <v>0</v>
      </c>
      <c r="AF602" s="17"/>
      <c r="AG602" s="17"/>
      <c r="AH602" s="18"/>
      <c r="AI602" s="19"/>
      <c r="AJ602" s="97"/>
      <c r="AK602" s="17">
        <f>K602</f>
        <v>0</v>
      </c>
      <c r="AL602" s="17"/>
      <c r="AM602" s="17"/>
      <c r="AN602" s="18"/>
      <c r="AO602" s="19"/>
      <c r="AP602" s="97"/>
      <c r="AQ602" s="17">
        <f>W602</f>
        <v>0</v>
      </c>
      <c r="AR602" s="17"/>
      <c r="AS602" s="17"/>
      <c r="AT602" s="18"/>
      <c r="AU602" s="19"/>
      <c r="AV602" s="97"/>
      <c r="AW602" s="17">
        <f>L602</f>
        <v>0</v>
      </c>
      <c r="AX602" s="17"/>
      <c r="AY602" s="17"/>
      <c r="AZ602" s="18"/>
      <c r="BA602" s="19"/>
    </row>
    <row r="603" spans="1:53" ht="17.100000000000001" customHeight="1" x14ac:dyDescent="0.25">
      <c r="A603" s="40"/>
      <c r="B603" s="40"/>
      <c r="C603" s="74" t="s">
        <v>347</v>
      </c>
      <c r="D603" s="146" t="s">
        <v>485</v>
      </c>
      <c r="E603" s="75"/>
      <c r="F603" s="105"/>
      <c r="G603" s="105"/>
      <c r="H603" s="119"/>
      <c r="I603" s="231"/>
      <c r="J603" s="583"/>
      <c r="K603" s="583"/>
      <c r="L603" s="584"/>
      <c r="M603" s="593"/>
      <c r="N603" s="111"/>
      <c r="O603" s="111"/>
      <c r="P603" s="111"/>
      <c r="Q603" s="111"/>
      <c r="R603" s="111"/>
      <c r="S603" s="111"/>
      <c r="T603" s="111"/>
      <c r="U603" s="111"/>
      <c r="V603" s="358"/>
      <c r="W603" s="391">
        <f>MAX(J603:K603)</f>
        <v>0</v>
      </c>
      <c r="X603" s="17">
        <f t="shared" ref="X603:X604" si="741">L603</f>
        <v>0</v>
      </c>
      <c r="Y603" s="18"/>
      <c r="Z603" s="19"/>
      <c r="AA603" s="17"/>
      <c r="AB603" s="17">
        <f>MAX(J603:L603)</f>
        <v>0</v>
      </c>
      <c r="AC603" s="17"/>
      <c r="AE603" s="17"/>
      <c r="AF603" s="17">
        <f>J603</f>
        <v>0</v>
      </c>
      <c r="AG603" s="17"/>
      <c r="AH603" s="18"/>
      <c r="AI603" s="19"/>
      <c r="AJ603" s="97"/>
      <c r="AK603" s="17"/>
      <c r="AL603" s="17">
        <f>K603</f>
        <v>0</v>
      </c>
      <c r="AM603" s="17"/>
      <c r="AN603" s="18"/>
      <c r="AO603" s="19"/>
      <c r="AP603" s="97"/>
      <c r="AQ603" s="17"/>
      <c r="AR603" s="17">
        <f>W603</f>
        <v>0</v>
      </c>
      <c r="AS603" s="17"/>
      <c r="AT603" s="18"/>
      <c r="AU603" s="19"/>
      <c r="AV603" s="97"/>
      <c r="AW603" s="17"/>
      <c r="AX603" s="17">
        <f>L603</f>
        <v>0</v>
      </c>
      <c r="AY603" s="17"/>
      <c r="AZ603" s="18"/>
      <c r="BA603" s="19"/>
    </row>
    <row r="604" spans="1:53" ht="17.100000000000001" customHeight="1" x14ac:dyDescent="0.25">
      <c r="A604" s="40"/>
      <c r="B604" s="40"/>
      <c r="C604" s="74" t="s">
        <v>348</v>
      </c>
      <c r="D604" s="146" t="s">
        <v>543</v>
      </c>
      <c r="E604" s="75"/>
      <c r="F604" s="105"/>
      <c r="G604" s="105"/>
      <c r="H604" s="119"/>
      <c r="I604" s="231"/>
      <c r="J604" s="581"/>
      <c r="K604" s="581"/>
      <c r="L604" s="582"/>
      <c r="M604" s="593"/>
      <c r="N604" s="111"/>
      <c r="O604" s="111"/>
      <c r="P604" s="111"/>
      <c r="Q604" s="111"/>
      <c r="R604" s="111"/>
      <c r="S604" s="111"/>
      <c r="T604" s="111"/>
      <c r="U604" s="111"/>
      <c r="V604" s="358"/>
      <c r="W604" s="391">
        <f>IF(SUM(J604:K604)=0,0,AVERAGE(J604:K604))</f>
        <v>0</v>
      </c>
      <c r="X604" s="17">
        <f t="shared" si="741"/>
        <v>0</v>
      </c>
      <c r="Y604" s="18"/>
      <c r="Z604" s="19"/>
      <c r="AA604" s="17"/>
      <c r="AB604" s="17"/>
      <c r="AC604" s="17">
        <f>IF(SUM(J604:L604)=0,0,AVERAGE(J604:L604))</f>
        <v>0</v>
      </c>
      <c r="AE604" s="17"/>
      <c r="AF604" s="17"/>
      <c r="AG604" s="17">
        <f>J604</f>
        <v>0</v>
      </c>
      <c r="AH604" s="18"/>
      <c r="AI604" s="19"/>
      <c r="AJ604" s="97"/>
      <c r="AK604" s="17"/>
      <c r="AL604" s="17"/>
      <c r="AM604" s="17">
        <f>K604</f>
        <v>0</v>
      </c>
      <c r="AN604" s="18"/>
      <c r="AO604" s="19"/>
      <c r="AP604" s="97"/>
      <c r="AQ604" s="17"/>
      <c r="AR604" s="17"/>
      <c r="AS604" s="17">
        <f>W604</f>
        <v>0</v>
      </c>
      <c r="AT604" s="18"/>
      <c r="AU604" s="19"/>
      <c r="AV604" s="97"/>
      <c r="AW604" s="17"/>
      <c r="AX604" s="17"/>
      <c r="AY604" s="17">
        <f>L604</f>
        <v>0</v>
      </c>
      <c r="AZ604" s="18"/>
      <c r="BA604" s="19"/>
    </row>
    <row r="605" spans="1:53" ht="17.100000000000001" customHeight="1" x14ac:dyDescent="0.25">
      <c r="A605" s="40"/>
      <c r="B605" s="40"/>
      <c r="C605" s="74" t="s">
        <v>349</v>
      </c>
      <c r="D605" s="75" t="s">
        <v>129</v>
      </c>
      <c r="E605" s="75"/>
      <c r="F605" s="105"/>
      <c r="G605" s="105"/>
      <c r="H605" s="119"/>
      <c r="I605" s="231"/>
      <c r="J605" s="583"/>
      <c r="K605" s="583"/>
      <c r="L605" s="584"/>
      <c r="M605" s="593">
        <f t="shared" si="733"/>
        <v>0</v>
      </c>
      <c r="N605" s="111"/>
      <c r="O605" s="111"/>
      <c r="P605" s="111"/>
      <c r="Q605" s="111"/>
      <c r="R605" s="111"/>
      <c r="S605" s="111"/>
      <c r="T605" s="111"/>
      <c r="U605" s="111"/>
      <c r="V605" s="358"/>
      <c r="W605" s="391">
        <f t="shared" ref="W605:W606" si="742">J605+K605+N605+Q605+T605</f>
        <v>0</v>
      </c>
      <c r="X605" s="17">
        <f t="shared" ref="X605:X606" si="743">L605+O605+R605+U605</f>
        <v>0</v>
      </c>
      <c r="Y605" s="18">
        <f>SUM(W605:X605)</f>
        <v>0</v>
      </c>
      <c r="Z605" s="19">
        <f t="shared" si="740"/>
        <v>0</v>
      </c>
      <c r="AA605" s="19"/>
      <c r="AB605" s="19"/>
      <c r="AC605" s="17"/>
      <c r="AE605" s="17"/>
      <c r="AF605" s="17"/>
      <c r="AG605" s="17"/>
      <c r="AH605" s="18">
        <f t="shared" ref="AH605:AH606" si="744">J605</f>
        <v>0</v>
      </c>
      <c r="AI605" s="19">
        <f>IF(AH$607=0,0,AH605/AH$607)</f>
        <v>0</v>
      </c>
      <c r="AJ605" s="97"/>
      <c r="AK605" s="17"/>
      <c r="AL605" s="17"/>
      <c r="AM605" s="17"/>
      <c r="AN605" s="18">
        <f t="shared" ref="AN605:AN606" si="745">K605</f>
        <v>0</v>
      </c>
      <c r="AO605" s="19">
        <f>IF(AN$607=0,0,AN605/AN$607)</f>
        <v>0</v>
      </c>
      <c r="AP605" s="97"/>
      <c r="AQ605" s="17"/>
      <c r="AR605" s="17"/>
      <c r="AS605" s="17"/>
      <c r="AT605" s="18">
        <f t="shared" ref="AT605:AT606" si="746">W605</f>
        <v>0</v>
      </c>
      <c r="AU605" s="19">
        <f>IF(AT$607=0,0,AT605/AT$607)</f>
        <v>0</v>
      </c>
      <c r="AV605" s="97"/>
      <c r="AW605" s="17"/>
      <c r="AX605" s="17"/>
      <c r="AY605" s="17"/>
      <c r="AZ605" s="18">
        <f t="shared" ref="AZ605:AZ606" si="747">X605</f>
        <v>0</v>
      </c>
      <c r="BA605" s="19">
        <f>IF(AZ$607=0,0,AZ605/AZ$607)</f>
        <v>0</v>
      </c>
    </row>
    <row r="606" spans="1:53" ht="17.100000000000001" customHeight="1" x14ac:dyDescent="0.25">
      <c r="A606" s="40"/>
      <c r="B606" s="40"/>
      <c r="C606" s="74" t="s">
        <v>552</v>
      </c>
      <c r="D606" s="75" t="s">
        <v>530</v>
      </c>
      <c r="E606" s="105"/>
      <c r="F606" s="105"/>
      <c r="G606" s="105"/>
      <c r="H606" s="119"/>
      <c r="I606" s="231"/>
      <c r="J606" s="581"/>
      <c r="K606" s="581"/>
      <c r="L606" s="582"/>
      <c r="M606" s="593">
        <f t="shared" si="733"/>
        <v>0</v>
      </c>
      <c r="N606" s="111"/>
      <c r="O606" s="111"/>
      <c r="P606" s="111"/>
      <c r="Q606" s="111"/>
      <c r="R606" s="111"/>
      <c r="S606" s="111"/>
      <c r="T606" s="111"/>
      <c r="U606" s="111"/>
      <c r="V606" s="358"/>
      <c r="W606" s="391">
        <f t="shared" si="742"/>
        <v>0</v>
      </c>
      <c r="X606" s="17">
        <f t="shared" si="743"/>
        <v>0</v>
      </c>
      <c r="Y606" s="18">
        <f>SUM(W606:X606)</f>
        <v>0</v>
      </c>
      <c r="Z606" s="19">
        <f t="shared" si="740"/>
        <v>0</v>
      </c>
      <c r="AA606" s="19"/>
      <c r="AB606" s="19"/>
      <c r="AC606" s="17"/>
      <c r="AE606" s="17"/>
      <c r="AF606" s="17"/>
      <c r="AG606" s="17"/>
      <c r="AH606" s="18">
        <f t="shared" si="744"/>
        <v>0</v>
      </c>
      <c r="AI606" s="19">
        <f>IF(AH$607=0,0,AH606/AH$607)</f>
        <v>0</v>
      </c>
      <c r="AJ606" s="97"/>
      <c r="AK606" s="17"/>
      <c r="AL606" s="17"/>
      <c r="AM606" s="17"/>
      <c r="AN606" s="18">
        <f t="shared" si="745"/>
        <v>0</v>
      </c>
      <c r="AO606" s="19">
        <f>IF(AN$607=0,0,AN606/AN$607)</f>
        <v>0</v>
      </c>
      <c r="AP606" s="97"/>
      <c r="AQ606" s="17"/>
      <c r="AR606" s="17"/>
      <c r="AS606" s="17"/>
      <c r="AT606" s="18">
        <f t="shared" si="746"/>
        <v>0</v>
      </c>
      <c r="AU606" s="19">
        <f>IF(AT$607=0,0,AT606/AT$607)</f>
        <v>0</v>
      </c>
      <c r="AV606" s="97"/>
      <c r="AW606" s="17"/>
      <c r="AX606" s="17"/>
      <c r="AY606" s="17"/>
      <c r="AZ606" s="18">
        <f t="shared" si="747"/>
        <v>0</v>
      </c>
      <c r="BA606" s="19">
        <f>IF(AZ$607=0,0,AZ606/AZ$607)</f>
        <v>0</v>
      </c>
    </row>
    <row r="607" spans="1:53" ht="17.100000000000001" customHeight="1" x14ac:dyDescent="0.25">
      <c r="A607" s="40"/>
      <c r="B607" s="40"/>
      <c r="C607" s="77"/>
      <c r="D607" s="134"/>
      <c r="E607" s="134"/>
      <c r="F607" s="134"/>
      <c r="G607" s="134"/>
      <c r="H607" s="540"/>
      <c r="I607" s="229"/>
      <c r="J607" s="80">
        <f>J600+J601+J605+J606</f>
        <v>0</v>
      </c>
      <c r="K607" s="80">
        <f t="shared" ref="K607:M607" si="748">K600+K601+K605+K606</f>
        <v>0</v>
      </c>
      <c r="L607" s="80">
        <f t="shared" si="748"/>
        <v>0</v>
      </c>
      <c r="M607" s="80">
        <f t="shared" si="748"/>
        <v>0</v>
      </c>
      <c r="N607" s="81"/>
      <c r="O607" s="81"/>
      <c r="P607" s="81"/>
      <c r="Q607" s="81"/>
      <c r="R607" s="81"/>
      <c r="S607" s="81"/>
      <c r="T607" s="81"/>
      <c r="U607" s="81"/>
      <c r="V607" s="356"/>
      <c r="W607" s="381">
        <f>W600+W601+W605+W606</f>
        <v>0</v>
      </c>
      <c r="X607" s="82">
        <f t="shared" ref="X607:Y607" si="749">X600+X601+X605+X606</f>
        <v>0</v>
      </c>
      <c r="Y607" s="82">
        <f t="shared" si="749"/>
        <v>0</v>
      </c>
      <c r="Z607" s="205">
        <f>IF(Y$607=0,0,Y607/Y$607)</f>
        <v>0</v>
      </c>
      <c r="AA607" s="205"/>
      <c r="AB607" s="205"/>
      <c r="AC607" s="83"/>
      <c r="AE607" s="80"/>
      <c r="AF607" s="80"/>
      <c r="AG607" s="81"/>
      <c r="AH607" s="82">
        <f>SUM(AH600:AH606)</f>
        <v>0</v>
      </c>
      <c r="AI607" s="66">
        <f>IF(AH$607=0,0,AH607/AH$607)</f>
        <v>0</v>
      </c>
      <c r="AK607" s="80"/>
      <c r="AL607" s="80"/>
      <c r="AM607" s="81"/>
      <c r="AN607" s="82">
        <f>SUM(AN600:AN606)</f>
        <v>0</v>
      </c>
      <c r="AO607" s="66">
        <f>IF(AN$607=0,0,AN607/AN$607)</f>
        <v>0</v>
      </c>
      <c r="AQ607" s="80"/>
      <c r="AR607" s="80"/>
      <c r="AS607" s="81"/>
      <c r="AT607" s="82">
        <f>SUM(AT600:AT606)</f>
        <v>0</v>
      </c>
      <c r="AU607" s="66">
        <f>IF(AT$607=0,0,AT607/AT$607)</f>
        <v>0</v>
      </c>
      <c r="AW607" s="80"/>
      <c r="AX607" s="80"/>
      <c r="AY607" s="81"/>
      <c r="AZ607" s="82">
        <f>SUM(AZ600:AZ606)</f>
        <v>0</v>
      </c>
      <c r="BA607" s="66">
        <f>IF(AZ$607=0,0,AZ607/AZ$607)</f>
        <v>0</v>
      </c>
    </row>
    <row r="608" spans="1:53" s="117" customFormat="1" ht="17.100000000000001" customHeight="1" x14ac:dyDescent="0.25">
      <c r="A608" s="68"/>
      <c r="B608" s="119"/>
      <c r="C608" s="540"/>
      <c r="D608" s="261"/>
      <c r="E608" s="261"/>
      <c r="F608" s="68"/>
      <c r="G608" s="68"/>
      <c r="H608" s="119"/>
      <c r="I608" s="138"/>
      <c r="J608" s="17" t="str">
        <f>IF(J607=J$576,"OK","NOK")</f>
        <v>OK</v>
      </c>
      <c r="K608" s="17" t="str">
        <f t="shared" ref="K608:L608" si="750">IF(K607=K$576,"OK","NOK")</f>
        <v>OK</v>
      </c>
      <c r="L608" s="17" t="str">
        <f t="shared" si="750"/>
        <v>OK</v>
      </c>
      <c r="M608" s="17"/>
      <c r="N608" s="17"/>
      <c r="O608" s="17"/>
      <c r="P608" s="17"/>
      <c r="Q608" s="17"/>
      <c r="R608" s="17"/>
      <c r="S608" s="17"/>
      <c r="T608" s="17"/>
      <c r="U608" s="17"/>
      <c r="V608" s="359"/>
      <c r="W608" s="382"/>
      <c r="X608" s="539"/>
      <c r="Y608" s="539"/>
      <c r="Z608" s="201"/>
      <c r="AA608" s="201"/>
      <c r="AB608" s="201"/>
      <c r="AC608" s="84"/>
      <c r="AE608" s="46"/>
      <c r="AF608" s="46"/>
      <c r="AG608" s="17"/>
      <c r="AH608" s="539"/>
      <c r="AI608" s="91"/>
      <c r="AK608" s="46"/>
      <c r="AL608" s="46"/>
      <c r="AM608" s="17"/>
      <c r="AN608" s="539"/>
      <c r="AO608" s="91"/>
      <c r="AQ608" s="46"/>
      <c r="AR608" s="46"/>
      <c r="AS608" s="17"/>
      <c r="AT608" s="539"/>
      <c r="AU608" s="91"/>
      <c r="AW608" s="46"/>
      <c r="AX608" s="46"/>
      <c r="AY608" s="17"/>
      <c r="AZ608" s="539"/>
      <c r="BA608" s="91"/>
    </row>
    <row r="609" spans="1:53" ht="17.100000000000001" customHeight="1" x14ac:dyDescent="0.25">
      <c r="A609" s="68"/>
      <c r="B609" s="41" t="s">
        <v>350</v>
      </c>
      <c r="C609" s="69" t="s">
        <v>362</v>
      </c>
      <c r="D609" s="50"/>
      <c r="E609" s="70"/>
      <c r="F609" s="70"/>
      <c r="G609" s="70"/>
      <c r="H609" s="243">
        <v>22</v>
      </c>
      <c r="J609" s="71"/>
      <c r="K609" s="71"/>
      <c r="L609" s="71"/>
      <c r="M609" s="71"/>
      <c r="N609" s="71"/>
      <c r="O609" s="71"/>
      <c r="P609" s="71"/>
      <c r="Q609" s="71"/>
      <c r="R609" s="71"/>
      <c r="S609" s="71"/>
      <c r="T609" s="71"/>
      <c r="U609" s="71"/>
      <c r="V609" s="355"/>
      <c r="W609" s="377"/>
      <c r="X609" s="71"/>
      <c r="Y609" s="72"/>
      <c r="Z609" s="73"/>
      <c r="AA609" s="73"/>
      <c r="AB609" s="73"/>
      <c r="AC609" s="73"/>
      <c r="AE609" s="71"/>
      <c r="AF609" s="71"/>
      <c r="AG609" s="71"/>
      <c r="AH609" s="72"/>
      <c r="AI609" s="73"/>
      <c r="AK609" s="71"/>
      <c r="AL609" s="71"/>
      <c r="AM609" s="71"/>
      <c r="AN609" s="72"/>
      <c r="AO609" s="73"/>
      <c r="AQ609" s="71"/>
      <c r="AR609" s="71"/>
      <c r="AS609" s="71"/>
      <c r="AT609" s="72"/>
      <c r="AU609" s="73"/>
      <c r="AW609" s="71"/>
      <c r="AX609" s="71"/>
      <c r="AY609" s="71"/>
      <c r="AZ609" s="72"/>
      <c r="BA609" s="73"/>
    </row>
    <row r="610" spans="1:53" ht="17.100000000000001" customHeight="1" x14ac:dyDescent="0.25">
      <c r="A610" s="40"/>
      <c r="B610" s="40"/>
      <c r="C610" s="74" t="s">
        <v>351</v>
      </c>
      <c r="D610" s="57" t="s">
        <v>1025</v>
      </c>
      <c r="E610" s="105"/>
      <c r="F610" s="105"/>
      <c r="G610" s="105"/>
      <c r="H610" s="119"/>
      <c r="I610" s="231"/>
      <c r="J610" s="111"/>
      <c r="K610" s="111"/>
      <c r="L610" s="111"/>
      <c r="M610" s="111"/>
      <c r="N610" s="111"/>
      <c r="O610" s="111"/>
      <c r="P610" s="111"/>
      <c r="Q610" s="111"/>
      <c r="R610" s="111"/>
      <c r="S610" s="111"/>
      <c r="T610" s="111"/>
      <c r="U610" s="111"/>
      <c r="V610" s="358"/>
      <c r="W610" s="380"/>
      <c r="X610" s="111"/>
      <c r="Y610" s="545"/>
      <c r="Z610" s="111"/>
      <c r="AA610" s="111"/>
      <c r="AB610" s="111"/>
      <c r="AC610" s="111"/>
      <c r="AE610" s="111"/>
      <c r="AF610" s="111"/>
      <c r="AG610" s="111"/>
      <c r="AH610" s="545"/>
      <c r="AI610" s="111"/>
      <c r="AK610" s="111"/>
      <c r="AL610" s="111"/>
      <c r="AM610" s="111"/>
      <c r="AN610" s="545"/>
      <c r="AO610" s="111"/>
      <c r="AQ610" s="111"/>
      <c r="AR610" s="111"/>
      <c r="AS610" s="111"/>
      <c r="AT610" s="545"/>
      <c r="AU610" s="111"/>
      <c r="AW610" s="111"/>
      <c r="AX610" s="111"/>
      <c r="AY610" s="111"/>
      <c r="AZ610" s="545"/>
      <c r="BA610" s="111"/>
    </row>
    <row r="611" spans="1:53" ht="17.100000000000001" customHeight="1" x14ac:dyDescent="0.25">
      <c r="A611" s="40"/>
      <c r="B611" s="40"/>
      <c r="C611" s="119"/>
      <c r="D611" s="180" t="s">
        <v>352</v>
      </c>
      <c r="E611" s="85" t="s">
        <v>512</v>
      </c>
      <c r="F611" s="105"/>
      <c r="G611" s="105"/>
      <c r="H611" s="119"/>
      <c r="I611" s="231"/>
      <c r="J611" s="581"/>
      <c r="K611" s="581"/>
      <c r="L611" s="582"/>
      <c r="M611" s="593">
        <f t="shared" ref="M611:M619" si="751">SUM(J611:L611)</f>
        <v>0</v>
      </c>
      <c r="N611" s="111"/>
      <c r="O611" s="111"/>
      <c r="P611" s="111"/>
      <c r="Q611" s="111"/>
      <c r="R611" s="111"/>
      <c r="S611" s="111"/>
      <c r="T611" s="111"/>
      <c r="U611" s="111"/>
      <c r="V611" s="358"/>
      <c r="W611" s="391">
        <f t="shared" ref="W611:W619" si="752">J611+K611+N611+Q611+T611</f>
        <v>0</v>
      </c>
      <c r="X611" s="17">
        <f t="shared" ref="X611:X619" si="753">L611+O611+R611+U611</f>
        <v>0</v>
      </c>
      <c r="Y611" s="18">
        <f t="shared" ref="Y611:Y619" si="754">SUM(W611:X611)</f>
        <v>0</v>
      </c>
      <c r="Z611" s="19">
        <f>IF(Y$620=0,0,Y611/Y$620)</f>
        <v>0</v>
      </c>
      <c r="AA611" s="19"/>
      <c r="AB611" s="19"/>
      <c r="AC611" s="17"/>
      <c r="AE611" s="17"/>
      <c r="AF611" s="17"/>
      <c r="AG611" s="17"/>
      <c r="AH611" s="18">
        <f t="shared" ref="AH611:AH619" si="755">J611</f>
        <v>0</v>
      </c>
      <c r="AI611" s="19">
        <f>IF(AH$620=0,0,AH611/AH$620)</f>
        <v>0</v>
      </c>
      <c r="AJ611" s="97"/>
      <c r="AK611" s="17"/>
      <c r="AL611" s="17"/>
      <c r="AM611" s="17"/>
      <c r="AN611" s="18">
        <f t="shared" ref="AN611:AN619" si="756">K611</f>
        <v>0</v>
      </c>
      <c r="AO611" s="19">
        <f>IF(AN$620=0,0,AN611/AN$620)</f>
        <v>0</v>
      </c>
      <c r="AP611" s="97"/>
      <c r="AQ611" s="17"/>
      <c r="AR611" s="17"/>
      <c r="AS611" s="17"/>
      <c r="AT611" s="18">
        <f t="shared" ref="AT611:AT619" si="757">W611</f>
        <v>0</v>
      </c>
      <c r="AU611" s="19">
        <f>IF(AT$620=0,0,AT611/AT$620)</f>
        <v>0</v>
      </c>
      <c r="AV611" s="97"/>
      <c r="AW611" s="17"/>
      <c r="AX611" s="17"/>
      <c r="AY611" s="17"/>
      <c r="AZ611" s="18">
        <f t="shared" ref="AZ611:AZ619" si="758">X611</f>
        <v>0</v>
      </c>
      <c r="BA611" s="19">
        <f>IF(AZ$620=0,0,AZ611/AZ$620)</f>
        <v>0</v>
      </c>
    </row>
    <row r="612" spans="1:53" ht="17.100000000000001" customHeight="1" x14ac:dyDescent="0.25">
      <c r="A612" s="40"/>
      <c r="B612" s="40"/>
      <c r="C612" s="119"/>
      <c r="D612" s="180" t="s">
        <v>353</v>
      </c>
      <c r="E612" s="85" t="s">
        <v>513</v>
      </c>
      <c r="F612" s="105"/>
      <c r="G612" s="105"/>
      <c r="H612" s="119"/>
      <c r="I612" s="231"/>
      <c r="J612" s="583"/>
      <c r="K612" s="583"/>
      <c r="L612" s="584"/>
      <c r="M612" s="593">
        <f t="shared" si="751"/>
        <v>0</v>
      </c>
      <c r="N612" s="111"/>
      <c r="O612" s="111"/>
      <c r="P612" s="111"/>
      <c r="Q612" s="111"/>
      <c r="R612" s="111"/>
      <c r="S612" s="111"/>
      <c r="T612" s="111"/>
      <c r="U612" s="111"/>
      <c r="V612" s="358"/>
      <c r="W612" s="391">
        <f t="shared" si="752"/>
        <v>0</v>
      </c>
      <c r="X612" s="17">
        <f t="shared" si="753"/>
        <v>0</v>
      </c>
      <c r="Y612" s="18">
        <f t="shared" si="754"/>
        <v>0</v>
      </c>
      <c r="Z612" s="19">
        <f t="shared" ref="Z612:Z620" si="759">IF(Y$620=0,0,Y612/Y$620)</f>
        <v>0</v>
      </c>
      <c r="AA612" s="19"/>
      <c r="AB612" s="19"/>
      <c r="AC612" s="17"/>
      <c r="AE612" s="17"/>
      <c r="AF612" s="17"/>
      <c r="AG612" s="17"/>
      <c r="AH612" s="18">
        <f t="shared" si="755"/>
        <v>0</v>
      </c>
      <c r="AI612" s="19">
        <f t="shared" ref="AI612:AI619" si="760">IF(AH$620=0,0,AH612/AH$620)</f>
        <v>0</v>
      </c>
      <c r="AJ612" s="97"/>
      <c r="AK612" s="17"/>
      <c r="AL612" s="17"/>
      <c r="AM612" s="17"/>
      <c r="AN612" s="18">
        <f t="shared" si="756"/>
        <v>0</v>
      </c>
      <c r="AO612" s="19">
        <f t="shared" ref="AO612:AO619" si="761">IF(AN$620=0,0,AN612/AN$620)</f>
        <v>0</v>
      </c>
      <c r="AP612" s="97"/>
      <c r="AQ612" s="17"/>
      <c r="AR612" s="17"/>
      <c r="AS612" s="17"/>
      <c r="AT612" s="18">
        <f t="shared" si="757"/>
        <v>0</v>
      </c>
      <c r="AU612" s="19">
        <f t="shared" ref="AU612:AU619" si="762">IF(AT$620=0,0,AT612/AT$620)</f>
        <v>0</v>
      </c>
      <c r="AV612" s="97"/>
      <c r="AW612" s="17"/>
      <c r="AX612" s="17"/>
      <c r="AY612" s="17"/>
      <c r="AZ612" s="18">
        <f t="shared" si="758"/>
        <v>0</v>
      </c>
      <c r="BA612" s="19">
        <f t="shared" ref="BA612:BA619" si="763">IF(AZ$620=0,0,AZ612/AZ$620)</f>
        <v>0</v>
      </c>
    </row>
    <row r="613" spans="1:53" ht="17.100000000000001" customHeight="1" x14ac:dyDescent="0.25">
      <c r="A613" s="40"/>
      <c r="B613" s="40"/>
      <c r="C613" s="119"/>
      <c r="D613" s="180" t="s">
        <v>354</v>
      </c>
      <c r="E613" s="85" t="s">
        <v>514</v>
      </c>
      <c r="F613" s="105"/>
      <c r="G613" s="105"/>
      <c r="H613" s="119"/>
      <c r="I613" s="231"/>
      <c r="J613" s="581"/>
      <c r="K613" s="581"/>
      <c r="L613" s="582"/>
      <c r="M613" s="593">
        <f t="shared" si="751"/>
        <v>0</v>
      </c>
      <c r="N613" s="111"/>
      <c r="O613" s="111"/>
      <c r="P613" s="111"/>
      <c r="Q613" s="111"/>
      <c r="R613" s="111"/>
      <c r="S613" s="111"/>
      <c r="T613" s="111"/>
      <c r="U613" s="111"/>
      <c r="V613" s="358"/>
      <c r="W613" s="391">
        <f t="shared" si="752"/>
        <v>0</v>
      </c>
      <c r="X613" s="17">
        <f t="shared" si="753"/>
        <v>0</v>
      </c>
      <c r="Y613" s="18">
        <f t="shared" si="754"/>
        <v>0</v>
      </c>
      <c r="Z613" s="19">
        <f t="shared" si="759"/>
        <v>0</v>
      </c>
      <c r="AA613" s="19"/>
      <c r="AB613" s="19"/>
      <c r="AC613" s="17"/>
      <c r="AE613" s="17"/>
      <c r="AF613" s="17"/>
      <c r="AG613" s="17"/>
      <c r="AH613" s="18">
        <f t="shared" si="755"/>
        <v>0</v>
      </c>
      <c r="AI613" s="19">
        <f t="shared" si="760"/>
        <v>0</v>
      </c>
      <c r="AJ613" s="97"/>
      <c r="AK613" s="17"/>
      <c r="AL613" s="17"/>
      <c r="AM613" s="17"/>
      <c r="AN613" s="18">
        <f t="shared" si="756"/>
        <v>0</v>
      </c>
      <c r="AO613" s="19">
        <f t="shared" si="761"/>
        <v>0</v>
      </c>
      <c r="AP613" s="97"/>
      <c r="AQ613" s="17"/>
      <c r="AR613" s="17"/>
      <c r="AS613" s="17"/>
      <c r="AT613" s="18">
        <f t="shared" si="757"/>
        <v>0</v>
      </c>
      <c r="AU613" s="19">
        <f t="shared" si="762"/>
        <v>0</v>
      </c>
      <c r="AV613" s="97"/>
      <c r="AW613" s="17"/>
      <c r="AX613" s="17"/>
      <c r="AY613" s="17"/>
      <c r="AZ613" s="18">
        <f t="shared" si="758"/>
        <v>0</v>
      </c>
      <c r="BA613" s="19">
        <f t="shared" si="763"/>
        <v>0</v>
      </c>
    </row>
    <row r="614" spans="1:53" ht="17.100000000000001" customHeight="1" x14ac:dyDescent="0.25">
      <c r="A614" s="40"/>
      <c r="B614" s="40"/>
      <c r="C614" s="119"/>
      <c r="D614" s="180" t="s">
        <v>355</v>
      </c>
      <c r="E614" s="85" t="s">
        <v>357</v>
      </c>
      <c r="F614" s="105"/>
      <c r="G614" s="105"/>
      <c r="H614" s="119"/>
      <c r="I614" s="231"/>
      <c r="J614" s="583"/>
      <c r="K614" s="583"/>
      <c r="L614" s="584"/>
      <c r="M614" s="593">
        <f t="shared" si="751"/>
        <v>0</v>
      </c>
      <c r="N614" s="111"/>
      <c r="O614" s="111"/>
      <c r="P614" s="111"/>
      <c r="Q614" s="111"/>
      <c r="R614" s="111"/>
      <c r="S614" s="111"/>
      <c r="T614" s="111"/>
      <c r="U614" s="111"/>
      <c r="V614" s="358"/>
      <c r="W614" s="391">
        <f t="shared" si="752"/>
        <v>0</v>
      </c>
      <c r="X614" s="17">
        <f t="shared" si="753"/>
        <v>0</v>
      </c>
      <c r="Y614" s="18">
        <f t="shared" si="754"/>
        <v>0</v>
      </c>
      <c r="Z614" s="19">
        <f t="shared" si="759"/>
        <v>0</v>
      </c>
      <c r="AA614" s="19"/>
      <c r="AB614" s="19"/>
      <c r="AC614" s="17"/>
      <c r="AE614" s="17"/>
      <c r="AF614" s="17"/>
      <c r="AG614" s="17"/>
      <c r="AH614" s="18">
        <f t="shared" si="755"/>
        <v>0</v>
      </c>
      <c r="AI614" s="19">
        <f t="shared" si="760"/>
        <v>0</v>
      </c>
      <c r="AJ614" s="97"/>
      <c r="AK614" s="17"/>
      <c r="AL614" s="17"/>
      <c r="AM614" s="17"/>
      <c r="AN614" s="18">
        <f t="shared" si="756"/>
        <v>0</v>
      </c>
      <c r="AO614" s="19">
        <f t="shared" si="761"/>
        <v>0</v>
      </c>
      <c r="AP614" s="97"/>
      <c r="AQ614" s="17"/>
      <c r="AR614" s="17"/>
      <c r="AS614" s="17"/>
      <c r="AT614" s="18">
        <f t="shared" si="757"/>
        <v>0</v>
      </c>
      <c r="AU614" s="19">
        <f t="shared" si="762"/>
        <v>0</v>
      </c>
      <c r="AV614" s="97"/>
      <c r="AW614" s="17"/>
      <c r="AX614" s="17"/>
      <c r="AY614" s="17"/>
      <c r="AZ614" s="18">
        <f t="shared" si="758"/>
        <v>0</v>
      </c>
      <c r="BA614" s="19">
        <f t="shared" si="763"/>
        <v>0</v>
      </c>
    </row>
    <row r="615" spans="1:53" ht="17.100000000000001" customHeight="1" x14ac:dyDescent="0.25">
      <c r="A615" s="40"/>
      <c r="B615" s="40"/>
      <c r="C615" s="119"/>
      <c r="D615" s="180" t="s">
        <v>356</v>
      </c>
      <c r="E615" s="85" t="s">
        <v>515</v>
      </c>
      <c r="F615" s="105"/>
      <c r="G615" s="105"/>
      <c r="H615" s="119"/>
      <c r="I615" s="231"/>
      <c r="J615" s="581"/>
      <c r="K615" s="581"/>
      <c r="L615" s="582"/>
      <c r="M615" s="593">
        <f t="shared" si="751"/>
        <v>0</v>
      </c>
      <c r="N615" s="111"/>
      <c r="O615" s="111"/>
      <c r="P615" s="111"/>
      <c r="Q615" s="111"/>
      <c r="R615" s="111"/>
      <c r="S615" s="111"/>
      <c r="T615" s="111"/>
      <c r="U615" s="111"/>
      <c r="V615" s="358"/>
      <c r="W615" s="391">
        <f t="shared" si="752"/>
        <v>0</v>
      </c>
      <c r="X615" s="17">
        <f t="shared" si="753"/>
        <v>0</v>
      </c>
      <c r="Y615" s="18">
        <f t="shared" si="754"/>
        <v>0</v>
      </c>
      <c r="Z615" s="19">
        <f t="shared" si="759"/>
        <v>0</v>
      </c>
      <c r="AA615" s="19"/>
      <c r="AB615" s="19"/>
      <c r="AC615" s="17"/>
      <c r="AE615" s="17"/>
      <c r="AF615" s="17"/>
      <c r="AG615" s="17"/>
      <c r="AH615" s="18">
        <f t="shared" si="755"/>
        <v>0</v>
      </c>
      <c r="AI615" s="19">
        <f t="shared" si="760"/>
        <v>0</v>
      </c>
      <c r="AJ615" s="97"/>
      <c r="AK615" s="17"/>
      <c r="AL615" s="17"/>
      <c r="AM615" s="17"/>
      <c r="AN615" s="18">
        <f t="shared" si="756"/>
        <v>0</v>
      </c>
      <c r="AO615" s="19">
        <f t="shared" si="761"/>
        <v>0</v>
      </c>
      <c r="AP615" s="97"/>
      <c r="AQ615" s="17"/>
      <c r="AR615" s="17"/>
      <c r="AS615" s="17"/>
      <c r="AT615" s="18">
        <f t="shared" si="757"/>
        <v>0</v>
      </c>
      <c r="AU615" s="19">
        <f t="shared" si="762"/>
        <v>0</v>
      </c>
      <c r="AV615" s="97"/>
      <c r="AW615" s="17"/>
      <c r="AX615" s="17"/>
      <c r="AY615" s="17"/>
      <c r="AZ615" s="18">
        <f t="shared" si="758"/>
        <v>0</v>
      </c>
      <c r="BA615" s="19">
        <f t="shared" si="763"/>
        <v>0</v>
      </c>
    </row>
    <row r="616" spans="1:53" ht="17.100000000000001" customHeight="1" x14ac:dyDescent="0.25">
      <c r="A616" s="40"/>
      <c r="B616" s="40"/>
      <c r="C616" s="119"/>
      <c r="D616" s="180" t="s">
        <v>508</v>
      </c>
      <c r="E616" s="85" t="s">
        <v>516</v>
      </c>
      <c r="F616" s="105"/>
      <c r="G616" s="105"/>
      <c r="H616" s="119"/>
      <c r="I616" s="231"/>
      <c r="J616" s="583"/>
      <c r="K616" s="583"/>
      <c r="L616" s="584"/>
      <c r="M616" s="593">
        <f t="shared" si="751"/>
        <v>0</v>
      </c>
      <c r="N616" s="111"/>
      <c r="O616" s="111"/>
      <c r="P616" s="111"/>
      <c r="Q616" s="111"/>
      <c r="R616" s="111"/>
      <c r="S616" s="111"/>
      <c r="T616" s="111"/>
      <c r="U616" s="111"/>
      <c r="V616" s="358"/>
      <c r="W616" s="391">
        <f t="shared" si="752"/>
        <v>0</v>
      </c>
      <c r="X616" s="17">
        <f t="shared" si="753"/>
        <v>0</v>
      </c>
      <c r="Y616" s="18">
        <f t="shared" si="754"/>
        <v>0</v>
      </c>
      <c r="Z616" s="19">
        <f t="shared" si="759"/>
        <v>0</v>
      </c>
      <c r="AA616" s="19"/>
      <c r="AB616" s="19"/>
      <c r="AC616" s="17"/>
      <c r="AE616" s="17"/>
      <c r="AF616" s="17"/>
      <c r="AG616" s="17"/>
      <c r="AH616" s="18">
        <f t="shared" si="755"/>
        <v>0</v>
      </c>
      <c r="AI616" s="19">
        <f t="shared" si="760"/>
        <v>0</v>
      </c>
      <c r="AJ616" s="97"/>
      <c r="AK616" s="17"/>
      <c r="AL616" s="17"/>
      <c r="AM616" s="17"/>
      <c r="AN616" s="18">
        <f t="shared" si="756"/>
        <v>0</v>
      </c>
      <c r="AO616" s="19">
        <f t="shared" si="761"/>
        <v>0</v>
      </c>
      <c r="AP616" s="97"/>
      <c r="AQ616" s="17"/>
      <c r="AR616" s="17"/>
      <c r="AS616" s="17"/>
      <c r="AT616" s="18">
        <f t="shared" si="757"/>
        <v>0</v>
      </c>
      <c r="AU616" s="19">
        <f t="shared" si="762"/>
        <v>0</v>
      </c>
      <c r="AV616" s="97"/>
      <c r="AW616" s="17"/>
      <c r="AX616" s="17"/>
      <c r="AY616" s="17"/>
      <c r="AZ616" s="18">
        <f t="shared" si="758"/>
        <v>0</v>
      </c>
      <c r="BA616" s="19">
        <f t="shared" si="763"/>
        <v>0</v>
      </c>
    </row>
    <row r="617" spans="1:53" ht="17.100000000000001" customHeight="1" x14ac:dyDescent="0.25">
      <c r="A617" s="40"/>
      <c r="B617" s="40"/>
      <c r="C617" s="119"/>
      <c r="D617" s="180" t="s">
        <v>509</v>
      </c>
      <c r="E617" s="85" t="s">
        <v>517</v>
      </c>
      <c r="F617" s="105"/>
      <c r="G617" s="105"/>
      <c r="H617" s="119"/>
      <c r="I617" s="231"/>
      <c r="J617" s="581"/>
      <c r="K617" s="581"/>
      <c r="L617" s="582"/>
      <c r="M617" s="593">
        <f t="shared" si="751"/>
        <v>0</v>
      </c>
      <c r="N617" s="111"/>
      <c r="O617" s="111"/>
      <c r="P617" s="111"/>
      <c r="Q617" s="111"/>
      <c r="R617" s="111"/>
      <c r="S617" s="111"/>
      <c r="T617" s="111"/>
      <c r="U617" s="111"/>
      <c r="V617" s="358"/>
      <c r="W617" s="391">
        <f t="shared" si="752"/>
        <v>0</v>
      </c>
      <c r="X617" s="17">
        <f t="shared" si="753"/>
        <v>0</v>
      </c>
      <c r="Y617" s="18">
        <f t="shared" si="754"/>
        <v>0</v>
      </c>
      <c r="Z617" s="19">
        <f t="shared" si="759"/>
        <v>0</v>
      </c>
      <c r="AA617" s="19"/>
      <c r="AB617" s="19"/>
      <c r="AC617" s="17"/>
      <c r="AE617" s="17"/>
      <c r="AF617" s="17"/>
      <c r="AG617" s="17"/>
      <c r="AH617" s="18">
        <f t="shared" si="755"/>
        <v>0</v>
      </c>
      <c r="AI617" s="19">
        <f t="shared" si="760"/>
        <v>0</v>
      </c>
      <c r="AJ617" s="97"/>
      <c r="AK617" s="17"/>
      <c r="AL617" s="17"/>
      <c r="AM617" s="17"/>
      <c r="AN617" s="18">
        <f t="shared" si="756"/>
        <v>0</v>
      </c>
      <c r="AO617" s="19">
        <f t="shared" si="761"/>
        <v>0</v>
      </c>
      <c r="AP617" s="97"/>
      <c r="AQ617" s="17"/>
      <c r="AR617" s="17"/>
      <c r="AS617" s="17"/>
      <c r="AT617" s="18">
        <f t="shared" si="757"/>
        <v>0</v>
      </c>
      <c r="AU617" s="19">
        <f t="shared" si="762"/>
        <v>0</v>
      </c>
      <c r="AV617" s="97"/>
      <c r="AW617" s="17"/>
      <c r="AX617" s="17"/>
      <c r="AY617" s="17"/>
      <c r="AZ617" s="18">
        <f t="shared" si="758"/>
        <v>0</v>
      </c>
      <c r="BA617" s="19">
        <f t="shared" si="763"/>
        <v>0</v>
      </c>
    </row>
    <row r="618" spans="1:53" ht="17.100000000000001" customHeight="1" x14ac:dyDescent="0.25">
      <c r="A618" s="40"/>
      <c r="B618" s="40"/>
      <c r="C618" s="119"/>
      <c r="D618" s="180" t="s">
        <v>510</v>
      </c>
      <c r="E618" s="85" t="s">
        <v>518</v>
      </c>
      <c r="F618" s="105"/>
      <c r="G618" s="105"/>
      <c r="H618" s="119"/>
      <c r="I618" s="231"/>
      <c r="J618" s="583"/>
      <c r="K618" s="583"/>
      <c r="L618" s="584"/>
      <c r="M618" s="593">
        <f t="shared" si="751"/>
        <v>0</v>
      </c>
      <c r="N618" s="111"/>
      <c r="O618" s="111"/>
      <c r="P618" s="111"/>
      <c r="Q618" s="111"/>
      <c r="R618" s="111"/>
      <c r="S618" s="111"/>
      <c r="T618" s="111"/>
      <c r="U618" s="111"/>
      <c r="V618" s="358"/>
      <c r="W618" s="391">
        <f t="shared" si="752"/>
        <v>0</v>
      </c>
      <c r="X618" s="17">
        <f t="shared" si="753"/>
        <v>0</v>
      </c>
      <c r="Y618" s="18">
        <f t="shared" si="754"/>
        <v>0</v>
      </c>
      <c r="Z618" s="19">
        <f t="shared" si="759"/>
        <v>0</v>
      </c>
      <c r="AA618" s="19"/>
      <c r="AB618" s="19"/>
      <c r="AC618" s="17"/>
      <c r="AE618" s="17"/>
      <c r="AF618" s="17"/>
      <c r="AG618" s="17"/>
      <c r="AH618" s="18">
        <f t="shared" si="755"/>
        <v>0</v>
      </c>
      <c r="AI618" s="19">
        <f t="shared" si="760"/>
        <v>0</v>
      </c>
      <c r="AJ618" s="97"/>
      <c r="AK618" s="17"/>
      <c r="AL618" s="17"/>
      <c r="AM618" s="17"/>
      <c r="AN618" s="18">
        <f t="shared" si="756"/>
        <v>0</v>
      </c>
      <c r="AO618" s="19">
        <f t="shared" si="761"/>
        <v>0</v>
      </c>
      <c r="AP618" s="97"/>
      <c r="AQ618" s="17"/>
      <c r="AR618" s="17"/>
      <c r="AS618" s="17"/>
      <c r="AT618" s="18">
        <f t="shared" si="757"/>
        <v>0</v>
      </c>
      <c r="AU618" s="19">
        <f t="shared" si="762"/>
        <v>0</v>
      </c>
      <c r="AV618" s="97"/>
      <c r="AW618" s="17"/>
      <c r="AX618" s="17"/>
      <c r="AY618" s="17"/>
      <c r="AZ618" s="18">
        <f t="shared" si="758"/>
        <v>0</v>
      </c>
      <c r="BA618" s="19">
        <f t="shared" si="763"/>
        <v>0</v>
      </c>
    </row>
    <row r="619" spans="1:53" ht="17.100000000000001" customHeight="1" x14ac:dyDescent="0.25">
      <c r="A619" s="40"/>
      <c r="B619" s="40"/>
      <c r="C619" s="119"/>
      <c r="D619" s="180" t="s">
        <v>511</v>
      </c>
      <c r="E619" s="85" t="s">
        <v>129</v>
      </c>
      <c r="F619" s="105"/>
      <c r="G619" s="105"/>
      <c r="H619" s="119"/>
      <c r="I619" s="231"/>
      <c r="J619" s="581"/>
      <c r="K619" s="581"/>
      <c r="L619" s="582"/>
      <c r="M619" s="593">
        <f t="shared" si="751"/>
        <v>0</v>
      </c>
      <c r="N619" s="111"/>
      <c r="O619" s="111"/>
      <c r="P619" s="111"/>
      <c r="Q619" s="111"/>
      <c r="R619" s="111"/>
      <c r="S619" s="111"/>
      <c r="T619" s="111"/>
      <c r="U619" s="111"/>
      <c r="V619" s="358"/>
      <c r="W619" s="391">
        <f t="shared" si="752"/>
        <v>0</v>
      </c>
      <c r="X619" s="17">
        <f t="shared" si="753"/>
        <v>0</v>
      </c>
      <c r="Y619" s="18">
        <f t="shared" si="754"/>
        <v>0</v>
      </c>
      <c r="Z619" s="19">
        <f t="shared" si="759"/>
        <v>0</v>
      </c>
      <c r="AA619" s="19"/>
      <c r="AB619" s="19"/>
      <c r="AC619" s="17"/>
      <c r="AE619" s="17"/>
      <c r="AF619" s="17"/>
      <c r="AG619" s="17"/>
      <c r="AH619" s="18">
        <f t="shared" si="755"/>
        <v>0</v>
      </c>
      <c r="AI619" s="19">
        <f t="shared" si="760"/>
        <v>0</v>
      </c>
      <c r="AJ619" s="97"/>
      <c r="AK619" s="17"/>
      <c r="AL619" s="17"/>
      <c r="AM619" s="17"/>
      <c r="AN619" s="18">
        <f t="shared" si="756"/>
        <v>0</v>
      </c>
      <c r="AO619" s="19">
        <f t="shared" si="761"/>
        <v>0</v>
      </c>
      <c r="AP619" s="97"/>
      <c r="AQ619" s="17"/>
      <c r="AR619" s="17"/>
      <c r="AS619" s="17"/>
      <c r="AT619" s="18">
        <f t="shared" si="757"/>
        <v>0</v>
      </c>
      <c r="AU619" s="19">
        <f t="shared" si="762"/>
        <v>0</v>
      </c>
      <c r="AV619" s="97"/>
      <c r="AW619" s="17"/>
      <c r="AX619" s="17"/>
      <c r="AY619" s="17"/>
      <c r="AZ619" s="18">
        <f t="shared" si="758"/>
        <v>0</v>
      </c>
      <c r="BA619" s="19">
        <f t="shared" si="763"/>
        <v>0</v>
      </c>
    </row>
    <row r="620" spans="1:53" ht="17.100000000000001" customHeight="1" x14ac:dyDescent="0.25">
      <c r="A620" s="40"/>
      <c r="B620" s="40"/>
      <c r="C620" s="77"/>
      <c r="D620" s="134"/>
      <c r="E620" s="134"/>
      <c r="F620" s="134"/>
      <c r="G620" s="134"/>
      <c r="H620" s="540"/>
      <c r="I620" s="229"/>
      <c r="J620" s="80">
        <f>SUM(J611:J619)</f>
        <v>0</v>
      </c>
      <c r="K620" s="80">
        <f t="shared" ref="K620:M620" si="764">SUM(K611:K619)</f>
        <v>0</v>
      </c>
      <c r="L620" s="80">
        <f t="shared" si="764"/>
        <v>0</v>
      </c>
      <c r="M620" s="80">
        <f t="shared" si="764"/>
        <v>0</v>
      </c>
      <c r="N620" s="81"/>
      <c r="O620" s="81"/>
      <c r="P620" s="81"/>
      <c r="Q620" s="81"/>
      <c r="R620" s="81"/>
      <c r="S620" s="81"/>
      <c r="T620" s="81"/>
      <c r="U620" s="81"/>
      <c r="V620" s="356"/>
      <c r="W620" s="381">
        <f>SUM(W611:W619)</f>
        <v>0</v>
      </c>
      <c r="X620" s="82">
        <f t="shared" ref="X620:Y620" si="765">SUM(X611:X619)</f>
        <v>0</v>
      </c>
      <c r="Y620" s="82">
        <f t="shared" si="765"/>
        <v>0</v>
      </c>
      <c r="Z620" s="205">
        <f t="shared" si="759"/>
        <v>0</v>
      </c>
      <c r="AA620" s="205"/>
      <c r="AB620" s="205"/>
      <c r="AC620" s="83"/>
      <c r="AE620" s="80"/>
      <c r="AF620" s="80"/>
      <c r="AG620" s="81"/>
      <c r="AH620" s="82">
        <f>SUM(AH611:AH619)</f>
        <v>0</v>
      </c>
      <c r="AI620" s="66">
        <f>IF(AH$620=0,0,AH620/AH$620)</f>
        <v>0</v>
      </c>
      <c r="AK620" s="80"/>
      <c r="AL620" s="80"/>
      <c r="AM620" s="81"/>
      <c r="AN620" s="82">
        <f>SUM(AN611:AN619)</f>
        <v>0</v>
      </c>
      <c r="AO620" s="66">
        <f>IF(AN$620=0,0,AN620/AN$620)</f>
        <v>0</v>
      </c>
      <c r="AQ620" s="80"/>
      <c r="AR620" s="80"/>
      <c r="AS620" s="81"/>
      <c r="AT620" s="82">
        <f>SUM(AT611:AT619)</f>
        <v>0</v>
      </c>
      <c r="AU620" s="66">
        <f>IF(AT$620=0,0,AT620/AT$620)</f>
        <v>0</v>
      </c>
      <c r="AW620" s="80"/>
      <c r="AX620" s="80"/>
      <c r="AY620" s="81"/>
      <c r="AZ620" s="82">
        <f>SUM(AZ611:AZ619)</f>
        <v>0</v>
      </c>
      <c r="BA620" s="66">
        <f>IF(AZ$620=0,0,AZ620/AZ$620)</f>
        <v>0</v>
      </c>
    </row>
    <row r="621" spans="1:53" s="117" customFormat="1" ht="17.100000000000001" customHeight="1" x14ac:dyDescent="0.25">
      <c r="A621" s="68"/>
      <c r="B621" s="119"/>
      <c r="C621" s="540"/>
      <c r="D621" s="261"/>
      <c r="E621" s="261"/>
      <c r="F621" s="68"/>
      <c r="G621" s="68"/>
      <c r="H621" s="119"/>
      <c r="I621" s="138"/>
      <c r="J621" s="17" t="str">
        <f>IF(J620=J$576,"OK","NOK")</f>
        <v>OK</v>
      </c>
      <c r="K621" s="17" t="str">
        <f t="shared" ref="K621:L621" si="766">IF(K620=K$576,"OK","NOK")</f>
        <v>OK</v>
      </c>
      <c r="L621" s="17" t="str">
        <f t="shared" si="766"/>
        <v>OK</v>
      </c>
      <c r="M621" s="17"/>
      <c r="N621" s="17"/>
      <c r="O621" s="17"/>
      <c r="P621" s="17"/>
      <c r="Q621" s="17"/>
      <c r="R621" s="17"/>
      <c r="S621" s="17"/>
      <c r="T621" s="17"/>
      <c r="U621" s="17"/>
      <c r="V621" s="359"/>
      <c r="W621" s="382"/>
      <c r="X621" s="539"/>
      <c r="Y621" s="539"/>
      <c r="Z621" s="201"/>
      <c r="AA621" s="201"/>
      <c r="AB621" s="201"/>
      <c r="AC621" s="84"/>
      <c r="AE621" s="46"/>
      <c r="AF621" s="46"/>
      <c r="AG621" s="17"/>
      <c r="AH621" s="539"/>
      <c r="AI621" s="91"/>
      <c r="AK621" s="46"/>
      <c r="AL621" s="46"/>
      <c r="AM621" s="17"/>
      <c r="AN621" s="539"/>
      <c r="AO621" s="91"/>
      <c r="AQ621" s="46"/>
      <c r="AR621" s="46"/>
      <c r="AS621" s="17"/>
      <c r="AT621" s="539"/>
      <c r="AU621" s="91"/>
      <c r="AW621" s="46"/>
      <c r="AX621" s="46"/>
      <c r="AY621" s="17"/>
      <c r="AZ621" s="539"/>
      <c r="BA621" s="91"/>
    </row>
    <row r="622" spans="1:53" ht="17.100000000000001" customHeight="1" x14ac:dyDescent="0.25">
      <c r="A622" s="68"/>
      <c r="B622" s="48" t="s">
        <v>678</v>
      </c>
      <c r="C622" s="50" t="s">
        <v>679</v>
      </c>
      <c r="D622" s="50"/>
      <c r="E622" s="70"/>
      <c r="F622" s="70"/>
      <c r="G622" s="70"/>
      <c r="H622" s="119"/>
      <c r="J622" s="71"/>
      <c r="K622" s="71"/>
      <c r="L622" s="71"/>
      <c r="M622" s="71"/>
      <c r="N622" s="71"/>
      <c r="O622" s="71"/>
      <c r="P622" s="71"/>
      <c r="Q622" s="71"/>
      <c r="R622" s="71"/>
      <c r="S622" s="71"/>
      <c r="T622" s="71"/>
      <c r="U622" s="71"/>
      <c r="V622" s="355"/>
      <c r="W622" s="377"/>
      <c r="X622" s="71"/>
      <c r="Y622" s="72"/>
      <c r="Z622" s="73"/>
      <c r="AA622" s="73"/>
      <c r="AB622" s="73"/>
      <c r="AC622" s="73"/>
      <c r="AE622" s="71"/>
      <c r="AF622" s="71"/>
      <c r="AG622" s="71"/>
      <c r="AH622" s="72"/>
      <c r="AI622" s="73"/>
      <c r="AK622" s="71"/>
      <c r="AL622" s="71"/>
      <c r="AM622" s="71"/>
      <c r="AN622" s="72"/>
      <c r="AO622" s="73"/>
      <c r="AQ622" s="71"/>
      <c r="AR622" s="71"/>
      <c r="AS622" s="71"/>
      <c r="AT622" s="72"/>
      <c r="AU622" s="73"/>
      <c r="AW622" s="71"/>
      <c r="AX622" s="71"/>
      <c r="AY622" s="71"/>
      <c r="AZ622" s="72"/>
      <c r="BA622" s="73"/>
    </row>
    <row r="623" spans="1:53" s="117" customFormat="1" ht="17.100000000000001" customHeight="1" x14ac:dyDescent="0.25">
      <c r="A623" s="68"/>
      <c r="B623" s="119"/>
      <c r="C623" s="74" t="s">
        <v>680</v>
      </c>
      <c r="D623" s="85" t="s">
        <v>504</v>
      </c>
      <c r="E623" s="75"/>
      <c r="F623" s="151"/>
      <c r="G623" s="318"/>
      <c r="H623" s="119"/>
      <c r="I623" s="138"/>
      <c r="J623" s="111"/>
      <c r="K623" s="111"/>
      <c r="L623" s="111"/>
      <c r="M623" s="111"/>
      <c r="N623" s="111"/>
      <c r="O623" s="111"/>
      <c r="P623" s="327">
        <v>1</v>
      </c>
      <c r="Q623" s="111"/>
      <c r="R623" s="111"/>
      <c r="S623" s="327"/>
      <c r="T623" s="111"/>
      <c r="U623" s="111"/>
      <c r="V623" s="369"/>
      <c r="W623" s="391"/>
      <c r="X623" s="17"/>
      <c r="Y623" s="328">
        <f t="shared" ref="Y623:Y624" si="767">P623+S623+V623</f>
        <v>1</v>
      </c>
      <c r="Z623" s="19">
        <f>IF(Y$628=0,0,Y623/Y$628)</f>
        <v>0.5</v>
      </c>
      <c r="AA623" s="201"/>
      <c r="AB623" s="201"/>
      <c r="AC623" s="84"/>
      <c r="AE623" s="111"/>
      <c r="AF623" s="111"/>
      <c r="AG623" s="111"/>
      <c r="AH623" s="545"/>
      <c r="AI623" s="131"/>
      <c r="AK623" s="111"/>
      <c r="AL623" s="111"/>
      <c r="AM623" s="111"/>
      <c r="AN623" s="545"/>
      <c r="AO623" s="131"/>
      <c r="AQ623" s="111"/>
      <c r="AR623" s="111"/>
      <c r="AS623" s="111"/>
      <c r="AT623" s="545"/>
      <c r="AU623" s="131"/>
      <c r="AW623" s="111"/>
      <c r="AX623" s="111"/>
      <c r="AY623" s="111"/>
      <c r="AZ623" s="545"/>
      <c r="BA623" s="131"/>
    </row>
    <row r="624" spans="1:53" s="117" customFormat="1" ht="17.100000000000001" customHeight="1" x14ac:dyDescent="0.25">
      <c r="A624" s="68"/>
      <c r="B624" s="119"/>
      <c r="C624" s="74" t="s">
        <v>681</v>
      </c>
      <c r="D624" s="85" t="s">
        <v>505</v>
      </c>
      <c r="E624" s="75"/>
      <c r="F624" s="151"/>
      <c r="G624" s="318"/>
      <c r="H624" s="119"/>
      <c r="I624" s="138"/>
      <c r="J624" s="111"/>
      <c r="K624" s="111"/>
      <c r="L624" s="111"/>
      <c r="M624" s="111"/>
      <c r="N624" s="111"/>
      <c r="O624" s="111"/>
      <c r="P624" s="329"/>
      <c r="Q624" s="111"/>
      <c r="R624" s="111"/>
      <c r="S624" s="329"/>
      <c r="T624" s="111"/>
      <c r="U624" s="111"/>
      <c r="V624" s="370"/>
      <c r="W624" s="391"/>
      <c r="X624" s="17"/>
      <c r="Y624" s="328">
        <f t="shared" si="767"/>
        <v>0</v>
      </c>
      <c r="Z624" s="19">
        <f t="shared" ref="Z624:Z628" si="768">IF(Y$628=0,0,Y624/Y$628)</f>
        <v>0</v>
      </c>
      <c r="AA624" s="201"/>
      <c r="AB624" s="201"/>
      <c r="AC624" s="84"/>
      <c r="AE624" s="111"/>
      <c r="AF624" s="111"/>
      <c r="AG624" s="111"/>
      <c r="AH624" s="545"/>
      <c r="AI624" s="131"/>
      <c r="AK624" s="111"/>
      <c r="AL624" s="111"/>
      <c r="AM624" s="111"/>
      <c r="AN624" s="545"/>
      <c r="AO624" s="131"/>
      <c r="AQ624" s="111"/>
      <c r="AR624" s="111"/>
      <c r="AS624" s="111"/>
      <c r="AT624" s="545"/>
      <c r="AU624" s="131"/>
      <c r="AW624" s="111"/>
      <c r="AX624" s="111"/>
      <c r="AY624" s="111"/>
      <c r="AZ624" s="545"/>
      <c r="BA624" s="131"/>
    </row>
    <row r="625" spans="1:53" s="117" customFormat="1" ht="17.100000000000001" customHeight="1" x14ac:dyDescent="0.25">
      <c r="A625" s="68"/>
      <c r="B625" s="119"/>
      <c r="C625" s="74" t="s">
        <v>682</v>
      </c>
      <c r="D625" s="85" t="s">
        <v>683</v>
      </c>
      <c r="E625" s="75"/>
      <c r="F625" s="151"/>
      <c r="G625" s="318"/>
      <c r="H625" s="119"/>
      <c r="I625" s="138"/>
      <c r="J625" s="111"/>
      <c r="K625" s="111"/>
      <c r="L625" s="111"/>
      <c r="M625" s="111"/>
      <c r="N625" s="111"/>
      <c r="O625" s="111"/>
      <c r="P625" s="327"/>
      <c r="Q625" s="111"/>
      <c r="R625" s="111"/>
      <c r="S625" s="327"/>
      <c r="T625" s="111"/>
      <c r="U625" s="111"/>
      <c r="V625" s="369"/>
      <c r="W625" s="391"/>
      <c r="X625" s="17"/>
      <c r="Y625" s="328">
        <f>P625+S625+V625</f>
        <v>0</v>
      </c>
      <c r="Z625" s="19">
        <f t="shared" si="768"/>
        <v>0</v>
      </c>
      <c r="AA625" s="201"/>
      <c r="AB625" s="201"/>
      <c r="AC625" s="84"/>
      <c r="AE625" s="111"/>
      <c r="AF625" s="111"/>
      <c r="AG625" s="111"/>
      <c r="AH625" s="545"/>
      <c r="AI625" s="131"/>
      <c r="AK625" s="111"/>
      <c r="AL625" s="111"/>
      <c r="AM625" s="111"/>
      <c r="AN625" s="545"/>
      <c r="AO625" s="131"/>
      <c r="AQ625" s="111"/>
      <c r="AR625" s="111"/>
      <c r="AS625" s="111"/>
      <c r="AT625" s="545"/>
      <c r="AU625" s="131"/>
      <c r="AW625" s="111"/>
      <c r="AX625" s="111"/>
      <c r="AY625" s="111"/>
      <c r="AZ625" s="545"/>
      <c r="BA625" s="131"/>
    </row>
    <row r="626" spans="1:53" s="117" customFormat="1" ht="17.100000000000001" customHeight="1" x14ac:dyDescent="0.25">
      <c r="A626" s="68"/>
      <c r="B626" s="119"/>
      <c r="C626" s="74" t="s">
        <v>684</v>
      </c>
      <c r="D626" s="85" t="s">
        <v>685</v>
      </c>
      <c r="E626" s="75"/>
      <c r="F626" s="151"/>
      <c r="G626" s="318"/>
      <c r="H626" s="119"/>
      <c r="I626" s="138"/>
      <c r="J626" s="111"/>
      <c r="K626" s="111"/>
      <c r="L626" s="111"/>
      <c r="M626" s="111"/>
      <c r="N626" s="111"/>
      <c r="O626" s="111"/>
      <c r="P626" s="329"/>
      <c r="Q626" s="111"/>
      <c r="R626" s="111"/>
      <c r="S626" s="329">
        <v>1</v>
      </c>
      <c r="T626" s="111"/>
      <c r="U626" s="111"/>
      <c r="V626" s="370"/>
      <c r="W626" s="391"/>
      <c r="X626" s="17"/>
      <c r="Y626" s="328">
        <f t="shared" ref="Y626:Y627" si="769">P626+S626+V626</f>
        <v>1</v>
      </c>
      <c r="Z626" s="19">
        <f t="shared" si="768"/>
        <v>0.5</v>
      </c>
      <c r="AA626" s="201"/>
      <c r="AB626" s="201"/>
      <c r="AC626" s="84"/>
      <c r="AE626" s="111"/>
      <c r="AF626" s="111"/>
      <c r="AG626" s="111"/>
      <c r="AH626" s="545"/>
      <c r="AI626" s="131"/>
      <c r="AK626" s="111"/>
      <c r="AL626" s="111"/>
      <c r="AM626" s="111"/>
      <c r="AN626" s="545"/>
      <c r="AO626" s="131"/>
      <c r="AQ626" s="111"/>
      <c r="AR626" s="111"/>
      <c r="AS626" s="111"/>
      <c r="AT626" s="545"/>
      <c r="AU626" s="131"/>
      <c r="AW626" s="111"/>
      <c r="AX626" s="111"/>
      <c r="AY626" s="111"/>
      <c r="AZ626" s="545"/>
      <c r="BA626" s="131"/>
    </row>
    <row r="627" spans="1:53" s="117" customFormat="1" ht="17.100000000000001" customHeight="1" x14ac:dyDescent="0.25">
      <c r="A627" s="68"/>
      <c r="B627" s="119"/>
      <c r="C627" s="74" t="s">
        <v>686</v>
      </c>
      <c r="D627" s="85" t="s">
        <v>129</v>
      </c>
      <c r="E627" s="75"/>
      <c r="F627" s="151"/>
      <c r="G627" s="318"/>
      <c r="H627" s="119"/>
      <c r="I627" s="138"/>
      <c r="J627" s="111"/>
      <c r="K627" s="111"/>
      <c r="L627" s="111"/>
      <c r="M627" s="111"/>
      <c r="N627" s="111"/>
      <c r="O627" s="111"/>
      <c r="P627" s="327"/>
      <c r="Q627" s="111"/>
      <c r="R627" s="111"/>
      <c r="S627" s="327"/>
      <c r="T627" s="111"/>
      <c r="U627" s="111"/>
      <c r="V627" s="369"/>
      <c r="W627" s="391"/>
      <c r="X627" s="17"/>
      <c r="Y627" s="328">
        <f t="shared" si="769"/>
        <v>0</v>
      </c>
      <c r="Z627" s="19">
        <f t="shared" si="768"/>
        <v>0</v>
      </c>
      <c r="AA627" s="201"/>
      <c r="AB627" s="201"/>
      <c r="AC627" s="84"/>
      <c r="AE627" s="111"/>
      <c r="AF627" s="111"/>
      <c r="AG627" s="111"/>
      <c r="AH627" s="545"/>
      <c r="AI627" s="131"/>
      <c r="AK627" s="111"/>
      <c r="AL627" s="111"/>
      <c r="AM627" s="111"/>
      <c r="AN627" s="545"/>
      <c r="AO627" s="131"/>
      <c r="AQ627" s="111"/>
      <c r="AR627" s="111"/>
      <c r="AS627" s="111"/>
      <c r="AT627" s="545"/>
      <c r="AU627" s="131"/>
      <c r="AW627" s="111"/>
      <c r="AX627" s="111"/>
      <c r="AY627" s="111"/>
      <c r="AZ627" s="545"/>
      <c r="BA627" s="131"/>
    </row>
    <row r="628" spans="1:53" ht="17.100000000000001" customHeight="1" x14ac:dyDescent="0.25">
      <c r="A628" s="40"/>
      <c r="B628" s="40"/>
      <c r="C628" s="77"/>
      <c r="D628" s="134"/>
      <c r="E628" s="134"/>
      <c r="F628" s="134"/>
      <c r="G628" s="134"/>
      <c r="H628" s="540"/>
      <c r="I628" s="229"/>
      <c r="J628" s="80"/>
      <c r="K628" s="80"/>
      <c r="L628" s="80"/>
      <c r="M628" s="80"/>
      <c r="N628" s="81"/>
      <c r="O628" s="81"/>
      <c r="P628" s="82">
        <f>SUM(P623:P627)</f>
        <v>1</v>
      </c>
      <c r="Q628" s="81"/>
      <c r="R628" s="81"/>
      <c r="S628" s="82">
        <f>SUM(S623:S627)</f>
        <v>1</v>
      </c>
      <c r="T628" s="81"/>
      <c r="U628" s="81"/>
      <c r="V628" s="360">
        <f>SUM(V623:V627)</f>
        <v>0</v>
      </c>
      <c r="W628" s="381"/>
      <c r="X628" s="82"/>
      <c r="Y628" s="82">
        <f>SUM(Y623:Y627)</f>
        <v>2</v>
      </c>
      <c r="Z628" s="205">
        <f t="shared" si="768"/>
        <v>1</v>
      </c>
      <c r="AA628" s="205"/>
      <c r="AB628" s="205"/>
      <c r="AC628" s="83"/>
      <c r="AE628" s="80"/>
      <c r="AF628" s="80"/>
      <c r="AG628" s="81"/>
      <c r="AH628" s="82"/>
      <c r="AI628" s="66"/>
      <c r="AK628" s="80"/>
      <c r="AL628" s="80"/>
      <c r="AM628" s="81"/>
      <c r="AN628" s="82"/>
      <c r="AO628" s="66"/>
      <c r="AQ628" s="80"/>
      <c r="AR628" s="80"/>
      <c r="AS628" s="81"/>
      <c r="AT628" s="82"/>
      <c r="AU628" s="66"/>
      <c r="AW628" s="80"/>
      <c r="AX628" s="80"/>
      <c r="AY628" s="81"/>
      <c r="AZ628" s="82"/>
      <c r="BA628" s="66"/>
    </row>
    <row r="629" spans="1:53" s="117" customFormat="1" ht="17.100000000000001" customHeight="1" x14ac:dyDescent="0.25">
      <c r="A629" s="68"/>
      <c r="B629" s="119"/>
      <c r="C629" s="540"/>
      <c r="D629" s="261"/>
      <c r="E629" s="261"/>
      <c r="F629" s="68"/>
      <c r="G629" s="68"/>
      <c r="H629" s="119"/>
      <c r="I629" s="138"/>
      <c r="J629" s="17"/>
      <c r="K629" s="17"/>
      <c r="L629" s="17"/>
      <c r="M629" s="17"/>
      <c r="N629" s="17"/>
      <c r="O629" s="17"/>
      <c r="P629" s="17" t="str">
        <f>IF(P628=1,"OK","NOK")</f>
        <v>OK</v>
      </c>
      <c r="Q629" s="17"/>
      <c r="R629" s="17"/>
      <c r="S629" s="17" t="str">
        <f>IF(S628=1,"OK","NOK")</f>
        <v>OK</v>
      </c>
      <c r="T629" s="17"/>
      <c r="U629" s="17"/>
      <c r="V629" s="359" t="str">
        <f>IF(V628=1,"OK","NOK")</f>
        <v>NOK</v>
      </c>
      <c r="W629" s="382"/>
      <c r="X629" s="539"/>
      <c r="Y629" s="539"/>
      <c r="Z629" s="201"/>
      <c r="AA629" s="201"/>
      <c r="AB629" s="201"/>
      <c r="AC629" s="84"/>
      <c r="AE629" s="46"/>
      <c r="AF629" s="46"/>
      <c r="AG629" s="17"/>
      <c r="AH629" s="539"/>
      <c r="AI629" s="91"/>
      <c r="AK629" s="46"/>
      <c r="AL629" s="46"/>
      <c r="AM629" s="17"/>
      <c r="AN629" s="539"/>
      <c r="AO629" s="91"/>
      <c r="AQ629" s="46"/>
      <c r="AR629" s="46"/>
      <c r="AS629" s="17"/>
      <c r="AT629" s="539"/>
      <c r="AU629" s="91"/>
      <c r="AW629" s="46"/>
      <c r="AX629" s="46"/>
      <c r="AY629" s="17"/>
      <c r="AZ629" s="539"/>
      <c r="BA629" s="91"/>
    </row>
    <row r="630" spans="1:53" ht="17.100000000000001" customHeight="1" x14ac:dyDescent="0.25">
      <c r="A630" s="119"/>
      <c r="B630" s="48" t="s">
        <v>687</v>
      </c>
      <c r="C630" s="50" t="s">
        <v>688</v>
      </c>
      <c r="D630" s="50"/>
      <c r="E630" s="70"/>
      <c r="F630" s="70"/>
      <c r="G630" s="70"/>
      <c r="H630" s="119"/>
      <c r="J630" s="71"/>
      <c r="K630" s="71"/>
      <c r="L630" s="71"/>
      <c r="M630" s="71"/>
      <c r="N630" s="71"/>
      <c r="O630" s="71"/>
      <c r="P630" s="71"/>
      <c r="Q630" s="71"/>
      <c r="R630" s="71"/>
      <c r="S630" s="71"/>
      <c r="T630" s="71"/>
      <c r="U630" s="71"/>
      <c r="V630" s="355"/>
      <c r="W630" s="377"/>
      <c r="X630" s="71"/>
      <c r="Y630" s="72"/>
      <c r="Z630" s="73"/>
      <c r="AA630" s="73"/>
      <c r="AB630" s="73"/>
      <c r="AC630" s="73"/>
      <c r="AE630" s="71"/>
      <c r="AF630" s="71"/>
      <c r="AG630" s="71"/>
      <c r="AH630" s="72"/>
      <c r="AI630" s="73"/>
      <c r="AK630" s="71"/>
      <c r="AL630" s="71"/>
      <c r="AM630" s="71"/>
      <c r="AN630" s="72"/>
      <c r="AO630" s="73"/>
      <c r="AQ630" s="71"/>
      <c r="AR630" s="71"/>
      <c r="AS630" s="71"/>
      <c r="AT630" s="72"/>
      <c r="AU630" s="73"/>
      <c r="AW630" s="71"/>
      <c r="AX630" s="71"/>
      <c r="AY630" s="71"/>
      <c r="AZ630" s="72"/>
      <c r="BA630" s="73"/>
    </row>
    <row r="631" spans="1:53" ht="17.100000000000001" customHeight="1" x14ac:dyDescent="0.25">
      <c r="A631" s="119"/>
      <c r="B631" s="119"/>
      <c r="C631" s="48" t="s">
        <v>689</v>
      </c>
      <c r="D631" s="50" t="s">
        <v>690</v>
      </c>
      <c r="E631" s="70"/>
      <c r="F631" s="70"/>
      <c r="G631" s="70"/>
      <c r="H631" s="119"/>
      <c r="J631" s="71"/>
      <c r="K631" s="71"/>
      <c r="L631" s="71"/>
      <c r="M631" s="71"/>
      <c r="N631" s="71"/>
      <c r="O631" s="71"/>
      <c r="P631" s="71"/>
      <c r="Q631" s="71"/>
      <c r="R631" s="71"/>
      <c r="S631" s="71"/>
      <c r="T631" s="71"/>
      <c r="U631" s="71"/>
      <c r="V631" s="355"/>
      <c r="W631" s="377"/>
      <c r="X631" s="71"/>
      <c r="Y631" s="72"/>
      <c r="Z631" s="73"/>
      <c r="AA631" s="73"/>
      <c r="AB631" s="73"/>
      <c r="AC631" s="73"/>
      <c r="AE631" s="71"/>
      <c r="AF631" s="71"/>
      <c r="AG631" s="71"/>
      <c r="AH631" s="72"/>
      <c r="AI631" s="73"/>
      <c r="AK631" s="71"/>
      <c r="AL631" s="71"/>
      <c r="AM631" s="71"/>
      <c r="AN631" s="72"/>
      <c r="AO631" s="73"/>
      <c r="AQ631" s="71"/>
      <c r="AR631" s="71"/>
      <c r="AS631" s="71"/>
      <c r="AT631" s="72"/>
      <c r="AU631" s="73"/>
      <c r="AW631" s="71"/>
      <c r="AX631" s="71"/>
      <c r="AY631" s="71"/>
      <c r="AZ631" s="72"/>
      <c r="BA631" s="73"/>
    </row>
    <row r="632" spans="1:53" s="117" customFormat="1" ht="17.100000000000001" customHeight="1" x14ac:dyDescent="0.25">
      <c r="A632" s="119"/>
      <c r="B632" s="40"/>
      <c r="C632" s="40"/>
      <c r="D632" s="74" t="s">
        <v>691</v>
      </c>
      <c r="E632" s="75" t="s">
        <v>692</v>
      </c>
      <c r="F632" s="105"/>
      <c r="G632" s="151"/>
      <c r="H632" s="119"/>
      <c r="I632" s="138"/>
      <c r="J632" s="111"/>
      <c r="K632" s="111"/>
      <c r="L632" s="111"/>
      <c r="M632" s="111"/>
      <c r="N632" s="111"/>
      <c r="O632" s="111"/>
      <c r="P632" s="327">
        <v>1</v>
      </c>
      <c r="Q632" s="111"/>
      <c r="R632" s="111"/>
      <c r="S632" s="327">
        <v>1</v>
      </c>
      <c r="T632" s="111"/>
      <c r="U632" s="111"/>
      <c r="V632" s="369"/>
      <c r="W632" s="391"/>
      <c r="X632" s="17"/>
      <c r="Y632" s="328">
        <f t="shared" ref="Y632" si="770">P632+S632+V632</f>
        <v>2</v>
      </c>
      <c r="Z632" s="19">
        <f>IF(Y$636=0,0,Y632/Y$636)</f>
        <v>1</v>
      </c>
      <c r="AA632" s="201"/>
      <c r="AB632" s="201"/>
      <c r="AC632" s="84"/>
      <c r="AE632" s="111"/>
      <c r="AF632" s="111"/>
      <c r="AG632" s="111"/>
      <c r="AH632" s="545"/>
      <c r="AI632" s="131"/>
      <c r="AK632" s="111"/>
      <c r="AL632" s="111"/>
      <c r="AM632" s="111"/>
      <c r="AN632" s="545"/>
      <c r="AO632" s="131"/>
      <c r="AQ632" s="111"/>
      <c r="AR632" s="111"/>
      <c r="AS632" s="111"/>
      <c r="AT632" s="545"/>
      <c r="AU632" s="131"/>
      <c r="AW632" s="111"/>
      <c r="AX632" s="111"/>
      <c r="AY632" s="111"/>
      <c r="AZ632" s="545"/>
      <c r="BA632" s="131"/>
    </row>
    <row r="633" spans="1:53" s="117" customFormat="1" ht="17.100000000000001" customHeight="1" x14ac:dyDescent="0.25">
      <c r="A633" s="68"/>
      <c r="B633" s="40"/>
      <c r="C633" s="40"/>
      <c r="D633" s="74" t="s">
        <v>704</v>
      </c>
      <c r="E633" s="85" t="s">
        <v>694</v>
      </c>
      <c r="F633" s="75"/>
      <c r="G633" s="151"/>
      <c r="H633" s="119"/>
      <c r="I633" s="138"/>
      <c r="J633" s="111"/>
      <c r="K633" s="111"/>
      <c r="L633" s="111"/>
      <c r="M633" s="111"/>
      <c r="N633" s="111"/>
      <c r="O633" s="111"/>
      <c r="P633" s="329"/>
      <c r="Q633" s="111"/>
      <c r="R633" s="111"/>
      <c r="S633" s="329"/>
      <c r="T633" s="111"/>
      <c r="U633" s="111"/>
      <c r="V633" s="370"/>
      <c r="W633" s="382"/>
      <c r="X633" s="539"/>
      <c r="Y633" s="539"/>
      <c r="Z633" s="201"/>
      <c r="AA633" s="353">
        <f>MIN(P633,S633,V633)</f>
        <v>0</v>
      </c>
      <c r="AB633" s="353">
        <f>MAX(P633,S633,V633)</f>
        <v>0</v>
      </c>
      <c r="AC633" s="353">
        <f>IF(P633+S633+V633=0,0,AVERAGE(P633,S633,V633))</f>
        <v>0</v>
      </c>
      <c r="AE633" s="111"/>
      <c r="AF633" s="111"/>
      <c r="AG633" s="111"/>
      <c r="AH633" s="545"/>
      <c r="AI633" s="131"/>
      <c r="AK633" s="111"/>
      <c r="AL633" s="111"/>
      <c r="AM633" s="111"/>
      <c r="AN633" s="545"/>
      <c r="AO633" s="131"/>
      <c r="AQ633" s="111"/>
      <c r="AR633" s="111"/>
      <c r="AS633" s="111"/>
      <c r="AT633" s="545"/>
      <c r="AU633" s="131"/>
      <c r="AW633" s="111"/>
      <c r="AX633" s="111"/>
      <c r="AY633" s="111"/>
      <c r="AZ633" s="545"/>
      <c r="BA633" s="131"/>
    </row>
    <row r="634" spans="1:53" ht="17.100000000000001" customHeight="1" x14ac:dyDescent="0.25">
      <c r="A634" s="40"/>
      <c r="B634" s="40"/>
      <c r="C634" s="40"/>
      <c r="D634" s="77" t="s">
        <v>704</v>
      </c>
      <c r="E634" s="134" t="s">
        <v>697</v>
      </c>
      <c r="F634" s="134"/>
      <c r="G634" s="134"/>
      <c r="H634" s="540"/>
      <c r="I634" s="229"/>
      <c r="J634" s="80"/>
      <c r="K634" s="80"/>
      <c r="L634" s="80"/>
      <c r="M634" s="80"/>
      <c r="N634" s="81"/>
      <c r="O634" s="81"/>
      <c r="P634" s="81">
        <f>IF(P633&gt;0,1,0)</f>
        <v>0</v>
      </c>
      <c r="Q634" s="81"/>
      <c r="R634" s="81"/>
      <c r="S634" s="81">
        <f>IF(S633&gt;0,1,0)</f>
        <v>0</v>
      </c>
      <c r="T634" s="81"/>
      <c r="U634" s="81"/>
      <c r="V634" s="356">
        <f>IF(V633&gt;0,1,0)</f>
        <v>0</v>
      </c>
      <c r="W634" s="382"/>
      <c r="X634" s="539"/>
      <c r="Y634" s="328">
        <f t="shared" ref="Y634:Y635" si="771">P634+S634+V634</f>
        <v>0</v>
      </c>
      <c r="Z634" s="19">
        <f t="shared" ref="Z634:Z636" si="772">IF(Y$636=0,0,Y634/Y$636)</f>
        <v>0</v>
      </c>
      <c r="AA634" s="201"/>
      <c r="AB634" s="201"/>
      <c r="AC634" s="84"/>
      <c r="AE634" s="80"/>
      <c r="AF634" s="80"/>
      <c r="AG634" s="81"/>
      <c r="AH634" s="82"/>
      <c r="AI634" s="66"/>
      <c r="AK634" s="80"/>
      <c r="AL634" s="80"/>
      <c r="AM634" s="81"/>
      <c r="AN634" s="82"/>
      <c r="AO634" s="66"/>
      <c r="AQ634" s="80"/>
      <c r="AR634" s="80"/>
      <c r="AS634" s="81"/>
      <c r="AT634" s="82"/>
      <c r="AU634" s="66"/>
      <c r="AW634" s="80"/>
      <c r="AX634" s="80"/>
      <c r="AY634" s="81"/>
      <c r="AZ634" s="82"/>
      <c r="BA634" s="66"/>
    </row>
    <row r="635" spans="1:53" s="117" customFormat="1" ht="17.100000000000001" customHeight="1" x14ac:dyDescent="0.25">
      <c r="A635" s="68"/>
      <c r="B635" s="40"/>
      <c r="C635" s="40"/>
      <c r="D635" s="74" t="s">
        <v>695</v>
      </c>
      <c r="E635" s="85" t="s">
        <v>696</v>
      </c>
      <c r="F635" s="105"/>
      <c r="G635" s="151"/>
      <c r="H635" s="119"/>
      <c r="I635" s="138"/>
      <c r="J635" s="111"/>
      <c r="K635" s="111"/>
      <c r="L635" s="111"/>
      <c r="M635" s="111"/>
      <c r="N635" s="111"/>
      <c r="O635" s="111"/>
      <c r="P635" s="327"/>
      <c r="Q635" s="111"/>
      <c r="R635" s="111"/>
      <c r="S635" s="327"/>
      <c r="T635" s="111"/>
      <c r="U635" s="111"/>
      <c r="V635" s="369"/>
      <c r="W635" s="391"/>
      <c r="X635" s="17"/>
      <c r="Y635" s="328">
        <f t="shared" si="771"/>
        <v>0</v>
      </c>
      <c r="Z635" s="19">
        <f t="shared" si="772"/>
        <v>0</v>
      </c>
      <c r="AA635" s="201"/>
      <c r="AB635" s="201"/>
      <c r="AC635" s="84"/>
      <c r="AE635" s="111"/>
      <c r="AF635" s="111"/>
      <c r="AG635" s="111"/>
      <c r="AH635" s="545"/>
      <c r="AI635" s="131"/>
      <c r="AK635" s="111"/>
      <c r="AL635" s="111"/>
      <c r="AM635" s="111"/>
      <c r="AN635" s="545"/>
      <c r="AO635" s="131"/>
      <c r="AQ635" s="111"/>
      <c r="AR635" s="111"/>
      <c r="AS635" s="111"/>
      <c r="AT635" s="545"/>
      <c r="AU635" s="131"/>
      <c r="AW635" s="111"/>
      <c r="AX635" s="111"/>
      <c r="AY635" s="111"/>
      <c r="AZ635" s="545"/>
      <c r="BA635" s="131"/>
    </row>
    <row r="636" spans="1:53" ht="17.100000000000001" customHeight="1" x14ac:dyDescent="0.25">
      <c r="A636" s="40"/>
      <c r="B636" s="40"/>
      <c r="C636" s="77"/>
      <c r="D636" s="134"/>
      <c r="E636" s="134"/>
      <c r="F636" s="134"/>
      <c r="G636" s="134"/>
      <c r="H636" s="540"/>
      <c r="I636" s="229"/>
      <c r="J636" s="80"/>
      <c r="K636" s="80"/>
      <c r="L636" s="80"/>
      <c r="M636" s="80"/>
      <c r="N636" s="81"/>
      <c r="O636" s="81"/>
      <c r="P636" s="82">
        <f>P632+P634+P635</f>
        <v>1</v>
      </c>
      <c r="Q636" s="81"/>
      <c r="R636" s="81"/>
      <c r="S636" s="82">
        <f>S632+S634+S635</f>
        <v>1</v>
      </c>
      <c r="T636" s="81"/>
      <c r="U636" s="81"/>
      <c r="V636" s="360">
        <f>V632+V634+V635</f>
        <v>0</v>
      </c>
      <c r="W636" s="381"/>
      <c r="X636" s="82"/>
      <c r="Y636" s="82">
        <f>SUM(Y630:Y635)</f>
        <v>2</v>
      </c>
      <c r="Z636" s="205">
        <f t="shared" si="772"/>
        <v>1</v>
      </c>
      <c r="AA636" s="205"/>
      <c r="AB636" s="205"/>
      <c r="AC636" s="83"/>
      <c r="AE636" s="80"/>
      <c r="AF636" s="80"/>
      <c r="AG636" s="81"/>
      <c r="AH636" s="82"/>
      <c r="AI636" s="66"/>
      <c r="AK636" s="80"/>
      <c r="AL636" s="80"/>
      <c r="AM636" s="81"/>
      <c r="AN636" s="82"/>
      <c r="AO636" s="66"/>
      <c r="AQ636" s="80"/>
      <c r="AR636" s="80"/>
      <c r="AS636" s="81"/>
      <c r="AT636" s="82"/>
      <c r="AU636" s="66"/>
      <c r="AW636" s="80"/>
      <c r="AX636" s="80"/>
      <c r="AY636" s="81"/>
      <c r="AZ636" s="82"/>
      <c r="BA636" s="66"/>
    </row>
    <row r="637" spans="1:53" s="117" customFormat="1" ht="17.100000000000001" customHeight="1" x14ac:dyDescent="0.25">
      <c r="A637" s="68"/>
      <c r="B637" s="119"/>
      <c r="C637" s="540"/>
      <c r="D637" s="261"/>
      <c r="E637" s="261"/>
      <c r="F637" s="68"/>
      <c r="G637" s="68"/>
      <c r="H637" s="119"/>
      <c r="I637" s="138"/>
      <c r="J637" s="17"/>
      <c r="K637" s="17"/>
      <c r="L637" s="17"/>
      <c r="M637" s="17"/>
      <c r="N637" s="17"/>
      <c r="O637" s="17"/>
      <c r="P637" s="17" t="str">
        <f>IF(P636=1,"OK","NOK")</f>
        <v>OK</v>
      </c>
      <c r="Q637" s="17"/>
      <c r="R637" s="17"/>
      <c r="S637" s="17" t="str">
        <f>IF(S636=1,"OK","NOK")</f>
        <v>OK</v>
      </c>
      <c r="T637" s="17"/>
      <c r="U637" s="17"/>
      <c r="V637" s="359" t="str">
        <f>IF(V636=1,"OK","NOK")</f>
        <v>NOK</v>
      </c>
      <c r="W637" s="382"/>
      <c r="X637" s="539"/>
      <c r="Y637" s="539"/>
      <c r="Z637" s="201"/>
      <c r="AA637" s="201"/>
      <c r="AB637" s="201"/>
      <c r="AC637" s="84"/>
      <c r="AE637" s="46"/>
      <c r="AF637" s="46"/>
      <c r="AG637" s="17"/>
      <c r="AH637" s="539"/>
      <c r="AI637" s="91"/>
      <c r="AK637" s="46"/>
      <c r="AL637" s="46"/>
      <c r="AM637" s="17"/>
      <c r="AN637" s="539"/>
      <c r="AO637" s="91"/>
      <c r="AQ637" s="46"/>
      <c r="AR637" s="46"/>
      <c r="AS637" s="17"/>
      <c r="AT637" s="539"/>
      <c r="AU637" s="91"/>
      <c r="AW637" s="46"/>
      <c r="AX637" s="46"/>
      <c r="AY637" s="17"/>
      <c r="AZ637" s="539"/>
      <c r="BA637" s="91"/>
    </row>
    <row r="638" spans="1:53" ht="17.100000000000001" customHeight="1" x14ac:dyDescent="0.25">
      <c r="A638" s="119"/>
      <c r="B638" s="119"/>
      <c r="C638" s="48" t="s">
        <v>698</v>
      </c>
      <c r="D638" s="551" t="s">
        <v>699</v>
      </c>
      <c r="E638" s="70"/>
      <c r="F638" s="70"/>
      <c r="G638" s="70"/>
      <c r="H638" s="119"/>
      <c r="J638" s="71"/>
      <c r="K638" s="71"/>
      <c r="L638" s="71"/>
      <c r="M638" s="71"/>
      <c r="N638" s="71"/>
      <c r="O638" s="71"/>
      <c r="P638" s="71"/>
      <c r="Q638" s="71"/>
      <c r="R638" s="71"/>
      <c r="S638" s="71"/>
      <c r="T638" s="71"/>
      <c r="U638" s="71"/>
      <c r="V638" s="355"/>
      <c r="W638" s="377"/>
      <c r="X638" s="71"/>
      <c r="Y638" s="72"/>
      <c r="Z638" s="73"/>
      <c r="AA638" s="73"/>
      <c r="AB638" s="73"/>
      <c r="AC638" s="73"/>
      <c r="AE638" s="71"/>
      <c r="AF638" s="71"/>
      <c r="AG638" s="71"/>
      <c r="AH638" s="72"/>
      <c r="AI638" s="73"/>
      <c r="AK638" s="71"/>
      <c r="AL638" s="71"/>
      <c r="AM638" s="71"/>
      <c r="AN638" s="72"/>
      <c r="AO638" s="73"/>
      <c r="AQ638" s="71"/>
      <c r="AR638" s="71"/>
      <c r="AS638" s="71"/>
      <c r="AT638" s="72"/>
      <c r="AU638" s="73"/>
      <c r="AW638" s="71"/>
      <c r="AX638" s="71"/>
      <c r="AY638" s="71"/>
      <c r="AZ638" s="72"/>
      <c r="BA638" s="73"/>
    </row>
    <row r="639" spans="1:53" s="117" customFormat="1" ht="17.100000000000001" customHeight="1" x14ac:dyDescent="0.25">
      <c r="A639" s="119"/>
      <c r="B639" s="40"/>
      <c r="C639" s="40"/>
      <c r="D639" s="74" t="s">
        <v>702</v>
      </c>
      <c r="E639" s="75" t="s">
        <v>692</v>
      </c>
      <c r="F639" s="105"/>
      <c r="G639" s="151"/>
      <c r="H639" s="119"/>
      <c r="I639" s="138"/>
      <c r="J639" s="111"/>
      <c r="K639" s="111"/>
      <c r="L639" s="111"/>
      <c r="M639" s="111"/>
      <c r="N639" s="111"/>
      <c r="O639" s="111"/>
      <c r="P639" s="327">
        <v>1</v>
      </c>
      <c r="Q639" s="111"/>
      <c r="R639" s="111"/>
      <c r="S639" s="327">
        <v>1</v>
      </c>
      <c r="T639" s="111"/>
      <c r="U639" s="111"/>
      <c r="V639" s="369"/>
      <c r="W639" s="391"/>
      <c r="X639" s="17"/>
      <c r="Y639" s="328">
        <f t="shared" ref="Y639" si="773">P639+S639+V639</f>
        <v>2</v>
      </c>
      <c r="Z639" s="19">
        <f>IF(Y$643=0,0,Y639/Y$643)</f>
        <v>1</v>
      </c>
      <c r="AA639" s="201"/>
      <c r="AB639" s="201"/>
      <c r="AC639" s="84"/>
      <c r="AE639" s="111"/>
      <c r="AF639" s="111"/>
      <c r="AG639" s="111"/>
      <c r="AH639" s="545"/>
      <c r="AI639" s="131"/>
      <c r="AK639" s="111"/>
      <c r="AL639" s="111"/>
      <c r="AM639" s="111"/>
      <c r="AN639" s="545"/>
      <c r="AO639" s="131"/>
      <c r="AQ639" s="111"/>
      <c r="AR639" s="111"/>
      <c r="AS639" s="111"/>
      <c r="AT639" s="545"/>
      <c r="AU639" s="131"/>
      <c r="AW639" s="111"/>
      <c r="AX639" s="111"/>
      <c r="AY639" s="111"/>
      <c r="AZ639" s="545"/>
      <c r="BA639" s="131"/>
    </row>
    <row r="640" spans="1:53" s="117" customFormat="1" ht="17.100000000000001" customHeight="1" x14ac:dyDescent="0.25">
      <c r="A640" s="68"/>
      <c r="B640" s="40"/>
      <c r="C640" s="40"/>
      <c r="D640" s="74" t="s">
        <v>693</v>
      </c>
      <c r="E640" s="85" t="s">
        <v>694</v>
      </c>
      <c r="F640" s="75"/>
      <c r="G640" s="151"/>
      <c r="H640" s="119"/>
      <c r="I640" s="138"/>
      <c r="J640" s="111"/>
      <c r="K640" s="111"/>
      <c r="L640" s="111"/>
      <c r="M640" s="111"/>
      <c r="N640" s="111"/>
      <c r="O640" s="111"/>
      <c r="P640" s="329"/>
      <c r="Q640" s="111"/>
      <c r="R640" s="111"/>
      <c r="S640" s="329"/>
      <c r="T640" s="111"/>
      <c r="U640" s="111"/>
      <c r="V640" s="370"/>
      <c r="W640" s="382"/>
      <c r="X640" s="539"/>
      <c r="Y640" s="539"/>
      <c r="Z640" s="19"/>
      <c r="AA640" s="353">
        <f>MIN(P640,S640,V640)</f>
        <v>0</v>
      </c>
      <c r="AB640" s="353">
        <f>MAX(P640,S640,V640)</f>
        <v>0</v>
      </c>
      <c r="AC640" s="353">
        <f>IF(P640+S640+V640=0,0,AVERAGE(P640,S640,V640))</f>
        <v>0</v>
      </c>
      <c r="AE640" s="111"/>
      <c r="AF640" s="111"/>
      <c r="AG640" s="111"/>
      <c r="AH640" s="545"/>
      <c r="AI640" s="131"/>
      <c r="AK640" s="111"/>
      <c r="AL640" s="111"/>
      <c r="AM640" s="111"/>
      <c r="AN640" s="545"/>
      <c r="AO640" s="131"/>
      <c r="AQ640" s="111"/>
      <c r="AR640" s="111"/>
      <c r="AS640" s="111"/>
      <c r="AT640" s="545"/>
      <c r="AU640" s="131"/>
      <c r="AW640" s="111"/>
      <c r="AX640" s="111"/>
      <c r="AY640" s="111"/>
      <c r="AZ640" s="545"/>
      <c r="BA640" s="131"/>
    </row>
    <row r="641" spans="1:53" ht="17.100000000000001" customHeight="1" x14ac:dyDescent="0.25">
      <c r="A641" s="40"/>
      <c r="B641" s="40"/>
      <c r="C641" s="40"/>
      <c r="D641" s="77" t="s">
        <v>693</v>
      </c>
      <c r="E641" s="134" t="s">
        <v>697</v>
      </c>
      <c r="F641" s="134"/>
      <c r="G641" s="134"/>
      <c r="H641" s="540"/>
      <c r="I641" s="229"/>
      <c r="J641" s="80"/>
      <c r="K641" s="80"/>
      <c r="L641" s="80"/>
      <c r="M641" s="80"/>
      <c r="N641" s="81"/>
      <c r="O641" s="81"/>
      <c r="P641" s="81">
        <f>IF(P640&gt;0,1,0)</f>
        <v>0</v>
      </c>
      <c r="Q641" s="81"/>
      <c r="R641" s="81"/>
      <c r="S641" s="81">
        <f>IF(S640&gt;0,1,0)</f>
        <v>0</v>
      </c>
      <c r="T641" s="81"/>
      <c r="U641" s="81"/>
      <c r="V641" s="356">
        <f>IF(V640&gt;0,1,0)</f>
        <v>0</v>
      </c>
      <c r="W641" s="382"/>
      <c r="X641" s="539"/>
      <c r="Y641" s="328">
        <f t="shared" ref="Y641:Y642" si="774">P641+S641+V641</f>
        <v>0</v>
      </c>
      <c r="Z641" s="19">
        <f t="shared" ref="Z641:Z643" si="775">IF(Y$643=0,0,Y641/Y$643)</f>
        <v>0</v>
      </c>
      <c r="AA641" s="201"/>
      <c r="AB641" s="201"/>
      <c r="AC641" s="84"/>
      <c r="AE641" s="80"/>
      <c r="AF641" s="80"/>
      <c r="AG641" s="81"/>
      <c r="AH641" s="82"/>
      <c r="AI641" s="66"/>
      <c r="AK641" s="80"/>
      <c r="AL641" s="80"/>
      <c r="AM641" s="81"/>
      <c r="AN641" s="82"/>
      <c r="AO641" s="66"/>
      <c r="AQ641" s="80"/>
      <c r="AR641" s="80"/>
      <c r="AS641" s="81"/>
      <c r="AT641" s="82"/>
      <c r="AU641" s="66"/>
      <c r="AW641" s="80"/>
      <c r="AX641" s="80"/>
      <c r="AY641" s="81"/>
      <c r="AZ641" s="82"/>
      <c r="BA641" s="66"/>
    </row>
    <row r="642" spans="1:53" s="117" customFormat="1" ht="17.100000000000001" customHeight="1" x14ac:dyDescent="0.25">
      <c r="A642" s="68"/>
      <c r="B642" s="40"/>
      <c r="C642" s="40"/>
      <c r="D642" s="74" t="s">
        <v>703</v>
      </c>
      <c r="E642" s="85" t="s">
        <v>696</v>
      </c>
      <c r="F642" s="105"/>
      <c r="G642" s="151"/>
      <c r="H642" s="119"/>
      <c r="I642" s="138"/>
      <c r="J642" s="111"/>
      <c r="K642" s="111"/>
      <c r="L642" s="111"/>
      <c r="M642" s="111"/>
      <c r="N642" s="111"/>
      <c r="O642" s="111"/>
      <c r="P642" s="327"/>
      <c r="Q642" s="111"/>
      <c r="R642" s="111"/>
      <c r="S642" s="327"/>
      <c r="T642" s="111"/>
      <c r="U642" s="111"/>
      <c r="V642" s="369"/>
      <c r="W642" s="391"/>
      <c r="X642" s="17"/>
      <c r="Y642" s="328">
        <f t="shared" si="774"/>
        <v>0</v>
      </c>
      <c r="Z642" s="19">
        <f t="shared" si="775"/>
        <v>0</v>
      </c>
      <c r="AA642" s="201"/>
      <c r="AB642" s="201"/>
      <c r="AC642" s="84"/>
      <c r="AE642" s="111"/>
      <c r="AF642" s="111"/>
      <c r="AG642" s="111"/>
      <c r="AH642" s="545"/>
      <c r="AI642" s="131"/>
      <c r="AK642" s="111"/>
      <c r="AL642" s="111"/>
      <c r="AM642" s="111"/>
      <c r="AN642" s="545"/>
      <c r="AO642" s="131"/>
      <c r="AQ642" s="111"/>
      <c r="AR642" s="111"/>
      <c r="AS642" s="111"/>
      <c r="AT642" s="545"/>
      <c r="AU642" s="131"/>
      <c r="AW642" s="111"/>
      <c r="AX642" s="111"/>
      <c r="AY642" s="111"/>
      <c r="AZ642" s="545"/>
      <c r="BA642" s="131"/>
    </row>
    <row r="643" spans="1:53" ht="17.100000000000001" customHeight="1" x14ac:dyDescent="0.25">
      <c r="A643" s="40"/>
      <c r="B643" s="40"/>
      <c r="C643" s="77"/>
      <c r="D643" s="134"/>
      <c r="E643" s="134"/>
      <c r="F643" s="134"/>
      <c r="G643" s="134"/>
      <c r="H643" s="540"/>
      <c r="I643" s="229"/>
      <c r="J643" s="80"/>
      <c r="K643" s="80"/>
      <c r="L643" s="80"/>
      <c r="M643" s="80"/>
      <c r="N643" s="81"/>
      <c r="O643" s="81"/>
      <c r="P643" s="82">
        <f>P639+P641+P642</f>
        <v>1</v>
      </c>
      <c r="Q643" s="81"/>
      <c r="R643" s="81"/>
      <c r="S643" s="82">
        <f>S639+S641+S642</f>
        <v>1</v>
      </c>
      <c r="T643" s="81"/>
      <c r="U643" s="81"/>
      <c r="V643" s="360">
        <f>V639+V641+V642</f>
        <v>0</v>
      </c>
      <c r="W643" s="381"/>
      <c r="X643" s="82"/>
      <c r="Y643" s="82">
        <f>SUM(Y637:Y642)</f>
        <v>2</v>
      </c>
      <c r="Z643" s="205">
        <f t="shared" si="775"/>
        <v>1</v>
      </c>
      <c r="AA643" s="205"/>
      <c r="AB643" s="205"/>
      <c r="AC643" s="83"/>
      <c r="AE643" s="80"/>
      <c r="AF643" s="80"/>
      <c r="AG643" s="81"/>
      <c r="AH643" s="82"/>
      <c r="AI643" s="66"/>
      <c r="AK643" s="80"/>
      <c r="AL643" s="80"/>
      <c r="AM643" s="81"/>
      <c r="AN643" s="82"/>
      <c r="AO643" s="66"/>
      <c r="AQ643" s="80"/>
      <c r="AR643" s="80"/>
      <c r="AS643" s="81"/>
      <c r="AT643" s="82"/>
      <c r="AU643" s="66"/>
      <c r="AW643" s="80"/>
      <c r="AX643" s="80"/>
      <c r="AY643" s="81"/>
      <c r="AZ643" s="82"/>
      <c r="BA643" s="66"/>
    </row>
    <row r="644" spans="1:53" s="117" customFormat="1" ht="17.100000000000001" customHeight="1" x14ac:dyDescent="0.25">
      <c r="A644" s="68"/>
      <c r="B644" s="119"/>
      <c r="C644" s="540"/>
      <c r="D644" s="261"/>
      <c r="E644" s="261"/>
      <c r="F644" s="68"/>
      <c r="G644" s="68"/>
      <c r="H644" s="119"/>
      <c r="I644" s="138"/>
      <c r="J644" s="17"/>
      <c r="K644" s="17"/>
      <c r="L644" s="17"/>
      <c r="M644" s="17"/>
      <c r="N644" s="17"/>
      <c r="O644" s="17"/>
      <c r="P644" s="17" t="str">
        <f>IF(P643=1,"OK","NOK")</f>
        <v>OK</v>
      </c>
      <c r="Q644" s="17"/>
      <c r="R644" s="17"/>
      <c r="S644" s="17" t="str">
        <f>IF(S643=1,"OK","NOK")</f>
        <v>OK</v>
      </c>
      <c r="T644" s="17"/>
      <c r="U644" s="17"/>
      <c r="V644" s="359" t="str">
        <f>IF(V643=1,"OK","NOK")</f>
        <v>NOK</v>
      </c>
      <c r="W644" s="382"/>
      <c r="X644" s="539"/>
      <c r="Y644" s="539"/>
      <c r="Z644" s="201"/>
      <c r="AA644" s="201"/>
      <c r="AB644" s="201"/>
      <c r="AC644" s="84"/>
      <c r="AE644" s="46"/>
      <c r="AF644" s="46"/>
      <c r="AG644" s="17"/>
      <c r="AH644" s="539"/>
      <c r="AI644" s="91"/>
      <c r="AK644" s="46"/>
      <c r="AL644" s="46"/>
      <c r="AM644" s="17"/>
      <c r="AN644" s="539"/>
      <c r="AO644" s="91"/>
      <c r="AQ644" s="46"/>
      <c r="AR644" s="46"/>
      <c r="AS644" s="17"/>
      <c r="AT644" s="539"/>
      <c r="AU644" s="91"/>
      <c r="AW644" s="46"/>
      <c r="AX644" s="46"/>
      <c r="AY644" s="17"/>
      <c r="AZ644" s="539"/>
      <c r="BA644" s="91"/>
    </row>
    <row r="645" spans="1:53" ht="17.100000000000001" customHeight="1" x14ac:dyDescent="0.25">
      <c r="A645" s="119"/>
      <c r="B645" s="119"/>
      <c r="C645" s="48" t="s">
        <v>700</v>
      </c>
      <c r="D645" s="551" t="s">
        <v>701</v>
      </c>
      <c r="E645" s="43"/>
      <c r="F645" s="43"/>
      <c r="G645" s="43"/>
      <c r="H645" s="43"/>
      <c r="I645" s="43"/>
      <c r="J645" s="44"/>
      <c r="K645" s="71"/>
      <c r="L645" s="71"/>
      <c r="M645" s="71"/>
      <c r="N645" s="71"/>
      <c r="O645" s="71"/>
      <c r="P645" s="71"/>
      <c r="Q645" s="71"/>
      <c r="R645" s="71"/>
      <c r="S645" s="71"/>
      <c r="T645" s="71"/>
      <c r="U645" s="71"/>
      <c r="V645" s="355"/>
      <c r="W645" s="377"/>
      <c r="X645" s="71"/>
      <c r="Y645" s="72"/>
      <c r="Z645" s="73"/>
      <c r="AA645" s="73"/>
      <c r="AB645" s="73"/>
      <c r="AC645" s="73"/>
      <c r="AE645" s="71"/>
      <c r="AF645" s="71"/>
      <c r="AG645" s="71"/>
      <c r="AH645" s="72"/>
      <c r="AI645" s="73"/>
      <c r="AK645" s="71"/>
      <c r="AL645" s="71"/>
      <c r="AM645" s="71"/>
      <c r="AN645" s="72"/>
      <c r="AO645" s="73"/>
      <c r="AQ645" s="71"/>
      <c r="AR645" s="71"/>
      <c r="AS645" s="71"/>
      <c r="AT645" s="72"/>
      <c r="AU645" s="73"/>
      <c r="AW645" s="71"/>
      <c r="AX645" s="71"/>
      <c r="AY645" s="71"/>
      <c r="AZ645" s="72"/>
      <c r="BA645" s="73"/>
    </row>
    <row r="646" spans="1:53" s="117" customFormat="1" ht="17.100000000000001" customHeight="1" x14ac:dyDescent="0.25">
      <c r="A646" s="119"/>
      <c r="B646" s="40"/>
      <c r="C646" s="40"/>
      <c r="D646" s="74" t="s">
        <v>705</v>
      </c>
      <c r="E646" s="75" t="s">
        <v>692</v>
      </c>
      <c r="F646" s="105"/>
      <c r="G646" s="151"/>
      <c r="H646" s="119"/>
      <c r="I646" s="138"/>
      <c r="J646" s="111"/>
      <c r="K646" s="111"/>
      <c r="L646" s="111"/>
      <c r="M646" s="111"/>
      <c r="N646" s="111"/>
      <c r="O646" s="111"/>
      <c r="P646" s="327">
        <v>1</v>
      </c>
      <c r="Q646" s="111"/>
      <c r="R646" s="111"/>
      <c r="S646" s="327">
        <v>1</v>
      </c>
      <c r="T646" s="111"/>
      <c r="U646" s="111"/>
      <c r="V646" s="369"/>
      <c r="W646" s="391"/>
      <c r="X646" s="17"/>
      <c r="Y646" s="328">
        <f t="shared" ref="Y646" si="776">P646+S646+V646</f>
        <v>2</v>
      </c>
      <c r="Z646" s="19">
        <f>IF(Y$650=0,0,Y646/Y$650)</f>
        <v>1</v>
      </c>
      <c r="AA646" s="201"/>
      <c r="AB646" s="201"/>
      <c r="AC646" s="84"/>
      <c r="AE646" s="111"/>
      <c r="AF646" s="111"/>
      <c r="AG646" s="111"/>
      <c r="AH646" s="545"/>
      <c r="AI646" s="131"/>
      <c r="AK646" s="111"/>
      <c r="AL646" s="111"/>
      <c r="AM646" s="111"/>
      <c r="AN646" s="545"/>
      <c r="AO646" s="131"/>
      <c r="AQ646" s="111"/>
      <c r="AR646" s="111"/>
      <c r="AS646" s="111"/>
      <c r="AT646" s="545"/>
      <c r="AU646" s="131"/>
      <c r="AW646" s="111"/>
      <c r="AX646" s="111"/>
      <c r="AY646" s="111"/>
      <c r="AZ646" s="545"/>
      <c r="BA646" s="131"/>
    </row>
    <row r="647" spans="1:53" s="117" customFormat="1" ht="17.100000000000001" customHeight="1" x14ac:dyDescent="0.25">
      <c r="A647" s="68"/>
      <c r="B647" s="40"/>
      <c r="C647" s="40"/>
      <c r="D647" s="74" t="s">
        <v>706</v>
      </c>
      <c r="E647" s="85" t="s">
        <v>694</v>
      </c>
      <c r="F647" s="75"/>
      <c r="G647" s="151"/>
      <c r="H647" s="119"/>
      <c r="I647" s="138"/>
      <c r="J647" s="111"/>
      <c r="K647" s="111"/>
      <c r="L647" s="111"/>
      <c r="M647" s="111"/>
      <c r="N647" s="111"/>
      <c r="O647" s="111"/>
      <c r="P647" s="329"/>
      <c r="Q647" s="111"/>
      <c r="R647" s="111"/>
      <c r="S647" s="329"/>
      <c r="T647" s="111"/>
      <c r="U647" s="111"/>
      <c r="V647" s="370"/>
      <c r="W647" s="382"/>
      <c r="X647" s="539"/>
      <c r="Y647" s="539"/>
      <c r="Z647" s="201"/>
      <c r="AA647" s="353">
        <f>MIN(P647,S647,V647)</f>
        <v>0</v>
      </c>
      <c r="AB647" s="353">
        <f>MAX(P647,S647,V647)</f>
        <v>0</v>
      </c>
      <c r="AC647" s="353">
        <f>IF(P647+S647+V647=0,0,AVERAGE(P647,S647,V647))</f>
        <v>0</v>
      </c>
      <c r="AE647" s="111"/>
      <c r="AF647" s="111"/>
      <c r="AG647" s="111"/>
      <c r="AH647" s="545"/>
      <c r="AI647" s="131"/>
      <c r="AK647" s="111"/>
      <c r="AL647" s="111"/>
      <c r="AM647" s="111"/>
      <c r="AN647" s="545"/>
      <c r="AO647" s="131"/>
      <c r="AQ647" s="111"/>
      <c r="AR647" s="111"/>
      <c r="AS647" s="111"/>
      <c r="AT647" s="545"/>
      <c r="AU647" s="131"/>
      <c r="AW647" s="111"/>
      <c r="AX647" s="111"/>
      <c r="AY647" s="111"/>
      <c r="AZ647" s="545"/>
      <c r="BA647" s="131"/>
    </row>
    <row r="648" spans="1:53" ht="17.100000000000001" customHeight="1" x14ac:dyDescent="0.25">
      <c r="A648" s="40"/>
      <c r="B648" s="40"/>
      <c r="C648" s="40"/>
      <c r="D648" s="77" t="s">
        <v>706</v>
      </c>
      <c r="E648" s="134" t="s">
        <v>697</v>
      </c>
      <c r="F648" s="134"/>
      <c r="G648" s="134"/>
      <c r="H648" s="540"/>
      <c r="I648" s="229"/>
      <c r="J648" s="80"/>
      <c r="K648" s="80"/>
      <c r="L648" s="80"/>
      <c r="M648" s="80"/>
      <c r="N648" s="81"/>
      <c r="O648" s="81"/>
      <c r="P648" s="81">
        <f>IF(P647&gt;0,1,0)</f>
        <v>0</v>
      </c>
      <c r="Q648" s="81"/>
      <c r="R648" s="81"/>
      <c r="S648" s="81">
        <f>IF(S647&gt;0,1,0)</f>
        <v>0</v>
      </c>
      <c r="T648" s="81"/>
      <c r="U648" s="81"/>
      <c r="V648" s="356">
        <f>IF(V647&gt;0,1,0)</f>
        <v>0</v>
      </c>
      <c r="W648" s="382"/>
      <c r="X648" s="539"/>
      <c r="Y648" s="328">
        <f t="shared" ref="Y648:Y649" si="777">P648+S648+V648</f>
        <v>0</v>
      </c>
      <c r="Z648" s="19">
        <f t="shared" ref="Z648:Z650" si="778">IF(Y$650=0,0,Y648/Y$650)</f>
        <v>0</v>
      </c>
      <c r="AA648" s="201"/>
      <c r="AB648" s="201"/>
      <c r="AC648" s="84"/>
      <c r="AE648" s="80"/>
      <c r="AF648" s="80"/>
      <c r="AG648" s="81"/>
      <c r="AH648" s="82"/>
      <c r="AI648" s="66"/>
      <c r="AK648" s="80"/>
      <c r="AL648" s="80"/>
      <c r="AM648" s="81"/>
      <c r="AN648" s="82"/>
      <c r="AO648" s="66"/>
      <c r="AQ648" s="80"/>
      <c r="AR648" s="80"/>
      <c r="AS648" s="81"/>
      <c r="AT648" s="82"/>
      <c r="AU648" s="66"/>
      <c r="AW648" s="80"/>
      <c r="AX648" s="80"/>
      <c r="AY648" s="81"/>
      <c r="AZ648" s="82"/>
      <c r="BA648" s="66"/>
    </row>
    <row r="649" spans="1:53" s="117" customFormat="1" ht="17.100000000000001" customHeight="1" x14ac:dyDescent="0.25">
      <c r="A649" s="68"/>
      <c r="B649" s="40"/>
      <c r="C649" s="40"/>
      <c r="D649" s="74" t="s">
        <v>707</v>
      </c>
      <c r="E649" s="85" t="s">
        <v>696</v>
      </c>
      <c r="F649" s="105"/>
      <c r="G649" s="151"/>
      <c r="H649" s="119"/>
      <c r="I649" s="138"/>
      <c r="J649" s="111"/>
      <c r="K649" s="111"/>
      <c r="L649" s="111"/>
      <c r="M649" s="111"/>
      <c r="N649" s="111"/>
      <c r="O649" s="111"/>
      <c r="P649" s="327"/>
      <c r="Q649" s="111"/>
      <c r="R649" s="111"/>
      <c r="S649" s="327"/>
      <c r="T649" s="111"/>
      <c r="U649" s="111"/>
      <c r="V649" s="369"/>
      <c r="W649" s="391"/>
      <c r="X649" s="17"/>
      <c r="Y649" s="328">
        <f t="shared" si="777"/>
        <v>0</v>
      </c>
      <c r="Z649" s="19">
        <f t="shared" si="778"/>
        <v>0</v>
      </c>
      <c r="AA649" s="201"/>
      <c r="AB649" s="201"/>
      <c r="AC649" s="84"/>
      <c r="AE649" s="111"/>
      <c r="AF649" s="111"/>
      <c r="AG649" s="111"/>
      <c r="AH649" s="545"/>
      <c r="AI649" s="131"/>
      <c r="AK649" s="111"/>
      <c r="AL649" s="111"/>
      <c r="AM649" s="111"/>
      <c r="AN649" s="545"/>
      <c r="AO649" s="131"/>
      <c r="AQ649" s="111"/>
      <c r="AR649" s="111"/>
      <c r="AS649" s="111"/>
      <c r="AT649" s="545"/>
      <c r="AU649" s="131"/>
      <c r="AW649" s="111"/>
      <c r="AX649" s="111"/>
      <c r="AY649" s="111"/>
      <c r="AZ649" s="545"/>
      <c r="BA649" s="131"/>
    </row>
    <row r="650" spans="1:53" ht="17.100000000000001" customHeight="1" x14ac:dyDescent="0.25">
      <c r="A650" s="40"/>
      <c r="B650" s="40"/>
      <c r="C650" s="77"/>
      <c r="D650" s="134"/>
      <c r="E650" s="134"/>
      <c r="F650" s="134"/>
      <c r="G650" s="134"/>
      <c r="H650" s="540"/>
      <c r="I650" s="229"/>
      <c r="J650" s="80"/>
      <c r="K650" s="80"/>
      <c r="L650" s="80"/>
      <c r="M650" s="80"/>
      <c r="N650" s="81"/>
      <c r="O650" s="81"/>
      <c r="P650" s="82">
        <f>P646+P648+P649</f>
        <v>1</v>
      </c>
      <c r="Q650" s="81"/>
      <c r="R650" s="81"/>
      <c r="S650" s="82">
        <f>S646+S648+S649</f>
        <v>1</v>
      </c>
      <c r="T650" s="81"/>
      <c r="U650" s="81"/>
      <c r="V650" s="360">
        <f>V646+V648+V649</f>
        <v>0</v>
      </c>
      <c r="W650" s="381"/>
      <c r="X650" s="82"/>
      <c r="Y650" s="82">
        <f>SUM(Y644:Y649)</f>
        <v>2</v>
      </c>
      <c r="Z650" s="205">
        <f t="shared" si="778"/>
        <v>1</v>
      </c>
      <c r="AA650" s="205"/>
      <c r="AB650" s="205"/>
      <c r="AC650" s="83"/>
      <c r="AE650" s="80"/>
      <c r="AF650" s="80"/>
      <c r="AG650" s="81"/>
      <c r="AH650" s="82"/>
      <c r="AI650" s="66"/>
      <c r="AK650" s="80"/>
      <c r="AL650" s="80"/>
      <c r="AM650" s="81"/>
      <c r="AN650" s="82"/>
      <c r="AO650" s="66"/>
      <c r="AQ650" s="80"/>
      <c r="AR650" s="80"/>
      <c r="AS650" s="81"/>
      <c r="AT650" s="82"/>
      <c r="AU650" s="66"/>
      <c r="AW650" s="80"/>
      <c r="AX650" s="80"/>
      <c r="AY650" s="81"/>
      <c r="AZ650" s="82"/>
      <c r="BA650" s="66"/>
    </row>
    <row r="651" spans="1:53" s="117" customFormat="1" ht="17.100000000000001" customHeight="1" x14ac:dyDescent="0.25">
      <c r="A651" s="68"/>
      <c r="B651" s="119"/>
      <c r="C651" s="540"/>
      <c r="D651" s="261"/>
      <c r="E651" s="261"/>
      <c r="F651" s="68"/>
      <c r="G651" s="68"/>
      <c r="H651" s="119"/>
      <c r="I651" s="138"/>
      <c r="J651" s="17"/>
      <c r="K651" s="17"/>
      <c r="L651" s="17"/>
      <c r="M651" s="17"/>
      <c r="N651" s="17"/>
      <c r="O651" s="17"/>
      <c r="P651" s="17" t="str">
        <f>IF(P650=1,"OK","NOK")</f>
        <v>OK</v>
      </c>
      <c r="Q651" s="17"/>
      <c r="R651" s="17"/>
      <c r="S651" s="17" t="str">
        <f>IF(S650=1,"OK","NOK")</f>
        <v>OK</v>
      </c>
      <c r="T651" s="17"/>
      <c r="U651" s="17"/>
      <c r="V651" s="359" t="str">
        <f>IF(V650=1,"OK","NOK")</f>
        <v>NOK</v>
      </c>
      <c r="W651" s="382"/>
      <c r="X651" s="539"/>
      <c r="Y651" s="539"/>
      <c r="Z651" s="201"/>
      <c r="AA651" s="201"/>
      <c r="AB651" s="201"/>
      <c r="AC651" s="84"/>
      <c r="AE651" s="46"/>
      <c r="AF651" s="46"/>
      <c r="AG651" s="17"/>
      <c r="AH651" s="539"/>
      <c r="AI651" s="91"/>
      <c r="AK651" s="46"/>
      <c r="AL651" s="46"/>
      <c r="AM651" s="17"/>
      <c r="AN651" s="539"/>
      <c r="AO651" s="91"/>
      <c r="AQ651" s="46"/>
      <c r="AR651" s="46"/>
      <c r="AS651" s="17"/>
      <c r="AT651" s="539"/>
      <c r="AU651" s="91"/>
      <c r="AW651" s="46"/>
      <c r="AX651" s="46"/>
      <c r="AY651" s="17"/>
      <c r="AZ651" s="539"/>
      <c r="BA651" s="91"/>
    </row>
    <row r="652" spans="1:53" ht="17.100000000000001" customHeight="1" x14ac:dyDescent="0.25">
      <c r="A652" s="119"/>
      <c r="B652" s="48" t="s">
        <v>708</v>
      </c>
      <c r="C652" s="50" t="s">
        <v>709</v>
      </c>
      <c r="D652" s="50"/>
      <c r="E652" s="70"/>
      <c r="F652" s="70"/>
      <c r="G652" s="70"/>
      <c r="H652" s="119"/>
      <c r="J652" s="71"/>
      <c r="K652" s="71"/>
      <c r="L652" s="71"/>
      <c r="M652" s="71"/>
      <c r="N652" s="71"/>
      <c r="O652" s="71"/>
      <c r="P652" s="71"/>
      <c r="Q652" s="71"/>
      <c r="R652" s="71"/>
      <c r="S652" s="71"/>
      <c r="T652" s="71"/>
      <c r="U652" s="71"/>
      <c r="V652" s="355"/>
      <c r="W652" s="377"/>
      <c r="X652" s="71"/>
      <c r="Y652" s="72"/>
      <c r="Z652" s="73"/>
      <c r="AA652" s="73"/>
      <c r="AB652" s="73"/>
      <c r="AC652" s="73"/>
      <c r="AE652" s="71"/>
      <c r="AF652" s="71"/>
      <c r="AG652" s="71"/>
      <c r="AH652" s="72"/>
      <c r="AI652" s="73"/>
      <c r="AK652" s="71"/>
      <c r="AL652" s="71"/>
      <c r="AM652" s="71"/>
      <c r="AN652" s="72"/>
      <c r="AO652" s="73"/>
      <c r="AQ652" s="71"/>
      <c r="AR652" s="71"/>
      <c r="AS652" s="71"/>
      <c r="AT652" s="72"/>
      <c r="AU652" s="73"/>
      <c r="AW652" s="71"/>
      <c r="AX652" s="71"/>
      <c r="AY652" s="71"/>
      <c r="AZ652" s="72"/>
      <c r="BA652" s="73"/>
    </row>
    <row r="653" spans="1:53" ht="17.100000000000001" customHeight="1" x14ac:dyDescent="0.25">
      <c r="A653" s="119"/>
      <c r="B653" s="119"/>
      <c r="C653" s="48" t="s">
        <v>710</v>
      </c>
      <c r="D653" s="50" t="s">
        <v>711</v>
      </c>
      <c r="E653" s="70"/>
      <c r="F653" s="70"/>
      <c r="G653" s="70"/>
      <c r="H653" s="119"/>
      <c r="J653" s="71"/>
      <c r="K653" s="71"/>
      <c r="L653" s="71"/>
      <c r="M653" s="71"/>
      <c r="N653" s="71"/>
      <c r="O653" s="71"/>
      <c r="P653" s="71"/>
      <c r="Q653" s="71"/>
      <c r="R653" s="71"/>
      <c r="S653" s="71"/>
      <c r="T653" s="71"/>
      <c r="U653" s="71"/>
      <c r="V653" s="355"/>
      <c r="W653" s="377"/>
      <c r="X653" s="71"/>
      <c r="Y653" s="72"/>
      <c r="Z653" s="73"/>
      <c r="AA653" s="73"/>
      <c r="AB653" s="73"/>
      <c r="AC653" s="73"/>
      <c r="AE653" s="71"/>
      <c r="AF653" s="71"/>
      <c r="AG653" s="71"/>
      <c r="AH653" s="72"/>
      <c r="AI653" s="73"/>
      <c r="AK653" s="71"/>
      <c r="AL653" s="71"/>
      <c r="AM653" s="71"/>
      <c r="AN653" s="72"/>
      <c r="AO653" s="73"/>
      <c r="AQ653" s="71"/>
      <c r="AR653" s="71"/>
      <c r="AS653" s="71"/>
      <c r="AT653" s="72"/>
      <c r="AU653" s="73"/>
      <c r="AW653" s="71"/>
      <c r="AX653" s="71"/>
      <c r="AY653" s="71"/>
      <c r="AZ653" s="72"/>
      <c r="BA653" s="73"/>
    </row>
    <row r="654" spans="1:53" s="117" customFormat="1" ht="17.100000000000001" customHeight="1" x14ac:dyDescent="0.25">
      <c r="A654" s="68"/>
      <c r="B654" s="119"/>
      <c r="C654" s="92"/>
      <c r="D654" s="180" t="s">
        <v>712</v>
      </c>
      <c r="E654" s="85" t="s">
        <v>692</v>
      </c>
      <c r="F654" s="75"/>
      <c r="G654" s="151"/>
      <c r="H654" s="119"/>
      <c r="I654" s="138"/>
      <c r="J654" s="111"/>
      <c r="K654" s="111"/>
      <c r="L654" s="111"/>
      <c r="M654" s="111"/>
      <c r="N654" s="111"/>
      <c r="O654" s="111"/>
      <c r="P654" s="327"/>
      <c r="Q654" s="111"/>
      <c r="R654" s="111"/>
      <c r="S654" s="327"/>
      <c r="T654" s="111"/>
      <c r="U654" s="111"/>
      <c r="V654" s="369"/>
      <c r="W654" s="382"/>
      <c r="X654" s="539"/>
      <c r="Y654" s="328">
        <f t="shared" ref="Y654:Y662" si="779">P654+S654+V654</f>
        <v>0</v>
      </c>
      <c r="Z654" s="19">
        <f>IF(Y$663=0,0,Y654/Y$663)</f>
        <v>0</v>
      </c>
      <c r="AA654" s="201"/>
      <c r="AB654" s="201"/>
      <c r="AC654" s="84"/>
      <c r="AE654" s="111"/>
      <c r="AF654" s="111"/>
      <c r="AG654" s="111"/>
      <c r="AH654" s="545"/>
      <c r="AI654" s="131"/>
      <c r="AK654" s="111"/>
      <c r="AL654" s="111"/>
      <c r="AM654" s="111"/>
      <c r="AN654" s="545"/>
      <c r="AO654" s="131"/>
      <c r="AQ654" s="111"/>
      <c r="AR654" s="111"/>
      <c r="AS654" s="111"/>
      <c r="AT654" s="545"/>
      <c r="AU654" s="131"/>
      <c r="AW654" s="111"/>
      <c r="AX654" s="111"/>
      <c r="AY654" s="111"/>
      <c r="AZ654" s="545"/>
      <c r="BA654" s="131"/>
    </row>
    <row r="655" spans="1:53" s="117" customFormat="1" ht="17.100000000000001" customHeight="1" x14ac:dyDescent="0.25">
      <c r="A655" s="68"/>
      <c r="B655" s="119"/>
      <c r="C655" s="92"/>
      <c r="D655" s="180" t="s">
        <v>713</v>
      </c>
      <c r="E655" s="85" t="s">
        <v>512</v>
      </c>
      <c r="F655" s="75"/>
      <c r="G655" s="151"/>
      <c r="H655" s="119"/>
      <c r="I655" s="138"/>
      <c r="J655" s="111"/>
      <c r="K655" s="111"/>
      <c r="L655" s="111"/>
      <c r="M655" s="111"/>
      <c r="N655" s="111"/>
      <c r="O655" s="111"/>
      <c r="P655" s="329"/>
      <c r="Q655" s="111"/>
      <c r="R655" s="111"/>
      <c r="S655" s="329"/>
      <c r="T655" s="111"/>
      <c r="U655" s="111"/>
      <c r="V655" s="370"/>
      <c r="W655" s="382"/>
      <c r="X655" s="539"/>
      <c r="Y655" s="328">
        <f t="shared" si="779"/>
        <v>0</v>
      </c>
      <c r="Z655" s="19">
        <f t="shared" ref="Z655:Z663" si="780">IF(Y$663=0,0,Y655/Y$663)</f>
        <v>0</v>
      </c>
      <c r="AA655" s="201"/>
      <c r="AB655" s="201"/>
      <c r="AC655" s="84"/>
      <c r="AE655" s="111"/>
      <c r="AF655" s="111"/>
      <c r="AG655" s="111"/>
      <c r="AH655" s="545"/>
      <c r="AI655" s="131"/>
      <c r="AK655" s="111"/>
      <c r="AL655" s="111"/>
      <c r="AM655" s="111"/>
      <c r="AN655" s="545"/>
      <c r="AO655" s="131"/>
      <c r="AQ655" s="111"/>
      <c r="AR655" s="111"/>
      <c r="AS655" s="111"/>
      <c r="AT655" s="545"/>
      <c r="AU655" s="131"/>
      <c r="AW655" s="111"/>
      <c r="AX655" s="111"/>
      <c r="AY655" s="111"/>
      <c r="AZ655" s="545"/>
      <c r="BA655" s="131"/>
    </row>
    <row r="656" spans="1:53" s="117" customFormat="1" ht="17.100000000000001" customHeight="1" x14ac:dyDescent="0.25">
      <c r="A656" s="68"/>
      <c r="B656" s="119"/>
      <c r="C656" s="92"/>
      <c r="D656" s="180" t="s">
        <v>714</v>
      </c>
      <c r="E656" s="85" t="s">
        <v>513</v>
      </c>
      <c r="F656" s="75"/>
      <c r="G656" s="151"/>
      <c r="H656" s="119"/>
      <c r="I656" s="138"/>
      <c r="J656" s="111"/>
      <c r="K656" s="111"/>
      <c r="L656" s="111"/>
      <c r="M656" s="111"/>
      <c r="N656" s="111"/>
      <c r="O656" s="111"/>
      <c r="P656" s="327"/>
      <c r="Q656" s="111"/>
      <c r="R656" s="111"/>
      <c r="S656" s="327"/>
      <c r="T656" s="111"/>
      <c r="U656" s="111"/>
      <c r="V656" s="369"/>
      <c r="W656" s="382"/>
      <c r="X656" s="539"/>
      <c r="Y656" s="328">
        <f t="shared" si="779"/>
        <v>0</v>
      </c>
      <c r="Z656" s="19">
        <f t="shared" si="780"/>
        <v>0</v>
      </c>
      <c r="AA656" s="201"/>
      <c r="AB656" s="201"/>
      <c r="AC656" s="84"/>
      <c r="AE656" s="111"/>
      <c r="AF656" s="111"/>
      <c r="AG656" s="111"/>
      <c r="AH656" s="545"/>
      <c r="AI656" s="131"/>
      <c r="AK656" s="111"/>
      <c r="AL656" s="111"/>
      <c r="AM656" s="111"/>
      <c r="AN656" s="545"/>
      <c r="AO656" s="131"/>
      <c r="AQ656" s="111"/>
      <c r="AR656" s="111"/>
      <c r="AS656" s="111"/>
      <c r="AT656" s="545"/>
      <c r="AU656" s="131"/>
      <c r="AW656" s="111"/>
      <c r="AX656" s="111"/>
      <c r="AY656" s="111"/>
      <c r="AZ656" s="545"/>
      <c r="BA656" s="131"/>
    </row>
    <row r="657" spans="1:53" s="117" customFormat="1" ht="17.100000000000001" customHeight="1" x14ac:dyDescent="0.25">
      <c r="A657" s="68"/>
      <c r="B657" s="119"/>
      <c r="C657" s="92"/>
      <c r="D657" s="180" t="s">
        <v>715</v>
      </c>
      <c r="E657" s="85" t="s">
        <v>514</v>
      </c>
      <c r="F657" s="75"/>
      <c r="G657" s="151"/>
      <c r="H657" s="119"/>
      <c r="I657" s="138"/>
      <c r="J657" s="111"/>
      <c r="K657" s="111"/>
      <c r="L657" s="111"/>
      <c r="M657" s="111"/>
      <c r="N657" s="111"/>
      <c r="O657" s="111"/>
      <c r="P657" s="329"/>
      <c r="Q657" s="111"/>
      <c r="R657" s="111"/>
      <c r="S657" s="329">
        <v>1</v>
      </c>
      <c r="T657" s="111"/>
      <c r="U657" s="111"/>
      <c r="V657" s="370"/>
      <c r="W657" s="382"/>
      <c r="X657" s="539"/>
      <c r="Y657" s="328">
        <f t="shared" si="779"/>
        <v>1</v>
      </c>
      <c r="Z657" s="19">
        <f t="shared" si="780"/>
        <v>0.5</v>
      </c>
      <c r="AA657" s="201"/>
      <c r="AB657" s="201"/>
      <c r="AC657" s="84"/>
      <c r="AE657" s="111"/>
      <c r="AF657" s="111"/>
      <c r="AG657" s="111"/>
      <c r="AH657" s="545"/>
      <c r="AI657" s="131"/>
      <c r="AK657" s="111"/>
      <c r="AL657" s="111"/>
      <c r="AM657" s="111"/>
      <c r="AN657" s="545"/>
      <c r="AO657" s="131"/>
      <c r="AQ657" s="111"/>
      <c r="AR657" s="111"/>
      <c r="AS657" s="111"/>
      <c r="AT657" s="545"/>
      <c r="AU657" s="131"/>
      <c r="AW657" s="111"/>
      <c r="AX657" s="111"/>
      <c r="AY657" s="111"/>
      <c r="AZ657" s="545"/>
      <c r="BA657" s="131"/>
    </row>
    <row r="658" spans="1:53" s="117" customFormat="1" ht="17.100000000000001" customHeight="1" x14ac:dyDescent="0.25">
      <c r="A658" s="68"/>
      <c r="B658" s="119"/>
      <c r="C658" s="92"/>
      <c r="D658" s="180" t="s">
        <v>716</v>
      </c>
      <c r="E658" s="85" t="s">
        <v>357</v>
      </c>
      <c r="F658" s="75"/>
      <c r="G658" s="151"/>
      <c r="H658" s="119"/>
      <c r="I658" s="138"/>
      <c r="J658" s="111"/>
      <c r="K658" s="111"/>
      <c r="L658" s="111"/>
      <c r="M658" s="111"/>
      <c r="N658" s="111"/>
      <c r="O658" s="111"/>
      <c r="P658" s="327"/>
      <c r="Q658" s="111"/>
      <c r="R658" s="111"/>
      <c r="S658" s="327"/>
      <c r="T658" s="111"/>
      <c r="U658" s="111"/>
      <c r="V658" s="369"/>
      <c r="W658" s="382"/>
      <c r="X658" s="539"/>
      <c r="Y658" s="328">
        <f t="shared" si="779"/>
        <v>0</v>
      </c>
      <c r="Z658" s="19">
        <f t="shared" si="780"/>
        <v>0</v>
      </c>
      <c r="AA658" s="201"/>
      <c r="AB658" s="201"/>
      <c r="AC658" s="84"/>
      <c r="AE658" s="111"/>
      <c r="AF658" s="111"/>
      <c r="AG658" s="111"/>
      <c r="AH658" s="545"/>
      <c r="AI658" s="131"/>
      <c r="AK658" s="111"/>
      <c r="AL658" s="111"/>
      <c r="AM658" s="111"/>
      <c r="AN658" s="545"/>
      <c r="AO658" s="131"/>
      <c r="AQ658" s="111"/>
      <c r="AR658" s="111"/>
      <c r="AS658" s="111"/>
      <c r="AT658" s="545"/>
      <c r="AU658" s="131"/>
      <c r="AW658" s="111"/>
      <c r="AX658" s="111"/>
      <c r="AY658" s="111"/>
      <c r="AZ658" s="545"/>
      <c r="BA658" s="131"/>
    </row>
    <row r="659" spans="1:53" s="117" customFormat="1" ht="17.100000000000001" customHeight="1" x14ac:dyDescent="0.25">
      <c r="A659" s="68"/>
      <c r="B659" s="119"/>
      <c r="C659" s="92"/>
      <c r="D659" s="180" t="s">
        <v>717</v>
      </c>
      <c r="E659" s="85" t="s">
        <v>515</v>
      </c>
      <c r="F659" s="75"/>
      <c r="G659" s="151"/>
      <c r="H659" s="119"/>
      <c r="I659" s="138"/>
      <c r="J659" s="111"/>
      <c r="K659" s="111"/>
      <c r="L659" s="111"/>
      <c r="M659" s="111"/>
      <c r="N659" s="111"/>
      <c r="O659" s="111"/>
      <c r="P659" s="329">
        <v>1</v>
      </c>
      <c r="Q659" s="111"/>
      <c r="R659" s="111"/>
      <c r="S659" s="329"/>
      <c r="T659" s="111"/>
      <c r="U659" s="111"/>
      <c r="V659" s="370"/>
      <c r="W659" s="382"/>
      <c r="X659" s="539"/>
      <c r="Y659" s="328">
        <f t="shared" si="779"/>
        <v>1</v>
      </c>
      <c r="Z659" s="19">
        <f t="shared" si="780"/>
        <v>0.5</v>
      </c>
      <c r="AA659" s="201"/>
      <c r="AB659" s="201"/>
      <c r="AC659" s="84"/>
      <c r="AE659" s="111"/>
      <c r="AF659" s="111"/>
      <c r="AG659" s="111"/>
      <c r="AH659" s="545"/>
      <c r="AI659" s="131"/>
      <c r="AK659" s="111"/>
      <c r="AL659" s="111"/>
      <c r="AM659" s="111"/>
      <c r="AN659" s="545"/>
      <c r="AO659" s="131"/>
      <c r="AQ659" s="111"/>
      <c r="AR659" s="111"/>
      <c r="AS659" s="111"/>
      <c r="AT659" s="545"/>
      <c r="AU659" s="131"/>
      <c r="AW659" s="111"/>
      <c r="AX659" s="111"/>
      <c r="AY659" s="111"/>
      <c r="AZ659" s="545"/>
      <c r="BA659" s="131"/>
    </row>
    <row r="660" spans="1:53" s="117" customFormat="1" ht="17.100000000000001" customHeight="1" x14ac:dyDescent="0.25">
      <c r="A660" s="68"/>
      <c r="B660" s="119"/>
      <c r="C660" s="92"/>
      <c r="D660" s="180" t="s">
        <v>718</v>
      </c>
      <c r="E660" s="85" t="s">
        <v>516</v>
      </c>
      <c r="F660" s="75"/>
      <c r="G660" s="151"/>
      <c r="H660" s="119"/>
      <c r="I660" s="138"/>
      <c r="J660" s="111"/>
      <c r="K660" s="111"/>
      <c r="L660" s="111"/>
      <c r="M660" s="111"/>
      <c r="N660" s="111"/>
      <c r="O660" s="111"/>
      <c r="P660" s="327"/>
      <c r="Q660" s="111"/>
      <c r="R660" s="111"/>
      <c r="S660" s="327"/>
      <c r="T660" s="111"/>
      <c r="U660" s="111"/>
      <c r="V660" s="369"/>
      <c r="W660" s="382"/>
      <c r="X660" s="539"/>
      <c r="Y660" s="328">
        <f t="shared" si="779"/>
        <v>0</v>
      </c>
      <c r="Z660" s="19">
        <f t="shared" si="780"/>
        <v>0</v>
      </c>
      <c r="AA660" s="201"/>
      <c r="AB660" s="201"/>
      <c r="AC660" s="84"/>
      <c r="AE660" s="111"/>
      <c r="AF660" s="111"/>
      <c r="AG660" s="111"/>
      <c r="AH660" s="545"/>
      <c r="AI660" s="131"/>
      <c r="AK660" s="111"/>
      <c r="AL660" s="111"/>
      <c r="AM660" s="111"/>
      <c r="AN660" s="545"/>
      <c r="AO660" s="131"/>
      <c r="AQ660" s="111"/>
      <c r="AR660" s="111"/>
      <c r="AS660" s="111"/>
      <c r="AT660" s="545"/>
      <c r="AU660" s="131"/>
      <c r="AW660" s="111"/>
      <c r="AX660" s="111"/>
      <c r="AY660" s="111"/>
      <c r="AZ660" s="545"/>
      <c r="BA660" s="131"/>
    </row>
    <row r="661" spans="1:53" s="117" customFormat="1" ht="17.100000000000001" customHeight="1" x14ac:dyDescent="0.25">
      <c r="A661" s="68"/>
      <c r="B661" s="119"/>
      <c r="C661" s="92"/>
      <c r="D661" s="180" t="s">
        <v>719</v>
      </c>
      <c r="E661" s="85" t="s">
        <v>517</v>
      </c>
      <c r="F661" s="75"/>
      <c r="G661" s="151"/>
      <c r="H661" s="119"/>
      <c r="I661" s="138"/>
      <c r="J661" s="111"/>
      <c r="K661" s="111"/>
      <c r="L661" s="111"/>
      <c r="M661" s="111"/>
      <c r="N661" s="111"/>
      <c r="O661" s="111"/>
      <c r="P661" s="329"/>
      <c r="Q661" s="111"/>
      <c r="R661" s="111"/>
      <c r="S661" s="329"/>
      <c r="T661" s="111"/>
      <c r="U661" s="111"/>
      <c r="V661" s="370"/>
      <c r="W661" s="382"/>
      <c r="X661" s="539"/>
      <c r="Y661" s="328">
        <f t="shared" si="779"/>
        <v>0</v>
      </c>
      <c r="Z661" s="19">
        <f t="shared" si="780"/>
        <v>0</v>
      </c>
      <c r="AA661" s="201"/>
      <c r="AB661" s="201"/>
      <c r="AC661" s="84"/>
      <c r="AE661" s="111"/>
      <c r="AF661" s="111"/>
      <c r="AG661" s="111"/>
      <c r="AH661" s="545"/>
      <c r="AI661" s="131"/>
      <c r="AK661" s="111"/>
      <c r="AL661" s="111"/>
      <c r="AM661" s="111"/>
      <c r="AN661" s="545"/>
      <c r="AO661" s="131"/>
      <c r="AQ661" s="111"/>
      <c r="AR661" s="111"/>
      <c r="AS661" s="111"/>
      <c r="AT661" s="545"/>
      <c r="AU661" s="131"/>
      <c r="AW661" s="111"/>
      <c r="AX661" s="111"/>
      <c r="AY661" s="111"/>
      <c r="AZ661" s="545"/>
      <c r="BA661" s="131"/>
    </row>
    <row r="662" spans="1:53" s="117" customFormat="1" ht="17.100000000000001" customHeight="1" x14ac:dyDescent="0.25">
      <c r="A662" s="68"/>
      <c r="B662" s="119"/>
      <c r="C662" s="92"/>
      <c r="D662" s="180" t="s">
        <v>720</v>
      </c>
      <c r="E662" s="85" t="s">
        <v>129</v>
      </c>
      <c r="F662" s="75"/>
      <c r="G662" s="151"/>
      <c r="H662" s="119"/>
      <c r="I662" s="138"/>
      <c r="J662" s="111"/>
      <c r="K662" s="111"/>
      <c r="L662" s="111"/>
      <c r="M662" s="111"/>
      <c r="N662" s="111"/>
      <c r="O662" s="111"/>
      <c r="P662" s="327"/>
      <c r="Q662" s="111"/>
      <c r="R662" s="111"/>
      <c r="S662" s="327"/>
      <c r="T662" s="111"/>
      <c r="U662" s="111"/>
      <c r="V662" s="369"/>
      <c r="W662" s="382"/>
      <c r="X662" s="539"/>
      <c r="Y662" s="328">
        <f t="shared" si="779"/>
        <v>0</v>
      </c>
      <c r="Z662" s="19">
        <f t="shared" si="780"/>
        <v>0</v>
      </c>
      <c r="AA662" s="201"/>
      <c r="AB662" s="201"/>
      <c r="AC662" s="84"/>
      <c r="AE662" s="111"/>
      <c r="AF662" s="111"/>
      <c r="AG662" s="111"/>
      <c r="AH662" s="545"/>
      <c r="AI662" s="131"/>
      <c r="AK662" s="111"/>
      <c r="AL662" s="111"/>
      <c r="AM662" s="111"/>
      <c r="AN662" s="545"/>
      <c r="AO662" s="131"/>
      <c r="AQ662" s="111"/>
      <c r="AR662" s="111"/>
      <c r="AS662" s="111"/>
      <c r="AT662" s="545"/>
      <c r="AU662" s="131"/>
      <c r="AW662" s="111"/>
      <c r="AX662" s="111"/>
      <c r="AY662" s="111"/>
      <c r="AZ662" s="545"/>
      <c r="BA662" s="131"/>
    </row>
    <row r="663" spans="1:53" ht="17.100000000000001" customHeight="1" x14ac:dyDescent="0.25">
      <c r="A663" s="40"/>
      <c r="B663" s="40"/>
      <c r="C663" s="77"/>
      <c r="D663" s="134"/>
      <c r="E663" s="134"/>
      <c r="F663" s="134"/>
      <c r="G663" s="134"/>
      <c r="H663" s="540"/>
      <c r="I663" s="229"/>
      <c r="J663" s="80"/>
      <c r="K663" s="80"/>
      <c r="L663" s="80"/>
      <c r="M663" s="80"/>
      <c r="N663" s="81"/>
      <c r="O663" s="81"/>
      <c r="P663" s="82">
        <f>SUM(P654:P662)</f>
        <v>1</v>
      </c>
      <c r="Q663" s="81"/>
      <c r="R663" s="81"/>
      <c r="S663" s="82">
        <f>SUM(S654:S662)</f>
        <v>1</v>
      </c>
      <c r="T663" s="81"/>
      <c r="U663" s="81"/>
      <c r="V663" s="360">
        <f>SUM(V654:V662)</f>
        <v>0</v>
      </c>
      <c r="W663" s="381"/>
      <c r="X663" s="82"/>
      <c r="Y663" s="82">
        <f>SUM(Y654:Y662)</f>
        <v>2</v>
      </c>
      <c r="Z663" s="205">
        <f t="shared" si="780"/>
        <v>1</v>
      </c>
      <c r="AA663" s="205"/>
      <c r="AB663" s="205"/>
      <c r="AC663" s="83"/>
      <c r="AE663" s="80"/>
      <c r="AF663" s="80"/>
      <c r="AG663" s="81"/>
      <c r="AH663" s="82"/>
      <c r="AI663" s="66"/>
      <c r="AK663" s="80"/>
      <c r="AL663" s="80"/>
      <c r="AM663" s="81"/>
      <c r="AN663" s="82"/>
      <c r="AO663" s="66"/>
      <c r="AQ663" s="80"/>
      <c r="AR663" s="80"/>
      <c r="AS663" s="81"/>
      <c r="AT663" s="82"/>
      <c r="AU663" s="66"/>
      <c r="AW663" s="80"/>
      <c r="AX663" s="80"/>
      <c r="AY663" s="81"/>
      <c r="AZ663" s="82"/>
      <c r="BA663" s="66"/>
    </row>
    <row r="664" spans="1:53" ht="17.100000000000001" customHeight="1" x14ac:dyDescent="0.25">
      <c r="A664" s="119"/>
      <c r="B664" s="119"/>
      <c r="C664" s="48" t="s">
        <v>721</v>
      </c>
      <c r="D664" s="50" t="s">
        <v>722</v>
      </c>
      <c r="E664" s="70"/>
      <c r="F664" s="70"/>
      <c r="G664" s="70"/>
      <c r="H664" s="119"/>
      <c r="J664" s="71"/>
      <c r="K664" s="71"/>
      <c r="L664" s="71"/>
      <c r="M664" s="71"/>
      <c r="N664" s="71"/>
      <c r="O664" s="71"/>
      <c r="P664" s="71"/>
      <c r="Q664" s="71"/>
      <c r="R664" s="71"/>
      <c r="S664" s="71"/>
      <c r="T664" s="71"/>
      <c r="U664" s="71"/>
      <c r="V664" s="355"/>
      <c r="W664" s="377"/>
      <c r="X664" s="71"/>
      <c r="Y664" s="72"/>
      <c r="Z664" s="73"/>
      <c r="AA664" s="73"/>
      <c r="AB664" s="73"/>
      <c r="AC664" s="73"/>
      <c r="AE664" s="71"/>
      <c r="AF664" s="71"/>
      <c r="AG664" s="71"/>
      <c r="AH664" s="72"/>
      <c r="AI664" s="73"/>
      <c r="AK664" s="71"/>
      <c r="AL664" s="71"/>
      <c r="AM664" s="71"/>
      <c r="AN664" s="72"/>
      <c r="AO664" s="73"/>
      <c r="AQ664" s="71"/>
      <c r="AR664" s="71"/>
      <c r="AS664" s="71"/>
      <c r="AT664" s="72"/>
      <c r="AU664" s="73"/>
      <c r="AW664" s="71"/>
      <c r="AX664" s="71"/>
      <c r="AY664" s="71"/>
      <c r="AZ664" s="72"/>
      <c r="BA664" s="73"/>
    </row>
    <row r="665" spans="1:53" s="117" customFormat="1" ht="17.100000000000001" customHeight="1" x14ac:dyDescent="0.25">
      <c r="A665" s="68"/>
      <c r="B665" s="119"/>
      <c r="C665" s="92"/>
      <c r="D665" s="56" t="s">
        <v>723</v>
      </c>
      <c r="E665" s="85" t="s">
        <v>692</v>
      </c>
      <c r="F665" s="75"/>
      <c r="G665" s="151"/>
      <c r="H665" s="119"/>
      <c r="I665" s="138"/>
      <c r="J665" s="111"/>
      <c r="K665" s="111"/>
      <c r="L665" s="111"/>
      <c r="M665" s="111"/>
      <c r="N665" s="111"/>
      <c r="O665" s="111"/>
      <c r="P665" s="327">
        <v>1</v>
      </c>
      <c r="Q665" s="111"/>
      <c r="R665" s="111"/>
      <c r="S665" s="327">
        <v>1</v>
      </c>
      <c r="T665" s="111"/>
      <c r="U665" s="111"/>
      <c r="V665" s="369"/>
      <c r="W665" s="382"/>
      <c r="X665" s="539"/>
      <c r="Y665" s="328">
        <f t="shared" ref="Y665:Y669" si="781">P665+S665+V665</f>
        <v>2</v>
      </c>
      <c r="Z665" s="19">
        <f>IF(Y$670=0,0,Y665/Y$670)</f>
        <v>1</v>
      </c>
      <c r="AA665" s="201"/>
      <c r="AB665" s="201"/>
      <c r="AC665" s="84"/>
      <c r="AE665" s="111"/>
      <c r="AF665" s="111"/>
      <c r="AG665" s="111"/>
      <c r="AH665" s="545"/>
      <c r="AI665" s="131"/>
      <c r="AK665" s="111"/>
      <c r="AL665" s="111"/>
      <c r="AM665" s="111"/>
      <c r="AN665" s="545"/>
      <c r="AO665" s="131"/>
      <c r="AQ665" s="111"/>
      <c r="AR665" s="111"/>
      <c r="AS665" s="111"/>
      <c r="AT665" s="545"/>
      <c r="AU665" s="131"/>
      <c r="AW665" s="111"/>
      <c r="AX665" s="111"/>
      <c r="AY665" s="111"/>
      <c r="AZ665" s="545"/>
      <c r="BA665" s="131"/>
    </row>
    <row r="666" spans="1:53" s="117" customFormat="1" ht="17.100000000000001" customHeight="1" x14ac:dyDescent="0.25">
      <c r="A666" s="68"/>
      <c r="B666" s="119"/>
      <c r="C666" s="92"/>
      <c r="D666" s="56" t="s">
        <v>724</v>
      </c>
      <c r="E666" s="85" t="s">
        <v>725</v>
      </c>
      <c r="F666" s="75"/>
      <c r="G666" s="151"/>
      <c r="H666" s="119"/>
      <c r="I666" s="138"/>
      <c r="J666" s="111"/>
      <c r="K666" s="111"/>
      <c r="L666" s="111"/>
      <c r="M666" s="111"/>
      <c r="N666" s="111"/>
      <c r="O666" s="111"/>
      <c r="P666" s="329"/>
      <c r="Q666" s="111"/>
      <c r="R666" s="111"/>
      <c r="S666" s="329"/>
      <c r="T666" s="111"/>
      <c r="U666" s="111"/>
      <c r="V666" s="370"/>
      <c r="W666" s="382"/>
      <c r="X666" s="539"/>
      <c r="Y666" s="328">
        <f t="shared" si="781"/>
        <v>0</v>
      </c>
      <c r="Z666" s="19">
        <f t="shared" ref="Z666:Z670" si="782">IF(Y$670=0,0,Y666/Y$670)</f>
        <v>0</v>
      </c>
      <c r="AA666" s="201"/>
      <c r="AB666" s="201"/>
      <c r="AC666" s="84"/>
      <c r="AE666" s="111"/>
      <c r="AF666" s="111"/>
      <c r="AG666" s="111"/>
      <c r="AH666" s="545"/>
      <c r="AI666" s="131"/>
      <c r="AK666" s="111"/>
      <c r="AL666" s="111"/>
      <c r="AM666" s="111"/>
      <c r="AN666" s="545"/>
      <c r="AO666" s="131"/>
      <c r="AQ666" s="111"/>
      <c r="AR666" s="111"/>
      <c r="AS666" s="111"/>
      <c r="AT666" s="545"/>
      <c r="AU666" s="131"/>
      <c r="AW666" s="111"/>
      <c r="AX666" s="111"/>
      <c r="AY666" s="111"/>
      <c r="AZ666" s="545"/>
      <c r="BA666" s="131"/>
    </row>
    <row r="667" spans="1:53" s="117" customFormat="1" ht="17.100000000000001" customHeight="1" x14ac:dyDescent="0.25">
      <c r="A667" s="68"/>
      <c r="B667" s="119"/>
      <c r="C667" s="92"/>
      <c r="D667" s="56" t="s">
        <v>726</v>
      </c>
      <c r="E667" s="85" t="s">
        <v>727</v>
      </c>
      <c r="F667" s="75"/>
      <c r="G667" s="151"/>
      <c r="H667" s="119"/>
      <c r="I667" s="138"/>
      <c r="J667" s="111"/>
      <c r="K667" s="111"/>
      <c r="L667" s="111"/>
      <c r="M667" s="111"/>
      <c r="N667" s="111"/>
      <c r="O667" s="111"/>
      <c r="P667" s="327"/>
      <c r="Q667" s="111"/>
      <c r="R667" s="111"/>
      <c r="S667" s="327"/>
      <c r="T667" s="111"/>
      <c r="U667" s="111"/>
      <c r="V667" s="369"/>
      <c r="W667" s="382"/>
      <c r="X667" s="539"/>
      <c r="Y667" s="328">
        <f t="shared" si="781"/>
        <v>0</v>
      </c>
      <c r="Z667" s="19">
        <f t="shared" si="782"/>
        <v>0</v>
      </c>
      <c r="AA667" s="201"/>
      <c r="AB667" s="201"/>
      <c r="AC667" s="84"/>
      <c r="AE667" s="111"/>
      <c r="AF667" s="111"/>
      <c r="AG667" s="111"/>
      <c r="AH667" s="545"/>
      <c r="AI667" s="131"/>
      <c r="AK667" s="111"/>
      <c r="AL667" s="111"/>
      <c r="AM667" s="111"/>
      <c r="AN667" s="545"/>
      <c r="AO667" s="131"/>
      <c r="AQ667" s="111"/>
      <c r="AR667" s="111"/>
      <c r="AS667" s="111"/>
      <c r="AT667" s="545"/>
      <c r="AU667" s="131"/>
      <c r="AW667" s="111"/>
      <c r="AX667" s="111"/>
      <c r="AY667" s="111"/>
      <c r="AZ667" s="545"/>
      <c r="BA667" s="131"/>
    </row>
    <row r="668" spans="1:53" s="117" customFormat="1" ht="17.100000000000001" customHeight="1" x14ac:dyDescent="0.25">
      <c r="A668" s="68"/>
      <c r="B668" s="119"/>
      <c r="C668" s="92"/>
      <c r="D668" s="56" t="s">
        <v>728</v>
      </c>
      <c r="E668" s="85" t="s">
        <v>729</v>
      </c>
      <c r="F668" s="75"/>
      <c r="G668" s="151"/>
      <c r="H668" s="119"/>
      <c r="I668" s="138"/>
      <c r="J668" s="111"/>
      <c r="K668" s="111"/>
      <c r="L668" s="111"/>
      <c r="M668" s="111"/>
      <c r="N668" s="111"/>
      <c r="O668" s="111"/>
      <c r="P668" s="329"/>
      <c r="Q668" s="111"/>
      <c r="R668" s="111"/>
      <c r="S668" s="329"/>
      <c r="T668" s="111"/>
      <c r="U668" s="111"/>
      <c r="V668" s="370"/>
      <c r="W668" s="382"/>
      <c r="X668" s="539"/>
      <c r="Y668" s="328">
        <f t="shared" si="781"/>
        <v>0</v>
      </c>
      <c r="Z668" s="19">
        <f t="shared" si="782"/>
        <v>0</v>
      </c>
      <c r="AA668" s="201"/>
      <c r="AB668" s="201"/>
      <c r="AC668" s="84"/>
      <c r="AE668" s="111"/>
      <c r="AF668" s="111"/>
      <c r="AG668" s="111"/>
      <c r="AH668" s="545"/>
      <c r="AI668" s="131"/>
      <c r="AK668" s="111"/>
      <c r="AL668" s="111"/>
      <c r="AM668" s="111"/>
      <c r="AN668" s="545"/>
      <c r="AO668" s="131"/>
      <c r="AQ668" s="111"/>
      <c r="AR668" s="111"/>
      <c r="AS668" s="111"/>
      <c r="AT668" s="545"/>
      <c r="AU668" s="131"/>
      <c r="AW668" s="111"/>
      <c r="AX668" s="111"/>
      <c r="AY668" s="111"/>
      <c r="AZ668" s="545"/>
      <c r="BA668" s="131"/>
    </row>
    <row r="669" spans="1:53" s="117" customFormat="1" ht="17.100000000000001" customHeight="1" x14ac:dyDescent="0.25">
      <c r="A669" s="68"/>
      <c r="B669" s="119"/>
      <c r="C669" s="92"/>
      <c r="D669" s="56" t="s">
        <v>730</v>
      </c>
      <c r="E669" s="85" t="s">
        <v>129</v>
      </c>
      <c r="F669" s="75"/>
      <c r="G669" s="151"/>
      <c r="H669" s="119"/>
      <c r="I669" s="138"/>
      <c r="J669" s="111"/>
      <c r="K669" s="111"/>
      <c r="L669" s="111"/>
      <c r="M669" s="111"/>
      <c r="N669" s="111"/>
      <c r="O669" s="111"/>
      <c r="P669" s="327"/>
      <c r="Q669" s="111"/>
      <c r="R669" s="111"/>
      <c r="S669" s="327"/>
      <c r="T669" s="111"/>
      <c r="U669" s="111"/>
      <c r="V669" s="369"/>
      <c r="W669" s="382"/>
      <c r="X669" s="539"/>
      <c r="Y669" s="328">
        <f t="shared" si="781"/>
        <v>0</v>
      </c>
      <c r="Z669" s="19">
        <f t="shared" si="782"/>
        <v>0</v>
      </c>
      <c r="AA669" s="201"/>
      <c r="AB669" s="201"/>
      <c r="AC669" s="84"/>
      <c r="AE669" s="111"/>
      <c r="AF669" s="111"/>
      <c r="AG669" s="111"/>
      <c r="AH669" s="545"/>
      <c r="AI669" s="131"/>
      <c r="AK669" s="111"/>
      <c r="AL669" s="111"/>
      <c r="AM669" s="111"/>
      <c r="AN669" s="545"/>
      <c r="AO669" s="131"/>
      <c r="AQ669" s="111"/>
      <c r="AR669" s="111"/>
      <c r="AS669" s="111"/>
      <c r="AT669" s="545"/>
      <c r="AU669" s="131"/>
      <c r="AW669" s="111"/>
      <c r="AX669" s="111"/>
      <c r="AY669" s="111"/>
      <c r="AZ669" s="545"/>
      <c r="BA669" s="131"/>
    </row>
    <row r="670" spans="1:53" ht="17.100000000000001" customHeight="1" x14ac:dyDescent="0.25">
      <c r="A670" s="40"/>
      <c r="B670" s="40"/>
      <c r="C670" s="77"/>
      <c r="D670" s="134"/>
      <c r="E670" s="134"/>
      <c r="F670" s="134"/>
      <c r="G670" s="134"/>
      <c r="H670" s="540"/>
      <c r="I670" s="229"/>
      <c r="J670" s="80"/>
      <c r="K670" s="80"/>
      <c r="L670" s="80"/>
      <c r="M670" s="80"/>
      <c r="N670" s="81"/>
      <c r="O670" s="81"/>
      <c r="P670" s="82">
        <f>SUM(P665:P669)</f>
        <v>1</v>
      </c>
      <c r="Q670" s="81"/>
      <c r="R670" s="81"/>
      <c r="S670" s="82">
        <f>SUM(S665:S669)</f>
        <v>1</v>
      </c>
      <c r="T670" s="81"/>
      <c r="U670" s="81"/>
      <c r="V670" s="360">
        <f>SUM(V665:V669)</f>
        <v>0</v>
      </c>
      <c r="W670" s="381"/>
      <c r="X670" s="82"/>
      <c r="Y670" s="82">
        <f>SUM(Y665:Y669)</f>
        <v>2</v>
      </c>
      <c r="Z670" s="205">
        <f t="shared" si="782"/>
        <v>1</v>
      </c>
      <c r="AA670" s="205"/>
      <c r="AB670" s="205"/>
      <c r="AC670" s="83"/>
      <c r="AE670" s="80"/>
      <c r="AF670" s="80"/>
      <c r="AG670" s="81"/>
      <c r="AH670" s="82"/>
      <c r="AI670" s="66"/>
      <c r="AK670" s="80"/>
      <c r="AL670" s="80"/>
      <c r="AM670" s="81"/>
      <c r="AN670" s="82"/>
      <c r="AO670" s="66"/>
      <c r="AQ670" s="80"/>
      <c r="AR670" s="80"/>
      <c r="AS670" s="81"/>
      <c r="AT670" s="82"/>
      <c r="AU670" s="66"/>
      <c r="AW670" s="80"/>
      <c r="AX670" s="80"/>
      <c r="AY670" s="81"/>
      <c r="AZ670" s="82"/>
      <c r="BA670" s="66"/>
    </row>
    <row r="671" spans="1:53" s="117" customFormat="1" ht="17.100000000000001" customHeight="1" x14ac:dyDescent="0.25">
      <c r="A671" s="68"/>
      <c r="B671" s="119"/>
      <c r="C671" s="92"/>
      <c r="D671" s="261"/>
      <c r="E671" s="261"/>
      <c r="F671" s="68"/>
      <c r="G671" s="68"/>
      <c r="H671" s="119"/>
      <c r="I671" s="138"/>
      <c r="J671" s="17"/>
      <c r="K671" s="17"/>
      <c r="L671" s="17"/>
      <c r="M671" s="17"/>
      <c r="N671" s="17"/>
      <c r="O671" s="17"/>
      <c r="P671" s="17"/>
      <c r="Q671" s="17"/>
      <c r="R671" s="17"/>
      <c r="S671" s="17"/>
      <c r="T671" s="17"/>
      <c r="U671" s="17"/>
      <c r="V671" s="359"/>
      <c r="W671" s="382"/>
      <c r="X671" s="539"/>
      <c r="Y671" s="539"/>
      <c r="Z671" s="201"/>
      <c r="AA671" s="201"/>
      <c r="AB671" s="201"/>
      <c r="AC671" s="84"/>
      <c r="AE671" s="46"/>
      <c r="AF671" s="46"/>
      <c r="AG671" s="17"/>
      <c r="AH671" s="539"/>
      <c r="AI671" s="91"/>
      <c r="AK671" s="46"/>
      <c r="AL671" s="46"/>
      <c r="AM671" s="17"/>
      <c r="AN671" s="539"/>
      <c r="AO671" s="91"/>
      <c r="AQ671" s="46"/>
      <c r="AR671" s="46"/>
      <c r="AS671" s="17"/>
      <c r="AT671" s="539"/>
      <c r="AU671" s="91"/>
      <c r="AW671" s="46"/>
      <c r="AX671" s="46"/>
      <c r="AY671" s="17"/>
      <c r="AZ671" s="539"/>
      <c r="BA671" s="91"/>
    </row>
    <row r="672" spans="1:53" ht="17.100000000000001" customHeight="1" x14ac:dyDescent="0.25">
      <c r="A672" s="68"/>
      <c r="B672" s="41" t="s">
        <v>1445</v>
      </c>
      <c r="C672" s="69" t="s">
        <v>12</v>
      </c>
      <c r="D672" s="50"/>
      <c r="E672" s="70"/>
      <c r="F672" s="70"/>
      <c r="G672" s="70"/>
      <c r="H672" s="119"/>
      <c r="J672" s="71"/>
      <c r="K672" s="71"/>
      <c r="L672" s="71"/>
      <c r="M672" s="71"/>
      <c r="N672" s="71"/>
      <c r="O672" s="71"/>
      <c r="P672" s="71"/>
      <c r="Q672" s="71"/>
      <c r="R672" s="71"/>
      <c r="S672" s="71"/>
      <c r="T672" s="71"/>
      <c r="U672" s="71"/>
      <c r="V672" s="355"/>
      <c r="W672" s="377"/>
      <c r="X672" s="71"/>
      <c r="Y672" s="72"/>
      <c r="Z672" s="73"/>
      <c r="AA672" s="73"/>
      <c r="AB672" s="73"/>
      <c r="AC672" s="73"/>
      <c r="AE672" s="71"/>
      <c r="AF672" s="71"/>
      <c r="AG672" s="71"/>
      <c r="AH672" s="72"/>
      <c r="AI672" s="73"/>
      <c r="AK672" s="71"/>
      <c r="AL672" s="71"/>
      <c r="AM672" s="71"/>
      <c r="AN672" s="72"/>
      <c r="AO672" s="73"/>
      <c r="AQ672" s="71"/>
      <c r="AR672" s="71"/>
      <c r="AS672" s="71"/>
      <c r="AT672" s="72"/>
      <c r="AU672" s="73"/>
      <c r="AW672" s="71"/>
      <c r="AX672" s="71"/>
      <c r="AY672" s="71"/>
      <c r="AZ672" s="72" t="s">
        <v>4</v>
      </c>
      <c r="BA672" s="73"/>
    </row>
    <row r="686" spans="4:52" s="2" customFormat="1" ht="17.100000000000001" customHeight="1" x14ac:dyDescent="0.25">
      <c r="D686" s="3"/>
      <c r="E686" s="3"/>
      <c r="F686" s="4"/>
      <c r="G686" s="4"/>
      <c r="H686" s="138"/>
      <c r="I686" s="97"/>
      <c r="J686" s="6"/>
      <c r="K686" s="6"/>
      <c r="L686" s="6"/>
      <c r="M686" s="6"/>
      <c r="N686" s="6"/>
      <c r="O686" s="6"/>
      <c r="P686" s="6"/>
      <c r="Q686" s="6"/>
      <c r="R686" s="6"/>
      <c r="S686" s="6"/>
      <c r="T686" s="6"/>
      <c r="U686" s="6"/>
      <c r="V686" s="339"/>
      <c r="W686" s="339"/>
      <c r="X686" s="6"/>
      <c r="Y686" s="206"/>
      <c r="AE686" s="6"/>
      <c r="AF686" s="6"/>
      <c r="AG686" s="6"/>
      <c r="AH686" s="206"/>
      <c r="AJ686" s="213"/>
      <c r="AK686" s="6"/>
      <c r="AL686" s="6"/>
      <c r="AM686" s="6"/>
      <c r="AN686" s="206"/>
      <c r="AP686" s="213"/>
      <c r="AQ686" s="6"/>
      <c r="AR686" s="6"/>
      <c r="AS686" s="6"/>
      <c r="AT686" s="206"/>
      <c r="AV686" s="213"/>
      <c r="AW686" s="6"/>
      <c r="AX686" s="6"/>
      <c r="AY686" s="6"/>
      <c r="AZ686" s="206"/>
    </row>
    <row r="687" spans="4:52" s="2" customFormat="1" ht="17.100000000000001" customHeight="1" x14ac:dyDescent="0.25">
      <c r="D687" s="3"/>
      <c r="E687" s="3"/>
      <c r="F687" s="4"/>
      <c r="G687" s="4"/>
      <c r="H687" s="138"/>
      <c r="I687" s="97"/>
      <c r="J687" s="6"/>
      <c r="K687" s="6"/>
      <c r="L687" s="6"/>
      <c r="M687" s="6"/>
      <c r="N687" s="6"/>
      <c r="O687" s="6"/>
      <c r="P687" s="6"/>
      <c r="Q687" s="6"/>
      <c r="R687" s="6"/>
      <c r="S687" s="6"/>
      <c r="T687" s="6"/>
      <c r="U687" s="6"/>
      <c r="V687" s="339"/>
      <c r="W687" s="339"/>
      <c r="X687" s="6"/>
      <c r="Y687" s="206"/>
      <c r="AE687" s="6"/>
      <c r="AF687" s="6"/>
      <c r="AG687" s="6"/>
      <c r="AH687" s="206"/>
      <c r="AJ687" s="213"/>
      <c r="AK687" s="6"/>
      <c r="AL687" s="6"/>
      <c r="AM687" s="6"/>
      <c r="AN687" s="206"/>
      <c r="AP687" s="213"/>
      <c r="AQ687" s="6"/>
      <c r="AR687" s="6"/>
      <c r="AS687" s="6"/>
      <c r="AT687" s="206"/>
      <c r="AV687" s="213"/>
      <c r="AW687" s="6"/>
      <c r="AX687" s="6"/>
      <c r="AY687" s="6"/>
      <c r="AZ687" s="206"/>
    </row>
    <row r="688" spans="4:52" s="2" customFormat="1" ht="17.100000000000001" customHeight="1" x14ac:dyDescent="0.25">
      <c r="D688" s="3"/>
      <c r="E688" s="3"/>
      <c r="F688" s="4"/>
      <c r="G688" s="4"/>
      <c r="H688" s="138"/>
      <c r="I688" s="97"/>
      <c r="J688" s="6"/>
      <c r="K688" s="6"/>
      <c r="L688" s="6"/>
      <c r="M688" s="6"/>
      <c r="N688" s="6"/>
      <c r="O688" s="6"/>
      <c r="P688" s="6"/>
      <c r="Q688" s="6"/>
      <c r="R688" s="6"/>
      <c r="S688" s="6"/>
      <c r="T688" s="6"/>
      <c r="U688" s="6"/>
      <c r="V688" s="339"/>
      <c r="W688" s="339"/>
      <c r="X688" s="6"/>
      <c r="Y688" s="206"/>
      <c r="AE688" s="6"/>
      <c r="AF688" s="6"/>
      <c r="AG688" s="6"/>
      <c r="AH688" s="206"/>
      <c r="AJ688" s="213"/>
      <c r="AK688" s="6"/>
      <c r="AL688" s="6"/>
      <c r="AM688" s="6"/>
      <c r="AN688" s="206"/>
      <c r="AP688" s="213"/>
      <c r="AQ688" s="6"/>
      <c r="AR688" s="6"/>
      <c r="AS688" s="6"/>
      <c r="AT688" s="206"/>
      <c r="AV688" s="213"/>
      <c r="AW688" s="6"/>
      <c r="AX688" s="6"/>
      <c r="AY688" s="6"/>
      <c r="AZ688" s="206"/>
    </row>
    <row r="689" spans="4:52" s="2" customFormat="1" ht="17.100000000000001" customHeight="1" x14ac:dyDescent="0.25">
      <c r="D689" s="3"/>
      <c r="E689" s="3"/>
      <c r="F689" s="4"/>
      <c r="G689" s="4"/>
      <c r="H689" s="138"/>
      <c r="I689" s="97"/>
      <c r="J689" s="6"/>
      <c r="K689" s="6"/>
      <c r="L689" s="6"/>
      <c r="M689" s="6"/>
      <c r="N689" s="6"/>
      <c r="O689" s="6"/>
      <c r="P689" s="6"/>
      <c r="Q689" s="6"/>
      <c r="R689" s="6"/>
      <c r="S689" s="6"/>
      <c r="T689" s="6"/>
      <c r="U689" s="6"/>
      <c r="V689" s="339"/>
      <c r="W689" s="339"/>
      <c r="X689" s="6"/>
      <c r="Y689" s="206"/>
      <c r="AE689" s="6"/>
      <c r="AF689" s="6"/>
      <c r="AG689" s="6"/>
      <c r="AH689" s="206"/>
      <c r="AJ689" s="213"/>
      <c r="AK689" s="6"/>
      <c r="AL689" s="6"/>
      <c r="AM689" s="6"/>
      <c r="AN689" s="206"/>
      <c r="AP689" s="213"/>
      <c r="AQ689" s="6"/>
      <c r="AR689" s="6"/>
      <c r="AS689" s="6"/>
      <c r="AT689" s="206"/>
      <c r="AV689" s="213"/>
      <c r="AW689" s="6"/>
      <c r="AX689" s="6"/>
      <c r="AY689" s="6"/>
      <c r="AZ689" s="206"/>
    </row>
    <row r="690" spans="4:52" s="2" customFormat="1" ht="17.100000000000001" customHeight="1" x14ac:dyDescent="0.25">
      <c r="D690" s="3"/>
      <c r="E690" s="3"/>
      <c r="F690" s="4"/>
      <c r="G690" s="4"/>
      <c r="H690" s="138"/>
      <c r="I690" s="97"/>
      <c r="J690" s="6"/>
      <c r="K690" s="6"/>
      <c r="L690" s="6"/>
      <c r="M690" s="6"/>
      <c r="N690" s="6"/>
      <c r="O690" s="6"/>
      <c r="P690" s="6"/>
      <c r="Q690" s="6"/>
      <c r="R690" s="6"/>
      <c r="S690" s="6"/>
      <c r="T690" s="6"/>
      <c r="U690" s="6"/>
      <c r="V690" s="339"/>
      <c r="W690" s="339"/>
      <c r="X690" s="6"/>
      <c r="Y690" s="206"/>
      <c r="AE690" s="6"/>
      <c r="AF690" s="6"/>
      <c r="AG690" s="6"/>
      <c r="AH690" s="206"/>
      <c r="AJ690" s="213"/>
      <c r="AK690" s="6"/>
      <c r="AL690" s="6"/>
      <c r="AM690" s="6"/>
      <c r="AN690" s="206"/>
      <c r="AP690" s="213"/>
      <c r="AQ690" s="6"/>
      <c r="AR690" s="6"/>
      <c r="AS690" s="6"/>
      <c r="AT690" s="206"/>
      <c r="AV690" s="213"/>
      <c r="AW690" s="6"/>
      <c r="AX690" s="6"/>
      <c r="AY690" s="6"/>
      <c r="AZ690" s="206"/>
    </row>
    <row r="691" spans="4:52" s="2" customFormat="1" ht="17.100000000000001" customHeight="1" x14ac:dyDescent="0.25">
      <c r="D691" s="3"/>
      <c r="E691" s="3"/>
      <c r="F691" s="4"/>
      <c r="G691" s="4"/>
      <c r="H691" s="138"/>
      <c r="I691" s="97"/>
      <c r="J691" s="6"/>
      <c r="K691" s="6"/>
      <c r="L691" s="6"/>
      <c r="M691" s="6"/>
      <c r="N691" s="6"/>
      <c r="O691" s="6"/>
      <c r="P691" s="6"/>
      <c r="Q691" s="6"/>
      <c r="R691" s="6"/>
      <c r="S691" s="6"/>
      <c r="T691" s="6"/>
      <c r="U691" s="6"/>
      <c r="V691" s="339"/>
      <c r="W691" s="339"/>
      <c r="X691" s="6"/>
      <c r="Y691" s="206"/>
      <c r="AE691" s="6"/>
      <c r="AF691" s="6"/>
      <c r="AG691" s="6"/>
      <c r="AH691" s="206"/>
      <c r="AJ691" s="213"/>
      <c r="AK691" s="6"/>
      <c r="AL691" s="6"/>
      <c r="AM691" s="6"/>
      <c r="AN691" s="206"/>
      <c r="AP691" s="213"/>
      <c r="AQ691" s="6"/>
      <c r="AR691" s="6"/>
      <c r="AS691" s="6"/>
      <c r="AT691" s="206"/>
      <c r="AV691" s="213"/>
      <c r="AW691" s="6"/>
      <c r="AX691" s="6"/>
      <c r="AY691" s="6"/>
      <c r="AZ691" s="206"/>
    </row>
    <row r="692" spans="4:52" s="2" customFormat="1" ht="17.100000000000001" customHeight="1" x14ac:dyDescent="0.25">
      <c r="D692" s="3"/>
      <c r="E692" s="3"/>
      <c r="F692" s="4"/>
      <c r="G692" s="4"/>
      <c r="H692" s="138"/>
      <c r="I692" s="97"/>
      <c r="J692" s="6"/>
      <c r="K692" s="6"/>
      <c r="L692" s="6"/>
      <c r="M692" s="6"/>
      <c r="N692" s="6"/>
      <c r="O692" s="6"/>
      <c r="P692" s="6"/>
      <c r="Q692" s="6"/>
      <c r="R692" s="6"/>
      <c r="S692" s="6"/>
      <c r="T692" s="6"/>
      <c r="U692" s="6"/>
      <c r="V692" s="339"/>
      <c r="W692" s="339"/>
      <c r="X692" s="6"/>
      <c r="Y692" s="206"/>
      <c r="AE692" s="6"/>
      <c r="AF692" s="6"/>
      <c r="AG692" s="6"/>
      <c r="AH692" s="206"/>
      <c r="AJ692" s="213"/>
      <c r="AK692" s="6"/>
      <c r="AL692" s="6"/>
      <c r="AM692" s="6"/>
      <c r="AN692" s="206"/>
      <c r="AP692" s="213"/>
      <c r="AQ692" s="6"/>
      <c r="AR692" s="6"/>
      <c r="AS692" s="6"/>
      <c r="AT692" s="206"/>
      <c r="AV692" s="213"/>
      <c r="AW692" s="6"/>
      <c r="AX692" s="6"/>
      <c r="AY692" s="6"/>
      <c r="AZ692" s="206"/>
    </row>
    <row r="693" spans="4:52" s="2" customFormat="1" ht="17.100000000000001" customHeight="1" x14ac:dyDescent="0.25">
      <c r="D693" s="3"/>
      <c r="E693" s="3"/>
      <c r="F693" s="4"/>
      <c r="G693" s="4"/>
      <c r="H693" s="138"/>
      <c r="I693" s="97"/>
      <c r="J693" s="6"/>
      <c r="K693" s="6"/>
      <c r="L693" s="6"/>
      <c r="M693" s="6"/>
      <c r="N693" s="6"/>
      <c r="O693" s="6"/>
      <c r="P693" s="6"/>
      <c r="Q693" s="6"/>
      <c r="R693" s="6"/>
      <c r="S693" s="6"/>
      <c r="T693" s="6"/>
      <c r="U693" s="6"/>
      <c r="V693" s="339"/>
      <c r="W693" s="339"/>
      <c r="X693" s="6"/>
      <c r="Y693" s="206"/>
      <c r="AE693" s="6"/>
      <c r="AF693" s="6"/>
      <c r="AG693" s="6"/>
      <c r="AH693" s="206"/>
      <c r="AJ693" s="213"/>
      <c r="AK693" s="6"/>
      <c r="AL693" s="6"/>
      <c r="AM693" s="6"/>
      <c r="AN693" s="206"/>
      <c r="AP693" s="213"/>
      <c r="AQ693" s="6"/>
      <c r="AR693" s="6"/>
      <c r="AS693" s="6"/>
      <c r="AT693" s="206"/>
      <c r="AV693" s="213"/>
      <c r="AW693" s="6"/>
      <c r="AX693" s="6"/>
      <c r="AY693" s="6"/>
      <c r="AZ693" s="206"/>
    </row>
    <row r="694" spans="4:52" s="2" customFormat="1" ht="17.100000000000001" customHeight="1" x14ac:dyDescent="0.25">
      <c r="D694" s="3"/>
      <c r="E694" s="3"/>
      <c r="F694" s="4"/>
      <c r="G694" s="4"/>
      <c r="H694" s="138"/>
      <c r="I694" s="97"/>
      <c r="J694" s="6"/>
      <c r="K694" s="6"/>
      <c r="L694" s="6"/>
      <c r="M694" s="6"/>
      <c r="N694" s="6"/>
      <c r="O694" s="6"/>
      <c r="P694" s="6"/>
      <c r="Q694" s="6"/>
      <c r="R694" s="6"/>
      <c r="S694" s="6"/>
      <c r="T694" s="6"/>
      <c r="U694" s="6"/>
      <c r="V694" s="339"/>
      <c r="W694" s="339"/>
      <c r="X694" s="6"/>
      <c r="Y694" s="206"/>
      <c r="AE694" s="6"/>
      <c r="AF694" s="6"/>
      <c r="AG694" s="6"/>
      <c r="AH694" s="206"/>
      <c r="AJ694" s="213"/>
      <c r="AK694" s="6"/>
      <c r="AL694" s="6"/>
      <c r="AM694" s="6"/>
      <c r="AN694" s="206"/>
      <c r="AP694" s="213"/>
      <c r="AQ694" s="6"/>
      <c r="AR694" s="6"/>
      <c r="AS694" s="6"/>
      <c r="AT694" s="206"/>
      <c r="AV694" s="213"/>
      <c r="AW694" s="6"/>
      <c r="AX694" s="6"/>
      <c r="AY694" s="6"/>
      <c r="AZ694" s="206"/>
    </row>
    <row r="695" spans="4:52" s="2" customFormat="1" ht="17.100000000000001" customHeight="1" x14ac:dyDescent="0.25">
      <c r="D695" s="3"/>
      <c r="E695" s="3"/>
      <c r="F695" s="4"/>
      <c r="G695" s="4"/>
      <c r="H695" s="138"/>
      <c r="I695" s="97"/>
      <c r="J695" s="6"/>
      <c r="K695" s="6"/>
      <c r="L695" s="6"/>
      <c r="M695" s="6"/>
      <c r="N695" s="6"/>
      <c r="O695" s="6"/>
      <c r="P695" s="6"/>
      <c r="Q695" s="6"/>
      <c r="R695" s="6"/>
      <c r="S695" s="6"/>
      <c r="T695" s="6"/>
      <c r="U695" s="6"/>
      <c r="V695" s="339"/>
      <c r="W695" s="339"/>
      <c r="X695" s="6"/>
      <c r="Y695" s="206"/>
      <c r="AE695" s="6"/>
      <c r="AF695" s="6"/>
      <c r="AG695" s="6"/>
      <c r="AH695" s="206"/>
      <c r="AJ695" s="213"/>
      <c r="AK695" s="6"/>
      <c r="AL695" s="6"/>
      <c r="AM695" s="6"/>
      <c r="AN695" s="206"/>
      <c r="AP695" s="213"/>
      <c r="AQ695" s="6"/>
      <c r="AR695" s="6"/>
      <c r="AS695" s="6"/>
      <c r="AT695" s="206"/>
      <c r="AV695" s="213"/>
      <c r="AW695" s="6"/>
      <c r="AX695" s="6"/>
      <c r="AY695" s="6"/>
      <c r="AZ695" s="206"/>
    </row>
    <row r="696" spans="4:52" s="2" customFormat="1" ht="17.100000000000001" customHeight="1" x14ac:dyDescent="0.25">
      <c r="D696" s="3"/>
      <c r="E696" s="3"/>
      <c r="F696" s="4"/>
      <c r="G696" s="4"/>
      <c r="H696" s="138"/>
      <c r="I696" s="97"/>
      <c r="J696" s="6"/>
      <c r="K696" s="6"/>
      <c r="L696" s="6"/>
      <c r="M696" s="6"/>
      <c r="N696" s="6"/>
      <c r="O696" s="6"/>
      <c r="P696" s="6"/>
      <c r="Q696" s="6"/>
      <c r="R696" s="6"/>
      <c r="S696" s="6"/>
      <c r="T696" s="6"/>
      <c r="U696" s="6"/>
      <c r="V696" s="339"/>
      <c r="W696" s="339"/>
      <c r="X696" s="6"/>
      <c r="Y696" s="206"/>
      <c r="AE696" s="6"/>
      <c r="AF696" s="6"/>
      <c r="AG696" s="6"/>
      <c r="AH696" s="206"/>
      <c r="AJ696" s="213"/>
      <c r="AK696" s="6"/>
      <c r="AL696" s="6"/>
      <c r="AM696" s="6"/>
      <c r="AN696" s="206"/>
      <c r="AP696" s="213"/>
      <c r="AQ696" s="6"/>
      <c r="AR696" s="6"/>
      <c r="AS696" s="6"/>
      <c r="AT696" s="206"/>
      <c r="AV696" s="213"/>
      <c r="AW696" s="6"/>
      <c r="AX696" s="6"/>
      <c r="AY696" s="6"/>
      <c r="AZ696" s="206"/>
    </row>
    <row r="697" spans="4:52" s="2" customFormat="1" ht="17.100000000000001" customHeight="1" x14ac:dyDescent="0.25">
      <c r="D697" s="3"/>
      <c r="E697" s="3"/>
      <c r="F697" s="4"/>
      <c r="G697" s="4"/>
      <c r="H697" s="138"/>
      <c r="I697" s="97"/>
      <c r="J697" s="6"/>
      <c r="K697" s="6"/>
      <c r="L697" s="6"/>
      <c r="M697" s="6"/>
      <c r="N697" s="6"/>
      <c r="O697" s="6"/>
      <c r="P697" s="6"/>
      <c r="Q697" s="6"/>
      <c r="R697" s="6"/>
      <c r="S697" s="6"/>
      <c r="T697" s="6"/>
      <c r="U697" s="6"/>
      <c r="V697" s="339"/>
      <c r="W697" s="339"/>
      <c r="X697" s="6"/>
      <c r="Y697" s="206"/>
      <c r="AE697" s="6"/>
      <c r="AF697" s="6"/>
      <c r="AG697" s="6"/>
      <c r="AH697" s="206"/>
      <c r="AJ697" s="213"/>
      <c r="AK697" s="6"/>
      <c r="AL697" s="6"/>
      <c r="AM697" s="6"/>
      <c r="AN697" s="206"/>
      <c r="AP697" s="213"/>
      <c r="AQ697" s="6"/>
      <c r="AR697" s="6"/>
      <c r="AS697" s="6"/>
      <c r="AT697" s="206"/>
      <c r="AV697" s="213"/>
      <c r="AW697" s="6"/>
      <c r="AX697" s="6"/>
      <c r="AY697" s="6"/>
      <c r="AZ697" s="206"/>
    </row>
    <row r="698" spans="4:52" s="2" customFormat="1" ht="17.100000000000001" customHeight="1" x14ac:dyDescent="0.25">
      <c r="D698" s="3"/>
      <c r="E698" s="3"/>
      <c r="F698" s="4"/>
      <c r="G698" s="4"/>
      <c r="H698" s="138"/>
      <c r="I698" s="97"/>
      <c r="J698" s="6"/>
      <c r="K698" s="6"/>
      <c r="L698" s="6"/>
      <c r="M698" s="6"/>
      <c r="N698" s="6"/>
      <c r="O698" s="6"/>
      <c r="P698" s="6"/>
      <c r="Q698" s="6"/>
      <c r="R698" s="6"/>
      <c r="S698" s="6"/>
      <c r="T698" s="6"/>
      <c r="U698" s="6"/>
      <c r="V698" s="339"/>
      <c r="W698" s="339"/>
      <c r="X698" s="6"/>
      <c r="Y698" s="206"/>
      <c r="AE698" s="6"/>
      <c r="AF698" s="6"/>
      <c r="AG698" s="6"/>
      <c r="AH698" s="206"/>
      <c r="AJ698" s="213"/>
      <c r="AK698" s="6"/>
      <c r="AL698" s="6"/>
      <c r="AM698" s="6"/>
      <c r="AN698" s="206"/>
      <c r="AP698" s="213"/>
      <c r="AQ698" s="6"/>
      <c r="AR698" s="6"/>
      <c r="AS698" s="6"/>
      <c r="AT698" s="206"/>
      <c r="AV698" s="213"/>
      <c r="AW698" s="6"/>
      <c r="AX698" s="6"/>
      <c r="AY698" s="6"/>
      <c r="AZ698" s="206"/>
    </row>
    <row r="699" spans="4:52" s="2" customFormat="1" ht="17.100000000000001" customHeight="1" x14ac:dyDescent="0.25">
      <c r="D699" s="3"/>
      <c r="E699" s="3"/>
      <c r="F699" s="4"/>
      <c r="G699" s="4"/>
      <c r="H699" s="138"/>
      <c r="I699" s="97"/>
      <c r="J699" s="6"/>
      <c r="K699" s="6"/>
      <c r="L699" s="6"/>
      <c r="M699" s="6"/>
      <c r="N699" s="6"/>
      <c r="O699" s="6"/>
      <c r="P699" s="6"/>
      <c r="Q699" s="6"/>
      <c r="R699" s="6"/>
      <c r="S699" s="6"/>
      <c r="T699" s="6"/>
      <c r="U699" s="6"/>
      <c r="V699" s="339"/>
      <c r="W699" s="339"/>
      <c r="X699" s="6"/>
      <c r="Y699" s="206"/>
      <c r="AE699" s="6"/>
      <c r="AF699" s="6"/>
      <c r="AG699" s="6"/>
      <c r="AH699" s="206"/>
      <c r="AJ699" s="213"/>
      <c r="AK699" s="6"/>
      <c r="AL699" s="6"/>
      <c r="AM699" s="6"/>
      <c r="AN699" s="206"/>
      <c r="AP699" s="213"/>
      <c r="AQ699" s="6"/>
      <c r="AR699" s="6"/>
      <c r="AS699" s="6"/>
      <c r="AT699" s="206"/>
      <c r="AV699" s="213"/>
      <c r="AW699" s="6"/>
      <c r="AX699" s="6"/>
      <c r="AY699" s="6"/>
      <c r="AZ699" s="206"/>
    </row>
    <row r="700" spans="4:52" s="2" customFormat="1" ht="17.100000000000001" customHeight="1" x14ac:dyDescent="0.25">
      <c r="D700" s="3"/>
      <c r="E700" s="3"/>
      <c r="F700" s="4"/>
      <c r="G700" s="4"/>
      <c r="H700" s="138"/>
      <c r="I700" s="97"/>
      <c r="J700" s="6"/>
      <c r="K700" s="6"/>
      <c r="L700" s="6"/>
      <c r="M700" s="6"/>
      <c r="N700" s="6"/>
      <c r="O700" s="6"/>
      <c r="P700" s="6"/>
      <c r="Q700" s="6"/>
      <c r="R700" s="6"/>
      <c r="S700" s="6"/>
      <c r="T700" s="6"/>
      <c r="U700" s="6"/>
      <c r="V700" s="339"/>
      <c r="W700" s="339"/>
      <c r="X700" s="6"/>
      <c r="Y700" s="206"/>
      <c r="AE700" s="6"/>
      <c r="AF700" s="6"/>
      <c r="AG700" s="6"/>
      <c r="AH700" s="206"/>
      <c r="AJ700" s="213"/>
      <c r="AK700" s="6"/>
      <c r="AL700" s="6"/>
      <c r="AM700" s="6"/>
      <c r="AN700" s="206"/>
      <c r="AP700" s="213"/>
      <c r="AQ700" s="6"/>
      <c r="AR700" s="6"/>
      <c r="AS700" s="6"/>
      <c r="AT700" s="206"/>
      <c r="AV700" s="213"/>
      <c r="AW700" s="6"/>
      <c r="AX700" s="6"/>
      <c r="AY700" s="6"/>
      <c r="AZ700" s="206"/>
    </row>
    <row r="701" spans="4:52" s="2" customFormat="1" ht="17.100000000000001" customHeight="1" x14ac:dyDescent="0.25">
      <c r="D701" s="3"/>
      <c r="E701" s="3"/>
      <c r="F701" s="4"/>
      <c r="G701" s="4"/>
      <c r="H701" s="138"/>
      <c r="I701" s="97"/>
      <c r="J701" s="6"/>
      <c r="K701" s="6"/>
      <c r="L701" s="6"/>
      <c r="M701" s="6"/>
      <c r="N701" s="6"/>
      <c r="O701" s="6"/>
      <c r="P701" s="6"/>
      <c r="Q701" s="6"/>
      <c r="R701" s="6"/>
      <c r="S701" s="6"/>
      <c r="T701" s="6"/>
      <c r="U701" s="6"/>
      <c r="V701" s="339"/>
      <c r="W701" s="339"/>
      <c r="X701" s="6"/>
      <c r="Y701" s="206"/>
      <c r="AE701" s="6"/>
      <c r="AF701" s="6"/>
      <c r="AG701" s="6"/>
      <c r="AH701" s="206"/>
      <c r="AJ701" s="213"/>
      <c r="AK701" s="6"/>
      <c r="AL701" s="6"/>
      <c r="AM701" s="6"/>
      <c r="AN701" s="206"/>
      <c r="AP701" s="213"/>
      <c r="AQ701" s="6"/>
      <c r="AR701" s="6"/>
      <c r="AS701" s="6"/>
      <c r="AT701" s="206"/>
      <c r="AV701" s="213"/>
      <c r="AW701" s="6"/>
      <c r="AX701" s="6"/>
      <c r="AY701" s="6"/>
      <c r="AZ701" s="206"/>
    </row>
    <row r="702" spans="4:52" s="2" customFormat="1" ht="17.100000000000001" customHeight="1" x14ac:dyDescent="0.25">
      <c r="D702" s="3"/>
      <c r="E702" s="3"/>
      <c r="F702" s="4"/>
      <c r="G702" s="4"/>
      <c r="H702" s="138"/>
      <c r="I702" s="97"/>
      <c r="J702" s="6"/>
      <c r="K702" s="6"/>
      <c r="L702" s="6"/>
      <c r="M702" s="6"/>
      <c r="N702" s="6"/>
      <c r="O702" s="6"/>
      <c r="P702" s="6"/>
      <c r="Q702" s="6"/>
      <c r="R702" s="6"/>
      <c r="S702" s="6"/>
      <c r="T702" s="6"/>
      <c r="U702" s="6"/>
      <c r="V702" s="339"/>
      <c r="W702" s="339"/>
      <c r="X702" s="6"/>
      <c r="Y702" s="206"/>
      <c r="AE702" s="6"/>
      <c r="AF702" s="6"/>
      <c r="AG702" s="6"/>
      <c r="AH702" s="206"/>
      <c r="AJ702" s="213"/>
      <c r="AK702" s="6"/>
      <c r="AL702" s="6"/>
      <c r="AM702" s="6"/>
      <c r="AN702" s="206"/>
      <c r="AP702" s="213"/>
      <c r="AQ702" s="6"/>
      <c r="AR702" s="6"/>
      <c r="AS702" s="6"/>
      <c r="AT702" s="206"/>
      <c r="AV702" s="213"/>
      <c r="AW702" s="6"/>
      <c r="AX702" s="6"/>
      <c r="AY702" s="6"/>
      <c r="AZ702" s="206"/>
    </row>
    <row r="703" spans="4:52" s="2" customFormat="1" ht="17.100000000000001" customHeight="1" x14ac:dyDescent="0.25">
      <c r="D703" s="3"/>
      <c r="E703" s="3"/>
      <c r="F703" s="4"/>
      <c r="G703" s="4"/>
      <c r="H703" s="138"/>
      <c r="I703" s="97"/>
      <c r="J703" s="6"/>
      <c r="K703" s="6"/>
      <c r="L703" s="6"/>
      <c r="M703" s="6"/>
      <c r="N703" s="6"/>
      <c r="O703" s="6"/>
      <c r="P703" s="6"/>
      <c r="Q703" s="6"/>
      <c r="R703" s="6"/>
      <c r="S703" s="6"/>
      <c r="T703" s="6"/>
      <c r="U703" s="6"/>
      <c r="V703" s="339"/>
      <c r="W703" s="339"/>
      <c r="X703" s="6"/>
      <c r="Y703" s="206"/>
      <c r="AE703" s="6"/>
      <c r="AF703" s="6"/>
      <c r="AG703" s="6"/>
      <c r="AH703" s="206"/>
      <c r="AJ703" s="213"/>
      <c r="AK703" s="6"/>
      <c r="AL703" s="6"/>
      <c r="AM703" s="6"/>
      <c r="AN703" s="206"/>
      <c r="AP703" s="213"/>
      <c r="AQ703" s="6"/>
      <c r="AR703" s="6"/>
      <c r="AS703" s="6"/>
      <c r="AT703" s="206"/>
      <c r="AV703" s="213"/>
      <c r="AW703" s="6"/>
      <c r="AX703" s="6"/>
      <c r="AY703" s="6"/>
      <c r="AZ703" s="206"/>
    </row>
    <row r="704" spans="4:52" s="2" customFormat="1" ht="17.100000000000001" customHeight="1" x14ac:dyDescent="0.25">
      <c r="D704" s="3"/>
      <c r="E704" s="3"/>
      <c r="F704" s="4"/>
      <c r="G704" s="4"/>
      <c r="H704" s="138"/>
      <c r="I704" s="97"/>
      <c r="J704" s="6"/>
      <c r="K704" s="6"/>
      <c r="L704" s="6"/>
      <c r="M704" s="6"/>
      <c r="N704" s="6"/>
      <c r="O704" s="6"/>
      <c r="P704" s="6"/>
      <c r="Q704" s="6"/>
      <c r="R704" s="6"/>
      <c r="S704" s="6"/>
      <c r="T704" s="6"/>
      <c r="U704" s="6"/>
      <c r="V704" s="339"/>
      <c r="W704" s="339"/>
      <c r="X704" s="6"/>
      <c r="Y704" s="206"/>
      <c r="AE704" s="6"/>
      <c r="AF704" s="6"/>
      <c r="AG704" s="6"/>
      <c r="AH704" s="206"/>
      <c r="AJ704" s="213"/>
      <c r="AK704" s="6"/>
      <c r="AL704" s="6"/>
      <c r="AM704" s="6"/>
      <c r="AN704" s="206"/>
      <c r="AP704" s="213"/>
      <c r="AQ704" s="6"/>
      <c r="AR704" s="6"/>
      <c r="AS704" s="6"/>
      <c r="AT704" s="206"/>
      <c r="AV704" s="213"/>
      <c r="AW704" s="6"/>
      <c r="AX704" s="6"/>
      <c r="AY704" s="6"/>
      <c r="AZ704" s="206"/>
    </row>
    <row r="705" spans="4:52" s="2" customFormat="1" ht="17.100000000000001" customHeight="1" x14ac:dyDescent="0.25">
      <c r="D705" s="3"/>
      <c r="E705" s="3"/>
      <c r="F705" s="4"/>
      <c r="G705" s="4"/>
      <c r="H705" s="138"/>
      <c r="I705" s="97"/>
      <c r="J705" s="6"/>
      <c r="K705" s="6"/>
      <c r="L705" s="6"/>
      <c r="M705" s="6"/>
      <c r="N705" s="6"/>
      <c r="O705" s="6"/>
      <c r="P705" s="6"/>
      <c r="Q705" s="6"/>
      <c r="R705" s="6"/>
      <c r="S705" s="6"/>
      <c r="T705" s="6"/>
      <c r="U705" s="6"/>
      <c r="V705" s="339"/>
      <c r="W705" s="339"/>
      <c r="X705" s="6"/>
      <c r="Y705" s="206"/>
      <c r="AE705" s="6"/>
      <c r="AF705" s="6"/>
      <c r="AG705" s="6"/>
      <c r="AH705" s="206"/>
      <c r="AJ705" s="213"/>
      <c r="AK705" s="6"/>
      <c r="AL705" s="6"/>
      <c r="AM705" s="6"/>
      <c r="AN705" s="206"/>
      <c r="AP705" s="213"/>
      <c r="AQ705" s="6"/>
      <c r="AR705" s="6"/>
      <c r="AS705" s="6"/>
      <c r="AT705" s="206"/>
      <c r="AV705" s="213"/>
      <c r="AW705" s="6"/>
      <c r="AX705" s="6"/>
      <c r="AY705" s="6"/>
      <c r="AZ705" s="206"/>
    </row>
    <row r="706" spans="4:52" s="2" customFormat="1" ht="17.100000000000001" customHeight="1" x14ac:dyDescent="0.25">
      <c r="D706" s="3"/>
      <c r="E706" s="3"/>
      <c r="F706" s="4"/>
      <c r="G706" s="4"/>
      <c r="H706" s="138"/>
      <c r="I706" s="97"/>
      <c r="J706" s="6"/>
      <c r="K706" s="6"/>
      <c r="L706" s="6"/>
      <c r="M706" s="6"/>
      <c r="N706" s="6"/>
      <c r="O706" s="6"/>
      <c r="P706" s="6"/>
      <c r="Q706" s="6"/>
      <c r="R706" s="6"/>
      <c r="S706" s="6"/>
      <c r="T706" s="6"/>
      <c r="U706" s="6"/>
      <c r="V706" s="339"/>
      <c r="W706" s="339"/>
      <c r="X706" s="6"/>
      <c r="Y706" s="206"/>
      <c r="AE706" s="6"/>
      <c r="AF706" s="6"/>
      <c r="AG706" s="6"/>
      <c r="AH706" s="206"/>
      <c r="AJ706" s="213"/>
      <c r="AK706" s="6"/>
      <c r="AL706" s="6"/>
      <c r="AM706" s="6"/>
      <c r="AN706" s="206"/>
      <c r="AP706" s="213"/>
      <c r="AQ706" s="6"/>
      <c r="AR706" s="6"/>
      <c r="AS706" s="6"/>
      <c r="AT706" s="206"/>
      <c r="AV706" s="213"/>
      <c r="AW706" s="6"/>
      <c r="AX706" s="6"/>
      <c r="AY706" s="6"/>
      <c r="AZ706" s="206"/>
    </row>
    <row r="707" spans="4:52" s="2" customFormat="1" ht="17.100000000000001" customHeight="1" x14ac:dyDescent="0.25">
      <c r="D707" s="3"/>
      <c r="E707" s="3"/>
      <c r="F707" s="4"/>
      <c r="G707" s="4"/>
      <c r="H707" s="138"/>
      <c r="I707" s="97"/>
      <c r="J707" s="6"/>
      <c r="K707" s="6"/>
      <c r="L707" s="6"/>
      <c r="M707" s="6"/>
      <c r="N707" s="6"/>
      <c r="O707" s="6"/>
      <c r="P707" s="6"/>
      <c r="Q707" s="6"/>
      <c r="R707" s="6"/>
      <c r="S707" s="6"/>
      <c r="T707" s="6"/>
      <c r="U707" s="6"/>
      <c r="V707" s="339"/>
      <c r="W707" s="339"/>
      <c r="X707" s="6"/>
      <c r="Y707" s="206"/>
      <c r="AE707" s="6"/>
      <c r="AF707" s="6"/>
      <c r="AG707" s="6"/>
      <c r="AH707" s="206"/>
      <c r="AJ707" s="213"/>
      <c r="AK707" s="6"/>
      <c r="AL707" s="6"/>
      <c r="AM707" s="6"/>
      <c r="AN707" s="206"/>
      <c r="AP707" s="213"/>
      <c r="AQ707" s="6"/>
      <c r="AR707" s="6"/>
      <c r="AS707" s="6"/>
      <c r="AT707" s="206"/>
      <c r="AV707" s="213"/>
      <c r="AW707" s="6"/>
      <c r="AX707" s="6"/>
      <c r="AY707" s="6"/>
      <c r="AZ707" s="206"/>
    </row>
    <row r="708" spans="4:52" s="2" customFormat="1" ht="17.100000000000001" customHeight="1" x14ac:dyDescent="0.25">
      <c r="D708" s="3"/>
      <c r="E708" s="3"/>
      <c r="F708" s="4"/>
      <c r="G708" s="4"/>
      <c r="H708" s="138"/>
      <c r="I708" s="97"/>
      <c r="J708" s="6"/>
      <c r="K708" s="6"/>
      <c r="L708" s="6"/>
      <c r="M708" s="6"/>
      <c r="N708" s="6"/>
      <c r="O708" s="6"/>
      <c r="P708" s="6"/>
      <c r="Q708" s="6"/>
      <c r="R708" s="6"/>
      <c r="S708" s="6"/>
      <c r="T708" s="6"/>
      <c r="U708" s="6"/>
      <c r="V708" s="339"/>
      <c r="W708" s="339"/>
      <c r="X708" s="6"/>
      <c r="Y708" s="206"/>
      <c r="AE708" s="6"/>
      <c r="AF708" s="6"/>
      <c r="AG708" s="6"/>
      <c r="AH708" s="206"/>
      <c r="AJ708" s="213"/>
      <c r="AK708" s="6"/>
      <c r="AL708" s="6"/>
      <c r="AM708" s="6"/>
      <c r="AN708" s="206"/>
      <c r="AP708" s="213"/>
      <c r="AQ708" s="6"/>
      <c r="AR708" s="6"/>
      <c r="AS708" s="6"/>
      <c r="AT708" s="206"/>
      <c r="AV708" s="213"/>
      <c r="AW708" s="6"/>
      <c r="AX708" s="6"/>
      <c r="AY708" s="6"/>
      <c r="AZ708" s="206"/>
    </row>
    <row r="709" spans="4:52" s="2" customFormat="1" ht="17.100000000000001" customHeight="1" x14ac:dyDescent="0.25">
      <c r="D709" s="3"/>
      <c r="E709" s="3"/>
      <c r="F709" s="4"/>
      <c r="G709" s="4"/>
      <c r="H709" s="138"/>
      <c r="I709" s="97"/>
      <c r="J709" s="6"/>
      <c r="K709" s="6"/>
      <c r="L709" s="6"/>
      <c r="M709" s="6"/>
      <c r="N709" s="6"/>
      <c r="O709" s="6"/>
      <c r="P709" s="6"/>
      <c r="Q709" s="6"/>
      <c r="R709" s="6"/>
      <c r="S709" s="6"/>
      <c r="T709" s="6"/>
      <c r="U709" s="6"/>
      <c r="V709" s="339"/>
      <c r="W709" s="339"/>
      <c r="X709" s="6"/>
      <c r="Y709" s="206"/>
      <c r="AE709" s="6"/>
      <c r="AF709" s="6"/>
      <c r="AG709" s="6"/>
      <c r="AH709" s="206"/>
      <c r="AJ709" s="213"/>
      <c r="AK709" s="6"/>
      <c r="AL709" s="6"/>
      <c r="AM709" s="6"/>
      <c r="AN709" s="206"/>
      <c r="AP709" s="213"/>
      <c r="AQ709" s="6"/>
      <c r="AR709" s="6"/>
      <c r="AS709" s="6"/>
      <c r="AT709" s="206"/>
      <c r="AV709" s="213"/>
      <c r="AW709" s="6"/>
      <c r="AX709" s="6"/>
      <c r="AY709" s="6"/>
      <c r="AZ709" s="206"/>
    </row>
    <row r="710" spans="4:52" s="2" customFormat="1" ht="17.100000000000001" customHeight="1" x14ac:dyDescent="0.25">
      <c r="D710" s="3"/>
      <c r="E710" s="3"/>
      <c r="F710" s="4"/>
      <c r="G710" s="4"/>
      <c r="H710" s="138"/>
      <c r="I710" s="97"/>
      <c r="J710" s="6"/>
      <c r="K710" s="6"/>
      <c r="L710" s="6"/>
      <c r="M710" s="6"/>
      <c r="N710" s="6"/>
      <c r="O710" s="6"/>
      <c r="P710" s="6"/>
      <c r="Q710" s="6"/>
      <c r="R710" s="6"/>
      <c r="S710" s="6"/>
      <c r="T710" s="6"/>
      <c r="U710" s="6"/>
      <c r="V710" s="339"/>
      <c r="W710" s="339"/>
      <c r="X710" s="6"/>
      <c r="Y710" s="206"/>
      <c r="AE710" s="6"/>
      <c r="AF710" s="6"/>
      <c r="AG710" s="6"/>
      <c r="AH710" s="206"/>
      <c r="AJ710" s="213"/>
      <c r="AK710" s="6"/>
      <c r="AL710" s="6"/>
      <c r="AM710" s="6"/>
      <c r="AN710" s="206"/>
      <c r="AP710" s="213"/>
      <c r="AQ710" s="6"/>
      <c r="AR710" s="6"/>
      <c r="AS710" s="6"/>
      <c r="AT710" s="206"/>
      <c r="AV710" s="213"/>
      <c r="AW710" s="6"/>
      <c r="AX710" s="6"/>
      <c r="AY710" s="6"/>
      <c r="AZ710" s="206"/>
    </row>
    <row r="711" spans="4:52" s="2" customFormat="1" ht="17.100000000000001" customHeight="1" x14ac:dyDescent="0.25">
      <c r="D711" s="3"/>
      <c r="E711" s="3"/>
      <c r="F711" s="4"/>
      <c r="G711" s="4"/>
      <c r="H711" s="138"/>
      <c r="I711" s="97"/>
      <c r="J711" s="6"/>
      <c r="K711" s="6"/>
      <c r="L711" s="6"/>
      <c r="M711" s="6"/>
      <c r="N711" s="6"/>
      <c r="O711" s="6"/>
      <c r="P711" s="6"/>
      <c r="Q711" s="6"/>
      <c r="R711" s="6"/>
      <c r="S711" s="6"/>
      <c r="T711" s="6"/>
      <c r="U711" s="6"/>
      <c r="V711" s="339"/>
      <c r="W711" s="339"/>
      <c r="X711" s="6"/>
      <c r="Y711" s="206"/>
      <c r="AE711" s="6"/>
      <c r="AF711" s="6"/>
      <c r="AG711" s="6"/>
      <c r="AH711" s="206"/>
      <c r="AJ711" s="213"/>
      <c r="AK711" s="6"/>
      <c r="AL711" s="6"/>
      <c r="AM711" s="6"/>
      <c r="AN711" s="206"/>
      <c r="AP711" s="213"/>
      <c r="AQ711" s="6"/>
      <c r="AR711" s="6"/>
      <c r="AS711" s="6"/>
      <c r="AT711" s="206"/>
      <c r="AV711" s="213"/>
      <c r="AW711" s="6"/>
      <c r="AX711" s="6"/>
      <c r="AY711" s="6"/>
      <c r="AZ711" s="206"/>
    </row>
    <row r="712" spans="4:52" s="2" customFormat="1" ht="17.100000000000001" customHeight="1" x14ac:dyDescent="0.25">
      <c r="D712" s="3"/>
      <c r="E712" s="3"/>
      <c r="F712" s="4"/>
      <c r="G712" s="4"/>
      <c r="H712" s="138"/>
      <c r="I712" s="97"/>
      <c r="J712" s="6"/>
      <c r="K712" s="6"/>
      <c r="L712" s="6"/>
      <c r="M712" s="6"/>
      <c r="N712" s="6"/>
      <c r="O712" s="6"/>
      <c r="P712" s="6"/>
      <c r="Q712" s="6"/>
      <c r="R712" s="6"/>
      <c r="S712" s="6"/>
      <c r="T712" s="6"/>
      <c r="U712" s="6"/>
      <c r="V712" s="339"/>
      <c r="W712" s="339"/>
      <c r="X712" s="6"/>
      <c r="Y712" s="206"/>
      <c r="AE712" s="6"/>
      <c r="AF712" s="6"/>
      <c r="AG712" s="6"/>
      <c r="AH712" s="206"/>
      <c r="AJ712" s="213"/>
      <c r="AK712" s="6"/>
      <c r="AL712" s="6"/>
      <c r="AM712" s="6"/>
      <c r="AN712" s="206"/>
      <c r="AP712" s="213"/>
      <c r="AQ712" s="6"/>
      <c r="AR712" s="6"/>
      <c r="AS712" s="6"/>
      <c r="AT712" s="206"/>
      <c r="AV712" s="213"/>
      <c r="AW712" s="6"/>
      <c r="AX712" s="6"/>
      <c r="AY712" s="6"/>
      <c r="AZ712" s="206"/>
    </row>
    <row r="713" spans="4:52" s="2" customFormat="1" ht="17.100000000000001" customHeight="1" x14ac:dyDescent="0.25">
      <c r="D713" s="3"/>
      <c r="E713" s="3"/>
      <c r="F713" s="4"/>
      <c r="G713" s="4"/>
      <c r="H713" s="138"/>
      <c r="I713" s="97"/>
      <c r="J713" s="6"/>
      <c r="K713" s="6"/>
      <c r="L713" s="6"/>
      <c r="M713" s="6"/>
      <c r="N713" s="6"/>
      <c r="O713" s="6"/>
      <c r="P713" s="6"/>
      <c r="Q713" s="6"/>
      <c r="R713" s="6"/>
      <c r="S713" s="6"/>
      <c r="T713" s="6"/>
      <c r="U713" s="6"/>
      <c r="V713" s="339"/>
      <c r="W713" s="339"/>
      <c r="X713" s="6"/>
      <c r="Y713" s="206"/>
      <c r="AE713" s="6"/>
      <c r="AF713" s="6"/>
      <c r="AG713" s="6"/>
      <c r="AH713" s="206"/>
      <c r="AJ713" s="213"/>
      <c r="AK713" s="6"/>
      <c r="AL713" s="6"/>
      <c r="AM713" s="6"/>
      <c r="AN713" s="206"/>
      <c r="AP713" s="213"/>
      <c r="AQ713" s="6"/>
      <c r="AR713" s="6"/>
      <c r="AS713" s="6"/>
      <c r="AT713" s="206"/>
      <c r="AV713" s="213"/>
      <c r="AW713" s="6"/>
      <c r="AX713" s="6"/>
      <c r="AY713" s="6"/>
      <c r="AZ713" s="206"/>
    </row>
    <row r="714" spans="4:52" s="2" customFormat="1" ht="17.100000000000001" customHeight="1" x14ac:dyDescent="0.25">
      <c r="D714" s="3"/>
      <c r="E714" s="3"/>
      <c r="F714" s="4"/>
      <c r="G714" s="4"/>
      <c r="H714" s="138"/>
      <c r="I714" s="97"/>
      <c r="J714" s="6"/>
      <c r="K714" s="6"/>
      <c r="L714" s="6"/>
      <c r="M714" s="6"/>
      <c r="N714" s="6"/>
      <c r="O714" s="6"/>
      <c r="P714" s="6"/>
      <c r="Q714" s="6"/>
      <c r="R714" s="6"/>
      <c r="S714" s="6"/>
      <c r="T714" s="6"/>
      <c r="U714" s="6"/>
      <c r="V714" s="339"/>
      <c r="W714" s="339"/>
      <c r="X714" s="6"/>
      <c r="Y714" s="206"/>
      <c r="AE714" s="6"/>
      <c r="AF714" s="6"/>
      <c r="AG714" s="6"/>
      <c r="AH714" s="206"/>
      <c r="AJ714" s="213"/>
      <c r="AK714" s="6"/>
      <c r="AL714" s="6"/>
      <c r="AM714" s="6"/>
      <c r="AN714" s="206"/>
      <c r="AP714" s="213"/>
      <c r="AQ714" s="6"/>
      <c r="AR714" s="6"/>
      <c r="AS714" s="6"/>
      <c r="AT714" s="206"/>
      <c r="AV714" s="213"/>
      <c r="AW714" s="6"/>
      <c r="AX714" s="6"/>
      <c r="AY714" s="6"/>
      <c r="AZ714" s="206"/>
    </row>
    <row r="715" spans="4:52" s="2" customFormat="1" ht="17.100000000000001" customHeight="1" x14ac:dyDescent="0.25">
      <c r="D715" s="3"/>
      <c r="E715" s="3"/>
      <c r="F715" s="4"/>
      <c r="G715" s="4"/>
      <c r="H715" s="138"/>
      <c r="I715" s="97"/>
      <c r="J715" s="6"/>
      <c r="K715" s="6"/>
      <c r="L715" s="6"/>
      <c r="M715" s="6"/>
      <c r="N715" s="6"/>
      <c r="O715" s="6"/>
      <c r="P715" s="6"/>
      <c r="Q715" s="6"/>
      <c r="R715" s="6"/>
      <c r="S715" s="6"/>
      <c r="T715" s="6"/>
      <c r="U715" s="6"/>
      <c r="V715" s="339"/>
      <c r="W715" s="339"/>
      <c r="X715" s="6"/>
      <c r="Y715" s="206"/>
      <c r="AE715" s="6"/>
      <c r="AF715" s="6"/>
      <c r="AG715" s="6"/>
      <c r="AH715" s="206"/>
      <c r="AJ715" s="213"/>
      <c r="AK715" s="6"/>
      <c r="AL715" s="6"/>
      <c r="AM715" s="6"/>
      <c r="AN715" s="206"/>
      <c r="AP715" s="213"/>
      <c r="AQ715" s="6"/>
      <c r="AR715" s="6"/>
      <c r="AS715" s="6"/>
      <c r="AT715" s="206"/>
      <c r="AV715" s="213"/>
      <c r="AW715" s="6"/>
      <c r="AX715" s="6"/>
      <c r="AY715" s="6"/>
      <c r="AZ715" s="206"/>
    </row>
    <row r="716" spans="4:52" s="2" customFormat="1" ht="17.100000000000001" customHeight="1" x14ac:dyDescent="0.25">
      <c r="D716" s="3"/>
      <c r="E716" s="3"/>
      <c r="F716" s="4"/>
      <c r="G716" s="4"/>
      <c r="H716" s="138"/>
      <c r="I716" s="97"/>
      <c r="J716" s="6"/>
      <c r="K716" s="6"/>
      <c r="L716" s="6"/>
      <c r="M716" s="6"/>
      <c r="N716" s="6"/>
      <c r="O716" s="6"/>
      <c r="P716" s="6"/>
      <c r="Q716" s="6"/>
      <c r="R716" s="6"/>
      <c r="S716" s="6"/>
      <c r="T716" s="6"/>
      <c r="U716" s="6"/>
      <c r="V716" s="339"/>
      <c r="W716" s="339"/>
      <c r="X716" s="6"/>
      <c r="Y716" s="206"/>
      <c r="AE716" s="6"/>
      <c r="AF716" s="6"/>
      <c r="AG716" s="6"/>
      <c r="AH716" s="206"/>
      <c r="AJ716" s="213"/>
      <c r="AK716" s="6"/>
      <c r="AL716" s="6"/>
      <c r="AM716" s="6"/>
      <c r="AN716" s="206"/>
      <c r="AP716" s="213"/>
      <c r="AQ716" s="6"/>
      <c r="AR716" s="6"/>
      <c r="AS716" s="6"/>
      <c r="AT716" s="206"/>
      <c r="AV716" s="213"/>
      <c r="AW716" s="6"/>
      <c r="AX716" s="6"/>
      <c r="AY716" s="6"/>
      <c r="AZ716" s="206"/>
    </row>
    <row r="717" spans="4:52" s="2" customFormat="1" ht="17.100000000000001" customHeight="1" x14ac:dyDescent="0.25">
      <c r="D717" s="3"/>
      <c r="E717" s="3"/>
      <c r="F717" s="4"/>
      <c r="G717" s="4"/>
      <c r="H717" s="138"/>
      <c r="I717" s="97"/>
      <c r="J717" s="6"/>
      <c r="K717" s="6"/>
      <c r="L717" s="6"/>
      <c r="M717" s="6"/>
      <c r="N717" s="6"/>
      <c r="O717" s="6"/>
      <c r="P717" s="6"/>
      <c r="Q717" s="6"/>
      <c r="R717" s="6"/>
      <c r="S717" s="6"/>
      <c r="T717" s="6"/>
      <c r="U717" s="6"/>
      <c r="V717" s="339"/>
      <c r="W717" s="339"/>
      <c r="X717" s="6"/>
      <c r="Y717" s="206"/>
      <c r="AE717" s="6"/>
      <c r="AF717" s="6"/>
      <c r="AG717" s="6"/>
      <c r="AH717" s="206"/>
      <c r="AJ717" s="213"/>
      <c r="AK717" s="6"/>
      <c r="AL717" s="6"/>
      <c r="AM717" s="6"/>
      <c r="AN717" s="206"/>
      <c r="AP717" s="213"/>
      <c r="AQ717" s="6"/>
      <c r="AR717" s="6"/>
      <c r="AS717" s="6"/>
      <c r="AT717" s="206"/>
      <c r="AV717" s="213"/>
      <c r="AW717" s="6"/>
      <c r="AX717" s="6"/>
      <c r="AY717" s="6"/>
      <c r="AZ717" s="206"/>
    </row>
    <row r="718" spans="4:52" s="2" customFormat="1" ht="17.100000000000001" customHeight="1" x14ac:dyDescent="0.25">
      <c r="D718" s="3"/>
      <c r="E718" s="3"/>
      <c r="F718" s="4"/>
      <c r="G718" s="4"/>
      <c r="H718" s="138"/>
      <c r="I718" s="97"/>
      <c r="J718" s="6"/>
      <c r="K718" s="6"/>
      <c r="L718" s="6"/>
      <c r="M718" s="6"/>
      <c r="N718" s="6"/>
      <c r="O718" s="6"/>
      <c r="P718" s="6"/>
      <c r="Q718" s="6"/>
      <c r="R718" s="6"/>
      <c r="S718" s="6"/>
      <c r="T718" s="6"/>
      <c r="U718" s="6"/>
      <c r="V718" s="339"/>
      <c r="W718" s="339"/>
      <c r="X718" s="6"/>
      <c r="Y718" s="206"/>
      <c r="AE718" s="6"/>
      <c r="AF718" s="6"/>
      <c r="AG718" s="6"/>
      <c r="AH718" s="206"/>
      <c r="AJ718" s="213"/>
      <c r="AK718" s="6"/>
      <c r="AL718" s="6"/>
      <c r="AM718" s="6"/>
      <c r="AN718" s="206"/>
      <c r="AP718" s="213"/>
      <c r="AQ718" s="6"/>
      <c r="AR718" s="6"/>
      <c r="AS718" s="6"/>
      <c r="AT718" s="206"/>
      <c r="AV718" s="213"/>
      <c r="AW718" s="6"/>
      <c r="AX718" s="6"/>
      <c r="AY718" s="6"/>
      <c r="AZ718" s="206"/>
    </row>
    <row r="719" spans="4:52" s="2" customFormat="1" ht="17.100000000000001" customHeight="1" x14ac:dyDescent="0.25">
      <c r="D719" s="3"/>
      <c r="E719" s="3"/>
      <c r="F719" s="4"/>
      <c r="G719" s="4"/>
      <c r="H719" s="138"/>
      <c r="I719" s="97"/>
      <c r="J719" s="6"/>
      <c r="K719" s="6"/>
      <c r="L719" s="6"/>
      <c r="M719" s="6"/>
      <c r="N719" s="6"/>
      <c r="O719" s="6"/>
      <c r="P719" s="6"/>
      <c r="Q719" s="6"/>
      <c r="R719" s="6"/>
      <c r="S719" s="6"/>
      <c r="T719" s="6"/>
      <c r="U719" s="6"/>
      <c r="V719" s="339"/>
      <c r="W719" s="339"/>
      <c r="X719" s="6"/>
      <c r="Y719" s="206"/>
      <c r="AE719" s="6"/>
      <c r="AF719" s="6"/>
      <c r="AG719" s="6"/>
      <c r="AH719" s="206"/>
      <c r="AJ719" s="213"/>
      <c r="AK719" s="6"/>
      <c r="AL719" s="6"/>
      <c r="AM719" s="6"/>
      <c r="AN719" s="206"/>
      <c r="AP719" s="213"/>
      <c r="AQ719" s="6"/>
      <c r="AR719" s="6"/>
      <c r="AS719" s="6"/>
      <c r="AT719" s="206"/>
      <c r="AV719" s="213"/>
      <c r="AW719" s="6"/>
      <c r="AX719" s="6"/>
      <c r="AY719" s="6"/>
      <c r="AZ719" s="206"/>
    </row>
    <row r="720" spans="4:52" s="2" customFormat="1" ht="17.100000000000001" customHeight="1" x14ac:dyDescent="0.25">
      <c r="D720" s="3"/>
      <c r="E720" s="3"/>
      <c r="F720" s="4"/>
      <c r="G720" s="4"/>
      <c r="H720" s="138"/>
      <c r="I720" s="97"/>
      <c r="J720" s="6"/>
      <c r="K720" s="6"/>
      <c r="L720" s="6"/>
      <c r="M720" s="6"/>
      <c r="N720" s="6"/>
      <c r="O720" s="6"/>
      <c r="P720" s="6"/>
      <c r="Q720" s="6"/>
      <c r="R720" s="6"/>
      <c r="S720" s="6"/>
      <c r="T720" s="6"/>
      <c r="U720" s="6"/>
      <c r="V720" s="339"/>
      <c r="W720" s="339"/>
      <c r="X720" s="6"/>
      <c r="Y720" s="206"/>
      <c r="AE720" s="6"/>
      <c r="AF720" s="6"/>
      <c r="AG720" s="6"/>
      <c r="AH720" s="206"/>
      <c r="AJ720" s="213"/>
      <c r="AK720" s="6"/>
      <c r="AL720" s="6"/>
      <c r="AM720" s="6"/>
      <c r="AN720" s="206"/>
      <c r="AP720" s="213"/>
      <c r="AQ720" s="6"/>
      <c r="AR720" s="6"/>
      <c r="AS720" s="6"/>
      <c r="AT720" s="206"/>
      <c r="AV720" s="213"/>
      <c r="AW720" s="6"/>
      <c r="AX720" s="6"/>
      <c r="AY720" s="6"/>
      <c r="AZ720" s="206"/>
    </row>
    <row r="721" spans="4:52" s="2" customFormat="1" ht="17.100000000000001" customHeight="1" x14ac:dyDescent="0.25">
      <c r="D721" s="3"/>
      <c r="E721" s="3"/>
      <c r="F721" s="4"/>
      <c r="G721" s="4"/>
      <c r="H721" s="138"/>
      <c r="I721" s="97"/>
      <c r="J721" s="6"/>
      <c r="K721" s="6"/>
      <c r="L721" s="6"/>
      <c r="M721" s="6"/>
      <c r="N721" s="6"/>
      <c r="O721" s="6"/>
      <c r="P721" s="6"/>
      <c r="Q721" s="6"/>
      <c r="R721" s="6"/>
      <c r="S721" s="6"/>
      <c r="T721" s="6"/>
      <c r="U721" s="6"/>
      <c r="V721" s="339"/>
      <c r="W721" s="339"/>
      <c r="X721" s="6"/>
      <c r="Y721" s="206"/>
      <c r="AE721" s="6"/>
      <c r="AF721" s="6"/>
      <c r="AG721" s="6"/>
      <c r="AH721" s="206"/>
      <c r="AJ721" s="213"/>
      <c r="AK721" s="6"/>
      <c r="AL721" s="6"/>
      <c r="AM721" s="6"/>
      <c r="AN721" s="206"/>
      <c r="AP721" s="213"/>
      <c r="AQ721" s="6"/>
      <c r="AR721" s="6"/>
      <c r="AS721" s="6"/>
      <c r="AT721" s="206"/>
      <c r="AV721" s="213"/>
      <c r="AW721" s="6"/>
      <c r="AX721" s="6"/>
      <c r="AY721" s="6"/>
      <c r="AZ721" s="206"/>
    </row>
    <row r="722" spans="4:52" s="2" customFormat="1" ht="17.100000000000001" customHeight="1" x14ac:dyDescent="0.25">
      <c r="D722" s="3"/>
      <c r="E722" s="3"/>
      <c r="F722" s="4"/>
      <c r="G722" s="4"/>
      <c r="H722" s="138"/>
      <c r="I722" s="97"/>
      <c r="J722" s="6"/>
      <c r="K722" s="6"/>
      <c r="L722" s="6"/>
      <c r="M722" s="6"/>
      <c r="N722" s="6"/>
      <c r="O722" s="6"/>
      <c r="P722" s="6"/>
      <c r="Q722" s="6"/>
      <c r="R722" s="6"/>
      <c r="S722" s="6"/>
      <c r="T722" s="6"/>
      <c r="U722" s="6"/>
      <c r="V722" s="339"/>
      <c r="W722" s="339"/>
      <c r="X722" s="6"/>
      <c r="Y722" s="206"/>
      <c r="AE722" s="6"/>
      <c r="AF722" s="6"/>
      <c r="AG722" s="6"/>
      <c r="AH722" s="206"/>
      <c r="AJ722" s="213"/>
      <c r="AK722" s="6"/>
      <c r="AL722" s="6"/>
      <c r="AM722" s="6"/>
      <c r="AN722" s="206"/>
      <c r="AP722" s="213"/>
      <c r="AQ722" s="6"/>
      <c r="AR722" s="6"/>
      <c r="AS722" s="6"/>
      <c r="AT722" s="206"/>
      <c r="AV722" s="213"/>
      <c r="AW722" s="6"/>
      <c r="AX722" s="6"/>
      <c r="AY722" s="6"/>
      <c r="AZ722" s="206"/>
    </row>
    <row r="723" spans="4:52" s="2" customFormat="1" ht="17.100000000000001" customHeight="1" x14ac:dyDescent="0.25">
      <c r="D723" s="3"/>
      <c r="E723" s="3"/>
      <c r="F723" s="4"/>
      <c r="G723" s="4"/>
      <c r="H723" s="138"/>
      <c r="I723" s="97"/>
      <c r="J723" s="6"/>
      <c r="K723" s="6"/>
      <c r="L723" s="6"/>
      <c r="M723" s="6"/>
      <c r="N723" s="6"/>
      <c r="O723" s="6"/>
      <c r="P723" s="6"/>
      <c r="Q723" s="6"/>
      <c r="R723" s="6"/>
      <c r="S723" s="6"/>
      <c r="T723" s="6"/>
      <c r="U723" s="6"/>
      <c r="V723" s="339"/>
      <c r="W723" s="339"/>
      <c r="X723" s="6"/>
      <c r="Y723" s="206"/>
      <c r="AE723" s="6"/>
      <c r="AF723" s="6"/>
      <c r="AG723" s="6"/>
      <c r="AH723" s="206"/>
      <c r="AJ723" s="213"/>
      <c r="AK723" s="6"/>
      <c r="AL723" s="6"/>
      <c r="AM723" s="6"/>
      <c r="AN723" s="206"/>
      <c r="AP723" s="213"/>
      <c r="AQ723" s="6"/>
      <c r="AR723" s="6"/>
      <c r="AS723" s="6"/>
      <c r="AT723" s="206"/>
      <c r="AV723" s="213"/>
      <c r="AW723" s="6"/>
      <c r="AX723" s="6"/>
      <c r="AY723" s="6"/>
      <c r="AZ723" s="206"/>
    </row>
    <row r="724" spans="4:52" s="2" customFormat="1" ht="17.100000000000001" customHeight="1" x14ac:dyDescent="0.25">
      <c r="D724" s="3"/>
      <c r="E724" s="3"/>
      <c r="F724" s="4"/>
      <c r="G724" s="4"/>
      <c r="H724" s="138"/>
      <c r="I724" s="97"/>
      <c r="J724" s="6"/>
      <c r="K724" s="6"/>
      <c r="L724" s="6"/>
      <c r="M724" s="6"/>
      <c r="N724" s="6"/>
      <c r="O724" s="6"/>
      <c r="P724" s="6"/>
      <c r="Q724" s="6"/>
      <c r="R724" s="6"/>
      <c r="S724" s="6"/>
      <c r="T724" s="6"/>
      <c r="U724" s="6"/>
      <c r="V724" s="339"/>
      <c r="W724" s="339"/>
      <c r="X724" s="6"/>
      <c r="Y724" s="206"/>
      <c r="AE724" s="6"/>
      <c r="AF724" s="6"/>
      <c r="AG724" s="6"/>
      <c r="AH724" s="206"/>
      <c r="AJ724" s="213"/>
      <c r="AK724" s="6"/>
      <c r="AL724" s="6"/>
      <c r="AM724" s="6"/>
      <c r="AN724" s="206"/>
      <c r="AP724" s="213"/>
      <c r="AQ724" s="6"/>
      <c r="AR724" s="6"/>
      <c r="AS724" s="6"/>
      <c r="AT724" s="206"/>
      <c r="AV724" s="213"/>
      <c r="AW724" s="6"/>
      <c r="AX724" s="6"/>
      <c r="AY724" s="6"/>
      <c r="AZ724" s="206"/>
    </row>
    <row r="725" spans="4:52" s="2" customFormat="1" ht="17.100000000000001" customHeight="1" x14ac:dyDescent="0.25">
      <c r="D725" s="3"/>
      <c r="E725" s="3"/>
      <c r="F725" s="4"/>
      <c r="G725" s="4"/>
      <c r="H725" s="138"/>
      <c r="I725" s="97"/>
      <c r="J725" s="6"/>
      <c r="K725" s="6"/>
      <c r="L725" s="6"/>
      <c r="M725" s="6"/>
      <c r="N725" s="6"/>
      <c r="O725" s="6"/>
      <c r="P725" s="6"/>
      <c r="Q725" s="6"/>
      <c r="R725" s="6"/>
      <c r="S725" s="6"/>
      <c r="T725" s="6"/>
      <c r="U725" s="6"/>
      <c r="V725" s="339"/>
      <c r="W725" s="339"/>
      <c r="X725" s="6"/>
      <c r="Y725" s="206"/>
      <c r="AE725" s="6"/>
      <c r="AF725" s="6"/>
      <c r="AG725" s="6"/>
      <c r="AH725" s="206"/>
      <c r="AJ725" s="213"/>
      <c r="AK725" s="6"/>
      <c r="AL725" s="6"/>
      <c r="AM725" s="6"/>
      <c r="AN725" s="206"/>
      <c r="AP725" s="213"/>
      <c r="AQ725" s="6"/>
      <c r="AR725" s="6"/>
      <c r="AS725" s="6"/>
      <c r="AT725" s="206"/>
      <c r="AV725" s="213"/>
      <c r="AW725" s="6"/>
      <c r="AX725" s="6"/>
      <c r="AY725" s="6"/>
      <c r="AZ725" s="206"/>
    </row>
    <row r="726" spans="4:52" s="2" customFormat="1" ht="17.100000000000001" customHeight="1" x14ac:dyDescent="0.25">
      <c r="D726" s="3"/>
      <c r="E726" s="3"/>
      <c r="F726" s="4"/>
      <c r="G726" s="4"/>
      <c r="H726" s="138"/>
      <c r="I726" s="97"/>
      <c r="J726" s="6"/>
      <c r="K726" s="6"/>
      <c r="L726" s="6"/>
      <c r="M726" s="6"/>
      <c r="N726" s="6"/>
      <c r="O726" s="6"/>
      <c r="P726" s="6"/>
      <c r="Q726" s="6"/>
      <c r="R726" s="6"/>
      <c r="S726" s="6"/>
      <c r="T726" s="6"/>
      <c r="U726" s="6"/>
      <c r="V726" s="339"/>
      <c r="W726" s="339"/>
      <c r="X726" s="6"/>
      <c r="Y726" s="206"/>
      <c r="AE726" s="6"/>
      <c r="AF726" s="6"/>
      <c r="AG726" s="6"/>
      <c r="AH726" s="206"/>
      <c r="AJ726" s="213"/>
      <c r="AK726" s="6"/>
      <c r="AL726" s="6"/>
      <c r="AM726" s="6"/>
      <c r="AN726" s="206"/>
      <c r="AP726" s="213"/>
      <c r="AQ726" s="6"/>
      <c r="AR726" s="6"/>
      <c r="AS726" s="6"/>
      <c r="AT726" s="206"/>
      <c r="AV726" s="213"/>
      <c r="AW726" s="6"/>
      <c r="AX726" s="6"/>
      <c r="AY726" s="6"/>
      <c r="AZ726" s="206"/>
    </row>
    <row r="727" spans="4:52" s="2" customFormat="1" ht="17.100000000000001" customHeight="1" x14ac:dyDescent="0.25">
      <c r="D727" s="3"/>
      <c r="E727" s="3"/>
      <c r="F727" s="4"/>
      <c r="G727" s="4"/>
      <c r="H727" s="138"/>
      <c r="I727" s="97"/>
      <c r="J727" s="6"/>
      <c r="K727" s="6"/>
      <c r="L727" s="6"/>
      <c r="M727" s="6"/>
      <c r="N727" s="6"/>
      <c r="O727" s="6"/>
      <c r="P727" s="6"/>
      <c r="Q727" s="6"/>
      <c r="R727" s="6"/>
      <c r="S727" s="6"/>
      <c r="T727" s="6"/>
      <c r="U727" s="6"/>
      <c r="V727" s="339"/>
      <c r="W727" s="339"/>
      <c r="X727" s="6"/>
      <c r="Y727" s="206"/>
      <c r="AE727" s="6"/>
      <c r="AF727" s="6"/>
      <c r="AG727" s="6"/>
      <c r="AH727" s="206"/>
      <c r="AJ727" s="213"/>
      <c r="AK727" s="6"/>
      <c r="AL727" s="6"/>
      <c r="AM727" s="6"/>
      <c r="AN727" s="206"/>
      <c r="AP727" s="213"/>
      <c r="AQ727" s="6"/>
      <c r="AR727" s="6"/>
      <c r="AS727" s="6"/>
      <c r="AT727" s="206"/>
      <c r="AV727" s="213"/>
      <c r="AW727" s="6"/>
      <c r="AX727" s="6"/>
      <c r="AY727" s="6"/>
      <c r="AZ727" s="206"/>
    </row>
    <row r="728" spans="4:52" s="2" customFormat="1" ht="17.100000000000001" customHeight="1" x14ac:dyDescent="0.25">
      <c r="D728" s="3"/>
      <c r="E728" s="3"/>
      <c r="F728" s="4"/>
      <c r="G728" s="4"/>
      <c r="H728" s="138"/>
      <c r="I728" s="97"/>
      <c r="J728" s="6"/>
      <c r="K728" s="6"/>
      <c r="L728" s="6"/>
      <c r="M728" s="6"/>
      <c r="N728" s="6"/>
      <c r="O728" s="6"/>
      <c r="P728" s="6"/>
      <c r="Q728" s="6"/>
      <c r="R728" s="6"/>
      <c r="S728" s="6"/>
      <c r="T728" s="6"/>
      <c r="U728" s="6"/>
      <c r="V728" s="339"/>
      <c r="W728" s="339"/>
      <c r="X728" s="6"/>
      <c r="Y728" s="206"/>
      <c r="AE728" s="6"/>
      <c r="AF728" s="6"/>
      <c r="AG728" s="6"/>
      <c r="AH728" s="206"/>
      <c r="AJ728" s="213"/>
      <c r="AK728" s="6"/>
      <c r="AL728" s="6"/>
      <c r="AM728" s="6"/>
      <c r="AN728" s="206"/>
      <c r="AP728" s="213"/>
      <c r="AQ728" s="6"/>
      <c r="AR728" s="6"/>
      <c r="AS728" s="6"/>
      <c r="AT728" s="206"/>
      <c r="AV728" s="213"/>
      <c r="AW728" s="6"/>
      <c r="AX728" s="6"/>
      <c r="AY728" s="6"/>
      <c r="AZ728" s="206"/>
    </row>
    <row r="729" spans="4:52" s="2" customFormat="1" ht="17.100000000000001" customHeight="1" x14ac:dyDescent="0.25">
      <c r="D729" s="3"/>
      <c r="E729" s="3"/>
      <c r="F729" s="4"/>
      <c r="G729" s="4"/>
      <c r="H729" s="138"/>
      <c r="I729" s="97"/>
      <c r="J729" s="6"/>
      <c r="K729" s="6"/>
      <c r="L729" s="6"/>
      <c r="M729" s="6"/>
      <c r="N729" s="6"/>
      <c r="O729" s="6"/>
      <c r="P729" s="6"/>
      <c r="Q729" s="6"/>
      <c r="R729" s="6"/>
      <c r="S729" s="6"/>
      <c r="T729" s="6"/>
      <c r="U729" s="6"/>
      <c r="V729" s="339"/>
      <c r="W729" s="339"/>
      <c r="X729" s="6"/>
      <c r="Y729" s="206"/>
      <c r="AE729" s="6"/>
      <c r="AF729" s="6"/>
      <c r="AG729" s="6"/>
      <c r="AH729" s="206"/>
      <c r="AJ729" s="213"/>
      <c r="AK729" s="6"/>
      <c r="AL729" s="6"/>
      <c r="AM729" s="6"/>
      <c r="AN729" s="206"/>
      <c r="AP729" s="213"/>
      <c r="AQ729" s="6"/>
      <c r="AR729" s="6"/>
      <c r="AS729" s="6"/>
      <c r="AT729" s="206"/>
      <c r="AV729" s="213"/>
      <c r="AW729" s="6"/>
      <c r="AX729" s="6"/>
      <c r="AY729" s="6"/>
      <c r="AZ729" s="206"/>
    </row>
    <row r="730" spans="4:52" s="2" customFormat="1" ht="17.100000000000001" customHeight="1" x14ac:dyDescent="0.25">
      <c r="D730" s="3"/>
      <c r="E730" s="3"/>
      <c r="F730" s="4"/>
      <c r="G730" s="4"/>
      <c r="H730" s="138"/>
      <c r="I730" s="97"/>
      <c r="J730" s="6"/>
      <c r="K730" s="6"/>
      <c r="L730" s="6"/>
      <c r="M730" s="6"/>
      <c r="N730" s="6"/>
      <c r="O730" s="6"/>
      <c r="P730" s="6"/>
      <c r="Q730" s="6"/>
      <c r="R730" s="6"/>
      <c r="S730" s="6"/>
      <c r="T730" s="6"/>
      <c r="U730" s="6"/>
      <c r="V730" s="339"/>
      <c r="W730" s="339"/>
      <c r="X730" s="6"/>
      <c r="Y730" s="206"/>
      <c r="AE730" s="6"/>
      <c r="AF730" s="6"/>
      <c r="AG730" s="6"/>
      <c r="AH730" s="206"/>
      <c r="AJ730" s="213"/>
      <c r="AK730" s="6"/>
      <c r="AL730" s="6"/>
      <c r="AM730" s="6"/>
      <c r="AN730" s="206"/>
      <c r="AP730" s="213"/>
      <c r="AQ730" s="6"/>
      <c r="AR730" s="6"/>
      <c r="AS730" s="6"/>
      <c r="AT730" s="206"/>
      <c r="AV730" s="213"/>
      <c r="AW730" s="6"/>
      <c r="AX730" s="6"/>
      <c r="AY730" s="6"/>
      <c r="AZ730" s="206"/>
    </row>
    <row r="731" spans="4:52" s="2" customFormat="1" ht="17.100000000000001" customHeight="1" x14ac:dyDescent="0.25">
      <c r="D731" s="3"/>
      <c r="E731" s="3"/>
      <c r="F731" s="4"/>
      <c r="G731" s="4"/>
      <c r="H731" s="138"/>
      <c r="I731" s="97"/>
      <c r="J731" s="6"/>
      <c r="K731" s="6"/>
      <c r="L731" s="6"/>
      <c r="M731" s="6"/>
      <c r="N731" s="6"/>
      <c r="O731" s="6"/>
      <c r="P731" s="6"/>
      <c r="Q731" s="6"/>
      <c r="R731" s="6"/>
      <c r="S731" s="6"/>
      <c r="T731" s="6"/>
      <c r="U731" s="6"/>
      <c r="V731" s="339"/>
      <c r="W731" s="339"/>
      <c r="X731" s="6"/>
      <c r="Y731" s="206"/>
      <c r="AE731" s="6"/>
      <c r="AF731" s="6"/>
      <c r="AG731" s="6"/>
      <c r="AH731" s="206"/>
      <c r="AJ731" s="213"/>
      <c r="AK731" s="6"/>
      <c r="AL731" s="6"/>
      <c r="AM731" s="6"/>
      <c r="AN731" s="206"/>
      <c r="AP731" s="213"/>
      <c r="AQ731" s="6"/>
      <c r="AR731" s="6"/>
      <c r="AS731" s="6"/>
      <c r="AT731" s="206"/>
      <c r="AV731" s="213"/>
      <c r="AW731" s="6"/>
      <c r="AX731" s="6"/>
      <c r="AY731" s="6"/>
      <c r="AZ731" s="206"/>
    </row>
    <row r="732" spans="4:52" s="2" customFormat="1" ht="17.100000000000001" customHeight="1" x14ac:dyDescent="0.25">
      <c r="D732" s="3"/>
      <c r="E732" s="3"/>
      <c r="F732" s="4"/>
      <c r="G732" s="4"/>
      <c r="H732" s="138"/>
      <c r="I732" s="97"/>
      <c r="J732" s="6"/>
      <c r="K732" s="6"/>
      <c r="L732" s="6"/>
      <c r="M732" s="6"/>
      <c r="N732" s="6"/>
      <c r="O732" s="6"/>
      <c r="P732" s="6"/>
      <c r="Q732" s="6"/>
      <c r="R732" s="6"/>
      <c r="S732" s="6"/>
      <c r="T732" s="6"/>
      <c r="U732" s="6"/>
      <c r="V732" s="339"/>
      <c r="W732" s="339"/>
      <c r="X732" s="6"/>
      <c r="Y732" s="206"/>
      <c r="AE732" s="6"/>
      <c r="AF732" s="6"/>
      <c r="AG732" s="6"/>
      <c r="AH732" s="206"/>
      <c r="AJ732" s="213"/>
      <c r="AK732" s="6"/>
      <c r="AL732" s="6"/>
      <c r="AM732" s="6"/>
      <c r="AN732" s="206"/>
      <c r="AP732" s="213"/>
      <c r="AQ732" s="6"/>
      <c r="AR732" s="6"/>
      <c r="AS732" s="6"/>
      <c r="AT732" s="206"/>
      <c r="AV732" s="213"/>
      <c r="AW732" s="6"/>
      <c r="AX732" s="6"/>
      <c r="AY732" s="6"/>
      <c r="AZ732" s="206"/>
    </row>
    <row r="733" spans="4:52" s="2" customFormat="1" ht="17.100000000000001" customHeight="1" x14ac:dyDescent="0.25">
      <c r="D733" s="3"/>
      <c r="E733" s="3"/>
      <c r="F733" s="4"/>
      <c r="G733" s="4"/>
      <c r="H733" s="138"/>
      <c r="I733" s="97"/>
      <c r="J733" s="6"/>
      <c r="K733" s="6"/>
      <c r="L733" s="6"/>
      <c r="M733" s="6"/>
      <c r="N733" s="6"/>
      <c r="O733" s="6"/>
      <c r="P733" s="6"/>
      <c r="Q733" s="6"/>
      <c r="R733" s="6"/>
      <c r="S733" s="6"/>
      <c r="T733" s="6"/>
      <c r="U733" s="6"/>
      <c r="V733" s="339"/>
      <c r="W733" s="339"/>
      <c r="X733" s="6"/>
      <c r="Y733" s="206"/>
      <c r="AE733" s="6"/>
      <c r="AF733" s="6"/>
      <c r="AG733" s="6"/>
      <c r="AH733" s="206"/>
      <c r="AJ733" s="213"/>
      <c r="AK733" s="6"/>
      <c r="AL733" s="6"/>
      <c r="AM733" s="6"/>
      <c r="AN733" s="206"/>
      <c r="AP733" s="213"/>
      <c r="AQ733" s="6"/>
      <c r="AR733" s="6"/>
      <c r="AS733" s="6"/>
      <c r="AT733" s="206"/>
      <c r="AV733" s="213"/>
      <c r="AW733" s="6"/>
      <c r="AX733" s="6"/>
      <c r="AY733" s="6"/>
      <c r="AZ733" s="206"/>
    </row>
    <row r="734" spans="4:52" s="2" customFormat="1" ht="17.100000000000001" customHeight="1" x14ac:dyDescent="0.25">
      <c r="D734" s="3"/>
      <c r="E734" s="3"/>
      <c r="F734" s="4"/>
      <c r="G734" s="4"/>
      <c r="H734" s="138"/>
      <c r="I734" s="97"/>
      <c r="J734" s="6"/>
      <c r="K734" s="6"/>
      <c r="L734" s="6"/>
      <c r="M734" s="6"/>
      <c r="N734" s="6"/>
      <c r="O734" s="6"/>
      <c r="P734" s="6"/>
      <c r="Q734" s="6"/>
      <c r="R734" s="6"/>
      <c r="S734" s="6"/>
      <c r="T734" s="6"/>
      <c r="U734" s="6"/>
      <c r="V734" s="339"/>
      <c r="W734" s="339"/>
      <c r="X734" s="6"/>
      <c r="Y734" s="206"/>
      <c r="AE734" s="6"/>
      <c r="AF734" s="6"/>
      <c r="AG734" s="6"/>
      <c r="AH734" s="206"/>
      <c r="AJ734" s="213"/>
      <c r="AK734" s="6"/>
      <c r="AL734" s="6"/>
      <c r="AM734" s="6"/>
      <c r="AN734" s="206"/>
      <c r="AP734" s="213"/>
      <c r="AQ734" s="6"/>
      <c r="AR734" s="6"/>
      <c r="AS734" s="6"/>
      <c r="AT734" s="206"/>
      <c r="AV734" s="213"/>
      <c r="AW734" s="6"/>
      <c r="AX734" s="6"/>
      <c r="AY734" s="6"/>
      <c r="AZ734" s="206"/>
    </row>
    <row r="735" spans="4:52" s="2" customFormat="1" ht="17.100000000000001" customHeight="1" x14ac:dyDescent="0.25">
      <c r="D735" s="3"/>
      <c r="E735" s="3"/>
      <c r="F735" s="4"/>
      <c r="G735" s="4"/>
      <c r="H735" s="138"/>
      <c r="I735" s="97"/>
      <c r="J735" s="6"/>
      <c r="K735" s="6"/>
      <c r="L735" s="6"/>
      <c r="M735" s="6"/>
      <c r="N735" s="6"/>
      <c r="O735" s="6"/>
      <c r="P735" s="6"/>
      <c r="Q735" s="6"/>
      <c r="R735" s="6"/>
      <c r="S735" s="6"/>
      <c r="T735" s="6"/>
      <c r="U735" s="6"/>
      <c r="V735" s="339"/>
      <c r="W735" s="339"/>
      <c r="X735" s="6"/>
      <c r="Y735" s="206"/>
      <c r="AE735" s="6"/>
      <c r="AF735" s="6"/>
      <c r="AG735" s="6"/>
      <c r="AH735" s="206"/>
      <c r="AJ735" s="213"/>
      <c r="AK735" s="6"/>
      <c r="AL735" s="6"/>
      <c r="AM735" s="6"/>
      <c r="AN735" s="206"/>
      <c r="AP735" s="213"/>
      <c r="AQ735" s="6"/>
      <c r="AR735" s="6"/>
      <c r="AS735" s="6"/>
      <c r="AT735" s="206"/>
      <c r="AV735" s="213"/>
      <c r="AW735" s="6"/>
      <c r="AX735" s="6"/>
      <c r="AY735" s="6"/>
      <c r="AZ735" s="206"/>
    </row>
    <row r="736" spans="4:52" s="2" customFormat="1" ht="17.100000000000001" customHeight="1" x14ac:dyDescent="0.25">
      <c r="D736" s="3"/>
      <c r="E736" s="3"/>
      <c r="F736" s="4"/>
      <c r="G736" s="4"/>
      <c r="H736" s="138"/>
      <c r="I736" s="97"/>
      <c r="J736" s="6"/>
      <c r="K736" s="6"/>
      <c r="L736" s="6"/>
      <c r="M736" s="6"/>
      <c r="N736" s="6"/>
      <c r="O736" s="6"/>
      <c r="P736" s="6"/>
      <c r="Q736" s="6"/>
      <c r="R736" s="6"/>
      <c r="S736" s="6"/>
      <c r="T736" s="6"/>
      <c r="U736" s="6"/>
      <c r="V736" s="339"/>
      <c r="W736" s="339"/>
      <c r="X736" s="6"/>
      <c r="Y736" s="206"/>
      <c r="AE736" s="6"/>
      <c r="AF736" s="6"/>
      <c r="AG736" s="6"/>
      <c r="AH736" s="206"/>
      <c r="AJ736" s="213"/>
      <c r="AK736" s="6"/>
      <c r="AL736" s="6"/>
      <c r="AM736" s="6"/>
      <c r="AN736" s="206"/>
      <c r="AP736" s="213"/>
      <c r="AQ736" s="6"/>
      <c r="AR736" s="6"/>
      <c r="AS736" s="6"/>
      <c r="AT736" s="206"/>
      <c r="AV736" s="213"/>
      <c r="AW736" s="6"/>
      <c r="AX736" s="6"/>
      <c r="AY736" s="6"/>
      <c r="AZ736" s="206"/>
    </row>
    <row r="737" spans="4:52" s="2" customFormat="1" ht="17.100000000000001" customHeight="1" x14ac:dyDescent="0.25">
      <c r="D737" s="3"/>
      <c r="E737" s="3"/>
      <c r="F737" s="4"/>
      <c r="G737" s="4"/>
      <c r="H737" s="138"/>
      <c r="I737" s="97"/>
      <c r="J737" s="6"/>
      <c r="K737" s="6"/>
      <c r="L737" s="6"/>
      <c r="M737" s="6"/>
      <c r="N737" s="6"/>
      <c r="O737" s="6"/>
      <c r="P737" s="6"/>
      <c r="Q737" s="6"/>
      <c r="R737" s="6"/>
      <c r="S737" s="6"/>
      <c r="T737" s="6"/>
      <c r="U737" s="6"/>
      <c r="V737" s="339"/>
      <c r="W737" s="339"/>
      <c r="X737" s="6"/>
      <c r="Y737" s="206"/>
      <c r="AE737" s="6"/>
      <c r="AF737" s="6"/>
      <c r="AG737" s="6"/>
      <c r="AH737" s="206"/>
      <c r="AJ737" s="213"/>
      <c r="AK737" s="6"/>
      <c r="AL737" s="6"/>
      <c r="AM737" s="6"/>
      <c r="AN737" s="206"/>
      <c r="AP737" s="213"/>
      <c r="AQ737" s="6"/>
      <c r="AR737" s="6"/>
      <c r="AS737" s="6"/>
      <c r="AT737" s="206"/>
      <c r="AV737" s="213"/>
      <c r="AW737" s="6"/>
      <c r="AX737" s="6"/>
      <c r="AY737" s="6"/>
      <c r="AZ737" s="206"/>
    </row>
    <row r="738" spans="4:52" s="2" customFormat="1" ht="17.100000000000001" customHeight="1" x14ac:dyDescent="0.25">
      <c r="D738" s="3"/>
      <c r="E738" s="3"/>
      <c r="F738" s="4"/>
      <c r="G738" s="4"/>
      <c r="H738" s="138"/>
      <c r="I738" s="97"/>
      <c r="J738" s="6"/>
      <c r="K738" s="6"/>
      <c r="L738" s="6"/>
      <c r="M738" s="6"/>
      <c r="N738" s="6"/>
      <c r="O738" s="6"/>
      <c r="P738" s="6"/>
      <c r="Q738" s="6"/>
      <c r="R738" s="6"/>
      <c r="S738" s="6"/>
      <c r="T738" s="6"/>
      <c r="U738" s="6"/>
      <c r="V738" s="339"/>
      <c r="W738" s="339"/>
      <c r="X738" s="6"/>
      <c r="Y738" s="206"/>
      <c r="AE738" s="6"/>
      <c r="AF738" s="6"/>
      <c r="AG738" s="6"/>
      <c r="AH738" s="206"/>
      <c r="AJ738" s="213"/>
      <c r="AK738" s="6"/>
      <c r="AL738" s="6"/>
      <c r="AM738" s="6"/>
      <c r="AN738" s="206"/>
      <c r="AP738" s="213"/>
      <c r="AQ738" s="6"/>
      <c r="AR738" s="6"/>
      <c r="AS738" s="6"/>
      <c r="AT738" s="206"/>
      <c r="AV738" s="213"/>
      <c r="AW738" s="6"/>
      <c r="AX738" s="6"/>
      <c r="AY738" s="6"/>
      <c r="AZ738" s="206"/>
    </row>
    <row r="739" spans="4:52" s="2" customFormat="1" ht="17.100000000000001" customHeight="1" x14ac:dyDescent="0.25">
      <c r="D739" s="3"/>
      <c r="E739" s="3"/>
      <c r="F739" s="4"/>
      <c r="G739" s="4"/>
      <c r="H739" s="138"/>
      <c r="I739" s="97"/>
      <c r="J739" s="6"/>
      <c r="K739" s="6"/>
      <c r="L739" s="6"/>
      <c r="M739" s="6"/>
      <c r="N739" s="6"/>
      <c r="O739" s="6"/>
      <c r="P739" s="6"/>
      <c r="Q739" s="6"/>
      <c r="R739" s="6"/>
      <c r="S739" s="6"/>
      <c r="T739" s="6"/>
      <c r="U739" s="6"/>
      <c r="V739" s="339"/>
      <c r="W739" s="339"/>
      <c r="X739" s="6"/>
      <c r="Y739" s="206"/>
      <c r="AE739" s="6"/>
      <c r="AF739" s="6"/>
      <c r="AG739" s="6"/>
      <c r="AH739" s="206"/>
      <c r="AJ739" s="213"/>
      <c r="AK739" s="6"/>
      <c r="AL739" s="6"/>
      <c r="AM739" s="6"/>
      <c r="AN739" s="206"/>
      <c r="AP739" s="213"/>
      <c r="AQ739" s="6"/>
      <c r="AR739" s="6"/>
      <c r="AS739" s="6"/>
      <c r="AT739" s="206"/>
      <c r="AV739" s="213"/>
      <c r="AW739" s="6"/>
      <c r="AX739" s="6"/>
      <c r="AY739" s="6"/>
      <c r="AZ739" s="206"/>
    </row>
    <row r="740" spans="4:52" s="2" customFormat="1" ht="17.100000000000001" customHeight="1" x14ac:dyDescent="0.25">
      <c r="D740" s="3"/>
      <c r="E740" s="3"/>
      <c r="F740" s="4"/>
      <c r="G740" s="4"/>
      <c r="H740" s="138"/>
      <c r="I740" s="97"/>
      <c r="J740" s="6"/>
      <c r="K740" s="6"/>
      <c r="L740" s="6"/>
      <c r="M740" s="6"/>
      <c r="N740" s="6"/>
      <c r="O740" s="6"/>
      <c r="P740" s="6"/>
      <c r="Q740" s="6"/>
      <c r="R740" s="6"/>
      <c r="S740" s="6"/>
      <c r="T740" s="6"/>
      <c r="U740" s="6"/>
      <c r="V740" s="339"/>
      <c r="W740" s="339"/>
      <c r="X740" s="6"/>
      <c r="Y740" s="206"/>
      <c r="AE740" s="6"/>
      <c r="AF740" s="6"/>
      <c r="AG740" s="6"/>
      <c r="AH740" s="206"/>
      <c r="AJ740" s="213"/>
      <c r="AK740" s="6"/>
      <c r="AL740" s="6"/>
      <c r="AM740" s="6"/>
      <c r="AN740" s="206"/>
      <c r="AP740" s="213"/>
      <c r="AQ740" s="6"/>
      <c r="AR740" s="6"/>
      <c r="AS740" s="6"/>
      <c r="AT740" s="206"/>
      <c r="AV740" s="213"/>
      <c r="AW740" s="6"/>
      <c r="AX740" s="6"/>
      <c r="AY740" s="6"/>
      <c r="AZ740" s="206"/>
    </row>
    <row r="741" spans="4:52" s="2" customFormat="1" ht="17.100000000000001" customHeight="1" x14ac:dyDescent="0.25">
      <c r="D741" s="3"/>
      <c r="E741" s="3"/>
      <c r="F741" s="4"/>
      <c r="G741" s="4"/>
      <c r="H741" s="138"/>
      <c r="I741" s="97"/>
      <c r="J741" s="6"/>
      <c r="K741" s="6"/>
      <c r="L741" s="6"/>
      <c r="M741" s="6"/>
      <c r="N741" s="6"/>
      <c r="O741" s="6"/>
      <c r="P741" s="6"/>
      <c r="Q741" s="6"/>
      <c r="R741" s="6"/>
      <c r="S741" s="6"/>
      <c r="T741" s="6"/>
      <c r="U741" s="6"/>
      <c r="V741" s="339"/>
      <c r="W741" s="339"/>
      <c r="X741" s="6"/>
      <c r="Y741" s="206"/>
      <c r="AE741" s="6"/>
      <c r="AF741" s="6"/>
      <c r="AG741" s="6"/>
      <c r="AH741" s="206"/>
      <c r="AJ741" s="213"/>
      <c r="AK741" s="6"/>
      <c r="AL741" s="6"/>
      <c r="AM741" s="6"/>
      <c r="AN741" s="206"/>
      <c r="AP741" s="213"/>
      <c r="AQ741" s="6"/>
      <c r="AR741" s="6"/>
      <c r="AS741" s="6"/>
      <c r="AT741" s="206"/>
      <c r="AV741" s="213"/>
      <c r="AW741" s="6"/>
      <c r="AX741" s="6"/>
      <c r="AY741" s="6"/>
      <c r="AZ741" s="206"/>
    </row>
    <row r="742" spans="4:52" s="2" customFormat="1" ht="17.100000000000001" customHeight="1" x14ac:dyDescent="0.25">
      <c r="D742" s="3"/>
      <c r="E742" s="3"/>
      <c r="F742" s="4"/>
      <c r="G742" s="4"/>
      <c r="H742" s="138"/>
      <c r="I742" s="97"/>
      <c r="J742" s="6"/>
      <c r="K742" s="6"/>
      <c r="L742" s="6"/>
      <c r="M742" s="6"/>
      <c r="N742" s="6"/>
      <c r="O742" s="6"/>
      <c r="P742" s="6"/>
      <c r="Q742" s="6"/>
      <c r="R742" s="6"/>
      <c r="S742" s="6"/>
      <c r="T742" s="6"/>
      <c r="U742" s="6"/>
      <c r="V742" s="339"/>
      <c r="W742" s="339"/>
      <c r="X742" s="6"/>
      <c r="Y742" s="206"/>
      <c r="AE742" s="6"/>
      <c r="AF742" s="6"/>
      <c r="AG742" s="6"/>
      <c r="AH742" s="206"/>
      <c r="AJ742" s="213"/>
      <c r="AK742" s="6"/>
      <c r="AL742" s="6"/>
      <c r="AM742" s="6"/>
      <c r="AN742" s="206"/>
      <c r="AP742" s="213"/>
      <c r="AQ742" s="6"/>
      <c r="AR742" s="6"/>
      <c r="AS742" s="6"/>
      <c r="AT742" s="206"/>
      <c r="AV742" s="213"/>
      <c r="AW742" s="6"/>
      <c r="AX742" s="6"/>
      <c r="AY742" s="6"/>
      <c r="AZ742" s="206"/>
    </row>
    <row r="743" spans="4:52" s="2" customFormat="1" ht="17.100000000000001" customHeight="1" x14ac:dyDescent="0.25">
      <c r="D743" s="3"/>
      <c r="E743" s="3"/>
      <c r="F743" s="4"/>
      <c r="G743" s="4"/>
      <c r="H743" s="138"/>
      <c r="I743" s="97"/>
      <c r="J743" s="6"/>
      <c r="K743" s="6"/>
      <c r="L743" s="6"/>
      <c r="M743" s="6"/>
      <c r="N743" s="6"/>
      <c r="O743" s="6"/>
      <c r="P743" s="6"/>
      <c r="Q743" s="6"/>
      <c r="R743" s="6"/>
      <c r="S743" s="6"/>
      <c r="T743" s="6"/>
      <c r="U743" s="6"/>
      <c r="V743" s="339"/>
      <c r="W743" s="339"/>
      <c r="X743" s="6"/>
      <c r="Y743" s="206"/>
      <c r="AE743" s="6"/>
      <c r="AF743" s="6"/>
      <c r="AG743" s="6"/>
      <c r="AH743" s="206"/>
      <c r="AJ743" s="213"/>
      <c r="AK743" s="6"/>
      <c r="AL743" s="6"/>
      <c r="AM743" s="6"/>
      <c r="AN743" s="206"/>
      <c r="AP743" s="213"/>
      <c r="AQ743" s="6"/>
      <c r="AR743" s="6"/>
      <c r="AS743" s="6"/>
      <c r="AT743" s="206"/>
      <c r="AV743" s="213"/>
      <c r="AW743" s="6"/>
      <c r="AX743" s="6"/>
      <c r="AY743" s="6"/>
      <c r="AZ743" s="206"/>
    </row>
    <row r="744" spans="4:52" s="2" customFormat="1" ht="17.100000000000001" customHeight="1" x14ac:dyDescent="0.25">
      <c r="D744" s="3"/>
      <c r="E744" s="3"/>
      <c r="F744" s="4"/>
      <c r="G744" s="4"/>
      <c r="H744" s="138"/>
      <c r="I744" s="97"/>
      <c r="J744" s="6"/>
      <c r="K744" s="6"/>
      <c r="L744" s="6"/>
      <c r="M744" s="6"/>
      <c r="N744" s="6"/>
      <c r="O744" s="6"/>
      <c r="P744" s="6"/>
      <c r="Q744" s="6"/>
      <c r="R744" s="6"/>
      <c r="S744" s="6"/>
      <c r="T744" s="6"/>
      <c r="U744" s="6"/>
      <c r="V744" s="339"/>
      <c r="W744" s="339"/>
      <c r="X744" s="6"/>
      <c r="Y744" s="206"/>
      <c r="AE744" s="6"/>
      <c r="AF744" s="6"/>
      <c r="AG744" s="6"/>
      <c r="AH744" s="206"/>
      <c r="AJ744" s="213"/>
      <c r="AK744" s="6"/>
      <c r="AL744" s="6"/>
      <c r="AM744" s="6"/>
      <c r="AN744" s="206"/>
      <c r="AP744" s="213"/>
      <c r="AQ744" s="6"/>
      <c r="AR744" s="6"/>
      <c r="AS744" s="6"/>
      <c r="AT744" s="206"/>
      <c r="AV744" s="213"/>
      <c r="AW744" s="6"/>
      <c r="AX744" s="6"/>
      <c r="AY744" s="6"/>
      <c r="AZ744" s="206"/>
    </row>
    <row r="745" spans="4:52" s="2" customFormat="1" ht="17.100000000000001" customHeight="1" x14ac:dyDescent="0.25">
      <c r="D745" s="3"/>
      <c r="E745" s="3"/>
      <c r="F745" s="4"/>
      <c r="G745" s="4"/>
      <c r="H745" s="138"/>
      <c r="I745" s="97"/>
      <c r="J745" s="6"/>
      <c r="K745" s="6"/>
      <c r="L745" s="6"/>
      <c r="M745" s="6"/>
      <c r="N745" s="6"/>
      <c r="O745" s="6"/>
      <c r="P745" s="6"/>
      <c r="Q745" s="6"/>
      <c r="R745" s="6"/>
      <c r="S745" s="6"/>
      <c r="T745" s="6"/>
      <c r="U745" s="6"/>
      <c r="V745" s="339"/>
      <c r="W745" s="339"/>
      <c r="X745" s="6"/>
      <c r="Y745" s="206"/>
      <c r="AE745" s="6"/>
      <c r="AF745" s="6"/>
      <c r="AG745" s="6"/>
      <c r="AH745" s="206"/>
      <c r="AJ745" s="213"/>
      <c r="AK745" s="6"/>
      <c r="AL745" s="6"/>
      <c r="AM745" s="6"/>
      <c r="AN745" s="206"/>
      <c r="AP745" s="213"/>
      <c r="AQ745" s="6"/>
      <c r="AR745" s="6"/>
      <c r="AS745" s="6"/>
      <c r="AT745" s="206"/>
      <c r="AV745" s="213"/>
      <c r="AW745" s="6"/>
      <c r="AX745" s="6"/>
      <c r="AY745" s="6"/>
      <c r="AZ745" s="206"/>
    </row>
    <row r="746" spans="4:52" s="2" customFormat="1" ht="17.100000000000001" customHeight="1" x14ac:dyDescent="0.25">
      <c r="D746" s="3"/>
      <c r="E746" s="3"/>
      <c r="F746" s="4"/>
      <c r="G746" s="4"/>
      <c r="H746" s="138"/>
      <c r="I746" s="97"/>
      <c r="J746" s="6"/>
      <c r="K746" s="6"/>
      <c r="L746" s="6"/>
      <c r="M746" s="6"/>
      <c r="N746" s="6"/>
      <c r="O746" s="6"/>
      <c r="P746" s="6"/>
      <c r="Q746" s="6"/>
      <c r="R746" s="6"/>
      <c r="S746" s="6"/>
      <c r="T746" s="6"/>
      <c r="U746" s="6"/>
      <c r="V746" s="339"/>
      <c r="W746" s="339"/>
      <c r="X746" s="6"/>
      <c r="Y746" s="206"/>
      <c r="AE746" s="6"/>
      <c r="AF746" s="6"/>
      <c r="AG746" s="6"/>
      <c r="AH746" s="206"/>
      <c r="AJ746" s="213"/>
      <c r="AK746" s="6"/>
      <c r="AL746" s="6"/>
      <c r="AM746" s="6"/>
      <c r="AN746" s="206"/>
      <c r="AP746" s="213"/>
      <c r="AQ746" s="6"/>
      <c r="AR746" s="6"/>
      <c r="AS746" s="6"/>
      <c r="AT746" s="206"/>
      <c r="AV746" s="213"/>
      <c r="AW746" s="6"/>
      <c r="AX746" s="6"/>
      <c r="AY746" s="6"/>
      <c r="AZ746" s="206"/>
    </row>
    <row r="747" spans="4:52" s="2" customFormat="1" ht="17.100000000000001" customHeight="1" x14ac:dyDescent="0.25">
      <c r="D747" s="3"/>
      <c r="E747" s="3"/>
      <c r="F747" s="4"/>
      <c r="G747" s="4"/>
      <c r="H747" s="138"/>
      <c r="I747" s="97"/>
      <c r="J747" s="6"/>
      <c r="K747" s="6"/>
      <c r="L747" s="6"/>
      <c r="M747" s="6"/>
      <c r="N747" s="6"/>
      <c r="O747" s="6"/>
      <c r="P747" s="6"/>
      <c r="Q747" s="6"/>
      <c r="R747" s="6"/>
      <c r="S747" s="6"/>
      <c r="T747" s="6"/>
      <c r="U747" s="6"/>
      <c r="V747" s="339"/>
      <c r="W747" s="339"/>
      <c r="X747" s="6"/>
      <c r="Y747" s="206"/>
      <c r="AE747" s="6"/>
      <c r="AF747" s="6"/>
      <c r="AG747" s="6"/>
      <c r="AH747" s="206"/>
      <c r="AJ747" s="213"/>
      <c r="AK747" s="6"/>
      <c r="AL747" s="6"/>
      <c r="AM747" s="6"/>
      <c r="AN747" s="206"/>
      <c r="AP747" s="213"/>
      <c r="AQ747" s="6"/>
      <c r="AR747" s="6"/>
      <c r="AS747" s="6"/>
      <c r="AT747" s="206"/>
      <c r="AV747" s="213"/>
      <c r="AW747" s="6"/>
      <c r="AX747" s="6"/>
      <c r="AY747" s="6"/>
      <c r="AZ747" s="206"/>
    </row>
    <row r="748" spans="4:52" s="2" customFormat="1" ht="17.100000000000001" customHeight="1" x14ac:dyDescent="0.25">
      <c r="D748" s="3"/>
      <c r="E748" s="3"/>
      <c r="F748" s="4"/>
      <c r="G748" s="4"/>
      <c r="H748" s="138"/>
      <c r="I748" s="97"/>
      <c r="J748" s="6"/>
      <c r="K748" s="6"/>
      <c r="L748" s="6"/>
      <c r="M748" s="6"/>
      <c r="N748" s="6"/>
      <c r="O748" s="6"/>
      <c r="P748" s="6"/>
      <c r="Q748" s="6"/>
      <c r="R748" s="6"/>
      <c r="S748" s="6"/>
      <c r="T748" s="6"/>
      <c r="U748" s="6"/>
      <c r="V748" s="339"/>
      <c r="W748" s="339"/>
      <c r="X748" s="6"/>
      <c r="Y748" s="206"/>
      <c r="AE748" s="6"/>
      <c r="AF748" s="6"/>
      <c r="AG748" s="6"/>
      <c r="AH748" s="206"/>
      <c r="AJ748" s="213"/>
      <c r="AK748" s="6"/>
      <c r="AL748" s="6"/>
      <c r="AM748" s="6"/>
      <c r="AN748" s="206"/>
      <c r="AP748" s="213"/>
      <c r="AQ748" s="6"/>
      <c r="AR748" s="6"/>
      <c r="AS748" s="6"/>
      <c r="AT748" s="206"/>
      <c r="AV748" s="213"/>
      <c r="AW748" s="6"/>
      <c r="AX748" s="6"/>
      <c r="AY748" s="6"/>
      <c r="AZ748" s="206"/>
    </row>
    <row r="749" spans="4:52" s="2" customFormat="1" ht="17.100000000000001" customHeight="1" x14ac:dyDescent="0.25">
      <c r="D749" s="3"/>
      <c r="E749" s="3"/>
      <c r="F749" s="4"/>
      <c r="G749" s="4"/>
      <c r="H749" s="138"/>
      <c r="I749" s="97"/>
      <c r="J749" s="6"/>
      <c r="K749" s="6"/>
      <c r="L749" s="6"/>
      <c r="M749" s="6"/>
      <c r="N749" s="6"/>
      <c r="O749" s="6"/>
      <c r="P749" s="6"/>
      <c r="Q749" s="6"/>
      <c r="R749" s="6"/>
      <c r="S749" s="6"/>
      <c r="T749" s="6"/>
      <c r="U749" s="6"/>
      <c r="V749" s="339"/>
      <c r="W749" s="339"/>
      <c r="X749" s="6"/>
      <c r="Y749" s="206"/>
      <c r="AE749" s="6"/>
      <c r="AF749" s="6"/>
      <c r="AG749" s="6"/>
      <c r="AH749" s="206"/>
      <c r="AJ749" s="213"/>
      <c r="AK749" s="6"/>
      <c r="AL749" s="6"/>
      <c r="AM749" s="6"/>
      <c r="AN749" s="206"/>
      <c r="AP749" s="213"/>
      <c r="AQ749" s="6"/>
      <c r="AR749" s="6"/>
      <c r="AS749" s="6"/>
      <c r="AT749" s="206"/>
      <c r="AV749" s="213"/>
      <c r="AW749" s="6"/>
      <c r="AX749" s="6"/>
      <c r="AY749" s="6"/>
      <c r="AZ749" s="206"/>
    </row>
    <row r="750" spans="4:52" s="2" customFormat="1" ht="17.100000000000001" customHeight="1" x14ac:dyDescent="0.25">
      <c r="D750" s="3"/>
      <c r="E750" s="3"/>
      <c r="F750" s="4"/>
      <c r="G750" s="4"/>
      <c r="H750" s="138"/>
      <c r="I750" s="97"/>
      <c r="J750" s="6"/>
      <c r="K750" s="6"/>
      <c r="L750" s="6"/>
      <c r="M750" s="6"/>
      <c r="N750" s="6"/>
      <c r="O750" s="6"/>
      <c r="P750" s="6"/>
      <c r="Q750" s="6"/>
      <c r="R750" s="6"/>
      <c r="S750" s="6"/>
      <c r="T750" s="6"/>
      <c r="U750" s="6"/>
      <c r="V750" s="339"/>
      <c r="W750" s="339"/>
      <c r="X750" s="6"/>
      <c r="Y750" s="206"/>
      <c r="AE750" s="6"/>
      <c r="AF750" s="6"/>
      <c r="AG750" s="6"/>
      <c r="AH750" s="206"/>
      <c r="AJ750" s="213"/>
      <c r="AK750" s="6"/>
      <c r="AL750" s="6"/>
      <c r="AM750" s="6"/>
      <c r="AN750" s="206"/>
      <c r="AP750" s="213"/>
      <c r="AQ750" s="6"/>
      <c r="AR750" s="6"/>
      <c r="AS750" s="6"/>
      <c r="AT750" s="206"/>
      <c r="AV750" s="213"/>
      <c r="AW750" s="6"/>
      <c r="AX750" s="6"/>
      <c r="AY750" s="6"/>
      <c r="AZ750" s="206"/>
    </row>
    <row r="751" spans="4:52" s="2" customFormat="1" ht="17.100000000000001" customHeight="1" x14ac:dyDescent="0.25">
      <c r="D751" s="3"/>
      <c r="E751" s="3"/>
      <c r="F751" s="4"/>
      <c r="G751" s="4"/>
      <c r="H751" s="138"/>
      <c r="I751" s="97"/>
      <c r="J751" s="6"/>
      <c r="K751" s="6"/>
      <c r="L751" s="6"/>
      <c r="M751" s="6"/>
      <c r="N751" s="6"/>
      <c r="O751" s="6"/>
      <c r="P751" s="6"/>
      <c r="Q751" s="6"/>
      <c r="R751" s="6"/>
      <c r="S751" s="6"/>
      <c r="T751" s="6"/>
      <c r="U751" s="6"/>
      <c r="V751" s="339"/>
      <c r="W751" s="339"/>
      <c r="X751" s="6"/>
      <c r="Y751" s="206"/>
      <c r="AE751" s="6"/>
      <c r="AF751" s="6"/>
      <c r="AG751" s="6"/>
      <c r="AH751" s="206"/>
      <c r="AJ751" s="213"/>
      <c r="AK751" s="6"/>
      <c r="AL751" s="6"/>
      <c r="AM751" s="6"/>
      <c r="AN751" s="206"/>
      <c r="AP751" s="213"/>
      <c r="AQ751" s="6"/>
      <c r="AR751" s="6"/>
      <c r="AS751" s="6"/>
      <c r="AT751" s="206"/>
      <c r="AV751" s="213"/>
      <c r="AW751" s="6"/>
      <c r="AX751" s="6"/>
      <c r="AY751" s="6"/>
      <c r="AZ751" s="206"/>
    </row>
    <row r="752" spans="4:52" s="2" customFormat="1" ht="17.100000000000001" customHeight="1" x14ac:dyDescent="0.25">
      <c r="D752" s="3"/>
      <c r="E752" s="3"/>
      <c r="F752" s="4"/>
      <c r="G752" s="4"/>
      <c r="H752" s="138"/>
      <c r="I752" s="97"/>
      <c r="J752" s="6"/>
      <c r="K752" s="6"/>
      <c r="L752" s="6"/>
      <c r="M752" s="6"/>
      <c r="N752" s="6"/>
      <c r="O752" s="6"/>
      <c r="P752" s="6"/>
      <c r="Q752" s="6"/>
      <c r="R752" s="6"/>
      <c r="S752" s="6"/>
      <c r="T752" s="6"/>
      <c r="U752" s="6"/>
      <c r="V752" s="339"/>
      <c r="W752" s="339"/>
      <c r="X752" s="6"/>
      <c r="Y752" s="206"/>
      <c r="AE752" s="6"/>
      <c r="AF752" s="6"/>
      <c r="AG752" s="6"/>
      <c r="AH752" s="206"/>
      <c r="AJ752" s="213"/>
      <c r="AK752" s="6"/>
      <c r="AL752" s="6"/>
      <c r="AM752" s="6"/>
      <c r="AN752" s="206"/>
      <c r="AP752" s="213"/>
      <c r="AQ752" s="6"/>
      <c r="AR752" s="6"/>
      <c r="AS752" s="6"/>
      <c r="AT752" s="206"/>
      <c r="AV752" s="213"/>
      <c r="AW752" s="6"/>
      <c r="AX752" s="6"/>
      <c r="AY752" s="6"/>
      <c r="AZ752" s="206"/>
    </row>
    <row r="753" spans="4:52" s="2" customFormat="1" ht="17.100000000000001" customHeight="1" x14ac:dyDescent="0.25">
      <c r="D753" s="3"/>
      <c r="E753" s="3"/>
      <c r="F753" s="4"/>
      <c r="G753" s="4"/>
      <c r="H753" s="138"/>
      <c r="I753" s="97"/>
      <c r="J753" s="6"/>
      <c r="K753" s="6"/>
      <c r="L753" s="6"/>
      <c r="M753" s="6"/>
      <c r="N753" s="6"/>
      <c r="O753" s="6"/>
      <c r="P753" s="6"/>
      <c r="Q753" s="6"/>
      <c r="R753" s="6"/>
      <c r="S753" s="6"/>
      <c r="T753" s="6"/>
      <c r="U753" s="6"/>
      <c r="V753" s="339"/>
      <c r="W753" s="339"/>
      <c r="X753" s="6"/>
      <c r="Y753" s="206"/>
      <c r="AE753" s="6"/>
      <c r="AF753" s="6"/>
      <c r="AG753" s="6"/>
      <c r="AH753" s="206"/>
      <c r="AJ753" s="213"/>
      <c r="AK753" s="6"/>
      <c r="AL753" s="6"/>
      <c r="AM753" s="6"/>
      <c r="AN753" s="206"/>
      <c r="AP753" s="213"/>
      <c r="AQ753" s="6"/>
      <c r="AR753" s="6"/>
      <c r="AS753" s="6"/>
      <c r="AT753" s="206"/>
      <c r="AV753" s="213"/>
      <c r="AW753" s="6"/>
      <c r="AX753" s="6"/>
      <c r="AY753" s="6"/>
      <c r="AZ753" s="206"/>
    </row>
    <row r="754" spans="4:52" s="2" customFormat="1" ht="17.100000000000001" customHeight="1" x14ac:dyDescent="0.25">
      <c r="D754" s="3"/>
      <c r="E754" s="3"/>
      <c r="F754" s="4"/>
      <c r="G754" s="4"/>
      <c r="H754" s="138"/>
      <c r="I754" s="97"/>
      <c r="J754" s="6"/>
      <c r="K754" s="6"/>
      <c r="L754" s="6"/>
      <c r="M754" s="6"/>
      <c r="N754" s="6"/>
      <c r="O754" s="6"/>
      <c r="P754" s="6"/>
      <c r="Q754" s="6"/>
      <c r="R754" s="6"/>
      <c r="S754" s="6"/>
      <c r="T754" s="6"/>
      <c r="U754" s="6"/>
      <c r="V754" s="339"/>
      <c r="W754" s="339"/>
      <c r="X754" s="6"/>
      <c r="Y754" s="206"/>
      <c r="AE754" s="6"/>
      <c r="AF754" s="6"/>
      <c r="AG754" s="6"/>
      <c r="AH754" s="206"/>
      <c r="AJ754" s="213"/>
      <c r="AK754" s="6"/>
      <c r="AL754" s="6"/>
      <c r="AM754" s="6"/>
      <c r="AN754" s="206"/>
      <c r="AP754" s="213"/>
      <c r="AQ754" s="6"/>
      <c r="AR754" s="6"/>
      <c r="AS754" s="6"/>
      <c r="AT754" s="206"/>
      <c r="AV754" s="213"/>
      <c r="AW754" s="6"/>
      <c r="AX754" s="6"/>
      <c r="AY754" s="6"/>
      <c r="AZ754" s="206"/>
    </row>
    <row r="755" spans="4:52" s="2" customFormat="1" ht="17.100000000000001" customHeight="1" x14ac:dyDescent="0.25">
      <c r="D755" s="3"/>
      <c r="E755" s="3"/>
      <c r="F755" s="4"/>
      <c r="G755" s="4"/>
      <c r="H755" s="138"/>
      <c r="I755" s="97"/>
      <c r="J755" s="6"/>
      <c r="K755" s="6"/>
      <c r="L755" s="6"/>
      <c r="M755" s="6"/>
      <c r="N755" s="6"/>
      <c r="O755" s="6"/>
      <c r="P755" s="6"/>
      <c r="Q755" s="6"/>
      <c r="R755" s="6"/>
      <c r="S755" s="6"/>
      <c r="T755" s="6"/>
      <c r="U755" s="6"/>
      <c r="V755" s="339"/>
      <c r="W755" s="339"/>
      <c r="X755" s="6"/>
      <c r="Y755" s="206"/>
      <c r="AE755" s="6"/>
      <c r="AF755" s="6"/>
      <c r="AG755" s="6"/>
      <c r="AH755" s="206"/>
      <c r="AJ755" s="213"/>
      <c r="AK755" s="6"/>
      <c r="AL755" s="6"/>
      <c r="AM755" s="6"/>
      <c r="AN755" s="206"/>
      <c r="AP755" s="213"/>
      <c r="AQ755" s="6"/>
      <c r="AR755" s="6"/>
      <c r="AS755" s="6"/>
      <c r="AT755" s="206"/>
      <c r="AV755" s="213"/>
      <c r="AW755" s="6"/>
      <c r="AX755" s="6"/>
      <c r="AY755" s="6"/>
      <c r="AZ755" s="206"/>
    </row>
    <row r="756" spans="4:52" s="2" customFormat="1" ht="17.100000000000001" customHeight="1" x14ac:dyDescent="0.25">
      <c r="D756" s="3"/>
      <c r="E756" s="3"/>
      <c r="F756" s="4"/>
      <c r="G756" s="4"/>
      <c r="H756" s="138"/>
      <c r="I756" s="97"/>
      <c r="J756" s="6"/>
      <c r="K756" s="6"/>
      <c r="L756" s="6"/>
      <c r="M756" s="6"/>
      <c r="N756" s="6"/>
      <c r="O756" s="6"/>
      <c r="P756" s="6"/>
      <c r="Q756" s="6"/>
      <c r="R756" s="6"/>
      <c r="S756" s="6"/>
      <c r="T756" s="6"/>
      <c r="U756" s="6"/>
      <c r="V756" s="339"/>
      <c r="W756" s="339"/>
      <c r="X756" s="6"/>
      <c r="Y756" s="206"/>
      <c r="AE756" s="6"/>
      <c r="AF756" s="6"/>
      <c r="AG756" s="6"/>
      <c r="AH756" s="206"/>
      <c r="AJ756" s="213"/>
      <c r="AK756" s="6"/>
      <c r="AL756" s="6"/>
      <c r="AM756" s="6"/>
      <c r="AN756" s="206"/>
      <c r="AP756" s="213"/>
      <c r="AQ756" s="6"/>
      <c r="AR756" s="6"/>
      <c r="AS756" s="6"/>
      <c r="AT756" s="206"/>
      <c r="AV756" s="213"/>
      <c r="AW756" s="6"/>
      <c r="AX756" s="6"/>
      <c r="AY756" s="6"/>
      <c r="AZ756" s="206"/>
    </row>
    <row r="757" spans="4:52" s="2" customFormat="1" ht="17.100000000000001" customHeight="1" x14ac:dyDescent="0.25">
      <c r="D757" s="3"/>
      <c r="E757" s="3"/>
      <c r="F757" s="4"/>
      <c r="G757" s="4"/>
      <c r="H757" s="138"/>
      <c r="I757" s="97"/>
      <c r="J757" s="6"/>
      <c r="K757" s="6"/>
      <c r="L757" s="6"/>
      <c r="M757" s="6"/>
      <c r="N757" s="6"/>
      <c r="O757" s="6"/>
      <c r="P757" s="6"/>
      <c r="Q757" s="6"/>
      <c r="R757" s="6"/>
      <c r="S757" s="6"/>
      <c r="T757" s="6"/>
      <c r="U757" s="6"/>
      <c r="V757" s="339"/>
      <c r="W757" s="339"/>
      <c r="X757" s="6"/>
      <c r="Y757" s="206"/>
      <c r="AE757" s="6"/>
      <c r="AF757" s="6"/>
      <c r="AG757" s="6"/>
      <c r="AH757" s="206"/>
      <c r="AJ757" s="213"/>
      <c r="AK757" s="6"/>
      <c r="AL757" s="6"/>
      <c r="AM757" s="6"/>
      <c r="AN757" s="206"/>
      <c r="AP757" s="213"/>
      <c r="AQ757" s="6"/>
      <c r="AR757" s="6"/>
      <c r="AS757" s="6"/>
      <c r="AT757" s="206"/>
      <c r="AV757" s="213"/>
      <c r="AW757" s="6"/>
      <c r="AX757" s="6"/>
      <c r="AY757" s="6"/>
      <c r="AZ757" s="206"/>
    </row>
    <row r="758" spans="4:52" s="2" customFormat="1" ht="17.100000000000001" customHeight="1" x14ac:dyDescent="0.25">
      <c r="D758" s="3"/>
      <c r="E758" s="3"/>
      <c r="F758" s="4"/>
      <c r="G758" s="4"/>
      <c r="H758" s="138"/>
      <c r="I758" s="97"/>
      <c r="J758" s="6"/>
      <c r="K758" s="6"/>
      <c r="L758" s="6"/>
      <c r="M758" s="6"/>
      <c r="N758" s="6"/>
      <c r="O758" s="6"/>
      <c r="P758" s="6"/>
      <c r="Q758" s="6"/>
      <c r="R758" s="6"/>
      <c r="S758" s="6"/>
      <c r="T758" s="6"/>
      <c r="U758" s="6"/>
      <c r="V758" s="339"/>
      <c r="W758" s="339"/>
      <c r="X758" s="6"/>
      <c r="Y758" s="206"/>
      <c r="AE758" s="6"/>
      <c r="AF758" s="6"/>
      <c r="AG758" s="6"/>
      <c r="AH758" s="206"/>
      <c r="AJ758" s="213"/>
      <c r="AK758" s="6"/>
      <c r="AL758" s="6"/>
      <c r="AM758" s="6"/>
      <c r="AN758" s="206"/>
      <c r="AP758" s="213"/>
      <c r="AQ758" s="6"/>
      <c r="AR758" s="6"/>
      <c r="AS758" s="6"/>
      <c r="AT758" s="206"/>
      <c r="AV758" s="213"/>
      <c r="AW758" s="6"/>
      <c r="AX758" s="6"/>
      <c r="AY758" s="6"/>
      <c r="AZ758" s="206"/>
    </row>
    <row r="759" spans="4:52" s="2" customFormat="1" ht="17.100000000000001" customHeight="1" x14ac:dyDescent="0.25">
      <c r="D759" s="3"/>
      <c r="E759" s="3"/>
      <c r="F759" s="4"/>
      <c r="G759" s="4"/>
      <c r="H759" s="138"/>
      <c r="I759" s="97"/>
      <c r="J759" s="6"/>
      <c r="K759" s="6"/>
      <c r="L759" s="6"/>
      <c r="M759" s="6"/>
      <c r="N759" s="6"/>
      <c r="O759" s="6"/>
      <c r="P759" s="6"/>
      <c r="Q759" s="6"/>
      <c r="R759" s="6"/>
      <c r="S759" s="6"/>
      <c r="T759" s="6"/>
      <c r="U759" s="6"/>
      <c r="V759" s="339"/>
      <c r="W759" s="339"/>
      <c r="X759" s="6"/>
      <c r="Y759" s="206"/>
      <c r="AE759" s="6"/>
      <c r="AF759" s="6"/>
      <c r="AG759" s="6"/>
      <c r="AH759" s="206"/>
      <c r="AJ759" s="213"/>
      <c r="AK759" s="6"/>
      <c r="AL759" s="6"/>
      <c r="AM759" s="6"/>
      <c r="AN759" s="206"/>
      <c r="AP759" s="213"/>
      <c r="AQ759" s="6"/>
      <c r="AR759" s="6"/>
      <c r="AS759" s="6"/>
      <c r="AT759" s="206"/>
      <c r="AV759" s="213"/>
      <c r="AW759" s="6"/>
      <c r="AX759" s="6"/>
      <c r="AY759" s="6"/>
      <c r="AZ759" s="206"/>
    </row>
    <row r="760" spans="4:52" s="2" customFormat="1" ht="17.100000000000001" customHeight="1" x14ac:dyDescent="0.25">
      <c r="D760" s="3"/>
      <c r="E760" s="3"/>
      <c r="F760" s="4"/>
      <c r="G760" s="4"/>
      <c r="H760" s="138"/>
      <c r="I760" s="97"/>
      <c r="J760" s="6"/>
      <c r="K760" s="6"/>
      <c r="L760" s="6"/>
      <c r="M760" s="6"/>
      <c r="N760" s="6"/>
      <c r="O760" s="6"/>
      <c r="P760" s="6"/>
      <c r="Q760" s="6"/>
      <c r="R760" s="6"/>
      <c r="S760" s="6"/>
      <c r="T760" s="6"/>
      <c r="U760" s="6"/>
      <c r="V760" s="339"/>
      <c r="W760" s="339"/>
      <c r="X760" s="6"/>
      <c r="Y760" s="206"/>
      <c r="AE760" s="6"/>
      <c r="AF760" s="6"/>
      <c r="AG760" s="6"/>
      <c r="AH760" s="206"/>
      <c r="AJ760" s="213"/>
      <c r="AK760" s="6"/>
      <c r="AL760" s="6"/>
      <c r="AM760" s="6"/>
      <c r="AN760" s="206"/>
      <c r="AP760" s="213"/>
      <c r="AQ760" s="6"/>
      <c r="AR760" s="6"/>
      <c r="AS760" s="6"/>
      <c r="AT760" s="206"/>
      <c r="AV760" s="213"/>
      <c r="AW760" s="6"/>
      <c r="AX760" s="6"/>
      <c r="AY760" s="6"/>
      <c r="AZ760" s="206"/>
    </row>
    <row r="761" spans="4:52" s="2" customFormat="1" ht="17.100000000000001" customHeight="1" x14ac:dyDescent="0.25">
      <c r="D761" s="3"/>
      <c r="E761" s="3"/>
      <c r="F761" s="4"/>
      <c r="G761" s="4"/>
      <c r="H761" s="138"/>
      <c r="I761" s="97"/>
      <c r="J761" s="6"/>
      <c r="K761" s="6"/>
      <c r="L761" s="6"/>
      <c r="M761" s="6"/>
      <c r="N761" s="6"/>
      <c r="O761" s="6"/>
      <c r="P761" s="6"/>
      <c r="Q761" s="6"/>
      <c r="R761" s="6"/>
      <c r="S761" s="6"/>
      <c r="T761" s="6"/>
      <c r="U761" s="6"/>
      <c r="V761" s="339"/>
      <c r="W761" s="339"/>
      <c r="X761" s="6"/>
      <c r="Y761" s="206"/>
      <c r="AE761" s="6"/>
      <c r="AF761" s="6"/>
      <c r="AG761" s="6"/>
      <c r="AH761" s="206"/>
      <c r="AJ761" s="213"/>
      <c r="AK761" s="6"/>
      <c r="AL761" s="6"/>
      <c r="AM761" s="6"/>
      <c r="AN761" s="206"/>
      <c r="AP761" s="213"/>
      <c r="AQ761" s="6"/>
      <c r="AR761" s="6"/>
      <c r="AS761" s="6"/>
      <c r="AT761" s="206"/>
      <c r="AV761" s="213"/>
      <c r="AW761" s="6"/>
      <c r="AX761" s="6"/>
      <c r="AY761" s="6"/>
      <c r="AZ761" s="206"/>
    </row>
    <row r="762" spans="4:52" s="2" customFormat="1" ht="17.100000000000001" customHeight="1" x14ac:dyDescent="0.25">
      <c r="D762" s="3"/>
      <c r="E762" s="3"/>
      <c r="F762" s="4"/>
      <c r="G762" s="4"/>
      <c r="H762" s="138"/>
      <c r="I762" s="97"/>
      <c r="J762" s="6"/>
      <c r="K762" s="6"/>
      <c r="L762" s="6"/>
      <c r="M762" s="6"/>
      <c r="N762" s="6"/>
      <c r="O762" s="6"/>
      <c r="P762" s="6"/>
      <c r="Q762" s="6"/>
      <c r="R762" s="6"/>
      <c r="S762" s="6"/>
      <c r="T762" s="6"/>
      <c r="U762" s="6"/>
      <c r="V762" s="339"/>
      <c r="W762" s="339"/>
      <c r="X762" s="6"/>
      <c r="Y762" s="206"/>
      <c r="AE762" s="6"/>
      <c r="AF762" s="6"/>
      <c r="AG762" s="6"/>
      <c r="AH762" s="206"/>
      <c r="AJ762" s="213"/>
      <c r="AK762" s="6"/>
      <c r="AL762" s="6"/>
      <c r="AM762" s="6"/>
      <c r="AN762" s="206"/>
      <c r="AP762" s="213"/>
      <c r="AQ762" s="6"/>
      <c r="AR762" s="6"/>
      <c r="AS762" s="6"/>
      <c r="AT762" s="206"/>
      <c r="AV762" s="213"/>
      <c r="AW762" s="6"/>
      <c r="AX762" s="6"/>
      <c r="AY762" s="6"/>
      <c r="AZ762" s="206"/>
    </row>
    <row r="763" spans="4:52" s="2" customFormat="1" ht="17.100000000000001" customHeight="1" x14ac:dyDescent="0.25">
      <c r="D763" s="3"/>
      <c r="E763" s="3"/>
      <c r="F763" s="4"/>
      <c r="G763" s="4"/>
      <c r="H763" s="138"/>
      <c r="I763" s="97"/>
      <c r="J763" s="6"/>
      <c r="K763" s="6"/>
      <c r="L763" s="6"/>
      <c r="M763" s="6"/>
      <c r="N763" s="6"/>
      <c r="O763" s="6"/>
      <c r="P763" s="6"/>
      <c r="Q763" s="6"/>
      <c r="R763" s="6"/>
      <c r="S763" s="6"/>
      <c r="T763" s="6"/>
      <c r="U763" s="6"/>
      <c r="V763" s="339"/>
      <c r="W763" s="339"/>
      <c r="X763" s="6"/>
      <c r="Y763" s="206"/>
      <c r="AE763" s="6"/>
      <c r="AF763" s="6"/>
      <c r="AG763" s="6"/>
      <c r="AH763" s="206"/>
      <c r="AJ763" s="213"/>
      <c r="AK763" s="6"/>
      <c r="AL763" s="6"/>
      <c r="AM763" s="6"/>
      <c r="AN763" s="206"/>
      <c r="AP763" s="213"/>
      <c r="AQ763" s="6"/>
      <c r="AR763" s="6"/>
      <c r="AS763" s="6"/>
      <c r="AT763" s="206"/>
      <c r="AV763" s="213"/>
      <c r="AW763" s="6"/>
      <c r="AX763" s="6"/>
      <c r="AY763" s="6"/>
      <c r="AZ763" s="206"/>
    </row>
    <row r="764" spans="4:52" s="2" customFormat="1" ht="17.100000000000001" customHeight="1" x14ac:dyDescent="0.25">
      <c r="D764" s="3"/>
      <c r="E764" s="3"/>
      <c r="F764" s="4"/>
      <c r="G764" s="4"/>
      <c r="H764" s="138"/>
      <c r="I764" s="97"/>
      <c r="J764" s="6"/>
      <c r="K764" s="6"/>
      <c r="L764" s="6"/>
      <c r="M764" s="6"/>
      <c r="N764" s="6"/>
      <c r="O764" s="6"/>
      <c r="P764" s="6"/>
      <c r="Q764" s="6"/>
      <c r="R764" s="6"/>
      <c r="S764" s="6"/>
      <c r="T764" s="6"/>
      <c r="U764" s="6"/>
      <c r="V764" s="339"/>
      <c r="W764" s="339"/>
      <c r="X764" s="6"/>
      <c r="Y764" s="206"/>
      <c r="AE764" s="6"/>
      <c r="AF764" s="6"/>
      <c r="AG764" s="6"/>
      <c r="AH764" s="206"/>
      <c r="AJ764" s="213"/>
      <c r="AK764" s="6"/>
      <c r="AL764" s="6"/>
      <c r="AM764" s="6"/>
      <c r="AN764" s="206"/>
      <c r="AP764" s="213"/>
      <c r="AQ764" s="6"/>
      <c r="AR764" s="6"/>
      <c r="AS764" s="6"/>
      <c r="AT764" s="206"/>
      <c r="AV764" s="213"/>
      <c r="AW764" s="6"/>
      <c r="AX764" s="6"/>
      <c r="AY764" s="6"/>
      <c r="AZ764" s="206"/>
    </row>
    <row r="765" spans="4:52" s="2" customFormat="1" ht="17.100000000000001" customHeight="1" x14ac:dyDescent="0.25">
      <c r="D765" s="3"/>
      <c r="E765" s="3"/>
      <c r="F765" s="4"/>
      <c r="G765" s="4"/>
      <c r="H765" s="138"/>
      <c r="I765" s="97"/>
      <c r="J765" s="6"/>
      <c r="K765" s="6"/>
      <c r="L765" s="6"/>
      <c r="M765" s="6"/>
      <c r="N765" s="6"/>
      <c r="O765" s="6"/>
      <c r="P765" s="6"/>
      <c r="Q765" s="6"/>
      <c r="R765" s="6"/>
      <c r="S765" s="6"/>
      <c r="T765" s="6"/>
      <c r="U765" s="6"/>
      <c r="V765" s="339"/>
      <c r="W765" s="339"/>
      <c r="X765" s="6"/>
      <c r="Y765" s="206"/>
      <c r="AE765" s="6"/>
      <c r="AF765" s="6"/>
      <c r="AG765" s="6"/>
      <c r="AH765" s="206"/>
      <c r="AJ765" s="213"/>
      <c r="AK765" s="6"/>
      <c r="AL765" s="6"/>
      <c r="AM765" s="6"/>
      <c r="AN765" s="206"/>
      <c r="AP765" s="213"/>
      <c r="AQ765" s="6"/>
      <c r="AR765" s="6"/>
      <c r="AS765" s="6"/>
      <c r="AT765" s="206"/>
      <c r="AV765" s="213"/>
      <c r="AW765" s="6"/>
      <c r="AX765" s="6"/>
      <c r="AY765" s="6"/>
      <c r="AZ765" s="206"/>
    </row>
    <row r="766" spans="4:52" s="2" customFormat="1" ht="17.100000000000001" customHeight="1" x14ac:dyDescent="0.25">
      <c r="D766" s="3"/>
      <c r="E766" s="3"/>
      <c r="F766" s="4"/>
      <c r="G766" s="4"/>
      <c r="H766" s="138"/>
      <c r="I766" s="97"/>
      <c r="J766" s="6"/>
      <c r="K766" s="6"/>
      <c r="L766" s="6"/>
      <c r="M766" s="6"/>
      <c r="N766" s="6"/>
      <c r="O766" s="6"/>
      <c r="P766" s="6"/>
      <c r="Q766" s="6"/>
      <c r="R766" s="6"/>
      <c r="S766" s="6"/>
      <c r="T766" s="6"/>
      <c r="U766" s="6"/>
      <c r="V766" s="339"/>
      <c r="W766" s="339"/>
      <c r="X766" s="6"/>
      <c r="Y766" s="206"/>
      <c r="AE766" s="6"/>
      <c r="AF766" s="6"/>
      <c r="AG766" s="6"/>
      <c r="AH766" s="206"/>
      <c r="AJ766" s="213"/>
      <c r="AK766" s="6"/>
      <c r="AL766" s="6"/>
      <c r="AM766" s="6"/>
      <c r="AN766" s="206"/>
      <c r="AP766" s="213"/>
      <c r="AQ766" s="6"/>
      <c r="AR766" s="6"/>
      <c r="AS766" s="6"/>
      <c r="AT766" s="206"/>
      <c r="AV766" s="213"/>
      <c r="AW766" s="6"/>
      <c r="AX766" s="6"/>
      <c r="AY766" s="6"/>
      <c r="AZ766" s="206"/>
    </row>
    <row r="767" spans="4:52" s="2" customFormat="1" ht="17.100000000000001" customHeight="1" x14ac:dyDescent="0.25">
      <c r="D767" s="3"/>
      <c r="E767" s="3"/>
      <c r="F767" s="4"/>
      <c r="G767" s="4"/>
      <c r="H767" s="138"/>
      <c r="I767" s="97"/>
      <c r="J767" s="6"/>
      <c r="K767" s="6"/>
      <c r="L767" s="6"/>
      <c r="M767" s="6"/>
      <c r="N767" s="6"/>
      <c r="O767" s="6"/>
      <c r="P767" s="6"/>
      <c r="Q767" s="6"/>
      <c r="R767" s="6"/>
      <c r="S767" s="6"/>
      <c r="T767" s="6"/>
      <c r="U767" s="6"/>
      <c r="V767" s="339"/>
      <c r="W767" s="339"/>
      <c r="X767" s="6"/>
      <c r="Y767" s="206"/>
      <c r="AE767" s="6"/>
      <c r="AF767" s="6"/>
      <c r="AG767" s="6"/>
      <c r="AH767" s="206"/>
      <c r="AJ767" s="213"/>
      <c r="AK767" s="6"/>
      <c r="AL767" s="6"/>
      <c r="AM767" s="6"/>
      <c r="AN767" s="206"/>
      <c r="AP767" s="213"/>
      <c r="AQ767" s="6"/>
      <c r="AR767" s="6"/>
      <c r="AS767" s="6"/>
      <c r="AT767" s="206"/>
      <c r="AV767" s="213"/>
      <c r="AW767" s="6"/>
      <c r="AX767" s="6"/>
      <c r="AY767" s="6"/>
      <c r="AZ767" s="206"/>
    </row>
    <row r="768" spans="4:52" s="2" customFormat="1" ht="17.100000000000001" customHeight="1" x14ac:dyDescent="0.25">
      <c r="D768" s="3"/>
      <c r="E768" s="3"/>
      <c r="F768" s="4"/>
      <c r="G768" s="4"/>
      <c r="H768" s="138"/>
      <c r="I768" s="97"/>
      <c r="J768" s="6"/>
      <c r="K768" s="6"/>
      <c r="L768" s="6"/>
      <c r="M768" s="6"/>
      <c r="N768" s="6"/>
      <c r="O768" s="6"/>
      <c r="P768" s="6"/>
      <c r="Q768" s="6"/>
      <c r="R768" s="6"/>
      <c r="S768" s="6"/>
      <c r="T768" s="6"/>
      <c r="U768" s="6"/>
      <c r="V768" s="339"/>
      <c r="W768" s="339"/>
      <c r="X768" s="6"/>
      <c r="Y768" s="206"/>
      <c r="AE768" s="6"/>
      <c r="AF768" s="6"/>
      <c r="AG768" s="6"/>
      <c r="AH768" s="206"/>
      <c r="AJ768" s="213"/>
      <c r="AK768" s="6"/>
      <c r="AL768" s="6"/>
      <c r="AM768" s="6"/>
      <c r="AN768" s="206"/>
      <c r="AP768" s="213"/>
      <c r="AQ768" s="6"/>
      <c r="AR768" s="6"/>
      <c r="AS768" s="6"/>
      <c r="AT768" s="206"/>
      <c r="AV768" s="213"/>
      <c r="AW768" s="6"/>
      <c r="AX768" s="6"/>
      <c r="AY768" s="6"/>
      <c r="AZ768" s="206"/>
    </row>
    <row r="769" spans="4:52" s="2" customFormat="1" ht="17.100000000000001" customHeight="1" x14ac:dyDescent="0.25">
      <c r="D769" s="3"/>
      <c r="E769" s="3"/>
      <c r="F769" s="4"/>
      <c r="G769" s="4"/>
      <c r="H769" s="138"/>
      <c r="I769" s="97"/>
      <c r="J769" s="6"/>
      <c r="K769" s="6"/>
      <c r="L769" s="6"/>
      <c r="M769" s="6"/>
      <c r="N769" s="6"/>
      <c r="O769" s="6"/>
      <c r="P769" s="6"/>
      <c r="Q769" s="6"/>
      <c r="R769" s="6"/>
      <c r="S769" s="6"/>
      <c r="T769" s="6"/>
      <c r="U769" s="6"/>
      <c r="V769" s="339"/>
      <c r="W769" s="339"/>
      <c r="X769" s="6"/>
      <c r="Y769" s="206"/>
      <c r="AE769" s="6"/>
      <c r="AF769" s="6"/>
      <c r="AG769" s="6"/>
      <c r="AH769" s="206"/>
      <c r="AJ769" s="213"/>
      <c r="AK769" s="6"/>
      <c r="AL769" s="6"/>
      <c r="AM769" s="6"/>
      <c r="AN769" s="206"/>
      <c r="AP769" s="213"/>
      <c r="AQ769" s="6"/>
      <c r="AR769" s="6"/>
      <c r="AS769" s="6"/>
      <c r="AT769" s="206"/>
      <c r="AV769" s="213"/>
      <c r="AW769" s="6"/>
      <c r="AX769" s="6"/>
      <c r="AY769" s="6"/>
      <c r="AZ769" s="206"/>
    </row>
    <row r="770" spans="4:52" s="2" customFormat="1" ht="17.100000000000001" customHeight="1" x14ac:dyDescent="0.25">
      <c r="D770" s="3"/>
      <c r="E770" s="3"/>
      <c r="F770" s="4"/>
      <c r="G770" s="4"/>
      <c r="H770" s="138"/>
      <c r="I770" s="97"/>
      <c r="J770" s="6"/>
      <c r="K770" s="6"/>
      <c r="L770" s="6"/>
      <c r="M770" s="6"/>
      <c r="N770" s="6"/>
      <c r="O770" s="6"/>
      <c r="P770" s="6"/>
      <c r="Q770" s="6"/>
      <c r="R770" s="6"/>
      <c r="S770" s="6"/>
      <c r="T770" s="6"/>
      <c r="U770" s="6"/>
      <c r="V770" s="339"/>
      <c r="W770" s="339"/>
      <c r="X770" s="6"/>
      <c r="Y770" s="206"/>
      <c r="AE770" s="6"/>
      <c r="AF770" s="6"/>
      <c r="AG770" s="6"/>
      <c r="AH770" s="206"/>
      <c r="AJ770" s="213"/>
      <c r="AK770" s="6"/>
      <c r="AL770" s="6"/>
      <c r="AM770" s="6"/>
      <c r="AN770" s="206"/>
      <c r="AP770" s="213"/>
      <c r="AQ770" s="6"/>
      <c r="AR770" s="6"/>
      <c r="AS770" s="6"/>
      <c r="AT770" s="206"/>
      <c r="AV770" s="213"/>
      <c r="AW770" s="6"/>
      <c r="AX770" s="6"/>
      <c r="AY770" s="6"/>
      <c r="AZ770" s="206"/>
    </row>
    <row r="771" spans="4:52" s="2" customFormat="1" ht="17.100000000000001" customHeight="1" x14ac:dyDescent="0.25">
      <c r="D771" s="3"/>
      <c r="E771" s="3"/>
      <c r="F771" s="4"/>
      <c r="G771" s="4"/>
      <c r="H771" s="138"/>
      <c r="I771" s="97"/>
      <c r="J771" s="6"/>
      <c r="K771" s="6"/>
      <c r="L771" s="6"/>
      <c r="M771" s="6"/>
      <c r="N771" s="6"/>
      <c r="O771" s="6"/>
      <c r="P771" s="6"/>
      <c r="Q771" s="6"/>
      <c r="R771" s="6"/>
      <c r="S771" s="6"/>
      <c r="T771" s="6"/>
      <c r="U771" s="6"/>
      <c r="V771" s="339"/>
      <c r="W771" s="339"/>
      <c r="X771" s="6"/>
      <c r="Y771" s="206"/>
      <c r="AE771" s="6"/>
      <c r="AF771" s="6"/>
      <c r="AG771" s="6"/>
      <c r="AH771" s="206"/>
      <c r="AJ771" s="213"/>
      <c r="AK771" s="6"/>
      <c r="AL771" s="6"/>
      <c r="AM771" s="6"/>
      <c r="AN771" s="206"/>
      <c r="AP771" s="213"/>
      <c r="AQ771" s="6"/>
      <c r="AR771" s="6"/>
      <c r="AS771" s="6"/>
      <c r="AT771" s="206"/>
      <c r="AV771" s="213"/>
      <c r="AW771" s="6"/>
      <c r="AX771" s="6"/>
      <c r="AY771" s="6"/>
      <c r="AZ771" s="206"/>
    </row>
    <row r="772" spans="4:52" s="2" customFormat="1" ht="17.100000000000001" customHeight="1" x14ac:dyDescent="0.25">
      <c r="D772" s="3"/>
      <c r="E772" s="3"/>
      <c r="F772" s="4"/>
      <c r="G772" s="4"/>
      <c r="H772" s="138"/>
      <c r="I772" s="97"/>
      <c r="J772" s="6"/>
      <c r="K772" s="6"/>
      <c r="L772" s="6"/>
      <c r="M772" s="6"/>
      <c r="N772" s="6"/>
      <c r="O772" s="6"/>
      <c r="P772" s="6"/>
      <c r="Q772" s="6"/>
      <c r="R772" s="6"/>
      <c r="S772" s="6"/>
      <c r="T772" s="6"/>
      <c r="U772" s="6"/>
      <c r="V772" s="339"/>
      <c r="W772" s="339"/>
      <c r="X772" s="6"/>
      <c r="Y772" s="206"/>
      <c r="AE772" s="6"/>
      <c r="AF772" s="6"/>
      <c r="AG772" s="6"/>
      <c r="AH772" s="206"/>
      <c r="AJ772" s="213"/>
      <c r="AK772" s="6"/>
      <c r="AL772" s="6"/>
      <c r="AM772" s="6"/>
      <c r="AN772" s="206"/>
      <c r="AP772" s="213"/>
      <c r="AQ772" s="6"/>
      <c r="AR772" s="6"/>
      <c r="AS772" s="6"/>
      <c r="AT772" s="206"/>
      <c r="AV772" s="213"/>
      <c r="AW772" s="6"/>
      <c r="AX772" s="6"/>
      <c r="AY772" s="6"/>
      <c r="AZ772" s="206"/>
    </row>
    <row r="773" spans="4:52" s="2" customFormat="1" ht="17.100000000000001" customHeight="1" x14ac:dyDescent="0.25">
      <c r="D773" s="3"/>
      <c r="E773" s="3"/>
      <c r="F773" s="4"/>
      <c r="G773" s="4"/>
      <c r="H773" s="138"/>
      <c r="I773" s="97"/>
      <c r="J773" s="6"/>
      <c r="K773" s="6"/>
      <c r="L773" s="6"/>
      <c r="M773" s="6"/>
      <c r="N773" s="6"/>
      <c r="O773" s="6"/>
      <c r="P773" s="6"/>
      <c r="Q773" s="6"/>
      <c r="R773" s="6"/>
      <c r="S773" s="6"/>
      <c r="T773" s="6"/>
      <c r="U773" s="6"/>
      <c r="V773" s="339"/>
      <c r="W773" s="339"/>
      <c r="X773" s="6"/>
      <c r="Y773" s="206"/>
      <c r="AE773" s="6"/>
      <c r="AF773" s="6"/>
      <c r="AG773" s="6"/>
      <c r="AH773" s="206"/>
      <c r="AJ773" s="213"/>
      <c r="AK773" s="6"/>
      <c r="AL773" s="6"/>
      <c r="AM773" s="6"/>
      <c r="AN773" s="206"/>
      <c r="AP773" s="213"/>
      <c r="AQ773" s="6"/>
      <c r="AR773" s="6"/>
      <c r="AS773" s="6"/>
      <c r="AT773" s="206"/>
      <c r="AV773" s="213"/>
      <c r="AW773" s="6"/>
      <c r="AX773" s="6"/>
      <c r="AY773" s="6"/>
      <c r="AZ773" s="206"/>
    </row>
    <row r="774" spans="4:52" s="2" customFormat="1" ht="17.100000000000001" customHeight="1" x14ac:dyDescent="0.25">
      <c r="D774" s="3"/>
      <c r="E774" s="3"/>
      <c r="F774" s="4"/>
      <c r="G774" s="4"/>
      <c r="H774" s="138"/>
      <c r="I774" s="97"/>
      <c r="J774" s="6"/>
      <c r="K774" s="6"/>
      <c r="L774" s="6"/>
      <c r="M774" s="6"/>
      <c r="N774" s="6"/>
      <c r="O774" s="6"/>
      <c r="P774" s="6"/>
      <c r="Q774" s="6"/>
      <c r="R774" s="6"/>
      <c r="S774" s="6"/>
      <c r="T774" s="6"/>
      <c r="U774" s="6"/>
      <c r="V774" s="339"/>
      <c r="W774" s="339"/>
      <c r="X774" s="6"/>
      <c r="Y774" s="206"/>
      <c r="AE774" s="6"/>
      <c r="AF774" s="6"/>
      <c r="AG774" s="6"/>
      <c r="AH774" s="206"/>
      <c r="AJ774" s="213"/>
      <c r="AK774" s="6"/>
      <c r="AL774" s="6"/>
      <c r="AM774" s="6"/>
      <c r="AN774" s="206"/>
      <c r="AP774" s="213"/>
      <c r="AQ774" s="6"/>
      <c r="AR774" s="6"/>
      <c r="AS774" s="6"/>
      <c r="AT774" s="206"/>
      <c r="AV774" s="213"/>
      <c r="AW774" s="6"/>
      <c r="AX774" s="6"/>
      <c r="AY774" s="6"/>
      <c r="AZ774" s="206"/>
    </row>
    <row r="775" spans="4:52" s="2" customFormat="1" ht="17.100000000000001" customHeight="1" x14ac:dyDescent="0.25">
      <c r="D775" s="3"/>
      <c r="E775" s="3"/>
      <c r="F775" s="4"/>
      <c r="G775" s="4"/>
      <c r="H775" s="138"/>
      <c r="I775" s="97"/>
      <c r="J775" s="6"/>
      <c r="K775" s="6"/>
      <c r="L775" s="6"/>
      <c r="M775" s="6"/>
      <c r="N775" s="6"/>
      <c r="O775" s="6"/>
      <c r="P775" s="6"/>
      <c r="Q775" s="6"/>
      <c r="R775" s="6"/>
      <c r="S775" s="6"/>
      <c r="T775" s="6"/>
      <c r="U775" s="6"/>
      <c r="V775" s="339"/>
      <c r="W775" s="339"/>
      <c r="X775" s="6"/>
      <c r="Y775" s="206"/>
      <c r="AE775" s="6"/>
      <c r="AF775" s="6"/>
      <c r="AG775" s="6"/>
      <c r="AH775" s="206"/>
      <c r="AJ775" s="213"/>
      <c r="AK775" s="6"/>
      <c r="AL775" s="6"/>
      <c r="AM775" s="6"/>
      <c r="AN775" s="206"/>
      <c r="AP775" s="213"/>
      <c r="AQ775" s="6"/>
      <c r="AR775" s="6"/>
      <c r="AS775" s="6"/>
      <c r="AT775" s="206"/>
      <c r="AV775" s="213"/>
      <c r="AW775" s="6"/>
      <c r="AX775" s="6"/>
      <c r="AY775" s="6"/>
      <c r="AZ775" s="206"/>
    </row>
    <row r="776" spans="4:52" s="2" customFormat="1" ht="17.100000000000001" customHeight="1" x14ac:dyDescent="0.25">
      <c r="D776" s="3"/>
      <c r="E776" s="3"/>
      <c r="F776" s="4"/>
      <c r="G776" s="4"/>
      <c r="H776" s="138"/>
      <c r="I776" s="97"/>
      <c r="J776" s="6"/>
      <c r="K776" s="6"/>
      <c r="L776" s="6"/>
      <c r="M776" s="6"/>
      <c r="N776" s="6"/>
      <c r="O776" s="6"/>
      <c r="P776" s="6"/>
      <c r="Q776" s="6"/>
      <c r="R776" s="6"/>
      <c r="S776" s="6"/>
      <c r="T776" s="6"/>
      <c r="U776" s="6"/>
      <c r="V776" s="339"/>
      <c r="W776" s="339"/>
      <c r="X776" s="6"/>
      <c r="Y776" s="206"/>
      <c r="AE776" s="6"/>
      <c r="AF776" s="6"/>
      <c r="AG776" s="6"/>
      <c r="AH776" s="206"/>
      <c r="AJ776" s="213"/>
      <c r="AK776" s="6"/>
      <c r="AL776" s="6"/>
      <c r="AM776" s="6"/>
      <c r="AN776" s="206"/>
      <c r="AP776" s="213"/>
      <c r="AQ776" s="6"/>
      <c r="AR776" s="6"/>
      <c r="AS776" s="6"/>
      <c r="AT776" s="206"/>
      <c r="AV776" s="213"/>
      <c r="AW776" s="6"/>
      <c r="AX776" s="6"/>
      <c r="AY776" s="6"/>
      <c r="AZ776" s="206"/>
    </row>
    <row r="777" spans="4:52" s="2" customFormat="1" ht="17.100000000000001" customHeight="1" x14ac:dyDescent="0.25">
      <c r="D777" s="3"/>
      <c r="E777" s="3"/>
      <c r="F777" s="4"/>
      <c r="G777" s="4"/>
      <c r="H777" s="138"/>
      <c r="I777" s="97"/>
      <c r="J777" s="6"/>
      <c r="K777" s="6"/>
      <c r="L777" s="6"/>
      <c r="M777" s="6"/>
      <c r="N777" s="6"/>
      <c r="O777" s="6"/>
      <c r="P777" s="6"/>
      <c r="Q777" s="6"/>
      <c r="R777" s="6"/>
      <c r="S777" s="6"/>
      <c r="T777" s="6"/>
      <c r="U777" s="6"/>
      <c r="V777" s="339"/>
      <c r="W777" s="339"/>
      <c r="X777" s="6"/>
      <c r="Y777" s="206"/>
      <c r="AE777" s="6"/>
      <c r="AF777" s="6"/>
      <c r="AG777" s="6"/>
      <c r="AH777" s="206"/>
      <c r="AJ777" s="213"/>
      <c r="AK777" s="6"/>
      <c r="AL777" s="6"/>
      <c r="AM777" s="6"/>
      <c r="AN777" s="206"/>
      <c r="AP777" s="213"/>
      <c r="AQ777" s="6"/>
      <c r="AR777" s="6"/>
      <c r="AS777" s="6"/>
      <c r="AT777" s="206"/>
      <c r="AV777" s="213"/>
      <c r="AW777" s="6"/>
      <c r="AX777" s="6"/>
      <c r="AY777" s="6"/>
      <c r="AZ777" s="206"/>
    </row>
    <row r="778" spans="4:52" s="2" customFormat="1" ht="17.100000000000001" customHeight="1" x14ac:dyDescent="0.25">
      <c r="D778" s="3"/>
      <c r="E778" s="3"/>
      <c r="F778" s="4"/>
      <c r="G778" s="4"/>
      <c r="H778" s="138"/>
      <c r="I778" s="97"/>
      <c r="J778" s="6"/>
      <c r="K778" s="6"/>
      <c r="L778" s="6"/>
      <c r="M778" s="6"/>
      <c r="N778" s="6"/>
      <c r="O778" s="6"/>
      <c r="P778" s="6"/>
      <c r="Q778" s="6"/>
      <c r="R778" s="6"/>
      <c r="S778" s="6"/>
      <c r="T778" s="6"/>
      <c r="U778" s="6"/>
      <c r="V778" s="339"/>
      <c r="W778" s="339"/>
      <c r="X778" s="6"/>
      <c r="Y778" s="206"/>
      <c r="AE778" s="6"/>
      <c r="AF778" s="6"/>
      <c r="AG778" s="6"/>
      <c r="AH778" s="206"/>
      <c r="AJ778" s="213"/>
      <c r="AK778" s="6"/>
      <c r="AL778" s="6"/>
      <c r="AM778" s="6"/>
      <c r="AN778" s="206"/>
      <c r="AP778" s="213"/>
      <c r="AQ778" s="6"/>
      <c r="AR778" s="6"/>
      <c r="AS778" s="6"/>
      <c r="AT778" s="206"/>
      <c r="AV778" s="213"/>
      <c r="AW778" s="6"/>
      <c r="AX778" s="6"/>
      <c r="AY778" s="6"/>
      <c r="AZ778" s="206"/>
    </row>
    <row r="779" spans="4:52" s="2" customFormat="1" ht="17.100000000000001" customHeight="1" x14ac:dyDescent="0.25">
      <c r="D779" s="3"/>
      <c r="E779" s="3"/>
      <c r="F779" s="4"/>
      <c r="G779" s="4"/>
      <c r="H779" s="138"/>
      <c r="I779" s="97"/>
      <c r="J779" s="6"/>
      <c r="K779" s="6"/>
      <c r="L779" s="6"/>
      <c r="M779" s="6"/>
      <c r="N779" s="6"/>
      <c r="O779" s="6"/>
      <c r="P779" s="6"/>
      <c r="Q779" s="6"/>
      <c r="R779" s="6"/>
      <c r="S779" s="6"/>
      <c r="T779" s="6"/>
      <c r="U779" s="6"/>
      <c r="V779" s="339"/>
      <c r="W779" s="339"/>
      <c r="X779" s="6"/>
      <c r="Y779" s="206"/>
      <c r="AE779" s="6"/>
      <c r="AF779" s="6"/>
      <c r="AG779" s="6"/>
      <c r="AH779" s="206"/>
      <c r="AJ779" s="213"/>
      <c r="AK779" s="6"/>
      <c r="AL779" s="6"/>
      <c r="AM779" s="6"/>
      <c r="AN779" s="206"/>
      <c r="AP779" s="213"/>
      <c r="AQ779" s="6"/>
      <c r="AR779" s="6"/>
      <c r="AS779" s="6"/>
      <c r="AT779" s="206"/>
      <c r="AV779" s="213"/>
      <c r="AW779" s="6"/>
      <c r="AX779" s="6"/>
      <c r="AY779" s="6"/>
      <c r="AZ779" s="206"/>
    </row>
    <row r="780" spans="4:52" s="2" customFormat="1" ht="17.100000000000001" customHeight="1" x14ac:dyDescent="0.25">
      <c r="D780" s="3"/>
      <c r="E780" s="3"/>
      <c r="F780" s="4"/>
      <c r="G780" s="4"/>
      <c r="H780" s="138"/>
      <c r="I780" s="97"/>
      <c r="J780" s="6"/>
      <c r="K780" s="6"/>
      <c r="L780" s="6"/>
      <c r="M780" s="6"/>
      <c r="N780" s="6"/>
      <c r="O780" s="6"/>
      <c r="P780" s="6"/>
      <c r="Q780" s="6"/>
      <c r="R780" s="6"/>
      <c r="S780" s="6"/>
      <c r="T780" s="6"/>
      <c r="U780" s="6"/>
      <c r="V780" s="339"/>
      <c r="W780" s="339"/>
      <c r="X780" s="6"/>
      <c r="Y780" s="206"/>
      <c r="AE780" s="6"/>
      <c r="AF780" s="6"/>
      <c r="AG780" s="6"/>
      <c r="AH780" s="206"/>
      <c r="AJ780" s="213"/>
      <c r="AK780" s="6"/>
      <c r="AL780" s="6"/>
      <c r="AM780" s="6"/>
      <c r="AN780" s="206"/>
      <c r="AP780" s="213"/>
      <c r="AQ780" s="6"/>
      <c r="AR780" s="6"/>
      <c r="AS780" s="6"/>
      <c r="AT780" s="206"/>
      <c r="AV780" s="213"/>
      <c r="AW780" s="6"/>
      <c r="AX780" s="6"/>
      <c r="AY780" s="6"/>
      <c r="AZ780" s="206"/>
    </row>
    <row r="781" spans="4:52" s="2" customFormat="1" ht="17.100000000000001" customHeight="1" x14ac:dyDescent="0.25">
      <c r="D781" s="3"/>
      <c r="E781" s="3"/>
      <c r="F781" s="4"/>
      <c r="G781" s="4"/>
      <c r="H781" s="138"/>
      <c r="I781" s="97"/>
      <c r="J781" s="6"/>
      <c r="K781" s="6"/>
      <c r="L781" s="6"/>
      <c r="M781" s="6"/>
      <c r="N781" s="6"/>
      <c r="O781" s="6"/>
      <c r="P781" s="6"/>
      <c r="Q781" s="6"/>
      <c r="R781" s="6"/>
      <c r="S781" s="6"/>
      <c r="T781" s="6"/>
      <c r="U781" s="6"/>
      <c r="V781" s="339"/>
      <c r="W781" s="339"/>
      <c r="X781" s="6"/>
      <c r="Y781" s="206"/>
      <c r="AE781" s="6"/>
      <c r="AF781" s="6"/>
      <c r="AG781" s="6"/>
      <c r="AH781" s="206"/>
      <c r="AJ781" s="213"/>
      <c r="AK781" s="6"/>
      <c r="AL781" s="6"/>
      <c r="AM781" s="6"/>
      <c r="AN781" s="206"/>
      <c r="AP781" s="213"/>
      <c r="AQ781" s="6"/>
      <c r="AR781" s="6"/>
      <c r="AS781" s="6"/>
      <c r="AT781" s="206"/>
      <c r="AV781" s="213"/>
      <c r="AW781" s="6"/>
      <c r="AX781" s="6"/>
      <c r="AY781" s="6"/>
      <c r="AZ781" s="206"/>
    </row>
    <row r="782" spans="4:52" s="2" customFormat="1" ht="17.100000000000001" customHeight="1" x14ac:dyDescent="0.25">
      <c r="D782" s="3"/>
      <c r="E782" s="3"/>
      <c r="F782" s="4"/>
      <c r="G782" s="4"/>
      <c r="H782" s="138"/>
      <c r="I782" s="97"/>
      <c r="J782" s="6"/>
      <c r="K782" s="6"/>
      <c r="L782" s="6"/>
      <c r="M782" s="6"/>
      <c r="N782" s="6"/>
      <c r="O782" s="6"/>
      <c r="P782" s="6"/>
      <c r="Q782" s="6"/>
      <c r="R782" s="6"/>
      <c r="S782" s="6"/>
      <c r="T782" s="6"/>
      <c r="U782" s="6"/>
      <c r="V782" s="339"/>
      <c r="W782" s="339"/>
      <c r="X782" s="6"/>
      <c r="Y782" s="206"/>
      <c r="AE782" s="6"/>
      <c r="AF782" s="6"/>
      <c r="AG782" s="6"/>
      <c r="AH782" s="206"/>
      <c r="AJ782" s="213"/>
      <c r="AK782" s="6"/>
      <c r="AL782" s="6"/>
      <c r="AM782" s="6"/>
      <c r="AN782" s="206"/>
      <c r="AP782" s="213"/>
      <c r="AQ782" s="6"/>
      <c r="AR782" s="6"/>
      <c r="AS782" s="6"/>
      <c r="AT782" s="206"/>
      <c r="AV782" s="213"/>
      <c r="AW782" s="6"/>
      <c r="AX782" s="6"/>
      <c r="AY782" s="6"/>
      <c r="AZ782" s="206"/>
    </row>
    <row r="783" spans="4:52" s="2" customFormat="1" ht="17.100000000000001" customHeight="1" x14ac:dyDescent="0.25">
      <c r="D783" s="3"/>
      <c r="E783" s="3"/>
      <c r="F783" s="4"/>
      <c r="G783" s="4"/>
      <c r="H783" s="138"/>
      <c r="I783" s="97"/>
      <c r="J783" s="6"/>
      <c r="K783" s="6"/>
      <c r="L783" s="6"/>
      <c r="M783" s="6"/>
      <c r="N783" s="6"/>
      <c r="O783" s="6"/>
      <c r="P783" s="6"/>
      <c r="Q783" s="6"/>
      <c r="R783" s="6"/>
      <c r="S783" s="6"/>
      <c r="T783" s="6"/>
      <c r="U783" s="6"/>
      <c r="V783" s="339"/>
      <c r="W783" s="339"/>
      <c r="X783" s="6"/>
      <c r="Y783" s="206"/>
      <c r="AE783" s="6"/>
      <c r="AF783" s="6"/>
      <c r="AG783" s="6"/>
      <c r="AH783" s="206"/>
      <c r="AJ783" s="213"/>
      <c r="AK783" s="6"/>
      <c r="AL783" s="6"/>
      <c r="AM783" s="6"/>
      <c r="AN783" s="206"/>
      <c r="AP783" s="213"/>
      <c r="AQ783" s="6"/>
      <c r="AR783" s="6"/>
      <c r="AS783" s="6"/>
      <c r="AT783" s="206"/>
      <c r="AV783" s="213"/>
      <c r="AW783" s="6"/>
      <c r="AX783" s="6"/>
      <c r="AY783" s="6"/>
      <c r="AZ783" s="206"/>
    </row>
    <row r="784" spans="4:52" s="2" customFormat="1" ht="17.100000000000001" customHeight="1" x14ac:dyDescent="0.25">
      <c r="D784" s="3"/>
      <c r="E784" s="3"/>
      <c r="F784" s="4"/>
      <c r="G784" s="4"/>
      <c r="H784" s="138"/>
      <c r="I784" s="97"/>
      <c r="J784" s="6"/>
      <c r="K784" s="6"/>
      <c r="L784" s="6"/>
      <c r="M784" s="6"/>
      <c r="N784" s="6"/>
      <c r="O784" s="6"/>
      <c r="P784" s="6"/>
      <c r="Q784" s="6"/>
      <c r="R784" s="6"/>
      <c r="S784" s="6"/>
      <c r="T784" s="6"/>
      <c r="U784" s="6"/>
      <c r="V784" s="339"/>
      <c r="W784" s="339"/>
      <c r="X784" s="6"/>
      <c r="Y784" s="206"/>
      <c r="AE784" s="6"/>
      <c r="AF784" s="6"/>
      <c r="AG784" s="6"/>
      <c r="AH784" s="206"/>
      <c r="AJ784" s="213"/>
      <c r="AK784" s="6"/>
      <c r="AL784" s="6"/>
      <c r="AM784" s="6"/>
      <c r="AN784" s="206"/>
      <c r="AP784" s="213"/>
      <c r="AQ784" s="6"/>
      <c r="AR784" s="6"/>
      <c r="AS784" s="6"/>
      <c r="AT784" s="206"/>
      <c r="AV784" s="213"/>
      <c r="AW784" s="6"/>
      <c r="AX784" s="6"/>
      <c r="AY784" s="6"/>
      <c r="AZ784" s="206"/>
    </row>
    <row r="785" spans="4:52" s="2" customFormat="1" ht="17.100000000000001" customHeight="1" x14ac:dyDescent="0.25">
      <c r="D785" s="3"/>
      <c r="E785" s="3"/>
      <c r="F785" s="4"/>
      <c r="G785" s="4"/>
      <c r="H785" s="138"/>
      <c r="I785" s="97"/>
      <c r="J785" s="6"/>
      <c r="K785" s="6"/>
      <c r="L785" s="6"/>
      <c r="M785" s="6"/>
      <c r="N785" s="6"/>
      <c r="O785" s="6"/>
      <c r="P785" s="6"/>
      <c r="Q785" s="6"/>
      <c r="R785" s="6"/>
      <c r="S785" s="6"/>
      <c r="T785" s="6"/>
      <c r="U785" s="6"/>
      <c r="V785" s="339"/>
      <c r="W785" s="339"/>
      <c r="X785" s="6"/>
      <c r="Y785" s="206"/>
      <c r="AE785" s="6"/>
      <c r="AF785" s="6"/>
      <c r="AG785" s="6"/>
      <c r="AH785" s="206"/>
      <c r="AJ785" s="213"/>
      <c r="AK785" s="6"/>
      <c r="AL785" s="6"/>
      <c r="AM785" s="6"/>
      <c r="AN785" s="206"/>
      <c r="AP785" s="213"/>
      <c r="AQ785" s="6"/>
      <c r="AR785" s="6"/>
      <c r="AS785" s="6"/>
      <c r="AT785" s="206"/>
      <c r="AV785" s="213"/>
      <c r="AW785" s="6"/>
      <c r="AX785" s="6"/>
      <c r="AY785" s="6"/>
      <c r="AZ785" s="206"/>
    </row>
    <row r="786" spans="4:52" s="2" customFormat="1" ht="17.100000000000001" customHeight="1" x14ac:dyDescent="0.25">
      <c r="D786" s="3"/>
      <c r="E786" s="3"/>
      <c r="F786" s="4"/>
      <c r="G786" s="4"/>
      <c r="H786" s="138"/>
      <c r="I786" s="97"/>
      <c r="J786" s="6"/>
      <c r="K786" s="6"/>
      <c r="L786" s="6"/>
      <c r="M786" s="6"/>
      <c r="N786" s="6"/>
      <c r="O786" s="6"/>
      <c r="P786" s="6"/>
      <c r="Q786" s="6"/>
      <c r="R786" s="6"/>
      <c r="S786" s="6"/>
      <c r="T786" s="6"/>
      <c r="U786" s="6"/>
      <c r="V786" s="339"/>
      <c r="W786" s="339"/>
      <c r="X786" s="6"/>
      <c r="Y786" s="206"/>
      <c r="AE786" s="6"/>
      <c r="AF786" s="6"/>
      <c r="AG786" s="6"/>
      <c r="AH786" s="206"/>
      <c r="AJ786" s="213"/>
      <c r="AK786" s="6"/>
      <c r="AL786" s="6"/>
      <c r="AM786" s="6"/>
      <c r="AN786" s="206"/>
      <c r="AP786" s="213"/>
      <c r="AQ786" s="6"/>
      <c r="AR786" s="6"/>
      <c r="AS786" s="6"/>
      <c r="AT786" s="206"/>
      <c r="AV786" s="213"/>
      <c r="AW786" s="6"/>
      <c r="AX786" s="6"/>
      <c r="AY786" s="6"/>
      <c r="AZ786" s="206"/>
    </row>
    <row r="787" spans="4:52" s="2" customFormat="1" ht="17.100000000000001" customHeight="1" x14ac:dyDescent="0.25">
      <c r="D787" s="3"/>
      <c r="E787" s="3"/>
      <c r="F787" s="4"/>
      <c r="G787" s="4"/>
      <c r="H787" s="138"/>
      <c r="I787" s="97"/>
      <c r="J787" s="6"/>
      <c r="K787" s="6"/>
      <c r="L787" s="6"/>
      <c r="M787" s="6"/>
      <c r="N787" s="6"/>
      <c r="O787" s="6"/>
      <c r="P787" s="6"/>
      <c r="Q787" s="6"/>
      <c r="R787" s="6"/>
      <c r="S787" s="6"/>
      <c r="T787" s="6"/>
      <c r="U787" s="6"/>
      <c r="V787" s="339"/>
      <c r="W787" s="339"/>
      <c r="X787" s="6"/>
      <c r="Y787" s="206"/>
      <c r="AE787" s="6"/>
      <c r="AF787" s="6"/>
      <c r="AG787" s="6"/>
      <c r="AH787" s="206"/>
      <c r="AJ787" s="213"/>
      <c r="AK787" s="6"/>
      <c r="AL787" s="6"/>
      <c r="AM787" s="6"/>
      <c r="AN787" s="206"/>
      <c r="AP787" s="213"/>
      <c r="AQ787" s="6"/>
      <c r="AR787" s="6"/>
      <c r="AS787" s="6"/>
      <c r="AT787" s="206"/>
      <c r="AV787" s="213"/>
      <c r="AW787" s="6"/>
      <c r="AX787" s="6"/>
      <c r="AY787" s="6"/>
      <c r="AZ787" s="206"/>
    </row>
    <row r="788" spans="4:52" s="2" customFormat="1" ht="17.100000000000001" customHeight="1" x14ac:dyDescent="0.25">
      <c r="D788" s="3"/>
      <c r="E788" s="3"/>
      <c r="F788" s="4"/>
      <c r="G788" s="4"/>
      <c r="H788" s="138"/>
      <c r="I788" s="97"/>
      <c r="J788" s="6"/>
      <c r="K788" s="6"/>
      <c r="L788" s="6"/>
      <c r="M788" s="6"/>
      <c r="N788" s="6"/>
      <c r="O788" s="6"/>
      <c r="P788" s="6"/>
      <c r="Q788" s="6"/>
      <c r="R788" s="6"/>
      <c r="S788" s="6"/>
      <c r="T788" s="6"/>
      <c r="U788" s="6"/>
      <c r="V788" s="339"/>
      <c r="W788" s="339"/>
      <c r="X788" s="6"/>
      <c r="Y788" s="206"/>
      <c r="AE788" s="6"/>
      <c r="AF788" s="6"/>
      <c r="AG788" s="6"/>
      <c r="AH788" s="206"/>
      <c r="AJ788" s="213"/>
      <c r="AK788" s="6"/>
      <c r="AL788" s="6"/>
      <c r="AM788" s="6"/>
      <c r="AN788" s="206"/>
      <c r="AP788" s="213"/>
      <c r="AQ788" s="6"/>
      <c r="AR788" s="6"/>
      <c r="AS788" s="6"/>
      <c r="AT788" s="206"/>
      <c r="AV788" s="213"/>
      <c r="AW788" s="6"/>
      <c r="AX788" s="6"/>
      <c r="AY788" s="6"/>
      <c r="AZ788" s="206"/>
    </row>
    <row r="789" spans="4:52" s="2" customFormat="1" ht="17.100000000000001" customHeight="1" x14ac:dyDescent="0.25">
      <c r="D789" s="3"/>
      <c r="E789" s="3"/>
      <c r="F789" s="4"/>
      <c r="G789" s="4"/>
      <c r="H789" s="138"/>
      <c r="I789" s="97"/>
      <c r="J789" s="6"/>
      <c r="K789" s="6"/>
      <c r="L789" s="6"/>
      <c r="M789" s="6"/>
      <c r="N789" s="6"/>
      <c r="O789" s="6"/>
      <c r="P789" s="6"/>
      <c r="Q789" s="6"/>
      <c r="R789" s="6"/>
      <c r="S789" s="6"/>
      <c r="T789" s="6"/>
      <c r="U789" s="6"/>
      <c r="V789" s="339"/>
      <c r="W789" s="339"/>
      <c r="X789" s="6"/>
      <c r="Y789" s="206"/>
      <c r="AE789" s="6"/>
      <c r="AF789" s="6"/>
      <c r="AG789" s="6"/>
      <c r="AH789" s="206"/>
      <c r="AJ789" s="213"/>
      <c r="AK789" s="6"/>
      <c r="AL789" s="6"/>
      <c r="AM789" s="6"/>
      <c r="AN789" s="206"/>
      <c r="AP789" s="213"/>
      <c r="AQ789" s="6"/>
      <c r="AR789" s="6"/>
      <c r="AS789" s="6"/>
      <c r="AT789" s="206"/>
      <c r="AV789" s="213"/>
      <c r="AW789" s="6"/>
      <c r="AX789" s="6"/>
      <c r="AY789" s="6"/>
      <c r="AZ789" s="206"/>
    </row>
    <row r="790" spans="4:52" s="2" customFormat="1" ht="17.100000000000001" customHeight="1" x14ac:dyDescent="0.25">
      <c r="D790" s="3"/>
      <c r="E790" s="3"/>
      <c r="F790" s="4"/>
      <c r="G790" s="4"/>
      <c r="H790" s="138"/>
      <c r="I790" s="97"/>
      <c r="J790" s="6"/>
      <c r="K790" s="6"/>
      <c r="L790" s="6"/>
      <c r="M790" s="6"/>
      <c r="N790" s="6"/>
      <c r="O790" s="6"/>
      <c r="P790" s="6"/>
      <c r="Q790" s="6"/>
      <c r="R790" s="6"/>
      <c r="S790" s="6"/>
      <c r="T790" s="6"/>
      <c r="U790" s="6"/>
      <c r="V790" s="339"/>
      <c r="W790" s="339"/>
      <c r="X790" s="6"/>
      <c r="Y790" s="206"/>
      <c r="AE790" s="6"/>
      <c r="AF790" s="6"/>
      <c r="AG790" s="6"/>
      <c r="AH790" s="206"/>
      <c r="AJ790" s="213"/>
      <c r="AK790" s="6"/>
      <c r="AL790" s="6"/>
      <c r="AM790" s="6"/>
      <c r="AN790" s="206"/>
      <c r="AP790" s="213"/>
      <c r="AQ790" s="6"/>
      <c r="AR790" s="6"/>
      <c r="AS790" s="6"/>
      <c r="AT790" s="206"/>
      <c r="AV790" s="213"/>
      <c r="AW790" s="6"/>
      <c r="AX790" s="6"/>
      <c r="AY790" s="6"/>
      <c r="AZ790" s="206"/>
    </row>
    <row r="791" spans="4:52" s="2" customFormat="1" ht="17.100000000000001" customHeight="1" x14ac:dyDescent="0.25">
      <c r="D791" s="3"/>
      <c r="E791" s="3"/>
      <c r="F791" s="4"/>
      <c r="G791" s="4"/>
      <c r="H791" s="138"/>
      <c r="I791" s="97"/>
      <c r="J791" s="6"/>
      <c r="K791" s="6"/>
      <c r="L791" s="6"/>
      <c r="M791" s="6"/>
      <c r="N791" s="6"/>
      <c r="O791" s="6"/>
      <c r="P791" s="6"/>
      <c r="Q791" s="6"/>
      <c r="R791" s="6"/>
      <c r="S791" s="6"/>
      <c r="T791" s="6"/>
      <c r="U791" s="6"/>
      <c r="V791" s="339"/>
      <c r="W791" s="339"/>
      <c r="X791" s="6"/>
      <c r="Y791" s="206"/>
      <c r="AE791" s="6"/>
      <c r="AF791" s="6"/>
      <c r="AG791" s="6"/>
      <c r="AH791" s="206"/>
      <c r="AJ791" s="213"/>
      <c r="AK791" s="6"/>
      <c r="AL791" s="6"/>
      <c r="AM791" s="6"/>
      <c r="AN791" s="206"/>
      <c r="AP791" s="213"/>
      <c r="AQ791" s="6"/>
      <c r="AR791" s="6"/>
      <c r="AS791" s="6"/>
      <c r="AT791" s="206"/>
      <c r="AV791" s="213"/>
      <c r="AW791" s="6"/>
      <c r="AX791" s="6"/>
      <c r="AY791" s="6"/>
      <c r="AZ791" s="206"/>
    </row>
    <row r="792" spans="4:52" s="2" customFormat="1" ht="17.100000000000001" customHeight="1" x14ac:dyDescent="0.25">
      <c r="D792" s="3"/>
      <c r="E792" s="3"/>
      <c r="F792" s="4"/>
      <c r="G792" s="4"/>
      <c r="H792" s="138"/>
      <c r="I792" s="97"/>
      <c r="J792" s="6"/>
      <c r="K792" s="6"/>
      <c r="L792" s="6"/>
      <c r="M792" s="6"/>
      <c r="N792" s="6"/>
      <c r="O792" s="6"/>
      <c r="P792" s="6"/>
      <c r="Q792" s="6"/>
      <c r="R792" s="6"/>
      <c r="S792" s="6"/>
      <c r="T792" s="6"/>
      <c r="U792" s="6"/>
      <c r="V792" s="339"/>
      <c r="W792" s="339"/>
      <c r="X792" s="6"/>
      <c r="Y792" s="206"/>
      <c r="AE792" s="6"/>
      <c r="AF792" s="6"/>
      <c r="AG792" s="6"/>
      <c r="AH792" s="206"/>
      <c r="AJ792" s="213"/>
      <c r="AK792" s="6"/>
      <c r="AL792" s="6"/>
      <c r="AM792" s="6"/>
      <c r="AN792" s="206"/>
      <c r="AP792" s="213"/>
      <c r="AQ792" s="6"/>
      <c r="AR792" s="6"/>
      <c r="AS792" s="6"/>
      <c r="AT792" s="206"/>
      <c r="AV792" s="213"/>
      <c r="AW792" s="6"/>
      <c r="AX792" s="6"/>
      <c r="AY792" s="6"/>
      <c r="AZ792" s="206"/>
    </row>
    <row r="793" spans="4:52" s="2" customFormat="1" ht="17.100000000000001" customHeight="1" x14ac:dyDescent="0.25">
      <c r="D793" s="3"/>
      <c r="E793" s="3"/>
      <c r="F793" s="4"/>
      <c r="G793" s="4"/>
      <c r="H793" s="138"/>
      <c r="I793" s="97"/>
      <c r="J793" s="6"/>
      <c r="K793" s="6"/>
      <c r="L793" s="6"/>
      <c r="M793" s="6"/>
      <c r="N793" s="6"/>
      <c r="O793" s="6"/>
      <c r="P793" s="6"/>
      <c r="Q793" s="6"/>
      <c r="R793" s="6"/>
      <c r="S793" s="6"/>
      <c r="T793" s="6"/>
      <c r="U793" s="6"/>
      <c r="V793" s="339"/>
      <c r="W793" s="339"/>
      <c r="X793" s="6"/>
      <c r="Y793" s="206"/>
      <c r="AE793" s="6"/>
      <c r="AF793" s="6"/>
      <c r="AG793" s="6"/>
      <c r="AH793" s="206"/>
      <c r="AJ793" s="213"/>
      <c r="AK793" s="6"/>
      <c r="AL793" s="6"/>
      <c r="AM793" s="6"/>
      <c r="AN793" s="206"/>
      <c r="AP793" s="213"/>
      <c r="AQ793" s="6"/>
      <c r="AR793" s="6"/>
      <c r="AS793" s="6"/>
      <c r="AT793" s="206"/>
      <c r="AV793" s="213"/>
      <c r="AW793" s="6"/>
      <c r="AX793" s="6"/>
      <c r="AY793" s="6"/>
      <c r="AZ793" s="206"/>
    </row>
    <row r="794" spans="4:52" s="2" customFormat="1" ht="17.100000000000001" customHeight="1" x14ac:dyDescent="0.25">
      <c r="D794" s="3"/>
      <c r="E794" s="3"/>
      <c r="F794" s="4"/>
      <c r="G794" s="4"/>
      <c r="H794" s="138"/>
      <c r="I794" s="97"/>
      <c r="J794" s="6"/>
      <c r="K794" s="6"/>
      <c r="L794" s="6"/>
      <c r="M794" s="6"/>
      <c r="N794" s="6"/>
      <c r="O794" s="6"/>
      <c r="P794" s="6"/>
      <c r="Q794" s="6"/>
      <c r="R794" s="6"/>
      <c r="S794" s="6"/>
      <c r="T794" s="6"/>
      <c r="U794" s="6"/>
      <c r="V794" s="339"/>
      <c r="W794" s="339"/>
      <c r="X794" s="6"/>
      <c r="Y794" s="206"/>
      <c r="AE794" s="6"/>
      <c r="AF794" s="6"/>
      <c r="AG794" s="6"/>
      <c r="AH794" s="206"/>
      <c r="AJ794" s="213"/>
      <c r="AK794" s="6"/>
      <c r="AL794" s="6"/>
      <c r="AM794" s="6"/>
      <c r="AN794" s="206"/>
      <c r="AP794" s="213"/>
      <c r="AQ794" s="6"/>
      <c r="AR794" s="6"/>
      <c r="AS794" s="6"/>
      <c r="AT794" s="206"/>
      <c r="AV794" s="213"/>
      <c r="AW794" s="6"/>
      <c r="AX794" s="6"/>
      <c r="AY794" s="6"/>
      <c r="AZ794" s="206"/>
    </row>
    <row r="795" spans="4:52" s="2" customFormat="1" ht="17.100000000000001" customHeight="1" x14ac:dyDescent="0.25">
      <c r="D795" s="3"/>
      <c r="E795" s="3"/>
      <c r="F795" s="4"/>
      <c r="G795" s="4"/>
      <c r="H795" s="138"/>
      <c r="I795" s="97"/>
      <c r="J795" s="6"/>
      <c r="K795" s="6"/>
      <c r="L795" s="6"/>
      <c r="M795" s="6"/>
      <c r="N795" s="6"/>
      <c r="O795" s="6"/>
      <c r="P795" s="6"/>
      <c r="Q795" s="6"/>
      <c r="R795" s="6"/>
      <c r="S795" s="6"/>
      <c r="T795" s="6"/>
      <c r="U795" s="6"/>
      <c r="V795" s="339"/>
      <c r="W795" s="339"/>
      <c r="X795" s="6"/>
      <c r="Y795" s="206"/>
      <c r="AE795" s="6"/>
      <c r="AF795" s="6"/>
      <c r="AG795" s="6"/>
      <c r="AH795" s="206"/>
      <c r="AJ795" s="213"/>
      <c r="AK795" s="6"/>
      <c r="AL795" s="6"/>
      <c r="AM795" s="6"/>
      <c r="AN795" s="206"/>
      <c r="AP795" s="213"/>
      <c r="AQ795" s="6"/>
      <c r="AR795" s="6"/>
      <c r="AS795" s="6"/>
      <c r="AT795" s="206"/>
      <c r="AV795" s="213"/>
      <c r="AW795" s="6"/>
      <c r="AX795" s="6"/>
      <c r="AY795" s="6"/>
      <c r="AZ795" s="206"/>
    </row>
    <row r="796" spans="4:52" s="2" customFormat="1" ht="17.100000000000001" customHeight="1" x14ac:dyDescent="0.25">
      <c r="D796" s="3"/>
      <c r="E796" s="3"/>
      <c r="F796" s="4"/>
      <c r="G796" s="4"/>
      <c r="H796" s="138"/>
      <c r="I796" s="97"/>
      <c r="J796" s="6"/>
      <c r="K796" s="6"/>
      <c r="L796" s="6"/>
      <c r="M796" s="6"/>
      <c r="N796" s="6"/>
      <c r="O796" s="6"/>
      <c r="P796" s="6"/>
      <c r="Q796" s="6"/>
      <c r="R796" s="6"/>
      <c r="S796" s="6"/>
      <c r="T796" s="6"/>
      <c r="U796" s="6"/>
      <c r="V796" s="339"/>
      <c r="W796" s="339"/>
      <c r="X796" s="6"/>
      <c r="Y796" s="206"/>
      <c r="AE796" s="6"/>
      <c r="AF796" s="6"/>
      <c r="AG796" s="6"/>
      <c r="AH796" s="206"/>
      <c r="AJ796" s="213"/>
      <c r="AK796" s="6"/>
      <c r="AL796" s="6"/>
      <c r="AM796" s="6"/>
      <c r="AN796" s="206"/>
      <c r="AP796" s="213"/>
      <c r="AQ796" s="6"/>
      <c r="AR796" s="6"/>
      <c r="AS796" s="6"/>
      <c r="AT796" s="206"/>
      <c r="AV796" s="213"/>
      <c r="AW796" s="6"/>
      <c r="AX796" s="6"/>
      <c r="AY796" s="6"/>
      <c r="AZ796" s="206"/>
    </row>
    <row r="797" spans="4:52" s="2" customFormat="1" ht="17.100000000000001" customHeight="1" x14ac:dyDescent="0.25">
      <c r="D797" s="3"/>
      <c r="E797" s="3"/>
      <c r="F797" s="4"/>
      <c r="G797" s="4"/>
      <c r="H797" s="138"/>
      <c r="I797" s="97"/>
      <c r="J797" s="6"/>
      <c r="K797" s="6"/>
      <c r="L797" s="6"/>
      <c r="M797" s="6"/>
      <c r="N797" s="6"/>
      <c r="O797" s="6"/>
      <c r="P797" s="6"/>
      <c r="Q797" s="6"/>
      <c r="R797" s="6"/>
      <c r="S797" s="6"/>
      <c r="T797" s="6"/>
      <c r="U797" s="6"/>
      <c r="V797" s="339"/>
      <c r="W797" s="339"/>
      <c r="X797" s="6"/>
      <c r="Y797" s="206"/>
      <c r="AE797" s="6"/>
      <c r="AF797" s="6"/>
      <c r="AG797" s="6"/>
      <c r="AH797" s="206"/>
      <c r="AJ797" s="213"/>
      <c r="AK797" s="6"/>
      <c r="AL797" s="6"/>
      <c r="AM797" s="6"/>
      <c r="AN797" s="206"/>
      <c r="AP797" s="213"/>
      <c r="AQ797" s="6"/>
      <c r="AR797" s="6"/>
      <c r="AS797" s="6"/>
      <c r="AT797" s="206"/>
      <c r="AV797" s="213"/>
      <c r="AW797" s="6"/>
      <c r="AX797" s="6"/>
      <c r="AY797" s="6"/>
      <c r="AZ797" s="206"/>
    </row>
    <row r="798" spans="4:52" s="2" customFormat="1" ht="17.100000000000001" customHeight="1" x14ac:dyDescent="0.25">
      <c r="D798" s="3"/>
      <c r="E798" s="3"/>
      <c r="F798" s="4"/>
      <c r="G798" s="4"/>
      <c r="H798" s="138"/>
      <c r="I798" s="97"/>
      <c r="J798" s="6"/>
      <c r="K798" s="6"/>
      <c r="L798" s="6"/>
      <c r="M798" s="6"/>
      <c r="N798" s="6"/>
      <c r="O798" s="6"/>
      <c r="P798" s="6"/>
      <c r="Q798" s="6"/>
      <c r="R798" s="6"/>
      <c r="S798" s="6"/>
      <c r="T798" s="6"/>
      <c r="U798" s="6"/>
      <c r="V798" s="339"/>
      <c r="W798" s="339"/>
      <c r="X798" s="6"/>
      <c r="Y798" s="206"/>
      <c r="AE798" s="6"/>
      <c r="AF798" s="6"/>
      <c r="AG798" s="6"/>
      <c r="AH798" s="206"/>
      <c r="AJ798" s="213"/>
      <c r="AK798" s="6"/>
      <c r="AL798" s="6"/>
      <c r="AM798" s="6"/>
      <c r="AN798" s="206"/>
      <c r="AP798" s="213"/>
      <c r="AQ798" s="6"/>
      <c r="AR798" s="6"/>
      <c r="AS798" s="6"/>
      <c r="AT798" s="206"/>
      <c r="AV798" s="213"/>
      <c r="AW798" s="6"/>
      <c r="AX798" s="6"/>
      <c r="AY798" s="6"/>
      <c r="AZ798" s="206"/>
    </row>
    <row r="799" spans="4:52" s="2" customFormat="1" ht="17.100000000000001" customHeight="1" x14ac:dyDescent="0.25">
      <c r="D799" s="3"/>
      <c r="E799" s="3"/>
      <c r="F799" s="4"/>
      <c r="G799" s="4"/>
      <c r="H799" s="138"/>
      <c r="I799" s="97"/>
      <c r="J799" s="6"/>
      <c r="K799" s="6"/>
      <c r="L799" s="6"/>
      <c r="M799" s="6"/>
      <c r="N799" s="6"/>
      <c r="O799" s="6"/>
      <c r="P799" s="6"/>
      <c r="Q799" s="6"/>
      <c r="R799" s="6"/>
      <c r="S799" s="6"/>
      <c r="T799" s="6"/>
      <c r="U799" s="6"/>
      <c r="V799" s="339"/>
      <c r="W799" s="339"/>
      <c r="X799" s="6"/>
      <c r="Y799" s="206"/>
      <c r="AE799" s="6"/>
      <c r="AF799" s="6"/>
      <c r="AG799" s="6"/>
      <c r="AH799" s="206"/>
      <c r="AJ799" s="213"/>
      <c r="AK799" s="6"/>
      <c r="AL799" s="6"/>
      <c r="AM799" s="6"/>
      <c r="AN799" s="206"/>
      <c r="AP799" s="213"/>
      <c r="AQ799" s="6"/>
      <c r="AR799" s="6"/>
      <c r="AS799" s="6"/>
      <c r="AT799" s="206"/>
      <c r="AV799" s="213"/>
      <c r="AW799" s="6"/>
      <c r="AX799" s="6"/>
      <c r="AY799" s="6"/>
      <c r="AZ799" s="206"/>
    </row>
    <row r="800" spans="4:52" s="2" customFormat="1" ht="17.100000000000001" customHeight="1" x14ac:dyDescent="0.25">
      <c r="D800" s="3"/>
      <c r="E800" s="3"/>
      <c r="F800" s="4"/>
      <c r="G800" s="4"/>
      <c r="H800" s="138"/>
      <c r="I800" s="97"/>
      <c r="J800" s="6"/>
      <c r="K800" s="6"/>
      <c r="L800" s="6"/>
      <c r="M800" s="6"/>
      <c r="N800" s="6"/>
      <c r="O800" s="6"/>
      <c r="P800" s="6"/>
      <c r="Q800" s="6"/>
      <c r="R800" s="6"/>
      <c r="S800" s="6"/>
      <c r="T800" s="6"/>
      <c r="U800" s="6"/>
      <c r="V800" s="339"/>
      <c r="W800" s="339"/>
      <c r="X800" s="6"/>
      <c r="Y800" s="206"/>
      <c r="AE800" s="6"/>
      <c r="AF800" s="6"/>
      <c r="AG800" s="6"/>
      <c r="AH800" s="206"/>
      <c r="AJ800" s="213"/>
      <c r="AK800" s="6"/>
      <c r="AL800" s="6"/>
      <c r="AM800" s="6"/>
      <c r="AN800" s="206"/>
      <c r="AP800" s="213"/>
      <c r="AQ800" s="6"/>
      <c r="AR800" s="6"/>
      <c r="AS800" s="6"/>
      <c r="AT800" s="206"/>
      <c r="AV800" s="213"/>
      <c r="AW800" s="6"/>
      <c r="AX800" s="6"/>
      <c r="AY800" s="6"/>
      <c r="AZ800" s="206"/>
    </row>
    <row r="801" spans="4:52" s="2" customFormat="1" ht="17.100000000000001" customHeight="1" x14ac:dyDescent="0.25">
      <c r="D801" s="3"/>
      <c r="E801" s="3"/>
      <c r="F801" s="4"/>
      <c r="G801" s="4"/>
      <c r="H801" s="138"/>
      <c r="I801" s="97"/>
      <c r="J801" s="6"/>
      <c r="K801" s="6"/>
      <c r="L801" s="6"/>
      <c r="M801" s="6"/>
      <c r="N801" s="6"/>
      <c r="O801" s="6"/>
      <c r="P801" s="6"/>
      <c r="Q801" s="6"/>
      <c r="R801" s="6"/>
      <c r="S801" s="6"/>
      <c r="T801" s="6"/>
      <c r="U801" s="6"/>
      <c r="V801" s="339"/>
      <c r="W801" s="339"/>
      <c r="X801" s="6"/>
      <c r="Y801" s="206"/>
      <c r="AE801" s="6"/>
      <c r="AF801" s="6"/>
      <c r="AG801" s="6"/>
      <c r="AH801" s="206"/>
      <c r="AJ801" s="213"/>
      <c r="AK801" s="6"/>
      <c r="AL801" s="6"/>
      <c r="AM801" s="6"/>
      <c r="AN801" s="206"/>
      <c r="AP801" s="213"/>
      <c r="AQ801" s="6"/>
      <c r="AR801" s="6"/>
      <c r="AS801" s="6"/>
      <c r="AT801" s="206"/>
      <c r="AV801" s="213"/>
      <c r="AW801" s="6"/>
      <c r="AX801" s="6"/>
      <c r="AY801" s="6"/>
      <c r="AZ801" s="206"/>
    </row>
    <row r="802" spans="4:52" s="2" customFormat="1" ht="17.100000000000001" customHeight="1" x14ac:dyDescent="0.25">
      <c r="D802" s="3"/>
      <c r="E802" s="3"/>
      <c r="F802" s="4"/>
      <c r="G802" s="4"/>
      <c r="H802" s="138"/>
      <c r="I802" s="97"/>
      <c r="J802" s="6"/>
      <c r="K802" s="6"/>
      <c r="L802" s="6"/>
      <c r="M802" s="6"/>
      <c r="N802" s="6"/>
      <c r="O802" s="6"/>
      <c r="P802" s="6"/>
      <c r="Q802" s="6"/>
      <c r="R802" s="6"/>
      <c r="S802" s="6"/>
      <c r="T802" s="6"/>
      <c r="U802" s="6"/>
      <c r="V802" s="339"/>
      <c r="W802" s="339"/>
      <c r="X802" s="6"/>
      <c r="Y802" s="206"/>
      <c r="AE802" s="6"/>
      <c r="AF802" s="6"/>
      <c r="AG802" s="6"/>
      <c r="AH802" s="206"/>
      <c r="AJ802" s="213"/>
      <c r="AK802" s="6"/>
      <c r="AL802" s="6"/>
      <c r="AM802" s="6"/>
      <c r="AN802" s="206"/>
      <c r="AP802" s="213"/>
      <c r="AQ802" s="6"/>
      <c r="AR802" s="6"/>
      <c r="AS802" s="6"/>
      <c r="AT802" s="206"/>
      <c r="AV802" s="213"/>
      <c r="AW802" s="6"/>
      <c r="AX802" s="6"/>
      <c r="AY802" s="6"/>
      <c r="AZ802" s="206"/>
    </row>
    <row r="803" spans="4:52" s="2" customFormat="1" ht="17.100000000000001" customHeight="1" x14ac:dyDescent="0.25">
      <c r="D803" s="3"/>
      <c r="E803" s="3"/>
      <c r="F803" s="4"/>
      <c r="G803" s="4"/>
      <c r="H803" s="138"/>
      <c r="I803" s="97"/>
      <c r="J803" s="6"/>
      <c r="K803" s="6"/>
      <c r="L803" s="6"/>
      <c r="M803" s="6"/>
      <c r="N803" s="6"/>
      <c r="O803" s="6"/>
      <c r="P803" s="6"/>
      <c r="Q803" s="6"/>
      <c r="R803" s="6"/>
      <c r="S803" s="6"/>
      <c r="T803" s="6"/>
      <c r="U803" s="6"/>
      <c r="V803" s="339"/>
      <c r="W803" s="339"/>
      <c r="X803" s="6"/>
      <c r="Y803" s="206"/>
      <c r="AE803" s="6"/>
      <c r="AF803" s="6"/>
      <c r="AG803" s="6"/>
      <c r="AH803" s="206"/>
      <c r="AJ803" s="213"/>
      <c r="AK803" s="6"/>
      <c r="AL803" s="6"/>
      <c r="AM803" s="6"/>
      <c r="AN803" s="206"/>
      <c r="AP803" s="213"/>
      <c r="AQ803" s="6"/>
      <c r="AR803" s="6"/>
      <c r="AS803" s="6"/>
      <c r="AT803" s="206"/>
      <c r="AV803" s="213"/>
      <c r="AW803" s="6"/>
      <c r="AX803" s="6"/>
      <c r="AY803" s="6"/>
      <c r="AZ803" s="206"/>
    </row>
    <row r="804" spans="4:52" s="2" customFormat="1" ht="17.100000000000001" customHeight="1" x14ac:dyDescent="0.25">
      <c r="D804" s="3"/>
      <c r="E804" s="3"/>
      <c r="F804" s="4"/>
      <c r="G804" s="4"/>
      <c r="H804" s="138"/>
      <c r="I804" s="97"/>
      <c r="J804" s="6"/>
      <c r="K804" s="6"/>
      <c r="L804" s="6"/>
      <c r="M804" s="6"/>
      <c r="N804" s="6"/>
      <c r="O804" s="6"/>
      <c r="P804" s="6"/>
      <c r="Q804" s="6"/>
      <c r="R804" s="6"/>
      <c r="S804" s="6"/>
      <c r="T804" s="6"/>
      <c r="U804" s="6"/>
      <c r="V804" s="339"/>
      <c r="W804" s="339"/>
      <c r="X804" s="6"/>
      <c r="Y804" s="206"/>
      <c r="AE804" s="6"/>
      <c r="AF804" s="6"/>
      <c r="AG804" s="6"/>
      <c r="AH804" s="206"/>
      <c r="AJ804" s="213"/>
      <c r="AK804" s="6"/>
      <c r="AL804" s="6"/>
      <c r="AM804" s="6"/>
      <c r="AN804" s="206"/>
      <c r="AP804" s="213"/>
      <c r="AQ804" s="6"/>
      <c r="AR804" s="6"/>
      <c r="AS804" s="6"/>
      <c r="AT804" s="206"/>
      <c r="AV804" s="213"/>
      <c r="AW804" s="6"/>
      <c r="AX804" s="6"/>
      <c r="AY804" s="6"/>
      <c r="AZ804" s="206"/>
    </row>
    <row r="805" spans="4:52" s="2" customFormat="1" ht="17.100000000000001" customHeight="1" x14ac:dyDescent="0.25">
      <c r="D805" s="3"/>
      <c r="E805" s="3"/>
      <c r="F805" s="4"/>
      <c r="G805" s="4"/>
      <c r="H805" s="138"/>
      <c r="I805" s="97"/>
      <c r="J805" s="6"/>
      <c r="K805" s="6"/>
      <c r="L805" s="6"/>
      <c r="M805" s="6"/>
      <c r="N805" s="6"/>
      <c r="O805" s="6"/>
      <c r="P805" s="6"/>
      <c r="Q805" s="6"/>
      <c r="R805" s="6"/>
      <c r="S805" s="6"/>
      <c r="T805" s="6"/>
      <c r="U805" s="6"/>
      <c r="V805" s="339"/>
      <c r="W805" s="339"/>
      <c r="X805" s="6"/>
      <c r="Y805" s="206"/>
      <c r="AE805" s="6"/>
      <c r="AF805" s="6"/>
      <c r="AG805" s="6"/>
      <c r="AH805" s="206"/>
      <c r="AJ805" s="213"/>
      <c r="AK805" s="6"/>
      <c r="AL805" s="6"/>
      <c r="AM805" s="6"/>
      <c r="AN805" s="206"/>
      <c r="AP805" s="213"/>
      <c r="AQ805" s="6"/>
      <c r="AR805" s="6"/>
      <c r="AS805" s="6"/>
      <c r="AT805" s="206"/>
      <c r="AV805" s="213"/>
      <c r="AW805" s="6"/>
      <c r="AX805" s="6"/>
      <c r="AY805" s="6"/>
      <c r="AZ805" s="206"/>
    </row>
    <row r="806" spans="4:52" s="2" customFormat="1" ht="17.100000000000001" customHeight="1" x14ac:dyDescent="0.25">
      <c r="D806" s="3"/>
      <c r="E806" s="3"/>
      <c r="F806" s="4"/>
      <c r="G806" s="4"/>
      <c r="H806" s="138"/>
      <c r="I806" s="97"/>
      <c r="J806" s="6"/>
      <c r="K806" s="6"/>
      <c r="L806" s="6"/>
      <c r="M806" s="6"/>
      <c r="N806" s="6"/>
      <c r="O806" s="6"/>
      <c r="P806" s="6"/>
      <c r="Q806" s="6"/>
      <c r="R806" s="6"/>
      <c r="S806" s="6"/>
      <c r="T806" s="6"/>
      <c r="U806" s="6"/>
      <c r="V806" s="339"/>
      <c r="W806" s="339"/>
      <c r="X806" s="6"/>
      <c r="Y806" s="206"/>
      <c r="AE806" s="6"/>
      <c r="AF806" s="6"/>
      <c r="AG806" s="6"/>
      <c r="AH806" s="206"/>
      <c r="AJ806" s="213"/>
      <c r="AK806" s="6"/>
      <c r="AL806" s="6"/>
      <c r="AM806" s="6"/>
      <c r="AN806" s="206"/>
      <c r="AP806" s="213"/>
      <c r="AQ806" s="6"/>
      <c r="AR806" s="6"/>
      <c r="AS806" s="6"/>
      <c r="AT806" s="206"/>
      <c r="AV806" s="213"/>
      <c r="AW806" s="6"/>
      <c r="AX806" s="6"/>
      <c r="AY806" s="6"/>
      <c r="AZ806" s="206"/>
    </row>
    <row r="807" spans="4:52" s="2" customFormat="1" ht="17.100000000000001" customHeight="1" x14ac:dyDescent="0.25">
      <c r="D807" s="3"/>
      <c r="E807" s="3"/>
      <c r="F807" s="4"/>
      <c r="G807" s="4"/>
      <c r="H807" s="138"/>
      <c r="I807" s="97"/>
      <c r="J807" s="6"/>
      <c r="K807" s="6"/>
      <c r="L807" s="6"/>
      <c r="M807" s="6"/>
      <c r="N807" s="6"/>
      <c r="O807" s="6"/>
      <c r="P807" s="6"/>
      <c r="Q807" s="6"/>
      <c r="R807" s="6"/>
      <c r="S807" s="6"/>
      <c r="T807" s="6"/>
      <c r="U807" s="6"/>
      <c r="V807" s="339"/>
      <c r="W807" s="339"/>
      <c r="X807" s="6"/>
      <c r="Y807" s="206"/>
      <c r="AE807" s="6"/>
      <c r="AF807" s="6"/>
      <c r="AG807" s="6"/>
      <c r="AH807" s="206"/>
      <c r="AJ807" s="213"/>
      <c r="AK807" s="6"/>
      <c r="AL807" s="6"/>
      <c r="AM807" s="6"/>
      <c r="AN807" s="206"/>
      <c r="AP807" s="213"/>
      <c r="AQ807" s="6"/>
      <c r="AR807" s="6"/>
      <c r="AS807" s="6"/>
      <c r="AT807" s="206"/>
      <c r="AV807" s="213"/>
      <c r="AW807" s="6"/>
      <c r="AX807" s="6"/>
      <c r="AY807" s="6"/>
      <c r="AZ807" s="206"/>
    </row>
    <row r="808" spans="4:52" s="2" customFormat="1" ht="17.100000000000001" customHeight="1" x14ac:dyDescent="0.25">
      <c r="D808" s="3"/>
      <c r="E808" s="3"/>
      <c r="F808" s="4"/>
      <c r="G808" s="4"/>
      <c r="H808" s="138"/>
      <c r="I808" s="97"/>
      <c r="J808" s="6"/>
      <c r="K808" s="6"/>
      <c r="L808" s="6"/>
      <c r="M808" s="6"/>
      <c r="N808" s="6"/>
      <c r="O808" s="6"/>
      <c r="P808" s="6"/>
      <c r="Q808" s="6"/>
      <c r="R808" s="6"/>
      <c r="S808" s="6"/>
      <c r="T808" s="6"/>
      <c r="U808" s="6"/>
      <c r="V808" s="339"/>
      <c r="W808" s="339"/>
      <c r="X808" s="6"/>
      <c r="Y808" s="206"/>
      <c r="AE808" s="6"/>
      <c r="AF808" s="6"/>
      <c r="AG808" s="6"/>
      <c r="AH808" s="206"/>
      <c r="AJ808" s="213"/>
      <c r="AK808" s="6"/>
      <c r="AL808" s="6"/>
      <c r="AM808" s="6"/>
      <c r="AN808" s="206"/>
      <c r="AP808" s="213"/>
      <c r="AQ808" s="6"/>
      <c r="AR808" s="6"/>
      <c r="AS808" s="6"/>
      <c r="AT808" s="206"/>
      <c r="AV808" s="213"/>
      <c r="AW808" s="6"/>
      <c r="AX808" s="6"/>
      <c r="AY808" s="6"/>
      <c r="AZ808" s="206"/>
    </row>
    <row r="809" spans="4:52" s="2" customFormat="1" ht="17.100000000000001" customHeight="1" x14ac:dyDescent="0.25">
      <c r="D809" s="3"/>
      <c r="E809" s="3"/>
      <c r="F809" s="4"/>
      <c r="G809" s="4"/>
      <c r="H809" s="138"/>
      <c r="I809" s="97"/>
      <c r="J809" s="6"/>
      <c r="K809" s="6"/>
      <c r="L809" s="6"/>
      <c r="M809" s="6"/>
      <c r="N809" s="6"/>
      <c r="O809" s="6"/>
      <c r="P809" s="6"/>
      <c r="Q809" s="6"/>
      <c r="R809" s="6"/>
      <c r="S809" s="6"/>
      <c r="T809" s="6"/>
      <c r="U809" s="6"/>
      <c r="V809" s="339"/>
      <c r="W809" s="339"/>
      <c r="X809" s="6"/>
      <c r="Y809" s="206"/>
      <c r="AE809" s="6"/>
      <c r="AF809" s="6"/>
      <c r="AG809" s="6"/>
      <c r="AH809" s="206"/>
      <c r="AJ809" s="213"/>
      <c r="AK809" s="6"/>
      <c r="AL809" s="6"/>
      <c r="AM809" s="6"/>
      <c r="AN809" s="206"/>
      <c r="AP809" s="213"/>
      <c r="AQ809" s="6"/>
      <c r="AR809" s="6"/>
      <c r="AS809" s="6"/>
      <c r="AT809" s="206"/>
      <c r="AV809" s="213"/>
      <c r="AW809" s="6"/>
      <c r="AX809" s="6"/>
      <c r="AY809" s="6"/>
      <c r="AZ809" s="206"/>
    </row>
    <row r="810" spans="4:52" s="2" customFormat="1" ht="17.100000000000001" customHeight="1" x14ac:dyDescent="0.25">
      <c r="D810" s="3"/>
      <c r="E810" s="3"/>
      <c r="F810" s="4"/>
      <c r="G810" s="4"/>
      <c r="H810" s="138"/>
      <c r="I810" s="97"/>
      <c r="J810" s="6"/>
      <c r="K810" s="6"/>
      <c r="L810" s="6"/>
      <c r="M810" s="6"/>
      <c r="N810" s="6"/>
      <c r="O810" s="6"/>
      <c r="P810" s="6"/>
      <c r="Q810" s="6"/>
      <c r="R810" s="6"/>
      <c r="S810" s="6"/>
      <c r="T810" s="6"/>
      <c r="U810" s="6"/>
      <c r="V810" s="339"/>
      <c r="W810" s="339"/>
      <c r="X810" s="6"/>
      <c r="Y810" s="206"/>
      <c r="AE810" s="6"/>
      <c r="AF810" s="6"/>
      <c r="AG810" s="6"/>
      <c r="AH810" s="206"/>
      <c r="AJ810" s="213"/>
      <c r="AK810" s="6"/>
      <c r="AL810" s="6"/>
      <c r="AM810" s="6"/>
      <c r="AN810" s="206"/>
      <c r="AP810" s="213"/>
      <c r="AQ810" s="6"/>
      <c r="AR810" s="6"/>
      <c r="AS810" s="6"/>
      <c r="AT810" s="206"/>
      <c r="AV810" s="213"/>
      <c r="AW810" s="6"/>
      <c r="AX810" s="6"/>
      <c r="AY810" s="6"/>
      <c r="AZ810" s="206"/>
    </row>
    <row r="811" spans="4:52" s="2" customFormat="1" ht="17.100000000000001" customHeight="1" x14ac:dyDescent="0.25">
      <c r="D811" s="3"/>
      <c r="E811" s="3"/>
      <c r="F811" s="4"/>
      <c r="G811" s="4"/>
      <c r="H811" s="138"/>
      <c r="I811" s="97"/>
      <c r="J811" s="6"/>
      <c r="K811" s="6"/>
      <c r="L811" s="6"/>
      <c r="M811" s="6"/>
      <c r="N811" s="6"/>
      <c r="O811" s="6"/>
      <c r="P811" s="6"/>
      <c r="Q811" s="6"/>
      <c r="R811" s="6"/>
      <c r="S811" s="6"/>
      <c r="T811" s="6"/>
      <c r="U811" s="6"/>
      <c r="V811" s="339"/>
      <c r="W811" s="339"/>
      <c r="X811" s="6"/>
      <c r="Y811" s="206"/>
      <c r="AE811" s="6"/>
      <c r="AF811" s="6"/>
      <c r="AG811" s="6"/>
      <c r="AH811" s="206"/>
      <c r="AJ811" s="213"/>
      <c r="AK811" s="6"/>
      <c r="AL811" s="6"/>
      <c r="AM811" s="6"/>
      <c r="AN811" s="206"/>
      <c r="AP811" s="213"/>
      <c r="AQ811" s="6"/>
      <c r="AR811" s="6"/>
      <c r="AS811" s="6"/>
      <c r="AT811" s="206"/>
      <c r="AV811" s="213"/>
      <c r="AW811" s="6"/>
      <c r="AX811" s="6"/>
      <c r="AY811" s="6"/>
      <c r="AZ811" s="206"/>
    </row>
    <row r="812" spans="4:52" s="2" customFormat="1" ht="17.100000000000001" customHeight="1" x14ac:dyDescent="0.25">
      <c r="D812" s="3"/>
      <c r="E812" s="3"/>
      <c r="F812" s="4"/>
      <c r="G812" s="4"/>
      <c r="H812" s="138"/>
      <c r="I812" s="97"/>
      <c r="J812" s="6"/>
      <c r="K812" s="6"/>
      <c r="L812" s="6"/>
      <c r="M812" s="6"/>
      <c r="N812" s="6"/>
      <c r="O812" s="6"/>
      <c r="P812" s="6"/>
      <c r="Q812" s="6"/>
      <c r="R812" s="6"/>
      <c r="S812" s="6"/>
      <c r="T812" s="6"/>
      <c r="U812" s="6"/>
      <c r="V812" s="339"/>
      <c r="W812" s="339"/>
      <c r="X812" s="6"/>
      <c r="Y812" s="206"/>
      <c r="AE812" s="6"/>
      <c r="AF812" s="6"/>
      <c r="AG812" s="6"/>
      <c r="AH812" s="206"/>
      <c r="AJ812" s="213"/>
      <c r="AK812" s="6"/>
      <c r="AL812" s="6"/>
      <c r="AM812" s="6"/>
      <c r="AN812" s="206"/>
      <c r="AP812" s="213"/>
      <c r="AQ812" s="6"/>
      <c r="AR812" s="6"/>
      <c r="AS812" s="6"/>
      <c r="AT812" s="206"/>
      <c r="AV812" s="213"/>
      <c r="AW812" s="6"/>
      <c r="AX812" s="6"/>
      <c r="AY812" s="6"/>
      <c r="AZ812" s="206"/>
    </row>
    <row r="813" spans="4:52" s="2" customFormat="1" ht="17.100000000000001" customHeight="1" x14ac:dyDescent="0.25">
      <c r="D813" s="3"/>
      <c r="E813" s="3"/>
      <c r="F813" s="4"/>
      <c r="G813" s="4"/>
      <c r="H813" s="138"/>
      <c r="I813" s="97"/>
      <c r="J813" s="6"/>
      <c r="K813" s="6"/>
      <c r="L813" s="6"/>
      <c r="M813" s="6"/>
      <c r="N813" s="6"/>
      <c r="O813" s="6"/>
      <c r="P813" s="6"/>
      <c r="Q813" s="6"/>
      <c r="R813" s="6"/>
      <c r="S813" s="6"/>
      <c r="T813" s="6"/>
      <c r="U813" s="6"/>
      <c r="V813" s="339"/>
      <c r="W813" s="339"/>
      <c r="X813" s="6"/>
      <c r="Y813" s="206"/>
      <c r="AE813" s="6"/>
      <c r="AF813" s="6"/>
      <c r="AG813" s="6"/>
      <c r="AH813" s="206"/>
      <c r="AJ813" s="213"/>
      <c r="AK813" s="6"/>
      <c r="AL813" s="6"/>
      <c r="AM813" s="6"/>
      <c r="AN813" s="206"/>
      <c r="AP813" s="213"/>
      <c r="AQ813" s="6"/>
      <c r="AR813" s="6"/>
      <c r="AS813" s="6"/>
      <c r="AT813" s="206"/>
      <c r="AV813" s="213"/>
      <c r="AW813" s="6"/>
      <c r="AX813" s="6"/>
      <c r="AY813" s="6"/>
      <c r="AZ813" s="206"/>
    </row>
    <row r="814" spans="4:52" s="2" customFormat="1" ht="17.100000000000001" customHeight="1" x14ac:dyDescent="0.25">
      <c r="D814" s="3"/>
      <c r="E814" s="3"/>
      <c r="F814" s="4"/>
      <c r="G814" s="4"/>
      <c r="H814" s="138"/>
      <c r="I814" s="97"/>
      <c r="J814" s="6"/>
      <c r="K814" s="6"/>
      <c r="L814" s="6"/>
      <c r="M814" s="6"/>
      <c r="N814" s="6"/>
      <c r="O814" s="6"/>
      <c r="P814" s="6"/>
      <c r="Q814" s="6"/>
      <c r="R814" s="6"/>
      <c r="S814" s="6"/>
      <c r="T814" s="6"/>
      <c r="U814" s="6"/>
      <c r="V814" s="339"/>
      <c r="W814" s="339"/>
      <c r="X814" s="6"/>
      <c r="Y814" s="206"/>
      <c r="AE814" s="6"/>
      <c r="AF814" s="6"/>
      <c r="AG814" s="6"/>
      <c r="AH814" s="206"/>
      <c r="AJ814" s="213"/>
      <c r="AK814" s="6"/>
      <c r="AL814" s="6"/>
      <c r="AM814" s="6"/>
      <c r="AN814" s="206"/>
      <c r="AP814" s="213"/>
      <c r="AQ814" s="6"/>
      <c r="AR814" s="6"/>
      <c r="AS814" s="6"/>
      <c r="AT814" s="206"/>
      <c r="AV814" s="213"/>
      <c r="AW814" s="6"/>
      <c r="AX814" s="6"/>
      <c r="AY814" s="6"/>
      <c r="AZ814" s="206"/>
    </row>
    <row r="815" spans="4:52" s="2" customFormat="1" ht="17.100000000000001" customHeight="1" x14ac:dyDescent="0.25">
      <c r="D815" s="3"/>
      <c r="E815" s="3"/>
      <c r="F815" s="4"/>
      <c r="G815" s="4"/>
      <c r="H815" s="138"/>
      <c r="I815" s="97"/>
      <c r="J815" s="6"/>
      <c r="K815" s="6"/>
      <c r="L815" s="6"/>
      <c r="M815" s="6"/>
      <c r="N815" s="6"/>
      <c r="O815" s="6"/>
      <c r="P815" s="6"/>
      <c r="Q815" s="6"/>
      <c r="R815" s="6"/>
      <c r="S815" s="6"/>
      <c r="T815" s="6"/>
      <c r="U815" s="6"/>
      <c r="V815" s="339"/>
      <c r="W815" s="339"/>
      <c r="X815" s="6"/>
      <c r="Y815" s="206"/>
      <c r="AE815" s="6"/>
      <c r="AF815" s="6"/>
      <c r="AG815" s="6"/>
      <c r="AH815" s="206"/>
      <c r="AJ815" s="213"/>
      <c r="AK815" s="6"/>
      <c r="AL815" s="6"/>
      <c r="AM815" s="6"/>
      <c r="AN815" s="206"/>
      <c r="AP815" s="213"/>
      <c r="AQ815" s="6"/>
      <c r="AR815" s="6"/>
      <c r="AS815" s="6"/>
      <c r="AT815" s="206"/>
      <c r="AV815" s="213"/>
      <c r="AW815" s="6"/>
      <c r="AX815" s="6"/>
      <c r="AY815" s="6"/>
      <c r="AZ815" s="206"/>
    </row>
    <row r="816" spans="4:52" s="2" customFormat="1" ht="17.100000000000001" customHeight="1" x14ac:dyDescent="0.25">
      <c r="D816" s="3"/>
      <c r="E816" s="3"/>
      <c r="F816" s="4"/>
      <c r="G816" s="4"/>
      <c r="H816" s="138"/>
      <c r="I816" s="97"/>
      <c r="J816" s="6"/>
      <c r="K816" s="6"/>
      <c r="L816" s="6"/>
      <c r="M816" s="6"/>
      <c r="N816" s="6"/>
      <c r="O816" s="6"/>
      <c r="P816" s="6"/>
      <c r="Q816" s="6"/>
      <c r="R816" s="6"/>
      <c r="S816" s="6"/>
      <c r="T816" s="6"/>
      <c r="U816" s="6"/>
      <c r="V816" s="339"/>
      <c r="W816" s="339"/>
      <c r="X816" s="6"/>
      <c r="Y816" s="206"/>
      <c r="AE816" s="6"/>
      <c r="AF816" s="6"/>
      <c r="AG816" s="6"/>
      <c r="AH816" s="206"/>
      <c r="AJ816" s="213"/>
      <c r="AK816" s="6"/>
      <c r="AL816" s="6"/>
      <c r="AM816" s="6"/>
      <c r="AN816" s="206"/>
      <c r="AP816" s="213"/>
      <c r="AQ816" s="6"/>
      <c r="AR816" s="6"/>
      <c r="AS816" s="6"/>
      <c r="AT816" s="206"/>
      <c r="AV816" s="213"/>
      <c r="AW816" s="6"/>
      <c r="AX816" s="6"/>
      <c r="AY816" s="6"/>
      <c r="AZ816" s="206"/>
    </row>
    <row r="817" spans="4:52" s="2" customFormat="1" ht="17.100000000000001" customHeight="1" x14ac:dyDescent="0.25">
      <c r="D817" s="3"/>
      <c r="E817" s="3"/>
      <c r="F817" s="4"/>
      <c r="G817" s="4"/>
      <c r="H817" s="138"/>
      <c r="I817" s="97"/>
      <c r="J817" s="6"/>
      <c r="K817" s="6"/>
      <c r="L817" s="6"/>
      <c r="M817" s="6"/>
      <c r="N817" s="6"/>
      <c r="O817" s="6"/>
      <c r="P817" s="6"/>
      <c r="Q817" s="6"/>
      <c r="R817" s="6"/>
      <c r="S817" s="6"/>
      <c r="T817" s="6"/>
      <c r="U817" s="6"/>
      <c r="V817" s="339"/>
      <c r="W817" s="339"/>
      <c r="X817" s="6"/>
      <c r="Y817" s="206"/>
      <c r="AE817" s="6"/>
      <c r="AF817" s="6"/>
      <c r="AG817" s="6"/>
      <c r="AH817" s="206"/>
      <c r="AJ817" s="213"/>
      <c r="AK817" s="6"/>
      <c r="AL817" s="6"/>
      <c r="AM817" s="6"/>
      <c r="AN817" s="206"/>
      <c r="AP817" s="213"/>
      <c r="AQ817" s="6"/>
      <c r="AR817" s="6"/>
      <c r="AS817" s="6"/>
      <c r="AT817" s="206"/>
      <c r="AV817" s="213"/>
      <c r="AW817" s="6"/>
      <c r="AX817" s="6"/>
      <c r="AY817" s="6"/>
      <c r="AZ817" s="206"/>
    </row>
    <row r="818" spans="4:52" s="2" customFormat="1" ht="17.100000000000001" customHeight="1" x14ac:dyDescent="0.25">
      <c r="D818" s="3"/>
      <c r="E818" s="3"/>
      <c r="F818" s="4"/>
      <c r="G818" s="4"/>
      <c r="H818" s="138"/>
      <c r="I818" s="97"/>
      <c r="J818" s="6"/>
      <c r="K818" s="6"/>
      <c r="L818" s="6"/>
      <c r="M818" s="6"/>
      <c r="N818" s="6"/>
      <c r="O818" s="6"/>
      <c r="P818" s="6"/>
      <c r="Q818" s="6"/>
      <c r="R818" s="6"/>
      <c r="S818" s="6"/>
      <c r="T818" s="6"/>
      <c r="U818" s="6"/>
      <c r="V818" s="339"/>
      <c r="W818" s="339"/>
      <c r="X818" s="6"/>
      <c r="Y818" s="206"/>
      <c r="AE818" s="6"/>
      <c r="AF818" s="6"/>
      <c r="AG818" s="6"/>
      <c r="AH818" s="206"/>
      <c r="AJ818" s="213"/>
      <c r="AK818" s="6"/>
      <c r="AL818" s="6"/>
      <c r="AM818" s="6"/>
      <c r="AN818" s="206"/>
      <c r="AP818" s="213"/>
      <c r="AQ818" s="6"/>
      <c r="AR818" s="6"/>
      <c r="AS818" s="6"/>
      <c r="AT818" s="206"/>
      <c r="AV818" s="213"/>
      <c r="AW818" s="6"/>
      <c r="AX818" s="6"/>
      <c r="AY818" s="6"/>
      <c r="AZ818" s="206"/>
    </row>
    <row r="819" spans="4:52" s="2" customFormat="1" ht="17.100000000000001" customHeight="1" x14ac:dyDescent="0.25">
      <c r="D819" s="3"/>
      <c r="E819" s="3"/>
      <c r="F819" s="4"/>
      <c r="G819" s="4"/>
      <c r="H819" s="138"/>
      <c r="I819" s="97"/>
      <c r="J819" s="6"/>
      <c r="K819" s="6"/>
      <c r="L819" s="6"/>
      <c r="M819" s="6"/>
      <c r="N819" s="6"/>
      <c r="O819" s="6"/>
      <c r="P819" s="6"/>
      <c r="Q819" s="6"/>
      <c r="R819" s="6"/>
      <c r="S819" s="6"/>
      <c r="T819" s="6"/>
      <c r="U819" s="6"/>
      <c r="V819" s="339"/>
      <c r="W819" s="339"/>
      <c r="X819" s="6"/>
      <c r="Y819" s="206"/>
      <c r="AE819" s="6"/>
      <c r="AF819" s="6"/>
      <c r="AG819" s="6"/>
      <c r="AH819" s="206"/>
      <c r="AJ819" s="213"/>
      <c r="AK819" s="6"/>
      <c r="AL819" s="6"/>
      <c r="AM819" s="6"/>
      <c r="AN819" s="206"/>
      <c r="AP819" s="213"/>
      <c r="AQ819" s="6"/>
      <c r="AR819" s="6"/>
      <c r="AS819" s="6"/>
      <c r="AT819" s="206"/>
      <c r="AV819" s="213"/>
      <c r="AW819" s="6"/>
      <c r="AX819" s="6"/>
      <c r="AY819" s="6"/>
      <c r="AZ819" s="206"/>
    </row>
    <row r="820" spans="4:52" s="2" customFormat="1" ht="17.100000000000001" customHeight="1" x14ac:dyDescent="0.25">
      <c r="D820" s="3"/>
      <c r="E820" s="3"/>
      <c r="F820" s="4"/>
      <c r="G820" s="4"/>
      <c r="H820" s="138"/>
      <c r="I820" s="97"/>
      <c r="J820" s="6"/>
      <c r="K820" s="6"/>
      <c r="L820" s="6"/>
      <c r="M820" s="6"/>
      <c r="N820" s="6"/>
      <c r="O820" s="6"/>
      <c r="P820" s="6"/>
      <c r="Q820" s="6"/>
      <c r="R820" s="6"/>
      <c r="S820" s="6"/>
      <c r="T820" s="6"/>
      <c r="U820" s="6"/>
      <c r="V820" s="339"/>
      <c r="W820" s="339"/>
      <c r="X820" s="6"/>
      <c r="Y820" s="206"/>
      <c r="AE820" s="6"/>
      <c r="AF820" s="6"/>
      <c r="AG820" s="6"/>
      <c r="AH820" s="206"/>
      <c r="AJ820" s="213"/>
      <c r="AK820" s="6"/>
      <c r="AL820" s="6"/>
      <c r="AM820" s="6"/>
      <c r="AN820" s="206"/>
      <c r="AP820" s="213"/>
      <c r="AQ820" s="6"/>
      <c r="AR820" s="6"/>
      <c r="AS820" s="6"/>
      <c r="AT820" s="206"/>
      <c r="AV820" s="213"/>
      <c r="AW820" s="6"/>
      <c r="AX820" s="6"/>
      <c r="AY820" s="6"/>
      <c r="AZ820" s="206"/>
    </row>
    <row r="821" spans="4:52" s="2" customFormat="1" ht="17.100000000000001" customHeight="1" x14ac:dyDescent="0.25">
      <c r="D821" s="3"/>
      <c r="E821" s="3"/>
      <c r="F821" s="4"/>
      <c r="G821" s="4"/>
      <c r="H821" s="138"/>
      <c r="I821" s="97"/>
      <c r="J821" s="6"/>
      <c r="K821" s="6"/>
      <c r="L821" s="6"/>
      <c r="M821" s="6"/>
      <c r="N821" s="6"/>
      <c r="O821" s="6"/>
      <c r="P821" s="6"/>
      <c r="Q821" s="6"/>
      <c r="R821" s="6"/>
      <c r="S821" s="6"/>
      <c r="T821" s="6"/>
      <c r="U821" s="6"/>
      <c r="V821" s="339"/>
      <c r="W821" s="339"/>
      <c r="X821" s="6"/>
      <c r="Y821" s="206"/>
      <c r="AE821" s="6"/>
      <c r="AF821" s="6"/>
      <c r="AG821" s="6"/>
      <c r="AH821" s="206"/>
      <c r="AJ821" s="213"/>
      <c r="AK821" s="6"/>
      <c r="AL821" s="6"/>
      <c r="AM821" s="6"/>
      <c r="AN821" s="206"/>
      <c r="AP821" s="213"/>
      <c r="AQ821" s="6"/>
      <c r="AR821" s="6"/>
      <c r="AS821" s="6"/>
      <c r="AT821" s="206"/>
      <c r="AV821" s="213"/>
      <c r="AW821" s="6"/>
      <c r="AX821" s="6"/>
      <c r="AY821" s="6"/>
      <c r="AZ821" s="206"/>
    </row>
    <row r="822" spans="4:52" s="2" customFormat="1" ht="17.100000000000001" customHeight="1" x14ac:dyDescent="0.25">
      <c r="D822" s="3"/>
      <c r="E822" s="3"/>
      <c r="F822" s="4"/>
      <c r="G822" s="4"/>
      <c r="H822" s="138"/>
      <c r="I822" s="97"/>
      <c r="J822" s="6"/>
      <c r="K822" s="6"/>
      <c r="L822" s="6"/>
      <c r="M822" s="6"/>
      <c r="N822" s="6"/>
      <c r="O822" s="6"/>
      <c r="P822" s="6"/>
      <c r="Q822" s="6"/>
      <c r="R822" s="6"/>
      <c r="S822" s="6"/>
      <c r="T822" s="6"/>
      <c r="U822" s="6"/>
      <c r="V822" s="339"/>
      <c r="W822" s="339"/>
      <c r="X822" s="6"/>
      <c r="Y822" s="206"/>
      <c r="AE822" s="6"/>
      <c r="AF822" s="6"/>
      <c r="AG822" s="6"/>
      <c r="AH822" s="206"/>
      <c r="AJ822" s="213"/>
      <c r="AK822" s="6"/>
      <c r="AL822" s="6"/>
      <c r="AM822" s="6"/>
      <c r="AN822" s="206"/>
      <c r="AP822" s="213"/>
      <c r="AQ822" s="6"/>
      <c r="AR822" s="6"/>
      <c r="AS822" s="6"/>
      <c r="AT822" s="206"/>
      <c r="AV822" s="213"/>
      <c r="AW822" s="6"/>
      <c r="AX822" s="6"/>
      <c r="AY822" s="6"/>
      <c r="AZ822" s="206"/>
    </row>
    <row r="823" spans="4:52" s="2" customFormat="1" ht="17.100000000000001" customHeight="1" x14ac:dyDescent="0.25">
      <c r="D823" s="3"/>
      <c r="E823" s="3"/>
      <c r="F823" s="4"/>
      <c r="G823" s="4"/>
      <c r="H823" s="138"/>
      <c r="I823" s="97"/>
      <c r="J823" s="6"/>
      <c r="K823" s="6"/>
      <c r="L823" s="6"/>
      <c r="M823" s="6"/>
      <c r="N823" s="6"/>
      <c r="O823" s="6"/>
      <c r="P823" s="6"/>
      <c r="Q823" s="6"/>
      <c r="R823" s="6"/>
      <c r="S823" s="6"/>
      <c r="T823" s="6"/>
      <c r="U823" s="6"/>
      <c r="V823" s="339"/>
      <c r="W823" s="339"/>
      <c r="X823" s="6"/>
      <c r="Y823" s="206"/>
      <c r="AE823" s="6"/>
      <c r="AF823" s="6"/>
      <c r="AG823" s="6"/>
      <c r="AH823" s="206"/>
      <c r="AJ823" s="213"/>
      <c r="AK823" s="6"/>
      <c r="AL823" s="6"/>
      <c r="AM823" s="6"/>
      <c r="AN823" s="206"/>
      <c r="AP823" s="213"/>
      <c r="AQ823" s="6"/>
      <c r="AR823" s="6"/>
      <c r="AS823" s="6"/>
      <c r="AT823" s="206"/>
      <c r="AV823" s="213"/>
      <c r="AW823" s="6"/>
      <c r="AX823" s="6"/>
      <c r="AY823" s="6"/>
      <c r="AZ823" s="206"/>
    </row>
    <row r="824" spans="4:52" s="2" customFormat="1" ht="17.100000000000001" customHeight="1" x14ac:dyDescent="0.25">
      <c r="D824" s="3"/>
      <c r="E824" s="3"/>
      <c r="F824" s="4"/>
      <c r="G824" s="4"/>
      <c r="H824" s="138"/>
      <c r="I824" s="97"/>
      <c r="J824" s="6"/>
      <c r="K824" s="6"/>
      <c r="L824" s="6"/>
      <c r="M824" s="6"/>
      <c r="N824" s="6"/>
      <c r="O824" s="6"/>
      <c r="P824" s="6"/>
      <c r="Q824" s="6"/>
      <c r="R824" s="6"/>
      <c r="S824" s="6"/>
      <c r="T824" s="6"/>
      <c r="U824" s="6"/>
      <c r="V824" s="339"/>
      <c r="W824" s="339"/>
      <c r="X824" s="6"/>
      <c r="Y824" s="206"/>
      <c r="AE824" s="6"/>
      <c r="AF824" s="6"/>
      <c r="AG824" s="6"/>
      <c r="AH824" s="206"/>
      <c r="AJ824" s="213"/>
      <c r="AK824" s="6"/>
      <c r="AL824" s="6"/>
      <c r="AM824" s="6"/>
      <c r="AN824" s="206"/>
      <c r="AP824" s="213"/>
      <c r="AQ824" s="6"/>
      <c r="AR824" s="6"/>
      <c r="AS824" s="6"/>
      <c r="AT824" s="206"/>
      <c r="AV824" s="213"/>
      <c r="AW824" s="6"/>
      <c r="AX824" s="6"/>
      <c r="AY824" s="6"/>
      <c r="AZ824" s="206"/>
    </row>
    <row r="825" spans="4:52" s="2" customFormat="1" ht="17.100000000000001" customHeight="1" x14ac:dyDescent="0.25">
      <c r="D825" s="3"/>
      <c r="E825" s="3"/>
      <c r="F825" s="4"/>
      <c r="G825" s="4"/>
      <c r="H825" s="138"/>
      <c r="I825" s="97"/>
      <c r="J825" s="6"/>
      <c r="K825" s="6"/>
      <c r="L825" s="6"/>
      <c r="M825" s="6"/>
      <c r="N825" s="6"/>
      <c r="O825" s="6"/>
      <c r="P825" s="6"/>
      <c r="Q825" s="6"/>
      <c r="R825" s="6"/>
      <c r="S825" s="6"/>
      <c r="T825" s="6"/>
      <c r="U825" s="6"/>
      <c r="V825" s="339"/>
      <c r="W825" s="339"/>
      <c r="X825" s="6"/>
      <c r="Y825" s="206"/>
      <c r="AE825" s="6"/>
      <c r="AF825" s="6"/>
      <c r="AG825" s="6"/>
      <c r="AH825" s="206"/>
      <c r="AJ825" s="213"/>
      <c r="AK825" s="6"/>
      <c r="AL825" s="6"/>
      <c r="AM825" s="6"/>
      <c r="AN825" s="206"/>
      <c r="AP825" s="213"/>
      <c r="AQ825" s="6"/>
      <c r="AR825" s="6"/>
      <c r="AS825" s="6"/>
      <c r="AT825" s="206"/>
      <c r="AV825" s="213"/>
      <c r="AW825" s="6"/>
      <c r="AX825" s="6"/>
      <c r="AY825" s="6"/>
      <c r="AZ825" s="206"/>
    </row>
    <row r="826" spans="4:52" s="2" customFormat="1" ht="17.100000000000001" customHeight="1" x14ac:dyDescent="0.25">
      <c r="D826" s="3"/>
      <c r="E826" s="3"/>
      <c r="F826" s="4"/>
      <c r="G826" s="4"/>
      <c r="H826" s="138"/>
      <c r="I826" s="97"/>
      <c r="J826" s="6"/>
      <c r="K826" s="6"/>
      <c r="L826" s="6"/>
      <c r="M826" s="6"/>
      <c r="N826" s="6"/>
      <c r="O826" s="6"/>
      <c r="P826" s="6"/>
      <c r="Q826" s="6"/>
      <c r="R826" s="6"/>
      <c r="S826" s="6"/>
      <c r="T826" s="6"/>
      <c r="U826" s="6"/>
      <c r="V826" s="339"/>
      <c r="W826" s="339"/>
      <c r="X826" s="6"/>
      <c r="Y826" s="206"/>
      <c r="AE826" s="6"/>
      <c r="AF826" s="6"/>
      <c r="AG826" s="6"/>
      <c r="AH826" s="206"/>
      <c r="AJ826" s="213"/>
      <c r="AK826" s="6"/>
      <c r="AL826" s="6"/>
      <c r="AM826" s="6"/>
      <c r="AN826" s="206"/>
      <c r="AP826" s="213"/>
      <c r="AQ826" s="6"/>
      <c r="AR826" s="6"/>
      <c r="AS826" s="6"/>
      <c r="AT826" s="206"/>
      <c r="AV826" s="213"/>
      <c r="AW826" s="6"/>
      <c r="AX826" s="6"/>
      <c r="AY826" s="6"/>
      <c r="AZ826" s="206"/>
    </row>
    <row r="827" spans="4:52" s="2" customFormat="1" ht="17.100000000000001" customHeight="1" x14ac:dyDescent="0.25">
      <c r="D827" s="3"/>
      <c r="E827" s="3"/>
      <c r="F827" s="4"/>
      <c r="G827" s="4"/>
      <c r="H827" s="138"/>
      <c r="I827" s="97"/>
      <c r="J827" s="6"/>
      <c r="K827" s="6"/>
      <c r="L827" s="6"/>
      <c r="M827" s="6"/>
      <c r="N827" s="6"/>
      <c r="O827" s="6"/>
      <c r="P827" s="6"/>
      <c r="Q827" s="6"/>
      <c r="R827" s="6"/>
      <c r="S827" s="6"/>
      <c r="T827" s="6"/>
      <c r="U827" s="6"/>
      <c r="V827" s="339"/>
      <c r="W827" s="339"/>
      <c r="X827" s="6"/>
      <c r="Y827" s="206"/>
      <c r="AE827" s="6"/>
      <c r="AF827" s="6"/>
      <c r="AG827" s="6"/>
      <c r="AH827" s="206"/>
      <c r="AJ827" s="213"/>
      <c r="AK827" s="6"/>
      <c r="AL827" s="6"/>
      <c r="AM827" s="6"/>
      <c r="AN827" s="206"/>
      <c r="AP827" s="213"/>
      <c r="AQ827" s="6"/>
      <c r="AR827" s="6"/>
      <c r="AS827" s="6"/>
      <c r="AT827" s="206"/>
      <c r="AV827" s="213"/>
      <c r="AW827" s="6"/>
      <c r="AX827" s="6"/>
      <c r="AY827" s="6"/>
      <c r="AZ827" s="206"/>
    </row>
    <row r="828" spans="4:52" s="2" customFormat="1" ht="17.100000000000001" customHeight="1" x14ac:dyDescent="0.25">
      <c r="D828" s="3"/>
      <c r="E828" s="3"/>
      <c r="F828" s="4"/>
      <c r="G828" s="4"/>
      <c r="H828" s="138"/>
      <c r="I828" s="97"/>
      <c r="J828" s="6"/>
      <c r="K828" s="6"/>
      <c r="L828" s="6"/>
      <c r="M828" s="6"/>
      <c r="N828" s="6"/>
      <c r="O828" s="6"/>
      <c r="P828" s="6"/>
      <c r="Q828" s="6"/>
      <c r="R828" s="6"/>
      <c r="S828" s="6"/>
      <c r="T828" s="6"/>
      <c r="U828" s="6"/>
      <c r="V828" s="339"/>
      <c r="W828" s="339"/>
      <c r="X828" s="6"/>
      <c r="Y828" s="206"/>
      <c r="AE828" s="6"/>
      <c r="AF828" s="6"/>
      <c r="AG828" s="6"/>
      <c r="AH828" s="206"/>
      <c r="AJ828" s="213"/>
      <c r="AK828" s="6"/>
      <c r="AL828" s="6"/>
      <c r="AM828" s="6"/>
      <c r="AN828" s="206"/>
      <c r="AP828" s="213"/>
      <c r="AQ828" s="6"/>
      <c r="AR828" s="6"/>
      <c r="AS828" s="6"/>
      <c r="AT828" s="206"/>
      <c r="AV828" s="213"/>
      <c r="AW828" s="6"/>
      <c r="AX828" s="6"/>
      <c r="AY828" s="6"/>
      <c r="AZ828" s="206"/>
    </row>
    <row r="829" spans="4:52" s="2" customFormat="1" ht="17.100000000000001" customHeight="1" x14ac:dyDescent="0.25">
      <c r="D829" s="3"/>
      <c r="E829" s="3"/>
      <c r="F829" s="4"/>
      <c r="G829" s="4"/>
      <c r="H829" s="138"/>
      <c r="I829" s="97"/>
      <c r="J829" s="6"/>
      <c r="K829" s="6"/>
      <c r="L829" s="6"/>
      <c r="M829" s="6"/>
      <c r="N829" s="6"/>
      <c r="O829" s="6"/>
      <c r="P829" s="6"/>
      <c r="Q829" s="6"/>
      <c r="R829" s="6"/>
      <c r="S829" s="6"/>
      <c r="T829" s="6"/>
      <c r="U829" s="6"/>
      <c r="V829" s="339"/>
      <c r="W829" s="339"/>
      <c r="X829" s="6"/>
      <c r="Y829" s="206"/>
      <c r="AE829" s="6"/>
      <c r="AF829" s="6"/>
      <c r="AG829" s="6"/>
      <c r="AH829" s="206"/>
      <c r="AJ829" s="213"/>
      <c r="AK829" s="6"/>
      <c r="AL829" s="6"/>
      <c r="AM829" s="6"/>
      <c r="AN829" s="206"/>
      <c r="AP829" s="213"/>
      <c r="AQ829" s="6"/>
      <c r="AR829" s="6"/>
      <c r="AS829" s="6"/>
      <c r="AT829" s="206"/>
      <c r="AV829" s="213"/>
      <c r="AW829" s="6"/>
      <c r="AX829" s="6"/>
      <c r="AY829" s="6"/>
      <c r="AZ829" s="206"/>
    </row>
    <row r="830" spans="4:52" s="2" customFormat="1" ht="17.100000000000001" customHeight="1" x14ac:dyDescent="0.25">
      <c r="D830" s="3"/>
      <c r="E830" s="3"/>
      <c r="F830" s="4"/>
      <c r="G830" s="4"/>
      <c r="H830" s="138"/>
      <c r="I830" s="97"/>
      <c r="J830" s="6"/>
      <c r="K830" s="6"/>
      <c r="L830" s="6"/>
      <c r="M830" s="6"/>
      <c r="N830" s="6"/>
      <c r="O830" s="6"/>
      <c r="P830" s="6"/>
      <c r="Q830" s="6"/>
      <c r="R830" s="6"/>
      <c r="S830" s="6"/>
      <c r="T830" s="6"/>
      <c r="U830" s="6"/>
      <c r="V830" s="339"/>
      <c r="W830" s="339"/>
      <c r="X830" s="6"/>
      <c r="Y830" s="206"/>
      <c r="AE830" s="6"/>
      <c r="AF830" s="6"/>
      <c r="AG830" s="6"/>
      <c r="AH830" s="206"/>
      <c r="AJ830" s="213"/>
      <c r="AK830" s="6"/>
      <c r="AL830" s="6"/>
      <c r="AM830" s="6"/>
      <c r="AN830" s="206"/>
      <c r="AP830" s="213"/>
      <c r="AQ830" s="6"/>
      <c r="AR830" s="6"/>
      <c r="AS830" s="6"/>
      <c r="AT830" s="206"/>
      <c r="AV830" s="213"/>
      <c r="AW830" s="6"/>
      <c r="AX830" s="6"/>
      <c r="AY830" s="6"/>
      <c r="AZ830" s="206"/>
    </row>
    <row r="831" spans="4:52" s="2" customFormat="1" ht="17.100000000000001" customHeight="1" x14ac:dyDescent="0.25">
      <c r="D831" s="3"/>
      <c r="E831" s="3"/>
      <c r="F831" s="4"/>
      <c r="G831" s="4"/>
      <c r="H831" s="138"/>
      <c r="I831" s="97"/>
      <c r="J831" s="6"/>
      <c r="K831" s="6"/>
      <c r="L831" s="6"/>
      <c r="M831" s="6"/>
      <c r="N831" s="6"/>
      <c r="O831" s="6"/>
      <c r="P831" s="6"/>
      <c r="Q831" s="6"/>
      <c r="R831" s="6"/>
      <c r="S831" s="6"/>
      <c r="T831" s="6"/>
      <c r="U831" s="6"/>
      <c r="V831" s="339"/>
      <c r="W831" s="339"/>
      <c r="X831" s="6"/>
      <c r="Y831" s="206"/>
      <c r="AE831" s="6"/>
      <c r="AF831" s="6"/>
      <c r="AG831" s="6"/>
      <c r="AH831" s="206"/>
      <c r="AJ831" s="213"/>
      <c r="AK831" s="6"/>
      <c r="AL831" s="6"/>
      <c r="AM831" s="6"/>
      <c r="AN831" s="206"/>
      <c r="AP831" s="213"/>
      <c r="AQ831" s="6"/>
      <c r="AR831" s="6"/>
      <c r="AS831" s="6"/>
      <c r="AT831" s="206"/>
      <c r="AV831" s="213"/>
      <c r="AW831" s="6"/>
      <c r="AX831" s="6"/>
      <c r="AY831" s="6"/>
      <c r="AZ831" s="206"/>
    </row>
    <row r="832" spans="4:52" s="2" customFormat="1" ht="17.100000000000001" customHeight="1" x14ac:dyDescent="0.25">
      <c r="D832" s="3"/>
      <c r="E832" s="3"/>
      <c r="F832" s="4"/>
      <c r="G832" s="4"/>
      <c r="H832" s="138"/>
      <c r="I832" s="97"/>
      <c r="J832" s="6"/>
      <c r="K832" s="6"/>
      <c r="L832" s="6"/>
      <c r="M832" s="6"/>
      <c r="N832" s="6"/>
      <c r="O832" s="6"/>
      <c r="P832" s="6"/>
      <c r="Q832" s="6"/>
      <c r="R832" s="6"/>
      <c r="S832" s="6"/>
      <c r="T832" s="6"/>
      <c r="U832" s="6"/>
      <c r="V832" s="339"/>
      <c r="W832" s="339"/>
      <c r="X832" s="6"/>
      <c r="Y832" s="206"/>
      <c r="AE832" s="6"/>
      <c r="AF832" s="6"/>
      <c r="AG832" s="6"/>
      <c r="AH832" s="206"/>
      <c r="AJ832" s="213"/>
      <c r="AK832" s="6"/>
      <c r="AL832" s="6"/>
      <c r="AM832" s="6"/>
      <c r="AN832" s="206"/>
      <c r="AP832" s="213"/>
      <c r="AQ832" s="6"/>
      <c r="AR832" s="6"/>
      <c r="AS832" s="6"/>
      <c r="AT832" s="206"/>
      <c r="AV832" s="213"/>
      <c r="AW832" s="6"/>
      <c r="AX832" s="6"/>
      <c r="AY832" s="6"/>
      <c r="AZ832" s="206"/>
    </row>
    <row r="833" spans="4:52" s="2" customFormat="1" ht="17.100000000000001" customHeight="1" x14ac:dyDescent="0.25">
      <c r="D833" s="3"/>
      <c r="E833" s="3"/>
      <c r="F833" s="4"/>
      <c r="G833" s="4"/>
      <c r="H833" s="138"/>
      <c r="I833" s="97"/>
      <c r="J833" s="6"/>
      <c r="K833" s="6"/>
      <c r="L833" s="6"/>
      <c r="M833" s="6"/>
      <c r="N833" s="6"/>
      <c r="O833" s="6"/>
      <c r="P833" s="6"/>
      <c r="Q833" s="6"/>
      <c r="R833" s="6"/>
      <c r="S833" s="6"/>
      <c r="T833" s="6"/>
      <c r="U833" s="6"/>
      <c r="V833" s="339"/>
      <c r="W833" s="339"/>
      <c r="X833" s="6"/>
      <c r="Y833" s="206"/>
      <c r="AE833" s="6"/>
      <c r="AF833" s="6"/>
      <c r="AG833" s="6"/>
      <c r="AH833" s="206"/>
      <c r="AJ833" s="213"/>
      <c r="AK833" s="6"/>
      <c r="AL833" s="6"/>
      <c r="AM833" s="6"/>
      <c r="AN833" s="206"/>
      <c r="AP833" s="213"/>
      <c r="AQ833" s="6"/>
      <c r="AR833" s="6"/>
      <c r="AS833" s="6"/>
      <c r="AT833" s="206"/>
      <c r="AV833" s="213"/>
      <c r="AW833" s="6"/>
      <c r="AX833" s="6"/>
      <c r="AY833" s="6"/>
      <c r="AZ833" s="206"/>
    </row>
    <row r="834" spans="4:52" s="2" customFormat="1" ht="17.100000000000001" customHeight="1" x14ac:dyDescent="0.25">
      <c r="D834" s="3"/>
      <c r="E834" s="3"/>
      <c r="F834" s="4"/>
      <c r="G834" s="4"/>
      <c r="H834" s="138"/>
      <c r="I834" s="97"/>
      <c r="J834" s="6"/>
      <c r="K834" s="6"/>
      <c r="L834" s="6"/>
      <c r="M834" s="6"/>
      <c r="N834" s="6"/>
      <c r="O834" s="6"/>
      <c r="P834" s="6"/>
      <c r="Q834" s="6"/>
      <c r="R834" s="6"/>
      <c r="S834" s="6"/>
      <c r="T834" s="6"/>
      <c r="U834" s="6"/>
      <c r="V834" s="339"/>
      <c r="W834" s="339"/>
      <c r="X834" s="6"/>
      <c r="Y834" s="206"/>
      <c r="AE834" s="6"/>
      <c r="AF834" s="6"/>
      <c r="AG834" s="6"/>
      <c r="AH834" s="206"/>
      <c r="AJ834" s="213"/>
      <c r="AK834" s="6"/>
      <c r="AL834" s="6"/>
      <c r="AM834" s="6"/>
      <c r="AN834" s="206"/>
      <c r="AP834" s="213"/>
      <c r="AQ834" s="6"/>
      <c r="AR834" s="6"/>
      <c r="AS834" s="6"/>
      <c r="AT834" s="206"/>
      <c r="AV834" s="213"/>
      <c r="AW834" s="6"/>
      <c r="AX834" s="6"/>
      <c r="AY834" s="6"/>
      <c r="AZ834" s="206"/>
    </row>
    <row r="835" spans="4:52" s="2" customFormat="1" ht="17.100000000000001" customHeight="1" x14ac:dyDescent="0.25">
      <c r="D835" s="3"/>
      <c r="E835" s="3"/>
      <c r="F835" s="4"/>
      <c r="G835" s="4"/>
      <c r="H835" s="138"/>
      <c r="I835" s="97"/>
      <c r="J835" s="6"/>
      <c r="K835" s="6"/>
      <c r="L835" s="6"/>
      <c r="M835" s="6"/>
      <c r="N835" s="6"/>
      <c r="O835" s="6"/>
      <c r="P835" s="6"/>
      <c r="Q835" s="6"/>
      <c r="R835" s="6"/>
      <c r="S835" s="6"/>
      <c r="T835" s="6"/>
      <c r="U835" s="6"/>
      <c r="V835" s="339"/>
      <c r="W835" s="339"/>
      <c r="X835" s="6"/>
      <c r="Y835" s="206"/>
      <c r="AE835" s="6"/>
      <c r="AF835" s="6"/>
      <c r="AG835" s="6"/>
      <c r="AH835" s="206"/>
      <c r="AJ835" s="213"/>
      <c r="AK835" s="6"/>
      <c r="AL835" s="6"/>
      <c r="AM835" s="6"/>
      <c r="AN835" s="206"/>
      <c r="AP835" s="213"/>
      <c r="AQ835" s="6"/>
      <c r="AR835" s="6"/>
      <c r="AS835" s="6"/>
      <c r="AT835" s="206"/>
      <c r="AV835" s="213"/>
      <c r="AW835" s="6"/>
      <c r="AX835" s="6"/>
      <c r="AY835" s="6"/>
      <c r="AZ835" s="206"/>
    </row>
    <row r="836" spans="4:52" s="2" customFormat="1" ht="17.100000000000001" customHeight="1" x14ac:dyDescent="0.25">
      <c r="D836" s="3"/>
      <c r="E836" s="3"/>
      <c r="F836" s="4"/>
      <c r="G836" s="4"/>
      <c r="H836" s="138"/>
      <c r="I836" s="97"/>
      <c r="J836" s="6"/>
      <c r="K836" s="6"/>
      <c r="L836" s="6"/>
      <c r="M836" s="6"/>
      <c r="N836" s="6"/>
      <c r="O836" s="6"/>
      <c r="P836" s="6"/>
      <c r="Q836" s="6"/>
      <c r="R836" s="6"/>
      <c r="S836" s="6"/>
      <c r="T836" s="6"/>
      <c r="U836" s="6"/>
      <c r="V836" s="339"/>
      <c r="W836" s="339"/>
      <c r="X836" s="6"/>
      <c r="Y836" s="206"/>
      <c r="AE836" s="6"/>
      <c r="AF836" s="6"/>
      <c r="AG836" s="6"/>
      <c r="AH836" s="206"/>
      <c r="AJ836" s="213"/>
      <c r="AK836" s="6"/>
      <c r="AL836" s="6"/>
      <c r="AM836" s="6"/>
      <c r="AN836" s="206"/>
      <c r="AP836" s="213"/>
      <c r="AQ836" s="6"/>
      <c r="AR836" s="6"/>
      <c r="AS836" s="6"/>
      <c r="AT836" s="206"/>
      <c r="AV836" s="213"/>
      <c r="AW836" s="6"/>
      <c r="AX836" s="6"/>
      <c r="AY836" s="6"/>
      <c r="AZ836" s="206"/>
    </row>
    <row r="837" spans="4:52" s="2" customFormat="1" ht="17.100000000000001" customHeight="1" x14ac:dyDescent="0.25">
      <c r="D837" s="3"/>
      <c r="E837" s="3"/>
      <c r="F837" s="4"/>
      <c r="G837" s="4"/>
      <c r="H837" s="138"/>
      <c r="I837" s="97"/>
      <c r="J837" s="6"/>
      <c r="K837" s="6"/>
      <c r="L837" s="6"/>
      <c r="M837" s="6"/>
      <c r="N837" s="6"/>
      <c r="O837" s="6"/>
      <c r="P837" s="6"/>
      <c r="Q837" s="6"/>
      <c r="R837" s="6"/>
      <c r="S837" s="6"/>
      <c r="T837" s="6"/>
      <c r="U837" s="6"/>
      <c r="V837" s="339"/>
      <c r="W837" s="339"/>
      <c r="X837" s="6"/>
      <c r="Y837" s="206"/>
      <c r="AE837" s="6"/>
      <c r="AF837" s="6"/>
      <c r="AG837" s="6"/>
      <c r="AH837" s="206"/>
      <c r="AJ837" s="213"/>
      <c r="AK837" s="6"/>
      <c r="AL837" s="6"/>
      <c r="AM837" s="6"/>
      <c r="AN837" s="206"/>
      <c r="AP837" s="213"/>
      <c r="AQ837" s="6"/>
      <c r="AR837" s="6"/>
      <c r="AS837" s="6"/>
      <c r="AT837" s="206"/>
      <c r="AV837" s="213"/>
      <c r="AW837" s="6"/>
      <c r="AX837" s="6"/>
      <c r="AY837" s="6"/>
      <c r="AZ837" s="206"/>
    </row>
    <row r="838" spans="4:52" s="2" customFormat="1" ht="17.100000000000001" customHeight="1" x14ac:dyDescent="0.25">
      <c r="D838" s="3"/>
      <c r="E838" s="3"/>
      <c r="F838" s="4"/>
      <c r="G838" s="4"/>
      <c r="H838" s="138"/>
      <c r="I838" s="97"/>
      <c r="J838" s="6"/>
      <c r="K838" s="6"/>
      <c r="L838" s="6"/>
      <c r="M838" s="6"/>
      <c r="N838" s="6"/>
      <c r="O838" s="6"/>
      <c r="P838" s="6"/>
      <c r="Q838" s="6"/>
      <c r="R838" s="6"/>
      <c r="S838" s="6"/>
      <c r="T838" s="6"/>
      <c r="U838" s="6"/>
      <c r="V838" s="339"/>
      <c r="W838" s="339"/>
      <c r="X838" s="6"/>
      <c r="Y838" s="206"/>
      <c r="AE838" s="6"/>
      <c r="AF838" s="6"/>
      <c r="AG838" s="6"/>
      <c r="AH838" s="206"/>
      <c r="AJ838" s="213"/>
      <c r="AK838" s="6"/>
      <c r="AL838" s="6"/>
      <c r="AM838" s="6"/>
      <c r="AN838" s="206"/>
      <c r="AP838" s="213"/>
      <c r="AQ838" s="6"/>
      <c r="AR838" s="6"/>
      <c r="AS838" s="6"/>
      <c r="AT838" s="206"/>
      <c r="AV838" s="213"/>
      <c r="AW838" s="6"/>
      <c r="AX838" s="6"/>
      <c r="AY838" s="6"/>
      <c r="AZ838" s="206"/>
    </row>
    <row r="839" spans="4:52" s="2" customFormat="1" ht="17.100000000000001" customHeight="1" x14ac:dyDescent="0.25">
      <c r="D839" s="3"/>
      <c r="E839" s="3"/>
      <c r="F839" s="4"/>
      <c r="G839" s="4"/>
      <c r="H839" s="138"/>
      <c r="I839" s="97"/>
      <c r="J839" s="6"/>
      <c r="K839" s="6"/>
      <c r="L839" s="6"/>
      <c r="M839" s="6"/>
      <c r="N839" s="6"/>
      <c r="O839" s="6"/>
      <c r="P839" s="6"/>
      <c r="Q839" s="6"/>
      <c r="R839" s="6"/>
      <c r="S839" s="6"/>
      <c r="T839" s="6"/>
      <c r="U839" s="6"/>
      <c r="V839" s="339"/>
      <c r="W839" s="339"/>
      <c r="X839" s="6"/>
      <c r="Y839" s="206"/>
      <c r="AE839" s="6"/>
      <c r="AF839" s="6"/>
      <c r="AG839" s="6"/>
      <c r="AH839" s="206"/>
      <c r="AJ839" s="213"/>
      <c r="AK839" s="6"/>
      <c r="AL839" s="6"/>
      <c r="AM839" s="6"/>
      <c r="AN839" s="206"/>
      <c r="AP839" s="213"/>
      <c r="AQ839" s="6"/>
      <c r="AR839" s="6"/>
      <c r="AS839" s="6"/>
      <c r="AT839" s="206"/>
      <c r="AV839" s="213"/>
      <c r="AW839" s="6"/>
      <c r="AX839" s="6"/>
      <c r="AY839" s="6"/>
      <c r="AZ839" s="206"/>
    </row>
    <row r="840" spans="4:52" s="2" customFormat="1" ht="17.100000000000001" customHeight="1" x14ac:dyDescent="0.25">
      <c r="D840" s="3"/>
      <c r="E840" s="3"/>
      <c r="F840" s="4"/>
      <c r="G840" s="4"/>
      <c r="H840" s="138"/>
      <c r="I840" s="97"/>
      <c r="J840" s="6"/>
      <c r="K840" s="6"/>
      <c r="L840" s="6"/>
      <c r="M840" s="6"/>
      <c r="N840" s="6"/>
      <c r="O840" s="6"/>
      <c r="P840" s="6"/>
      <c r="Q840" s="6"/>
      <c r="R840" s="6"/>
      <c r="S840" s="6"/>
      <c r="T840" s="6"/>
      <c r="U840" s="6"/>
      <c r="V840" s="339"/>
      <c r="W840" s="339"/>
      <c r="X840" s="6"/>
      <c r="Y840" s="206"/>
      <c r="AE840" s="6"/>
      <c r="AF840" s="6"/>
      <c r="AG840" s="6"/>
      <c r="AH840" s="206"/>
      <c r="AJ840" s="213"/>
      <c r="AK840" s="6"/>
      <c r="AL840" s="6"/>
      <c r="AM840" s="6"/>
      <c r="AN840" s="206"/>
      <c r="AP840" s="213"/>
      <c r="AQ840" s="6"/>
      <c r="AR840" s="6"/>
      <c r="AS840" s="6"/>
      <c r="AT840" s="206"/>
      <c r="AV840" s="213"/>
      <c r="AW840" s="6"/>
      <c r="AX840" s="6"/>
      <c r="AY840" s="6"/>
      <c r="AZ840" s="206"/>
    </row>
  </sheetData>
  <dataConsolidate/>
  <mergeCells count="19">
    <mergeCell ref="AQ10:AU10"/>
    <mergeCell ref="AW10:BA10"/>
    <mergeCell ref="E382:G382"/>
    <mergeCell ref="E384:G384"/>
    <mergeCell ref="E446:G446"/>
    <mergeCell ref="E447:G447"/>
    <mergeCell ref="AE8:AO8"/>
    <mergeCell ref="J9:M9"/>
    <mergeCell ref="N9:P9"/>
    <mergeCell ref="Q9:S9"/>
    <mergeCell ref="T9:V9"/>
    <mergeCell ref="AE10:AI10"/>
    <mergeCell ref="AK10:AO10"/>
    <mergeCell ref="W8:Y9"/>
    <mergeCell ref="L6:M6"/>
    <mergeCell ref="J8:M8"/>
    <mergeCell ref="N8:P8"/>
    <mergeCell ref="Q8:S8"/>
    <mergeCell ref="T8:V8"/>
  </mergeCells>
  <pageMargins left="0.7" right="0.7" top="0.75" bottom="0.75" header="0.3" footer="0.3"/>
  <pageSetup paperSize="9" scale="70" fitToHeight="5" orientation="portrait" r:id="rId1"/>
  <headerFooter>
    <oddFooter>&amp;L&amp;10SANITATION DEMAND AND SUPPLY STUDY&amp;C&amp;10&amp;P&amp;R&amp;10HOUSEHOLDS WITH TOILET</oddFooter>
  </headerFooter>
  <rowBreaks count="4" manualBreakCount="4">
    <brk id="89" max="10" man="1"/>
    <brk id="212" max="10" man="1"/>
    <brk id="373" max="10" man="1"/>
    <brk id="567" max="10" man="1"/>
  </rowBreaks>
  <ignoredErrors>
    <ignoredError sqref="W562:Y562"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BH840"/>
  <sheetViews>
    <sheetView zoomScale="80" zoomScaleNormal="80" workbookViewId="0">
      <pane xSplit="7" ySplit="11" topLeftCell="H12" activePane="bottomRight" state="frozen"/>
      <selection activeCell="W396" sqref="W396:X399"/>
      <selection pane="topRight" activeCell="W396" sqref="W396:X399"/>
      <selection pane="bottomLeft" activeCell="W396" sqref="W396:X399"/>
      <selection pane="bottomRight" activeCell="O5" sqref="O5"/>
    </sheetView>
  </sheetViews>
  <sheetFormatPr defaultRowHeight="17.100000000000001" customHeight="1" x14ac:dyDescent="0.25"/>
  <cols>
    <col min="1" max="2" width="4.7109375" style="2" customWidth="1"/>
    <col min="3" max="3" width="6.7109375" style="2" customWidth="1"/>
    <col min="4" max="4" width="7.7109375" style="3" customWidth="1"/>
    <col min="5" max="5" width="4.7109375" style="3" customWidth="1"/>
    <col min="6" max="6" width="30.7109375" style="4" customWidth="1"/>
    <col min="7" max="7" width="3.7109375" style="4" customWidth="1"/>
    <col min="8" max="8" width="4.42578125" style="138" customWidth="1"/>
    <col min="9" max="9" width="3.7109375" style="97" customWidth="1"/>
    <col min="10" max="21" width="10.7109375" style="6" customWidth="1"/>
    <col min="22" max="23" width="10.7109375" style="339" customWidth="1"/>
    <col min="24" max="24" width="10.7109375" style="6" customWidth="1"/>
    <col min="25" max="25" width="10.7109375" style="7" customWidth="1"/>
    <col min="26" max="29" width="10.7109375" style="3" customWidth="1"/>
    <col min="30" max="30" width="8.7109375" style="3" customWidth="1"/>
    <col min="31" max="33" width="9.7109375" style="8" customWidth="1"/>
    <col min="34" max="34" width="9.7109375" style="7" customWidth="1"/>
    <col min="35" max="35" width="9.7109375" style="3" customWidth="1"/>
    <col min="36" max="36" width="8.7109375" style="117" customWidth="1"/>
    <col min="37" max="39" width="9.7109375" style="8" customWidth="1"/>
    <col min="40" max="40" width="9.7109375" style="7" customWidth="1"/>
    <col min="41" max="41" width="9.7109375" style="3" customWidth="1"/>
    <col min="42" max="42" width="8.7109375" style="117" customWidth="1"/>
    <col min="43" max="45" width="9.7109375" style="8" customWidth="1"/>
    <col min="46" max="46" width="9.7109375" style="7" customWidth="1"/>
    <col min="47" max="47" width="9.7109375" style="3" customWidth="1"/>
    <col min="48" max="48" width="8.7109375" style="117" customWidth="1"/>
    <col min="49" max="51" width="9.7109375" style="8" customWidth="1"/>
    <col min="52" max="52" width="9.7109375" style="7" customWidth="1"/>
    <col min="53" max="53" width="9.7109375" style="3" customWidth="1"/>
    <col min="54" max="16384" width="9.140625" style="3"/>
  </cols>
  <sheetData>
    <row r="1" spans="1:53" ht="17.100000000000001" customHeight="1" x14ac:dyDescent="0.25">
      <c r="A1" s="1" t="s">
        <v>363</v>
      </c>
      <c r="J1" s="5" t="s">
        <v>883</v>
      </c>
      <c r="V1" s="6"/>
      <c r="W1" s="6"/>
    </row>
    <row r="2" spans="1:53" ht="17.100000000000001" customHeight="1" x14ac:dyDescent="0.25">
      <c r="A2" s="1" t="str">
        <f>'STUDY VILLAGES'!U7</f>
        <v>KAMPOT PROVINCE</v>
      </c>
      <c r="J2" s="5"/>
      <c r="V2" s="6"/>
      <c r="W2" s="6"/>
    </row>
    <row r="3" spans="1:53" ht="17.100000000000001" customHeight="1" x14ac:dyDescent="0.25">
      <c r="A3" s="1" t="str">
        <f>'STUDY VILLAGES'!U8</f>
        <v>BANTEAY MEAS DISTRICT</v>
      </c>
      <c r="J3" s="268" t="s">
        <v>555</v>
      </c>
      <c r="K3" s="95"/>
      <c r="L3" s="267">
        <f>'STUDY VILLAGES'!B16</f>
        <v>0</v>
      </c>
      <c r="M3" s="267"/>
      <c r="V3" s="6"/>
      <c r="W3" s="6"/>
    </row>
    <row r="4" spans="1:53" ht="12.75" x14ac:dyDescent="0.25">
      <c r="A4" s="3"/>
      <c r="B4" s="3"/>
      <c r="C4" s="3"/>
      <c r="F4" s="3"/>
      <c r="G4" s="3"/>
      <c r="H4" s="213"/>
      <c r="J4" s="3"/>
      <c r="K4" s="3"/>
      <c r="L4" s="3"/>
      <c r="M4" s="3"/>
      <c r="N4" s="3"/>
      <c r="O4" s="3"/>
      <c r="P4" s="3"/>
      <c r="V4" s="6"/>
      <c r="W4" s="6"/>
    </row>
    <row r="5" spans="1:53" ht="21" x14ac:dyDescent="0.25">
      <c r="A5" s="1" t="s">
        <v>743</v>
      </c>
      <c r="J5" s="9" t="s">
        <v>1</v>
      </c>
      <c r="K5" s="10"/>
      <c r="L5" s="653"/>
      <c r="M5" s="397"/>
      <c r="N5" s="3"/>
      <c r="O5" s="519" t="s">
        <v>1074</v>
      </c>
      <c r="P5" s="3"/>
      <c r="V5" s="6"/>
      <c r="W5" s="6"/>
    </row>
    <row r="6" spans="1:53" ht="21" customHeight="1" x14ac:dyDescent="0.25">
      <c r="A6" s="444" t="s">
        <v>618</v>
      </c>
      <c r="J6" s="11" t="s">
        <v>2</v>
      </c>
      <c r="K6" s="10"/>
      <c r="L6" s="1379"/>
      <c r="M6" s="1379"/>
      <c r="N6" s="3"/>
      <c r="O6" s="3"/>
      <c r="P6" s="3"/>
      <c r="V6" s="6"/>
      <c r="W6" s="6"/>
    </row>
    <row r="7" spans="1:53" ht="9.9499999999999993" customHeight="1" x14ac:dyDescent="0.25">
      <c r="A7" s="12"/>
      <c r="B7" s="13"/>
      <c r="C7" s="14"/>
      <c r="D7" s="15"/>
      <c r="E7" s="16"/>
      <c r="F7" s="16"/>
      <c r="G7" s="16"/>
      <c r="H7" s="214"/>
      <c r="I7" s="16"/>
      <c r="V7" s="6"/>
      <c r="W7" s="6"/>
    </row>
    <row r="8" spans="1:53" ht="17.100000000000001" customHeight="1" x14ac:dyDescent="0.25">
      <c r="D8" s="2"/>
      <c r="E8" s="2"/>
      <c r="F8" s="21"/>
      <c r="G8" s="21"/>
      <c r="H8" s="12"/>
      <c r="I8" s="138"/>
      <c r="J8" s="1384" t="s">
        <v>541</v>
      </c>
      <c r="K8" s="1385"/>
      <c r="L8" s="1385"/>
      <c r="M8" s="1386"/>
      <c r="N8" s="1384" t="s">
        <v>364</v>
      </c>
      <c r="O8" s="1385"/>
      <c r="P8" s="1386"/>
      <c r="Q8" s="1384" t="s">
        <v>365</v>
      </c>
      <c r="R8" s="1385"/>
      <c r="S8" s="1386"/>
      <c r="T8" s="1384" t="s">
        <v>366</v>
      </c>
      <c r="U8" s="1385"/>
      <c r="V8" s="1385"/>
      <c r="W8" s="1396" t="s">
        <v>4</v>
      </c>
      <c r="X8" s="1397"/>
      <c r="Y8" s="1397"/>
      <c r="AE8" s="1383" t="s">
        <v>731</v>
      </c>
      <c r="AF8" s="1383"/>
      <c r="AG8" s="1383"/>
      <c r="AH8" s="1383"/>
      <c r="AI8" s="1383"/>
      <c r="AJ8" s="1383"/>
      <c r="AK8" s="1383"/>
      <c r="AL8" s="1383"/>
      <c r="AM8" s="1383"/>
      <c r="AN8" s="1383"/>
      <c r="AO8" s="1383"/>
      <c r="AP8" s="3"/>
      <c r="AV8" s="3"/>
    </row>
    <row r="9" spans="1:53" ht="17.100000000000001" customHeight="1" x14ac:dyDescent="0.25">
      <c r="D9" s="2"/>
      <c r="E9" s="2"/>
      <c r="F9" s="21"/>
      <c r="G9" s="21"/>
      <c r="H9" s="12"/>
      <c r="I9" s="138"/>
      <c r="J9" s="1384" t="s">
        <v>542</v>
      </c>
      <c r="K9" s="1385"/>
      <c r="L9" s="1385"/>
      <c r="M9" s="1386"/>
      <c r="N9" s="1387">
        <f>'STUDY VILLAGES'!C16</f>
        <v>0</v>
      </c>
      <c r="O9" s="1388"/>
      <c r="P9" s="1389"/>
      <c r="Q9" s="1387">
        <f>'STUDY VILLAGES'!F16</f>
        <v>0</v>
      </c>
      <c r="R9" s="1388"/>
      <c r="S9" s="1389"/>
      <c r="T9" s="1387">
        <f>'STUDY VILLAGES'!I16</f>
        <v>0</v>
      </c>
      <c r="U9" s="1388"/>
      <c r="V9" s="1389"/>
      <c r="W9" s="1396"/>
      <c r="X9" s="1397"/>
      <c r="Y9" s="1397"/>
      <c r="AB9" s="513" t="s">
        <v>900</v>
      </c>
      <c r="AC9" s="514">
        <f>SUM(AA10:AC10)</f>
        <v>0</v>
      </c>
    </row>
    <row r="10" spans="1:53" ht="17.100000000000001" customHeight="1" x14ac:dyDescent="0.25">
      <c r="A10" s="21"/>
      <c r="B10" s="21"/>
      <c r="C10" s="21"/>
      <c r="D10" s="4"/>
      <c r="E10" s="4"/>
      <c r="G10" s="22"/>
      <c r="H10" s="166"/>
      <c r="I10" s="208"/>
      <c r="J10" s="334" t="s">
        <v>733</v>
      </c>
      <c r="K10" s="334" t="s">
        <v>734</v>
      </c>
      <c r="L10" s="334" t="s">
        <v>657</v>
      </c>
      <c r="M10" s="334" t="s">
        <v>320</v>
      </c>
      <c r="N10" s="334" t="s">
        <v>735</v>
      </c>
      <c r="O10" s="334" t="s">
        <v>657</v>
      </c>
      <c r="P10" s="334" t="s">
        <v>320</v>
      </c>
      <c r="Q10" s="334" t="s">
        <v>735</v>
      </c>
      <c r="R10" s="334" t="s">
        <v>657</v>
      </c>
      <c r="S10" s="334" t="s">
        <v>320</v>
      </c>
      <c r="T10" s="334" t="s">
        <v>735</v>
      </c>
      <c r="U10" s="334" t="s">
        <v>657</v>
      </c>
      <c r="V10" s="544" t="s">
        <v>320</v>
      </c>
      <c r="W10" s="375" t="s">
        <v>735</v>
      </c>
      <c r="X10" s="335" t="s">
        <v>657</v>
      </c>
      <c r="Y10" s="410" t="s">
        <v>4</v>
      </c>
      <c r="AA10" s="2">
        <f>IF(P20&gt;0,1,0)</f>
        <v>0</v>
      </c>
      <c r="AB10" s="2">
        <f>IF(S20&gt;0,1,0)</f>
        <v>0</v>
      </c>
      <c r="AC10" s="2">
        <f>IF(V20&gt;0,1,0)</f>
        <v>0</v>
      </c>
      <c r="AE10" s="1400" t="s">
        <v>733</v>
      </c>
      <c r="AF10" s="1401"/>
      <c r="AG10" s="1401"/>
      <c r="AH10" s="1401"/>
      <c r="AI10" s="1402"/>
      <c r="AK10" s="1390" t="s">
        <v>734</v>
      </c>
      <c r="AL10" s="1391"/>
      <c r="AM10" s="1391"/>
      <c r="AN10" s="1391"/>
      <c r="AO10" s="1392"/>
      <c r="AQ10" s="1380" t="s">
        <v>732</v>
      </c>
      <c r="AR10" s="1381"/>
      <c r="AS10" s="1381"/>
      <c r="AT10" s="1381"/>
      <c r="AU10" s="1382"/>
      <c r="AW10" s="1393" t="s">
        <v>556</v>
      </c>
      <c r="AX10" s="1394"/>
      <c r="AY10" s="1394"/>
      <c r="AZ10" s="1394"/>
      <c r="BA10" s="1395"/>
    </row>
    <row r="11" spans="1:53" s="32" customFormat="1" ht="17.100000000000001" customHeight="1" thickBot="1" x14ac:dyDescent="0.3">
      <c r="A11" s="24">
        <v>0</v>
      </c>
      <c r="B11" s="25" t="s">
        <v>3</v>
      </c>
      <c r="C11" s="26"/>
      <c r="D11" s="27"/>
      <c r="E11" s="27"/>
      <c r="F11" s="27"/>
      <c r="G11" s="28"/>
      <c r="H11" s="215"/>
      <c r="I11" s="228"/>
      <c r="J11" s="29"/>
      <c r="K11" s="29"/>
      <c r="L11" s="29"/>
      <c r="M11" s="29"/>
      <c r="N11" s="29"/>
      <c r="O11" s="29"/>
      <c r="P11" s="29"/>
      <c r="Q11" s="29"/>
      <c r="R11" s="29"/>
      <c r="S11" s="29"/>
      <c r="T11" s="29"/>
      <c r="U11" s="29"/>
      <c r="V11" s="354"/>
      <c r="W11" s="376"/>
      <c r="X11" s="29"/>
      <c r="Y11" s="30"/>
      <c r="Z11" s="31" t="s">
        <v>5</v>
      </c>
      <c r="AA11" s="31" t="s">
        <v>181</v>
      </c>
      <c r="AB11" s="31" t="s">
        <v>182</v>
      </c>
      <c r="AC11" s="31" t="s">
        <v>6</v>
      </c>
      <c r="AE11" s="33" t="s">
        <v>181</v>
      </c>
      <c r="AF11" s="33" t="s">
        <v>182</v>
      </c>
      <c r="AG11" s="33" t="s">
        <v>6</v>
      </c>
      <c r="AH11" s="33" t="s">
        <v>4</v>
      </c>
      <c r="AI11" s="34" t="s">
        <v>5</v>
      </c>
      <c r="AJ11" s="406"/>
      <c r="AK11" s="36" t="s">
        <v>181</v>
      </c>
      <c r="AL11" s="36" t="s">
        <v>182</v>
      </c>
      <c r="AM11" s="36" t="s">
        <v>6</v>
      </c>
      <c r="AN11" s="36" t="s">
        <v>4</v>
      </c>
      <c r="AO11" s="37" t="s">
        <v>5</v>
      </c>
      <c r="AP11" s="406"/>
      <c r="AQ11" s="398" t="s">
        <v>181</v>
      </c>
      <c r="AR11" s="398" t="s">
        <v>182</v>
      </c>
      <c r="AS11" s="398" t="s">
        <v>6</v>
      </c>
      <c r="AT11" s="398" t="s">
        <v>4</v>
      </c>
      <c r="AU11" s="399" t="s">
        <v>5</v>
      </c>
      <c r="AV11" s="406"/>
      <c r="AW11" s="400" t="s">
        <v>181</v>
      </c>
      <c r="AX11" s="400" t="s">
        <v>182</v>
      </c>
      <c r="AY11" s="400" t="s">
        <v>6</v>
      </c>
      <c r="AZ11" s="400" t="s">
        <v>4</v>
      </c>
      <c r="BA11" s="401" t="s">
        <v>5</v>
      </c>
    </row>
    <row r="12" spans="1:53" ht="17.100000000000001" customHeight="1" x14ac:dyDescent="0.25">
      <c r="A12" s="40"/>
      <c r="B12" s="414">
        <v>0</v>
      </c>
      <c r="C12" s="42" t="s">
        <v>367</v>
      </c>
      <c r="D12" s="43"/>
      <c r="E12" s="43"/>
      <c r="F12" s="43"/>
      <c r="G12" s="44"/>
      <c r="H12" s="219"/>
      <c r="I12" s="229"/>
      <c r="J12" s="577"/>
      <c r="K12" s="577"/>
      <c r="L12" s="578"/>
      <c r="M12" s="578"/>
      <c r="N12" s="578"/>
      <c r="O12" s="578"/>
      <c r="P12" s="578"/>
      <c r="Q12" s="578"/>
      <c r="R12" s="578"/>
      <c r="S12" s="578"/>
      <c r="T12" s="578"/>
      <c r="U12" s="578"/>
      <c r="V12" s="579"/>
      <c r="W12" s="580"/>
      <c r="X12" s="578"/>
      <c r="Y12" s="220"/>
      <c r="Z12" s="51"/>
      <c r="AA12" s="51"/>
      <c r="AB12" s="51"/>
      <c r="AC12" s="51"/>
      <c r="AE12" s="52"/>
      <c r="AF12" s="52"/>
      <c r="AG12" s="52"/>
      <c r="AH12" s="53"/>
      <c r="AI12" s="54"/>
      <c r="AK12" s="52"/>
      <c r="AL12" s="52"/>
      <c r="AM12" s="52"/>
      <c r="AN12" s="53"/>
      <c r="AO12" s="54"/>
      <c r="AQ12" s="52"/>
      <c r="AR12" s="52"/>
      <c r="AS12" s="52"/>
      <c r="AT12" s="53"/>
      <c r="AU12" s="54"/>
      <c r="AW12" s="52"/>
      <c r="AX12" s="52"/>
      <c r="AY12" s="52"/>
      <c r="AZ12" s="53"/>
      <c r="BA12" s="54"/>
    </row>
    <row r="13" spans="1:53" ht="17.100000000000001" customHeight="1" x14ac:dyDescent="0.25">
      <c r="A13" s="47"/>
      <c r="B13" s="55"/>
      <c r="C13" s="56" t="s">
        <v>626</v>
      </c>
      <c r="D13" s="57" t="s">
        <v>368</v>
      </c>
      <c r="E13" s="58"/>
      <c r="F13" s="58"/>
      <c r="G13" s="59"/>
      <c r="H13" s="218">
        <v>1</v>
      </c>
      <c r="I13" s="229"/>
      <c r="J13" s="581"/>
      <c r="K13" s="581"/>
      <c r="L13" s="582"/>
      <c r="M13" s="17">
        <f>SUM(J13:L13)</f>
        <v>0</v>
      </c>
      <c r="N13" s="111"/>
      <c r="O13" s="111"/>
      <c r="P13" s="111"/>
      <c r="Q13" s="111"/>
      <c r="R13" s="111"/>
      <c r="S13" s="111"/>
      <c r="T13" s="111"/>
      <c r="U13" s="111"/>
      <c r="V13" s="358"/>
      <c r="W13" s="391">
        <f>J13+K13+N13+Q13+T13</f>
        <v>0</v>
      </c>
      <c r="X13" s="17">
        <f>L13+O13+R13+U13</f>
        <v>0</v>
      </c>
      <c r="Y13" s="18">
        <f>SUM(W13:X13)</f>
        <v>0</v>
      </c>
      <c r="Z13" s="19">
        <f>IF(Y$15=0,0,Y13/Y$15)</f>
        <v>0</v>
      </c>
      <c r="AA13" s="19"/>
      <c r="AB13" s="19"/>
      <c r="AC13" s="20"/>
      <c r="AE13" s="17"/>
      <c r="AF13" s="17"/>
      <c r="AG13" s="17"/>
      <c r="AH13" s="18">
        <f>J13</f>
        <v>0</v>
      </c>
      <c r="AI13" s="19">
        <f>IF(AH$15=0,0,AH13/AH$15)</f>
        <v>0</v>
      </c>
      <c r="AK13" s="17"/>
      <c r="AL13" s="17"/>
      <c r="AM13" s="17"/>
      <c r="AN13" s="18">
        <f>K13</f>
        <v>0</v>
      </c>
      <c r="AO13" s="19">
        <f>IF(AN$15=0,0,AN13/AN$15)</f>
        <v>0</v>
      </c>
      <c r="AQ13" s="17"/>
      <c r="AR13" s="17"/>
      <c r="AS13" s="17"/>
      <c r="AT13" s="18">
        <f>W13</f>
        <v>0</v>
      </c>
      <c r="AU13" s="19">
        <f>IF(AT$15=0,0,AT13/AT$15)</f>
        <v>0</v>
      </c>
      <c r="AW13" s="17"/>
      <c r="AX13" s="17"/>
      <c r="AY13" s="17"/>
      <c r="AZ13" s="18">
        <f>X13</f>
        <v>0</v>
      </c>
      <c r="BA13" s="19">
        <f>IF(AZ$15=0,0,AZ13/AZ$15)</f>
        <v>0</v>
      </c>
    </row>
    <row r="14" spans="1:53" ht="17.100000000000001" customHeight="1" x14ac:dyDescent="0.25">
      <c r="A14" s="47"/>
      <c r="B14" s="55"/>
      <c r="C14" s="56" t="s">
        <v>627</v>
      </c>
      <c r="D14" s="57" t="s">
        <v>369</v>
      </c>
      <c r="E14" s="58"/>
      <c r="F14" s="58"/>
      <c r="G14" s="59"/>
      <c r="H14" s="218">
        <v>1</v>
      </c>
      <c r="I14" s="229"/>
      <c r="J14" s="583"/>
      <c r="K14" s="583"/>
      <c r="L14" s="584"/>
      <c r="M14" s="17">
        <f>SUM(J14:L14)</f>
        <v>0</v>
      </c>
      <c r="N14" s="111"/>
      <c r="O14" s="111"/>
      <c r="P14" s="111"/>
      <c r="Q14" s="111"/>
      <c r="R14" s="111"/>
      <c r="S14" s="111"/>
      <c r="T14" s="111"/>
      <c r="U14" s="111"/>
      <c r="V14" s="358"/>
      <c r="W14" s="391">
        <f>J14+K14+N14+Q14+T14</f>
        <v>0</v>
      </c>
      <c r="X14" s="17">
        <f>L14+O14+R14+U14</f>
        <v>0</v>
      </c>
      <c r="Y14" s="18">
        <f>SUM(W14:X14)</f>
        <v>0</v>
      </c>
      <c r="Z14" s="19">
        <f>IF(Y$15=0,0,Y14/Y$15)</f>
        <v>0</v>
      </c>
      <c r="AA14" s="19"/>
      <c r="AB14" s="19"/>
      <c r="AC14" s="20"/>
      <c r="AE14" s="17"/>
      <c r="AF14" s="17"/>
      <c r="AG14" s="17"/>
      <c r="AH14" s="18">
        <f>J14</f>
        <v>0</v>
      </c>
      <c r="AI14" s="19">
        <f>IF(AH$15=0,0,AH14/AH$15)</f>
        <v>0</v>
      </c>
      <c r="AK14" s="17"/>
      <c r="AL14" s="17"/>
      <c r="AM14" s="17"/>
      <c r="AN14" s="18">
        <f>K14</f>
        <v>0</v>
      </c>
      <c r="AO14" s="19">
        <f>IF(AN$15=0,0,AN14/AN$15)</f>
        <v>0</v>
      </c>
      <c r="AQ14" s="17"/>
      <c r="AR14" s="17"/>
      <c r="AS14" s="17"/>
      <c r="AT14" s="18">
        <f>W14</f>
        <v>0</v>
      </c>
      <c r="AU14" s="19">
        <f>IF(AT$15=0,0,AT14/AT$15)</f>
        <v>0</v>
      </c>
      <c r="AW14" s="17"/>
      <c r="AX14" s="17"/>
      <c r="AY14" s="17"/>
      <c r="AZ14" s="18">
        <f>X14</f>
        <v>0</v>
      </c>
      <c r="BA14" s="19">
        <f>IF(AZ$15=0,0,AZ14/AZ$15)</f>
        <v>0</v>
      </c>
    </row>
    <row r="15" spans="1:53" ht="17.100000000000001" customHeight="1" x14ac:dyDescent="0.25">
      <c r="A15" s="47"/>
      <c r="B15" s="47"/>
      <c r="C15" s="252"/>
      <c r="D15" s="62"/>
      <c r="E15" s="62"/>
      <c r="F15" s="62"/>
      <c r="G15" s="63"/>
      <c r="H15" s="216"/>
      <c r="I15" s="229"/>
      <c r="J15" s="64">
        <f>SUM(J13:J14)</f>
        <v>0</v>
      </c>
      <c r="K15" s="64">
        <f t="shared" ref="K15:M15" si="0">SUM(K13:K14)</f>
        <v>0</v>
      </c>
      <c r="L15" s="64">
        <f t="shared" si="0"/>
        <v>0</v>
      </c>
      <c r="M15" s="64">
        <f t="shared" si="0"/>
        <v>0</v>
      </c>
      <c r="N15" s="64"/>
      <c r="O15" s="64"/>
      <c r="P15" s="64"/>
      <c r="Q15" s="81"/>
      <c r="R15" s="81"/>
      <c r="S15" s="81"/>
      <c r="T15" s="81"/>
      <c r="U15" s="81"/>
      <c r="V15" s="356"/>
      <c r="W15" s="381">
        <f>SUM(W13:W14)</f>
        <v>0</v>
      </c>
      <c r="X15" s="82">
        <f t="shared" ref="X15:Y15" si="1">SUM(X13:X14)</f>
        <v>0</v>
      </c>
      <c r="Y15" s="82">
        <f t="shared" si="1"/>
        <v>0</v>
      </c>
      <c r="Z15" s="205">
        <f>IF(Y$15=0,0,Y15/Y$15)</f>
        <v>0</v>
      </c>
      <c r="AA15" s="205"/>
      <c r="AB15" s="205"/>
      <c r="AC15" s="83"/>
      <c r="AE15" s="67"/>
      <c r="AF15" s="67"/>
      <c r="AG15" s="67"/>
      <c r="AH15" s="65">
        <f>SUM(AH13:AH14)</f>
        <v>0</v>
      </c>
      <c r="AI15" s="66">
        <f>IF(AH$15=0,0,AH15/AH$15)</f>
        <v>0</v>
      </c>
      <c r="AK15" s="67"/>
      <c r="AL15" s="67"/>
      <c r="AM15" s="67"/>
      <c r="AN15" s="65">
        <f>SUM(AN13:AN14)</f>
        <v>0</v>
      </c>
      <c r="AO15" s="66">
        <f>IF(AN$15=0,0,AN15/AN$15)</f>
        <v>0</v>
      </c>
      <c r="AQ15" s="67"/>
      <c r="AR15" s="67"/>
      <c r="AS15" s="67"/>
      <c r="AT15" s="65">
        <f>SUM(AT13:AT14)</f>
        <v>0</v>
      </c>
      <c r="AU15" s="66">
        <f>IF(AT$15=0,0,AT15/AT$15)</f>
        <v>0</v>
      </c>
      <c r="AW15" s="67"/>
      <c r="AX15" s="67"/>
      <c r="AY15" s="67"/>
      <c r="AZ15" s="65">
        <f>SUM(AZ13:AZ14)</f>
        <v>0</v>
      </c>
      <c r="BA15" s="66">
        <f>IF(AZ$15=0,0,AZ15/AZ$15)</f>
        <v>0</v>
      </c>
    </row>
    <row r="16" spans="1:53" s="117" customFormat="1" ht="17.100000000000001" customHeight="1" x14ac:dyDescent="0.25">
      <c r="A16" s="186"/>
      <c r="B16" s="253"/>
      <c r="C16" s="254"/>
      <c r="D16" s="255"/>
      <c r="E16" s="93"/>
      <c r="F16" s="93"/>
      <c r="G16" s="209"/>
      <c r="H16" s="540"/>
      <c r="I16" s="12"/>
      <c r="J16" s="198"/>
      <c r="K16" s="585"/>
      <c r="L16" s="17"/>
      <c r="M16" s="17"/>
      <c r="N16" s="17"/>
      <c r="O16" s="17"/>
      <c r="P16" s="17"/>
      <c r="Q16" s="17"/>
      <c r="R16" s="17"/>
      <c r="S16" s="17"/>
      <c r="T16" s="17"/>
      <c r="U16" s="17"/>
      <c r="V16" s="359"/>
      <c r="W16" s="395">
        <f>IF($Y$15=0,0,W15/$Y$15)</f>
        <v>0</v>
      </c>
      <c r="X16" s="91">
        <f>IF($Y$15=0,0,X15/$Y$15)</f>
        <v>0</v>
      </c>
      <c r="Y16" s="201">
        <f>IF($Y$15=0,0,Y15/$Y$15)</f>
        <v>0</v>
      </c>
      <c r="Z16" s="201"/>
      <c r="AA16" s="201"/>
      <c r="AB16" s="201"/>
      <c r="AC16" s="84"/>
      <c r="AE16" s="256"/>
      <c r="AF16" s="256"/>
      <c r="AG16" s="256"/>
      <c r="AH16" s="257"/>
      <c r="AI16" s="91"/>
      <c r="AK16" s="256"/>
      <c r="AL16" s="256"/>
      <c r="AM16" s="256"/>
      <c r="AN16" s="257"/>
      <c r="AO16" s="91"/>
      <c r="AQ16" s="256"/>
      <c r="AR16" s="256"/>
      <c r="AS16" s="256"/>
      <c r="AT16" s="257"/>
      <c r="AU16" s="91"/>
      <c r="AW16" s="256"/>
      <c r="AX16" s="256"/>
      <c r="AY16" s="256"/>
      <c r="AZ16" s="257"/>
      <c r="BA16" s="91"/>
    </row>
    <row r="17" spans="1:60" ht="17.100000000000001" customHeight="1" x14ac:dyDescent="0.25">
      <c r="A17" s="40"/>
      <c r="B17" s="41">
        <v>0.1</v>
      </c>
      <c r="C17" s="42" t="s">
        <v>628</v>
      </c>
      <c r="D17" s="43"/>
      <c r="E17" s="43"/>
      <c r="F17" s="43"/>
      <c r="G17" s="44"/>
      <c r="H17" s="219"/>
      <c r="I17" s="229"/>
      <c r="J17" s="586"/>
      <c r="K17" s="586"/>
      <c r="L17" s="71"/>
      <c r="M17" s="71"/>
      <c r="N17" s="71"/>
      <c r="O17" s="71"/>
      <c r="P17" s="71"/>
      <c r="Q17" s="71"/>
      <c r="R17" s="71"/>
      <c r="S17" s="71"/>
      <c r="T17" s="71"/>
      <c r="U17" s="71"/>
      <c r="V17" s="355"/>
      <c r="W17" s="377"/>
      <c r="X17" s="71"/>
      <c r="Y17" s="72"/>
      <c r="Z17" s="73"/>
      <c r="AA17" s="73"/>
      <c r="AB17" s="73"/>
      <c r="AC17" s="73"/>
      <c r="AE17" s="52"/>
      <c r="AF17" s="52"/>
      <c r="AG17" s="52"/>
      <c r="AH17" s="53"/>
      <c r="AI17" s="54"/>
      <c r="AK17" s="52"/>
      <c r="AL17" s="52"/>
      <c r="AM17" s="52"/>
      <c r="AN17" s="53"/>
      <c r="AO17" s="54"/>
      <c r="AQ17" s="52"/>
      <c r="AR17" s="52"/>
      <c r="AS17" s="52"/>
      <c r="AT17" s="53"/>
      <c r="AU17" s="54"/>
      <c r="AW17" s="52"/>
      <c r="AX17" s="52"/>
      <c r="AY17" s="52"/>
      <c r="AZ17" s="53"/>
      <c r="BA17" s="54"/>
    </row>
    <row r="18" spans="1:60" ht="17.100000000000001" customHeight="1" x14ac:dyDescent="0.25">
      <c r="A18" s="47"/>
      <c r="B18" s="55"/>
      <c r="C18" s="56" t="s">
        <v>371</v>
      </c>
      <c r="D18" s="120" t="s">
        <v>629</v>
      </c>
      <c r="E18" s="58"/>
      <c r="F18" s="58"/>
      <c r="G18" s="59"/>
      <c r="H18" s="216"/>
      <c r="I18" s="229"/>
      <c r="J18" s="174"/>
      <c r="K18" s="174"/>
      <c r="L18" s="111"/>
      <c r="M18" s="111"/>
      <c r="N18" s="60"/>
      <c r="O18" s="60"/>
      <c r="P18" s="17">
        <f>SUM(N18:O18)</f>
        <v>0</v>
      </c>
      <c r="Q18" s="60"/>
      <c r="R18" s="60"/>
      <c r="S18" s="17">
        <f>SUM(Q18:R18)</f>
        <v>0</v>
      </c>
      <c r="T18" s="60"/>
      <c r="U18" s="60"/>
      <c r="V18" s="359">
        <f>SUM(T18:U18)</f>
        <v>0</v>
      </c>
      <c r="W18" s="391">
        <f t="shared" ref="W18:W19" si="2">J18+K18+N18+Q18+T18</f>
        <v>0</v>
      </c>
      <c r="X18" s="17">
        <f t="shared" ref="X18:X19" si="3">L18+O18+R18+U18</f>
        <v>0</v>
      </c>
      <c r="Y18" s="18">
        <f>SUM(W18:X18)</f>
        <v>0</v>
      </c>
      <c r="Z18" s="19">
        <f>IF(Y$20=0,0,Y18/Y$20)</f>
        <v>0</v>
      </c>
      <c r="AA18" s="19"/>
      <c r="AB18" s="19"/>
      <c r="AC18" s="20"/>
      <c r="AE18" s="17"/>
      <c r="AF18" s="17"/>
      <c r="AG18" s="17"/>
      <c r="AH18" s="18">
        <f>J18</f>
        <v>0</v>
      </c>
      <c r="AI18" s="19">
        <f>IF(AH$15=0,0,AH18/AH$15)</f>
        <v>0</v>
      </c>
      <c r="AK18" s="17"/>
      <c r="AL18" s="17"/>
      <c r="AM18" s="17"/>
      <c r="AN18" s="18">
        <f>K18</f>
        <v>0</v>
      </c>
      <c r="AO18" s="19">
        <f>IF(AN$20=0,0,AN18/AN$20)</f>
        <v>0</v>
      </c>
      <c r="AQ18" s="17"/>
      <c r="AR18" s="17"/>
      <c r="AS18" s="17"/>
      <c r="AT18" s="18">
        <f>W18</f>
        <v>0</v>
      </c>
      <c r="AU18" s="19">
        <f>IF(AT$20=0,0,AT18/AT$20)</f>
        <v>0</v>
      </c>
      <c r="AW18" s="17"/>
      <c r="AX18" s="17"/>
      <c r="AY18" s="17"/>
      <c r="AZ18" s="18">
        <f>X18</f>
        <v>0</v>
      </c>
      <c r="BA18" s="19">
        <f>IF(AZ$20=0,0,AZ18/AZ$20)</f>
        <v>0</v>
      </c>
    </row>
    <row r="19" spans="1:60" ht="17.100000000000001" customHeight="1" x14ac:dyDescent="0.25">
      <c r="A19" s="47"/>
      <c r="B19" s="55"/>
      <c r="C19" s="56" t="s">
        <v>372</v>
      </c>
      <c r="D19" s="120" t="s">
        <v>630</v>
      </c>
      <c r="E19" s="58"/>
      <c r="F19" s="58"/>
      <c r="G19" s="59"/>
      <c r="H19" s="216"/>
      <c r="I19" s="229"/>
      <c r="J19" s="174"/>
      <c r="K19" s="174"/>
      <c r="L19" s="111"/>
      <c r="M19" s="111"/>
      <c r="N19" s="61"/>
      <c r="O19" s="61"/>
      <c r="P19" s="17">
        <f>SUM(N19:O19)</f>
        <v>0</v>
      </c>
      <c r="Q19" s="61"/>
      <c r="R19" s="61"/>
      <c r="S19" s="17">
        <f>SUM(Q19:R19)</f>
        <v>0</v>
      </c>
      <c r="T19" s="61"/>
      <c r="U19" s="61"/>
      <c r="V19" s="359">
        <f>SUM(T19:U19)</f>
        <v>0</v>
      </c>
      <c r="W19" s="391">
        <f t="shared" si="2"/>
        <v>0</v>
      </c>
      <c r="X19" s="17">
        <f t="shared" si="3"/>
        <v>0</v>
      </c>
      <c r="Y19" s="18">
        <f>SUM(W19:X19)</f>
        <v>0</v>
      </c>
      <c r="Z19" s="19">
        <f t="shared" ref="Z19:Z20" si="4">IF(Y$20=0,0,Y19/Y$20)</f>
        <v>0</v>
      </c>
      <c r="AA19" s="19"/>
      <c r="AB19" s="19"/>
      <c r="AC19" s="20"/>
      <c r="AE19" s="17"/>
      <c r="AF19" s="17"/>
      <c r="AG19" s="17"/>
      <c r="AH19" s="18">
        <f>J19</f>
        <v>0</v>
      </c>
      <c r="AI19" s="19">
        <f>IF(AH$15=0,0,AH19/AH$15)</f>
        <v>0</v>
      </c>
      <c r="AK19" s="17"/>
      <c r="AL19" s="17"/>
      <c r="AM19" s="17"/>
      <c r="AN19" s="18">
        <f>K19</f>
        <v>0</v>
      </c>
      <c r="AO19" s="19">
        <f t="shared" ref="AO19:AO20" si="5">IF(AN$20=0,0,AN19/AN$20)</f>
        <v>0</v>
      </c>
      <c r="AQ19" s="17"/>
      <c r="AR19" s="17"/>
      <c r="AS19" s="17"/>
      <c r="AT19" s="18">
        <f>W19</f>
        <v>0</v>
      </c>
      <c r="AU19" s="19">
        <f t="shared" ref="AU19:AU20" si="6">IF(AT$20=0,0,AT19/AT$20)</f>
        <v>0</v>
      </c>
      <c r="AW19" s="17"/>
      <c r="AX19" s="17"/>
      <c r="AY19" s="17"/>
      <c r="AZ19" s="18">
        <f>X19</f>
        <v>0</v>
      </c>
      <c r="BA19" s="19">
        <f t="shared" ref="BA19:BA20" si="7">IF(AZ$20=0,0,AZ19/AZ$20)</f>
        <v>0</v>
      </c>
    </row>
    <row r="20" spans="1:60" ht="17.100000000000001" customHeight="1" x14ac:dyDescent="0.25">
      <c r="A20" s="47"/>
      <c r="B20" s="47"/>
      <c r="C20" s="252"/>
      <c r="D20" s="62"/>
      <c r="E20" s="62"/>
      <c r="F20" s="62"/>
      <c r="G20" s="63"/>
      <c r="H20" s="216"/>
      <c r="I20" s="229"/>
      <c r="J20" s="64"/>
      <c r="K20" s="64"/>
      <c r="L20" s="64"/>
      <c r="M20" s="64"/>
      <c r="N20" s="64">
        <f>SUM(N18:N19)</f>
        <v>0</v>
      </c>
      <c r="O20" s="64">
        <f t="shared" ref="O20:V20" si="8">SUM(O18:O19)</f>
        <v>0</v>
      </c>
      <c r="P20" s="64">
        <f t="shared" si="8"/>
        <v>0</v>
      </c>
      <c r="Q20" s="64">
        <f t="shared" si="8"/>
        <v>0</v>
      </c>
      <c r="R20" s="64">
        <f t="shared" si="8"/>
        <v>0</v>
      </c>
      <c r="S20" s="64">
        <f t="shared" si="8"/>
        <v>0</v>
      </c>
      <c r="T20" s="64">
        <f t="shared" si="8"/>
        <v>0</v>
      </c>
      <c r="U20" s="64">
        <f t="shared" si="8"/>
        <v>0</v>
      </c>
      <c r="V20" s="64">
        <f t="shared" si="8"/>
        <v>0</v>
      </c>
      <c r="W20" s="381">
        <f>SUM(W18:W19)</f>
        <v>0</v>
      </c>
      <c r="X20" s="82">
        <f t="shared" ref="X20:Y20" si="9">SUM(X18:X19)</f>
        <v>0</v>
      </c>
      <c r="Y20" s="82">
        <f t="shared" si="9"/>
        <v>0</v>
      </c>
      <c r="Z20" s="205">
        <f t="shared" si="4"/>
        <v>0</v>
      </c>
      <c r="AA20" s="205"/>
      <c r="AB20" s="205"/>
      <c r="AC20" s="83"/>
      <c r="AE20" s="67"/>
      <c r="AF20" s="67"/>
      <c r="AG20" s="67"/>
      <c r="AH20" s="65">
        <f>SUM(AH18:AH19)</f>
        <v>0</v>
      </c>
      <c r="AI20" s="66">
        <f>IF(AH$15=0,0,AH20/AH$15)</f>
        <v>0</v>
      </c>
      <c r="AK20" s="67"/>
      <c r="AL20" s="67"/>
      <c r="AM20" s="67"/>
      <c r="AN20" s="65">
        <f>SUM(AN18:AN19)</f>
        <v>0</v>
      </c>
      <c r="AO20" s="66">
        <f t="shared" si="5"/>
        <v>0</v>
      </c>
      <c r="AQ20" s="67"/>
      <c r="AR20" s="67"/>
      <c r="AS20" s="67"/>
      <c r="AT20" s="65">
        <f>SUM(AT18:AT19)</f>
        <v>0</v>
      </c>
      <c r="AU20" s="66">
        <f t="shared" si="6"/>
        <v>0</v>
      </c>
      <c r="AW20" s="67"/>
      <c r="AX20" s="67"/>
      <c r="AY20" s="67"/>
      <c r="AZ20" s="65">
        <f>SUM(AZ18:AZ19)</f>
        <v>0</v>
      </c>
      <c r="BA20" s="66">
        <f t="shared" si="7"/>
        <v>0</v>
      </c>
    </row>
    <row r="21" spans="1:60" s="117" customFormat="1" ht="17.100000000000001" customHeight="1" x14ac:dyDescent="0.25">
      <c r="A21" s="186"/>
      <c r="B21" s="253"/>
      <c r="C21" s="254"/>
      <c r="D21" s="255"/>
      <c r="E21" s="93"/>
      <c r="F21" s="93"/>
      <c r="G21" s="209"/>
      <c r="H21" s="540"/>
      <c r="I21" s="12"/>
      <c r="J21" s="198"/>
      <c r="K21" s="585"/>
      <c r="L21" s="17"/>
      <c r="M21" s="17"/>
      <c r="N21" s="17"/>
      <c r="O21" s="17"/>
      <c r="P21" s="17"/>
      <c r="Q21" s="17"/>
      <c r="R21" s="17"/>
      <c r="S21" s="17"/>
      <c r="T21" s="17"/>
      <c r="U21" s="17"/>
      <c r="V21" s="359"/>
      <c r="W21" s="395">
        <f>IF($Y$20=0,0,W20/$Y$20)</f>
        <v>0</v>
      </c>
      <c r="X21" s="91">
        <f>IF($Y$20=0,0,X20/$Y$20)</f>
        <v>0</v>
      </c>
      <c r="Y21" s="201">
        <f>IF($Y$20=0,0,Y20/$Y$20)</f>
        <v>0</v>
      </c>
      <c r="Z21" s="201"/>
      <c r="AA21" s="201"/>
      <c r="AB21" s="201"/>
      <c r="AC21" s="84"/>
      <c r="AE21" s="256"/>
      <c r="AF21" s="256"/>
      <c r="AG21" s="256"/>
      <c r="AH21" s="257"/>
      <c r="AI21" s="91"/>
      <c r="AK21" s="256"/>
      <c r="AL21" s="256"/>
      <c r="AM21" s="256"/>
      <c r="AN21" s="257"/>
      <c r="AO21" s="91"/>
      <c r="AQ21" s="256"/>
      <c r="AR21" s="256"/>
      <c r="AS21" s="256"/>
      <c r="AT21" s="257"/>
      <c r="AU21" s="91"/>
      <c r="AW21" s="256"/>
      <c r="AX21" s="256"/>
      <c r="AY21" s="256"/>
      <c r="AZ21" s="257"/>
      <c r="BA21" s="91"/>
      <c r="BC21" s="3"/>
      <c r="BD21" s="3"/>
      <c r="BE21" s="3"/>
      <c r="BF21" s="3"/>
      <c r="BG21" s="3"/>
      <c r="BH21" s="3"/>
    </row>
    <row r="22" spans="1:60" ht="17.100000000000001" customHeight="1" x14ac:dyDescent="0.25">
      <c r="A22" s="68"/>
      <c r="B22" s="41">
        <v>0.2</v>
      </c>
      <c r="C22" s="69" t="s">
        <v>370</v>
      </c>
      <c r="D22" s="50"/>
      <c r="E22" s="70"/>
      <c r="F22" s="70"/>
      <c r="G22" s="70"/>
      <c r="H22" s="119"/>
      <c r="J22" s="71"/>
      <c r="K22" s="71"/>
      <c r="L22" s="71"/>
      <c r="M22" s="71"/>
      <c r="N22" s="71"/>
      <c r="O22" s="71"/>
      <c r="P22" s="71"/>
      <c r="Q22" s="71"/>
      <c r="R22" s="71"/>
      <c r="S22" s="71"/>
      <c r="T22" s="71"/>
      <c r="U22" s="71"/>
      <c r="V22" s="355"/>
      <c r="W22" s="377"/>
      <c r="X22" s="71"/>
      <c r="Y22" s="72"/>
      <c r="Z22" s="73"/>
      <c r="AA22" s="73"/>
      <c r="AB22" s="73"/>
      <c r="AC22" s="73"/>
      <c r="AE22" s="71"/>
      <c r="AF22" s="71"/>
      <c r="AG22" s="71"/>
      <c r="AH22" s="72"/>
      <c r="AI22" s="73"/>
      <c r="AK22" s="71"/>
      <c r="AL22" s="71"/>
      <c r="AM22" s="71"/>
      <c r="AN22" s="72"/>
      <c r="AO22" s="73"/>
      <c r="AQ22" s="71"/>
      <c r="AR22" s="71"/>
      <c r="AS22" s="71"/>
      <c r="AT22" s="72"/>
      <c r="AU22" s="73"/>
      <c r="AW22" s="71"/>
      <c r="AX22" s="71"/>
      <c r="AY22" s="71"/>
      <c r="AZ22" s="72"/>
      <c r="BA22" s="73"/>
    </row>
    <row r="23" spans="1:60" ht="17.100000000000001" customHeight="1" x14ac:dyDescent="0.25">
      <c r="A23" s="40"/>
      <c r="B23" s="40"/>
      <c r="C23" s="74" t="s">
        <v>7</v>
      </c>
      <c r="D23" s="542" t="s">
        <v>9</v>
      </c>
      <c r="E23" s="75"/>
      <c r="F23" s="75"/>
      <c r="G23" s="76"/>
      <c r="H23" s="589">
        <v>5</v>
      </c>
      <c r="I23" s="229"/>
      <c r="J23" s="581"/>
      <c r="K23" s="581"/>
      <c r="L23" s="582"/>
      <c r="M23" s="17">
        <f t="shared" ref="M23:M25" si="10">SUM(J23:L23)</f>
        <v>0</v>
      </c>
      <c r="N23" s="111"/>
      <c r="O23" s="111"/>
      <c r="P23" s="111"/>
      <c r="Q23" s="111"/>
      <c r="R23" s="111"/>
      <c r="S23" s="111"/>
      <c r="T23" s="111"/>
      <c r="U23" s="111"/>
      <c r="V23" s="358"/>
      <c r="W23" s="391">
        <f t="shared" ref="W23:W25" si="11">J23+K23+N23+Q23+T23</f>
        <v>0</v>
      </c>
      <c r="X23" s="17">
        <f t="shared" ref="X23:X25" si="12">L23+O23+R23+U23</f>
        <v>0</v>
      </c>
      <c r="Y23" s="18">
        <f>SUM(W23:X23)</f>
        <v>0</v>
      </c>
      <c r="Z23" s="19">
        <f>IF(Y$26=0,0,Y23/Y$26)</f>
        <v>0</v>
      </c>
      <c r="AA23" s="19"/>
      <c r="AB23" s="19"/>
      <c r="AC23" s="20"/>
      <c r="AE23" s="17"/>
      <c r="AF23" s="17"/>
      <c r="AG23" s="17"/>
      <c r="AH23" s="18">
        <f>J23</f>
        <v>0</v>
      </c>
      <c r="AI23" s="19">
        <f>IF(AH$26=0,0,AH23/AH$26)</f>
        <v>0</v>
      </c>
      <c r="AK23" s="17"/>
      <c r="AL23" s="17"/>
      <c r="AM23" s="17"/>
      <c r="AN23" s="18">
        <f>K23</f>
        <v>0</v>
      </c>
      <c r="AO23" s="19">
        <f>IF(AN$26=0,0,AN23/AN$26)</f>
        <v>0</v>
      </c>
      <c r="AQ23" s="17"/>
      <c r="AR23" s="17"/>
      <c r="AS23" s="17"/>
      <c r="AT23" s="18">
        <f>W23</f>
        <v>0</v>
      </c>
      <c r="AU23" s="19">
        <f>IF(AT$26=0,0,AT23/AT$26)</f>
        <v>0</v>
      </c>
      <c r="AW23" s="17"/>
      <c r="AX23" s="17"/>
      <c r="AY23" s="17"/>
      <c r="AZ23" s="18">
        <f>X23</f>
        <v>0</v>
      </c>
      <c r="BA23" s="19">
        <f>IF(AZ$26=0,0,AZ23/AZ$26)</f>
        <v>0</v>
      </c>
    </row>
    <row r="24" spans="1:60" ht="17.100000000000001" customHeight="1" x14ac:dyDescent="0.25">
      <c r="A24" s="40"/>
      <c r="B24" s="40"/>
      <c r="C24" s="74" t="s">
        <v>8</v>
      </c>
      <c r="D24" s="542" t="s">
        <v>10</v>
      </c>
      <c r="E24" s="75"/>
      <c r="F24" s="75"/>
      <c r="G24" s="76"/>
      <c r="H24" s="211"/>
      <c r="I24" s="229"/>
      <c r="J24" s="583"/>
      <c r="K24" s="583"/>
      <c r="L24" s="584"/>
      <c r="M24" s="17">
        <f t="shared" si="10"/>
        <v>0</v>
      </c>
      <c r="N24" s="111"/>
      <c r="O24" s="111"/>
      <c r="P24" s="111"/>
      <c r="Q24" s="111"/>
      <c r="R24" s="111"/>
      <c r="S24" s="111"/>
      <c r="T24" s="111"/>
      <c r="U24" s="111"/>
      <c r="V24" s="358"/>
      <c r="W24" s="391">
        <f t="shared" si="11"/>
        <v>0</v>
      </c>
      <c r="X24" s="17">
        <f t="shared" si="12"/>
        <v>0</v>
      </c>
      <c r="Y24" s="18">
        <f>SUM(W24:X24)</f>
        <v>0</v>
      </c>
      <c r="Z24" s="19">
        <f t="shared" ref="Z24:Z25" si="13">IF(Y$26=0,0,Y24/Y$26)</f>
        <v>0</v>
      </c>
      <c r="AA24" s="19"/>
      <c r="AB24" s="19"/>
      <c r="AC24" s="20"/>
      <c r="AE24" s="17"/>
      <c r="AF24" s="17"/>
      <c r="AG24" s="17"/>
      <c r="AH24" s="18">
        <f t="shared" ref="AH24:AH25" si="14">J24</f>
        <v>0</v>
      </c>
      <c r="AI24" s="19">
        <f t="shared" ref="AI24:AI26" si="15">IF(AH$26=0,0,AH24/AH$26)</f>
        <v>0</v>
      </c>
      <c r="AK24" s="17"/>
      <c r="AL24" s="17"/>
      <c r="AM24" s="17"/>
      <c r="AN24" s="18">
        <f t="shared" ref="AN24:AN25" si="16">K24</f>
        <v>0</v>
      </c>
      <c r="AO24" s="19">
        <f t="shared" ref="AO24:AO26" si="17">IF(AN$26=0,0,AN24/AN$26)</f>
        <v>0</v>
      </c>
      <c r="AQ24" s="17"/>
      <c r="AR24" s="17"/>
      <c r="AS24" s="17"/>
      <c r="AT24" s="18">
        <f t="shared" ref="AT24:AT25" si="18">W24</f>
        <v>0</v>
      </c>
      <c r="AU24" s="19">
        <f t="shared" ref="AU24:AU26" si="19">IF(AT$26=0,0,AT24/AT$26)</f>
        <v>0</v>
      </c>
      <c r="AW24" s="17"/>
      <c r="AX24" s="17"/>
      <c r="AY24" s="17"/>
      <c r="AZ24" s="18">
        <f t="shared" ref="AZ24:AZ25" si="20">X24</f>
        <v>0</v>
      </c>
      <c r="BA24" s="19">
        <f t="shared" ref="BA24:BA26" si="21">IF(AZ$26=0,0,AZ24/AZ$26)</f>
        <v>0</v>
      </c>
    </row>
    <row r="25" spans="1:60" ht="17.100000000000001" customHeight="1" x14ac:dyDescent="0.25">
      <c r="A25" s="40"/>
      <c r="B25" s="40"/>
      <c r="C25" s="74" t="s">
        <v>531</v>
      </c>
      <c r="D25" s="542" t="s">
        <v>530</v>
      </c>
      <c r="E25" s="75"/>
      <c r="F25" s="75"/>
      <c r="G25" s="76"/>
      <c r="H25" s="211"/>
      <c r="I25" s="229"/>
      <c r="J25" s="581"/>
      <c r="K25" s="581"/>
      <c r="L25" s="582"/>
      <c r="M25" s="17">
        <f t="shared" si="10"/>
        <v>0</v>
      </c>
      <c r="N25" s="111"/>
      <c r="O25" s="111"/>
      <c r="P25" s="111"/>
      <c r="Q25" s="111"/>
      <c r="R25" s="111"/>
      <c r="S25" s="111"/>
      <c r="T25" s="111"/>
      <c r="U25" s="111"/>
      <c r="V25" s="358"/>
      <c r="W25" s="391">
        <f t="shared" si="11"/>
        <v>0</v>
      </c>
      <c r="X25" s="17">
        <f t="shared" si="12"/>
        <v>0</v>
      </c>
      <c r="Y25" s="18">
        <f>SUM(W25:X25)</f>
        <v>0</v>
      </c>
      <c r="Z25" s="19">
        <f t="shared" si="13"/>
        <v>0</v>
      </c>
      <c r="AA25" s="19"/>
      <c r="AB25" s="19"/>
      <c r="AC25" s="20"/>
      <c r="AE25" s="17"/>
      <c r="AF25" s="17"/>
      <c r="AG25" s="17"/>
      <c r="AH25" s="18">
        <f t="shared" si="14"/>
        <v>0</v>
      </c>
      <c r="AI25" s="19">
        <f t="shared" si="15"/>
        <v>0</v>
      </c>
      <c r="AK25" s="17"/>
      <c r="AL25" s="17"/>
      <c r="AM25" s="17"/>
      <c r="AN25" s="18">
        <f t="shared" si="16"/>
        <v>0</v>
      </c>
      <c r="AO25" s="19">
        <f t="shared" si="17"/>
        <v>0</v>
      </c>
      <c r="AQ25" s="17"/>
      <c r="AR25" s="17"/>
      <c r="AS25" s="17"/>
      <c r="AT25" s="18">
        <f t="shared" si="18"/>
        <v>0</v>
      </c>
      <c r="AU25" s="19">
        <f t="shared" si="19"/>
        <v>0</v>
      </c>
      <c r="AW25" s="17"/>
      <c r="AX25" s="17"/>
      <c r="AY25" s="17"/>
      <c r="AZ25" s="18">
        <f t="shared" si="20"/>
        <v>0</v>
      </c>
      <c r="BA25" s="19">
        <f t="shared" si="21"/>
        <v>0</v>
      </c>
    </row>
    <row r="26" spans="1:60" ht="17.100000000000001" customHeight="1" x14ac:dyDescent="0.25">
      <c r="A26" s="40"/>
      <c r="B26" s="40"/>
      <c r="C26" s="77"/>
      <c r="D26" s="78"/>
      <c r="E26" s="78"/>
      <c r="F26" s="78"/>
      <c r="G26" s="79"/>
      <c r="H26" s="211"/>
      <c r="I26" s="230"/>
      <c r="J26" s="80">
        <f>SUM(J23:J25)</f>
        <v>0</v>
      </c>
      <c r="K26" s="80">
        <f t="shared" ref="K26:M26" si="22">SUM(K23:K25)</f>
        <v>0</v>
      </c>
      <c r="L26" s="80">
        <f t="shared" si="22"/>
        <v>0</v>
      </c>
      <c r="M26" s="80">
        <f t="shared" si="22"/>
        <v>0</v>
      </c>
      <c r="N26" s="80"/>
      <c r="O26" s="80"/>
      <c r="P26" s="80"/>
      <c r="Q26" s="81"/>
      <c r="R26" s="81"/>
      <c r="S26" s="81"/>
      <c r="T26" s="81"/>
      <c r="U26" s="81"/>
      <c r="V26" s="356"/>
      <c r="W26" s="381">
        <f>SUM(W23:W25)</f>
        <v>0</v>
      </c>
      <c r="X26" s="82">
        <f t="shared" ref="X26:Y26" si="23">SUM(X23:X25)</f>
        <v>0</v>
      </c>
      <c r="Y26" s="82">
        <f t="shared" si="23"/>
        <v>0</v>
      </c>
      <c r="Z26" s="205">
        <f>IF(Y$26=0,0,Y26/Y$26)</f>
        <v>0</v>
      </c>
      <c r="AA26" s="205"/>
      <c r="AB26" s="205"/>
      <c r="AC26" s="83"/>
      <c r="AE26" s="67"/>
      <c r="AF26" s="67"/>
      <c r="AG26" s="67"/>
      <c r="AH26" s="65">
        <f>SUM(AH23:AH25)</f>
        <v>0</v>
      </c>
      <c r="AI26" s="66">
        <f t="shared" si="15"/>
        <v>0</v>
      </c>
      <c r="AK26" s="67"/>
      <c r="AL26" s="67"/>
      <c r="AM26" s="67"/>
      <c r="AN26" s="65">
        <f>SUM(AN23:AN25)</f>
        <v>0</v>
      </c>
      <c r="AO26" s="66">
        <f t="shared" si="17"/>
        <v>0</v>
      </c>
      <c r="AQ26" s="67"/>
      <c r="AR26" s="67"/>
      <c r="AS26" s="67"/>
      <c r="AT26" s="65">
        <f>SUM(AT23:AT25)</f>
        <v>0</v>
      </c>
      <c r="AU26" s="66">
        <f t="shared" si="19"/>
        <v>0</v>
      </c>
      <c r="AW26" s="67"/>
      <c r="AX26" s="67"/>
      <c r="AY26" s="67"/>
      <c r="AZ26" s="65">
        <f>SUM(AZ23:AZ25)</f>
        <v>0</v>
      </c>
      <c r="BA26" s="66">
        <f t="shared" si="21"/>
        <v>0</v>
      </c>
    </row>
    <row r="27" spans="1:60" s="97" customFormat="1" ht="17.100000000000001" customHeight="1" x14ac:dyDescent="0.25">
      <c r="A27" s="68"/>
      <c r="B27" s="68"/>
      <c r="C27" s="92"/>
      <c r="D27" s="93"/>
      <c r="E27" s="93"/>
      <c r="F27" s="93"/>
      <c r="G27" s="93"/>
      <c r="H27" s="165"/>
      <c r="I27" s="12"/>
      <c r="J27" s="94" t="str">
        <f>IF(J26=J$15,"OK","NOK")</f>
        <v>OK</v>
      </c>
      <c r="K27" s="94" t="str">
        <f t="shared" ref="K27:L27" si="24">IF(K26=K$15,"OK","NOK")</f>
        <v>OK</v>
      </c>
      <c r="L27" s="94" t="str">
        <f t="shared" si="24"/>
        <v>OK</v>
      </c>
      <c r="M27" s="95"/>
      <c r="N27" s="95"/>
      <c r="O27" s="95"/>
      <c r="P27" s="95"/>
      <c r="Q27" s="95"/>
      <c r="R27" s="95"/>
      <c r="S27" s="95"/>
      <c r="T27" s="95"/>
      <c r="U27" s="95"/>
      <c r="V27" s="95"/>
      <c r="W27" s="378"/>
      <c r="X27" s="95"/>
      <c r="Y27" s="96"/>
      <c r="AE27" s="98"/>
      <c r="AF27" s="98"/>
      <c r="AG27" s="98"/>
      <c r="AH27" s="99"/>
      <c r="AI27" s="100"/>
      <c r="AJ27" s="407"/>
      <c r="AK27" s="98"/>
      <c r="AL27" s="98"/>
      <c r="AM27" s="98"/>
      <c r="AN27" s="99"/>
      <c r="AO27" s="100"/>
      <c r="AP27" s="407"/>
      <c r="AQ27" s="98"/>
      <c r="AR27" s="98"/>
      <c r="AS27" s="98"/>
      <c r="AT27" s="99"/>
      <c r="AU27" s="100"/>
      <c r="AV27" s="407"/>
      <c r="AW27" s="98"/>
      <c r="AX27" s="98"/>
      <c r="AY27" s="98"/>
      <c r="AZ27" s="99"/>
      <c r="BA27" s="100"/>
      <c r="BC27" s="3"/>
      <c r="BD27" s="3"/>
      <c r="BE27" s="3"/>
      <c r="BF27" s="3"/>
      <c r="BG27" s="3"/>
      <c r="BH27" s="3"/>
    </row>
    <row r="28" spans="1:60" s="32" customFormat="1" ht="16.5" thickBot="1" x14ac:dyDescent="0.3">
      <c r="A28" s="24" t="s">
        <v>13</v>
      </c>
      <c r="B28" s="25" t="s">
        <v>14</v>
      </c>
      <c r="C28" s="26"/>
      <c r="D28" s="27"/>
      <c r="E28" s="27"/>
      <c r="F28" s="27"/>
      <c r="G28" s="28"/>
      <c r="H28" s="215"/>
      <c r="I28" s="228"/>
      <c r="J28" s="101"/>
      <c r="K28" s="101"/>
      <c r="L28" s="101"/>
      <c r="M28" s="101"/>
      <c r="N28" s="101"/>
      <c r="O28" s="101"/>
      <c r="P28" s="101"/>
      <c r="Q28" s="101"/>
      <c r="R28" s="101"/>
      <c r="S28" s="101"/>
      <c r="T28" s="101"/>
      <c r="U28" s="101"/>
      <c r="V28" s="357"/>
      <c r="W28" s="379"/>
      <c r="X28" s="101"/>
      <c r="Y28" s="30" t="s">
        <v>4</v>
      </c>
      <c r="Z28" s="31" t="s">
        <v>5</v>
      </c>
      <c r="AA28" s="31"/>
      <c r="AB28" s="31"/>
      <c r="AC28" s="31"/>
      <c r="AE28" s="33" t="s">
        <v>181</v>
      </c>
      <c r="AF28" s="33" t="s">
        <v>182</v>
      </c>
      <c r="AG28" s="33" t="s">
        <v>6</v>
      </c>
      <c r="AH28" s="33" t="s">
        <v>4</v>
      </c>
      <c r="AI28" s="34" t="s">
        <v>5</v>
      </c>
      <c r="AJ28" s="408"/>
      <c r="AK28" s="36" t="s">
        <v>181</v>
      </c>
      <c r="AL28" s="36" t="s">
        <v>182</v>
      </c>
      <c r="AM28" s="36" t="s">
        <v>6</v>
      </c>
      <c r="AN28" s="36" t="s">
        <v>4</v>
      </c>
      <c r="AO28" s="37" t="s">
        <v>5</v>
      </c>
      <c r="AP28" s="408"/>
      <c r="AQ28" s="398"/>
      <c r="AR28" s="398"/>
      <c r="AS28" s="398"/>
      <c r="AT28" s="398"/>
      <c r="AU28" s="399"/>
      <c r="AV28" s="408"/>
      <c r="AW28" s="400" t="s">
        <v>181</v>
      </c>
      <c r="AX28" s="400" t="s">
        <v>182</v>
      </c>
      <c r="AY28" s="400" t="s">
        <v>6</v>
      </c>
      <c r="AZ28" s="400" t="s">
        <v>4</v>
      </c>
      <c r="BA28" s="401" t="s">
        <v>5</v>
      </c>
      <c r="BC28" s="3"/>
      <c r="BD28" s="3"/>
      <c r="BE28" s="3"/>
      <c r="BF28" s="3"/>
      <c r="BG28" s="3"/>
      <c r="BH28" s="3"/>
    </row>
    <row r="29" spans="1:60" ht="17.100000000000001" customHeight="1" x14ac:dyDescent="0.25">
      <c r="A29" s="68"/>
      <c r="B29" s="41" t="s">
        <v>15</v>
      </c>
      <c r="C29" s="69" t="s">
        <v>16</v>
      </c>
      <c r="D29" s="50"/>
      <c r="E29" s="70"/>
      <c r="F29" s="70"/>
      <c r="G29" s="70"/>
      <c r="H29" s="589">
        <v>8</v>
      </c>
      <c r="J29" s="71"/>
      <c r="K29" s="71"/>
      <c r="L29" s="71"/>
      <c r="M29" s="71"/>
      <c r="N29" s="71"/>
      <c r="O29" s="71"/>
      <c r="P29" s="71"/>
      <c r="Q29" s="71"/>
      <c r="R29" s="71"/>
      <c r="S29" s="71"/>
      <c r="T29" s="71"/>
      <c r="U29" s="71"/>
      <c r="V29" s="355"/>
      <c r="W29" s="377"/>
      <c r="X29" s="71"/>
      <c r="Y29" s="72"/>
      <c r="Z29" s="73"/>
      <c r="AA29" s="73"/>
      <c r="AB29" s="73"/>
      <c r="AC29" s="73"/>
      <c r="AE29" s="71"/>
      <c r="AF29" s="71"/>
      <c r="AG29" s="71"/>
      <c r="AH29" s="72"/>
      <c r="AI29" s="73"/>
      <c r="AK29" s="71"/>
      <c r="AL29" s="71"/>
      <c r="AM29" s="71"/>
      <c r="AN29" s="72"/>
      <c r="AO29" s="73"/>
      <c r="AQ29" s="71"/>
      <c r="AR29" s="71"/>
      <c r="AS29" s="71"/>
      <c r="AT29" s="72"/>
      <c r="AU29" s="73"/>
      <c r="AW29" s="71"/>
      <c r="AX29" s="71"/>
      <c r="AY29" s="71"/>
      <c r="AZ29" s="72"/>
      <c r="BA29" s="73"/>
    </row>
    <row r="30" spans="1:60" ht="17.100000000000001" customHeight="1" x14ac:dyDescent="0.25">
      <c r="A30" s="102"/>
      <c r="B30" s="102"/>
      <c r="C30" s="103" t="s">
        <v>17</v>
      </c>
      <c r="D30" s="104" t="s">
        <v>609</v>
      </c>
      <c r="E30" s="105"/>
      <c r="F30" s="105"/>
      <c r="G30" s="106"/>
      <c r="H30" s="210"/>
      <c r="I30" s="231"/>
      <c r="J30" s="198">
        <f>J15</f>
        <v>0</v>
      </c>
      <c r="K30" s="198"/>
      <c r="L30" s="17"/>
      <c r="M30" s="17">
        <f t="shared" ref="M30:M32" si="25">SUM(J30:L30)</f>
        <v>0</v>
      </c>
      <c r="N30" s="111"/>
      <c r="O30" s="111"/>
      <c r="P30" s="111"/>
      <c r="Q30" s="111"/>
      <c r="R30" s="111"/>
      <c r="S30" s="111"/>
      <c r="T30" s="111"/>
      <c r="U30" s="111"/>
      <c r="V30" s="358"/>
      <c r="W30" s="391">
        <f t="shared" ref="W30:W32" si="26">J30+K30+N30+Q30+T30</f>
        <v>0</v>
      </c>
      <c r="X30" s="17">
        <f t="shared" ref="X30:X32" si="27">L30+O30+R30+U30</f>
        <v>0</v>
      </c>
      <c r="Y30" s="18">
        <f>SUM(W30:X30)</f>
        <v>0</v>
      </c>
      <c r="Z30" s="19">
        <f>IF(Y$33=0,0,Y30/Y$33)</f>
        <v>0</v>
      </c>
      <c r="AA30" s="19"/>
      <c r="AB30" s="19"/>
      <c r="AC30" s="20"/>
      <c r="AE30" s="17"/>
      <c r="AF30" s="17"/>
      <c r="AG30" s="17"/>
      <c r="AH30" s="18">
        <f t="shared" ref="AH30:AH32" si="28">J30</f>
        <v>0</v>
      </c>
      <c r="AI30" s="19">
        <f>IF(AH$33=0,0,AH30/AH$33)</f>
        <v>0</v>
      </c>
      <c r="AK30" s="17"/>
      <c r="AL30" s="17"/>
      <c r="AM30" s="17"/>
      <c r="AN30" s="18">
        <f t="shared" ref="AN30:AN32" si="29">K30</f>
        <v>0</v>
      </c>
      <c r="AO30" s="19">
        <f>IF(AN$33=0,0,AN30/AN$33)</f>
        <v>0</v>
      </c>
      <c r="AQ30" s="17"/>
      <c r="AR30" s="17"/>
      <c r="AS30" s="17"/>
      <c r="AT30" s="18">
        <f t="shared" ref="AT30:AT32" si="30">W30</f>
        <v>0</v>
      </c>
      <c r="AU30" s="19">
        <f>IF(AT$33=0,0,AT30/AT$33)</f>
        <v>0</v>
      </c>
      <c r="AW30" s="17"/>
      <c r="AX30" s="17"/>
      <c r="AY30" s="17"/>
      <c r="AZ30" s="18">
        <f t="shared" ref="AZ30:AZ32" si="31">X30</f>
        <v>0</v>
      </c>
      <c r="BA30" s="19">
        <f>IF(AZ$33=0,0,AZ30/AZ$33)</f>
        <v>0</v>
      </c>
    </row>
    <row r="31" spans="1:60" ht="17.100000000000001" customHeight="1" x14ac:dyDescent="0.25">
      <c r="A31" s="102"/>
      <c r="B31" s="102"/>
      <c r="C31" s="103" t="s">
        <v>18</v>
      </c>
      <c r="D31" s="104" t="s">
        <v>610</v>
      </c>
      <c r="E31" s="105"/>
      <c r="F31" s="105"/>
      <c r="G31" s="106"/>
      <c r="H31" s="210"/>
      <c r="I31" s="231"/>
      <c r="J31" s="198"/>
      <c r="K31" s="198">
        <f>K15</f>
        <v>0</v>
      </c>
      <c r="L31" s="17"/>
      <c r="M31" s="17">
        <f t="shared" si="25"/>
        <v>0</v>
      </c>
      <c r="N31" s="111"/>
      <c r="O31" s="111"/>
      <c r="P31" s="111"/>
      <c r="Q31" s="111"/>
      <c r="R31" s="111"/>
      <c r="S31" s="111"/>
      <c r="T31" s="111"/>
      <c r="U31" s="111"/>
      <c r="V31" s="358"/>
      <c r="W31" s="391">
        <f t="shared" si="26"/>
        <v>0</v>
      </c>
      <c r="X31" s="17">
        <f t="shared" si="27"/>
        <v>0</v>
      </c>
      <c r="Y31" s="18">
        <f>SUM(W31:X31)</f>
        <v>0</v>
      </c>
      <c r="Z31" s="19">
        <f t="shared" ref="Z31:Z33" si="32">IF(Y$33=0,0,Y31/Y$33)</f>
        <v>0</v>
      </c>
      <c r="AA31" s="19"/>
      <c r="AB31" s="19"/>
      <c r="AC31" s="20"/>
      <c r="AE31" s="17"/>
      <c r="AF31" s="17"/>
      <c r="AG31" s="17"/>
      <c r="AH31" s="18">
        <f t="shared" si="28"/>
        <v>0</v>
      </c>
      <c r="AI31" s="19">
        <f>IF(AH$33=0,0,AH31/AH$33)</f>
        <v>0</v>
      </c>
      <c r="AK31" s="17"/>
      <c r="AL31" s="17"/>
      <c r="AM31" s="17"/>
      <c r="AN31" s="18">
        <f t="shared" si="29"/>
        <v>0</v>
      </c>
      <c r="AO31" s="19">
        <f>IF(AN$33=0,0,AN31/AN$33)</f>
        <v>0</v>
      </c>
      <c r="AQ31" s="17"/>
      <c r="AR31" s="17"/>
      <c r="AS31" s="17"/>
      <c r="AT31" s="18">
        <f t="shared" si="30"/>
        <v>0</v>
      </c>
      <c r="AU31" s="19">
        <f>IF(AT$33=0,0,AT31/AT$33)</f>
        <v>0</v>
      </c>
      <c r="AW31" s="17"/>
      <c r="AX31" s="17"/>
      <c r="AY31" s="17"/>
      <c r="AZ31" s="18">
        <f t="shared" si="31"/>
        <v>0</v>
      </c>
      <c r="BA31" s="19">
        <f>IF(AZ$33=0,0,AZ31/AZ$33)</f>
        <v>0</v>
      </c>
    </row>
    <row r="32" spans="1:60" ht="17.100000000000001" customHeight="1" x14ac:dyDescent="0.25">
      <c r="A32" s="102"/>
      <c r="B32" s="102"/>
      <c r="C32" s="103" t="s">
        <v>19</v>
      </c>
      <c r="D32" s="104" t="s">
        <v>611</v>
      </c>
      <c r="E32" s="105"/>
      <c r="F32" s="105"/>
      <c r="G32" s="106"/>
      <c r="H32" s="210"/>
      <c r="I32" s="231"/>
      <c r="J32" s="198"/>
      <c r="K32" s="198"/>
      <c r="L32" s="17">
        <f>L15</f>
        <v>0</v>
      </c>
      <c r="M32" s="17">
        <f t="shared" si="25"/>
        <v>0</v>
      </c>
      <c r="N32" s="111"/>
      <c r="O32" s="111"/>
      <c r="P32" s="111"/>
      <c r="Q32" s="111"/>
      <c r="R32" s="111"/>
      <c r="S32" s="111"/>
      <c r="T32" s="111"/>
      <c r="U32" s="111"/>
      <c r="V32" s="358"/>
      <c r="W32" s="391">
        <f t="shared" si="26"/>
        <v>0</v>
      </c>
      <c r="X32" s="17">
        <f t="shared" si="27"/>
        <v>0</v>
      </c>
      <c r="Y32" s="18">
        <f>SUM(W32:X32)</f>
        <v>0</v>
      </c>
      <c r="Z32" s="19">
        <f t="shared" si="32"/>
        <v>0</v>
      </c>
      <c r="AA32" s="19"/>
      <c r="AB32" s="19"/>
      <c r="AC32" s="20"/>
      <c r="AE32" s="17"/>
      <c r="AF32" s="17"/>
      <c r="AG32" s="17"/>
      <c r="AH32" s="18">
        <f t="shared" si="28"/>
        <v>0</v>
      </c>
      <c r="AI32" s="19">
        <f>IF(AH$33=0,0,AH32/AH$33)</f>
        <v>0</v>
      </c>
      <c r="AK32" s="17"/>
      <c r="AL32" s="17"/>
      <c r="AM32" s="17"/>
      <c r="AN32" s="18">
        <f t="shared" si="29"/>
        <v>0</v>
      </c>
      <c r="AO32" s="19">
        <f>IF(AN$33=0,0,AN32/AN$33)</f>
        <v>0</v>
      </c>
      <c r="AQ32" s="17"/>
      <c r="AR32" s="17"/>
      <c r="AS32" s="17"/>
      <c r="AT32" s="18">
        <f t="shared" si="30"/>
        <v>0</v>
      </c>
      <c r="AU32" s="19">
        <f>IF(AT$33=0,0,AT32/AT$33)</f>
        <v>0</v>
      </c>
      <c r="AW32" s="17"/>
      <c r="AX32" s="17"/>
      <c r="AY32" s="17"/>
      <c r="AZ32" s="18">
        <f t="shared" si="31"/>
        <v>0</v>
      </c>
      <c r="BA32" s="19">
        <f>IF(AZ$33=0,0,AZ32/AZ$33)</f>
        <v>0</v>
      </c>
    </row>
    <row r="33" spans="1:53" ht="17.100000000000001" customHeight="1" x14ac:dyDescent="0.25">
      <c r="A33" s="40"/>
      <c r="B33" s="40"/>
      <c r="C33" s="77"/>
      <c r="D33" s="78"/>
      <c r="E33" s="78"/>
      <c r="F33" s="78"/>
      <c r="G33" s="79"/>
      <c r="H33" s="217"/>
      <c r="I33" s="230"/>
      <c r="J33" s="80">
        <f>SUM(J30:J32)</f>
        <v>0</v>
      </c>
      <c r="K33" s="80">
        <f t="shared" ref="K33:M33" si="33">SUM(K30:K32)</f>
        <v>0</v>
      </c>
      <c r="L33" s="80">
        <f t="shared" si="33"/>
        <v>0</v>
      </c>
      <c r="M33" s="80">
        <f t="shared" si="33"/>
        <v>0</v>
      </c>
      <c r="N33" s="81"/>
      <c r="O33" s="81"/>
      <c r="P33" s="81"/>
      <c r="Q33" s="81"/>
      <c r="R33" s="81"/>
      <c r="S33" s="81"/>
      <c r="T33" s="81"/>
      <c r="U33" s="81"/>
      <c r="V33" s="356"/>
      <c r="W33" s="381">
        <f>SUM(W30:W32)</f>
        <v>0</v>
      </c>
      <c r="X33" s="82">
        <f t="shared" ref="X33:Y33" si="34">SUM(X30:X32)</f>
        <v>0</v>
      </c>
      <c r="Y33" s="82">
        <f t="shared" si="34"/>
        <v>0</v>
      </c>
      <c r="Z33" s="205">
        <f t="shared" si="32"/>
        <v>0</v>
      </c>
      <c r="AA33" s="205"/>
      <c r="AB33" s="205"/>
      <c r="AC33" s="83"/>
      <c r="AE33" s="107"/>
      <c r="AF33" s="107"/>
      <c r="AG33" s="107"/>
      <c r="AH33" s="82">
        <f>SUM(AH30:AH32)</f>
        <v>0</v>
      </c>
      <c r="AI33" s="66">
        <f>IF(AH$33=0,0,AH33/AH$33)</f>
        <v>0</v>
      </c>
      <c r="AK33" s="107"/>
      <c r="AL33" s="107"/>
      <c r="AM33" s="107"/>
      <c r="AN33" s="82">
        <f>SUM(AN30:AN32)</f>
        <v>0</v>
      </c>
      <c r="AO33" s="66">
        <f>IF(AN$33=0,0,AN33/AN$33)</f>
        <v>0</v>
      </c>
      <c r="AQ33" s="107"/>
      <c r="AR33" s="107"/>
      <c r="AS33" s="107"/>
      <c r="AT33" s="82">
        <f>SUM(AT30:AT32)</f>
        <v>0</v>
      </c>
      <c r="AU33" s="66">
        <f>IF(AT$33=0,0,AT33/AT$33)</f>
        <v>0</v>
      </c>
      <c r="AW33" s="107"/>
      <c r="AX33" s="107"/>
      <c r="AY33" s="107"/>
      <c r="AZ33" s="82">
        <f>SUM(AZ30:AZ32)</f>
        <v>0</v>
      </c>
      <c r="BA33" s="66">
        <f>IF(AZ$33=0,0,AZ33/AZ$33)</f>
        <v>0</v>
      </c>
    </row>
    <row r="34" spans="1:53" s="97" customFormat="1" ht="17.100000000000001" customHeight="1" x14ac:dyDescent="0.25">
      <c r="A34" s="68"/>
      <c r="B34" s="68"/>
      <c r="C34" s="92"/>
      <c r="D34" s="93"/>
      <c r="E34" s="93"/>
      <c r="F34" s="93"/>
      <c r="G34" s="93"/>
      <c r="H34" s="92"/>
      <c r="I34" s="12"/>
      <c r="J34" s="94"/>
      <c r="K34" s="94"/>
      <c r="L34" s="94"/>
      <c r="M34" s="95"/>
      <c r="N34" s="95"/>
      <c r="O34" s="95"/>
      <c r="P34" s="95"/>
      <c r="Q34" s="95"/>
      <c r="R34" s="95"/>
      <c r="S34" s="95"/>
      <c r="T34" s="95"/>
      <c r="U34" s="95"/>
      <c r="V34" s="95"/>
      <c r="W34" s="378"/>
      <c r="X34" s="95"/>
      <c r="Y34" s="96"/>
      <c r="AE34" s="109"/>
      <c r="AF34" s="109"/>
      <c r="AG34" s="109"/>
      <c r="AH34" s="96"/>
      <c r="AK34" s="109"/>
      <c r="AL34" s="109"/>
      <c r="AM34" s="109"/>
      <c r="AN34" s="96"/>
      <c r="AQ34" s="109"/>
      <c r="AR34" s="109"/>
      <c r="AS34" s="109"/>
      <c r="AT34" s="96"/>
      <c r="AW34" s="109"/>
      <c r="AX34" s="109"/>
      <c r="AY34" s="109"/>
      <c r="AZ34" s="96"/>
    </row>
    <row r="35" spans="1:53" s="32" customFormat="1" ht="16.5" thickBot="1" x14ac:dyDescent="0.3">
      <c r="A35" s="24" t="s">
        <v>20</v>
      </c>
      <c r="B35" s="25" t="s">
        <v>21</v>
      </c>
      <c r="C35" s="26"/>
      <c r="D35" s="27"/>
      <c r="E35" s="27"/>
      <c r="F35" s="27"/>
      <c r="G35" s="28"/>
      <c r="H35" s="215"/>
      <c r="I35" s="228"/>
      <c r="J35" s="101"/>
      <c r="K35" s="101"/>
      <c r="L35" s="101"/>
      <c r="M35" s="101"/>
      <c r="N35" s="101"/>
      <c r="O35" s="101"/>
      <c r="P35" s="101"/>
      <c r="Q35" s="101"/>
      <c r="R35" s="101"/>
      <c r="S35" s="101"/>
      <c r="T35" s="101"/>
      <c r="U35" s="101"/>
      <c r="V35" s="357"/>
      <c r="W35" s="379"/>
      <c r="X35" s="101"/>
      <c r="Y35" s="30" t="s">
        <v>4</v>
      </c>
      <c r="Z35" s="31" t="s">
        <v>5</v>
      </c>
      <c r="AA35" s="31" t="s">
        <v>181</v>
      </c>
      <c r="AB35" s="31" t="s">
        <v>182</v>
      </c>
      <c r="AC35" s="31" t="s">
        <v>6</v>
      </c>
      <c r="AE35" s="33" t="s">
        <v>181</v>
      </c>
      <c r="AF35" s="33" t="s">
        <v>182</v>
      </c>
      <c r="AG35" s="33" t="s">
        <v>6</v>
      </c>
      <c r="AH35" s="33" t="s">
        <v>4</v>
      </c>
      <c r="AI35" s="34" t="s">
        <v>5</v>
      </c>
      <c r="AJ35" s="408"/>
      <c r="AK35" s="36" t="s">
        <v>181</v>
      </c>
      <c r="AL35" s="36" t="s">
        <v>182</v>
      </c>
      <c r="AM35" s="36" t="s">
        <v>6</v>
      </c>
      <c r="AN35" s="36" t="s">
        <v>4</v>
      </c>
      <c r="AO35" s="37" t="s">
        <v>5</v>
      </c>
      <c r="AP35" s="408"/>
      <c r="AQ35" s="36"/>
      <c r="AR35" s="36"/>
      <c r="AS35" s="36"/>
      <c r="AT35" s="36"/>
      <c r="AU35" s="37"/>
      <c r="AV35" s="408"/>
      <c r="AW35" s="38" t="s">
        <v>181</v>
      </c>
      <c r="AX35" s="38" t="s">
        <v>182</v>
      </c>
      <c r="AY35" s="38" t="s">
        <v>6</v>
      </c>
      <c r="AZ35" s="38" t="s">
        <v>4</v>
      </c>
      <c r="BA35" s="39" t="s">
        <v>5</v>
      </c>
    </row>
    <row r="36" spans="1:53" ht="17.100000000000001" customHeight="1" x14ac:dyDescent="0.25">
      <c r="A36" s="119"/>
      <c r="B36" s="41" t="s">
        <v>22</v>
      </c>
      <c r="C36" s="332" t="s">
        <v>23</v>
      </c>
      <c r="D36" s="50"/>
      <c r="E36" s="70"/>
      <c r="F36" s="70"/>
      <c r="G36" s="70"/>
      <c r="H36" s="589">
        <v>9</v>
      </c>
      <c r="J36" s="71"/>
      <c r="K36" s="71"/>
      <c r="L36" s="71"/>
      <c r="M36" s="71"/>
      <c r="N36" s="71"/>
      <c r="O36" s="71"/>
      <c r="P36" s="71"/>
      <c r="Q36" s="71"/>
      <c r="R36" s="71"/>
      <c r="S36" s="71"/>
      <c r="T36" s="71"/>
      <c r="U36" s="71"/>
      <c r="V36" s="355"/>
      <c r="W36" s="377"/>
      <c r="X36" s="71"/>
      <c r="Y36" s="72"/>
      <c r="Z36" s="73"/>
      <c r="AA36" s="73"/>
      <c r="AB36" s="73"/>
      <c r="AC36" s="73"/>
      <c r="AE36" s="71"/>
      <c r="AF36" s="71"/>
      <c r="AG36" s="71"/>
      <c r="AH36" s="72"/>
      <c r="AI36" s="73"/>
      <c r="AK36" s="71"/>
      <c r="AL36" s="71"/>
      <c r="AM36" s="71"/>
      <c r="AN36" s="72"/>
      <c r="AO36" s="73"/>
      <c r="AQ36" s="71"/>
      <c r="AR36" s="71"/>
      <c r="AS36" s="71"/>
      <c r="AT36" s="72"/>
      <c r="AU36" s="73"/>
      <c r="AW36" s="71"/>
      <c r="AX36" s="71"/>
      <c r="AY36" s="71"/>
      <c r="AZ36" s="72"/>
      <c r="BA36" s="73"/>
    </row>
    <row r="37" spans="1:53" ht="17.100000000000001" customHeight="1" x14ac:dyDescent="0.25">
      <c r="A37" s="119"/>
      <c r="B37" s="540"/>
      <c r="C37" s="103" t="s">
        <v>631</v>
      </c>
      <c r="D37" s="313" t="s">
        <v>658</v>
      </c>
      <c r="E37" s="108"/>
      <c r="F37" s="108"/>
      <c r="G37" s="108"/>
      <c r="H37" s="119"/>
      <c r="J37" s="111"/>
      <c r="K37" s="111"/>
      <c r="L37" s="111"/>
      <c r="M37" s="111"/>
      <c r="N37" s="111"/>
      <c r="O37" s="111"/>
      <c r="P37" s="111"/>
      <c r="Q37" s="111"/>
      <c r="R37" s="111"/>
      <c r="S37" s="111"/>
      <c r="T37" s="111"/>
      <c r="U37" s="111"/>
      <c r="V37" s="358"/>
      <c r="W37" s="380"/>
      <c r="X37" s="111"/>
      <c r="Y37" s="112"/>
      <c r="Z37" s="113"/>
      <c r="AA37" s="113"/>
      <c r="AB37" s="113"/>
      <c r="AC37" s="113"/>
      <c r="AE37" s="111"/>
      <c r="AF37" s="111"/>
      <c r="AG37" s="111"/>
      <c r="AH37" s="112"/>
      <c r="AI37" s="113"/>
      <c r="AK37" s="111"/>
      <c r="AL37" s="111"/>
      <c r="AM37" s="111"/>
      <c r="AN37" s="112"/>
      <c r="AO37" s="113"/>
      <c r="AQ37" s="111"/>
      <c r="AR37" s="111"/>
      <c r="AS37" s="111"/>
      <c r="AT37" s="112"/>
      <c r="AU37" s="113"/>
      <c r="AW37" s="111"/>
      <c r="AX37" s="111"/>
      <c r="AY37" s="111"/>
      <c r="AZ37" s="112"/>
      <c r="BA37" s="113"/>
    </row>
    <row r="38" spans="1:53" ht="17.100000000000001" customHeight="1" x14ac:dyDescent="0.25">
      <c r="A38" s="47"/>
      <c r="B38" s="55"/>
      <c r="C38" s="56"/>
      <c r="D38" s="120" t="s">
        <v>632</v>
      </c>
      <c r="E38" s="58" t="s">
        <v>659</v>
      </c>
      <c r="F38" s="58"/>
      <c r="G38" s="59"/>
      <c r="H38" s="216"/>
      <c r="I38" s="229"/>
      <c r="J38" s="174"/>
      <c r="K38" s="174"/>
      <c r="L38" s="111"/>
      <c r="M38" s="111"/>
      <c r="N38" s="60"/>
      <c r="O38" s="60"/>
      <c r="P38" s="17">
        <f>SUM(N38:O38)</f>
        <v>0</v>
      </c>
      <c r="Q38" s="60"/>
      <c r="R38" s="60"/>
      <c r="S38" s="17">
        <f>SUM(Q38:R38)</f>
        <v>0</v>
      </c>
      <c r="T38" s="60"/>
      <c r="U38" s="60"/>
      <c r="V38" s="17">
        <f>SUM(T38:U38)</f>
        <v>0</v>
      </c>
      <c r="W38" s="391">
        <f t="shared" ref="W38:W40" si="35">J38+K38+N38+Q38+T38</f>
        <v>0</v>
      </c>
      <c r="X38" s="17">
        <f t="shared" ref="X38:X40" si="36">L38+O38+R38+U38</f>
        <v>0</v>
      </c>
      <c r="Y38" s="18">
        <f>SUM(W38:X38)</f>
        <v>0</v>
      </c>
      <c r="Z38" s="19">
        <f>IF(Y$41=0,0,Y38/Y$41)</f>
        <v>0</v>
      </c>
      <c r="AA38" s="19"/>
      <c r="AB38" s="19"/>
      <c r="AC38" s="20"/>
      <c r="AE38" s="111"/>
      <c r="AF38" s="111"/>
      <c r="AG38" s="111"/>
      <c r="AH38" s="545"/>
      <c r="AI38" s="131"/>
      <c r="AK38" s="111"/>
      <c r="AL38" s="111"/>
      <c r="AM38" s="111"/>
      <c r="AN38" s="545"/>
      <c r="AO38" s="131"/>
      <c r="AQ38" s="17"/>
      <c r="AR38" s="17"/>
      <c r="AS38" s="17"/>
      <c r="AT38" s="18">
        <f>W38</f>
        <v>0</v>
      </c>
      <c r="AU38" s="19">
        <f>IF(AT$41=0,0,AT38/AT$41)</f>
        <v>0</v>
      </c>
      <c r="AW38" s="17"/>
      <c r="AX38" s="17"/>
      <c r="AY38" s="17"/>
      <c r="AZ38" s="18">
        <f>X38</f>
        <v>0</v>
      </c>
      <c r="BA38" s="19">
        <f>IF(AZ$41=0,0,AZ38/AZ$41)</f>
        <v>0</v>
      </c>
    </row>
    <row r="39" spans="1:53" ht="17.100000000000001" customHeight="1" x14ac:dyDescent="0.25">
      <c r="A39" s="47"/>
      <c r="B39" s="55"/>
      <c r="C39" s="56"/>
      <c r="D39" s="120" t="s">
        <v>633</v>
      </c>
      <c r="E39" s="58" t="s">
        <v>634</v>
      </c>
      <c r="F39" s="58"/>
      <c r="G39" s="59"/>
      <c r="H39" s="216"/>
      <c r="I39" s="229"/>
      <c r="J39" s="174"/>
      <c r="K39" s="174"/>
      <c r="L39" s="111"/>
      <c r="M39" s="111"/>
      <c r="N39" s="61"/>
      <c r="O39" s="61"/>
      <c r="P39" s="17">
        <f t="shared" ref="P39:P40" si="37">SUM(N39:O39)</f>
        <v>0</v>
      </c>
      <c r="Q39" s="61"/>
      <c r="R39" s="61"/>
      <c r="S39" s="17">
        <f t="shared" ref="S39:S40" si="38">SUM(Q39:R39)</f>
        <v>0</v>
      </c>
      <c r="T39" s="61"/>
      <c r="U39" s="61"/>
      <c r="V39" s="17">
        <f t="shared" ref="V39:V40" si="39">SUM(T39:U39)</f>
        <v>0</v>
      </c>
      <c r="W39" s="391">
        <f t="shared" si="35"/>
        <v>0</v>
      </c>
      <c r="X39" s="17">
        <f t="shared" si="36"/>
        <v>0</v>
      </c>
      <c r="Y39" s="18">
        <f>SUM(W39:X39)</f>
        <v>0</v>
      </c>
      <c r="Z39" s="19">
        <f>IF(Y$41=0,0,Y39/Y$41)</f>
        <v>0</v>
      </c>
      <c r="AA39" s="19"/>
      <c r="AB39" s="19"/>
      <c r="AC39" s="20"/>
      <c r="AE39" s="111"/>
      <c r="AF39" s="111"/>
      <c r="AG39" s="111"/>
      <c r="AH39" s="545"/>
      <c r="AI39" s="131"/>
      <c r="AK39" s="111"/>
      <c r="AL39" s="111"/>
      <c r="AM39" s="111"/>
      <c r="AN39" s="545"/>
      <c r="AO39" s="131"/>
      <c r="AQ39" s="17"/>
      <c r="AR39" s="17"/>
      <c r="AS39" s="17"/>
      <c r="AT39" s="18">
        <f>W39</f>
        <v>0</v>
      </c>
      <c r="AU39" s="19">
        <f>IF(AT$41=0,0,AT39/AT$41)</f>
        <v>0</v>
      </c>
      <c r="AW39" s="17"/>
      <c r="AX39" s="17"/>
      <c r="AY39" s="17"/>
      <c r="AZ39" s="18">
        <f>X39</f>
        <v>0</v>
      </c>
      <c r="BA39" s="19">
        <f>IF(AZ$41=0,0,AZ39/AZ$41)</f>
        <v>0</v>
      </c>
    </row>
    <row r="40" spans="1:53" ht="17.100000000000001" customHeight="1" x14ac:dyDescent="0.25">
      <c r="A40" s="47"/>
      <c r="B40" s="55"/>
      <c r="C40" s="56"/>
      <c r="D40" s="120" t="s">
        <v>744</v>
      </c>
      <c r="E40" s="58" t="s">
        <v>745</v>
      </c>
      <c r="F40" s="58"/>
      <c r="G40" s="59"/>
      <c r="H40" s="216"/>
      <c r="I40" s="229"/>
      <c r="J40" s="174"/>
      <c r="K40" s="174"/>
      <c r="L40" s="111"/>
      <c r="M40" s="111"/>
      <c r="N40" s="60"/>
      <c r="O40" s="60"/>
      <c r="P40" s="17">
        <f t="shared" si="37"/>
        <v>0</v>
      </c>
      <c r="Q40" s="60"/>
      <c r="R40" s="60"/>
      <c r="S40" s="17">
        <f t="shared" si="38"/>
        <v>0</v>
      </c>
      <c r="T40" s="60"/>
      <c r="U40" s="60"/>
      <c r="V40" s="17">
        <f t="shared" si="39"/>
        <v>0</v>
      </c>
      <c r="W40" s="391">
        <f t="shared" si="35"/>
        <v>0</v>
      </c>
      <c r="X40" s="17">
        <f t="shared" si="36"/>
        <v>0</v>
      </c>
      <c r="Y40" s="18">
        <f>SUM(W40:X40)</f>
        <v>0</v>
      </c>
      <c r="Z40" s="19">
        <f>IF(Y$41=0,0,Y40/Y$41)</f>
        <v>0</v>
      </c>
      <c r="AA40" s="19"/>
      <c r="AB40" s="19"/>
      <c r="AC40" s="20"/>
      <c r="AE40" s="111"/>
      <c r="AF40" s="111"/>
      <c r="AG40" s="111"/>
      <c r="AH40" s="545"/>
      <c r="AI40" s="131"/>
      <c r="AK40" s="111"/>
      <c r="AL40" s="111"/>
      <c r="AM40" s="111"/>
      <c r="AN40" s="545"/>
      <c r="AO40" s="131"/>
      <c r="AQ40" s="17"/>
      <c r="AR40" s="17"/>
      <c r="AS40" s="17"/>
      <c r="AT40" s="18">
        <f>W40</f>
        <v>0</v>
      </c>
      <c r="AU40" s="19">
        <f>IF(AT$41=0,0,AT40/AT$41)</f>
        <v>0</v>
      </c>
      <c r="AW40" s="17"/>
      <c r="AX40" s="17"/>
      <c r="AY40" s="17"/>
      <c r="AZ40" s="18">
        <f>X40</f>
        <v>0</v>
      </c>
      <c r="BA40" s="19">
        <f>IF(AZ$41=0,0,AZ40/AZ$41)</f>
        <v>0</v>
      </c>
    </row>
    <row r="41" spans="1:53" ht="17.100000000000001" customHeight="1" x14ac:dyDescent="0.25">
      <c r="A41" s="40"/>
      <c r="B41" s="40"/>
      <c r="C41" s="77"/>
      <c r="D41" s="78"/>
      <c r="E41" s="78"/>
      <c r="F41" s="78"/>
      <c r="G41" s="78"/>
      <c r="H41" s="242"/>
      <c r="I41" s="230"/>
      <c r="J41" s="80"/>
      <c r="K41" s="80"/>
      <c r="L41" s="80"/>
      <c r="M41" s="80"/>
      <c r="N41" s="64">
        <f>SUM(N38:N40)</f>
        <v>0</v>
      </c>
      <c r="O41" s="64">
        <f t="shared" ref="O41:V41" si="40">SUM(O38:O40)</f>
        <v>0</v>
      </c>
      <c r="P41" s="64">
        <f t="shared" si="40"/>
        <v>0</v>
      </c>
      <c r="Q41" s="64">
        <f t="shared" si="40"/>
        <v>0</v>
      </c>
      <c r="R41" s="64">
        <f t="shared" si="40"/>
        <v>0</v>
      </c>
      <c r="S41" s="64">
        <f t="shared" si="40"/>
        <v>0</v>
      </c>
      <c r="T41" s="64">
        <f t="shared" si="40"/>
        <v>0</v>
      </c>
      <c r="U41" s="64">
        <f t="shared" si="40"/>
        <v>0</v>
      </c>
      <c r="V41" s="64">
        <f t="shared" si="40"/>
        <v>0</v>
      </c>
      <c r="W41" s="381">
        <f>SUM(W38:W40)</f>
        <v>0</v>
      </c>
      <c r="X41" s="82">
        <f t="shared" ref="X41:Y41" si="41">SUM(X38:X40)</f>
        <v>0</v>
      </c>
      <c r="Y41" s="82">
        <f t="shared" si="41"/>
        <v>0</v>
      </c>
      <c r="Z41" s="205">
        <f>IF(Y$41=0,0,Y41/Y$41)</f>
        <v>0</v>
      </c>
      <c r="AA41" s="205"/>
      <c r="AB41" s="205"/>
      <c r="AC41" s="83"/>
      <c r="AE41" s="81"/>
      <c r="AF41" s="81"/>
      <c r="AG41" s="81"/>
      <c r="AH41" s="82"/>
      <c r="AI41" s="66"/>
      <c r="AK41" s="81"/>
      <c r="AL41" s="81"/>
      <c r="AM41" s="81"/>
      <c r="AN41" s="82"/>
      <c r="AO41" s="66"/>
      <c r="AQ41" s="81"/>
      <c r="AR41" s="81"/>
      <c r="AS41" s="81"/>
      <c r="AT41" s="82">
        <f>SUM(AT38:AT40)</f>
        <v>0</v>
      </c>
      <c r="AU41" s="66">
        <f>IF(AT$41=0,0,AT41/AT$41)</f>
        <v>0</v>
      </c>
      <c r="AW41" s="81"/>
      <c r="AX41" s="81"/>
      <c r="AY41" s="81"/>
      <c r="AZ41" s="82">
        <f>SUM(AZ38:AZ40)</f>
        <v>0</v>
      </c>
      <c r="BA41" s="66">
        <f>IF(AZ$41=0,0,AZ41/AZ$41)</f>
        <v>0</v>
      </c>
    </row>
    <row r="42" spans="1:53" s="117" customFormat="1" ht="17.100000000000001" customHeight="1" x14ac:dyDescent="0.25">
      <c r="A42" s="119"/>
      <c r="B42" s="119"/>
      <c r="C42" s="540"/>
      <c r="D42" s="212"/>
      <c r="E42" s="212"/>
      <c r="F42" s="212"/>
      <c r="G42" s="212"/>
      <c r="H42" s="242"/>
      <c r="I42" s="230"/>
      <c r="J42" s="17"/>
      <c r="K42" s="17"/>
      <c r="L42" s="17"/>
      <c r="M42" s="17"/>
      <c r="N42" s="17" t="str">
        <f>IF(N41=N$20,"OK","NOK")</f>
        <v>OK</v>
      </c>
      <c r="O42" s="17" t="str">
        <f>IF(O41=O$20,"OK","NOK")</f>
        <v>OK</v>
      </c>
      <c r="P42" s="17"/>
      <c r="Q42" s="17" t="str">
        <f>IF(Q41=Q$20,"OK","NOK")</f>
        <v>OK</v>
      </c>
      <c r="R42" s="17" t="str">
        <f>IF(R41=R$20,"OK","NOK")</f>
        <v>OK</v>
      </c>
      <c r="S42" s="17"/>
      <c r="T42" s="17" t="str">
        <f>IF(T41=T$20,"OK","NOK")</f>
        <v>OK</v>
      </c>
      <c r="U42" s="17" t="str">
        <f>IF(U41=U$20,"OK","NOK")</f>
        <v>OK</v>
      </c>
      <c r="V42" s="359"/>
      <c r="W42" s="395">
        <f>IF($Y$41=0,0,W41/$Y$41)</f>
        <v>0</v>
      </c>
      <c r="X42" s="91">
        <f>IF($Y$41=0,0,X41/$Y$41)</f>
        <v>0</v>
      </c>
      <c r="Y42" s="201">
        <f>IF($Y$41=0,0,Y41/$Y$41)</f>
        <v>0</v>
      </c>
      <c r="Z42" s="201"/>
      <c r="AA42" s="201"/>
      <c r="AB42" s="201"/>
      <c r="AC42" s="84"/>
      <c r="AE42" s="17"/>
      <c r="AF42" s="17"/>
      <c r="AG42" s="17"/>
      <c r="AH42" s="539"/>
      <c r="AI42" s="91"/>
      <c r="AK42" s="17"/>
      <c r="AL42" s="17"/>
      <c r="AM42" s="17"/>
      <c r="AN42" s="539"/>
      <c r="AO42" s="91"/>
      <c r="AQ42" s="17"/>
      <c r="AR42" s="17"/>
      <c r="AS42" s="17"/>
      <c r="AT42" s="539"/>
      <c r="AU42" s="91"/>
      <c r="AW42" s="17"/>
      <c r="AX42" s="17"/>
      <c r="AY42" s="17"/>
      <c r="AZ42" s="539"/>
      <c r="BA42" s="91"/>
    </row>
    <row r="43" spans="1:53" ht="17.100000000000001" customHeight="1" x14ac:dyDescent="0.25">
      <c r="A43" s="68"/>
      <c r="B43" s="540"/>
      <c r="C43" s="103" t="s">
        <v>24</v>
      </c>
      <c r="D43" s="110" t="s">
        <v>373</v>
      </c>
      <c r="E43" s="108"/>
      <c r="F43" s="108"/>
      <c r="G43" s="108"/>
      <c r="H43" s="589">
        <v>9</v>
      </c>
      <c r="J43" s="111"/>
      <c r="K43" s="111"/>
      <c r="L43" s="111"/>
      <c r="M43" s="111"/>
      <c r="N43" s="111"/>
      <c r="O43" s="111"/>
      <c r="P43" s="111"/>
      <c r="Q43" s="111"/>
      <c r="R43" s="111"/>
      <c r="S43" s="111"/>
      <c r="T43" s="111"/>
      <c r="U43" s="111"/>
      <c r="V43" s="358"/>
      <c r="W43" s="380"/>
      <c r="X43" s="111"/>
      <c r="Y43" s="112"/>
      <c r="Z43" s="113"/>
      <c r="AA43" s="113"/>
      <c r="AB43" s="113"/>
      <c r="AC43" s="113"/>
      <c r="AE43" s="111"/>
      <c r="AF43" s="111"/>
      <c r="AG43" s="111"/>
      <c r="AH43" s="112"/>
      <c r="AI43" s="113"/>
      <c r="AK43" s="111"/>
      <c r="AL43" s="111"/>
      <c r="AM43" s="111"/>
      <c r="AN43" s="112"/>
      <c r="AO43" s="113"/>
      <c r="AQ43" s="111"/>
      <c r="AR43" s="111"/>
      <c r="AS43" s="111"/>
      <c r="AT43" s="112"/>
      <c r="AU43" s="113"/>
      <c r="AW43" s="111"/>
      <c r="AX43" s="111"/>
      <c r="AY43" s="111"/>
      <c r="AZ43" s="112"/>
      <c r="BA43" s="113"/>
    </row>
    <row r="44" spans="1:53" ht="17.100000000000001" customHeight="1" x14ac:dyDescent="0.25">
      <c r="A44" s="68"/>
      <c r="B44" s="540"/>
      <c r="C44" s="23"/>
      <c r="D44" s="202" t="s">
        <v>25</v>
      </c>
      <c r="E44" s="85" t="s">
        <v>384</v>
      </c>
      <c r="F44" s="75"/>
      <c r="G44" s="75"/>
      <c r="H44" s="119"/>
      <c r="J44" s="581"/>
      <c r="K44" s="581"/>
      <c r="L44" s="582"/>
      <c r="M44" s="17">
        <f t="shared" ref="M44:M57" si="42">SUM(J44:L44)</f>
        <v>0</v>
      </c>
      <c r="N44" s="111"/>
      <c r="O44" s="111"/>
      <c r="P44" s="111"/>
      <c r="Q44" s="111"/>
      <c r="R44" s="111"/>
      <c r="S44" s="111"/>
      <c r="T44" s="111"/>
      <c r="U44" s="111"/>
      <c r="V44" s="358"/>
      <c r="W44" s="391">
        <f t="shared" ref="W44:W57" si="43">J44+K44+N44+Q44+T44</f>
        <v>0</v>
      </c>
      <c r="X44" s="17">
        <f t="shared" ref="X44:X57" si="44">L44+O44+R44+U44</f>
        <v>0</v>
      </c>
      <c r="Y44" s="18">
        <f t="shared" ref="Y44:Y57" si="45">SUM(W44:X44)</f>
        <v>0</v>
      </c>
      <c r="Z44" s="19">
        <f>IF(Y$58=0,0,Y44/Y$58)</f>
        <v>0</v>
      </c>
      <c r="AA44" s="19"/>
      <c r="AB44" s="19"/>
      <c r="AC44" s="84"/>
      <c r="AE44" s="17"/>
      <c r="AF44" s="17"/>
      <c r="AG44" s="17"/>
      <c r="AH44" s="18">
        <f t="shared" ref="AH44:AH57" si="46">J44</f>
        <v>0</v>
      </c>
      <c r="AI44" s="19">
        <f>IF(AH$58=0,0,AH44/AH$58)</f>
        <v>0</v>
      </c>
      <c r="AK44" s="17"/>
      <c r="AL44" s="17"/>
      <c r="AM44" s="17"/>
      <c r="AN44" s="18">
        <f t="shared" ref="AN44:AN57" si="47">K44</f>
        <v>0</v>
      </c>
      <c r="AO44" s="19">
        <f>IF(AN$58=0,0,AN44/AN$58)</f>
        <v>0</v>
      </c>
      <c r="AQ44" s="17"/>
      <c r="AR44" s="17"/>
      <c r="AS44" s="17"/>
      <c r="AT44" s="18">
        <f t="shared" ref="AT44:AT57" si="48">W44</f>
        <v>0</v>
      </c>
      <c r="AU44" s="19">
        <f>IF(AT$58=0,0,AT44/AT$58)</f>
        <v>0</v>
      </c>
      <c r="AW44" s="17"/>
      <c r="AX44" s="17"/>
      <c r="AY44" s="17"/>
      <c r="AZ44" s="18">
        <f t="shared" ref="AZ44:AZ57" si="49">X44</f>
        <v>0</v>
      </c>
      <c r="BA44" s="19">
        <f>IF(AZ$58=0,0,AZ44/AZ$58)</f>
        <v>0</v>
      </c>
    </row>
    <row r="45" spans="1:53" ht="17.100000000000001" customHeight="1" x14ac:dyDescent="0.25">
      <c r="A45" s="68"/>
      <c r="B45" s="540"/>
      <c r="C45" s="23"/>
      <c r="D45" s="202" t="s">
        <v>27</v>
      </c>
      <c r="E45" s="85" t="s">
        <v>385</v>
      </c>
      <c r="F45" s="75"/>
      <c r="G45" s="75"/>
      <c r="H45" s="119"/>
      <c r="J45" s="583"/>
      <c r="K45" s="583"/>
      <c r="L45" s="584"/>
      <c r="M45" s="17">
        <f t="shared" si="42"/>
        <v>0</v>
      </c>
      <c r="N45" s="111"/>
      <c r="O45" s="111"/>
      <c r="P45" s="111"/>
      <c r="Q45" s="111"/>
      <c r="R45" s="111"/>
      <c r="S45" s="111"/>
      <c r="T45" s="111"/>
      <c r="U45" s="111"/>
      <c r="V45" s="358"/>
      <c r="W45" s="391">
        <f t="shared" si="43"/>
        <v>0</v>
      </c>
      <c r="X45" s="17">
        <f t="shared" si="44"/>
        <v>0</v>
      </c>
      <c r="Y45" s="18">
        <f t="shared" si="45"/>
        <v>0</v>
      </c>
      <c r="Z45" s="19">
        <f t="shared" ref="Z45:Z58" si="50">IF(Y$58=0,0,Y45/Y$58)</f>
        <v>0</v>
      </c>
      <c r="AA45" s="19"/>
      <c r="AB45" s="19"/>
      <c r="AC45" s="84"/>
      <c r="AE45" s="17"/>
      <c r="AF45" s="17"/>
      <c r="AG45" s="17"/>
      <c r="AH45" s="18">
        <f t="shared" si="46"/>
        <v>0</v>
      </c>
      <c r="AI45" s="19">
        <f t="shared" ref="AI45:AI58" si="51">IF(AH$58=0,0,AH45/AH$58)</f>
        <v>0</v>
      </c>
      <c r="AK45" s="17"/>
      <c r="AL45" s="17"/>
      <c r="AM45" s="17"/>
      <c r="AN45" s="18">
        <f t="shared" si="47"/>
        <v>0</v>
      </c>
      <c r="AO45" s="19">
        <f t="shared" ref="AO45:AO58" si="52">IF(AN$58=0,0,AN45/AN$58)</f>
        <v>0</v>
      </c>
      <c r="AQ45" s="17"/>
      <c r="AR45" s="17"/>
      <c r="AS45" s="17"/>
      <c r="AT45" s="18">
        <f t="shared" si="48"/>
        <v>0</v>
      </c>
      <c r="AU45" s="19">
        <f t="shared" ref="AU45:AU58" si="53">IF(AT$58=0,0,AT45/AT$58)</f>
        <v>0</v>
      </c>
      <c r="AW45" s="17"/>
      <c r="AX45" s="17"/>
      <c r="AY45" s="17"/>
      <c r="AZ45" s="18">
        <f t="shared" si="49"/>
        <v>0</v>
      </c>
      <c r="BA45" s="19">
        <f t="shared" ref="BA45:BA58" si="54">IF(AZ$58=0,0,AZ45/AZ$58)</f>
        <v>0</v>
      </c>
    </row>
    <row r="46" spans="1:53" ht="17.100000000000001" customHeight="1" x14ac:dyDescent="0.25">
      <c r="A46" s="68"/>
      <c r="B46" s="540"/>
      <c r="C46" s="23"/>
      <c r="D46" s="202" t="s">
        <v>29</v>
      </c>
      <c r="E46" s="85" t="s">
        <v>386</v>
      </c>
      <c r="F46" s="75"/>
      <c r="G46" s="75"/>
      <c r="H46" s="119"/>
      <c r="J46" s="581"/>
      <c r="K46" s="581"/>
      <c r="L46" s="582"/>
      <c r="M46" s="17">
        <f t="shared" si="42"/>
        <v>0</v>
      </c>
      <c r="N46" s="111"/>
      <c r="O46" s="111"/>
      <c r="P46" s="111"/>
      <c r="Q46" s="111"/>
      <c r="R46" s="111"/>
      <c r="S46" s="111"/>
      <c r="T46" s="111"/>
      <c r="U46" s="111"/>
      <c r="V46" s="358"/>
      <c r="W46" s="391">
        <f t="shared" si="43"/>
        <v>0</v>
      </c>
      <c r="X46" s="17">
        <f t="shared" si="44"/>
        <v>0</v>
      </c>
      <c r="Y46" s="18">
        <f t="shared" si="45"/>
        <v>0</v>
      </c>
      <c r="Z46" s="19">
        <f t="shared" si="50"/>
        <v>0</v>
      </c>
      <c r="AA46" s="19"/>
      <c r="AB46" s="19"/>
      <c r="AC46" s="84"/>
      <c r="AE46" s="17"/>
      <c r="AF46" s="17"/>
      <c r="AG46" s="17"/>
      <c r="AH46" s="18">
        <f t="shared" si="46"/>
        <v>0</v>
      </c>
      <c r="AI46" s="19">
        <f t="shared" si="51"/>
        <v>0</v>
      </c>
      <c r="AK46" s="17"/>
      <c r="AL46" s="17"/>
      <c r="AM46" s="17"/>
      <c r="AN46" s="18">
        <f t="shared" si="47"/>
        <v>0</v>
      </c>
      <c r="AO46" s="19">
        <f t="shared" si="52"/>
        <v>0</v>
      </c>
      <c r="AQ46" s="17"/>
      <c r="AR46" s="17"/>
      <c r="AS46" s="17"/>
      <c r="AT46" s="18">
        <f t="shared" si="48"/>
        <v>0</v>
      </c>
      <c r="AU46" s="19">
        <f t="shared" si="53"/>
        <v>0</v>
      </c>
      <c r="AW46" s="17"/>
      <c r="AX46" s="17"/>
      <c r="AY46" s="17"/>
      <c r="AZ46" s="18">
        <f t="shared" si="49"/>
        <v>0</v>
      </c>
      <c r="BA46" s="19">
        <f t="shared" si="54"/>
        <v>0</v>
      </c>
    </row>
    <row r="47" spans="1:53" ht="17.100000000000001" customHeight="1" x14ac:dyDescent="0.25">
      <c r="A47" s="68"/>
      <c r="B47" s="540"/>
      <c r="C47" s="23"/>
      <c r="D47" s="202" t="s">
        <v>31</v>
      </c>
      <c r="E47" s="85" t="s">
        <v>533</v>
      </c>
      <c r="F47" s="75"/>
      <c r="G47" s="75"/>
      <c r="H47" s="119"/>
      <c r="J47" s="583"/>
      <c r="K47" s="583"/>
      <c r="L47" s="584"/>
      <c r="M47" s="17">
        <f t="shared" si="42"/>
        <v>0</v>
      </c>
      <c r="N47" s="111"/>
      <c r="O47" s="111"/>
      <c r="P47" s="111"/>
      <c r="Q47" s="111"/>
      <c r="R47" s="111"/>
      <c r="S47" s="111"/>
      <c r="T47" s="111"/>
      <c r="U47" s="111"/>
      <c r="V47" s="358"/>
      <c r="W47" s="391">
        <f t="shared" si="43"/>
        <v>0</v>
      </c>
      <c r="X47" s="17">
        <f t="shared" si="44"/>
        <v>0</v>
      </c>
      <c r="Y47" s="18">
        <f t="shared" si="45"/>
        <v>0</v>
      </c>
      <c r="Z47" s="19">
        <f t="shared" si="50"/>
        <v>0</v>
      </c>
      <c r="AA47" s="19"/>
      <c r="AB47" s="19"/>
      <c r="AC47" s="84"/>
      <c r="AE47" s="17"/>
      <c r="AF47" s="17"/>
      <c r="AG47" s="17"/>
      <c r="AH47" s="18">
        <f t="shared" si="46"/>
        <v>0</v>
      </c>
      <c r="AI47" s="19">
        <f t="shared" si="51"/>
        <v>0</v>
      </c>
      <c r="AK47" s="17"/>
      <c r="AL47" s="17"/>
      <c r="AM47" s="17"/>
      <c r="AN47" s="18">
        <f t="shared" si="47"/>
        <v>0</v>
      </c>
      <c r="AO47" s="19">
        <f t="shared" si="52"/>
        <v>0</v>
      </c>
      <c r="AQ47" s="17"/>
      <c r="AR47" s="17"/>
      <c r="AS47" s="17"/>
      <c r="AT47" s="18">
        <f t="shared" si="48"/>
        <v>0</v>
      </c>
      <c r="AU47" s="19">
        <f t="shared" si="53"/>
        <v>0</v>
      </c>
      <c r="AW47" s="17"/>
      <c r="AX47" s="17"/>
      <c r="AY47" s="17"/>
      <c r="AZ47" s="18">
        <f t="shared" si="49"/>
        <v>0</v>
      </c>
      <c r="BA47" s="19">
        <f t="shared" si="54"/>
        <v>0</v>
      </c>
    </row>
    <row r="48" spans="1:53" ht="17.100000000000001" customHeight="1" x14ac:dyDescent="0.25">
      <c r="A48" s="68"/>
      <c r="B48" s="540"/>
      <c r="C48" s="93"/>
      <c r="D48" s="202" t="s">
        <v>374</v>
      </c>
      <c r="E48" s="85" t="s">
        <v>534</v>
      </c>
      <c r="F48" s="75"/>
      <c r="G48" s="75"/>
      <c r="H48" s="119"/>
      <c r="J48" s="581"/>
      <c r="K48" s="581"/>
      <c r="L48" s="582"/>
      <c r="M48" s="17">
        <f t="shared" si="42"/>
        <v>0</v>
      </c>
      <c r="N48" s="111"/>
      <c r="O48" s="111"/>
      <c r="P48" s="111"/>
      <c r="Q48" s="111"/>
      <c r="R48" s="111"/>
      <c r="S48" s="111"/>
      <c r="T48" s="111"/>
      <c r="U48" s="111"/>
      <c r="V48" s="358"/>
      <c r="W48" s="391">
        <f t="shared" si="43"/>
        <v>0</v>
      </c>
      <c r="X48" s="17">
        <f t="shared" si="44"/>
        <v>0</v>
      </c>
      <c r="Y48" s="18">
        <f t="shared" si="45"/>
        <v>0</v>
      </c>
      <c r="Z48" s="19">
        <f t="shared" si="50"/>
        <v>0</v>
      </c>
      <c r="AA48" s="19"/>
      <c r="AB48" s="19"/>
      <c r="AC48" s="84"/>
      <c r="AE48" s="17"/>
      <c r="AF48" s="17"/>
      <c r="AG48" s="17"/>
      <c r="AH48" s="18">
        <f t="shared" si="46"/>
        <v>0</v>
      </c>
      <c r="AI48" s="19">
        <f t="shared" si="51"/>
        <v>0</v>
      </c>
      <c r="AK48" s="17"/>
      <c r="AL48" s="17"/>
      <c r="AM48" s="17"/>
      <c r="AN48" s="18">
        <f t="shared" si="47"/>
        <v>0</v>
      </c>
      <c r="AO48" s="19">
        <f t="shared" si="52"/>
        <v>0</v>
      </c>
      <c r="AQ48" s="17"/>
      <c r="AR48" s="17"/>
      <c r="AS48" s="17"/>
      <c r="AT48" s="18">
        <f t="shared" si="48"/>
        <v>0</v>
      </c>
      <c r="AU48" s="19">
        <f t="shared" si="53"/>
        <v>0</v>
      </c>
      <c r="AW48" s="17"/>
      <c r="AX48" s="17"/>
      <c r="AY48" s="17"/>
      <c r="AZ48" s="18">
        <f t="shared" si="49"/>
        <v>0</v>
      </c>
      <c r="BA48" s="19">
        <f t="shared" si="54"/>
        <v>0</v>
      </c>
    </row>
    <row r="49" spans="1:53" ht="17.100000000000001" customHeight="1" x14ac:dyDescent="0.25">
      <c r="A49" s="68"/>
      <c r="B49" s="540"/>
      <c r="C49" s="93"/>
      <c r="D49" s="202" t="s">
        <v>375</v>
      </c>
      <c r="E49" s="85" t="s">
        <v>535</v>
      </c>
      <c r="F49" s="75"/>
      <c r="G49" s="75"/>
      <c r="H49" s="119"/>
      <c r="J49" s="583"/>
      <c r="K49" s="583"/>
      <c r="L49" s="584"/>
      <c r="M49" s="17">
        <f t="shared" si="42"/>
        <v>0</v>
      </c>
      <c r="N49" s="111"/>
      <c r="O49" s="111"/>
      <c r="P49" s="111"/>
      <c r="Q49" s="111"/>
      <c r="R49" s="111"/>
      <c r="S49" s="111"/>
      <c r="T49" s="111"/>
      <c r="U49" s="111"/>
      <c r="V49" s="358"/>
      <c r="W49" s="391">
        <f t="shared" si="43"/>
        <v>0</v>
      </c>
      <c r="X49" s="17">
        <f t="shared" si="44"/>
        <v>0</v>
      </c>
      <c r="Y49" s="18">
        <f t="shared" si="45"/>
        <v>0</v>
      </c>
      <c r="Z49" s="19">
        <f t="shared" si="50"/>
        <v>0</v>
      </c>
      <c r="AA49" s="19"/>
      <c r="AB49" s="19"/>
      <c r="AC49" s="84"/>
      <c r="AE49" s="17"/>
      <c r="AF49" s="17"/>
      <c r="AG49" s="17"/>
      <c r="AH49" s="18">
        <f t="shared" si="46"/>
        <v>0</v>
      </c>
      <c r="AI49" s="19">
        <f t="shared" si="51"/>
        <v>0</v>
      </c>
      <c r="AK49" s="17"/>
      <c r="AL49" s="17"/>
      <c r="AM49" s="17"/>
      <c r="AN49" s="18">
        <f t="shared" si="47"/>
        <v>0</v>
      </c>
      <c r="AO49" s="19">
        <f t="shared" si="52"/>
        <v>0</v>
      </c>
      <c r="AQ49" s="17"/>
      <c r="AR49" s="17"/>
      <c r="AS49" s="17"/>
      <c r="AT49" s="18">
        <f t="shared" si="48"/>
        <v>0</v>
      </c>
      <c r="AU49" s="19">
        <f t="shared" si="53"/>
        <v>0</v>
      </c>
      <c r="AW49" s="17"/>
      <c r="AX49" s="17"/>
      <c r="AY49" s="17"/>
      <c r="AZ49" s="18">
        <f t="shared" si="49"/>
        <v>0</v>
      </c>
      <c r="BA49" s="19">
        <f t="shared" si="54"/>
        <v>0</v>
      </c>
    </row>
    <row r="50" spans="1:53" ht="17.100000000000001" customHeight="1" x14ac:dyDescent="0.25">
      <c r="A50" s="68"/>
      <c r="B50" s="540"/>
      <c r="C50" s="93"/>
      <c r="D50" s="202" t="s">
        <v>376</v>
      </c>
      <c r="E50" s="85" t="s">
        <v>387</v>
      </c>
      <c r="F50" s="75"/>
      <c r="G50" s="75"/>
      <c r="H50" s="119"/>
      <c r="J50" s="581"/>
      <c r="K50" s="581"/>
      <c r="L50" s="582"/>
      <c r="M50" s="17">
        <f t="shared" si="42"/>
        <v>0</v>
      </c>
      <c r="N50" s="111"/>
      <c r="O50" s="111"/>
      <c r="P50" s="111"/>
      <c r="Q50" s="111"/>
      <c r="R50" s="111"/>
      <c r="S50" s="111"/>
      <c r="T50" s="111"/>
      <c r="U50" s="111"/>
      <c r="V50" s="358"/>
      <c r="W50" s="391">
        <f t="shared" si="43"/>
        <v>0</v>
      </c>
      <c r="X50" s="17">
        <f t="shared" si="44"/>
        <v>0</v>
      </c>
      <c r="Y50" s="18">
        <f t="shared" si="45"/>
        <v>0</v>
      </c>
      <c r="Z50" s="19">
        <f t="shared" si="50"/>
        <v>0</v>
      </c>
      <c r="AA50" s="19"/>
      <c r="AB50" s="19"/>
      <c r="AC50" s="84"/>
      <c r="AE50" s="17"/>
      <c r="AF50" s="17"/>
      <c r="AG50" s="17"/>
      <c r="AH50" s="18">
        <f t="shared" si="46"/>
        <v>0</v>
      </c>
      <c r="AI50" s="19">
        <f t="shared" si="51"/>
        <v>0</v>
      </c>
      <c r="AK50" s="17"/>
      <c r="AL50" s="17"/>
      <c r="AM50" s="17"/>
      <c r="AN50" s="18">
        <f t="shared" si="47"/>
        <v>0</v>
      </c>
      <c r="AO50" s="19">
        <f t="shared" si="52"/>
        <v>0</v>
      </c>
      <c r="AQ50" s="17"/>
      <c r="AR50" s="17"/>
      <c r="AS50" s="17"/>
      <c r="AT50" s="18">
        <f t="shared" si="48"/>
        <v>0</v>
      </c>
      <c r="AU50" s="19">
        <f t="shared" si="53"/>
        <v>0</v>
      </c>
      <c r="AW50" s="17"/>
      <c r="AX50" s="17"/>
      <c r="AY50" s="17"/>
      <c r="AZ50" s="18">
        <f t="shared" si="49"/>
        <v>0</v>
      </c>
      <c r="BA50" s="19">
        <f t="shared" si="54"/>
        <v>0</v>
      </c>
    </row>
    <row r="51" spans="1:53" ht="17.100000000000001" customHeight="1" x14ac:dyDescent="0.25">
      <c r="A51" s="68"/>
      <c r="B51" s="540"/>
      <c r="C51" s="93"/>
      <c r="D51" s="202" t="s">
        <v>377</v>
      </c>
      <c r="E51" s="85" t="s">
        <v>388</v>
      </c>
      <c r="F51" s="75"/>
      <c r="G51" s="75"/>
      <c r="H51" s="119"/>
      <c r="J51" s="583"/>
      <c r="K51" s="583"/>
      <c r="L51" s="584"/>
      <c r="M51" s="17">
        <f t="shared" si="42"/>
        <v>0</v>
      </c>
      <c r="N51" s="111"/>
      <c r="O51" s="111"/>
      <c r="P51" s="111"/>
      <c r="Q51" s="111"/>
      <c r="R51" s="111"/>
      <c r="S51" s="111"/>
      <c r="T51" s="111"/>
      <c r="U51" s="111"/>
      <c r="V51" s="358"/>
      <c r="W51" s="391">
        <f t="shared" si="43"/>
        <v>0</v>
      </c>
      <c r="X51" s="17">
        <f t="shared" si="44"/>
        <v>0</v>
      </c>
      <c r="Y51" s="18">
        <f t="shared" si="45"/>
        <v>0</v>
      </c>
      <c r="Z51" s="19">
        <f t="shared" si="50"/>
        <v>0</v>
      </c>
      <c r="AA51" s="19"/>
      <c r="AB51" s="19"/>
      <c r="AC51" s="84"/>
      <c r="AE51" s="17"/>
      <c r="AF51" s="17"/>
      <c r="AG51" s="17"/>
      <c r="AH51" s="18">
        <f t="shared" si="46"/>
        <v>0</v>
      </c>
      <c r="AI51" s="19">
        <f t="shared" si="51"/>
        <v>0</v>
      </c>
      <c r="AK51" s="17"/>
      <c r="AL51" s="17"/>
      <c r="AM51" s="17"/>
      <c r="AN51" s="18">
        <f t="shared" si="47"/>
        <v>0</v>
      </c>
      <c r="AO51" s="19">
        <f t="shared" si="52"/>
        <v>0</v>
      </c>
      <c r="AQ51" s="17"/>
      <c r="AR51" s="17"/>
      <c r="AS51" s="17"/>
      <c r="AT51" s="18">
        <f t="shared" si="48"/>
        <v>0</v>
      </c>
      <c r="AU51" s="19">
        <f t="shared" si="53"/>
        <v>0</v>
      </c>
      <c r="AW51" s="17"/>
      <c r="AX51" s="17"/>
      <c r="AY51" s="17"/>
      <c r="AZ51" s="18">
        <f t="shared" si="49"/>
        <v>0</v>
      </c>
      <c r="BA51" s="19">
        <f t="shared" si="54"/>
        <v>0</v>
      </c>
    </row>
    <row r="52" spans="1:53" ht="17.100000000000001" customHeight="1" x14ac:dyDescent="0.25">
      <c r="A52" s="68"/>
      <c r="B52" s="540"/>
      <c r="C52" s="93"/>
      <c r="D52" s="202" t="s">
        <v>378</v>
      </c>
      <c r="E52" s="85" t="s">
        <v>532</v>
      </c>
      <c r="F52" s="75"/>
      <c r="G52" s="75"/>
      <c r="H52" s="119"/>
      <c r="J52" s="581"/>
      <c r="K52" s="581"/>
      <c r="L52" s="582"/>
      <c r="M52" s="17">
        <f t="shared" si="42"/>
        <v>0</v>
      </c>
      <c r="N52" s="111"/>
      <c r="O52" s="111"/>
      <c r="P52" s="111"/>
      <c r="Q52" s="111"/>
      <c r="R52" s="111"/>
      <c r="S52" s="111"/>
      <c r="T52" s="111"/>
      <c r="U52" s="111"/>
      <c r="V52" s="358"/>
      <c r="W52" s="391">
        <f t="shared" si="43"/>
        <v>0</v>
      </c>
      <c r="X52" s="17">
        <f t="shared" si="44"/>
        <v>0</v>
      </c>
      <c r="Y52" s="18">
        <f t="shared" si="45"/>
        <v>0</v>
      </c>
      <c r="Z52" s="19">
        <f t="shared" si="50"/>
        <v>0</v>
      </c>
      <c r="AA52" s="19"/>
      <c r="AB52" s="19"/>
      <c r="AC52" s="84"/>
      <c r="AE52" s="17"/>
      <c r="AF52" s="17"/>
      <c r="AG52" s="17"/>
      <c r="AH52" s="18">
        <f t="shared" si="46"/>
        <v>0</v>
      </c>
      <c r="AI52" s="19">
        <f t="shared" si="51"/>
        <v>0</v>
      </c>
      <c r="AK52" s="17"/>
      <c r="AL52" s="17"/>
      <c r="AM52" s="17"/>
      <c r="AN52" s="18">
        <f t="shared" si="47"/>
        <v>0</v>
      </c>
      <c r="AO52" s="19">
        <f t="shared" si="52"/>
        <v>0</v>
      </c>
      <c r="AQ52" s="17"/>
      <c r="AR52" s="17"/>
      <c r="AS52" s="17"/>
      <c r="AT52" s="18">
        <f t="shared" si="48"/>
        <v>0</v>
      </c>
      <c r="AU52" s="19">
        <f t="shared" si="53"/>
        <v>0</v>
      </c>
      <c r="AW52" s="17"/>
      <c r="AX52" s="17"/>
      <c r="AY52" s="17"/>
      <c r="AZ52" s="18">
        <f t="shared" si="49"/>
        <v>0</v>
      </c>
      <c r="BA52" s="19">
        <f t="shared" si="54"/>
        <v>0</v>
      </c>
    </row>
    <row r="53" spans="1:53" ht="17.100000000000001" customHeight="1" x14ac:dyDescent="0.25">
      <c r="A53" s="68"/>
      <c r="B53" s="540"/>
      <c r="C53" s="93"/>
      <c r="D53" s="202" t="s">
        <v>379</v>
      </c>
      <c r="E53" s="85" t="s">
        <v>389</v>
      </c>
      <c r="F53" s="75"/>
      <c r="G53" s="105"/>
      <c r="H53" s="119"/>
      <c r="J53" s="583"/>
      <c r="K53" s="583"/>
      <c r="L53" s="584"/>
      <c r="M53" s="17">
        <f t="shared" si="42"/>
        <v>0</v>
      </c>
      <c r="N53" s="111"/>
      <c r="O53" s="111"/>
      <c r="P53" s="111"/>
      <c r="Q53" s="111"/>
      <c r="R53" s="111"/>
      <c r="S53" s="111"/>
      <c r="T53" s="111"/>
      <c r="U53" s="111"/>
      <c r="V53" s="358"/>
      <c r="W53" s="391">
        <f t="shared" si="43"/>
        <v>0</v>
      </c>
      <c r="X53" s="17">
        <f t="shared" si="44"/>
        <v>0</v>
      </c>
      <c r="Y53" s="18">
        <f t="shared" si="45"/>
        <v>0</v>
      </c>
      <c r="Z53" s="19">
        <f t="shared" si="50"/>
        <v>0</v>
      </c>
      <c r="AA53" s="19"/>
      <c r="AB53" s="19"/>
      <c r="AC53" s="84"/>
      <c r="AE53" s="17"/>
      <c r="AF53" s="17"/>
      <c r="AG53" s="17"/>
      <c r="AH53" s="18">
        <f t="shared" si="46"/>
        <v>0</v>
      </c>
      <c r="AI53" s="19">
        <f t="shared" si="51"/>
        <v>0</v>
      </c>
      <c r="AK53" s="17"/>
      <c r="AL53" s="17"/>
      <c r="AM53" s="17"/>
      <c r="AN53" s="18">
        <f t="shared" si="47"/>
        <v>0</v>
      </c>
      <c r="AO53" s="19">
        <f t="shared" si="52"/>
        <v>0</v>
      </c>
      <c r="AQ53" s="17"/>
      <c r="AR53" s="17"/>
      <c r="AS53" s="17"/>
      <c r="AT53" s="18">
        <f t="shared" si="48"/>
        <v>0</v>
      </c>
      <c r="AU53" s="19">
        <f t="shared" si="53"/>
        <v>0</v>
      </c>
      <c r="AW53" s="17"/>
      <c r="AX53" s="17"/>
      <c r="AY53" s="17"/>
      <c r="AZ53" s="18">
        <f t="shared" si="49"/>
        <v>0</v>
      </c>
      <c r="BA53" s="19">
        <f t="shared" si="54"/>
        <v>0</v>
      </c>
    </row>
    <row r="54" spans="1:53" ht="17.100000000000001" customHeight="1" x14ac:dyDescent="0.25">
      <c r="A54" s="68"/>
      <c r="B54" s="540"/>
      <c r="C54" s="93"/>
      <c r="D54" s="202" t="s">
        <v>380</v>
      </c>
      <c r="E54" s="85" t="s">
        <v>390</v>
      </c>
      <c r="F54" s="75"/>
      <c r="G54" s="105"/>
      <c r="H54" s="119"/>
      <c r="J54" s="581"/>
      <c r="K54" s="581"/>
      <c r="L54" s="582"/>
      <c r="M54" s="17">
        <f t="shared" si="42"/>
        <v>0</v>
      </c>
      <c r="N54" s="111"/>
      <c r="O54" s="111"/>
      <c r="P54" s="111"/>
      <c r="Q54" s="111"/>
      <c r="R54" s="111"/>
      <c r="S54" s="111"/>
      <c r="T54" s="111"/>
      <c r="U54" s="111"/>
      <c r="V54" s="358"/>
      <c r="W54" s="391">
        <f t="shared" si="43"/>
        <v>0</v>
      </c>
      <c r="X54" s="17">
        <f t="shared" si="44"/>
        <v>0</v>
      </c>
      <c r="Y54" s="18">
        <f t="shared" si="45"/>
        <v>0</v>
      </c>
      <c r="Z54" s="19">
        <f t="shared" si="50"/>
        <v>0</v>
      </c>
      <c r="AA54" s="19"/>
      <c r="AB54" s="19"/>
      <c r="AC54" s="84"/>
      <c r="AE54" s="17"/>
      <c r="AF54" s="17"/>
      <c r="AG54" s="17"/>
      <c r="AH54" s="18">
        <f t="shared" si="46"/>
        <v>0</v>
      </c>
      <c r="AI54" s="19">
        <f t="shared" si="51"/>
        <v>0</v>
      </c>
      <c r="AK54" s="17"/>
      <c r="AL54" s="17"/>
      <c r="AM54" s="17"/>
      <c r="AN54" s="18">
        <f t="shared" si="47"/>
        <v>0</v>
      </c>
      <c r="AO54" s="19">
        <f t="shared" si="52"/>
        <v>0</v>
      </c>
      <c r="AQ54" s="17"/>
      <c r="AR54" s="17"/>
      <c r="AS54" s="17"/>
      <c r="AT54" s="18">
        <f t="shared" si="48"/>
        <v>0</v>
      </c>
      <c r="AU54" s="19">
        <f t="shared" si="53"/>
        <v>0</v>
      </c>
      <c r="AW54" s="17"/>
      <c r="AX54" s="17"/>
      <c r="AY54" s="17"/>
      <c r="AZ54" s="18">
        <f t="shared" si="49"/>
        <v>0</v>
      </c>
      <c r="BA54" s="19">
        <f t="shared" si="54"/>
        <v>0</v>
      </c>
    </row>
    <row r="55" spans="1:53" ht="17.100000000000001" customHeight="1" x14ac:dyDescent="0.25">
      <c r="A55" s="68"/>
      <c r="B55" s="540"/>
      <c r="C55" s="93"/>
      <c r="D55" s="202" t="s">
        <v>381</v>
      </c>
      <c r="E55" s="85" t="s">
        <v>536</v>
      </c>
      <c r="F55" s="75"/>
      <c r="G55" s="105"/>
      <c r="H55" s="119"/>
      <c r="J55" s="583"/>
      <c r="K55" s="583"/>
      <c r="L55" s="584"/>
      <c r="M55" s="17">
        <f t="shared" si="42"/>
        <v>0</v>
      </c>
      <c r="N55" s="111"/>
      <c r="O55" s="111"/>
      <c r="P55" s="111"/>
      <c r="Q55" s="111"/>
      <c r="R55" s="111"/>
      <c r="S55" s="111"/>
      <c r="T55" s="111"/>
      <c r="U55" s="111"/>
      <c r="V55" s="358"/>
      <c r="W55" s="391">
        <f t="shared" si="43"/>
        <v>0</v>
      </c>
      <c r="X55" s="17">
        <f t="shared" si="44"/>
        <v>0</v>
      </c>
      <c r="Y55" s="18">
        <f t="shared" si="45"/>
        <v>0</v>
      </c>
      <c r="Z55" s="19">
        <f t="shared" si="50"/>
        <v>0</v>
      </c>
      <c r="AA55" s="19"/>
      <c r="AB55" s="19"/>
      <c r="AC55" s="84"/>
      <c r="AE55" s="17"/>
      <c r="AF55" s="17"/>
      <c r="AG55" s="17"/>
      <c r="AH55" s="18">
        <f t="shared" si="46"/>
        <v>0</v>
      </c>
      <c r="AI55" s="19">
        <f t="shared" si="51"/>
        <v>0</v>
      </c>
      <c r="AK55" s="17"/>
      <c r="AL55" s="17"/>
      <c r="AM55" s="17"/>
      <c r="AN55" s="18">
        <f t="shared" si="47"/>
        <v>0</v>
      </c>
      <c r="AO55" s="19">
        <f t="shared" si="52"/>
        <v>0</v>
      </c>
      <c r="AQ55" s="17"/>
      <c r="AR55" s="17"/>
      <c r="AS55" s="17"/>
      <c r="AT55" s="18">
        <f t="shared" si="48"/>
        <v>0</v>
      </c>
      <c r="AU55" s="19">
        <f t="shared" si="53"/>
        <v>0</v>
      </c>
      <c r="AW55" s="17"/>
      <c r="AX55" s="17"/>
      <c r="AY55" s="17"/>
      <c r="AZ55" s="18">
        <f t="shared" si="49"/>
        <v>0</v>
      </c>
      <c r="BA55" s="19">
        <f t="shared" si="54"/>
        <v>0</v>
      </c>
    </row>
    <row r="56" spans="1:53" ht="17.100000000000001" customHeight="1" x14ac:dyDescent="0.25">
      <c r="A56" s="68"/>
      <c r="B56" s="540"/>
      <c r="C56" s="93"/>
      <c r="D56" s="202" t="s">
        <v>382</v>
      </c>
      <c r="E56" s="85" t="s">
        <v>391</v>
      </c>
      <c r="F56" s="75"/>
      <c r="G56" s="105"/>
      <c r="H56" s="119"/>
      <c r="J56" s="581"/>
      <c r="K56" s="581"/>
      <c r="L56" s="582"/>
      <c r="M56" s="17">
        <f t="shared" si="42"/>
        <v>0</v>
      </c>
      <c r="N56" s="111"/>
      <c r="O56" s="111"/>
      <c r="P56" s="111"/>
      <c r="Q56" s="111"/>
      <c r="R56" s="111"/>
      <c r="S56" s="111"/>
      <c r="T56" s="111"/>
      <c r="U56" s="111"/>
      <c r="V56" s="358"/>
      <c r="W56" s="391">
        <f t="shared" si="43"/>
        <v>0</v>
      </c>
      <c r="X56" s="17">
        <f t="shared" si="44"/>
        <v>0</v>
      </c>
      <c r="Y56" s="18">
        <f t="shared" si="45"/>
        <v>0</v>
      </c>
      <c r="Z56" s="19">
        <f t="shared" si="50"/>
        <v>0</v>
      </c>
      <c r="AA56" s="19"/>
      <c r="AB56" s="19"/>
      <c r="AC56" s="84"/>
      <c r="AE56" s="17"/>
      <c r="AF56" s="17"/>
      <c r="AG56" s="17"/>
      <c r="AH56" s="18">
        <f t="shared" si="46"/>
        <v>0</v>
      </c>
      <c r="AI56" s="19">
        <f t="shared" si="51"/>
        <v>0</v>
      </c>
      <c r="AK56" s="17"/>
      <c r="AL56" s="17"/>
      <c r="AM56" s="17"/>
      <c r="AN56" s="18">
        <f t="shared" si="47"/>
        <v>0</v>
      </c>
      <c r="AO56" s="19">
        <f t="shared" si="52"/>
        <v>0</v>
      </c>
      <c r="AQ56" s="17"/>
      <c r="AR56" s="17"/>
      <c r="AS56" s="17"/>
      <c r="AT56" s="18">
        <f t="shared" si="48"/>
        <v>0</v>
      </c>
      <c r="AU56" s="19">
        <f t="shared" si="53"/>
        <v>0</v>
      </c>
      <c r="AW56" s="17"/>
      <c r="AX56" s="17"/>
      <c r="AY56" s="17"/>
      <c r="AZ56" s="18">
        <f t="shared" si="49"/>
        <v>0</v>
      </c>
      <c r="BA56" s="19">
        <f t="shared" si="54"/>
        <v>0</v>
      </c>
    </row>
    <row r="57" spans="1:53" ht="17.100000000000001" customHeight="1" x14ac:dyDescent="0.25">
      <c r="A57" s="68"/>
      <c r="B57" s="540"/>
      <c r="C57" s="93"/>
      <c r="D57" s="202" t="s">
        <v>383</v>
      </c>
      <c r="E57" s="85" t="s">
        <v>392</v>
      </c>
      <c r="F57" s="75"/>
      <c r="G57" s="105"/>
      <c r="H57" s="119"/>
      <c r="J57" s="583"/>
      <c r="K57" s="583"/>
      <c r="L57" s="584"/>
      <c r="M57" s="17">
        <f t="shared" si="42"/>
        <v>0</v>
      </c>
      <c r="N57" s="111"/>
      <c r="O57" s="111"/>
      <c r="P57" s="111"/>
      <c r="Q57" s="111"/>
      <c r="R57" s="111"/>
      <c r="S57" s="111"/>
      <c r="T57" s="111"/>
      <c r="U57" s="111"/>
      <c r="V57" s="358"/>
      <c r="W57" s="391">
        <f t="shared" si="43"/>
        <v>0</v>
      </c>
      <c r="X57" s="17">
        <f t="shared" si="44"/>
        <v>0</v>
      </c>
      <c r="Y57" s="18">
        <f t="shared" si="45"/>
        <v>0</v>
      </c>
      <c r="Z57" s="19">
        <f t="shared" si="50"/>
        <v>0</v>
      </c>
      <c r="AA57" s="19"/>
      <c r="AB57" s="19"/>
      <c r="AC57" s="84"/>
      <c r="AE57" s="17"/>
      <c r="AF57" s="17"/>
      <c r="AG57" s="17"/>
      <c r="AH57" s="18">
        <f t="shared" si="46"/>
        <v>0</v>
      </c>
      <c r="AI57" s="19">
        <f t="shared" si="51"/>
        <v>0</v>
      </c>
      <c r="AK57" s="17"/>
      <c r="AL57" s="17"/>
      <c r="AM57" s="17"/>
      <c r="AN57" s="18">
        <f t="shared" si="47"/>
        <v>0</v>
      </c>
      <c r="AO57" s="19">
        <f t="shared" si="52"/>
        <v>0</v>
      </c>
      <c r="AQ57" s="17"/>
      <c r="AR57" s="17"/>
      <c r="AS57" s="17"/>
      <c r="AT57" s="18">
        <f t="shared" si="48"/>
        <v>0</v>
      </c>
      <c r="AU57" s="19">
        <f t="shared" si="53"/>
        <v>0</v>
      </c>
      <c r="AW57" s="17"/>
      <c r="AX57" s="17"/>
      <c r="AY57" s="17"/>
      <c r="AZ57" s="18">
        <f t="shared" si="49"/>
        <v>0</v>
      </c>
      <c r="BA57" s="19">
        <f t="shared" si="54"/>
        <v>0</v>
      </c>
    </row>
    <row r="58" spans="1:53" ht="17.100000000000001" customHeight="1" x14ac:dyDescent="0.25">
      <c r="A58" s="40"/>
      <c r="B58" s="40"/>
      <c r="C58" s="77"/>
      <c r="D58" s="78"/>
      <c r="E58" s="78"/>
      <c r="F58" s="78"/>
      <c r="G58" s="78"/>
      <c r="H58" s="242"/>
      <c r="I58" s="230"/>
      <c r="J58" s="80">
        <f>SUM(J44:J57)</f>
        <v>0</v>
      </c>
      <c r="K58" s="80">
        <f t="shared" ref="K58:M58" si="55">SUM(K44:K57)</f>
        <v>0</v>
      </c>
      <c r="L58" s="80">
        <f t="shared" si="55"/>
        <v>0</v>
      </c>
      <c r="M58" s="80">
        <f t="shared" si="55"/>
        <v>0</v>
      </c>
      <c r="N58" s="80"/>
      <c r="O58" s="80"/>
      <c r="P58" s="80"/>
      <c r="Q58" s="81"/>
      <c r="R58" s="81"/>
      <c r="S58" s="81"/>
      <c r="T58" s="81"/>
      <c r="U58" s="81"/>
      <c r="V58" s="356"/>
      <c r="W58" s="381">
        <f>SUM(W44:W57)</f>
        <v>0</v>
      </c>
      <c r="X58" s="82">
        <f t="shared" ref="X58:Y58" si="56">SUM(X44:X57)</f>
        <v>0</v>
      </c>
      <c r="Y58" s="82">
        <f t="shared" si="56"/>
        <v>0</v>
      </c>
      <c r="Z58" s="205">
        <f t="shared" si="50"/>
        <v>0</v>
      </c>
      <c r="AA58" s="205"/>
      <c r="AB58" s="205"/>
      <c r="AC58" s="83"/>
      <c r="AE58" s="81"/>
      <c r="AF58" s="81"/>
      <c r="AG58" s="81"/>
      <c r="AH58" s="82">
        <f>SUM(AH44:AH57)</f>
        <v>0</v>
      </c>
      <c r="AI58" s="66">
        <f t="shared" si="51"/>
        <v>0</v>
      </c>
      <c r="AK58" s="81"/>
      <c r="AL58" s="81"/>
      <c r="AM58" s="81"/>
      <c r="AN58" s="82">
        <f>SUM(AN44:AN57)</f>
        <v>0</v>
      </c>
      <c r="AO58" s="66">
        <f t="shared" si="52"/>
        <v>0</v>
      </c>
      <c r="AQ58" s="81"/>
      <c r="AR58" s="81"/>
      <c r="AS58" s="81"/>
      <c r="AT58" s="82">
        <f>SUM(AT44:AT57)</f>
        <v>0</v>
      </c>
      <c r="AU58" s="66">
        <f t="shared" si="53"/>
        <v>0</v>
      </c>
      <c r="AW58" s="81"/>
      <c r="AX58" s="81"/>
      <c r="AY58" s="81"/>
      <c r="AZ58" s="82">
        <f>SUM(AZ44:AZ57)</f>
        <v>0</v>
      </c>
      <c r="BA58" s="66">
        <f t="shared" si="54"/>
        <v>0</v>
      </c>
    </row>
    <row r="59" spans="1:53" s="117" customFormat="1" ht="17.100000000000001" customHeight="1" x14ac:dyDescent="0.25">
      <c r="A59" s="119"/>
      <c r="B59" s="119"/>
      <c r="C59" s="540"/>
      <c r="D59" s="212"/>
      <c r="E59" s="212"/>
      <c r="F59" s="212"/>
      <c r="G59" s="212"/>
      <c r="H59" s="242"/>
      <c r="I59" s="230"/>
      <c r="J59" s="17" t="str">
        <f>IF(J58=J$15,"OK","NOK")</f>
        <v>OK</v>
      </c>
      <c r="K59" s="17" t="str">
        <f t="shared" ref="K59:L59" si="57">IF(K58=K$15,"OK","NOK")</f>
        <v>OK</v>
      </c>
      <c r="L59" s="17" t="str">
        <f t="shared" si="57"/>
        <v>OK</v>
      </c>
      <c r="M59" s="17"/>
      <c r="N59" s="17"/>
      <c r="O59" s="17"/>
      <c r="P59" s="17"/>
      <c r="Q59" s="17"/>
      <c r="R59" s="17"/>
      <c r="S59" s="17"/>
      <c r="T59" s="17"/>
      <c r="U59" s="17"/>
      <c r="V59" s="359"/>
      <c r="W59" s="382"/>
      <c r="X59" s="539"/>
      <c r="Y59" s="539"/>
      <c r="Z59" s="201"/>
      <c r="AA59" s="201"/>
      <c r="AB59" s="201"/>
      <c r="AC59" s="84"/>
      <c r="AE59" s="17"/>
      <c r="AF59" s="17"/>
      <c r="AG59" s="17"/>
      <c r="AH59" s="539"/>
      <c r="AI59" s="91"/>
      <c r="AK59" s="17"/>
      <c r="AL59" s="17"/>
      <c r="AM59" s="17"/>
      <c r="AN59" s="539"/>
      <c r="AO59" s="91"/>
      <c r="AQ59" s="17"/>
      <c r="AR59" s="17"/>
      <c r="AS59" s="17"/>
      <c r="AT59" s="539"/>
      <c r="AU59" s="91"/>
      <c r="AW59" s="17"/>
      <c r="AX59" s="17"/>
      <c r="AY59" s="17"/>
      <c r="AZ59" s="539"/>
      <c r="BA59" s="91"/>
    </row>
    <row r="60" spans="1:53" ht="17.100000000000001" customHeight="1" x14ac:dyDescent="0.25">
      <c r="A60" s="102"/>
      <c r="B60" s="102"/>
      <c r="C60" s="103" t="s">
        <v>33</v>
      </c>
      <c r="D60" s="110" t="s">
        <v>736</v>
      </c>
      <c r="E60" s="108"/>
      <c r="F60" s="108"/>
      <c r="G60" s="108"/>
      <c r="H60" s="258"/>
      <c r="I60" s="232"/>
      <c r="J60" s="111"/>
      <c r="K60" s="111"/>
      <c r="L60" s="111"/>
      <c r="M60" s="111"/>
      <c r="N60" s="111"/>
      <c r="O60" s="111"/>
      <c r="P60" s="111"/>
      <c r="Q60" s="111"/>
      <c r="R60" s="111"/>
      <c r="S60" s="111"/>
      <c r="T60" s="111"/>
      <c r="U60" s="111"/>
      <c r="V60" s="358"/>
      <c r="W60" s="380"/>
      <c r="X60" s="111"/>
      <c r="Y60" s="112"/>
      <c r="Z60" s="113"/>
      <c r="AA60" s="113"/>
      <c r="AB60" s="113"/>
      <c r="AC60" s="113"/>
      <c r="AE60" s="114"/>
      <c r="AF60" s="114"/>
      <c r="AG60" s="114"/>
      <c r="AH60" s="112"/>
      <c r="AI60" s="113"/>
      <c r="AK60" s="114"/>
      <c r="AL60" s="114"/>
      <c r="AM60" s="114"/>
      <c r="AN60" s="112"/>
      <c r="AO60" s="113"/>
      <c r="AQ60" s="114"/>
      <c r="AR60" s="114"/>
      <c r="AS60" s="114"/>
      <c r="AT60" s="112"/>
      <c r="AU60" s="113"/>
      <c r="AW60" s="114"/>
      <c r="AX60" s="114"/>
      <c r="AY60" s="114"/>
      <c r="AZ60" s="112"/>
      <c r="BA60" s="113"/>
    </row>
    <row r="61" spans="1:53" s="117" customFormat="1" ht="17.100000000000001" customHeight="1" x14ac:dyDescent="0.25">
      <c r="A61" s="540"/>
      <c r="B61" s="23"/>
      <c r="C61" s="23"/>
      <c r="D61" s="74" t="s">
        <v>34</v>
      </c>
      <c r="E61" s="75" t="s">
        <v>26</v>
      </c>
      <c r="F61" s="75"/>
      <c r="G61" s="75"/>
      <c r="H61" s="540"/>
      <c r="I61" s="229"/>
      <c r="J61" s="152"/>
      <c r="K61" s="152"/>
      <c r="L61" s="111"/>
      <c r="M61" s="111"/>
      <c r="N61" s="60"/>
      <c r="O61" s="60"/>
      <c r="P61" s="17">
        <f>SUM(N61:O61)</f>
        <v>0</v>
      </c>
      <c r="Q61" s="60"/>
      <c r="R61" s="60"/>
      <c r="S61" s="17">
        <f>SUM(Q61:R61)</f>
        <v>0</v>
      </c>
      <c r="T61" s="60"/>
      <c r="U61" s="60"/>
      <c r="V61" s="359">
        <f>SUM(T61:U61)</f>
        <v>0</v>
      </c>
      <c r="W61" s="391">
        <f t="shared" ref="W61:W64" si="58">J61+K61+N61+Q61+T61</f>
        <v>0</v>
      </c>
      <c r="X61" s="17">
        <f t="shared" ref="X61:X64" si="59">L61+O61+R61+U61</f>
        <v>0</v>
      </c>
      <c r="Y61" s="18">
        <f>SUM(W61:X61)</f>
        <v>0</v>
      </c>
      <c r="Z61" s="19">
        <f>IF(Y$65=0,0,Y61/Y$65)</f>
        <v>0</v>
      </c>
      <c r="AA61" s="19"/>
      <c r="AB61" s="19"/>
      <c r="AC61" s="84"/>
      <c r="AE61" s="111"/>
      <c r="AF61" s="111"/>
      <c r="AG61" s="111"/>
      <c r="AH61" s="112"/>
      <c r="AI61" s="113"/>
      <c r="AK61" s="111"/>
      <c r="AL61" s="111"/>
      <c r="AM61" s="111"/>
      <c r="AN61" s="112"/>
      <c r="AO61" s="113"/>
      <c r="AQ61" s="17"/>
      <c r="AR61" s="17"/>
      <c r="AS61" s="17"/>
      <c r="AT61" s="18">
        <f>W61</f>
        <v>0</v>
      </c>
      <c r="AU61" s="19">
        <f>IF(AT$65=0,0,AT61/AT$65)</f>
        <v>0</v>
      </c>
      <c r="AW61" s="17"/>
      <c r="AX61" s="17"/>
      <c r="AY61" s="17"/>
      <c r="AZ61" s="18">
        <f>X61</f>
        <v>0</v>
      </c>
      <c r="BA61" s="19">
        <f>IF(AZ$65=0,0,AZ61/AZ$65)</f>
        <v>0</v>
      </c>
    </row>
    <row r="62" spans="1:53" s="117" customFormat="1" ht="17.100000000000001" customHeight="1" x14ac:dyDescent="0.25">
      <c r="A62" s="540"/>
      <c r="B62" s="23"/>
      <c r="C62" s="23"/>
      <c r="D62" s="74" t="s">
        <v>36</v>
      </c>
      <c r="E62" s="75" t="s">
        <v>28</v>
      </c>
      <c r="F62" s="75"/>
      <c r="G62" s="75"/>
      <c r="H62" s="540"/>
      <c r="I62" s="229"/>
      <c r="J62" s="152"/>
      <c r="K62" s="152"/>
      <c r="L62" s="111"/>
      <c r="M62" s="111"/>
      <c r="N62" s="61"/>
      <c r="O62" s="61"/>
      <c r="P62" s="17">
        <f>SUM(N62:O62)</f>
        <v>0</v>
      </c>
      <c r="Q62" s="61"/>
      <c r="R62" s="61"/>
      <c r="S62" s="17">
        <f>SUM(Q62:R62)</f>
        <v>0</v>
      </c>
      <c r="T62" s="61"/>
      <c r="U62" s="61"/>
      <c r="V62" s="359">
        <f>SUM(T62:U62)</f>
        <v>0</v>
      </c>
      <c r="W62" s="391">
        <f t="shared" si="58"/>
        <v>0</v>
      </c>
      <c r="X62" s="17">
        <f t="shared" si="59"/>
        <v>0</v>
      </c>
      <c r="Y62" s="18">
        <f>SUM(W62:X62)</f>
        <v>0</v>
      </c>
      <c r="Z62" s="19">
        <f t="shared" ref="Z62:Z65" si="60">IF(Y$65=0,0,Y62/Y$65)</f>
        <v>0</v>
      </c>
      <c r="AA62" s="19"/>
      <c r="AB62" s="19"/>
      <c r="AC62" s="84"/>
      <c r="AE62" s="111"/>
      <c r="AF62" s="111"/>
      <c r="AG62" s="111"/>
      <c r="AH62" s="112"/>
      <c r="AI62" s="113"/>
      <c r="AK62" s="111"/>
      <c r="AL62" s="111"/>
      <c r="AM62" s="111"/>
      <c r="AN62" s="112"/>
      <c r="AO62" s="113"/>
      <c r="AQ62" s="17"/>
      <c r="AR62" s="17"/>
      <c r="AS62" s="17"/>
      <c r="AT62" s="18">
        <f t="shared" ref="AT62:AT64" si="61">W62</f>
        <v>0</v>
      </c>
      <c r="AU62" s="19">
        <f t="shared" ref="AU62:AU65" si="62">IF(AT$65=0,0,AT62/AT$65)</f>
        <v>0</v>
      </c>
      <c r="AW62" s="17"/>
      <c r="AX62" s="17"/>
      <c r="AY62" s="17"/>
      <c r="AZ62" s="18">
        <f t="shared" ref="AZ62:AZ64" si="63">X62</f>
        <v>0</v>
      </c>
      <c r="BA62" s="19">
        <f t="shared" ref="BA62:BA65" si="64">IF(AZ$65=0,0,AZ62/AZ$65)</f>
        <v>0</v>
      </c>
    </row>
    <row r="63" spans="1:53" s="117" customFormat="1" ht="17.100000000000001" customHeight="1" x14ac:dyDescent="0.25">
      <c r="A63" s="540"/>
      <c r="B63" s="23"/>
      <c r="C63" s="23"/>
      <c r="D63" s="74" t="s">
        <v>38</v>
      </c>
      <c r="E63" s="75" t="s">
        <v>30</v>
      </c>
      <c r="F63" s="75"/>
      <c r="G63" s="75"/>
      <c r="H63" s="540"/>
      <c r="I63" s="229"/>
      <c r="J63" s="152"/>
      <c r="K63" s="152"/>
      <c r="L63" s="111"/>
      <c r="M63" s="111"/>
      <c r="N63" s="60"/>
      <c r="O63" s="60"/>
      <c r="P63" s="17">
        <f>SUM(N63:O63)</f>
        <v>0</v>
      </c>
      <c r="Q63" s="60"/>
      <c r="R63" s="60"/>
      <c r="S63" s="17">
        <f>SUM(Q63:R63)</f>
        <v>0</v>
      </c>
      <c r="T63" s="60"/>
      <c r="U63" s="60"/>
      <c r="V63" s="359">
        <f>SUM(T63:U63)</f>
        <v>0</v>
      </c>
      <c r="W63" s="391">
        <f t="shared" si="58"/>
        <v>0</v>
      </c>
      <c r="X63" s="17">
        <f t="shared" si="59"/>
        <v>0</v>
      </c>
      <c r="Y63" s="18">
        <f>SUM(W63:X63)</f>
        <v>0</v>
      </c>
      <c r="Z63" s="19">
        <f t="shared" si="60"/>
        <v>0</v>
      </c>
      <c r="AA63" s="19"/>
      <c r="AB63" s="19"/>
      <c r="AC63" s="84"/>
      <c r="AE63" s="111"/>
      <c r="AF63" s="111"/>
      <c r="AG63" s="111"/>
      <c r="AH63" s="112"/>
      <c r="AI63" s="113"/>
      <c r="AK63" s="111"/>
      <c r="AL63" s="111"/>
      <c r="AM63" s="111"/>
      <c r="AN63" s="112"/>
      <c r="AO63" s="113"/>
      <c r="AQ63" s="17"/>
      <c r="AR63" s="17"/>
      <c r="AS63" s="17"/>
      <c r="AT63" s="18">
        <f t="shared" si="61"/>
        <v>0</v>
      </c>
      <c r="AU63" s="19">
        <f t="shared" si="62"/>
        <v>0</v>
      </c>
      <c r="AW63" s="17"/>
      <c r="AX63" s="17"/>
      <c r="AY63" s="17"/>
      <c r="AZ63" s="18">
        <f t="shared" si="63"/>
        <v>0</v>
      </c>
      <c r="BA63" s="19">
        <f t="shared" si="64"/>
        <v>0</v>
      </c>
    </row>
    <row r="64" spans="1:53" s="117" customFormat="1" ht="17.100000000000001" customHeight="1" x14ac:dyDescent="0.25">
      <c r="A64" s="540"/>
      <c r="B64" s="23"/>
      <c r="C64" s="23"/>
      <c r="D64" s="74" t="s">
        <v>40</v>
      </c>
      <c r="E64" s="75" t="s">
        <v>32</v>
      </c>
      <c r="F64" s="75"/>
      <c r="G64" s="75"/>
      <c r="H64" s="540"/>
      <c r="I64" s="229"/>
      <c r="J64" s="152"/>
      <c r="K64" s="152"/>
      <c r="L64" s="111"/>
      <c r="M64" s="111"/>
      <c r="N64" s="61"/>
      <c r="O64" s="61"/>
      <c r="P64" s="17">
        <f>SUM(N64:O64)</f>
        <v>0</v>
      </c>
      <c r="Q64" s="61"/>
      <c r="R64" s="61"/>
      <c r="S64" s="17">
        <f>SUM(Q64:R64)</f>
        <v>0</v>
      </c>
      <c r="T64" s="61"/>
      <c r="U64" s="61"/>
      <c r="V64" s="359">
        <f>SUM(T64:U64)</f>
        <v>0</v>
      </c>
      <c r="W64" s="391">
        <f t="shared" si="58"/>
        <v>0</v>
      </c>
      <c r="X64" s="17">
        <f t="shared" si="59"/>
        <v>0</v>
      </c>
      <c r="Y64" s="18">
        <f>SUM(W64:X64)</f>
        <v>0</v>
      </c>
      <c r="Z64" s="19">
        <f t="shared" si="60"/>
        <v>0</v>
      </c>
      <c r="AA64" s="19"/>
      <c r="AB64" s="19"/>
      <c r="AC64" s="84"/>
      <c r="AE64" s="111"/>
      <c r="AF64" s="111"/>
      <c r="AG64" s="111"/>
      <c r="AH64" s="112"/>
      <c r="AI64" s="113"/>
      <c r="AK64" s="111"/>
      <c r="AL64" s="111"/>
      <c r="AM64" s="111"/>
      <c r="AN64" s="112"/>
      <c r="AO64" s="113"/>
      <c r="AQ64" s="17"/>
      <c r="AR64" s="17"/>
      <c r="AS64" s="17"/>
      <c r="AT64" s="18">
        <f t="shared" si="61"/>
        <v>0</v>
      </c>
      <c r="AU64" s="19">
        <f t="shared" si="62"/>
        <v>0</v>
      </c>
      <c r="AW64" s="17"/>
      <c r="AX64" s="17"/>
      <c r="AY64" s="17"/>
      <c r="AZ64" s="18">
        <f t="shared" si="63"/>
        <v>0</v>
      </c>
      <c r="BA64" s="19">
        <f t="shared" si="64"/>
        <v>0</v>
      </c>
    </row>
    <row r="65" spans="1:53" ht="17.100000000000001" customHeight="1" x14ac:dyDescent="0.25">
      <c r="A65" s="40"/>
      <c r="B65" s="40"/>
      <c r="C65" s="77"/>
      <c r="D65" s="78"/>
      <c r="E65" s="78"/>
      <c r="F65" s="78"/>
      <c r="G65" s="78"/>
      <c r="H65" s="242"/>
      <c r="I65" s="230"/>
      <c r="J65" s="80"/>
      <c r="K65" s="80"/>
      <c r="L65" s="81"/>
      <c r="M65" s="81"/>
      <c r="N65" s="81">
        <f t="shared" ref="N65:Y65" si="65">SUM(N61:N64)</f>
        <v>0</v>
      </c>
      <c r="O65" s="81">
        <f t="shared" si="65"/>
        <v>0</v>
      </c>
      <c r="P65" s="81">
        <f t="shared" si="65"/>
        <v>0</v>
      </c>
      <c r="Q65" s="81">
        <f t="shared" si="65"/>
        <v>0</v>
      </c>
      <c r="R65" s="81">
        <f t="shared" si="65"/>
        <v>0</v>
      </c>
      <c r="S65" s="81">
        <f t="shared" si="65"/>
        <v>0</v>
      </c>
      <c r="T65" s="81">
        <f t="shared" si="65"/>
        <v>0</v>
      </c>
      <c r="U65" s="81">
        <f t="shared" si="65"/>
        <v>0</v>
      </c>
      <c r="V65" s="81">
        <f t="shared" si="65"/>
        <v>0</v>
      </c>
      <c r="W65" s="381">
        <f t="shared" si="65"/>
        <v>0</v>
      </c>
      <c r="X65" s="82">
        <f t="shared" si="65"/>
        <v>0</v>
      </c>
      <c r="Y65" s="82">
        <f t="shared" si="65"/>
        <v>0</v>
      </c>
      <c r="Z65" s="205">
        <f t="shared" si="60"/>
        <v>0</v>
      </c>
      <c r="AA65" s="205"/>
      <c r="AB65" s="205"/>
      <c r="AC65" s="83"/>
      <c r="AE65" s="81"/>
      <c r="AF65" s="81"/>
      <c r="AG65" s="81"/>
      <c r="AH65" s="82"/>
      <c r="AI65" s="66"/>
      <c r="AK65" s="81"/>
      <c r="AL65" s="81"/>
      <c r="AM65" s="81"/>
      <c r="AN65" s="82"/>
      <c r="AO65" s="66"/>
      <c r="AQ65" s="81"/>
      <c r="AR65" s="81"/>
      <c r="AS65" s="81"/>
      <c r="AT65" s="82">
        <f>SUM(AT61:AT64)</f>
        <v>0</v>
      </c>
      <c r="AU65" s="66">
        <f t="shared" si="62"/>
        <v>0</v>
      </c>
      <c r="AW65" s="81"/>
      <c r="AX65" s="81"/>
      <c r="AY65" s="81"/>
      <c r="AZ65" s="82">
        <f>SUM(AZ61:AZ64)</f>
        <v>0</v>
      </c>
      <c r="BA65" s="66">
        <f t="shared" si="64"/>
        <v>0</v>
      </c>
    </row>
    <row r="66" spans="1:53" s="117" customFormat="1" ht="17.100000000000001" customHeight="1" x14ac:dyDescent="0.25">
      <c r="A66" s="119"/>
      <c r="B66" s="119"/>
      <c r="C66" s="540"/>
      <c r="D66" s="212"/>
      <c r="E66" s="212"/>
      <c r="F66" s="212"/>
      <c r="G66" s="212"/>
      <c r="H66" s="242"/>
      <c r="I66" s="230"/>
      <c r="J66" s="17"/>
      <c r="K66" s="17"/>
      <c r="L66" s="17"/>
      <c r="M66" s="17"/>
      <c r="N66" s="17" t="str">
        <f>IF(N65=N$20,"OK","NOK")</f>
        <v>OK</v>
      </c>
      <c r="O66" s="17" t="str">
        <f>IF(O65=O$20,"OK","NOK")</f>
        <v>OK</v>
      </c>
      <c r="P66" s="17"/>
      <c r="Q66" s="17" t="str">
        <f>IF(Q65=Q$20,"OK","NOK")</f>
        <v>OK</v>
      </c>
      <c r="R66" s="17" t="str">
        <f>IF(R65=R$20,"OK","NOK")</f>
        <v>OK</v>
      </c>
      <c r="S66" s="17"/>
      <c r="T66" s="17" t="str">
        <f>IF(T65=T$20,"OK","NOK")</f>
        <v>OK</v>
      </c>
      <c r="U66" s="17" t="str">
        <f>IF(U65=U$20,"OK","NOK")</f>
        <v>OK</v>
      </c>
      <c r="V66" s="359"/>
      <c r="W66" s="382"/>
      <c r="X66" s="539"/>
      <c r="Y66" s="539"/>
      <c r="Z66" s="201"/>
      <c r="AA66" s="201"/>
      <c r="AB66" s="201"/>
      <c r="AC66" s="84"/>
      <c r="AE66" s="17"/>
      <c r="AF66" s="17"/>
      <c r="AG66" s="17"/>
      <c r="AH66" s="539"/>
      <c r="AI66" s="91"/>
      <c r="AK66" s="17"/>
      <c r="AL66" s="17"/>
      <c r="AM66" s="17"/>
      <c r="AN66" s="539"/>
      <c r="AO66" s="91"/>
      <c r="AQ66" s="17"/>
      <c r="AR66" s="17"/>
      <c r="AS66" s="17"/>
      <c r="AT66" s="539"/>
      <c r="AU66" s="91"/>
      <c r="AW66" s="17"/>
      <c r="AX66" s="17"/>
      <c r="AY66" s="17"/>
      <c r="AZ66" s="539"/>
      <c r="BA66" s="91"/>
    </row>
    <row r="67" spans="1:53" ht="17.100000000000001" customHeight="1" x14ac:dyDescent="0.25">
      <c r="A67" s="102"/>
      <c r="B67" s="23"/>
      <c r="C67" s="103" t="s">
        <v>393</v>
      </c>
      <c r="D67" s="110" t="s">
        <v>737</v>
      </c>
      <c r="E67" s="313"/>
      <c r="F67" s="313"/>
      <c r="G67" s="313"/>
      <c r="H67" s="313"/>
      <c r="I67" s="313"/>
      <c r="J67" s="314"/>
      <c r="K67" s="111"/>
      <c r="L67" s="111"/>
      <c r="M67" s="111"/>
      <c r="N67" s="111"/>
      <c r="O67" s="111"/>
      <c r="P67" s="111"/>
      <c r="Q67" s="111"/>
      <c r="R67" s="111"/>
      <c r="S67" s="111"/>
      <c r="T67" s="111"/>
      <c r="U67" s="111"/>
      <c r="V67" s="358"/>
      <c r="W67" s="380"/>
      <c r="X67" s="111"/>
      <c r="Y67" s="112"/>
      <c r="Z67" s="113"/>
      <c r="AA67" s="113"/>
      <c r="AB67" s="113"/>
      <c r="AC67" s="113"/>
      <c r="AE67" s="114"/>
      <c r="AF67" s="114"/>
      <c r="AG67" s="114"/>
      <c r="AH67" s="112"/>
      <c r="AI67" s="113"/>
      <c r="AK67" s="114"/>
      <c r="AL67" s="114"/>
      <c r="AM67" s="114"/>
      <c r="AN67" s="112"/>
      <c r="AO67" s="113"/>
      <c r="AQ67" s="114"/>
      <c r="AR67" s="114"/>
      <c r="AS67" s="114"/>
      <c r="AT67" s="112"/>
      <c r="AU67" s="113"/>
      <c r="AW67" s="114"/>
      <c r="AX67" s="114"/>
      <c r="AY67" s="114"/>
      <c r="AZ67" s="112"/>
      <c r="BA67" s="113"/>
    </row>
    <row r="68" spans="1:53" ht="17.100000000000001" customHeight="1" x14ac:dyDescent="0.25">
      <c r="A68" s="102"/>
      <c r="B68" s="118"/>
      <c r="C68" s="118"/>
      <c r="D68" s="103" t="s">
        <v>394</v>
      </c>
      <c r="E68" s="108" t="s">
        <v>35</v>
      </c>
      <c r="F68" s="108"/>
      <c r="G68" s="108"/>
      <c r="H68" s="258"/>
      <c r="I68" s="232"/>
      <c r="J68" s="152"/>
      <c r="K68" s="152"/>
      <c r="L68" s="111"/>
      <c r="M68" s="111"/>
      <c r="N68" s="60"/>
      <c r="O68" s="60"/>
      <c r="P68" s="17">
        <f>SUM(N68:O68)</f>
        <v>0</v>
      </c>
      <c r="Q68" s="60"/>
      <c r="R68" s="60"/>
      <c r="S68" s="17">
        <f>SUM(Q68:R68)</f>
        <v>0</v>
      </c>
      <c r="T68" s="60"/>
      <c r="U68" s="60"/>
      <c r="V68" s="359">
        <f>SUM(T68:U68)</f>
        <v>0</v>
      </c>
      <c r="W68" s="391">
        <f t="shared" ref="W68:W72" si="66">J68+K68+N68+Q68+T68</f>
        <v>0</v>
      </c>
      <c r="X68" s="17">
        <f t="shared" ref="X68:X72" si="67">L68+O68+R68+U68</f>
        <v>0</v>
      </c>
      <c r="Y68" s="18">
        <f>SUM(W68:X68)</f>
        <v>0</v>
      </c>
      <c r="Z68" s="19">
        <f>IF(Y$73=0,0,Y68/Y$73)</f>
        <v>0</v>
      </c>
      <c r="AA68" s="19"/>
      <c r="AB68" s="19"/>
      <c r="AC68" s="20"/>
      <c r="AE68" s="111"/>
      <c r="AF68" s="111"/>
      <c r="AG68" s="111"/>
      <c r="AH68" s="112"/>
      <c r="AI68" s="113"/>
      <c r="AK68" s="111"/>
      <c r="AL68" s="111"/>
      <c r="AM68" s="111"/>
      <c r="AN68" s="112"/>
      <c r="AO68" s="113"/>
      <c r="AQ68" s="17"/>
      <c r="AR68" s="17"/>
      <c r="AS68" s="17"/>
      <c r="AT68" s="18">
        <f t="shared" ref="AT68:AT72" si="68">W68</f>
        <v>0</v>
      </c>
      <c r="AU68" s="19">
        <f>IF(AT$73=0,0,AT68/AT$73)</f>
        <v>0</v>
      </c>
      <c r="AW68" s="17"/>
      <c r="AX68" s="17"/>
      <c r="AY68" s="17"/>
      <c r="AZ68" s="18">
        <f t="shared" ref="AZ68:AZ72" si="69">X68</f>
        <v>0</v>
      </c>
      <c r="BA68" s="19">
        <f>IF(AZ$73=0,0,AZ68/AZ$73)</f>
        <v>0</v>
      </c>
    </row>
    <row r="69" spans="1:53" ht="17.100000000000001" customHeight="1" x14ac:dyDescent="0.25">
      <c r="A69" s="102"/>
      <c r="B69" s="118"/>
      <c r="C69" s="118"/>
      <c r="D69" s="103" t="s">
        <v>395</v>
      </c>
      <c r="E69" s="108" t="s">
        <v>37</v>
      </c>
      <c r="F69" s="108"/>
      <c r="G69" s="108"/>
      <c r="H69" s="258"/>
      <c r="I69" s="232"/>
      <c r="J69" s="152"/>
      <c r="K69" s="152"/>
      <c r="L69" s="111"/>
      <c r="M69" s="111"/>
      <c r="N69" s="61"/>
      <c r="O69" s="61"/>
      <c r="P69" s="17">
        <f>SUM(N69:O69)</f>
        <v>0</v>
      </c>
      <c r="Q69" s="61"/>
      <c r="R69" s="61"/>
      <c r="S69" s="17">
        <f>SUM(Q69:R69)</f>
        <v>0</v>
      </c>
      <c r="T69" s="61"/>
      <c r="U69" s="61"/>
      <c r="V69" s="359">
        <f>SUM(T69:U69)</f>
        <v>0</v>
      </c>
      <c r="W69" s="391">
        <f t="shared" si="66"/>
        <v>0</v>
      </c>
      <c r="X69" s="17">
        <f t="shared" si="67"/>
        <v>0</v>
      </c>
      <c r="Y69" s="18">
        <f>SUM(W69:X69)</f>
        <v>0</v>
      </c>
      <c r="Z69" s="19">
        <f t="shared" ref="Z69:Z73" si="70">IF(Y$73=0,0,Y69/Y$73)</f>
        <v>0</v>
      </c>
      <c r="AA69" s="19"/>
      <c r="AB69" s="19"/>
      <c r="AC69" s="20"/>
      <c r="AE69" s="111"/>
      <c r="AF69" s="111"/>
      <c r="AG69" s="111"/>
      <c r="AH69" s="112"/>
      <c r="AI69" s="113"/>
      <c r="AK69" s="111"/>
      <c r="AL69" s="111"/>
      <c r="AM69" s="111"/>
      <c r="AN69" s="112"/>
      <c r="AO69" s="113"/>
      <c r="AQ69" s="17"/>
      <c r="AR69" s="17"/>
      <c r="AS69" s="17"/>
      <c r="AT69" s="18">
        <f t="shared" si="68"/>
        <v>0</v>
      </c>
      <c r="AU69" s="19">
        <f t="shared" ref="AU69:AU73" si="71">IF(AT$73=0,0,AT69/AT$73)</f>
        <v>0</v>
      </c>
      <c r="AW69" s="17"/>
      <c r="AX69" s="17"/>
      <c r="AY69" s="17"/>
      <c r="AZ69" s="18">
        <f t="shared" si="69"/>
        <v>0</v>
      </c>
      <c r="BA69" s="19">
        <f t="shared" ref="BA69:BA72" si="72">IF(AZ$65=0,0,AZ69/AZ$65)</f>
        <v>0</v>
      </c>
    </row>
    <row r="70" spans="1:53" ht="17.100000000000001" customHeight="1" x14ac:dyDescent="0.25">
      <c r="A70" s="102"/>
      <c r="B70" s="118"/>
      <c r="C70" s="118"/>
      <c r="D70" s="103" t="s">
        <v>396</v>
      </c>
      <c r="E70" s="108" t="s">
        <v>39</v>
      </c>
      <c r="F70" s="108"/>
      <c r="G70" s="108"/>
      <c r="H70" s="258"/>
      <c r="I70" s="232"/>
      <c r="J70" s="152"/>
      <c r="K70" s="152"/>
      <c r="L70" s="111"/>
      <c r="M70" s="111"/>
      <c r="N70" s="60"/>
      <c r="O70" s="60"/>
      <c r="P70" s="17">
        <f>SUM(N70:O70)</f>
        <v>0</v>
      </c>
      <c r="Q70" s="60"/>
      <c r="R70" s="60"/>
      <c r="S70" s="17">
        <f>SUM(Q70:R70)</f>
        <v>0</v>
      </c>
      <c r="T70" s="60"/>
      <c r="U70" s="60"/>
      <c r="V70" s="359">
        <f>SUM(T70:U70)</f>
        <v>0</v>
      </c>
      <c r="W70" s="391">
        <f t="shared" si="66"/>
        <v>0</v>
      </c>
      <c r="X70" s="17">
        <f t="shared" si="67"/>
        <v>0</v>
      </c>
      <c r="Y70" s="18">
        <f>SUM(W70:X70)</f>
        <v>0</v>
      </c>
      <c r="Z70" s="19">
        <f t="shared" si="70"/>
        <v>0</v>
      </c>
      <c r="AA70" s="19"/>
      <c r="AB70" s="19"/>
      <c r="AC70" s="20"/>
      <c r="AE70" s="111"/>
      <c r="AF70" s="111"/>
      <c r="AG70" s="111"/>
      <c r="AH70" s="112"/>
      <c r="AI70" s="113"/>
      <c r="AK70" s="111"/>
      <c r="AL70" s="111"/>
      <c r="AM70" s="111"/>
      <c r="AN70" s="112"/>
      <c r="AO70" s="113"/>
      <c r="AQ70" s="17"/>
      <c r="AR70" s="17"/>
      <c r="AS70" s="17"/>
      <c r="AT70" s="18">
        <f t="shared" si="68"/>
        <v>0</v>
      </c>
      <c r="AU70" s="19">
        <f t="shared" si="71"/>
        <v>0</v>
      </c>
      <c r="AW70" s="17"/>
      <c r="AX70" s="17"/>
      <c r="AY70" s="17"/>
      <c r="AZ70" s="18">
        <f t="shared" si="69"/>
        <v>0</v>
      </c>
      <c r="BA70" s="19">
        <f t="shared" si="72"/>
        <v>0</v>
      </c>
    </row>
    <row r="71" spans="1:53" ht="17.100000000000001" customHeight="1" x14ac:dyDescent="0.25">
      <c r="A71" s="102"/>
      <c r="B71" s="118"/>
      <c r="C71" s="118"/>
      <c r="D71" s="103" t="s">
        <v>397</v>
      </c>
      <c r="E71" s="108" t="s">
        <v>41</v>
      </c>
      <c r="F71" s="108"/>
      <c r="G71" s="108"/>
      <c r="H71" s="258"/>
      <c r="I71" s="232"/>
      <c r="J71" s="152"/>
      <c r="K71" s="152"/>
      <c r="L71" s="111"/>
      <c r="M71" s="111"/>
      <c r="N71" s="61"/>
      <c r="O71" s="61"/>
      <c r="P71" s="17">
        <f>SUM(N71:O71)</f>
        <v>0</v>
      </c>
      <c r="Q71" s="61"/>
      <c r="R71" s="61"/>
      <c r="S71" s="17">
        <f>SUM(Q71:R71)</f>
        <v>0</v>
      </c>
      <c r="T71" s="61"/>
      <c r="U71" s="61"/>
      <c r="V71" s="359">
        <f>SUM(T71:U71)</f>
        <v>0</v>
      </c>
      <c r="W71" s="391">
        <f t="shared" si="66"/>
        <v>0</v>
      </c>
      <c r="X71" s="17">
        <f t="shared" si="67"/>
        <v>0</v>
      </c>
      <c r="Y71" s="18">
        <f>SUM(W71:X71)</f>
        <v>0</v>
      </c>
      <c r="Z71" s="19">
        <f t="shared" si="70"/>
        <v>0</v>
      </c>
      <c r="AA71" s="19"/>
      <c r="AB71" s="19"/>
      <c r="AC71" s="20"/>
      <c r="AE71" s="111"/>
      <c r="AF71" s="111"/>
      <c r="AG71" s="111"/>
      <c r="AH71" s="112"/>
      <c r="AI71" s="113"/>
      <c r="AK71" s="111"/>
      <c r="AL71" s="111"/>
      <c r="AM71" s="111"/>
      <c r="AN71" s="112"/>
      <c r="AO71" s="113"/>
      <c r="AQ71" s="17"/>
      <c r="AR71" s="17"/>
      <c r="AS71" s="17"/>
      <c r="AT71" s="18">
        <f t="shared" si="68"/>
        <v>0</v>
      </c>
      <c r="AU71" s="19">
        <f t="shared" si="71"/>
        <v>0</v>
      </c>
      <c r="AW71" s="17"/>
      <c r="AX71" s="17"/>
      <c r="AY71" s="17"/>
      <c r="AZ71" s="18">
        <f t="shared" si="69"/>
        <v>0</v>
      </c>
      <c r="BA71" s="19">
        <f t="shared" si="72"/>
        <v>0</v>
      </c>
    </row>
    <row r="72" spans="1:53" ht="17.100000000000001" customHeight="1" x14ac:dyDescent="0.25">
      <c r="A72" s="102"/>
      <c r="B72" s="118"/>
      <c r="C72" s="118"/>
      <c r="D72" s="103" t="s">
        <v>398</v>
      </c>
      <c r="E72" s="108" t="s">
        <v>42</v>
      </c>
      <c r="F72" s="108"/>
      <c r="G72" s="108"/>
      <c r="H72" s="258"/>
      <c r="I72" s="232"/>
      <c r="J72" s="152"/>
      <c r="K72" s="152"/>
      <c r="L72" s="111"/>
      <c r="M72" s="111"/>
      <c r="N72" s="60"/>
      <c r="O72" s="60"/>
      <c r="P72" s="17">
        <f>SUM(N72:O72)</f>
        <v>0</v>
      </c>
      <c r="Q72" s="60"/>
      <c r="R72" s="60"/>
      <c r="S72" s="17">
        <f>SUM(Q72:R72)</f>
        <v>0</v>
      </c>
      <c r="T72" s="60"/>
      <c r="U72" s="60"/>
      <c r="V72" s="359">
        <f>SUM(T72:U72)</f>
        <v>0</v>
      </c>
      <c r="W72" s="391">
        <f t="shared" si="66"/>
        <v>0</v>
      </c>
      <c r="X72" s="17">
        <f t="shared" si="67"/>
        <v>0</v>
      </c>
      <c r="Y72" s="18">
        <f>SUM(W72:X72)</f>
        <v>0</v>
      </c>
      <c r="Z72" s="19">
        <f t="shared" si="70"/>
        <v>0</v>
      </c>
      <c r="AA72" s="19"/>
      <c r="AB72" s="19"/>
      <c r="AC72" s="20"/>
      <c r="AE72" s="111"/>
      <c r="AF72" s="111"/>
      <c r="AG72" s="111"/>
      <c r="AH72" s="112"/>
      <c r="AI72" s="113"/>
      <c r="AK72" s="111"/>
      <c r="AL72" s="111"/>
      <c r="AM72" s="111"/>
      <c r="AN72" s="112"/>
      <c r="AO72" s="113"/>
      <c r="AQ72" s="17"/>
      <c r="AR72" s="17"/>
      <c r="AS72" s="17"/>
      <c r="AT72" s="18">
        <f t="shared" si="68"/>
        <v>0</v>
      </c>
      <c r="AU72" s="19">
        <f t="shared" si="71"/>
        <v>0</v>
      </c>
      <c r="AW72" s="17"/>
      <c r="AX72" s="17"/>
      <c r="AY72" s="17"/>
      <c r="AZ72" s="18">
        <f t="shared" si="69"/>
        <v>0</v>
      </c>
      <c r="BA72" s="19">
        <f t="shared" si="72"/>
        <v>0</v>
      </c>
    </row>
    <row r="73" spans="1:53" ht="17.100000000000001" customHeight="1" x14ac:dyDescent="0.25">
      <c r="A73" s="40"/>
      <c r="B73" s="40"/>
      <c r="C73" s="77"/>
      <c r="D73" s="78"/>
      <c r="E73" s="78"/>
      <c r="F73" s="78"/>
      <c r="G73" s="78"/>
      <c r="H73" s="242"/>
      <c r="I73" s="230"/>
      <c r="J73" s="80"/>
      <c r="K73" s="80"/>
      <c r="L73" s="81"/>
      <c r="M73" s="81"/>
      <c r="N73" s="81">
        <f t="shared" ref="N73:X73" si="73">SUM(N68:N72)</f>
        <v>0</v>
      </c>
      <c r="O73" s="81">
        <f t="shared" si="73"/>
        <v>0</v>
      </c>
      <c r="P73" s="81">
        <f t="shared" si="73"/>
        <v>0</v>
      </c>
      <c r="Q73" s="81">
        <f t="shared" si="73"/>
        <v>0</v>
      </c>
      <c r="R73" s="81">
        <f t="shared" si="73"/>
        <v>0</v>
      </c>
      <c r="S73" s="81">
        <f t="shared" si="73"/>
        <v>0</v>
      </c>
      <c r="T73" s="81">
        <f t="shared" si="73"/>
        <v>0</v>
      </c>
      <c r="U73" s="81">
        <f t="shared" si="73"/>
        <v>0</v>
      </c>
      <c r="V73" s="81">
        <f t="shared" si="73"/>
        <v>0</v>
      </c>
      <c r="W73" s="381">
        <f t="shared" si="73"/>
        <v>0</v>
      </c>
      <c r="X73" s="82">
        <f t="shared" si="73"/>
        <v>0</v>
      </c>
      <c r="Y73" s="82">
        <f>SUM(Y68:Y72)</f>
        <v>0</v>
      </c>
      <c r="Z73" s="205">
        <f t="shared" si="70"/>
        <v>0</v>
      </c>
      <c r="AA73" s="205"/>
      <c r="AB73" s="205"/>
      <c r="AC73" s="83"/>
      <c r="AE73" s="81"/>
      <c r="AF73" s="81"/>
      <c r="AG73" s="81"/>
      <c r="AH73" s="82"/>
      <c r="AI73" s="66"/>
      <c r="AK73" s="81"/>
      <c r="AL73" s="81"/>
      <c r="AM73" s="81"/>
      <c r="AN73" s="82"/>
      <c r="AO73" s="66"/>
      <c r="AQ73" s="81"/>
      <c r="AR73" s="81"/>
      <c r="AS73" s="81"/>
      <c r="AT73" s="82">
        <f>SUM(AT68:AT72)</f>
        <v>0</v>
      </c>
      <c r="AU73" s="66">
        <f t="shared" si="71"/>
        <v>0</v>
      </c>
      <c r="AW73" s="81"/>
      <c r="AX73" s="81"/>
      <c r="AY73" s="81"/>
      <c r="AZ73" s="82">
        <f>SUM(AZ68:AZ72)</f>
        <v>0</v>
      </c>
      <c r="BA73" s="66">
        <f t="shared" ref="BA73" si="74">IF(AZ$73=0,0,AZ73/AZ$73)</f>
        <v>0</v>
      </c>
    </row>
    <row r="74" spans="1:53" s="117" customFormat="1" ht="17.100000000000001" customHeight="1" x14ac:dyDescent="0.25">
      <c r="A74" s="119"/>
      <c r="B74" s="119"/>
      <c r="C74" s="540"/>
      <c r="D74" s="212"/>
      <c r="E74" s="212"/>
      <c r="F74" s="212"/>
      <c r="G74" s="212"/>
      <c r="H74" s="242"/>
      <c r="I74" s="230"/>
      <c r="J74" s="17"/>
      <c r="K74" s="17"/>
      <c r="L74" s="17"/>
      <c r="M74" s="17"/>
      <c r="N74" s="17" t="str">
        <f>IF(N73=N$20,"OK","NOK")</f>
        <v>OK</v>
      </c>
      <c r="O74" s="17" t="str">
        <f>IF(O73=O$20,"OK","NOK")</f>
        <v>OK</v>
      </c>
      <c r="P74" s="17"/>
      <c r="Q74" s="17" t="str">
        <f>IF(Q73=Q$20,"OK","NOK")</f>
        <v>OK</v>
      </c>
      <c r="R74" s="17" t="str">
        <f>IF(R73=R$20,"OK","NOK")</f>
        <v>OK</v>
      </c>
      <c r="S74" s="17"/>
      <c r="T74" s="17" t="str">
        <f>IF(T73=T$20,"OK","NOK")</f>
        <v>OK</v>
      </c>
      <c r="U74" s="17" t="str">
        <f>IF(U73=U$20,"OK","NOK")</f>
        <v>OK</v>
      </c>
      <c r="V74" s="359"/>
      <c r="W74" s="382"/>
      <c r="X74" s="539"/>
      <c r="Y74" s="539"/>
      <c r="Z74" s="201"/>
      <c r="AA74" s="201"/>
      <c r="AB74" s="201"/>
      <c r="AC74" s="84"/>
      <c r="AE74" s="17"/>
      <c r="AF74" s="17"/>
      <c r="AG74" s="17"/>
      <c r="AH74" s="539"/>
      <c r="AI74" s="91"/>
      <c r="AK74" s="17"/>
      <c r="AL74" s="17"/>
      <c r="AM74" s="17"/>
      <c r="AN74" s="539"/>
      <c r="AO74" s="91"/>
      <c r="AQ74" s="17"/>
      <c r="AR74" s="17"/>
      <c r="AS74" s="17"/>
      <c r="AT74" s="539"/>
      <c r="AU74" s="91"/>
      <c r="AW74" s="17"/>
      <c r="AX74" s="17"/>
      <c r="AY74" s="17"/>
      <c r="AZ74" s="539"/>
      <c r="BA74" s="91"/>
    </row>
    <row r="75" spans="1:53" ht="17.100000000000001" customHeight="1" x14ac:dyDescent="0.25">
      <c r="A75" s="68"/>
      <c r="B75" s="41" t="s">
        <v>43</v>
      </c>
      <c r="C75" s="69" t="s">
        <v>44</v>
      </c>
      <c r="D75" s="50"/>
      <c r="E75" s="70"/>
      <c r="F75" s="70"/>
      <c r="G75" s="70"/>
      <c r="H75" s="119"/>
      <c r="J75" s="71"/>
      <c r="K75" s="71"/>
      <c r="L75" s="71"/>
      <c r="M75" s="71"/>
      <c r="N75" s="71"/>
      <c r="O75" s="71"/>
      <c r="P75" s="71"/>
      <c r="Q75" s="71"/>
      <c r="R75" s="71"/>
      <c r="S75" s="71"/>
      <c r="T75" s="71"/>
      <c r="U75" s="71"/>
      <c r="V75" s="355"/>
      <c r="W75" s="377"/>
      <c r="X75" s="71"/>
      <c r="Y75" s="72"/>
      <c r="Z75" s="73"/>
      <c r="AA75" s="73"/>
      <c r="AB75" s="73"/>
      <c r="AC75" s="73"/>
      <c r="AE75" s="71"/>
      <c r="AF75" s="71"/>
      <c r="AG75" s="71"/>
      <c r="AH75" s="72"/>
      <c r="AI75" s="73"/>
      <c r="AK75" s="71"/>
      <c r="AL75" s="71"/>
      <c r="AM75" s="71"/>
      <c r="AN75" s="72"/>
      <c r="AO75" s="73"/>
      <c r="AQ75" s="71"/>
      <c r="AR75" s="71"/>
      <c r="AS75" s="71"/>
      <c r="AT75" s="72"/>
      <c r="AU75" s="73"/>
      <c r="AW75" s="71"/>
      <c r="AX75" s="71"/>
      <c r="AY75" s="71"/>
      <c r="AZ75" s="72"/>
      <c r="BA75" s="73"/>
    </row>
    <row r="76" spans="1:53" ht="17.100000000000001" customHeight="1" x14ac:dyDescent="0.25">
      <c r="A76" s="102"/>
      <c r="B76" s="102"/>
      <c r="C76" s="103" t="s">
        <v>45</v>
      </c>
      <c r="D76" s="108" t="s">
        <v>46</v>
      </c>
      <c r="E76" s="108"/>
      <c r="F76" s="108"/>
      <c r="G76" s="108"/>
      <c r="H76" s="258"/>
      <c r="I76" s="232"/>
      <c r="J76" s="111"/>
      <c r="K76" s="111"/>
      <c r="L76" s="111"/>
      <c r="M76" s="111"/>
      <c r="N76" s="111"/>
      <c r="O76" s="111"/>
      <c r="P76" s="111"/>
      <c r="Q76" s="111"/>
      <c r="R76" s="111"/>
      <c r="S76" s="111"/>
      <c r="T76" s="111"/>
      <c r="U76" s="111"/>
      <c r="V76" s="358"/>
      <c r="W76" s="380"/>
      <c r="X76" s="111"/>
      <c r="Y76" s="112"/>
      <c r="Z76" s="113"/>
      <c r="AA76" s="113"/>
      <c r="AB76" s="113"/>
      <c r="AC76" s="113"/>
      <c r="AE76" s="114"/>
      <c r="AF76" s="114"/>
      <c r="AG76" s="114"/>
      <c r="AH76" s="112"/>
      <c r="AI76" s="113"/>
      <c r="AK76" s="114"/>
      <c r="AL76" s="114"/>
      <c r="AM76" s="114"/>
      <c r="AN76" s="112"/>
      <c r="AO76" s="113"/>
      <c r="AQ76" s="114"/>
      <c r="AR76" s="114"/>
      <c r="AS76" s="114"/>
      <c r="AT76" s="112"/>
      <c r="AU76" s="113"/>
      <c r="AW76" s="114"/>
      <c r="AX76" s="114"/>
      <c r="AY76" s="114"/>
      <c r="AZ76" s="112"/>
      <c r="BA76" s="113"/>
    </row>
    <row r="77" spans="1:53" ht="17.100000000000001" customHeight="1" x14ac:dyDescent="0.25">
      <c r="A77" s="102"/>
      <c r="B77" s="102"/>
      <c r="C77" s="102"/>
      <c r="D77" s="103" t="s">
        <v>47</v>
      </c>
      <c r="E77" s="108" t="s">
        <v>35</v>
      </c>
      <c r="F77" s="108"/>
      <c r="G77" s="108"/>
      <c r="H77" s="258"/>
      <c r="I77" s="232"/>
      <c r="J77" s="152"/>
      <c r="K77" s="152"/>
      <c r="L77" s="111"/>
      <c r="M77" s="111"/>
      <c r="N77" s="152"/>
      <c r="O77" s="111"/>
      <c r="P77" s="60"/>
      <c r="Q77" s="152"/>
      <c r="R77" s="111"/>
      <c r="S77" s="60"/>
      <c r="T77" s="152"/>
      <c r="U77" s="111"/>
      <c r="V77" s="361"/>
      <c r="W77" s="391"/>
      <c r="X77" s="17"/>
      <c r="Y77" s="18">
        <f>M77+P77+S77+V77</f>
        <v>0</v>
      </c>
      <c r="Z77" s="19">
        <f>IF(Y$81=0,0,Y77/Y$81)</f>
        <v>0</v>
      </c>
      <c r="AA77" s="19"/>
      <c r="AB77" s="19"/>
      <c r="AC77" s="20"/>
      <c r="AE77" s="111"/>
      <c r="AF77" s="111"/>
      <c r="AG77" s="111"/>
      <c r="AH77" s="545"/>
      <c r="AI77" s="131"/>
      <c r="AK77" s="111"/>
      <c r="AL77" s="111"/>
      <c r="AM77" s="111"/>
      <c r="AN77" s="545"/>
      <c r="AO77" s="131"/>
      <c r="AQ77" s="111"/>
      <c r="AR77" s="111"/>
      <c r="AS77" s="111"/>
      <c r="AT77" s="545"/>
      <c r="AU77" s="131"/>
      <c r="AW77" s="111"/>
      <c r="AX77" s="111"/>
      <c r="AY77" s="111"/>
      <c r="AZ77" s="545"/>
      <c r="BA77" s="131"/>
    </row>
    <row r="78" spans="1:53" ht="17.100000000000001" customHeight="1" x14ac:dyDescent="0.25">
      <c r="A78" s="102"/>
      <c r="B78" s="102"/>
      <c r="C78" s="102"/>
      <c r="D78" s="103" t="s">
        <v>48</v>
      </c>
      <c r="E78" s="108" t="s">
        <v>49</v>
      </c>
      <c r="F78" s="108"/>
      <c r="G78" s="108"/>
      <c r="H78" s="258"/>
      <c r="I78" s="232"/>
      <c r="J78" s="152"/>
      <c r="K78" s="152"/>
      <c r="L78" s="111"/>
      <c r="M78" s="111"/>
      <c r="N78" s="152"/>
      <c r="O78" s="111"/>
      <c r="P78" s="61"/>
      <c r="Q78" s="152"/>
      <c r="R78" s="111"/>
      <c r="S78" s="61"/>
      <c r="T78" s="152"/>
      <c r="U78" s="111"/>
      <c r="V78" s="362"/>
      <c r="W78" s="391"/>
      <c r="X78" s="17"/>
      <c r="Y78" s="18">
        <f t="shared" ref="Y78:Y80" si="75">M78+P78+S78+V78</f>
        <v>0</v>
      </c>
      <c r="Z78" s="19">
        <f t="shared" ref="Z78:Z81" si="76">IF(Y$81=0,0,Y78/Y$81)</f>
        <v>0</v>
      </c>
      <c r="AA78" s="19"/>
      <c r="AB78" s="19"/>
      <c r="AC78" s="20"/>
      <c r="AE78" s="111"/>
      <c r="AF78" s="111"/>
      <c r="AG78" s="111"/>
      <c r="AH78" s="545"/>
      <c r="AI78" s="131"/>
      <c r="AK78" s="111"/>
      <c r="AL78" s="111"/>
      <c r="AM78" s="111"/>
      <c r="AN78" s="545"/>
      <c r="AO78" s="131"/>
      <c r="AQ78" s="111"/>
      <c r="AR78" s="111"/>
      <c r="AS78" s="111"/>
      <c r="AT78" s="545"/>
      <c r="AU78" s="131"/>
      <c r="AW78" s="111"/>
      <c r="AX78" s="111"/>
      <c r="AY78" s="111"/>
      <c r="AZ78" s="545"/>
      <c r="BA78" s="131"/>
    </row>
    <row r="79" spans="1:53" ht="17.100000000000001" customHeight="1" x14ac:dyDescent="0.25">
      <c r="A79" s="102"/>
      <c r="B79" s="102"/>
      <c r="C79" s="102"/>
      <c r="D79" s="103" t="s">
        <v>50</v>
      </c>
      <c r="E79" s="108" t="s">
        <v>51</v>
      </c>
      <c r="F79" s="108"/>
      <c r="G79" s="108"/>
      <c r="H79" s="258"/>
      <c r="I79" s="232"/>
      <c r="J79" s="152"/>
      <c r="K79" s="152"/>
      <c r="L79" s="111"/>
      <c r="M79" s="111"/>
      <c r="N79" s="152"/>
      <c r="O79" s="111"/>
      <c r="P79" s="60"/>
      <c r="Q79" s="152"/>
      <c r="R79" s="111"/>
      <c r="S79" s="60"/>
      <c r="T79" s="152"/>
      <c r="U79" s="111"/>
      <c r="V79" s="361"/>
      <c r="W79" s="391"/>
      <c r="X79" s="17"/>
      <c r="Y79" s="18">
        <f t="shared" si="75"/>
        <v>0</v>
      </c>
      <c r="Z79" s="19">
        <f t="shared" si="76"/>
        <v>0</v>
      </c>
      <c r="AA79" s="19"/>
      <c r="AB79" s="19"/>
      <c r="AC79" s="20"/>
      <c r="AE79" s="111"/>
      <c r="AF79" s="111"/>
      <c r="AG79" s="111"/>
      <c r="AH79" s="545"/>
      <c r="AI79" s="131"/>
      <c r="AK79" s="111"/>
      <c r="AL79" s="111"/>
      <c r="AM79" s="111"/>
      <c r="AN79" s="545"/>
      <c r="AO79" s="131"/>
      <c r="AQ79" s="111"/>
      <c r="AR79" s="111"/>
      <c r="AS79" s="111"/>
      <c r="AT79" s="545"/>
      <c r="AU79" s="131"/>
      <c r="AW79" s="111"/>
      <c r="AX79" s="111"/>
      <c r="AY79" s="111"/>
      <c r="AZ79" s="545"/>
      <c r="BA79" s="131"/>
    </row>
    <row r="80" spans="1:53" ht="17.100000000000001" customHeight="1" x14ac:dyDescent="0.25">
      <c r="A80" s="102"/>
      <c r="B80" s="102"/>
      <c r="C80" s="102"/>
      <c r="D80" s="103" t="s">
        <v>52</v>
      </c>
      <c r="E80" s="108" t="s">
        <v>53</v>
      </c>
      <c r="F80" s="108"/>
      <c r="G80" s="108"/>
      <c r="H80" s="258"/>
      <c r="I80" s="232"/>
      <c r="J80" s="152"/>
      <c r="K80" s="152"/>
      <c r="L80" s="111"/>
      <c r="M80" s="111"/>
      <c r="N80" s="152"/>
      <c r="O80" s="111"/>
      <c r="P80" s="61"/>
      <c r="Q80" s="152"/>
      <c r="R80" s="111"/>
      <c r="S80" s="61"/>
      <c r="T80" s="152"/>
      <c r="U80" s="111"/>
      <c r="V80" s="362"/>
      <c r="W80" s="391"/>
      <c r="X80" s="17"/>
      <c r="Y80" s="18">
        <f t="shared" si="75"/>
        <v>0</v>
      </c>
      <c r="Z80" s="19">
        <f t="shared" si="76"/>
        <v>0</v>
      </c>
      <c r="AA80" s="19"/>
      <c r="AB80" s="19"/>
      <c r="AC80" s="20"/>
      <c r="AE80" s="111"/>
      <c r="AF80" s="111"/>
      <c r="AG80" s="111"/>
      <c r="AH80" s="545"/>
      <c r="AI80" s="131"/>
      <c r="AK80" s="111"/>
      <c r="AL80" s="111"/>
      <c r="AM80" s="111"/>
      <c r="AN80" s="545"/>
      <c r="AO80" s="131"/>
      <c r="AQ80" s="111"/>
      <c r="AR80" s="111"/>
      <c r="AS80" s="111"/>
      <c r="AT80" s="545"/>
      <c r="AU80" s="131"/>
      <c r="AW80" s="111"/>
      <c r="AX80" s="111"/>
      <c r="AY80" s="111"/>
      <c r="AZ80" s="545"/>
      <c r="BA80" s="131"/>
    </row>
    <row r="81" spans="1:53" ht="17.100000000000001" customHeight="1" x14ac:dyDescent="0.25">
      <c r="A81" s="40"/>
      <c r="B81" s="40"/>
      <c r="C81" s="77"/>
      <c r="D81" s="78"/>
      <c r="E81" s="78"/>
      <c r="F81" s="78"/>
      <c r="G81" s="78"/>
      <c r="H81" s="242"/>
      <c r="I81" s="230"/>
      <c r="J81" s="80"/>
      <c r="K81" s="80"/>
      <c r="L81" s="81"/>
      <c r="M81" s="81"/>
      <c r="N81" s="81"/>
      <c r="O81" s="81"/>
      <c r="P81" s="82">
        <f>SUM(P77:P80)</f>
        <v>0</v>
      </c>
      <c r="Q81" s="81"/>
      <c r="R81" s="81"/>
      <c r="S81" s="82">
        <f>SUM(S77:S80)</f>
        <v>0</v>
      </c>
      <c r="T81" s="81"/>
      <c r="U81" s="81"/>
      <c r="V81" s="360">
        <f>SUM(V77:V80)</f>
        <v>0</v>
      </c>
      <c r="W81" s="381"/>
      <c r="X81" s="82"/>
      <c r="Y81" s="82">
        <f t="shared" ref="Y81" si="77">SUM(Y77:Y80)</f>
        <v>0</v>
      </c>
      <c r="Z81" s="205">
        <f t="shared" si="76"/>
        <v>0</v>
      </c>
      <c r="AA81" s="205"/>
      <c r="AB81" s="205"/>
      <c r="AC81" s="83"/>
      <c r="AE81" s="81"/>
      <c r="AF81" s="81"/>
      <c r="AG81" s="81"/>
      <c r="AH81" s="82"/>
      <c r="AI81" s="66"/>
      <c r="AK81" s="81"/>
      <c r="AL81" s="81"/>
      <c r="AM81" s="81"/>
      <c r="AN81" s="82"/>
      <c r="AO81" s="66"/>
      <c r="AQ81" s="81"/>
      <c r="AR81" s="81"/>
      <c r="AS81" s="81"/>
      <c r="AT81" s="82"/>
      <c r="AU81" s="66"/>
      <c r="AW81" s="81"/>
      <c r="AX81" s="81"/>
      <c r="AY81" s="81"/>
      <c r="AZ81" s="82"/>
      <c r="BA81" s="66"/>
    </row>
    <row r="82" spans="1:53" s="117" customFormat="1" ht="17.100000000000001" customHeight="1" x14ac:dyDescent="0.25">
      <c r="A82" s="119"/>
      <c r="B82" s="119"/>
      <c r="C82" s="540"/>
      <c r="D82" s="212"/>
      <c r="E82" s="212"/>
      <c r="F82" s="212"/>
      <c r="G82" s="212"/>
      <c r="H82" s="242"/>
      <c r="I82" s="230"/>
      <c r="J82" s="17"/>
      <c r="K82" s="17"/>
      <c r="L82" s="17"/>
      <c r="M82" s="17"/>
      <c r="N82" s="17"/>
      <c r="O82" s="17"/>
      <c r="P82" s="359" t="str">
        <f>IF(P$20=0,"",IF(P81=1,"OK","NOK"))</f>
        <v/>
      </c>
      <c r="Q82" s="17"/>
      <c r="R82" s="17"/>
      <c r="S82" s="359" t="str">
        <f>IF(S$20=0,"",IF(S81=1,"OK","NOK"))</f>
        <v/>
      </c>
      <c r="T82" s="17"/>
      <c r="U82" s="17"/>
      <c r="V82" s="359" t="str">
        <f>IF(V$20=0,"",IF(V81=1,"OK","NOK"))</f>
        <v/>
      </c>
      <c r="W82" s="382"/>
      <c r="X82" s="539"/>
      <c r="Y82" s="539"/>
      <c r="Z82" s="201"/>
      <c r="AA82" s="201"/>
      <c r="AB82" s="201"/>
      <c r="AC82" s="84"/>
      <c r="AE82" s="17"/>
      <c r="AF82" s="17"/>
      <c r="AG82" s="17"/>
      <c r="AH82" s="539"/>
      <c r="AI82" s="91"/>
      <c r="AK82" s="17"/>
      <c r="AL82" s="17"/>
      <c r="AM82" s="17"/>
      <c r="AN82" s="539"/>
      <c r="AO82" s="91"/>
      <c r="AQ82" s="17"/>
      <c r="AR82" s="17"/>
      <c r="AS82" s="17"/>
      <c r="AT82" s="539"/>
      <c r="AU82" s="91"/>
      <c r="AW82" s="17"/>
      <c r="AX82" s="17"/>
      <c r="AY82" s="17"/>
      <c r="AZ82" s="539"/>
      <c r="BA82" s="91"/>
    </row>
    <row r="83" spans="1:53" ht="17.100000000000001" customHeight="1" x14ac:dyDescent="0.25">
      <c r="A83" s="102"/>
      <c r="B83" s="102"/>
      <c r="C83" s="103" t="s">
        <v>54</v>
      </c>
      <c r="D83" s="108" t="s">
        <v>55</v>
      </c>
      <c r="E83" s="108"/>
      <c r="F83" s="108"/>
      <c r="G83" s="108"/>
      <c r="H83" s="258"/>
      <c r="I83" s="232"/>
      <c r="J83" s="111"/>
      <c r="K83" s="111"/>
      <c r="L83" s="111"/>
      <c r="M83" s="111"/>
      <c r="N83" s="111"/>
      <c r="O83" s="111"/>
      <c r="P83" s="111"/>
      <c r="Q83" s="111"/>
      <c r="R83" s="111"/>
      <c r="S83" s="111"/>
      <c r="T83" s="111"/>
      <c r="U83" s="111"/>
      <c r="V83" s="358"/>
      <c r="W83" s="380"/>
      <c r="X83" s="111"/>
      <c r="Y83" s="112"/>
      <c r="Z83" s="113"/>
      <c r="AA83" s="113"/>
      <c r="AB83" s="113"/>
      <c r="AC83" s="113"/>
      <c r="AE83" s="114"/>
      <c r="AF83" s="114"/>
      <c r="AG83" s="114"/>
      <c r="AH83" s="112"/>
      <c r="AI83" s="113"/>
      <c r="AK83" s="114"/>
      <c r="AL83" s="114"/>
      <c r="AM83" s="114"/>
      <c r="AN83" s="112"/>
      <c r="AO83" s="113"/>
      <c r="AQ83" s="114"/>
      <c r="AR83" s="114"/>
      <c r="AS83" s="114"/>
      <c r="AT83" s="112"/>
      <c r="AU83" s="113"/>
      <c r="AW83" s="114"/>
      <c r="AX83" s="114"/>
      <c r="AY83" s="114"/>
      <c r="AZ83" s="112"/>
      <c r="BA83" s="113"/>
    </row>
    <row r="84" spans="1:53" ht="17.100000000000001" customHeight="1" x14ac:dyDescent="0.25">
      <c r="A84" s="102"/>
      <c r="B84" s="118"/>
      <c r="C84" s="118"/>
      <c r="D84" s="103" t="s">
        <v>56</v>
      </c>
      <c r="E84" s="108" t="s">
        <v>35</v>
      </c>
      <c r="F84" s="108"/>
      <c r="G84" s="108"/>
      <c r="H84" s="258"/>
      <c r="I84" s="232"/>
      <c r="J84" s="152"/>
      <c r="K84" s="152"/>
      <c r="L84" s="111"/>
      <c r="M84" s="111"/>
      <c r="N84" s="152"/>
      <c r="O84" s="111"/>
      <c r="P84" s="60"/>
      <c r="Q84" s="152"/>
      <c r="R84" s="111"/>
      <c r="S84" s="60"/>
      <c r="T84" s="152"/>
      <c r="U84" s="111"/>
      <c r="V84" s="361"/>
      <c r="W84" s="391"/>
      <c r="X84" s="17"/>
      <c r="Y84" s="18">
        <f>M84+P84+S84+V84</f>
        <v>0</v>
      </c>
      <c r="Z84" s="19">
        <f>IF(Y$88=0,0,Y84/Y$88)</f>
        <v>0</v>
      </c>
      <c r="AA84" s="19"/>
      <c r="AB84" s="19"/>
      <c r="AC84" s="20"/>
      <c r="AE84" s="111"/>
      <c r="AF84" s="111"/>
      <c r="AG84" s="111"/>
      <c r="AH84" s="545"/>
      <c r="AI84" s="131"/>
      <c r="AK84" s="111"/>
      <c r="AL84" s="111"/>
      <c r="AM84" s="111"/>
      <c r="AN84" s="545"/>
      <c r="AO84" s="131"/>
      <c r="AQ84" s="111"/>
      <c r="AR84" s="111"/>
      <c r="AS84" s="111"/>
      <c r="AT84" s="545"/>
      <c r="AU84" s="131"/>
      <c r="AW84" s="111"/>
      <c r="AX84" s="111"/>
      <c r="AY84" s="111"/>
      <c r="AZ84" s="545"/>
      <c r="BA84" s="131"/>
    </row>
    <row r="85" spans="1:53" ht="17.100000000000001" customHeight="1" x14ac:dyDescent="0.25">
      <c r="A85" s="102"/>
      <c r="B85" s="118"/>
      <c r="C85" s="118"/>
      <c r="D85" s="103" t="s">
        <v>57</v>
      </c>
      <c r="E85" s="108" t="s">
        <v>58</v>
      </c>
      <c r="F85" s="108"/>
      <c r="G85" s="108"/>
      <c r="H85" s="258"/>
      <c r="I85" s="232"/>
      <c r="J85" s="152"/>
      <c r="K85" s="152"/>
      <c r="L85" s="111"/>
      <c r="M85" s="111"/>
      <c r="N85" s="152"/>
      <c r="O85" s="111"/>
      <c r="P85" s="61"/>
      <c r="Q85" s="152"/>
      <c r="R85" s="111"/>
      <c r="S85" s="61"/>
      <c r="T85" s="152"/>
      <c r="U85" s="111"/>
      <c r="V85" s="362"/>
      <c r="W85" s="391"/>
      <c r="X85" s="17"/>
      <c r="Y85" s="18">
        <f t="shared" ref="Y85:Y87" si="78">M85+P85+S85+V85</f>
        <v>0</v>
      </c>
      <c r="Z85" s="19">
        <f t="shared" ref="Z85:Z88" si="79">IF(Y$88=0,0,Y85/Y$88)</f>
        <v>0</v>
      </c>
      <c r="AA85" s="19"/>
      <c r="AB85" s="19"/>
      <c r="AC85" s="20"/>
      <c r="AE85" s="111"/>
      <c r="AF85" s="111"/>
      <c r="AG85" s="111"/>
      <c r="AH85" s="545"/>
      <c r="AI85" s="131"/>
      <c r="AK85" s="111"/>
      <c r="AL85" s="111"/>
      <c r="AM85" s="111"/>
      <c r="AN85" s="545"/>
      <c r="AO85" s="131"/>
      <c r="AQ85" s="111"/>
      <c r="AR85" s="111"/>
      <c r="AS85" s="111"/>
      <c r="AT85" s="545"/>
      <c r="AU85" s="131"/>
      <c r="AW85" s="111"/>
      <c r="AX85" s="111"/>
      <c r="AY85" s="111"/>
      <c r="AZ85" s="545"/>
      <c r="BA85" s="131"/>
    </row>
    <row r="86" spans="1:53" ht="17.100000000000001" customHeight="1" x14ac:dyDescent="0.25">
      <c r="A86" s="102"/>
      <c r="B86" s="118"/>
      <c r="C86" s="118"/>
      <c r="D86" s="103" t="s">
        <v>59</v>
      </c>
      <c r="E86" s="108" t="s">
        <v>60</v>
      </c>
      <c r="F86" s="108"/>
      <c r="G86" s="108"/>
      <c r="H86" s="258"/>
      <c r="I86" s="232"/>
      <c r="J86" s="152"/>
      <c r="K86" s="152"/>
      <c r="L86" s="111"/>
      <c r="M86" s="111"/>
      <c r="N86" s="152"/>
      <c r="O86" s="111"/>
      <c r="P86" s="60"/>
      <c r="Q86" s="152"/>
      <c r="R86" s="111"/>
      <c r="S86" s="60"/>
      <c r="T86" s="152"/>
      <c r="U86" s="111"/>
      <c r="V86" s="361"/>
      <c r="W86" s="391"/>
      <c r="X86" s="17"/>
      <c r="Y86" s="18">
        <f t="shared" si="78"/>
        <v>0</v>
      </c>
      <c r="Z86" s="19">
        <f t="shared" si="79"/>
        <v>0</v>
      </c>
      <c r="AA86" s="19"/>
      <c r="AB86" s="19"/>
      <c r="AC86" s="20"/>
      <c r="AE86" s="111"/>
      <c r="AF86" s="111"/>
      <c r="AG86" s="111"/>
      <c r="AH86" s="545"/>
      <c r="AI86" s="131"/>
      <c r="AK86" s="111"/>
      <c r="AL86" s="111"/>
      <c r="AM86" s="111"/>
      <c r="AN86" s="545"/>
      <c r="AO86" s="131"/>
      <c r="AQ86" s="111"/>
      <c r="AR86" s="111"/>
      <c r="AS86" s="111"/>
      <c r="AT86" s="545"/>
      <c r="AU86" s="131"/>
      <c r="AW86" s="111"/>
      <c r="AX86" s="111"/>
      <c r="AY86" s="111"/>
      <c r="AZ86" s="545"/>
      <c r="BA86" s="131"/>
    </row>
    <row r="87" spans="1:53" ht="17.100000000000001" customHeight="1" x14ac:dyDescent="0.25">
      <c r="A87" s="102"/>
      <c r="B87" s="118"/>
      <c r="C87" s="118"/>
      <c r="D87" s="103" t="s">
        <v>61</v>
      </c>
      <c r="E87" s="108" t="s">
        <v>62</v>
      </c>
      <c r="F87" s="108"/>
      <c r="G87" s="108"/>
      <c r="H87" s="258"/>
      <c r="I87" s="232"/>
      <c r="J87" s="152"/>
      <c r="K87" s="152"/>
      <c r="L87" s="111"/>
      <c r="M87" s="111"/>
      <c r="N87" s="152"/>
      <c r="O87" s="111"/>
      <c r="P87" s="61"/>
      <c r="Q87" s="152"/>
      <c r="R87" s="111"/>
      <c r="S87" s="61"/>
      <c r="T87" s="152"/>
      <c r="U87" s="111"/>
      <c r="V87" s="362"/>
      <c r="W87" s="391"/>
      <c r="X87" s="17"/>
      <c r="Y87" s="18">
        <f t="shared" si="78"/>
        <v>0</v>
      </c>
      <c r="Z87" s="19">
        <f t="shared" si="79"/>
        <v>0</v>
      </c>
      <c r="AA87" s="19"/>
      <c r="AB87" s="19"/>
      <c r="AC87" s="20"/>
      <c r="AE87" s="111"/>
      <c r="AF87" s="111"/>
      <c r="AG87" s="111"/>
      <c r="AH87" s="545"/>
      <c r="AI87" s="131"/>
      <c r="AK87" s="111"/>
      <c r="AL87" s="111"/>
      <c r="AM87" s="111"/>
      <c r="AN87" s="545"/>
      <c r="AO87" s="131"/>
      <c r="AQ87" s="111"/>
      <c r="AR87" s="111"/>
      <c r="AS87" s="111"/>
      <c r="AT87" s="545"/>
      <c r="AU87" s="131"/>
      <c r="AW87" s="111"/>
      <c r="AX87" s="111"/>
      <c r="AY87" s="111"/>
      <c r="AZ87" s="545"/>
      <c r="BA87" s="131"/>
    </row>
    <row r="88" spans="1:53" ht="17.100000000000001" customHeight="1" x14ac:dyDescent="0.25">
      <c r="A88" s="40"/>
      <c r="B88" s="40"/>
      <c r="C88" s="77"/>
      <c r="D88" s="78"/>
      <c r="E88" s="78"/>
      <c r="F88" s="78"/>
      <c r="G88" s="78"/>
      <c r="H88" s="242"/>
      <c r="I88" s="230"/>
      <c r="J88" s="80"/>
      <c r="K88" s="80"/>
      <c r="L88" s="81"/>
      <c r="M88" s="81"/>
      <c r="N88" s="81"/>
      <c r="O88" s="81"/>
      <c r="P88" s="82">
        <f>SUM(P84:P87)</f>
        <v>0</v>
      </c>
      <c r="Q88" s="81"/>
      <c r="R88" s="81"/>
      <c r="S88" s="82">
        <f>SUM(S84:S87)</f>
        <v>0</v>
      </c>
      <c r="T88" s="81"/>
      <c r="U88" s="81"/>
      <c r="V88" s="360">
        <f>SUM(V84:V87)</f>
        <v>0</v>
      </c>
      <c r="W88" s="381"/>
      <c r="X88" s="82"/>
      <c r="Y88" s="82">
        <f t="shared" ref="Y88" si="80">SUM(Y84:Y87)</f>
        <v>0</v>
      </c>
      <c r="Z88" s="205">
        <f t="shared" si="79"/>
        <v>0</v>
      </c>
      <c r="AA88" s="205"/>
      <c r="AB88" s="205"/>
      <c r="AC88" s="83"/>
      <c r="AE88" s="81"/>
      <c r="AF88" s="81"/>
      <c r="AG88" s="81"/>
      <c r="AH88" s="82"/>
      <c r="AI88" s="66"/>
      <c r="AK88" s="81"/>
      <c r="AL88" s="81"/>
      <c r="AM88" s="81"/>
      <c r="AN88" s="82"/>
      <c r="AO88" s="66"/>
      <c r="AQ88" s="81"/>
      <c r="AR88" s="81"/>
      <c r="AS88" s="81"/>
      <c r="AT88" s="82"/>
      <c r="AU88" s="66"/>
      <c r="AW88" s="81"/>
      <c r="AX88" s="81"/>
      <c r="AY88" s="81"/>
      <c r="AZ88" s="82"/>
      <c r="BA88" s="66"/>
    </row>
    <row r="89" spans="1:53" s="117" customFormat="1" ht="17.100000000000001" customHeight="1" x14ac:dyDescent="0.25">
      <c r="A89" s="119"/>
      <c r="B89" s="119"/>
      <c r="C89" s="540"/>
      <c r="D89" s="212"/>
      <c r="E89" s="212"/>
      <c r="F89" s="212"/>
      <c r="G89" s="212"/>
      <c r="H89" s="242"/>
      <c r="I89" s="230"/>
      <c r="J89" s="17"/>
      <c r="K89" s="17"/>
      <c r="L89" s="17"/>
      <c r="M89" s="17"/>
      <c r="N89" s="17"/>
      <c r="O89" s="17"/>
      <c r="P89" s="359" t="str">
        <f>IF(P$20=0,"",IF(P88=1,"OK","NOK"))</f>
        <v/>
      </c>
      <c r="Q89" s="17"/>
      <c r="R89" s="17"/>
      <c r="S89" s="359" t="str">
        <f>IF(S$20=0,"",IF(S88=1,"OK","NOK"))</f>
        <v/>
      </c>
      <c r="T89" s="17"/>
      <c r="U89" s="17"/>
      <c r="V89" s="359" t="str">
        <f>IF(V$20=0,"",IF(V88=1,"OK","NOK"))</f>
        <v/>
      </c>
      <c r="W89" s="382"/>
      <c r="X89" s="539"/>
      <c r="Y89" s="539"/>
      <c r="Z89" s="201"/>
      <c r="AA89" s="201"/>
      <c r="AB89" s="201"/>
      <c r="AC89" s="84"/>
      <c r="AE89" s="17"/>
      <c r="AF89" s="17"/>
      <c r="AG89" s="17"/>
      <c r="AH89" s="539"/>
      <c r="AI89" s="91"/>
      <c r="AK89" s="17"/>
      <c r="AL89" s="17"/>
      <c r="AM89" s="17"/>
      <c r="AN89" s="539"/>
      <c r="AO89" s="91"/>
      <c r="AQ89" s="17"/>
      <c r="AR89" s="17"/>
      <c r="AS89" s="17"/>
      <c r="AT89" s="539"/>
      <c r="AU89" s="91"/>
      <c r="AW89" s="17"/>
      <c r="AX89" s="17"/>
      <c r="AY89" s="17"/>
      <c r="AZ89" s="539"/>
      <c r="BA89" s="91"/>
    </row>
    <row r="90" spans="1:53" ht="17.100000000000001" customHeight="1" x14ac:dyDescent="0.25">
      <c r="A90" s="68"/>
      <c r="B90" s="41" t="s">
        <v>63</v>
      </c>
      <c r="C90" s="69" t="s">
        <v>64</v>
      </c>
      <c r="D90" s="50"/>
      <c r="E90" s="70"/>
      <c r="F90" s="70"/>
      <c r="G90" s="70"/>
      <c r="H90" s="119"/>
      <c r="J90" s="71"/>
      <c r="K90" s="71"/>
      <c r="L90" s="71"/>
      <c r="M90" s="71"/>
      <c r="N90" s="71"/>
      <c r="O90" s="71"/>
      <c r="P90" s="71"/>
      <c r="Q90" s="71"/>
      <c r="R90" s="71"/>
      <c r="S90" s="71"/>
      <c r="T90" s="71"/>
      <c r="U90" s="71"/>
      <c r="V90" s="355"/>
      <c r="W90" s="377"/>
      <c r="X90" s="71"/>
      <c r="Y90" s="72"/>
      <c r="Z90" s="73"/>
      <c r="AA90" s="73"/>
      <c r="AB90" s="73"/>
      <c r="AC90" s="73"/>
      <c r="AE90" s="71"/>
      <c r="AF90" s="71"/>
      <c r="AG90" s="71"/>
      <c r="AH90" s="72"/>
      <c r="AI90" s="73"/>
      <c r="AK90" s="71"/>
      <c r="AL90" s="71"/>
      <c r="AM90" s="71"/>
      <c r="AN90" s="72"/>
      <c r="AO90" s="73"/>
      <c r="AQ90" s="71"/>
      <c r="AR90" s="71"/>
      <c r="AS90" s="71"/>
      <c r="AT90" s="72"/>
      <c r="AU90" s="73"/>
      <c r="AW90" s="71"/>
      <c r="AX90" s="71"/>
      <c r="AY90" s="71"/>
      <c r="AZ90" s="72"/>
      <c r="BA90" s="73"/>
    </row>
    <row r="91" spans="1:53" ht="17.100000000000001" customHeight="1" x14ac:dyDescent="0.25">
      <c r="A91" s="102"/>
      <c r="B91" s="102"/>
      <c r="C91" s="103" t="s">
        <v>65</v>
      </c>
      <c r="D91" s="108" t="s">
        <v>66</v>
      </c>
      <c r="E91" s="108"/>
      <c r="F91" s="108"/>
      <c r="G91" s="108"/>
      <c r="H91" s="258"/>
      <c r="I91" s="232"/>
      <c r="J91" s="111"/>
      <c r="K91" s="111"/>
      <c r="L91" s="111"/>
      <c r="M91" s="111"/>
      <c r="N91" s="111"/>
      <c r="O91" s="111"/>
      <c r="P91" s="111"/>
      <c r="Q91" s="111"/>
      <c r="R91" s="111"/>
      <c r="S91" s="111"/>
      <c r="T91" s="111"/>
      <c r="U91" s="111"/>
      <c r="V91" s="358"/>
      <c r="W91" s="380"/>
      <c r="X91" s="111"/>
      <c r="Y91" s="112"/>
      <c r="Z91" s="113"/>
      <c r="AA91" s="113"/>
      <c r="AB91" s="113"/>
      <c r="AC91" s="113"/>
      <c r="AE91" s="114"/>
      <c r="AF91" s="114"/>
      <c r="AG91" s="114"/>
      <c r="AH91" s="112"/>
      <c r="AI91" s="113"/>
      <c r="AK91" s="114"/>
      <c r="AL91" s="114"/>
      <c r="AM91" s="114"/>
      <c r="AN91" s="112"/>
      <c r="AO91" s="113"/>
      <c r="AQ91" s="114"/>
      <c r="AR91" s="114"/>
      <c r="AS91" s="114"/>
      <c r="AT91" s="112"/>
      <c r="AU91" s="113"/>
      <c r="AW91" s="114"/>
      <c r="AX91" s="114"/>
      <c r="AY91" s="114"/>
      <c r="AZ91" s="112"/>
      <c r="BA91" s="113"/>
    </row>
    <row r="92" spans="1:53" ht="17.100000000000001" customHeight="1" x14ac:dyDescent="0.25">
      <c r="A92" s="102"/>
      <c r="B92" s="118"/>
      <c r="C92" s="118"/>
      <c r="D92" s="103" t="s">
        <v>67</v>
      </c>
      <c r="E92" s="110" t="s">
        <v>68</v>
      </c>
      <c r="F92" s="313"/>
      <c r="G92" s="314"/>
      <c r="H92" s="259"/>
      <c r="I92" s="233"/>
      <c r="J92" s="152"/>
      <c r="K92" s="152"/>
      <c r="L92" s="152"/>
      <c r="M92" s="152"/>
      <c r="N92" s="152"/>
      <c r="O92" s="111"/>
      <c r="P92" s="60"/>
      <c r="Q92" s="152"/>
      <c r="R92" s="111"/>
      <c r="S92" s="60"/>
      <c r="T92" s="152"/>
      <c r="U92" s="111"/>
      <c r="V92" s="361"/>
      <c r="W92" s="391"/>
      <c r="X92" s="17"/>
      <c r="Y92" s="18">
        <f>M92+P92+S92+V92</f>
        <v>0</v>
      </c>
      <c r="Z92" s="19">
        <f>IF(Y$96=0,0,Y92/Y$96)</f>
        <v>0</v>
      </c>
      <c r="AA92" s="19"/>
      <c r="AB92" s="19"/>
      <c r="AC92" s="20"/>
      <c r="AE92" s="111"/>
      <c r="AF92" s="111"/>
      <c r="AG92" s="111"/>
      <c r="AH92" s="545"/>
      <c r="AI92" s="131"/>
      <c r="AK92" s="111"/>
      <c r="AL92" s="111"/>
      <c r="AM92" s="111"/>
      <c r="AN92" s="545"/>
      <c r="AO92" s="131"/>
      <c r="AQ92" s="111"/>
      <c r="AR92" s="111"/>
      <c r="AS92" s="111"/>
      <c r="AT92" s="545"/>
      <c r="AU92" s="131"/>
      <c r="AW92" s="111"/>
      <c r="AX92" s="111"/>
      <c r="AY92" s="111"/>
      <c r="AZ92" s="545"/>
      <c r="BA92" s="131"/>
    </row>
    <row r="93" spans="1:53" ht="17.100000000000001" customHeight="1" x14ac:dyDescent="0.25">
      <c r="A93" s="102"/>
      <c r="B93" s="118"/>
      <c r="C93" s="118"/>
      <c r="D93" s="103" t="s">
        <v>69</v>
      </c>
      <c r="E93" s="110" t="s">
        <v>70</v>
      </c>
      <c r="F93" s="226"/>
      <c r="G93" s="226"/>
      <c r="H93" s="260"/>
      <c r="I93" s="234"/>
      <c r="J93" s="152"/>
      <c r="K93" s="152"/>
      <c r="L93" s="111"/>
      <c r="M93" s="111"/>
      <c r="N93" s="152"/>
      <c r="O93" s="111"/>
      <c r="P93" s="61"/>
      <c r="Q93" s="152"/>
      <c r="R93" s="111"/>
      <c r="S93" s="61"/>
      <c r="T93" s="152"/>
      <c r="U93" s="111"/>
      <c r="V93" s="362"/>
      <c r="W93" s="391"/>
      <c r="X93" s="17"/>
      <c r="Y93" s="18">
        <f t="shared" ref="Y93:Y95" si="81">M93+P93+S93+V93</f>
        <v>0</v>
      </c>
      <c r="Z93" s="19">
        <f t="shared" ref="Z93:Z96" si="82">IF(Y$96=0,0,Y93/Y$96)</f>
        <v>0</v>
      </c>
      <c r="AA93" s="19"/>
      <c r="AB93" s="19"/>
      <c r="AC93" s="20"/>
      <c r="AE93" s="111"/>
      <c r="AF93" s="111"/>
      <c r="AG93" s="111"/>
      <c r="AH93" s="545"/>
      <c r="AI93" s="131"/>
      <c r="AK93" s="111"/>
      <c r="AL93" s="111"/>
      <c r="AM93" s="111"/>
      <c r="AN93" s="545"/>
      <c r="AO93" s="131"/>
      <c r="AQ93" s="111"/>
      <c r="AR93" s="111"/>
      <c r="AS93" s="111"/>
      <c r="AT93" s="545"/>
      <c r="AU93" s="131"/>
      <c r="AW93" s="111"/>
      <c r="AX93" s="111"/>
      <c r="AY93" s="111"/>
      <c r="AZ93" s="545"/>
      <c r="BA93" s="131"/>
    </row>
    <row r="94" spans="1:53" ht="17.100000000000001" customHeight="1" x14ac:dyDescent="0.25">
      <c r="A94" s="102"/>
      <c r="B94" s="118"/>
      <c r="C94" s="118"/>
      <c r="D94" s="103" t="s">
        <v>71</v>
      </c>
      <c r="E94" s="110" t="s">
        <v>72</v>
      </c>
      <c r="F94" s="226"/>
      <c r="G94" s="226"/>
      <c r="H94" s="260"/>
      <c r="I94" s="234"/>
      <c r="J94" s="152"/>
      <c r="K94" s="152"/>
      <c r="L94" s="111"/>
      <c r="M94" s="111"/>
      <c r="N94" s="152"/>
      <c r="O94" s="111"/>
      <c r="P94" s="60"/>
      <c r="Q94" s="152"/>
      <c r="R94" s="111"/>
      <c r="S94" s="60"/>
      <c r="T94" s="152"/>
      <c r="U94" s="111"/>
      <c r="V94" s="361"/>
      <c r="W94" s="391"/>
      <c r="X94" s="17"/>
      <c r="Y94" s="18">
        <f t="shared" si="81"/>
        <v>0</v>
      </c>
      <c r="Z94" s="19">
        <f t="shared" si="82"/>
        <v>0</v>
      </c>
      <c r="AA94" s="19"/>
      <c r="AB94" s="19"/>
      <c r="AC94" s="20"/>
      <c r="AE94" s="111"/>
      <c r="AF94" s="111"/>
      <c r="AG94" s="111"/>
      <c r="AH94" s="545"/>
      <c r="AI94" s="131"/>
      <c r="AK94" s="111"/>
      <c r="AL94" s="111"/>
      <c r="AM94" s="111"/>
      <c r="AN94" s="545"/>
      <c r="AO94" s="131"/>
      <c r="AQ94" s="111"/>
      <c r="AR94" s="111"/>
      <c r="AS94" s="111"/>
      <c r="AT94" s="545"/>
      <c r="AU94" s="131"/>
      <c r="AW94" s="111"/>
      <c r="AX94" s="111"/>
      <c r="AY94" s="111"/>
      <c r="AZ94" s="545"/>
      <c r="BA94" s="131"/>
    </row>
    <row r="95" spans="1:53" ht="17.100000000000001" customHeight="1" x14ac:dyDescent="0.25">
      <c r="A95" s="102"/>
      <c r="B95" s="118"/>
      <c r="C95" s="118"/>
      <c r="D95" s="103" t="s">
        <v>73</v>
      </c>
      <c r="E95" s="278" t="s">
        <v>561</v>
      </c>
      <c r="F95" s="313"/>
      <c r="G95" s="314"/>
      <c r="H95" s="259"/>
      <c r="I95" s="233"/>
      <c r="J95" s="152"/>
      <c r="K95" s="152"/>
      <c r="L95" s="111"/>
      <c r="M95" s="111"/>
      <c r="N95" s="152"/>
      <c r="O95" s="111"/>
      <c r="P95" s="61"/>
      <c r="Q95" s="152"/>
      <c r="R95" s="111"/>
      <c r="S95" s="61"/>
      <c r="T95" s="152"/>
      <c r="U95" s="111"/>
      <c r="V95" s="362"/>
      <c r="W95" s="391"/>
      <c r="X95" s="17"/>
      <c r="Y95" s="18">
        <f t="shared" si="81"/>
        <v>0</v>
      </c>
      <c r="Z95" s="19">
        <f t="shared" si="82"/>
        <v>0</v>
      </c>
      <c r="AA95" s="19"/>
      <c r="AB95" s="19"/>
      <c r="AC95" s="20"/>
      <c r="AE95" s="111"/>
      <c r="AF95" s="111"/>
      <c r="AG95" s="111"/>
      <c r="AH95" s="545"/>
      <c r="AI95" s="131"/>
      <c r="AK95" s="111"/>
      <c r="AL95" s="111"/>
      <c r="AM95" s="111"/>
      <c r="AN95" s="545"/>
      <c r="AO95" s="131"/>
      <c r="AQ95" s="111"/>
      <c r="AR95" s="111"/>
      <c r="AS95" s="111"/>
      <c r="AT95" s="545"/>
      <c r="AU95" s="131"/>
      <c r="AW95" s="111"/>
      <c r="AX95" s="111"/>
      <c r="AY95" s="111"/>
      <c r="AZ95" s="545"/>
      <c r="BA95" s="131"/>
    </row>
    <row r="96" spans="1:53" ht="17.100000000000001" customHeight="1" x14ac:dyDescent="0.25">
      <c r="A96" s="40"/>
      <c r="B96" s="40"/>
      <c r="C96" s="77"/>
      <c r="D96" s="78"/>
      <c r="E96" s="78"/>
      <c r="F96" s="78"/>
      <c r="G96" s="78"/>
      <c r="H96" s="242"/>
      <c r="I96" s="230"/>
      <c r="J96" s="80"/>
      <c r="K96" s="80"/>
      <c r="L96" s="81"/>
      <c r="M96" s="81"/>
      <c r="N96" s="81"/>
      <c r="O96" s="81"/>
      <c r="P96" s="82">
        <f>SUM(P92:P95)</f>
        <v>0</v>
      </c>
      <c r="Q96" s="81"/>
      <c r="R96" s="81"/>
      <c r="S96" s="82">
        <f>SUM(S92:S95)</f>
        <v>0</v>
      </c>
      <c r="T96" s="81"/>
      <c r="U96" s="81"/>
      <c r="V96" s="360">
        <f>SUM(V92:V95)</f>
        <v>0</v>
      </c>
      <c r="W96" s="381"/>
      <c r="X96" s="82"/>
      <c r="Y96" s="82">
        <f t="shared" ref="Y96" si="83">SUM(Y92:Y95)</f>
        <v>0</v>
      </c>
      <c r="Z96" s="205">
        <f t="shared" si="82"/>
        <v>0</v>
      </c>
      <c r="AA96" s="205"/>
      <c r="AB96" s="205"/>
      <c r="AC96" s="83"/>
      <c r="AE96" s="81"/>
      <c r="AF96" s="81"/>
      <c r="AG96" s="81"/>
      <c r="AH96" s="82"/>
      <c r="AI96" s="66"/>
      <c r="AK96" s="81"/>
      <c r="AL96" s="81"/>
      <c r="AM96" s="81"/>
      <c r="AN96" s="82"/>
      <c r="AO96" s="66"/>
      <c r="AQ96" s="81"/>
      <c r="AR96" s="81"/>
      <c r="AS96" s="81"/>
      <c r="AT96" s="82"/>
      <c r="AU96" s="66"/>
      <c r="AW96" s="81"/>
      <c r="AX96" s="81"/>
      <c r="AY96" s="81"/>
      <c r="AZ96" s="82"/>
      <c r="BA96" s="66"/>
    </row>
    <row r="97" spans="1:53" s="117" customFormat="1" ht="17.100000000000001" customHeight="1" x14ac:dyDescent="0.25">
      <c r="A97" s="119"/>
      <c r="B97" s="119"/>
      <c r="C97" s="540"/>
      <c r="D97" s="212"/>
      <c r="E97" s="212"/>
      <c r="F97" s="212"/>
      <c r="G97" s="212"/>
      <c r="H97" s="242"/>
      <c r="I97" s="230"/>
      <c r="J97" s="17"/>
      <c r="K97" s="17"/>
      <c r="L97" s="17"/>
      <c r="M97" s="17"/>
      <c r="N97" s="17"/>
      <c r="O97" s="17"/>
      <c r="P97" s="359" t="str">
        <f>IF(P$20=0,"",IF(P96=1,"OK","NOK"))</f>
        <v/>
      </c>
      <c r="Q97" s="17"/>
      <c r="R97" s="17"/>
      <c r="S97" s="359" t="str">
        <f>IF(S$20=0,"",IF(S96=1,"OK","NOK"))</f>
        <v/>
      </c>
      <c r="T97" s="17"/>
      <c r="U97" s="17"/>
      <c r="V97" s="359" t="str">
        <f>IF(V$20=0,"",IF(V96=1,"OK","NOK"))</f>
        <v/>
      </c>
      <c r="W97" s="382"/>
      <c r="X97" s="539"/>
      <c r="Y97" s="539"/>
      <c r="Z97" s="201"/>
      <c r="AA97" s="201"/>
      <c r="AB97" s="201"/>
      <c r="AC97" s="84"/>
      <c r="AE97" s="17"/>
      <c r="AF97" s="17"/>
      <c r="AG97" s="17"/>
      <c r="AH97" s="539"/>
      <c r="AI97" s="91"/>
      <c r="AK97" s="17"/>
      <c r="AL97" s="17"/>
      <c r="AM97" s="17"/>
      <c r="AN97" s="539"/>
      <c r="AO97" s="91"/>
      <c r="AQ97" s="17"/>
      <c r="AR97" s="17"/>
      <c r="AS97" s="17"/>
      <c r="AT97" s="539"/>
      <c r="AU97" s="91"/>
      <c r="AW97" s="17"/>
      <c r="AX97" s="17"/>
      <c r="AY97" s="17"/>
      <c r="AZ97" s="539"/>
      <c r="BA97" s="91"/>
    </row>
    <row r="98" spans="1:53" ht="17.100000000000001" customHeight="1" x14ac:dyDescent="0.25">
      <c r="A98" s="68"/>
      <c r="B98" s="41" t="s">
        <v>74</v>
      </c>
      <c r="C98" s="69" t="s">
        <v>12</v>
      </c>
      <c r="D98" s="50"/>
      <c r="E98" s="70"/>
      <c r="F98" s="70"/>
      <c r="G98" s="70"/>
      <c r="H98" s="119"/>
      <c r="J98" s="71"/>
      <c r="K98" s="71"/>
      <c r="L98" s="71"/>
      <c r="M98" s="71"/>
      <c r="N98" s="71"/>
      <c r="O98" s="71"/>
      <c r="P98" s="71"/>
      <c r="Q98" s="71"/>
      <c r="R98" s="71"/>
      <c r="S98" s="71"/>
      <c r="T98" s="71"/>
      <c r="U98" s="71"/>
      <c r="V98" s="355"/>
      <c r="W98" s="377"/>
      <c r="X98" s="71"/>
      <c r="Y98" s="72"/>
      <c r="Z98" s="73"/>
      <c r="AA98" s="73"/>
      <c r="AB98" s="73"/>
      <c r="AC98" s="73"/>
      <c r="AE98" s="71"/>
      <c r="AF98" s="71"/>
      <c r="AG98" s="71"/>
      <c r="AH98" s="72"/>
      <c r="AI98" s="73"/>
      <c r="AK98" s="71"/>
      <c r="AL98" s="71"/>
      <c r="AM98" s="71"/>
      <c r="AN98" s="72"/>
      <c r="AO98" s="73"/>
      <c r="AQ98" s="71"/>
      <c r="AR98" s="71"/>
      <c r="AS98" s="71"/>
      <c r="AT98" s="72"/>
      <c r="AU98" s="73"/>
      <c r="AW98" s="71"/>
      <c r="AX98" s="71"/>
      <c r="AY98" s="71"/>
      <c r="AZ98" s="72"/>
      <c r="BA98" s="73"/>
    </row>
    <row r="99" spans="1:53" s="97" customFormat="1" ht="17.100000000000001" customHeight="1" x14ac:dyDescent="0.25">
      <c r="A99" s="119"/>
      <c r="B99" s="119"/>
      <c r="C99" s="120" t="s">
        <v>895</v>
      </c>
      <c r="D99" s="85"/>
      <c r="E99" s="75"/>
      <c r="F99" s="75"/>
      <c r="G99" s="75"/>
      <c r="H99" s="540"/>
      <c r="I99" s="229"/>
      <c r="J99" s="111"/>
      <c r="K99" s="111"/>
      <c r="L99" s="111"/>
      <c r="M99" s="111"/>
      <c r="N99" s="111"/>
      <c r="O99" s="111"/>
      <c r="P99" s="111"/>
      <c r="Q99" s="111"/>
      <c r="R99" s="111"/>
      <c r="S99" s="111"/>
      <c r="T99" s="111"/>
      <c r="U99" s="111"/>
      <c r="V99" s="358"/>
      <c r="W99" s="380"/>
      <c r="X99" s="111"/>
      <c r="Y99" s="112"/>
      <c r="Z99" s="113"/>
      <c r="AA99" s="113"/>
      <c r="AB99" s="113"/>
      <c r="AC99" s="113"/>
      <c r="AE99" s="114"/>
      <c r="AF99" s="114"/>
      <c r="AG99" s="114"/>
      <c r="AH99" s="112"/>
      <c r="AI99" s="113"/>
      <c r="AK99" s="114"/>
      <c r="AL99" s="114"/>
      <c r="AM99" s="114"/>
      <c r="AN99" s="112"/>
      <c r="AO99" s="113"/>
      <c r="AQ99" s="114"/>
      <c r="AR99" s="114"/>
      <c r="AS99" s="114"/>
      <c r="AT99" s="112"/>
      <c r="AU99" s="113"/>
      <c r="AW99" s="114"/>
      <c r="AX99" s="114"/>
      <c r="AY99" s="114"/>
      <c r="AZ99" s="112"/>
      <c r="BA99" s="113"/>
    </row>
    <row r="100" spans="1:53" s="97" customFormat="1" ht="17.100000000000001" customHeight="1" x14ac:dyDescent="0.25">
      <c r="A100" s="119"/>
      <c r="B100" s="119"/>
      <c r="C100" s="540"/>
      <c r="D100" s="121" t="s">
        <v>75</v>
      </c>
      <c r="E100" s="122"/>
      <c r="F100" s="122"/>
      <c r="G100" s="122"/>
      <c r="H100" s="540"/>
      <c r="I100" s="229"/>
      <c r="J100" s="123"/>
      <c r="K100" s="123"/>
      <c r="L100" s="123"/>
      <c r="M100" s="123"/>
      <c r="N100" s="123"/>
      <c r="O100" s="123"/>
      <c r="P100" s="123"/>
      <c r="Q100" s="123"/>
      <c r="R100" s="123"/>
      <c r="S100" s="123"/>
      <c r="T100" s="123"/>
      <c r="U100" s="123"/>
      <c r="V100" s="363"/>
      <c r="W100" s="383"/>
      <c r="X100" s="123"/>
      <c r="Y100" s="124"/>
      <c r="Z100" s="125"/>
      <c r="AA100" s="125"/>
      <c r="AB100" s="125"/>
      <c r="AC100" s="125"/>
      <c r="AE100" s="126"/>
      <c r="AF100" s="126"/>
      <c r="AG100" s="126"/>
      <c r="AH100" s="124"/>
      <c r="AI100" s="125"/>
      <c r="AK100" s="126"/>
      <c r="AL100" s="126"/>
      <c r="AM100" s="126"/>
      <c r="AN100" s="124"/>
      <c r="AO100" s="125"/>
      <c r="AQ100" s="126"/>
      <c r="AR100" s="126"/>
      <c r="AS100" s="126"/>
      <c r="AT100" s="124"/>
      <c r="AU100" s="125"/>
      <c r="AW100" s="126"/>
      <c r="AX100" s="126"/>
      <c r="AY100" s="126"/>
      <c r="AZ100" s="124"/>
      <c r="BA100" s="125"/>
    </row>
    <row r="101" spans="1:53" s="97" customFormat="1" ht="17.100000000000001" customHeight="1" x14ac:dyDescent="0.25">
      <c r="A101" s="137"/>
      <c r="B101" s="137"/>
      <c r="C101" s="928"/>
      <c r="D101" s="941" t="s">
        <v>1438</v>
      </c>
      <c r="E101" s="122"/>
      <c r="F101" s="122"/>
      <c r="G101" s="122"/>
      <c r="H101" s="928"/>
      <c r="I101" s="229"/>
      <c r="J101" s="123"/>
      <c r="K101" s="123"/>
      <c r="L101" s="123"/>
      <c r="M101" s="123"/>
      <c r="N101" s="123">
        <f>N40</f>
        <v>0</v>
      </c>
      <c r="O101" s="123">
        <f>O40</f>
        <v>0</v>
      </c>
      <c r="P101" s="942">
        <f>SUM(N101:O101)</f>
        <v>0</v>
      </c>
      <c r="Q101" s="123">
        <f>Q40</f>
        <v>0</v>
      </c>
      <c r="R101" s="123">
        <f>R40</f>
        <v>0</v>
      </c>
      <c r="S101" s="942">
        <f>SUM(Q101:R101)</f>
        <v>0</v>
      </c>
      <c r="T101" s="123">
        <f>T40</f>
        <v>0</v>
      </c>
      <c r="U101" s="123">
        <f>U40</f>
        <v>0</v>
      </c>
      <c r="V101" s="942">
        <f>SUM(T101:U101)</f>
        <v>0</v>
      </c>
      <c r="W101" s="383"/>
      <c r="X101" s="123"/>
      <c r="Y101" s="129"/>
      <c r="Z101" s="125"/>
      <c r="AA101" s="125"/>
      <c r="AB101" s="125"/>
      <c r="AC101" s="125"/>
      <c r="AE101" s="126"/>
      <c r="AF101" s="126"/>
      <c r="AG101" s="126"/>
      <c r="AH101" s="124"/>
      <c r="AI101" s="125"/>
      <c r="AK101" s="126"/>
      <c r="AL101" s="126"/>
      <c r="AM101" s="126"/>
      <c r="AN101" s="124"/>
      <c r="AO101" s="125"/>
      <c r="AQ101" s="126"/>
      <c r="AR101" s="126"/>
      <c r="AS101" s="126"/>
      <c r="AT101" s="124"/>
      <c r="AU101" s="125"/>
      <c r="AW101" s="126"/>
      <c r="AX101" s="126"/>
      <c r="AY101" s="126"/>
      <c r="AZ101" s="124"/>
      <c r="BA101" s="125"/>
    </row>
    <row r="102" spans="1:53" s="97" customFormat="1" ht="17.100000000000001" customHeight="1" x14ac:dyDescent="0.25">
      <c r="A102" s="137"/>
      <c r="B102" s="119"/>
      <c r="C102" s="928"/>
      <c r="D102" s="127" t="s">
        <v>76</v>
      </c>
      <c r="E102" s="128"/>
      <c r="F102" s="122"/>
      <c r="G102" s="122"/>
      <c r="H102" s="928"/>
      <c r="I102" s="229"/>
      <c r="J102" s="123"/>
      <c r="K102" s="123"/>
      <c r="L102" s="123"/>
      <c r="M102" s="123"/>
      <c r="N102" s="943">
        <f>N63</f>
        <v>0</v>
      </c>
      <c r="O102" s="943">
        <f>O63</f>
        <v>0</v>
      </c>
      <c r="P102" s="942">
        <f>SUM(N102:O102)</f>
        <v>0</v>
      </c>
      <c r="Q102" s="943">
        <f>Q63</f>
        <v>0</v>
      </c>
      <c r="R102" s="943">
        <f>R63</f>
        <v>0</v>
      </c>
      <c r="S102" s="942">
        <f>SUM(Q102:R102)</f>
        <v>0</v>
      </c>
      <c r="T102" s="943">
        <f>T63</f>
        <v>0</v>
      </c>
      <c r="U102" s="943">
        <f>U63</f>
        <v>0</v>
      </c>
      <c r="V102" s="942">
        <f>SUM(T102:U102)</f>
        <v>0</v>
      </c>
      <c r="W102" s="383"/>
      <c r="X102" s="123"/>
      <c r="Y102" s="129"/>
      <c r="Z102" s="125"/>
      <c r="AA102" s="125"/>
      <c r="AB102" s="125"/>
      <c r="AC102" s="125"/>
      <c r="AE102" s="123"/>
      <c r="AF102" s="123"/>
      <c r="AG102" s="123"/>
      <c r="AH102" s="124"/>
      <c r="AI102" s="125"/>
      <c r="AK102" s="123"/>
      <c r="AL102" s="123"/>
      <c r="AM102" s="123"/>
      <c r="AN102" s="124"/>
      <c r="AO102" s="125"/>
      <c r="AQ102" s="123"/>
      <c r="AR102" s="123"/>
      <c r="AS102" s="123"/>
      <c r="AT102" s="124"/>
      <c r="AU102" s="125"/>
      <c r="AW102" s="123"/>
      <c r="AX102" s="123"/>
      <c r="AY102" s="123"/>
      <c r="AZ102" s="124"/>
      <c r="BA102" s="125"/>
    </row>
    <row r="103" spans="1:53" s="97" customFormat="1" ht="17.100000000000001" customHeight="1" x14ac:dyDescent="0.25">
      <c r="A103" s="137"/>
      <c r="B103" s="119"/>
      <c r="C103" s="928"/>
      <c r="D103" s="127" t="s">
        <v>77</v>
      </c>
      <c r="E103" s="128"/>
      <c r="F103" s="122"/>
      <c r="G103" s="122"/>
      <c r="H103" s="928"/>
      <c r="I103" s="229"/>
      <c r="J103" s="123"/>
      <c r="K103" s="123"/>
      <c r="L103" s="123"/>
      <c r="M103" s="123"/>
      <c r="N103" s="943">
        <f>N64</f>
        <v>0</v>
      </c>
      <c r="O103" s="943">
        <f>O64</f>
        <v>0</v>
      </c>
      <c r="P103" s="942">
        <f t="shared" ref="P103:P107" si="84">SUM(N103:O103)</f>
        <v>0</v>
      </c>
      <c r="Q103" s="943">
        <f>Q64</f>
        <v>0</v>
      </c>
      <c r="R103" s="943">
        <f>R64</f>
        <v>0</v>
      </c>
      <c r="S103" s="942">
        <f t="shared" ref="S103:S107" si="85">SUM(Q103:R103)</f>
        <v>0</v>
      </c>
      <c r="T103" s="943">
        <f>T64</f>
        <v>0</v>
      </c>
      <c r="U103" s="943">
        <f>U64</f>
        <v>0</v>
      </c>
      <c r="V103" s="942">
        <f t="shared" ref="V103:V107" si="86">SUM(T103:U103)</f>
        <v>0</v>
      </c>
      <c r="W103" s="383"/>
      <c r="X103" s="123"/>
      <c r="Y103" s="129"/>
      <c r="Z103" s="125"/>
      <c r="AA103" s="125"/>
      <c r="AB103" s="125"/>
      <c r="AC103" s="125"/>
      <c r="AE103" s="123"/>
      <c r="AF103" s="123"/>
      <c r="AG103" s="123"/>
      <c r="AH103" s="124"/>
      <c r="AI103" s="125"/>
      <c r="AK103" s="123"/>
      <c r="AL103" s="123"/>
      <c r="AM103" s="123"/>
      <c r="AN103" s="124"/>
      <c r="AO103" s="125"/>
      <c r="AQ103" s="123"/>
      <c r="AR103" s="123"/>
      <c r="AS103" s="123"/>
      <c r="AT103" s="124"/>
      <c r="AU103" s="125"/>
      <c r="AW103" s="123"/>
      <c r="AX103" s="123"/>
      <c r="AY103" s="123"/>
      <c r="AZ103" s="124"/>
      <c r="BA103" s="125"/>
    </row>
    <row r="104" spans="1:53" s="97" customFormat="1" ht="17.100000000000001" customHeight="1" x14ac:dyDescent="0.25">
      <c r="A104" s="137"/>
      <c r="B104" s="119"/>
      <c r="C104" s="928"/>
      <c r="D104" s="127" t="s">
        <v>78</v>
      </c>
      <c r="E104" s="128"/>
      <c r="F104" s="122"/>
      <c r="G104" s="122"/>
      <c r="H104" s="928"/>
      <c r="I104" s="229"/>
      <c r="J104" s="123"/>
      <c r="K104" s="123"/>
      <c r="L104" s="123"/>
      <c r="M104" s="123"/>
      <c r="N104" s="943">
        <f>N71</f>
        <v>0</v>
      </c>
      <c r="O104" s="943">
        <f>O71</f>
        <v>0</v>
      </c>
      <c r="P104" s="942">
        <f t="shared" si="84"/>
        <v>0</v>
      </c>
      <c r="Q104" s="943">
        <f>Q71</f>
        <v>0</v>
      </c>
      <c r="R104" s="943">
        <f>R71</f>
        <v>0</v>
      </c>
      <c r="S104" s="942">
        <f t="shared" si="85"/>
        <v>0</v>
      </c>
      <c r="T104" s="943">
        <f>T71</f>
        <v>0</v>
      </c>
      <c r="U104" s="943">
        <f>U71</f>
        <v>0</v>
      </c>
      <c r="V104" s="942">
        <f t="shared" si="86"/>
        <v>0</v>
      </c>
      <c r="W104" s="383"/>
      <c r="X104" s="123"/>
      <c r="Y104" s="129"/>
      <c r="Z104" s="125"/>
      <c r="AA104" s="125"/>
      <c r="AB104" s="125"/>
      <c r="AC104" s="125"/>
      <c r="AE104" s="123"/>
      <c r="AF104" s="123"/>
      <c r="AG104" s="123"/>
      <c r="AH104" s="124"/>
      <c r="AI104" s="125"/>
      <c r="AK104" s="123"/>
      <c r="AL104" s="123"/>
      <c r="AM104" s="123"/>
      <c r="AN104" s="124"/>
      <c r="AO104" s="125"/>
      <c r="AQ104" s="123"/>
      <c r="AR104" s="123"/>
      <c r="AS104" s="123"/>
      <c r="AT104" s="124"/>
      <c r="AU104" s="125"/>
      <c r="AW104" s="123"/>
      <c r="AX104" s="123"/>
      <c r="AY104" s="123"/>
      <c r="AZ104" s="124"/>
      <c r="BA104" s="125"/>
    </row>
    <row r="105" spans="1:53" s="97" customFormat="1" ht="17.100000000000001" customHeight="1" x14ac:dyDescent="0.25">
      <c r="A105" s="137"/>
      <c r="B105" s="119"/>
      <c r="C105" s="928"/>
      <c r="D105" s="127" t="s">
        <v>79</v>
      </c>
      <c r="E105" s="122"/>
      <c r="F105" s="122"/>
      <c r="G105" s="122"/>
      <c r="H105" s="928"/>
      <c r="I105" s="229"/>
      <c r="J105" s="123"/>
      <c r="K105" s="123"/>
      <c r="L105" s="123"/>
      <c r="M105" s="123"/>
      <c r="N105" s="943">
        <f>N72</f>
        <v>0</v>
      </c>
      <c r="O105" s="943">
        <f>O72</f>
        <v>0</v>
      </c>
      <c r="P105" s="942">
        <f t="shared" si="84"/>
        <v>0</v>
      </c>
      <c r="Q105" s="943">
        <f>Q72</f>
        <v>0</v>
      </c>
      <c r="R105" s="943">
        <f>R72</f>
        <v>0</v>
      </c>
      <c r="S105" s="942">
        <f t="shared" si="85"/>
        <v>0</v>
      </c>
      <c r="T105" s="943">
        <f>T72</f>
        <v>0</v>
      </c>
      <c r="U105" s="943">
        <f>U72</f>
        <v>0</v>
      </c>
      <c r="V105" s="942">
        <f t="shared" si="86"/>
        <v>0</v>
      </c>
      <c r="W105" s="383"/>
      <c r="X105" s="123"/>
      <c r="Y105" s="129"/>
      <c r="Z105" s="125"/>
      <c r="AA105" s="125"/>
      <c r="AB105" s="125"/>
      <c r="AC105" s="125"/>
      <c r="AE105" s="123"/>
      <c r="AF105" s="123"/>
      <c r="AG105" s="123"/>
      <c r="AH105" s="124"/>
      <c r="AI105" s="125"/>
      <c r="AK105" s="123"/>
      <c r="AL105" s="123"/>
      <c r="AM105" s="123"/>
      <c r="AN105" s="124"/>
      <c r="AO105" s="125"/>
      <c r="AQ105" s="123"/>
      <c r="AR105" s="123"/>
      <c r="AS105" s="123"/>
      <c r="AT105" s="124"/>
      <c r="AU105" s="125"/>
      <c r="AW105" s="123"/>
      <c r="AX105" s="123"/>
      <c r="AY105" s="123"/>
      <c r="AZ105" s="124"/>
      <c r="BA105" s="125"/>
    </row>
    <row r="106" spans="1:53" s="97" customFormat="1" ht="17.100000000000001" customHeight="1" x14ac:dyDescent="0.25">
      <c r="A106" s="137"/>
      <c r="B106" s="137"/>
      <c r="C106" s="928"/>
      <c r="D106" s="127" t="s">
        <v>81</v>
      </c>
      <c r="E106" s="122"/>
      <c r="F106" s="122"/>
      <c r="G106" s="122"/>
      <c r="H106" s="928"/>
      <c r="I106" s="229"/>
      <c r="J106" s="123"/>
      <c r="K106" s="123"/>
      <c r="L106" s="123"/>
      <c r="M106" s="123"/>
      <c r="N106" s="943">
        <f>SUM(N101:N105)</f>
        <v>0</v>
      </c>
      <c r="O106" s="943">
        <f>SUM(O101:O105)</f>
        <v>0</v>
      </c>
      <c r="P106" s="942">
        <f t="shared" si="84"/>
        <v>0</v>
      </c>
      <c r="Q106" s="943">
        <f>SUM(Q101:Q105)</f>
        <v>0</v>
      </c>
      <c r="R106" s="943">
        <f>SUM(R101:R105)</f>
        <v>0</v>
      </c>
      <c r="S106" s="942">
        <f t="shared" si="85"/>
        <v>0</v>
      </c>
      <c r="T106" s="943">
        <f>SUM(T101:T105)</f>
        <v>0</v>
      </c>
      <c r="U106" s="943">
        <f>SUM(U101:U105)</f>
        <v>0</v>
      </c>
      <c r="V106" s="942">
        <f t="shared" si="86"/>
        <v>0</v>
      </c>
      <c r="W106" s="383"/>
      <c r="X106" s="123"/>
      <c r="Y106" s="129"/>
      <c r="Z106" s="125"/>
      <c r="AA106" s="125"/>
      <c r="AB106" s="125"/>
      <c r="AC106" s="125"/>
      <c r="AE106" s="123"/>
      <c r="AF106" s="123"/>
      <c r="AG106" s="123"/>
      <c r="AH106" s="124"/>
      <c r="AI106" s="125"/>
      <c r="AK106" s="123"/>
      <c r="AL106" s="123"/>
      <c r="AM106" s="123"/>
      <c r="AN106" s="124"/>
      <c r="AO106" s="125"/>
      <c r="AQ106" s="123"/>
      <c r="AR106" s="123"/>
      <c r="AS106" s="123"/>
      <c r="AT106" s="124"/>
      <c r="AU106" s="125"/>
      <c r="AW106" s="123"/>
      <c r="AX106" s="123"/>
      <c r="AY106" s="123"/>
      <c r="AZ106" s="124"/>
      <c r="BA106" s="125"/>
    </row>
    <row r="107" spans="1:53" s="97" customFormat="1" ht="17.100000000000001" customHeight="1" x14ac:dyDescent="0.25">
      <c r="A107" s="137"/>
      <c r="B107" s="137"/>
      <c r="C107" s="928"/>
      <c r="D107" s="127" t="s">
        <v>1439</v>
      </c>
      <c r="E107" s="122"/>
      <c r="F107" s="122"/>
      <c r="G107" s="122"/>
      <c r="H107" s="928"/>
      <c r="I107" s="229"/>
      <c r="J107" s="123"/>
      <c r="K107" s="123"/>
      <c r="L107" s="123"/>
      <c r="M107" s="123"/>
      <c r="N107" s="943">
        <f>N20*3</f>
        <v>0</v>
      </c>
      <c r="O107" s="943">
        <f>O20*3</f>
        <v>0</v>
      </c>
      <c r="P107" s="942">
        <f t="shared" si="84"/>
        <v>0</v>
      </c>
      <c r="Q107" s="943">
        <f>Q20*3</f>
        <v>0</v>
      </c>
      <c r="R107" s="943">
        <f>R20*3</f>
        <v>0</v>
      </c>
      <c r="S107" s="942">
        <f t="shared" si="85"/>
        <v>0</v>
      </c>
      <c r="T107" s="943">
        <f>T20*3</f>
        <v>0</v>
      </c>
      <c r="U107" s="943">
        <f>U20*3</f>
        <v>0</v>
      </c>
      <c r="V107" s="942">
        <f t="shared" si="86"/>
        <v>0</v>
      </c>
      <c r="W107" s="383"/>
      <c r="X107" s="123"/>
      <c r="Y107" s="129"/>
      <c r="Z107" s="125"/>
      <c r="AA107" s="125"/>
      <c r="AB107" s="125"/>
      <c r="AC107" s="125"/>
      <c r="AE107" s="123"/>
      <c r="AF107" s="123"/>
      <c r="AG107" s="123"/>
      <c r="AH107" s="124"/>
      <c r="AI107" s="125"/>
      <c r="AK107" s="123"/>
      <c r="AL107" s="123"/>
      <c r="AM107" s="123"/>
      <c r="AN107" s="124"/>
      <c r="AO107" s="125"/>
      <c r="AQ107" s="123"/>
      <c r="AR107" s="123"/>
      <c r="AS107" s="123"/>
      <c r="AT107" s="124"/>
      <c r="AU107" s="125"/>
      <c r="AW107" s="123"/>
      <c r="AX107" s="123"/>
      <c r="AY107" s="123"/>
      <c r="AZ107" s="124"/>
      <c r="BA107" s="125"/>
    </row>
    <row r="108" spans="1:53" s="97" customFormat="1" ht="17.100000000000001" customHeight="1" x14ac:dyDescent="0.25">
      <c r="A108" s="137"/>
      <c r="B108" s="137"/>
      <c r="C108" s="928"/>
      <c r="D108" s="127" t="s">
        <v>1440</v>
      </c>
      <c r="E108" s="122"/>
      <c r="F108" s="122"/>
      <c r="G108" s="122"/>
      <c r="H108" s="928"/>
      <c r="I108" s="229"/>
      <c r="J108" s="123"/>
      <c r="K108" s="123"/>
      <c r="L108" s="123"/>
      <c r="M108" s="123"/>
      <c r="N108" s="130">
        <f>IF(N107=0,0,N106/N107)</f>
        <v>0</v>
      </c>
      <c r="O108" s="130">
        <f t="shared" ref="O108:V108" si="87">IF(O107=0,0,O106/O107)</f>
        <v>0</v>
      </c>
      <c r="P108" s="130">
        <f t="shared" si="87"/>
        <v>0</v>
      </c>
      <c r="Q108" s="130">
        <f t="shared" si="87"/>
        <v>0</v>
      </c>
      <c r="R108" s="130">
        <f t="shared" si="87"/>
        <v>0</v>
      </c>
      <c r="S108" s="130">
        <f t="shared" si="87"/>
        <v>0</v>
      </c>
      <c r="T108" s="130">
        <f t="shared" si="87"/>
        <v>0</v>
      </c>
      <c r="U108" s="130">
        <f t="shared" si="87"/>
        <v>0</v>
      </c>
      <c r="V108" s="130">
        <f t="shared" si="87"/>
        <v>0</v>
      </c>
      <c r="W108" s="383"/>
      <c r="X108" s="123"/>
      <c r="Y108" s="129"/>
      <c r="Z108" s="125"/>
      <c r="AA108" s="125"/>
      <c r="AB108" s="125"/>
      <c r="AC108" s="125"/>
      <c r="AE108" s="123"/>
      <c r="AF108" s="123"/>
      <c r="AG108" s="123"/>
      <c r="AH108" s="124"/>
      <c r="AI108" s="125"/>
      <c r="AK108" s="123"/>
      <c r="AL108" s="123"/>
      <c r="AM108" s="123"/>
      <c r="AN108" s="124"/>
      <c r="AO108" s="125"/>
      <c r="AQ108" s="123"/>
      <c r="AR108" s="123"/>
      <c r="AS108" s="123"/>
      <c r="AT108" s="124"/>
      <c r="AU108" s="125"/>
      <c r="AW108" s="123"/>
      <c r="AX108" s="123"/>
      <c r="AY108" s="123"/>
      <c r="AZ108" s="124"/>
      <c r="BA108" s="125"/>
    </row>
    <row r="109" spans="1:53" s="97" customFormat="1" ht="17.100000000000001" customHeight="1" x14ac:dyDescent="0.25">
      <c r="A109" s="137"/>
      <c r="B109" s="119"/>
      <c r="C109" s="103" t="s">
        <v>80</v>
      </c>
      <c r="D109" s="85" t="s">
        <v>896</v>
      </c>
      <c r="E109" s="75"/>
      <c r="F109" s="75"/>
      <c r="G109" s="75"/>
      <c r="H109" s="1310"/>
      <c r="I109" s="229"/>
      <c r="J109" s="1309"/>
      <c r="K109" s="1309"/>
      <c r="L109" s="1309"/>
      <c r="M109" s="1309"/>
      <c r="N109" s="1309"/>
      <c r="O109" s="1309"/>
      <c r="P109" s="1309">
        <f>IF(P108&gt;=0.5,1,0)</f>
        <v>0</v>
      </c>
      <c r="Q109" s="1309"/>
      <c r="R109" s="1309"/>
      <c r="S109" s="1309">
        <f>IF(S108&gt;=0.5,1,0)</f>
        <v>0</v>
      </c>
      <c r="T109" s="1309"/>
      <c r="U109" s="1309"/>
      <c r="V109" s="1309">
        <f>IF(V108&gt;=0.5,1,0)</f>
        <v>0</v>
      </c>
      <c r="W109" s="382"/>
      <c r="X109" s="1309"/>
      <c r="Y109" s="1309">
        <f t="shared" ref="Y109" si="88">M109+P109+S109+V109</f>
        <v>0</v>
      </c>
      <c r="Z109" s="91"/>
      <c r="AA109" s="91"/>
      <c r="AB109" s="91"/>
      <c r="AC109" s="84"/>
      <c r="AE109" s="1309"/>
      <c r="AF109" s="1309"/>
      <c r="AG109" s="1309"/>
      <c r="AH109" s="1309"/>
      <c r="AI109" s="91"/>
      <c r="AK109" s="1309"/>
      <c r="AL109" s="1309"/>
      <c r="AM109" s="1309"/>
      <c r="AN109" s="1309"/>
      <c r="AO109" s="91"/>
      <c r="AQ109" s="1309"/>
      <c r="AR109" s="1309"/>
      <c r="AS109" s="1309"/>
      <c r="AT109" s="1309"/>
      <c r="AU109" s="91"/>
      <c r="AW109" s="1309"/>
      <c r="AX109" s="1309"/>
      <c r="AY109" s="1309"/>
      <c r="AZ109" s="1309"/>
      <c r="BA109" s="91"/>
    </row>
    <row r="110" spans="1:53" s="97" customFormat="1" ht="16.5" customHeight="1" x14ac:dyDescent="0.25">
      <c r="A110" s="119"/>
      <c r="B110" s="119"/>
      <c r="C110" s="928"/>
      <c r="D110" s="121" t="s">
        <v>82</v>
      </c>
      <c r="E110" s="122"/>
      <c r="F110" s="122"/>
      <c r="G110" s="122"/>
      <c r="H110" s="928"/>
      <c r="I110" s="229"/>
      <c r="J110" s="123"/>
      <c r="K110" s="123"/>
      <c r="L110" s="123"/>
      <c r="M110" s="123"/>
      <c r="N110" s="123"/>
      <c r="O110" s="123"/>
      <c r="P110" s="123"/>
      <c r="Q110" s="123"/>
      <c r="R110" s="123"/>
      <c r="S110" s="123"/>
      <c r="T110" s="123"/>
      <c r="U110" s="123"/>
      <c r="V110" s="363"/>
      <c r="W110" s="383"/>
      <c r="X110" s="123"/>
      <c r="Y110" s="124"/>
      <c r="Z110" s="125"/>
      <c r="AA110" s="125"/>
      <c r="AB110" s="125"/>
      <c r="AC110" s="125"/>
      <c r="AE110" s="126"/>
      <c r="AF110" s="126"/>
      <c r="AG110" s="126"/>
      <c r="AH110" s="124"/>
      <c r="AI110" s="125"/>
      <c r="AK110" s="126"/>
      <c r="AL110" s="126"/>
      <c r="AM110" s="126"/>
      <c r="AN110" s="124"/>
      <c r="AO110" s="125"/>
      <c r="AQ110" s="126"/>
      <c r="AR110" s="126"/>
      <c r="AS110" s="126"/>
      <c r="AT110" s="124"/>
      <c r="AU110" s="125"/>
      <c r="AW110" s="126"/>
      <c r="AX110" s="126"/>
      <c r="AY110" s="126"/>
      <c r="AZ110" s="124"/>
      <c r="BA110" s="125"/>
    </row>
    <row r="111" spans="1:53" s="97" customFormat="1" ht="17.100000000000001" customHeight="1" x14ac:dyDescent="0.25">
      <c r="A111" s="119"/>
      <c r="B111" s="119"/>
      <c r="C111" s="928"/>
      <c r="D111" s="127" t="s">
        <v>910</v>
      </c>
      <c r="E111" s="122"/>
      <c r="F111" s="122"/>
      <c r="G111" s="122"/>
      <c r="H111" s="928"/>
      <c r="I111" s="229"/>
      <c r="J111" s="123"/>
      <c r="K111" s="123"/>
      <c r="L111" s="123"/>
      <c r="M111" s="123"/>
      <c r="N111" s="123"/>
      <c r="O111" s="123"/>
      <c r="P111" s="129">
        <f>P80</f>
        <v>0</v>
      </c>
      <c r="Q111" s="123"/>
      <c r="R111" s="123"/>
      <c r="S111" s="129">
        <f>S80</f>
        <v>0</v>
      </c>
      <c r="T111" s="123"/>
      <c r="U111" s="123"/>
      <c r="V111" s="129">
        <f>V80</f>
        <v>0</v>
      </c>
      <c r="W111" s="383"/>
      <c r="X111" s="123"/>
      <c r="Y111" s="124"/>
      <c r="Z111" s="125"/>
      <c r="AA111" s="125"/>
      <c r="AB111" s="125"/>
      <c r="AC111" s="125"/>
      <c r="AE111" s="126"/>
      <c r="AF111" s="126"/>
      <c r="AG111" s="126"/>
      <c r="AH111" s="124"/>
      <c r="AI111" s="125"/>
      <c r="AK111" s="126"/>
      <c r="AL111" s="126"/>
      <c r="AM111" s="126"/>
      <c r="AN111" s="124"/>
      <c r="AO111" s="125"/>
      <c r="AQ111" s="126"/>
      <c r="AR111" s="126"/>
      <c r="AS111" s="126"/>
      <c r="AT111" s="124"/>
      <c r="AU111" s="125"/>
      <c r="AW111" s="126"/>
      <c r="AX111" s="126"/>
      <c r="AY111" s="126"/>
      <c r="AZ111" s="124"/>
      <c r="BA111" s="125"/>
    </row>
    <row r="112" spans="1:53" s="97" customFormat="1" ht="17.100000000000001" customHeight="1" x14ac:dyDescent="0.25">
      <c r="A112" s="119"/>
      <c r="B112" s="119"/>
      <c r="C112" s="928"/>
      <c r="D112" s="127" t="s">
        <v>83</v>
      </c>
      <c r="E112" s="122"/>
      <c r="F112" s="122"/>
      <c r="G112" s="122"/>
      <c r="H112" s="928"/>
      <c r="I112" s="229"/>
      <c r="J112" s="123"/>
      <c r="K112" s="123"/>
      <c r="L112" s="123"/>
      <c r="M112" s="123"/>
      <c r="N112" s="123"/>
      <c r="O112" s="123"/>
      <c r="P112" s="129">
        <f t="shared" ref="P112:P114" si="89">P85</f>
        <v>0</v>
      </c>
      <c r="Q112" s="123"/>
      <c r="R112" s="123"/>
      <c r="S112" s="129">
        <f>S85</f>
        <v>0</v>
      </c>
      <c r="T112" s="123"/>
      <c r="U112" s="123"/>
      <c r="V112" s="129">
        <f>V85</f>
        <v>0</v>
      </c>
      <c r="W112" s="383"/>
      <c r="X112" s="123"/>
      <c r="Y112" s="129"/>
      <c r="Z112" s="125"/>
      <c r="AA112" s="125"/>
      <c r="AB112" s="125"/>
      <c r="AC112" s="125"/>
      <c r="AE112" s="123"/>
      <c r="AF112" s="123"/>
      <c r="AG112" s="123"/>
      <c r="AH112" s="124"/>
      <c r="AI112" s="125"/>
      <c r="AK112" s="123"/>
      <c r="AL112" s="123"/>
      <c r="AM112" s="123"/>
      <c r="AN112" s="124"/>
      <c r="AO112" s="125"/>
      <c r="AQ112" s="123"/>
      <c r="AR112" s="123"/>
      <c r="AS112" s="123"/>
      <c r="AT112" s="124"/>
      <c r="AU112" s="125"/>
      <c r="AW112" s="123"/>
      <c r="AX112" s="123"/>
      <c r="AY112" s="123"/>
      <c r="AZ112" s="124"/>
      <c r="BA112" s="125"/>
    </row>
    <row r="113" spans="1:53" s="97" customFormat="1" ht="17.100000000000001" customHeight="1" x14ac:dyDescent="0.25">
      <c r="A113" s="119"/>
      <c r="B113" s="119"/>
      <c r="C113" s="928"/>
      <c r="D113" s="127" t="s">
        <v>84</v>
      </c>
      <c r="E113" s="122"/>
      <c r="F113" s="122"/>
      <c r="G113" s="122"/>
      <c r="H113" s="928"/>
      <c r="I113" s="229"/>
      <c r="J113" s="123"/>
      <c r="K113" s="123"/>
      <c r="L113" s="123"/>
      <c r="M113" s="123"/>
      <c r="N113" s="123"/>
      <c r="O113" s="123"/>
      <c r="P113" s="129">
        <f t="shared" si="89"/>
        <v>0</v>
      </c>
      <c r="Q113" s="123"/>
      <c r="R113" s="123"/>
      <c r="S113" s="129">
        <f>S86</f>
        <v>0</v>
      </c>
      <c r="T113" s="123"/>
      <c r="U113" s="123"/>
      <c r="V113" s="129">
        <f>V86</f>
        <v>0</v>
      </c>
      <c r="W113" s="383"/>
      <c r="X113" s="123"/>
      <c r="Y113" s="129"/>
      <c r="Z113" s="125"/>
      <c r="AA113" s="125"/>
      <c r="AB113" s="125"/>
      <c r="AC113" s="125"/>
      <c r="AE113" s="123"/>
      <c r="AF113" s="123"/>
      <c r="AG113" s="123"/>
      <c r="AH113" s="124"/>
      <c r="AI113" s="125"/>
      <c r="AK113" s="123"/>
      <c r="AL113" s="123"/>
      <c r="AM113" s="123"/>
      <c r="AN113" s="124"/>
      <c r="AO113" s="125"/>
      <c r="AQ113" s="123"/>
      <c r="AR113" s="123"/>
      <c r="AS113" s="123"/>
      <c r="AT113" s="124"/>
      <c r="AU113" s="125"/>
      <c r="AW113" s="123"/>
      <c r="AX113" s="123"/>
      <c r="AY113" s="123"/>
      <c r="AZ113" s="124"/>
      <c r="BA113" s="125"/>
    </row>
    <row r="114" spans="1:53" s="97" customFormat="1" ht="17.100000000000001" customHeight="1" x14ac:dyDescent="0.25">
      <c r="A114" s="119"/>
      <c r="B114" s="119"/>
      <c r="C114" s="928"/>
      <c r="D114" s="127" t="s">
        <v>85</v>
      </c>
      <c r="E114" s="122"/>
      <c r="F114" s="122"/>
      <c r="G114" s="122"/>
      <c r="H114" s="928"/>
      <c r="I114" s="229"/>
      <c r="J114" s="123"/>
      <c r="K114" s="123"/>
      <c r="L114" s="123"/>
      <c r="M114" s="123"/>
      <c r="N114" s="123"/>
      <c r="O114" s="123"/>
      <c r="P114" s="129">
        <f t="shared" si="89"/>
        <v>0</v>
      </c>
      <c r="Q114" s="123"/>
      <c r="R114" s="123"/>
      <c r="S114" s="129">
        <f>S87</f>
        <v>0</v>
      </c>
      <c r="T114" s="123"/>
      <c r="U114" s="123"/>
      <c r="V114" s="129">
        <f>V87</f>
        <v>0</v>
      </c>
      <c r="W114" s="383"/>
      <c r="X114" s="123"/>
      <c r="Y114" s="129"/>
      <c r="Z114" s="125"/>
      <c r="AA114" s="125"/>
      <c r="AB114" s="125"/>
      <c r="AC114" s="125"/>
      <c r="AE114" s="123"/>
      <c r="AF114" s="123"/>
      <c r="AG114" s="123"/>
      <c r="AH114" s="124"/>
      <c r="AI114" s="125"/>
      <c r="AK114" s="123"/>
      <c r="AL114" s="123"/>
      <c r="AM114" s="123"/>
      <c r="AN114" s="124"/>
      <c r="AO114" s="125"/>
      <c r="AQ114" s="123"/>
      <c r="AR114" s="123"/>
      <c r="AS114" s="123"/>
      <c r="AT114" s="124"/>
      <c r="AU114" s="125"/>
      <c r="AW114" s="123"/>
      <c r="AX114" s="123"/>
      <c r="AY114" s="123"/>
      <c r="AZ114" s="124"/>
      <c r="BA114" s="125"/>
    </row>
    <row r="115" spans="1:53" s="97" customFormat="1" ht="17.100000000000001" customHeight="1" x14ac:dyDescent="0.25">
      <c r="A115" s="119"/>
      <c r="B115" s="119"/>
      <c r="C115" s="103" t="s">
        <v>86</v>
      </c>
      <c r="D115" s="85" t="s">
        <v>907</v>
      </c>
      <c r="E115" s="75"/>
      <c r="F115" s="75"/>
      <c r="G115" s="75"/>
      <c r="H115" s="540"/>
      <c r="I115" s="229"/>
      <c r="J115" s="545"/>
      <c r="K115" s="545"/>
      <c r="L115" s="545"/>
      <c r="M115" s="545"/>
      <c r="N115" s="545"/>
      <c r="O115" s="545"/>
      <c r="P115" s="545"/>
      <c r="Q115" s="545"/>
      <c r="R115" s="545"/>
      <c r="S115" s="545"/>
      <c r="T115" s="545"/>
      <c r="U115" s="545"/>
      <c r="V115" s="545"/>
      <c r="W115" s="385"/>
      <c r="X115" s="545"/>
      <c r="Y115" s="545"/>
      <c r="Z115" s="131"/>
      <c r="AA115" s="131"/>
      <c r="AB115" s="131"/>
      <c r="AC115" s="113"/>
      <c r="AE115" s="539"/>
      <c r="AF115" s="539"/>
      <c r="AG115" s="539"/>
      <c r="AH115" s="539"/>
      <c r="AI115" s="91"/>
      <c r="AK115" s="539"/>
      <c r="AL115" s="539"/>
      <c r="AM115" s="539"/>
      <c r="AN115" s="539"/>
      <c r="AO115" s="91"/>
      <c r="AQ115" s="539"/>
      <c r="AR115" s="539"/>
      <c r="AS115" s="539"/>
      <c r="AT115" s="539"/>
      <c r="AU115" s="91"/>
      <c r="AW115" s="539"/>
      <c r="AX115" s="539"/>
      <c r="AY115" s="539"/>
      <c r="AZ115" s="539"/>
      <c r="BA115" s="91"/>
    </row>
    <row r="116" spans="1:53" s="97" customFormat="1" ht="17.100000000000001" customHeight="1" x14ac:dyDescent="0.25">
      <c r="A116" s="119"/>
      <c r="B116" s="119"/>
      <c r="C116" s="119"/>
      <c r="D116" s="74" t="s">
        <v>905</v>
      </c>
      <c r="E116" s="75" t="s">
        <v>908</v>
      </c>
      <c r="F116" s="75"/>
      <c r="G116" s="75"/>
      <c r="H116" s="540"/>
      <c r="I116" s="229"/>
      <c r="J116" s="539"/>
      <c r="K116" s="539"/>
      <c r="L116" s="539"/>
      <c r="M116" s="539"/>
      <c r="N116" s="539"/>
      <c r="O116" s="539"/>
      <c r="P116" s="539">
        <f>IF(SUM(P111:P112)&gt;=1,1,0)</f>
        <v>0</v>
      </c>
      <c r="Q116" s="539"/>
      <c r="R116" s="539"/>
      <c r="S116" s="539">
        <f>IF(SUM(S111:S112)&gt;=1,1,0)</f>
        <v>0</v>
      </c>
      <c r="T116" s="539"/>
      <c r="U116" s="539"/>
      <c r="V116" s="539">
        <f>IF(SUM(V111:V112)&gt;=1,1,0)</f>
        <v>0</v>
      </c>
      <c r="W116" s="382"/>
      <c r="X116" s="539"/>
      <c r="Y116" s="539">
        <f t="shared" ref="Y116:Y121" si="90">M116+P116+S116+V116</f>
        <v>0</v>
      </c>
      <c r="Z116" s="91"/>
      <c r="AA116" s="91"/>
      <c r="AB116" s="91"/>
      <c r="AC116" s="84"/>
      <c r="AE116" s="539"/>
      <c r="AF116" s="539"/>
      <c r="AG116" s="539"/>
      <c r="AH116" s="539"/>
      <c r="AI116" s="91"/>
      <c r="AK116" s="539"/>
      <c r="AL116" s="539"/>
      <c r="AM116" s="539"/>
      <c r="AN116" s="539"/>
      <c r="AO116" s="91"/>
      <c r="AQ116" s="539"/>
      <c r="AR116" s="539"/>
      <c r="AS116" s="539"/>
      <c r="AT116" s="539"/>
      <c r="AU116" s="91"/>
      <c r="AW116" s="539"/>
      <c r="AX116" s="539"/>
      <c r="AY116" s="539"/>
      <c r="AZ116" s="539"/>
      <c r="BA116" s="91"/>
    </row>
    <row r="117" spans="1:53" s="97" customFormat="1" ht="17.100000000000001" customHeight="1" x14ac:dyDescent="0.25">
      <c r="A117" s="119"/>
      <c r="B117" s="119"/>
      <c r="C117" s="119"/>
      <c r="D117" s="74" t="s">
        <v>906</v>
      </c>
      <c r="E117" s="75" t="s">
        <v>909</v>
      </c>
      <c r="F117" s="75"/>
      <c r="G117" s="75"/>
      <c r="H117" s="540"/>
      <c r="I117" s="229"/>
      <c r="J117" s="539"/>
      <c r="K117" s="539"/>
      <c r="L117" s="539"/>
      <c r="M117" s="539"/>
      <c r="N117" s="539"/>
      <c r="O117" s="539"/>
      <c r="P117" s="539">
        <f>IF(SUM(P113:P114)&gt;=1,1,0)</f>
        <v>0</v>
      </c>
      <c r="Q117" s="539"/>
      <c r="R117" s="539"/>
      <c r="S117" s="539">
        <f>IF(SUM(S113:S114)&gt;=1,1,0)</f>
        <v>0</v>
      </c>
      <c r="T117" s="539"/>
      <c r="U117" s="539"/>
      <c r="V117" s="539">
        <f>IF(SUM(V113:V114)&gt;=1,1,0)</f>
        <v>0</v>
      </c>
      <c r="W117" s="382"/>
      <c r="X117" s="539"/>
      <c r="Y117" s="539">
        <f t="shared" si="90"/>
        <v>0</v>
      </c>
      <c r="Z117" s="91"/>
      <c r="AA117" s="91"/>
      <c r="AB117" s="91"/>
      <c r="AC117" s="84"/>
      <c r="AE117" s="539"/>
      <c r="AF117" s="539"/>
      <c r="AG117" s="539"/>
      <c r="AH117" s="539"/>
      <c r="AI117" s="91"/>
      <c r="AK117" s="539"/>
      <c r="AL117" s="539"/>
      <c r="AM117" s="539"/>
      <c r="AN117" s="539"/>
      <c r="AO117" s="91"/>
      <c r="AQ117" s="539"/>
      <c r="AR117" s="539"/>
      <c r="AS117" s="539"/>
      <c r="AT117" s="539"/>
      <c r="AU117" s="91"/>
      <c r="AW117" s="539"/>
      <c r="AX117" s="539"/>
      <c r="AY117" s="539"/>
      <c r="AZ117" s="539"/>
      <c r="BA117" s="91"/>
    </row>
    <row r="118" spans="1:53" s="97" customFormat="1" ht="17.100000000000001" customHeight="1" x14ac:dyDescent="0.25">
      <c r="A118" s="119"/>
      <c r="B118" s="119"/>
      <c r="C118" s="540"/>
      <c r="D118" s="121" t="s">
        <v>88</v>
      </c>
      <c r="E118" s="122"/>
      <c r="F118" s="122"/>
      <c r="G118" s="122"/>
      <c r="H118" s="540"/>
      <c r="I118" s="229"/>
      <c r="J118" s="123"/>
      <c r="K118" s="123"/>
      <c r="L118" s="123"/>
      <c r="M118" s="123"/>
      <c r="N118" s="123"/>
      <c r="O118" s="123"/>
      <c r="P118" s="123"/>
      <c r="Q118" s="123"/>
      <c r="R118" s="123"/>
      <c r="S118" s="123"/>
      <c r="T118" s="123"/>
      <c r="U118" s="123"/>
      <c r="V118" s="363"/>
      <c r="W118" s="383"/>
      <c r="X118" s="123"/>
      <c r="Y118" s="124"/>
      <c r="Z118" s="125"/>
      <c r="AA118" s="125"/>
      <c r="AB118" s="125"/>
      <c r="AC118" s="125"/>
      <c r="AE118" s="126"/>
      <c r="AF118" s="126"/>
      <c r="AG118" s="126"/>
      <c r="AH118" s="124"/>
      <c r="AI118" s="125"/>
      <c r="AK118" s="126"/>
      <c r="AL118" s="126"/>
      <c r="AM118" s="126"/>
      <c r="AN118" s="124"/>
      <c r="AO118" s="125"/>
      <c r="AQ118" s="126"/>
      <c r="AR118" s="126"/>
      <c r="AS118" s="126"/>
      <c r="AT118" s="124"/>
      <c r="AU118" s="125"/>
      <c r="AW118" s="126"/>
      <c r="AX118" s="126"/>
      <c r="AY118" s="126"/>
      <c r="AZ118" s="124"/>
      <c r="BA118" s="125"/>
    </row>
    <row r="119" spans="1:53" s="97" customFormat="1" ht="17.100000000000001" customHeight="1" x14ac:dyDescent="0.25">
      <c r="A119" s="119"/>
      <c r="B119" s="119"/>
      <c r="C119" s="540"/>
      <c r="D119" s="127" t="s">
        <v>90</v>
      </c>
      <c r="E119" s="122"/>
      <c r="F119" s="122"/>
      <c r="G119" s="279"/>
      <c r="H119" s="540"/>
      <c r="I119" s="229"/>
      <c r="J119" s="123"/>
      <c r="K119" s="123"/>
      <c r="L119" s="123"/>
      <c r="M119" s="123"/>
      <c r="N119" s="123"/>
      <c r="O119" s="123"/>
      <c r="P119" s="123">
        <f>P92</f>
        <v>0</v>
      </c>
      <c r="Q119" s="123"/>
      <c r="R119" s="123"/>
      <c r="S119" s="123">
        <f>S92</f>
        <v>0</v>
      </c>
      <c r="T119" s="123"/>
      <c r="U119" s="123"/>
      <c r="V119" s="123">
        <f>V92</f>
        <v>0</v>
      </c>
      <c r="W119" s="383"/>
      <c r="X119" s="123"/>
      <c r="Y119" s="123">
        <f t="shared" si="90"/>
        <v>0</v>
      </c>
      <c r="Z119" s="125"/>
      <c r="AA119" s="125"/>
      <c r="AB119" s="125"/>
      <c r="AC119" s="125"/>
      <c r="AE119" s="123"/>
      <c r="AF119" s="123"/>
      <c r="AG119" s="123"/>
      <c r="AH119" s="124"/>
      <c r="AI119" s="125"/>
      <c r="AK119" s="123"/>
      <c r="AL119" s="123"/>
      <c r="AM119" s="123"/>
      <c r="AN119" s="124"/>
      <c r="AO119" s="125"/>
      <c r="AQ119" s="123"/>
      <c r="AR119" s="123"/>
      <c r="AS119" s="123"/>
      <c r="AT119" s="124"/>
      <c r="AU119" s="125"/>
      <c r="AW119" s="123"/>
      <c r="AX119" s="123"/>
      <c r="AY119" s="123"/>
      <c r="AZ119" s="124"/>
      <c r="BA119" s="125"/>
    </row>
    <row r="120" spans="1:53" s="97" customFormat="1" ht="17.100000000000001" customHeight="1" x14ac:dyDescent="0.25">
      <c r="A120" s="119"/>
      <c r="B120" s="119"/>
      <c r="C120" s="540"/>
      <c r="D120" s="127" t="s">
        <v>89</v>
      </c>
      <c r="E120" s="122"/>
      <c r="F120" s="128"/>
      <c r="G120" s="279"/>
      <c r="H120" s="540"/>
      <c r="I120" s="229"/>
      <c r="J120" s="123"/>
      <c r="K120" s="123"/>
      <c r="L120" s="123"/>
      <c r="M120" s="123"/>
      <c r="N120" s="123"/>
      <c r="O120" s="123"/>
      <c r="P120" s="123">
        <f>SUM(P93:P95)</f>
        <v>0</v>
      </c>
      <c r="Q120" s="123"/>
      <c r="R120" s="123"/>
      <c r="S120" s="123">
        <f>SUM(S93:S95)</f>
        <v>0</v>
      </c>
      <c r="T120" s="123"/>
      <c r="U120" s="123"/>
      <c r="V120" s="123">
        <f>SUM(V93:V95)</f>
        <v>0</v>
      </c>
      <c r="W120" s="383"/>
      <c r="X120" s="123"/>
      <c r="Y120" s="123">
        <f t="shared" si="90"/>
        <v>0</v>
      </c>
      <c r="Z120" s="125"/>
      <c r="AA120" s="125"/>
      <c r="AB120" s="125"/>
      <c r="AC120" s="125"/>
      <c r="AE120" s="123"/>
      <c r="AF120" s="123"/>
      <c r="AG120" s="123"/>
      <c r="AH120" s="124"/>
      <c r="AI120" s="125"/>
      <c r="AK120" s="123"/>
      <c r="AL120" s="123"/>
      <c r="AM120" s="123"/>
      <c r="AN120" s="124"/>
      <c r="AO120" s="125"/>
      <c r="AQ120" s="123"/>
      <c r="AR120" s="123"/>
      <c r="AS120" s="123"/>
      <c r="AT120" s="124"/>
      <c r="AU120" s="125"/>
      <c r="AW120" s="123"/>
      <c r="AX120" s="123"/>
      <c r="AY120" s="123"/>
      <c r="AZ120" s="124"/>
      <c r="BA120" s="125"/>
    </row>
    <row r="121" spans="1:53" s="97" customFormat="1" ht="17.100000000000001" customHeight="1" x14ac:dyDescent="0.25">
      <c r="A121" s="119"/>
      <c r="B121" s="119"/>
      <c r="C121" s="540"/>
      <c r="D121" s="127" t="s">
        <v>91</v>
      </c>
      <c r="E121" s="122"/>
      <c r="F121" s="122"/>
      <c r="G121" s="279"/>
      <c r="H121" s="540"/>
      <c r="I121" s="229"/>
      <c r="J121" s="129"/>
      <c r="K121" s="129"/>
      <c r="L121" s="129"/>
      <c r="M121" s="129"/>
      <c r="N121" s="129"/>
      <c r="O121" s="129"/>
      <c r="P121" s="129">
        <f t="shared" ref="P121" si="91">IF(P119=1,0,IF(P120=1,1,0))</f>
        <v>0</v>
      </c>
      <c r="Q121" s="129"/>
      <c r="R121" s="129"/>
      <c r="S121" s="129">
        <f t="shared" ref="S121" si="92">IF(S119=1,0,IF(S120=1,1,0))</f>
        <v>0</v>
      </c>
      <c r="T121" s="129"/>
      <c r="U121" s="129"/>
      <c r="V121" s="129">
        <f t="shared" ref="V121" si="93">IF(V119=1,0,IF(V120=1,1,0))</f>
        <v>0</v>
      </c>
      <c r="W121" s="384"/>
      <c r="X121" s="129"/>
      <c r="Y121" s="129">
        <f t="shared" si="90"/>
        <v>0</v>
      </c>
      <c r="Z121" s="130"/>
      <c r="AA121" s="130"/>
      <c r="AB121" s="130"/>
      <c r="AC121" s="125"/>
      <c r="AE121" s="129"/>
      <c r="AF121" s="129"/>
      <c r="AG121" s="129"/>
      <c r="AH121" s="129"/>
      <c r="AI121" s="130"/>
      <c r="AK121" s="129"/>
      <c r="AL121" s="129"/>
      <c r="AM121" s="129"/>
      <c r="AN121" s="129"/>
      <c r="AO121" s="130"/>
      <c r="AQ121" s="129"/>
      <c r="AR121" s="129"/>
      <c r="AS121" s="129"/>
      <c r="AT121" s="129"/>
      <c r="AU121" s="130"/>
      <c r="AW121" s="129"/>
      <c r="AX121" s="129"/>
      <c r="AY121" s="129"/>
      <c r="AZ121" s="129"/>
      <c r="BA121" s="130"/>
    </row>
    <row r="122" spans="1:53" s="97" customFormat="1" ht="17.100000000000001" customHeight="1" x14ac:dyDescent="0.25">
      <c r="A122" s="119"/>
      <c r="B122" s="119"/>
      <c r="C122" s="103" t="s">
        <v>92</v>
      </c>
      <c r="D122" s="85" t="s">
        <v>914</v>
      </c>
      <c r="E122" s="75"/>
      <c r="F122" s="75"/>
      <c r="G122" s="75"/>
      <c r="H122" s="540"/>
      <c r="I122" s="229"/>
      <c r="J122" s="539"/>
      <c r="K122" s="539"/>
      <c r="L122" s="539"/>
      <c r="M122" s="539"/>
      <c r="N122" s="539"/>
      <c r="O122" s="539"/>
      <c r="P122" s="539">
        <f>P121</f>
        <v>0</v>
      </c>
      <c r="Q122" s="539"/>
      <c r="R122" s="539"/>
      <c r="S122" s="539">
        <f>S121</f>
        <v>0</v>
      </c>
      <c r="T122" s="539"/>
      <c r="U122" s="539"/>
      <c r="V122" s="539">
        <f>V121</f>
        <v>0</v>
      </c>
      <c r="W122" s="382"/>
      <c r="X122" s="539"/>
      <c r="Y122" s="539">
        <f>SUM(J122:X122)</f>
        <v>0</v>
      </c>
      <c r="Z122" s="91"/>
      <c r="AA122" s="91"/>
      <c r="AB122" s="91"/>
      <c r="AC122" s="84"/>
      <c r="AE122" s="539"/>
      <c r="AF122" s="539"/>
      <c r="AG122" s="539"/>
      <c r="AH122" s="539"/>
      <c r="AI122" s="91"/>
      <c r="AK122" s="539"/>
      <c r="AL122" s="539"/>
      <c r="AM122" s="539"/>
      <c r="AN122" s="539"/>
      <c r="AO122" s="91"/>
      <c r="AQ122" s="539"/>
      <c r="AR122" s="539"/>
      <c r="AS122" s="539"/>
      <c r="AT122" s="539"/>
      <c r="AU122" s="91"/>
      <c r="AW122" s="539"/>
      <c r="AX122" s="539"/>
      <c r="AY122" s="539"/>
      <c r="AZ122" s="539"/>
      <c r="BA122" s="91"/>
    </row>
    <row r="123" spans="1:53" s="97" customFormat="1" ht="17.100000000000001" customHeight="1" x14ac:dyDescent="0.25">
      <c r="A123" s="119"/>
      <c r="B123" s="119"/>
      <c r="C123" s="103" t="s">
        <v>93</v>
      </c>
      <c r="D123" s="85" t="s">
        <v>94</v>
      </c>
      <c r="E123" s="75"/>
      <c r="F123" s="75"/>
      <c r="G123" s="75"/>
      <c r="H123" s="928"/>
      <c r="I123" s="229"/>
      <c r="J123" s="932"/>
      <c r="K123" s="932"/>
      <c r="L123" s="932"/>
      <c r="M123" s="932"/>
      <c r="N123" s="932"/>
      <c r="O123" s="932"/>
      <c r="P123" s="932"/>
      <c r="Q123" s="932"/>
      <c r="R123" s="932"/>
      <c r="S123" s="932"/>
      <c r="T123" s="932"/>
      <c r="U123" s="932"/>
      <c r="V123" s="364"/>
      <c r="W123" s="385"/>
      <c r="X123" s="932"/>
      <c r="Y123" s="932"/>
      <c r="Z123" s="131"/>
      <c r="AA123" s="131"/>
      <c r="AB123" s="131"/>
      <c r="AC123" s="113"/>
      <c r="AE123" s="114"/>
      <c r="AF123" s="114"/>
      <c r="AG123" s="114"/>
      <c r="AH123" s="112"/>
      <c r="AI123" s="113"/>
      <c r="AK123" s="114"/>
      <c r="AL123" s="114"/>
      <c r="AM123" s="114"/>
      <c r="AN123" s="112"/>
      <c r="AO123" s="113"/>
      <c r="AQ123" s="114"/>
      <c r="AR123" s="114"/>
      <c r="AS123" s="114"/>
      <c r="AT123" s="112"/>
      <c r="AU123" s="113"/>
      <c r="AW123" s="114"/>
      <c r="AX123" s="114"/>
      <c r="AY123" s="114"/>
      <c r="AZ123" s="112"/>
      <c r="BA123" s="113"/>
    </row>
    <row r="124" spans="1:53" s="97" customFormat="1" ht="17.100000000000001" customHeight="1" x14ac:dyDescent="0.25">
      <c r="A124" s="137"/>
      <c r="B124" s="119"/>
      <c r="C124" s="132"/>
      <c r="D124" s="133" t="s">
        <v>95</v>
      </c>
      <c r="E124" s="134"/>
      <c r="F124" s="134"/>
      <c r="G124" s="134"/>
      <c r="H124" s="928"/>
      <c r="I124" s="229"/>
      <c r="J124" s="82"/>
      <c r="K124" s="82" t="str">
        <f>IF(SUM(K30:K32)=1,1-SUM(K125:K127),"")</f>
        <v/>
      </c>
      <c r="L124" s="82" t="str">
        <f>IF(SUM(L30:L32)=1,1-SUM(L125:L127),"")</f>
        <v/>
      </c>
      <c r="M124" s="82"/>
      <c r="N124" s="82"/>
      <c r="O124" s="82"/>
      <c r="P124" s="82">
        <f>IF(P20=0,0,IF(P109+P116+P117+P122=0,1,0))</f>
        <v>0</v>
      </c>
      <c r="Q124" s="82"/>
      <c r="R124" s="82"/>
      <c r="S124" s="82">
        <f>IF(S20=0,0,IF(S109+S116+S117+S122=0,1,0))</f>
        <v>0</v>
      </c>
      <c r="T124" s="82"/>
      <c r="U124" s="82"/>
      <c r="V124" s="82">
        <f>IF(V20=0,0,IF(V109+V116+V117+V122=0,1,0))</f>
        <v>0</v>
      </c>
      <c r="W124" s="381"/>
      <c r="X124" s="82" t="str">
        <f>IF(SUM(X30:X32)=1,1-SUM(X125:X127),"")</f>
        <v/>
      </c>
      <c r="Y124" s="82">
        <f>P124+S124+V124</f>
        <v>0</v>
      </c>
      <c r="Z124" s="66">
        <f>IF(Y$128=0,0,Y124/Y$128)</f>
        <v>0</v>
      </c>
      <c r="AA124" s="66"/>
      <c r="AB124" s="66"/>
      <c r="AC124" s="83"/>
      <c r="AE124" s="82"/>
      <c r="AF124" s="82"/>
      <c r="AG124" s="82"/>
      <c r="AH124" s="82"/>
      <c r="AI124" s="66"/>
      <c r="AK124" s="82"/>
      <c r="AL124" s="82"/>
      <c r="AM124" s="82"/>
      <c r="AN124" s="82"/>
      <c r="AO124" s="66"/>
      <c r="AQ124" s="82"/>
      <c r="AR124" s="82"/>
      <c r="AS124" s="82"/>
      <c r="AT124" s="82"/>
      <c r="AU124" s="66"/>
      <c r="AW124" s="82"/>
      <c r="AX124" s="82"/>
      <c r="AY124" s="82"/>
      <c r="AZ124" s="82"/>
      <c r="BA124" s="66"/>
    </row>
    <row r="125" spans="1:53" s="97" customFormat="1" ht="17.100000000000001" customHeight="1" x14ac:dyDescent="0.25">
      <c r="A125" s="119"/>
      <c r="B125" s="119"/>
      <c r="C125" s="135"/>
      <c r="D125" s="133" t="s">
        <v>96</v>
      </c>
      <c r="E125" s="134"/>
      <c r="F125" s="134"/>
      <c r="G125" s="134"/>
      <c r="H125" s="928"/>
      <c r="I125" s="229"/>
      <c r="J125" s="82"/>
      <c r="K125" s="82"/>
      <c r="L125" s="82"/>
      <c r="M125" s="82"/>
      <c r="N125" s="82"/>
      <c r="O125" s="82"/>
      <c r="P125" s="82">
        <f>IF(P109+P116+P117+P122=1,1,0)</f>
        <v>0</v>
      </c>
      <c r="Q125" s="82"/>
      <c r="R125" s="82"/>
      <c r="S125" s="82">
        <f>IF(S109+S116+S117+S122=1,1,0)</f>
        <v>0</v>
      </c>
      <c r="T125" s="82"/>
      <c r="U125" s="82"/>
      <c r="V125" s="82">
        <f>IF(V109+V116+V117+V122=1,1,0)</f>
        <v>0</v>
      </c>
      <c r="W125" s="381"/>
      <c r="X125" s="82"/>
      <c r="Y125" s="82">
        <f t="shared" ref="Y125:Y127" si="94">P125+S125+V125</f>
        <v>0</v>
      </c>
      <c r="Z125" s="66">
        <f>IF(Y$128=0,0,Y125/Y$128)</f>
        <v>0</v>
      </c>
      <c r="AA125" s="66"/>
      <c r="AB125" s="66"/>
      <c r="AC125" s="83"/>
      <c r="AE125" s="82"/>
      <c r="AF125" s="82"/>
      <c r="AG125" s="82"/>
      <c r="AH125" s="82"/>
      <c r="AI125" s="66"/>
      <c r="AK125" s="82"/>
      <c r="AL125" s="82"/>
      <c r="AM125" s="82"/>
      <c r="AN125" s="82"/>
      <c r="AO125" s="66"/>
      <c r="AQ125" s="82"/>
      <c r="AR125" s="82"/>
      <c r="AS125" s="82"/>
      <c r="AT125" s="82"/>
      <c r="AU125" s="66"/>
      <c r="AW125" s="82"/>
      <c r="AX125" s="82"/>
      <c r="AY125" s="82"/>
      <c r="AZ125" s="82"/>
      <c r="BA125" s="66"/>
    </row>
    <row r="126" spans="1:53" s="97" customFormat="1" ht="17.100000000000001" customHeight="1" x14ac:dyDescent="0.25">
      <c r="A126" s="119"/>
      <c r="B126" s="119"/>
      <c r="C126" s="136"/>
      <c r="D126" s="133" t="s">
        <v>97</v>
      </c>
      <c r="E126" s="134"/>
      <c r="F126" s="134"/>
      <c r="G126" s="134"/>
      <c r="H126" s="928"/>
      <c r="I126" s="229"/>
      <c r="J126" s="82"/>
      <c r="K126" s="82"/>
      <c r="L126" s="82"/>
      <c r="M126" s="82"/>
      <c r="N126" s="82"/>
      <c r="O126" s="82"/>
      <c r="P126" s="82">
        <f>IF(P109+P116+P117+P122=2,1,0)</f>
        <v>0</v>
      </c>
      <c r="Q126" s="82"/>
      <c r="R126" s="82"/>
      <c r="S126" s="82">
        <f>IF(S109+S116+S117+S122=2,1,0)</f>
        <v>0</v>
      </c>
      <c r="T126" s="82"/>
      <c r="U126" s="82"/>
      <c r="V126" s="82">
        <f>IF(V109+V116+V117+V122=2,1,0)</f>
        <v>0</v>
      </c>
      <c r="W126" s="381"/>
      <c r="X126" s="82"/>
      <c r="Y126" s="82">
        <f t="shared" si="94"/>
        <v>0</v>
      </c>
      <c r="Z126" s="66">
        <f>IF(Y$128=0,0,Y126/Y$128)</f>
        <v>0</v>
      </c>
      <c r="AA126" s="66"/>
      <c r="AB126" s="66"/>
      <c r="AC126" s="83"/>
      <c r="AE126" s="82"/>
      <c r="AF126" s="82"/>
      <c r="AG126" s="82"/>
      <c r="AH126" s="82"/>
      <c r="AI126" s="66"/>
      <c r="AK126" s="82"/>
      <c r="AL126" s="82"/>
      <c r="AM126" s="82"/>
      <c r="AN126" s="82"/>
      <c r="AO126" s="66"/>
      <c r="AQ126" s="82"/>
      <c r="AR126" s="82"/>
      <c r="AS126" s="82"/>
      <c r="AT126" s="82"/>
      <c r="AU126" s="66"/>
      <c r="AW126" s="82"/>
      <c r="AX126" s="82"/>
      <c r="AY126" s="82"/>
      <c r="AZ126" s="82"/>
      <c r="BA126" s="66"/>
    </row>
    <row r="127" spans="1:53" s="97" customFormat="1" ht="17.100000000000001" customHeight="1" x14ac:dyDescent="0.25">
      <c r="A127" s="119"/>
      <c r="B127" s="119"/>
      <c r="C127" s="137"/>
      <c r="D127" s="133" t="s">
        <v>98</v>
      </c>
      <c r="E127" s="134"/>
      <c r="F127" s="134"/>
      <c r="G127" s="134"/>
      <c r="H127" s="928"/>
      <c r="I127" s="229"/>
      <c r="J127" s="82"/>
      <c r="K127" s="82"/>
      <c r="L127" s="82"/>
      <c r="M127" s="82"/>
      <c r="N127" s="82"/>
      <c r="O127" s="82"/>
      <c r="P127" s="82">
        <f>IF(P109+P116+P117+P122=3,1,0)</f>
        <v>0</v>
      </c>
      <c r="Q127" s="82"/>
      <c r="R127" s="82"/>
      <c r="S127" s="82">
        <f>IF(S109+S116+S117+S122=3,1,0)</f>
        <v>0</v>
      </c>
      <c r="T127" s="82"/>
      <c r="U127" s="82"/>
      <c r="V127" s="82">
        <f>IF(V109+V116+V117+V122=3,1,0)</f>
        <v>0</v>
      </c>
      <c r="W127" s="381"/>
      <c r="X127" s="82"/>
      <c r="Y127" s="82">
        <f t="shared" si="94"/>
        <v>0</v>
      </c>
      <c r="Z127" s="66">
        <f>IF(Y$128=0,0,Y127/Y$128)</f>
        <v>0</v>
      </c>
      <c r="AA127" s="66"/>
      <c r="AB127" s="66"/>
      <c r="AC127" s="83"/>
      <c r="AE127" s="82"/>
      <c r="AF127" s="82"/>
      <c r="AG127" s="82"/>
      <c r="AH127" s="82"/>
      <c r="AI127" s="66"/>
      <c r="AK127" s="82"/>
      <c r="AL127" s="82"/>
      <c r="AM127" s="82"/>
      <c r="AN127" s="82"/>
      <c r="AO127" s="66"/>
      <c r="AQ127" s="82"/>
      <c r="AR127" s="82"/>
      <c r="AS127" s="82"/>
      <c r="AT127" s="82"/>
      <c r="AU127" s="66"/>
      <c r="AW127" s="82"/>
      <c r="AX127" s="82"/>
      <c r="AY127" s="82"/>
      <c r="AZ127" s="82"/>
      <c r="BA127" s="66"/>
    </row>
    <row r="128" spans="1:53" s="97" customFormat="1" ht="17.100000000000001" customHeight="1" x14ac:dyDescent="0.25">
      <c r="A128" s="119"/>
      <c r="B128" s="119"/>
      <c r="C128" s="928"/>
      <c r="D128" s="133"/>
      <c r="E128" s="134"/>
      <c r="F128" s="134"/>
      <c r="G128" s="134"/>
      <c r="H128" s="928"/>
      <c r="I128" s="229"/>
      <c r="J128" s="82"/>
      <c r="K128" s="82"/>
      <c r="L128" s="82"/>
      <c r="M128" s="82"/>
      <c r="N128" s="82"/>
      <c r="O128" s="82"/>
      <c r="P128" s="82"/>
      <c r="Q128" s="82"/>
      <c r="R128" s="82"/>
      <c r="S128" s="82"/>
      <c r="T128" s="82"/>
      <c r="U128" s="82"/>
      <c r="V128" s="360"/>
      <c r="W128" s="381"/>
      <c r="X128" s="82"/>
      <c r="Y128" s="82">
        <f>SUM(Y124:Y127)</f>
        <v>0</v>
      </c>
      <c r="Z128" s="66">
        <f>IF(Y$128=0,0,Y128/Y$128)</f>
        <v>0</v>
      </c>
      <c r="AA128" s="66"/>
      <c r="AB128" s="66"/>
      <c r="AC128" s="83"/>
      <c r="AE128" s="82"/>
      <c r="AF128" s="82"/>
      <c r="AG128" s="82"/>
      <c r="AH128" s="82"/>
      <c r="AI128" s="66"/>
      <c r="AK128" s="82"/>
      <c r="AL128" s="82"/>
      <c r="AM128" s="82"/>
      <c r="AN128" s="82"/>
      <c r="AO128" s="66"/>
      <c r="AQ128" s="82"/>
      <c r="AR128" s="82"/>
      <c r="AS128" s="82"/>
      <c r="AT128" s="82"/>
      <c r="AU128" s="66"/>
      <c r="AW128" s="82"/>
      <c r="AX128" s="82"/>
      <c r="AY128" s="82"/>
      <c r="AZ128" s="82"/>
      <c r="BA128" s="66"/>
    </row>
    <row r="129" spans="1:53" s="97" customFormat="1" ht="17.100000000000001" customHeight="1" x14ac:dyDescent="0.25">
      <c r="A129" s="119"/>
      <c r="B129" s="119"/>
      <c r="C129" s="928"/>
      <c r="D129" s="127" t="s">
        <v>81</v>
      </c>
      <c r="E129" s="122"/>
      <c r="F129" s="122"/>
      <c r="G129" s="122"/>
      <c r="H129" s="928"/>
      <c r="I129" s="229"/>
      <c r="J129" s="123"/>
      <c r="K129" s="123"/>
      <c r="L129" s="123"/>
      <c r="M129" s="123"/>
      <c r="N129" s="123"/>
      <c r="O129" s="123"/>
      <c r="P129" s="123">
        <f t="shared" ref="P129" si="95">P109</f>
        <v>0</v>
      </c>
      <c r="Q129" s="123"/>
      <c r="R129" s="123"/>
      <c r="S129" s="123">
        <f t="shared" ref="S129" si="96">S109</f>
        <v>0</v>
      </c>
      <c r="T129" s="123"/>
      <c r="U129" s="123"/>
      <c r="V129" s="123">
        <f t="shared" ref="V129" si="97">V109</f>
        <v>0</v>
      </c>
      <c r="W129" s="383"/>
      <c r="X129" s="123"/>
      <c r="Y129" s="123">
        <f t="shared" ref="Y129" si="98">Y109</f>
        <v>0</v>
      </c>
      <c r="Z129" s="525"/>
      <c r="AA129" s="125"/>
      <c r="AB129" s="125"/>
      <c r="AC129" s="125"/>
      <c r="AE129" s="123"/>
      <c r="AF129" s="123"/>
      <c r="AG129" s="123"/>
      <c r="AH129" s="124"/>
      <c r="AI129" s="125"/>
      <c r="AK129" s="123"/>
      <c r="AL129" s="123"/>
      <c r="AM129" s="123"/>
      <c r="AN129" s="124"/>
      <c r="AO129" s="125"/>
      <c r="AQ129" s="123"/>
      <c r="AR129" s="123"/>
      <c r="AS129" s="123"/>
      <c r="AT129" s="124"/>
      <c r="AU129" s="125"/>
      <c r="AW129" s="123"/>
      <c r="AX129" s="123"/>
      <c r="AY129" s="123"/>
      <c r="AZ129" s="124"/>
      <c r="BA129" s="125"/>
    </row>
    <row r="130" spans="1:53" s="97" customFormat="1" ht="17.100000000000001" customHeight="1" x14ac:dyDescent="0.25">
      <c r="A130" s="119"/>
      <c r="B130" s="119"/>
      <c r="C130" s="1310"/>
      <c r="D130" s="127" t="s">
        <v>87</v>
      </c>
      <c r="E130" s="122"/>
      <c r="F130" s="122"/>
      <c r="G130" s="122"/>
      <c r="H130" s="1310"/>
      <c r="I130" s="229"/>
      <c r="J130" s="123"/>
      <c r="K130" s="123"/>
      <c r="L130" s="123"/>
      <c r="M130" s="123"/>
      <c r="N130" s="123"/>
      <c r="O130" s="123"/>
      <c r="P130" s="123">
        <f>P116+P117</f>
        <v>0</v>
      </c>
      <c r="Q130" s="123"/>
      <c r="R130" s="123"/>
      <c r="S130" s="123">
        <f>S116+S117</f>
        <v>0</v>
      </c>
      <c r="T130" s="123"/>
      <c r="U130" s="123"/>
      <c r="V130" s="123">
        <f>V116+V117</f>
        <v>0</v>
      </c>
      <c r="W130" s="383"/>
      <c r="X130" s="123"/>
      <c r="Y130" s="123">
        <f>Y116+Y117</f>
        <v>0</v>
      </c>
      <c r="Z130" s="525"/>
      <c r="AA130" s="125"/>
      <c r="AB130" s="125"/>
      <c r="AC130" s="125"/>
      <c r="AE130" s="123"/>
      <c r="AF130" s="123"/>
      <c r="AG130" s="123"/>
      <c r="AH130" s="124"/>
      <c r="AI130" s="125"/>
      <c r="AK130" s="123"/>
      <c r="AL130" s="123"/>
      <c r="AM130" s="123"/>
      <c r="AN130" s="124"/>
      <c r="AO130" s="125"/>
      <c r="AQ130" s="123"/>
      <c r="AR130" s="123"/>
      <c r="AS130" s="123"/>
      <c r="AT130" s="124"/>
      <c r="AU130" s="125"/>
      <c r="AW130" s="123"/>
      <c r="AX130" s="123"/>
      <c r="AY130" s="123"/>
      <c r="AZ130" s="124"/>
      <c r="BA130" s="125"/>
    </row>
    <row r="131" spans="1:53" s="97" customFormat="1" ht="17.100000000000001" customHeight="1" x14ac:dyDescent="0.25">
      <c r="A131" s="119"/>
      <c r="B131" s="119"/>
      <c r="C131" s="928"/>
      <c r="D131" s="127" t="s">
        <v>923</v>
      </c>
      <c r="E131" s="122"/>
      <c r="F131" s="122"/>
      <c r="G131" s="122"/>
      <c r="H131" s="928"/>
      <c r="I131" s="229"/>
      <c r="J131" s="123"/>
      <c r="K131" s="123"/>
      <c r="L131" s="123"/>
      <c r="M131" s="123"/>
      <c r="N131" s="123"/>
      <c r="O131" s="123"/>
      <c r="P131" s="123"/>
      <c r="Q131" s="123"/>
      <c r="R131" s="123"/>
      <c r="S131" s="123"/>
      <c r="T131" s="123"/>
      <c r="U131" s="123"/>
      <c r="V131" s="123"/>
      <c r="W131" s="383"/>
      <c r="X131" s="123"/>
      <c r="Y131" s="123"/>
      <c r="Z131" s="525"/>
      <c r="AA131" s="130"/>
      <c r="AB131" s="130"/>
      <c r="AC131" s="125"/>
      <c r="AE131" s="123"/>
      <c r="AF131" s="123"/>
      <c r="AG131" s="123"/>
      <c r="AH131" s="129"/>
      <c r="AI131" s="130"/>
      <c r="AK131" s="123"/>
      <c r="AL131" s="123"/>
      <c r="AM131" s="123"/>
      <c r="AN131" s="129"/>
      <c r="AO131" s="130"/>
      <c r="AQ131" s="123"/>
      <c r="AR131" s="123"/>
      <c r="AS131" s="123"/>
      <c r="AT131" s="129"/>
      <c r="AU131" s="130"/>
      <c r="AW131" s="123"/>
      <c r="AX131" s="123"/>
      <c r="AY131" s="123"/>
      <c r="AZ131" s="129"/>
      <c r="BA131" s="130"/>
    </row>
    <row r="132" spans="1:53" s="97" customFormat="1" ht="17.100000000000001" customHeight="1" x14ac:dyDescent="0.25">
      <c r="A132" s="119"/>
      <c r="B132" s="119"/>
      <c r="C132" s="928"/>
      <c r="D132" s="127" t="s">
        <v>922</v>
      </c>
      <c r="E132" s="122"/>
      <c r="F132" s="122"/>
      <c r="G132" s="122"/>
      <c r="H132" s="928"/>
      <c r="I132" s="229"/>
      <c r="J132" s="123"/>
      <c r="K132" s="123"/>
      <c r="L132" s="123"/>
      <c r="M132" s="123"/>
      <c r="N132" s="123"/>
      <c r="O132" s="123"/>
      <c r="P132" s="123">
        <f t="shared" ref="P132" si="99">SUM(P129:P131)</f>
        <v>0</v>
      </c>
      <c r="Q132" s="123"/>
      <c r="R132" s="123"/>
      <c r="S132" s="123">
        <f t="shared" ref="S132" si="100">SUM(S129:S131)</f>
        <v>0</v>
      </c>
      <c r="T132" s="123"/>
      <c r="U132" s="123"/>
      <c r="V132" s="123">
        <f t="shared" ref="V132" si="101">SUM(V129:V131)</f>
        <v>0</v>
      </c>
      <c r="W132" s="383"/>
      <c r="X132" s="123"/>
      <c r="Y132" s="123">
        <f t="shared" ref="Y132:Y133" si="102">SUM(Y129:Y131)</f>
        <v>0</v>
      </c>
      <c r="Z132" s="525"/>
      <c r="AA132" s="125"/>
      <c r="AB132" s="125"/>
      <c r="AC132" s="125"/>
      <c r="AE132" s="123"/>
      <c r="AF132" s="123"/>
      <c r="AG132" s="123"/>
      <c r="AH132" s="124"/>
      <c r="AI132" s="125"/>
      <c r="AK132" s="123"/>
      <c r="AL132" s="123"/>
      <c r="AM132" s="123"/>
      <c r="AN132" s="124"/>
      <c r="AO132" s="125"/>
      <c r="AQ132" s="123"/>
      <c r="AR132" s="123"/>
      <c r="AS132" s="123"/>
      <c r="AT132" s="124"/>
      <c r="AU132" s="125"/>
      <c r="AW132" s="123"/>
      <c r="AX132" s="123"/>
      <c r="AY132" s="123"/>
      <c r="AZ132" s="124"/>
      <c r="BA132" s="125"/>
    </row>
    <row r="133" spans="1:53" s="97" customFormat="1" ht="17.100000000000001" customHeight="1" x14ac:dyDescent="0.25">
      <c r="A133" s="119"/>
      <c r="B133" s="119"/>
      <c r="C133" s="103" t="s">
        <v>99</v>
      </c>
      <c r="D133" s="85" t="s">
        <v>921</v>
      </c>
      <c r="E133" s="75"/>
      <c r="F133" s="75"/>
      <c r="G133" s="75"/>
      <c r="H133" s="928"/>
      <c r="I133" s="229"/>
      <c r="J133" s="927"/>
      <c r="K133" s="927"/>
      <c r="L133" s="927"/>
      <c r="M133" s="927"/>
      <c r="N133" s="927"/>
      <c r="O133" s="927"/>
      <c r="P133" s="927">
        <f t="shared" ref="P133" si="103">IF(P132&gt;=1,1,0)</f>
        <v>0</v>
      </c>
      <c r="Q133" s="927"/>
      <c r="R133" s="927"/>
      <c r="S133" s="927">
        <f t="shared" ref="S133" si="104">IF(S132&gt;=1,1,0)</f>
        <v>0</v>
      </c>
      <c r="T133" s="927"/>
      <c r="U133" s="927"/>
      <c r="V133" s="927">
        <f t="shared" ref="V133" si="105">IF(V132&gt;=1,1,0)</f>
        <v>0</v>
      </c>
      <c r="W133" s="382"/>
      <c r="X133" s="927"/>
      <c r="Y133" s="927">
        <f t="shared" si="102"/>
        <v>0</v>
      </c>
      <c r="Z133" s="91"/>
      <c r="AA133" s="91"/>
      <c r="AB133" s="91"/>
      <c r="AC133" s="84"/>
      <c r="AE133" s="927"/>
      <c r="AF133" s="927"/>
      <c r="AG133" s="927"/>
      <c r="AH133" s="927"/>
      <c r="AI133" s="91"/>
      <c r="AK133" s="927"/>
      <c r="AL133" s="927"/>
      <c r="AM133" s="927"/>
      <c r="AN133" s="927"/>
      <c r="AO133" s="91"/>
      <c r="AQ133" s="927"/>
      <c r="AR133" s="927"/>
      <c r="AS133" s="927"/>
      <c r="AT133" s="927"/>
      <c r="AU133" s="91"/>
      <c r="AW133" s="927"/>
      <c r="AX133" s="927"/>
      <c r="AY133" s="927"/>
      <c r="AZ133" s="927"/>
      <c r="BA133" s="91"/>
    </row>
    <row r="134" spans="1:53" s="97" customFormat="1" ht="17.100000000000001" customHeight="1" x14ac:dyDescent="0.25">
      <c r="A134" s="138"/>
      <c r="B134" s="138"/>
      <c r="C134" s="139"/>
      <c r="D134" s="12"/>
      <c r="E134" s="12"/>
      <c r="F134" s="12"/>
      <c r="G134" s="12"/>
      <c r="H134" s="139"/>
      <c r="I134" s="12"/>
      <c r="J134" s="95"/>
      <c r="K134" s="95"/>
      <c r="L134" s="95"/>
      <c r="M134" s="95"/>
      <c r="N134" s="95"/>
      <c r="O134" s="95"/>
      <c r="P134" s="95"/>
      <c r="Q134" s="95"/>
      <c r="R134" s="95"/>
      <c r="S134" s="95"/>
      <c r="T134" s="95"/>
      <c r="U134" s="95"/>
      <c r="V134" s="95"/>
      <c r="W134" s="378"/>
      <c r="X134" s="95"/>
      <c r="Y134" s="96"/>
      <c r="AE134" s="109"/>
      <c r="AF134" s="109"/>
      <c r="AG134" s="109"/>
      <c r="AH134" s="96"/>
      <c r="AK134" s="109"/>
      <c r="AL134" s="109"/>
      <c r="AM134" s="109"/>
      <c r="AN134" s="96"/>
      <c r="AQ134" s="109"/>
      <c r="AR134" s="109"/>
      <c r="AS134" s="109"/>
      <c r="AT134" s="96"/>
      <c r="AW134" s="109"/>
      <c r="AX134" s="109"/>
      <c r="AY134" s="109"/>
      <c r="AZ134" s="96"/>
    </row>
    <row r="135" spans="1:53" s="32" customFormat="1" ht="16.5" thickBot="1" x14ac:dyDescent="0.3">
      <c r="A135" s="24" t="s">
        <v>100</v>
      </c>
      <c r="B135" s="25" t="s">
        <v>101</v>
      </c>
      <c r="C135" s="26"/>
      <c r="D135" s="27"/>
      <c r="E135" s="27"/>
      <c r="F135" s="27"/>
      <c r="G135" s="28"/>
      <c r="H135" s="215"/>
      <c r="I135" s="228"/>
      <c r="J135" s="140"/>
      <c r="K135" s="140"/>
      <c r="L135" s="140"/>
      <c r="M135" s="140"/>
      <c r="N135" s="140"/>
      <c r="O135" s="140"/>
      <c r="P135" s="140"/>
      <c r="Q135" s="140"/>
      <c r="R135" s="140"/>
      <c r="S135" s="140"/>
      <c r="T135" s="140"/>
      <c r="U135" s="140"/>
      <c r="V135" s="365"/>
      <c r="W135" s="379"/>
      <c r="X135" s="140"/>
      <c r="Y135" s="30" t="s">
        <v>4</v>
      </c>
      <c r="Z135" s="31" t="s">
        <v>5</v>
      </c>
      <c r="AA135" s="31" t="s">
        <v>181</v>
      </c>
      <c r="AB135" s="31" t="s">
        <v>182</v>
      </c>
      <c r="AC135" s="31" t="s">
        <v>6</v>
      </c>
      <c r="AE135" s="33" t="s">
        <v>181</v>
      </c>
      <c r="AF135" s="33" t="s">
        <v>182</v>
      </c>
      <c r="AG135" s="33" t="s">
        <v>6</v>
      </c>
      <c r="AH135" s="33" t="s">
        <v>4</v>
      </c>
      <c r="AI135" s="34" t="s">
        <v>5</v>
      </c>
      <c r="AJ135" s="408"/>
      <c r="AK135" s="36" t="s">
        <v>181</v>
      </c>
      <c r="AL135" s="36" t="s">
        <v>182</v>
      </c>
      <c r="AM135" s="36" t="s">
        <v>6</v>
      </c>
      <c r="AN135" s="36" t="s">
        <v>4</v>
      </c>
      <c r="AO135" s="37" t="s">
        <v>5</v>
      </c>
      <c r="AP135" s="408"/>
      <c r="AQ135" s="36"/>
      <c r="AR135" s="36"/>
      <c r="AS135" s="36"/>
      <c r="AT135" s="36"/>
      <c r="AU135" s="37"/>
      <c r="AV135" s="408"/>
      <c r="AW135" s="38" t="s">
        <v>181</v>
      </c>
      <c r="AX135" s="38" t="s">
        <v>182</v>
      </c>
      <c r="AY135" s="38" t="s">
        <v>6</v>
      </c>
      <c r="AZ135" s="38" t="s">
        <v>4</v>
      </c>
      <c r="BA135" s="39" t="s">
        <v>5</v>
      </c>
    </row>
    <row r="136" spans="1:53" ht="17.100000000000001" customHeight="1" x14ac:dyDescent="0.25">
      <c r="A136" s="68"/>
      <c r="B136" s="41" t="s">
        <v>102</v>
      </c>
      <c r="C136" s="69" t="s">
        <v>103</v>
      </c>
      <c r="D136" s="50"/>
      <c r="E136" s="70"/>
      <c r="F136" s="70"/>
      <c r="G136" s="70"/>
      <c r="H136" s="263">
        <v>2</v>
      </c>
      <c r="J136" s="71"/>
      <c r="K136" s="71"/>
      <c r="L136" s="71"/>
      <c r="M136" s="71"/>
      <c r="N136" s="71"/>
      <c r="O136" s="71"/>
      <c r="P136" s="71"/>
      <c r="Q136" s="71"/>
      <c r="R136" s="71"/>
      <c r="S136" s="71"/>
      <c r="T136" s="71"/>
      <c r="U136" s="71"/>
      <c r="V136" s="355"/>
      <c r="W136" s="377"/>
      <c r="X136" s="71"/>
      <c r="Y136" s="72"/>
      <c r="Z136" s="73"/>
      <c r="AA136" s="73"/>
      <c r="AB136" s="73"/>
      <c r="AC136" s="73"/>
      <c r="AE136" s="71"/>
      <c r="AF136" s="71"/>
      <c r="AG136" s="71"/>
      <c r="AH136" s="72"/>
      <c r="AI136" s="73"/>
      <c r="AK136" s="71"/>
      <c r="AL136" s="71"/>
      <c r="AM136" s="71"/>
      <c r="AN136" s="72"/>
      <c r="AO136" s="73"/>
      <c r="AQ136" s="71"/>
      <c r="AR136" s="71"/>
      <c r="AS136" s="71"/>
      <c r="AT136" s="72"/>
      <c r="AU136" s="73"/>
      <c r="AW136" s="71"/>
      <c r="AX136" s="71"/>
      <c r="AY136" s="71"/>
      <c r="AZ136" s="72"/>
      <c r="BA136" s="73"/>
    </row>
    <row r="137" spans="1:53" ht="17.100000000000001" customHeight="1" x14ac:dyDescent="0.25">
      <c r="A137" s="40"/>
      <c r="B137" s="40"/>
      <c r="C137" s="74" t="s">
        <v>104</v>
      </c>
      <c r="D137" s="75" t="s">
        <v>404</v>
      </c>
      <c r="E137" s="75"/>
      <c r="F137" s="75"/>
      <c r="G137" s="542"/>
      <c r="H137" s="540"/>
      <c r="I137" s="235"/>
      <c r="J137" s="581"/>
      <c r="K137" s="581"/>
      <c r="L137" s="582"/>
      <c r="M137" s="17">
        <f t="shared" ref="M137:M146" si="106">SUM(J137:L137)</f>
        <v>0</v>
      </c>
      <c r="N137" s="111"/>
      <c r="O137" s="111"/>
      <c r="P137" s="111"/>
      <c r="Q137" s="111"/>
      <c r="R137" s="111"/>
      <c r="S137" s="111"/>
      <c r="T137" s="111"/>
      <c r="U137" s="111"/>
      <c r="V137" s="358"/>
      <c r="W137" s="391">
        <f t="shared" ref="W137:W146" si="107">J137+K137+N137+Q137+T137</f>
        <v>0</v>
      </c>
      <c r="X137" s="17">
        <f t="shared" ref="X137:X146" si="108">L137+O137+R137+U137</f>
        <v>0</v>
      </c>
      <c r="Y137" s="18">
        <f t="shared" ref="Y137:Y146" si="109">SUM(W137:X137)</f>
        <v>0</v>
      </c>
      <c r="Z137" s="19">
        <f>IF(Y$147=0,0,Y137/Y$147)</f>
        <v>0</v>
      </c>
      <c r="AA137" s="19"/>
      <c r="AB137" s="19"/>
      <c r="AC137" s="20"/>
      <c r="AE137" s="17"/>
      <c r="AF137" s="17"/>
      <c r="AG137" s="17"/>
      <c r="AH137" s="18">
        <f t="shared" ref="AH137:AH146" si="110">J137</f>
        <v>0</v>
      </c>
      <c r="AI137" s="19">
        <f>IF(AH$147=0,0,AH137/AH$147)</f>
        <v>0</v>
      </c>
      <c r="AK137" s="17"/>
      <c r="AL137" s="17"/>
      <c r="AM137" s="17"/>
      <c r="AN137" s="18">
        <f t="shared" ref="AN137:AN146" si="111">K137</f>
        <v>0</v>
      </c>
      <c r="AO137" s="19">
        <f>IF(AN$147=0,0,AN137/AN$147)</f>
        <v>0</v>
      </c>
      <c r="AQ137" s="17"/>
      <c r="AR137" s="17"/>
      <c r="AS137" s="17"/>
      <c r="AT137" s="18">
        <f t="shared" ref="AT137:AT146" si="112">W137</f>
        <v>0</v>
      </c>
      <c r="AU137" s="19">
        <f>IF(AT$147=0,0,AT137/AT$147)</f>
        <v>0</v>
      </c>
      <c r="AW137" s="17"/>
      <c r="AX137" s="17"/>
      <c r="AY137" s="17"/>
      <c r="AZ137" s="18">
        <f t="shared" ref="AZ137:AZ146" si="113">X137</f>
        <v>0</v>
      </c>
      <c r="BA137" s="19">
        <f>IF(AZ$147=0,0,AZ137/AZ$147)</f>
        <v>0</v>
      </c>
    </row>
    <row r="138" spans="1:53" ht="17.100000000000001" customHeight="1" x14ac:dyDescent="0.25">
      <c r="A138" s="40"/>
      <c r="B138" s="40"/>
      <c r="C138" s="74" t="s">
        <v>105</v>
      </c>
      <c r="D138" s="75" t="s">
        <v>405</v>
      </c>
      <c r="E138" s="75"/>
      <c r="F138" s="75"/>
      <c r="G138" s="542"/>
      <c r="H138" s="540"/>
      <c r="I138" s="235"/>
      <c r="J138" s="583"/>
      <c r="K138" s="583"/>
      <c r="L138" s="584"/>
      <c r="M138" s="17">
        <f t="shared" si="106"/>
        <v>0</v>
      </c>
      <c r="N138" s="111"/>
      <c r="O138" s="111"/>
      <c r="P138" s="111"/>
      <c r="Q138" s="111"/>
      <c r="R138" s="111"/>
      <c r="S138" s="111"/>
      <c r="T138" s="111"/>
      <c r="U138" s="111"/>
      <c r="V138" s="358"/>
      <c r="W138" s="391">
        <f t="shared" si="107"/>
        <v>0</v>
      </c>
      <c r="X138" s="17">
        <f t="shared" si="108"/>
        <v>0</v>
      </c>
      <c r="Y138" s="18">
        <f t="shared" si="109"/>
        <v>0</v>
      </c>
      <c r="Z138" s="19">
        <f t="shared" ref="Z138:Z146" si="114">IF(Y$147=0,0,Y138/Y$147)</f>
        <v>0</v>
      </c>
      <c r="AA138" s="19"/>
      <c r="AB138" s="19"/>
      <c r="AC138" s="20"/>
      <c r="AE138" s="17"/>
      <c r="AF138" s="17"/>
      <c r="AG138" s="17"/>
      <c r="AH138" s="18">
        <f t="shared" si="110"/>
        <v>0</v>
      </c>
      <c r="AI138" s="19">
        <f t="shared" ref="AI138:AI147" si="115">IF(AH$147=0,0,AH138/AH$147)</f>
        <v>0</v>
      </c>
      <c r="AK138" s="17"/>
      <c r="AL138" s="17"/>
      <c r="AM138" s="17"/>
      <c r="AN138" s="18">
        <f t="shared" si="111"/>
        <v>0</v>
      </c>
      <c r="AO138" s="19">
        <f t="shared" ref="AO138:AO147" si="116">IF(AN$147=0,0,AN138/AN$147)</f>
        <v>0</v>
      </c>
      <c r="AQ138" s="17"/>
      <c r="AR138" s="17"/>
      <c r="AS138" s="17"/>
      <c r="AT138" s="18">
        <f t="shared" si="112"/>
        <v>0</v>
      </c>
      <c r="AU138" s="19">
        <f t="shared" ref="AU138:AU147" si="117">IF(AT$147=0,0,AT138/AT$147)</f>
        <v>0</v>
      </c>
      <c r="AW138" s="17"/>
      <c r="AX138" s="17"/>
      <c r="AY138" s="17"/>
      <c r="AZ138" s="18">
        <f t="shared" si="113"/>
        <v>0</v>
      </c>
      <c r="BA138" s="19">
        <f t="shared" ref="BA138:BA147" si="118">IF(AZ$147=0,0,AZ138/AZ$147)</f>
        <v>0</v>
      </c>
    </row>
    <row r="139" spans="1:53" ht="17.100000000000001" customHeight="1" x14ac:dyDescent="0.25">
      <c r="A139" s="40"/>
      <c r="B139" s="40"/>
      <c r="C139" s="74" t="s">
        <v>106</v>
      </c>
      <c r="D139" s="75" t="s">
        <v>406</v>
      </c>
      <c r="E139" s="75"/>
      <c r="F139" s="75"/>
      <c r="G139" s="542"/>
      <c r="H139" s="540"/>
      <c r="I139" s="235"/>
      <c r="J139" s="581"/>
      <c r="K139" s="581"/>
      <c r="L139" s="582"/>
      <c r="M139" s="17">
        <f t="shared" si="106"/>
        <v>0</v>
      </c>
      <c r="N139" s="111"/>
      <c r="O139" s="111"/>
      <c r="P139" s="111"/>
      <c r="Q139" s="111"/>
      <c r="R139" s="111"/>
      <c r="S139" s="111"/>
      <c r="T139" s="111"/>
      <c r="U139" s="111"/>
      <c r="V139" s="358"/>
      <c r="W139" s="391">
        <f t="shared" si="107"/>
        <v>0</v>
      </c>
      <c r="X139" s="17">
        <f t="shared" si="108"/>
        <v>0</v>
      </c>
      <c r="Y139" s="18">
        <f t="shared" si="109"/>
        <v>0</v>
      </c>
      <c r="Z139" s="19">
        <f t="shared" si="114"/>
        <v>0</v>
      </c>
      <c r="AA139" s="19"/>
      <c r="AB139" s="19"/>
      <c r="AC139" s="20"/>
      <c r="AE139" s="17"/>
      <c r="AF139" s="17"/>
      <c r="AG139" s="17"/>
      <c r="AH139" s="18">
        <f t="shared" si="110"/>
        <v>0</v>
      </c>
      <c r="AI139" s="19">
        <f t="shared" si="115"/>
        <v>0</v>
      </c>
      <c r="AK139" s="17"/>
      <c r="AL139" s="17"/>
      <c r="AM139" s="17"/>
      <c r="AN139" s="18">
        <f t="shared" si="111"/>
        <v>0</v>
      </c>
      <c r="AO139" s="19">
        <f t="shared" si="116"/>
        <v>0</v>
      </c>
      <c r="AQ139" s="17"/>
      <c r="AR139" s="17"/>
      <c r="AS139" s="17"/>
      <c r="AT139" s="18">
        <f t="shared" si="112"/>
        <v>0</v>
      </c>
      <c r="AU139" s="19">
        <f t="shared" si="117"/>
        <v>0</v>
      </c>
      <c r="AW139" s="17"/>
      <c r="AX139" s="17"/>
      <c r="AY139" s="17"/>
      <c r="AZ139" s="18">
        <f t="shared" si="113"/>
        <v>0</v>
      </c>
      <c r="BA139" s="19">
        <f t="shared" si="118"/>
        <v>0</v>
      </c>
    </row>
    <row r="140" spans="1:53" ht="17.100000000000001" customHeight="1" x14ac:dyDescent="0.25">
      <c r="A140" s="40"/>
      <c r="B140" s="40"/>
      <c r="C140" s="74" t="s">
        <v>107</v>
      </c>
      <c r="D140" s="75" t="s">
        <v>407</v>
      </c>
      <c r="E140" s="75"/>
      <c r="F140" s="75"/>
      <c r="G140" s="75"/>
      <c r="H140" s="540"/>
      <c r="I140" s="229"/>
      <c r="J140" s="583"/>
      <c r="K140" s="583"/>
      <c r="L140" s="584"/>
      <c r="M140" s="17">
        <f t="shared" si="106"/>
        <v>0</v>
      </c>
      <c r="N140" s="111"/>
      <c r="O140" s="111"/>
      <c r="P140" s="111"/>
      <c r="Q140" s="111"/>
      <c r="R140" s="111"/>
      <c r="S140" s="111"/>
      <c r="T140" s="111"/>
      <c r="U140" s="111"/>
      <c r="V140" s="358"/>
      <c r="W140" s="391">
        <f t="shared" si="107"/>
        <v>0</v>
      </c>
      <c r="X140" s="17">
        <f t="shared" si="108"/>
        <v>0</v>
      </c>
      <c r="Y140" s="18">
        <f t="shared" si="109"/>
        <v>0</v>
      </c>
      <c r="Z140" s="19">
        <f t="shared" si="114"/>
        <v>0</v>
      </c>
      <c r="AA140" s="19"/>
      <c r="AB140" s="19"/>
      <c r="AC140" s="20"/>
      <c r="AE140" s="17"/>
      <c r="AF140" s="17"/>
      <c r="AG140" s="17"/>
      <c r="AH140" s="18">
        <f t="shared" si="110"/>
        <v>0</v>
      </c>
      <c r="AI140" s="19">
        <f t="shared" si="115"/>
        <v>0</v>
      </c>
      <c r="AK140" s="17"/>
      <c r="AL140" s="17"/>
      <c r="AM140" s="17"/>
      <c r="AN140" s="18">
        <f t="shared" si="111"/>
        <v>0</v>
      </c>
      <c r="AO140" s="19">
        <f t="shared" si="116"/>
        <v>0</v>
      </c>
      <c r="AQ140" s="17"/>
      <c r="AR140" s="17"/>
      <c r="AS140" s="17"/>
      <c r="AT140" s="18">
        <f t="shared" si="112"/>
        <v>0</v>
      </c>
      <c r="AU140" s="19">
        <f t="shared" si="117"/>
        <v>0</v>
      </c>
      <c r="AW140" s="17"/>
      <c r="AX140" s="17"/>
      <c r="AY140" s="17"/>
      <c r="AZ140" s="18">
        <f t="shared" si="113"/>
        <v>0</v>
      </c>
      <c r="BA140" s="19">
        <f t="shared" si="118"/>
        <v>0</v>
      </c>
    </row>
    <row r="141" spans="1:53" ht="17.100000000000001" customHeight="1" x14ac:dyDescent="0.25">
      <c r="A141" s="40"/>
      <c r="B141" s="40"/>
      <c r="C141" s="56" t="s">
        <v>108</v>
      </c>
      <c r="D141" s="75" t="s">
        <v>408</v>
      </c>
      <c r="E141" s="542"/>
      <c r="F141" s="542"/>
      <c r="G141" s="542"/>
      <c r="H141" s="540"/>
      <c r="I141" s="235"/>
      <c r="J141" s="581"/>
      <c r="K141" s="581"/>
      <c r="L141" s="582"/>
      <c r="M141" s="17">
        <f t="shared" si="106"/>
        <v>0</v>
      </c>
      <c r="N141" s="111"/>
      <c r="O141" s="111"/>
      <c r="P141" s="111"/>
      <c r="Q141" s="111"/>
      <c r="R141" s="111"/>
      <c r="S141" s="111"/>
      <c r="T141" s="111"/>
      <c r="U141" s="111"/>
      <c r="V141" s="358"/>
      <c r="W141" s="391">
        <f t="shared" si="107"/>
        <v>0</v>
      </c>
      <c r="X141" s="17">
        <f t="shared" si="108"/>
        <v>0</v>
      </c>
      <c r="Y141" s="18">
        <f t="shared" si="109"/>
        <v>0</v>
      </c>
      <c r="Z141" s="19">
        <f t="shared" si="114"/>
        <v>0</v>
      </c>
      <c r="AA141" s="19"/>
      <c r="AB141" s="19"/>
      <c r="AC141" s="20"/>
      <c r="AE141" s="17"/>
      <c r="AF141" s="17"/>
      <c r="AG141" s="17"/>
      <c r="AH141" s="18">
        <f t="shared" si="110"/>
        <v>0</v>
      </c>
      <c r="AI141" s="19">
        <f t="shared" si="115"/>
        <v>0</v>
      </c>
      <c r="AK141" s="17"/>
      <c r="AL141" s="17"/>
      <c r="AM141" s="17"/>
      <c r="AN141" s="18">
        <f t="shared" si="111"/>
        <v>0</v>
      </c>
      <c r="AO141" s="19">
        <f t="shared" si="116"/>
        <v>0</v>
      </c>
      <c r="AQ141" s="17"/>
      <c r="AR141" s="17"/>
      <c r="AS141" s="17"/>
      <c r="AT141" s="18">
        <f t="shared" si="112"/>
        <v>0</v>
      </c>
      <c r="AU141" s="19">
        <f t="shared" si="117"/>
        <v>0</v>
      </c>
      <c r="AW141" s="17"/>
      <c r="AX141" s="17"/>
      <c r="AY141" s="17"/>
      <c r="AZ141" s="18">
        <f t="shared" si="113"/>
        <v>0</v>
      </c>
      <c r="BA141" s="19">
        <f t="shared" si="118"/>
        <v>0</v>
      </c>
    </row>
    <row r="142" spans="1:53" ht="17.100000000000001" customHeight="1" x14ac:dyDescent="0.25">
      <c r="A142" s="40"/>
      <c r="B142" s="40"/>
      <c r="C142" s="74" t="s">
        <v>399</v>
      </c>
      <c r="D142" s="75" t="s">
        <v>409</v>
      </c>
      <c r="E142" s="150"/>
      <c r="F142" s="151"/>
      <c r="G142" s="151"/>
      <c r="H142" s="119"/>
      <c r="I142" s="236"/>
      <c r="J142" s="583"/>
      <c r="K142" s="583"/>
      <c r="L142" s="584"/>
      <c r="M142" s="17">
        <f t="shared" si="106"/>
        <v>0</v>
      </c>
      <c r="N142" s="111"/>
      <c r="O142" s="111"/>
      <c r="P142" s="111"/>
      <c r="Q142" s="111"/>
      <c r="R142" s="111"/>
      <c r="S142" s="111"/>
      <c r="T142" s="111"/>
      <c r="U142" s="111"/>
      <c r="V142" s="358"/>
      <c r="W142" s="391">
        <f t="shared" si="107"/>
        <v>0</v>
      </c>
      <c r="X142" s="17">
        <f t="shared" si="108"/>
        <v>0</v>
      </c>
      <c r="Y142" s="18">
        <f t="shared" si="109"/>
        <v>0</v>
      </c>
      <c r="Z142" s="19">
        <f t="shared" si="114"/>
        <v>0</v>
      </c>
      <c r="AA142" s="19"/>
      <c r="AB142" s="19"/>
      <c r="AC142" s="20"/>
      <c r="AE142" s="17"/>
      <c r="AF142" s="17"/>
      <c r="AG142" s="17"/>
      <c r="AH142" s="18">
        <f t="shared" si="110"/>
        <v>0</v>
      </c>
      <c r="AI142" s="19">
        <f t="shared" si="115"/>
        <v>0</v>
      </c>
      <c r="AK142" s="17"/>
      <c r="AL142" s="17"/>
      <c r="AM142" s="17"/>
      <c r="AN142" s="18">
        <f t="shared" si="111"/>
        <v>0</v>
      </c>
      <c r="AO142" s="19">
        <f t="shared" si="116"/>
        <v>0</v>
      </c>
      <c r="AQ142" s="17"/>
      <c r="AR142" s="17"/>
      <c r="AS142" s="17"/>
      <c r="AT142" s="18">
        <f t="shared" si="112"/>
        <v>0</v>
      </c>
      <c r="AU142" s="19">
        <f t="shared" si="117"/>
        <v>0</v>
      </c>
      <c r="AW142" s="17"/>
      <c r="AX142" s="17"/>
      <c r="AY142" s="17"/>
      <c r="AZ142" s="18">
        <f t="shared" si="113"/>
        <v>0</v>
      </c>
      <c r="BA142" s="19">
        <f t="shared" si="118"/>
        <v>0</v>
      </c>
    </row>
    <row r="143" spans="1:53" ht="17.100000000000001" customHeight="1" x14ac:dyDescent="0.25">
      <c r="A143" s="40"/>
      <c r="B143" s="40"/>
      <c r="C143" s="56" t="s">
        <v>400</v>
      </c>
      <c r="D143" s="75" t="s">
        <v>410</v>
      </c>
      <c r="E143" s="150"/>
      <c r="F143" s="151"/>
      <c r="G143" s="151"/>
      <c r="H143" s="119"/>
      <c r="I143" s="236"/>
      <c r="J143" s="581"/>
      <c r="K143" s="581"/>
      <c r="L143" s="582"/>
      <c r="M143" s="17">
        <f t="shared" si="106"/>
        <v>0</v>
      </c>
      <c r="N143" s="111"/>
      <c r="O143" s="111"/>
      <c r="P143" s="111"/>
      <c r="Q143" s="111"/>
      <c r="R143" s="111"/>
      <c r="S143" s="111"/>
      <c r="T143" s="111"/>
      <c r="U143" s="111"/>
      <c r="V143" s="358"/>
      <c r="W143" s="391">
        <f t="shared" si="107"/>
        <v>0</v>
      </c>
      <c r="X143" s="17">
        <f t="shared" si="108"/>
        <v>0</v>
      </c>
      <c r="Y143" s="18">
        <f t="shared" si="109"/>
        <v>0</v>
      </c>
      <c r="Z143" s="19">
        <f t="shared" si="114"/>
        <v>0</v>
      </c>
      <c r="AA143" s="19"/>
      <c r="AB143" s="19"/>
      <c r="AC143" s="20"/>
      <c r="AE143" s="17"/>
      <c r="AF143" s="17"/>
      <c r="AG143" s="17"/>
      <c r="AH143" s="18">
        <f t="shared" si="110"/>
        <v>0</v>
      </c>
      <c r="AI143" s="19">
        <f t="shared" si="115"/>
        <v>0</v>
      </c>
      <c r="AK143" s="17"/>
      <c r="AL143" s="17"/>
      <c r="AM143" s="17"/>
      <c r="AN143" s="18">
        <f t="shared" si="111"/>
        <v>0</v>
      </c>
      <c r="AO143" s="19">
        <f t="shared" si="116"/>
        <v>0</v>
      </c>
      <c r="AQ143" s="17"/>
      <c r="AR143" s="17"/>
      <c r="AS143" s="17"/>
      <c r="AT143" s="18">
        <f t="shared" si="112"/>
        <v>0</v>
      </c>
      <c r="AU143" s="19">
        <f t="shared" si="117"/>
        <v>0</v>
      </c>
      <c r="AW143" s="17"/>
      <c r="AX143" s="17"/>
      <c r="AY143" s="17"/>
      <c r="AZ143" s="18">
        <f t="shared" si="113"/>
        <v>0</v>
      </c>
      <c r="BA143" s="19">
        <f t="shared" si="118"/>
        <v>0</v>
      </c>
    </row>
    <row r="144" spans="1:53" ht="17.100000000000001" customHeight="1" x14ac:dyDescent="0.25">
      <c r="A144" s="40"/>
      <c r="B144" s="40"/>
      <c r="C144" s="74" t="s">
        <v>401</v>
      </c>
      <c r="D144" s="75" t="s">
        <v>411</v>
      </c>
      <c r="E144" s="150"/>
      <c r="F144" s="151"/>
      <c r="G144" s="151"/>
      <c r="H144" s="119"/>
      <c r="I144" s="236"/>
      <c r="J144" s="583"/>
      <c r="K144" s="583"/>
      <c r="L144" s="584"/>
      <c r="M144" s="17">
        <f t="shared" si="106"/>
        <v>0</v>
      </c>
      <c r="N144" s="111"/>
      <c r="O144" s="111"/>
      <c r="P144" s="111"/>
      <c r="Q144" s="111"/>
      <c r="R144" s="111"/>
      <c r="S144" s="111"/>
      <c r="T144" s="111"/>
      <c r="U144" s="111"/>
      <c r="V144" s="358"/>
      <c r="W144" s="391">
        <f t="shared" si="107"/>
        <v>0</v>
      </c>
      <c r="X144" s="17">
        <f t="shared" si="108"/>
        <v>0</v>
      </c>
      <c r="Y144" s="18">
        <f t="shared" si="109"/>
        <v>0</v>
      </c>
      <c r="Z144" s="19">
        <f t="shared" si="114"/>
        <v>0</v>
      </c>
      <c r="AA144" s="19"/>
      <c r="AB144" s="19"/>
      <c r="AC144" s="20"/>
      <c r="AE144" s="17"/>
      <c r="AF144" s="17"/>
      <c r="AG144" s="17"/>
      <c r="AH144" s="18">
        <f t="shared" si="110"/>
        <v>0</v>
      </c>
      <c r="AI144" s="19">
        <f t="shared" si="115"/>
        <v>0</v>
      </c>
      <c r="AK144" s="17"/>
      <c r="AL144" s="17"/>
      <c r="AM144" s="17"/>
      <c r="AN144" s="18">
        <f t="shared" si="111"/>
        <v>0</v>
      </c>
      <c r="AO144" s="19">
        <f t="shared" si="116"/>
        <v>0</v>
      </c>
      <c r="AQ144" s="17"/>
      <c r="AR144" s="17"/>
      <c r="AS144" s="17"/>
      <c r="AT144" s="18">
        <f t="shared" si="112"/>
        <v>0</v>
      </c>
      <c r="AU144" s="19">
        <f t="shared" si="117"/>
        <v>0</v>
      </c>
      <c r="AW144" s="17"/>
      <c r="AX144" s="17"/>
      <c r="AY144" s="17"/>
      <c r="AZ144" s="18">
        <f t="shared" si="113"/>
        <v>0</v>
      </c>
      <c r="BA144" s="19">
        <f t="shared" si="118"/>
        <v>0</v>
      </c>
    </row>
    <row r="145" spans="1:53" ht="17.100000000000001" customHeight="1" x14ac:dyDescent="0.25">
      <c r="A145" s="40"/>
      <c r="B145" s="40"/>
      <c r="C145" s="56" t="s">
        <v>402</v>
      </c>
      <c r="D145" s="75" t="s">
        <v>412</v>
      </c>
      <c r="E145" s="150"/>
      <c r="F145" s="151"/>
      <c r="G145" s="151"/>
      <c r="H145" s="119"/>
      <c r="I145" s="236"/>
      <c r="J145" s="581"/>
      <c r="K145" s="581"/>
      <c r="L145" s="582"/>
      <c r="M145" s="17">
        <f t="shared" si="106"/>
        <v>0</v>
      </c>
      <c r="N145" s="111"/>
      <c r="O145" s="111"/>
      <c r="P145" s="111"/>
      <c r="Q145" s="111"/>
      <c r="R145" s="111"/>
      <c r="S145" s="111"/>
      <c r="T145" s="111"/>
      <c r="U145" s="111"/>
      <c r="V145" s="358"/>
      <c r="W145" s="391">
        <f t="shared" si="107"/>
        <v>0</v>
      </c>
      <c r="X145" s="17">
        <f t="shared" si="108"/>
        <v>0</v>
      </c>
      <c r="Y145" s="18">
        <f t="shared" si="109"/>
        <v>0</v>
      </c>
      <c r="Z145" s="19">
        <f t="shared" si="114"/>
        <v>0</v>
      </c>
      <c r="AA145" s="19"/>
      <c r="AB145" s="19"/>
      <c r="AC145" s="20"/>
      <c r="AE145" s="17"/>
      <c r="AF145" s="17"/>
      <c r="AG145" s="17"/>
      <c r="AH145" s="18">
        <f t="shared" si="110"/>
        <v>0</v>
      </c>
      <c r="AI145" s="19">
        <f t="shared" si="115"/>
        <v>0</v>
      </c>
      <c r="AK145" s="17"/>
      <c r="AL145" s="17"/>
      <c r="AM145" s="17"/>
      <c r="AN145" s="18">
        <f t="shared" si="111"/>
        <v>0</v>
      </c>
      <c r="AO145" s="19">
        <f t="shared" si="116"/>
        <v>0</v>
      </c>
      <c r="AQ145" s="17"/>
      <c r="AR145" s="17"/>
      <c r="AS145" s="17"/>
      <c r="AT145" s="18">
        <f t="shared" si="112"/>
        <v>0</v>
      </c>
      <c r="AU145" s="19">
        <f t="shared" si="117"/>
        <v>0</v>
      </c>
      <c r="AW145" s="17"/>
      <c r="AX145" s="17"/>
      <c r="AY145" s="17"/>
      <c r="AZ145" s="18">
        <f t="shared" si="113"/>
        <v>0</v>
      </c>
      <c r="BA145" s="19">
        <f t="shared" si="118"/>
        <v>0</v>
      </c>
    </row>
    <row r="146" spans="1:53" ht="17.100000000000001" customHeight="1" x14ac:dyDescent="0.25">
      <c r="A146" s="40"/>
      <c r="B146" s="40"/>
      <c r="C146" s="74" t="s">
        <v>403</v>
      </c>
      <c r="D146" s="75" t="s">
        <v>392</v>
      </c>
      <c r="E146" s="150"/>
      <c r="F146" s="151"/>
      <c r="G146" s="151"/>
      <c r="H146" s="119"/>
      <c r="I146" s="236"/>
      <c r="J146" s="583"/>
      <c r="K146" s="583"/>
      <c r="L146" s="584"/>
      <c r="M146" s="17">
        <f t="shared" si="106"/>
        <v>0</v>
      </c>
      <c r="N146" s="111"/>
      <c r="O146" s="111"/>
      <c r="P146" s="111"/>
      <c r="Q146" s="111"/>
      <c r="R146" s="111"/>
      <c r="S146" s="111"/>
      <c r="T146" s="111"/>
      <c r="U146" s="111"/>
      <c r="V146" s="358"/>
      <c r="W146" s="391">
        <f t="shared" si="107"/>
        <v>0</v>
      </c>
      <c r="X146" s="17">
        <f t="shared" si="108"/>
        <v>0</v>
      </c>
      <c r="Y146" s="18">
        <f t="shared" si="109"/>
        <v>0</v>
      </c>
      <c r="Z146" s="19">
        <f t="shared" si="114"/>
        <v>0</v>
      </c>
      <c r="AA146" s="19"/>
      <c r="AB146" s="19"/>
      <c r="AC146" s="20"/>
      <c r="AE146" s="17"/>
      <c r="AF146" s="17"/>
      <c r="AG146" s="17"/>
      <c r="AH146" s="18">
        <f t="shared" si="110"/>
        <v>0</v>
      </c>
      <c r="AI146" s="19">
        <f t="shared" si="115"/>
        <v>0</v>
      </c>
      <c r="AK146" s="17"/>
      <c r="AL146" s="17"/>
      <c r="AM146" s="17"/>
      <c r="AN146" s="18">
        <f t="shared" si="111"/>
        <v>0</v>
      </c>
      <c r="AO146" s="19">
        <f t="shared" si="116"/>
        <v>0</v>
      </c>
      <c r="AQ146" s="17"/>
      <c r="AR146" s="17"/>
      <c r="AS146" s="17"/>
      <c r="AT146" s="18">
        <f t="shared" si="112"/>
        <v>0</v>
      </c>
      <c r="AU146" s="19">
        <f t="shared" si="117"/>
        <v>0</v>
      </c>
      <c r="AW146" s="17"/>
      <c r="AX146" s="17"/>
      <c r="AY146" s="17"/>
      <c r="AZ146" s="18">
        <f t="shared" si="113"/>
        <v>0</v>
      </c>
      <c r="BA146" s="19">
        <f t="shared" si="118"/>
        <v>0</v>
      </c>
    </row>
    <row r="147" spans="1:53" ht="17.100000000000001" customHeight="1" x14ac:dyDescent="0.25">
      <c r="A147" s="40"/>
      <c r="B147" s="40"/>
      <c r="C147" s="77"/>
      <c r="D147" s="144"/>
      <c r="E147" s="144"/>
      <c r="F147" s="145"/>
      <c r="G147" s="145"/>
      <c r="H147" s="119"/>
      <c r="I147" s="236"/>
      <c r="J147" s="80">
        <f>SUM(J137:J146)</f>
        <v>0</v>
      </c>
      <c r="K147" s="80">
        <f t="shared" ref="K147:M147" si="119">SUM(K137:K146)</f>
        <v>0</v>
      </c>
      <c r="L147" s="80">
        <f t="shared" si="119"/>
        <v>0</v>
      </c>
      <c r="M147" s="80">
        <f t="shared" si="119"/>
        <v>0</v>
      </c>
      <c r="N147" s="80"/>
      <c r="O147" s="80"/>
      <c r="P147" s="80"/>
      <c r="Q147" s="81"/>
      <c r="R147" s="81"/>
      <c r="S147" s="81"/>
      <c r="T147" s="81"/>
      <c r="U147" s="81"/>
      <c r="V147" s="356"/>
      <c r="W147" s="381">
        <f>SUM(W138:W146)</f>
        <v>0</v>
      </c>
      <c r="X147" s="82">
        <f t="shared" ref="X147:Y147" si="120">SUM(X138:X146)</f>
        <v>0</v>
      </c>
      <c r="Y147" s="82">
        <f t="shared" si="120"/>
        <v>0</v>
      </c>
      <c r="Z147" s="205">
        <f>IF(Y$147=0,0,Y147/Y$147)</f>
        <v>0</v>
      </c>
      <c r="AA147" s="205"/>
      <c r="AB147" s="205"/>
      <c r="AC147" s="83"/>
      <c r="AE147" s="80"/>
      <c r="AF147" s="80"/>
      <c r="AG147" s="81"/>
      <c r="AH147" s="82">
        <f>SUM(AH137:AH146)</f>
        <v>0</v>
      </c>
      <c r="AI147" s="66">
        <f t="shared" si="115"/>
        <v>0</v>
      </c>
      <c r="AK147" s="80"/>
      <c r="AL147" s="80"/>
      <c r="AM147" s="81"/>
      <c r="AN147" s="82">
        <f>SUM(AN137:AN146)</f>
        <v>0</v>
      </c>
      <c r="AO147" s="66">
        <f t="shared" si="116"/>
        <v>0</v>
      </c>
      <c r="AQ147" s="80"/>
      <c r="AR147" s="80"/>
      <c r="AS147" s="81"/>
      <c r="AT147" s="82"/>
      <c r="AU147" s="66">
        <f t="shared" si="117"/>
        <v>0</v>
      </c>
      <c r="AW147" s="80"/>
      <c r="AX147" s="80"/>
      <c r="AY147" s="81"/>
      <c r="AZ147" s="82">
        <f>SUM(AZ137:AZ146)</f>
        <v>0</v>
      </c>
      <c r="BA147" s="66">
        <f t="shared" si="118"/>
        <v>0</v>
      </c>
    </row>
    <row r="148" spans="1:53" s="117" customFormat="1" ht="17.100000000000001" customHeight="1" x14ac:dyDescent="0.25">
      <c r="A148" s="68"/>
      <c r="B148" s="119"/>
      <c r="C148" s="540"/>
      <c r="D148" s="261"/>
      <c r="E148" s="261"/>
      <c r="F148" s="68"/>
      <c r="G148" s="68"/>
      <c r="H148" s="119"/>
      <c r="I148" s="138"/>
      <c r="J148" s="17" t="str">
        <f>IF(J147=J$15,"OK","NOK")</f>
        <v>OK</v>
      </c>
      <c r="K148" s="17" t="str">
        <f t="shared" ref="K148:L148" si="121">IF(K147=K$15,"OK","NOK")</f>
        <v>OK</v>
      </c>
      <c r="L148" s="17" t="str">
        <f t="shared" si="121"/>
        <v>OK</v>
      </c>
      <c r="M148" s="17"/>
      <c r="N148" s="17"/>
      <c r="O148" s="17"/>
      <c r="P148" s="17"/>
      <c r="Q148" s="17"/>
      <c r="R148" s="17"/>
      <c r="S148" s="17"/>
      <c r="T148" s="17"/>
      <c r="U148" s="17"/>
      <c r="V148" s="359"/>
      <c r="W148" s="382"/>
      <c r="X148" s="539"/>
      <c r="Y148" s="539"/>
      <c r="Z148" s="201"/>
      <c r="AA148" s="201"/>
      <c r="AB148" s="201"/>
      <c r="AC148" s="84"/>
      <c r="AE148" s="46"/>
      <c r="AF148" s="46"/>
      <c r="AG148" s="17"/>
      <c r="AH148" s="539"/>
      <c r="AI148" s="91"/>
      <c r="AK148" s="46"/>
      <c r="AL148" s="46"/>
      <c r="AM148" s="17"/>
      <c r="AN148" s="539"/>
      <c r="AO148" s="91"/>
      <c r="AQ148" s="46"/>
      <c r="AR148" s="46"/>
      <c r="AS148" s="17"/>
      <c r="AT148" s="539"/>
      <c r="AU148" s="91"/>
      <c r="AW148" s="46"/>
      <c r="AX148" s="46"/>
      <c r="AY148" s="17"/>
      <c r="AZ148" s="539"/>
      <c r="BA148" s="91"/>
    </row>
    <row r="149" spans="1:53" ht="17.100000000000001" customHeight="1" x14ac:dyDescent="0.25">
      <c r="A149" s="68"/>
      <c r="B149" s="41" t="s">
        <v>110</v>
      </c>
      <c r="C149" s="69" t="s">
        <v>111</v>
      </c>
      <c r="D149" s="50"/>
      <c r="E149" s="70"/>
      <c r="F149" s="70"/>
      <c r="G149" s="70"/>
      <c r="H149" s="119"/>
      <c r="J149" s="71"/>
      <c r="K149" s="71"/>
      <c r="L149" s="71"/>
      <c r="M149" s="71"/>
      <c r="N149" s="71"/>
      <c r="O149" s="71"/>
      <c r="P149" s="71"/>
      <c r="Q149" s="71"/>
      <c r="R149" s="71"/>
      <c r="S149" s="71"/>
      <c r="T149" s="71"/>
      <c r="U149" s="71"/>
      <c r="V149" s="355"/>
      <c r="W149" s="377"/>
      <c r="X149" s="71"/>
      <c r="Y149" s="72"/>
      <c r="Z149" s="73"/>
      <c r="AA149" s="73"/>
      <c r="AB149" s="73"/>
      <c r="AC149" s="73"/>
      <c r="AE149" s="71"/>
      <c r="AF149" s="71"/>
      <c r="AG149" s="71"/>
      <c r="AH149" s="72"/>
      <c r="AI149" s="73"/>
      <c r="AK149" s="71"/>
      <c r="AL149" s="71"/>
      <c r="AM149" s="71"/>
      <c r="AN149" s="72"/>
      <c r="AO149" s="73"/>
      <c r="AQ149" s="71"/>
      <c r="AR149" s="71"/>
      <c r="AS149" s="71"/>
      <c r="AT149" s="72"/>
      <c r="AU149" s="73"/>
      <c r="AW149" s="71"/>
      <c r="AX149" s="71"/>
      <c r="AY149" s="71"/>
      <c r="AZ149" s="72"/>
      <c r="BA149" s="73"/>
    </row>
    <row r="150" spans="1:53" ht="17.100000000000001" customHeight="1" x14ac:dyDescent="0.25">
      <c r="A150" s="40"/>
      <c r="B150" s="40"/>
      <c r="C150" s="141" t="s">
        <v>112</v>
      </c>
      <c r="D150" s="85" t="s">
        <v>113</v>
      </c>
      <c r="E150" s="75"/>
      <c r="F150" s="75"/>
      <c r="G150" s="75"/>
      <c r="H150" s="540"/>
      <c r="I150" s="229"/>
      <c r="J150" s="111"/>
      <c r="K150" s="111"/>
      <c r="L150" s="111"/>
      <c r="M150" s="111"/>
      <c r="N150" s="60"/>
      <c r="O150" s="60"/>
      <c r="P150" s="17">
        <f>SUM(N150:O150)</f>
        <v>0</v>
      </c>
      <c r="Q150" s="60"/>
      <c r="R150" s="60"/>
      <c r="S150" s="17">
        <f>SUM(Q150:R150)</f>
        <v>0</v>
      </c>
      <c r="T150" s="60"/>
      <c r="U150" s="60"/>
      <c r="V150" s="359">
        <f>SUM(T150:U150)</f>
        <v>0</v>
      </c>
      <c r="W150" s="391">
        <f t="shared" ref="W150:W151" si="122">J150+K150+N150+Q150+T150</f>
        <v>0</v>
      </c>
      <c r="X150" s="17">
        <f t="shared" ref="X150:X151" si="123">L150+O150+R150+U150</f>
        <v>0</v>
      </c>
      <c r="Y150" s="18">
        <f>SUM(W150:X150)</f>
        <v>0</v>
      </c>
      <c r="Z150" s="19">
        <f>IF(Y$152=0,0,Y150/Y$152)</f>
        <v>0</v>
      </c>
      <c r="AA150" s="19"/>
      <c r="AB150" s="19"/>
      <c r="AC150" s="20"/>
      <c r="AE150" s="111"/>
      <c r="AF150" s="111"/>
      <c r="AG150" s="111"/>
      <c r="AH150" s="112"/>
      <c r="AI150" s="113"/>
      <c r="AK150" s="111"/>
      <c r="AL150" s="111"/>
      <c r="AM150" s="111"/>
      <c r="AN150" s="112"/>
      <c r="AO150" s="113"/>
      <c r="AQ150" s="17"/>
      <c r="AR150" s="17"/>
      <c r="AS150" s="17"/>
      <c r="AT150" s="18">
        <f t="shared" ref="AT150:AT151" si="124">W150</f>
        <v>0</v>
      </c>
      <c r="AU150" s="19">
        <f>IF(AT$152=0,0,AT150/AT$152)</f>
        <v>0</v>
      </c>
      <c r="AW150" s="17"/>
      <c r="AX150" s="17"/>
      <c r="AY150" s="17"/>
      <c r="AZ150" s="18">
        <f t="shared" ref="AZ150:AZ151" si="125">X150</f>
        <v>0</v>
      </c>
      <c r="BA150" s="19">
        <f>IF(AZ$152=0,0,AZ150/AZ$152)</f>
        <v>0</v>
      </c>
    </row>
    <row r="151" spans="1:53" ht="17.100000000000001" customHeight="1" x14ac:dyDescent="0.25">
      <c r="A151" s="40"/>
      <c r="B151" s="40"/>
      <c r="C151" s="141" t="s">
        <v>114</v>
      </c>
      <c r="D151" s="146" t="s">
        <v>115</v>
      </c>
      <c r="E151" s="75"/>
      <c r="F151" s="75"/>
      <c r="G151" s="75"/>
      <c r="H151" s="540"/>
      <c r="I151" s="229"/>
      <c r="J151" s="111"/>
      <c r="K151" s="111"/>
      <c r="L151" s="111"/>
      <c r="M151" s="111"/>
      <c r="N151" s="61"/>
      <c r="O151" s="61"/>
      <c r="P151" s="17">
        <f>SUM(N151:O151)</f>
        <v>0</v>
      </c>
      <c r="Q151" s="61"/>
      <c r="R151" s="61"/>
      <c r="S151" s="17">
        <f>SUM(Q151:R151)</f>
        <v>0</v>
      </c>
      <c r="T151" s="61"/>
      <c r="U151" s="61"/>
      <c r="V151" s="359">
        <f>SUM(T151:U151)</f>
        <v>0</v>
      </c>
      <c r="W151" s="391">
        <f t="shared" si="122"/>
        <v>0</v>
      </c>
      <c r="X151" s="17">
        <f t="shared" si="123"/>
        <v>0</v>
      </c>
      <c r="Y151" s="18">
        <f>SUM(W151:X151)</f>
        <v>0</v>
      </c>
      <c r="Z151" s="19">
        <f>IF(Y$152=0,0,Y151/Y$152)</f>
        <v>0</v>
      </c>
      <c r="AA151" s="19"/>
      <c r="AB151" s="19"/>
      <c r="AC151" s="20"/>
      <c r="AE151" s="111"/>
      <c r="AF151" s="111"/>
      <c r="AG151" s="111"/>
      <c r="AH151" s="112"/>
      <c r="AI151" s="113"/>
      <c r="AK151" s="111"/>
      <c r="AL151" s="111"/>
      <c r="AM151" s="111"/>
      <c r="AN151" s="112"/>
      <c r="AO151" s="113"/>
      <c r="AQ151" s="17"/>
      <c r="AR151" s="17"/>
      <c r="AS151" s="17"/>
      <c r="AT151" s="18">
        <f t="shared" si="124"/>
        <v>0</v>
      </c>
      <c r="AU151" s="19">
        <f t="shared" ref="AU151:AU152" si="126">IF(AT$152=0,0,AT151/AT$152)</f>
        <v>0</v>
      </c>
      <c r="AW151" s="17"/>
      <c r="AX151" s="17"/>
      <c r="AY151" s="17"/>
      <c r="AZ151" s="18">
        <f t="shared" si="125"/>
        <v>0</v>
      </c>
      <c r="BA151" s="19">
        <f t="shared" ref="BA151:BA152" si="127">IF(AZ$152=0,0,AZ151/AZ$152)</f>
        <v>0</v>
      </c>
    </row>
    <row r="152" spans="1:53" ht="17.100000000000001" customHeight="1" x14ac:dyDescent="0.25">
      <c r="A152" s="40"/>
      <c r="B152" s="40"/>
      <c r="C152" s="77"/>
      <c r="D152" s="144"/>
      <c r="E152" s="144"/>
      <c r="F152" s="145"/>
      <c r="G152" s="145"/>
      <c r="H152" s="119"/>
      <c r="I152" s="236"/>
      <c r="J152" s="80"/>
      <c r="K152" s="80"/>
      <c r="L152" s="81"/>
      <c r="M152" s="81"/>
      <c r="N152" s="81">
        <f t="shared" ref="N152:Y152" si="128">SUM(N150:N151)</f>
        <v>0</v>
      </c>
      <c r="O152" s="81">
        <f t="shared" si="128"/>
        <v>0</v>
      </c>
      <c r="P152" s="81">
        <f t="shared" si="128"/>
        <v>0</v>
      </c>
      <c r="Q152" s="81">
        <f t="shared" si="128"/>
        <v>0</v>
      </c>
      <c r="R152" s="81">
        <f t="shared" si="128"/>
        <v>0</v>
      </c>
      <c r="S152" s="81">
        <f t="shared" si="128"/>
        <v>0</v>
      </c>
      <c r="T152" s="81">
        <f t="shared" si="128"/>
        <v>0</v>
      </c>
      <c r="U152" s="81">
        <f t="shared" si="128"/>
        <v>0</v>
      </c>
      <c r="V152" s="81">
        <f t="shared" si="128"/>
        <v>0</v>
      </c>
      <c r="W152" s="381">
        <f t="shared" si="128"/>
        <v>0</v>
      </c>
      <c r="X152" s="82">
        <f t="shared" si="128"/>
        <v>0</v>
      </c>
      <c r="Y152" s="82">
        <f t="shared" si="128"/>
        <v>0</v>
      </c>
      <c r="Z152" s="205">
        <f t="shared" ref="Z152" si="129">IF(Y$152=0,0,Y152/Y$152)</f>
        <v>0</v>
      </c>
      <c r="AA152" s="205"/>
      <c r="AB152" s="205"/>
      <c r="AC152" s="83"/>
      <c r="AE152" s="80"/>
      <c r="AF152" s="80"/>
      <c r="AG152" s="81"/>
      <c r="AH152" s="82"/>
      <c r="AI152" s="66"/>
      <c r="AK152" s="80"/>
      <c r="AL152" s="80"/>
      <c r="AM152" s="81"/>
      <c r="AN152" s="82"/>
      <c r="AO152" s="66"/>
      <c r="AQ152" s="80"/>
      <c r="AR152" s="80"/>
      <c r="AS152" s="81"/>
      <c r="AT152" s="82">
        <f>SUM(AT150:AT151)</f>
        <v>0</v>
      </c>
      <c r="AU152" s="66">
        <f t="shared" si="126"/>
        <v>0</v>
      </c>
      <c r="AW152" s="80"/>
      <c r="AX152" s="80"/>
      <c r="AY152" s="81"/>
      <c r="AZ152" s="82">
        <f>SUM(AZ150:AZ151)</f>
        <v>0</v>
      </c>
      <c r="BA152" s="66">
        <f t="shared" si="127"/>
        <v>0</v>
      </c>
    </row>
    <row r="153" spans="1:53" s="117" customFormat="1" ht="17.100000000000001" customHeight="1" x14ac:dyDescent="0.25">
      <c r="A153" s="68"/>
      <c r="B153" s="119"/>
      <c r="C153" s="540"/>
      <c r="D153" s="261"/>
      <c r="E153" s="261"/>
      <c r="F153" s="68"/>
      <c r="G153" s="68"/>
      <c r="H153" s="119"/>
      <c r="I153" s="138"/>
      <c r="J153" s="17"/>
      <c r="K153" s="17"/>
      <c r="L153" s="17"/>
      <c r="M153" s="17"/>
      <c r="N153" s="17" t="str">
        <f>IF(N152=N$20,"OK","NOK")</f>
        <v>OK</v>
      </c>
      <c r="O153" s="17" t="str">
        <f>IF(O152=O$20,"OK","NOK")</f>
        <v>OK</v>
      </c>
      <c r="P153" s="17"/>
      <c r="Q153" s="17" t="str">
        <f>IF(Q152=Q$20,"OK","NOK")</f>
        <v>OK</v>
      </c>
      <c r="R153" s="17" t="str">
        <f>IF(R152=R$20,"OK","NOK")</f>
        <v>OK</v>
      </c>
      <c r="S153" s="17"/>
      <c r="T153" s="17" t="str">
        <f>IF(T152=T$20,"OK","NOK")</f>
        <v>OK</v>
      </c>
      <c r="U153" s="17" t="str">
        <f>IF(U152=U$20,"OK","NOK")</f>
        <v>OK</v>
      </c>
      <c r="V153" s="359"/>
      <c r="W153" s="382"/>
      <c r="X153" s="539"/>
      <c r="Y153" s="539"/>
      <c r="Z153" s="201"/>
      <c r="AA153" s="201"/>
      <c r="AB153" s="201"/>
      <c r="AC153" s="84"/>
      <c r="AE153" s="46"/>
      <c r="AF153" s="46"/>
      <c r="AG153" s="17"/>
      <c r="AH153" s="539"/>
      <c r="AI153" s="91"/>
      <c r="AK153" s="46"/>
      <c r="AL153" s="46"/>
      <c r="AM153" s="17"/>
      <c r="AN153" s="539"/>
      <c r="AO153" s="91"/>
      <c r="AQ153" s="46"/>
      <c r="AR153" s="46"/>
      <c r="AS153" s="17"/>
      <c r="AT153" s="539"/>
      <c r="AU153" s="91"/>
      <c r="AW153" s="46"/>
      <c r="AX153" s="46"/>
      <c r="AY153" s="17"/>
      <c r="AZ153" s="539"/>
      <c r="BA153" s="91"/>
    </row>
    <row r="154" spans="1:53" ht="17.100000000000001" customHeight="1" x14ac:dyDescent="0.25">
      <c r="A154" s="68"/>
      <c r="B154" s="41" t="s">
        <v>116</v>
      </c>
      <c r="C154" s="69" t="s">
        <v>427</v>
      </c>
      <c r="D154" s="50"/>
      <c r="E154" s="70"/>
      <c r="F154" s="70"/>
      <c r="G154" s="70"/>
      <c r="H154" s="243">
        <v>34</v>
      </c>
      <c r="J154" s="71"/>
      <c r="K154" s="71"/>
      <c r="L154" s="71"/>
      <c r="M154" s="71"/>
      <c r="N154" s="71"/>
      <c r="O154" s="71"/>
      <c r="P154" s="71"/>
      <c r="Q154" s="71"/>
      <c r="R154" s="71"/>
      <c r="S154" s="71"/>
      <c r="T154" s="71"/>
      <c r="U154" s="71"/>
      <c r="V154" s="355"/>
      <c r="W154" s="377"/>
      <c r="X154" s="71"/>
      <c r="Y154" s="72"/>
      <c r="Z154" s="73"/>
      <c r="AA154" s="73"/>
      <c r="AB154" s="73"/>
      <c r="AC154" s="73"/>
      <c r="AE154" s="71"/>
      <c r="AF154" s="71"/>
      <c r="AG154" s="71"/>
      <c r="AH154" s="72"/>
      <c r="AI154" s="73"/>
      <c r="AK154" s="71"/>
      <c r="AL154" s="71"/>
      <c r="AM154" s="71"/>
      <c r="AN154" s="72"/>
      <c r="AO154" s="73"/>
      <c r="AQ154" s="71"/>
      <c r="AR154" s="71"/>
      <c r="AS154" s="71"/>
      <c r="AT154" s="72"/>
      <c r="AU154" s="73"/>
      <c r="AW154" s="71"/>
      <c r="AX154" s="71"/>
      <c r="AY154" s="71"/>
      <c r="AZ154" s="72"/>
      <c r="BA154" s="73"/>
    </row>
    <row r="155" spans="1:53" ht="17.100000000000001" customHeight="1" x14ac:dyDescent="0.25">
      <c r="A155" s="40"/>
      <c r="B155" s="40"/>
      <c r="C155" s="141" t="s">
        <v>117</v>
      </c>
      <c r="D155" s="85" t="s">
        <v>428</v>
      </c>
      <c r="E155" s="75"/>
      <c r="F155" s="75"/>
      <c r="G155" s="75"/>
      <c r="H155" s="540"/>
      <c r="I155" s="229"/>
      <c r="J155" s="581"/>
      <c r="K155" s="581"/>
      <c r="L155" s="582"/>
      <c r="M155" s="17">
        <f t="shared" ref="M155:M160" si="130">SUM(J155:L155)</f>
        <v>0</v>
      </c>
      <c r="N155" s="111"/>
      <c r="O155" s="111"/>
      <c r="P155" s="111"/>
      <c r="Q155" s="111"/>
      <c r="R155" s="111"/>
      <c r="S155" s="111"/>
      <c r="T155" s="111"/>
      <c r="U155" s="111"/>
      <c r="V155" s="358"/>
      <c r="W155" s="391">
        <f t="shared" ref="W155:W160" si="131">J155+K155+N155+Q155+T155</f>
        <v>0</v>
      </c>
      <c r="X155" s="17">
        <f t="shared" ref="X155:X160" si="132">L155+O155+R155+U155</f>
        <v>0</v>
      </c>
      <c r="Y155" s="18">
        <f t="shared" ref="Y155:Y160" si="133">SUM(W155:X155)</f>
        <v>0</v>
      </c>
      <c r="Z155" s="19">
        <f>IF($Y$161=0,0,Y155/$Y$161)</f>
        <v>0</v>
      </c>
      <c r="AA155" s="19"/>
      <c r="AB155" s="19"/>
      <c r="AC155" s="20"/>
      <c r="AE155" s="17"/>
      <c r="AF155" s="17"/>
      <c r="AG155" s="17"/>
      <c r="AH155" s="18">
        <f t="shared" ref="AH155:AH160" si="134">J155</f>
        <v>0</v>
      </c>
      <c r="AI155" s="19">
        <f>IF(AH$161=0,0,AH155/AH$161)</f>
        <v>0</v>
      </c>
      <c r="AK155" s="17"/>
      <c r="AL155" s="17"/>
      <c r="AM155" s="17"/>
      <c r="AN155" s="18">
        <f t="shared" ref="AN155:AN160" si="135">K155</f>
        <v>0</v>
      </c>
      <c r="AO155" s="19">
        <f>IF(AN$161=0,0,AN155/AN$161)</f>
        <v>0</v>
      </c>
      <c r="AQ155" s="17"/>
      <c r="AR155" s="17"/>
      <c r="AS155" s="17"/>
      <c r="AT155" s="18">
        <f t="shared" ref="AT155:AT160" si="136">W155</f>
        <v>0</v>
      </c>
      <c r="AU155" s="19">
        <f>IF(AT$161=0,0,AT155/AT$161)</f>
        <v>0</v>
      </c>
      <c r="AW155" s="17"/>
      <c r="AX155" s="17"/>
      <c r="AY155" s="17"/>
      <c r="AZ155" s="18">
        <f t="shared" ref="AZ155:AZ160" si="137">X155</f>
        <v>0</v>
      </c>
      <c r="BA155" s="19">
        <f>IF(AZ$161=0,0,AZ155/AZ$161)</f>
        <v>0</v>
      </c>
    </row>
    <row r="156" spans="1:53" ht="17.100000000000001" customHeight="1" x14ac:dyDescent="0.25">
      <c r="A156" s="40"/>
      <c r="B156" s="40"/>
      <c r="C156" s="141" t="s">
        <v>118</v>
      </c>
      <c r="D156" s="85" t="s">
        <v>429</v>
      </c>
      <c r="E156" s="75"/>
      <c r="F156" s="75"/>
      <c r="G156" s="75"/>
      <c r="H156" s="540"/>
      <c r="I156" s="229"/>
      <c r="J156" s="583"/>
      <c r="K156" s="583"/>
      <c r="L156" s="584"/>
      <c r="M156" s="17">
        <f t="shared" si="130"/>
        <v>0</v>
      </c>
      <c r="N156" s="111"/>
      <c r="O156" s="111"/>
      <c r="P156" s="111"/>
      <c r="Q156" s="111"/>
      <c r="R156" s="111"/>
      <c r="S156" s="111"/>
      <c r="T156" s="111"/>
      <c r="U156" s="111"/>
      <c r="V156" s="358"/>
      <c r="W156" s="391">
        <f t="shared" si="131"/>
        <v>0</v>
      </c>
      <c r="X156" s="17">
        <f t="shared" si="132"/>
        <v>0</v>
      </c>
      <c r="Y156" s="18">
        <f t="shared" si="133"/>
        <v>0</v>
      </c>
      <c r="Z156" s="19">
        <f t="shared" ref="Z156:Z161" si="138">IF($Y$161=0,0,Y156/$Y$161)</f>
        <v>0</v>
      </c>
      <c r="AA156" s="19"/>
      <c r="AB156" s="19"/>
      <c r="AC156" s="20"/>
      <c r="AE156" s="17"/>
      <c r="AF156" s="17"/>
      <c r="AG156" s="17"/>
      <c r="AH156" s="18">
        <f t="shared" si="134"/>
        <v>0</v>
      </c>
      <c r="AI156" s="19">
        <f t="shared" ref="AI156:AI161" si="139">IF(AH$161=0,0,AH156/AH$161)</f>
        <v>0</v>
      </c>
      <c r="AK156" s="17"/>
      <c r="AL156" s="17"/>
      <c r="AM156" s="17"/>
      <c r="AN156" s="18">
        <f t="shared" si="135"/>
        <v>0</v>
      </c>
      <c r="AO156" s="19">
        <f t="shared" ref="AO156:AO161" si="140">IF(AN$161=0,0,AN156/AN$161)</f>
        <v>0</v>
      </c>
      <c r="AQ156" s="17"/>
      <c r="AR156" s="17"/>
      <c r="AS156" s="17"/>
      <c r="AT156" s="18">
        <f t="shared" si="136"/>
        <v>0</v>
      </c>
      <c r="AU156" s="19">
        <f t="shared" ref="AU156:AU161" si="141">IF(AT$161=0,0,AT156/AT$161)</f>
        <v>0</v>
      </c>
      <c r="AW156" s="17"/>
      <c r="AX156" s="17"/>
      <c r="AY156" s="17"/>
      <c r="AZ156" s="18">
        <f t="shared" si="137"/>
        <v>0</v>
      </c>
      <c r="BA156" s="19">
        <f t="shared" ref="BA156:BA161" si="142">IF(AZ$161=0,0,AZ156/AZ$161)</f>
        <v>0</v>
      </c>
    </row>
    <row r="157" spans="1:53" ht="17.100000000000001" customHeight="1" x14ac:dyDescent="0.25">
      <c r="A157" s="40"/>
      <c r="B157" s="40"/>
      <c r="C157" s="141" t="s">
        <v>119</v>
      </c>
      <c r="D157" s="85" t="s">
        <v>430</v>
      </c>
      <c r="E157" s="75"/>
      <c r="F157" s="75"/>
      <c r="G157" s="75"/>
      <c r="H157" s="540"/>
      <c r="I157" s="229"/>
      <c r="J157" s="581"/>
      <c r="K157" s="581"/>
      <c r="L157" s="582"/>
      <c r="M157" s="17">
        <f t="shared" si="130"/>
        <v>0</v>
      </c>
      <c r="N157" s="111"/>
      <c r="O157" s="111"/>
      <c r="P157" s="111"/>
      <c r="Q157" s="111"/>
      <c r="R157" s="111"/>
      <c r="S157" s="111"/>
      <c r="T157" s="111"/>
      <c r="U157" s="111"/>
      <c r="V157" s="358"/>
      <c r="W157" s="391">
        <f t="shared" si="131"/>
        <v>0</v>
      </c>
      <c r="X157" s="17">
        <f t="shared" si="132"/>
        <v>0</v>
      </c>
      <c r="Y157" s="18">
        <f t="shared" si="133"/>
        <v>0</v>
      </c>
      <c r="Z157" s="19">
        <f t="shared" si="138"/>
        <v>0</v>
      </c>
      <c r="AA157" s="19"/>
      <c r="AB157" s="19"/>
      <c r="AC157" s="20"/>
      <c r="AE157" s="17"/>
      <c r="AF157" s="17"/>
      <c r="AG157" s="17"/>
      <c r="AH157" s="18">
        <f t="shared" si="134"/>
        <v>0</v>
      </c>
      <c r="AI157" s="19">
        <f t="shared" si="139"/>
        <v>0</v>
      </c>
      <c r="AK157" s="17"/>
      <c r="AL157" s="17"/>
      <c r="AM157" s="17"/>
      <c r="AN157" s="18">
        <f t="shared" si="135"/>
        <v>0</v>
      </c>
      <c r="AO157" s="19">
        <f t="shared" si="140"/>
        <v>0</v>
      </c>
      <c r="AQ157" s="17"/>
      <c r="AR157" s="17"/>
      <c r="AS157" s="17"/>
      <c r="AT157" s="18">
        <f t="shared" si="136"/>
        <v>0</v>
      </c>
      <c r="AU157" s="19">
        <f t="shared" si="141"/>
        <v>0</v>
      </c>
      <c r="AW157" s="17"/>
      <c r="AX157" s="17"/>
      <c r="AY157" s="17"/>
      <c r="AZ157" s="18">
        <f t="shared" si="137"/>
        <v>0</v>
      </c>
      <c r="BA157" s="19">
        <f t="shared" si="142"/>
        <v>0</v>
      </c>
    </row>
    <row r="158" spans="1:53" ht="17.100000000000001" customHeight="1" x14ac:dyDescent="0.25">
      <c r="A158" s="40"/>
      <c r="B158" s="40"/>
      <c r="C158" s="141" t="s">
        <v>120</v>
      </c>
      <c r="D158" s="85" t="s">
        <v>431</v>
      </c>
      <c r="E158" s="75"/>
      <c r="F158" s="75"/>
      <c r="G158" s="75"/>
      <c r="H158" s="540"/>
      <c r="I158" s="229"/>
      <c r="J158" s="583"/>
      <c r="K158" s="583"/>
      <c r="L158" s="584"/>
      <c r="M158" s="17">
        <f t="shared" si="130"/>
        <v>0</v>
      </c>
      <c r="N158" s="111"/>
      <c r="O158" s="111"/>
      <c r="P158" s="111"/>
      <c r="Q158" s="111"/>
      <c r="R158" s="111"/>
      <c r="S158" s="111"/>
      <c r="T158" s="111"/>
      <c r="U158" s="111"/>
      <c r="V158" s="358"/>
      <c r="W158" s="391">
        <f t="shared" si="131"/>
        <v>0</v>
      </c>
      <c r="X158" s="17">
        <f t="shared" si="132"/>
        <v>0</v>
      </c>
      <c r="Y158" s="18">
        <f t="shared" si="133"/>
        <v>0</v>
      </c>
      <c r="Z158" s="19">
        <f t="shared" si="138"/>
        <v>0</v>
      </c>
      <c r="AA158" s="19"/>
      <c r="AB158" s="19"/>
      <c r="AC158" s="20"/>
      <c r="AE158" s="17"/>
      <c r="AF158" s="17"/>
      <c r="AG158" s="17"/>
      <c r="AH158" s="18">
        <f t="shared" si="134"/>
        <v>0</v>
      </c>
      <c r="AI158" s="19">
        <f t="shared" si="139"/>
        <v>0</v>
      </c>
      <c r="AK158" s="17"/>
      <c r="AL158" s="17"/>
      <c r="AM158" s="17"/>
      <c r="AN158" s="18">
        <f t="shared" si="135"/>
        <v>0</v>
      </c>
      <c r="AO158" s="19">
        <f t="shared" si="140"/>
        <v>0</v>
      </c>
      <c r="AQ158" s="17"/>
      <c r="AR158" s="17"/>
      <c r="AS158" s="17"/>
      <c r="AT158" s="18">
        <f t="shared" si="136"/>
        <v>0</v>
      </c>
      <c r="AU158" s="19">
        <f t="shared" si="141"/>
        <v>0</v>
      </c>
      <c r="AW158" s="17"/>
      <c r="AX158" s="17"/>
      <c r="AY158" s="17"/>
      <c r="AZ158" s="18">
        <f t="shared" si="137"/>
        <v>0</v>
      </c>
      <c r="BA158" s="19">
        <f t="shared" si="142"/>
        <v>0</v>
      </c>
    </row>
    <row r="159" spans="1:53" ht="17.100000000000001" customHeight="1" x14ac:dyDescent="0.25">
      <c r="A159" s="40"/>
      <c r="B159" s="40"/>
      <c r="C159" s="141" t="s">
        <v>121</v>
      </c>
      <c r="D159" s="85" t="s">
        <v>432</v>
      </c>
      <c r="E159" s="75"/>
      <c r="F159" s="75"/>
      <c r="G159" s="75"/>
      <c r="H159" s="540"/>
      <c r="I159" s="229"/>
      <c r="J159" s="581"/>
      <c r="K159" s="581"/>
      <c r="L159" s="582"/>
      <c r="M159" s="17">
        <f t="shared" si="130"/>
        <v>0</v>
      </c>
      <c r="N159" s="111"/>
      <c r="O159" s="111"/>
      <c r="P159" s="111"/>
      <c r="Q159" s="111"/>
      <c r="R159" s="111"/>
      <c r="S159" s="111"/>
      <c r="T159" s="111"/>
      <c r="U159" s="111"/>
      <c r="V159" s="358"/>
      <c r="W159" s="391">
        <f t="shared" si="131"/>
        <v>0</v>
      </c>
      <c r="X159" s="17">
        <f t="shared" si="132"/>
        <v>0</v>
      </c>
      <c r="Y159" s="18">
        <f t="shared" si="133"/>
        <v>0</v>
      </c>
      <c r="Z159" s="19">
        <f t="shared" si="138"/>
        <v>0</v>
      </c>
      <c r="AA159" s="19"/>
      <c r="AB159" s="19"/>
      <c r="AC159" s="20"/>
      <c r="AE159" s="17"/>
      <c r="AF159" s="17"/>
      <c r="AG159" s="17"/>
      <c r="AH159" s="18">
        <f t="shared" si="134"/>
        <v>0</v>
      </c>
      <c r="AI159" s="19">
        <f t="shared" si="139"/>
        <v>0</v>
      </c>
      <c r="AK159" s="17"/>
      <c r="AL159" s="17"/>
      <c r="AM159" s="17"/>
      <c r="AN159" s="18">
        <f t="shared" si="135"/>
        <v>0</v>
      </c>
      <c r="AO159" s="19">
        <f t="shared" si="140"/>
        <v>0</v>
      </c>
      <c r="AQ159" s="17"/>
      <c r="AR159" s="17"/>
      <c r="AS159" s="17"/>
      <c r="AT159" s="18">
        <f t="shared" si="136"/>
        <v>0</v>
      </c>
      <c r="AU159" s="19">
        <f t="shared" si="141"/>
        <v>0</v>
      </c>
      <c r="AW159" s="17"/>
      <c r="AX159" s="17"/>
      <c r="AY159" s="17"/>
      <c r="AZ159" s="18">
        <f t="shared" si="137"/>
        <v>0</v>
      </c>
      <c r="BA159" s="19">
        <f t="shared" si="142"/>
        <v>0</v>
      </c>
    </row>
    <row r="160" spans="1:53" ht="17.100000000000001" customHeight="1" x14ac:dyDescent="0.25">
      <c r="A160" s="40"/>
      <c r="B160" s="40"/>
      <c r="C160" s="141" t="s">
        <v>122</v>
      </c>
      <c r="D160" s="85" t="s">
        <v>129</v>
      </c>
      <c r="E160" s="75"/>
      <c r="F160" s="75"/>
      <c r="G160" s="75"/>
      <c r="H160" s="540"/>
      <c r="I160" s="229"/>
      <c r="J160" s="583"/>
      <c r="K160" s="583"/>
      <c r="L160" s="584"/>
      <c r="M160" s="17">
        <f t="shared" si="130"/>
        <v>0</v>
      </c>
      <c r="N160" s="111"/>
      <c r="O160" s="111"/>
      <c r="P160" s="111"/>
      <c r="Q160" s="111"/>
      <c r="R160" s="111"/>
      <c r="S160" s="111"/>
      <c r="T160" s="111"/>
      <c r="U160" s="111"/>
      <c r="V160" s="358"/>
      <c r="W160" s="391">
        <f t="shared" si="131"/>
        <v>0</v>
      </c>
      <c r="X160" s="17">
        <f t="shared" si="132"/>
        <v>0</v>
      </c>
      <c r="Y160" s="18">
        <f t="shared" si="133"/>
        <v>0</v>
      </c>
      <c r="Z160" s="19">
        <f t="shared" si="138"/>
        <v>0</v>
      </c>
      <c r="AA160" s="19"/>
      <c r="AB160" s="19"/>
      <c r="AC160" s="20"/>
      <c r="AE160" s="17"/>
      <c r="AF160" s="17"/>
      <c r="AG160" s="17"/>
      <c r="AH160" s="18">
        <f t="shared" si="134"/>
        <v>0</v>
      </c>
      <c r="AI160" s="19">
        <f t="shared" si="139"/>
        <v>0</v>
      </c>
      <c r="AK160" s="17"/>
      <c r="AL160" s="17"/>
      <c r="AM160" s="17"/>
      <c r="AN160" s="18">
        <f t="shared" si="135"/>
        <v>0</v>
      </c>
      <c r="AO160" s="19">
        <f t="shared" si="140"/>
        <v>0</v>
      </c>
      <c r="AQ160" s="17"/>
      <c r="AR160" s="17"/>
      <c r="AS160" s="17"/>
      <c r="AT160" s="18">
        <f t="shared" si="136"/>
        <v>0</v>
      </c>
      <c r="AU160" s="19">
        <f t="shared" si="141"/>
        <v>0</v>
      </c>
      <c r="AW160" s="17"/>
      <c r="AX160" s="17"/>
      <c r="AY160" s="17"/>
      <c r="AZ160" s="18">
        <f t="shared" si="137"/>
        <v>0</v>
      </c>
      <c r="BA160" s="19">
        <f t="shared" si="142"/>
        <v>0</v>
      </c>
    </row>
    <row r="161" spans="1:53" ht="17.100000000000001" customHeight="1" x14ac:dyDescent="0.25">
      <c r="A161" s="40"/>
      <c r="B161" s="40"/>
      <c r="C161" s="77"/>
      <c r="D161" s="144"/>
      <c r="E161" s="144"/>
      <c r="F161" s="145"/>
      <c r="G161" s="145"/>
      <c r="H161" s="119"/>
      <c r="I161" s="236"/>
      <c r="J161" s="64">
        <f>SUM(J155:J160)</f>
        <v>0</v>
      </c>
      <c r="K161" s="64">
        <f t="shared" ref="K161:M161" si="143">SUM(K155:K160)</f>
        <v>0</v>
      </c>
      <c r="L161" s="64">
        <f t="shared" si="143"/>
        <v>0</v>
      </c>
      <c r="M161" s="64">
        <f t="shared" si="143"/>
        <v>0</v>
      </c>
      <c r="N161" s="64"/>
      <c r="O161" s="64"/>
      <c r="P161" s="64"/>
      <c r="Q161" s="81"/>
      <c r="R161" s="81"/>
      <c r="S161" s="81"/>
      <c r="T161" s="81"/>
      <c r="U161" s="81"/>
      <c r="V161" s="356"/>
      <c r="W161" s="381">
        <f>SUM(W155:W160)</f>
        <v>0</v>
      </c>
      <c r="X161" s="82">
        <f t="shared" ref="X161:Y161" si="144">SUM(X155:X160)</f>
        <v>0</v>
      </c>
      <c r="Y161" s="82">
        <f t="shared" si="144"/>
        <v>0</v>
      </c>
      <c r="Z161" s="205">
        <f t="shared" si="138"/>
        <v>0</v>
      </c>
      <c r="AA161" s="205"/>
      <c r="AB161" s="205"/>
      <c r="AC161" s="83"/>
      <c r="AE161" s="80"/>
      <c r="AF161" s="80"/>
      <c r="AG161" s="81"/>
      <c r="AH161" s="82">
        <f>SUM(AH155:AH160)</f>
        <v>0</v>
      </c>
      <c r="AI161" s="66">
        <f t="shared" si="139"/>
        <v>0</v>
      </c>
      <c r="AK161" s="80"/>
      <c r="AL161" s="80"/>
      <c r="AM161" s="81"/>
      <c r="AN161" s="82">
        <f>SUM(AN155:AN160)</f>
        <v>0</v>
      </c>
      <c r="AO161" s="66">
        <f t="shared" si="140"/>
        <v>0</v>
      </c>
      <c r="AQ161" s="80"/>
      <c r="AR161" s="80"/>
      <c r="AS161" s="81"/>
      <c r="AT161" s="82">
        <f>SUM(AT155:AT160)</f>
        <v>0</v>
      </c>
      <c r="AU161" s="66">
        <f t="shared" si="141"/>
        <v>0</v>
      </c>
      <c r="AW161" s="80"/>
      <c r="AX161" s="80"/>
      <c r="AY161" s="81"/>
      <c r="AZ161" s="82">
        <f>SUM(AZ155:AZ160)</f>
        <v>0</v>
      </c>
      <c r="BA161" s="66">
        <f t="shared" si="142"/>
        <v>0</v>
      </c>
    </row>
    <row r="162" spans="1:53" s="117" customFormat="1" ht="17.100000000000001" customHeight="1" x14ac:dyDescent="0.25">
      <c r="A162" s="68"/>
      <c r="B162" s="119"/>
      <c r="C162" s="540"/>
      <c r="D162" s="261"/>
      <c r="E162" s="261"/>
      <c r="F162" s="68"/>
      <c r="G162" s="68"/>
      <c r="H162" s="119"/>
      <c r="I162" s="138"/>
      <c r="J162" s="17" t="str">
        <f>IF(J161=J$15,"OK","NOK")</f>
        <v>OK</v>
      </c>
      <c r="K162" s="17" t="str">
        <f t="shared" ref="K162:L162" si="145">IF(K161=K$15,"OK","NOK")</f>
        <v>OK</v>
      </c>
      <c r="L162" s="17" t="str">
        <f t="shared" si="145"/>
        <v>OK</v>
      </c>
      <c r="M162" s="17"/>
      <c r="N162" s="17"/>
      <c r="O162" s="17"/>
      <c r="P162" s="17"/>
      <c r="Q162" s="17"/>
      <c r="R162" s="17"/>
      <c r="S162" s="17"/>
      <c r="T162" s="17"/>
      <c r="U162" s="17"/>
      <c r="V162" s="359"/>
      <c r="W162" s="382"/>
      <c r="X162" s="539"/>
      <c r="Y162" s="539"/>
      <c r="Z162" s="201"/>
      <c r="AA162" s="201"/>
      <c r="AB162" s="201"/>
      <c r="AC162" s="84"/>
      <c r="AE162" s="46"/>
      <c r="AF162" s="46"/>
      <c r="AG162" s="17"/>
      <c r="AH162" s="539"/>
      <c r="AI162" s="91"/>
      <c r="AK162" s="46"/>
      <c r="AL162" s="46"/>
      <c r="AM162" s="17"/>
      <c r="AN162" s="539"/>
      <c r="AO162" s="91"/>
      <c r="AQ162" s="46"/>
      <c r="AR162" s="46"/>
      <c r="AS162" s="17"/>
      <c r="AT162" s="539"/>
      <c r="AU162" s="91"/>
      <c r="AW162" s="46"/>
      <c r="AX162" s="46"/>
      <c r="AY162" s="17"/>
      <c r="AZ162" s="539"/>
      <c r="BA162" s="91"/>
    </row>
    <row r="163" spans="1:53" ht="17.100000000000001" customHeight="1" x14ac:dyDescent="0.25">
      <c r="A163" s="68"/>
      <c r="B163" s="41" t="s">
        <v>123</v>
      </c>
      <c r="C163" s="49" t="s">
        <v>426</v>
      </c>
      <c r="D163" s="50"/>
      <c r="E163" s="70"/>
      <c r="F163" s="70"/>
      <c r="G163" s="70"/>
      <c r="H163" s="243">
        <v>8</v>
      </c>
      <c r="J163" s="71"/>
      <c r="K163" s="71"/>
      <c r="L163" s="71"/>
      <c r="M163" s="71"/>
      <c r="N163" s="71"/>
      <c r="O163" s="71"/>
      <c r="P163" s="71"/>
      <c r="Q163" s="71"/>
      <c r="R163" s="71"/>
      <c r="S163" s="71"/>
      <c r="T163" s="71"/>
      <c r="U163" s="71"/>
      <c r="V163" s="355"/>
      <c r="W163" s="377"/>
      <c r="X163" s="71"/>
      <c r="Y163" s="72"/>
      <c r="Z163" s="73"/>
      <c r="AA163" s="73"/>
      <c r="AB163" s="73"/>
      <c r="AC163" s="73"/>
      <c r="AE163" s="71"/>
      <c r="AF163" s="71"/>
      <c r="AG163" s="71"/>
      <c r="AH163" s="72"/>
      <c r="AI163" s="73"/>
      <c r="AK163" s="71"/>
      <c r="AL163" s="71"/>
      <c r="AM163" s="71"/>
      <c r="AN163" s="72"/>
      <c r="AO163" s="73"/>
      <c r="AQ163" s="71"/>
      <c r="AR163" s="71"/>
      <c r="AS163" s="71"/>
      <c r="AT163" s="72"/>
      <c r="AU163" s="73"/>
      <c r="AW163" s="71"/>
      <c r="AX163" s="71"/>
      <c r="AY163" s="71"/>
      <c r="AZ163" s="72"/>
      <c r="BA163" s="73"/>
    </row>
    <row r="164" spans="1:53" ht="17.100000000000001" customHeight="1" x14ac:dyDescent="0.25">
      <c r="A164" s="40"/>
      <c r="B164" s="40"/>
      <c r="C164" s="74" t="s">
        <v>125</v>
      </c>
      <c r="D164" s="75" t="s">
        <v>148</v>
      </c>
      <c r="E164" s="75"/>
      <c r="F164" s="75"/>
      <c r="G164" s="75"/>
      <c r="H164" s="540"/>
      <c r="I164" s="229"/>
      <c r="J164" s="581"/>
      <c r="K164" s="581"/>
      <c r="L164" s="582"/>
      <c r="M164" s="17">
        <f t="shared" ref="M164:M165" si="146">SUM(J164:L164)</f>
        <v>0</v>
      </c>
      <c r="N164" s="111"/>
      <c r="O164" s="111"/>
      <c r="P164" s="111"/>
      <c r="Q164" s="111"/>
      <c r="R164" s="111"/>
      <c r="S164" s="111"/>
      <c r="T164" s="111"/>
      <c r="U164" s="111"/>
      <c r="V164" s="358"/>
      <c r="W164" s="391">
        <f t="shared" ref="W164:W165" si="147">J164+K164+N164+Q164+T164</f>
        <v>0</v>
      </c>
      <c r="X164" s="17">
        <f t="shared" ref="X164:X165" si="148">L164+O164+R164+U164</f>
        <v>0</v>
      </c>
      <c r="Y164" s="18">
        <f>SUM(W164:X164)</f>
        <v>0</v>
      </c>
      <c r="Z164" s="19">
        <f>IF($Y$166=0,0,Y164/$Y$166)</f>
        <v>0</v>
      </c>
      <c r="AA164" s="19"/>
      <c r="AB164" s="19"/>
      <c r="AC164" s="20"/>
      <c r="AE164" s="17"/>
      <c r="AF164" s="17"/>
      <c r="AG164" s="17"/>
      <c r="AH164" s="18">
        <f t="shared" ref="AH164:AH165" si="149">J164</f>
        <v>0</v>
      </c>
      <c r="AI164" s="19">
        <f>IF(AH$166=0,0,AH164/AH$166)</f>
        <v>0</v>
      </c>
      <c r="AK164" s="17"/>
      <c r="AL164" s="17"/>
      <c r="AM164" s="17"/>
      <c r="AN164" s="18">
        <f t="shared" ref="AN164:AN165" si="150">K164</f>
        <v>0</v>
      </c>
      <c r="AO164" s="19">
        <f>IF(AN$166=0,0,AN164/AN$166)</f>
        <v>0</v>
      </c>
      <c r="AQ164" s="17"/>
      <c r="AR164" s="17"/>
      <c r="AS164" s="17"/>
      <c r="AT164" s="18">
        <f t="shared" ref="AT164:AT165" si="151">W164</f>
        <v>0</v>
      </c>
      <c r="AU164" s="19">
        <f>IF(AT$166=0,0,AT164/AT$166)</f>
        <v>0</v>
      </c>
      <c r="AW164" s="17"/>
      <c r="AX164" s="17"/>
      <c r="AY164" s="17"/>
      <c r="AZ164" s="18">
        <f t="shared" ref="AZ164:AZ165" si="152">X164</f>
        <v>0</v>
      </c>
      <c r="BA164" s="19">
        <f>IF(AZ$166=0,0,AZ164/AZ$166)</f>
        <v>0</v>
      </c>
    </row>
    <row r="165" spans="1:53" ht="17.100000000000001" customHeight="1" x14ac:dyDescent="0.25">
      <c r="A165" s="40"/>
      <c r="B165" s="40"/>
      <c r="C165" s="74" t="s">
        <v>126</v>
      </c>
      <c r="D165" s="75" t="s">
        <v>149</v>
      </c>
      <c r="E165" s="75"/>
      <c r="F165" s="75"/>
      <c r="G165" s="75"/>
      <c r="H165" s="540"/>
      <c r="I165" s="229"/>
      <c r="J165" s="583"/>
      <c r="K165" s="583"/>
      <c r="L165" s="584"/>
      <c r="M165" s="17">
        <f t="shared" si="146"/>
        <v>0</v>
      </c>
      <c r="N165" s="111"/>
      <c r="O165" s="111"/>
      <c r="P165" s="111"/>
      <c r="Q165" s="111"/>
      <c r="R165" s="111"/>
      <c r="S165" s="111"/>
      <c r="T165" s="111"/>
      <c r="U165" s="111"/>
      <c r="V165" s="358"/>
      <c r="W165" s="391">
        <f t="shared" si="147"/>
        <v>0</v>
      </c>
      <c r="X165" s="17">
        <f t="shared" si="148"/>
        <v>0</v>
      </c>
      <c r="Y165" s="18">
        <f>SUM(W165:X165)</f>
        <v>0</v>
      </c>
      <c r="Z165" s="19">
        <f t="shared" ref="Z165:Z166" si="153">IF($Y$166=0,0,Y165/$Y$166)</f>
        <v>0</v>
      </c>
      <c r="AA165" s="19"/>
      <c r="AB165" s="19"/>
      <c r="AC165" s="20"/>
      <c r="AE165" s="17"/>
      <c r="AF165" s="17"/>
      <c r="AG165" s="17"/>
      <c r="AH165" s="18">
        <f t="shared" si="149"/>
        <v>0</v>
      </c>
      <c r="AI165" s="19">
        <f t="shared" ref="AI165:AI166" si="154">IF(AH$166=0,0,AH165/AH$166)</f>
        <v>0</v>
      </c>
      <c r="AK165" s="17"/>
      <c r="AL165" s="17"/>
      <c r="AM165" s="17"/>
      <c r="AN165" s="18">
        <f t="shared" si="150"/>
        <v>0</v>
      </c>
      <c r="AO165" s="19">
        <f t="shared" ref="AO165:AO166" si="155">IF(AN$166=0,0,AN165/AN$166)</f>
        <v>0</v>
      </c>
      <c r="AQ165" s="17"/>
      <c r="AR165" s="17"/>
      <c r="AS165" s="17"/>
      <c r="AT165" s="18">
        <f t="shared" si="151"/>
        <v>0</v>
      </c>
      <c r="AU165" s="19">
        <f t="shared" ref="AU165:AU166" si="156">IF(AT$166=0,0,AT165/AT$166)</f>
        <v>0</v>
      </c>
      <c r="AW165" s="17"/>
      <c r="AX165" s="17"/>
      <c r="AY165" s="17"/>
      <c r="AZ165" s="18">
        <f t="shared" si="152"/>
        <v>0</v>
      </c>
      <c r="BA165" s="19">
        <f t="shared" ref="BA165:BA166" si="157">IF(AZ$166=0,0,AZ165/AZ$166)</f>
        <v>0</v>
      </c>
    </row>
    <row r="166" spans="1:53" ht="17.100000000000001" customHeight="1" x14ac:dyDescent="0.25">
      <c r="A166" s="40"/>
      <c r="B166" s="40"/>
      <c r="C166" s="77"/>
      <c r="D166" s="144"/>
      <c r="E166" s="144"/>
      <c r="F166" s="145"/>
      <c r="G166" s="145"/>
      <c r="H166" s="119"/>
      <c r="I166" s="236"/>
      <c r="J166" s="64">
        <f>SUM(J164:J165)</f>
        <v>0</v>
      </c>
      <c r="K166" s="64">
        <f t="shared" ref="K166:M166" si="158">SUM(K164:K165)</f>
        <v>0</v>
      </c>
      <c r="L166" s="64">
        <f t="shared" si="158"/>
        <v>0</v>
      </c>
      <c r="M166" s="64">
        <f t="shared" si="158"/>
        <v>0</v>
      </c>
      <c r="N166" s="64"/>
      <c r="O166" s="64"/>
      <c r="P166" s="64"/>
      <c r="Q166" s="81"/>
      <c r="R166" s="81"/>
      <c r="S166" s="81"/>
      <c r="T166" s="81"/>
      <c r="U166" s="81"/>
      <c r="V166" s="356"/>
      <c r="W166" s="381">
        <f>SUM(W164:W165)</f>
        <v>0</v>
      </c>
      <c r="X166" s="82">
        <f t="shared" ref="X166:Y166" si="159">SUM(X164:X165)</f>
        <v>0</v>
      </c>
      <c r="Y166" s="82">
        <f t="shared" si="159"/>
        <v>0</v>
      </c>
      <c r="Z166" s="205">
        <f t="shared" si="153"/>
        <v>0</v>
      </c>
      <c r="AA166" s="205"/>
      <c r="AB166" s="205"/>
      <c r="AC166" s="83"/>
      <c r="AE166" s="80"/>
      <c r="AF166" s="80"/>
      <c r="AG166" s="81"/>
      <c r="AH166" s="82">
        <f>SUM(AH164:AH165)</f>
        <v>0</v>
      </c>
      <c r="AI166" s="66">
        <f t="shared" si="154"/>
        <v>0</v>
      </c>
      <c r="AK166" s="80"/>
      <c r="AL166" s="80"/>
      <c r="AM166" s="81"/>
      <c r="AN166" s="82">
        <f>SUM(AN164:AN165)</f>
        <v>0</v>
      </c>
      <c r="AO166" s="66">
        <f t="shared" si="155"/>
        <v>0</v>
      </c>
      <c r="AQ166" s="80"/>
      <c r="AR166" s="80"/>
      <c r="AS166" s="81"/>
      <c r="AT166" s="82">
        <f>SUM(AT164:AT165)</f>
        <v>0</v>
      </c>
      <c r="AU166" s="66">
        <f t="shared" si="156"/>
        <v>0</v>
      </c>
      <c r="AW166" s="80"/>
      <c r="AX166" s="80"/>
      <c r="AY166" s="81"/>
      <c r="AZ166" s="82">
        <f>SUM(AZ164:AZ165)</f>
        <v>0</v>
      </c>
      <c r="BA166" s="66">
        <f t="shared" si="157"/>
        <v>0</v>
      </c>
    </row>
    <row r="167" spans="1:53" s="117" customFormat="1" ht="17.100000000000001" customHeight="1" x14ac:dyDescent="0.25">
      <c r="A167" s="68"/>
      <c r="B167" s="119"/>
      <c r="C167" s="540"/>
      <c r="D167" s="261"/>
      <c r="E167" s="261"/>
      <c r="F167" s="68"/>
      <c r="G167" s="68"/>
      <c r="H167" s="119"/>
      <c r="I167" s="138"/>
      <c r="J167" s="17" t="str">
        <f>IF(J166=J$15,"OK","NOK")</f>
        <v>OK</v>
      </c>
      <c r="K167" s="17" t="str">
        <f t="shared" ref="K167:L167" si="160">IF(K166=K$15,"OK","NOK")</f>
        <v>OK</v>
      </c>
      <c r="L167" s="17" t="str">
        <f t="shared" si="160"/>
        <v>OK</v>
      </c>
      <c r="M167" s="17"/>
      <c r="N167" s="17"/>
      <c r="O167" s="17"/>
      <c r="P167" s="17"/>
      <c r="Q167" s="17"/>
      <c r="R167" s="17"/>
      <c r="S167" s="17"/>
      <c r="T167" s="17"/>
      <c r="U167" s="17"/>
      <c r="V167" s="359"/>
      <c r="W167" s="382"/>
      <c r="X167" s="539"/>
      <c r="Y167" s="539"/>
      <c r="Z167" s="201"/>
      <c r="AA167" s="201"/>
      <c r="AB167" s="201"/>
      <c r="AC167" s="84"/>
      <c r="AE167" s="46"/>
      <c r="AF167" s="46"/>
      <c r="AG167" s="17"/>
      <c r="AH167" s="539"/>
      <c r="AI167" s="91"/>
      <c r="AK167" s="46"/>
      <c r="AL167" s="46"/>
      <c r="AM167" s="17"/>
      <c r="AN167" s="539"/>
      <c r="AO167" s="91"/>
      <c r="AQ167" s="46"/>
      <c r="AR167" s="46"/>
      <c r="AS167" s="17"/>
      <c r="AT167" s="539"/>
      <c r="AU167" s="91"/>
      <c r="AW167" s="46"/>
      <c r="AX167" s="46"/>
      <c r="AY167" s="17"/>
      <c r="AZ167" s="539"/>
      <c r="BA167" s="91"/>
    </row>
    <row r="168" spans="1:53" ht="17.100000000000001" customHeight="1" x14ac:dyDescent="0.25">
      <c r="A168" s="68"/>
      <c r="B168" s="41" t="s">
        <v>130</v>
      </c>
      <c r="C168" s="69" t="s">
        <v>413</v>
      </c>
      <c r="D168" s="50"/>
      <c r="E168" s="70"/>
      <c r="F168" s="70"/>
      <c r="G168" s="70"/>
      <c r="H168" s="119"/>
      <c r="J168" s="71"/>
      <c r="K168" s="71"/>
      <c r="L168" s="71"/>
      <c r="M168" s="71"/>
      <c r="N168" s="71"/>
      <c r="O168" s="71"/>
      <c r="P168" s="71"/>
      <c r="Q168" s="71"/>
      <c r="R168" s="71"/>
      <c r="S168" s="71"/>
      <c r="T168" s="71"/>
      <c r="U168" s="71"/>
      <c r="V168" s="355"/>
      <c r="W168" s="377"/>
      <c r="X168" s="71"/>
      <c r="Y168" s="72"/>
      <c r="Z168" s="73"/>
      <c r="AA168" s="73"/>
      <c r="AB168" s="73"/>
      <c r="AC168" s="73"/>
      <c r="AE168" s="71"/>
      <c r="AF168" s="71"/>
      <c r="AG168" s="71"/>
      <c r="AH168" s="72"/>
      <c r="AI168" s="73"/>
      <c r="AK168" s="71"/>
      <c r="AL168" s="71"/>
      <c r="AM168" s="71"/>
      <c r="AN168" s="72"/>
      <c r="AO168" s="73"/>
      <c r="AQ168" s="71"/>
      <c r="AR168" s="71"/>
      <c r="AS168" s="71"/>
      <c r="AT168" s="72"/>
      <c r="AU168" s="73"/>
      <c r="AW168" s="71"/>
      <c r="AX168" s="71"/>
      <c r="AY168" s="71"/>
      <c r="AZ168" s="72"/>
      <c r="BA168" s="73"/>
    </row>
    <row r="169" spans="1:53" ht="17.100000000000001" customHeight="1" x14ac:dyDescent="0.25">
      <c r="A169" s="40"/>
      <c r="B169" s="40"/>
      <c r="C169" s="74" t="s">
        <v>131</v>
      </c>
      <c r="D169" s="542" t="s">
        <v>457</v>
      </c>
      <c r="E169" s="542"/>
      <c r="F169" s="542"/>
      <c r="G169" s="542"/>
      <c r="H169" s="540"/>
      <c r="I169" s="235"/>
      <c r="J169" s="111"/>
      <c r="K169" s="111"/>
      <c r="L169" s="111"/>
      <c r="M169" s="111"/>
      <c r="N169" s="60"/>
      <c r="O169" s="60"/>
      <c r="P169" s="17">
        <f>SUM(N169:O169)</f>
        <v>0</v>
      </c>
      <c r="Q169" s="60"/>
      <c r="R169" s="60"/>
      <c r="S169" s="17">
        <f>SUM(Q169:R169)</f>
        <v>0</v>
      </c>
      <c r="T169" s="60"/>
      <c r="U169" s="60"/>
      <c r="V169" s="359">
        <f>SUM(T169:U169)</f>
        <v>0</v>
      </c>
      <c r="W169" s="391">
        <f t="shared" ref="W169:W173" si="161">J169+K169+N169+Q169+T169</f>
        <v>0</v>
      </c>
      <c r="X169" s="17">
        <f t="shared" ref="X169:X173" si="162">L169+O169+R169+U169</f>
        <v>0</v>
      </c>
      <c r="Y169" s="18">
        <f>SUM(W169:X169)</f>
        <v>0</v>
      </c>
      <c r="Z169" s="19">
        <f t="shared" ref="Z169:Z174" si="163">IF(Y$174=0,0,Y169/Y$174)</f>
        <v>0</v>
      </c>
      <c r="AA169" s="19"/>
      <c r="AB169" s="19"/>
      <c r="AC169" s="20"/>
      <c r="AE169" s="111"/>
      <c r="AF169" s="111"/>
      <c r="AG169" s="111"/>
      <c r="AH169" s="112"/>
      <c r="AI169" s="113"/>
      <c r="AK169" s="111"/>
      <c r="AL169" s="111"/>
      <c r="AM169" s="111"/>
      <c r="AN169" s="112"/>
      <c r="AO169" s="113"/>
      <c r="AQ169" s="17"/>
      <c r="AR169" s="17"/>
      <c r="AS169" s="17"/>
      <c r="AT169" s="18">
        <f t="shared" ref="AT169:AT173" si="164">W169</f>
        <v>0</v>
      </c>
      <c r="AU169" s="19">
        <f t="shared" ref="AU169:AU174" si="165">IF(AT$174=0,0,AT169/AT$174)</f>
        <v>0</v>
      </c>
      <c r="AW169" s="17"/>
      <c r="AX169" s="17"/>
      <c r="AY169" s="17"/>
      <c r="AZ169" s="18">
        <f t="shared" ref="AZ169:AZ173" si="166">X169</f>
        <v>0</v>
      </c>
      <c r="BA169" s="19">
        <f t="shared" ref="BA169:BA174" si="167">IF(AZ$174=0,0,AZ169/AZ$174)</f>
        <v>0</v>
      </c>
    </row>
    <row r="170" spans="1:53" ht="17.100000000000001" customHeight="1" x14ac:dyDescent="0.25">
      <c r="A170" s="40"/>
      <c r="B170" s="40"/>
      <c r="C170" s="74" t="s">
        <v>132</v>
      </c>
      <c r="D170" s="542" t="s">
        <v>459</v>
      </c>
      <c r="E170" s="542"/>
      <c r="F170" s="542"/>
      <c r="G170" s="542"/>
      <c r="H170" s="540"/>
      <c r="I170" s="235"/>
      <c r="J170" s="111"/>
      <c r="K170" s="111"/>
      <c r="L170" s="111"/>
      <c r="M170" s="111"/>
      <c r="N170" s="61"/>
      <c r="O170" s="61"/>
      <c r="P170" s="17">
        <f>SUM(N170:O170)</f>
        <v>0</v>
      </c>
      <c r="Q170" s="61"/>
      <c r="R170" s="61"/>
      <c r="S170" s="17">
        <f>SUM(Q170:R170)</f>
        <v>0</v>
      </c>
      <c r="T170" s="61"/>
      <c r="U170" s="61"/>
      <c r="V170" s="359">
        <f>SUM(T170:U170)</f>
        <v>0</v>
      </c>
      <c r="W170" s="391">
        <f t="shared" si="161"/>
        <v>0</v>
      </c>
      <c r="X170" s="17">
        <f t="shared" si="162"/>
        <v>0</v>
      </c>
      <c r="Y170" s="18">
        <f>SUM(W170:X170)</f>
        <v>0</v>
      </c>
      <c r="Z170" s="19">
        <f t="shared" si="163"/>
        <v>0</v>
      </c>
      <c r="AA170" s="19"/>
      <c r="AB170" s="19"/>
      <c r="AC170" s="20"/>
      <c r="AE170" s="111"/>
      <c r="AF170" s="111"/>
      <c r="AG170" s="111"/>
      <c r="AH170" s="112"/>
      <c r="AI170" s="113"/>
      <c r="AK170" s="111"/>
      <c r="AL170" s="111"/>
      <c r="AM170" s="111"/>
      <c r="AN170" s="112"/>
      <c r="AO170" s="113"/>
      <c r="AQ170" s="17"/>
      <c r="AR170" s="17"/>
      <c r="AS170" s="17"/>
      <c r="AT170" s="18">
        <f t="shared" si="164"/>
        <v>0</v>
      </c>
      <c r="AU170" s="19">
        <f t="shared" si="165"/>
        <v>0</v>
      </c>
      <c r="AW170" s="17"/>
      <c r="AX170" s="17"/>
      <c r="AY170" s="17"/>
      <c r="AZ170" s="18">
        <f t="shared" si="166"/>
        <v>0</v>
      </c>
      <c r="BA170" s="19">
        <f t="shared" si="167"/>
        <v>0</v>
      </c>
    </row>
    <row r="171" spans="1:53" ht="17.100000000000001" customHeight="1" x14ac:dyDescent="0.25">
      <c r="A171" s="40"/>
      <c r="B171" s="40"/>
      <c r="C171" s="74" t="s">
        <v>133</v>
      </c>
      <c r="D171" s="542" t="s">
        <v>460</v>
      </c>
      <c r="E171" s="542"/>
      <c r="F171" s="542"/>
      <c r="G171" s="542"/>
      <c r="H171" s="540"/>
      <c r="I171" s="235"/>
      <c r="J171" s="111"/>
      <c r="K171" s="111"/>
      <c r="L171" s="111"/>
      <c r="M171" s="111"/>
      <c r="N171" s="60"/>
      <c r="O171" s="60"/>
      <c r="P171" s="17">
        <f>SUM(N171:O171)</f>
        <v>0</v>
      </c>
      <c r="Q171" s="60"/>
      <c r="R171" s="60"/>
      <c r="S171" s="17">
        <f>SUM(Q171:R171)</f>
        <v>0</v>
      </c>
      <c r="T171" s="60"/>
      <c r="U171" s="60"/>
      <c r="V171" s="359">
        <f>SUM(T171:U171)</f>
        <v>0</v>
      </c>
      <c r="W171" s="391">
        <f t="shared" si="161"/>
        <v>0</v>
      </c>
      <c r="X171" s="17">
        <f t="shared" si="162"/>
        <v>0</v>
      </c>
      <c r="Y171" s="18">
        <f>SUM(W171:X171)</f>
        <v>0</v>
      </c>
      <c r="Z171" s="19">
        <f t="shared" si="163"/>
        <v>0</v>
      </c>
      <c r="AA171" s="19"/>
      <c r="AB171" s="19"/>
      <c r="AC171" s="20"/>
      <c r="AE171" s="111"/>
      <c r="AF171" s="111"/>
      <c r="AG171" s="111"/>
      <c r="AH171" s="112"/>
      <c r="AI171" s="113"/>
      <c r="AK171" s="111"/>
      <c r="AL171" s="111"/>
      <c r="AM171" s="111"/>
      <c r="AN171" s="112"/>
      <c r="AO171" s="113"/>
      <c r="AQ171" s="17"/>
      <c r="AR171" s="17"/>
      <c r="AS171" s="17"/>
      <c r="AT171" s="18">
        <f t="shared" si="164"/>
        <v>0</v>
      </c>
      <c r="AU171" s="19">
        <f t="shared" si="165"/>
        <v>0</v>
      </c>
      <c r="AW171" s="17"/>
      <c r="AX171" s="17"/>
      <c r="AY171" s="17"/>
      <c r="AZ171" s="18">
        <f t="shared" si="166"/>
        <v>0</v>
      </c>
      <c r="BA171" s="19">
        <f t="shared" si="167"/>
        <v>0</v>
      </c>
    </row>
    <row r="172" spans="1:53" ht="17.100000000000001" customHeight="1" x14ac:dyDescent="0.25">
      <c r="A172" s="40"/>
      <c r="B172" s="40"/>
      <c r="C172" s="74" t="s">
        <v>134</v>
      </c>
      <c r="D172" s="542" t="s">
        <v>461</v>
      </c>
      <c r="E172" s="542"/>
      <c r="F172" s="542"/>
      <c r="G172" s="542"/>
      <c r="H172" s="540"/>
      <c r="I172" s="235"/>
      <c r="J172" s="111"/>
      <c r="K172" s="111"/>
      <c r="L172" s="111"/>
      <c r="M172" s="111"/>
      <c r="N172" s="61"/>
      <c r="O172" s="61"/>
      <c r="P172" s="17">
        <f>SUM(N172:O172)</f>
        <v>0</v>
      </c>
      <c r="Q172" s="61"/>
      <c r="R172" s="61"/>
      <c r="S172" s="17">
        <f>SUM(Q172:R172)</f>
        <v>0</v>
      </c>
      <c r="T172" s="61"/>
      <c r="U172" s="61"/>
      <c r="V172" s="359">
        <f>SUM(T172:U172)</f>
        <v>0</v>
      </c>
      <c r="W172" s="391">
        <f t="shared" si="161"/>
        <v>0</v>
      </c>
      <c r="X172" s="17">
        <f t="shared" si="162"/>
        <v>0</v>
      </c>
      <c r="Y172" s="18">
        <f>SUM(W172:X172)</f>
        <v>0</v>
      </c>
      <c r="Z172" s="19">
        <f t="shared" si="163"/>
        <v>0</v>
      </c>
      <c r="AA172" s="19"/>
      <c r="AB172" s="19"/>
      <c r="AC172" s="20"/>
      <c r="AE172" s="111"/>
      <c r="AF172" s="111"/>
      <c r="AG172" s="111"/>
      <c r="AH172" s="112"/>
      <c r="AI172" s="113"/>
      <c r="AK172" s="111"/>
      <c r="AL172" s="111"/>
      <c r="AM172" s="111"/>
      <c r="AN172" s="112"/>
      <c r="AO172" s="113"/>
      <c r="AQ172" s="17"/>
      <c r="AR172" s="17"/>
      <c r="AS172" s="17"/>
      <c r="AT172" s="18">
        <f t="shared" si="164"/>
        <v>0</v>
      </c>
      <c r="AU172" s="19">
        <f t="shared" si="165"/>
        <v>0</v>
      </c>
      <c r="AW172" s="17"/>
      <c r="AX172" s="17"/>
      <c r="AY172" s="17"/>
      <c r="AZ172" s="18">
        <f t="shared" si="166"/>
        <v>0</v>
      </c>
      <c r="BA172" s="19">
        <f t="shared" si="167"/>
        <v>0</v>
      </c>
    </row>
    <row r="173" spans="1:53" ht="17.100000000000001" customHeight="1" x14ac:dyDescent="0.25">
      <c r="A173" s="40"/>
      <c r="B173" s="40"/>
      <c r="C173" s="74" t="s">
        <v>135</v>
      </c>
      <c r="D173" s="542" t="s">
        <v>458</v>
      </c>
      <c r="E173" s="542"/>
      <c r="F173" s="542"/>
      <c r="G173" s="542"/>
      <c r="H173" s="540"/>
      <c r="I173" s="235"/>
      <c r="J173" s="111"/>
      <c r="K173" s="111"/>
      <c r="L173" s="111"/>
      <c r="M173" s="111"/>
      <c r="N173" s="60"/>
      <c r="O173" s="60"/>
      <c r="P173" s="17">
        <f>SUM(N173:O173)</f>
        <v>0</v>
      </c>
      <c r="Q173" s="60"/>
      <c r="R173" s="60"/>
      <c r="S173" s="17">
        <f>SUM(Q173:R173)</f>
        <v>0</v>
      </c>
      <c r="T173" s="60"/>
      <c r="U173" s="60"/>
      <c r="V173" s="359">
        <f>SUM(T173:U173)</f>
        <v>0</v>
      </c>
      <c r="W173" s="391">
        <f t="shared" si="161"/>
        <v>0</v>
      </c>
      <c r="X173" s="17">
        <f t="shared" si="162"/>
        <v>0</v>
      </c>
      <c r="Y173" s="18">
        <f>SUM(W173:X173)</f>
        <v>0</v>
      </c>
      <c r="Z173" s="19">
        <f t="shared" si="163"/>
        <v>0</v>
      </c>
      <c r="AA173" s="19"/>
      <c r="AB173" s="19"/>
      <c r="AC173" s="20"/>
      <c r="AE173" s="111"/>
      <c r="AF173" s="111"/>
      <c r="AG173" s="111"/>
      <c r="AH173" s="112"/>
      <c r="AI173" s="113"/>
      <c r="AK173" s="111"/>
      <c r="AL173" s="111"/>
      <c r="AM173" s="111"/>
      <c r="AN173" s="112"/>
      <c r="AO173" s="113"/>
      <c r="AQ173" s="17"/>
      <c r="AR173" s="17"/>
      <c r="AS173" s="17"/>
      <c r="AT173" s="18">
        <f t="shared" si="164"/>
        <v>0</v>
      </c>
      <c r="AU173" s="19">
        <f t="shared" si="165"/>
        <v>0</v>
      </c>
      <c r="AW173" s="17"/>
      <c r="AX173" s="17"/>
      <c r="AY173" s="17"/>
      <c r="AZ173" s="18">
        <f t="shared" si="166"/>
        <v>0</v>
      </c>
      <c r="BA173" s="19">
        <f t="shared" si="167"/>
        <v>0</v>
      </c>
    </row>
    <row r="174" spans="1:53" ht="17.100000000000001" customHeight="1" x14ac:dyDescent="0.25">
      <c r="A174" s="40"/>
      <c r="B174" s="40"/>
      <c r="C174" s="77"/>
      <c r="D174" s="144"/>
      <c r="E174" s="144"/>
      <c r="F174" s="145"/>
      <c r="G174" s="145"/>
      <c r="H174" s="119"/>
      <c r="I174" s="236"/>
      <c r="J174" s="80"/>
      <c r="K174" s="80"/>
      <c r="L174" s="81"/>
      <c r="M174" s="81"/>
      <c r="N174" s="81">
        <f t="shared" ref="N174:Y174" si="168">SUM(N169:N173)</f>
        <v>0</v>
      </c>
      <c r="O174" s="81">
        <f t="shared" si="168"/>
        <v>0</v>
      </c>
      <c r="P174" s="81">
        <f t="shared" si="168"/>
        <v>0</v>
      </c>
      <c r="Q174" s="81">
        <f t="shared" si="168"/>
        <v>0</v>
      </c>
      <c r="R174" s="81">
        <f t="shared" si="168"/>
        <v>0</v>
      </c>
      <c r="S174" s="81">
        <f t="shared" si="168"/>
        <v>0</v>
      </c>
      <c r="T174" s="81">
        <f t="shared" si="168"/>
        <v>0</v>
      </c>
      <c r="U174" s="81">
        <f t="shared" si="168"/>
        <v>0</v>
      </c>
      <c r="V174" s="81">
        <f t="shared" si="168"/>
        <v>0</v>
      </c>
      <c r="W174" s="381">
        <f t="shared" si="168"/>
        <v>0</v>
      </c>
      <c r="X174" s="82">
        <f t="shared" si="168"/>
        <v>0</v>
      </c>
      <c r="Y174" s="82">
        <f t="shared" si="168"/>
        <v>0</v>
      </c>
      <c r="Z174" s="205">
        <f t="shared" si="163"/>
        <v>0</v>
      </c>
      <c r="AA174" s="205"/>
      <c r="AB174" s="205"/>
      <c r="AC174" s="83"/>
      <c r="AE174" s="80"/>
      <c r="AF174" s="80"/>
      <c r="AG174" s="81"/>
      <c r="AH174" s="82"/>
      <c r="AI174" s="66"/>
      <c r="AK174" s="80"/>
      <c r="AL174" s="80"/>
      <c r="AM174" s="81"/>
      <c r="AN174" s="82"/>
      <c r="AO174" s="66"/>
      <c r="AQ174" s="80"/>
      <c r="AR174" s="80"/>
      <c r="AS174" s="81"/>
      <c r="AT174" s="82">
        <f>SUM(AT169:AT173)</f>
        <v>0</v>
      </c>
      <c r="AU174" s="66">
        <f t="shared" si="165"/>
        <v>0</v>
      </c>
      <c r="AW174" s="80"/>
      <c r="AX174" s="80"/>
      <c r="AY174" s="81"/>
      <c r="AZ174" s="82">
        <f>SUM(AZ169:AZ173)</f>
        <v>0</v>
      </c>
      <c r="BA174" s="66">
        <f t="shared" si="167"/>
        <v>0</v>
      </c>
    </row>
    <row r="175" spans="1:53" s="117" customFormat="1" ht="17.100000000000001" customHeight="1" x14ac:dyDescent="0.25">
      <c r="A175" s="68"/>
      <c r="B175" s="119"/>
      <c r="C175" s="540"/>
      <c r="D175" s="261"/>
      <c r="E175" s="261"/>
      <c r="F175" s="68"/>
      <c r="G175" s="68"/>
      <c r="H175" s="119"/>
      <c r="I175" s="138"/>
      <c r="J175" s="17"/>
      <c r="K175" s="17"/>
      <c r="L175" s="17"/>
      <c r="M175" s="17"/>
      <c r="N175" s="17" t="str">
        <f>IF(N174=N$20,"OK","NOK")</f>
        <v>OK</v>
      </c>
      <c r="O175" s="17" t="str">
        <f>IF(O174=O$20,"OK","NOK")</f>
        <v>OK</v>
      </c>
      <c r="P175" s="17"/>
      <c r="Q175" s="17" t="str">
        <f>IF(Q174=Q$20,"OK","NOK")</f>
        <v>OK</v>
      </c>
      <c r="R175" s="17" t="str">
        <f>IF(R174=R$20,"OK","NOK")</f>
        <v>OK</v>
      </c>
      <c r="S175" s="17"/>
      <c r="T175" s="17" t="str">
        <f>IF(T174=T$20,"OK","NOK")</f>
        <v>OK</v>
      </c>
      <c r="U175" s="17" t="str">
        <f>IF(U174=U$20,"OK","NOK")</f>
        <v>OK</v>
      </c>
      <c r="V175" s="359"/>
      <c r="W175" s="382"/>
      <c r="X175" s="539"/>
      <c r="Y175" s="539"/>
      <c r="Z175" s="201"/>
      <c r="AA175" s="201"/>
      <c r="AB175" s="201"/>
      <c r="AC175" s="84"/>
      <c r="AE175" s="46"/>
      <c r="AF175" s="46"/>
      <c r="AG175" s="17"/>
      <c r="AH175" s="539"/>
      <c r="AI175" s="91"/>
      <c r="AK175" s="46"/>
      <c r="AL175" s="46"/>
      <c r="AM175" s="17"/>
      <c r="AN175" s="539"/>
      <c r="AO175" s="91"/>
      <c r="AQ175" s="46"/>
      <c r="AR175" s="46"/>
      <c r="AS175" s="17"/>
      <c r="AT175" s="539"/>
      <c r="AU175" s="91"/>
      <c r="AW175" s="46"/>
      <c r="AX175" s="46"/>
      <c r="AY175" s="17"/>
      <c r="AZ175" s="539"/>
      <c r="BA175" s="91"/>
    </row>
    <row r="176" spans="1:53" ht="17.100000000000001" customHeight="1" x14ac:dyDescent="0.25">
      <c r="A176" s="68"/>
      <c r="B176" s="41" t="s">
        <v>137</v>
      </c>
      <c r="C176" s="69" t="s">
        <v>124</v>
      </c>
      <c r="D176" s="50"/>
      <c r="E176" s="70"/>
      <c r="F176" s="70"/>
      <c r="G176" s="70"/>
      <c r="H176" s="119"/>
      <c r="J176" s="71"/>
      <c r="K176" s="71"/>
      <c r="L176" s="71"/>
      <c r="M176" s="71"/>
      <c r="N176" s="71"/>
      <c r="O176" s="71"/>
      <c r="P176" s="71"/>
      <c r="Q176" s="71"/>
      <c r="R176" s="71"/>
      <c r="S176" s="71"/>
      <c r="T176" s="71"/>
      <c r="U176" s="71"/>
      <c r="V176" s="355"/>
      <c r="W176" s="377"/>
      <c r="X176" s="71"/>
      <c r="Y176" s="72"/>
      <c r="Z176" s="73"/>
      <c r="AA176" s="73"/>
      <c r="AB176" s="73"/>
      <c r="AC176" s="73"/>
      <c r="AE176" s="71"/>
      <c r="AF176" s="71"/>
      <c r="AG176" s="71"/>
      <c r="AH176" s="72"/>
      <c r="AI176" s="73"/>
      <c r="AK176" s="71"/>
      <c r="AL176" s="71"/>
      <c r="AM176" s="71"/>
      <c r="AN176" s="72"/>
      <c r="AO176" s="73"/>
      <c r="AQ176" s="71"/>
      <c r="AR176" s="71"/>
      <c r="AS176" s="71"/>
      <c r="AT176" s="72"/>
      <c r="AU176" s="73"/>
      <c r="AW176" s="71"/>
      <c r="AX176" s="71"/>
      <c r="AY176" s="71"/>
      <c r="AZ176" s="72"/>
      <c r="BA176" s="73"/>
    </row>
    <row r="177" spans="1:53" ht="17.100000000000001" customHeight="1" x14ac:dyDescent="0.25">
      <c r="A177" s="40"/>
      <c r="B177" s="40"/>
      <c r="C177" s="74" t="s">
        <v>139</v>
      </c>
      <c r="D177" s="541" t="s">
        <v>666</v>
      </c>
      <c r="E177" s="542"/>
      <c r="F177" s="542"/>
      <c r="G177" s="542"/>
      <c r="H177" s="540"/>
      <c r="I177" s="235"/>
      <c r="J177" s="111"/>
      <c r="K177" s="111"/>
      <c r="L177" s="111"/>
      <c r="M177" s="111"/>
      <c r="N177" s="111">
        <f>SUM(N178:N183)</f>
        <v>0</v>
      </c>
      <c r="O177" s="111">
        <f>SUM(O178:O183)</f>
        <v>0</v>
      </c>
      <c r="P177" s="111">
        <f t="shared" ref="P177:P183" si="169">SUM(N177:O177)</f>
        <v>0</v>
      </c>
      <c r="Q177" s="111">
        <f>SUM(Q178:Q183)</f>
        <v>0</v>
      </c>
      <c r="R177" s="111">
        <f>SUM(R178:R183)</f>
        <v>0</v>
      </c>
      <c r="S177" s="111">
        <f t="shared" ref="S177:S183" si="170">SUM(Q177:R177)</f>
        <v>0</v>
      </c>
      <c r="T177" s="111">
        <f>SUM(T178:T183)</f>
        <v>0</v>
      </c>
      <c r="U177" s="111">
        <f>SUM(U178:U183)</f>
        <v>0</v>
      </c>
      <c r="V177" s="358">
        <f t="shared" ref="V177:V183" si="171">SUM(T177:U177)</f>
        <v>0</v>
      </c>
      <c r="W177" s="385">
        <f t="shared" ref="W177:W183" si="172">J177+K177+N177+Q177+T177</f>
        <v>0</v>
      </c>
      <c r="X177" s="545">
        <f t="shared" ref="X177:X183" si="173">L177+O177+R177+U177</f>
        <v>0</v>
      </c>
      <c r="Y177" s="545">
        <f t="shared" ref="Y177:Y183" si="174">SUM(W177:X177)</f>
        <v>0</v>
      </c>
      <c r="Z177" s="172">
        <f t="shared" ref="Z177:Z183" si="175">IF(Y$187=0,0,Y177/Y$187)</f>
        <v>0</v>
      </c>
      <c r="AA177" s="172"/>
      <c r="AB177" s="172"/>
      <c r="AC177" s="113"/>
      <c r="AE177" s="111"/>
      <c r="AF177" s="111"/>
      <c r="AG177" s="111"/>
      <c r="AH177" s="545"/>
      <c r="AI177" s="131"/>
      <c r="AK177" s="111"/>
      <c r="AL177" s="111"/>
      <c r="AM177" s="111"/>
      <c r="AN177" s="545"/>
      <c r="AO177" s="131"/>
      <c r="AQ177" s="111"/>
      <c r="AR177" s="111"/>
      <c r="AS177" s="111"/>
      <c r="AT177" s="545">
        <f>SUM(AT178:AT183)</f>
        <v>0</v>
      </c>
      <c r="AU177" s="131">
        <f>IF(AT$187=0,0,AT177/AT$187)</f>
        <v>0</v>
      </c>
      <c r="AW177" s="111"/>
      <c r="AX177" s="111"/>
      <c r="AY177" s="111"/>
      <c r="AZ177" s="545">
        <f t="shared" ref="AZ177:AZ186" si="176">X177</f>
        <v>0</v>
      </c>
      <c r="BA177" s="131">
        <f>IF(AZ$187=0,0,AZ177/AZ$187)</f>
        <v>0</v>
      </c>
    </row>
    <row r="178" spans="1:53" ht="17.100000000000001" customHeight="1" x14ac:dyDescent="0.25">
      <c r="A178" s="40"/>
      <c r="B178" s="40"/>
      <c r="C178" s="540"/>
      <c r="D178" s="74" t="s">
        <v>140</v>
      </c>
      <c r="E178" s="542" t="s">
        <v>414</v>
      </c>
      <c r="F178" s="542"/>
      <c r="G178" s="542"/>
      <c r="H178" s="540"/>
      <c r="I178" s="235"/>
      <c r="J178" s="111"/>
      <c r="K178" s="111"/>
      <c r="L178" s="111"/>
      <c r="M178" s="111"/>
      <c r="N178" s="60"/>
      <c r="O178" s="60"/>
      <c r="P178" s="17">
        <f t="shared" si="169"/>
        <v>0</v>
      </c>
      <c r="Q178" s="60"/>
      <c r="R178" s="60"/>
      <c r="S178" s="17">
        <f t="shared" si="170"/>
        <v>0</v>
      </c>
      <c r="T178" s="60"/>
      <c r="U178" s="60"/>
      <c r="V178" s="359">
        <f t="shared" si="171"/>
        <v>0</v>
      </c>
      <c r="W178" s="391">
        <f t="shared" si="172"/>
        <v>0</v>
      </c>
      <c r="X178" s="17">
        <f t="shared" si="173"/>
        <v>0</v>
      </c>
      <c r="Y178" s="18">
        <f t="shared" si="174"/>
        <v>0</v>
      </c>
      <c r="Z178" s="19">
        <f t="shared" si="175"/>
        <v>0</v>
      </c>
      <c r="AA178" s="19"/>
      <c r="AB178" s="19"/>
      <c r="AC178" s="20"/>
      <c r="AE178" s="111"/>
      <c r="AF178" s="111"/>
      <c r="AG178" s="111"/>
      <c r="AH178" s="112"/>
      <c r="AI178" s="113"/>
      <c r="AK178" s="111"/>
      <c r="AL178" s="111"/>
      <c r="AM178" s="111"/>
      <c r="AN178" s="112"/>
      <c r="AO178" s="113"/>
      <c r="AQ178" s="17"/>
      <c r="AR178" s="17"/>
      <c r="AS178" s="17"/>
      <c r="AT178" s="18">
        <f t="shared" ref="AT178:AT183" si="177">W178</f>
        <v>0</v>
      </c>
      <c r="AU178" s="91">
        <f t="shared" ref="AU178:AU187" si="178">IF(AT$187=0,0,AT178/AT$187)</f>
        <v>0</v>
      </c>
      <c r="AW178" s="17"/>
      <c r="AX178" s="17"/>
      <c r="AY178" s="17"/>
      <c r="AZ178" s="18">
        <f t="shared" si="176"/>
        <v>0</v>
      </c>
      <c r="BA178" s="91">
        <f t="shared" ref="BA178:BA187" si="179">IF(AZ$187=0,0,AZ178/AZ$187)</f>
        <v>0</v>
      </c>
    </row>
    <row r="179" spans="1:53" ht="17.100000000000001" customHeight="1" x14ac:dyDescent="0.25">
      <c r="A179" s="40"/>
      <c r="B179" s="40"/>
      <c r="C179" s="540"/>
      <c r="D179" s="74" t="s">
        <v>660</v>
      </c>
      <c r="E179" s="542" t="s">
        <v>415</v>
      </c>
      <c r="F179" s="542"/>
      <c r="G179" s="542"/>
      <c r="H179" s="540"/>
      <c r="I179" s="235"/>
      <c r="J179" s="111"/>
      <c r="K179" s="111"/>
      <c r="L179" s="111"/>
      <c r="M179" s="111"/>
      <c r="N179" s="61"/>
      <c r="O179" s="61"/>
      <c r="P179" s="17">
        <f t="shared" si="169"/>
        <v>0</v>
      </c>
      <c r="Q179" s="61"/>
      <c r="R179" s="61"/>
      <c r="S179" s="17">
        <f t="shared" si="170"/>
        <v>0</v>
      </c>
      <c r="T179" s="61"/>
      <c r="U179" s="61"/>
      <c r="V179" s="359">
        <f t="shared" si="171"/>
        <v>0</v>
      </c>
      <c r="W179" s="391">
        <f t="shared" si="172"/>
        <v>0</v>
      </c>
      <c r="X179" s="17">
        <f t="shared" si="173"/>
        <v>0</v>
      </c>
      <c r="Y179" s="18">
        <f t="shared" si="174"/>
        <v>0</v>
      </c>
      <c r="Z179" s="19">
        <f t="shared" si="175"/>
        <v>0</v>
      </c>
      <c r="AA179" s="19"/>
      <c r="AB179" s="19"/>
      <c r="AC179" s="20"/>
      <c r="AE179" s="111"/>
      <c r="AF179" s="111"/>
      <c r="AG179" s="111"/>
      <c r="AH179" s="112"/>
      <c r="AI179" s="113"/>
      <c r="AK179" s="111"/>
      <c r="AL179" s="111"/>
      <c r="AM179" s="111"/>
      <c r="AN179" s="112"/>
      <c r="AO179" s="113"/>
      <c r="AQ179" s="17"/>
      <c r="AR179" s="17"/>
      <c r="AS179" s="17"/>
      <c r="AT179" s="18">
        <f t="shared" si="177"/>
        <v>0</v>
      </c>
      <c r="AU179" s="91">
        <f t="shared" si="178"/>
        <v>0</v>
      </c>
      <c r="AW179" s="17"/>
      <c r="AX179" s="17"/>
      <c r="AY179" s="17"/>
      <c r="AZ179" s="18">
        <f t="shared" si="176"/>
        <v>0</v>
      </c>
      <c r="BA179" s="91">
        <f t="shared" si="179"/>
        <v>0</v>
      </c>
    </row>
    <row r="180" spans="1:53" ht="17.100000000000001" customHeight="1" x14ac:dyDescent="0.25">
      <c r="A180" s="40"/>
      <c r="B180" s="40"/>
      <c r="C180" s="540"/>
      <c r="D180" s="74" t="s">
        <v>661</v>
      </c>
      <c r="E180" s="542" t="s">
        <v>416</v>
      </c>
      <c r="F180" s="542"/>
      <c r="G180" s="542"/>
      <c r="H180" s="540"/>
      <c r="I180" s="235"/>
      <c r="J180" s="111"/>
      <c r="K180" s="111"/>
      <c r="L180" s="111"/>
      <c r="M180" s="111"/>
      <c r="N180" s="60"/>
      <c r="O180" s="60"/>
      <c r="P180" s="17">
        <f t="shared" si="169"/>
        <v>0</v>
      </c>
      <c r="Q180" s="60"/>
      <c r="R180" s="60"/>
      <c r="S180" s="17">
        <f t="shared" si="170"/>
        <v>0</v>
      </c>
      <c r="T180" s="60"/>
      <c r="U180" s="60"/>
      <c r="V180" s="359">
        <f t="shared" si="171"/>
        <v>0</v>
      </c>
      <c r="W180" s="391">
        <f t="shared" si="172"/>
        <v>0</v>
      </c>
      <c r="X180" s="17">
        <f t="shared" si="173"/>
        <v>0</v>
      </c>
      <c r="Y180" s="18">
        <f t="shared" si="174"/>
        <v>0</v>
      </c>
      <c r="Z180" s="19">
        <f t="shared" si="175"/>
        <v>0</v>
      </c>
      <c r="AA180" s="19"/>
      <c r="AB180" s="19"/>
      <c r="AC180" s="20"/>
      <c r="AE180" s="111"/>
      <c r="AF180" s="111"/>
      <c r="AG180" s="111"/>
      <c r="AH180" s="112"/>
      <c r="AI180" s="113"/>
      <c r="AK180" s="111"/>
      <c r="AL180" s="111"/>
      <c r="AM180" s="111"/>
      <c r="AN180" s="112"/>
      <c r="AO180" s="113"/>
      <c r="AQ180" s="17"/>
      <c r="AR180" s="17"/>
      <c r="AS180" s="17"/>
      <c r="AT180" s="18">
        <f t="shared" si="177"/>
        <v>0</v>
      </c>
      <c r="AU180" s="91">
        <f t="shared" si="178"/>
        <v>0</v>
      </c>
      <c r="AW180" s="17"/>
      <c r="AX180" s="17"/>
      <c r="AY180" s="17"/>
      <c r="AZ180" s="18">
        <f t="shared" si="176"/>
        <v>0</v>
      </c>
      <c r="BA180" s="91">
        <f t="shared" si="179"/>
        <v>0</v>
      </c>
    </row>
    <row r="181" spans="1:53" ht="17.100000000000001" customHeight="1" x14ac:dyDescent="0.25">
      <c r="A181" s="40"/>
      <c r="B181" s="40"/>
      <c r="C181" s="540"/>
      <c r="D181" s="74" t="s">
        <v>662</v>
      </c>
      <c r="E181" s="542" t="s">
        <v>127</v>
      </c>
      <c r="F181" s="542"/>
      <c r="G181" s="542"/>
      <c r="H181" s="540"/>
      <c r="I181" s="235"/>
      <c r="J181" s="111"/>
      <c r="K181" s="111"/>
      <c r="L181" s="111"/>
      <c r="M181" s="111"/>
      <c r="N181" s="61"/>
      <c r="O181" s="61"/>
      <c r="P181" s="17">
        <f t="shared" si="169"/>
        <v>0</v>
      </c>
      <c r="Q181" s="61"/>
      <c r="R181" s="61"/>
      <c r="S181" s="17">
        <f t="shared" si="170"/>
        <v>0</v>
      </c>
      <c r="T181" s="61"/>
      <c r="U181" s="61"/>
      <c r="V181" s="359">
        <f t="shared" si="171"/>
        <v>0</v>
      </c>
      <c r="W181" s="391">
        <f t="shared" si="172"/>
        <v>0</v>
      </c>
      <c r="X181" s="17">
        <f t="shared" si="173"/>
        <v>0</v>
      </c>
      <c r="Y181" s="18">
        <f t="shared" si="174"/>
        <v>0</v>
      </c>
      <c r="Z181" s="19">
        <f t="shared" si="175"/>
        <v>0</v>
      </c>
      <c r="AA181" s="19"/>
      <c r="AB181" s="19"/>
      <c r="AC181" s="20"/>
      <c r="AE181" s="111"/>
      <c r="AF181" s="111"/>
      <c r="AG181" s="111"/>
      <c r="AH181" s="112"/>
      <c r="AI181" s="113"/>
      <c r="AK181" s="111"/>
      <c r="AL181" s="111"/>
      <c r="AM181" s="111"/>
      <c r="AN181" s="112"/>
      <c r="AO181" s="113"/>
      <c r="AQ181" s="17"/>
      <c r="AR181" s="17"/>
      <c r="AS181" s="17"/>
      <c r="AT181" s="18">
        <f t="shared" si="177"/>
        <v>0</v>
      </c>
      <c r="AU181" s="91">
        <f t="shared" si="178"/>
        <v>0</v>
      </c>
      <c r="AW181" s="17"/>
      <c r="AX181" s="17"/>
      <c r="AY181" s="17"/>
      <c r="AZ181" s="18">
        <f t="shared" si="176"/>
        <v>0</v>
      </c>
      <c r="BA181" s="91">
        <f t="shared" si="179"/>
        <v>0</v>
      </c>
    </row>
    <row r="182" spans="1:53" ht="17.100000000000001" customHeight="1" x14ac:dyDescent="0.25">
      <c r="A182" s="40"/>
      <c r="B182" s="40"/>
      <c r="C182" s="540"/>
      <c r="D182" s="74" t="s">
        <v>663</v>
      </c>
      <c r="E182" s="542" t="s">
        <v>417</v>
      </c>
      <c r="F182" s="542"/>
      <c r="G182" s="542"/>
      <c r="H182" s="540"/>
      <c r="I182" s="235"/>
      <c r="J182" s="111"/>
      <c r="K182" s="111"/>
      <c r="L182" s="111"/>
      <c r="M182" s="111"/>
      <c r="N182" s="60"/>
      <c r="O182" s="60"/>
      <c r="P182" s="17">
        <f t="shared" si="169"/>
        <v>0</v>
      </c>
      <c r="Q182" s="60"/>
      <c r="R182" s="60"/>
      <c r="S182" s="17">
        <f t="shared" si="170"/>
        <v>0</v>
      </c>
      <c r="T182" s="60"/>
      <c r="U182" s="60"/>
      <c r="V182" s="359">
        <f t="shared" si="171"/>
        <v>0</v>
      </c>
      <c r="W182" s="391">
        <f t="shared" si="172"/>
        <v>0</v>
      </c>
      <c r="X182" s="17">
        <f t="shared" si="173"/>
        <v>0</v>
      </c>
      <c r="Y182" s="18">
        <f t="shared" si="174"/>
        <v>0</v>
      </c>
      <c r="Z182" s="19">
        <f t="shared" si="175"/>
        <v>0</v>
      </c>
      <c r="AA182" s="19"/>
      <c r="AB182" s="19"/>
      <c r="AC182" s="20"/>
      <c r="AE182" s="111"/>
      <c r="AF182" s="111"/>
      <c r="AG182" s="111"/>
      <c r="AH182" s="112"/>
      <c r="AI182" s="113"/>
      <c r="AK182" s="111"/>
      <c r="AL182" s="111"/>
      <c r="AM182" s="111"/>
      <c r="AN182" s="112"/>
      <c r="AO182" s="113"/>
      <c r="AQ182" s="17"/>
      <c r="AR182" s="17"/>
      <c r="AS182" s="17"/>
      <c r="AT182" s="18">
        <f t="shared" si="177"/>
        <v>0</v>
      </c>
      <c r="AU182" s="91">
        <f t="shared" si="178"/>
        <v>0</v>
      </c>
      <c r="AW182" s="17"/>
      <c r="AX182" s="17"/>
      <c r="AY182" s="17"/>
      <c r="AZ182" s="18">
        <f t="shared" si="176"/>
        <v>0</v>
      </c>
      <c r="BA182" s="91">
        <f t="shared" si="179"/>
        <v>0</v>
      </c>
    </row>
    <row r="183" spans="1:53" ht="17.100000000000001" customHeight="1" x14ac:dyDescent="0.25">
      <c r="A183" s="40"/>
      <c r="B183" s="40"/>
      <c r="C183" s="540"/>
      <c r="D183" s="74" t="s">
        <v>664</v>
      </c>
      <c r="E183" s="542" t="s">
        <v>418</v>
      </c>
      <c r="F183" s="542"/>
      <c r="G183" s="542"/>
      <c r="H183" s="540"/>
      <c r="I183" s="235"/>
      <c r="J183" s="111"/>
      <c r="K183" s="111"/>
      <c r="L183" s="111"/>
      <c r="M183" s="111"/>
      <c r="N183" s="61"/>
      <c r="O183" s="61"/>
      <c r="P183" s="17">
        <f t="shared" si="169"/>
        <v>0</v>
      </c>
      <c r="Q183" s="61"/>
      <c r="R183" s="61"/>
      <c r="S183" s="17">
        <f t="shared" si="170"/>
        <v>0</v>
      </c>
      <c r="T183" s="61"/>
      <c r="U183" s="61"/>
      <c r="V183" s="359">
        <f t="shared" si="171"/>
        <v>0</v>
      </c>
      <c r="W183" s="391">
        <f t="shared" si="172"/>
        <v>0</v>
      </c>
      <c r="X183" s="17">
        <f t="shared" si="173"/>
        <v>0</v>
      </c>
      <c r="Y183" s="18">
        <f t="shared" si="174"/>
        <v>0</v>
      </c>
      <c r="Z183" s="19">
        <f t="shared" si="175"/>
        <v>0</v>
      </c>
      <c r="AA183" s="19"/>
      <c r="AB183" s="19"/>
      <c r="AC183" s="20"/>
      <c r="AE183" s="111"/>
      <c r="AF183" s="111"/>
      <c r="AG183" s="111"/>
      <c r="AH183" s="112"/>
      <c r="AI183" s="113"/>
      <c r="AK183" s="111"/>
      <c r="AL183" s="111"/>
      <c r="AM183" s="111"/>
      <c r="AN183" s="112"/>
      <c r="AO183" s="113"/>
      <c r="AQ183" s="17"/>
      <c r="AR183" s="17"/>
      <c r="AS183" s="17"/>
      <c r="AT183" s="18">
        <f t="shared" si="177"/>
        <v>0</v>
      </c>
      <c r="AU183" s="91">
        <f t="shared" si="178"/>
        <v>0</v>
      </c>
      <c r="AW183" s="17"/>
      <c r="AX183" s="17"/>
      <c r="AY183" s="17"/>
      <c r="AZ183" s="18">
        <f t="shared" si="176"/>
        <v>0</v>
      </c>
      <c r="BA183" s="91">
        <f t="shared" si="179"/>
        <v>0</v>
      </c>
    </row>
    <row r="184" spans="1:53" ht="17.100000000000001" customHeight="1" x14ac:dyDescent="0.25">
      <c r="A184" s="40"/>
      <c r="B184" s="40"/>
      <c r="C184" s="74" t="s">
        <v>141</v>
      </c>
      <c r="D184" s="57" t="s">
        <v>128</v>
      </c>
      <c r="E184" s="542"/>
      <c r="F184" s="542"/>
      <c r="G184" s="542"/>
      <c r="H184" s="540"/>
      <c r="I184" s="235"/>
      <c r="J184" s="111"/>
      <c r="K184" s="111"/>
      <c r="L184" s="111"/>
      <c r="M184" s="111"/>
      <c r="N184" s="111"/>
      <c r="O184" s="111"/>
      <c r="P184" s="111"/>
      <c r="Q184" s="111"/>
      <c r="R184" s="111"/>
      <c r="S184" s="111"/>
      <c r="T184" s="111"/>
      <c r="U184" s="111"/>
      <c r="V184" s="358"/>
      <c r="W184" s="380"/>
      <c r="X184" s="111"/>
      <c r="Y184" s="545"/>
      <c r="Z184" s="172"/>
      <c r="AA184" s="172"/>
      <c r="AB184" s="172"/>
      <c r="AC184" s="113"/>
      <c r="AE184" s="111"/>
      <c r="AF184" s="111"/>
      <c r="AG184" s="111"/>
      <c r="AH184" s="545"/>
      <c r="AI184" s="131"/>
      <c r="AK184" s="111"/>
      <c r="AL184" s="111"/>
      <c r="AM184" s="111"/>
      <c r="AN184" s="545"/>
      <c r="AO184" s="131"/>
      <c r="AQ184" s="111"/>
      <c r="AR184" s="111"/>
      <c r="AS184" s="111"/>
      <c r="AT184" s="545"/>
      <c r="AU184" s="131"/>
      <c r="AW184" s="111"/>
      <c r="AX184" s="111"/>
      <c r="AY184" s="111"/>
      <c r="AZ184" s="545">
        <f t="shared" si="176"/>
        <v>0</v>
      </c>
      <c r="BA184" s="131"/>
    </row>
    <row r="185" spans="1:53" ht="17.100000000000001" customHeight="1" x14ac:dyDescent="0.25">
      <c r="A185" s="40"/>
      <c r="B185" s="40"/>
      <c r="C185" s="540"/>
      <c r="D185" s="74" t="s">
        <v>142</v>
      </c>
      <c r="E185" s="542" t="s">
        <v>665</v>
      </c>
      <c r="F185" s="542"/>
      <c r="G185" s="542"/>
      <c r="H185" s="540"/>
      <c r="I185" s="235"/>
      <c r="J185" s="111"/>
      <c r="K185" s="111"/>
      <c r="L185" s="111"/>
      <c r="M185" s="111"/>
      <c r="N185" s="60"/>
      <c r="O185" s="60"/>
      <c r="P185" s="17">
        <f>SUM(N185:O185)</f>
        <v>0</v>
      </c>
      <c r="Q185" s="60"/>
      <c r="R185" s="60"/>
      <c r="S185" s="17">
        <f>SUM(Q185:R185)</f>
        <v>0</v>
      </c>
      <c r="T185" s="60"/>
      <c r="U185" s="60"/>
      <c r="V185" s="359">
        <f>SUM(T185:U185)</f>
        <v>0</v>
      </c>
      <c r="W185" s="391">
        <f t="shared" ref="W185:W186" si="180">J185+K185+N185+Q185+T185</f>
        <v>0</v>
      </c>
      <c r="X185" s="17">
        <f t="shared" ref="X185:X186" si="181">L185+O185+R185+U185</f>
        <v>0</v>
      </c>
      <c r="Y185" s="18">
        <f>SUM(W185:X185)</f>
        <v>0</v>
      </c>
      <c r="Z185" s="19">
        <f t="shared" ref="Z185:Z186" si="182">IF(Y$187=0,0,Y185/Y$187)</f>
        <v>0</v>
      </c>
      <c r="AA185" s="19"/>
      <c r="AB185" s="19"/>
      <c r="AC185" s="20"/>
      <c r="AE185" s="111"/>
      <c r="AF185" s="111"/>
      <c r="AG185" s="111"/>
      <c r="AH185" s="112"/>
      <c r="AI185" s="113"/>
      <c r="AK185" s="111"/>
      <c r="AL185" s="111"/>
      <c r="AM185" s="111"/>
      <c r="AN185" s="112"/>
      <c r="AO185" s="113"/>
      <c r="AQ185" s="17"/>
      <c r="AR185" s="17"/>
      <c r="AS185" s="17"/>
      <c r="AT185" s="18">
        <f t="shared" ref="AT185:AT186" si="183">W185</f>
        <v>0</v>
      </c>
      <c r="AU185" s="91">
        <f t="shared" si="178"/>
        <v>0</v>
      </c>
      <c r="AW185" s="17"/>
      <c r="AX185" s="17"/>
      <c r="AY185" s="17"/>
      <c r="AZ185" s="18">
        <f t="shared" si="176"/>
        <v>0</v>
      </c>
      <c r="BA185" s="91">
        <f t="shared" si="179"/>
        <v>0</v>
      </c>
    </row>
    <row r="186" spans="1:53" ht="17.100000000000001" customHeight="1" x14ac:dyDescent="0.25">
      <c r="A186" s="40"/>
      <c r="B186" s="40"/>
      <c r="C186" s="74" t="s">
        <v>144</v>
      </c>
      <c r="D186" s="120" t="s">
        <v>129</v>
      </c>
      <c r="E186" s="542"/>
      <c r="F186" s="542"/>
      <c r="G186" s="542"/>
      <c r="H186" s="540"/>
      <c r="I186" s="235"/>
      <c r="J186" s="111"/>
      <c r="K186" s="111"/>
      <c r="L186" s="111"/>
      <c r="M186" s="111"/>
      <c r="N186" s="61"/>
      <c r="O186" s="61"/>
      <c r="P186" s="17">
        <f>SUM(N186:O186)</f>
        <v>0</v>
      </c>
      <c r="Q186" s="61"/>
      <c r="R186" s="61"/>
      <c r="S186" s="17">
        <f>SUM(Q186:R186)</f>
        <v>0</v>
      </c>
      <c r="T186" s="61"/>
      <c r="U186" s="61"/>
      <c r="V186" s="359">
        <f>SUM(T186:U186)</f>
        <v>0</v>
      </c>
      <c r="W186" s="391">
        <f t="shared" si="180"/>
        <v>0</v>
      </c>
      <c r="X186" s="17">
        <f t="shared" si="181"/>
        <v>0</v>
      </c>
      <c r="Y186" s="18">
        <f>SUM(W186:X186)</f>
        <v>0</v>
      </c>
      <c r="Z186" s="221">
        <f t="shared" si="182"/>
        <v>0</v>
      </c>
      <c r="AA186" s="221"/>
      <c r="AB186" s="221"/>
      <c r="AC186" s="20"/>
      <c r="AE186" s="111"/>
      <c r="AF186" s="111"/>
      <c r="AG186" s="111"/>
      <c r="AH186" s="112"/>
      <c r="AI186" s="113"/>
      <c r="AK186" s="111"/>
      <c r="AL186" s="111"/>
      <c r="AM186" s="111"/>
      <c r="AN186" s="112"/>
      <c r="AO186" s="113"/>
      <c r="AQ186" s="17"/>
      <c r="AR186" s="17"/>
      <c r="AS186" s="17"/>
      <c r="AT186" s="18">
        <f t="shared" si="183"/>
        <v>0</v>
      </c>
      <c r="AU186" s="91">
        <f t="shared" si="178"/>
        <v>0</v>
      </c>
      <c r="AW186" s="17"/>
      <c r="AX186" s="17"/>
      <c r="AY186" s="17"/>
      <c r="AZ186" s="18">
        <f t="shared" si="176"/>
        <v>0</v>
      </c>
      <c r="BA186" s="91">
        <f t="shared" si="179"/>
        <v>0</v>
      </c>
    </row>
    <row r="187" spans="1:53" ht="17.100000000000001" customHeight="1" x14ac:dyDescent="0.25">
      <c r="A187" s="40"/>
      <c r="B187" s="40"/>
      <c r="C187" s="77"/>
      <c r="D187" s="144"/>
      <c r="E187" s="144"/>
      <c r="F187" s="145"/>
      <c r="G187" s="145"/>
      <c r="H187" s="119"/>
      <c r="I187" s="236"/>
      <c r="J187" s="80"/>
      <c r="K187" s="80"/>
      <c r="L187" s="81"/>
      <c r="M187" s="81"/>
      <c r="N187" s="81">
        <f>SUM(N178:N186)</f>
        <v>0</v>
      </c>
      <c r="O187" s="81">
        <f t="shared" ref="O187:Y187" si="184">SUM(O178:O186)</f>
        <v>0</v>
      </c>
      <c r="P187" s="81">
        <f t="shared" si="184"/>
        <v>0</v>
      </c>
      <c r="Q187" s="81">
        <f t="shared" si="184"/>
        <v>0</v>
      </c>
      <c r="R187" s="81">
        <f t="shared" si="184"/>
        <v>0</v>
      </c>
      <c r="S187" s="81">
        <f t="shared" si="184"/>
        <v>0</v>
      </c>
      <c r="T187" s="81">
        <f t="shared" si="184"/>
        <v>0</v>
      </c>
      <c r="U187" s="81">
        <f t="shared" si="184"/>
        <v>0</v>
      </c>
      <c r="V187" s="81">
        <f t="shared" si="184"/>
        <v>0</v>
      </c>
      <c r="W187" s="82">
        <f t="shared" si="184"/>
        <v>0</v>
      </c>
      <c r="X187" s="82">
        <f t="shared" si="184"/>
        <v>0</v>
      </c>
      <c r="Y187" s="82">
        <f t="shared" si="184"/>
        <v>0</v>
      </c>
      <c r="Z187" s="205">
        <f>IF(Y$187=0,0,Y187/Y$187)</f>
        <v>0</v>
      </c>
      <c r="AA187" s="205"/>
      <c r="AB187" s="205"/>
      <c r="AC187" s="83"/>
      <c r="AE187" s="80"/>
      <c r="AF187" s="80"/>
      <c r="AG187" s="81"/>
      <c r="AH187" s="82"/>
      <c r="AI187" s="66"/>
      <c r="AK187" s="80"/>
      <c r="AL187" s="80"/>
      <c r="AM187" s="81"/>
      <c r="AN187" s="82"/>
      <c r="AO187" s="66"/>
      <c r="AQ187" s="80"/>
      <c r="AR187" s="80"/>
      <c r="AS187" s="81"/>
      <c r="AT187" s="82">
        <f t="shared" ref="AT187" si="185">SUM(AT178:AT186)</f>
        <v>0</v>
      </c>
      <c r="AU187" s="66">
        <f t="shared" si="178"/>
        <v>0</v>
      </c>
      <c r="AW187" s="80"/>
      <c r="AX187" s="80"/>
      <c r="AY187" s="81"/>
      <c r="AZ187" s="82">
        <f t="shared" ref="AZ187" si="186">SUM(AZ178:AZ186)</f>
        <v>0</v>
      </c>
      <c r="BA187" s="66">
        <f t="shared" si="179"/>
        <v>0</v>
      </c>
    </row>
    <row r="188" spans="1:53" s="117" customFormat="1" ht="17.100000000000001" customHeight="1" x14ac:dyDescent="0.25">
      <c r="A188" s="68"/>
      <c r="B188" s="119"/>
      <c r="C188" s="540"/>
      <c r="D188" s="261"/>
      <c r="E188" s="261"/>
      <c r="F188" s="68"/>
      <c r="G188" s="68"/>
      <c r="H188" s="119"/>
      <c r="I188" s="138"/>
      <c r="J188" s="17"/>
      <c r="K188" s="17"/>
      <c r="L188" s="17"/>
      <c r="M188" s="17"/>
      <c r="N188" s="17" t="str">
        <f>IF(N187=N$20,"OK","NOK")</f>
        <v>OK</v>
      </c>
      <c r="O188" s="17" t="str">
        <f>IF(O187=O$20,"OK","NOK")</f>
        <v>OK</v>
      </c>
      <c r="P188" s="17"/>
      <c r="Q188" s="17" t="str">
        <f>IF(Q187=Q$20,"OK","NOK")</f>
        <v>OK</v>
      </c>
      <c r="R188" s="17" t="str">
        <f>IF(R187=R$20,"OK","NOK")</f>
        <v>OK</v>
      </c>
      <c r="S188" s="17"/>
      <c r="T188" s="17" t="str">
        <f>IF(T187=T$20,"OK","NOK")</f>
        <v>OK</v>
      </c>
      <c r="U188" s="17" t="str">
        <f>IF(U187=U$20,"OK","NOK")</f>
        <v>OK</v>
      </c>
      <c r="V188" s="359"/>
      <c r="W188" s="382"/>
      <c r="X188" s="539"/>
      <c r="Y188" s="539"/>
      <c r="Z188" s="201"/>
      <c r="AA188" s="201"/>
      <c r="AB188" s="201"/>
      <c r="AC188" s="84"/>
      <c r="AE188" s="46"/>
      <c r="AF188" s="46"/>
      <c r="AG188" s="17"/>
      <c r="AH188" s="539"/>
      <c r="AI188" s="91"/>
      <c r="AK188" s="46"/>
      <c r="AL188" s="46"/>
      <c r="AM188" s="17"/>
      <c r="AN188" s="539"/>
      <c r="AO188" s="91"/>
      <c r="AQ188" s="46"/>
      <c r="AR188" s="46"/>
      <c r="AS188" s="17"/>
      <c r="AT188" s="539"/>
      <c r="AU188" s="91"/>
      <c r="AW188" s="46"/>
      <c r="AX188" s="46"/>
      <c r="AY188" s="17"/>
      <c r="AZ188" s="539"/>
      <c r="BA188" s="91"/>
    </row>
    <row r="189" spans="1:53" ht="17.100000000000001" customHeight="1" x14ac:dyDescent="0.25">
      <c r="A189" s="40"/>
      <c r="B189" s="40"/>
      <c r="C189" s="74" t="s">
        <v>141</v>
      </c>
      <c r="D189" s="57" t="s">
        <v>128</v>
      </c>
      <c r="E189" s="542"/>
      <c r="F189" s="542"/>
      <c r="G189" s="542"/>
      <c r="H189" s="540"/>
      <c r="I189" s="235"/>
      <c r="J189" s="111"/>
      <c r="K189" s="111"/>
      <c r="L189" s="111"/>
      <c r="M189" s="111"/>
      <c r="N189" s="111"/>
      <c r="O189" s="111"/>
      <c r="P189" s="111"/>
      <c r="Q189" s="111"/>
      <c r="R189" s="111"/>
      <c r="S189" s="111"/>
      <c r="T189" s="111"/>
      <c r="U189" s="111"/>
      <c r="V189" s="358"/>
      <c r="W189" s="386"/>
      <c r="X189" s="113"/>
      <c r="Y189" s="178"/>
      <c r="Z189" s="172"/>
      <c r="AA189" s="545" t="s">
        <v>181</v>
      </c>
      <c r="AB189" s="545" t="s">
        <v>182</v>
      </c>
      <c r="AC189" s="545" t="s">
        <v>6</v>
      </c>
      <c r="AE189" s="111"/>
      <c r="AF189" s="111"/>
      <c r="AG189" s="111"/>
      <c r="AH189" s="545"/>
      <c r="AI189" s="131"/>
      <c r="AK189" s="111"/>
      <c r="AL189" s="111"/>
      <c r="AM189" s="111"/>
      <c r="AN189" s="545"/>
      <c r="AO189" s="131"/>
      <c r="AQ189" s="545" t="s">
        <v>181</v>
      </c>
      <c r="AR189" s="545" t="s">
        <v>182</v>
      </c>
      <c r="AS189" s="545" t="s">
        <v>6</v>
      </c>
      <c r="AT189" s="545"/>
      <c r="AU189" s="131"/>
      <c r="AW189" s="545" t="s">
        <v>181</v>
      </c>
      <c r="AX189" s="545" t="s">
        <v>182</v>
      </c>
      <c r="AY189" s="545" t="s">
        <v>6</v>
      </c>
      <c r="AZ189" s="545"/>
      <c r="BA189" s="131"/>
    </row>
    <row r="190" spans="1:53" s="117" customFormat="1" ht="17.100000000000001" customHeight="1" x14ac:dyDescent="0.25">
      <c r="A190" s="68"/>
      <c r="B190" s="119"/>
      <c r="C190" s="92"/>
      <c r="D190" s="74" t="s">
        <v>143</v>
      </c>
      <c r="E190" s="146" t="s">
        <v>667</v>
      </c>
      <c r="F190" s="149"/>
      <c r="G190" s="151"/>
      <c r="H190" s="119"/>
      <c r="I190" s="138"/>
      <c r="J190" s="17"/>
      <c r="K190" s="17"/>
      <c r="L190" s="17"/>
      <c r="M190" s="17"/>
      <c r="N190" s="336"/>
      <c r="O190" s="336"/>
      <c r="P190" s="341"/>
      <c r="Q190" s="336"/>
      <c r="R190" s="336"/>
      <c r="S190" s="341"/>
      <c r="T190" s="336"/>
      <c r="U190" s="336"/>
      <c r="V190" s="592"/>
      <c r="W190" s="386"/>
      <c r="X190" s="113"/>
      <c r="Y190" s="178"/>
      <c r="Z190" s="131"/>
      <c r="AA190" s="403">
        <f>MIN(N190:U190)</f>
        <v>0</v>
      </c>
      <c r="AB190" s="403">
        <f>MAX(N190:U190)</f>
        <v>0</v>
      </c>
      <c r="AC190" s="337">
        <f>IF(SUM(N190:U190)=0,0,AVERAGE(N190:U190))</f>
        <v>0</v>
      </c>
      <c r="AE190" s="152"/>
      <c r="AF190" s="152"/>
      <c r="AG190" s="111"/>
      <c r="AH190" s="545"/>
      <c r="AI190" s="131"/>
      <c r="AK190" s="152"/>
      <c r="AL190" s="152"/>
      <c r="AM190" s="111"/>
      <c r="AN190" s="545"/>
      <c r="AO190" s="131"/>
      <c r="AQ190" s="402">
        <f>MIN(N190,Q190,T190)</f>
        <v>0</v>
      </c>
      <c r="AR190" s="402">
        <f>MAX(N190,Q190,T190)</f>
        <v>0</v>
      </c>
      <c r="AS190" s="403">
        <f>IF(N190+Q190+Q190=0,0,AVERAGE(N190,Q190,T190))</f>
        <v>0</v>
      </c>
      <c r="AT190" s="539"/>
      <c r="AU190" s="91"/>
      <c r="AW190" s="402">
        <f>MIN(O190,R190,U190)</f>
        <v>0</v>
      </c>
      <c r="AX190" s="402">
        <f>MAX(O190,R190,U190)</f>
        <v>0</v>
      </c>
      <c r="AY190" s="403">
        <f>IF(O190+R190+U190=0,0,AVERAGE(O190,R190,U190))</f>
        <v>0</v>
      </c>
      <c r="AZ190" s="539"/>
      <c r="BA190" s="91"/>
    </row>
    <row r="191" spans="1:53" ht="17.100000000000001" customHeight="1" x14ac:dyDescent="0.25">
      <c r="A191" s="40"/>
      <c r="B191" s="40"/>
      <c r="C191" s="77"/>
      <c r="D191" s="144"/>
      <c r="E191" s="144"/>
      <c r="F191" s="145"/>
      <c r="G191" s="145"/>
      <c r="H191" s="119"/>
      <c r="I191" s="236"/>
      <c r="J191" s="80"/>
      <c r="K191" s="80"/>
      <c r="L191" s="81"/>
      <c r="M191" s="81"/>
      <c r="N191" s="81"/>
      <c r="O191" s="81"/>
      <c r="P191" s="82"/>
      <c r="Q191" s="81"/>
      <c r="R191" s="81"/>
      <c r="S191" s="82"/>
      <c r="T191" s="81"/>
      <c r="U191" s="81"/>
      <c r="V191" s="360"/>
      <c r="W191" s="381"/>
      <c r="X191" s="82"/>
      <c r="Y191" s="82"/>
      <c r="Z191" s="205"/>
      <c r="AA191" s="205"/>
      <c r="AB191" s="205"/>
      <c r="AC191" s="83"/>
      <c r="AE191" s="80"/>
      <c r="AF191" s="80"/>
      <c r="AG191" s="81"/>
      <c r="AH191" s="82"/>
      <c r="AI191" s="66"/>
      <c r="AK191" s="80"/>
      <c r="AL191" s="80"/>
      <c r="AM191" s="81"/>
      <c r="AN191" s="82"/>
      <c r="AO191" s="66"/>
      <c r="AQ191" s="80"/>
      <c r="AR191" s="80"/>
      <c r="AS191" s="81"/>
      <c r="AT191" s="82"/>
      <c r="AU191" s="66"/>
      <c r="AW191" s="80"/>
      <c r="AX191" s="80"/>
      <c r="AY191" s="81"/>
      <c r="AZ191" s="82"/>
      <c r="BA191" s="66"/>
    </row>
    <row r="192" spans="1:53" ht="17.100000000000001" customHeight="1" x14ac:dyDescent="0.25">
      <c r="A192" s="68"/>
      <c r="B192" s="41" t="s">
        <v>145</v>
      </c>
      <c r="C192" s="69" t="s">
        <v>419</v>
      </c>
      <c r="D192" s="50"/>
      <c r="E192" s="70"/>
      <c r="F192" s="70"/>
      <c r="G192" s="70"/>
      <c r="H192" s="119"/>
      <c r="J192" s="71"/>
      <c r="K192" s="71"/>
      <c r="L192" s="71"/>
      <c r="M192" s="71"/>
      <c r="N192" s="71"/>
      <c r="O192" s="71"/>
      <c r="P192" s="71"/>
      <c r="Q192" s="71"/>
      <c r="R192" s="71"/>
      <c r="S192" s="71"/>
      <c r="T192" s="71"/>
      <c r="U192" s="71"/>
      <c r="V192" s="355"/>
      <c r="W192" s="377"/>
      <c r="X192" s="71"/>
      <c r="Y192" s="72"/>
      <c r="Z192" s="73"/>
      <c r="AA192" s="73"/>
      <c r="AB192" s="73"/>
      <c r="AC192" s="73"/>
      <c r="AE192" s="71"/>
      <c r="AF192" s="71"/>
      <c r="AG192" s="71"/>
      <c r="AH192" s="72"/>
      <c r="AI192" s="73"/>
      <c r="AK192" s="71"/>
      <c r="AL192" s="71"/>
      <c r="AM192" s="71"/>
      <c r="AN192" s="72"/>
      <c r="AO192" s="73"/>
      <c r="AQ192" s="71"/>
      <c r="AR192" s="71"/>
      <c r="AS192" s="71"/>
      <c r="AT192" s="72"/>
      <c r="AU192" s="73"/>
      <c r="AW192" s="71"/>
      <c r="AX192" s="71"/>
      <c r="AY192" s="71"/>
      <c r="AZ192" s="72"/>
      <c r="BA192" s="73"/>
    </row>
    <row r="193" spans="1:53" ht="17.100000000000001" customHeight="1" x14ac:dyDescent="0.25">
      <c r="A193" s="40"/>
      <c r="B193" s="40"/>
      <c r="C193" s="56" t="s">
        <v>146</v>
      </c>
      <c r="D193" s="147" t="s">
        <v>358</v>
      </c>
      <c r="E193" s="147"/>
      <c r="F193" s="147"/>
      <c r="G193" s="147"/>
      <c r="H193" s="243">
        <v>30</v>
      </c>
      <c r="I193" s="237"/>
      <c r="J193" s="174"/>
      <c r="K193" s="174"/>
      <c r="L193" s="111"/>
      <c r="M193" s="111"/>
      <c r="N193" s="111"/>
      <c r="O193" s="111"/>
      <c r="P193" s="111"/>
      <c r="Q193" s="111"/>
      <c r="R193" s="111"/>
      <c r="S193" s="111"/>
      <c r="T193" s="111"/>
      <c r="U193" s="111"/>
      <c r="V193" s="358"/>
      <c r="W193" s="380"/>
      <c r="X193" s="111"/>
      <c r="Y193" s="545"/>
      <c r="Z193" s="131"/>
      <c r="AA193" s="131"/>
      <c r="AB193" s="131"/>
      <c r="AC193" s="113"/>
      <c r="AE193" s="111"/>
      <c r="AF193" s="111"/>
      <c r="AG193" s="111"/>
      <c r="AH193" s="545"/>
      <c r="AI193" s="131"/>
      <c r="AK193" s="111"/>
      <c r="AL193" s="111"/>
      <c r="AM193" s="111"/>
      <c r="AN193" s="545"/>
      <c r="AO193" s="131"/>
      <c r="AQ193" s="111"/>
      <c r="AR193" s="111"/>
      <c r="AS193" s="111"/>
      <c r="AT193" s="545"/>
      <c r="AU193" s="131"/>
      <c r="AW193" s="111"/>
      <c r="AX193" s="111"/>
      <c r="AY193" s="111"/>
      <c r="AZ193" s="545"/>
      <c r="BA193" s="131"/>
    </row>
    <row r="194" spans="1:53" ht="17.100000000000001" customHeight="1" x14ac:dyDescent="0.25">
      <c r="A194" s="40"/>
      <c r="B194" s="40"/>
      <c r="C194" s="182"/>
      <c r="D194" s="74" t="s">
        <v>537</v>
      </c>
      <c r="E194" s="147" t="s">
        <v>9</v>
      </c>
      <c r="F194" s="147"/>
      <c r="G194" s="147"/>
      <c r="H194" s="262"/>
      <c r="I194" s="237"/>
      <c r="J194" s="581"/>
      <c r="K194" s="581"/>
      <c r="L194" s="582"/>
      <c r="M194" s="17">
        <f t="shared" ref="M194:M195" si="187">SUM(J194:L194)</f>
        <v>0</v>
      </c>
      <c r="N194" s="111"/>
      <c r="O194" s="111"/>
      <c r="P194" s="111"/>
      <c r="Q194" s="111"/>
      <c r="R194" s="111"/>
      <c r="S194" s="111"/>
      <c r="T194" s="111"/>
      <c r="U194" s="111"/>
      <c r="V194" s="358"/>
      <c r="W194" s="391">
        <f t="shared" ref="W194:W195" si="188">J194+K194+N194+Q194+T194</f>
        <v>0</v>
      </c>
      <c r="X194" s="17">
        <f t="shared" ref="X194:X195" si="189">L194+O194+R194+U194</f>
        <v>0</v>
      </c>
      <c r="Y194" s="539">
        <f>SUM(W194:X194)</f>
        <v>0</v>
      </c>
      <c r="Z194" s="91">
        <f>IF(Y$197=0,0,Y194/Y$197)</f>
        <v>0</v>
      </c>
      <c r="AA194" s="91"/>
      <c r="AB194" s="91"/>
      <c r="AC194" s="20"/>
      <c r="AE194" s="17"/>
      <c r="AF194" s="17"/>
      <c r="AG194" s="17"/>
      <c r="AH194" s="18">
        <f t="shared" ref="AH194:AH195" si="190">J194</f>
        <v>0</v>
      </c>
      <c r="AI194" s="91">
        <f>IF(AH$197=0,0,AH194/AH$197)</f>
        <v>0</v>
      </c>
      <c r="AK194" s="17"/>
      <c r="AL194" s="17"/>
      <c r="AM194" s="17"/>
      <c r="AN194" s="18">
        <f t="shared" ref="AN194:AN195" si="191">K194</f>
        <v>0</v>
      </c>
      <c r="AO194" s="91">
        <f>IF(AN$197=0,0,AN194/AN$197)</f>
        <v>0</v>
      </c>
      <c r="AQ194" s="17"/>
      <c r="AR194" s="17"/>
      <c r="AS194" s="17"/>
      <c r="AT194" s="18">
        <f t="shared" ref="AT194:AT195" si="192">W194</f>
        <v>0</v>
      </c>
      <c r="AU194" s="91">
        <f>IF(AT$197=0,0,AT194/AT$197)</f>
        <v>0</v>
      </c>
      <c r="AW194" s="17"/>
      <c r="AX194" s="17"/>
      <c r="AY194" s="17"/>
      <c r="AZ194" s="18">
        <f t="shared" ref="AZ194:AZ195" si="193">X194</f>
        <v>0</v>
      </c>
      <c r="BA194" s="91">
        <f>IF(AZ$197=0,0,AZ194/AZ$197)</f>
        <v>0</v>
      </c>
    </row>
    <row r="195" spans="1:53" ht="17.100000000000001" customHeight="1" x14ac:dyDescent="0.25">
      <c r="A195" s="40"/>
      <c r="B195" s="40"/>
      <c r="C195" s="182"/>
      <c r="D195" s="74" t="s">
        <v>538</v>
      </c>
      <c r="E195" s="147" t="s">
        <v>11</v>
      </c>
      <c r="F195" s="147"/>
      <c r="G195" s="147"/>
      <c r="H195" s="262"/>
      <c r="I195" s="237"/>
      <c r="J195" s="583"/>
      <c r="K195" s="583"/>
      <c r="L195" s="584"/>
      <c r="M195" s="17">
        <f t="shared" si="187"/>
        <v>0</v>
      </c>
      <c r="N195" s="111"/>
      <c r="O195" s="111"/>
      <c r="P195" s="111"/>
      <c r="Q195" s="111"/>
      <c r="R195" s="111"/>
      <c r="S195" s="111"/>
      <c r="T195" s="111"/>
      <c r="U195" s="111"/>
      <c r="V195" s="358"/>
      <c r="W195" s="391">
        <f t="shared" si="188"/>
        <v>0</v>
      </c>
      <c r="X195" s="17">
        <f t="shared" si="189"/>
        <v>0</v>
      </c>
      <c r="Y195" s="539">
        <f>SUM(W195:X195)</f>
        <v>0</v>
      </c>
      <c r="Z195" s="91">
        <f>IF(Y$197=0,0,Y195/Y$197)</f>
        <v>0</v>
      </c>
      <c r="AA195" s="91"/>
      <c r="AB195" s="91"/>
      <c r="AC195" s="20"/>
      <c r="AE195" s="17"/>
      <c r="AF195" s="17"/>
      <c r="AG195" s="17"/>
      <c r="AH195" s="18">
        <f t="shared" si="190"/>
        <v>0</v>
      </c>
      <c r="AI195" s="91">
        <f>IF(AH$197=0,0,AH195/AH$197)</f>
        <v>0</v>
      </c>
      <c r="AK195" s="17"/>
      <c r="AL195" s="17"/>
      <c r="AM195" s="17"/>
      <c r="AN195" s="18">
        <f t="shared" si="191"/>
        <v>0</v>
      </c>
      <c r="AO195" s="91">
        <f>IF(AN$197=0,0,AN195/AN$197)</f>
        <v>0</v>
      </c>
      <c r="AQ195" s="17"/>
      <c r="AR195" s="17"/>
      <c r="AS195" s="17"/>
      <c r="AT195" s="18">
        <f t="shared" si="192"/>
        <v>0</v>
      </c>
      <c r="AU195" s="91">
        <f>IF(AT$197=0,0,AT195/AT$197)</f>
        <v>0</v>
      </c>
      <c r="AW195" s="17"/>
      <c r="AX195" s="17"/>
      <c r="AY195" s="17"/>
      <c r="AZ195" s="18">
        <f t="shared" si="193"/>
        <v>0</v>
      </c>
      <c r="BA195" s="91">
        <f>IF(AZ$197=0,0,AZ195/AZ$197)</f>
        <v>0</v>
      </c>
    </row>
    <row r="196" spans="1:53" ht="17.100000000000001" customHeight="1" x14ac:dyDescent="0.25">
      <c r="A196" s="40"/>
      <c r="B196" s="40"/>
      <c r="C196" s="182"/>
      <c r="D196" s="74" t="s">
        <v>1433</v>
      </c>
      <c r="E196" s="147" t="s">
        <v>1435</v>
      </c>
      <c r="F196" s="147"/>
      <c r="G196" s="147"/>
      <c r="H196" s="262"/>
      <c r="I196" s="237"/>
      <c r="J196" s="581"/>
      <c r="K196" s="581"/>
      <c r="L196" s="582"/>
      <c r="M196" s="17">
        <f t="shared" ref="M196" si="194">SUM(J196:L196)</f>
        <v>0</v>
      </c>
      <c r="N196" s="111"/>
      <c r="O196" s="111"/>
      <c r="P196" s="111"/>
      <c r="Q196" s="111"/>
      <c r="R196" s="111"/>
      <c r="S196" s="111"/>
      <c r="T196" s="111"/>
      <c r="U196" s="111"/>
      <c r="V196" s="358"/>
      <c r="W196" s="391">
        <f t="shared" ref="W196" si="195">J196+K196+N196+Q196+T196</f>
        <v>0</v>
      </c>
      <c r="X196" s="17">
        <f t="shared" ref="X196" si="196">L196+O196+R196+U196</f>
        <v>0</v>
      </c>
      <c r="Y196" s="921">
        <f>SUM(W196:X196)</f>
        <v>0</v>
      </c>
      <c r="Z196" s="91">
        <f>IF(Y$197=0,0,Y196/Y$197)</f>
        <v>0</v>
      </c>
      <c r="AA196" s="91"/>
      <c r="AB196" s="91"/>
      <c r="AC196" s="20"/>
      <c r="AE196" s="17"/>
      <c r="AF196" s="17"/>
      <c r="AG196" s="17"/>
      <c r="AH196" s="18">
        <f t="shared" ref="AH196" si="197">J196</f>
        <v>0</v>
      </c>
      <c r="AI196" s="91">
        <f>IF(AH$197=0,0,AH196/AH$197)</f>
        <v>0</v>
      </c>
      <c r="AK196" s="17"/>
      <c r="AL196" s="17"/>
      <c r="AM196" s="17"/>
      <c r="AN196" s="18">
        <f t="shared" ref="AN196" si="198">K196</f>
        <v>0</v>
      </c>
      <c r="AO196" s="91">
        <f>IF(AN$197=0,0,AN196/AN$197)</f>
        <v>0</v>
      </c>
      <c r="AQ196" s="17"/>
      <c r="AR196" s="17"/>
      <c r="AS196" s="17"/>
      <c r="AT196" s="18">
        <f t="shared" ref="AT196" si="199">W196</f>
        <v>0</v>
      </c>
      <c r="AU196" s="91">
        <f>IF(AT$197=0,0,AT196/AT$197)</f>
        <v>0</v>
      </c>
      <c r="AW196" s="17"/>
      <c r="AX196" s="17"/>
      <c r="AY196" s="17"/>
      <c r="AZ196" s="18">
        <f t="shared" ref="AZ196" si="200">X196</f>
        <v>0</v>
      </c>
      <c r="BA196" s="91">
        <f>IF(AZ$197=0,0,AZ196/AZ$197)</f>
        <v>0</v>
      </c>
    </row>
    <row r="197" spans="1:53" ht="17.100000000000001" customHeight="1" x14ac:dyDescent="0.25">
      <c r="A197" s="40"/>
      <c r="B197" s="40"/>
      <c r="C197" s="77"/>
      <c r="D197" s="144"/>
      <c r="E197" s="144"/>
      <c r="F197" s="145"/>
      <c r="G197" s="145"/>
      <c r="H197" s="119"/>
      <c r="I197" s="236"/>
      <c r="J197" s="80">
        <f>SUM(J194:J196)</f>
        <v>0</v>
      </c>
      <c r="K197" s="80">
        <f t="shared" ref="K197:M197" si="201">SUM(K194:K196)</f>
        <v>0</v>
      </c>
      <c r="L197" s="80">
        <f t="shared" si="201"/>
        <v>0</v>
      </c>
      <c r="M197" s="80">
        <f t="shared" si="201"/>
        <v>0</v>
      </c>
      <c r="N197" s="80"/>
      <c r="O197" s="80"/>
      <c r="P197" s="80"/>
      <c r="Q197" s="81"/>
      <c r="R197" s="81"/>
      <c r="S197" s="81"/>
      <c r="T197" s="81"/>
      <c r="U197" s="81"/>
      <c r="V197" s="356"/>
      <c r="W197" s="381">
        <f>SUM(W194:W196)</f>
        <v>0</v>
      </c>
      <c r="X197" s="82">
        <f t="shared" ref="X197:Y197" si="202">SUM(X194:X196)</f>
        <v>0</v>
      </c>
      <c r="Y197" s="82">
        <f t="shared" si="202"/>
        <v>0</v>
      </c>
      <c r="Z197" s="205">
        <f>IF(Y$197=0,0,Y197/Y$197)</f>
        <v>0</v>
      </c>
      <c r="AA197" s="205"/>
      <c r="AB197" s="205"/>
      <c r="AC197" s="83"/>
      <c r="AE197" s="80"/>
      <c r="AF197" s="80"/>
      <c r="AG197" s="81"/>
      <c r="AH197" s="82">
        <f>SUM(AH194:AH196)</f>
        <v>0</v>
      </c>
      <c r="AI197" s="66">
        <f>IF(AH$197=0,0,AH197/AH$197)</f>
        <v>0</v>
      </c>
      <c r="AK197" s="80"/>
      <c r="AL197" s="80"/>
      <c r="AM197" s="81"/>
      <c r="AN197" s="82">
        <f>SUM(AN194:AN196)</f>
        <v>0</v>
      </c>
      <c r="AO197" s="66">
        <f>IF(AN$197=0,0,AN197/AN$197)</f>
        <v>0</v>
      </c>
      <c r="AQ197" s="80"/>
      <c r="AR197" s="80"/>
      <c r="AS197" s="81"/>
      <c r="AT197" s="82">
        <f>SUM(AT194:AT196)</f>
        <v>0</v>
      </c>
      <c r="AU197" s="66">
        <f>IF(AT$197=0,0,AT197/AT$197)</f>
        <v>0</v>
      </c>
      <c r="AW197" s="80"/>
      <c r="AX197" s="80"/>
      <c r="AY197" s="81"/>
      <c r="AZ197" s="82">
        <f>SUM(AZ194:AZ196)</f>
        <v>0</v>
      </c>
      <c r="BA197" s="66">
        <f>IF(AZ$197=0,0,AZ197/AZ$197)</f>
        <v>0</v>
      </c>
    </row>
    <row r="198" spans="1:53" s="117" customFormat="1" ht="17.100000000000001" customHeight="1" x14ac:dyDescent="0.25">
      <c r="A198" s="68"/>
      <c r="B198" s="119"/>
      <c r="C198" s="540"/>
      <c r="D198" s="261"/>
      <c r="E198" s="261"/>
      <c r="F198" s="68"/>
      <c r="G198" s="68"/>
      <c r="H198" s="119"/>
      <c r="I198" s="138"/>
      <c r="J198" s="17" t="str">
        <f>IF(J197=J$15,"OK","NOK")</f>
        <v>OK</v>
      </c>
      <c r="K198" s="17" t="str">
        <f t="shared" ref="K198:L198" si="203">IF(K197=K$15,"OK","NOK")</f>
        <v>OK</v>
      </c>
      <c r="L198" s="17" t="str">
        <f t="shared" si="203"/>
        <v>OK</v>
      </c>
      <c r="M198" s="17"/>
      <c r="N198" s="17"/>
      <c r="O198" s="17"/>
      <c r="P198" s="17"/>
      <c r="Q198" s="17"/>
      <c r="R198" s="17"/>
      <c r="S198" s="17"/>
      <c r="T198" s="17"/>
      <c r="U198" s="17"/>
      <c r="V198" s="359"/>
      <c r="W198" s="382"/>
      <c r="X198" s="539"/>
      <c r="Y198" s="539"/>
      <c r="Z198" s="201"/>
      <c r="AA198" s="201"/>
      <c r="AB198" s="201"/>
      <c r="AC198" s="84"/>
      <c r="AE198" s="46"/>
      <c r="AF198" s="46"/>
      <c r="AG198" s="17"/>
      <c r="AH198" s="539"/>
      <c r="AI198" s="91"/>
      <c r="AK198" s="46"/>
      <c r="AL198" s="46"/>
      <c r="AM198" s="17"/>
      <c r="AN198" s="539"/>
      <c r="AO198" s="91"/>
      <c r="AQ198" s="46"/>
      <c r="AR198" s="46"/>
      <c r="AS198" s="17"/>
      <c r="AT198" s="539"/>
      <c r="AU198" s="91"/>
      <c r="AW198" s="46"/>
      <c r="AX198" s="46"/>
      <c r="AY198" s="17"/>
      <c r="AZ198" s="539"/>
      <c r="BA198" s="91"/>
    </row>
    <row r="199" spans="1:53" ht="17.100000000000001" customHeight="1" x14ac:dyDescent="0.25">
      <c r="A199" s="40"/>
      <c r="B199" s="40"/>
      <c r="C199" s="56" t="s">
        <v>147</v>
      </c>
      <c r="D199" s="147" t="s">
        <v>420</v>
      </c>
      <c r="E199" s="147"/>
      <c r="F199" s="147"/>
      <c r="G199" s="147"/>
      <c r="H199" s="243">
        <v>31</v>
      </c>
      <c r="I199" s="237"/>
      <c r="J199" s="174"/>
      <c r="K199" s="174"/>
      <c r="L199" s="111"/>
      <c r="M199" s="111"/>
      <c r="N199" s="111"/>
      <c r="O199" s="111"/>
      <c r="P199" s="111"/>
      <c r="Q199" s="111"/>
      <c r="R199" s="111"/>
      <c r="S199" s="111"/>
      <c r="T199" s="111"/>
      <c r="U199" s="111"/>
      <c r="V199" s="358"/>
      <c r="W199" s="380"/>
      <c r="X199" s="111"/>
      <c r="Y199" s="545"/>
      <c r="Z199" s="131"/>
      <c r="AA199" s="131"/>
      <c r="AB199" s="131"/>
      <c r="AC199" s="113"/>
      <c r="AE199" s="111"/>
      <c r="AF199" s="111"/>
      <c r="AG199" s="111"/>
      <c r="AH199" s="545"/>
      <c r="AI199" s="131"/>
      <c r="AK199" s="111"/>
      <c r="AL199" s="111"/>
      <c r="AM199" s="111"/>
      <c r="AN199" s="545"/>
      <c r="AO199" s="131"/>
      <c r="AQ199" s="111"/>
      <c r="AR199" s="111"/>
      <c r="AS199" s="111"/>
      <c r="AT199" s="545"/>
      <c r="AU199" s="131"/>
      <c r="AW199" s="111"/>
      <c r="AX199" s="111"/>
      <c r="AY199" s="111"/>
      <c r="AZ199" s="545"/>
      <c r="BA199" s="131"/>
    </row>
    <row r="200" spans="1:53" ht="17.100000000000001" customHeight="1" x14ac:dyDescent="0.25">
      <c r="A200" s="40"/>
      <c r="B200" s="40"/>
      <c r="C200" s="182"/>
      <c r="D200" s="74" t="s">
        <v>539</v>
      </c>
      <c r="E200" s="147" t="s">
        <v>9</v>
      </c>
      <c r="F200" s="147"/>
      <c r="G200" s="147"/>
      <c r="H200" s="262"/>
      <c r="I200" s="237"/>
      <c r="J200" s="581"/>
      <c r="K200" s="581"/>
      <c r="L200" s="582"/>
      <c r="M200" s="17">
        <f t="shared" ref="M200:M201" si="204">SUM(J200:L200)</f>
        <v>0</v>
      </c>
      <c r="N200" s="111"/>
      <c r="O200" s="111"/>
      <c r="P200" s="111"/>
      <c r="Q200" s="111"/>
      <c r="R200" s="111"/>
      <c r="S200" s="111"/>
      <c r="T200" s="111"/>
      <c r="U200" s="111"/>
      <c r="V200" s="358"/>
      <c r="W200" s="391">
        <f t="shared" ref="W200:W201" si="205">J200+K200+N200+Q200+T200</f>
        <v>0</v>
      </c>
      <c r="X200" s="17">
        <f t="shared" ref="X200:X201" si="206">L200+O200+R200+U200</f>
        <v>0</v>
      </c>
      <c r="Y200" s="539">
        <f>SUM(W200:X200)</f>
        <v>0</v>
      </c>
      <c r="Z200" s="91">
        <f>IF(Y$203=0,0,Y200/Y$203)</f>
        <v>0</v>
      </c>
      <c r="AA200" s="91"/>
      <c r="AB200" s="91"/>
      <c r="AC200" s="20"/>
      <c r="AE200" s="17"/>
      <c r="AF200" s="17"/>
      <c r="AG200" s="17"/>
      <c r="AH200" s="18">
        <f t="shared" ref="AH200:AH201" si="207">J200</f>
        <v>0</v>
      </c>
      <c r="AI200" s="91">
        <f>IF(AH$203=0,0,AH200/AH$203)</f>
        <v>0</v>
      </c>
      <c r="AK200" s="17"/>
      <c r="AL200" s="17"/>
      <c r="AM200" s="17"/>
      <c r="AN200" s="18">
        <f t="shared" ref="AN200:AN201" si="208">K200</f>
        <v>0</v>
      </c>
      <c r="AO200" s="91">
        <f>IF(AN$203=0,0,AN200/AN$203)</f>
        <v>0</v>
      </c>
      <c r="AQ200" s="17"/>
      <c r="AR200" s="17"/>
      <c r="AS200" s="17"/>
      <c r="AT200" s="18">
        <f t="shared" ref="AT200:AT201" si="209">W200</f>
        <v>0</v>
      </c>
      <c r="AU200" s="91">
        <f>IF(AT$203=0,0,AT200/AT$203)</f>
        <v>0</v>
      </c>
      <c r="AW200" s="17"/>
      <c r="AX200" s="17"/>
      <c r="AY200" s="17"/>
      <c r="AZ200" s="18">
        <f t="shared" ref="AZ200:AZ201" si="210">X200</f>
        <v>0</v>
      </c>
      <c r="BA200" s="91">
        <f>IF(AZ$203=0,0,AZ200/AZ$203)</f>
        <v>0</v>
      </c>
    </row>
    <row r="201" spans="1:53" ht="17.100000000000001" customHeight="1" x14ac:dyDescent="0.25">
      <c r="A201" s="40"/>
      <c r="B201" s="40"/>
      <c r="C201" s="182"/>
      <c r="D201" s="74" t="s">
        <v>540</v>
      </c>
      <c r="E201" s="147" t="s">
        <v>11</v>
      </c>
      <c r="F201" s="147"/>
      <c r="G201" s="147"/>
      <c r="H201" s="262"/>
      <c r="I201" s="237"/>
      <c r="J201" s="583"/>
      <c r="K201" s="583"/>
      <c r="L201" s="584"/>
      <c r="M201" s="17">
        <f t="shared" si="204"/>
        <v>0</v>
      </c>
      <c r="N201" s="111"/>
      <c r="O201" s="111"/>
      <c r="P201" s="111"/>
      <c r="Q201" s="111"/>
      <c r="R201" s="111"/>
      <c r="S201" s="111"/>
      <c r="T201" s="111"/>
      <c r="U201" s="111"/>
      <c r="V201" s="358"/>
      <c r="W201" s="391">
        <f t="shared" si="205"/>
        <v>0</v>
      </c>
      <c r="X201" s="17">
        <f t="shared" si="206"/>
        <v>0</v>
      </c>
      <c r="Y201" s="539">
        <f>SUM(W201:X201)</f>
        <v>0</v>
      </c>
      <c r="Z201" s="91">
        <f>IF(Y$203=0,0,Y201/Y$203)</f>
        <v>0</v>
      </c>
      <c r="AA201" s="91"/>
      <c r="AB201" s="91"/>
      <c r="AC201" s="20"/>
      <c r="AE201" s="17"/>
      <c r="AF201" s="17"/>
      <c r="AG201" s="17"/>
      <c r="AH201" s="18">
        <f t="shared" si="207"/>
        <v>0</v>
      </c>
      <c r="AI201" s="91">
        <f>IF(AH$203=0,0,AH201/AH$203)</f>
        <v>0</v>
      </c>
      <c r="AK201" s="17"/>
      <c r="AL201" s="17"/>
      <c r="AM201" s="17"/>
      <c r="AN201" s="18">
        <f t="shared" si="208"/>
        <v>0</v>
      </c>
      <c r="AO201" s="91">
        <f>IF(AN$203=0,0,AN201/AN$203)</f>
        <v>0</v>
      </c>
      <c r="AQ201" s="17"/>
      <c r="AR201" s="17"/>
      <c r="AS201" s="17"/>
      <c r="AT201" s="18">
        <f t="shared" si="209"/>
        <v>0</v>
      </c>
      <c r="AU201" s="91">
        <f>IF(AT$203=0,0,AT201/AT$203)</f>
        <v>0</v>
      </c>
      <c r="AW201" s="17"/>
      <c r="AX201" s="17"/>
      <c r="AY201" s="17"/>
      <c r="AZ201" s="18">
        <f t="shared" si="210"/>
        <v>0</v>
      </c>
      <c r="BA201" s="91">
        <f>IF(AZ$203=0,0,AZ201/AZ$203)</f>
        <v>0</v>
      </c>
    </row>
    <row r="202" spans="1:53" ht="17.100000000000001" customHeight="1" x14ac:dyDescent="0.25">
      <c r="A202" s="40"/>
      <c r="B202" s="40"/>
      <c r="C202" s="182"/>
      <c r="D202" s="74" t="s">
        <v>1434</v>
      </c>
      <c r="E202" s="147" t="s">
        <v>1435</v>
      </c>
      <c r="F202" s="147"/>
      <c r="G202" s="147"/>
      <c r="H202" s="262"/>
      <c r="I202" s="237"/>
      <c r="J202" s="581"/>
      <c r="K202" s="581"/>
      <c r="L202" s="582"/>
      <c r="M202" s="17">
        <f t="shared" ref="M202" si="211">SUM(J202:L202)</f>
        <v>0</v>
      </c>
      <c r="N202" s="111"/>
      <c r="O202" s="111"/>
      <c r="P202" s="111"/>
      <c r="Q202" s="111"/>
      <c r="R202" s="111"/>
      <c r="S202" s="111"/>
      <c r="T202" s="111"/>
      <c r="U202" s="111"/>
      <c r="V202" s="358"/>
      <c r="W202" s="391">
        <f t="shared" ref="W202" si="212">J202+K202+N202+Q202+T202</f>
        <v>0</v>
      </c>
      <c r="X202" s="17">
        <f t="shared" ref="X202" si="213">L202+O202+R202+U202</f>
        <v>0</v>
      </c>
      <c r="Y202" s="921">
        <f>SUM(W202:X202)</f>
        <v>0</v>
      </c>
      <c r="Z202" s="91">
        <f>IF(Y$203=0,0,Y202/Y$203)</f>
        <v>0</v>
      </c>
      <c r="AA202" s="91"/>
      <c r="AB202" s="91"/>
      <c r="AC202" s="20"/>
      <c r="AE202" s="17"/>
      <c r="AF202" s="17"/>
      <c r="AG202" s="17"/>
      <c r="AH202" s="18">
        <f t="shared" ref="AH202" si="214">J202</f>
        <v>0</v>
      </c>
      <c r="AI202" s="91">
        <f>IF(AH$203=0,0,AH202/AH$203)</f>
        <v>0</v>
      </c>
      <c r="AK202" s="17"/>
      <c r="AL202" s="17"/>
      <c r="AM202" s="17"/>
      <c r="AN202" s="18">
        <f t="shared" ref="AN202" si="215">K202</f>
        <v>0</v>
      </c>
      <c r="AO202" s="91">
        <f>IF(AN$203=0,0,AN202/AN$203)</f>
        <v>0</v>
      </c>
      <c r="AQ202" s="17"/>
      <c r="AR202" s="17"/>
      <c r="AS202" s="17"/>
      <c r="AT202" s="18">
        <f t="shared" ref="AT202" si="216">W202</f>
        <v>0</v>
      </c>
      <c r="AU202" s="91">
        <f>IF(AT$203=0,0,AT202/AT$203)</f>
        <v>0</v>
      </c>
      <c r="AW202" s="17"/>
      <c r="AX202" s="17"/>
      <c r="AY202" s="17"/>
      <c r="AZ202" s="18">
        <f t="shared" ref="AZ202" si="217">X202</f>
        <v>0</v>
      </c>
      <c r="BA202" s="91">
        <f>IF(AZ$203=0,0,AZ202/AZ$203)</f>
        <v>0</v>
      </c>
    </row>
    <row r="203" spans="1:53" ht="17.100000000000001" customHeight="1" x14ac:dyDescent="0.25">
      <c r="A203" s="40"/>
      <c r="B203" s="40"/>
      <c r="C203" s="77"/>
      <c r="D203" s="144"/>
      <c r="E203" s="144"/>
      <c r="F203" s="145"/>
      <c r="G203" s="145"/>
      <c r="H203" s="119"/>
      <c r="I203" s="236"/>
      <c r="J203" s="80">
        <f>SUM(J200:J202)</f>
        <v>0</v>
      </c>
      <c r="K203" s="80">
        <f t="shared" ref="K203" si="218">SUM(K200:K202)</f>
        <v>0</v>
      </c>
      <c r="L203" s="80">
        <f t="shared" ref="L203" si="219">SUM(L200:L202)</f>
        <v>0</v>
      </c>
      <c r="M203" s="80">
        <f t="shared" ref="M203" si="220">SUM(M200:M202)</f>
        <v>0</v>
      </c>
      <c r="N203" s="80"/>
      <c r="O203" s="80"/>
      <c r="P203" s="80"/>
      <c r="Q203" s="81"/>
      <c r="R203" s="81"/>
      <c r="S203" s="81"/>
      <c r="T203" s="81"/>
      <c r="U203" s="81"/>
      <c r="V203" s="356"/>
      <c r="W203" s="381">
        <f>SUM(W200:W202)</f>
        <v>0</v>
      </c>
      <c r="X203" s="82">
        <f t="shared" ref="X203" si="221">SUM(X200:X202)</f>
        <v>0</v>
      </c>
      <c r="Y203" s="82">
        <f t="shared" ref="Y203" si="222">SUM(Y200:Y202)</f>
        <v>0</v>
      </c>
      <c r="Z203" s="205">
        <f>IF(Y$203=0,0,Y203/Y$203)</f>
        <v>0</v>
      </c>
      <c r="AA203" s="205"/>
      <c r="AB203" s="205"/>
      <c r="AC203" s="83"/>
      <c r="AE203" s="80"/>
      <c r="AF203" s="80"/>
      <c r="AG203" s="81"/>
      <c r="AH203" s="82">
        <f>SUM(AH200:AH202)</f>
        <v>0</v>
      </c>
      <c r="AI203" s="66">
        <f>IF(AH$203=0,0,AH203/AH$203)</f>
        <v>0</v>
      </c>
      <c r="AK203" s="80"/>
      <c r="AL203" s="80"/>
      <c r="AM203" s="81"/>
      <c r="AN203" s="82">
        <f>SUM(AN200:AN202)</f>
        <v>0</v>
      </c>
      <c r="AO203" s="66">
        <f>IF(AN$203=0,0,AN203/AN$203)</f>
        <v>0</v>
      </c>
      <c r="AQ203" s="80"/>
      <c r="AR203" s="80"/>
      <c r="AS203" s="81"/>
      <c r="AT203" s="82">
        <f>SUM(AT200:AT202)</f>
        <v>0</v>
      </c>
      <c r="AU203" s="66">
        <f>IF(AT$203=0,0,AT203/AT$203)</f>
        <v>0</v>
      </c>
      <c r="AW203" s="80"/>
      <c r="AX203" s="80"/>
      <c r="AY203" s="81"/>
      <c r="AZ203" s="82">
        <f>SUM(AZ200:AZ202)</f>
        <v>0</v>
      </c>
      <c r="BA203" s="66">
        <f>IF(AZ$203=0,0,AZ203/AZ$203)</f>
        <v>0</v>
      </c>
    </row>
    <row r="204" spans="1:53" s="117" customFormat="1" ht="17.100000000000001" customHeight="1" x14ac:dyDescent="0.25">
      <c r="A204" s="68"/>
      <c r="B204" s="119"/>
      <c r="C204" s="540"/>
      <c r="D204" s="261"/>
      <c r="E204" s="261"/>
      <c r="F204" s="68"/>
      <c r="G204" s="68"/>
      <c r="H204" s="119"/>
      <c r="I204" s="138"/>
      <c r="J204" s="17" t="str">
        <f>IF(J203=J$15,"OK","NOK")</f>
        <v>OK</v>
      </c>
      <c r="K204" s="17" t="str">
        <f t="shared" ref="K204:L204" si="223">IF(K203=K$15,"OK","NOK")</f>
        <v>OK</v>
      </c>
      <c r="L204" s="17" t="str">
        <f t="shared" si="223"/>
        <v>OK</v>
      </c>
      <c r="M204" s="17"/>
      <c r="N204" s="17"/>
      <c r="O204" s="17"/>
      <c r="P204" s="17"/>
      <c r="Q204" s="17"/>
      <c r="R204" s="17"/>
      <c r="S204" s="17"/>
      <c r="T204" s="17"/>
      <c r="U204" s="17"/>
      <c r="V204" s="359"/>
      <c r="W204" s="382"/>
      <c r="X204" s="539"/>
      <c r="Y204" s="539"/>
      <c r="Z204" s="201"/>
      <c r="AA204" s="201"/>
      <c r="AB204" s="201"/>
      <c r="AC204" s="84"/>
      <c r="AE204" s="46"/>
      <c r="AF204" s="46"/>
      <c r="AG204" s="17"/>
      <c r="AH204" s="539"/>
      <c r="AI204" s="91"/>
      <c r="AK204" s="46"/>
      <c r="AL204" s="46"/>
      <c r="AM204" s="17"/>
      <c r="AN204" s="539"/>
      <c r="AO204" s="91"/>
      <c r="AQ204" s="46"/>
      <c r="AR204" s="46"/>
      <c r="AS204" s="17"/>
      <c r="AT204" s="539"/>
      <c r="AU204" s="91"/>
      <c r="AW204" s="46"/>
      <c r="AX204" s="46"/>
      <c r="AY204" s="17"/>
      <c r="AZ204" s="539"/>
      <c r="BA204" s="91"/>
    </row>
    <row r="205" spans="1:53" ht="17.100000000000001" customHeight="1" x14ac:dyDescent="0.25">
      <c r="A205" s="40"/>
      <c r="B205" s="40"/>
      <c r="C205" s="56" t="s">
        <v>519</v>
      </c>
      <c r="D205" s="147" t="s">
        <v>421</v>
      </c>
      <c r="E205" s="147"/>
      <c r="F205" s="147"/>
      <c r="G205" s="147"/>
      <c r="H205" s="182"/>
      <c r="I205" s="237"/>
      <c r="J205" s="111"/>
      <c r="K205" s="111"/>
      <c r="L205" s="111"/>
      <c r="M205" s="111"/>
      <c r="N205" s="111"/>
      <c r="O205" s="111"/>
      <c r="P205" s="111"/>
      <c r="Q205" s="111"/>
      <c r="R205" s="111"/>
      <c r="S205" s="111"/>
      <c r="T205" s="111"/>
      <c r="U205" s="111"/>
      <c r="V205" s="358"/>
      <c r="W205" s="380"/>
      <c r="X205" s="111"/>
      <c r="Y205" s="545"/>
      <c r="Z205" s="131"/>
      <c r="AA205" s="131"/>
      <c r="AB205" s="131"/>
      <c r="AC205" s="113"/>
      <c r="AE205" s="111"/>
      <c r="AF205" s="111"/>
      <c r="AG205" s="111"/>
      <c r="AH205" s="545"/>
      <c r="AI205" s="131"/>
      <c r="AK205" s="111"/>
      <c r="AL205" s="111"/>
      <c r="AM205" s="111"/>
      <c r="AN205" s="545"/>
      <c r="AO205" s="131"/>
      <c r="AQ205" s="111"/>
      <c r="AR205" s="111"/>
      <c r="AS205" s="111"/>
      <c r="AT205" s="545"/>
      <c r="AU205" s="131"/>
      <c r="AW205" s="111"/>
      <c r="AX205" s="111"/>
      <c r="AY205" s="111"/>
      <c r="AZ205" s="545"/>
      <c r="BA205" s="131"/>
    </row>
    <row r="206" spans="1:53" ht="17.100000000000001" customHeight="1" x14ac:dyDescent="0.25">
      <c r="A206" s="40"/>
      <c r="B206" s="40"/>
      <c r="C206" s="40"/>
      <c r="D206" s="56" t="s">
        <v>520</v>
      </c>
      <c r="E206" s="146" t="s">
        <v>423</v>
      </c>
      <c r="F206" s="149"/>
      <c r="G206" s="149"/>
      <c r="H206" s="244"/>
      <c r="I206" s="238"/>
      <c r="J206" s="111"/>
      <c r="K206" s="111"/>
      <c r="L206" s="111"/>
      <c r="M206" s="111"/>
      <c r="N206" s="61"/>
      <c r="O206" s="61"/>
      <c r="P206" s="17">
        <f>SUM(N206:O206)</f>
        <v>0</v>
      </c>
      <c r="Q206" s="61"/>
      <c r="R206" s="61"/>
      <c r="S206" s="17">
        <f>SUM(Q206:R206)</f>
        <v>0</v>
      </c>
      <c r="T206" s="61"/>
      <c r="U206" s="61"/>
      <c r="V206" s="17">
        <f>SUM(T206:U206)</f>
        <v>0</v>
      </c>
      <c r="W206" s="391">
        <f t="shared" ref="W206:W209" si="224">J206+K206+N206+Q206+T206</f>
        <v>0</v>
      </c>
      <c r="X206" s="17">
        <f t="shared" ref="X206:X209" si="225">L206+O206+R206+U206</f>
        <v>0</v>
      </c>
      <c r="Y206" s="18">
        <f>SUM(W206:X206)</f>
        <v>0</v>
      </c>
      <c r="Z206" s="19">
        <f>IF(Y$210=0,0,Y206/Y$210)</f>
        <v>0</v>
      </c>
      <c r="AA206" s="19"/>
      <c r="AB206" s="19"/>
      <c r="AC206" s="20"/>
      <c r="AE206" s="111"/>
      <c r="AF206" s="111"/>
      <c r="AG206" s="111"/>
      <c r="AH206" s="112"/>
      <c r="AI206" s="113"/>
      <c r="AK206" s="111"/>
      <c r="AL206" s="111"/>
      <c r="AM206" s="111"/>
      <c r="AN206" s="112"/>
      <c r="AO206" s="113"/>
      <c r="AQ206" s="17"/>
      <c r="AR206" s="17"/>
      <c r="AS206" s="17"/>
      <c r="AT206" s="18">
        <f t="shared" ref="AT206:AT209" si="226">W206</f>
        <v>0</v>
      </c>
      <c r="AU206" s="19">
        <f>IF(AT$210=0,0,AT206/AT$210)</f>
        <v>0</v>
      </c>
      <c r="AW206" s="17"/>
      <c r="AX206" s="17"/>
      <c r="AY206" s="17"/>
      <c r="AZ206" s="18">
        <f t="shared" ref="AZ206:AZ209" si="227">X206</f>
        <v>0</v>
      </c>
      <c r="BA206" s="19">
        <f>IF(AZ$210=0,0,AZ206/AZ$210)</f>
        <v>0</v>
      </c>
    </row>
    <row r="207" spans="1:53" ht="17.100000000000001" customHeight="1" x14ac:dyDescent="0.25">
      <c r="A207" s="40"/>
      <c r="B207" s="40"/>
      <c r="C207" s="40"/>
      <c r="D207" s="56" t="s">
        <v>521</v>
      </c>
      <c r="E207" s="147" t="s">
        <v>422</v>
      </c>
      <c r="F207" s="223"/>
      <c r="G207" s="223"/>
      <c r="H207" s="244"/>
      <c r="I207" s="238"/>
      <c r="J207" s="111"/>
      <c r="K207" s="111"/>
      <c r="L207" s="111"/>
      <c r="M207" s="111"/>
      <c r="N207" s="60"/>
      <c r="O207" s="60"/>
      <c r="P207" s="17">
        <f t="shared" ref="P207:P209" si="228">SUM(N207:O207)</f>
        <v>0</v>
      </c>
      <c r="Q207" s="60"/>
      <c r="R207" s="60"/>
      <c r="S207" s="17">
        <f t="shared" ref="S207:S209" si="229">SUM(Q207:R207)</f>
        <v>0</v>
      </c>
      <c r="T207" s="60"/>
      <c r="U207" s="60"/>
      <c r="V207" s="17">
        <f t="shared" ref="V207:V209" si="230">SUM(T207:U207)</f>
        <v>0</v>
      </c>
      <c r="W207" s="391">
        <f t="shared" si="224"/>
        <v>0</v>
      </c>
      <c r="X207" s="17">
        <f t="shared" si="225"/>
        <v>0</v>
      </c>
      <c r="Y207" s="18">
        <f>SUM(W207:X207)</f>
        <v>0</v>
      </c>
      <c r="Z207" s="19">
        <f>IF(Y$210=0,0,Y207/Y$210)</f>
        <v>0</v>
      </c>
      <c r="AA207" s="19"/>
      <c r="AB207" s="19"/>
      <c r="AC207" s="20"/>
      <c r="AE207" s="111"/>
      <c r="AF207" s="111"/>
      <c r="AG207" s="111"/>
      <c r="AH207" s="112"/>
      <c r="AI207" s="113"/>
      <c r="AK207" s="111"/>
      <c r="AL207" s="111"/>
      <c r="AM207" s="111"/>
      <c r="AN207" s="112"/>
      <c r="AO207" s="113"/>
      <c r="AQ207" s="17"/>
      <c r="AR207" s="17"/>
      <c r="AS207" s="17"/>
      <c r="AT207" s="18">
        <f t="shared" si="226"/>
        <v>0</v>
      </c>
      <c r="AU207" s="19">
        <f>IF(AT$210=0,0,AT207/AT$210)</f>
        <v>0</v>
      </c>
      <c r="AW207" s="17"/>
      <c r="AX207" s="17"/>
      <c r="AY207" s="17"/>
      <c r="AZ207" s="18">
        <f t="shared" si="227"/>
        <v>0</v>
      </c>
      <c r="BA207" s="19">
        <f>IF(AZ$210=0,0,AZ207/AZ$210)</f>
        <v>0</v>
      </c>
    </row>
    <row r="208" spans="1:53" ht="17.100000000000001" customHeight="1" x14ac:dyDescent="0.25">
      <c r="A208" s="40"/>
      <c r="B208" s="40"/>
      <c r="C208" s="40"/>
      <c r="D208" s="56" t="s">
        <v>522</v>
      </c>
      <c r="E208" s="147" t="s">
        <v>136</v>
      </c>
      <c r="F208" s="147"/>
      <c r="G208" s="147"/>
      <c r="H208" s="182"/>
      <c r="I208" s="237"/>
      <c r="J208" s="111"/>
      <c r="K208" s="111"/>
      <c r="L208" s="111"/>
      <c r="M208" s="111"/>
      <c r="N208" s="61"/>
      <c r="O208" s="61"/>
      <c r="P208" s="17">
        <f t="shared" si="228"/>
        <v>0</v>
      </c>
      <c r="Q208" s="61"/>
      <c r="R208" s="61"/>
      <c r="S208" s="17">
        <f t="shared" si="229"/>
        <v>0</v>
      </c>
      <c r="T208" s="61"/>
      <c r="U208" s="61"/>
      <c r="V208" s="17">
        <f t="shared" si="230"/>
        <v>0</v>
      </c>
      <c r="W208" s="391">
        <f t="shared" si="224"/>
        <v>0</v>
      </c>
      <c r="X208" s="17">
        <f t="shared" si="225"/>
        <v>0</v>
      </c>
      <c r="Y208" s="18">
        <f>SUM(W208:X208)</f>
        <v>0</v>
      </c>
      <c r="Z208" s="19">
        <f>IF(Y$210=0,0,Y208/Y$210)</f>
        <v>0</v>
      </c>
      <c r="AA208" s="19"/>
      <c r="AB208" s="19"/>
      <c r="AC208" s="20"/>
      <c r="AE208" s="111"/>
      <c r="AF208" s="111"/>
      <c r="AG208" s="111"/>
      <c r="AH208" s="112"/>
      <c r="AI208" s="113"/>
      <c r="AK208" s="111"/>
      <c r="AL208" s="111"/>
      <c r="AM208" s="111"/>
      <c r="AN208" s="112"/>
      <c r="AO208" s="113"/>
      <c r="AQ208" s="17"/>
      <c r="AR208" s="17"/>
      <c r="AS208" s="17"/>
      <c r="AT208" s="18">
        <f t="shared" si="226"/>
        <v>0</v>
      </c>
      <c r="AU208" s="19">
        <f>IF(AT$210=0,0,AT208/AT$210)</f>
        <v>0</v>
      </c>
      <c r="AW208" s="17"/>
      <c r="AX208" s="17"/>
      <c r="AY208" s="17"/>
      <c r="AZ208" s="18">
        <f t="shared" si="227"/>
        <v>0</v>
      </c>
      <c r="BA208" s="19">
        <f>IF(AZ$210=0,0,AZ208/AZ$210)</f>
        <v>0</v>
      </c>
    </row>
    <row r="209" spans="1:53" ht="17.100000000000001" customHeight="1" x14ac:dyDescent="0.25">
      <c r="A209" s="40"/>
      <c r="B209" s="40"/>
      <c r="C209" s="40"/>
      <c r="D209" s="56" t="s">
        <v>746</v>
      </c>
      <c r="E209" s="147" t="s">
        <v>747</v>
      </c>
      <c r="F209" s="223"/>
      <c r="G209" s="223"/>
      <c r="H209" s="244"/>
      <c r="I209" s="238"/>
      <c r="J209" s="111"/>
      <c r="K209" s="111"/>
      <c r="L209" s="111"/>
      <c r="M209" s="111"/>
      <c r="N209" s="60"/>
      <c r="O209" s="60"/>
      <c r="P209" s="17">
        <f t="shared" si="228"/>
        <v>0</v>
      </c>
      <c r="Q209" s="60"/>
      <c r="R209" s="60"/>
      <c r="S209" s="17">
        <f t="shared" si="229"/>
        <v>0</v>
      </c>
      <c r="T209" s="60"/>
      <c r="U209" s="60"/>
      <c r="V209" s="17">
        <f t="shared" si="230"/>
        <v>0</v>
      </c>
      <c r="W209" s="391">
        <f t="shared" si="224"/>
        <v>0</v>
      </c>
      <c r="X209" s="17">
        <f t="shared" si="225"/>
        <v>0</v>
      </c>
      <c r="Y209" s="18">
        <f>SUM(W209:X209)</f>
        <v>0</v>
      </c>
      <c r="Z209" s="19">
        <f>IF(Y$210=0,0,Y209/Y$210)</f>
        <v>0</v>
      </c>
      <c r="AA209" s="19"/>
      <c r="AB209" s="19"/>
      <c r="AC209" s="20"/>
      <c r="AE209" s="111"/>
      <c r="AF209" s="111"/>
      <c r="AG209" s="111"/>
      <c r="AH209" s="112"/>
      <c r="AI209" s="113"/>
      <c r="AK209" s="111"/>
      <c r="AL209" s="111"/>
      <c r="AM209" s="111"/>
      <c r="AN209" s="112"/>
      <c r="AO209" s="113"/>
      <c r="AQ209" s="17"/>
      <c r="AR209" s="17"/>
      <c r="AS209" s="17"/>
      <c r="AT209" s="18">
        <f t="shared" si="226"/>
        <v>0</v>
      </c>
      <c r="AU209" s="19">
        <f>IF(AT$210=0,0,AT209/AT$210)</f>
        <v>0</v>
      </c>
      <c r="AW209" s="17"/>
      <c r="AX209" s="17"/>
      <c r="AY209" s="17"/>
      <c r="AZ209" s="18">
        <f t="shared" si="227"/>
        <v>0</v>
      </c>
      <c r="BA209" s="19">
        <f>IF(AZ$210=0,0,AZ209/AZ$210)</f>
        <v>0</v>
      </c>
    </row>
    <row r="210" spans="1:53" ht="17.100000000000001" customHeight="1" x14ac:dyDescent="0.25">
      <c r="A210" s="40"/>
      <c r="B210" s="40"/>
      <c r="C210" s="77"/>
      <c r="D210" s="144"/>
      <c r="E210" s="144"/>
      <c r="F210" s="145"/>
      <c r="G210" s="145"/>
      <c r="H210" s="119"/>
      <c r="I210" s="236"/>
      <c r="J210" s="80"/>
      <c r="K210" s="80"/>
      <c r="L210" s="81"/>
      <c r="M210" s="81"/>
      <c r="N210" s="81">
        <f>SUM(N206:N209)</f>
        <v>0</v>
      </c>
      <c r="O210" s="81">
        <f t="shared" ref="O210:V210" si="231">SUM(O206:O209)</f>
        <v>0</v>
      </c>
      <c r="P210" s="81">
        <f t="shared" si="231"/>
        <v>0</v>
      </c>
      <c r="Q210" s="81">
        <f t="shared" si="231"/>
        <v>0</v>
      </c>
      <c r="R210" s="81">
        <f t="shared" si="231"/>
        <v>0</v>
      </c>
      <c r="S210" s="81">
        <f t="shared" si="231"/>
        <v>0</v>
      </c>
      <c r="T210" s="81">
        <f t="shared" si="231"/>
        <v>0</v>
      </c>
      <c r="U210" s="81">
        <f t="shared" si="231"/>
        <v>0</v>
      </c>
      <c r="V210" s="81">
        <f t="shared" si="231"/>
        <v>0</v>
      </c>
      <c r="W210" s="381">
        <f>SUM(W206:W209)</f>
        <v>0</v>
      </c>
      <c r="X210" s="82">
        <f>SUM(X206:X209)</f>
        <v>0</v>
      </c>
      <c r="Y210" s="82">
        <f>SUM(Y206:Y209)</f>
        <v>0</v>
      </c>
      <c r="Z210" s="205">
        <f>IF(Y$210=0,0,Y210/Y$210)</f>
        <v>0</v>
      </c>
      <c r="AA210" s="205"/>
      <c r="AB210" s="205"/>
      <c r="AC210" s="83"/>
      <c r="AE210" s="80"/>
      <c r="AF210" s="80"/>
      <c r="AG210" s="81"/>
      <c r="AH210" s="82"/>
      <c r="AI210" s="66"/>
      <c r="AK210" s="80"/>
      <c r="AL210" s="80"/>
      <c r="AM210" s="81"/>
      <c r="AN210" s="82"/>
      <c r="AO210" s="66"/>
      <c r="AQ210" s="80"/>
      <c r="AR210" s="80"/>
      <c r="AS210" s="81"/>
      <c r="AT210" s="82">
        <f>SUM(AT206:AT209)</f>
        <v>0</v>
      </c>
      <c r="AU210" s="66">
        <f>IF(AT$210=0,0,AT210/AT$210)</f>
        <v>0</v>
      </c>
      <c r="AW210" s="80"/>
      <c r="AX210" s="80"/>
      <c r="AY210" s="81"/>
      <c r="AZ210" s="82">
        <f>SUM(AZ206:AZ209)</f>
        <v>0</v>
      </c>
      <c r="BA210" s="66">
        <f>IF(AZ$210=0,0,AZ210/AZ$210)</f>
        <v>0</v>
      </c>
    </row>
    <row r="211" spans="1:53" s="117" customFormat="1" ht="17.100000000000001" customHeight="1" x14ac:dyDescent="0.25">
      <c r="A211" s="68"/>
      <c r="B211" s="119"/>
      <c r="C211" s="540"/>
      <c r="D211" s="261"/>
      <c r="E211" s="261"/>
      <c r="F211" s="68"/>
      <c r="G211" s="68"/>
      <c r="H211" s="119"/>
      <c r="I211" s="138"/>
      <c r="J211" s="17"/>
      <c r="K211" s="17"/>
      <c r="L211" s="17"/>
      <c r="M211" s="17"/>
      <c r="N211" s="17" t="str">
        <f>IF(N210=N$20,"OK","NOK")</f>
        <v>OK</v>
      </c>
      <c r="O211" s="17" t="str">
        <f>IF(O210=O$20,"OK","NOK")</f>
        <v>OK</v>
      </c>
      <c r="P211" s="17"/>
      <c r="Q211" s="17" t="str">
        <f>IF(Q210=Q$20,"OK","NOK")</f>
        <v>OK</v>
      </c>
      <c r="R211" s="17" t="str">
        <f>IF(R210=R$20,"OK","NOK")</f>
        <v>OK</v>
      </c>
      <c r="S211" s="17"/>
      <c r="T211" s="17" t="str">
        <f>IF(T210=T$20,"OK","NOK")</f>
        <v>OK</v>
      </c>
      <c r="U211" s="17" t="str">
        <f>IF(U210=U$20,"OK","NOK")</f>
        <v>OK</v>
      </c>
      <c r="V211" s="359"/>
      <c r="W211" s="382"/>
      <c r="X211" s="539"/>
      <c r="Y211" s="539"/>
      <c r="Z211" s="201"/>
      <c r="AA211" s="201"/>
      <c r="AB211" s="201"/>
      <c r="AC211" s="84"/>
      <c r="AE211" s="46"/>
      <c r="AF211" s="46"/>
      <c r="AG211" s="17"/>
      <c r="AH211" s="539"/>
      <c r="AI211" s="91"/>
      <c r="AK211" s="46"/>
      <c r="AL211" s="46"/>
      <c r="AM211" s="17"/>
      <c r="AN211" s="539"/>
      <c r="AO211" s="91"/>
      <c r="AQ211" s="46"/>
      <c r="AR211" s="46"/>
      <c r="AS211" s="17"/>
      <c r="AT211" s="539"/>
      <c r="AU211" s="91"/>
      <c r="AW211" s="46"/>
      <c r="AX211" s="46"/>
      <c r="AY211" s="17"/>
      <c r="AZ211" s="539"/>
      <c r="BA211" s="91"/>
    </row>
    <row r="212" spans="1:53" ht="17.100000000000001" customHeight="1" x14ac:dyDescent="0.25">
      <c r="A212" s="68"/>
      <c r="B212" s="41" t="s">
        <v>635</v>
      </c>
      <c r="C212" s="69" t="s">
        <v>138</v>
      </c>
      <c r="D212" s="50"/>
      <c r="E212" s="70"/>
      <c r="F212" s="70"/>
      <c r="G212" s="70"/>
      <c r="H212" s="119"/>
      <c r="J212" s="71"/>
      <c r="K212" s="71"/>
      <c r="L212" s="71"/>
      <c r="M212" s="71"/>
      <c r="N212" s="71"/>
      <c r="O212" s="71"/>
      <c r="P212" s="71"/>
      <c r="Q212" s="71"/>
      <c r="R212" s="71"/>
      <c r="S212" s="71"/>
      <c r="T212" s="71"/>
      <c r="U212" s="71"/>
      <c r="V212" s="355"/>
      <c r="W212" s="377"/>
      <c r="X212" s="71"/>
      <c r="Y212" s="72"/>
      <c r="Z212" s="73"/>
      <c r="AA212" s="73"/>
      <c r="AB212" s="73"/>
      <c r="AC212" s="73"/>
      <c r="AE212" s="71"/>
      <c r="AF212" s="71"/>
      <c r="AG212" s="71"/>
      <c r="AH212" s="72"/>
      <c r="AI212" s="73"/>
      <c r="AK212" s="71"/>
      <c r="AL212" s="71"/>
      <c r="AM212" s="71"/>
      <c r="AN212" s="72"/>
      <c r="AO212" s="73"/>
      <c r="AQ212" s="71"/>
      <c r="AR212" s="71"/>
      <c r="AS212" s="71"/>
      <c r="AT212" s="72"/>
      <c r="AU212" s="73"/>
      <c r="AW212" s="71"/>
      <c r="AX212" s="71"/>
      <c r="AY212" s="71"/>
      <c r="AZ212" s="72"/>
      <c r="BA212" s="73"/>
    </row>
    <row r="213" spans="1:53" ht="17.100000000000001" customHeight="1" x14ac:dyDescent="0.25">
      <c r="A213" s="40"/>
      <c r="B213" s="40"/>
      <c r="C213" s="74" t="s">
        <v>636</v>
      </c>
      <c r="D213" s="542" t="s">
        <v>424</v>
      </c>
      <c r="E213" s="542"/>
      <c r="F213" s="542"/>
      <c r="G213" s="542"/>
      <c r="H213" s="243">
        <v>26</v>
      </c>
      <c r="I213" s="235"/>
      <c r="J213" s="111"/>
      <c r="K213" s="111"/>
      <c r="L213" s="111"/>
      <c r="M213" s="111"/>
      <c r="N213" s="111"/>
      <c r="O213" s="111"/>
      <c r="P213" s="111"/>
      <c r="Q213" s="111"/>
      <c r="R213" s="111"/>
      <c r="S213" s="111"/>
      <c r="T213" s="111"/>
      <c r="U213" s="111"/>
      <c r="V213" s="358"/>
      <c r="W213" s="380"/>
      <c r="X213" s="111"/>
      <c r="Y213" s="112"/>
      <c r="Z213" s="113"/>
      <c r="AA213" s="113"/>
      <c r="AB213" s="113"/>
      <c r="AC213" s="113"/>
      <c r="AE213" s="111"/>
      <c r="AF213" s="111"/>
      <c r="AG213" s="148"/>
      <c r="AH213" s="112"/>
      <c r="AI213" s="113"/>
      <c r="AK213" s="111"/>
      <c r="AL213" s="111"/>
      <c r="AM213" s="148"/>
      <c r="AN213" s="112"/>
      <c r="AO213" s="113"/>
      <c r="AQ213" s="111"/>
      <c r="AR213" s="111"/>
      <c r="AS213" s="148"/>
      <c r="AT213" s="112"/>
      <c r="AU213" s="113"/>
      <c r="AW213" s="111"/>
      <c r="AX213" s="111"/>
      <c r="AY213" s="148"/>
      <c r="AZ213" s="112"/>
      <c r="BA213" s="113"/>
    </row>
    <row r="214" spans="1:53" ht="17.100000000000001" customHeight="1" x14ac:dyDescent="0.25">
      <c r="A214" s="40"/>
      <c r="B214" s="40"/>
      <c r="C214" s="40"/>
      <c r="D214" s="74" t="s">
        <v>637</v>
      </c>
      <c r="E214" s="542" t="s">
        <v>9</v>
      </c>
      <c r="F214" s="542"/>
      <c r="G214" s="542"/>
      <c r="H214" s="540"/>
      <c r="I214" s="235"/>
      <c r="J214" s="583"/>
      <c r="K214" s="583"/>
      <c r="L214" s="584"/>
      <c r="M214" s="17">
        <f t="shared" ref="M214:M215" si="232">SUM(J214:L214)</f>
        <v>0</v>
      </c>
      <c r="N214" s="111"/>
      <c r="O214" s="111"/>
      <c r="P214" s="111"/>
      <c r="Q214" s="111"/>
      <c r="R214" s="111"/>
      <c r="S214" s="111"/>
      <c r="T214" s="111"/>
      <c r="U214" s="111"/>
      <c r="V214" s="358"/>
      <c r="W214" s="391">
        <f t="shared" ref="W214:W215" si="233">J214+K214+N214+Q214+T214</f>
        <v>0</v>
      </c>
      <c r="X214" s="17">
        <f t="shared" ref="X214:X215" si="234">L214+O214+R214+U214</f>
        <v>0</v>
      </c>
      <c r="Y214" s="18">
        <f>SUM(W214:X214)</f>
        <v>0</v>
      </c>
      <c r="Z214" s="19">
        <f>IF(Y$217=0,0,Y214/Y$217)</f>
        <v>0</v>
      </c>
      <c r="AA214" s="19"/>
      <c r="AB214" s="19"/>
      <c r="AC214" s="20"/>
      <c r="AE214" s="17"/>
      <c r="AF214" s="17"/>
      <c r="AG214" s="17"/>
      <c r="AH214" s="18">
        <f t="shared" ref="AH214:AH215" si="235">J214</f>
        <v>0</v>
      </c>
      <c r="AI214" s="19">
        <f>IF(AH$217=0,0,AH214/AH$217)</f>
        <v>0</v>
      </c>
      <c r="AK214" s="17"/>
      <c r="AL214" s="17"/>
      <c r="AM214" s="17"/>
      <c r="AN214" s="18">
        <f t="shared" ref="AN214:AN215" si="236">K214</f>
        <v>0</v>
      </c>
      <c r="AO214" s="19">
        <f>IF(AN$217=0,0,AN214/AN$217)</f>
        <v>0</v>
      </c>
      <c r="AQ214" s="17"/>
      <c r="AR214" s="17"/>
      <c r="AS214" s="17"/>
      <c r="AT214" s="18">
        <f t="shared" ref="AT214:AT215" si="237">W214</f>
        <v>0</v>
      </c>
      <c r="AU214" s="19">
        <f>IF(AT$217=0,0,AT214/AT$217)</f>
        <v>0</v>
      </c>
      <c r="AW214" s="17"/>
      <c r="AX214" s="17"/>
      <c r="AY214" s="17"/>
      <c r="AZ214" s="18">
        <f t="shared" ref="AZ214:AZ215" si="238">X214</f>
        <v>0</v>
      </c>
      <c r="BA214" s="19">
        <f>IF(AZ$217=0,0,AZ214/AZ$217)</f>
        <v>0</v>
      </c>
    </row>
    <row r="215" spans="1:53" ht="17.100000000000001" customHeight="1" x14ac:dyDescent="0.25">
      <c r="A215" s="40"/>
      <c r="B215" s="40"/>
      <c r="C215" s="40"/>
      <c r="D215" s="74" t="s">
        <v>638</v>
      </c>
      <c r="E215" s="542" t="s">
        <v>11</v>
      </c>
      <c r="F215" s="542"/>
      <c r="G215" s="542"/>
      <c r="H215" s="540"/>
      <c r="I215" s="235"/>
      <c r="J215" s="581"/>
      <c r="K215" s="581"/>
      <c r="L215" s="582"/>
      <c r="M215" s="17">
        <f t="shared" si="232"/>
        <v>0</v>
      </c>
      <c r="N215" s="111"/>
      <c r="O215" s="111"/>
      <c r="P215" s="111"/>
      <c r="Q215" s="111"/>
      <c r="R215" s="111"/>
      <c r="S215" s="111"/>
      <c r="T215" s="111"/>
      <c r="U215" s="111"/>
      <c r="V215" s="358"/>
      <c r="W215" s="391">
        <f t="shared" si="233"/>
        <v>0</v>
      </c>
      <c r="X215" s="17">
        <f t="shared" si="234"/>
        <v>0</v>
      </c>
      <c r="Y215" s="18">
        <f>SUM(W215:X215)</f>
        <v>0</v>
      </c>
      <c r="Z215" s="19">
        <f>IF(Y$217=0,0,Y215/Y$217)</f>
        <v>0</v>
      </c>
      <c r="AA215" s="19"/>
      <c r="AB215" s="19"/>
      <c r="AC215" s="20"/>
      <c r="AE215" s="17"/>
      <c r="AF215" s="17"/>
      <c r="AG215" s="17"/>
      <c r="AH215" s="18">
        <f t="shared" si="235"/>
        <v>0</v>
      </c>
      <c r="AI215" s="19">
        <f>IF(AH$217=0,0,AH215/AH$217)</f>
        <v>0</v>
      </c>
      <c r="AK215" s="17"/>
      <c r="AL215" s="17"/>
      <c r="AM215" s="17"/>
      <c r="AN215" s="18">
        <f t="shared" si="236"/>
        <v>0</v>
      </c>
      <c r="AO215" s="19">
        <f>IF(AN$217=0,0,AN215/AN$217)</f>
        <v>0</v>
      </c>
      <c r="AQ215" s="17"/>
      <c r="AR215" s="17"/>
      <c r="AS215" s="17"/>
      <c r="AT215" s="18">
        <f t="shared" si="237"/>
        <v>0</v>
      </c>
      <c r="AU215" s="19">
        <f>IF(AT$217=0,0,AT215/AT$217)</f>
        <v>0</v>
      </c>
      <c r="AW215" s="17"/>
      <c r="AX215" s="17"/>
      <c r="AY215" s="17"/>
      <c r="AZ215" s="18">
        <f t="shared" si="238"/>
        <v>0</v>
      </c>
      <c r="BA215" s="19">
        <f>IF(AZ$217=0,0,AZ215/AZ$217)</f>
        <v>0</v>
      </c>
    </row>
    <row r="216" spans="1:53" ht="17.100000000000001" customHeight="1" x14ac:dyDescent="0.25">
      <c r="A216" s="40"/>
      <c r="B216" s="40"/>
      <c r="C216" s="40"/>
      <c r="D216" s="74" t="s">
        <v>1436</v>
      </c>
      <c r="E216" s="147" t="s">
        <v>1435</v>
      </c>
      <c r="F216" s="923"/>
      <c r="G216" s="923"/>
      <c r="H216" s="922"/>
      <c r="I216" s="235"/>
      <c r="J216" s="583"/>
      <c r="K216" s="583"/>
      <c r="L216" s="584"/>
      <c r="M216" s="17">
        <f t="shared" ref="M216" si="239">SUM(J216:L216)</f>
        <v>0</v>
      </c>
      <c r="N216" s="111"/>
      <c r="O216" s="111"/>
      <c r="P216" s="111"/>
      <c r="Q216" s="111"/>
      <c r="R216" s="111"/>
      <c r="S216" s="111"/>
      <c r="T216" s="111"/>
      <c r="U216" s="111"/>
      <c r="V216" s="358"/>
      <c r="W216" s="391">
        <f t="shared" ref="W216" si="240">J216+K216+N216+Q216+T216</f>
        <v>0</v>
      </c>
      <c r="X216" s="17">
        <f t="shared" ref="X216" si="241">L216+O216+R216+U216</f>
        <v>0</v>
      </c>
      <c r="Y216" s="18">
        <f>SUM(W216:X216)</f>
        <v>0</v>
      </c>
      <c r="Z216" s="19">
        <f>IF(Y$217=0,0,Y216/Y$217)</f>
        <v>0</v>
      </c>
      <c r="AA216" s="19"/>
      <c r="AB216" s="19"/>
      <c r="AC216" s="20"/>
      <c r="AE216" s="17"/>
      <c r="AF216" s="17"/>
      <c r="AG216" s="17"/>
      <c r="AH216" s="18">
        <f t="shared" ref="AH216" si="242">J216</f>
        <v>0</v>
      </c>
      <c r="AI216" s="19">
        <f>IF(AH$217=0,0,AH216/AH$217)</f>
        <v>0</v>
      </c>
      <c r="AK216" s="17"/>
      <c r="AL216" s="17"/>
      <c r="AM216" s="17"/>
      <c r="AN216" s="18">
        <f t="shared" ref="AN216" si="243">K216</f>
        <v>0</v>
      </c>
      <c r="AO216" s="19">
        <f>IF(AN$217=0,0,AN216/AN$217)</f>
        <v>0</v>
      </c>
      <c r="AQ216" s="17"/>
      <c r="AR216" s="17"/>
      <c r="AS216" s="17"/>
      <c r="AT216" s="18">
        <f t="shared" ref="AT216" si="244">W216</f>
        <v>0</v>
      </c>
      <c r="AU216" s="19">
        <f>IF(AT$217=0,0,AT216/AT$217)</f>
        <v>0</v>
      </c>
      <c r="AW216" s="17"/>
      <c r="AX216" s="17"/>
      <c r="AY216" s="17"/>
      <c r="AZ216" s="18">
        <f t="shared" ref="AZ216" si="245">X216</f>
        <v>0</v>
      </c>
      <c r="BA216" s="19">
        <f>IF(AZ$217=0,0,AZ216/AZ$217)</f>
        <v>0</v>
      </c>
    </row>
    <row r="217" spans="1:53" ht="17.100000000000001" customHeight="1" x14ac:dyDescent="0.25">
      <c r="A217" s="40"/>
      <c r="B217" s="40"/>
      <c r="C217" s="77"/>
      <c r="D217" s="144"/>
      <c r="E217" s="144"/>
      <c r="F217" s="145"/>
      <c r="G217" s="145"/>
      <c r="H217" s="119"/>
      <c r="I217" s="236"/>
      <c r="J217" s="80">
        <f>SUM(J214:J216)</f>
        <v>0</v>
      </c>
      <c r="K217" s="80">
        <f t="shared" ref="K217:L217" si="246">SUM(K214:K216)</f>
        <v>0</v>
      </c>
      <c r="L217" s="80">
        <f t="shared" si="246"/>
        <v>0</v>
      </c>
      <c r="M217" s="80">
        <f t="shared" ref="M217" si="247">SUM(M214:M215)</f>
        <v>0</v>
      </c>
      <c r="N217" s="81"/>
      <c r="O217" s="81"/>
      <c r="P217" s="81"/>
      <c r="Q217" s="81"/>
      <c r="R217" s="81"/>
      <c r="S217" s="81"/>
      <c r="T217" s="81"/>
      <c r="U217" s="81"/>
      <c r="V217" s="356"/>
      <c r="W217" s="381">
        <f>SUM(W214:W216)</f>
        <v>0</v>
      </c>
      <c r="X217" s="224">
        <f t="shared" ref="X217" si="248">SUM(X214:X216)</f>
        <v>0</v>
      </c>
      <c r="Y217" s="224">
        <f t="shared" ref="Y217" si="249">SUM(Y214:Y216)</f>
        <v>0</v>
      </c>
      <c r="Z217" s="205">
        <f>IF(Y$217=0,0,Y217/Y$217)</f>
        <v>0</v>
      </c>
      <c r="AA217" s="205"/>
      <c r="AB217" s="205"/>
      <c r="AC217" s="83"/>
      <c r="AE217" s="80"/>
      <c r="AF217" s="80"/>
      <c r="AG217" s="81"/>
      <c r="AH217" s="224">
        <f t="shared" ref="AH217" si="250">SUM(AH214:AH216)</f>
        <v>0</v>
      </c>
      <c r="AI217" s="66">
        <f>IF(AH$217=0,0,AH217/AH$217)</f>
        <v>0</v>
      </c>
      <c r="AK217" s="80"/>
      <c r="AL217" s="80"/>
      <c r="AM217" s="81"/>
      <c r="AN217" s="224">
        <f t="shared" ref="AN217" si="251">SUM(AN214:AN216)</f>
        <v>0</v>
      </c>
      <c r="AO217" s="66">
        <f>IF(AN$217=0,0,AN217/AN$217)</f>
        <v>0</v>
      </c>
      <c r="AQ217" s="80"/>
      <c r="AR217" s="80"/>
      <c r="AS217" s="81"/>
      <c r="AT217" s="224">
        <f t="shared" ref="AT217" si="252">SUM(AT214:AT216)</f>
        <v>0</v>
      </c>
      <c r="AU217" s="66">
        <f>IF(AT$217=0,0,AT217/AT$217)</f>
        <v>0</v>
      </c>
      <c r="AW217" s="80"/>
      <c r="AX217" s="80"/>
      <c r="AY217" s="81"/>
      <c r="AZ217" s="224">
        <f t="shared" ref="AZ217" si="253">SUM(AZ214:AZ216)</f>
        <v>0</v>
      </c>
      <c r="BA217" s="66">
        <f>IF(AZ$217=0,0,AZ217/AZ$217)</f>
        <v>0</v>
      </c>
    </row>
    <row r="218" spans="1:53" s="117" customFormat="1" ht="17.100000000000001" customHeight="1" x14ac:dyDescent="0.25">
      <c r="A218" s="68"/>
      <c r="B218" s="119"/>
      <c r="C218" s="540"/>
      <c r="D218" s="261"/>
      <c r="E218" s="261"/>
      <c r="F218" s="68"/>
      <c r="G218" s="68"/>
      <c r="H218" s="119"/>
      <c r="I218" s="138"/>
      <c r="J218" s="17" t="str">
        <f>IF(J217=J$15,"OK","NOK")</f>
        <v>OK</v>
      </c>
      <c r="K218" s="17" t="str">
        <f t="shared" ref="K218:L218" si="254">IF(K217=K$15,"OK","NOK")</f>
        <v>OK</v>
      </c>
      <c r="L218" s="17" t="str">
        <f t="shared" si="254"/>
        <v>OK</v>
      </c>
      <c r="M218" s="17"/>
      <c r="N218" s="17"/>
      <c r="O218" s="17"/>
      <c r="P218" s="17"/>
      <c r="Q218" s="17"/>
      <c r="R218" s="17"/>
      <c r="S218" s="17"/>
      <c r="T218" s="17"/>
      <c r="U218" s="17"/>
      <c r="V218" s="359"/>
      <c r="W218" s="382"/>
      <c r="X218" s="539"/>
      <c r="Y218" s="539"/>
      <c r="Z218" s="201"/>
      <c r="AA218" s="201"/>
      <c r="AB218" s="201"/>
      <c r="AC218" s="84"/>
      <c r="AE218" s="46"/>
      <c r="AF218" s="46"/>
      <c r="AG218" s="17"/>
      <c r="AH218" s="539"/>
      <c r="AI218" s="91"/>
      <c r="AK218" s="46"/>
      <c r="AL218" s="46"/>
      <c r="AM218" s="17"/>
      <c r="AN218" s="539"/>
      <c r="AO218" s="91"/>
      <c r="AQ218" s="46"/>
      <c r="AR218" s="46"/>
      <c r="AS218" s="17"/>
      <c r="AT218" s="539"/>
      <c r="AU218" s="91"/>
      <c r="AW218" s="46"/>
      <c r="AX218" s="46"/>
      <c r="AY218" s="17"/>
      <c r="AZ218" s="539"/>
      <c r="BA218" s="91"/>
    </row>
    <row r="219" spans="1:53" ht="17.100000000000001" customHeight="1" x14ac:dyDescent="0.25">
      <c r="A219" s="40"/>
      <c r="B219" s="40"/>
      <c r="C219" s="74" t="s">
        <v>639</v>
      </c>
      <c r="D219" s="542" t="s">
        <v>359</v>
      </c>
      <c r="E219" s="542"/>
      <c r="F219" s="542"/>
      <c r="G219" s="542"/>
      <c r="H219" s="243">
        <v>9</v>
      </c>
      <c r="I219" s="235"/>
      <c r="J219" s="111"/>
      <c r="K219" s="111"/>
      <c r="L219" s="111"/>
      <c r="M219" s="111"/>
      <c r="N219" s="111"/>
      <c r="O219" s="111"/>
      <c r="P219" s="111"/>
      <c r="Q219" s="111"/>
      <c r="R219" s="111"/>
      <c r="S219" s="111"/>
      <c r="T219" s="111"/>
      <c r="U219" s="111"/>
      <c r="V219" s="358"/>
      <c r="W219" s="380"/>
      <c r="X219" s="111"/>
      <c r="Y219" s="112"/>
      <c r="Z219" s="113"/>
      <c r="AA219" s="113"/>
      <c r="AB219" s="113"/>
      <c r="AC219" s="113"/>
      <c r="AE219" s="111"/>
      <c r="AF219" s="111"/>
      <c r="AG219" s="148"/>
      <c r="AH219" s="112"/>
      <c r="AI219" s="113"/>
      <c r="AK219" s="111"/>
      <c r="AL219" s="111"/>
      <c r="AM219" s="148"/>
      <c r="AN219" s="112"/>
      <c r="AO219" s="113"/>
      <c r="AQ219" s="111"/>
      <c r="AR219" s="111"/>
      <c r="AS219" s="148"/>
      <c r="AT219" s="112"/>
      <c r="AU219" s="113"/>
      <c r="AW219" s="111"/>
      <c r="AX219" s="111"/>
      <c r="AY219" s="148"/>
      <c r="AZ219" s="112"/>
      <c r="BA219" s="113"/>
    </row>
    <row r="220" spans="1:53" ht="17.100000000000001" customHeight="1" x14ac:dyDescent="0.25">
      <c r="A220" s="40"/>
      <c r="B220" s="40"/>
      <c r="C220" s="40"/>
      <c r="D220" s="74" t="s">
        <v>640</v>
      </c>
      <c r="E220" s="542" t="s">
        <v>11</v>
      </c>
      <c r="F220" s="542"/>
      <c r="G220" s="542"/>
      <c r="H220" s="540"/>
      <c r="I220" s="235"/>
      <c r="J220" s="581"/>
      <c r="K220" s="581"/>
      <c r="L220" s="582"/>
      <c r="M220" s="17">
        <f t="shared" ref="M220:M221" si="255">SUM(J220:L220)</f>
        <v>0</v>
      </c>
      <c r="N220" s="111"/>
      <c r="O220" s="111"/>
      <c r="P220" s="111"/>
      <c r="Q220" s="111"/>
      <c r="R220" s="111"/>
      <c r="S220" s="111"/>
      <c r="T220" s="111"/>
      <c r="U220" s="111"/>
      <c r="V220" s="358"/>
      <c r="W220" s="391">
        <f t="shared" ref="W220:W221" si="256">J220+K220+N220+Q220+T220</f>
        <v>0</v>
      </c>
      <c r="X220" s="17">
        <f t="shared" ref="X220:X221" si="257">L220+O220+R220+U220</f>
        <v>0</v>
      </c>
      <c r="Y220" s="18">
        <f>SUM(W220:X220)</f>
        <v>0</v>
      </c>
      <c r="Z220" s="19">
        <f>IF(Y$223=0,0,Y220/Y$223)</f>
        <v>0</v>
      </c>
      <c r="AA220" s="19"/>
      <c r="AB220" s="19"/>
      <c r="AC220" s="20"/>
      <c r="AE220" s="17"/>
      <c r="AF220" s="17"/>
      <c r="AG220" s="17"/>
      <c r="AH220" s="18">
        <f t="shared" ref="AH220:AH221" si="258">J220</f>
        <v>0</v>
      </c>
      <c r="AI220" s="19">
        <f>IF(AH$223=0,0,AH220/AH$223)</f>
        <v>0</v>
      </c>
      <c r="AK220" s="17"/>
      <c r="AL220" s="17"/>
      <c r="AM220" s="17"/>
      <c r="AN220" s="18">
        <f t="shared" ref="AN220:AN221" si="259">K220</f>
        <v>0</v>
      </c>
      <c r="AO220" s="19">
        <f>IF(AN$223=0,0,AN220/AN$223)</f>
        <v>0</v>
      </c>
      <c r="AQ220" s="17"/>
      <c r="AR220" s="17"/>
      <c r="AS220" s="17"/>
      <c r="AT220" s="18">
        <f t="shared" ref="AT220:AT221" si="260">W220</f>
        <v>0</v>
      </c>
      <c r="AU220" s="19">
        <f>IF(AT$223=0,0,AT220/AT$223)</f>
        <v>0</v>
      </c>
      <c r="AW220" s="17"/>
      <c r="AX220" s="17"/>
      <c r="AY220" s="17"/>
      <c r="AZ220" s="18">
        <f t="shared" ref="AZ220:AZ221" si="261">X220</f>
        <v>0</v>
      </c>
      <c r="BA220" s="19">
        <f>IF(AZ$223=0,0,AZ220/AZ$223)</f>
        <v>0</v>
      </c>
    </row>
    <row r="221" spans="1:53" ht="17.100000000000001" customHeight="1" x14ac:dyDescent="0.25">
      <c r="A221" s="40"/>
      <c r="B221" s="40"/>
      <c r="C221" s="40"/>
      <c r="D221" s="74" t="s">
        <v>641</v>
      </c>
      <c r="E221" s="542" t="s">
        <v>9</v>
      </c>
      <c r="F221" s="542"/>
      <c r="G221" s="542"/>
      <c r="H221" s="540"/>
      <c r="I221" s="235"/>
      <c r="J221" s="583"/>
      <c r="K221" s="583"/>
      <c r="L221" s="584"/>
      <c r="M221" s="17">
        <f t="shared" si="255"/>
        <v>0</v>
      </c>
      <c r="N221" s="111"/>
      <c r="O221" s="111"/>
      <c r="P221" s="111"/>
      <c r="Q221" s="111"/>
      <c r="R221" s="111"/>
      <c r="S221" s="111"/>
      <c r="T221" s="111"/>
      <c r="U221" s="111"/>
      <c r="V221" s="358"/>
      <c r="W221" s="391">
        <f t="shared" si="256"/>
        <v>0</v>
      </c>
      <c r="X221" s="17">
        <f t="shared" si="257"/>
        <v>0</v>
      </c>
      <c r="Y221" s="18">
        <f>SUM(W221:X221)</f>
        <v>0</v>
      </c>
      <c r="Z221" s="19">
        <f>IF(Y$223=0,0,Y221/Y$223)</f>
        <v>0</v>
      </c>
      <c r="AA221" s="19"/>
      <c r="AB221" s="19"/>
      <c r="AC221" s="20"/>
      <c r="AE221" s="17"/>
      <c r="AF221" s="17"/>
      <c r="AG221" s="17"/>
      <c r="AH221" s="18">
        <f t="shared" si="258"/>
        <v>0</v>
      </c>
      <c r="AI221" s="19">
        <f>IF(AH$223=0,0,AH221/AH$223)</f>
        <v>0</v>
      </c>
      <c r="AK221" s="17"/>
      <c r="AL221" s="17"/>
      <c r="AM221" s="17"/>
      <c r="AN221" s="18">
        <f t="shared" si="259"/>
        <v>0</v>
      </c>
      <c r="AO221" s="19">
        <f>IF(AN$223=0,0,AN221/AN$223)</f>
        <v>0</v>
      </c>
      <c r="AQ221" s="17"/>
      <c r="AR221" s="17"/>
      <c r="AS221" s="17"/>
      <c r="AT221" s="18">
        <f t="shared" si="260"/>
        <v>0</v>
      </c>
      <c r="AU221" s="19">
        <f>IF(AT$223=0,0,AT221/AT$223)</f>
        <v>0</v>
      </c>
      <c r="AW221" s="17"/>
      <c r="AX221" s="17"/>
      <c r="AY221" s="17"/>
      <c r="AZ221" s="18">
        <f t="shared" si="261"/>
        <v>0</v>
      </c>
      <c r="BA221" s="19">
        <f>IF(AZ$223=0,0,AZ221/AZ$223)</f>
        <v>0</v>
      </c>
    </row>
    <row r="222" spans="1:53" ht="17.100000000000001" customHeight="1" x14ac:dyDescent="0.25">
      <c r="A222" s="40"/>
      <c r="B222" s="40"/>
      <c r="C222" s="40"/>
      <c r="D222" s="74" t="s">
        <v>1437</v>
      </c>
      <c r="E222" s="147" t="s">
        <v>1435</v>
      </c>
      <c r="F222" s="923"/>
      <c r="G222" s="923"/>
      <c r="H222" s="922"/>
      <c r="I222" s="235"/>
      <c r="J222" s="581"/>
      <c r="K222" s="581"/>
      <c r="L222" s="582"/>
      <c r="M222" s="17">
        <f t="shared" ref="M222" si="262">SUM(J222:L222)</f>
        <v>0</v>
      </c>
      <c r="N222" s="111"/>
      <c r="O222" s="111"/>
      <c r="P222" s="111"/>
      <c r="Q222" s="111"/>
      <c r="R222" s="111"/>
      <c r="S222" s="111"/>
      <c r="T222" s="111"/>
      <c r="U222" s="111"/>
      <c r="V222" s="358"/>
      <c r="W222" s="391">
        <f t="shared" ref="W222" si="263">J222+K222+N222+Q222+T222</f>
        <v>0</v>
      </c>
      <c r="X222" s="17">
        <f t="shared" ref="X222" si="264">L222+O222+R222+U222</f>
        <v>0</v>
      </c>
      <c r="Y222" s="18">
        <f>SUM(W222:X222)</f>
        <v>0</v>
      </c>
      <c r="Z222" s="19">
        <f>IF(Y$223=0,0,Y222/Y$223)</f>
        <v>0</v>
      </c>
      <c r="AA222" s="19"/>
      <c r="AB222" s="19"/>
      <c r="AC222" s="20"/>
      <c r="AE222" s="17"/>
      <c r="AF222" s="17"/>
      <c r="AG222" s="17"/>
      <c r="AH222" s="18">
        <f t="shared" ref="AH222" si="265">J222</f>
        <v>0</v>
      </c>
      <c r="AI222" s="19">
        <f>IF(AH$223=0,0,AH222/AH$223)</f>
        <v>0</v>
      </c>
      <c r="AK222" s="17"/>
      <c r="AL222" s="17"/>
      <c r="AM222" s="17"/>
      <c r="AN222" s="18">
        <f t="shared" ref="AN222" si="266">K222</f>
        <v>0</v>
      </c>
      <c r="AO222" s="19">
        <f>IF(AN$223=0,0,AN222/AN$223)</f>
        <v>0</v>
      </c>
      <c r="AQ222" s="17"/>
      <c r="AR222" s="17"/>
      <c r="AS222" s="17"/>
      <c r="AT222" s="18">
        <f t="shared" ref="AT222" si="267">W222</f>
        <v>0</v>
      </c>
      <c r="AU222" s="19">
        <f>IF(AT$223=0,0,AT222/AT$223)</f>
        <v>0</v>
      </c>
      <c r="AW222" s="17"/>
      <c r="AX222" s="17"/>
      <c r="AY222" s="17"/>
      <c r="AZ222" s="18">
        <f t="shared" ref="AZ222" si="268">X222</f>
        <v>0</v>
      </c>
      <c r="BA222" s="19">
        <f>IF(AZ$223=0,0,AZ222/AZ$223)</f>
        <v>0</v>
      </c>
    </row>
    <row r="223" spans="1:53" ht="17.100000000000001" customHeight="1" x14ac:dyDescent="0.25">
      <c r="A223" s="40"/>
      <c r="B223" s="40"/>
      <c r="C223" s="77"/>
      <c r="D223" s="144"/>
      <c r="E223" s="144"/>
      <c r="F223" s="145"/>
      <c r="G223" s="145"/>
      <c r="H223" s="119"/>
      <c r="I223" s="236"/>
      <c r="J223" s="80">
        <f>SUM(J220:J222)</f>
        <v>0</v>
      </c>
      <c r="K223" s="80">
        <f t="shared" ref="K223" si="269">SUM(K220:K222)</f>
        <v>0</v>
      </c>
      <c r="L223" s="80">
        <f t="shared" ref="L223" si="270">SUM(L220:L222)</f>
        <v>0</v>
      </c>
      <c r="M223" s="80">
        <f t="shared" ref="M223" si="271">SUM(M220:M221)</f>
        <v>0</v>
      </c>
      <c r="N223" s="81"/>
      <c r="O223" s="81"/>
      <c r="P223" s="81"/>
      <c r="Q223" s="81"/>
      <c r="R223" s="81"/>
      <c r="S223" s="81"/>
      <c r="T223" s="81"/>
      <c r="U223" s="81"/>
      <c r="V223" s="356"/>
      <c r="W223" s="381">
        <f>SUM(W220:W222)</f>
        <v>0</v>
      </c>
      <c r="X223" s="224">
        <f t="shared" ref="X223" si="272">SUM(X220:X222)</f>
        <v>0</v>
      </c>
      <c r="Y223" s="224">
        <f t="shared" ref="Y223" si="273">SUM(Y220:Y222)</f>
        <v>0</v>
      </c>
      <c r="Z223" s="205">
        <f>IF(Y$223=0,0,Y223/Y$223)</f>
        <v>0</v>
      </c>
      <c r="AA223" s="205"/>
      <c r="AB223" s="205"/>
      <c r="AC223" s="83"/>
      <c r="AE223" s="80"/>
      <c r="AF223" s="80"/>
      <c r="AG223" s="81"/>
      <c r="AH223" s="224">
        <f t="shared" ref="AH223" si="274">SUM(AH220:AH222)</f>
        <v>0</v>
      </c>
      <c r="AI223" s="66">
        <f>IF(AH$223=0,0,AH223/AH$223)</f>
        <v>0</v>
      </c>
      <c r="AK223" s="80"/>
      <c r="AL223" s="80"/>
      <c r="AM223" s="81"/>
      <c r="AN223" s="224">
        <f t="shared" ref="AN223" si="275">SUM(AN220:AN222)</f>
        <v>0</v>
      </c>
      <c r="AO223" s="66">
        <f>IF(AN$223=0,0,AN223/AN$223)</f>
        <v>0</v>
      </c>
      <c r="AQ223" s="80"/>
      <c r="AR223" s="80"/>
      <c r="AS223" s="81"/>
      <c r="AT223" s="224">
        <f t="shared" ref="AT223" si="276">SUM(AT220:AT222)</f>
        <v>0</v>
      </c>
      <c r="AU223" s="66">
        <f>IF(AT$223=0,0,AT223/AT$223)</f>
        <v>0</v>
      </c>
      <c r="AW223" s="80"/>
      <c r="AX223" s="80"/>
      <c r="AY223" s="81"/>
      <c r="AZ223" s="224">
        <f t="shared" ref="AZ223" si="277">SUM(AZ220:AZ222)</f>
        <v>0</v>
      </c>
      <c r="BA223" s="66">
        <f>IF(AZ$223=0,0,AZ223/AZ$223)</f>
        <v>0</v>
      </c>
    </row>
    <row r="224" spans="1:53" s="117" customFormat="1" ht="17.100000000000001" customHeight="1" x14ac:dyDescent="0.25">
      <c r="A224" s="68"/>
      <c r="B224" s="119"/>
      <c r="C224" s="540"/>
      <c r="D224" s="261"/>
      <c r="E224" s="261"/>
      <c r="F224" s="68"/>
      <c r="G224" s="68"/>
      <c r="H224" s="119"/>
      <c r="I224" s="236"/>
      <c r="J224" s="17" t="str">
        <f>IF(J223=J$15,"OK","NOK")</f>
        <v>OK</v>
      </c>
      <c r="K224" s="17" t="str">
        <f t="shared" ref="K224:L224" si="278">IF(K223=K$15,"OK","NOK")</f>
        <v>OK</v>
      </c>
      <c r="L224" s="17" t="str">
        <f t="shared" si="278"/>
        <v>OK</v>
      </c>
      <c r="M224" s="17"/>
      <c r="N224" s="17"/>
      <c r="O224" s="17"/>
      <c r="P224" s="17"/>
      <c r="Q224" s="17"/>
      <c r="R224" s="17"/>
      <c r="S224" s="17"/>
      <c r="T224" s="17"/>
      <c r="U224" s="17"/>
      <c r="V224" s="359"/>
      <c r="W224" s="382"/>
      <c r="X224" s="539"/>
      <c r="Y224" s="539"/>
      <c r="Z224" s="201"/>
      <c r="AA224" s="201"/>
      <c r="AB224" s="201"/>
      <c r="AC224" s="84"/>
      <c r="AE224" s="46"/>
      <c r="AF224" s="46"/>
      <c r="AG224" s="17"/>
      <c r="AH224" s="539"/>
      <c r="AI224" s="91"/>
      <c r="AK224" s="46"/>
      <c r="AL224" s="46"/>
      <c r="AM224" s="17"/>
      <c r="AN224" s="539"/>
      <c r="AO224" s="91"/>
      <c r="AQ224" s="46"/>
      <c r="AR224" s="46"/>
      <c r="AS224" s="17"/>
      <c r="AT224" s="539"/>
      <c r="AU224" s="91"/>
      <c r="AW224" s="46"/>
      <c r="AX224" s="46"/>
      <c r="AY224" s="17"/>
      <c r="AZ224" s="539"/>
      <c r="BA224" s="91"/>
    </row>
    <row r="225" spans="1:53" ht="17.100000000000001" customHeight="1" x14ac:dyDescent="0.25">
      <c r="A225" s="333"/>
      <c r="B225" s="137"/>
      <c r="C225" s="74" t="s">
        <v>642</v>
      </c>
      <c r="D225" s="147" t="s">
        <v>425</v>
      </c>
      <c r="E225" s="105"/>
      <c r="F225" s="105"/>
      <c r="G225" s="105"/>
      <c r="H225" s="243">
        <v>15</v>
      </c>
      <c r="I225" s="236"/>
      <c r="J225" s="111"/>
      <c r="K225" s="111"/>
      <c r="L225" s="111"/>
      <c r="M225" s="111"/>
      <c r="N225" s="111"/>
      <c r="O225" s="111"/>
      <c r="P225" s="111"/>
      <c r="Q225" s="111"/>
      <c r="R225" s="111"/>
      <c r="S225" s="111"/>
      <c r="T225" s="111"/>
      <c r="U225" s="111"/>
      <c r="V225" s="358"/>
      <c r="W225" s="380"/>
      <c r="X225" s="111"/>
      <c r="Y225" s="112"/>
      <c r="Z225" s="113"/>
      <c r="AA225" s="113"/>
      <c r="AB225" s="113"/>
      <c r="AC225" s="113"/>
      <c r="AE225" s="71"/>
      <c r="AF225" s="71"/>
      <c r="AG225" s="71"/>
      <c r="AH225" s="72"/>
      <c r="AI225" s="73"/>
      <c r="AK225" s="71"/>
      <c r="AL225" s="71"/>
      <c r="AM225" s="71"/>
      <c r="AN225" s="72"/>
      <c r="AO225" s="73"/>
      <c r="AQ225" s="71"/>
      <c r="AR225" s="71"/>
      <c r="AS225" s="71"/>
      <c r="AT225" s="72"/>
      <c r="AU225" s="73"/>
      <c r="AW225" s="71"/>
      <c r="AX225" s="71"/>
      <c r="AY225" s="71"/>
      <c r="AZ225" s="72"/>
      <c r="BA225" s="73"/>
    </row>
    <row r="226" spans="1:53" ht="17.100000000000001" customHeight="1" x14ac:dyDescent="0.25">
      <c r="A226" s="137"/>
      <c r="B226" s="137"/>
      <c r="C226" s="40"/>
      <c r="D226" s="74" t="s">
        <v>643</v>
      </c>
      <c r="E226" s="542" t="s">
        <v>11</v>
      </c>
      <c r="F226" s="75"/>
      <c r="G226" s="75"/>
      <c r="H226" s="540"/>
      <c r="I226" s="236"/>
      <c r="J226" s="111"/>
      <c r="K226" s="111"/>
      <c r="L226" s="111"/>
      <c r="M226" s="111"/>
      <c r="N226" s="60"/>
      <c r="O226" s="60"/>
      <c r="P226" s="60"/>
      <c r="Q226" s="111"/>
      <c r="R226" s="111"/>
      <c r="S226" s="111"/>
      <c r="T226" s="111"/>
      <c r="U226" s="111"/>
      <c r="V226" s="358"/>
      <c r="W226" s="391">
        <f t="shared" ref="W226:W227" si="279">J226+K226+N226+Q226+T226</f>
        <v>0</v>
      </c>
      <c r="X226" s="17">
        <f t="shared" ref="X226:X227" si="280">L226+O226+R226+U226</f>
        <v>0</v>
      </c>
      <c r="Y226" s="18">
        <f>SUM(W226:X226)</f>
        <v>0</v>
      </c>
      <c r="Z226" s="19">
        <f>IF(Y$228=0,0,Y226/Y$228)</f>
        <v>0</v>
      </c>
      <c r="AA226" s="19"/>
      <c r="AB226" s="19"/>
      <c r="AC226" s="20"/>
      <c r="AE226" s="17"/>
      <c r="AF226" s="17"/>
      <c r="AG226" s="17"/>
      <c r="AH226" s="18">
        <f>W226</f>
        <v>0</v>
      </c>
      <c r="AI226" s="19">
        <f>IF(AH$228=0,0,AH226/AH$228)</f>
        <v>0</v>
      </c>
      <c r="AK226" s="17"/>
      <c r="AL226" s="17"/>
      <c r="AM226" s="17"/>
      <c r="AN226" s="18" t="e">
        <f>#REF!</f>
        <v>#REF!</v>
      </c>
      <c r="AO226" s="19" t="e">
        <f>IF(AN$228=0,0,AN226/AN$228)</f>
        <v>#REF!</v>
      </c>
      <c r="AQ226" s="17"/>
      <c r="AR226" s="17"/>
      <c r="AS226" s="17"/>
      <c r="AT226" s="18"/>
      <c r="AU226" s="19"/>
      <c r="AW226" s="17"/>
      <c r="AX226" s="17"/>
      <c r="AY226" s="17"/>
      <c r="AZ226" s="18">
        <f>X226</f>
        <v>0</v>
      </c>
      <c r="BA226" s="19">
        <f>IF(AZ$228=0,0,AZ226/AZ$228)</f>
        <v>0</v>
      </c>
    </row>
    <row r="227" spans="1:53" ht="17.100000000000001" customHeight="1" x14ac:dyDescent="0.25">
      <c r="A227" s="137"/>
      <c r="B227" s="137"/>
      <c r="C227" s="40"/>
      <c r="D227" s="74" t="s">
        <v>644</v>
      </c>
      <c r="E227" s="542" t="s">
        <v>9</v>
      </c>
      <c r="F227" s="75"/>
      <c r="G227" s="75"/>
      <c r="H227" s="540"/>
      <c r="I227" s="229"/>
      <c r="J227" s="111"/>
      <c r="K227" s="111"/>
      <c r="L227" s="111"/>
      <c r="M227" s="111"/>
      <c r="N227" s="61"/>
      <c r="O227" s="61"/>
      <c r="P227" s="61"/>
      <c r="Q227" s="111"/>
      <c r="R227" s="111"/>
      <c r="S227" s="111"/>
      <c r="T227" s="111"/>
      <c r="U227" s="111"/>
      <c r="V227" s="358"/>
      <c r="W227" s="391">
        <f t="shared" si="279"/>
        <v>0</v>
      </c>
      <c r="X227" s="17">
        <f t="shared" si="280"/>
        <v>0</v>
      </c>
      <c r="Y227" s="18">
        <f>SUM(W227:X227)</f>
        <v>0</v>
      </c>
      <c r="Z227" s="19">
        <f>IF(Y$228=0,0,Y227/Y$228)</f>
        <v>0</v>
      </c>
      <c r="AA227" s="19"/>
      <c r="AB227" s="19"/>
      <c r="AC227" s="20"/>
      <c r="AE227" s="17"/>
      <c r="AF227" s="17"/>
      <c r="AG227" s="17"/>
      <c r="AH227" s="18">
        <f>W227</f>
        <v>0</v>
      </c>
      <c r="AI227" s="19">
        <f>IF(AH$228=0,0,AH227/AH$228)</f>
        <v>0</v>
      </c>
      <c r="AK227" s="17"/>
      <c r="AL227" s="17"/>
      <c r="AM227" s="17"/>
      <c r="AN227" s="18" t="e">
        <f>#REF!</f>
        <v>#REF!</v>
      </c>
      <c r="AO227" s="19" t="e">
        <f>IF(AN$228=0,0,AN227/AN$228)</f>
        <v>#REF!</v>
      </c>
      <c r="AQ227" s="17"/>
      <c r="AR227" s="17"/>
      <c r="AS227" s="17"/>
      <c r="AT227" s="18"/>
      <c r="AU227" s="19"/>
      <c r="AW227" s="17"/>
      <c r="AX227" s="17"/>
      <c r="AY227" s="17"/>
      <c r="AZ227" s="18">
        <f>X227</f>
        <v>0</v>
      </c>
      <c r="BA227" s="19">
        <f>IF(AZ$228=0,0,AZ227/AZ$228)</f>
        <v>0</v>
      </c>
    </row>
    <row r="228" spans="1:53" ht="17.100000000000001" customHeight="1" x14ac:dyDescent="0.25">
      <c r="A228" s="137"/>
      <c r="B228" s="137"/>
      <c r="C228" s="77"/>
      <c r="D228" s="144"/>
      <c r="E228" s="144"/>
      <c r="F228" s="145"/>
      <c r="G228" s="145"/>
      <c r="H228" s="119"/>
      <c r="I228" s="236"/>
      <c r="J228" s="64"/>
      <c r="K228" s="80"/>
      <c r="L228" s="81"/>
      <c r="M228" s="81"/>
      <c r="N228" s="81"/>
      <c r="O228" s="81"/>
      <c r="P228" s="81"/>
      <c r="Q228" s="81"/>
      <c r="R228" s="81"/>
      <c r="S228" s="81"/>
      <c r="T228" s="81"/>
      <c r="U228" s="81"/>
      <c r="V228" s="356"/>
      <c r="W228" s="381">
        <f>SUM(W226:W227)</f>
        <v>0</v>
      </c>
      <c r="X228" s="82">
        <f t="shared" ref="X228:Y228" si="281">SUM(X226:X227)</f>
        <v>0</v>
      </c>
      <c r="Y228" s="82">
        <f t="shared" si="281"/>
        <v>0</v>
      </c>
      <c r="Z228" s="205">
        <f>IF(Y$228=0,0,Y228/Y$228)</f>
        <v>0</v>
      </c>
      <c r="AA228" s="205"/>
      <c r="AB228" s="205"/>
      <c r="AC228" s="83"/>
      <c r="AE228" s="80"/>
      <c r="AF228" s="80"/>
      <c r="AG228" s="81"/>
      <c r="AH228" s="82">
        <f>SUM(AH226:AH227)</f>
        <v>0</v>
      </c>
      <c r="AI228" s="66">
        <f>IF(AH$228=0,0,AH228/AH$228)</f>
        <v>0</v>
      </c>
      <c r="AK228" s="80"/>
      <c r="AL228" s="80"/>
      <c r="AM228" s="81"/>
      <c r="AN228" s="82" t="e">
        <f>SUM(AN226:AN227)</f>
        <v>#REF!</v>
      </c>
      <c r="AO228" s="66" t="e">
        <f>IF(AN$228=0,0,AN228/AN$228)</f>
        <v>#REF!</v>
      </c>
      <c r="AQ228" s="80"/>
      <c r="AR228" s="80"/>
      <c r="AS228" s="81"/>
      <c r="AT228" s="82"/>
      <c r="AU228" s="66"/>
      <c r="AW228" s="80"/>
      <c r="AX228" s="80"/>
      <c r="AY228" s="81"/>
      <c r="AZ228" s="82">
        <f>SUM(AZ226:AZ227)</f>
        <v>0</v>
      </c>
      <c r="BA228" s="66">
        <f>IF(AZ$228=0,0,AZ228/AZ$228)</f>
        <v>0</v>
      </c>
    </row>
    <row r="229" spans="1:53" s="117" customFormat="1" ht="17.100000000000001" customHeight="1" x14ac:dyDescent="0.25">
      <c r="A229" s="68"/>
      <c r="B229" s="119"/>
      <c r="C229" s="540"/>
      <c r="D229" s="261"/>
      <c r="E229" s="261"/>
      <c r="F229" s="68"/>
      <c r="G229" s="68"/>
      <c r="H229" s="119"/>
      <c r="I229" s="138"/>
      <c r="J229" s="17" t="str">
        <f>IF(J228=J$15,"OK","NOK")</f>
        <v>OK</v>
      </c>
      <c r="K229" s="17" t="str">
        <f t="shared" ref="K229:L229" si="282">IF(K228=K$15,"OK","NOK")</f>
        <v>OK</v>
      </c>
      <c r="L229" s="17" t="str">
        <f t="shared" si="282"/>
        <v>OK</v>
      </c>
      <c r="M229" s="17"/>
      <c r="N229" s="17"/>
      <c r="O229" s="17"/>
      <c r="P229" s="17"/>
      <c r="Q229" s="17"/>
      <c r="R229" s="17"/>
      <c r="S229" s="17"/>
      <c r="T229" s="17"/>
      <c r="U229" s="17"/>
      <c r="V229" s="359"/>
      <c r="W229" s="382"/>
      <c r="X229" s="539"/>
      <c r="Y229" s="539"/>
      <c r="Z229" s="201"/>
      <c r="AA229" s="201"/>
      <c r="AB229" s="201"/>
      <c r="AC229" s="84"/>
      <c r="AE229" s="46"/>
      <c r="AF229" s="46"/>
      <c r="AG229" s="17"/>
      <c r="AH229" s="539"/>
      <c r="AI229" s="91"/>
      <c r="AK229" s="46"/>
      <c r="AL229" s="46"/>
      <c r="AM229" s="17"/>
      <c r="AN229" s="539"/>
      <c r="AO229" s="91"/>
      <c r="AQ229" s="46"/>
      <c r="AR229" s="46"/>
      <c r="AS229" s="17"/>
      <c r="AT229" s="539"/>
      <c r="AU229" s="91"/>
      <c r="AW229" s="46"/>
      <c r="AX229" s="46"/>
      <c r="AY229" s="17"/>
      <c r="AZ229" s="539"/>
      <c r="BA229" s="91"/>
    </row>
    <row r="230" spans="1:53" ht="17.100000000000001" customHeight="1" x14ac:dyDescent="0.25">
      <c r="A230" s="68"/>
      <c r="B230" s="40"/>
      <c r="C230" s="74" t="s">
        <v>645</v>
      </c>
      <c r="D230" s="147" t="s">
        <v>524</v>
      </c>
      <c r="E230" s="105"/>
      <c r="F230" s="105"/>
      <c r="G230" s="105"/>
      <c r="H230" s="243">
        <v>136</v>
      </c>
      <c r="J230" s="111"/>
      <c r="K230" s="111"/>
      <c r="L230" s="111"/>
      <c r="M230" s="111"/>
      <c r="N230" s="111"/>
      <c r="O230" s="111"/>
      <c r="P230" s="111"/>
      <c r="Q230" s="111"/>
      <c r="R230" s="111"/>
      <c r="S230" s="111"/>
      <c r="T230" s="111"/>
      <c r="U230" s="111"/>
      <c r="V230" s="358"/>
      <c r="W230" s="380"/>
      <c r="X230" s="111"/>
      <c r="Y230" s="112"/>
      <c r="Z230" s="113"/>
      <c r="AA230" s="113"/>
      <c r="AB230" s="113"/>
      <c r="AC230" s="113"/>
      <c r="AE230" s="71"/>
      <c r="AF230" s="71"/>
      <c r="AG230" s="71"/>
      <c r="AH230" s="72"/>
      <c r="AI230" s="73"/>
      <c r="AK230" s="71"/>
      <c r="AL230" s="71"/>
      <c r="AM230" s="71"/>
      <c r="AN230" s="72"/>
      <c r="AO230" s="73"/>
      <c r="AQ230" s="71"/>
      <c r="AR230" s="71"/>
      <c r="AS230" s="71"/>
      <c r="AT230" s="72"/>
      <c r="AU230" s="73"/>
      <c r="AW230" s="71"/>
      <c r="AX230" s="71"/>
      <c r="AY230" s="71"/>
      <c r="AZ230" s="72"/>
      <c r="BA230" s="73"/>
    </row>
    <row r="231" spans="1:53" ht="17.100000000000001" customHeight="1" x14ac:dyDescent="0.25">
      <c r="A231" s="40"/>
      <c r="B231" s="40"/>
      <c r="C231" s="137"/>
      <c r="D231" s="74" t="s">
        <v>646</v>
      </c>
      <c r="E231" s="542" t="s">
        <v>523</v>
      </c>
      <c r="F231" s="75"/>
      <c r="G231" s="75"/>
      <c r="H231" s="540"/>
      <c r="I231" s="229"/>
      <c r="J231" s="581"/>
      <c r="K231" s="581"/>
      <c r="L231" s="582"/>
      <c r="M231" s="17">
        <f t="shared" ref="M231:M235" si="283">SUM(J231:L231)</f>
        <v>0</v>
      </c>
      <c r="N231" s="111"/>
      <c r="O231" s="111"/>
      <c r="P231" s="111"/>
      <c r="Q231" s="111"/>
      <c r="R231" s="111"/>
      <c r="S231" s="111"/>
      <c r="T231" s="111"/>
      <c r="U231" s="111"/>
      <c r="V231" s="358"/>
      <c r="W231" s="391">
        <f t="shared" ref="W231:W235" si="284">J231+K231+N231+Q231+T231</f>
        <v>0</v>
      </c>
      <c r="X231" s="17">
        <f t="shared" ref="X231:X235" si="285">L231+O231+R231+U231</f>
        <v>0</v>
      </c>
      <c r="Y231" s="18">
        <f>SUM(W231:X231)</f>
        <v>0</v>
      </c>
      <c r="Z231" s="19">
        <f>IF(Y$236=0,0,Y231/Y$236)</f>
        <v>0</v>
      </c>
      <c r="AA231" s="19"/>
      <c r="AB231" s="19"/>
      <c r="AC231" s="84"/>
      <c r="AE231" s="17"/>
      <c r="AF231" s="17"/>
      <c r="AG231" s="17"/>
      <c r="AH231" s="18">
        <f t="shared" ref="AH231:AH235" si="286">J231</f>
        <v>0</v>
      </c>
      <c r="AI231" s="19">
        <f>IF(AH$236=0,0,AH231/AH$236)</f>
        <v>0</v>
      </c>
      <c r="AK231" s="17"/>
      <c r="AL231" s="17"/>
      <c r="AM231" s="17"/>
      <c r="AN231" s="18">
        <f t="shared" ref="AN231:AN235" si="287">K231</f>
        <v>0</v>
      </c>
      <c r="AO231" s="19">
        <f>IF(AN$236=0,0,AN231/AN$236)</f>
        <v>0</v>
      </c>
      <c r="AQ231" s="17"/>
      <c r="AR231" s="17"/>
      <c r="AS231" s="17"/>
      <c r="AT231" s="18">
        <f t="shared" ref="AT231:AT235" si="288">W231</f>
        <v>0</v>
      </c>
      <c r="AU231" s="19">
        <f>IF(AT$236=0,0,AT231/AT$236)</f>
        <v>0</v>
      </c>
      <c r="AW231" s="17"/>
      <c r="AX231" s="17"/>
      <c r="AY231" s="17"/>
      <c r="AZ231" s="18">
        <f t="shared" ref="AZ231:AZ235" si="289">X231</f>
        <v>0</v>
      </c>
      <c r="BA231" s="19">
        <f>IF(AZ$236=0,0,AZ231/AZ$236)</f>
        <v>0</v>
      </c>
    </row>
    <row r="232" spans="1:53" ht="17.100000000000001" customHeight="1" x14ac:dyDescent="0.25">
      <c r="A232" s="40"/>
      <c r="B232" s="248"/>
      <c r="C232" s="251"/>
      <c r="D232" s="74" t="s">
        <v>647</v>
      </c>
      <c r="E232" s="542" t="s">
        <v>525</v>
      </c>
      <c r="F232" s="75"/>
      <c r="G232" s="75"/>
      <c r="H232" s="540"/>
      <c r="I232" s="229"/>
      <c r="J232" s="583"/>
      <c r="K232" s="583"/>
      <c r="L232" s="584"/>
      <c r="M232" s="17">
        <f t="shared" si="283"/>
        <v>0</v>
      </c>
      <c r="N232" s="111"/>
      <c r="O232" s="111"/>
      <c r="P232" s="111"/>
      <c r="Q232" s="111"/>
      <c r="R232" s="111"/>
      <c r="S232" s="111"/>
      <c r="T232" s="111"/>
      <c r="U232" s="111"/>
      <c r="V232" s="358"/>
      <c r="W232" s="391">
        <f t="shared" si="284"/>
        <v>0</v>
      </c>
      <c r="X232" s="17">
        <f t="shared" si="285"/>
        <v>0</v>
      </c>
      <c r="Y232" s="18">
        <f>SUM(W232:X232)</f>
        <v>0</v>
      </c>
      <c r="Z232" s="19">
        <f t="shared" ref="Z232:Z236" si="290">IF(Y$236=0,0,Y232/Y$236)</f>
        <v>0</v>
      </c>
      <c r="AA232" s="19"/>
      <c r="AB232" s="19"/>
      <c r="AC232" s="84"/>
      <c r="AE232" s="17"/>
      <c r="AF232" s="17"/>
      <c r="AG232" s="17"/>
      <c r="AH232" s="18">
        <f t="shared" si="286"/>
        <v>0</v>
      </c>
      <c r="AI232" s="19">
        <f t="shared" ref="AI232:AI236" si="291">IF(AH$236=0,0,AH232/AH$236)</f>
        <v>0</v>
      </c>
      <c r="AK232" s="17"/>
      <c r="AL232" s="17"/>
      <c r="AM232" s="17"/>
      <c r="AN232" s="18">
        <f t="shared" si="287"/>
        <v>0</v>
      </c>
      <c r="AO232" s="19">
        <f t="shared" ref="AO232:AO236" si="292">IF(AN$236=0,0,AN232/AN$236)</f>
        <v>0</v>
      </c>
      <c r="AQ232" s="17"/>
      <c r="AR232" s="17"/>
      <c r="AS232" s="17"/>
      <c r="AT232" s="18">
        <f t="shared" si="288"/>
        <v>0</v>
      </c>
      <c r="AU232" s="19">
        <f t="shared" ref="AU232:AU236" si="293">IF(AT$236=0,0,AT232/AT$236)</f>
        <v>0</v>
      </c>
      <c r="AW232" s="17"/>
      <c r="AX232" s="17"/>
      <c r="AY232" s="17"/>
      <c r="AZ232" s="18">
        <f t="shared" si="289"/>
        <v>0</v>
      </c>
      <c r="BA232" s="19">
        <f t="shared" ref="BA232:BA236" si="294">IF(AZ$236=0,0,AZ232/AZ$236)</f>
        <v>0</v>
      </c>
    </row>
    <row r="233" spans="1:53" ht="17.100000000000001" customHeight="1" x14ac:dyDescent="0.25">
      <c r="A233" s="175"/>
      <c r="B233" s="248"/>
      <c r="C233" s="222"/>
      <c r="D233" s="74" t="s">
        <v>648</v>
      </c>
      <c r="E233" s="542" t="s">
        <v>526</v>
      </c>
      <c r="F233" s="151"/>
      <c r="G233" s="151"/>
      <c r="H233" s="119"/>
      <c r="I233" s="138"/>
      <c r="J233" s="581"/>
      <c r="K233" s="581"/>
      <c r="L233" s="582"/>
      <c r="M233" s="17">
        <f t="shared" si="283"/>
        <v>0</v>
      </c>
      <c r="N233" s="111"/>
      <c r="O233" s="111"/>
      <c r="P233" s="111"/>
      <c r="Q233" s="111"/>
      <c r="R233" s="111"/>
      <c r="S233" s="111"/>
      <c r="T233" s="111"/>
      <c r="U233" s="111"/>
      <c r="V233" s="358"/>
      <c r="W233" s="391">
        <f t="shared" si="284"/>
        <v>0</v>
      </c>
      <c r="X233" s="17">
        <f t="shared" si="285"/>
        <v>0</v>
      </c>
      <c r="Y233" s="18">
        <f>SUM(W233:X233)</f>
        <v>0</v>
      </c>
      <c r="Z233" s="19">
        <f t="shared" si="290"/>
        <v>0</v>
      </c>
      <c r="AA233" s="19"/>
      <c r="AB233" s="19"/>
      <c r="AC233" s="84"/>
      <c r="AE233" s="17"/>
      <c r="AF233" s="17"/>
      <c r="AG233" s="17"/>
      <c r="AH233" s="18">
        <f t="shared" si="286"/>
        <v>0</v>
      </c>
      <c r="AI233" s="19">
        <f t="shared" si="291"/>
        <v>0</v>
      </c>
      <c r="AK233" s="17"/>
      <c r="AL233" s="17"/>
      <c r="AM233" s="17"/>
      <c r="AN233" s="18">
        <f t="shared" si="287"/>
        <v>0</v>
      </c>
      <c r="AO233" s="19">
        <f t="shared" si="292"/>
        <v>0</v>
      </c>
      <c r="AQ233" s="17"/>
      <c r="AR233" s="17"/>
      <c r="AS233" s="17"/>
      <c r="AT233" s="18">
        <f t="shared" si="288"/>
        <v>0</v>
      </c>
      <c r="AU233" s="19">
        <f t="shared" si="293"/>
        <v>0</v>
      </c>
      <c r="AW233" s="17"/>
      <c r="AX233" s="17"/>
      <c r="AY233" s="17"/>
      <c r="AZ233" s="18">
        <f t="shared" si="289"/>
        <v>0</v>
      </c>
      <c r="BA233" s="19">
        <f t="shared" si="294"/>
        <v>0</v>
      </c>
    </row>
    <row r="234" spans="1:53" ht="17.100000000000001" customHeight="1" x14ac:dyDescent="0.25">
      <c r="A234" s="68"/>
      <c r="B234" s="249"/>
      <c r="C234" s="157"/>
      <c r="D234" s="74" t="s">
        <v>649</v>
      </c>
      <c r="E234" s="542" t="s">
        <v>527</v>
      </c>
      <c r="F234" s="105"/>
      <c r="G234" s="105"/>
      <c r="H234" s="119"/>
      <c r="J234" s="583"/>
      <c r="K234" s="583"/>
      <c r="L234" s="584"/>
      <c r="M234" s="17">
        <f t="shared" si="283"/>
        <v>0</v>
      </c>
      <c r="N234" s="111"/>
      <c r="O234" s="111"/>
      <c r="P234" s="111"/>
      <c r="Q234" s="111"/>
      <c r="R234" s="111"/>
      <c r="S234" s="111"/>
      <c r="T234" s="111"/>
      <c r="U234" s="111"/>
      <c r="V234" s="358"/>
      <c r="W234" s="391">
        <f t="shared" si="284"/>
        <v>0</v>
      </c>
      <c r="X234" s="17">
        <f t="shared" si="285"/>
        <v>0</v>
      </c>
      <c r="Y234" s="18">
        <f>SUM(W234:X234)</f>
        <v>0</v>
      </c>
      <c r="Z234" s="19">
        <f t="shared" si="290"/>
        <v>0</v>
      </c>
      <c r="AA234" s="19"/>
      <c r="AB234" s="19"/>
      <c r="AC234" s="84"/>
      <c r="AE234" s="17"/>
      <c r="AF234" s="17"/>
      <c r="AG234" s="17"/>
      <c r="AH234" s="18">
        <f t="shared" si="286"/>
        <v>0</v>
      </c>
      <c r="AI234" s="19">
        <f t="shared" si="291"/>
        <v>0</v>
      </c>
      <c r="AK234" s="17"/>
      <c r="AL234" s="17"/>
      <c r="AM234" s="17"/>
      <c r="AN234" s="18">
        <f t="shared" si="287"/>
        <v>0</v>
      </c>
      <c r="AO234" s="19">
        <f t="shared" si="292"/>
        <v>0</v>
      </c>
      <c r="AQ234" s="17"/>
      <c r="AR234" s="17"/>
      <c r="AS234" s="17"/>
      <c r="AT234" s="18">
        <f t="shared" si="288"/>
        <v>0</v>
      </c>
      <c r="AU234" s="19">
        <f t="shared" si="293"/>
        <v>0</v>
      </c>
      <c r="AW234" s="17"/>
      <c r="AX234" s="17"/>
      <c r="AY234" s="17"/>
      <c r="AZ234" s="18">
        <f t="shared" si="289"/>
        <v>0</v>
      </c>
      <c r="BA234" s="19">
        <f t="shared" si="294"/>
        <v>0</v>
      </c>
    </row>
    <row r="235" spans="1:53" ht="17.100000000000001" customHeight="1" x14ac:dyDescent="0.25">
      <c r="A235" s="40"/>
      <c r="B235" s="248"/>
      <c r="C235" s="250"/>
      <c r="D235" s="74" t="s">
        <v>650</v>
      </c>
      <c r="E235" s="542" t="s">
        <v>528</v>
      </c>
      <c r="F235" s="75"/>
      <c r="G235" s="75"/>
      <c r="H235" s="540"/>
      <c r="I235" s="229"/>
      <c r="J235" s="581"/>
      <c r="K235" s="581"/>
      <c r="L235" s="582"/>
      <c r="M235" s="17">
        <f t="shared" si="283"/>
        <v>0</v>
      </c>
      <c r="N235" s="111"/>
      <c r="O235" s="111"/>
      <c r="P235" s="111"/>
      <c r="Q235" s="111"/>
      <c r="R235" s="111"/>
      <c r="S235" s="111"/>
      <c r="T235" s="111"/>
      <c r="U235" s="111"/>
      <c r="V235" s="358"/>
      <c r="W235" s="391">
        <f t="shared" si="284"/>
        <v>0</v>
      </c>
      <c r="X235" s="17">
        <f t="shared" si="285"/>
        <v>0</v>
      </c>
      <c r="Y235" s="18">
        <f>SUM(W235:X235)</f>
        <v>0</v>
      </c>
      <c r="Z235" s="19">
        <f t="shared" si="290"/>
        <v>0</v>
      </c>
      <c r="AA235" s="19"/>
      <c r="AB235" s="19"/>
      <c r="AC235" s="84"/>
      <c r="AE235" s="17"/>
      <c r="AF235" s="17"/>
      <c r="AG235" s="17"/>
      <c r="AH235" s="18">
        <f t="shared" si="286"/>
        <v>0</v>
      </c>
      <c r="AI235" s="19">
        <f t="shared" si="291"/>
        <v>0</v>
      </c>
      <c r="AK235" s="17"/>
      <c r="AL235" s="17"/>
      <c r="AM235" s="17"/>
      <c r="AN235" s="18">
        <f t="shared" si="287"/>
        <v>0</v>
      </c>
      <c r="AO235" s="19">
        <f t="shared" si="292"/>
        <v>0</v>
      </c>
      <c r="AQ235" s="17"/>
      <c r="AR235" s="17"/>
      <c r="AS235" s="17"/>
      <c r="AT235" s="18">
        <f t="shared" si="288"/>
        <v>0</v>
      </c>
      <c r="AU235" s="19">
        <f t="shared" si="293"/>
        <v>0</v>
      </c>
      <c r="AW235" s="17"/>
      <c r="AX235" s="17"/>
      <c r="AY235" s="17"/>
      <c r="AZ235" s="18">
        <f t="shared" si="289"/>
        <v>0</v>
      </c>
      <c r="BA235" s="19">
        <f t="shared" si="294"/>
        <v>0</v>
      </c>
    </row>
    <row r="236" spans="1:53" ht="17.100000000000001" customHeight="1" x14ac:dyDescent="0.25">
      <c r="A236" s="40"/>
      <c r="B236" s="40"/>
      <c r="C236" s="77"/>
      <c r="D236" s="144"/>
      <c r="E236" s="144"/>
      <c r="F236" s="145"/>
      <c r="G236" s="145"/>
      <c r="H236" s="119"/>
      <c r="I236" s="236"/>
      <c r="J236" s="64">
        <f>SUM(J231:J235)</f>
        <v>0</v>
      </c>
      <c r="K236" s="64">
        <f t="shared" ref="K236:M236" si="295">SUM(K231:K235)</f>
        <v>0</v>
      </c>
      <c r="L236" s="64">
        <f t="shared" si="295"/>
        <v>0</v>
      </c>
      <c r="M236" s="64">
        <f t="shared" si="295"/>
        <v>0</v>
      </c>
      <c r="N236" s="81"/>
      <c r="O236" s="81"/>
      <c r="P236" s="81"/>
      <c r="Q236" s="81"/>
      <c r="R236" s="81"/>
      <c r="S236" s="81"/>
      <c r="T236" s="81"/>
      <c r="U236" s="81"/>
      <c r="V236" s="356"/>
      <c r="W236" s="381">
        <f>SUM(W231:W235)</f>
        <v>0</v>
      </c>
      <c r="X236" s="82">
        <f t="shared" ref="X236:Y236" si="296">SUM(X231:X235)</f>
        <v>0</v>
      </c>
      <c r="Y236" s="82">
        <f t="shared" si="296"/>
        <v>0</v>
      </c>
      <c r="Z236" s="205">
        <f t="shared" si="290"/>
        <v>0</v>
      </c>
      <c r="AA236" s="205"/>
      <c r="AB236" s="205"/>
      <c r="AC236" s="83"/>
      <c r="AE236" s="80"/>
      <c r="AF236" s="80"/>
      <c r="AG236" s="81"/>
      <c r="AH236" s="82">
        <f>SUM(AH231:AH235)</f>
        <v>0</v>
      </c>
      <c r="AI236" s="66">
        <f t="shared" si="291"/>
        <v>0</v>
      </c>
      <c r="AK236" s="80"/>
      <c r="AL236" s="80"/>
      <c r="AM236" s="81"/>
      <c r="AN236" s="82">
        <f>SUM(AN231:AN235)</f>
        <v>0</v>
      </c>
      <c r="AO236" s="66">
        <f t="shared" si="292"/>
        <v>0</v>
      </c>
      <c r="AQ236" s="80"/>
      <c r="AR236" s="80"/>
      <c r="AS236" s="81"/>
      <c r="AT236" s="82">
        <f>SUM(AT231:AT235)</f>
        <v>0</v>
      </c>
      <c r="AU236" s="66">
        <f t="shared" si="293"/>
        <v>0</v>
      </c>
      <c r="AW236" s="80"/>
      <c r="AX236" s="80"/>
      <c r="AY236" s="81"/>
      <c r="AZ236" s="82">
        <f>SUM(AZ231:AZ235)</f>
        <v>0</v>
      </c>
      <c r="BA236" s="66">
        <f t="shared" si="294"/>
        <v>0</v>
      </c>
    </row>
    <row r="237" spans="1:53" s="117" customFormat="1" ht="17.100000000000001" customHeight="1" x14ac:dyDescent="0.25">
      <c r="A237" s="68"/>
      <c r="B237" s="119"/>
      <c r="C237" s="540"/>
      <c r="D237" s="261"/>
      <c r="E237" s="261"/>
      <c r="F237" s="68"/>
      <c r="G237" s="68"/>
      <c r="H237" s="119"/>
      <c r="I237" s="138"/>
      <c r="J237" s="17" t="str">
        <f>IF(J236=J$15,"OK","NOK")</f>
        <v>OK</v>
      </c>
      <c r="K237" s="17" t="str">
        <f t="shared" ref="K237:L237" si="297">IF(K236=K$15,"OK","NOK")</f>
        <v>OK</v>
      </c>
      <c r="L237" s="17" t="str">
        <f t="shared" si="297"/>
        <v>OK</v>
      </c>
      <c r="M237" s="17"/>
      <c r="N237" s="17"/>
      <c r="O237" s="17"/>
      <c r="P237" s="17"/>
      <c r="Q237" s="17"/>
      <c r="R237" s="17"/>
      <c r="S237" s="17"/>
      <c r="T237" s="17"/>
      <c r="U237" s="17"/>
      <c r="V237" s="359"/>
      <c r="W237" s="382"/>
      <c r="X237" s="539"/>
      <c r="Y237" s="539"/>
      <c r="Z237" s="201"/>
      <c r="AA237" s="201"/>
      <c r="AB237" s="201"/>
      <c r="AC237" s="84"/>
      <c r="AE237" s="46"/>
      <c r="AF237" s="46"/>
      <c r="AG237" s="17"/>
      <c r="AH237" s="539"/>
      <c r="AI237" s="91"/>
      <c r="AK237" s="46"/>
      <c r="AL237" s="46"/>
      <c r="AM237" s="17"/>
      <c r="AN237" s="539"/>
      <c r="AO237" s="91"/>
      <c r="AQ237" s="46"/>
      <c r="AR237" s="46"/>
      <c r="AS237" s="17"/>
      <c r="AT237" s="539"/>
      <c r="AU237" s="91"/>
      <c r="AW237" s="46"/>
      <c r="AX237" s="46"/>
      <c r="AY237" s="17"/>
      <c r="AZ237" s="539"/>
      <c r="BA237" s="91"/>
    </row>
    <row r="238" spans="1:53" ht="17.100000000000001" customHeight="1" x14ac:dyDescent="0.25">
      <c r="A238" s="68"/>
      <c r="B238" s="40"/>
      <c r="C238" s="74" t="s">
        <v>651</v>
      </c>
      <c r="D238" s="147" t="s">
        <v>529</v>
      </c>
      <c r="E238" s="105"/>
      <c r="F238" s="105"/>
      <c r="G238" s="105"/>
      <c r="H238" s="243">
        <v>145</v>
      </c>
      <c r="J238" s="111"/>
      <c r="K238" s="111"/>
      <c r="L238" s="111"/>
      <c r="M238" s="111"/>
      <c r="N238" s="111"/>
      <c r="O238" s="111"/>
      <c r="P238" s="111"/>
      <c r="Q238" s="111"/>
      <c r="R238" s="111"/>
      <c r="S238" s="111"/>
      <c r="T238" s="111"/>
      <c r="U238" s="111"/>
      <c r="V238" s="358"/>
      <c r="W238" s="380"/>
      <c r="X238" s="111"/>
      <c r="Y238" s="112"/>
      <c r="Z238" s="113"/>
      <c r="AA238" s="113"/>
      <c r="AB238" s="113"/>
      <c r="AC238" s="113"/>
      <c r="AE238" s="71"/>
      <c r="AF238" s="71"/>
      <c r="AG238" s="71"/>
      <c r="AH238" s="72"/>
      <c r="AI238" s="73"/>
      <c r="AK238" s="71"/>
      <c r="AL238" s="71"/>
      <c r="AM238" s="71"/>
      <c r="AN238" s="72"/>
      <c r="AO238" s="73"/>
      <c r="AQ238" s="71"/>
      <c r="AR238" s="71"/>
      <c r="AS238" s="71"/>
      <c r="AT238" s="72"/>
      <c r="AU238" s="73"/>
      <c r="AW238" s="71"/>
      <c r="AX238" s="71"/>
      <c r="AY238" s="71"/>
      <c r="AZ238" s="72"/>
      <c r="BA238" s="73"/>
    </row>
    <row r="239" spans="1:53" ht="17.100000000000001" customHeight="1" x14ac:dyDescent="0.25">
      <c r="A239" s="40"/>
      <c r="B239" s="40"/>
      <c r="C239" s="137"/>
      <c r="D239" s="74" t="s">
        <v>652</v>
      </c>
      <c r="E239" s="542" t="s">
        <v>523</v>
      </c>
      <c r="F239" s="75"/>
      <c r="G239" s="75"/>
      <c r="H239" s="540"/>
      <c r="I239" s="229"/>
      <c r="J239" s="581"/>
      <c r="K239" s="581"/>
      <c r="L239" s="582"/>
      <c r="M239" s="17">
        <f t="shared" ref="M239:M243" si="298">SUM(J239:L239)</f>
        <v>0</v>
      </c>
      <c r="N239" s="111"/>
      <c r="O239" s="111"/>
      <c r="P239" s="111"/>
      <c r="Q239" s="111"/>
      <c r="R239" s="111"/>
      <c r="S239" s="111"/>
      <c r="T239" s="111"/>
      <c r="U239" s="111"/>
      <c r="V239" s="358"/>
      <c r="W239" s="391">
        <f t="shared" ref="W239:W243" si="299">J239+K239+N239+Q239+T239</f>
        <v>0</v>
      </c>
      <c r="X239" s="17">
        <f t="shared" ref="X239:X243" si="300">L239+O239+R239+U239</f>
        <v>0</v>
      </c>
      <c r="Y239" s="18">
        <f>SUM(W239:X239)</f>
        <v>0</v>
      </c>
      <c r="Z239" s="19">
        <f>IF(Y$244=0,0,Y239/Y$244)</f>
        <v>0</v>
      </c>
      <c r="AA239" s="19"/>
      <c r="AB239" s="19"/>
      <c r="AC239" s="84"/>
      <c r="AE239" s="17"/>
      <c r="AF239" s="17"/>
      <c r="AG239" s="17"/>
      <c r="AH239" s="18">
        <f t="shared" ref="AH239:AH243" si="301">J239</f>
        <v>0</v>
      </c>
      <c r="AI239" s="19">
        <f>IF(AH$244=0,0,AH239/AH$244)</f>
        <v>0</v>
      </c>
      <c r="AK239" s="17"/>
      <c r="AL239" s="17"/>
      <c r="AM239" s="17"/>
      <c r="AN239" s="18">
        <f t="shared" ref="AN239:AN243" si="302">K239</f>
        <v>0</v>
      </c>
      <c r="AO239" s="19">
        <f>IF(AN$244=0,0,AN239/AN$244)</f>
        <v>0</v>
      </c>
      <c r="AQ239" s="17"/>
      <c r="AR239" s="17"/>
      <c r="AS239" s="17"/>
      <c r="AT239" s="18">
        <f t="shared" ref="AT239:AT243" si="303">W239</f>
        <v>0</v>
      </c>
      <c r="AU239" s="19">
        <f>IF(AT$244=0,0,AT239/AT$244)</f>
        <v>0</v>
      </c>
      <c r="AW239" s="17"/>
      <c r="AX239" s="17"/>
      <c r="AY239" s="17"/>
      <c r="AZ239" s="18">
        <f t="shared" ref="AZ239:AZ243" si="304">X239</f>
        <v>0</v>
      </c>
      <c r="BA239" s="19">
        <f>IF(AZ$244=0,0,AZ239/AZ$244)</f>
        <v>0</v>
      </c>
    </row>
    <row r="240" spans="1:53" ht="17.100000000000001" customHeight="1" x14ac:dyDescent="0.25">
      <c r="A240" s="40"/>
      <c r="B240" s="248"/>
      <c r="C240" s="251"/>
      <c r="D240" s="74" t="s">
        <v>653</v>
      </c>
      <c r="E240" s="542" t="s">
        <v>525</v>
      </c>
      <c r="F240" s="75"/>
      <c r="G240" s="75"/>
      <c r="H240" s="540"/>
      <c r="I240" s="229"/>
      <c r="J240" s="583"/>
      <c r="K240" s="583"/>
      <c r="L240" s="584"/>
      <c r="M240" s="17">
        <f t="shared" si="298"/>
        <v>0</v>
      </c>
      <c r="N240" s="111"/>
      <c r="O240" s="111"/>
      <c r="P240" s="111"/>
      <c r="Q240" s="111"/>
      <c r="R240" s="111"/>
      <c r="S240" s="111"/>
      <c r="T240" s="111"/>
      <c r="U240" s="111"/>
      <c r="V240" s="358"/>
      <c r="W240" s="391">
        <f t="shared" si="299"/>
        <v>0</v>
      </c>
      <c r="X240" s="17">
        <f t="shared" si="300"/>
        <v>0</v>
      </c>
      <c r="Y240" s="18">
        <f>SUM(W240:X240)</f>
        <v>0</v>
      </c>
      <c r="Z240" s="19">
        <f t="shared" ref="Z240:Z244" si="305">IF(Y$244=0,0,Y240/Y$244)</f>
        <v>0</v>
      </c>
      <c r="AA240" s="19"/>
      <c r="AB240" s="19"/>
      <c r="AC240" s="84"/>
      <c r="AE240" s="17"/>
      <c r="AF240" s="17"/>
      <c r="AG240" s="17"/>
      <c r="AH240" s="18">
        <f t="shared" si="301"/>
        <v>0</v>
      </c>
      <c r="AI240" s="19">
        <f t="shared" ref="AI240:AI244" si="306">IF(AH$244=0,0,AH240/AH$244)</f>
        <v>0</v>
      </c>
      <c r="AK240" s="17"/>
      <c r="AL240" s="17"/>
      <c r="AM240" s="17"/>
      <c r="AN240" s="18">
        <f t="shared" si="302"/>
        <v>0</v>
      </c>
      <c r="AO240" s="19">
        <f t="shared" ref="AO240:AO244" si="307">IF(AN$244=0,0,AN240/AN$244)</f>
        <v>0</v>
      </c>
      <c r="AQ240" s="17"/>
      <c r="AR240" s="17"/>
      <c r="AS240" s="17"/>
      <c r="AT240" s="18">
        <f t="shared" si="303"/>
        <v>0</v>
      </c>
      <c r="AU240" s="19">
        <f t="shared" ref="AU240:AU244" si="308">IF(AT$244=0,0,AT240/AT$244)</f>
        <v>0</v>
      </c>
      <c r="AW240" s="17"/>
      <c r="AX240" s="17"/>
      <c r="AY240" s="17"/>
      <c r="AZ240" s="18">
        <f t="shared" si="304"/>
        <v>0</v>
      </c>
      <c r="BA240" s="19">
        <f t="shared" ref="BA240:BA244" si="309">IF(AZ$244=0,0,AZ240/AZ$244)</f>
        <v>0</v>
      </c>
    </row>
    <row r="241" spans="1:53" ht="17.100000000000001" customHeight="1" x14ac:dyDescent="0.25">
      <c r="A241" s="175"/>
      <c r="B241" s="248"/>
      <c r="C241" s="222"/>
      <c r="D241" s="74" t="s">
        <v>654</v>
      </c>
      <c r="E241" s="542" t="s">
        <v>526</v>
      </c>
      <c r="F241" s="151"/>
      <c r="G241" s="151"/>
      <c r="H241" s="119"/>
      <c r="I241" s="138"/>
      <c r="J241" s="581"/>
      <c r="K241" s="581"/>
      <c r="L241" s="582"/>
      <c r="M241" s="17">
        <f t="shared" si="298"/>
        <v>0</v>
      </c>
      <c r="N241" s="111"/>
      <c r="O241" s="111"/>
      <c r="P241" s="111"/>
      <c r="Q241" s="111"/>
      <c r="R241" s="111"/>
      <c r="S241" s="111"/>
      <c r="T241" s="111"/>
      <c r="U241" s="111"/>
      <c r="V241" s="358"/>
      <c r="W241" s="391">
        <f t="shared" si="299"/>
        <v>0</v>
      </c>
      <c r="X241" s="17">
        <f t="shared" si="300"/>
        <v>0</v>
      </c>
      <c r="Y241" s="18">
        <f>SUM(W241:X241)</f>
        <v>0</v>
      </c>
      <c r="Z241" s="19">
        <f t="shared" si="305"/>
        <v>0</v>
      </c>
      <c r="AA241" s="19"/>
      <c r="AB241" s="19"/>
      <c r="AC241" s="84"/>
      <c r="AE241" s="17"/>
      <c r="AF241" s="17"/>
      <c r="AG241" s="17"/>
      <c r="AH241" s="18">
        <f t="shared" si="301"/>
        <v>0</v>
      </c>
      <c r="AI241" s="19">
        <f t="shared" si="306"/>
        <v>0</v>
      </c>
      <c r="AK241" s="17"/>
      <c r="AL241" s="17"/>
      <c r="AM241" s="17"/>
      <c r="AN241" s="18">
        <f t="shared" si="302"/>
        <v>0</v>
      </c>
      <c r="AO241" s="19">
        <f t="shared" si="307"/>
        <v>0</v>
      </c>
      <c r="AQ241" s="17"/>
      <c r="AR241" s="17"/>
      <c r="AS241" s="17"/>
      <c r="AT241" s="18">
        <f t="shared" si="303"/>
        <v>0</v>
      </c>
      <c r="AU241" s="19">
        <f t="shared" si="308"/>
        <v>0</v>
      </c>
      <c r="AW241" s="17"/>
      <c r="AX241" s="17"/>
      <c r="AY241" s="17"/>
      <c r="AZ241" s="18">
        <f t="shared" si="304"/>
        <v>0</v>
      </c>
      <c r="BA241" s="19">
        <f t="shared" si="309"/>
        <v>0</v>
      </c>
    </row>
    <row r="242" spans="1:53" ht="17.100000000000001" customHeight="1" x14ac:dyDescent="0.25">
      <c r="A242" s="68"/>
      <c r="B242" s="249"/>
      <c r="C242" s="157"/>
      <c r="D242" s="74" t="s">
        <v>655</v>
      </c>
      <c r="E242" s="542" t="s">
        <v>527</v>
      </c>
      <c r="F242" s="105"/>
      <c r="G242" s="105"/>
      <c r="H242" s="119"/>
      <c r="J242" s="583"/>
      <c r="K242" s="583"/>
      <c r="L242" s="584"/>
      <c r="M242" s="17">
        <f t="shared" si="298"/>
        <v>0</v>
      </c>
      <c r="N242" s="111"/>
      <c r="O242" s="111"/>
      <c r="P242" s="111"/>
      <c r="Q242" s="111"/>
      <c r="R242" s="111"/>
      <c r="S242" s="111"/>
      <c r="T242" s="111"/>
      <c r="U242" s="111"/>
      <c r="V242" s="358"/>
      <c r="W242" s="391">
        <f t="shared" si="299"/>
        <v>0</v>
      </c>
      <c r="X242" s="17">
        <f t="shared" si="300"/>
        <v>0</v>
      </c>
      <c r="Y242" s="18">
        <f>SUM(W242:X242)</f>
        <v>0</v>
      </c>
      <c r="Z242" s="19">
        <f t="shared" si="305"/>
        <v>0</v>
      </c>
      <c r="AA242" s="19"/>
      <c r="AB242" s="19"/>
      <c r="AC242" s="84"/>
      <c r="AE242" s="17"/>
      <c r="AF242" s="17"/>
      <c r="AG242" s="17"/>
      <c r="AH242" s="18">
        <f t="shared" si="301"/>
        <v>0</v>
      </c>
      <c r="AI242" s="19">
        <f t="shared" si="306"/>
        <v>0</v>
      </c>
      <c r="AK242" s="17"/>
      <c r="AL242" s="17"/>
      <c r="AM242" s="17"/>
      <c r="AN242" s="18">
        <f t="shared" si="302"/>
        <v>0</v>
      </c>
      <c r="AO242" s="19">
        <f t="shared" si="307"/>
        <v>0</v>
      </c>
      <c r="AQ242" s="17"/>
      <c r="AR242" s="17"/>
      <c r="AS242" s="17"/>
      <c r="AT242" s="18">
        <f t="shared" si="303"/>
        <v>0</v>
      </c>
      <c r="AU242" s="19">
        <f t="shared" si="308"/>
        <v>0</v>
      </c>
      <c r="AW242" s="17"/>
      <c r="AX242" s="17"/>
      <c r="AY242" s="17"/>
      <c r="AZ242" s="18">
        <f t="shared" si="304"/>
        <v>0</v>
      </c>
      <c r="BA242" s="19">
        <f t="shared" si="309"/>
        <v>0</v>
      </c>
    </row>
    <row r="243" spans="1:53" ht="17.100000000000001" customHeight="1" x14ac:dyDescent="0.25">
      <c r="A243" s="40"/>
      <c r="B243" s="248"/>
      <c r="C243" s="250"/>
      <c r="D243" s="74" t="s">
        <v>656</v>
      </c>
      <c r="E243" s="542" t="s">
        <v>528</v>
      </c>
      <c r="F243" s="75"/>
      <c r="G243" s="75"/>
      <c r="H243" s="540"/>
      <c r="I243" s="229"/>
      <c r="J243" s="581"/>
      <c r="K243" s="581"/>
      <c r="L243" s="582"/>
      <c r="M243" s="17">
        <f t="shared" si="298"/>
        <v>0</v>
      </c>
      <c r="N243" s="111"/>
      <c r="O243" s="111"/>
      <c r="P243" s="111"/>
      <c r="Q243" s="111"/>
      <c r="R243" s="111"/>
      <c r="S243" s="111"/>
      <c r="T243" s="111"/>
      <c r="U243" s="111"/>
      <c r="V243" s="358"/>
      <c r="W243" s="391">
        <f t="shared" si="299"/>
        <v>0</v>
      </c>
      <c r="X243" s="17">
        <f t="shared" si="300"/>
        <v>0</v>
      </c>
      <c r="Y243" s="18">
        <f>SUM(W243:X243)</f>
        <v>0</v>
      </c>
      <c r="Z243" s="19">
        <f t="shared" si="305"/>
        <v>0</v>
      </c>
      <c r="AA243" s="19"/>
      <c r="AB243" s="19"/>
      <c r="AC243" s="84"/>
      <c r="AE243" s="17"/>
      <c r="AF243" s="17"/>
      <c r="AG243" s="17"/>
      <c r="AH243" s="18">
        <f t="shared" si="301"/>
        <v>0</v>
      </c>
      <c r="AI243" s="19">
        <f t="shared" si="306"/>
        <v>0</v>
      </c>
      <c r="AK243" s="17"/>
      <c r="AL243" s="17"/>
      <c r="AM243" s="17"/>
      <c r="AN243" s="18">
        <f t="shared" si="302"/>
        <v>0</v>
      </c>
      <c r="AO243" s="19">
        <f t="shared" si="307"/>
        <v>0</v>
      </c>
      <c r="AQ243" s="17"/>
      <c r="AR243" s="17"/>
      <c r="AS243" s="17"/>
      <c r="AT243" s="18">
        <f t="shared" si="303"/>
        <v>0</v>
      </c>
      <c r="AU243" s="19">
        <f t="shared" si="308"/>
        <v>0</v>
      </c>
      <c r="AW243" s="17"/>
      <c r="AX243" s="17"/>
      <c r="AY243" s="17"/>
      <c r="AZ243" s="18">
        <f t="shared" si="304"/>
        <v>0</v>
      </c>
      <c r="BA243" s="19">
        <f t="shared" si="309"/>
        <v>0</v>
      </c>
    </row>
    <row r="244" spans="1:53" ht="17.100000000000001" customHeight="1" x14ac:dyDescent="0.25">
      <c r="A244" s="40"/>
      <c r="B244" s="40"/>
      <c r="C244" s="77"/>
      <c r="D244" s="144"/>
      <c r="E244" s="144"/>
      <c r="F244" s="145"/>
      <c r="G244" s="145"/>
      <c r="H244" s="119"/>
      <c r="I244" s="236"/>
      <c r="J244" s="64">
        <f>SUM(J239:J243)</f>
        <v>0</v>
      </c>
      <c r="K244" s="64">
        <f t="shared" ref="K244:M244" si="310">SUM(K239:K243)</f>
        <v>0</v>
      </c>
      <c r="L244" s="64">
        <f t="shared" si="310"/>
        <v>0</v>
      </c>
      <c r="M244" s="64">
        <f t="shared" si="310"/>
        <v>0</v>
      </c>
      <c r="N244" s="81"/>
      <c r="O244" s="81"/>
      <c r="P244" s="81"/>
      <c r="Q244" s="81"/>
      <c r="R244" s="81"/>
      <c r="S244" s="81"/>
      <c r="T244" s="81"/>
      <c r="U244" s="81"/>
      <c r="V244" s="356"/>
      <c r="W244" s="381">
        <f>SUM(W239:W243)</f>
        <v>0</v>
      </c>
      <c r="X244" s="82">
        <f t="shared" ref="X244:Y244" si="311">SUM(X239:X243)</f>
        <v>0</v>
      </c>
      <c r="Y244" s="82">
        <f t="shared" si="311"/>
        <v>0</v>
      </c>
      <c r="Z244" s="205">
        <f t="shared" si="305"/>
        <v>0</v>
      </c>
      <c r="AA244" s="205"/>
      <c r="AB244" s="205"/>
      <c r="AC244" s="83"/>
      <c r="AE244" s="80"/>
      <c r="AF244" s="80"/>
      <c r="AG244" s="81"/>
      <c r="AH244" s="82">
        <f>SUM(AH239:AH243)</f>
        <v>0</v>
      </c>
      <c r="AI244" s="66">
        <f t="shared" si="306"/>
        <v>0</v>
      </c>
      <c r="AK244" s="80"/>
      <c r="AL244" s="80"/>
      <c r="AM244" s="81"/>
      <c r="AN244" s="82">
        <f>SUM(AN239:AN243)</f>
        <v>0</v>
      </c>
      <c r="AO244" s="66">
        <f t="shared" si="307"/>
        <v>0</v>
      </c>
      <c r="AQ244" s="80"/>
      <c r="AR244" s="80"/>
      <c r="AS244" s="81"/>
      <c r="AT244" s="82">
        <f>SUM(AT239:AT243)</f>
        <v>0</v>
      </c>
      <c r="AU244" s="66">
        <f t="shared" si="308"/>
        <v>0</v>
      </c>
      <c r="AW244" s="80"/>
      <c r="AX244" s="80"/>
      <c r="AY244" s="81"/>
      <c r="AZ244" s="82">
        <f>SUM(AZ239:AZ243)</f>
        <v>0</v>
      </c>
      <c r="BA244" s="66">
        <f t="shared" si="309"/>
        <v>0</v>
      </c>
    </row>
    <row r="245" spans="1:53" s="117" customFormat="1" ht="17.100000000000001" customHeight="1" x14ac:dyDescent="0.25">
      <c r="A245" s="68"/>
      <c r="B245" s="119"/>
      <c r="C245" s="540"/>
      <c r="D245" s="261"/>
      <c r="E245" s="261"/>
      <c r="F245" s="68"/>
      <c r="G245" s="68"/>
      <c r="H245" s="119"/>
      <c r="I245" s="138"/>
      <c r="J245" s="17" t="str">
        <f>IF(J244=J$15,"OK","NOK")</f>
        <v>OK</v>
      </c>
      <c r="K245" s="17" t="str">
        <f t="shared" ref="K245:L245" si="312">IF(K244=K$15,"OK","NOK")</f>
        <v>OK</v>
      </c>
      <c r="L245" s="17" t="str">
        <f t="shared" si="312"/>
        <v>OK</v>
      </c>
      <c r="M245" s="17"/>
      <c r="N245" s="17"/>
      <c r="O245" s="17"/>
      <c r="P245" s="17"/>
      <c r="Q245" s="17"/>
      <c r="R245" s="17"/>
      <c r="S245" s="17"/>
      <c r="T245" s="17"/>
      <c r="U245" s="17"/>
      <c r="V245" s="359"/>
      <c r="W245" s="382"/>
      <c r="X245" s="539"/>
      <c r="Y245" s="539"/>
      <c r="Z245" s="201"/>
      <c r="AA245" s="201"/>
      <c r="AB245" s="201"/>
      <c r="AC245" s="84"/>
      <c r="AE245" s="46"/>
      <c r="AF245" s="46"/>
      <c r="AG245" s="17"/>
      <c r="AH245" s="539"/>
      <c r="AI245" s="91"/>
      <c r="AK245" s="46"/>
      <c r="AL245" s="46"/>
      <c r="AM245" s="17"/>
      <c r="AN245" s="539"/>
      <c r="AO245" s="91"/>
      <c r="AQ245" s="46"/>
      <c r="AR245" s="46"/>
      <c r="AS245" s="17"/>
      <c r="AT245" s="539"/>
      <c r="AU245" s="91"/>
      <c r="AW245" s="46"/>
      <c r="AX245" s="46"/>
      <c r="AY245" s="17"/>
      <c r="AZ245" s="539"/>
      <c r="BA245" s="91"/>
    </row>
    <row r="246" spans="1:53" ht="17.100000000000001" customHeight="1" x14ac:dyDescent="0.25">
      <c r="A246" s="68"/>
      <c r="B246" s="41" t="s">
        <v>956</v>
      </c>
      <c r="C246" s="69" t="s">
        <v>12</v>
      </c>
      <c r="D246" s="50"/>
      <c r="E246" s="70"/>
      <c r="F246" s="70"/>
      <c r="G246" s="70"/>
      <c r="H246" s="119"/>
      <c r="J246" s="71"/>
      <c r="K246" s="71"/>
      <c r="L246" s="71"/>
      <c r="M246" s="71"/>
      <c r="N246" s="71"/>
      <c r="O246" s="71"/>
      <c r="P246" s="71"/>
      <c r="Q246" s="71"/>
      <c r="R246" s="71"/>
      <c r="S246" s="71"/>
      <c r="T246" s="71"/>
      <c r="U246" s="71"/>
      <c r="V246" s="355"/>
      <c r="W246" s="377"/>
      <c r="X246" s="71"/>
      <c r="Y246" s="72"/>
      <c r="Z246" s="73"/>
      <c r="AA246" s="73"/>
      <c r="AB246" s="73"/>
      <c r="AC246" s="73"/>
      <c r="AE246" s="71"/>
      <c r="AF246" s="71"/>
      <c r="AG246" s="71"/>
      <c r="AH246" s="72"/>
      <c r="AI246" s="73"/>
      <c r="AK246" s="71"/>
      <c r="AL246" s="71"/>
      <c r="AM246" s="71"/>
      <c r="AN246" s="72"/>
      <c r="AO246" s="73"/>
      <c r="AQ246" s="71"/>
      <c r="AR246" s="71"/>
      <c r="AS246" s="71"/>
      <c r="AT246" s="72"/>
      <c r="AU246" s="73"/>
      <c r="AW246" s="71"/>
      <c r="AX246" s="71"/>
      <c r="AY246" s="71"/>
      <c r="AZ246" s="72"/>
      <c r="BA246" s="73"/>
    </row>
    <row r="247" spans="1:53" ht="17.100000000000001" customHeight="1" x14ac:dyDescent="0.25">
      <c r="A247" s="40"/>
      <c r="B247" s="40"/>
      <c r="C247" s="41" t="s">
        <v>957</v>
      </c>
      <c r="D247" s="476" t="s">
        <v>955</v>
      </c>
      <c r="E247" s="322"/>
      <c r="F247" s="301"/>
      <c r="G247" s="301"/>
      <c r="H247" s="119"/>
      <c r="I247" s="236"/>
      <c r="J247" s="87"/>
      <c r="K247" s="87"/>
      <c r="L247" s="71"/>
      <c r="M247" s="71"/>
      <c r="N247" s="71"/>
      <c r="O247" s="71"/>
      <c r="P247" s="71"/>
      <c r="Q247" s="71"/>
      <c r="R247" s="71"/>
      <c r="S247" s="71"/>
      <c r="T247" s="71"/>
      <c r="U247" s="71"/>
      <c r="V247" s="355"/>
      <c r="W247" s="377"/>
      <c r="X247" s="71"/>
      <c r="Y247" s="89"/>
      <c r="Z247" s="90"/>
      <c r="AA247" s="90"/>
      <c r="AB247" s="90"/>
      <c r="AC247" s="73"/>
      <c r="AE247" s="87"/>
      <c r="AF247" s="87"/>
      <c r="AG247" s="71"/>
      <c r="AH247" s="89"/>
      <c r="AI247" s="90"/>
      <c r="AK247" s="87"/>
      <c r="AL247" s="87"/>
      <c r="AM247" s="71"/>
      <c r="AN247" s="89"/>
      <c r="AO247" s="90"/>
      <c r="AQ247" s="87"/>
      <c r="AR247" s="87"/>
      <c r="AS247" s="71"/>
      <c r="AT247" s="89"/>
      <c r="AU247" s="90"/>
      <c r="AW247" s="87"/>
      <c r="AX247" s="87"/>
      <c r="AY247" s="71"/>
      <c r="AZ247" s="89"/>
      <c r="BA247" s="90"/>
    </row>
    <row r="248" spans="1:53" ht="17.100000000000001" customHeight="1" x14ac:dyDescent="0.25">
      <c r="A248" s="40"/>
      <c r="B248" s="40"/>
      <c r="C248" s="119"/>
      <c r="D248" s="153" t="s">
        <v>933</v>
      </c>
      <c r="E248" s="142"/>
      <c r="F248" s="143"/>
      <c r="G248" s="143"/>
      <c r="H248" s="119"/>
      <c r="I248" s="236"/>
      <c r="J248" s="527">
        <v>0.39285714285714202</v>
      </c>
      <c r="K248" s="527"/>
      <c r="L248" s="528"/>
      <c r="M248" s="154"/>
      <c r="N248" s="154"/>
      <c r="O248" s="154"/>
      <c r="P248" s="154"/>
      <c r="Q248" s="154"/>
      <c r="R248" s="154"/>
      <c r="S248" s="154"/>
      <c r="T248" s="154"/>
      <c r="U248" s="154"/>
      <c r="V248" s="159"/>
      <c r="W248" s="387"/>
      <c r="X248" s="154"/>
      <c r="Y248" s="129"/>
      <c r="Z248" s="130"/>
      <c r="AA248" s="130"/>
      <c r="AB248" s="130"/>
      <c r="AC248" s="125"/>
      <c r="AE248" s="154"/>
      <c r="AF248" s="154"/>
      <c r="AG248" s="154"/>
      <c r="AH248" s="129"/>
      <c r="AI248" s="130"/>
      <c r="AK248" s="154"/>
      <c r="AL248" s="154"/>
      <c r="AM248" s="154"/>
      <c r="AN248" s="129"/>
      <c r="AO248" s="130"/>
      <c r="AQ248" s="154"/>
      <c r="AR248" s="154"/>
      <c r="AS248" s="154"/>
      <c r="AT248" s="129"/>
      <c r="AU248" s="130"/>
      <c r="AW248" s="154"/>
      <c r="AX248" s="154"/>
      <c r="AY248" s="154"/>
      <c r="AZ248" s="129"/>
      <c r="BA248" s="130"/>
    </row>
    <row r="249" spans="1:53" ht="17.100000000000001" customHeight="1" x14ac:dyDescent="0.25">
      <c r="A249" s="40"/>
      <c r="B249" s="40"/>
      <c r="C249" s="119"/>
      <c r="D249" s="153" t="s">
        <v>934</v>
      </c>
      <c r="E249" s="142"/>
      <c r="F249" s="143"/>
      <c r="G249" s="143"/>
      <c r="H249" s="119"/>
      <c r="I249" s="236"/>
      <c r="J249" s="527">
        <f>J248/2</f>
        <v>0.19642857142857101</v>
      </c>
      <c r="K249" s="527"/>
      <c r="L249" s="154"/>
      <c r="M249" s="154"/>
      <c r="N249" s="154"/>
      <c r="O249" s="154"/>
      <c r="P249" s="154"/>
      <c r="Q249" s="154"/>
      <c r="R249" s="154"/>
      <c r="S249" s="154"/>
      <c r="T249" s="154"/>
      <c r="U249" s="154"/>
      <c r="V249" s="159"/>
      <c r="W249" s="387"/>
      <c r="X249" s="154"/>
      <c r="Y249" s="129"/>
      <c r="Z249" s="130"/>
      <c r="AA249" s="130"/>
      <c r="AB249" s="130"/>
      <c r="AC249" s="125"/>
      <c r="AE249" s="154"/>
      <c r="AF249" s="154"/>
      <c r="AG249" s="154"/>
      <c r="AH249" s="129"/>
      <c r="AI249" s="130"/>
      <c r="AK249" s="154"/>
      <c r="AL249" s="154"/>
      <c r="AM249" s="154"/>
      <c r="AN249" s="129"/>
      <c r="AO249" s="130"/>
      <c r="AQ249" s="154"/>
      <c r="AR249" s="154"/>
      <c r="AS249" s="154"/>
      <c r="AT249" s="129"/>
      <c r="AU249" s="130"/>
      <c r="AW249" s="154"/>
      <c r="AX249" s="154"/>
      <c r="AY249" s="154"/>
      <c r="AZ249" s="129"/>
      <c r="BA249" s="130"/>
    </row>
    <row r="250" spans="1:53" ht="17.100000000000001" customHeight="1" x14ac:dyDescent="0.25">
      <c r="A250" s="40"/>
      <c r="B250" s="40"/>
      <c r="C250" s="119"/>
      <c r="D250" s="153" t="s">
        <v>940</v>
      </c>
      <c r="E250" s="142"/>
      <c r="F250" s="143"/>
      <c r="G250" s="143"/>
      <c r="H250" s="119"/>
      <c r="I250" s="236"/>
      <c r="J250" s="527">
        <f>J248*0.75</f>
        <v>0.29464285714285654</v>
      </c>
      <c r="K250" s="527"/>
      <c r="L250" s="154"/>
      <c r="M250" s="154"/>
      <c r="N250" s="154"/>
      <c r="O250" s="154"/>
      <c r="P250" s="154"/>
      <c r="Q250" s="154"/>
      <c r="R250" s="154"/>
      <c r="S250" s="154"/>
      <c r="T250" s="154"/>
      <c r="U250" s="154"/>
      <c r="V250" s="159"/>
      <c r="W250" s="387"/>
      <c r="X250" s="154"/>
      <c r="Y250" s="129"/>
      <c r="Z250" s="130"/>
      <c r="AA250" s="130"/>
      <c r="AB250" s="130"/>
      <c r="AC250" s="125"/>
      <c r="AE250" s="154"/>
      <c r="AF250" s="154"/>
      <c r="AG250" s="154"/>
      <c r="AH250" s="129"/>
      <c r="AI250" s="130"/>
      <c r="AK250" s="154"/>
      <c r="AL250" s="154"/>
      <c r="AM250" s="154"/>
      <c r="AN250" s="129"/>
      <c r="AO250" s="130"/>
      <c r="AQ250" s="154"/>
      <c r="AR250" s="154"/>
      <c r="AS250" s="154"/>
      <c r="AT250" s="129"/>
      <c r="AU250" s="130"/>
      <c r="AW250" s="154"/>
      <c r="AX250" s="154"/>
      <c r="AY250" s="154"/>
      <c r="AZ250" s="129"/>
      <c r="BA250" s="130"/>
    </row>
    <row r="251" spans="1:53" ht="17.100000000000001" customHeight="1" x14ac:dyDescent="0.25">
      <c r="A251" s="40"/>
      <c r="B251" s="40"/>
      <c r="C251" s="119"/>
      <c r="D251" s="153" t="s">
        <v>941</v>
      </c>
      <c r="E251" s="142"/>
      <c r="F251" s="143"/>
      <c r="G251" s="143"/>
      <c r="H251" s="119"/>
      <c r="I251" s="236"/>
      <c r="J251" s="527">
        <f>J248</f>
        <v>0.39285714285714202</v>
      </c>
      <c r="K251" s="527"/>
      <c r="L251" s="154"/>
      <c r="M251" s="154"/>
      <c r="N251" s="154"/>
      <c r="O251" s="154"/>
      <c r="P251" s="154"/>
      <c r="Q251" s="154"/>
      <c r="R251" s="154"/>
      <c r="S251" s="154"/>
      <c r="T251" s="154"/>
      <c r="U251" s="154"/>
      <c r="V251" s="159"/>
      <c r="W251" s="387"/>
      <c r="X251" s="154"/>
      <c r="Y251" s="129"/>
      <c r="Z251" s="130"/>
      <c r="AA251" s="130"/>
      <c r="AB251" s="130"/>
      <c r="AC251" s="125"/>
      <c r="AE251" s="154"/>
      <c r="AF251" s="154"/>
      <c r="AG251" s="154"/>
      <c r="AH251" s="129"/>
      <c r="AI251" s="130"/>
      <c r="AK251" s="154"/>
      <c r="AL251" s="154"/>
      <c r="AM251" s="154"/>
      <c r="AN251" s="129"/>
      <c r="AO251" s="130"/>
      <c r="AQ251" s="154"/>
      <c r="AR251" s="154"/>
      <c r="AS251" s="154"/>
      <c r="AT251" s="129"/>
      <c r="AU251" s="130"/>
      <c r="AW251" s="154"/>
      <c r="AX251" s="154"/>
      <c r="AY251" s="154"/>
      <c r="AZ251" s="129"/>
      <c r="BA251" s="130"/>
    </row>
    <row r="252" spans="1:53" ht="17.100000000000001" customHeight="1" x14ac:dyDescent="0.25">
      <c r="A252" s="40"/>
      <c r="B252" s="40"/>
      <c r="C252" s="119"/>
      <c r="D252" s="153" t="s">
        <v>942</v>
      </c>
      <c r="E252" s="142"/>
      <c r="F252" s="143"/>
      <c r="G252" s="143"/>
      <c r="H252" s="119"/>
      <c r="I252" s="236"/>
      <c r="J252" s="527">
        <f>J249</f>
        <v>0.19642857142857101</v>
      </c>
      <c r="K252" s="527"/>
      <c r="L252" s="154"/>
      <c r="M252" s="154"/>
      <c r="N252" s="154"/>
      <c r="O252" s="154"/>
      <c r="P252" s="154"/>
      <c r="Q252" s="154"/>
      <c r="R252" s="154"/>
      <c r="S252" s="154"/>
      <c r="T252" s="154"/>
      <c r="U252" s="154"/>
      <c r="V252" s="159"/>
      <c r="W252" s="387"/>
      <c r="X252" s="154"/>
      <c r="Y252" s="129"/>
      <c r="Z252" s="130"/>
      <c r="AA252" s="130"/>
      <c r="AB252" s="130"/>
      <c r="AC252" s="125"/>
      <c r="AE252" s="154"/>
      <c r="AF252" s="154"/>
      <c r="AG252" s="154"/>
      <c r="AH252" s="129"/>
      <c r="AI252" s="130"/>
      <c r="AK252" s="154"/>
      <c r="AL252" s="154"/>
      <c r="AM252" s="154"/>
      <c r="AN252" s="129"/>
      <c r="AO252" s="130"/>
      <c r="AQ252" s="154"/>
      <c r="AR252" s="154"/>
      <c r="AS252" s="154"/>
      <c r="AT252" s="129"/>
      <c r="AU252" s="130"/>
      <c r="AW252" s="154"/>
      <c r="AX252" s="154"/>
      <c r="AY252" s="154"/>
      <c r="AZ252" s="129"/>
      <c r="BA252" s="130"/>
    </row>
    <row r="253" spans="1:53" ht="17.100000000000001" customHeight="1" x14ac:dyDescent="0.25">
      <c r="A253" s="40"/>
      <c r="B253" s="40"/>
      <c r="C253" s="119"/>
      <c r="D253" s="153" t="s">
        <v>943</v>
      </c>
      <c r="E253" s="142"/>
      <c r="F253" s="143"/>
      <c r="G253" s="143"/>
      <c r="H253" s="119"/>
      <c r="I253" s="236"/>
      <c r="J253" s="527">
        <f>J248</f>
        <v>0.39285714285714202</v>
      </c>
      <c r="K253" s="527"/>
      <c r="L253" s="154"/>
      <c r="M253" s="154"/>
      <c r="N253" s="154"/>
      <c r="O253" s="154"/>
      <c r="P253" s="154"/>
      <c r="Q253" s="154"/>
      <c r="R253" s="154"/>
      <c r="S253" s="154"/>
      <c r="T253" s="154"/>
      <c r="U253" s="154"/>
      <c r="V253" s="159"/>
      <c r="W253" s="387"/>
      <c r="X253" s="154"/>
      <c r="Y253" s="129"/>
      <c r="Z253" s="130"/>
      <c r="AA253" s="130"/>
      <c r="AB253" s="130"/>
      <c r="AC253" s="125"/>
      <c r="AE253" s="154"/>
      <c r="AF253" s="154"/>
      <c r="AG253" s="154"/>
      <c r="AH253" s="129"/>
      <c r="AI253" s="130"/>
      <c r="AK253" s="154"/>
      <c r="AL253" s="154"/>
      <c r="AM253" s="154"/>
      <c r="AN253" s="129"/>
      <c r="AO253" s="130"/>
      <c r="AQ253" s="154"/>
      <c r="AR253" s="154"/>
      <c r="AS253" s="154"/>
      <c r="AT253" s="129"/>
      <c r="AU253" s="130"/>
      <c r="AW253" s="154"/>
      <c r="AX253" s="154"/>
      <c r="AY253" s="154"/>
      <c r="AZ253" s="129"/>
      <c r="BA253" s="130"/>
    </row>
    <row r="254" spans="1:53" ht="17.100000000000001" customHeight="1" x14ac:dyDescent="0.25">
      <c r="A254" s="40"/>
      <c r="B254" s="40"/>
      <c r="C254" s="119"/>
      <c r="D254" s="153" t="s">
        <v>944</v>
      </c>
      <c r="E254" s="142"/>
      <c r="F254" s="143"/>
      <c r="G254" s="143"/>
      <c r="H254" s="119"/>
      <c r="I254" s="236"/>
      <c r="J254" s="527">
        <f>J249</f>
        <v>0.19642857142857101</v>
      </c>
      <c r="K254" s="527"/>
      <c r="L254" s="154"/>
      <c r="M254" s="154"/>
      <c r="N254" s="154"/>
      <c r="O254" s="154"/>
      <c r="P254" s="154"/>
      <c r="Q254" s="154"/>
      <c r="R254" s="154"/>
      <c r="S254" s="154"/>
      <c r="T254" s="154"/>
      <c r="U254" s="154"/>
      <c r="V254" s="159"/>
      <c r="W254" s="387"/>
      <c r="X254" s="154"/>
      <c r="Y254" s="129"/>
      <c r="Z254" s="130"/>
      <c r="AA254" s="130"/>
      <c r="AB254" s="130"/>
      <c r="AC254" s="125"/>
      <c r="AE254" s="154"/>
      <c r="AF254" s="154"/>
      <c r="AG254" s="154"/>
      <c r="AH254" s="129"/>
      <c r="AI254" s="130"/>
      <c r="AK254" s="154"/>
      <c r="AL254" s="154"/>
      <c r="AM254" s="154"/>
      <c r="AN254" s="129"/>
      <c r="AO254" s="130"/>
      <c r="AQ254" s="154"/>
      <c r="AR254" s="154"/>
      <c r="AS254" s="154"/>
      <c r="AT254" s="129"/>
      <c r="AU254" s="130"/>
      <c r="AW254" s="154"/>
      <c r="AX254" s="154"/>
      <c r="AY254" s="154"/>
      <c r="AZ254" s="129"/>
      <c r="BA254" s="130"/>
    </row>
    <row r="255" spans="1:53" ht="17.100000000000001" customHeight="1" x14ac:dyDescent="0.25">
      <c r="A255" s="40"/>
      <c r="B255" s="40"/>
      <c r="C255" s="68"/>
      <c r="D255" s="153" t="s">
        <v>945</v>
      </c>
      <c r="E255" s="142"/>
      <c r="F255" s="143"/>
      <c r="G255" s="143"/>
      <c r="H255" s="119"/>
      <c r="I255" s="236"/>
      <c r="J255" s="527">
        <f>J248</f>
        <v>0.39285714285714202</v>
      </c>
      <c r="K255" s="527"/>
      <c r="L255" s="154"/>
      <c r="M255" s="154"/>
      <c r="N255" s="154"/>
      <c r="O255" s="154"/>
      <c r="P255" s="154"/>
      <c r="Q255" s="154"/>
      <c r="R255" s="154"/>
      <c r="S255" s="154"/>
      <c r="T255" s="154"/>
      <c r="U255" s="154"/>
      <c r="V255" s="159"/>
      <c r="W255" s="387"/>
      <c r="X255" s="154"/>
      <c r="Y255" s="129"/>
      <c r="Z255" s="130"/>
      <c r="AA255" s="130"/>
      <c r="AB255" s="130"/>
      <c r="AC255" s="125"/>
      <c r="AE255" s="154"/>
      <c r="AF255" s="154"/>
      <c r="AG255" s="154"/>
      <c r="AH255" s="129"/>
      <c r="AI255" s="130"/>
      <c r="AK255" s="154"/>
      <c r="AL255" s="154"/>
      <c r="AM255" s="154"/>
      <c r="AN255" s="129"/>
      <c r="AO255" s="130"/>
      <c r="AQ255" s="154"/>
      <c r="AR255" s="154"/>
      <c r="AS255" s="154"/>
      <c r="AT255" s="129"/>
      <c r="AU255" s="130"/>
      <c r="AW255" s="154"/>
      <c r="AX255" s="154"/>
      <c r="AY255" s="154"/>
      <c r="AZ255" s="129"/>
      <c r="BA255" s="130"/>
    </row>
    <row r="256" spans="1:53" ht="17.100000000000001" customHeight="1" x14ac:dyDescent="0.25">
      <c r="A256" s="40"/>
      <c r="B256" s="40"/>
      <c r="C256" s="40"/>
      <c r="D256" s="69" t="s">
        <v>413</v>
      </c>
      <c r="E256" s="322"/>
      <c r="F256" s="301"/>
      <c r="G256" s="301"/>
      <c r="H256" s="421"/>
      <c r="I256" s="236"/>
      <c r="J256" s="529"/>
      <c r="K256" s="529"/>
      <c r="L256" s="87"/>
      <c r="M256" s="87"/>
      <c r="N256" s="87"/>
      <c r="O256" s="87"/>
      <c r="P256" s="87"/>
      <c r="Q256" s="87"/>
      <c r="R256" s="87"/>
      <c r="S256" s="87"/>
      <c r="T256" s="87"/>
      <c r="U256" s="87"/>
      <c r="V256" s="530"/>
      <c r="W256" s="531"/>
      <c r="X256" s="87"/>
      <c r="Y256" s="89"/>
      <c r="Z256" s="90"/>
      <c r="AA256" s="90"/>
      <c r="AB256" s="90"/>
      <c r="AC256" s="73"/>
      <c r="AE256" s="154"/>
      <c r="AF256" s="154"/>
      <c r="AG256" s="154"/>
      <c r="AH256" s="129"/>
      <c r="AI256" s="130"/>
      <c r="AK256" s="154"/>
      <c r="AL256" s="154"/>
      <c r="AM256" s="154"/>
      <c r="AN256" s="129"/>
      <c r="AO256" s="130"/>
      <c r="AQ256" s="154"/>
      <c r="AR256" s="154"/>
      <c r="AS256" s="154"/>
      <c r="AT256" s="129"/>
      <c r="AU256" s="130"/>
      <c r="AW256" s="154"/>
      <c r="AX256" s="154"/>
      <c r="AY256" s="154"/>
      <c r="AZ256" s="129"/>
      <c r="BA256" s="130"/>
    </row>
    <row r="257" spans="1:53" ht="17.100000000000001" customHeight="1" x14ac:dyDescent="0.25">
      <c r="A257" s="40"/>
      <c r="B257" s="40"/>
      <c r="C257" s="119"/>
      <c r="D257" s="293" t="s">
        <v>935</v>
      </c>
      <c r="E257" s="142"/>
      <c r="F257" s="143"/>
      <c r="G257" s="143"/>
      <c r="H257" s="119"/>
      <c r="I257" s="236"/>
      <c r="J257" s="532"/>
      <c r="K257" s="532"/>
      <c r="L257" s="533">
        <f>(1*J250+3*J251)</f>
        <v>1.4732142857142827</v>
      </c>
      <c r="M257" s="533">
        <f>L257*N257</f>
        <v>0</v>
      </c>
      <c r="N257" s="532">
        <f t="shared" ref="N257:O259" si="313">N170</f>
        <v>0</v>
      </c>
      <c r="O257" s="532">
        <f t="shared" si="313"/>
        <v>0</v>
      </c>
      <c r="P257" s="532"/>
      <c r="Q257" s="532">
        <f t="shared" ref="Q257:R259" si="314">Q170</f>
        <v>0</v>
      </c>
      <c r="R257" s="532">
        <f t="shared" si="314"/>
        <v>0</v>
      </c>
      <c r="S257" s="532"/>
      <c r="T257" s="532">
        <f t="shared" ref="T257:U259" si="315">T170</f>
        <v>0</v>
      </c>
      <c r="U257" s="532">
        <f t="shared" si="315"/>
        <v>0</v>
      </c>
      <c r="V257" s="159"/>
      <c r="W257" s="387"/>
      <c r="X257" s="154"/>
      <c r="Y257" s="129"/>
      <c r="Z257" s="130"/>
      <c r="AA257" s="130"/>
      <c r="AB257" s="130"/>
      <c r="AC257" s="125"/>
      <c r="AE257" s="154"/>
      <c r="AF257" s="154"/>
      <c r="AG257" s="154"/>
      <c r="AH257" s="129"/>
      <c r="AI257" s="130"/>
      <c r="AK257" s="154"/>
      <c r="AL257" s="154"/>
      <c r="AM257" s="154"/>
      <c r="AN257" s="129"/>
      <c r="AO257" s="130"/>
      <c r="AQ257" s="154"/>
      <c r="AR257" s="154"/>
      <c r="AS257" s="154"/>
      <c r="AT257" s="129"/>
      <c r="AU257" s="130"/>
      <c r="AW257" s="154"/>
      <c r="AX257" s="154"/>
      <c r="AY257" s="154"/>
      <c r="AZ257" s="129"/>
      <c r="BA257" s="130"/>
    </row>
    <row r="258" spans="1:53" ht="17.100000000000001" customHeight="1" x14ac:dyDescent="0.25">
      <c r="A258" s="40"/>
      <c r="B258" s="40"/>
      <c r="C258" s="119"/>
      <c r="D258" s="293" t="s">
        <v>927</v>
      </c>
      <c r="E258" s="142"/>
      <c r="F258" s="143"/>
      <c r="G258" s="143"/>
      <c r="H258" s="119"/>
      <c r="I258" s="236"/>
      <c r="J258" s="532"/>
      <c r="K258" s="532"/>
      <c r="L258" s="533">
        <f>(1*J252+3*J253)</f>
        <v>1.3749999999999971</v>
      </c>
      <c r="M258" s="533">
        <f t="shared" ref="M258:M259" si="316">L258*N258</f>
        <v>0</v>
      </c>
      <c r="N258" s="532">
        <f t="shared" si="313"/>
        <v>0</v>
      </c>
      <c r="O258" s="532">
        <f t="shared" si="313"/>
        <v>0</v>
      </c>
      <c r="P258" s="532"/>
      <c r="Q258" s="532">
        <f t="shared" si="314"/>
        <v>0</v>
      </c>
      <c r="R258" s="532">
        <f t="shared" si="314"/>
        <v>0</v>
      </c>
      <c r="S258" s="532"/>
      <c r="T258" s="532">
        <f t="shared" si="315"/>
        <v>0</v>
      </c>
      <c r="U258" s="532">
        <f t="shared" si="315"/>
        <v>0</v>
      </c>
      <c r="V258" s="159"/>
      <c r="W258" s="387"/>
      <c r="X258" s="154"/>
      <c r="Y258" s="129"/>
      <c r="Z258" s="130"/>
      <c r="AA258" s="130"/>
      <c r="AB258" s="130"/>
      <c r="AC258" s="125"/>
      <c r="AE258" s="154"/>
      <c r="AF258" s="154"/>
      <c r="AG258" s="154"/>
      <c r="AH258" s="129"/>
      <c r="AI258" s="130"/>
      <c r="AK258" s="154"/>
      <c r="AL258" s="154"/>
      <c r="AM258" s="154"/>
      <c r="AN258" s="129"/>
      <c r="AO258" s="130"/>
      <c r="AQ258" s="154"/>
      <c r="AR258" s="154"/>
      <c r="AS258" s="154"/>
      <c r="AT258" s="129"/>
      <c r="AU258" s="130"/>
      <c r="AW258" s="154"/>
      <c r="AX258" s="154"/>
      <c r="AY258" s="154"/>
      <c r="AZ258" s="129"/>
      <c r="BA258" s="130"/>
    </row>
    <row r="259" spans="1:53" ht="17.100000000000001" customHeight="1" x14ac:dyDescent="0.25">
      <c r="A259" s="40"/>
      <c r="B259" s="40"/>
      <c r="C259" s="119"/>
      <c r="D259" s="293" t="s">
        <v>936</v>
      </c>
      <c r="E259" s="142"/>
      <c r="F259" s="143"/>
      <c r="G259" s="143"/>
      <c r="H259" s="119"/>
      <c r="I259" s="236"/>
      <c r="J259" s="532"/>
      <c r="K259" s="532"/>
      <c r="L259" s="533">
        <f>(5*J255)</f>
        <v>1.96428571428571</v>
      </c>
      <c r="M259" s="533">
        <f t="shared" si="316"/>
        <v>0</v>
      </c>
      <c r="N259" s="532">
        <f t="shared" si="313"/>
        <v>0</v>
      </c>
      <c r="O259" s="532">
        <f t="shared" si="313"/>
        <v>0</v>
      </c>
      <c r="P259" s="532"/>
      <c r="Q259" s="532">
        <f t="shared" si="314"/>
        <v>0</v>
      </c>
      <c r="R259" s="532">
        <f t="shared" si="314"/>
        <v>0</v>
      </c>
      <c r="S259" s="532"/>
      <c r="T259" s="532">
        <f t="shared" si="315"/>
        <v>0</v>
      </c>
      <c r="U259" s="532">
        <f t="shared" si="315"/>
        <v>0</v>
      </c>
      <c r="V259" s="159"/>
      <c r="W259" s="387"/>
      <c r="X259" s="154"/>
      <c r="Y259" s="129"/>
      <c r="Z259" s="130"/>
      <c r="AA259" s="130"/>
      <c r="AB259" s="130"/>
      <c r="AC259" s="125"/>
      <c r="AE259" s="154"/>
      <c r="AF259" s="154"/>
      <c r="AG259" s="154"/>
      <c r="AH259" s="129"/>
      <c r="AI259" s="130"/>
      <c r="AK259" s="154"/>
      <c r="AL259" s="154"/>
      <c r="AM259" s="154"/>
      <c r="AN259" s="129"/>
      <c r="AO259" s="130"/>
      <c r="AQ259" s="154"/>
      <c r="AR259" s="154"/>
      <c r="AS259" s="154"/>
      <c r="AT259" s="129"/>
      <c r="AU259" s="130"/>
      <c r="AW259" s="154"/>
      <c r="AX259" s="154"/>
      <c r="AY259" s="154"/>
      <c r="AZ259" s="129"/>
      <c r="BA259" s="130"/>
    </row>
    <row r="260" spans="1:53" ht="17.100000000000001" customHeight="1" x14ac:dyDescent="0.25">
      <c r="A260" s="40"/>
      <c r="B260" s="40"/>
      <c r="C260" s="119"/>
      <c r="D260" s="293" t="s">
        <v>922</v>
      </c>
      <c r="E260" s="142"/>
      <c r="F260" s="143"/>
      <c r="G260" s="143"/>
      <c r="H260" s="119"/>
      <c r="I260" s="236"/>
      <c r="J260" s="532"/>
      <c r="K260" s="532"/>
      <c r="L260" s="532"/>
      <c r="M260" s="533">
        <f>SUM(M257:M259)</f>
        <v>0</v>
      </c>
      <c r="N260" s="532">
        <f>SUM(N257:N259)</f>
        <v>0</v>
      </c>
      <c r="O260" s="532"/>
      <c r="P260" s="532"/>
      <c r="Q260" s="532"/>
      <c r="R260" s="532"/>
      <c r="S260" s="532"/>
      <c r="T260" s="532"/>
      <c r="U260" s="532"/>
      <c r="V260" s="159"/>
      <c r="W260" s="387"/>
      <c r="X260" s="154"/>
      <c r="Y260" s="129"/>
      <c r="Z260" s="130"/>
      <c r="AA260" s="130"/>
      <c r="AB260" s="130"/>
      <c r="AC260" s="125"/>
      <c r="AE260" s="154"/>
      <c r="AF260" s="154"/>
      <c r="AG260" s="154"/>
      <c r="AH260" s="129"/>
      <c r="AI260" s="130"/>
      <c r="AK260" s="154"/>
      <c r="AL260" s="154"/>
      <c r="AM260" s="154"/>
      <c r="AN260" s="129"/>
      <c r="AO260" s="130"/>
      <c r="AQ260" s="154"/>
      <c r="AR260" s="154"/>
      <c r="AS260" s="154"/>
      <c r="AT260" s="129"/>
      <c r="AU260" s="130"/>
      <c r="AW260" s="154"/>
      <c r="AX260" s="154"/>
      <c r="AY260" s="154"/>
      <c r="AZ260" s="129"/>
      <c r="BA260" s="130"/>
    </row>
    <row r="261" spans="1:53" ht="17.100000000000001" customHeight="1" x14ac:dyDescent="0.25">
      <c r="A261" s="40"/>
      <c r="B261" s="40"/>
      <c r="C261" s="119"/>
      <c r="D261" s="69" t="s">
        <v>124</v>
      </c>
      <c r="E261" s="322"/>
      <c r="F261" s="301"/>
      <c r="G261" s="301"/>
      <c r="H261" s="421"/>
      <c r="I261" s="236"/>
      <c r="J261" s="529"/>
      <c r="K261" s="529"/>
      <c r="L261" s="87"/>
      <c r="M261" s="87"/>
      <c r="N261" s="87"/>
      <c r="O261" s="87"/>
      <c r="P261" s="87"/>
      <c r="Q261" s="87"/>
      <c r="R261" s="87"/>
      <c r="S261" s="87"/>
      <c r="T261" s="87"/>
      <c r="U261" s="87"/>
      <c r="V261" s="530"/>
      <c r="W261" s="531"/>
      <c r="X261" s="87"/>
      <c r="Y261" s="89"/>
      <c r="Z261" s="90"/>
      <c r="AA261" s="90"/>
      <c r="AB261" s="90"/>
      <c r="AC261" s="73"/>
      <c r="AE261" s="154"/>
      <c r="AF261" s="154"/>
      <c r="AG261" s="154"/>
      <c r="AH261" s="129"/>
      <c r="AI261" s="130"/>
      <c r="AK261" s="154"/>
      <c r="AL261" s="154"/>
      <c r="AM261" s="154"/>
      <c r="AN261" s="129"/>
      <c r="AO261" s="130"/>
      <c r="AQ261" s="154"/>
      <c r="AR261" s="154"/>
      <c r="AS261" s="154"/>
      <c r="AT261" s="129"/>
      <c r="AU261" s="130"/>
      <c r="AW261" s="154"/>
      <c r="AX261" s="154"/>
      <c r="AY261" s="154"/>
      <c r="AZ261" s="129"/>
      <c r="BA261" s="130"/>
    </row>
    <row r="262" spans="1:53" ht="17.100000000000001" customHeight="1" x14ac:dyDescent="0.25">
      <c r="A262" s="40"/>
      <c r="B262" s="40"/>
      <c r="C262" s="119"/>
      <c r="D262" s="931" t="s">
        <v>666</v>
      </c>
      <c r="E262" s="150"/>
      <c r="F262" s="151"/>
      <c r="G262" s="151"/>
      <c r="H262" s="119"/>
      <c r="I262" s="236"/>
      <c r="J262" s="152"/>
      <c r="K262" s="152"/>
      <c r="L262" s="111"/>
      <c r="M262" s="111"/>
      <c r="N262" s="111"/>
      <c r="O262" s="111"/>
      <c r="P262" s="111"/>
      <c r="Q262" s="111"/>
      <c r="R262" s="111"/>
      <c r="S262" s="111"/>
      <c r="T262" s="111"/>
      <c r="U262" s="111"/>
      <c r="V262" s="358"/>
      <c r="W262" s="380"/>
      <c r="X262" s="111"/>
      <c r="Y262" s="932"/>
      <c r="Z262" s="131"/>
      <c r="AA262" s="131"/>
      <c r="AB262" s="131"/>
      <c r="AC262" s="113"/>
      <c r="AE262" s="152"/>
      <c r="AF262" s="152"/>
      <c r="AG262" s="111"/>
      <c r="AH262" s="932"/>
      <c r="AI262" s="131"/>
      <c r="AK262" s="152"/>
      <c r="AL262" s="152"/>
      <c r="AM262" s="111"/>
      <c r="AN262" s="932"/>
      <c r="AO262" s="131"/>
      <c r="AQ262" s="152"/>
      <c r="AR262" s="152"/>
      <c r="AS262" s="111"/>
      <c r="AT262" s="932"/>
      <c r="AU262" s="131"/>
      <c r="AW262" s="152"/>
      <c r="AX262" s="152"/>
      <c r="AY262" s="111"/>
      <c r="AZ262" s="932"/>
      <c r="BA262" s="131"/>
    </row>
    <row r="263" spans="1:53" ht="17.100000000000001" customHeight="1" x14ac:dyDescent="0.25">
      <c r="A263" s="40"/>
      <c r="B263" s="40"/>
      <c r="C263" s="119"/>
      <c r="D263" s="293" t="s">
        <v>414</v>
      </c>
      <c r="E263" s="142"/>
      <c r="F263" s="143"/>
      <c r="G263" s="143"/>
      <c r="H263" s="245"/>
      <c r="I263" s="239"/>
      <c r="J263" s="154"/>
      <c r="K263" s="154"/>
      <c r="L263" s="154"/>
      <c r="M263" s="154"/>
      <c r="N263" s="154">
        <f t="shared" ref="N263:O268" si="317">N178</f>
        <v>0</v>
      </c>
      <c r="O263" s="154">
        <f t="shared" si="317"/>
        <v>0</v>
      </c>
      <c r="P263" s="154"/>
      <c r="Q263" s="154">
        <f>Q178</f>
        <v>0</v>
      </c>
      <c r="R263" s="154">
        <f>R178</f>
        <v>0</v>
      </c>
      <c r="S263" s="154"/>
      <c r="T263" s="154">
        <f>T178</f>
        <v>0</v>
      </c>
      <c r="U263" s="154">
        <f>U178</f>
        <v>0</v>
      </c>
      <c r="V263" s="159"/>
      <c r="W263" s="387"/>
      <c r="X263" s="154"/>
      <c r="Y263" s="129"/>
      <c r="Z263" s="130"/>
      <c r="AA263" s="130"/>
      <c r="AB263" s="130"/>
      <c r="AC263" s="125"/>
      <c r="AE263" s="154"/>
      <c r="AF263" s="154"/>
      <c r="AG263" s="154"/>
      <c r="AH263" s="129"/>
      <c r="AI263" s="130"/>
      <c r="AK263" s="154"/>
      <c r="AL263" s="154"/>
      <c r="AM263" s="154"/>
      <c r="AN263" s="129"/>
      <c r="AO263" s="130"/>
      <c r="AQ263" s="154"/>
      <c r="AR263" s="154"/>
      <c r="AS263" s="154"/>
      <c r="AT263" s="129"/>
      <c r="AU263" s="130"/>
      <c r="AW263" s="154"/>
      <c r="AX263" s="154"/>
      <c r="AY263" s="154"/>
      <c r="AZ263" s="129"/>
      <c r="BA263" s="130"/>
    </row>
    <row r="264" spans="1:53" ht="17.100000000000001" customHeight="1" x14ac:dyDescent="0.25">
      <c r="A264" s="40"/>
      <c r="B264" s="40"/>
      <c r="C264" s="119"/>
      <c r="D264" s="293" t="s">
        <v>415</v>
      </c>
      <c r="E264" s="142"/>
      <c r="F264" s="143"/>
      <c r="G264" s="143"/>
      <c r="H264" s="245"/>
      <c r="I264" s="239"/>
      <c r="J264" s="154"/>
      <c r="K264" s="154"/>
      <c r="L264" s="154"/>
      <c r="M264" s="154"/>
      <c r="N264" s="154">
        <f t="shared" si="317"/>
        <v>0</v>
      </c>
      <c r="O264" s="154">
        <f t="shared" si="317"/>
        <v>0</v>
      </c>
      <c r="P264" s="154"/>
      <c r="Q264" s="154">
        <f t="shared" ref="Q264:R268" si="318">Q179</f>
        <v>0</v>
      </c>
      <c r="R264" s="154">
        <f t="shared" si="318"/>
        <v>0</v>
      </c>
      <c r="S264" s="154"/>
      <c r="T264" s="154">
        <f t="shared" ref="T264:U268" si="319">T179</f>
        <v>0</v>
      </c>
      <c r="U264" s="154">
        <f t="shared" si="319"/>
        <v>0</v>
      </c>
      <c r="V264" s="159"/>
      <c r="W264" s="387"/>
      <c r="X264" s="154"/>
      <c r="Y264" s="129"/>
      <c r="Z264" s="130"/>
      <c r="AA264" s="130"/>
      <c r="AB264" s="130"/>
      <c r="AC264" s="125"/>
      <c r="AE264" s="154"/>
      <c r="AF264" s="154"/>
      <c r="AG264" s="154"/>
      <c r="AH264" s="129"/>
      <c r="AI264" s="130"/>
      <c r="AK264" s="154"/>
      <c r="AL264" s="154"/>
      <c r="AM264" s="154"/>
      <c r="AN264" s="129"/>
      <c r="AO264" s="130"/>
      <c r="AQ264" s="154"/>
      <c r="AR264" s="154"/>
      <c r="AS264" s="154"/>
      <c r="AT264" s="129"/>
      <c r="AU264" s="130"/>
      <c r="AW264" s="154"/>
      <c r="AX264" s="154"/>
      <c r="AY264" s="154"/>
      <c r="AZ264" s="129"/>
      <c r="BA264" s="130"/>
    </row>
    <row r="265" spans="1:53" ht="17.100000000000001" customHeight="1" x14ac:dyDescent="0.25">
      <c r="A265" s="40"/>
      <c r="B265" s="40"/>
      <c r="C265" s="119"/>
      <c r="D265" s="293" t="s">
        <v>416</v>
      </c>
      <c r="E265" s="142"/>
      <c r="F265" s="143"/>
      <c r="G265" s="143"/>
      <c r="H265" s="245"/>
      <c r="I265" s="239"/>
      <c r="J265" s="154"/>
      <c r="K265" s="154"/>
      <c r="L265" s="154"/>
      <c r="M265" s="154"/>
      <c r="N265" s="154">
        <f t="shared" si="317"/>
        <v>0</v>
      </c>
      <c r="O265" s="154">
        <f t="shared" si="317"/>
        <v>0</v>
      </c>
      <c r="P265" s="154"/>
      <c r="Q265" s="154">
        <f t="shared" si="318"/>
        <v>0</v>
      </c>
      <c r="R265" s="154">
        <f t="shared" si="318"/>
        <v>0</v>
      </c>
      <c r="S265" s="154"/>
      <c r="T265" s="154">
        <f t="shared" si="319"/>
        <v>0</v>
      </c>
      <c r="U265" s="154">
        <f t="shared" si="319"/>
        <v>0</v>
      </c>
      <c r="V265" s="159"/>
      <c r="W265" s="387"/>
      <c r="X265" s="154"/>
      <c r="Y265" s="129"/>
      <c r="Z265" s="130"/>
      <c r="AA265" s="130"/>
      <c r="AB265" s="130"/>
      <c r="AC265" s="125"/>
      <c r="AE265" s="154"/>
      <c r="AF265" s="154"/>
      <c r="AG265" s="154"/>
      <c r="AH265" s="129"/>
      <c r="AI265" s="130"/>
      <c r="AK265" s="154"/>
      <c r="AL265" s="154"/>
      <c r="AM265" s="154"/>
      <c r="AN265" s="129"/>
      <c r="AO265" s="130"/>
      <c r="AQ265" s="154"/>
      <c r="AR265" s="154"/>
      <c r="AS265" s="154"/>
      <c r="AT265" s="129"/>
      <c r="AU265" s="130"/>
      <c r="AW265" s="154"/>
      <c r="AX265" s="154"/>
      <c r="AY265" s="154"/>
      <c r="AZ265" s="129"/>
      <c r="BA265" s="130"/>
    </row>
    <row r="266" spans="1:53" ht="17.100000000000001" customHeight="1" x14ac:dyDescent="0.25">
      <c r="A266" s="40"/>
      <c r="B266" s="40"/>
      <c r="C266" s="119"/>
      <c r="D266" s="293" t="s">
        <v>127</v>
      </c>
      <c r="E266" s="142"/>
      <c r="F266" s="143"/>
      <c r="G266" s="143"/>
      <c r="H266" s="245"/>
      <c r="I266" s="239"/>
      <c r="J266" s="154"/>
      <c r="K266" s="154"/>
      <c r="L266" s="154"/>
      <c r="M266" s="154"/>
      <c r="N266" s="154">
        <f t="shared" si="317"/>
        <v>0</v>
      </c>
      <c r="O266" s="154">
        <f t="shared" si="317"/>
        <v>0</v>
      </c>
      <c r="P266" s="154"/>
      <c r="Q266" s="154">
        <f t="shared" si="318"/>
        <v>0</v>
      </c>
      <c r="R266" s="154">
        <f t="shared" si="318"/>
        <v>0</v>
      </c>
      <c r="S266" s="154"/>
      <c r="T266" s="154">
        <f t="shared" si="319"/>
        <v>0</v>
      </c>
      <c r="U266" s="154">
        <f t="shared" si="319"/>
        <v>0</v>
      </c>
      <c r="V266" s="159"/>
      <c r="W266" s="387"/>
      <c r="X266" s="154"/>
      <c r="Y266" s="129"/>
      <c r="Z266" s="130"/>
      <c r="AA266" s="130"/>
      <c r="AB266" s="130"/>
      <c r="AC266" s="125"/>
      <c r="AE266" s="154"/>
      <c r="AF266" s="154"/>
      <c r="AG266" s="154"/>
      <c r="AH266" s="129"/>
      <c r="AI266" s="130"/>
      <c r="AK266" s="154"/>
      <c r="AL266" s="154"/>
      <c r="AM266" s="154"/>
      <c r="AN266" s="129"/>
      <c r="AO266" s="130"/>
      <c r="AQ266" s="154"/>
      <c r="AR266" s="154"/>
      <c r="AS266" s="154"/>
      <c r="AT266" s="129"/>
      <c r="AU266" s="130"/>
      <c r="AW266" s="154"/>
      <c r="AX266" s="154"/>
      <c r="AY266" s="154"/>
      <c r="AZ266" s="129"/>
      <c r="BA266" s="130"/>
    </row>
    <row r="267" spans="1:53" ht="17.100000000000001" customHeight="1" x14ac:dyDescent="0.25">
      <c r="A267" s="40"/>
      <c r="B267" s="40"/>
      <c r="C267" s="119"/>
      <c r="D267" s="293" t="s">
        <v>417</v>
      </c>
      <c r="E267" s="142"/>
      <c r="F267" s="143"/>
      <c r="G267" s="143"/>
      <c r="H267" s="245"/>
      <c r="I267" s="239"/>
      <c r="J267" s="154"/>
      <c r="K267" s="154"/>
      <c r="L267" s="154"/>
      <c r="M267" s="154"/>
      <c r="N267" s="154">
        <f t="shared" si="317"/>
        <v>0</v>
      </c>
      <c r="O267" s="154">
        <f t="shared" si="317"/>
        <v>0</v>
      </c>
      <c r="P267" s="154"/>
      <c r="Q267" s="154">
        <f t="shared" si="318"/>
        <v>0</v>
      </c>
      <c r="R267" s="154">
        <f t="shared" si="318"/>
        <v>0</v>
      </c>
      <c r="S267" s="154"/>
      <c r="T267" s="154">
        <f t="shared" si="319"/>
        <v>0</v>
      </c>
      <c r="U267" s="154">
        <f t="shared" si="319"/>
        <v>0</v>
      </c>
      <c r="V267" s="159"/>
      <c r="W267" s="387"/>
      <c r="X267" s="154"/>
      <c r="Y267" s="129"/>
      <c r="Z267" s="130"/>
      <c r="AA267" s="130"/>
      <c r="AB267" s="130"/>
      <c r="AC267" s="125"/>
      <c r="AE267" s="154"/>
      <c r="AF267" s="154"/>
      <c r="AG267" s="154"/>
      <c r="AH267" s="129"/>
      <c r="AI267" s="130"/>
      <c r="AK267" s="154"/>
      <c r="AL267" s="154"/>
      <c r="AM267" s="154"/>
      <c r="AN267" s="129"/>
      <c r="AO267" s="130"/>
      <c r="AQ267" s="154"/>
      <c r="AR267" s="154"/>
      <c r="AS267" s="154"/>
      <c r="AT267" s="129"/>
      <c r="AU267" s="130"/>
      <c r="AW267" s="154"/>
      <c r="AX267" s="154"/>
      <c r="AY267" s="154"/>
      <c r="AZ267" s="129"/>
      <c r="BA267" s="130"/>
    </row>
    <row r="268" spans="1:53" ht="17.100000000000001" customHeight="1" x14ac:dyDescent="0.25">
      <c r="A268" s="40"/>
      <c r="B268" s="40"/>
      <c r="C268" s="119"/>
      <c r="D268" s="293" t="s">
        <v>418</v>
      </c>
      <c r="E268" s="142"/>
      <c r="F268" s="143"/>
      <c r="G268" s="143"/>
      <c r="H268" s="245"/>
      <c r="I268" s="239"/>
      <c r="J268" s="154"/>
      <c r="K268" s="154"/>
      <c r="L268" s="154"/>
      <c r="M268" s="154"/>
      <c r="N268" s="154">
        <f t="shared" si="317"/>
        <v>0</v>
      </c>
      <c r="O268" s="154">
        <f t="shared" si="317"/>
        <v>0</v>
      </c>
      <c r="P268" s="154"/>
      <c r="Q268" s="154">
        <f t="shared" si="318"/>
        <v>0</v>
      </c>
      <c r="R268" s="154">
        <f t="shared" si="318"/>
        <v>0</v>
      </c>
      <c r="S268" s="154"/>
      <c r="T268" s="154">
        <f t="shared" si="319"/>
        <v>0</v>
      </c>
      <c r="U268" s="154">
        <f t="shared" si="319"/>
        <v>0</v>
      </c>
      <c r="V268" s="159"/>
      <c r="W268" s="387"/>
      <c r="X268" s="154"/>
      <c r="Y268" s="129"/>
      <c r="Z268" s="130"/>
      <c r="AA268" s="130"/>
      <c r="AB268" s="130"/>
      <c r="AC268" s="125"/>
      <c r="AE268" s="154"/>
      <c r="AF268" s="154"/>
      <c r="AG268" s="154"/>
      <c r="AH268" s="129"/>
      <c r="AI268" s="130"/>
      <c r="AK268" s="154"/>
      <c r="AL268" s="154"/>
      <c r="AM268" s="154"/>
      <c r="AN268" s="129"/>
      <c r="AO268" s="130"/>
      <c r="AQ268" s="154"/>
      <c r="AR268" s="154"/>
      <c r="AS268" s="154"/>
      <c r="AT268" s="129"/>
      <c r="AU268" s="130"/>
      <c r="AW268" s="154"/>
      <c r="AX268" s="154"/>
      <c r="AY268" s="154"/>
      <c r="AZ268" s="129"/>
      <c r="BA268" s="130"/>
    </row>
    <row r="269" spans="1:53" s="158" customFormat="1" ht="17.100000000000001" customHeight="1" x14ac:dyDescent="0.25">
      <c r="A269" s="102"/>
      <c r="B269" s="102"/>
      <c r="C269" s="928"/>
      <c r="D269" s="944" t="s">
        <v>922</v>
      </c>
      <c r="E269" s="945"/>
      <c r="F269" s="946"/>
      <c r="G269" s="946"/>
      <c r="H269" s="242"/>
      <c r="I269" s="230"/>
      <c r="J269" s="160"/>
      <c r="K269" s="160"/>
      <c r="L269" s="160"/>
      <c r="M269" s="160"/>
      <c r="N269" s="160">
        <f>SUM(N263:N268)</f>
        <v>0</v>
      </c>
      <c r="O269" s="160">
        <f>SUM(O263:O268)</f>
        <v>0</v>
      </c>
      <c r="P269" s="160"/>
      <c r="Q269" s="160">
        <f>SUM(Q263:Q268)</f>
        <v>0</v>
      </c>
      <c r="R269" s="160">
        <f>SUM(R263:R268)</f>
        <v>0</v>
      </c>
      <c r="S269" s="160"/>
      <c r="T269" s="160">
        <f>SUM(T263:T268)</f>
        <v>0</v>
      </c>
      <c r="U269" s="160">
        <f>SUM(U263:U268)</f>
        <v>0</v>
      </c>
      <c r="V269" s="947"/>
      <c r="W269" s="948"/>
      <c r="X269" s="160"/>
      <c r="Y269" s="129"/>
      <c r="Z269" s="949"/>
      <c r="AA269" s="949"/>
      <c r="AB269" s="949"/>
      <c r="AC269" s="904"/>
      <c r="AE269" s="160"/>
      <c r="AF269" s="160"/>
      <c r="AG269" s="160"/>
      <c r="AH269" s="129"/>
      <c r="AI269" s="949"/>
      <c r="AJ269" s="409"/>
      <c r="AK269" s="160"/>
      <c r="AL269" s="160"/>
      <c r="AM269" s="160"/>
      <c r="AN269" s="129"/>
      <c r="AO269" s="949"/>
      <c r="AP269" s="409"/>
      <c r="AQ269" s="160"/>
      <c r="AR269" s="160"/>
      <c r="AS269" s="160"/>
      <c r="AT269" s="129"/>
      <c r="AU269" s="949"/>
      <c r="AV269" s="409"/>
      <c r="AW269" s="160"/>
      <c r="AX269" s="160"/>
      <c r="AY269" s="160"/>
      <c r="AZ269" s="129"/>
      <c r="BA269" s="949"/>
    </row>
    <row r="270" spans="1:53" ht="17.100000000000001" customHeight="1" x14ac:dyDescent="0.25">
      <c r="A270" s="40"/>
      <c r="B270" s="40"/>
      <c r="C270" s="119"/>
      <c r="D270" s="293" t="s">
        <v>938</v>
      </c>
      <c r="E270" s="142"/>
      <c r="F270" s="143"/>
      <c r="G270" s="143"/>
      <c r="H270" s="245"/>
      <c r="I270" s="239"/>
      <c r="J270" s="154"/>
      <c r="K270" s="154"/>
      <c r="L270" s="154"/>
      <c r="M270" s="154"/>
      <c r="N270" s="154"/>
      <c r="O270" s="154"/>
      <c r="P270" s="154"/>
      <c r="Q270" s="154"/>
      <c r="R270" s="154"/>
      <c r="S270" s="154"/>
      <c r="T270" s="154"/>
      <c r="U270" s="154"/>
      <c r="V270" s="159"/>
      <c r="W270" s="387"/>
      <c r="X270" s="154"/>
      <c r="Y270" s="129"/>
      <c r="Z270" s="130"/>
      <c r="AA270" s="130"/>
      <c r="AB270" s="130"/>
      <c r="AC270" s="125"/>
      <c r="AE270" s="154"/>
      <c r="AF270" s="154"/>
      <c r="AG270" s="154"/>
      <c r="AH270" s="129"/>
      <c r="AI270" s="130"/>
      <c r="AK270" s="154"/>
      <c r="AL270" s="154"/>
      <c r="AM270" s="154"/>
      <c r="AN270" s="129"/>
      <c r="AO270" s="130"/>
      <c r="AQ270" s="154"/>
      <c r="AR270" s="154"/>
      <c r="AS270" s="154"/>
      <c r="AT270" s="129"/>
      <c r="AU270" s="130"/>
      <c r="AW270" s="154"/>
      <c r="AX270" s="154"/>
      <c r="AY270" s="154"/>
      <c r="AZ270" s="129"/>
      <c r="BA270" s="130"/>
    </row>
    <row r="271" spans="1:53" ht="17.100000000000001" customHeight="1" x14ac:dyDescent="0.25">
      <c r="A271" s="40"/>
      <c r="B271" s="40"/>
      <c r="C271" s="119"/>
      <c r="D271" s="293" t="s">
        <v>414</v>
      </c>
      <c r="E271" s="142"/>
      <c r="F271" s="143"/>
      <c r="G271" s="143"/>
      <c r="H271" s="245"/>
      <c r="I271" s="239"/>
      <c r="J271" s="154"/>
      <c r="K271" s="154"/>
      <c r="L271" s="154"/>
      <c r="M271" s="154"/>
      <c r="N271" s="950">
        <f>IF(N263&gt;0,N263*2,0)</f>
        <v>0</v>
      </c>
      <c r="O271" s="950">
        <f>IF(O263&gt;0,O263*2,0)</f>
        <v>0</v>
      </c>
      <c r="P271" s="154"/>
      <c r="Q271" s="950">
        <f>IF(Q263&gt;0,Q263*2,0)</f>
        <v>0</v>
      </c>
      <c r="R271" s="950">
        <f>IF(R263&gt;0,R263*2,0)</f>
        <v>0</v>
      </c>
      <c r="S271" s="154"/>
      <c r="T271" s="950">
        <f>IF(T263&gt;0,T263*2,0)</f>
        <v>0</v>
      </c>
      <c r="U271" s="950">
        <f>IF(U263&gt;0,U263*2,0)</f>
        <v>0</v>
      </c>
      <c r="V271" s="159"/>
      <c r="W271" s="387"/>
      <c r="X271" s="154"/>
      <c r="Y271" s="129"/>
      <c r="Z271" s="130"/>
      <c r="AA271" s="130"/>
      <c r="AB271" s="130"/>
      <c r="AC271" s="125"/>
      <c r="AE271" s="154"/>
      <c r="AF271" s="154"/>
      <c r="AG271" s="154"/>
      <c r="AH271" s="129"/>
      <c r="AI271" s="130"/>
      <c r="AK271" s="154"/>
      <c r="AL271" s="154"/>
      <c r="AM271" s="154"/>
      <c r="AN271" s="129"/>
      <c r="AO271" s="130"/>
      <c r="AQ271" s="154"/>
      <c r="AR271" s="154"/>
      <c r="AS271" s="154"/>
      <c r="AT271" s="129"/>
      <c r="AU271" s="130"/>
      <c r="AW271" s="154"/>
      <c r="AX271" s="154"/>
      <c r="AY271" s="154"/>
      <c r="AZ271" s="129"/>
      <c r="BA271" s="130"/>
    </row>
    <row r="272" spans="1:53" ht="17.100000000000001" customHeight="1" x14ac:dyDescent="0.25">
      <c r="A272" s="40"/>
      <c r="B272" s="40"/>
      <c r="C272" s="119"/>
      <c r="D272" s="293" t="s">
        <v>415</v>
      </c>
      <c r="E272" s="142"/>
      <c r="F272" s="143"/>
      <c r="G272" s="143"/>
      <c r="H272" s="245"/>
      <c r="I272" s="239"/>
      <c r="J272" s="154"/>
      <c r="K272" s="154"/>
      <c r="L272" s="154"/>
      <c r="M272" s="154"/>
      <c r="N272" s="950">
        <f>IF(N264&gt;0,N264*3,0)</f>
        <v>0</v>
      </c>
      <c r="O272" s="950">
        <f>IF(O264&gt;0,O264*3,0)</f>
        <v>0</v>
      </c>
      <c r="P272" s="154"/>
      <c r="Q272" s="950">
        <f>IF(Q264&gt;0,Q264*3,0)</f>
        <v>0</v>
      </c>
      <c r="R272" s="950">
        <f>IF(R264&gt;0,R264*3,0)</f>
        <v>0</v>
      </c>
      <c r="S272" s="154"/>
      <c r="T272" s="950">
        <f>IF(T264&gt;0,T264*3,0)</f>
        <v>0</v>
      </c>
      <c r="U272" s="950">
        <f>IF(U264&gt;0,U264*3,0)</f>
        <v>0</v>
      </c>
      <c r="V272" s="159"/>
      <c r="W272" s="387"/>
      <c r="X272" s="154"/>
      <c r="Y272" s="129"/>
      <c r="Z272" s="130"/>
      <c r="AA272" s="130"/>
      <c r="AB272" s="130"/>
      <c r="AC272" s="125"/>
      <c r="AE272" s="154"/>
      <c r="AF272" s="154"/>
      <c r="AG272" s="154"/>
      <c r="AH272" s="129"/>
      <c r="AI272" s="130"/>
      <c r="AK272" s="154"/>
      <c r="AL272" s="154"/>
      <c r="AM272" s="154"/>
      <c r="AN272" s="129"/>
      <c r="AO272" s="130"/>
      <c r="AQ272" s="154"/>
      <c r="AR272" s="154"/>
      <c r="AS272" s="154"/>
      <c r="AT272" s="129"/>
      <c r="AU272" s="130"/>
      <c r="AW272" s="154"/>
      <c r="AX272" s="154"/>
      <c r="AY272" s="154"/>
      <c r="AZ272" s="129"/>
      <c r="BA272" s="130"/>
    </row>
    <row r="273" spans="1:53" ht="17.100000000000001" customHeight="1" x14ac:dyDescent="0.25">
      <c r="A273" s="40"/>
      <c r="B273" s="40"/>
      <c r="C273" s="119"/>
      <c r="D273" s="293" t="s">
        <v>416</v>
      </c>
      <c r="E273" s="142"/>
      <c r="F273" s="143"/>
      <c r="G273" s="143"/>
      <c r="H273" s="245"/>
      <c r="I273" s="239"/>
      <c r="J273" s="154"/>
      <c r="K273" s="154"/>
      <c r="L273" s="154"/>
      <c r="M273" s="154"/>
      <c r="N273" s="950">
        <f>IF(N265&gt;0,N265*4,0)</f>
        <v>0</v>
      </c>
      <c r="O273" s="950">
        <f>IF(O265&gt;0,O265*4,0)</f>
        <v>0</v>
      </c>
      <c r="P273" s="154"/>
      <c r="Q273" s="950">
        <f>IF(Q265&gt;0,Q265*4,0)</f>
        <v>0</v>
      </c>
      <c r="R273" s="950">
        <f>IF(R265&gt;0,R265*4,0)</f>
        <v>0</v>
      </c>
      <c r="S273" s="154"/>
      <c r="T273" s="950">
        <f>IF(T265&gt;0,T265*4,0)</f>
        <v>0</v>
      </c>
      <c r="U273" s="950">
        <f>IF(U265&gt;0,U265*4,0)</f>
        <v>0</v>
      </c>
      <c r="V273" s="159"/>
      <c r="W273" s="387"/>
      <c r="X273" s="154"/>
      <c r="Y273" s="129"/>
      <c r="Z273" s="130"/>
      <c r="AA273" s="130"/>
      <c r="AB273" s="130"/>
      <c r="AC273" s="125"/>
      <c r="AE273" s="154"/>
      <c r="AF273" s="154"/>
      <c r="AG273" s="154"/>
      <c r="AH273" s="129"/>
      <c r="AI273" s="130"/>
      <c r="AK273" s="154"/>
      <c r="AL273" s="154"/>
      <c r="AM273" s="154"/>
      <c r="AN273" s="129"/>
      <c r="AO273" s="130"/>
      <c r="AQ273" s="154"/>
      <c r="AR273" s="154"/>
      <c r="AS273" s="154"/>
      <c r="AT273" s="129"/>
      <c r="AU273" s="130"/>
      <c r="AW273" s="154"/>
      <c r="AX273" s="154"/>
      <c r="AY273" s="154"/>
      <c r="AZ273" s="129"/>
      <c r="BA273" s="130"/>
    </row>
    <row r="274" spans="1:53" ht="17.100000000000001" customHeight="1" x14ac:dyDescent="0.25">
      <c r="A274" s="40"/>
      <c r="B274" s="40"/>
      <c r="C274" s="119"/>
      <c r="D274" s="293" t="s">
        <v>127</v>
      </c>
      <c r="E274" s="142"/>
      <c r="F274" s="143"/>
      <c r="G274" s="143"/>
      <c r="H274" s="245"/>
      <c r="I274" s="239"/>
      <c r="J274" s="154"/>
      <c r="K274" s="154"/>
      <c r="L274" s="154"/>
      <c r="M274" s="154"/>
      <c r="N274" s="950">
        <f>IF(N266&gt;0,N266*5,0)</f>
        <v>0</v>
      </c>
      <c r="O274" s="950">
        <f>IF(O266&gt;0,O266*5,0)</f>
        <v>0</v>
      </c>
      <c r="P274" s="154"/>
      <c r="Q274" s="950">
        <f>IF(Q266&gt;0,Q266*5,0)</f>
        <v>0</v>
      </c>
      <c r="R274" s="950">
        <f>IF(R266&gt;0,R266*5,0)</f>
        <v>0</v>
      </c>
      <c r="S274" s="154"/>
      <c r="T274" s="950">
        <f>IF(T266&gt;0,T266*5,0)</f>
        <v>0</v>
      </c>
      <c r="U274" s="950">
        <f>IF(U266&gt;0,U266*5,0)</f>
        <v>0</v>
      </c>
      <c r="V274" s="159"/>
      <c r="W274" s="387"/>
      <c r="X274" s="154"/>
      <c r="Y274" s="129"/>
      <c r="Z274" s="130"/>
      <c r="AA274" s="130"/>
      <c r="AB274" s="130"/>
      <c r="AC274" s="125"/>
      <c r="AE274" s="154"/>
      <c r="AF274" s="154"/>
      <c r="AG274" s="154"/>
      <c r="AH274" s="129"/>
      <c r="AI274" s="130"/>
      <c r="AK274" s="154"/>
      <c r="AL274" s="154"/>
      <c r="AM274" s="154"/>
      <c r="AN274" s="129"/>
      <c r="AO274" s="130"/>
      <c r="AQ274" s="154"/>
      <c r="AR274" s="154"/>
      <c r="AS274" s="154"/>
      <c r="AT274" s="129"/>
      <c r="AU274" s="130"/>
      <c r="AW274" s="154"/>
      <c r="AX274" s="154"/>
      <c r="AY274" s="154"/>
      <c r="AZ274" s="129"/>
      <c r="BA274" s="130"/>
    </row>
    <row r="275" spans="1:53" ht="17.100000000000001" customHeight="1" x14ac:dyDescent="0.25">
      <c r="A275" s="40"/>
      <c r="B275" s="40"/>
      <c r="C275" s="119"/>
      <c r="D275" s="293" t="s">
        <v>417</v>
      </c>
      <c r="E275" s="142"/>
      <c r="F275" s="143"/>
      <c r="G275" s="143"/>
      <c r="H275" s="245"/>
      <c r="I275" s="239"/>
      <c r="J275" s="154"/>
      <c r="K275" s="154"/>
      <c r="L275" s="154"/>
      <c r="M275" s="154"/>
      <c r="N275" s="950">
        <f>IF(N267&gt;0,N267*6,0)</f>
        <v>0</v>
      </c>
      <c r="O275" s="950">
        <f>IF(O267&gt;0,O267*6,0)</f>
        <v>0</v>
      </c>
      <c r="P275" s="154"/>
      <c r="Q275" s="950">
        <f>IF(Q267&gt;0,Q267*6,0)</f>
        <v>0</v>
      </c>
      <c r="R275" s="950">
        <f>IF(R267&gt;0,R267*6,0)</f>
        <v>0</v>
      </c>
      <c r="S275" s="154"/>
      <c r="T275" s="950">
        <f>IF(T267&gt;0,T267*6,0)</f>
        <v>0</v>
      </c>
      <c r="U275" s="950">
        <f>IF(U267&gt;0,U267*6,0)</f>
        <v>0</v>
      </c>
      <c r="V275" s="159"/>
      <c r="W275" s="387"/>
      <c r="X275" s="154"/>
      <c r="Y275" s="129"/>
      <c r="Z275" s="130"/>
      <c r="AA275" s="130"/>
      <c r="AB275" s="130"/>
      <c r="AC275" s="125"/>
      <c r="AE275" s="154"/>
      <c r="AF275" s="154"/>
      <c r="AG275" s="154"/>
      <c r="AH275" s="129"/>
      <c r="AI275" s="130"/>
      <c r="AK275" s="154"/>
      <c r="AL275" s="154"/>
      <c r="AM275" s="154"/>
      <c r="AN275" s="129"/>
      <c r="AO275" s="130"/>
      <c r="AQ275" s="154"/>
      <c r="AR275" s="154"/>
      <c r="AS275" s="154"/>
      <c r="AT275" s="129"/>
      <c r="AU275" s="130"/>
      <c r="AW275" s="154"/>
      <c r="AX275" s="154"/>
      <c r="AY275" s="154"/>
      <c r="AZ275" s="129"/>
      <c r="BA275" s="130"/>
    </row>
    <row r="276" spans="1:53" ht="17.100000000000001" customHeight="1" x14ac:dyDescent="0.25">
      <c r="A276" s="951"/>
      <c r="B276" s="951"/>
      <c r="C276" s="119"/>
      <c r="D276" s="293" t="s">
        <v>418</v>
      </c>
      <c r="E276" s="142"/>
      <c r="F276" s="143"/>
      <c r="G276" s="143"/>
      <c r="H276" s="245"/>
      <c r="I276" s="239"/>
      <c r="J276" s="154"/>
      <c r="K276" s="154"/>
      <c r="L276" s="154"/>
      <c r="M276" s="154"/>
      <c r="N276" s="950">
        <f>IF(N268&gt;0,N268*7.5,0)</f>
        <v>0</v>
      </c>
      <c r="O276" s="950" t="str">
        <f>IF(O268&gt;0,O268*7.5,"")</f>
        <v/>
      </c>
      <c r="P276" s="154"/>
      <c r="Q276" s="950">
        <f>IF(Q268&gt;0,Q268*7.5,0)</f>
        <v>0</v>
      </c>
      <c r="R276" s="950" t="str">
        <f>IF(R268&gt;0,R268*7.5,"")</f>
        <v/>
      </c>
      <c r="S276" s="154"/>
      <c r="T276" s="950">
        <f>IF(T268&gt;0,T268*7.5,0)</f>
        <v>0</v>
      </c>
      <c r="U276" s="950" t="str">
        <f>IF(U268&gt;0,U268*7.5,"")</f>
        <v/>
      </c>
      <c r="V276" s="159"/>
      <c r="W276" s="387"/>
      <c r="X276" s="154"/>
      <c r="Y276" s="129"/>
      <c r="Z276" s="130"/>
      <c r="AA276" s="130"/>
      <c r="AB276" s="130"/>
      <c r="AC276" s="125"/>
      <c r="AE276" s="154"/>
      <c r="AF276" s="154"/>
      <c r="AG276" s="154"/>
      <c r="AH276" s="129"/>
      <c r="AI276" s="130"/>
      <c r="AK276" s="154"/>
      <c r="AL276" s="154"/>
      <c r="AM276" s="154"/>
      <c r="AN276" s="129"/>
      <c r="AO276" s="130"/>
      <c r="AQ276" s="154"/>
      <c r="AR276" s="154"/>
      <c r="AS276" s="154"/>
      <c r="AT276" s="129"/>
      <c r="AU276" s="130"/>
      <c r="AW276" s="154"/>
      <c r="AX276" s="154"/>
      <c r="AY276" s="154"/>
      <c r="AZ276" s="129"/>
      <c r="BA276" s="130"/>
    </row>
    <row r="277" spans="1:53" ht="17.100000000000001" customHeight="1" x14ac:dyDescent="0.25">
      <c r="A277" s="40"/>
      <c r="B277" s="40"/>
      <c r="C277" s="119"/>
      <c r="D277" s="293" t="s">
        <v>1441</v>
      </c>
      <c r="E277" s="142"/>
      <c r="F277" s="143"/>
      <c r="G277" s="143"/>
      <c r="H277" s="245"/>
      <c r="I277" s="239"/>
      <c r="J277" s="534"/>
      <c r="K277" s="154"/>
      <c r="L277" s="154"/>
      <c r="M277" s="154"/>
      <c r="N277" s="952">
        <f>SUM(N271:N276)</f>
        <v>0</v>
      </c>
      <c r="O277" s="952">
        <f>SUM(O271:O276)</f>
        <v>0</v>
      </c>
      <c r="P277" s="154"/>
      <c r="Q277" s="952">
        <f>SUM(Q271:Q276)</f>
        <v>0</v>
      </c>
      <c r="R277" s="952">
        <f>SUM(R271:R276)</f>
        <v>0</v>
      </c>
      <c r="S277" s="154"/>
      <c r="T277" s="952">
        <f>SUM(T271:T276)</f>
        <v>0</v>
      </c>
      <c r="U277" s="952">
        <f>SUM(U271:U276)</f>
        <v>0</v>
      </c>
      <c r="V277" s="159"/>
      <c r="W277" s="387"/>
      <c r="X277" s="154"/>
      <c r="Y277" s="129"/>
      <c r="Z277" s="130"/>
      <c r="AA277" s="130"/>
      <c r="AB277" s="130"/>
      <c r="AC277" s="125"/>
      <c r="AE277" s="154"/>
      <c r="AF277" s="154"/>
      <c r="AG277" s="154"/>
      <c r="AH277" s="129"/>
      <c r="AI277" s="130"/>
      <c r="AK277" s="154"/>
      <c r="AL277" s="154"/>
      <c r="AM277" s="154"/>
      <c r="AN277" s="129"/>
      <c r="AO277" s="130"/>
      <c r="AQ277" s="154"/>
      <c r="AR277" s="154"/>
      <c r="AS277" s="154"/>
      <c r="AT277" s="129"/>
      <c r="AU277" s="130"/>
      <c r="AW277" s="154"/>
      <c r="AX277" s="154"/>
      <c r="AY277" s="154"/>
      <c r="AZ277" s="129"/>
      <c r="BA277" s="130"/>
    </row>
    <row r="278" spans="1:53" s="409" customFormat="1" ht="17.100000000000001" customHeight="1" x14ac:dyDescent="0.25">
      <c r="A278" s="928"/>
      <c r="B278" s="928"/>
      <c r="C278" s="928"/>
      <c r="D278" s="559" t="s">
        <v>939</v>
      </c>
      <c r="E278" s="556"/>
      <c r="F278" s="92"/>
      <c r="G278" s="92"/>
      <c r="H278" s="242"/>
      <c r="I278" s="230"/>
      <c r="J278" s="536"/>
      <c r="K278" s="536"/>
      <c r="L278" s="155"/>
      <c r="M278" s="155"/>
      <c r="N278" s="536" t="str">
        <f>IF(N269=0,"",N277/N269)</f>
        <v/>
      </c>
      <c r="O278" s="536" t="str">
        <f>IF(O269=0,"",O277/O269)</f>
        <v/>
      </c>
      <c r="P278" s="155"/>
      <c r="Q278" s="536" t="str">
        <f>IF(Q269=0,"",Q277/Q269)</f>
        <v/>
      </c>
      <c r="R278" s="536" t="str">
        <f>IF(R269=0,"",R277/R269)</f>
        <v/>
      </c>
      <c r="S278" s="155"/>
      <c r="T278" s="536" t="str">
        <f>IF(T269=0,"",T277/T269)</f>
        <v/>
      </c>
      <c r="U278" s="536" t="str">
        <f>IF(U269=0,"",U277/U269)</f>
        <v/>
      </c>
      <c r="V278" s="366"/>
      <c r="W278" s="550">
        <f>AS278</f>
        <v>0</v>
      </c>
      <c r="X278" s="537">
        <f>AY278</f>
        <v>0</v>
      </c>
      <c r="Y278" s="537">
        <f>AC278</f>
        <v>0</v>
      </c>
      <c r="Z278" s="201"/>
      <c r="AA278" s="340">
        <f>MIN(N278:U278)</f>
        <v>0</v>
      </c>
      <c r="AB278" s="340">
        <f>MAX(N278:U278)</f>
        <v>0</v>
      </c>
      <c r="AC278" s="560">
        <f>IF(SUM(N278:U278)=0,0,AVERAGE(N278:U278))</f>
        <v>0</v>
      </c>
      <c r="AE278" s="155"/>
      <c r="AF278" s="155"/>
      <c r="AG278" s="155"/>
      <c r="AH278" s="927"/>
      <c r="AI278" s="201"/>
      <c r="AK278" s="155"/>
      <c r="AL278" s="155"/>
      <c r="AM278" s="155"/>
      <c r="AN278" s="927"/>
      <c r="AO278" s="201"/>
      <c r="AQ278" s="537">
        <f>MIN(N278,Q278,T278)</f>
        <v>0</v>
      </c>
      <c r="AR278" s="537">
        <f>MAX(N278,Q278,T278)</f>
        <v>0</v>
      </c>
      <c r="AS278" s="537">
        <f>IF(N277+Q277+T277=0,0,AVERAGE(N278,Q278,T278))</f>
        <v>0</v>
      </c>
      <c r="AT278" s="560"/>
      <c r="AU278" s="340"/>
      <c r="AV278" s="561"/>
      <c r="AW278" s="537">
        <f>MIN(O278,R278,U278)</f>
        <v>0</v>
      </c>
      <c r="AX278" s="537">
        <f>MAX(O278,R278,U278)</f>
        <v>0</v>
      </c>
      <c r="AY278" s="537">
        <f>IF(O277+R277+U277=0,0,AVERAGE(O278,R278,U278))</f>
        <v>0</v>
      </c>
      <c r="AZ278" s="927"/>
      <c r="BA278" s="201"/>
    </row>
    <row r="279" spans="1:53" s="964" customFormat="1" ht="17.100000000000001" customHeight="1" x14ac:dyDescent="0.25">
      <c r="A279" s="177"/>
      <c r="B279" s="177"/>
      <c r="C279" s="953"/>
      <c r="D279" s="954" t="s">
        <v>946</v>
      </c>
      <c r="E279" s="955"/>
      <c r="F279" s="956"/>
      <c r="G279" s="956"/>
      <c r="H279" s="957"/>
      <c r="I279" s="958"/>
      <c r="J279" s="950"/>
      <c r="K279" s="950"/>
      <c r="L279" s="950"/>
      <c r="M279" s="950"/>
      <c r="N279" s="952">
        <f>IF(N277=0,0,N278)</f>
        <v>0</v>
      </c>
      <c r="O279" s="952">
        <f>IF(O277=0,0,O278)</f>
        <v>0</v>
      </c>
      <c r="P279" s="952"/>
      <c r="Q279" s="952">
        <f>IF(Q277=0,0,Q278)</f>
        <v>0</v>
      </c>
      <c r="R279" s="952">
        <f>IF(R277=0,0,R278)</f>
        <v>0</v>
      </c>
      <c r="S279" s="952"/>
      <c r="T279" s="952">
        <f>IF(T277=0,0,T278)</f>
        <v>0</v>
      </c>
      <c r="U279" s="952">
        <f>IF(U277=0,0,U278)</f>
        <v>0</v>
      </c>
      <c r="V279" s="959"/>
      <c r="W279" s="960"/>
      <c r="X279" s="950"/>
      <c r="Y279" s="961"/>
      <c r="Z279" s="962"/>
      <c r="AA279" s="962"/>
      <c r="AB279" s="962"/>
      <c r="AC279" s="963"/>
      <c r="AE279" s="950"/>
      <c r="AF279" s="950"/>
      <c r="AG279" s="950"/>
      <c r="AH279" s="961"/>
      <c r="AI279" s="962"/>
      <c r="AJ279" s="965"/>
      <c r="AK279" s="950"/>
      <c r="AL279" s="950"/>
      <c r="AM279" s="950"/>
      <c r="AN279" s="961"/>
      <c r="AO279" s="962"/>
      <c r="AP279" s="965"/>
      <c r="AQ279" s="950"/>
      <c r="AR279" s="950"/>
      <c r="AS279" s="950"/>
      <c r="AT279" s="961"/>
      <c r="AU279" s="962"/>
      <c r="AV279" s="965"/>
      <c r="AW279" s="950"/>
      <c r="AX279" s="950"/>
      <c r="AY279" s="950"/>
      <c r="AZ279" s="961"/>
      <c r="BA279" s="962"/>
    </row>
    <row r="280" spans="1:53" ht="17.100000000000001" customHeight="1" x14ac:dyDescent="0.25">
      <c r="A280" s="40"/>
      <c r="B280" s="40"/>
      <c r="C280" s="40"/>
      <c r="D280" s="930" t="s">
        <v>937</v>
      </c>
      <c r="E280" s="150"/>
      <c r="F280" s="151"/>
      <c r="G280" s="151"/>
      <c r="H280" s="119"/>
      <c r="I280" s="236"/>
      <c r="J280" s="152"/>
      <c r="K280" s="152"/>
      <c r="L280" s="111"/>
      <c r="M280" s="111"/>
      <c r="N280" s="111"/>
      <c r="O280" s="111"/>
      <c r="P280" s="111"/>
      <c r="Q280" s="111"/>
      <c r="R280" s="111"/>
      <c r="S280" s="111"/>
      <c r="T280" s="111"/>
      <c r="U280" s="111"/>
      <c r="V280" s="358"/>
      <c r="W280" s="380"/>
      <c r="X280" s="111"/>
      <c r="Y280" s="932"/>
      <c r="Z280" s="131"/>
      <c r="AA280" s="131"/>
      <c r="AB280" s="131"/>
      <c r="AC280" s="113"/>
      <c r="AE280" s="152"/>
      <c r="AF280" s="152"/>
      <c r="AG280" s="111"/>
      <c r="AH280" s="932"/>
      <c r="AI280" s="131"/>
      <c r="AK280" s="152"/>
      <c r="AL280" s="152"/>
      <c r="AM280" s="111"/>
      <c r="AN280" s="932"/>
      <c r="AO280" s="131"/>
      <c r="AQ280" s="152"/>
      <c r="AR280" s="152"/>
      <c r="AS280" s="111"/>
      <c r="AT280" s="932"/>
      <c r="AU280" s="131"/>
      <c r="AW280" s="152"/>
      <c r="AX280" s="152"/>
      <c r="AY280" s="111"/>
      <c r="AZ280" s="932"/>
      <c r="BA280" s="131"/>
    </row>
    <row r="281" spans="1:53" ht="17.100000000000001" customHeight="1" x14ac:dyDescent="0.25">
      <c r="A281" s="40"/>
      <c r="B281" s="40"/>
      <c r="C281" s="119"/>
      <c r="D281" s="535" t="s">
        <v>947</v>
      </c>
      <c r="E281" s="418"/>
      <c r="F281" s="418"/>
      <c r="G281" s="418"/>
      <c r="H281" s="245"/>
      <c r="I281" s="239"/>
      <c r="J281" s="154"/>
      <c r="K281" s="154"/>
      <c r="L281" s="154"/>
      <c r="M281" s="154"/>
      <c r="N281" s="533">
        <f>1*$J$250+((N279-1)*$J$251)</f>
        <v>-9.8214285714285476E-2</v>
      </c>
      <c r="O281" s="533">
        <f>1*$J$250+((O279-1)*$J$251)</f>
        <v>-9.8214285714285476E-2</v>
      </c>
      <c r="P281" s="534"/>
      <c r="Q281" s="533">
        <f>1*$J$250+((Q279-1)*$J$251)</f>
        <v>-9.8214285714285476E-2</v>
      </c>
      <c r="R281" s="533">
        <f>1*$J$250+((R279-1)*$J$251)</f>
        <v>-9.8214285714285476E-2</v>
      </c>
      <c r="S281" s="154"/>
      <c r="T281" s="533">
        <f>1*$J$250+((T279-1)*$J$251)</f>
        <v>-9.8214285714285476E-2</v>
      </c>
      <c r="U281" s="533">
        <f>1*$J$250+((U279-1)*$J$251)</f>
        <v>-9.8214285714285476E-2</v>
      </c>
      <c r="V281" s="159"/>
      <c r="W281" s="387"/>
      <c r="X281" s="154"/>
      <c r="Y281" s="129"/>
      <c r="Z281" s="130"/>
      <c r="AA281" s="130"/>
      <c r="AB281" s="130"/>
      <c r="AC281" s="125"/>
      <c r="AE281" s="154"/>
      <c r="AF281" s="154"/>
      <c r="AG281" s="154"/>
      <c r="AH281" s="129"/>
      <c r="AI281" s="130"/>
      <c r="AK281" s="154"/>
      <c r="AL281" s="154"/>
      <c r="AM281" s="154"/>
      <c r="AN281" s="129"/>
      <c r="AO281" s="130"/>
      <c r="AQ281" s="154"/>
      <c r="AR281" s="154"/>
      <c r="AS281" s="154"/>
      <c r="AT281" s="129"/>
      <c r="AU281" s="130"/>
      <c r="AW281" s="154"/>
      <c r="AX281" s="154"/>
      <c r="AY281" s="154"/>
      <c r="AZ281" s="129"/>
      <c r="BA281" s="130"/>
    </row>
    <row r="282" spans="1:53" ht="17.100000000000001" customHeight="1" x14ac:dyDescent="0.25">
      <c r="A282" s="40"/>
      <c r="B282" s="40"/>
      <c r="C282" s="119"/>
      <c r="D282" s="535" t="s">
        <v>948</v>
      </c>
      <c r="E282" s="418"/>
      <c r="F282" s="418"/>
      <c r="G282" s="418"/>
      <c r="H282" s="245"/>
      <c r="I282" s="239"/>
      <c r="J282" s="154"/>
      <c r="K282" s="154"/>
      <c r="L282" s="154"/>
      <c r="M282" s="154"/>
      <c r="N282" s="533">
        <f>1*$J$252+((N279-1)*$J$253)</f>
        <v>-0.19642857142857101</v>
      </c>
      <c r="O282" s="533">
        <f>1*$J$252+((O279-1)*$J$253)</f>
        <v>-0.19642857142857101</v>
      </c>
      <c r="P282" s="534"/>
      <c r="Q282" s="533">
        <f>1*$J$252+((Q279-1)*$J$253)</f>
        <v>-0.19642857142857101</v>
      </c>
      <c r="R282" s="533">
        <f>1*$J$252+((R279-1)*$J$253)</f>
        <v>-0.19642857142857101</v>
      </c>
      <c r="S282" s="154"/>
      <c r="T282" s="533">
        <f>1*$J$252+((T279-1)*$J$253)</f>
        <v>-0.19642857142857101</v>
      </c>
      <c r="U282" s="533">
        <f>1*$J$252+((U279-1)*$J$253)</f>
        <v>-0.19642857142857101</v>
      </c>
      <c r="V282" s="159"/>
      <c r="W282" s="387"/>
      <c r="X282" s="154"/>
      <c r="Y282" s="129"/>
      <c r="Z282" s="130"/>
      <c r="AA282" s="130"/>
      <c r="AB282" s="130"/>
      <c r="AC282" s="125"/>
      <c r="AE282" s="154"/>
      <c r="AF282" s="154"/>
      <c r="AG282" s="154"/>
      <c r="AH282" s="129"/>
      <c r="AI282" s="130"/>
      <c r="AK282" s="154"/>
      <c r="AL282" s="154"/>
      <c r="AM282" s="154"/>
      <c r="AN282" s="129"/>
      <c r="AO282" s="130"/>
      <c r="AQ282" s="154"/>
      <c r="AR282" s="154"/>
      <c r="AS282" s="154"/>
      <c r="AT282" s="129"/>
      <c r="AU282" s="130"/>
      <c r="AW282" s="154"/>
      <c r="AX282" s="154"/>
      <c r="AY282" s="154"/>
      <c r="AZ282" s="129"/>
      <c r="BA282" s="130"/>
    </row>
    <row r="283" spans="1:53" ht="17.100000000000001" customHeight="1" x14ac:dyDescent="0.25">
      <c r="A283" s="40"/>
      <c r="B283" s="40"/>
      <c r="C283" s="119"/>
      <c r="D283" s="535" t="s">
        <v>949</v>
      </c>
      <c r="E283" s="418"/>
      <c r="F283" s="418"/>
      <c r="G283" s="418"/>
      <c r="H283" s="245"/>
      <c r="I283" s="239"/>
      <c r="J283" s="154"/>
      <c r="K283" s="154"/>
      <c r="L283" s="154"/>
      <c r="M283" s="154"/>
      <c r="N283" s="533">
        <f>(N279-1)*$J$255</f>
        <v>-0.39285714285714202</v>
      </c>
      <c r="O283" s="533">
        <f>(O279-1)*$J$255</f>
        <v>-0.39285714285714202</v>
      </c>
      <c r="P283" s="534"/>
      <c r="Q283" s="533">
        <f>(Q279-1)*$J$255</f>
        <v>-0.39285714285714202</v>
      </c>
      <c r="R283" s="533">
        <f>(R279-1)*$J$255</f>
        <v>-0.39285714285714202</v>
      </c>
      <c r="S283" s="154"/>
      <c r="T283" s="533">
        <f>(T279-1)*$J$255</f>
        <v>-0.39285714285714202</v>
      </c>
      <c r="U283" s="533">
        <f>(U279-1)*$J$255</f>
        <v>-0.39285714285714202</v>
      </c>
      <c r="V283" s="159"/>
      <c r="W283" s="387"/>
      <c r="X283" s="154"/>
      <c r="Y283" s="129"/>
      <c r="Z283" s="130"/>
      <c r="AA283" s="130"/>
      <c r="AB283" s="130"/>
      <c r="AC283" s="125"/>
      <c r="AE283" s="154"/>
      <c r="AF283" s="154"/>
      <c r="AG283" s="154"/>
      <c r="AH283" s="129"/>
      <c r="AI283" s="130"/>
      <c r="AK283" s="154"/>
      <c r="AL283" s="154"/>
      <c r="AM283" s="154"/>
      <c r="AN283" s="129"/>
      <c r="AO283" s="130"/>
      <c r="AQ283" s="154"/>
      <c r="AR283" s="154"/>
      <c r="AS283" s="154"/>
      <c r="AT283" s="129"/>
      <c r="AU283" s="130"/>
      <c r="AW283" s="154"/>
      <c r="AX283" s="154"/>
      <c r="AY283" s="154"/>
      <c r="AZ283" s="129"/>
      <c r="BA283" s="130"/>
    </row>
    <row r="284" spans="1:53" ht="17.100000000000001" customHeight="1" x14ac:dyDescent="0.25">
      <c r="A284" s="40"/>
      <c r="B284" s="40"/>
      <c r="C284" s="119"/>
      <c r="D284" s="535" t="s">
        <v>950</v>
      </c>
      <c r="E284" s="418"/>
      <c r="F284" s="418"/>
      <c r="G284" s="418"/>
      <c r="H284" s="245"/>
      <c r="I284" s="239"/>
      <c r="J284" s="154"/>
      <c r="K284" s="154"/>
      <c r="L284" s="154"/>
      <c r="M284" s="154"/>
      <c r="N284" s="533">
        <f t="shared" ref="N284:O286" si="320">N257*N281</f>
        <v>0</v>
      </c>
      <c r="O284" s="533">
        <f t="shared" si="320"/>
        <v>0</v>
      </c>
      <c r="P284" s="534"/>
      <c r="Q284" s="533">
        <f t="shared" ref="Q284:R286" si="321">Q257*Q281</f>
        <v>0</v>
      </c>
      <c r="R284" s="533">
        <f t="shared" si="321"/>
        <v>0</v>
      </c>
      <c r="S284" s="154"/>
      <c r="T284" s="533">
        <f t="shared" ref="T284:U286" si="322">T257*T281</f>
        <v>0</v>
      </c>
      <c r="U284" s="533">
        <f t="shared" si="322"/>
        <v>0</v>
      </c>
      <c r="V284" s="159"/>
      <c r="W284" s="387"/>
      <c r="X284" s="154"/>
      <c r="Y284" s="129"/>
      <c r="Z284" s="130"/>
      <c r="AA284" s="130"/>
      <c r="AB284" s="130"/>
      <c r="AC284" s="125"/>
      <c r="AE284" s="154"/>
      <c r="AF284" s="154"/>
      <c r="AG284" s="154"/>
      <c r="AH284" s="129"/>
      <c r="AI284" s="130"/>
      <c r="AK284" s="154"/>
      <c r="AL284" s="154"/>
      <c r="AM284" s="154"/>
      <c r="AN284" s="129"/>
      <c r="AO284" s="130"/>
      <c r="AQ284" s="154"/>
      <c r="AR284" s="154"/>
      <c r="AS284" s="154"/>
      <c r="AT284" s="129"/>
      <c r="AU284" s="130"/>
      <c r="AW284" s="154"/>
      <c r="AX284" s="154"/>
      <c r="AY284" s="154"/>
      <c r="AZ284" s="129"/>
      <c r="BA284" s="130"/>
    </row>
    <row r="285" spans="1:53" ht="17.100000000000001" customHeight="1" x14ac:dyDescent="0.25">
      <c r="A285" s="40"/>
      <c r="B285" s="40"/>
      <c r="C285" s="119"/>
      <c r="D285" s="535" t="s">
        <v>951</v>
      </c>
      <c r="E285" s="418"/>
      <c r="F285" s="418"/>
      <c r="G285" s="418"/>
      <c r="H285" s="245"/>
      <c r="I285" s="239"/>
      <c r="J285" s="154"/>
      <c r="K285" s="154"/>
      <c r="L285" s="154"/>
      <c r="M285" s="154"/>
      <c r="N285" s="533">
        <f t="shared" si="320"/>
        <v>0</v>
      </c>
      <c r="O285" s="533">
        <f t="shared" si="320"/>
        <v>0</v>
      </c>
      <c r="P285" s="534"/>
      <c r="Q285" s="533">
        <f t="shared" si="321"/>
        <v>0</v>
      </c>
      <c r="R285" s="533">
        <f t="shared" si="321"/>
        <v>0</v>
      </c>
      <c r="S285" s="154"/>
      <c r="T285" s="533">
        <f t="shared" si="322"/>
        <v>0</v>
      </c>
      <c r="U285" s="533">
        <f t="shared" si="322"/>
        <v>0</v>
      </c>
      <c r="V285" s="159"/>
      <c r="W285" s="387"/>
      <c r="X285" s="154"/>
      <c r="Y285" s="129"/>
      <c r="Z285" s="130"/>
      <c r="AA285" s="130"/>
      <c r="AB285" s="130"/>
      <c r="AC285" s="125"/>
      <c r="AE285" s="154"/>
      <c r="AF285" s="154"/>
      <c r="AG285" s="154"/>
      <c r="AH285" s="129"/>
      <c r="AI285" s="130"/>
      <c r="AK285" s="154"/>
      <c r="AL285" s="154"/>
      <c r="AM285" s="154"/>
      <c r="AN285" s="129"/>
      <c r="AO285" s="130"/>
      <c r="AQ285" s="154"/>
      <c r="AR285" s="154"/>
      <c r="AS285" s="154"/>
      <c r="AT285" s="129"/>
      <c r="AU285" s="130"/>
      <c r="AW285" s="154"/>
      <c r="AX285" s="154"/>
      <c r="AY285" s="154"/>
      <c r="AZ285" s="129"/>
      <c r="BA285" s="130"/>
    </row>
    <row r="286" spans="1:53" ht="17.100000000000001" customHeight="1" x14ac:dyDescent="0.25">
      <c r="A286" s="40"/>
      <c r="B286" s="40"/>
      <c r="C286" s="119"/>
      <c r="D286" s="535" t="s">
        <v>952</v>
      </c>
      <c r="E286" s="418"/>
      <c r="F286" s="418"/>
      <c r="G286" s="418"/>
      <c r="H286" s="245"/>
      <c r="I286" s="239"/>
      <c r="J286" s="154"/>
      <c r="K286" s="154"/>
      <c r="L286" s="154"/>
      <c r="M286" s="154"/>
      <c r="N286" s="533">
        <f t="shared" si="320"/>
        <v>0</v>
      </c>
      <c r="O286" s="533">
        <f t="shared" si="320"/>
        <v>0</v>
      </c>
      <c r="P286" s="534"/>
      <c r="Q286" s="533">
        <f t="shared" si="321"/>
        <v>0</v>
      </c>
      <c r="R286" s="533">
        <f t="shared" si="321"/>
        <v>0</v>
      </c>
      <c r="S286" s="154"/>
      <c r="T286" s="533">
        <f t="shared" si="322"/>
        <v>0</v>
      </c>
      <c r="U286" s="533">
        <f t="shared" si="322"/>
        <v>0</v>
      </c>
      <c r="V286" s="159"/>
      <c r="W286" s="387"/>
      <c r="X286" s="154"/>
      <c r="Y286" s="129"/>
      <c r="Z286" s="130"/>
      <c r="AA286" s="130"/>
      <c r="AB286" s="130"/>
      <c r="AC286" s="125"/>
      <c r="AE286" s="154"/>
      <c r="AF286" s="154"/>
      <c r="AG286" s="154"/>
      <c r="AH286" s="129"/>
      <c r="AI286" s="130"/>
      <c r="AK286" s="154"/>
      <c r="AL286" s="154"/>
      <c r="AM286" s="154"/>
      <c r="AN286" s="129"/>
      <c r="AO286" s="130"/>
      <c r="AQ286" s="154"/>
      <c r="AR286" s="154"/>
      <c r="AS286" s="154"/>
      <c r="AT286" s="129"/>
      <c r="AU286" s="130"/>
      <c r="AW286" s="154"/>
      <c r="AX286" s="154"/>
      <c r="AY286" s="154"/>
      <c r="AZ286" s="129"/>
      <c r="BA286" s="130"/>
    </row>
    <row r="287" spans="1:53" s="409" customFormat="1" ht="17.100000000000001" customHeight="1" x14ac:dyDescent="0.25">
      <c r="A287" s="928"/>
      <c r="B287" s="928"/>
      <c r="C287" s="928"/>
      <c r="D287" s="461" t="s">
        <v>953</v>
      </c>
      <c r="E287" s="212"/>
      <c r="F287" s="212"/>
      <c r="G287" s="212"/>
      <c r="H287" s="242"/>
      <c r="I287" s="230"/>
      <c r="J287" s="155"/>
      <c r="K287" s="155"/>
      <c r="L287" s="155"/>
      <c r="M287" s="155"/>
      <c r="N287" s="537">
        <f>SUM(N284:N286)</f>
        <v>0</v>
      </c>
      <c r="O287" s="537">
        <f>SUM(O284:O286)</f>
        <v>0</v>
      </c>
      <c r="P287" s="536"/>
      <c r="Q287" s="537">
        <f>SUM(Q284:Q286)</f>
        <v>0</v>
      </c>
      <c r="R287" s="537">
        <f>SUM(R284:R286)</f>
        <v>0</v>
      </c>
      <c r="S287" s="155"/>
      <c r="T287" s="537">
        <f>SUM(T284:T286)</f>
        <v>0</v>
      </c>
      <c r="U287" s="537">
        <f>SUM(U284:U286)</f>
        <v>0</v>
      </c>
      <c r="V287" s="366"/>
      <c r="W287" s="550">
        <f>N287+Q287+T287</f>
        <v>0</v>
      </c>
      <c r="X287" s="537">
        <f>O287+R287+U287</f>
        <v>0</v>
      </c>
      <c r="Y287" s="537">
        <f>SUM(W287:X287)</f>
        <v>0</v>
      </c>
      <c r="Z287" s="546"/>
      <c r="AA287" s="537"/>
      <c r="AB287" s="537"/>
      <c r="AC287" s="547"/>
      <c r="AE287" s="154"/>
      <c r="AF287" s="154"/>
      <c r="AG287" s="154"/>
      <c r="AH287" s="129"/>
      <c r="AI287" s="130"/>
      <c r="AJ287" s="117"/>
      <c r="AK287" s="154"/>
      <c r="AL287" s="154"/>
      <c r="AM287" s="154"/>
      <c r="AN287" s="129"/>
      <c r="AO287" s="130"/>
      <c r="AQ287" s="155"/>
      <c r="AR287" s="155"/>
      <c r="AS287" s="155"/>
      <c r="AT287" s="927"/>
      <c r="AU287" s="201"/>
      <c r="AW287" s="155"/>
      <c r="AX287" s="155"/>
      <c r="AY287" s="155"/>
      <c r="AZ287" s="927"/>
      <c r="BA287" s="201"/>
    </row>
    <row r="288" spans="1:53" s="409" customFormat="1" ht="17.100000000000001" customHeight="1" x14ac:dyDescent="0.25">
      <c r="A288" s="928"/>
      <c r="B288" s="928"/>
      <c r="C288" s="928"/>
      <c r="D288" s="461" t="s">
        <v>954</v>
      </c>
      <c r="E288" s="212"/>
      <c r="F288" s="212"/>
      <c r="G288" s="212"/>
      <c r="H288" s="242"/>
      <c r="I288" s="230"/>
      <c r="J288" s="155"/>
      <c r="K288" s="155"/>
      <c r="L288" s="155"/>
      <c r="M288" s="155"/>
      <c r="N288" s="537" t="str">
        <f>IF(N269=0,"",N287/N269)</f>
        <v/>
      </c>
      <c r="O288" s="537" t="str">
        <f>IF(O269=0,"",O287/O269)</f>
        <v/>
      </c>
      <c r="P288" s="536"/>
      <c r="Q288" s="537" t="str">
        <f>IF(Q269=0,"",Q287/Q269)</f>
        <v/>
      </c>
      <c r="R288" s="537" t="str">
        <f>IF(R269=0,"",R287/R269)</f>
        <v/>
      </c>
      <c r="S288" s="155"/>
      <c r="T288" s="537" t="str">
        <f>IF(T269=0,"",T287/T269)</f>
        <v/>
      </c>
      <c r="U288" s="537" t="str">
        <f>IF(U269=0,"",U287/U269)</f>
        <v/>
      </c>
      <c r="V288" s="366"/>
      <c r="W288" s="549"/>
      <c r="X288" s="536"/>
      <c r="Y288" s="164"/>
      <c r="Z288" s="546"/>
      <c r="AA288" s="537">
        <f>MIN(N288:U288)</f>
        <v>0</v>
      </c>
      <c r="AB288" s="537">
        <f>MAX(N288:U288)</f>
        <v>0</v>
      </c>
      <c r="AC288" s="548">
        <f>IF(SUM(N288:U288)=0,0,AVERAGE(N288:U288))</f>
        <v>0</v>
      </c>
      <c r="AE288" s="154"/>
      <c r="AF288" s="154"/>
      <c r="AG288" s="154"/>
      <c r="AH288" s="129"/>
      <c r="AI288" s="130"/>
      <c r="AJ288" s="117"/>
      <c r="AK288" s="154"/>
      <c r="AL288" s="154"/>
      <c r="AM288" s="154"/>
      <c r="AN288" s="129"/>
      <c r="AO288" s="130"/>
      <c r="AQ288" s="966">
        <f>MIN(N288,Q288,T288)</f>
        <v>0</v>
      </c>
      <c r="AR288" s="966">
        <f>MAX(N288,Q288,T288)</f>
        <v>0</v>
      </c>
      <c r="AS288" s="966">
        <f>IF(N287+Q287+T287=0,0,AVERAGE(N288,Q288,T288))</f>
        <v>0</v>
      </c>
      <c r="AT288" s="927"/>
      <c r="AU288" s="201"/>
      <c r="AW288" s="537">
        <f>MIN(O288,R288,U288)</f>
        <v>0</v>
      </c>
      <c r="AX288" s="537">
        <f>MAX(O288,R288,U288)</f>
        <v>0</v>
      </c>
      <c r="AY288" s="537">
        <f>IF(O287+R287+U287=0,0,AVERAGE(O288,R288,U288))</f>
        <v>0</v>
      </c>
      <c r="AZ288" s="927"/>
      <c r="BA288" s="201"/>
    </row>
    <row r="289" spans="1:53" ht="17.100000000000001" customHeight="1" x14ac:dyDescent="0.25">
      <c r="A289" s="40"/>
      <c r="B289" s="40"/>
      <c r="C289" s="41" t="s">
        <v>957</v>
      </c>
      <c r="D289" s="551" t="s">
        <v>958</v>
      </c>
      <c r="E289" s="43"/>
      <c r="F289" s="301"/>
      <c r="G289" s="301"/>
      <c r="H289" s="119"/>
      <c r="I289" s="236"/>
      <c r="J289" s="552"/>
      <c r="K289" s="552"/>
      <c r="L289" s="552"/>
      <c r="M289" s="552"/>
      <c r="N289" s="552"/>
      <c r="O289" s="552"/>
      <c r="P289" s="552"/>
      <c r="Q289" s="552"/>
      <c r="R289" s="552"/>
      <c r="S289" s="552"/>
      <c r="T289" s="552"/>
      <c r="U289" s="552"/>
      <c r="V289" s="553"/>
      <c r="W289" s="554"/>
      <c r="X289" s="552"/>
      <c r="Y289" s="89"/>
      <c r="Z289" s="90"/>
      <c r="AA289" s="90"/>
      <c r="AB289" s="90"/>
      <c r="AC289" s="73"/>
      <c r="AD289" s="117"/>
      <c r="AE289" s="552"/>
      <c r="AF289" s="552"/>
      <c r="AG289" s="552"/>
      <c r="AH289" s="89"/>
      <c r="AI289" s="90"/>
      <c r="AK289" s="552"/>
      <c r="AL289" s="552"/>
      <c r="AM289" s="552"/>
      <c r="AN289" s="89"/>
      <c r="AO289" s="90"/>
      <c r="AQ289" s="552"/>
      <c r="AR289" s="552"/>
      <c r="AS289" s="552"/>
      <c r="AT289" s="89"/>
      <c r="AU289" s="90"/>
      <c r="AW289" s="552"/>
      <c r="AX289" s="552"/>
      <c r="AY289" s="552"/>
      <c r="AZ289" s="89"/>
      <c r="BA289" s="90"/>
    </row>
    <row r="290" spans="1:53" ht="17.100000000000001" customHeight="1" x14ac:dyDescent="0.25">
      <c r="A290" s="40"/>
      <c r="B290" s="40"/>
      <c r="C290" s="119"/>
      <c r="D290" s="535" t="s">
        <v>428</v>
      </c>
      <c r="E290" s="142"/>
      <c r="F290" s="143"/>
      <c r="G290" s="143"/>
      <c r="H290" s="119"/>
      <c r="I290" s="236"/>
      <c r="J290" s="154">
        <f t="shared" ref="J290:L295" si="323">J155</f>
        <v>0</v>
      </c>
      <c r="K290" s="154">
        <f t="shared" si="323"/>
        <v>0</v>
      </c>
      <c r="L290" s="154">
        <f t="shared" si="323"/>
        <v>0</v>
      </c>
      <c r="M290" s="154"/>
      <c r="N290" s="154"/>
      <c r="O290" s="154"/>
      <c r="P290" s="154"/>
      <c r="Q290" s="154"/>
      <c r="R290" s="154"/>
      <c r="S290" s="154"/>
      <c r="T290" s="154"/>
      <c r="U290" s="154"/>
      <c r="V290" s="159"/>
      <c r="W290" s="387"/>
      <c r="X290" s="154"/>
      <c r="Y290" s="129"/>
      <c r="Z290" s="130"/>
      <c r="AA290" s="130"/>
      <c r="AB290" s="130"/>
      <c r="AC290" s="125"/>
      <c r="AE290" s="154"/>
      <c r="AF290" s="154"/>
      <c r="AG290" s="154"/>
      <c r="AH290" s="129"/>
      <c r="AI290" s="130"/>
      <c r="AK290" s="154"/>
      <c r="AL290" s="154"/>
      <c r="AM290" s="154"/>
      <c r="AN290" s="129"/>
      <c r="AO290" s="130"/>
      <c r="AQ290" s="557">
        <f>J290*0.75</f>
        <v>0</v>
      </c>
      <c r="AR290" s="154"/>
      <c r="AS290" s="154"/>
      <c r="AT290" s="129"/>
      <c r="AU290" s="130"/>
      <c r="AW290" s="154"/>
      <c r="AX290" s="154"/>
      <c r="AY290" s="154"/>
      <c r="AZ290" s="129"/>
      <c r="BA290" s="130"/>
    </row>
    <row r="291" spans="1:53" ht="17.100000000000001" customHeight="1" x14ac:dyDescent="0.25">
      <c r="A291" s="40"/>
      <c r="B291" s="40"/>
      <c r="C291" s="119"/>
      <c r="D291" s="535" t="s">
        <v>429</v>
      </c>
      <c r="E291" s="142"/>
      <c r="F291" s="143"/>
      <c r="G291" s="143"/>
      <c r="H291" s="119"/>
      <c r="I291" s="236"/>
      <c r="J291" s="154">
        <f t="shared" si="323"/>
        <v>0</v>
      </c>
      <c r="K291" s="154">
        <f>K156</f>
        <v>0</v>
      </c>
      <c r="L291" s="154">
        <f t="shared" si="323"/>
        <v>0</v>
      </c>
      <c r="M291" s="154"/>
      <c r="N291" s="154"/>
      <c r="O291" s="154"/>
      <c r="P291" s="154"/>
      <c r="Q291" s="154"/>
      <c r="R291" s="154"/>
      <c r="S291" s="154"/>
      <c r="T291" s="154"/>
      <c r="U291" s="154"/>
      <c r="V291" s="159"/>
      <c r="W291" s="387"/>
      <c r="X291" s="154"/>
      <c r="Y291" s="129"/>
      <c r="Z291" s="130"/>
      <c r="AA291" s="130"/>
      <c r="AB291" s="130"/>
      <c r="AC291" s="125"/>
      <c r="AD291" s="117"/>
      <c r="AE291" s="154"/>
      <c r="AF291" s="154"/>
      <c r="AG291" s="154"/>
      <c r="AH291" s="129"/>
      <c r="AI291" s="130"/>
      <c r="AK291" s="154"/>
      <c r="AL291" s="154"/>
      <c r="AM291" s="154"/>
      <c r="AN291" s="129"/>
      <c r="AO291" s="130"/>
      <c r="AQ291" s="154"/>
      <c r="AR291" s="154"/>
      <c r="AS291" s="154"/>
      <c r="AT291" s="129"/>
      <c r="AU291" s="130"/>
      <c r="AW291" s="154"/>
      <c r="AX291" s="154"/>
      <c r="AY291" s="154"/>
      <c r="AZ291" s="129"/>
      <c r="BA291" s="130"/>
    </row>
    <row r="292" spans="1:53" ht="17.100000000000001" customHeight="1" x14ac:dyDescent="0.25">
      <c r="A292" s="40"/>
      <c r="B292" s="40"/>
      <c r="C292" s="119"/>
      <c r="D292" s="535" t="s">
        <v>430</v>
      </c>
      <c r="E292" s="142"/>
      <c r="F292" s="143"/>
      <c r="G292" s="143"/>
      <c r="H292" s="119"/>
      <c r="I292" s="236"/>
      <c r="J292" s="154">
        <f t="shared" si="323"/>
        <v>0</v>
      </c>
      <c r="K292" s="154">
        <f>K157</f>
        <v>0</v>
      </c>
      <c r="L292" s="154">
        <f t="shared" si="323"/>
        <v>0</v>
      </c>
      <c r="M292" s="154"/>
      <c r="N292" s="154"/>
      <c r="O292" s="154"/>
      <c r="P292" s="154"/>
      <c r="Q292" s="154"/>
      <c r="R292" s="154"/>
      <c r="S292" s="154"/>
      <c r="T292" s="154"/>
      <c r="U292" s="154"/>
      <c r="V292" s="159"/>
      <c r="W292" s="387"/>
      <c r="X292" s="154"/>
      <c r="Y292" s="129"/>
      <c r="Z292" s="130"/>
      <c r="AA292" s="130"/>
      <c r="AB292" s="130"/>
      <c r="AC292" s="125"/>
      <c r="AE292" s="154"/>
      <c r="AF292" s="154"/>
      <c r="AG292" s="154"/>
      <c r="AH292" s="129"/>
      <c r="AI292" s="130"/>
      <c r="AK292" s="154"/>
      <c r="AL292" s="154"/>
      <c r="AM292" s="154"/>
      <c r="AN292" s="129"/>
      <c r="AO292" s="130"/>
      <c r="AQ292" s="154"/>
      <c r="AR292" s="154"/>
      <c r="AS292" s="154"/>
      <c r="AT292" s="129"/>
      <c r="AU292" s="130"/>
      <c r="AW292" s="154"/>
      <c r="AX292" s="154"/>
      <c r="AY292" s="154"/>
      <c r="AZ292" s="129"/>
      <c r="BA292" s="130"/>
    </row>
    <row r="293" spans="1:53" ht="17.100000000000001" customHeight="1" x14ac:dyDescent="0.25">
      <c r="A293" s="40"/>
      <c r="B293" s="40"/>
      <c r="C293" s="119"/>
      <c r="D293" s="535" t="s">
        <v>431</v>
      </c>
      <c r="E293" s="142"/>
      <c r="F293" s="143"/>
      <c r="G293" s="143"/>
      <c r="H293" s="119"/>
      <c r="I293" s="236"/>
      <c r="J293" s="154">
        <f t="shared" si="323"/>
        <v>0</v>
      </c>
      <c r="K293" s="154">
        <f>K158</f>
        <v>0</v>
      </c>
      <c r="L293" s="154">
        <f t="shared" si="323"/>
        <v>0</v>
      </c>
      <c r="M293" s="154"/>
      <c r="N293" s="154"/>
      <c r="O293" s="154"/>
      <c r="P293" s="154"/>
      <c r="Q293" s="154"/>
      <c r="R293" s="154"/>
      <c r="S293" s="154"/>
      <c r="T293" s="154"/>
      <c r="U293" s="154"/>
      <c r="V293" s="159"/>
      <c r="W293" s="387"/>
      <c r="X293" s="154"/>
      <c r="Y293" s="129"/>
      <c r="Z293" s="130"/>
      <c r="AA293" s="130"/>
      <c r="AB293" s="130"/>
      <c r="AC293" s="125"/>
      <c r="AE293" s="154"/>
      <c r="AF293" s="154"/>
      <c r="AG293" s="154"/>
      <c r="AH293" s="129"/>
      <c r="AI293" s="130"/>
      <c r="AK293" s="154"/>
      <c r="AL293" s="154"/>
      <c r="AM293" s="154"/>
      <c r="AN293" s="129"/>
      <c r="AO293" s="130"/>
      <c r="AQ293" s="154"/>
      <c r="AR293" s="154"/>
      <c r="AS293" s="154"/>
      <c r="AT293" s="129"/>
      <c r="AU293" s="130"/>
      <c r="AW293" s="154"/>
      <c r="AX293" s="154"/>
      <c r="AY293" s="154"/>
      <c r="AZ293" s="129"/>
      <c r="BA293" s="130"/>
    </row>
    <row r="294" spans="1:53" s="158" customFormat="1" ht="17.100000000000001" customHeight="1" x14ac:dyDescent="0.25">
      <c r="A294" s="102"/>
      <c r="B294" s="102"/>
      <c r="C294" s="119"/>
      <c r="D294" s="535" t="s">
        <v>432</v>
      </c>
      <c r="E294" s="142"/>
      <c r="F294" s="143"/>
      <c r="G294" s="143"/>
      <c r="H294" s="182"/>
      <c r="I294" s="240"/>
      <c r="J294" s="154">
        <f t="shared" si="323"/>
        <v>0</v>
      </c>
      <c r="K294" s="154">
        <f>K159</f>
        <v>0</v>
      </c>
      <c r="L294" s="154">
        <f t="shared" si="323"/>
        <v>0</v>
      </c>
      <c r="M294" s="154"/>
      <c r="N294" s="154"/>
      <c r="O294" s="154"/>
      <c r="P294" s="154"/>
      <c r="Q294" s="154"/>
      <c r="R294" s="154"/>
      <c r="S294" s="154"/>
      <c r="T294" s="154"/>
      <c r="U294" s="154"/>
      <c r="V294" s="159"/>
      <c r="W294" s="387"/>
      <c r="X294" s="154"/>
      <c r="Y294" s="129"/>
      <c r="Z294" s="130"/>
      <c r="AA294" s="130"/>
      <c r="AB294" s="130"/>
      <c r="AC294" s="125"/>
      <c r="AE294" s="154"/>
      <c r="AF294" s="154"/>
      <c r="AG294" s="154"/>
      <c r="AH294" s="129"/>
      <c r="AI294" s="130"/>
      <c r="AJ294" s="409"/>
      <c r="AK294" s="154"/>
      <c r="AL294" s="154"/>
      <c r="AM294" s="154"/>
      <c r="AN294" s="129"/>
      <c r="AO294" s="130"/>
      <c r="AP294" s="409"/>
      <c r="AQ294" s="557">
        <f>J294*0.75</f>
        <v>0</v>
      </c>
      <c r="AR294" s="154"/>
      <c r="AS294" s="154"/>
      <c r="AT294" s="129"/>
      <c r="AU294" s="130"/>
      <c r="AV294" s="409"/>
      <c r="AW294" s="154"/>
      <c r="AX294" s="154"/>
      <c r="AY294" s="154"/>
      <c r="AZ294" s="129"/>
      <c r="BA294" s="130"/>
    </row>
    <row r="295" spans="1:53" s="158" customFormat="1" ht="17.100000000000001" customHeight="1" x14ac:dyDescent="0.25">
      <c r="A295" s="102"/>
      <c r="B295" s="102"/>
      <c r="C295" s="119"/>
      <c r="D295" s="535" t="s">
        <v>129</v>
      </c>
      <c r="E295" s="142"/>
      <c r="F295" s="143"/>
      <c r="G295" s="143"/>
      <c r="H295" s="182"/>
      <c r="I295" s="240"/>
      <c r="J295" s="154">
        <f t="shared" si="323"/>
        <v>0</v>
      </c>
      <c r="K295" s="154">
        <f>K160</f>
        <v>0</v>
      </c>
      <c r="L295" s="154">
        <f t="shared" si="323"/>
        <v>0</v>
      </c>
      <c r="M295" s="154"/>
      <c r="N295" s="154"/>
      <c r="O295" s="154"/>
      <c r="P295" s="154"/>
      <c r="Q295" s="154"/>
      <c r="R295" s="154"/>
      <c r="S295" s="154"/>
      <c r="T295" s="154"/>
      <c r="U295" s="154"/>
      <c r="V295" s="159"/>
      <c r="W295" s="387"/>
      <c r="X295" s="154"/>
      <c r="Y295" s="129"/>
      <c r="Z295" s="130"/>
      <c r="AA295" s="130"/>
      <c r="AB295" s="130"/>
      <c r="AC295" s="125"/>
      <c r="AE295" s="154"/>
      <c r="AF295" s="154"/>
      <c r="AG295" s="154"/>
      <c r="AH295" s="129"/>
      <c r="AI295" s="130"/>
      <c r="AJ295" s="409"/>
      <c r="AK295" s="154"/>
      <c r="AL295" s="154"/>
      <c r="AM295" s="154"/>
      <c r="AN295" s="129"/>
      <c r="AO295" s="130"/>
      <c r="AP295" s="409"/>
      <c r="AQ295" s="154"/>
      <c r="AR295" s="154"/>
      <c r="AS295" s="154"/>
      <c r="AT295" s="129"/>
      <c r="AU295" s="130"/>
      <c r="AV295" s="409"/>
      <c r="AW295" s="154"/>
      <c r="AX295" s="154"/>
      <c r="AY295" s="154"/>
      <c r="AZ295" s="129"/>
      <c r="BA295" s="130"/>
    </row>
    <row r="296" spans="1:53" s="158" customFormat="1" ht="17.100000000000001" customHeight="1" x14ac:dyDescent="0.25">
      <c r="A296" s="102"/>
      <c r="B296" s="102"/>
      <c r="C296" s="119"/>
      <c r="D296" s="535" t="s">
        <v>965</v>
      </c>
      <c r="E296" s="142"/>
      <c r="F296" s="143"/>
      <c r="G296" s="143"/>
      <c r="H296" s="182"/>
      <c r="I296" s="240"/>
      <c r="J296" s="154">
        <f>SUM(J290:J294)</f>
        <v>0</v>
      </c>
      <c r="K296" s="154">
        <f t="shared" ref="K296:L296" si="324">SUM(K290:K294)</f>
        <v>0</v>
      </c>
      <c r="L296" s="154">
        <f t="shared" si="324"/>
        <v>0</v>
      </c>
      <c r="M296" s="154"/>
      <c r="N296" s="154"/>
      <c r="O296" s="154"/>
      <c r="P296" s="154"/>
      <c r="Q296" s="154"/>
      <c r="R296" s="154"/>
      <c r="S296" s="154"/>
      <c r="T296" s="154"/>
      <c r="U296" s="154"/>
      <c r="V296" s="159"/>
      <c r="W296" s="387"/>
      <c r="X296" s="154"/>
      <c r="Y296" s="129"/>
      <c r="Z296" s="130"/>
      <c r="AA296" s="130"/>
      <c r="AB296" s="130"/>
      <c r="AC296" s="125"/>
      <c r="AE296" s="154"/>
      <c r="AF296" s="154"/>
      <c r="AG296" s="154"/>
      <c r="AH296" s="129"/>
      <c r="AI296" s="130"/>
      <c r="AJ296" s="409"/>
      <c r="AK296" s="154"/>
      <c r="AL296" s="154"/>
      <c r="AM296" s="154"/>
      <c r="AN296" s="129"/>
      <c r="AO296" s="130"/>
      <c r="AP296" s="409"/>
      <c r="AQ296" s="154"/>
      <c r="AR296" s="154"/>
      <c r="AS296" s="154"/>
      <c r="AT296" s="129"/>
      <c r="AU296" s="130"/>
      <c r="AV296" s="409"/>
      <c r="AW296" s="154"/>
      <c r="AX296" s="154"/>
      <c r="AY296" s="154"/>
      <c r="AZ296" s="129"/>
      <c r="BA296" s="130"/>
    </row>
    <row r="297" spans="1:53" s="158" customFormat="1" ht="17.100000000000001" customHeight="1" x14ac:dyDescent="0.25">
      <c r="A297" s="102"/>
      <c r="B297" s="102"/>
      <c r="C297" s="119"/>
      <c r="D297" s="535" t="s">
        <v>981</v>
      </c>
      <c r="E297" s="142"/>
      <c r="F297" s="143"/>
      <c r="G297" s="143"/>
      <c r="H297" s="182"/>
      <c r="I297" s="240"/>
      <c r="J297" s="154"/>
      <c r="K297" s="154"/>
      <c r="L297" s="154"/>
      <c r="M297" s="154"/>
      <c r="N297" s="154"/>
      <c r="O297" s="154"/>
      <c r="P297" s="154"/>
      <c r="Q297" s="154"/>
      <c r="R297" s="154"/>
      <c r="S297" s="154"/>
      <c r="T297" s="154"/>
      <c r="U297" s="154"/>
      <c r="V297" s="159"/>
      <c r="W297" s="387"/>
      <c r="X297" s="154"/>
      <c r="Y297" s="129"/>
      <c r="Z297" s="130"/>
      <c r="AA297" s="130"/>
      <c r="AB297" s="130"/>
      <c r="AC297" s="125"/>
      <c r="AE297" s="154"/>
      <c r="AF297" s="154"/>
      <c r="AG297" s="154"/>
      <c r="AH297" s="129"/>
      <c r="AI297" s="130"/>
      <c r="AJ297" s="409"/>
      <c r="AK297" s="154"/>
      <c r="AL297" s="154"/>
      <c r="AM297" s="154"/>
      <c r="AN297" s="129"/>
      <c r="AO297" s="130"/>
      <c r="AP297" s="409"/>
      <c r="AQ297" s="154"/>
      <c r="AR297" s="154"/>
      <c r="AS297" s="154"/>
      <c r="AT297" s="129"/>
      <c r="AU297" s="130"/>
      <c r="AV297" s="409"/>
      <c r="AW297" s="154"/>
      <c r="AX297" s="154"/>
      <c r="AY297" s="154"/>
      <c r="AZ297" s="129"/>
      <c r="BA297" s="130"/>
    </row>
    <row r="298" spans="1:53" s="158" customFormat="1" ht="17.100000000000001" customHeight="1" x14ac:dyDescent="0.25">
      <c r="A298" s="967"/>
      <c r="B298" s="967"/>
      <c r="C298" s="119"/>
      <c r="D298" s="535" t="s">
        <v>1442</v>
      </c>
      <c r="E298" s="142"/>
      <c r="F298" s="143"/>
      <c r="G298" s="143"/>
      <c r="H298" s="182"/>
      <c r="I298" s="240"/>
      <c r="J298" s="527" t="str">
        <f>IF(J290&gt;0,0.75,"")</f>
        <v/>
      </c>
      <c r="K298" s="527" t="str">
        <f t="shared" ref="K298:L298" si="325">IF(K290&gt;0,0.75,"")</f>
        <v/>
      </c>
      <c r="L298" s="527" t="str">
        <f t="shared" si="325"/>
        <v/>
      </c>
      <c r="M298" s="154"/>
      <c r="N298" s="154"/>
      <c r="O298" s="154"/>
      <c r="P298" s="154"/>
      <c r="Q298" s="154"/>
      <c r="R298" s="154"/>
      <c r="S298" s="154"/>
      <c r="T298" s="154"/>
      <c r="U298" s="154"/>
      <c r="V298" s="159"/>
      <c r="W298" s="387"/>
      <c r="X298" s="154"/>
      <c r="Y298" s="129"/>
      <c r="Z298" s="130"/>
      <c r="AA298" s="130"/>
      <c r="AB298" s="130"/>
      <c r="AC298" s="125"/>
      <c r="AE298" s="154"/>
      <c r="AF298" s="154"/>
      <c r="AG298" s="154"/>
      <c r="AH298" s="129"/>
      <c r="AI298" s="130"/>
      <c r="AJ298" s="409"/>
      <c r="AK298" s="154"/>
      <c r="AL298" s="154"/>
      <c r="AM298" s="154"/>
      <c r="AN298" s="129"/>
      <c r="AO298" s="130"/>
      <c r="AP298" s="409"/>
      <c r="AQ298" s="154"/>
      <c r="AR298" s="154"/>
      <c r="AS298" s="154"/>
      <c r="AT298" s="129"/>
      <c r="AU298" s="130"/>
      <c r="AV298" s="409"/>
      <c r="AW298" s="154"/>
      <c r="AX298" s="154"/>
      <c r="AY298" s="154"/>
      <c r="AZ298" s="129"/>
      <c r="BA298" s="130"/>
    </row>
    <row r="299" spans="1:53" s="158" customFormat="1" ht="17.100000000000001" customHeight="1" x14ac:dyDescent="0.25">
      <c r="A299" s="967"/>
      <c r="B299" s="102"/>
      <c r="C299" s="119"/>
      <c r="D299" s="535" t="s">
        <v>429</v>
      </c>
      <c r="E299" s="142"/>
      <c r="F299" s="143"/>
      <c r="G299" s="143"/>
      <c r="H299" s="182"/>
      <c r="I299" s="240"/>
      <c r="J299" s="527" t="str">
        <f>IF(J291&gt;0,1.5,"")</f>
        <v/>
      </c>
      <c r="K299" s="527" t="str">
        <f t="shared" ref="K299:L299" si="326">IF(K291&gt;0,1.5,"")</f>
        <v/>
      </c>
      <c r="L299" s="527" t="str">
        <f t="shared" si="326"/>
        <v/>
      </c>
      <c r="M299" s="154"/>
      <c r="N299" s="154"/>
      <c r="O299" s="154"/>
      <c r="P299" s="154"/>
      <c r="Q299" s="154"/>
      <c r="R299" s="154"/>
      <c r="S299" s="154"/>
      <c r="T299" s="154"/>
      <c r="U299" s="154"/>
      <c r="V299" s="159"/>
      <c r="W299" s="387"/>
      <c r="X299" s="154"/>
      <c r="Y299" s="129"/>
      <c r="Z299" s="130"/>
      <c r="AA299" s="130"/>
      <c r="AB299" s="130"/>
      <c r="AC299" s="125"/>
      <c r="AE299" s="154"/>
      <c r="AF299" s="154"/>
      <c r="AG299" s="154"/>
      <c r="AH299" s="129"/>
      <c r="AI299" s="130"/>
      <c r="AJ299" s="409"/>
      <c r="AK299" s="154"/>
      <c r="AL299" s="154"/>
      <c r="AM299" s="154"/>
      <c r="AN299" s="129"/>
      <c r="AO299" s="130"/>
      <c r="AP299" s="409"/>
      <c r="AQ299" s="154"/>
      <c r="AR299" s="154"/>
      <c r="AS299" s="154"/>
      <c r="AT299" s="129"/>
      <c r="AU299" s="130"/>
      <c r="AV299" s="409"/>
      <c r="AW299" s="154"/>
      <c r="AX299" s="154"/>
      <c r="AY299" s="154"/>
      <c r="AZ299" s="129"/>
      <c r="BA299" s="130"/>
    </row>
    <row r="300" spans="1:53" s="158" customFormat="1" ht="17.100000000000001" customHeight="1" x14ac:dyDescent="0.25">
      <c r="A300" s="967"/>
      <c r="B300" s="102"/>
      <c r="C300" s="119"/>
      <c r="D300" s="535" t="s">
        <v>430</v>
      </c>
      <c r="E300" s="142"/>
      <c r="F300" s="143"/>
      <c r="G300" s="143"/>
      <c r="H300" s="182"/>
      <c r="I300" s="240"/>
      <c r="J300" s="527" t="str">
        <f>IF(J292&gt;0,3.5,"")</f>
        <v/>
      </c>
      <c r="K300" s="527" t="str">
        <f t="shared" ref="K300:L300" si="327">IF(K292&gt;0,3.5,"")</f>
        <v/>
      </c>
      <c r="L300" s="527" t="str">
        <f t="shared" si="327"/>
        <v/>
      </c>
      <c r="M300" s="154"/>
      <c r="N300" s="154"/>
      <c r="O300" s="154"/>
      <c r="P300" s="154"/>
      <c r="Q300" s="154"/>
      <c r="R300" s="154"/>
      <c r="S300" s="154"/>
      <c r="T300" s="154"/>
      <c r="U300" s="154"/>
      <c r="V300" s="159"/>
      <c r="W300" s="387"/>
      <c r="X300" s="154"/>
      <c r="Y300" s="129"/>
      <c r="Z300" s="130"/>
      <c r="AA300" s="130"/>
      <c r="AB300" s="130"/>
      <c r="AC300" s="125"/>
      <c r="AE300" s="154"/>
      <c r="AF300" s="154"/>
      <c r="AG300" s="154"/>
      <c r="AH300" s="129"/>
      <c r="AI300" s="130"/>
      <c r="AJ300" s="409"/>
      <c r="AK300" s="154"/>
      <c r="AL300" s="154"/>
      <c r="AM300" s="154"/>
      <c r="AN300" s="129"/>
      <c r="AO300" s="130"/>
      <c r="AP300" s="409"/>
      <c r="AQ300" s="154"/>
      <c r="AR300" s="154"/>
      <c r="AS300" s="154"/>
      <c r="AT300" s="129"/>
      <c r="AU300" s="130"/>
      <c r="AV300" s="409"/>
      <c r="AW300" s="154"/>
      <c r="AX300" s="154"/>
      <c r="AY300" s="154"/>
      <c r="AZ300" s="129"/>
      <c r="BA300" s="130"/>
    </row>
    <row r="301" spans="1:53" s="158" customFormat="1" ht="17.100000000000001" customHeight="1" x14ac:dyDescent="0.25">
      <c r="A301" s="967"/>
      <c r="B301" s="102"/>
      <c r="C301" s="119"/>
      <c r="D301" s="535" t="s">
        <v>431</v>
      </c>
      <c r="E301" s="142"/>
      <c r="F301" s="143"/>
      <c r="G301" s="143"/>
      <c r="H301" s="182"/>
      <c r="I301" s="240"/>
      <c r="J301" s="527" t="str">
        <f>IF(J293&gt;0,7.5,"")</f>
        <v/>
      </c>
      <c r="K301" s="527" t="str">
        <f t="shared" ref="K301:L301" si="328">IF(K293&gt;0,7.5,"")</f>
        <v/>
      </c>
      <c r="L301" s="527" t="str">
        <f t="shared" si="328"/>
        <v/>
      </c>
      <c r="M301" s="154"/>
      <c r="N301" s="154"/>
      <c r="O301" s="154"/>
      <c r="P301" s="154"/>
      <c r="Q301" s="154"/>
      <c r="R301" s="154"/>
      <c r="S301" s="154"/>
      <c r="T301" s="154"/>
      <c r="U301" s="154"/>
      <c r="V301" s="159"/>
      <c r="W301" s="387"/>
      <c r="X301" s="154"/>
      <c r="Y301" s="129"/>
      <c r="Z301" s="130"/>
      <c r="AA301" s="130"/>
      <c r="AB301" s="130"/>
      <c r="AC301" s="125"/>
      <c r="AE301" s="154"/>
      <c r="AF301" s="154"/>
      <c r="AG301" s="154"/>
      <c r="AH301" s="129"/>
      <c r="AI301" s="130"/>
      <c r="AJ301" s="409"/>
      <c r="AK301" s="154"/>
      <c r="AL301" s="154"/>
      <c r="AM301" s="154"/>
      <c r="AN301" s="129"/>
      <c r="AO301" s="130"/>
      <c r="AP301" s="409"/>
      <c r="AQ301" s="154"/>
      <c r="AR301" s="154"/>
      <c r="AS301" s="154"/>
      <c r="AT301" s="129"/>
      <c r="AU301" s="130"/>
      <c r="AV301" s="409"/>
      <c r="AW301" s="154"/>
      <c r="AX301" s="154"/>
      <c r="AY301" s="154"/>
      <c r="AZ301" s="129"/>
      <c r="BA301" s="130"/>
    </row>
    <row r="302" spans="1:53" s="158" customFormat="1" ht="17.100000000000001" customHeight="1" x14ac:dyDescent="0.25">
      <c r="A302" s="967"/>
      <c r="B302" s="102"/>
      <c r="C302" s="119"/>
      <c r="D302" s="535" t="s">
        <v>432</v>
      </c>
      <c r="E302" s="142"/>
      <c r="F302" s="143"/>
      <c r="G302" s="143"/>
      <c r="H302" s="182"/>
      <c r="I302" s="240"/>
      <c r="J302" s="527" t="str">
        <f>IF(J294&gt;0,12.5,"")</f>
        <v/>
      </c>
      <c r="K302" s="527" t="str">
        <f t="shared" ref="K302:L302" si="329">IF(K294&gt;0,12.5,"")</f>
        <v/>
      </c>
      <c r="L302" s="527" t="str">
        <f t="shared" si="329"/>
        <v/>
      </c>
      <c r="M302" s="154"/>
      <c r="N302" s="154"/>
      <c r="O302" s="154"/>
      <c r="P302" s="154"/>
      <c r="Q302" s="154"/>
      <c r="R302" s="154"/>
      <c r="S302" s="154"/>
      <c r="T302" s="154"/>
      <c r="U302" s="154"/>
      <c r="V302" s="159"/>
      <c r="W302" s="387"/>
      <c r="X302" s="154"/>
      <c r="Y302" s="129"/>
      <c r="Z302" s="130"/>
      <c r="AA302" s="130"/>
      <c r="AB302" s="130"/>
      <c r="AC302" s="125"/>
      <c r="AE302" s="154"/>
      <c r="AF302" s="154"/>
      <c r="AG302" s="154"/>
      <c r="AH302" s="129"/>
      <c r="AI302" s="130"/>
      <c r="AJ302" s="409"/>
      <c r="AK302" s="154"/>
      <c r="AL302" s="154"/>
      <c r="AM302" s="154"/>
      <c r="AN302" s="129"/>
      <c r="AO302" s="130"/>
      <c r="AP302" s="409"/>
      <c r="AQ302" s="154"/>
      <c r="AR302" s="154"/>
      <c r="AS302" s="154"/>
      <c r="AT302" s="129"/>
      <c r="AU302" s="130"/>
      <c r="AV302" s="409"/>
      <c r="AW302" s="154"/>
      <c r="AX302" s="154"/>
      <c r="AY302" s="154"/>
      <c r="AZ302" s="129"/>
      <c r="BA302" s="130"/>
    </row>
    <row r="303" spans="1:53" s="158" customFormat="1" ht="17.100000000000001" customHeight="1" x14ac:dyDescent="0.25">
      <c r="A303" s="967"/>
      <c r="B303" s="102"/>
      <c r="C303" s="119"/>
      <c r="D303" s="535" t="s">
        <v>959</v>
      </c>
      <c r="E303" s="142"/>
      <c r="F303" s="143"/>
      <c r="G303" s="143"/>
      <c r="H303" s="182"/>
      <c r="I303" s="240"/>
      <c r="J303" s="154"/>
      <c r="K303" s="154"/>
      <c r="L303" s="154"/>
      <c r="M303" s="154"/>
      <c r="N303" s="154"/>
      <c r="O303" s="154"/>
      <c r="P303" s="154"/>
      <c r="Q303" s="154"/>
      <c r="R303" s="154"/>
      <c r="S303" s="154"/>
      <c r="T303" s="154"/>
      <c r="U303" s="154"/>
      <c r="V303" s="159"/>
      <c r="W303" s="387"/>
      <c r="X303" s="154"/>
      <c r="Y303" s="129"/>
      <c r="Z303" s="130"/>
      <c r="AA303" s="130"/>
      <c r="AB303" s="130"/>
      <c r="AC303" s="125"/>
      <c r="AE303" s="154"/>
      <c r="AF303" s="154"/>
      <c r="AG303" s="154"/>
      <c r="AH303" s="129"/>
      <c r="AI303" s="130"/>
      <c r="AJ303" s="409"/>
      <c r="AK303" s="154"/>
      <c r="AL303" s="154"/>
      <c r="AM303" s="154"/>
      <c r="AN303" s="129"/>
      <c r="AO303" s="130"/>
      <c r="AP303" s="409"/>
      <c r="AQ303" s="154"/>
      <c r="AR303" s="154"/>
      <c r="AS303" s="154"/>
      <c r="AT303" s="129"/>
      <c r="AU303" s="130"/>
      <c r="AV303" s="409"/>
      <c r="AW303" s="154"/>
      <c r="AX303" s="154"/>
      <c r="AY303" s="154"/>
      <c r="AZ303" s="129"/>
      <c r="BA303" s="130"/>
    </row>
    <row r="304" spans="1:53" s="158" customFormat="1" ht="17.100000000000001" customHeight="1" x14ac:dyDescent="0.25">
      <c r="A304" s="967"/>
      <c r="B304" s="102"/>
      <c r="C304" s="119"/>
      <c r="D304" s="535" t="s">
        <v>961</v>
      </c>
      <c r="E304" s="142"/>
      <c r="F304" s="555"/>
      <c r="G304" s="555"/>
      <c r="H304" s="182"/>
      <c r="I304" s="240"/>
      <c r="J304" s="533">
        <f>J290*0.75</f>
        <v>0</v>
      </c>
      <c r="K304" s="533">
        <f>K290*0.75</f>
        <v>0</v>
      </c>
      <c r="L304" s="533">
        <f>L290*0.75</f>
        <v>0</v>
      </c>
      <c r="M304" s="154"/>
      <c r="N304" s="154"/>
      <c r="O304" s="154"/>
      <c r="P304" s="154"/>
      <c r="Q304" s="154"/>
      <c r="R304" s="154"/>
      <c r="S304" s="154"/>
      <c r="T304" s="154"/>
      <c r="U304" s="154"/>
      <c r="V304" s="159"/>
      <c r="W304" s="387"/>
      <c r="X304" s="154"/>
      <c r="Y304" s="129"/>
      <c r="Z304" s="130"/>
      <c r="AA304" s="130"/>
      <c r="AB304" s="130"/>
      <c r="AC304" s="125"/>
      <c r="AE304" s="154"/>
      <c r="AF304" s="154"/>
      <c r="AG304" s="154"/>
      <c r="AH304" s="129"/>
      <c r="AI304" s="130"/>
      <c r="AJ304" s="409"/>
      <c r="AK304" s="154"/>
      <c r="AL304" s="154"/>
      <c r="AM304" s="154"/>
      <c r="AN304" s="129"/>
      <c r="AO304" s="130"/>
      <c r="AP304" s="409"/>
      <c r="AQ304" s="154"/>
      <c r="AR304" s="154"/>
      <c r="AS304" s="154"/>
      <c r="AT304" s="129"/>
      <c r="AU304" s="130"/>
      <c r="AV304" s="409"/>
      <c r="AW304" s="154"/>
      <c r="AX304" s="154"/>
      <c r="AY304" s="154"/>
      <c r="AZ304" s="129"/>
      <c r="BA304" s="130"/>
    </row>
    <row r="305" spans="1:53" s="158" customFormat="1" ht="17.100000000000001" customHeight="1" x14ac:dyDescent="0.25">
      <c r="A305" s="967"/>
      <c r="B305" s="102"/>
      <c r="C305" s="119"/>
      <c r="D305" s="535" t="s">
        <v>960</v>
      </c>
      <c r="E305" s="142"/>
      <c r="F305" s="143"/>
      <c r="G305" s="143"/>
      <c r="H305" s="182"/>
      <c r="I305" s="240"/>
      <c r="J305" s="533">
        <f>J291*1.5</f>
        <v>0</v>
      </c>
      <c r="K305" s="533">
        <f>K291*1.5</f>
        <v>0</v>
      </c>
      <c r="L305" s="533">
        <f>L291*1.5</f>
        <v>0</v>
      </c>
      <c r="M305" s="154"/>
      <c r="N305" s="154"/>
      <c r="O305" s="154"/>
      <c r="P305" s="154"/>
      <c r="Q305" s="154"/>
      <c r="R305" s="154"/>
      <c r="S305" s="154"/>
      <c r="T305" s="154"/>
      <c r="U305" s="154"/>
      <c r="V305" s="154"/>
      <c r="W305" s="387"/>
      <c r="X305" s="154"/>
      <c r="Y305" s="129"/>
      <c r="Z305" s="130"/>
      <c r="AA305" s="130"/>
      <c r="AB305" s="130"/>
      <c r="AC305" s="125"/>
      <c r="AE305" s="154"/>
      <c r="AF305" s="154"/>
      <c r="AG305" s="154"/>
      <c r="AH305" s="129"/>
      <c r="AI305" s="130"/>
      <c r="AJ305" s="409"/>
      <c r="AK305" s="154"/>
      <c r="AL305" s="154"/>
      <c r="AM305" s="154"/>
      <c r="AN305" s="129"/>
      <c r="AO305" s="130"/>
      <c r="AP305" s="409"/>
      <c r="AQ305" s="154"/>
      <c r="AR305" s="154"/>
      <c r="AS305" s="154"/>
      <c r="AT305" s="129"/>
      <c r="AU305" s="130"/>
      <c r="AV305" s="409"/>
      <c r="AW305" s="154"/>
      <c r="AX305" s="154"/>
      <c r="AY305" s="154"/>
      <c r="AZ305" s="129"/>
      <c r="BA305" s="130"/>
    </row>
    <row r="306" spans="1:53" s="158" customFormat="1" ht="17.100000000000001" customHeight="1" x14ac:dyDescent="0.25">
      <c r="A306" s="967"/>
      <c r="B306" s="102"/>
      <c r="C306" s="119"/>
      <c r="D306" s="535" t="s">
        <v>962</v>
      </c>
      <c r="E306" s="142"/>
      <c r="F306" s="143"/>
      <c r="G306" s="143"/>
      <c r="H306" s="182"/>
      <c r="I306" s="240"/>
      <c r="J306" s="533">
        <f>J292*3.5</f>
        <v>0</v>
      </c>
      <c r="K306" s="533">
        <f>K292*3.5</f>
        <v>0</v>
      </c>
      <c r="L306" s="533">
        <f>L292*3.5</f>
        <v>0</v>
      </c>
      <c r="M306" s="154"/>
      <c r="N306" s="154"/>
      <c r="O306" s="154"/>
      <c r="P306" s="154"/>
      <c r="Q306" s="154"/>
      <c r="R306" s="154"/>
      <c r="S306" s="154"/>
      <c r="T306" s="154"/>
      <c r="U306" s="154"/>
      <c r="V306" s="154"/>
      <c r="W306" s="387"/>
      <c r="X306" s="154"/>
      <c r="Y306" s="129"/>
      <c r="Z306" s="130"/>
      <c r="AA306" s="130"/>
      <c r="AB306" s="130"/>
      <c r="AC306" s="125"/>
      <c r="AE306" s="154"/>
      <c r="AF306" s="154"/>
      <c r="AG306" s="154"/>
      <c r="AH306" s="129"/>
      <c r="AI306" s="130"/>
      <c r="AJ306" s="409"/>
      <c r="AK306" s="154"/>
      <c r="AL306" s="154"/>
      <c r="AM306" s="154"/>
      <c r="AN306" s="129"/>
      <c r="AO306" s="130"/>
      <c r="AP306" s="409"/>
      <c r="AQ306" s="154"/>
      <c r="AR306" s="154"/>
      <c r="AS306" s="154"/>
      <c r="AT306" s="129"/>
      <c r="AU306" s="130"/>
      <c r="AV306" s="409"/>
      <c r="AW306" s="154"/>
      <c r="AX306" s="154"/>
      <c r="AY306" s="154"/>
      <c r="AZ306" s="129"/>
      <c r="BA306" s="130"/>
    </row>
    <row r="307" spans="1:53" s="158" customFormat="1" ht="17.100000000000001" customHeight="1" x14ac:dyDescent="0.25">
      <c r="A307" s="967"/>
      <c r="B307" s="102"/>
      <c r="C307" s="119"/>
      <c r="D307" s="535" t="s">
        <v>963</v>
      </c>
      <c r="E307" s="142"/>
      <c r="F307" s="143"/>
      <c r="G307" s="143"/>
      <c r="H307" s="182"/>
      <c r="I307" s="240"/>
      <c r="J307" s="533">
        <f>J293*7.5</f>
        <v>0</v>
      </c>
      <c r="K307" s="533">
        <f>K293*7.5</f>
        <v>0</v>
      </c>
      <c r="L307" s="533">
        <f>L293*7.5</f>
        <v>0</v>
      </c>
      <c r="M307" s="154"/>
      <c r="N307" s="154"/>
      <c r="O307" s="154"/>
      <c r="P307" s="154"/>
      <c r="Q307" s="154"/>
      <c r="R307" s="154"/>
      <c r="S307" s="154"/>
      <c r="T307" s="154"/>
      <c r="U307" s="154"/>
      <c r="V307" s="154"/>
      <c r="W307" s="387"/>
      <c r="X307" s="154"/>
      <c r="Y307" s="129"/>
      <c r="Z307" s="130"/>
      <c r="AA307" s="130"/>
      <c r="AB307" s="130"/>
      <c r="AC307" s="125"/>
      <c r="AE307" s="154"/>
      <c r="AF307" s="154"/>
      <c r="AG307" s="154"/>
      <c r="AH307" s="129"/>
      <c r="AI307" s="130"/>
      <c r="AJ307" s="409"/>
      <c r="AK307" s="154"/>
      <c r="AL307" s="154"/>
      <c r="AM307" s="154"/>
      <c r="AN307" s="129"/>
      <c r="AO307" s="130"/>
      <c r="AP307" s="409"/>
      <c r="AQ307" s="154"/>
      <c r="AR307" s="154"/>
      <c r="AS307" s="154"/>
      <c r="AT307" s="129"/>
      <c r="AU307" s="130"/>
      <c r="AV307" s="409"/>
      <c r="AW307" s="154"/>
      <c r="AX307" s="154"/>
      <c r="AY307" s="154"/>
      <c r="AZ307" s="129"/>
      <c r="BA307" s="130"/>
    </row>
    <row r="308" spans="1:53" s="158" customFormat="1" ht="17.100000000000001" customHeight="1" x14ac:dyDescent="0.25">
      <c r="A308" s="967"/>
      <c r="B308" s="102"/>
      <c r="C308" s="119"/>
      <c r="D308" s="535" t="s">
        <v>964</v>
      </c>
      <c r="E308" s="142"/>
      <c r="F308" s="143"/>
      <c r="G308" s="143"/>
      <c r="H308" s="182"/>
      <c r="I308" s="240"/>
      <c r="J308" s="533">
        <f>J294*12.5</f>
        <v>0</v>
      </c>
      <c r="K308" s="533">
        <f>K294*12.5</f>
        <v>0</v>
      </c>
      <c r="L308" s="533">
        <f>L294*12.5</f>
        <v>0</v>
      </c>
      <c r="M308" s="154"/>
      <c r="N308" s="154"/>
      <c r="O308" s="154"/>
      <c r="P308" s="154"/>
      <c r="Q308" s="154"/>
      <c r="R308" s="154"/>
      <c r="S308" s="154"/>
      <c r="T308" s="154"/>
      <c r="U308" s="154"/>
      <c r="V308" s="154"/>
      <c r="W308" s="387"/>
      <c r="X308" s="154"/>
      <c r="Y308" s="129"/>
      <c r="Z308" s="130"/>
      <c r="AA308" s="130"/>
      <c r="AB308" s="130"/>
      <c r="AC308" s="125"/>
      <c r="AE308" s="154"/>
      <c r="AF308" s="154"/>
      <c r="AG308" s="154"/>
      <c r="AH308" s="129"/>
      <c r="AI308" s="130"/>
      <c r="AJ308" s="409"/>
      <c r="AK308" s="154"/>
      <c r="AL308" s="154"/>
      <c r="AM308" s="154"/>
      <c r="AN308" s="129"/>
      <c r="AO308" s="130"/>
      <c r="AP308" s="409"/>
      <c r="AQ308" s="154"/>
      <c r="AR308" s="154"/>
      <c r="AS308" s="154"/>
      <c r="AT308" s="129"/>
      <c r="AU308" s="130"/>
      <c r="AV308" s="409"/>
      <c r="AW308" s="154"/>
      <c r="AX308" s="154"/>
      <c r="AY308" s="154"/>
      <c r="AZ308" s="129"/>
      <c r="BA308" s="130"/>
    </row>
    <row r="309" spans="1:53" s="158" customFormat="1" ht="17.100000000000001" customHeight="1" x14ac:dyDescent="0.25">
      <c r="A309" s="967"/>
      <c r="B309" s="102"/>
      <c r="C309" s="119"/>
      <c r="D309" s="535" t="s">
        <v>922</v>
      </c>
      <c r="E309" s="142"/>
      <c r="F309" s="143"/>
      <c r="G309" s="143"/>
      <c r="H309" s="182"/>
      <c r="I309" s="240"/>
      <c r="J309" s="533">
        <f>SUM(J304:J308)</f>
        <v>0</v>
      </c>
      <c r="K309" s="533">
        <f t="shared" ref="K309:L309" si="330">SUM(K304:K308)</f>
        <v>0</v>
      </c>
      <c r="L309" s="533">
        <f t="shared" si="330"/>
        <v>0</v>
      </c>
      <c r="M309" s="154"/>
      <c r="N309" s="154"/>
      <c r="O309" s="154"/>
      <c r="P309" s="154"/>
      <c r="Q309" s="154"/>
      <c r="R309" s="154"/>
      <c r="S309" s="154"/>
      <c r="T309" s="154"/>
      <c r="U309" s="154"/>
      <c r="V309" s="154"/>
      <c r="W309" s="387"/>
      <c r="X309" s="154"/>
      <c r="Y309" s="129"/>
      <c r="Z309" s="130"/>
      <c r="AA309" s="130"/>
      <c r="AB309" s="130"/>
      <c r="AC309" s="125"/>
      <c r="AE309" s="154"/>
      <c r="AF309" s="154"/>
      <c r="AG309" s="154"/>
      <c r="AH309" s="129"/>
      <c r="AI309" s="130"/>
      <c r="AJ309" s="409"/>
      <c r="AK309" s="154"/>
      <c r="AL309" s="154"/>
      <c r="AM309" s="154"/>
      <c r="AN309" s="129"/>
      <c r="AO309" s="130"/>
      <c r="AP309" s="409"/>
      <c r="AQ309" s="154"/>
      <c r="AR309" s="154"/>
      <c r="AS309" s="154"/>
      <c r="AT309" s="129"/>
      <c r="AU309" s="130"/>
      <c r="AV309" s="409"/>
      <c r="AW309" s="154"/>
      <c r="AX309" s="154"/>
      <c r="AY309" s="154"/>
      <c r="AZ309" s="129"/>
      <c r="BA309" s="130"/>
    </row>
    <row r="310" spans="1:53" s="409" customFormat="1" ht="17.100000000000001" customHeight="1" x14ac:dyDescent="0.25">
      <c r="A310" s="967"/>
      <c r="B310" s="928"/>
      <c r="C310" s="928"/>
      <c r="D310" s="461" t="s">
        <v>980</v>
      </c>
      <c r="E310" s="556"/>
      <c r="F310" s="92"/>
      <c r="G310" s="92"/>
      <c r="H310" s="182"/>
      <c r="I310" s="240"/>
      <c r="J310" s="537" t="str">
        <f>IF(SUM(J298:J302)=0,"",MIN(J298:J302))</f>
        <v/>
      </c>
      <c r="K310" s="537" t="str">
        <f t="shared" ref="K310:L310" si="331">IF(SUM(K298:K302)=0,"",MIN(K298:K302))</f>
        <v/>
      </c>
      <c r="L310" s="537" t="str">
        <f t="shared" si="331"/>
        <v/>
      </c>
      <c r="M310" s="155"/>
      <c r="N310" s="155"/>
      <c r="O310" s="155"/>
      <c r="P310" s="155"/>
      <c r="Q310" s="155"/>
      <c r="R310" s="155"/>
      <c r="S310" s="155"/>
      <c r="T310" s="155"/>
      <c r="U310" s="155"/>
      <c r="V310" s="155"/>
      <c r="W310" s="388"/>
      <c r="X310" s="155"/>
      <c r="Y310" s="927"/>
      <c r="Z310" s="201"/>
      <c r="AA310" s="537">
        <f t="shared" ref="AA310:AA311" si="332">MIN(J310:L310)</f>
        <v>0</v>
      </c>
      <c r="AB310" s="537">
        <f t="shared" ref="AB310:AB311" si="333">MAX(J310:L310)</f>
        <v>0</v>
      </c>
      <c r="AC310" s="537">
        <f t="shared" ref="AC310:AC311" si="334">IF(SUM(J310:L310)=0,0,AVERAGE(J310:L310))</f>
        <v>0</v>
      </c>
      <c r="AE310" s="155"/>
      <c r="AF310" s="155"/>
      <c r="AG310" s="155"/>
      <c r="AH310" s="927"/>
      <c r="AI310" s="201"/>
      <c r="AK310" s="155"/>
      <c r="AL310" s="155"/>
      <c r="AM310" s="155"/>
      <c r="AN310" s="927"/>
      <c r="AO310" s="201"/>
      <c r="AQ310" s="968">
        <f t="shared" ref="AQ310:AQ311" si="335">MIN(J310,K310)</f>
        <v>0</v>
      </c>
      <c r="AR310" s="537">
        <f t="shared" ref="AR310:AR311" si="336">MAX(J310:K310)</f>
        <v>0</v>
      </c>
      <c r="AS310" s="537"/>
      <c r="AT310" s="927"/>
      <c r="AU310" s="201"/>
      <c r="AW310" s="968" t="str">
        <f t="shared" ref="AW310:AW311" si="337">L310</f>
        <v/>
      </c>
      <c r="AX310" s="537" t="str">
        <f t="shared" ref="AX310:AX311" si="338">L310</f>
        <v/>
      </c>
      <c r="AY310" s="537"/>
      <c r="AZ310" s="927"/>
      <c r="BA310" s="201"/>
    </row>
    <row r="311" spans="1:53" s="409" customFormat="1" ht="17.100000000000001" customHeight="1" x14ac:dyDescent="0.25">
      <c r="A311" s="967"/>
      <c r="B311" s="928"/>
      <c r="C311" s="928"/>
      <c r="D311" s="461" t="s">
        <v>979</v>
      </c>
      <c r="E311" s="556"/>
      <c r="F311" s="92"/>
      <c r="G311" s="92"/>
      <c r="H311" s="182"/>
      <c r="I311" s="240"/>
      <c r="J311" s="537" t="str">
        <f>IF(SUM(J298:J302)=0,"",MAX(J298:J302))</f>
        <v/>
      </c>
      <c r="K311" s="537" t="str">
        <f t="shared" ref="K311:L311" si="339">IF(SUM(K298:K302)=0,"",MAX(K298:K302))</f>
        <v/>
      </c>
      <c r="L311" s="537" t="str">
        <f t="shared" si="339"/>
        <v/>
      </c>
      <c r="M311" s="155"/>
      <c r="N311" s="155"/>
      <c r="O311" s="155"/>
      <c r="P311" s="155"/>
      <c r="Q311" s="155"/>
      <c r="R311" s="155"/>
      <c r="S311" s="155"/>
      <c r="T311" s="155"/>
      <c r="U311" s="155"/>
      <c r="V311" s="155"/>
      <c r="W311" s="388"/>
      <c r="X311" s="155"/>
      <c r="Y311" s="927"/>
      <c r="Z311" s="201"/>
      <c r="AA311" s="537">
        <f t="shared" si="332"/>
        <v>0</v>
      </c>
      <c r="AB311" s="537">
        <f t="shared" si="333"/>
        <v>0</v>
      </c>
      <c r="AC311" s="537">
        <f t="shared" si="334"/>
        <v>0</v>
      </c>
      <c r="AE311" s="155"/>
      <c r="AF311" s="155"/>
      <c r="AG311" s="155"/>
      <c r="AH311" s="927"/>
      <c r="AI311" s="201"/>
      <c r="AK311" s="155"/>
      <c r="AL311" s="155"/>
      <c r="AM311" s="155"/>
      <c r="AN311" s="927"/>
      <c r="AO311" s="201"/>
      <c r="AQ311" s="537">
        <f t="shared" si="335"/>
        <v>0</v>
      </c>
      <c r="AR311" s="968">
        <f t="shared" si="336"/>
        <v>0</v>
      </c>
      <c r="AS311" s="537"/>
      <c r="AT311" s="927"/>
      <c r="AU311" s="201"/>
      <c r="AW311" s="537" t="str">
        <f t="shared" si="337"/>
        <v/>
      </c>
      <c r="AX311" s="968" t="str">
        <f t="shared" si="338"/>
        <v/>
      </c>
      <c r="AY311" s="537"/>
      <c r="AZ311" s="927"/>
      <c r="BA311" s="201"/>
    </row>
    <row r="312" spans="1:53" s="409" customFormat="1" ht="17.100000000000001" customHeight="1" x14ac:dyDescent="0.25">
      <c r="A312" s="967"/>
      <c r="B312" s="928"/>
      <c r="C312" s="928"/>
      <c r="D312" s="461" t="s">
        <v>974</v>
      </c>
      <c r="E312" s="556"/>
      <c r="F312" s="92"/>
      <c r="G312" s="92"/>
      <c r="H312" s="182"/>
      <c r="I312" s="240"/>
      <c r="J312" s="537" t="str">
        <f>IF(J296=0,"",J309/J296)</f>
        <v/>
      </c>
      <c r="K312" s="537" t="str">
        <f t="shared" ref="K312:L312" si="340">IF(K296=0,"",K309/K296)</f>
        <v/>
      </c>
      <c r="L312" s="537" t="str">
        <f t="shared" si="340"/>
        <v/>
      </c>
      <c r="M312" s="155"/>
      <c r="N312" s="155"/>
      <c r="O312" s="155"/>
      <c r="P312" s="155"/>
      <c r="Q312" s="155"/>
      <c r="R312" s="155"/>
      <c r="S312" s="155"/>
      <c r="T312" s="155"/>
      <c r="U312" s="155"/>
      <c r="V312" s="155"/>
      <c r="W312" s="388"/>
      <c r="X312" s="155"/>
      <c r="Y312" s="927"/>
      <c r="Z312" s="201"/>
      <c r="AA312" s="537">
        <f>MIN(J312:L312)</f>
        <v>0</v>
      </c>
      <c r="AB312" s="537">
        <f>MAX(J312:L312)</f>
        <v>0</v>
      </c>
      <c r="AC312" s="537">
        <f>IF(SUM(J312:L312)=0,0,AVERAGE(J312:L312))</f>
        <v>0</v>
      </c>
      <c r="AE312" s="537" t="str">
        <f>J312</f>
        <v/>
      </c>
      <c r="AF312" s="537" t="str">
        <f>J312</f>
        <v/>
      </c>
      <c r="AG312" s="537" t="str">
        <f>J312</f>
        <v/>
      </c>
      <c r="AH312" s="927"/>
      <c r="AI312" s="201"/>
      <c r="AK312" s="537" t="str">
        <f>K312</f>
        <v/>
      </c>
      <c r="AL312" s="537" t="str">
        <f>K312</f>
        <v/>
      </c>
      <c r="AM312" s="537" t="str">
        <f>K312</f>
        <v/>
      </c>
      <c r="AN312" s="927"/>
      <c r="AO312" s="201"/>
      <c r="AQ312" s="537">
        <f>MIN(J312,K312)</f>
        <v>0</v>
      </c>
      <c r="AR312" s="537">
        <f>MAX(J312:K312)</f>
        <v>0</v>
      </c>
      <c r="AS312" s="968">
        <f>IF(SUM(J312:K312)=0,0,AVERAGE(J312:K312))</f>
        <v>0</v>
      </c>
      <c r="AT312" s="927"/>
      <c r="AU312" s="201"/>
      <c r="AW312" s="537" t="str">
        <f>L312</f>
        <v/>
      </c>
      <c r="AX312" s="537" t="str">
        <f>L312</f>
        <v/>
      </c>
      <c r="AY312" s="968" t="str">
        <f>L312</f>
        <v/>
      </c>
      <c r="AZ312" s="927"/>
      <c r="BA312" s="201"/>
    </row>
    <row r="313" spans="1:53" s="97" customFormat="1" ht="17.100000000000001" customHeight="1" x14ac:dyDescent="0.25">
      <c r="A313" s="68"/>
      <c r="B313" s="68"/>
      <c r="C313" s="165"/>
      <c r="D313" s="166"/>
      <c r="E313" s="166"/>
      <c r="F313" s="166"/>
      <c r="G313" s="166"/>
      <c r="H313" s="165"/>
      <c r="I313" s="12"/>
      <c r="J313" s="558"/>
      <c r="K313" s="94"/>
      <c r="L313" s="95"/>
      <c r="M313" s="95"/>
      <c r="N313" s="95"/>
      <c r="O313" s="95"/>
      <c r="P313" s="95"/>
      <c r="Q313" s="95"/>
      <c r="R313" s="95"/>
      <c r="S313" s="95"/>
      <c r="T313" s="95"/>
      <c r="U313" s="95"/>
      <c r="V313" s="95"/>
      <c r="W313" s="378"/>
      <c r="X313" s="95"/>
      <c r="Y313" s="96"/>
      <c r="AE313" s="109"/>
      <c r="AF313" s="109"/>
      <c r="AG313" s="109"/>
      <c r="AH313" s="96"/>
      <c r="AK313" s="109"/>
      <c r="AL313" s="109"/>
      <c r="AM313" s="109"/>
      <c r="AN313" s="96"/>
      <c r="AQ313" s="109"/>
      <c r="AR313" s="109"/>
      <c r="AS313" s="109"/>
      <c r="AT313" s="96"/>
      <c r="AW313" s="109"/>
      <c r="AX313" s="109"/>
      <c r="AY313" s="109"/>
      <c r="AZ313" s="96"/>
    </row>
    <row r="314" spans="1:53" s="32" customFormat="1" ht="16.5" thickBot="1" x14ac:dyDescent="0.3">
      <c r="A314" s="24" t="s">
        <v>150</v>
      </c>
      <c r="B314" s="25" t="s">
        <v>151</v>
      </c>
      <c r="C314" s="26"/>
      <c r="D314" s="27"/>
      <c r="E314" s="27"/>
      <c r="F314" s="27"/>
      <c r="G314" s="28"/>
      <c r="H314" s="215"/>
      <c r="I314" s="228"/>
      <c r="J314" s="101"/>
      <c r="K314" s="101"/>
      <c r="L314" s="101"/>
      <c r="M314" s="101"/>
      <c r="N314" s="101"/>
      <c r="O314" s="101"/>
      <c r="P314" s="101"/>
      <c r="Q314" s="101"/>
      <c r="R314" s="101"/>
      <c r="S314" s="101"/>
      <c r="T314" s="101"/>
      <c r="U314" s="101"/>
      <c r="V314" s="357"/>
      <c r="W314" s="379"/>
      <c r="X314" s="101"/>
      <c r="Y314" s="30" t="s">
        <v>4</v>
      </c>
      <c r="Z314" s="31" t="s">
        <v>5</v>
      </c>
      <c r="AA314" s="31" t="s">
        <v>181</v>
      </c>
      <c r="AB314" s="31" t="s">
        <v>182</v>
      </c>
      <c r="AC314" s="24" t="s">
        <v>6</v>
      </c>
      <c r="AE314" s="33" t="s">
        <v>181</v>
      </c>
      <c r="AF314" s="33" t="s">
        <v>182</v>
      </c>
      <c r="AG314" s="33" t="s">
        <v>6</v>
      </c>
      <c r="AH314" s="33" t="s">
        <v>4</v>
      </c>
      <c r="AI314" s="34" t="s">
        <v>5</v>
      </c>
      <c r="AJ314" s="408"/>
      <c r="AK314" s="36" t="s">
        <v>181</v>
      </c>
      <c r="AL314" s="36" t="s">
        <v>182</v>
      </c>
      <c r="AM314" s="36" t="s">
        <v>6</v>
      </c>
      <c r="AN314" s="36" t="s">
        <v>4</v>
      </c>
      <c r="AO314" s="37" t="s">
        <v>5</v>
      </c>
      <c r="AP314" s="408"/>
      <c r="AQ314" s="36"/>
      <c r="AR314" s="36"/>
      <c r="AS314" s="36"/>
      <c r="AT314" s="36"/>
      <c r="AU314" s="37"/>
      <c r="AV314" s="408"/>
      <c r="AW314" s="38" t="s">
        <v>181</v>
      </c>
      <c r="AX314" s="38" t="s">
        <v>182</v>
      </c>
      <c r="AY314" s="38" t="s">
        <v>6</v>
      </c>
      <c r="AZ314" s="38" t="s">
        <v>4</v>
      </c>
      <c r="BA314" s="39" t="s">
        <v>5</v>
      </c>
    </row>
    <row r="315" spans="1:53" ht="17.100000000000001" customHeight="1" x14ac:dyDescent="0.25">
      <c r="A315" s="68"/>
      <c r="B315" s="41" t="s">
        <v>152</v>
      </c>
      <c r="C315" s="69" t="s">
        <v>433</v>
      </c>
      <c r="D315" s="50"/>
      <c r="E315" s="70"/>
      <c r="F315" s="70"/>
      <c r="G315" s="70"/>
      <c r="H315" s="263">
        <v>38</v>
      </c>
      <c r="J315" s="71"/>
      <c r="K315" s="71"/>
      <c r="L315" s="71"/>
      <c r="M315" s="71"/>
      <c r="N315" s="71"/>
      <c r="O315" s="71"/>
      <c r="P315" s="71"/>
      <c r="Q315" s="71"/>
      <c r="R315" s="71"/>
      <c r="S315" s="71"/>
      <c r="T315" s="71"/>
      <c r="U315" s="71"/>
      <c r="V315" s="355"/>
      <c r="W315" s="377"/>
      <c r="X315" s="71"/>
      <c r="Y315" s="72"/>
      <c r="Z315" s="73"/>
      <c r="AA315" s="73"/>
      <c r="AB315" s="73"/>
      <c r="AC315" s="73"/>
      <c r="AE315" s="71"/>
      <c r="AF315" s="71"/>
      <c r="AG315" s="71"/>
      <c r="AH315" s="72"/>
      <c r="AI315" s="73"/>
      <c r="AK315" s="71"/>
      <c r="AL315" s="71"/>
      <c r="AM315" s="71"/>
      <c r="AN315" s="72"/>
      <c r="AO315" s="73"/>
      <c r="AQ315" s="71"/>
      <c r="AR315" s="71"/>
      <c r="AS315" s="71"/>
      <c r="AT315" s="72"/>
      <c r="AU315" s="73"/>
      <c r="AW315" s="71"/>
      <c r="AX315" s="71"/>
      <c r="AY315" s="71"/>
      <c r="AZ315" s="72"/>
      <c r="BA315" s="73"/>
    </row>
    <row r="316" spans="1:53" s="4" customFormat="1" ht="17.100000000000001" customHeight="1" x14ac:dyDescent="0.25">
      <c r="A316" s="40"/>
      <c r="B316" s="40"/>
      <c r="C316" s="74" t="s">
        <v>153</v>
      </c>
      <c r="D316" s="85" t="s">
        <v>173</v>
      </c>
      <c r="E316" s="105"/>
      <c r="F316" s="105"/>
      <c r="G316" s="105"/>
      <c r="H316" s="119"/>
      <c r="I316" s="231"/>
      <c r="J316" s="581"/>
      <c r="K316" s="581"/>
      <c r="L316" s="582"/>
      <c r="M316" s="593"/>
      <c r="N316" s="111"/>
      <c r="O316" s="111"/>
      <c r="P316" s="111"/>
      <c r="Q316" s="111"/>
      <c r="R316" s="111"/>
      <c r="S316" s="111"/>
      <c r="T316" s="111"/>
      <c r="U316" s="111"/>
      <c r="V316" s="358"/>
      <c r="W316" s="391">
        <f t="shared" ref="W316:W322" si="341">J316+K316+N316+Q316+T316</f>
        <v>0</v>
      </c>
      <c r="X316" s="17">
        <f t="shared" ref="X316:X322" si="342">L316+O316+R316+U316</f>
        <v>0</v>
      </c>
      <c r="Y316" s="18">
        <f>SUM(W316:X316)</f>
        <v>0</v>
      </c>
      <c r="Z316" s="19">
        <f>IF(Y$323=0,0,Y316/Y$323)</f>
        <v>0</v>
      </c>
      <c r="AA316" s="19"/>
      <c r="AB316" s="19"/>
      <c r="AC316" s="20"/>
      <c r="AE316" s="17"/>
      <c r="AF316" s="17"/>
      <c r="AG316" s="17"/>
      <c r="AH316" s="18">
        <f>J316</f>
        <v>0</v>
      </c>
      <c r="AI316" s="19">
        <f>IF(AH$323=0,0,AH316/AH$323)</f>
        <v>0</v>
      </c>
      <c r="AJ316" s="97"/>
      <c r="AK316" s="17"/>
      <c r="AL316" s="17"/>
      <c r="AM316" s="17"/>
      <c r="AN316" s="18">
        <f>K316</f>
        <v>0</v>
      </c>
      <c r="AO316" s="19">
        <f>IF(AN$323=0,0,AN316/AN$323)</f>
        <v>0</v>
      </c>
      <c r="AP316" s="97"/>
      <c r="AQ316" s="17"/>
      <c r="AR316" s="17"/>
      <c r="AS316" s="17"/>
      <c r="AT316" s="18">
        <f>W316</f>
        <v>0</v>
      </c>
      <c r="AU316" s="19">
        <f>IF(AT$323=0,0,AT316/AT$323)</f>
        <v>0</v>
      </c>
      <c r="AV316" s="97"/>
      <c r="AW316" s="17"/>
      <c r="AX316" s="17"/>
      <c r="AY316" s="17"/>
      <c r="AZ316" s="18">
        <f>X316</f>
        <v>0</v>
      </c>
      <c r="BA316" s="19">
        <f>IF(AZ$323=0,0,AZ316/AZ$323)</f>
        <v>0</v>
      </c>
    </row>
    <row r="317" spans="1:53" s="4" customFormat="1" ht="17.100000000000001" customHeight="1" x14ac:dyDescent="0.25">
      <c r="A317" s="40"/>
      <c r="B317" s="40"/>
      <c r="C317" s="74" t="s">
        <v>154</v>
      </c>
      <c r="D317" s="85" t="s">
        <v>544</v>
      </c>
      <c r="E317" s="105"/>
      <c r="F317" s="105"/>
      <c r="G317" s="105"/>
      <c r="H317" s="119"/>
      <c r="I317" s="231"/>
      <c r="J317" s="583"/>
      <c r="K317" s="583"/>
      <c r="L317" s="584"/>
      <c r="M317" s="593"/>
      <c r="N317" s="111"/>
      <c r="O317" s="111"/>
      <c r="P317" s="111"/>
      <c r="Q317" s="111"/>
      <c r="R317" s="111"/>
      <c r="S317" s="111"/>
      <c r="T317" s="111"/>
      <c r="U317" s="111"/>
      <c r="V317" s="358"/>
      <c r="W317" s="391">
        <f t="shared" si="341"/>
        <v>0</v>
      </c>
      <c r="X317" s="17">
        <f t="shared" si="342"/>
        <v>0</v>
      </c>
      <c r="Y317" s="18">
        <f>SUM(W317:X317)</f>
        <v>0</v>
      </c>
      <c r="Z317" s="19">
        <f>IF(Y$323=0,0,Y317/Y$323)</f>
        <v>0</v>
      </c>
      <c r="AA317" s="19"/>
      <c r="AB317" s="19"/>
      <c r="AC317" s="20"/>
      <c r="AE317" s="17"/>
      <c r="AF317" s="17"/>
      <c r="AG317" s="17"/>
      <c r="AH317" s="18">
        <f t="shared" ref="AH317:AH322" si="343">J317</f>
        <v>0</v>
      </c>
      <c r="AI317" s="19">
        <f>IF(AH$323=0,0,AH317/AH$323)</f>
        <v>0</v>
      </c>
      <c r="AJ317" s="97"/>
      <c r="AK317" s="17"/>
      <c r="AL317" s="17"/>
      <c r="AM317" s="17"/>
      <c r="AN317" s="18">
        <f t="shared" ref="AN317:AN322" si="344">K317</f>
        <v>0</v>
      </c>
      <c r="AO317" s="19">
        <f>IF(AN$323=0,0,AN317/AN$323)</f>
        <v>0</v>
      </c>
      <c r="AP317" s="97"/>
      <c r="AQ317" s="17"/>
      <c r="AR317" s="17"/>
      <c r="AS317" s="17"/>
      <c r="AT317" s="18">
        <f t="shared" ref="AT317:AT322" si="345">W317</f>
        <v>0</v>
      </c>
      <c r="AU317" s="19">
        <f>IF(AT$323=0,0,AT317/AT$323)</f>
        <v>0</v>
      </c>
      <c r="AV317" s="97"/>
      <c r="AW317" s="17"/>
      <c r="AX317" s="17"/>
      <c r="AY317" s="17"/>
      <c r="AZ317" s="18">
        <f>X317</f>
        <v>0</v>
      </c>
      <c r="BA317" s="19">
        <f>IF(AZ$323=0,0,AZ317/AZ$323)</f>
        <v>0</v>
      </c>
    </row>
    <row r="318" spans="1:53" s="4" customFormat="1" ht="17.100000000000001" customHeight="1" x14ac:dyDescent="0.25">
      <c r="A318" s="40"/>
      <c r="B318" s="40"/>
      <c r="C318" s="74" t="s">
        <v>155</v>
      </c>
      <c r="D318" s="146" t="s">
        <v>484</v>
      </c>
      <c r="E318" s="105"/>
      <c r="F318" s="105"/>
      <c r="G318" s="105"/>
      <c r="H318" s="119"/>
      <c r="I318" s="231"/>
      <c r="J318" s="581"/>
      <c r="K318" s="581"/>
      <c r="L318" s="582"/>
      <c r="M318" s="593"/>
      <c r="N318" s="111"/>
      <c r="O318" s="111"/>
      <c r="P318" s="111"/>
      <c r="Q318" s="111"/>
      <c r="R318" s="111"/>
      <c r="S318" s="111"/>
      <c r="T318" s="111"/>
      <c r="U318" s="111"/>
      <c r="V318" s="358"/>
      <c r="W318" s="391"/>
      <c r="X318" s="17">
        <f>L318</f>
        <v>0</v>
      </c>
      <c r="Y318" s="18"/>
      <c r="Z318" s="19"/>
      <c r="AA318" s="17">
        <f>MIN(J318:L318)</f>
        <v>0</v>
      </c>
      <c r="AB318" s="17"/>
      <c r="AC318" s="17"/>
      <c r="AE318" s="17">
        <f>J318</f>
        <v>0</v>
      </c>
      <c r="AF318" s="17"/>
      <c r="AG318" s="17"/>
      <c r="AH318" s="18"/>
      <c r="AI318" s="19"/>
      <c r="AJ318" s="97"/>
      <c r="AK318" s="17">
        <f>K318</f>
        <v>0</v>
      </c>
      <c r="AL318" s="17"/>
      <c r="AM318" s="17"/>
      <c r="AN318" s="18"/>
      <c r="AO318" s="19"/>
      <c r="AP318" s="97"/>
      <c r="AQ318" s="17">
        <f>W318</f>
        <v>0</v>
      </c>
      <c r="AR318" s="17"/>
      <c r="AS318" s="17"/>
      <c r="AT318" s="18"/>
      <c r="AU318" s="19"/>
      <c r="AV318" s="97"/>
      <c r="AW318" s="17">
        <f>L318</f>
        <v>0</v>
      </c>
      <c r="AX318" s="17"/>
      <c r="AY318" s="17"/>
      <c r="AZ318" s="18"/>
      <c r="BA318" s="19"/>
    </row>
    <row r="319" spans="1:53" s="4" customFormat="1" ht="17.100000000000001" customHeight="1" x14ac:dyDescent="0.25">
      <c r="A319" s="40"/>
      <c r="B319" s="40"/>
      <c r="C319" s="74" t="s">
        <v>156</v>
      </c>
      <c r="D319" s="146" t="s">
        <v>485</v>
      </c>
      <c r="E319" s="105"/>
      <c r="F319" s="105"/>
      <c r="G319" s="105"/>
      <c r="H319" s="119"/>
      <c r="I319" s="231"/>
      <c r="J319" s="583"/>
      <c r="K319" s="583"/>
      <c r="L319" s="584"/>
      <c r="M319" s="593"/>
      <c r="N319" s="111"/>
      <c r="O319" s="111"/>
      <c r="P319" s="111"/>
      <c r="Q319" s="111"/>
      <c r="R319" s="111"/>
      <c r="S319" s="111"/>
      <c r="T319" s="111"/>
      <c r="U319" s="111"/>
      <c r="V319" s="358"/>
      <c r="W319" s="391"/>
      <c r="X319" s="17">
        <f t="shared" ref="X319:X320" si="346">L319</f>
        <v>0</v>
      </c>
      <c r="Y319" s="18"/>
      <c r="Z319" s="19"/>
      <c r="AA319" s="17"/>
      <c r="AB319" s="17">
        <f>MAX(J319:L319)</f>
        <v>0</v>
      </c>
      <c r="AC319" s="17"/>
      <c r="AE319" s="17"/>
      <c r="AF319" s="17">
        <f>J319</f>
        <v>0</v>
      </c>
      <c r="AG319" s="17"/>
      <c r="AH319" s="18"/>
      <c r="AI319" s="19"/>
      <c r="AJ319" s="97"/>
      <c r="AK319" s="17"/>
      <c r="AL319" s="17">
        <f>K319</f>
        <v>0</v>
      </c>
      <c r="AM319" s="17"/>
      <c r="AN319" s="18"/>
      <c r="AO319" s="19"/>
      <c r="AP319" s="97"/>
      <c r="AQ319" s="17"/>
      <c r="AR319" s="17">
        <f>W319</f>
        <v>0</v>
      </c>
      <c r="AS319" s="17"/>
      <c r="AT319" s="18"/>
      <c r="AU319" s="19"/>
      <c r="AV319" s="97"/>
      <c r="AW319" s="17"/>
      <c r="AX319" s="17">
        <f>L319</f>
        <v>0</v>
      </c>
      <c r="AY319" s="17"/>
      <c r="AZ319" s="18"/>
      <c r="BA319" s="19"/>
    </row>
    <row r="320" spans="1:53" s="4" customFormat="1" ht="17.100000000000001" customHeight="1" x14ac:dyDescent="0.25">
      <c r="A320" s="40"/>
      <c r="B320" s="40"/>
      <c r="C320" s="74" t="s">
        <v>157</v>
      </c>
      <c r="D320" s="146" t="s">
        <v>543</v>
      </c>
      <c r="E320" s="105"/>
      <c r="F320" s="105"/>
      <c r="G320" s="105"/>
      <c r="H320" s="119"/>
      <c r="I320" s="231"/>
      <c r="J320" s="581"/>
      <c r="K320" s="581"/>
      <c r="L320" s="582"/>
      <c r="M320" s="593"/>
      <c r="N320" s="111"/>
      <c r="O320" s="111"/>
      <c r="P320" s="111"/>
      <c r="Q320" s="111"/>
      <c r="R320" s="111"/>
      <c r="S320" s="111"/>
      <c r="T320" s="111"/>
      <c r="U320" s="111"/>
      <c r="V320" s="358"/>
      <c r="W320" s="391"/>
      <c r="X320" s="17">
        <f t="shared" si="346"/>
        <v>0</v>
      </c>
      <c r="Y320" s="18"/>
      <c r="Z320" s="19"/>
      <c r="AA320" s="17"/>
      <c r="AB320" s="17"/>
      <c r="AC320" s="17">
        <f>IF(SUM(J320:L320)=0,0,AVERAGE(J320:L320))</f>
        <v>0</v>
      </c>
      <c r="AE320" s="17"/>
      <c r="AF320" s="17"/>
      <c r="AG320" s="17">
        <f>J320</f>
        <v>0</v>
      </c>
      <c r="AH320" s="18"/>
      <c r="AI320" s="19"/>
      <c r="AJ320" s="97"/>
      <c r="AK320" s="17"/>
      <c r="AL320" s="17"/>
      <c r="AM320" s="17">
        <f>K320</f>
        <v>0</v>
      </c>
      <c r="AN320" s="18"/>
      <c r="AO320" s="19"/>
      <c r="AP320" s="97"/>
      <c r="AQ320" s="17"/>
      <c r="AR320" s="17"/>
      <c r="AS320" s="17">
        <f>W320</f>
        <v>0</v>
      </c>
      <c r="AT320" s="18"/>
      <c r="AU320" s="19"/>
      <c r="AV320" s="97"/>
      <c r="AW320" s="17"/>
      <c r="AX320" s="17"/>
      <c r="AY320" s="17">
        <f>L320</f>
        <v>0</v>
      </c>
      <c r="AZ320" s="18"/>
      <c r="BA320" s="19"/>
    </row>
    <row r="321" spans="1:53" s="4" customFormat="1" ht="17.100000000000001" customHeight="1" x14ac:dyDescent="0.25">
      <c r="A321" s="40"/>
      <c r="B321" s="40"/>
      <c r="C321" s="74" t="s">
        <v>158</v>
      </c>
      <c r="D321" s="75" t="s">
        <v>129</v>
      </c>
      <c r="E321" s="105"/>
      <c r="F321" s="105"/>
      <c r="G321" s="105"/>
      <c r="H321" s="119"/>
      <c r="I321" s="231"/>
      <c r="J321" s="583"/>
      <c r="K321" s="583"/>
      <c r="L321" s="584"/>
      <c r="M321" s="593"/>
      <c r="N321" s="111"/>
      <c r="O321" s="111"/>
      <c r="P321" s="111"/>
      <c r="Q321" s="111"/>
      <c r="R321" s="111"/>
      <c r="S321" s="111"/>
      <c r="T321" s="111"/>
      <c r="U321" s="111"/>
      <c r="V321" s="358"/>
      <c r="W321" s="391">
        <f t="shared" si="341"/>
        <v>0</v>
      </c>
      <c r="X321" s="17">
        <f t="shared" si="342"/>
        <v>0</v>
      </c>
      <c r="Y321" s="18">
        <f>SUM(W321:X321)</f>
        <v>0</v>
      </c>
      <c r="Z321" s="19">
        <f>IF(Y$323=0,0,Y321/Y$323)</f>
        <v>0</v>
      </c>
      <c r="AA321" s="19"/>
      <c r="AB321" s="19"/>
      <c r="AC321" s="20"/>
      <c r="AE321" s="17"/>
      <c r="AF321" s="17"/>
      <c r="AG321" s="17"/>
      <c r="AH321" s="18">
        <f t="shared" si="343"/>
        <v>0</v>
      </c>
      <c r="AI321" s="19">
        <f>IF(AH$323=0,0,AH321/AH$323)</f>
        <v>0</v>
      </c>
      <c r="AJ321" s="97"/>
      <c r="AK321" s="17"/>
      <c r="AL321" s="17"/>
      <c r="AM321" s="17"/>
      <c r="AN321" s="18">
        <f t="shared" si="344"/>
        <v>0</v>
      </c>
      <c r="AO321" s="19">
        <f>IF(AN$323=0,0,AN321/AN$323)</f>
        <v>0</v>
      </c>
      <c r="AP321" s="97"/>
      <c r="AQ321" s="17"/>
      <c r="AR321" s="17"/>
      <c r="AS321" s="17"/>
      <c r="AT321" s="18">
        <f t="shared" si="345"/>
        <v>0</v>
      </c>
      <c r="AU321" s="19">
        <f>IF(AT$323=0,0,AT321/AT$323)</f>
        <v>0</v>
      </c>
      <c r="AV321" s="97"/>
      <c r="AW321" s="17"/>
      <c r="AX321" s="17"/>
      <c r="AY321" s="17"/>
      <c r="AZ321" s="18">
        <f>X321</f>
        <v>0</v>
      </c>
      <c r="BA321" s="19">
        <f>IF(AZ$323=0,0,AZ321/AZ$323)</f>
        <v>0</v>
      </c>
    </row>
    <row r="322" spans="1:53" s="4" customFormat="1" ht="17.100000000000001" customHeight="1" x14ac:dyDescent="0.25">
      <c r="A322" s="40"/>
      <c r="B322" s="40"/>
      <c r="C322" s="74" t="s">
        <v>159</v>
      </c>
      <c r="D322" s="75" t="s">
        <v>530</v>
      </c>
      <c r="E322" s="75"/>
      <c r="F322" s="75"/>
      <c r="G322" s="75"/>
      <c r="H322" s="540"/>
      <c r="I322" s="229"/>
      <c r="J322" s="581"/>
      <c r="K322" s="581"/>
      <c r="L322" s="582"/>
      <c r="M322" s="593"/>
      <c r="N322" s="111"/>
      <c r="O322" s="111"/>
      <c r="P322" s="111"/>
      <c r="Q322" s="111"/>
      <c r="R322" s="111"/>
      <c r="S322" s="111"/>
      <c r="T322" s="111"/>
      <c r="U322" s="111"/>
      <c r="V322" s="358"/>
      <c r="W322" s="391">
        <f t="shared" si="341"/>
        <v>0</v>
      </c>
      <c r="X322" s="17">
        <f t="shared" si="342"/>
        <v>0</v>
      </c>
      <c r="Y322" s="18">
        <f>SUM(W322:X322)</f>
        <v>0</v>
      </c>
      <c r="Z322" s="19">
        <f>IF(Y$323=0,0,Y322/Y$323)</f>
        <v>0</v>
      </c>
      <c r="AA322" s="19"/>
      <c r="AB322" s="19"/>
      <c r="AC322" s="20"/>
      <c r="AE322" s="17"/>
      <c r="AF322" s="17"/>
      <c r="AG322" s="17"/>
      <c r="AH322" s="18">
        <f t="shared" si="343"/>
        <v>0</v>
      </c>
      <c r="AI322" s="19">
        <f>IF(AH$323=0,0,AH322/AH$323)</f>
        <v>0</v>
      </c>
      <c r="AJ322" s="97"/>
      <c r="AK322" s="17"/>
      <c r="AL322" s="17"/>
      <c r="AM322" s="17"/>
      <c r="AN322" s="18">
        <f t="shared" si="344"/>
        <v>0</v>
      </c>
      <c r="AO322" s="19">
        <f>IF(AN$323=0,0,AN322/AN$323)</f>
        <v>0</v>
      </c>
      <c r="AP322" s="97"/>
      <c r="AQ322" s="17"/>
      <c r="AR322" s="17"/>
      <c r="AS322" s="17"/>
      <c r="AT322" s="18">
        <f t="shared" si="345"/>
        <v>0</v>
      </c>
      <c r="AU322" s="19">
        <f>IF(AT$323=0,0,AT322/AT$323)</f>
        <v>0</v>
      </c>
      <c r="AV322" s="97"/>
      <c r="AW322" s="17"/>
      <c r="AX322" s="17"/>
      <c r="AY322" s="17"/>
      <c r="AZ322" s="18">
        <f>X322</f>
        <v>0</v>
      </c>
      <c r="BA322" s="19">
        <f>IF(AZ$323=0,0,AZ322/AZ$323)</f>
        <v>0</v>
      </c>
    </row>
    <row r="323" spans="1:53" s="4" customFormat="1" ht="17.100000000000001" customHeight="1" x14ac:dyDescent="0.25">
      <c r="A323" s="175"/>
      <c r="B323" s="40"/>
      <c r="C323" s="77"/>
      <c r="D323" s="134"/>
      <c r="E323" s="134"/>
      <c r="F323" s="134"/>
      <c r="G323" s="134"/>
      <c r="H323" s="540"/>
      <c r="I323" s="12"/>
      <c r="J323" s="80">
        <f>J316+J317+J321+J322</f>
        <v>0</v>
      </c>
      <c r="K323" s="80">
        <f t="shared" ref="K323:M323" si="347">K316+K317+K321+K322</f>
        <v>0</v>
      </c>
      <c r="L323" s="80">
        <f t="shared" si="347"/>
        <v>0</v>
      </c>
      <c r="M323" s="80">
        <f t="shared" si="347"/>
        <v>0</v>
      </c>
      <c r="N323" s="81"/>
      <c r="O323" s="81"/>
      <c r="P323" s="81"/>
      <c r="Q323" s="81"/>
      <c r="R323" s="81"/>
      <c r="S323" s="81"/>
      <c r="T323" s="81"/>
      <c r="U323" s="81"/>
      <c r="V323" s="356"/>
      <c r="W323" s="381">
        <f>W316+W317+W321+W322</f>
        <v>0</v>
      </c>
      <c r="X323" s="82">
        <f>X316+X317+X321+X322</f>
        <v>0</v>
      </c>
      <c r="Y323" s="82">
        <f t="shared" ref="Y323" si="348">SUM(Y316:Y322)</f>
        <v>0</v>
      </c>
      <c r="Z323" s="205">
        <f>IF(Y$323=0,0,Y323/Y$323)</f>
        <v>0</v>
      </c>
      <c r="AA323" s="205"/>
      <c r="AB323" s="205"/>
      <c r="AC323" s="83"/>
      <c r="AE323" s="80"/>
      <c r="AF323" s="80"/>
      <c r="AG323" s="81"/>
      <c r="AH323" s="82">
        <f>SUM(AH316:AH322)</f>
        <v>0</v>
      </c>
      <c r="AI323" s="66">
        <f>IF(AH$323=0,0,AH323/AH$323)</f>
        <v>0</v>
      </c>
      <c r="AJ323" s="97"/>
      <c r="AK323" s="80"/>
      <c r="AL323" s="80"/>
      <c r="AM323" s="81"/>
      <c r="AN323" s="82">
        <f>SUM(AN316:AN322)</f>
        <v>0</v>
      </c>
      <c r="AO323" s="66">
        <f>IF(AN$323=0,0,AN323/AN$323)</f>
        <v>0</v>
      </c>
      <c r="AP323" s="97"/>
      <c r="AQ323" s="80"/>
      <c r="AR323" s="80"/>
      <c r="AS323" s="81"/>
      <c r="AT323" s="82">
        <f>SUM(AT316:AT322)</f>
        <v>0</v>
      </c>
      <c r="AU323" s="66">
        <f>IF(AT$323=0,0,AT323/AT$323)</f>
        <v>0</v>
      </c>
      <c r="AV323" s="97"/>
      <c r="AW323" s="80"/>
      <c r="AX323" s="80"/>
      <c r="AY323" s="81"/>
      <c r="AZ323" s="82">
        <f>SUM(AZ316:AZ322)</f>
        <v>0</v>
      </c>
      <c r="BA323" s="66">
        <f>IF(AZ$323=0,0,AZ323/AZ$323)</f>
        <v>0</v>
      </c>
    </row>
    <row r="324" spans="1:53" s="117" customFormat="1" ht="17.100000000000001" customHeight="1" x14ac:dyDescent="0.25">
      <c r="A324" s="68"/>
      <c r="B324" s="119"/>
      <c r="C324" s="540"/>
      <c r="D324" s="261"/>
      <c r="E324" s="261"/>
      <c r="F324" s="68"/>
      <c r="G324" s="68"/>
      <c r="H324" s="119"/>
      <c r="I324" s="138"/>
      <c r="J324" s="17" t="str">
        <f>IF(J323=J$15,"OK","NOK")</f>
        <v>OK</v>
      </c>
      <c r="K324" s="17" t="str">
        <f t="shared" ref="K324:L324" si="349">IF(K323=K$15,"OK","NOK")</f>
        <v>OK</v>
      </c>
      <c r="L324" s="17" t="str">
        <f t="shared" si="349"/>
        <v>OK</v>
      </c>
      <c r="M324" s="17"/>
      <c r="N324" s="17"/>
      <c r="O324" s="17"/>
      <c r="P324" s="17"/>
      <c r="Q324" s="17"/>
      <c r="R324" s="17"/>
      <c r="S324" s="17"/>
      <c r="T324" s="17"/>
      <c r="U324" s="17"/>
      <c r="V324" s="359"/>
      <c r="W324" s="382"/>
      <c r="X324" s="539"/>
      <c r="Y324" s="539"/>
      <c r="Z324" s="201"/>
      <c r="AA324" s="201"/>
      <c r="AB324" s="201"/>
      <c r="AC324" s="84"/>
      <c r="AE324" s="46"/>
      <c r="AF324" s="46"/>
      <c r="AG324" s="17"/>
      <c r="AH324" s="539"/>
      <c r="AI324" s="91"/>
      <c r="AK324" s="46"/>
      <c r="AL324" s="46"/>
      <c r="AM324" s="17"/>
      <c r="AN324" s="539"/>
      <c r="AO324" s="91"/>
      <c r="AQ324" s="46"/>
      <c r="AR324" s="46"/>
      <c r="AS324" s="17"/>
      <c r="AT324" s="539"/>
      <c r="AU324" s="91"/>
      <c r="AW324" s="46"/>
      <c r="AX324" s="46"/>
      <c r="AY324" s="17"/>
      <c r="AZ324" s="539"/>
      <c r="BA324" s="91"/>
    </row>
    <row r="325" spans="1:53" ht="17.100000000000001" customHeight="1" x14ac:dyDescent="0.25">
      <c r="A325" s="68"/>
      <c r="B325" s="41" t="s">
        <v>160</v>
      </c>
      <c r="C325" s="69" t="s">
        <v>434</v>
      </c>
      <c r="D325" s="50"/>
      <c r="E325" s="70"/>
      <c r="F325" s="70"/>
      <c r="G325" s="70"/>
      <c r="H325" s="243">
        <v>40</v>
      </c>
      <c r="J325" s="71"/>
      <c r="K325" s="71"/>
      <c r="L325" s="71"/>
      <c r="M325" s="71"/>
      <c r="N325" s="71"/>
      <c r="O325" s="71"/>
      <c r="P325" s="71"/>
      <c r="Q325" s="71"/>
      <c r="R325" s="71"/>
      <c r="S325" s="71"/>
      <c r="T325" s="71"/>
      <c r="U325" s="71"/>
      <c r="V325" s="355"/>
      <c r="W325" s="377"/>
      <c r="X325" s="71"/>
      <c r="Y325" s="89"/>
      <c r="Z325" s="90"/>
      <c r="AA325" s="90"/>
      <c r="AB325" s="90"/>
      <c r="AC325" s="73"/>
      <c r="AE325" s="71"/>
      <c r="AF325" s="71"/>
      <c r="AG325" s="71"/>
      <c r="AH325" s="72"/>
      <c r="AI325" s="73"/>
      <c r="AK325" s="71"/>
      <c r="AL325" s="71"/>
      <c r="AM325" s="71"/>
      <c r="AN325" s="72"/>
      <c r="AO325" s="73"/>
      <c r="AQ325" s="71"/>
      <c r="AR325" s="71"/>
      <c r="AS325" s="71"/>
      <c r="AT325" s="72"/>
      <c r="AU325" s="73"/>
      <c r="AW325" s="71"/>
      <c r="AX325" s="71"/>
      <c r="AY325" s="71"/>
      <c r="AZ325" s="72"/>
      <c r="BA325" s="73"/>
    </row>
    <row r="326" spans="1:53" s="4" customFormat="1" ht="17.100000000000001" customHeight="1" x14ac:dyDescent="0.25">
      <c r="A326" s="40"/>
      <c r="B326" s="40"/>
      <c r="C326" s="74" t="s">
        <v>161</v>
      </c>
      <c r="D326" s="85" t="s">
        <v>173</v>
      </c>
      <c r="E326" s="105"/>
      <c r="F326" s="105"/>
      <c r="G326" s="105"/>
      <c r="H326" s="119"/>
      <c r="I326" s="231"/>
      <c r="J326" s="581"/>
      <c r="K326" s="581"/>
      <c r="L326" s="582"/>
      <c r="M326" s="593"/>
      <c r="N326" s="111"/>
      <c r="O326" s="111"/>
      <c r="P326" s="111"/>
      <c r="Q326" s="111"/>
      <c r="R326" s="111"/>
      <c r="S326" s="111"/>
      <c r="T326" s="111"/>
      <c r="U326" s="111"/>
      <c r="V326" s="358"/>
      <c r="W326" s="391">
        <f t="shared" ref="W326:W327" si="350">J326+K326+N326+Q326+T326</f>
        <v>0</v>
      </c>
      <c r="X326" s="17">
        <f t="shared" ref="X326:X327" si="351">L326+O326+R326+U326</f>
        <v>0</v>
      </c>
      <c r="Y326" s="18">
        <f>SUM(W326:X326)</f>
        <v>0</v>
      </c>
      <c r="Z326" s="19">
        <f>IF(Y$333=0,0,Y326/Y$333)</f>
        <v>0</v>
      </c>
      <c r="AA326" s="19"/>
      <c r="AB326" s="19"/>
      <c r="AC326" s="20"/>
      <c r="AE326" s="17"/>
      <c r="AF326" s="17"/>
      <c r="AG326" s="17"/>
      <c r="AH326" s="18">
        <f>J326</f>
        <v>0</v>
      </c>
      <c r="AI326" s="19">
        <f>IF(AH$333=0,0,AH326/AH$333)</f>
        <v>0</v>
      </c>
      <c r="AJ326" s="97"/>
      <c r="AK326" s="17"/>
      <c r="AL326" s="17"/>
      <c r="AM326" s="17"/>
      <c r="AN326" s="18">
        <f>K326</f>
        <v>0</v>
      </c>
      <c r="AO326" s="19">
        <f>IF(AN$333=0,0,AN326/AN$333)</f>
        <v>0</v>
      </c>
      <c r="AP326" s="97"/>
      <c r="AQ326" s="17"/>
      <c r="AR326" s="17"/>
      <c r="AS326" s="17"/>
      <c r="AT326" s="18">
        <f>W326</f>
        <v>0</v>
      </c>
      <c r="AU326" s="19">
        <f>IF(AT$333=0,0,AT326/AT$333)</f>
        <v>0</v>
      </c>
      <c r="AV326" s="97"/>
      <c r="AW326" s="17"/>
      <c r="AX326" s="17"/>
      <c r="AY326" s="17"/>
      <c r="AZ326" s="18">
        <f>X326</f>
        <v>0</v>
      </c>
      <c r="BA326" s="19">
        <f>IF(AZ$333=0,0,AZ326/AZ$333)</f>
        <v>0</v>
      </c>
    </row>
    <row r="327" spans="1:53" s="4" customFormat="1" ht="17.100000000000001" customHeight="1" x14ac:dyDescent="0.25">
      <c r="A327" s="40"/>
      <c r="B327" s="40"/>
      <c r="C327" s="74" t="s">
        <v>163</v>
      </c>
      <c r="D327" s="85" t="s">
        <v>544</v>
      </c>
      <c r="E327" s="105"/>
      <c r="F327" s="105"/>
      <c r="G327" s="105"/>
      <c r="H327" s="119"/>
      <c r="I327" s="231"/>
      <c r="J327" s="583"/>
      <c r="K327" s="583"/>
      <c r="L327" s="584"/>
      <c r="M327" s="593"/>
      <c r="N327" s="111"/>
      <c r="O327" s="111"/>
      <c r="P327" s="111"/>
      <c r="Q327" s="111"/>
      <c r="R327" s="111"/>
      <c r="S327" s="111"/>
      <c r="T327" s="111"/>
      <c r="U327" s="111"/>
      <c r="V327" s="358"/>
      <c r="W327" s="391">
        <f t="shared" si="350"/>
        <v>0</v>
      </c>
      <c r="X327" s="17">
        <f t="shared" si="351"/>
        <v>0</v>
      </c>
      <c r="Y327" s="18">
        <f>SUM(W327:X327)</f>
        <v>0</v>
      </c>
      <c r="Z327" s="19">
        <f>IF(Y$333=0,0,Y327/Y$333)</f>
        <v>0</v>
      </c>
      <c r="AA327" s="19"/>
      <c r="AB327" s="19"/>
      <c r="AC327" s="20"/>
      <c r="AE327" s="17"/>
      <c r="AF327" s="17"/>
      <c r="AG327" s="17"/>
      <c r="AH327" s="18">
        <f t="shared" ref="AH327" si="352">J327</f>
        <v>0</v>
      </c>
      <c r="AI327" s="19">
        <f>IF(AH$333=0,0,AH327/AH$333)</f>
        <v>0</v>
      </c>
      <c r="AJ327" s="97"/>
      <c r="AK327" s="17"/>
      <c r="AL327" s="17"/>
      <c r="AM327" s="17"/>
      <c r="AN327" s="18">
        <f t="shared" ref="AN327" si="353">K327</f>
        <v>0</v>
      </c>
      <c r="AO327" s="19">
        <f>IF(AN$333=0,0,AN327/AN$333)</f>
        <v>0</v>
      </c>
      <c r="AP327" s="97"/>
      <c r="AQ327" s="17"/>
      <c r="AR327" s="17"/>
      <c r="AS327" s="17"/>
      <c r="AT327" s="18">
        <f t="shared" ref="AT327" si="354">W327</f>
        <v>0</v>
      </c>
      <c r="AU327" s="19">
        <f>IF(AT$333=0,0,AT327/AT$333)</f>
        <v>0</v>
      </c>
      <c r="AV327" s="97"/>
      <c r="AW327" s="17"/>
      <c r="AX327" s="17"/>
      <c r="AY327" s="17"/>
      <c r="AZ327" s="18">
        <f>X327</f>
        <v>0</v>
      </c>
      <c r="BA327" s="19">
        <f>IF(AZ$333=0,0,AZ327/AZ$333)</f>
        <v>0</v>
      </c>
    </row>
    <row r="328" spans="1:53" s="4" customFormat="1" ht="17.100000000000001" customHeight="1" x14ac:dyDescent="0.25">
      <c r="A328" s="40"/>
      <c r="B328" s="40"/>
      <c r="C328" s="74" t="s">
        <v>164</v>
      </c>
      <c r="D328" s="146" t="s">
        <v>484</v>
      </c>
      <c r="E328" s="105"/>
      <c r="F328" s="105"/>
      <c r="G328" s="105"/>
      <c r="H328" s="119"/>
      <c r="I328" s="231"/>
      <c r="J328" s="581"/>
      <c r="K328" s="581"/>
      <c r="L328" s="582"/>
      <c r="M328" s="593"/>
      <c r="N328" s="111"/>
      <c r="O328" s="111"/>
      <c r="P328" s="111"/>
      <c r="Q328" s="111"/>
      <c r="R328" s="111"/>
      <c r="S328" s="111"/>
      <c r="T328" s="111"/>
      <c r="U328" s="111"/>
      <c r="V328" s="358"/>
      <c r="W328" s="391">
        <f>MIN(J328:K328)</f>
        <v>0</v>
      </c>
      <c r="X328" s="17">
        <f>L328</f>
        <v>0</v>
      </c>
      <c r="Y328" s="18"/>
      <c r="Z328" s="19"/>
      <c r="AA328" s="17">
        <f>MIN(J328:L328)</f>
        <v>0</v>
      </c>
      <c r="AB328" s="17"/>
      <c r="AC328" s="17"/>
      <c r="AE328" s="17">
        <f>J328</f>
        <v>0</v>
      </c>
      <c r="AF328" s="17"/>
      <c r="AG328" s="17"/>
      <c r="AH328" s="18"/>
      <c r="AI328" s="19"/>
      <c r="AJ328" s="97"/>
      <c r="AK328" s="17">
        <f>K328</f>
        <v>0</v>
      </c>
      <c r="AL328" s="17"/>
      <c r="AM328" s="17"/>
      <c r="AN328" s="18"/>
      <c r="AO328" s="19"/>
      <c r="AP328" s="97"/>
      <c r="AQ328" s="17">
        <f>W328</f>
        <v>0</v>
      </c>
      <c r="AR328" s="17"/>
      <c r="AS328" s="17"/>
      <c r="AT328" s="18"/>
      <c r="AU328" s="19"/>
      <c r="AV328" s="97"/>
      <c r="AW328" s="17">
        <f>L328</f>
        <v>0</v>
      </c>
      <c r="AX328" s="17"/>
      <c r="AY328" s="17"/>
      <c r="AZ328" s="18"/>
      <c r="BA328" s="19"/>
    </row>
    <row r="329" spans="1:53" s="4" customFormat="1" ht="17.100000000000001" customHeight="1" x14ac:dyDescent="0.25">
      <c r="A329" s="40"/>
      <c r="B329" s="40"/>
      <c r="C329" s="74" t="s">
        <v>166</v>
      </c>
      <c r="D329" s="146" t="s">
        <v>485</v>
      </c>
      <c r="E329" s="105"/>
      <c r="F329" s="105"/>
      <c r="G329" s="105"/>
      <c r="H329" s="119"/>
      <c r="I329" s="231"/>
      <c r="J329" s="583"/>
      <c r="K329" s="583"/>
      <c r="L329" s="584"/>
      <c r="M329" s="593"/>
      <c r="N329" s="111"/>
      <c r="O329" s="111"/>
      <c r="P329" s="111"/>
      <c r="Q329" s="111"/>
      <c r="R329" s="111"/>
      <c r="S329" s="111"/>
      <c r="T329" s="111"/>
      <c r="U329" s="111"/>
      <c r="V329" s="358"/>
      <c r="W329" s="391">
        <f>MAX(J329:K329)</f>
        <v>0</v>
      </c>
      <c r="X329" s="17">
        <f t="shared" ref="X329:X330" si="355">L329</f>
        <v>0</v>
      </c>
      <c r="Y329" s="18"/>
      <c r="Z329" s="19"/>
      <c r="AA329" s="17"/>
      <c r="AB329" s="17">
        <f>MAX(J329:L329)</f>
        <v>0</v>
      </c>
      <c r="AC329" s="17"/>
      <c r="AE329" s="17"/>
      <c r="AF329" s="17">
        <f>J329</f>
        <v>0</v>
      </c>
      <c r="AG329" s="17"/>
      <c r="AH329" s="18"/>
      <c r="AI329" s="19"/>
      <c r="AJ329" s="97"/>
      <c r="AK329" s="17"/>
      <c r="AL329" s="17">
        <f>K329</f>
        <v>0</v>
      </c>
      <c r="AM329" s="17"/>
      <c r="AN329" s="18"/>
      <c r="AO329" s="19"/>
      <c r="AP329" s="97"/>
      <c r="AQ329" s="17"/>
      <c r="AR329" s="17">
        <f>W329</f>
        <v>0</v>
      </c>
      <c r="AS329" s="17"/>
      <c r="AT329" s="18"/>
      <c r="AU329" s="19"/>
      <c r="AV329" s="97"/>
      <c r="AW329" s="17"/>
      <c r="AX329" s="17">
        <f>L329</f>
        <v>0</v>
      </c>
      <c r="AY329" s="17"/>
      <c r="AZ329" s="18"/>
      <c r="BA329" s="19"/>
    </row>
    <row r="330" spans="1:53" s="4" customFormat="1" ht="17.100000000000001" customHeight="1" x14ac:dyDescent="0.25">
      <c r="A330" s="40"/>
      <c r="B330" s="40"/>
      <c r="C330" s="74" t="s">
        <v>168</v>
      </c>
      <c r="D330" s="146" t="s">
        <v>543</v>
      </c>
      <c r="E330" s="105"/>
      <c r="F330" s="105"/>
      <c r="G330" s="105"/>
      <c r="H330" s="119"/>
      <c r="I330" s="231"/>
      <c r="J330" s="581"/>
      <c r="K330" s="581"/>
      <c r="L330" s="582"/>
      <c r="M330" s="593"/>
      <c r="N330" s="111"/>
      <c r="O330" s="111"/>
      <c r="P330" s="111"/>
      <c r="Q330" s="111"/>
      <c r="R330" s="111"/>
      <c r="S330" s="111"/>
      <c r="T330" s="111"/>
      <c r="U330" s="111"/>
      <c r="V330" s="358"/>
      <c r="W330" s="391">
        <f>IF(SUM(J330:K330)=0,0,AVERAGE(J330:K330))</f>
        <v>0</v>
      </c>
      <c r="X330" s="17">
        <f t="shared" si="355"/>
        <v>0</v>
      </c>
      <c r="Y330" s="18"/>
      <c r="Z330" s="19"/>
      <c r="AA330" s="17"/>
      <c r="AB330" s="17"/>
      <c r="AC330" s="17">
        <f>IF(SUM(J330:L330)=0,0,AVERAGE(J330:L330))</f>
        <v>0</v>
      </c>
      <c r="AE330" s="17"/>
      <c r="AF330" s="17"/>
      <c r="AG330" s="17">
        <f>J330</f>
        <v>0</v>
      </c>
      <c r="AH330" s="18"/>
      <c r="AI330" s="19"/>
      <c r="AJ330" s="97"/>
      <c r="AK330" s="17"/>
      <c r="AL330" s="17"/>
      <c r="AM330" s="17">
        <f>K330</f>
        <v>0</v>
      </c>
      <c r="AN330" s="18"/>
      <c r="AO330" s="19"/>
      <c r="AP330" s="97"/>
      <c r="AQ330" s="17"/>
      <c r="AR330" s="17"/>
      <c r="AS330" s="17">
        <f>W330</f>
        <v>0</v>
      </c>
      <c r="AT330" s="18"/>
      <c r="AU330" s="19"/>
      <c r="AV330" s="97"/>
      <c r="AW330" s="17"/>
      <c r="AX330" s="17"/>
      <c r="AY330" s="17">
        <f>L330</f>
        <v>0</v>
      </c>
      <c r="AZ330" s="18"/>
      <c r="BA330" s="19"/>
    </row>
    <row r="331" spans="1:53" s="4" customFormat="1" ht="17.100000000000001" customHeight="1" x14ac:dyDescent="0.25">
      <c r="A331" s="40"/>
      <c r="B331" s="40"/>
      <c r="C331" s="74" t="s">
        <v>169</v>
      </c>
      <c r="D331" s="75" t="s">
        <v>129</v>
      </c>
      <c r="E331" s="105"/>
      <c r="F331" s="105"/>
      <c r="G331" s="105"/>
      <c r="H331" s="119"/>
      <c r="I331" s="231"/>
      <c r="J331" s="583"/>
      <c r="K331" s="583"/>
      <c r="L331" s="584"/>
      <c r="M331" s="593"/>
      <c r="N331" s="111"/>
      <c r="O331" s="111"/>
      <c r="P331" s="111"/>
      <c r="Q331" s="111"/>
      <c r="R331" s="111"/>
      <c r="S331" s="111"/>
      <c r="T331" s="111"/>
      <c r="U331" s="111"/>
      <c r="V331" s="358"/>
      <c r="W331" s="391">
        <f t="shared" ref="W331:W332" si="356">J331+K331+N331+Q331+T331</f>
        <v>0</v>
      </c>
      <c r="X331" s="17">
        <f t="shared" ref="X331:X332" si="357">L331+O331+R331+U331</f>
        <v>0</v>
      </c>
      <c r="Y331" s="18">
        <f>SUM(W331:X331)</f>
        <v>0</v>
      </c>
      <c r="Z331" s="19">
        <f>IF(Y$333=0,0,Y331/Y$333)</f>
        <v>0</v>
      </c>
      <c r="AA331" s="19"/>
      <c r="AB331" s="19"/>
      <c r="AC331" s="20"/>
      <c r="AE331" s="17"/>
      <c r="AF331" s="17"/>
      <c r="AG331" s="17"/>
      <c r="AH331" s="18">
        <f t="shared" ref="AH331:AH332" si="358">J331</f>
        <v>0</v>
      </c>
      <c r="AI331" s="19">
        <f>IF(AH$333=0,0,AH331/AH$333)</f>
        <v>0</v>
      </c>
      <c r="AJ331" s="97"/>
      <c r="AK331" s="17"/>
      <c r="AL331" s="17"/>
      <c r="AM331" s="17"/>
      <c r="AN331" s="18">
        <f t="shared" ref="AN331:AN332" si="359">K331</f>
        <v>0</v>
      </c>
      <c r="AO331" s="19">
        <f>IF(AN$333=0,0,AN331/AN$333)</f>
        <v>0</v>
      </c>
      <c r="AP331" s="97"/>
      <c r="AQ331" s="17"/>
      <c r="AR331" s="17"/>
      <c r="AS331" s="17"/>
      <c r="AT331" s="18">
        <f t="shared" ref="AT331:AT332" si="360">W331</f>
        <v>0</v>
      </c>
      <c r="AU331" s="19">
        <f>IF(AT$333=0,0,AT331/AT$333)</f>
        <v>0</v>
      </c>
      <c r="AV331" s="97"/>
      <c r="AW331" s="17"/>
      <c r="AX331" s="17"/>
      <c r="AY331" s="17"/>
      <c r="AZ331" s="18">
        <f>X331</f>
        <v>0</v>
      </c>
      <c r="BA331" s="19">
        <f>IF(AZ$333=0,0,AZ331/AZ$333)</f>
        <v>0</v>
      </c>
    </row>
    <row r="332" spans="1:53" s="4" customFormat="1" ht="17.100000000000001" customHeight="1" x14ac:dyDescent="0.25">
      <c r="A332" s="40"/>
      <c r="B332" s="40"/>
      <c r="C332" s="74" t="s">
        <v>170</v>
      </c>
      <c r="D332" s="75" t="s">
        <v>530</v>
      </c>
      <c r="E332" s="75"/>
      <c r="F332" s="75"/>
      <c r="G332" s="75"/>
      <c r="H332" s="540"/>
      <c r="I332" s="229"/>
      <c r="J332" s="581"/>
      <c r="K332" s="581"/>
      <c r="L332" s="582"/>
      <c r="M332" s="593"/>
      <c r="N332" s="111"/>
      <c r="O332" s="111"/>
      <c r="P332" s="111"/>
      <c r="Q332" s="111"/>
      <c r="R332" s="111"/>
      <c r="S332" s="111"/>
      <c r="T332" s="111"/>
      <c r="U332" s="111"/>
      <c r="V332" s="358"/>
      <c r="W332" s="391">
        <f t="shared" si="356"/>
        <v>0</v>
      </c>
      <c r="X332" s="17">
        <f t="shared" si="357"/>
        <v>0</v>
      </c>
      <c r="Y332" s="18">
        <f>SUM(W332:X332)</f>
        <v>0</v>
      </c>
      <c r="Z332" s="19">
        <f>IF(Y$333=0,0,Y332/Y$333)</f>
        <v>0</v>
      </c>
      <c r="AA332" s="19"/>
      <c r="AB332" s="19"/>
      <c r="AC332" s="20"/>
      <c r="AE332" s="17"/>
      <c r="AF332" s="17"/>
      <c r="AG332" s="17"/>
      <c r="AH332" s="18">
        <f t="shared" si="358"/>
        <v>0</v>
      </c>
      <c r="AI332" s="19">
        <f>IF(AH$333=0,0,AH332/AH$333)</f>
        <v>0</v>
      </c>
      <c r="AJ332" s="97"/>
      <c r="AK332" s="17"/>
      <c r="AL332" s="17"/>
      <c r="AM332" s="17"/>
      <c r="AN332" s="18">
        <f t="shared" si="359"/>
        <v>0</v>
      </c>
      <c r="AO332" s="19">
        <f>IF(AN$333=0,0,AN332/AN$333)</f>
        <v>0</v>
      </c>
      <c r="AP332" s="97"/>
      <c r="AQ332" s="17"/>
      <c r="AR332" s="17"/>
      <c r="AS332" s="17"/>
      <c r="AT332" s="18">
        <f t="shared" si="360"/>
        <v>0</v>
      </c>
      <c r="AU332" s="19">
        <f>IF(AT$333=0,0,AT332/AT$333)</f>
        <v>0</v>
      </c>
      <c r="AV332" s="97"/>
      <c r="AW332" s="17"/>
      <c r="AX332" s="17"/>
      <c r="AY332" s="17"/>
      <c r="AZ332" s="18">
        <f>X332</f>
        <v>0</v>
      </c>
      <c r="BA332" s="19">
        <f>IF(AZ$333=0,0,AZ332/AZ$333)</f>
        <v>0</v>
      </c>
    </row>
    <row r="333" spans="1:53" s="4" customFormat="1" ht="17.100000000000001" customHeight="1" x14ac:dyDescent="0.25">
      <c r="A333" s="175"/>
      <c r="B333" s="40"/>
      <c r="C333" s="77"/>
      <c r="D333" s="134"/>
      <c r="E333" s="134"/>
      <c r="F333" s="134"/>
      <c r="G333" s="134"/>
      <c r="H333" s="540"/>
      <c r="I333" s="12"/>
      <c r="J333" s="80">
        <f>J326+J327+J331+J332</f>
        <v>0</v>
      </c>
      <c r="K333" s="80">
        <f t="shared" ref="K333:M333" si="361">K326+K327+K331+K332</f>
        <v>0</v>
      </c>
      <c r="L333" s="80">
        <f t="shared" si="361"/>
        <v>0</v>
      </c>
      <c r="M333" s="80">
        <f t="shared" si="361"/>
        <v>0</v>
      </c>
      <c r="N333" s="81"/>
      <c r="O333" s="81"/>
      <c r="P333" s="81"/>
      <c r="Q333" s="81"/>
      <c r="R333" s="81"/>
      <c r="S333" s="81"/>
      <c r="T333" s="81"/>
      <c r="U333" s="81"/>
      <c r="V333" s="356"/>
      <c r="W333" s="381">
        <f>W326+W327+W331+W332</f>
        <v>0</v>
      </c>
      <c r="X333" s="82">
        <f>X326+X327+X331+X332</f>
        <v>0</v>
      </c>
      <c r="Y333" s="82">
        <f t="shared" ref="Y333" si="362">SUM(Y326:Y332)</f>
        <v>0</v>
      </c>
      <c r="Z333" s="205">
        <f>IF(Y$333=0,0,Y333/Y$333)</f>
        <v>0</v>
      </c>
      <c r="AA333" s="205"/>
      <c r="AB333" s="205"/>
      <c r="AC333" s="83"/>
      <c r="AE333" s="80"/>
      <c r="AF333" s="80"/>
      <c r="AG333" s="81"/>
      <c r="AH333" s="82">
        <f>SUM(AH326:AH332)</f>
        <v>0</v>
      </c>
      <c r="AI333" s="66">
        <f>IF(AH$333=0,0,AH333/AH$333)</f>
        <v>0</v>
      </c>
      <c r="AJ333" s="97"/>
      <c r="AK333" s="80"/>
      <c r="AL333" s="80"/>
      <c r="AM333" s="81"/>
      <c r="AN333" s="82">
        <f>SUM(AN326:AN332)</f>
        <v>0</v>
      </c>
      <c r="AO333" s="66">
        <f>IF(AN$333=0,0,AN333/AN$333)</f>
        <v>0</v>
      </c>
      <c r="AP333" s="97"/>
      <c r="AQ333" s="80"/>
      <c r="AR333" s="80"/>
      <c r="AS333" s="81"/>
      <c r="AT333" s="82">
        <f>SUM(AT326:AT332)</f>
        <v>0</v>
      </c>
      <c r="AU333" s="66">
        <f>IF(AT$333=0,0,AT333/AT$333)</f>
        <v>0</v>
      </c>
      <c r="AV333" s="97"/>
      <c r="AW333" s="80"/>
      <c r="AX333" s="80"/>
      <c r="AY333" s="81"/>
      <c r="AZ333" s="82">
        <f>SUM(AZ326:AZ332)</f>
        <v>0</v>
      </c>
      <c r="BA333" s="66">
        <f>IF(AZ$333=0,0,AZ333/AZ$333)</f>
        <v>0</v>
      </c>
    </row>
    <row r="334" spans="1:53" s="117" customFormat="1" ht="17.100000000000001" customHeight="1" x14ac:dyDescent="0.25">
      <c r="A334" s="68"/>
      <c r="B334" s="119"/>
      <c r="C334" s="540"/>
      <c r="D334" s="261"/>
      <c r="E334" s="261"/>
      <c r="F334" s="68"/>
      <c r="G334" s="68"/>
      <c r="H334" s="119"/>
      <c r="I334" s="138"/>
      <c r="J334" s="17" t="str">
        <f>IF(J333=J$15,"OK","NOK")</f>
        <v>OK</v>
      </c>
      <c r="K334" s="17" t="str">
        <f t="shared" ref="K334:L334" si="363">IF(K333=K$15,"OK","NOK")</f>
        <v>OK</v>
      </c>
      <c r="L334" s="17" t="str">
        <f t="shared" si="363"/>
        <v>OK</v>
      </c>
      <c r="M334" s="17"/>
      <c r="N334" s="17"/>
      <c r="O334" s="17"/>
      <c r="P334" s="17"/>
      <c r="Q334" s="17"/>
      <c r="R334" s="17"/>
      <c r="S334" s="17"/>
      <c r="T334" s="17"/>
      <c r="U334" s="17"/>
      <c r="V334" s="359"/>
      <c r="W334" s="382"/>
      <c r="X334" s="539"/>
      <c r="Y334" s="539"/>
      <c r="Z334" s="201"/>
      <c r="AA334" s="201"/>
      <c r="AB334" s="201"/>
      <c r="AC334" s="84"/>
      <c r="AE334" s="46"/>
      <c r="AF334" s="46"/>
      <c r="AG334" s="17"/>
      <c r="AH334" s="539"/>
      <c r="AI334" s="91"/>
      <c r="AK334" s="46"/>
      <c r="AL334" s="46"/>
      <c r="AM334" s="17"/>
      <c r="AN334" s="539"/>
      <c r="AO334" s="91"/>
      <c r="AQ334" s="46"/>
      <c r="AR334" s="46"/>
      <c r="AS334" s="17"/>
      <c r="AT334" s="539"/>
      <c r="AU334" s="91"/>
      <c r="AW334" s="46"/>
      <c r="AX334" s="46"/>
      <c r="AY334" s="17"/>
      <c r="AZ334" s="539"/>
      <c r="BA334" s="91"/>
    </row>
    <row r="335" spans="1:53" ht="17.100000000000001" customHeight="1" x14ac:dyDescent="0.25">
      <c r="A335" s="68"/>
      <c r="B335" s="41" t="s">
        <v>171</v>
      </c>
      <c r="C335" s="69" t="s">
        <v>435</v>
      </c>
      <c r="D335" s="50"/>
      <c r="E335" s="70"/>
      <c r="F335" s="70"/>
      <c r="G335" s="70"/>
      <c r="H335" s="243">
        <v>42</v>
      </c>
      <c r="J335" s="71"/>
      <c r="K335" s="71"/>
      <c r="L335" s="71"/>
      <c r="M335" s="71"/>
      <c r="N335" s="71"/>
      <c r="O335" s="71"/>
      <c r="P335" s="71"/>
      <c r="Q335" s="71"/>
      <c r="R335" s="71"/>
      <c r="S335" s="71"/>
      <c r="T335" s="71"/>
      <c r="U335" s="71"/>
      <c r="V335" s="355"/>
      <c r="W335" s="377"/>
      <c r="X335" s="71"/>
      <c r="Y335" s="89"/>
      <c r="Z335" s="90"/>
      <c r="AA335" s="90"/>
      <c r="AB335" s="90"/>
      <c r="AC335" s="73"/>
      <c r="AE335" s="71"/>
      <c r="AF335" s="71"/>
      <c r="AG335" s="71"/>
      <c r="AH335" s="72"/>
      <c r="AI335" s="73"/>
      <c r="AK335" s="71"/>
      <c r="AL335" s="71"/>
      <c r="AM335" s="71"/>
      <c r="AN335" s="72"/>
      <c r="AO335" s="73"/>
      <c r="AQ335" s="71"/>
      <c r="AR335" s="71"/>
      <c r="AS335" s="71"/>
      <c r="AT335" s="72"/>
      <c r="AU335" s="73"/>
      <c r="AW335" s="71"/>
      <c r="AX335" s="71"/>
      <c r="AY335" s="71"/>
      <c r="AZ335" s="72"/>
      <c r="BA335" s="73"/>
    </row>
    <row r="336" spans="1:53" s="4" customFormat="1" ht="17.100000000000001" customHeight="1" x14ac:dyDescent="0.25">
      <c r="A336" s="40"/>
      <c r="B336" s="40"/>
      <c r="C336" s="74" t="s">
        <v>172</v>
      </c>
      <c r="D336" s="85" t="s">
        <v>173</v>
      </c>
      <c r="E336" s="105"/>
      <c r="F336" s="105"/>
      <c r="G336" s="105"/>
      <c r="H336" s="119"/>
      <c r="I336" s="231"/>
      <c r="J336" s="581"/>
      <c r="K336" s="581"/>
      <c r="L336" s="582"/>
      <c r="M336" s="593"/>
      <c r="N336" s="111"/>
      <c r="O336" s="111"/>
      <c r="P336" s="111"/>
      <c r="Q336" s="111"/>
      <c r="R336" s="111"/>
      <c r="S336" s="111"/>
      <c r="T336" s="111"/>
      <c r="U336" s="111"/>
      <c r="V336" s="358"/>
      <c r="W336" s="391">
        <f t="shared" ref="W336:W337" si="364">J336+K336+N336+Q336+T336</f>
        <v>0</v>
      </c>
      <c r="X336" s="17">
        <f t="shared" ref="X336:X337" si="365">L336+O336+R336+U336</f>
        <v>0</v>
      </c>
      <c r="Y336" s="18">
        <f>SUM(W336:X336)</f>
        <v>0</v>
      </c>
      <c r="Z336" s="19">
        <f>IF(Y$343=0,0,Y336/Y$343)</f>
        <v>0</v>
      </c>
      <c r="AA336" s="19"/>
      <c r="AB336" s="19"/>
      <c r="AC336" s="20"/>
      <c r="AE336" s="17"/>
      <c r="AF336" s="17"/>
      <c r="AG336" s="17"/>
      <c r="AH336" s="18">
        <f>J336</f>
        <v>0</v>
      </c>
      <c r="AI336" s="19">
        <f>IF(AH$343=0,0,AH336/AH$343)</f>
        <v>0</v>
      </c>
      <c r="AJ336" s="97"/>
      <c r="AK336" s="17"/>
      <c r="AL336" s="17"/>
      <c r="AM336" s="17"/>
      <c r="AN336" s="18">
        <f>K336</f>
        <v>0</v>
      </c>
      <c r="AO336" s="19">
        <f>IF(AN$343=0,0,AN336/AN$343)</f>
        <v>0</v>
      </c>
      <c r="AP336" s="97"/>
      <c r="AQ336" s="17"/>
      <c r="AR336" s="17"/>
      <c r="AS336" s="17"/>
      <c r="AT336" s="18">
        <f>W336</f>
        <v>0</v>
      </c>
      <c r="AU336" s="19">
        <f>IF(AT$343=0,0,AT336/AT$343)</f>
        <v>0</v>
      </c>
      <c r="AV336" s="97"/>
      <c r="AW336" s="17"/>
      <c r="AX336" s="17"/>
      <c r="AY336" s="17"/>
      <c r="AZ336" s="18">
        <f>X336</f>
        <v>0</v>
      </c>
      <c r="BA336" s="19">
        <f>IF(AZ$343=0,0,AZ336/AZ$343)</f>
        <v>0</v>
      </c>
    </row>
    <row r="337" spans="1:53" s="4" customFormat="1" ht="17.100000000000001" customHeight="1" x14ac:dyDescent="0.25">
      <c r="A337" s="40"/>
      <c r="B337" s="40"/>
      <c r="C337" s="74" t="s">
        <v>174</v>
      </c>
      <c r="D337" s="85" t="s">
        <v>544</v>
      </c>
      <c r="E337" s="105"/>
      <c r="F337" s="105"/>
      <c r="G337" s="105"/>
      <c r="H337" s="119"/>
      <c r="I337" s="231"/>
      <c r="J337" s="583"/>
      <c r="K337" s="583"/>
      <c r="L337" s="584"/>
      <c r="M337" s="593"/>
      <c r="N337" s="111"/>
      <c r="O337" s="111"/>
      <c r="P337" s="111"/>
      <c r="Q337" s="111"/>
      <c r="R337" s="111"/>
      <c r="S337" s="111"/>
      <c r="T337" s="111"/>
      <c r="U337" s="111"/>
      <c r="V337" s="358"/>
      <c r="W337" s="391">
        <f t="shared" si="364"/>
        <v>0</v>
      </c>
      <c r="X337" s="17">
        <f t="shared" si="365"/>
        <v>0</v>
      </c>
      <c r="Y337" s="18">
        <f>SUM(W337:X337)</f>
        <v>0</v>
      </c>
      <c r="Z337" s="19">
        <f>IF(Y$343=0,0,Y337/Y$343)</f>
        <v>0</v>
      </c>
      <c r="AA337" s="19"/>
      <c r="AB337" s="19"/>
      <c r="AC337" s="20"/>
      <c r="AE337" s="17"/>
      <c r="AF337" s="17"/>
      <c r="AG337" s="17"/>
      <c r="AH337" s="18">
        <f t="shared" ref="AH337" si="366">J337</f>
        <v>0</v>
      </c>
      <c r="AI337" s="19">
        <f>IF(AH$343=0,0,AH337/AH$343)</f>
        <v>0</v>
      </c>
      <c r="AJ337" s="97"/>
      <c r="AK337" s="17"/>
      <c r="AL337" s="17"/>
      <c r="AM337" s="17"/>
      <c r="AN337" s="18">
        <f t="shared" ref="AN337" si="367">K337</f>
        <v>0</v>
      </c>
      <c r="AO337" s="19">
        <f>IF(AN$343=0,0,AN337/AN$343)</f>
        <v>0</v>
      </c>
      <c r="AP337" s="97"/>
      <c r="AQ337" s="17"/>
      <c r="AR337" s="17"/>
      <c r="AS337" s="17"/>
      <c r="AT337" s="18">
        <f t="shared" ref="AT337" si="368">W337</f>
        <v>0</v>
      </c>
      <c r="AU337" s="19">
        <f>IF(AT$343=0,0,AT337/AT$343)</f>
        <v>0</v>
      </c>
      <c r="AV337" s="97"/>
      <c r="AW337" s="17"/>
      <c r="AX337" s="17"/>
      <c r="AY337" s="17"/>
      <c r="AZ337" s="18">
        <f>X337</f>
        <v>0</v>
      </c>
      <c r="BA337" s="19">
        <f>IF(AZ$343=0,0,AZ337/AZ$343)</f>
        <v>0</v>
      </c>
    </row>
    <row r="338" spans="1:53" s="4" customFormat="1" ht="17.100000000000001" customHeight="1" x14ac:dyDescent="0.25">
      <c r="A338" s="40"/>
      <c r="B338" s="40"/>
      <c r="C338" s="74" t="s">
        <v>175</v>
      </c>
      <c r="D338" s="146" t="s">
        <v>484</v>
      </c>
      <c r="E338" s="105"/>
      <c r="F338" s="105"/>
      <c r="G338" s="105"/>
      <c r="H338" s="119"/>
      <c r="I338" s="231"/>
      <c r="J338" s="581"/>
      <c r="K338" s="581"/>
      <c r="L338" s="582"/>
      <c r="M338" s="593"/>
      <c r="N338" s="111"/>
      <c r="O338" s="111"/>
      <c r="P338" s="111"/>
      <c r="Q338" s="111"/>
      <c r="R338" s="111"/>
      <c r="S338" s="111"/>
      <c r="T338" s="111"/>
      <c r="U338" s="111"/>
      <c r="V338" s="358"/>
      <c r="W338" s="391">
        <f>MIN(J338:K338)</f>
        <v>0</v>
      </c>
      <c r="X338" s="17">
        <f>L338</f>
        <v>0</v>
      </c>
      <c r="Y338" s="18"/>
      <c r="Z338" s="19"/>
      <c r="AA338" s="17">
        <f>MIN(J338:L338)</f>
        <v>0</v>
      </c>
      <c r="AB338" s="17"/>
      <c r="AC338" s="17"/>
      <c r="AE338" s="17">
        <f>J338</f>
        <v>0</v>
      </c>
      <c r="AF338" s="17"/>
      <c r="AG338" s="17"/>
      <c r="AH338" s="18"/>
      <c r="AI338" s="19"/>
      <c r="AJ338" s="97"/>
      <c r="AK338" s="17">
        <f>K338</f>
        <v>0</v>
      </c>
      <c r="AL338" s="17"/>
      <c r="AM338" s="17"/>
      <c r="AN338" s="18"/>
      <c r="AO338" s="19"/>
      <c r="AP338" s="97"/>
      <c r="AQ338" s="17">
        <f>W338</f>
        <v>0</v>
      </c>
      <c r="AR338" s="17"/>
      <c r="AS338" s="17"/>
      <c r="AT338" s="18"/>
      <c r="AU338" s="19"/>
      <c r="AV338" s="97"/>
      <c r="AW338" s="17">
        <f>L338</f>
        <v>0</v>
      </c>
      <c r="AX338" s="17"/>
      <c r="AY338" s="17"/>
      <c r="AZ338" s="18"/>
      <c r="BA338" s="19"/>
    </row>
    <row r="339" spans="1:53" s="4" customFormat="1" ht="17.100000000000001" customHeight="1" x14ac:dyDescent="0.25">
      <c r="A339" s="40"/>
      <c r="B339" s="40"/>
      <c r="C339" s="74" t="s">
        <v>176</v>
      </c>
      <c r="D339" s="146" t="s">
        <v>485</v>
      </c>
      <c r="E339" s="105"/>
      <c r="F339" s="105"/>
      <c r="G339" s="105"/>
      <c r="H339" s="119"/>
      <c r="I339" s="231"/>
      <c r="J339" s="583"/>
      <c r="K339" s="583"/>
      <c r="L339" s="584"/>
      <c r="M339" s="593"/>
      <c r="N339" s="111"/>
      <c r="O339" s="111"/>
      <c r="P339" s="111"/>
      <c r="Q339" s="111"/>
      <c r="R339" s="111"/>
      <c r="S339" s="111"/>
      <c r="T339" s="111"/>
      <c r="U339" s="111"/>
      <c r="V339" s="358"/>
      <c r="W339" s="391">
        <f>MAX(J339:K339)</f>
        <v>0</v>
      </c>
      <c r="X339" s="17">
        <f t="shared" ref="X339:X340" si="369">L339</f>
        <v>0</v>
      </c>
      <c r="Y339" s="18"/>
      <c r="Z339" s="19"/>
      <c r="AA339" s="17"/>
      <c r="AB339" s="17">
        <f>MAX(J339:L339)</f>
        <v>0</v>
      </c>
      <c r="AC339" s="17"/>
      <c r="AE339" s="17"/>
      <c r="AF339" s="17">
        <f>J339</f>
        <v>0</v>
      </c>
      <c r="AG339" s="17"/>
      <c r="AH339" s="18"/>
      <c r="AI339" s="19"/>
      <c r="AJ339" s="97"/>
      <c r="AK339" s="17"/>
      <c r="AL339" s="17">
        <f>K339</f>
        <v>0</v>
      </c>
      <c r="AM339" s="17"/>
      <c r="AN339" s="18"/>
      <c r="AO339" s="19"/>
      <c r="AP339" s="97"/>
      <c r="AQ339" s="17"/>
      <c r="AR339" s="17">
        <f>W339</f>
        <v>0</v>
      </c>
      <c r="AS339" s="17"/>
      <c r="AT339" s="18"/>
      <c r="AU339" s="19"/>
      <c r="AV339" s="97"/>
      <c r="AW339" s="17"/>
      <c r="AX339" s="17">
        <f>L339</f>
        <v>0</v>
      </c>
      <c r="AY339" s="17"/>
      <c r="AZ339" s="18"/>
      <c r="BA339" s="19"/>
    </row>
    <row r="340" spans="1:53" s="4" customFormat="1" ht="17.100000000000001" customHeight="1" x14ac:dyDescent="0.25">
      <c r="A340" s="40"/>
      <c r="B340" s="40"/>
      <c r="C340" s="74" t="s">
        <v>177</v>
      </c>
      <c r="D340" s="146" t="s">
        <v>543</v>
      </c>
      <c r="E340" s="105"/>
      <c r="F340" s="105"/>
      <c r="G340" s="105"/>
      <c r="H340" s="119"/>
      <c r="I340" s="231"/>
      <c r="J340" s="581"/>
      <c r="K340" s="581"/>
      <c r="L340" s="582"/>
      <c r="M340" s="593"/>
      <c r="N340" s="111"/>
      <c r="O340" s="111"/>
      <c r="P340" s="111"/>
      <c r="Q340" s="111"/>
      <c r="R340" s="111"/>
      <c r="S340" s="111"/>
      <c r="T340" s="111"/>
      <c r="U340" s="111"/>
      <c r="V340" s="358"/>
      <c r="W340" s="391">
        <f>IF(SUM(J340:K340)=0,0,AVERAGE(J340:K340))</f>
        <v>0</v>
      </c>
      <c r="X340" s="17">
        <f t="shared" si="369"/>
        <v>0</v>
      </c>
      <c r="Y340" s="18"/>
      <c r="Z340" s="19"/>
      <c r="AA340" s="17"/>
      <c r="AB340" s="17"/>
      <c r="AC340" s="17">
        <f>IF(SUM(J340:L340)=0,0,AVERAGE(J340:L340))</f>
        <v>0</v>
      </c>
      <c r="AE340" s="17"/>
      <c r="AF340" s="17"/>
      <c r="AG340" s="17">
        <f>J340</f>
        <v>0</v>
      </c>
      <c r="AH340" s="18"/>
      <c r="AI340" s="19"/>
      <c r="AJ340" s="97"/>
      <c r="AK340" s="17"/>
      <c r="AL340" s="17"/>
      <c r="AM340" s="17">
        <f>K340</f>
        <v>0</v>
      </c>
      <c r="AN340" s="18"/>
      <c r="AO340" s="19"/>
      <c r="AP340" s="97"/>
      <c r="AQ340" s="17"/>
      <c r="AR340" s="17"/>
      <c r="AS340" s="17">
        <f>W340</f>
        <v>0</v>
      </c>
      <c r="AT340" s="18"/>
      <c r="AU340" s="19"/>
      <c r="AV340" s="97"/>
      <c r="AW340" s="17"/>
      <c r="AX340" s="17"/>
      <c r="AY340" s="17">
        <f>L340</f>
        <v>0</v>
      </c>
      <c r="AZ340" s="18"/>
      <c r="BA340" s="19"/>
    </row>
    <row r="341" spans="1:53" s="4" customFormat="1" ht="17.100000000000001" customHeight="1" x14ac:dyDescent="0.25">
      <c r="A341" s="40"/>
      <c r="B341" s="40"/>
      <c r="C341" s="74" t="s">
        <v>178</v>
      </c>
      <c r="D341" s="75" t="s">
        <v>129</v>
      </c>
      <c r="E341" s="105"/>
      <c r="F341" s="105"/>
      <c r="G341" s="105"/>
      <c r="H341" s="119"/>
      <c r="I341" s="231"/>
      <c r="J341" s="583"/>
      <c r="K341" s="583"/>
      <c r="L341" s="584"/>
      <c r="M341" s="593"/>
      <c r="N341" s="111"/>
      <c r="O341" s="111"/>
      <c r="P341" s="111"/>
      <c r="Q341" s="111"/>
      <c r="R341" s="111"/>
      <c r="S341" s="111"/>
      <c r="T341" s="111"/>
      <c r="U341" s="111"/>
      <c r="V341" s="358"/>
      <c r="W341" s="391">
        <f t="shared" ref="W341:W342" si="370">J341+K341+N341+Q341+T341</f>
        <v>0</v>
      </c>
      <c r="X341" s="17">
        <f t="shared" ref="X341:X342" si="371">L341+O341+R341+U341</f>
        <v>0</v>
      </c>
      <c r="Y341" s="18">
        <f>SUM(W341:X341)</f>
        <v>0</v>
      </c>
      <c r="Z341" s="19">
        <f>IF(Y$343=0,0,Y341/Y$343)</f>
        <v>0</v>
      </c>
      <c r="AA341" s="19"/>
      <c r="AB341" s="19"/>
      <c r="AC341" s="20"/>
      <c r="AE341" s="17"/>
      <c r="AF341" s="17"/>
      <c r="AG341" s="17"/>
      <c r="AH341" s="18">
        <f t="shared" ref="AH341:AH342" si="372">J341</f>
        <v>0</v>
      </c>
      <c r="AI341" s="19">
        <f>IF(AH$343=0,0,AH341/AH$343)</f>
        <v>0</v>
      </c>
      <c r="AJ341" s="97"/>
      <c r="AK341" s="17"/>
      <c r="AL341" s="17"/>
      <c r="AM341" s="17"/>
      <c r="AN341" s="18">
        <f t="shared" ref="AN341:AN342" si="373">K341</f>
        <v>0</v>
      </c>
      <c r="AO341" s="19">
        <f>IF(AN$343=0,0,AN341/AN$343)</f>
        <v>0</v>
      </c>
      <c r="AP341" s="97"/>
      <c r="AQ341" s="17"/>
      <c r="AR341" s="17"/>
      <c r="AS341" s="17"/>
      <c r="AT341" s="18">
        <f t="shared" ref="AT341:AT342" si="374">W341</f>
        <v>0</v>
      </c>
      <c r="AU341" s="19">
        <f>IF(AT$343=0,0,AT341/AT$343)</f>
        <v>0</v>
      </c>
      <c r="AV341" s="97"/>
      <c r="AW341" s="17"/>
      <c r="AX341" s="17"/>
      <c r="AY341" s="17"/>
      <c r="AZ341" s="18">
        <f>X341</f>
        <v>0</v>
      </c>
      <c r="BA341" s="19">
        <f>IF(AZ$343=0,0,AZ341/AZ$343)</f>
        <v>0</v>
      </c>
    </row>
    <row r="342" spans="1:53" s="4" customFormat="1" ht="17.100000000000001" customHeight="1" x14ac:dyDescent="0.25">
      <c r="A342" s="40"/>
      <c r="B342" s="40"/>
      <c r="C342" s="74" t="s">
        <v>179</v>
      </c>
      <c r="D342" s="75" t="s">
        <v>530</v>
      </c>
      <c r="E342" s="75"/>
      <c r="F342" s="75"/>
      <c r="G342" s="75"/>
      <c r="H342" s="540"/>
      <c r="I342" s="229"/>
      <c r="J342" s="581"/>
      <c r="K342" s="581"/>
      <c r="L342" s="582"/>
      <c r="M342" s="593"/>
      <c r="N342" s="111"/>
      <c r="O342" s="111"/>
      <c r="P342" s="111"/>
      <c r="Q342" s="111"/>
      <c r="R342" s="111"/>
      <c r="S342" s="111"/>
      <c r="T342" s="111"/>
      <c r="U342" s="111"/>
      <c r="V342" s="358"/>
      <c r="W342" s="391">
        <f t="shared" si="370"/>
        <v>0</v>
      </c>
      <c r="X342" s="17">
        <f t="shared" si="371"/>
        <v>0</v>
      </c>
      <c r="Y342" s="18">
        <f>SUM(W342:X342)</f>
        <v>0</v>
      </c>
      <c r="Z342" s="19">
        <f>IF(Y$343=0,0,Y342/Y$343)</f>
        <v>0</v>
      </c>
      <c r="AA342" s="19"/>
      <c r="AB342" s="19"/>
      <c r="AC342" s="20"/>
      <c r="AE342" s="17"/>
      <c r="AF342" s="17"/>
      <c r="AG342" s="17"/>
      <c r="AH342" s="18">
        <f t="shared" si="372"/>
        <v>0</v>
      </c>
      <c r="AI342" s="19">
        <f>IF(AH$343=0,0,AH342/AH$343)</f>
        <v>0</v>
      </c>
      <c r="AJ342" s="97"/>
      <c r="AK342" s="17"/>
      <c r="AL342" s="17"/>
      <c r="AM342" s="17"/>
      <c r="AN342" s="18">
        <f t="shared" si="373"/>
        <v>0</v>
      </c>
      <c r="AO342" s="19">
        <f>IF(AN$343=0,0,AN342/AN$343)</f>
        <v>0</v>
      </c>
      <c r="AP342" s="97"/>
      <c r="AQ342" s="17"/>
      <c r="AR342" s="17"/>
      <c r="AS342" s="17"/>
      <c r="AT342" s="18">
        <f t="shared" si="374"/>
        <v>0</v>
      </c>
      <c r="AU342" s="19">
        <f>IF(AT$343=0,0,AT342/AT$343)</f>
        <v>0</v>
      </c>
      <c r="AV342" s="97"/>
      <c r="AW342" s="17"/>
      <c r="AX342" s="17"/>
      <c r="AY342" s="17"/>
      <c r="AZ342" s="18">
        <f>X342</f>
        <v>0</v>
      </c>
      <c r="BA342" s="19">
        <f>IF(AZ$343=0,0,AZ342/AZ$343)</f>
        <v>0</v>
      </c>
    </row>
    <row r="343" spans="1:53" s="4" customFormat="1" ht="17.100000000000001" customHeight="1" x14ac:dyDescent="0.25">
      <c r="A343" s="175"/>
      <c r="B343" s="40"/>
      <c r="C343" s="77"/>
      <c r="D343" s="134"/>
      <c r="E343" s="134"/>
      <c r="F343" s="134"/>
      <c r="G343" s="134"/>
      <c r="H343" s="540"/>
      <c r="I343" s="12"/>
      <c r="J343" s="80">
        <f>J336+J337+J341+J342</f>
        <v>0</v>
      </c>
      <c r="K343" s="80">
        <f t="shared" ref="K343:M343" si="375">K336+K337+K341+K342</f>
        <v>0</v>
      </c>
      <c r="L343" s="80">
        <f t="shared" si="375"/>
        <v>0</v>
      </c>
      <c r="M343" s="80">
        <f t="shared" si="375"/>
        <v>0</v>
      </c>
      <c r="N343" s="81"/>
      <c r="O343" s="81"/>
      <c r="P343" s="81"/>
      <c r="Q343" s="81"/>
      <c r="R343" s="81"/>
      <c r="S343" s="81"/>
      <c r="T343" s="81"/>
      <c r="U343" s="81"/>
      <c r="V343" s="356"/>
      <c r="W343" s="381">
        <f>W336+W337+W341+W342</f>
        <v>0</v>
      </c>
      <c r="X343" s="82">
        <f>X336+X337+X341+X342</f>
        <v>0</v>
      </c>
      <c r="Y343" s="82">
        <f t="shared" ref="Y343" si="376">SUM(Y336:Y342)</f>
        <v>0</v>
      </c>
      <c r="Z343" s="205">
        <f>IF(Y$343=0,0,Y343/Y$343)</f>
        <v>0</v>
      </c>
      <c r="AA343" s="205"/>
      <c r="AB343" s="205"/>
      <c r="AC343" s="83"/>
      <c r="AE343" s="80"/>
      <c r="AF343" s="80"/>
      <c r="AG343" s="81"/>
      <c r="AH343" s="82">
        <f>SUM(AH336:AH342)</f>
        <v>0</v>
      </c>
      <c r="AI343" s="66">
        <f>IF(AH$343=0,0,AH343/AH$343)</f>
        <v>0</v>
      </c>
      <c r="AJ343" s="97"/>
      <c r="AK343" s="80"/>
      <c r="AL343" s="80"/>
      <c r="AM343" s="81"/>
      <c r="AN343" s="82">
        <f>SUM(AN336:AN342)</f>
        <v>0</v>
      </c>
      <c r="AO343" s="66">
        <f>IF(AN$343=0,0,AN343/AN$343)</f>
        <v>0</v>
      </c>
      <c r="AP343" s="97"/>
      <c r="AQ343" s="80"/>
      <c r="AR343" s="80"/>
      <c r="AS343" s="81"/>
      <c r="AT343" s="82">
        <f>SUM(AT336:AT342)</f>
        <v>0</v>
      </c>
      <c r="AU343" s="66">
        <f>IF(AT$343=0,0,AT343/AT$343)</f>
        <v>0</v>
      </c>
      <c r="AV343" s="97"/>
      <c r="AW343" s="80"/>
      <c r="AX343" s="80"/>
      <c r="AY343" s="81"/>
      <c r="AZ343" s="82">
        <f>SUM(AZ336:AZ342)</f>
        <v>0</v>
      </c>
      <c r="BA343" s="66">
        <f>IF(AZ$343=0,0,AZ343/AZ$343)</f>
        <v>0</v>
      </c>
    </row>
    <row r="344" spans="1:53" s="117" customFormat="1" ht="17.100000000000001" customHeight="1" x14ac:dyDescent="0.25">
      <c r="A344" s="68"/>
      <c r="B344" s="119"/>
      <c r="C344" s="540"/>
      <c r="D344" s="261"/>
      <c r="E344" s="261"/>
      <c r="F344" s="68"/>
      <c r="G344" s="68"/>
      <c r="H344" s="119"/>
      <c r="I344" s="138"/>
      <c r="J344" s="17" t="str">
        <f>IF(J343=J$15,"OK","NOK")</f>
        <v>OK</v>
      </c>
      <c r="K344" s="17" t="str">
        <f t="shared" ref="K344:L344" si="377">IF(K343=K$15,"OK","NOK")</f>
        <v>OK</v>
      </c>
      <c r="L344" s="17" t="str">
        <f t="shared" si="377"/>
        <v>OK</v>
      </c>
      <c r="M344" s="17"/>
      <c r="N344" s="17"/>
      <c r="O344" s="17"/>
      <c r="P344" s="17"/>
      <c r="Q344" s="17"/>
      <c r="R344" s="17"/>
      <c r="S344" s="17"/>
      <c r="T344" s="17"/>
      <c r="U344" s="17"/>
      <c r="V344" s="359"/>
      <c r="W344" s="382"/>
      <c r="X344" s="539"/>
      <c r="Y344" s="539"/>
      <c r="Z344" s="201"/>
      <c r="AA344" s="201"/>
      <c r="AB344" s="201"/>
      <c r="AC344" s="84"/>
      <c r="AE344" s="46"/>
      <c r="AF344" s="46"/>
      <c r="AG344" s="17"/>
      <c r="AH344" s="539"/>
      <c r="AI344" s="91"/>
      <c r="AK344" s="46"/>
      <c r="AL344" s="46"/>
      <c r="AM344" s="17"/>
      <c r="AN344" s="539"/>
      <c r="AO344" s="91"/>
      <c r="AQ344" s="46"/>
      <c r="AR344" s="46"/>
      <c r="AS344" s="17"/>
      <c r="AT344" s="539"/>
      <c r="AU344" s="91"/>
      <c r="AW344" s="46"/>
      <c r="AX344" s="46"/>
      <c r="AY344" s="17"/>
      <c r="AZ344" s="539"/>
      <c r="BA344" s="91"/>
    </row>
    <row r="345" spans="1:53" ht="17.100000000000001" customHeight="1" x14ac:dyDescent="0.25">
      <c r="A345" s="68"/>
      <c r="B345" s="41" t="s">
        <v>180</v>
      </c>
      <c r="C345" s="69" t="s">
        <v>436</v>
      </c>
      <c r="D345" s="50"/>
      <c r="E345" s="70"/>
      <c r="F345" s="70"/>
      <c r="G345" s="70"/>
      <c r="H345" s="243">
        <v>43</v>
      </c>
      <c r="J345" s="71"/>
      <c r="K345" s="71"/>
      <c r="L345" s="71"/>
      <c r="M345" s="71"/>
      <c r="N345" s="71"/>
      <c r="O345" s="71"/>
      <c r="P345" s="71"/>
      <c r="Q345" s="71"/>
      <c r="R345" s="71"/>
      <c r="S345" s="71"/>
      <c r="T345" s="71"/>
      <c r="U345" s="71"/>
      <c r="V345" s="355"/>
      <c r="W345" s="377"/>
      <c r="X345" s="71"/>
      <c r="Y345" s="72"/>
      <c r="Z345" s="73"/>
      <c r="AA345" s="73"/>
      <c r="AB345" s="73"/>
      <c r="AC345" s="73"/>
      <c r="AE345" s="71"/>
      <c r="AF345" s="71"/>
      <c r="AG345" s="71"/>
      <c r="AH345" s="72"/>
      <c r="AI345" s="73"/>
      <c r="AK345" s="71"/>
      <c r="AL345" s="71"/>
      <c r="AM345" s="71"/>
      <c r="AN345" s="72"/>
      <c r="AO345" s="73"/>
      <c r="AQ345" s="71"/>
      <c r="AR345" s="71"/>
      <c r="AS345" s="71"/>
      <c r="AT345" s="72"/>
      <c r="AU345" s="73"/>
      <c r="AW345" s="71"/>
      <c r="AX345" s="71"/>
      <c r="AY345" s="71"/>
      <c r="AZ345" s="72"/>
      <c r="BA345" s="73"/>
    </row>
    <row r="346" spans="1:53" s="4" customFormat="1" ht="17.100000000000001" customHeight="1" x14ac:dyDescent="0.25">
      <c r="A346" s="40"/>
      <c r="B346" s="40"/>
      <c r="C346" s="74" t="s">
        <v>440</v>
      </c>
      <c r="D346" s="85" t="s">
        <v>162</v>
      </c>
      <c r="E346" s="75"/>
      <c r="F346" s="75"/>
      <c r="G346" s="75"/>
      <c r="H346" s="540"/>
      <c r="I346" s="229"/>
      <c r="J346" s="581"/>
      <c r="K346" s="581"/>
      <c r="L346" s="582"/>
      <c r="M346" s="593">
        <f t="shared" ref="M346:M353" si="378">SUM(J346:L346)</f>
        <v>0</v>
      </c>
      <c r="N346" s="111"/>
      <c r="O346" s="111"/>
      <c r="P346" s="111"/>
      <c r="Q346" s="111"/>
      <c r="R346" s="111"/>
      <c r="S346" s="111"/>
      <c r="T346" s="111"/>
      <c r="U346" s="111"/>
      <c r="V346" s="358"/>
      <c r="W346" s="391">
        <f t="shared" ref="W346:W353" si="379">J346+K346+N346+Q346+T346</f>
        <v>0</v>
      </c>
      <c r="X346" s="17">
        <f t="shared" ref="X346:X353" si="380">L346+O346+R346+U346</f>
        <v>0</v>
      </c>
      <c r="Y346" s="18">
        <f t="shared" ref="Y346:Y353" si="381">SUM(W346:X346)</f>
        <v>0</v>
      </c>
      <c r="Z346" s="19">
        <f t="shared" ref="Z346:Z353" si="382">IF(Y$354=0,0,Y346/Y$354)</f>
        <v>0</v>
      </c>
      <c r="AA346" s="19"/>
      <c r="AB346" s="19"/>
      <c r="AC346" s="20"/>
      <c r="AE346" s="17"/>
      <c r="AF346" s="17"/>
      <c r="AG346" s="17"/>
      <c r="AH346" s="18">
        <f t="shared" ref="AH346:AH353" si="383">J346</f>
        <v>0</v>
      </c>
      <c r="AI346" s="19">
        <f t="shared" ref="AI346:AI353" si="384">IF(AH$354=0,0,AH346/AH$354)</f>
        <v>0</v>
      </c>
      <c r="AJ346" s="97"/>
      <c r="AK346" s="17"/>
      <c r="AL346" s="17"/>
      <c r="AM346" s="17"/>
      <c r="AN346" s="18">
        <f t="shared" ref="AN346:AN353" si="385">K346</f>
        <v>0</v>
      </c>
      <c r="AO346" s="19">
        <f t="shared" ref="AO346:AO353" si="386">IF(AN$354=0,0,AN346/AN$354)</f>
        <v>0</v>
      </c>
      <c r="AP346" s="97"/>
      <c r="AQ346" s="17"/>
      <c r="AR346" s="17"/>
      <c r="AS346" s="17"/>
      <c r="AT346" s="18">
        <f t="shared" ref="AT346:AT353" si="387">W346</f>
        <v>0</v>
      </c>
      <c r="AU346" s="19">
        <f t="shared" ref="AU346:AU353" si="388">IF(AT$354=0,0,AT346/AT$354)</f>
        <v>0</v>
      </c>
      <c r="AV346" s="97"/>
      <c r="AW346" s="17"/>
      <c r="AX346" s="17"/>
      <c r="AY346" s="17"/>
      <c r="AZ346" s="18">
        <f t="shared" ref="AZ346:AZ353" si="389">X346</f>
        <v>0</v>
      </c>
      <c r="BA346" s="19">
        <f t="shared" ref="BA346:BA353" si="390">IF(AZ$354=0,0,AZ346/AZ$354)</f>
        <v>0</v>
      </c>
    </row>
    <row r="347" spans="1:53" s="4" customFormat="1" ht="17.100000000000001" customHeight="1" x14ac:dyDescent="0.25">
      <c r="A347" s="40"/>
      <c r="B347" s="40"/>
      <c r="C347" s="74" t="s">
        <v>441</v>
      </c>
      <c r="D347" s="85" t="s">
        <v>165</v>
      </c>
      <c r="E347" s="75"/>
      <c r="F347" s="75"/>
      <c r="G347" s="75"/>
      <c r="H347" s="540"/>
      <c r="I347" s="229"/>
      <c r="J347" s="583"/>
      <c r="K347" s="583"/>
      <c r="L347" s="584"/>
      <c r="M347" s="593">
        <f t="shared" si="378"/>
        <v>0</v>
      </c>
      <c r="N347" s="111"/>
      <c r="O347" s="111"/>
      <c r="P347" s="111"/>
      <c r="Q347" s="111"/>
      <c r="R347" s="111"/>
      <c r="S347" s="111"/>
      <c r="T347" s="111"/>
      <c r="U347" s="111"/>
      <c r="V347" s="358"/>
      <c r="W347" s="391">
        <f t="shared" si="379"/>
        <v>0</v>
      </c>
      <c r="X347" s="17">
        <f t="shared" si="380"/>
        <v>0</v>
      </c>
      <c r="Y347" s="18">
        <f t="shared" si="381"/>
        <v>0</v>
      </c>
      <c r="Z347" s="19">
        <f t="shared" si="382"/>
        <v>0</v>
      </c>
      <c r="AA347" s="19"/>
      <c r="AB347" s="19"/>
      <c r="AC347" s="20"/>
      <c r="AE347" s="17"/>
      <c r="AF347" s="17"/>
      <c r="AG347" s="17"/>
      <c r="AH347" s="18">
        <f t="shared" si="383"/>
        <v>0</v>
      </c>
      <c r="AI347" s="19">
        <f t="shared" si="384"/>
        <v>0</v>
      </c>
      <c r="AJ347" s="97"/>
      <c r="AK347" s="17"/>
      <c r="AL347" s="17"/>
      <c r="AM347" s="17"/>
      <c r="AN347" s="18">
        <f t="shared" si="385"/>
        <v>0</v>
      </c>
      <c r="AO347" s="19">
        <f t="shared" si="386"/>
        <v>0</v>
      </c>
      <c r="AP347" s="97"/>
      <c r="AQ347" s="17"/>
      <c r="AR347" s="17"/>
      <c r="AS347" s="17"/>
      <c r="AT347" s="18">
        <f t="shared" si="387"/>
        <v>0</v>
      </c>
      <c r="AU347" s="19">
        <f t="shared" si="388"/>
        <v>0</v>
      </c>
      <c r="AV347" s="97"/>
      <c r="AW347" s="17"/>
      <c r="AX347" s="17"/>
      <c r="AY347" s="17"/>
      <c r="AZ347" s="18">
        <f t="shared" si="389"/>
        <v>0</v>
      </c>
      <c r="BA347" s="19">
        <f t="shared" si="390"/>
        <v>0</v>
      </c>
    </row>
    <row r="348" spans="1:53" s="4" customFormat="1" ht="17.100000000000001" customHeight="1" x14ac:dyDescent="0.25">
      <c r="A348" s="40"/>
      <c r="B348" s="40"/>
      <c r="C348" s="74" t="s">
        <v>442</v>
      </c>
      <c r="D348" s="85" t="s">
        <v>167</v>
      </c>
      <c r="E348" s="75"/>
      <c r="F348" s="75"/>
      <c r="G348" s="75"/>
      <c r="H348" s="540"/>
      <c r="I348" s="229"/>
      <c r="J348" s="581"/>
      <c r="K348" s="581"/>
      <c r="L348" s="582"/>
      <c r="M348" s="593">
        <f t="shared" si="378"/>
        <v>0</v>
      </c>
      <c r="N348" s="111"/>
      <c r="O348" s="111"/>
      <c r="P348" s="111"/>
      <c r="Q348" s="111"/>
      <c r="R348" s="111"/>
      <c r="S348" s="111"/>
      <c r="T348" s="111"/>
      <c r="U348" s="111"/>
      <c r="V348" s="358"/>
      <c r="W348" s="391">
        <f t="shared" si="379"/>
        <v>0</v>
      </c>
      <c r="X348" s="17">
        <f t="shared" si="380"/>
        <v>0</v>
      </c>
      <c r="Y348" s="18">
        <f t="shared" si="381"/>
        <v>0</v>
      </c>
      <c r="Z348" s="19">
        <f t="shared" si="382"/>
        <v>0</v>
      </c>
      <c r="AA348" s="19"/>
      <c r="AB348" s="19"/>
      <c r="AC348" s="20"/>
      <c r="AE348" s="17"/>
      <c r="AF348" s="17"/>
      <c r="AG348" s="17"/>
      <c r="AH348" s="18">
        <f t="shared" si="383"/>
        <v>0</v>
      </c>
      <c r="AI348" s="19">
        <f t="shared" si="384"/>
        <v>0</v>
      </c>
      <c r="AJ348" s="97"/>
      <c r="AK348" s="17"/>
      <c r="AL348" s="17"/>
      <c r="AM348" s="17"/>
      <c r="AN348" s="18">
        <f t="shared" si="385"/>
        <v>0</v>
      </c>
      <c r="AO348" s="19">
        <f t="shared" si="386"/>
        <v>0</v>
      </c>
      <c r="AP348" s="97"/>
      <c r="AQ348" s="17"/>
      <c r="AR348" s="17"/>
      <c r="AS348" s="17"/>
      <c r="AT348" s="18">
        <f t="shared" si="387"/>
        <v>0</v>
      </c>
      <c r="AU348" s="19">
        <f t="shared" si="388"/>
        <v>0</v>
      </c>
      <c r="AV348" s="97"/>
      <c r="AW348" s="17"/>
      <c r="AX348" s="17"/>
      <c r="AY348" s="17"/>
      <c r="AZ348" s="18">
        <f t="shared" si="389"/>
        <v>0</v>
      </c>
      <c r="BA348" s="19">
        <f t="shared" si="390"/>
        <v>0</v>
      </c>
    </row>
    <row r="349" spans="1:53" s="4" customFormat="1" ht="17.100000000000001" customHeight="1" x14ac:dyDescent="0.25">
      <c r="A349" s="40"/>
      <c r="B349" s="40"/>
      <c r="C349" s="74" t="s">
        <v>443</v>
      </c>
      <c r="D349" s="85" t="s">
        <v>437</v>
      </c>
      <c r="E349" s="75"/>
      <c r="F349" s="75"/>
      <c r="G349" s="75"/>
      <c r="H349" s="540"/>
      <c r="I349" s="229"/>
      <c r="J349" s="583"/>
      <c r="K349" s="583"/>
      <c r="L349" s="584"/>
      <c r="M349" s="593">
        <f t="shared" si="378"/>
        <v>0</v>
      </c>
      <c r="N349" s="111"/>
      <c r="O349" s="111"/>
      <c r="P349" s="111"/>
      <c r="Q349" s="111"/>
      <c r="R349" s="111"/>
      <c r="S349" s="111"/>
      <c r="T349" s="111"/>
      <c r="U349" s="111"/>
      <c r="V349" s="358"/>
      <c r="W349" s="391">
        <f t="shared" si="379"/>
        <v>0</v>
      </c>
      <c r="X349" s="17">
        <f t="shared" si="380"/>
        <v>0</v>
      </c>
      <c r="Y349" s="18">
        <f t="shared" si="381"/>
        <v>0</v>
      </c>
      <c r="Z349" s="19">
        <f t="shared" si="382"/>
        <v>0</v>
      </c>
      <c r="AA349" s="19"/>
      <c r="AB349" s="19"/>
      <c r="AC349" s="20"/>
      <c r="AE349" s="17"/>
      <c r="AF349" s="17"/>
      <c r="AG349" s="17"/>
      <c r="AH349" s="18">
        <f t="shared" si="383"/>
        <v>0</v>
      </c>
      <c r="AI349" s="19">
        <f t="shared" si="384"/>
        <v>0</v>
      </c>
      <c r="AJ349" s="97"/>
      <c r="AK349" s="17"/>
      <c r="AL349" s="17"/>
      <c r="AM349" s="17"/>
      <c r="AN349" s="18">
        <f t="shared" si="385"/>
        <v>0</v>
      </c>
      <c r="AO349" s="19">
        <f t="shared" si="386"/>
        <v>0</v>
      </c>
      <c r="AP349" s="97"/>
      <c r="AQ349" s="17"/>
      <c r="AR349" s="17"/>
      <c r="AS349" s="17"/>
      <c r="AT349" s="18">
        <f t="shared" si="387"/>
        <v>0</v>
      </c>
      <c r="AU349" s="19">
        <f t="shared" si="388"/>
        <v>0</v>
      </c>
      <c r="AV349" s="97"/>
      <c r="AW349" s="17"/>
      <c r="AX349" s="17"/>
      <c r="AY349" s="17"/>
      <c r="AZ349" s="18">
        <f t="shared" si="389"/>
        <v>0</v>
      </c>
      <c r="BA349" s="19">
        <f t="shared" si="390"/>
        <v>0</v>
      </c>
    </row>
    <row r="350" spans="1:53" s="4" customFormat="1" ht="17.100000000000001" customHeight="1" x14ac:dyDescent="0.25">
      <c r="A350" s="40"/>
      <c r="B350" s="40"/>
      <c r="C350" s="74" t="s">
        <v>444</v>
      </c>
      <c r="D350" s="85" t="s">
        <v>438</v>
      </c>
      <c r="E350" s="542"/>
      <c r="F350" s="542"/>
      <c r="G350" s="542"/>
      <c r="H350" s="540"/>
      <c r="I350" s="235"/>
      <c r="J350" s="581"/>
      <c r="K350" s="581"/>
      <c r="L350" s="582"/>
      <c r="M350" s="593">
        <f t="shared" si="378"/>
        <v>0</v>
      </c>
      <c r="N350" s="111"/>
      <c r="O350" s="111"/>
      <c r="P350" s="111"/>
      <c r="Q350" s="111"/>
      <c r="R350" s="111"/>
      <c r="S350" s="111"/>
      <c r="T350" s="111"/>
      <c r="U350" s="111"/>
      <c r="V350" s="358"/>
      <c r="W350" s="391">
        <f t="shared" si="379"/>
        <v>0</v>
      </c>
      <c r="X350" s="17">
        <f t="shared" si="380"/>
        <v>0</v>
      </c>
      <c r="Y350" s="18">
        <f t="shared" si="381"/>
        <v>0</v>
      </c>
      <c r="Z350" s="19">
        <f t="shared" si="382"/>
        <v>0</v>
      </c>
      <c r="AA350" s="19"/>
      <c r="AB350" s="19"/>
      <c r="AC350" s="20"/>
      <c r="AE350" s="17"/>
      <c r="AF350" s="17"/>
      <c r="AG350" s="17"/>
      <c r="AH350" s="18">
        <f t="shared" si="383"/>
        <v>0</v>
      </c>
      <c r="AI350" s="19">
        <f t="shared" si="384"/>
        <v>0</v>
      </c>
      <c r="AJ350" s="97"/>
      <c r="AK350" s="17"/>
      <c r="AL350" s="17"/>
      <c r="AM350" s="17"/>
      <c r="AN350" s="18">
        <f t="shared" si="385"/>
        <v>0</v>
      </c>
      <c r="AO350" s="19">
        <f t="shared" si="386"/>
        <v>0</v>
      </c>
      <c r="AP350" s="97"/>
      <c r="AQ350" s="17"/>
      <c r="AR350" s="17"/>
      <c r="AS350" s="17"/>
      <c r="AT350" s="18">
        <f t="shared" si="387"/>
        <v>0</v>
      </c>
      <c r="AU350" s="19">
        <f t="shared" si="388"/>
        <v>0</v>
      </c>
      <c r="AV350" s="97"/>
      <c r="AW350" s="17"/>
      <c r="AX350" s="17"/>
      <c r="AY350" s="17"/>
      <c r="AZ350" s="18">
        <f t="shared" si="389"/>
        <v>0</v>
      </c>
      <c r="BA350" s="19">
        <f t="shared" si="390"/>
        <v>0</v>
      </c>
    </row>
    <row r="351" spans="1:53" s="4" customFormat="1" ht="17.100000000000001" customHeight="1" x14ac:dyDescent="0.25">
      <c r="A351" s="40"/>
      <c r="B351" s="40"/>
      <c r="C351" s="74" t="s">
        <v>445</v>
      </c>
      <c r="D351" s="85" t="s">
        <v>439</v>
      </c>
      <c r="E351" s="542"/>
      <c r="F351" s="542"/>
      <c r="G351" s="542"/>
      <c r="H351" s="540"/>
      <c r="I351" s="235"/>
      <c r="J351" s="583"/>
      <c r="K351" s="583"/>
      <c r="L351" s="584"/>
      <c r="M351" s="593">
        <f t="shared" si="378"/>
        <v>0</v>
      </c>
      <c r="N351" s="111"/>
      <c r="O351" s="111"/>
      <c r="P351" s="111"/>
      <c r="Q351" s="111"/>
      <c r="R351" s="111"/>
      <c r="S351" s="111"/>
      <c r="T351" s="111"/>
      <c r="U351" s="111"/>
      <c r="V351" s="358"/>
      <c r="W351" s="391">
        <f t="shared" si="379"/>
        <v>0</v>
      </c>
      <c r="X351" s="17">
        <f t="shared" si="380"/>
        <v>0</v>
      </c>
      <c r="Y351" s="18">
        <f t="shared" si="381"/>
        <v>0</v>
      </c>
      <c r="Z351" s="19">
        <f t="shared" si="382"/>
        <v>0</v>
      </c>
      <c r="AA351" s="19"/>
      <c r="AB351" s="19"/>
      <c r="AC351" s="20"/>
      <c r="AE351" s="17"/>
      <c r="AF351" s="17"/>
      <c r="AG351" s="17"/>
      <c r="AH351" s="18">
        <f t="shared" si="383"/>
        <v>0</v>
      </c>
      <c r="AI351" s="19">
        <f t="shared" si="384"/>
        <v>0</v>
      </c>
      <c r="AJ351" s="97"/>
      <c r="AK351" s="17"/>
      <c r="AL351" s="17"/>
      <c r="AM351" s="17"/>
      <c r="AN351" s="18">
        <f t="shared" si="385"/>
        <v>0</v>
      </c>
      <c r="AO351" s="19">
        <f t="shared" si="386"/>
        <v>0</v>
      </c>
      <c r="AP351" s="97"/>
      <c r="AQ351" s="17"/>
      <c r="AR351" s="17"/>
      <c r="AS351" s="17"/>
      <c r="AT351" s="18">
        <f t="shared" si="387"/>
        <v>0</v>
      </c>
      <c r="AU351" s="19">
        <f t="shared" si="388"/>
        <v>0</v>
      </c>
      <c r="AV351" s="97"/>
      <c r="AW351" s="17"/>
      <c r="AX351" s="17"/>
      <c r="AY351" s="17"/>
      <c r="AZ351" s="18">
        <f t="shared" si="389"/>
        <v>0</v>
      </c>
      <c r="BA351" s="19">
        <f t="shared" si="390"/>
        <v>0</v>
      </c>
    </row>
    <row r="352" spans="1:53" s="4" customFormat="1" ht="17.100000000000001" customHeight="1" x14ac:dyDescent="0.25">
      <c r="A352" s="40"/>
      <c r="B352" s="40"/>
      <c r="C352" s="74" t="s">
        <v>446</v>
      </c>
      <c r="D352" s="85" t="s">
        <v>129</v>
      </c>
      <c r="E352" s="542"/>
      <c r="F352" s="542"/>
      <c r="G352" s="542"/>
      <c r="H352" s="540"/>
      <c r="I352" s="235"/>
      <c r="J352" s="581"/>
      <c r="K352" s="581"/>
      <c r="L352" s="582"/>
      <c r="M352" s="593">
        <f t="shared" si="378"/>
        <v>0</v>
      </c>
      <c r="N352" s="111"/>
      <c r="O352" s="111"/>
      <c r="P352" s="111"/>
      <c r="Q352" s="111"/>
      <c r="R352" s="111"/>
      <c r="S352" s="111"/>
      <c r="T352" s="111"/>
      <c r="U352" s="111"/>
      <c r="V352" s="358"/>
      <c r="W352" s="391">
        <f t="shared" si="379"/>
        <v>0</v>
      </c>
      <c r="X352" s="17">
        <f t="shared" si="380"/>
        <v>0</v>
      </c>
      <c r="Y352" s="18">
        <f t="shared" si="381"/>
        <v>0</v>
      </c>
      <c r="Z352" s="19">
        <f t="shared" si="382"/>
        <v>0</v>
      </c>
      <c r="AA352" s="19"/>
      <c r="AB352" s="19"/>
      <c r="AC352" s="20"/>
      <c r="AE352" s="17"/>
      <c r="AF352" s="17"/>
      <c r="AG352" s="17"/>
      <c r="AH352" s="18">
        <f t="shared" si="383"/>
        <v>0</v>
      </c>
      <c r="AI352" s="19">
        <f t="shared" si="384"/>
        <v>0</v>
      </c>
      <c r="AJ352" s="97"/>
      <c r="AK352" s="17"/>
      <c r="AL352" s="17"/>
      <c r="AM352" s="17"/>
      <c r="AN352" s="18">
        <f t="shared" si="385"/>
        <v>0</v>
      </c>
      <c r="AO352" s="19">
        <f t="shared" si="386"/>
        <v>0</v>
      </c>
      <c r="AP352" s="97"/>
      <c r="AQ352" s="17"/>
      <c r="AR352" s="17"/>
      <c r="AS352" s="17"/>
      <c r="AT352" s="18">
        <f t="shared" si="387"/>
        <v>0</v>
      </c>
      <c r="AU352" s="19">
        <f t="shared" si="388"/>
        <v>0</v>
      </c>
      <c r="AV352" s="97"/>
      <c r="AW352" s="17"/>
      <c r="AX352" s="17"/>
      <c r="AY352" s="17"/>
      <c r="AZ352" s="18">
        <f t="shared" si="389"/>
        <v>0</v>
      </c>
      <c r="BA352" s="19">
        <f t="shared" si="390"/>
        <v>0</v>
      </c>
    </row>
    <row r="353" spans="1:53" s="4" customFormat="1" ht="17.100000000000001" customHeight="1" x14ac:dyDescent="0.25">
      <c r="A353" s="40"/>
      <c r="B353" s="40"/>
      <c r="C353" s="74" t="s">
        <v>545</v>
      </c>
      <c r="D353" s="85" t="s">
        <v>530</v>
      </c>
      <c r="E353" s="542"/>
      <c r="F353" s="542"/>
      <c r="G353" s="542"/>
      <c r="H353" s="540"/>
      <c r="I353" s="235"/>
      <c r="J353" s="583"/>
      <c r="K353" s="583"/>
      <c r="L353" s="584"/>
      <c r="M353" s="593">
        <f t="shared" si="378"/>
        <v>0</v>
      </c>
      <c r="N353" s="111"/>
      <c r="O353" s="111"/>
      <c r="P353" s="111"/>
      <c r="Q353" s="111"/>
      <c r="R353" s="111"/>
      <c r="S353" s="111"/>
      <c r="T353" s="111"/>
      <c r="U353" s="111"/>
      <c r="V353" s="358"/>
      <c r="W353" s="391">
        <f t="shared" si="379"/>
        <v>0</v>
      </c>
      <c r="X353" s="17">
        <f t="shared" si="380"/>
        <v>0</v>
      </c>
      <c r="Y353" s="18">
        <f t="shared" si="381"/>
        <v>0</v>
      </c>
      <c r="Z353" s="19">
        <f t="shared" si="382"/>
        <v>0</v>
      </c>
      <c r="AA353" s="19"/>
      <c r="AB353" s="19"/>
      <c r="AC353" s="20"/>
      <c r="AE353" s="17"/>
      <c r="AF353" s="17"/>
      <c r="AG353" s="17"/>
      <c r="AH353" s="18">
        <f t="shared" si="383"/>
        <v>0</v>
      </c>
      <c r="AI353" s="19">
        <f t="shared" si="384"/>
        <v>0</v>
      </c>
      <c r="AJ353" s="97"/>
      <c r="AK353" s="17"/>
      <c r="AL353" s="17"/>
      <c r="AM353" s="17"/>
      <c r="AN353" s="18">
        <f t="shared" si="385"/>
        <v>0</v>
      </c>
      <c r="AO353" s="19">
        <f t="shared" si="386"/>
        <v>0</v>
      </c>
      <c r="AP353" s="97"/>
      <c r="AQ353" s="17"/>
      <c r="AR353" s="17"/>
      <c r="AS353" s="17"/>
      <c r="AT353" s="18">
        <f t="shared" si="387"/>
        <v>0</v>
      </c>
      <c r="AU353" s="19">
        <f t="shared" si="388"/>
        <v>0</v>
      </c>
      <c r="AV353" s="97"/>
      <c r="AW353" s="17"/>
      <c r="AX353" s="17"/>
      <c r="AY353" s="17"/>
      <c r="AZ353" s="18">
        <f t="shared" si="389"/>
        <v>0</v>
      </c>
      <c r="BA353" s="19">
        <f t="shared" si="390"/>
        <v>0</v>
      </c>
    </row>
    <row r="354" spans="1:53" s="4" customFormat="1" ht="17.100000000000001" customHeight="1" x14ac:dyDescent="0.25">
      <c r="A354" s="40"/>
      <c r="B354" s="40"/>
      <c r="C354" s="77"/>
      <c r="D354" s="134"/>
      <c r="E354" s="134"/>
      <c r="F354" s="134"/>
      <c r="G354" s="134"/>
      <c r="H354" s="540"/>
      <c r="I354" s="229"/>
      <c r="J354" s="80">
        <f>SUM(J346:J353)</f>
        <v>0</v>
      </c>
      <c r="K354" s="80">
        <f t="shared" ref="K354:M354" si="391">SUM(K346:K353)</f>
        <v>0</v>
      </c>
      <c r="L354" s="80">
        <f t="shared" si="391"/>
        <v>0</v>
      </c>
      <c r="M354" s="80">
        <f t="shared" si="391"/>
        <v>0</v>
      </c>
      <c r="N354" s="81"/>
      <c r="O354" s="81"/>
      <c r="P354" s="81"/>
      <c r="Q354" s="81"/>
      <c r="R354" s="81"/>
      <c r="S354" s="81"/>
      <c r="T354" s="81"/>
      <c r="U354" s="81"/>
      <c r="V354" s="356"/>
      <c r="W354" s="381">
        <f>SUM(W346:W353)</f>
        <v>0</v>
      </c>
      <c r="X354" s="82">
        <f t="shared" ref="X354:Y354" si="392">SUM(X346:X353)</f>
        <v>0</v>
      </c>
      <c r="Y354" s="82">
        <f t="shared" si="392"/>
        <v>0</v>
      </c>
      <c r="Z354" s="205">
        <f>IF(Y$354=0,0,Y354/Y$354)</f>
        <v>0</v>
      </c>
      <c r="AA354" s="205"/>
      <c r="AB354" s="205"/>
      <c r="AC354" s="83"/>
      <c r="AE354" s="80"/>
      <c r="AF354" s="80"/>
      <c r="AG354" s="81"/>
      <c r="AH354" s="82">
        <f>SUM(AH346:AH353)</f>
        <v>0</v>
      </c>
      <c r="AI354" s="66">
        <f>IF(AH$354=0,0,AH354/AH$354)</f>
        <v>0</v>
      </c>
      <c r="AJ354" s="97"/>
      <c r="AK354" s="80"/>
      <c r="AL354" s="80"/>
      <c r="AM354" s="81"/>
      <c r="AN354" s="82">
        <f>SUM(AN346:AN353)</f>
        <v>0</v>
      </c>
      <c r="AO354" s="66">
        <f>IF(AN$354=0,0,AN354/AN$354)</f>
        <v>0</v>
      </c>
      <c r="AP354" s="97"/>
      <c r="AQ354" s="80"/>
      <c r="AR354" s="80"/>
      <c r="AS354" s="81"/>
      <c r="AT354" s="82">
        <f>SUM(AT346:AT353)</f>
        <v>0</v>
      </c>
      <c r="AU354" s="66">
        <f>IF(AT$354=0,0,AT354/AT$354)</f>
        <v>0</v>
      </c>
      <c r="AV354" s="97"/>
      <c r="AW354" s="80"/>
      <c r="AX354" s="80"/>
      <c r="AY354" s="81"/>
      <c r="AZ354" s="82">
        <f>SUM(AZ346:AZ353)</f>
        <v>0</v>
      </c>
      <c r="BA354" s="66">
        <f>IF(AZ$354=0,0,AZ354/AZ$354)</f>
        <v>0</v>
      </c>
    </row>
    <row r="355" spans="1:53" s="117" customFormat="1" ht="17.100000000000001" customHeight="1" x14ac:dyDescent="0.25">
      <c r="A355" s="68"/>
      <c r="B355" s="119"/>
      <c r="C355" s="540"/>
      <c r="D355" s="261"/>
      <c r="E355" s="261"/>
      <c r="F355" s="68"/>
      <c r="G355" s="68"/>
      <c r="H355" s="119"/>
      <c r="I355" s="138"/>
      <c r="J355" s="17" t="str">
        <f>IF(J354=J$15,"OK","NOK")</f>
        <v>OK</v>
      </c>
      <c r="K355" s="17" t="str">
        <f t="shared" ref="K355:L355" si="393">IF(K354=K$15,"OK","NOK")</f>
        <v>OK</v>
      </c>
      <c r="L355" s="17" t="str">
        <f t="shared" si="393"/>
        <v>OK</v>
      </c>
      <c r="M355" s="17"/>
      <c r="N355" s="17"/>
      <c r="O355" s="17"/>
      <c r="P355" s="17"/>
      <c r="Q355" s="17"/>
      <c r="R355" s="17"/>
      <c r="S355" s="17"/>
      <c r="T355" s="17"/>
      <c r="U355" s="17"/>
      <c r="V355" s="359"/>
      <c r="W355" s="382"/>
      <c r="X355" s="539"/>
      <c r="Y355" s="539"/>
      <c r="Z355" s="201"/>
      <c r="AA355" s="201"/>
      <c r="AB355" s="201"/>
      <c r="AC355" s="84"/>
      <c r="AE355" s="46"/>
      <c r="AF355" s="46"/>
      <c r="AG355" s="17"/>
      <c r="AH355" s="539"/>
      <c r="AI355" s="91"/>
      <c r="AK355" s="46"/>
      <c r="AL355" s="46"/>
      <c r="AM355" s="17"/>
      <c r="AN355" s="539"/>
      <c r="AO355" s="91"/>
      <c r="AQ355" s="46"/>
      <c r="AR355" s="46"/>
      <c r="AS355" s="17"/>
      <c r="AT355" s="539"/>
      <c r="AU355" s="91"/>
      <c r="AW355" s="46"/>
      <c r="AX355" s="46"/>
      <c r="AY355" s="17"/>
      <c r="AZ355" s="539"/>
      <c r="BA355" s="91"/>
    </row>
    <row r="356" spans="1:53" ht="17.100000000000001" customHeight="1" x14ac:dyDescent="0.25">
      <c r="A356" s="68"/>
      <c r="B356" s="41" t="s">
        <v>447</v>
      </c>
      <c r="C356" s="69" t="s">
        <v>448</v>
      </c>
      <c r="D356" s="50"/>
      <c r="E356" s="70"/>
      <c r="F356" s="70"/>
      <c r="G356" s="70"/>
      <c r="H356" s="243">
        <v>47</v>
      </c>
      <c r="J356" s="71"/>
      <c r="K356" s="71"/>
      <c r="L356" s="71"/>
      <c r="M356" s="71"/>
      <c r="N356" s="71"/>
      <c r="O356" s="71"/>
      <c r="P356" s="71"/>
      <c r="Q356" s="71"/>
      <c r="R356" s="71"/>
      <c r="S356" s="71"/>
      <c r="T356" s="71"/>
      <c r="U356" s="71"/>
      <c r="V356" s="355"/>
      <c r="W356" s="377"/>
      <c r="X356" s="71"/>
      <c r="Y356" s="72"/>
      <c r="Z356" s="73"/>
      <c r="AA356" s="73"/>
      <c r="AB356" s="73"/>
      <c r="AC356" s="73"/>
      <c r="AE356" s="71"/>
      <c r="AF356" s="71"/>
      <c r="AG356" s="71"/>
      <c r="AH356" s="72"/>
      <c r="AI356" s="73"/>
      <c r="AK356" s="71"/>
      <c r="AL356" s="71"/>
      <c r="AM356" s="71"/>
      <c r="AN356" s="72"/>
      <c r="AO356" s="73"/>
      <c r="AQ356" s="71"/>
      <c r="AR356" s="71"/>
      <c r="AS356" s="71"/>
      <c r="AT356" s="72"/>
      <c r="AU356" s="73"/>
      <c r="AW356" s="71"/>
      <c r="AX356" s="71"/>
      <c r="AY356" s="71"/>
      <c r="AZ356" s="72"/>
      <c r="BA356" s="73"/>
    </row>
    <row r="357" spans="1:53" s="4" customFormat="1" ht="17.100000000000001" customHeight="1" x14ac:dyDescent="0.25">
      <c r="A357" s="40"/>
      <c r="B357" s="40"/>
      <c r="C357" s="74" t="s">
        <v>449</v>
      </c>
      <c r="D357" s="85" t="s">
        <v>9</v>
      </c>
      <c r="E357" s="75"/>
      <c r="F357" s="75"/>
      <c r="G357" s="75"/>
      <c r="H357" s="540"/>
      <c r="I357" s="229"/>
      <c r="J357" s="581"/>
      <c r="K357" s="581"/>
      <c r="L357" s="582"/>
      <c r="M357" s="593">
        <f t="shared" ref="M357:M359" si="394">SUM(J357:L357)</f>
        <v>0</v>
      </c>
      <c r="N357" s="111"/>
      <c r="O357" s="111"/>
      <c r="P357" s="111"/>
      <c r="Q357" s="111"/>
      <c r="R357" s="111"/>
      <c r="S357" s="111"/>
      <c r="T357" s="111"/>
      <c r="U357" s="111"/>
      <c r="V357" s="358"/>
      <c r="W357" s="391">
        <f t="shared" ref="W357:W359" si="395">J357+K357+N357+Q357+T357</f>
        <v>0</v>
      </c>
      <c r="X357" s="17">
        <f t="shared" ref="X357:X359" si="396">L357+O357+R357+U357</f>
        <v>0</v>
      </c>
      <c r="Y357" s="18">
        <f>SUM(W357:X357)</f>
        <v>0</v>
      </c>
      <c r="Z357" s="19">
        <f>IF(Y$360=0,0,Y357/Y$360)</f>
        <v>0</v>
      </c>
      <c r="AA357" s="19"/>
      <c r="AB357" s="19"/>
      <c r="AC357" s="20"/>
      <c r="AE357" s="17"/>
      <c r="AF357" s="17"/>
      <c r="AG357" s="17"/>
      <c r="AH357" s="18">
        <f t="shared" ref="AH357:AH359" si="397">J357</f>
        <v>0</v>
      </c>
      <c r="AI357" s="19">
        <f>IF(AH$360=0,0,AH357/AH$360)</f>
        <v>0</v>
      </c>
      <c r="AJ357" s="97"/>
      <c r="AK357" s="17"/>
      <c r="AL357" s="17"/>
      <c r="AM357" s="17"/>
      <c r="AN357" s="18">
        <f t="shared" ref="AN357:AN359" si="398">K357</f>
        <v>0</v>
      </c>
      <c r="AO357" s="19">
        <f>IF(AN$360=0,0,AN357/AN$360)</f>
        <v>0</v>
      </c>
      <c r="AP357" s="97"/>
      <c r="AQ357" s="17"/>
      <c r="AR357" s="17"/>
      <c r="AS357" s="17"/>
      <c r="AT357" s="18">
        <f t="shared" ref="AT357:AT359" si="399">W357</f>
        <v>0</v>
      </c>
      <c r="AU357" s="19">
        <f>IF(AT$360=0,0,AT357/AT$360)</f>
        <v>0</v>
      </c>
      <c r="AV357" s="97"/>
      <c r="AW357" s="17"/>
      <c r="AX357" s="17"/>
      <c r="AY357" s="17"/>
      <c r="AZ357" s="18">
        <f t="shared" ref="AZ357:AZ359" si="400">X357</f>
        <v>0</v>
      </c>
      <c r="BA357" s="19">
        <f>IF(AZ$360=0,0,AZ357/AZ$360)</f>
        <v>0</v>
      </c>
    </row>
    <row r="358" spans="1:53" s="4" customFormat="1" ht="17.100000000000001" customHeight="1" x14ac:dyDescent="0.25">
      <c r="A358" s="40"/>
      <c r="B358" s="40"/>
      <c r="C358" s="74" t="s">
        <v>450</v>
      </c>
      <c r="D358" s="85" t="s">
        <v>10</v>
      </c>
      <c r="E358" s="75"/>
      <c r="F358" s="75"/>
      <c r="G358" s="75"/>
      <c r="H358" s="540"/>
      <c r="I358" s="229"/>
      <c r="J358" s="583"/>
      <c r="K358" s="583"/>
      <c r="L358" s="584"/>
      <c r="M358" s="593">
        <f t="shared" si="394"/>
        <v>0</v>
      </c>
      <c r="N358" s="111"/>
      <c r="O358" s="111"/>
      <c r="P358" s="111"/>
      <c r="Q358" s="111"/>
      <c r="R358" s="111"/>
      <c r="S358" s="111"/>
      <c r="T358" s="111"/>
      <c r="U358" s="111"/>
      <c r="V358" s="358"/>
      <c r="W358" s="391">
        <f t="shared" si="395"/>
        <v>0</v>
      </c>
      <c r="X358" s="17">
        <f t="shared" si="396"/>
        <v>0</v>
      </c>
      <c r="Y358" s="18">
        <f>SUM(W358:X358)</f>
        <v>0</v>
      </c>
      <c r="Z358" s="19">
        <f t="shared" ref="Z358:Z360" si="401">IF(Y$360=0,0,Y358/Y$360)</f>
        <v>0</v>
      </c>
      <c r="AA358" s="19"/>
      <c r="AB358" s="19"/>
      <c r="AC358" s="20"/>
      <c r="AE358" s="17"/>
      <c r="AF358" s="17"/>
      <c r="AG358" s="17"/>
      <c r="AH358" s="18">
        <f t="shared" si="397"/>
        <v>0</v>
      </c>
      <c r="AI358" s="19">
        <f t="shared" ref="AI358:AI360" si="402">IF(AH$360=0,0,AH358/AH$360)</f>
        <v>0</v>
      </c>
      <c r="AJ358" s="97"/>
      <c r="AK358" s="17"/>
      <c r="AL358" s="17"/>
      <c r="AM358" s="17"/>
      <c r="AN358" s="18">
        <f t="shared" si="398"/>
        <v>0</v>
      </c>
      <c r="AO358" s="19">
        <f t="shared" ref="AO358:AO360" si="403">IF(AN$360=0,0,AN358/AN$360)</f>
        <v>0</v>
      </c>
      <c r="AP358" s="97"/>
      <c r="AQ358" s="17"/>
      <c r="AR358" s="17"/>
      <c r="AS358" s="17"/>
      <c r="AT358" s="18">
        <f t="shared" si="399"/>
        <v>0</v>
      </c>
      <c r="AU358" s="19">
        <f t="shared" ref="AU358:AU360" si="404">IF(AT$360=0,0,AT358/AT$360)</f>
        <v>0</v>
      </c>
      <c r="AV358" s="97"/>
      <c r="AW358" s="17"/>
      <c r="AX358" s="17"/>
      <c r="AY358" s="17"/>
      <c r="AZ358" s="18">
        <f t="shared" si="400"/>
        <v>0</v>
      </c>
      <c r="BA358" s="19">
        <f t="shared" ref="BA358:BA360" si="405">IF(AZ$360=0,0,AZ358/AZ$360)</f>
        <v>0</v>
      </c>
    </row>
    <row r="359" spans="1:53" s="4" customFormat="1" ht="17.100000000000001" customHeight="1" x14ac:dyDescent="0.25">
      <c r="A359" s="40"/>
      <c r="B359" s="40"/>
      <c r="C359" s="74" t="s">
        <v>451</v>
      </c>
      <c r="D359" s="85" t="s">
        <v>129</v>
      </c>
      <c r="E359" s="75"/>
      <c r="F359" s="75"/>
      <c r="G359" s="75"/>
      <c r="H359" s="540"/>
      <c r="I359" s="229"/>
      <c r="J359" s="581"/>
      <c r="K359" s="581"/>
      <c r="L359" s="582"/>
      <c r="M359" s="593">
        <f t="shared" si="394"/>
        <v>0</v>
      </c>
      <c r="N359" s="111"/>
      <c r="O359" s="111"/>
      <c r="P359" s="111"/>
      <c r="Q359" s="111"/>
      <c r="R359" s="111"/>
      <c r="S359" s="111"/>
      <c r="T359" s="111"/>
      <c r="U359" s="111"/>
      <c r="V359" s="358"/>
      <c r="W359" s="391">
        <f t="shared" si="395"/>
        <v>0</v>
      </c>
      <c r="X359" s="17">
        <f t="shared" si="396"/>
        <v>0</v>
      </c>
      <c r="Y359" s="18">
        <f>SUM(W359:X359)</f>
        <v>0</v>
      </c>
      <c r="Z359" s="19">
        <f t="shared" si="401"/>
        <v>0</v>
      </c>
      <c r="AA359" s="19"/>
      <c r="AB359" s="19"/>
      <c r="AC359" s="20"/>
      <c r="AE359" s="17"/>
      <c r="AF359" s="17"/>
      <c r="AG359" s="17"/>
      <c r="AH359" s="18">
        <f t="shared" si="397"/>
        <v>0</v>
      </c>
      <c r="AI359" s="19">
        <f t="shared" si="402"/>
        <v>0</v>
      </c>
      <c r="AJ359" s="97"/>
      <c r="AK359" s="17"/>
      <c r="AL359" s="17"/>
      <c r="AM359" s="17"/>
      <c r="AN359" s="18">
        <f t="shared" si="398"/>
        <v>0</v>
      </c>
      <c r="AO359" s="19">
        <f t="shared" si="403"/>
        <v>0</v>
      </c>
      <c r="AP359" s="97"/>
      <c r="AQ359" s="17"/>
      <c r="AR359" s="17"/>
      <c r="AS359" s="17"/>
      <c r="AT359" s="18">
        <f t="shared" si="399"/>
        <v>0</v>
      </c>
      <c r="AU359" s="19">
        <f t="shared" si="404"/>
        <v>0</v>
      </c>
      <c r="AV359" s="97"/>
      <c r="AW359" s="17"/>
      <c r="AX359" s="17"/>
      <c r="AY359" s="17"/>
      <c r="AZ359" s="18">
        <f t="shared" si="400"/>
        <v>0</v>
      </c>
      <c r="BA359" s="19">
        <f t="shared" si="405"/>
        <v>0</v>
      </c>
    </row>
    <row r="360" spans="1:53" s="4" customFormat="1" ht="17.100000000000001" customHeight="1" x14ac:dyDescent="0.25">
      <c r="A360" s="40"/>
      <c r="B360" s="40"/>
      <c r="C360" s="77"/>
      <c r="D360" s="134"/>
      <c r="E360" s="134"/>
      <c r="F360" s="134"/>
      <c r="G360" s="134"/>
      <c r="H360" s="540"/>
      <c r="I360" s="229"/>
      <c r="J360" s="80">
        <f>SUM(J357:J359)</f>
        <v>0</v>
      </c>
      <c r="K360" s="80">
        <f t="shared" ref="K360:M360" si="406">SUM(K357:K359)</f>
        <v>0</v>
      </c>
      <c r="L360" s="80">
        <f t="shared" si="406"/>
        <v>0</v>
      </c>
      <c r="M360" s="80">
        <f t="shared" si="406"/>
        <v>0</v>
      </c>
      <c r="N360" s="81"/>
      <c r="O360" s="81"/>
      <c r="P360" s="81"/>
      <c r="Q360" s="81"/>
      <c r="R360" s="81"/>
      <c r="S360" s="81"/>
      <c r="T360" s="81"/>
      <c r="U360" s="81"/>
      <c r="V360" s="356"/>
      <c r="W360" s="381">
        <f>SUM(W357:W359)</f>
        <v>0</v>
      </c>
      <c r="X360" s="82">
        <f t="shared" ref="X360:Y360" si="407">SUM(X357:X359)</f>
        <v>0</v>
      </c>
      <c r="Y360" s="82">
        <f t="shared" si="407"/>
        <v>0</v>
      </c>
      <c r="Z360" s="205">
        <f t="shared" si="401"/>
        <v>0</v>
      </c>
      <c r="AA360" s="205"/>
      <c r="AB360" s="205"/>
      <c r="AC360" s="83"/>
      <c r="AE360" s="80"/>
      <c r="AF360" s="80"/>
      <c r="AG360" s="81"/>
      <c r="AH360" s="82">
        <f>SUM(AH357:AH359)</f>
        <v>0</v>
      </c>
      <c r="AI360" s="66">
        <f t="shared" si="402"/>
        <v>0</v>
      </c>
      <c r="AJ360" s="97"/>
      <c r="AK360" s="80"/>
      <c r="AL360" s="80"/>
      <c r="AM360" s="81"/>
      <c r="AN360" s="82">
        <f>SUM(AN357:AN359)</f>
        <v>0</v>
      </c>
      <c r="AO360" s="66">
        <f t="shared" si="403"/>
        <v>0</v>
      </c>
      <c r="AP360" s="97"/>
      <c r="AQ360" s="80"/>
      <c r="AR360" s="80"/>
      <c r="AS360" s="81"/>
      <c r="AT360" s="82">
        <f>SUM(AT357:AT359)</f>
        <v>0</v>
      </c>
      <c r="AU360" s="66">
        <f t="shared" si="404"/>
        <v>0</v>
      </c>
      <c r="AV360" s="97"/>
      <c r="AW360" s="80"/>
      <c r="AX360" s="80"/>
      <c r="AY360" s="81"/>
      <c r="AZ360" s="82">
        <f>SUM(AZ357:AZ359)</f>
        <v>0</v>
      </c>
      <c r="BA360" s="66">
        <f t="shared" si="405"/>
        <v>0</v>
      </c>
    </row>
    <row r="361" spans="1:53" s="117" customFormat="1" ht="17.100000000000001" customHeight="1" x14ac:dyDescent="0.25">
      <c r="A361" s="68"/>
      <c r="B361" s="119"/>
      <c r="C361" s="540"/>
      <c r="D361" s="261"/>
      <c r="E361" s="261"/>
      <c r="F361" s="68"/>
      <c r="G361" s="68"/>
      <c r="H361" s="119"/>
      <c r="I361" s="138"/>
      <c r="J361" s="17" t="str">
        <f>IF(J360=J$15,"OK","NOK")</f>
        <v>OK</v>
      </c>
      <c r="K361" s="17" t="str">
        <f t="shared" ref="K361:L361" si="408">IF(K360=K$15,"OK","NOK")</f>
        <v>OK</v>
      </c>
      <c r="L361" s="17" t="str">
        <f t="shared" si="408"/>
        <v>OK</v>
      </c>
      <c r="M361" s="17"/>
      <c r="N361" s="17"/>
      <c r="O361" s="17"/>
      <c r="P361" s="17"/>
      <c r="Q361" s="17"/>
      <c r="R361" s="17"/>
      <c r="S361" s="17"/>
      <c r="T361" s="17"/>
      <c r="U361" s="17"/>
      <c r="V361" s="359"/>
      <c r="W361" s="382"/>
      <c r="X361" s="539"/>
      <c r="Y361" s="539"/>
      <c r="Z361" s="201"/>
      <c r="AA361" s="201"/>
      <c r="AB361" s="201"/>
      <c r="AC361" s="84"/>
      <c r="AE361" s="46"/>
      <c r="AF361" s="46"/>
      <c r="AG361" s="17"/>
      <c r="AH361" s="539"/>
      <c r="AI361" s="91"/>
      <c r="AK361" s="46"/>
      <c r="AL361" s="46"/>
      <c r="AM361" s="17"/>
      <c r="AN361" s="539"/>
      <c r="AO361" s="91"/>
      <c r="AQ361" s="46"/>
      <c r="AR361" s="46"/>
      <c r="AS361" s="17"/>
      <c r="AT361" s="539"/>
      <c r="AU361" s="91"/>
      <c r="AW361" s="46"/>
      <c r="AX361" s="46"/>
      <c r="AY361" s="17"/>
      <c r="AZ361" s="539"/>
      <c r="BA361" s="91"/>
    </row>
    <row r="362" spans="1:53" ht="17.100000000000001" customHeight="1" x14ac:dyDescent="0.25">
      <c r="A362" s="68"/>
      <c r="B362" s="41" t="s">
        <v>452</v>
      </c>
      <c r="C362" s="69" t="s">
        <v>453</v>
      </c>
      <c r="D362" s="50"/>
      <c r="E362" s="70"/>
      <c r="F362" s="70"/>
      <c r="G362" s="70"/>
      <c r="H362" s="243">
        <v>48</v>
      </c>
      <c r="J362" s="71"/>
      <c r="K362" s="71"/>
      <c r="L362" s="71"/>
      <c r="M362" s="71"/>
      <c r="N362" s="71"/>
      <c r="O362" s="71"/>
      <c r="P362" s="71"/>
      <c r="Q362" s="71"/>
      <c r="R362" s="71"/>
      <c r="S362" s="71"/>
      <c r="T362" s="71"/>
      <c r="U362" s="71"/>
      <c r="V362" s="355"/>
      <c r="W362" s="377"/>
      <c r="X362" s="71"/>
      <c r="Y362" s="72"/>
      <c r="Z362" s="73"/>
      <c r="AA362" s="73"/>
      <c r="AB362" s="73"/>
      <c r="AC362" s="73"/>
      <c r="AE362" s="71"/>
      <c r="AF362" s="71"/>
      <c r="AG362" s="71"/>
      <c r="AH362" s="72"/>
      <c r="AI362" s="73"/>
      <c r="AK362" s="71"/>
      <c r="AL362" s="71"/>
      <c r="AM362" s="71"/>
      <c r="AN362" s="72"/>
      <c r="AO362" s="73"/>
      <c r="AQ362" s="71"/>
      <c r="AR362" s="71"/>
      <c r="AS362" s="71"/>
      <c r="AT362" s="72"/>
      <c r="AU362" s="73"/>
      <c r="AW362" s="71"/>
      <c r="AX362" s="71"/>
      <c r="AY362" s="71"/>
      <c r="AZ362" s="72"/>
      <c r="BA362" s="73"/>
    </row>
    <row r="363" spans="1:53" s="4" customFormat="1" ht="17.100000000000001" customHeight="1" x14ac:dyDescent="0.25">
      <c r="A363" s="40"/>
      <c r="B363" s="40"/>
      <c r="C363" s="74" t="s">
        <v>454</v>
      </c>
      <c r="D363" s="85" t="s">
        <v>173</v>
      </c>
      <c r="E363" s="542"/>
      <c r="F363" s="542"/>
      <c r="G363" s="542"/>
      <c r="H363" s="540"/>
      <c r="I363" s="235"/>
      <c r="J363" s="581"/>
      <c r="K363" s="581"/>
      <c r="L363" s="582"/>
      <c r="M363" s="593"/>
      <c r="N363" s="111"/>
      <c r="O363" s="111"/>
      <c r="P363" s="111"/>
      <c r="Q363" s="111"/>
      <c r="R363" s="111"/>
      <c r="S363" s="111"/>
      <c r="T363" s="111"/>
      <c r="U363" s="111"/>
      <c r="V363" s="358"/>
      <c r="W363" s="391">
        <f t="shared" ref="W363:W364" si="409">J363+K363+N363+Q363+T363</f>
        <v>0</v>
      </c>
      <c r="X363" s="17">
        <f t="shared" ref="X363:X364" si="410">L363+O363+R363+U363</f>
        <v>0</v>
      </c>
      <c r="Y363" s="18">
        <f>SUM(W363:X363)</f>
        <v>0</v>
      </c>
      <c r="Z363" s="19">
        <f>IF(Y$370=0,0,Y363/Y$370)</f>
        <v>0</v>
      </c>
      <c r="AA363" s="19"/>
      <c r="AB363" s="19"/>
      <c r="AC363" s="20"/>
      <c r="AE363" s="17"/>
      <c r="AF363" s="17"/>
      <c r="AG363" s="17"/>
      <c r="AH363" s="18">
        <f>J363</f>
        <v>0</v>
      </c>
      <c r="AI363" s="19">
        <f>IF(AH$370=0,0,AH363/AH$370)</f>
        <v>0</v>
      </c>
      <c r="AJ363" s="97"/>
      <c r="AK363" s="17"/>
      <c r="AL363" s="17"/>
      <c r="AM363" s="17"/>
      <c r="AN363" s="18">
        <f>K363</f>
        <v>0</v>
      </c>
      <c r="AO363" s="19">
        <f>IF(AN$370=0,0,AN363/AN$370)</f>
        <v>0</v>
      </c>
      <c r="AP363" s="97"/>
      <c r="AQ363" s="17"/>
      <c r="AR363" s="17"/>
      <c r="AS363" s="17"/>
      <c r="AT363" s="18">
        <f>W363</f>
        <v>0</v>
      </c>
      <c r="AU363" s="19">
        <f>IF(AT$370=0,0,AT363/AT$370)</f>
        <v>0</v>
      </c>
      <c r="AV363" s="97"/>
      <c r="AW363" s="17"/>
      <c r="AX363" s="17"/>
      <c r="AY363" s="17"/>
      <c r="AZ363" s="18">
        <f>X363</f>
        <v>0</v>
      </c>
      <c r="BA363" s="19">
        <f>IF(AZ$370=0,0,AZ363/AZ$370)</f>
        <v>0</v>
      </c>
    </row>
    <row r="364" spans="1:53" s="4" customFormat="1" ht="17.100000000000001" customHeight="1" x14ac:dyDescent="0.25">
      <c r="A364" s="40"/>
      <c r="B364" s="40"/>
      <c r="C364" s="74" t="s">
        <v>455</v>
      </c>
      <c r="D364" s="85" t="s">
        <v>544</v>
      </c>
      <c r="E364" s="542"/>
      <c r="F364" s="542"/>
      <c r="G364" s="542"/>
      <c r="H364" s="540"/>
      <c r="I364" s="235"/>
      <c r="J364" s="583"/>
      <c r="K364" s="583"/>
      <c r="L364" s="584"/>
      <c r="M364" s="593"/>
      <c r="N364" s="111"/>
      <c r="O364" s="111"/>
      <c r="P364" s="111"/>
      <c r="Q364" s="111"/>
      <c r="R364" s="111"/>
      <c r="S364" s="111"/>
      <c r="T364" s="111"/>
      <c r="U364" s="111"/>
      <c r="V364" s="358"/>
      <c r="W364" s="391">
        <f t="shared" si="409"/>
        <v>0</v>
      </c>
      <c r="X364" s="17">
        <f t="shared" si="410"/>
        <v>0</v>
      </c>
      <c r="Y364" s="18">
        <f>SUM(W364:X364)</f>
        <v>0</v>
      </c>
      <c r="Z364" s="19">
        <f>IF(Y$370=0,0,Y364/Y$370)</f>
        <v>0</v>
      </c>
      <c r="AA364" s="19"/>
      <c r="AB364" s="19"/>
      <c r="AC364" s="20"/>
      <c r="AE364" s="17"/>
      <c r="AF364" s="17"/>
      <c r="AG364" s="17"/>
      <c r="AH364" s="18">
        <f t="shared" ref="AH364" si="411">J364</f>
        <v>0</v>
      </c>
      <c r="AI364" s="19">
        <f>IF(AH$370=0,0,AH364/AH$370)</f>
        <v>0</v>
      </c>
      <c r="AJ364" s="97"/>
      <c r="AK364" s="17"/>
      <c r="AL364" s="17"/>
      <c r="AM364" s="17"/>
      <c r="AN364" s="18">
        <f t="shared" ref="AN364" si="412">K364</f>
        <v>0</v>
      </c>
      <c r="AO364" s="19">
        <f>IF(AN$370=0,0,AN364/AN$370)</f>
        <v>0</v>
      </c>
      <c r="AP364" s="97"/>
      <c r="AQ364" s="17"/>
      <c r="AR364" s="17"/>
      <c r="AS364" s="17"/>
      <c r="AT364" s="18">
        <f t="shared" ref="AT364" si="413">W364</f>
        <v>0</v>
      </c>
      <c r="AU364" s="19">
        <f>IF(AT$370=0,0,AT364/AT$370)</f>
        <v>0</v>
      </c>
      <c r="AV364" s="97"/>
      <c r="AW364" s="17"/>
      <c r="AX364" s="17"/>
      <c r="AY364" s="17"/>
      <c r="AZ364" s="18">
        <f>X364</f>
        <v>0</v>
      </c>
      <c r="BA364" s="19">
        <f>IF(AZ$370=0,0,AZ364/AZ$370)</f>
        <v>0</v>
      </c>
    </row>
    <row r="365" spans="1:53" s="4" customFormat="1" ht="17.100000000000001" customHeight="1" x14ac:dyDescent="0.25">
      <c r="A365" s="40"/>
      <c r="B365" s="40"/>
      <c r="C365" s="74" t="s">
        <v>456</v>
      </c>
      <c r="D365" s="146" t="s">
        <v>484</v>
      </c>
      <c r="E365" s="542"/>
      <c r="F365" s="542"/>
      <c r="G365" s="542"/>
      <c r="H365" s="540"/>
      <c r="I365" s="235"/>
      <c r="J365" s="581"/>
      <c r="K365" s="581"/>
      <c r="L365" s="582"/>
      <c r="M365" s="593"/>
      <c r="N365" s="111"/>
      <c r="O365" s="111"/>
      <c r="P365" s="111"/>
      <c r="Q365" s="111"/>
      <c r="R365" s="111"/>
      <c r="S365" s="111"/>
      <c r="T365" s="111"/>
      <c r="U365" s="111"/>
      <c r="V365" s="358"/>
      <c r="W365" s="391">
        <f>MIN(J365:K365)</f>
        <v>0</v>
      </c>
      <c r="X365" s="17">
        <f>L365</f>
        <v>0</v>
      </c>
      <c r="Y365" s="18"/>
      <c r="Z365" s="19"/>
      <c r="AA365" s="17">
        <f>MIN(J365:L365)</f>
        <v>0</v>
      </c>
      <c r="AB365" s="17"/>
      <c r="AC365" s="17"/>
      <c r="AE365" s="17">
        <f>J365</f>
        <v>0</v>
      </c>
      <c r="AF365" s="17"/>
      <c r="AG365" s="17"/>
      <c r="AH365" s="18"/>
      <c r="AI365" s="19"/>
      <c r="AJ365" s="97"/>
      <c r="AK365" s="17">
        <f>K365</f>
        <v>0</v>
      </c>
      <c r="AL365" s="17"/>
      <c r="AM365" s="17"/>
      <c r="AN365" s="18"/>
      <c r="AO365" s="19"/>
      <c r="AP365" s="97"/>
      <c r="AQ365" s="17">
        <f>W365</f>
        <v>0</v>
      </c>
      <c r="AR365" s="17"/>
      <c r="AS365" s="17"/>
      <c r="AT365" s="18"/>
      <c r="AU365" s="19"/>
      <c r="AV365" s="97"/>
      <c r="AW365" s="17">
        <f>L365</f>
        <v>0</v>
      </c>
      <c r="AX365" s="17"/>
      <c r="AY365" s="17"/>
      <c r="AZ365" s="18"/>
      <c r="BA365" s="19"/>
    </row>
    <row r="366" spans="1:53" s="4" customFormat="1" ht="17.100000000000001" customHeight="1" x14ac:dyDescent="0.25">
      <c r="A366" s="40"/>
      <c r="B366" s="40"/>
      <c r="C366" s="74" t="s">
        <v>546</v>
      </c>
      <c r="D366" s="146" t="s">
        <v>485</v>
      </c>
      <c r="E366" s="542"/>
      <c r="F366" s="542"/>
      <c r="G366" s="542"/>
      <c r="H366" s="540"/>
      <c r="I366" s="235"/>
      <c r="J366" s="583"/>
      <c r="K366" s="583"/>
      <c r="L366" s="584"/>
      <c r="M366" s="593"/>
      <c r="N366" s="111"/>
      <c r="O366" s="111"/>
      <c r="P366" s="111"/>
      <c r="Q366" s="111"/>
      <c r="R366" s="111"/>
      <c r="S366" s="111"/>
      <c r="T366" s="111"/>
      <c r="U366" s="111"/>
      <c r="V366" s="358"/>
      <c r="W366" s="391">
        <f>MAX(J366:K366)</f>
        <v>0</v>
      </c>
      <c r="X366" s="17">
        <f t="shared" ref="X366:X367" si="414">L366</f>
        <v>0</v>
      </c>
      <c r="Y366" s="18"/>
      <c r="Z366" s="19"/>
      <c r="AA366" s="17"/>
      <c r="AB366" s="17">
        <f>MAX(J366:L366)</f>
        <v>0</v>
      </c>
      <c r="AC366" s="17"/>
      <c r="AE366" s="17"/>
      <c r="AF366" s="17">
        <f>J366</f>
        <v>0</v>
      </c>
      <c r="AG366" s="17"/>
      <c r="AH366" s="18"/>
      <c r="AI366" s="19"/>
      <c r="AJ366" s="97"/>
      <c r="AK366" s="17"/>
      <c r="AL366" s="17">
        <f>K366</f>
        <v>0</v>
      </c>
      <c r="AM366" s="17"/>
      <c r="AN366" s="18"/>
      <c r="AO366" s="19"/>
      <c r="AP366" s="97"/>
      <c r="AQ366" s="17"/>
      <c r="AR366" s="17">
        <f>W366</f>
        <v>0</v>
      </c>
      <c r="AS366" s="17"/>
      <c r="AT366" s="18"/>
      <c r="AU366" s="19"/>
      <c r="AV366" s="97"/>
      <c r="AW366" s="17"/>
      <c r="AX366" s="17">
        <f>L366</f>
        <v>0</v>
      </c>
      <c r="AY366" s="17"/>
      <c r="AZ366" s="18"/>
      <c r="BA366" s="19"/>
    </row>
    <row r="367" spans="1:53" s="4" customFormat="1" ht="17.100000000000001" customHeight="1" x14ac:dyDescent="0.25">
      <c r="A367" s="40"/>
      <c r="B367" s="40"/>
      <c r="C367" s="74" t="s">
        <v>547</v>
      </c>
      <c r="D367" s="146" t="s">
        <v>543</v>
      </c>
      <c r="E367" s="542"/>
      <c r="F367" s="542"/>
      <c r="G367" s="542"/>
      <c r="H367" s="540"/>
      <c r="I367" s="235"/>
      <c r="J367" s="581"/>
      <c r="K367" s="581"/>
      <c r="L367" s="582"/>
      <c r="M367" s="593"/>
      <c r="N367" s="111"/>
      <c r="O367" s="111"/>
      <c r="P367" s="111"/>
      <c r="Q367" s="111"/>
      <c r="R367" s="111"/>
      <c r="S367" s="111"/>
      <c r="T367" s="111"/>
      <c r="U367" s="111"/>
      <c r="V367" s="358"/>
      <c r="W367" s="391">
        <f>IF(SUM(J367:K367)=0,0,AVERAGE(J367:K367))</f>
        <v>0</v>
      </c>
      <c r="X367" s="17">
        <f t="shared" si="414"/>
        <v>0</v>
      </c>
      <c r="Y367" s="18"/>
      <c r="Z367" s="19"/>
      <c r="AA367" s="17"/>
      <c r="AB367" s="17"/>
      <c r="AC367" s="17">
        <f>IF(SUM(J367:L367)=0,0,AVERAGE(J367:L367))</f>
        <v>0</v>
      </c>
      <c r="AE367" s="17"/>
      <c r="AF367" s="17"/>
      <c r="AG367" s="17">
        <f>J367</f>
        <v>0</v>
      </c>
      <c r="AH367" s="18"/>
      <c r="AI367" s="19"/>
      <c r="AJ367" s="97"/>
      <c r="AK367" s="17"/>
      <c r="AL367" s="17"/>
      <c r="AM367" s="17">
        <f>K367</f>
        <v>0</v>
      </c>
      <c r="AN367" s="18"/>
      <c r="AO367" s="19"/>
      <c r="AP367" s="97"/>
      <c r="AQ367" s="17"/>
      <c r="AR367" s="17"/>
      <c r="AS367" s="17">
        <f>W367</f>
        <v>0</v>
      </c>
      <c r="AT367" s="18"/>
      <c r="AU367" s="19"/>
      <c r="AV367" s="97"/>
      <c r="AW367" s="17"/>
      <c r="AX367" s="17"/>
      <c r="AY367" s="17">
        <f>L367</f>
        <v>0</v>
      </c>
      <c r="AZ367" s="18"/>
      <c r="BA367" s="19"/>
    </row>
    <row r="368" spans="1:53" s="4" customFormat="1" ht="17.100000000000001" customHeight="1" x14ac:dyDescent="0.25">
      <c r="A368" s="40"/>
      <c r="B368" s="40"/>
      <c r="C368" s="74" t="s">
        <v>548</v>
      </c>
      <c r="D368" s="75" t="s">
        <v>129</v>
      </c>
      <c r="E368" s="542"/>
      <c r="F368" s="542"/>
      <c r="G368" s="542"/>
      <c r="H368" s="540"/>
      <c r="I368" s="235"/>
      <c r="J368" s="583"/>
      <c r="K368" s="583"/>
      <c r="L368" s="584"/>
      <c r="M368" s="593"/>
      <c r="N368" s="111"/>
      <c r="O368" s="111"/>
      <c r="P368" s="111"/>
      <c r="Q368" s="111"/>
      <c r="R368" s="111"/>
      <c r="S368" s="111"/>
      <c r="T368" s="111"/>
      <c r="U368" s="111"/>
      <c r="V368" s="358"/>
      <c r="W368" s="391">
        <f t="shared" ref="W368:W369" si="415">J368+K368+N368+Q368+T368</f>
        <v>0</v>
      </c>
      <c r="X368" s="17">
        <f t="shared" ref="X368:X369" si="416">L368+O368+R368+U368</f>
        <v>0</v>
      </c>
      <c r="Y368" s="18">
        <f>SUM(W368:X368)</f>
        <v>0</v>
      </c>
      <c r="Z368" s="19">
        <f>IF(Y$370=0,0,Y368/Y$370)</f>
        <v>0</v>
      </c>
      <c r="AA368" s="19"/>
      <c r="AB368" s="19"/>
      <c r="AC368" s="20"/>
      <c r="AE368" s="17"/>
      <c r="AF368" s="17"/>
      <c r="AG368" s="17"/>
      <c r="AH368" s="18">
        <f t="shared" ref="AH368:AH369" si="417">J368</f>
        <v>0</v>
      </c>
      <c r="AI368" s="19">
        <f>IF(AH$370=0,0,AH368/AH$370)</f>
        <v>0</v>
      </c>
      <c r="AJ368" s="97"/>
      <c r="AK368" s="17"/>
      <c r="AL368" s="17"/>
      <c r="AM368" s="17"/>
      <c r="AN368" s="18">
        <f t="shared" ref="AN368:AN369" si="418">K368</f>
        <v>0</v>
      </c>
      <c r="AO368" s="19">
        <f>IF(AN$370=0,0,AN368/AN$370)</f>
        <v>0</v>
      </c>
      <c r="AP368" s="97"/>
      <c r="AQ368" s="17"/>
      <c r="AR368" s="17"/>
      <c r="AS368" s="17"/>
      <c r="AT368" s="18">
        <f t="shared" ref="AT368:AT369" si="419">W368</f>
        <v>0</v>
      </c>
      <c r="AU368" s="19">
        <f>IF(AT$370=0,0,AT368/AT$370)</f>
        <v>0</v>
      </c>
      <c r="AV368" s="97"/>
      <c r="AW368" s="17"/>
      <c r="AX368" s="17"/>
      <c r="AY368" s="17"/>
      <c r="AZ368" s="18">
        <f>X368</f>
        <v>0</v>
      </c>
      <c r="BA368" s="19">
        <f>IF(AZ$370=0,0,AZ368/AZ$370)</f>
        <v>0</v>
      </c>
    </row>
    <row r="369" spans="1:53" s="4" customFormat="1" ht="17.100000000000001" customHeight="1" x14ac:dyDescent="0.25">
      <c r="A369" s="40"/>
      <c r="B369" s="40"/>
      <c r="C369" s="74" t="s">
        <v>549</v>
      </c>
      <c r="D369" s="75" t="s">
        <v>530</v>
      </c>
      <c r="E369" s="542"/>
      <c r="F369" s="542"/>
      <c r="G369" s="542"/>
      <c r="H369" s="540"/>
      <c r="I369" s="235"/>
      <c r="J369" s="581"/>
      <c r="K369" s="581"/>
      <c r="L369" s="582"/>
      <c r="M369" s="593"/>
      <c r="N369" s="111"/>
      <c r="O369" s="111"/>
      <c r="P369" s="111"/>
      <c r="Q369" s="111"/>
      <c r="R369" s="111"/>
      <c r="S369" s="111"/>
      <c r="T369" s="111"/>
      <c r="U369" s="111"/>
      <c r="V369" s="358"/>
      <c r="W369" s="391">
        <f t="shared" si="415"/>
        <v>0</v>
      </c>
      <c r="X369" s="17">
        <f t="shared" si="416"/>
        <v>0</v>
      </c>
      <c r="Y369" s="18">
        <f>SUM(W369:X369)</f>
        <v>0</v>
      </c>
      <c r="Z369" s="19">
        <f>IF(Y$370=0,0,Y369/Y$370)</f>
        <v>0</v>
      </c>
      <c r="AA369" s="19"/>
      <c r="AB369" s="19"/>
      <c r="AC369" s="20"/>
      <c r="AE369" s="17"/>
      <c r="AF369" s="17"/>
      <c r="AG369" s="17"/>
      <c r="AH369" s="18">
        <f t="shared" si="417"/>
        <v>0</v>
      </c>
      <c r="AI369" s="19">
        <f>IF(AH$370=0,0,AH369/AH$370)</f>
        <v>0</v>
      </c>
      <c r="AJ369" s="97"/>
      <c r="AK369" s="17"/>
      <c r="AL369" s="17"/>
      <c r="AM369" s="17"/>
      <c r="AN369" s="18">
        <f t="shared" si="418"/>
        <v>0</v>
      </c>
      <c r="AO369" s="19">
        <f>IF(AN$370=0,0,AN369/AN$370)</f>
        <v>0</v>
      </c>
      <c r="AP369" s="97"/>
      <c r="AQ369" s="17"/>
      <c r="AR369" s="17"/>
      <c r="AS369" s="17"/>
      <c r="AT369" s="18">
        <f t="shared" si="419"/>
        <v>0</v>
      </c>
      <c r="AU369" s="19">
        <f>IF(AT$370=0,0,AT369/AT$370)</f>
        <v>0</v>
      </c>
      <c r="AV369" s="97"/>
      <c r="AW369" s="17"/>
      <c r="AX369" s="17"/>
      <c r="AY369" s="17"/>
      <c r="AZ369" s="18">
        <f>X369</f>
        <v>0</v>
      </c>
      <c r="BA369" s="19">
        <f>IF(AZ$370=0,0,AZ369/AZ$370)</f>
        <v>0</v>
      </c>
    </row>
    <row r="370" spans="1:53" s="4" customFormat="1" ht="17.100000000000001" customHeight="1" x14ac:dyDescent="0.25">
      <c r="A370" s="40"/>
      <c r="B370" s="40"/>
      <c r="C370" s="77"/>
      <c r="D370" s="134"/>
      <c r="E370" s="134"/>
      <c r="F370" s="134"/>
      <c r="G370" s="134"/>
      <c r="H370" s="540"/>
      <c r="I370" s="229"/>
      <c r="J370" s="80">
        <f>J363+J364+J368+J369</f>
        <v>0</v>
      </c>
      <c r="K370" s="80">
        <f t="shared" ref="K370:M370" si="420">K363+K364+K368+K369</f>
        <v>0</v>
      </c>
      <c r="L370" s="80">
        <f t="shared" si="420"/>
        <v>0</v>
      </c>
      <c r="M370" s="80">
        <f t="shared" si="420"/>
        <v>0</v>
      </c>
      <c r="N370" s="81"/>
      <c r="O370" s="81"/>
      <c r="P370" s="81"/>
      <c r="Q370" s="81"/>
      <c r="R370" s="81"/>
      <c r="S370" s="81"/>
      <c r="T370" s="81"/>
      <c r="U370" s="81"/>
      <c r="V370" s="356"/>
      <c r="W370" s="381">
        <f>W363+W364+W368+W369</f>
        <v>0</v>
      </c>
      <c r="X370" s="82">
        <f>X363+X364+X368+X369</f>
        <v>0</v>
      </c>
      <c r="Y370" s="82">
        <f t="shared" ref="Y370" si="421">SUM(Y363:Y369)</f>
        <v>0</v>
      </c>
      <c r="Z370" s="205">
        <f>IF(Y$370=0,0,Y370/Y$370)</f>
        <v>0</v>
      </c>
      <c r="AA370" s="205"/>
      <c r="AB370" s="205"/>
      <c r="AC370" s="83"/>
      <c r="AE370" s="80"/>
      <c r="AF370" s="80"/>
      <c r="AG370" s="81"/>
      <c r="AH370" s="82">
        <f>SUM(AH363:AH369)</f>
        <v>0</v>
      </c>
      <c r="AI370" s="66">
        <f>IF(AH$370=0,0,AH370/AH$370)</f>
        <v>0</v>
      </c>
      <c r="AJ370" s="97"/>
      <c r="AK370" s="80"/>
      <c r="AL370" s="80"/>
      <c r="AM370" s="81"/>
      <c r="AN370" s="82">
        <f>SUM(AN363:AN369)</f>
        <v>0</v>
      </c>
      <c r="AO370" s="66">
        <f>IF(AN$370=0,0,AN370/AN$370)</f>
        <v>0</v>
      </c>
      <c r="AP370" s="97"/>
      <c r="AQ370" s="80"/>
      <c r="AR370" s="80"/>
      <c r="AS370" s="81"/>
      <c r="AT370" s="82">
        <f>SUM(AT363:AT369)</f>
        <v>0</v>
      </c>
      <c r="AU370" s="66">
        <f>IF(AT$370=0,0,AT370/AT$370)</f>
        <v>0</v>
      </c>
      <c r="AV370" s="97"/>
      <c r="AW370" s="80"/>
      <c r="AX370" s="80"/>
      <c r="AY370" s="81"/>
      <c r="AZ370" s="82">
        <f>SUM(AZ363:AZ369)</f>
        <v>0</v>
      </c>
      <c r="BA370" s="66">
        <f>IF(AZ$370=0,0,AZ370/AZ$370)</f>
        <v>0</v>
      </c>
    </row>
    <row r="371" spans="1:53" s="117" customFormat="1" ht="17.100000000000001" customHeight="1" x14ac:dyDescent="0.25">
      <c r="A371" s="68"/>
      <c r="B371" s="119"/>
      <c r="C371" s="540"/>
      <c r="D371" s="261"/>
      <c r="E371" s="261"/>
      <c r="F371" s="68"/>
      <c r="G371" s="68"/>
      <c r="H371" s="119"/>
      <c r="I371" s="138"/>
      <c r="J371" s="17" t="str">
        <f>IF(J370=J$357,"OK","NOK")</f>
        <v>OK</v>
      </c>
      <c r="K371" s="17" t="str">
        <f t="shared" ref="K371:L371" si="422">IF(K370=K$357,"OK","NOK")</f>
        <v>OK</v>
      </c>
      <c r="L371" s="17" t="str">
        <f t="shared" si="422"/>
        <v>OK</v>
      </c>
      <c r="M371" s="17"/>
      <c r="N371" s="17"/>
      <c r="O371" s="17"/>
      <c r="P371" s="17"/>
      <c r="Q371" s="17"/>
      <c r="R371" s="17"/>
      <c r="S371" s="17"/>
      <c r="T371" s="17"/>
      <c r="U371" s="17"/>
      <c r="V371" s="359"/>
      <c r="W371" s="382"/>
      <c r="X371" s="539"/>
      <c r="Y371" s="539"/>
      <c r="Z371" s="19"/>
      <c r="AA371" s="201"/>
      <c r="AB371" s="201"/>
      <c r="AC371" s="84"/>
      <c r="AE371" s="46"/>
      <c r="AF371" s="46"/>
      <c r="AG371" s="17"/>
      <c r="AH371" s="539"/>
      <c r="AI371" s="91"/>
      <c r="AK371" s="46"/>
      <c r="AL371" s="46"/>
      <c r="AM371" s="17"/>
      <c r="AN371" s="539"/>
      <c r="AO371" s="91"/>
      <c r="AQ371" s="46"/>
      <c r="AR371" s="46"/>
      <c r="AS371" s="17"/>
      <c r="AT371" s="539"/>
      <c r="AU371" s="91"/>
      <c r="AW371" s="46"/>
      <c r="AX371" s="46"/>
      <c r="AY371" s="17"/>
      <c r="AZ371" s="539"/>
      <c r="BA371" s="91"/>
    </row>
    <row r="372" spans="1:53" ht="17.100000000000001" customHeight="1" x14ac:dyDescent="0.25">
      <c r="A372" s="68"/>
      <c r="B372" s="41" t="s">
        <v>1058</v>
      </c>
      <c r="C372" s="69" t="s">
        <v>12</v>
      </c>
      <c r="D372" s="50"/>
      <c r="E372" s="70"/>
      <c r="F372" s="70"/>
      <c r="G372" s="70"/>
      <c r="H372" s="119"/>
      <c r="J372" s="71"/>
      <c r="K372" s="71"/>
      <c r="L372" s="71"/>
      <c r="M372" s="71"/>
      <c r="N372" s="71"/>
      <c r="O372" s="71"/>
      <c r="P372" s="71"/>
      <c r="Q372" s="71"/>
      <c r="R372" s="71"/>
      <c r="S372" s="71"/>
      <c r="T372" s="71"/>
      <c r="U372" s="71"/>
      <c r="V372" s="355"/>
      <c r="W372" s="377"/>
      <c r="X372" s="71"/>
      <c r="Y372" s="72"/>
      <c r="Z372" s="73"/>
      <c r="AA372" s="73"/>
      <c r="AB372" s="73"/>
      <c r="AC372" s="73"/>
      <c r="AE372" s="71"/>
      <c r="AF372" s="71"/>
      <c r="AG372" s="71"/>
      <c r="AH372" s="72"/>
      <c r="AI372" s="73"/>
      <c r="AK372" s="71"/>
      <c r="AL372" s="71"/>
      <c r="AM372" s="71"/>
      <c r="AN372" s="72"/>
      <c r="AO372" s="73"/>
      <c r="AQ372" s="71"/>
      <c r="AR372" s="71"/>
      <c r="AS372" s="71"/>
      <c r="AT372" s="72"/>
      <c r="AU372" s="73"/>
      <c r="AW372" s="71"/>
      <c r="AX372" s="71"/>
      <c r="AY372" s="71"/>
      <c r="AZ372" s="72"/>
      <c r="BA372" s="73"/>
    </row>
    <row r="373" spans="1:53" s="97" customFormat="1" ht="17.100000000000001" customHeight="1" x14ac:dyDescent="0.25">
      <c r="A373" s="138"/>
      <c r="B373" s="138"/>
      <c r="C373" s="139"/>
      <c r="D373" s="12"/>
      <c r="E373" s="12"/>
      <c r="F373" s="93"/>
      <c r="G373" s="93"/>
      <c r="H373" s="92"/>
      <c r="I373" s="12"/>
      <c r="J373" s="95"/>
      <c r="K373" s="95"/>
      <c r="L373" s="95"/>
      <c r="M373" s="95"/>
      <c r="N373" s="95"/>
      <c r="O373" s="95"/>
      <c r="P373" s="95"/>
      <c r="Q373" s="95"/>
      <c r="R373" s="95"/>
      <c r="S373" s="95"/>
      <c r="T373" s="95"/>
      <c r="U373" s="95"/>
      <c r="V373" s="95"/>
      <c r="W373" s="378"/>
      <c r="X373" s="95"/>
      <c r="Y373" s="96"/>
      <c r="AE373" s="109"/>
      <c r="AF373" s="109"/>
      <c r="AG373" s="109"/>
      <c r="AH373" s="96"/>
      <c r="AK373" s="109"/>
      <c r="AL373" s="109"/>
      <c r="AM373" s="109"/>
      <c r="AN373" s="96"/>
      <c r="AQ373" s="109"/>
      <c r="AR373" s="109"/>
      <c r="AS373" s="109"/>
      <c r="AT373" s="96"/>
      <c r="AW373" s="109"/>
      <c r="AX373" s="109"/>
      <c r="AY373" s="109"/>
      <c r="AZ373" s="96"/>
    </row>
    <row r="374" spans="1:53" s="32" customFormat="1" ht="16.5" thickBot="1" x14ac:dyDescent="0.3">
      <c r="A374" s="24" t="s">
        <v>183</v>
      </c>
      <c r="B374" s="25" t="s">
        <v>184</v>
      </c>
      <c r="C374" s="26"/>
      <c r="D374" s="27"/>
      <c r="E374" s="27"/>
      <c r="F374" s="27"/>
      <c r="G374" s="27"/>
      <c r="H374" s="266"/>
      <c r="I374" s="228"/>
      <c r="J374" s="140"/>
      <c r="K374" s="140"/>
      <c r="L374" s="140"/>
      <c r="M374" s="140"/>
      <c r="N374" s="140"/>
      <c r="O374" s="140"/>
      <c r="P374" s="140"/>
      <c r="Q374" s="140"/>
      <c r="R374" s="140"/>
      <c r="S374" s="140"/>
      <c r="T374" s="140"/>
      <c r="U374" s="140"/>
      <c r="V374" s="365"/>
      <c r="W374" s="379"/>
      <c r="X374" s="140"/>
      <c r="Y374" s="30" t="s">
        <v>4</v>
      </c>
      <c r="Z374" s="30" t="s">
        <v>5</v>
      </c>
      <c r="AA374" s="30"/>
      <c r="AB374" s="30"/>
      <c r="AC374" s="29"/>
      <c r="AE374" s="33" t="s">
        <v>181</v>
      </c>
      <c r="AF374" s="33" t="s">
        <v>182</v>
      </c>
      <c r="AG374" s="33" t="s">
        <v>6</v>
      </c>
      <c r="AH374" s="33" t="s">
        <v>4</v>
      </c>
      <c r="AI374" s="34" t="s">
        <v>5</v>
      </c>
      <c r="AJ374" s="408"/>
      <c r="AK374" s="36" t="s">
        <v>181</v>
      </c>
      <c r="AL374" s="36" t="s">
        <v>182</v>
      </c>
      <c r="AM374" s="36" t="s">
        <v>6</v>
      </c>
      <c r="AN374" s="36" t="s">
        <v>4</v>
      </c>
      <c r="AO374" s="37" t="s">
        <v>5</v>
      </c>
      <c r="AP374" s="408"/>
      <c r="AQ374" s="36"/>
      <c r="AR374" s="36"/>
      <c r="AS374" s="36"/>
      <c r="AT374" s="36"/>
      <c r="AU374" s="37"/>
      <c r="AV374" s="408"/>
      <c r="AW374" s="38" t="s">
        <v>181</v>
      </c>
      <c r="AX374" s="38" t="s">
        <v>182</v>
      </c>
      <c r="AY374" s="38" t="s">
        <v>6</v>
      </c>
      <c r="AZ374" s="38" t="s">
        <v>4</v>
      </c>
      <c r="BA374" s="39" t="s">
        <v>5</v>
      </c>
    </row>
    <row r="375" spans="1:53" ht="17.100000000000001" customHeight="1" x14ac:dyDescent="0.25">
      <c r="A375" s="68"/>
      <c r="B375" s="41" t="s">
        <v>185</v>
      </c>
      <c r="C375" s="69" t="s">
        <v>186</v>
      </c>
      <c r="D375" s="50"/>
      <c r="E375" s="70"/>
      <c r="F375" s="265"/>
      <c r="G375" s="265"/>
      <c r="H375" s="253"/>
      <c r="J375" s="71"/>
      <c r="K375" s="71"/>
      <c r="L375" s="71"/>
      <c r="M375" s="71"/>
      <c r="N375" s="71"/>
      <c r="O375" s="71"/>
      <c r="P375" s="71"/>
      <c r="Q375" s="71"/>
      <c r="R375" s="71"/>
      <c r="S375" s="71"/>
      <c r="T375" s="71"/>
      <c r="U375" s="71"/>
      <c r="V375" s="355"/>
      <c r="W375" s="377"/>
      <c r="X375" s="71"/>
      <c r="Y375" s="72"/>
      <c r="Z375" s="73"/>
      <c r="AA375" s="73"/>
      <c r="AB375" s="73"/>
      <c r="AC375" s="73"/>
      <c r="AE375" s="71"/>
      <c r="AF375" s="71"/>
      <c r="AG375" s="71"/>
      <c r="AH375" s="72"/>
      <c r="AI375" s="73"/>
      <c r="AK375" s="71"/>
      <c r="AL375" s="71"/>
      <c r="AM375" s="71"/>
      <c r="AN375" s="72"/>
      <c r="AO375" s="73"/>
      <c r="AQ375" s="71"/>
      <c r="AR375" s="71"/>
      <c r="AS375" s="71"/>
      <c r="AT375" s="72"/>
      <c r="AU375" s="73"/>
      <c r="AW375" s="71"/>
      <c r="AX375" s="71"/>
      <c r="AY375" s="71"/>
      <c r="AZ375" s="72"/>
      <c r="BA375" s="73"/>
    </row>
    <row r="376" spans="1:53" ht="17.100000000000001" customHeight="1" x14ac:dyDescent="0.25">
      <c r="A376" s="40"/>
      <c r="B376" s="40"/>
      <c r="C376" s="74" t="s">
        <v>187</v>
      </c>
      <c r="D376" s="75" t="s">
        <v>129</v>
      </c>
      <c r="E376" s="105"/>
      <c r="F376" s="105"/>
      <c r="G376" s="105"/>
      <c r="H376" s="119"/>
      <c r="I376" s="231"/>
      <c r="J376" s="111"/>
      <c r="K376" s="111"/>
      <c r="L376" s="111"/>
      <c r="M376" s="111"/>
      <c r="N376" s="60"/>
      <c r="O376" s="60"/>
      <c r="P376" s="17">
        <f>SUM(N376:O376)</f>
        <v>0</v>
      </c>
      <c r="Q376" s="60"/>
      <c r="R376" s="60"/>
      <c r="S376" s="17">
        <f>SUM(Q376:R376)</f>
        <v>0</v>
      </c>
      <c r="T376" s="60"/>
      <c r="U376" s="60"/>
      <c r="V376" s="359">
        <f>SUM(T376:U376)</f>
        <v>0</v>
      </c>
      <c r="W376" s="391">
        <f t="shared" ref="W376:W378" si="423">J376+K376+N376+Q376+T376</f>
        <v>0</v>
      </c>
      <c r="X376" s="17">
        <f t="shared" ref="X376:X378" si="424">L376+O376+R376+U376</f>
        <v>0</v>
      </c>
      <c r="Y376" s="18">
        <f>SUM(W376:X376)</f>
        <v>0</v>
      </c>
      <c r="Z376" s="19">
        <f>IF(Y$379=0,0,Y376/Y$379)</f>
        <v>0</v>
      </c>
      <c r="AA376" s="19"/>
      <c r="AB376" s="19"/>
      <c r="AC376" s="17"/>
      <c r="AE376" s="111"/>
      <c r="AF376" s="111"/>
      <c r="AG376" s="111"/>
      <c r="AH376" s="112"/>
      <c r="AI376" s="113"/>
      <c r="AK376" s="111"/>
      <c r="AL376" s="111"/>
      <c r="AM376" s="111"/>
      <c r="AN376" s="112"/>
      <c r="AO376" s="113"/>
      <c r="AQ376" s="17"/>
      <c r="AR376" s="17"/>
      <c r="AS376" s="17"/>
      <c r="AT376" s="18">
        <f t="shared" ref="AT376:AT378" si="425">W376</f>
        <v>0</v>
      </c>
      <c r="AU376" s="19">
        <f>IF(AT$379=0,0,AT376/AT$379)</f>
        <v>0</v>
      </c>
      <c r="AW376" s="17"/>
      <c r="AX376" s="17"/>
      <c r="AY376" s="17"/>
      <c r="AZ376" s="18">
        <f t="shared" ref="AZ376:AZ378" si="426">X376</f>
        <v>0</v>
      </c>
      <c r="BA376" s="19">
        <f>IF(AZ$379=0,0,AZ376/AZ$379)</f>
        <v>0</v>
      </c>
    </row>
    <row r="377" spans="1:53" ht="17.100000000000001" customHeight="1" x14ac:dyDescent="0.25">
      <c r="A377" s="40"/>
      <c r="B377" s="40"/>
      <c r="C377" s="74" t="s">
        <v>188</v>
      </c>
      <c r="D377" s="85" t="s">
        <v>189</v>
      </c>
      <c r="E377" s="75"/>
      <c r="F377" s="75"/>
      <c r="G377" s="75"/>
      <c r="H377" s="540"/>
      <c r="I377" s="229"/>
      <c r="J377" s="111"/>
      <c r="K377" s="111"/>
      <c r="L377" s="111"/>
      <c r="M377" s="111"/>
      <c r="N377" s="61"/>
      <c r="O377" s="61"/>
      <c r="P377" s="17">
        <f t="shared" ref="P377:P378" si="427">SUM(N377:O377)</f>
        <v>0</v>
      </c>
      <c r="Q377" s="61"/>
      <c r="R377" s="61"/>
      <c r="S377" s="17">
        <f t="shared" ref="S377:S378" si="428">SUM(Q377:R377)</f>
        <v>0</v>
      </c>
      <c r="T377" s="61"/>
      <c r="U377" s="61"/>
      <c r="V377" s="359">
        <f t="shared" ref="V377:V378" si="429">SUM(T377:U377)</f>
        <v>0</v>
      </c>
      <c r="W377" s="391">
        <f t="shared" si="423"/>
        <v>0</v>
      </c>
      <c r="X377" s="17">
        <f t="shared" si="424"/>
        <v>0</v>
      </c>
      <c r="Y377" s="18">
        <f>SUM(W377:X377)</f>
        <v>0</v>
      </c>
      <c r="Z377" s="19">
        <f t="shared" ref="Z377:Z379" si="430">IF(Y$379=0,0,Y377/Y$379)</f>
        <v>0</v>
      </c>
      <c r="AA377" s="19"/>
      <c r="AB377" s="19"/>
      <c r="AC377" s="17"/>
      <c r="AE377" s="111"/>
      <c r="AF377" s="111"/>
      <c r="AG377" s="111"/>
      <c r="AH377" s="112"/>
      <c r="AI377" s="113"/>
      <c r="AK377" s="111"/>
      <c r="AL377" s="111"/>
      <c r="AM377" s="111"/>
      <c r="AN377" s="112"/>
      <c r="AO377" s="113"/>
      <c r="AQ377" s="17"/>
      <c r="AR377" s="17"/>
      <c r="AS377" s="17"/>
      <c r="AT377" s="18">
        <f t="shared" si="425"/>
        <v>0</v>
      </c>
      <c r="AU377" s="19">
        <f t="shared" ref="AU377:AU379" si="431">IF(AT$379=0,0,AT377/AT$379)</f>
        <v>0</v>
      </c>
      <c r="AW377" s="17"/>
      <c r="AX377" s="17"/>
      <c r="AY377" s="17"/>
      <c r="AZ377" s="18">
        <f t="shared" si="426"/>
        <v>0</v>
      </c>
      <c r="BA377" s="19">
        <f t="shared" ref="BA377:BA379" si="432">IF(AZ$379=0,0,AZ377/AZ$379)</f>
        <v>0</v>
      </c>
    </row>
    <row r="378" spans="1:53" ht="17.100000000000001" customHeight="1" x14ac:dyDescent="0.25">
      <c r="A378" s="40"/>
      <c r="B378" s="40"/>
      <c r="C378" s="74" t="s">
        <v>190</v>
      </c>
      <c r="D378" s="146" t="s">
        <v>494</v>
      </c>
      <c r="E378" s="75"/>
      <c r="F378" s="75"/>
      <c r="G378" s="75"/>
      <c r="H378" s="540"/>
      <c r="I378" s="229"/>
      <c r="J378" s="111"/>
      <c r="K378" s="111"/>
      <c r="L378" s="111"/>
      <c r="M378" s="111"/>
      <c r="N378" s="60"/>
      <c r="O378" s="60"/>
      <c r="P378" s="17">
        <f t="shared" si="427"/>
        <v>0</v>
      </c>
      <c r="Q378" s="60"/>
      <c r="R378" s="60"/>
      <c r="S378" s="17">
        <f t="shared" si="428"/>
        <v>0</v>
      </c>
      <c r="T378" s="60"/>
      <c r="U378" s="60"/>
      <c r="V378" s="359">
        <f t="shared" si="429"/>
        <v>0</v>
      </c>
      <c r="W378" s="391">
        <f t="shared" si="423"/>
        <v>0</v>
      </c>
      <c r="X378" s="17">
        <f t="shared" si="424"/>
        <v>0</v>
      </c>
      <c r="Y378" s="18">
        <f>SUM(W378:X378)</f>
        <v>0</v>
      </c>
      <c r="Z378" s="19">
        <f t="shared" si="430"/>
        <v>0</v>
      </c>
      <c r="AA378" s="19"/>
      <c r="AB378" s="19"/>
      <c r="AC378" s="17"/>
      <c r="AE378" s="111"/>
      <c r="AF378" s="111"/>
      <c r="AG378" s="111"/>
      <c r="AH378" s="112"/>
      <c r="AI378" s="113"/>
      <c r="AK378" s="111"/>
      <c r="AL378" s="111"/>
      <c r="AM378" s="111"/>
      <c r="AN378" s="112"/>
      <c r="AO378" s="113"/>
      <c r="AQ378" s="17"/>
      <c r="AR378" s="17"/>
      <c r="AS378" s="17"/>
      <c r="AT378" s="18">
        <f t="shared" si="425"/>
        <v>0</v>
      </c>
      <c r="AU378" s="19">
        <f t="shared" si="431"/>
        <v>0</v>
      </c>
      <c r="AW378" s="17"/>
      <c r="AX378" s="17"/>
      <c r="AY378" s="17"/>
      <c r="AZ378" s="18">
        <f t="shared" si="426"/>
        <v>0</v>
      </c>
      <c r="BA378" s="19">
        <f t="shared" si="432"/>
        <v>0</v>
      </c>
    </row>
    <row r="379" spans="1:53" ht="17.100000000000001" customHeight="1" x14ac:dyDescent="0.25">
      <c r="A379" s="40"/>
      <c r="B379" s="40"/>
      <c r="C379" s="77"/>
      <c r="D379" s="134"/>
      <c r="E379" s="134"/>
      <c r="F379" s="134"/>
      <c r="G379" s="134"/>
      <c r="H379" s="540"/>
      <c r="I379" s="229"/>
      <c r="J379" s="64"/>
      <c r="K379" s="64"/>
      <c r="L379" s="81"/>
      <c r="M379" s="81"/>
      <c r="N379" s="81">
        <f>SUM(N376:N378)</f>
        <v>0</v>
      </c>
      <c r="O379" s="81">
        <f t="shared" ref="O379:V379" si="433">SUM(O376:O378)</f>
        <v>0</v>
      </c>
      <c r="P379" s="81">
        <f t="shared" si="433"/>
        <v>0</v>
      </c>
      <c r="Q379" s="81">
        <f t="shared" si="433"/>
        <v>0</v>
      </c>
      <c r="R379" s="81">
        <f t="shared" si="433"/>
        <v>0</v>
      </c>
      <c r="S379" s="81">
        <f t="shared" si="433"/>
        <v>0</v>
      </c>
      <c r="T379" s="81">
        <f t="shared" si="433"/>
        <v>0</v>
      </c>
      <c r="U379" s="81">
        <f t="shared" si="433"/>
        <v>0</v>
      </c>
      <c r="V379" s="81">
        <f t="shared" si="433"/>
        <v>0</v>
      </c>
      <c r="W379" s="381">
        <f>SUM(W376:W378)</f>
        <v>0</v>
      </c>
      <c r="X379" s="82">
        <f t="shared" ref="X379:Y379" si="434">SUM(X376:X378)</f>
        <v>0</v>
      </c>
      <c r="Y379" s="82">
        <f t="shared" si="434"/>
        <v>0</v>
      </c>
      <c r="Z379" s="205">
        <f t="shared" si="430"/>
        <v>0</v>
      </c>
      <c r="AA379" s="205"/>
      <c r="AB379" s="205"/>
      <c r="AC379" s="83"/>
      <c r="AE379" s="80"/>
      <c r="AF379" s="80"/>
      <c r="AG379" s="81"/>
      <c r="AH379" s="82"/>
      <c r="AI379" s="66"/>
      <c r="AK379" s="80"/>
      <c r="AL379" s="80"/>
      <c r="AM379" s="81"/>
      <c r="AN379" s="82"/>
      <c r="AO379" s="66"/>
      <c r="AQ379" s="80"/>
      <c r="AR379" s="80"/>
      <c r="AS379" s="81"/>
      <c r="AT379" s="82">
        <f>SUM(AT376:AT378)</f>
        <v>0</v>
      </c>
      <c r="AU379" s="66">
        <f t="shared" si="431"/>
        <v>0</v>
      </c>
      <c r="AW379" s="80"/>
      <c r="AX379" s="80"/>
      <c r="AY379" s="81"/>
      <c r="AZ379" s="82">
        <f>SUM(AZ376:AZ378)</f>
        <v>0</v>
      </c>
      <c r="BA379" s="66">
        <f t="shared" si="432"/>
        <v>0</v>
      </c>
    </row>
    <row r="380" spans="1:53" s="117" customFormat="1" ht="17.100000000000001" customHeight="1" x14ac:dyDescent="0.25">
      <c r="A380" s="68"/>
      <c r="B380" s="119"/>
      <c r="C380" s="540"/>
      <c r="D380" s="261"/>
      <c r="E380" s="261"/>
      <c r="F380" s="68"/>
      <c r="G380" s="68"/>
      <c r="H380" s="119"/>
      <c r="I380" s="138"/>
      <c r="J380" s="17"/>
      <c r="K380" s="17"/>
      <c r="L380" s="17"/>
      <c r="M380" s="17"/>
      <c r="N380" s="17" t="str">
        <f>IF(N379=N$20,"OK","NOK")</f>
        <v>OK</v>
      </c>
      <c r="O380" s="17" t="str">
        <f>IF(O379=O$20,"OK","NOK")</f>
        <v>OK</v>
      </c>
      <c r="P380" s="17"/>
      <c r="Q380" s="17" t="str">
        <f>IF(Q379=Q$20,"OK","NOK")</f>
        <v>OK</v>
      </c>
      <c r="R380" s="17" t="str">
        <f>IF(R379=R$20,"OK","NOK")</f>
        <v>OK</v>
      </c>
      <c r="S380" s="17"/>
      <c r="T380" s="17" t="str">
        <f>IF(T379=T$20,"OK","NOK")</f>
        <v>OK</v>
      </c>
      <c r="U380" s="17" t="str">
        <f>IF(U379=U$20,"OK","NOK")</f>
        <v>OK</v>
      </c>
      <c r="V380" s="359"/>
      <c r="W380" s="382"/>
      <c r="X380" s="539"/>
      <c r="Y380" s="539"/>
      <c r="Z380" s="201"/>
      <c r="AA380" s="201"/>
      <c r="AB380" s="201"/>
      <c r="AC380" s="84"/>
      <c r="AE380" s="46"/>
      <c r="AF380" s="46"/>
      <c r="AG380" s="17"/>
      <c r="AH380" s="539"/>
      <c r="AI380" s="91"/>
      <c r="AK380" s="46"/>
      <c r="AL380" s="46"/>
      <c r="AM380" s="17"/>
      <c r="AN380" s="539"/>
      <c r="AO380" s="91"/>
      <c r="AQ380" s="46"/>
      <c r="AR380" s="46"/>
      <c r="AS380" s="17"/>
      <c r="AT380" s="539"/>
      <c r="AU380" s="91"/>
      <c r="AW380" s="46"/>
      <c r="AX380" s="46"/>
      <c r="AY380" s="17"/>
      <c r="AZ380" s="539"/>
      <c r="BA380" s="91"/>
    </row>
    <row r="381" spans="1:53" ht="17.100000000000001" customHeight="1" x14ac:dyDescent="0.25">
      <c r="A381" s="40"/>
      <c r="B381" s="40"/>
      <c r="C381" s="40"/>
      <c r="D381" s="146" t="s">
        <v>472</v>
      </c>
      <c r="E381" s="75"/>
      <c r="F381" s="75"/>
      <c r="G381" s="75"/>
      <c r="H381" s="74"/>
      <c r="I381" s="229"/>
      <c r="J381" s="174"/>
      <c r="K381" s="174"/>
      <c r="L381" s="111"/>
      <c r="M381" s="111"/>
      <c r="N381" s="111"/>
      <c r="O381" s="111"/>
      <c r="P381" s="111"/>
      <c r="Q381" s="111"/>
      <c r="R381" s="111"/>
      <c r="S381" s="111"/>
      <c r="T381" s="111"/>
      <c r="U381" s="111"/>
      <c r="V381" s="358"/>
      <c r="W381" s="385"/>
      <c r="X381" s="545"/>
      <c r="Y381" s="545"/>
      <c r="Z381" s="172"/>
      <c r="AA381" s="172"/>
      <c r="AB381" s="172"/>
      <c r="AC381" s="113"/>
      <c r="AE381" s="152"/>
      <c r="AF381" s="152"/>
      <c r="AG381" s="111"/>
      <c r="AH381" s="545"/>
      <c r="AI381" s="131"/>
      <c r="AK381" s="152"/>
      <c r="AL381" s="152"/>
      <c r="AM381" s="111"/>
      <c r="AN381" s="545"/>
      <c r="AO381" s="131"/>
      <c r="AQ381" s="152"/>
      <c r="AR381" s="152"/>
      <c r="AS381" s="111"/>
      <c r="AT381" s="545"/>
      <c r="AU381" s="131"/>
      <c r="AW381" s="152"/>
      <c r="AX381" s="152"/>
      <c r="AY381" s="111"/>
      <c r="AZ381" s="545"/>
      <c r="BA381" s="131"/>
    </row>
    <row r="382" spans="1:53" ht="17.100000000000001" customHeight="1" x14ac:dyDescent="0.25">
      <c r="A382" s="40"/>
      <c r="B382" s="40"/>
      <c r="C382" s="40"/>
      <c r="D382" s="74" t="s">
        <v>191</v>
      </c>
      <c r="E382" s="1398" t="s">
        <v>471</v>
      </c>
      <c r="F382" s="1399"/>
      <c r="G382" s="1399"/>
      <c r="H382" s="242"/>
      <c r="I382" s="230"/>
      <c r="J382" s="111"/>
      <c r="K382" s="111"/>
      <c r="L382" s="111"/>
      <c r="M382" s="111"/>
      <c r="N382" s="60"/>
      <c r="O382" s="60"/>
      <c r="P382" s="17">
        <f>SUM(N382:O382)</f>
        <v>0</v>
      </c>
      <c r="Q382" s="60"/>
      <c r="R382" s="60"/>
      <c r="S382" s="17">
        <f>SUM(Q382:R382)</f>
        <v>0</v>
      </c>
      <c r="T382" s="60"/>
      <c r="U382" s="60"/>
      <c r="V382" s="359">
        <f>SUM(T382:U382)</f>
        <v>0</v>
      </c>
      <c r="W382" s="391">
        <f t="shared" ref="W382:W395" si="435">J382+K382+N382+Q382+T382</f>
        <v>0</v>
      </c>
      <c r="X382" s="17">
        <f t="shared" ref="X382:X395" si="436">L382+O382+R382+U382</f>
        <v>0</v>
      </c>
      <c r="Y382" s="18">
        <f t="shared" ref="Y382:Y395" si="437">SUM(W382:X382)</f>
        <v>0</v>
      </c>
      <c r="Z382" s="19">
        <f t="shared" ref="Z382:Z395" si="438">IF(Y$400=0,0,Y382/Y$400)</f>
        <v>0</v>
      </c>
      <c r="AA382" s="19"/>
      <c r="AB382" s="19"/>
      <c r="AC382" s="20"/>
      <c r="AE382" s="111"/>
      <c r="AF382" s="111"/>
      <c r="AG382" s="111"/>
      <c r="AH382" s="112"/>
      <c r="AI382" s="113"/>
      <c r="AK382" s="111"/>
      <c r="AL382" s="111"/>
      <c r="AM382" s="111"/>
      <c r="AN382" s="112"/>
      <c r="AO382" s="113"/>
      <c r="AQ382" s="17"/>
      <c r="AR382" s="17"/>
      <c r="AS382" s="17"/>
      <c r="AT382" s="18">
        <f t="shared" ref="AT382:AT395" si="439">W382</f>
        <v>0</v>
      </c>
      <c r="AU382" s="19">
        <f t="shared" ref="AU382:AU395" si="440">IF(AT$400=0,0,AT382/AT$400)</f>
        <v>0</v>
      </c>
      <c r="AW382" s="17"/>
      <c r="AX382" s="17"/>
      <c r="AY382" s="17"/>
      <c r="AZ382" s="18">
        <f t="shared" ref="AZ382:AZ395" si="441">X382</f>
        <v>0</v>
      </c>
      <c r="BA382" s="19">
        <f t="shared" ref="BA382:BA395" si="442">IF(AZ$400=0,0,AZ382/AZ$400)</f>
        <v>0</v>
      </c>
    </row>
    <row r="383" spans="1:53" ht="17.100000000000001" customHeight="1" x14ac:dyDescent="0.25">
      <c r="A383" s="40"/>
      <c r="B383" s="40"/>
      <c r="C383" s="40"/>
      <c r="D383" s="74" t="s">
        <v>192</v>
      </c>
      <c r="E383" s="75" t="s">
        <v>462</v>
      </c>
      <c r="F383" s="75"/>
      <c r="G383" s="75"/>
      <c r="H383" s="540"/>
      <c r="I383" s="229"/>
      <c r="J383" s="111"/>
      <c r="K383" s="111"/>
      <c r="L383" s="111"/>
      <c r="M383" s="111"/>
      <c r="N383" s="61"/>
      <c r="O383" s="61"/>
      <c r="P383" s="17">
        <f t="shared" ref="P383:P395" si="443">SUM(N383:O383)</f>
        <v>0</v>
      </c>
      <c r="Q383" s="61"/>
      <c r="R383" s="61"/>
      <c r="S383" s="17">
        <f t="shared" ref="S383:S395" si="444">SUM(Q383:R383)</f>
        <v>0</v>
      </c>
      <c r="T383" s="61"/>
      <c r="U383" s="61"/>
      <c r="V383" s="359">
        <f t="shared" ref="V383:V395" si="445">SUM(T383:U383)</f>
        <v>0</v>
      </c>
      <c r="W383" s="391">
        <f t="shared" si="435"/>
        <v>0</v>
      </c>
      <c r="X383" s="17">
        <f t="shared" si="436"/>
        <v>0</v>
      </c>
      <c r="Y383" s="18">
        <f t="shared" si="437"/>
        <v>0</v>
      </c>
      <c r="Z383" s="19">
        <f t="shared" si="438"/>
        <v>0</v>
      </c>
      <c r="AA383" s="19"/>
      <c r="AB383" s="19"/>
      <c r="AC383" s="20"/>
      <c r="AE383" s="111"/>
      <c r="AF383" s="111"/>
      <c r="AG383" s="111"/>
      <c r="AH383" s="112"/>
      <c r="AI383" s="113"/>
      <c r="AK383" s="111"/>
      <c r="AL383" s="111"/>
      <c r="AM383" s="111"/>
      <c r="AN383" s="112"/>
      <c r="AO383" s="113"/>
      <c r="AQ383" s="17"/>
      <c r="AR383" s="17"/>
      <c r="AS383" s="17"/>
      <c r="AT383" s="18">
        <f t="shared" si="439"/>
        <v>0</v>
      </c>
      <c r="AU383" s="19">
        <f t="shared" si="440"/>
        <v>0</v>
      </c>
      <c r="AW383" s="17"/>
      <c r="AX383" s="17"/>
      <c r="AY383" s="17"/>
      <c r="AZ383" s="18">
        <f t="shared" si="441"/>
        <v>0</v>
      </c>
      <c r="BA383" s="19">
        <f t="shared" si="442"/>
        <v>0</v>
      </c>
    </row>
    <row r="384" spans="1:53" ht="17.100000000000001" customHeight="1" x14ac:dyDescent="0.25">
      <c r="A384" s="40"/>
      <c r="B384" s="40"/>
      <c r="C384" s="40"/>
      <c r="D384" s="74" t="s">
        <v>193</v>
      </c>
      <c r="E384" s="1398" t="s">
        <v>463</v>
      </c>
      <c r="F384" s="1399"/>
      <c r="G384" s="1399"/>
      <c r="H384" s="242"/>
      <c r="I384" s="230"/>
      <c r="J384" s="111"/>
      <c r="K384" s="111"/>
      <c r="L384" s="111"/>
      <c r="M384" s="111"/>
      <c r="N384" s="60"/>
      <c r="O384" s="60"/>
      <c r="P384" s="17">
        <f t="shared" si="443"/>
        <v>0</v>
      </c>
      <c r="Q384" s="60"/>
      <c r="R384" s="60"/>
      <c r="S384" s="17">
        <f t="shared" si="444"/>
        <v>0</v>
      </c>
      <c r="T384" s="60"/>
      <c r="U384" s="60"/>
      <c r="V384" s="359">
        <f t="shared" si="445"/>
        <v>0</v>
      </c>
      <c r="W384" s="391">
        <f t="shared" si="435"/>
        <v>0</v>
      </c>
      <c r="X384" s="17">
        <f t="shared" si="436"/>
        <v>0</v>
      </c>
      <c r="Y384" s="18">
        <f t="shared" si="437"/>
        <v>0</v>
      </c>
      <c r="Z384" s="19">
        <f t="shared" si="438"/>
        <v>0</v>
      </c>
      <c r="AA384" s="19"/>
      <c r="AB384" s="19"/>
      <c r="AC384" s="20"/>
      <c r="AE384" s="111"/>
      <c r="AF384" s="111"/>
      <c r="AG384" s="111"/>
      <c r="AH384" s="112"/>
      <c r="AI384" s="113"/>
      <c r="AK384" s="111"/>
      <c r="AL384" s="111"/>
      <c r="AM384" s="111"/>
      <c r="AN384" s="112"/>
      <c r="AO384" s="113"/>
      <c r="AQ384" s="17"/>
      <c r="AR384" s="17"/>
      <c r="AS384" s="17"/>
      <c r="AT384" s="18">
        <f t="shared" si="439"/>
        <v>0</v>
      </c>
      <c r="AU384" s="19">
        <f t="shared" si="440"/>
        <v>0</v>
      </c>
      <c r="AW384" s="17"/>
      <c r="AX384" s="17"/>
      <c r="AY384" s="17"/>
      <c r="AZ384" s="18">
        <f t="shared" si="441"/>
        <v>0</v>
      </c>
      <c r="BA384" s="19">
        <f t="shared" si="442"/>
        <v>0</v>
      </c>
    </row>
    <row r="385" spans="1:53" ht="17.100000000000001" customHeight="1" x14ac:dyDescent="0.25">
      <c r="A385" s="40"/>
      <c r="B385" s="40"/>
      <c r="C385" s="40"/>
      <c r="D385" s="74" t="s">
        <v>194</v>
      </c>
      <c r="E385" s="75" t="s">
        <v>464</v>
      </c>
      <c r="F385" s="75"/>
      <c r="G385" s="75"/>
      <c r="H385" s="540"/>
      <c r="I385" s="229"/>
      <c r="J385" s="111"/>
      <c r="K385" s="111"/>
      <c r="L385" s="111"/>
      <c r="M385" s="111"/>
      <c r="N385" s="61"/>
      <c r="O385" s="61"/>
      <c r="P385" s="17">
        <f t="shared" si="443"/>
        <v>0</v>
      </c>
      <c r="Q385" s="61"/>
      <c r="R385" s="61"/>
      <c r="S385" s="17">
        <f t="shared" si="444"/>
        <v>0</v>
      </c>
      <c r="T385" s="61"/>
      <c r="U385" s="61"/>
      <c r="V385" s="359">
        <f t="shared" si="445"/>
        <v>0</v>
      </c>
      <c r="W385" s="391">
        <f t="shared" si="435"/>
        <v>0</v>
      </c>
      <c r="X385" s="17">
        <f t="shared" si="436"/>
        <v>0</v>
      </c>
      <c r="Y385" s="18">
        <f t="shared" si="437"/>
        <v>0</v>
      </c>
      <c r="Z385" s="19">
        <f t="shared" si="438"/>
        <v>0</v>
      </c>
      <c r="AA385" s="19"/>
      <c r="AB385" s="19"/>
      <c r="AC385" s="20"/>
      <c r="AE385" s="111"/>
      <c r="AF385" s="111"/>
      <c r="AG385" s="111"/>
      <c r="AH385" s="112"/>
      <c r="AI385" s="113"/>
      <c r="AK385" s="111"/>
      <c r="AL385" s="111"/>
      <c r="AM385" s="111"/>
      <c r="AN385" s="112"/>
      <c r="AO385" s="113"/>
      <c r="AQ385" s="17"/>
      <c r="AR385" s="17"/>
      <c r="AS385" s="17"/>
      <c r="AT385" s="18">
        <f t="shared" si="439"/>
        <v>0</v>
      </c>
      <c r="AU385" s="19">
        <f t="shared" si="440"/>
        <v>0</v>
      </c>
      <c r="AW385" s="17"/>
      <c r="AX385" s="17"/>
      <c r="AY385" s="17"/>
      <c r="AZ385" s="18">
        <f t="shared" si="441"/>
        <v>0</v>
      </c>
      <c r="BA385" s="19">
        <f t="shared" si="442"/>
        <v>0</v>
      </c>
    </row>
    <row r="386" spans="1:53" ht="17.100000000000001" customHeight="1" x14ac:dyDescent="0.25">
      <c r="A386" s="40"/>
      <c r="B386" s="40"/>
      <c r="C386" s="40"/>
      <c r="D386" s="74" t="s">
        <v>195</v>
      </c>
      <c r="E386" s="75" t="s">
        <v>465</v>
      </c>
      <c r="F386" s="75"/>
      <c r="G386" s="75"/>
      <c r="H386" s="540"/>
      <c r="I386" s="229"/>
      <c r="J386" s="111"/>
      <c r="K386" s="111"/>
      <c r="L386" s="111"/>
      <c r="M386" s="111"/>
      <c r="N386" s="60"/>
      <c r="O386" s="60"/>
      <c r="P386" s="17">
        <f t="shared" si="443"/>
        <v>0</v>
      </c>
      <c r="Q386" s="60"/>
      <c r="R386" s="60"/>
      <c r="S386" s="17">
        <f t="shared" si="444"/>
        <v>0</v>
      </c>
      <c r="T386" s="60"/>
      <c r="U386" s="60"/>
      <c r="V386" s="359">
        <f t="shared" si="445"/>
        <v>0</v>
      </c>
      <c r="W386" s="391">
        <f t="shared" si="435"/>
        <v>0</v>
      </c>
      <c r="X386" s="17">
        <f t="shared" si="436"/>
        <v>0</v>
      </c>
      <c r="Y386" s="18">
        <f t="shared" si="437"/>
        <v>0</v>
      </c>
      <c r="Z386" s="19">
        <f t="shared" si="438"/>
        <v>0</v>
      </c>
      <c r="AA386" s="19"/>
      <c r="AB386" s="19"/>
      <c r="AC386" s="20"/>
      <c r="AE386" s="111"/>
      <c r="AF386" s="111"/>
      <c r="AG386" s="111"/>
      <c r="AH386" s="112"/>
      <c r="AI386" s="113"/>
      <c r="AK386" s="111"/>
      <c r="AL386" s="111"/>
      <c r="AM386" s="111"/>
      <c r="AN386" s="112"/>
      <c r="AO386" s="113"/>
      <c r="AQ386" s="17"/>
      <c r="AR386" s="17"/>
      <c r="AS386" s="17"/>
      <c r="AT386" s="18">
        <f t="shared" si="439"/>
        <v>0</v>
      </c>
      <c r="AU386" s="19">
        <f t="shared" si="440"/>
        <v>0</v>
      </c>
      <c r="AW386" s="17"/>
      <c r="AX386" s="17"/>
      <c r="AY386" s="17"/>
      <c r="AZ386" s="18">
        <f t="shared" si="441"/>
        <v>0</v>
      </c>
      <c r="BA386" s="19">
        <f t="shared" si="442"/>
        <v>0</v>
      </c>
    </row>
    <row r="387" spans="1:53" ht="17.100000000000001" customHeight="1" x14ac:dyDescent="0.25">
      <c r="A387" s="40"/>
      <c r="B387" s="40"/>
      <c r="C387" s="40"/>
      <c r="D387" s="74" t="s">
        <v>196</v>
      </c>
      <c r="E387" s="75" t="s">
        <v>466</v>
      </c>
      <c r="F387" s="75"/>
      <c r="G387" s="75"/>
      <c r="H387" s="540"/>
      <c r="I387" s="229"/>
      <c r="J387" s="111"/>
      <c r="K387" s="111"/>
      <c r="L387" s="111"/>
      <c r="M387" s="111"/>
      <c r="N387" s="61"/>
      <c r="O387" s="61"/>
      <c r="P387" s="17">
        <f t="shared" si="443"/>
        <v>0</v>
      </c>
      <c r="Q387" s="61"/>
      <c r="R387" s="61"/>
      <c r="S387" s="17">
        <f t="shared" si="444"/>
        <v>0</v>
      </c>
      <c r="T387" s="61"/>
      <c r="U387" s="61"/>
      <c r="V387" s="359">
        <f t="shared" si="445"/>
        <v>0</v>
      </c>
      <c r="W387" s="391">
        <f t="shared" si="435"/>
        <v>0</v>
      </c>
      <c r="X387" s="17">
        <f t="shared" si="436"/>
        <v>0</v>
      </c>
      <c r="Y387" s="18">
        <f t="shared" si="437"/>
        <v>0</v>
      </c>
      <c r="Z387" s="19">
        <f t="shared" si="438"/>
        <v>0</v>
      </c>
      <c r="AA387" s="19"/>
      <c r="AB387" s="19"/>
      <c r="AC387" s="20"/>
      <c r="AE387" s="111"/>
      <c r="AF387" s="111"/>
      <c r="AG387" s="111"/>
      <c r="AH387" s="112"/>
      <c r="AI387" s="113"/>
      <c r="AK387" s="111"/>
      <c r="AL387" s="111"/>
      <c r="AM387" s="111"/>
      <c r="AN387" s="112"/>
      <c r="AO387" s="113"/>
      <c r="AQ387" s="17"/>
      <c r="AR387" s="17"/>
      <c r="AS387" s="17"/>
      <c r="AT387" s="18">
        <f t="shared" si="439"/>
        <v>0</v>
      </c>
      <c r="AU387" s="19">
        <f t="shared" si="440"/>
        <v>0</v>
      </c>
      <c r="AW387" s="17"/>
      <c r="AX387" s="17"/>
      <c r="AY387" s="17"/>
      <c r="AZ387" s="18">
        <f t="shared" si="441"/>
        <v>0</v>
      </c>
      <c r="BA387" s="19">
        <f t="shared" si="442"/>
        <v>0</v>
      </c>
    </row>
    <row r="388" spans="1:53" ht="17.100000000000001" customHeight="1" x14ac:dyDescent="0.25">
      <c r="A388" s="40"/>
      <c r="B388" s="40"/>
      <c r="C388" s="40"/>
      <c r="D388" s="74" t="s">
        <v>197</v>
      </c>
      <c r="E388" s="75" t="s">
        <v>467</v>
      </c>
      <c r="F388" s="75"/>
      <c r="G388" s="75"/>
      <c r="H388" s="540"/>
      <c r="I388" s="229"/>
      <c r="J388" s="111"/>
      <c r="K388" s="111"/>
      <c r="L388" s="111"/>
      <c r="M388" s="111"/>
      <c r="N388" s="60"/>
      <c r="O388" s="60"/>
      <c r="P388" s="17">
        <f t="shared" si="443"/>
        <v>0</v>
      </c>
      <c r="Q388" s="60"/>
      <c r="R388" s="60"/>
      <c r="S388" s="17">
        <f t="shared" si="444"/>
        <v>0</v>
      </c>
      <c r="T388" s="60"/>
      <c r="U388" s="60"/>
      <c r="V388" s="359">
        <f t="shared" si="445"/>
        <v>0</v>
      </c>
      <c r="W388" s="391">
        <f t="shared" si="435"/>
        <v>0</v>
      </c>
      <c r="X388" s="17">
        <f t="shared" si="436"/>
        <v>0</v>
      </c>
      <c r="Y388" s="18">
        <f t="shared" si="437"/>
        <v>0</v>
      </c>
      <c r="Z388" s="19">
        <f t="shared" si="438"/>
        <v>0</v>
      </c>
      <c r="AA388" s="19"/>
      <c r="AB388" s="19"/>
      <c r="AC388" s="20"/>
      <c r="AE388" s="111"/>
      <c r="AF388" s="111"/>
      <c r="AG388" s="111"/>
      <c r="AH388" s="112"/>
      <c r="AI388" s="113"/>
      <c r="AK388" s="111"/>
      <c r="AL388" s="111"/>
      <c r="AM388" s="111"/>
      <c r="AN388" s="112"/>
      <c r="AO388" s="113"/>
      <c r="AQ388" s="17"/>
      <c r="AR388" s="17"/>
      <c r="AS388" s="17"/>
      <c r="AT388" s="18">
        <f t="shared" si="439"/>
        <v>0</v>
      </c>
      <c r="AU388" s="19">
        <f t="shared" si="440"/>
        <v>0</v>
      </c>
      <c r="AW388" s="17"/>
      <c r="AX388" s="17"/>
      <c r="AY388" s="17"/>
      <c r="AZ388" s="18">
        <f t="shared" si="441"/>
        <v>0</v>
      </c>
      <c r="BA388" s="19">
        <f t="shared" si="442"/>
        <v>0</v>
      </c>
    </row>
    <row r="389" spans="1:53" ht="17.100000000000001" customHeight="1" x14ac:dyDescent="0.25">
      <c r="A389" s="40"/>
      <c r="B389" s="40"/>
      <c r="C389" s="40"/>
      <c r="D389" s="74" t="s">
        <v>199</v>
      </c>
      <c r="E389" s="75" t="s">
        <v>749</v>
      </c>
      <c r="F389" s="75"/>
      <c r="G389" s="75"/>
      <c r="H389" s="540"/>
      <c r="I389" s="229"/>
      <c r="J389" s="111"/>
      <c r="K389" s="111"/>
      <c r="L389" s="111"/>
      <c r="M389" s="111"/>
      <c r="N389" s="61"/>
      <c r="O389" s="61"/>
      <c r="P389" s="17">
        <f t="shared" si="443"/>
        <v>0</v>
      </c>
      <c r="Q389" s="61"/>
      <c r="R389" s="61"/>
      <c r="S389" s="17">
        <f t="shared" si="444"/>
        <v>0</v>
      </c>
      <c r="T389" s="61"/>
      <c r="U389" s="61"/>
      <c r="V389" s="359">
        <f t="shared" si="445"/>
        <v>0</v>
      </c>
      <c r="W389" s="391">
        <f t="shared" si="435"/>
        <v>0</v>
      </c>
      <c r="X389" s="17">
        <f t="shared" si="436"/>
        <v>0</v>
      </c>
      <c r="Y389" s="18">
        <f t="shared" si="437"/>
        <v>0</v>
      </c>
      <c r="Z389" s="19">
        <f t="shared" si="438"/>
        <v>0</v>
      </c>
      <c r="AA389" s="19"/>
      <c r="AB389" s="19"/>
      <c r="AC389" s="20"/>
      <c r="AE389" s="111"/>
      <c r="AF389" s="111"/>
      <c r="AG389" s="111"/>
      <c r="AH389" s="112"/>
      <c r="AI389" s="113"/>
      <c r="AK389" s="111"/>
      <c r="AL389" s="111"/>
      <c r="AM389" s="111"/>
      <c r="AN389" s="112"/>
      <c r="AO389" s="113"/>
      <c r="AQ389" s="17"/>
      <c r="AR389" s="17"/>
      <c r="AS389" s="17"/>
      <c r="AT389" s="18">
        <f t="shared" si="439"/>
        <v>0</v>
      </c>
      <c r="AU389" s="19">
        <f t="shared" si="440"/>
        <v>0</v>
      </c>
      <c r="AW389" s="17"/>
      <c r="AX389" s="17"/>
      <c r="AY389" s="17"/>
      <c r="AZ389" s="18">
        <f t="shared" si="441"/>
        <v>0</v>
      </c>
      <c r="BA389" s="19">
        <f t="shared" si="442"/>
        <v>0</v>
      </c>
    </row>
    <row r="390" spans="1:53" ht="17.100000000000001" customHeight="1" x14ac:dyDescent="0.25">
      <c r="A390" s="40"/>
      <c r="B390" s="40"/>
      <c r="C390" s="40"/>
      <c r="D390" s="74" t="s">
        <v>200</v>
      </c>
      <c r="E390" s="75" t="s">
        <v>468</v>
      </c>
      <c r="F390" s="75"/>
      <c r="G390" s="75"/>
      <c r="H390" s="540"/>
      <c r="I390" s="229"/>
      <c r="J390" s="111"/>
      <c r="K390" s="111"/>
      <c r="L390" s="111"/>
      <c r="M390" s="111"/>
      <c r="N390" s="60"/>
      <c r="O390" s="60"/>
      <c r="P390" s="17">
        <f t="shared" si="443"/>
        <v>0</v>
      </c>
      <c r="Q390" s="60"/>
      <c r="R390" s="60"/>
      <c r="S390" s="17">
        <f t="shared" si="444"/>
        <v>0</v>
      </c>
      <c r="T390" s="60"/>
      <c r="U390" s="60"/>
      <c r="V390" s="359">
        <f t="shared" si="445"/>
        <v>0</v>
      </c>
      <c r="W390" s="391">
        <f t="shared" si="435"/>
        <v>0</v>
      </c>
      <c r="X390" s="17">
        <f t="shared" si="436"/>
        <v>0</v>
      </c>
      <c r="Y390" s="18">
        <f t="shared" si="437"/>
        <v>0</v>
      </c>
      <c r="Z390" s="19">
        <f t="shared" si="438"/>
        <v>0</v>
      </c>
      <c r="AA390" s="19"/>
      <c r="AB390" s="19"/>
      <c r="AC390" s="20"/>
      <c r="AE390" s="111"/>
      <c r="AF390" s="111"/>
      <c r="AG390" s="111"/>
      <c r="AH390" s="112"/>
      <c r="AI390" s="113"/>
      <c r="AK390" s="111"/>
      <c r="AL390" s="111"/>
      <c r="AM390" s="111"/>
      <c r="AN390" s="112"/>
      <c r="AO390" s="113"/>
      <c r="AQ390" s="17"/>
      <c r="AR390" s="17"/>
      <c r="AS390" s="17"/>
      <c r="AT390" s="18">
        <f t="shared" si="439"/>
        <v>0</v>
      </c>
      <c r="AU390" s="19">
        <f t="shared" si="440"/>
        <v>0</v>
      </c>
      <c r="AW390" s="17"/>
      <c r="AX390" s="17"/>
      <c r="AY390" s="17"/>
      <c r="AZ390" s="18">
        <f t="shared" si="441"/>
        <v>0</v>
      </c>
      <c r="BA390" s="19">
        <f t="shared" si="442"/>
        <v>0</v>
      </c>
    </row>
    <row r="391" spans="1:53" ht="17.100000000000001" customHeight="1" x14ac:dyDescent="0.25">
      <c r="A391" s="40"/>
      <c r="B391" s="40"/>
      <c r="C391" s="40"/>
      <c r="D391" s="74" t="s">
        <v>201</v>
      </c>
      <c r="E391" s="75" t="s">
        <v>469</v>
      </c>
      <c r="F391" s="75"/>
      <c r="G391" s="75"/>
      <c r="H391" s="540"/>
      <c r="I391" s="229"/>
      <c r="J391" s="111"/>
      <c r="K391" s="111"/>
      <c r="L391" s="111"/>
      <c r="M391" s="111"/>
      <c r="N391" s="61"/>
      <c r="O391" s="61"/>
      <c r="P391" s="17">
        <f t="shared" si="443"/>
        <v>0</v>
      </c>
      <c r="Q391" s="61"/>
      <c r="R391" s="61"/>
      <c r="S391" s="17">
        <f t="shared" si="444"/>
        <v>0</v>
      </c>
      <c r="T391" s="61"/>
      <c r="U391" s="61"/>
      <c r="V391" s="359">
        <f t="shared" si="445"/>
        <v>0</v>
      </c>
      <c r="W391" s="391">
        <f t="shared" si="435"/>
        <v>0</v>
      </c>
      <c r="X391" s="17">
        <f t="shared" si="436"/>
        <v>0</v>
      </c>
      <c r="Y391" s="18">
        <f t="shared" si="437"/>
        <v>0</v>
      </c>
      <c r="Z391" s="19">
        <f t="shared" si="438"/>
        <v>0</v>
      </c>
      <c r="AA391" s="19"/>
      <c r="AB391" s="19"/>
      <c r="AC391" s="20"/>
      <c r="AE391" s="111"/>
      <c r="AF391" s="111"/>
      <c r="AG391" s="111"/>
      <c r="AH391" s="112"/>
      <c r="AI391" s="113"/>
      <c r="AK391" s="111"/>
      <c r="AL391" s="111"/>
      <c r="AM391" s="111"/>
      <c r="AN391" s="112"/>
      <c r="AO391" s="113"/>
      <c r="AQ391" s="17"/>
      <c r="AR391" s="17"/>
      <c r="AS391" s="17"/>
      <c r="AT391" s="18">
        <f t="shared" si="439"/>
        <v>0</v>
      </c>
      <c r="AU391" s="19">
        <f t="shared" si="440"/>
        <v>0</v>
      </c>
      <c r="AW391" s="17"/>
      <c r="AX391" s="17"/>
      <c r="AY391" s="17"/>
      <c r="AZ391" s="18">
        <f t="shared" si="441"/>
        <v>0</v>
      </c>
      <c r="BA391" s="19">
        <f t="shared" si="442"/>
        <v>0</v>
      </c>
    </row>
    <row r="392" spans="1:53" ht="17.100000000000001" customHeight="1" x14ac:dyDescent="0.25">
      <c r="A392" s="40"/>
      <c r="B392" s="40"/>
      <c r="C392" s="40"/>
      <c r="D392" s="74" t="s">
        <v>202</v>
      </c>
      <c r="E392" s="75" t="s">
        <v>750</v>
      </c>
      <c r="F392" s="75"/>
      <c r="G392" s="75"/>
      <c r="H392" s="540"/>
      <c r="I392" s="229"/>
      <c r="J392" s="111"/>
      <c r="K392" s="111"/>
      <c r="L392" s="111"/>
      <c r="M392" s="111"/>
      <c r="N392" s="60"/>
      <c r="O392" s="60"/>
      <c r="P392" s="17">
        <f t="shared" si="443"/>
        <v>0</v>
      </c>
      <c r="Q392" s="60"/>
      <c r="R392" s="60"/>
      <c r="S392" s="17">
        <f t="shared" si="444"/>
        <v>0</v>
      </c>
      <c r="T392" s="60"/>
      <c r="U392" s="60"/>
      <c r="V392" s="359">
        <f t="shared" si="445"/>
        <v>0</v>
      </c>
      <c r="W392" s="391">
        <f t="shared" si="435"/>
        <v>0</v>
      </c>
      <c r="X392" s="17">
        <f t="shared" si="436"/>
        <v>0</v>
      </c>
      <c r="Y392" s="18">
        <f t="shared" si="437"/>
        <v>0</v>
      </c>
      <c r="Z392" s="19">
        <f t="shared" si="438"/>
        <v>0</v>
      </c>
      <c r="AA392" s="19"/>
      <c r="AB392" s="19"/>
      <c r="AC392" s="20"/>
      <c r="AE392" s="111"/>
      <c r="AF392" s="111"/>
      <c r="AG392" s="111"/>
      <c r="AH392" s="112"/>
      <c r="AI392" s="113"/>
      <c r="AK392" s="111"/>
      <c r="AL392" s="111"/>
      <c r="AM392" s="111"/>
      <c r="AN392" s="112"/>
      <c r="AO392" s="113"/>
      <c r="AQ392" s="17"/>
      <c r="AR392" s="17"/>
      <c r="AS392" s="17"/>
      <c r="AT392" s="18">
        <f t="shared" si="439"/>
        <v>0</v>
      </c>
      <c r="AU392" s="19">
        <f t="shared" si="440"/>
        <v>0</v>
      </c>
      <c r="AW392" s="17"/>
      <c r="AX392" s="17"/>
      <c r="AY392" s="17"/>
      <c r="AZ392" s="18">
        <f t="shared" si="441"/>
        <v>0</v>
      </c>
      <c r="BA392" s="19">
        <f t="shared" si="442"/>
        <v>0</v>
      </c>
    </row>
    <row r="393" spans="1:53" ht="17.100000000000001" customHeight="1" x14ac:dyDescent="0.25">
      <c r="A393" s="40"/>
      <c r="B393" s="40"/>
      <c r="C393" s="40"/>
      <c r="D393" s="74" t="s">
        <v>203</v>
      </c>
      <c r="E393" s="75" t="s">
        <v>198</v>
      </c>
      <c r="F393" s="75"/>
      <c r="G393" s="75"/>
      <c r="H393" s="540"/>
      <c r="I393" s="229"/>
      <c r="J393" s="111"/>
      <c r="K393" s="111"/>
      <c r="L393" s="111"/>
      <c r="M393" s="111"/>
      <c r="N393" s="61"/>
      <c r="O393" s="61"/>
      <c r="P393" s="17">
        <f t="shared" si="443"/>
        <v>0</v>
      </c>
      <c r="Q393" s="61"/>
      <c r="R393" s="61"/>
      <c r="S393" s="17">
        <f t="shared" si="444"/>
        <v>0</v>
      </c>
      <c r="T393" s="61"/>
      <c r="U393" s="61"/>
      <c r="V393" s="359">
        <f t="shared" si="445"/>
        <v>0</v>
      </c>
      <c r="W393" s="391">
        <f t="shared" si="435"/>
        <v>0</v>
      </c>
      <c r="X393" s="17">
        <f t="shared" si="436"/>
        <v>0</v>
      </c>
      <c r="Y393" s="18">
        <f t="shared" si="437"/>
        <v>0</v>
      </c>
      <c r="Z393" s="19">
        <f t="shared" si="438"/>
        <v>0</v>
      </c>
      <c r="AA393" s="19"/>
      <c r="AB393" s="19"/>
      <c r="AC393" s="20"/>
      <c r="AE393" s="111"/>
      <c r="AF393" s="111"/>
      <c r="AG393" s="111"/>
      <c r="AH393" s="112"/>
      <c r="AI393" s="113"/>
      <c r="AK393" s="111"/>
      <c r="AL393" s="111"/>
      <c r="AM393" s="111"/>
      <c r="AN393" s="112"/>
      <c r="AO393" s="113"/>
      <c r="AQ393" s="17"/>
      <c r="AR393" s="17"/>
      <c r="AS393" s="17"/>
      <c r="AT393" s="18">
        <f t="shared" si="439"/>
        <v>0</v>
      </c>
      <c r="AU393" s="19">
        <f t="shared" si="440"/>
        <v>0</v>
      </c>
      <c r="AW393" s="17"/>
      <c r="AX393" s="17"/>
      <c r="AY393" s="17"/>
      <c r="AZ393" s="18">
        <f t="shared" si="441"/>
        <v>0</v>
      </c>
      <c r="BA393" s="19">
        <f t="shared" si="442"/>
        <v>0</v>
      </c>
    </row>
    <row r="394" spans="1:53" ht="17.100000000000001" customHeight="1" x14ac:dyDescent="0.25">
      <c r="A394" s="40"/>
      <c r="B394" s="40"/>
      <c r="C394" s="40"/>
      <c r="D394" s="74" t="s">
        <v>204</v>
      </c>
      <c r="E394" s="75" t="s">
        <v>470</v>
      </c>
      <c r="F394" s="75"/>
      <c r="G394" s="75"/>
      <c r="H394" s="540"/>
      <c r="I394" s="229"/>
      <c r="J394" s="111"/>
      <c r="K394" s="111"/>
      <c r="L394" s="111"/>
      <c r="M394" s="111"/>
      <c r="N394" s="60"/>
      <c r="O394" s="60"/>
      <c r="P394" s="17">
        <f t="shared" si="443"/>
        <v>0</v>
      </c>
      <c r="Q394" s="61"/>
      <c r="R394" s="61"/>
      <c r="S394" s="17">
        <f t="shared" si="444"/>
        <v>0</v>
      </c>
      <c r="T394" s="61"/>
      <c r="U394" s="61"/>
      <c r="V394" s="359">
        <f t="shared" si="445"/>
        <v>0</v>
      </c>
      <c r="W394" s="391">
        <f t="shared" si="435"/>
        <v>0</v>
      </c>
      <c r="X394" s="17">
        <f t="shared" si="436"/>
        <v>0</v>
      </c>
      <c r="Y394" s="18">
        <f t="shared" si="437"/>
        <v>0</v>
      </c>
      <c r="Z394" s="19">
        <f t="shared" si="438"/>
        <v>0</v>
      </c>
      <c r="AA394" s="19"/>
      <c r="AB394" s="19"/>
      <c r="AC394" s="20"/>
      <c r="AE394" s="111"/>
      <c r="AF394" s="111"/>
      <c r="AG394" s="111"/>
      <c r="AH394" s="112"/>
      <c r="AI394" s="113"/>
      <c r="AK394" s="111"/>
      <c r="AL394" s="111"/>
      <c r="AM394" s="111"/>
      <c r="AN394" s="112"/>
      <c r="AO394" s="113"/>
      <c r="AQ394" s="17"/>
      <c r="AR394" s="17"/>
      <c r="AS394" s="17"/>
      <c r="AT394" s="18">
        <f t="shared" si="439"/>
        <v>0</v>
      </c>
      <c r="AU394" s="19">
        <f t="shared" si="440"/>
        <v>0</v>
      </c>
      <c r="AW394" s="17"/>
      <c r="AX394" s="17"/>
      <c r="AY394" s="17"/>
      <c r="AZ394" s="18">
        <f t="shared" si="441"/>
        <v>0</v>
      </c>
      <c r="BA394" s="19">
        <f t="shared" si="442"/>
        <v>0</v>
      </c>
    </row>
    <row r="395" spans="1:53" ht="17.100000000000001" customHeight="1" x14ac:dyDescent="0.25">
      <c r="A395" s="40"/>
      <c r="B395" s="40"/>
      <c r="C395" s="40"/>
      <c r="D395" s="74" t="s">
        <v>748</v>
      </c>
      <c r="E395" s="75" t="s">
        <v>205</v>
      </c>
      <c r="F395" s="75"/>
      <c r="G395" s="75"/>
      <c r="H395" s="540"/>
      <c r="I395" s="229"/>
      <c r="J395" s="111"/>
      <c r="K395" s="111"/>
      <c r="L395" s="111"/>
      <c r="M395" s="111"/>
      <c r="N395" s="111">
        <f>SUM(N396:N399)</f>
        <v>0</v>
      </c>
      <c r="O395" s="111">
        <f>SUM(O396:O399)</f>
        <v>0</v>
      </c>
      <c r="P395" s="111">
        <f t="shared" si="443"/>
        <v>0</v>
      </c>
      <c r="Q395" s="111">
        <f>SUM(Q396:Q399)</f>
        <v>0</v>
      </c>
      <c r="R395" s="111">
        <f>SUM(R396:R399)</f>
        <v>0</v>
      </c>
      <c r="S395" s="111">
        <f t="shared" si="444"/>
        <v>0</v>
      </c>
      <c r="T395" s="111">
        <f>SUM(T396:T399)</f>
        <v>0</v>
      </c>
      <c r="U395" s="111">
        <f>SUM(U396:U399)</f>
        <v>0</v>
      </c>
      <c r="V395" s="358">
        <f t="shared" si="445"/>
        <v>0</v>
      </c>
      <c r="W395" s="380">
        <f t="shared" si="435"/>
        <v>0</v>
      </c>
      <c r="X395" s="111">
        <f t="shared" si="436"/>
        <v>0</v>
      </c>
      <c r="Y395" s="545">
        <f t="shared" si="437"/>
        <v>0</v>
      </c>
      <c r="Z395" s="131">
        <f t="shared" si="438"/>
        <v>0</v>
      </c>
      <c r="AA395" s="131"/>
      <c r="AB395" s="131"/>
      <c r="AC395" s="113"/>
      <c r="AE395" s="111"/>
      <c r="AF395" s="111"/>
      <c r="AG395" s="111"/>
      <c r="AH395" s="545"/>
      <c r="AI395" s="131"/>
      <c r="AK395" s="111"/>
      <c r="AL395" s="111"/>
      <c r="AM395" s="111"/>
      <c r="AN395" s="545"/>
      <c r="AO395" s="131"/>
      <c r="AQ395" s="111"/>
      <c r="AR395" s="111"/>
      <c r="AS395" s="111"/>
      <c r="AT395" s="545">
        <f t="shared" si="439"/>
        <v>0</v>
      </c>
      <c r="AU395" s="131">
        <f t="shared" si="440"/>
        <v>0</v>
      </c>
      <c r="AW395" s="111"/>
      <c r="AX395" s="111"/>
      <c r="AY395" s="111"/>
      <c r="AZ395" s="545">
        <f t="shared" si="441"/>
        <v>0</v>
      </c>
      <c r="BA395" s="131">
        <f t="shared" si="442"/>
        <v>0</v>
      </c>
    </row>
    <row r="396" spans="1:53" ht="17.100000000000001" customHeight="1" x14ac:dyDescent="0.25">
      <c r="A396" s="40"/>
      <c r="B396" s="40"/>
      <c r="C396" s="40"/>
      <c r="D396" s="74"/>
      <c r="E396" s="168"/>
      <c r="F396" s="169"/>
      <c r="G396" s="169"/>
      <c r="H396" s="17"/>
      <c r="I396" s="594"/>
      <c r="J396" s="111"/>
      <c r="K396" s="111"/>
      <c r="L396" s="111"/>
      <c r="M396" s="111"/>
      <c r="N396" s="60"/>
      <c r="O396" s="60"/>
      <c r="P396" s="17"/>
      <c r="Q396" s="60"/>
      <c r="R396" s="60"/>
      <c r="S396" s="17"/>
      <c r="T396" s="60"/>
      <c r="U396" s="60"/>
      <c r="V396" s="359"/>
      <c r="W396" s="391"/>
      <c r="X396" s="17"/>
      <c r="Y396" s="539"/>
      <c r="Z396" s="17"/>
      <c r="AA396" s="17"/>
      <c r="AB396" s="17"/>
      <c r="AC396" s="17"/>
      <c r="AE396" s="111"/>
      <c r="AF396" s="111"/>
      <c r="AG396" s="111"/>
      <c r="AH396" s="112"/>
      <c r="AI396" s="113"/>
      <c r="AK396" s="111"/>
      <c r="AL396" s="111"/>
      <c r="AM396" s="111"/>
      <c r="AN396" s="112"/>
      <c r="AO396" s="113"/>
      <c r="AQ396" s="17"/>
      <c r="AR396" s="17"/>
      <c r="AS396" s="17"/>
      <c r="AT396" s="18"/>
      <c r="AU396" s="91"/>
      <c r="AW396" s="17"/>
      <c r="AX396" s="17"/>
      <c r="AY396" s="17"/>
      <c r="AZ396" s="18"/>
      <c r="BA396" s="91"/>
    </row>
    <row r="397" spans="1:53" ht="17.100000000000001" customHeight="1" x14ac:dyDescent="0.25">
      <c r="A397" s="40"/>
      <c r="B397" s="40"/>
      <c r="C397" s="40"/>
      <c r="D397" s="74"/>
      <c r="E397" s="170"/>
      <c r="F397" s="171"/>
      <c r="G397" s="171"/>
      <c r="H397" s="17"/>
      <c r="I397" s="594"/>
      <c r="J397" s="111"/>
      <c r="K397" s="111"/>
      <c r="L397" s="111"/>
      <c r="M397" s="111"/>
      <c r="N397" s="61"/>
      <c r="O397" s="61"/>
      <c r="P397" s="17"/>
      <c r="Q397" s="61"/>
      <c r="R397" s="61"/>
      <c r="S397" s="17"/>
      <c r="T397" s="61"/>
      <c r="U397" s="61"/>
      <c r="V397" s="359"/>
      <c r="W397" s="391"/>
      <c r="X397" s="17"/>
      <c r="Y397" s="539"/>
      <c r="Z397" s="17"/>
      <c r="AA397" s="17"/>
      <c r="AB397" s="17"/>
      <c r="AC397" s="17"/>
      <c r="AE397" s="111"/>
      <c r="AF397" s="111"/>
      <c r="AG397" s="111"/>
      <c r="AH397" s="112"/>
      <c r="AI397" s="113"/>
      <c r="AK397" s="111"/>
      <c r="AL397" s="111"/>
      <c r="AM397" s="111"/>
      <c r="AN397" s="112"/>
      <c r="AO397" s="113"/>
      <c r="AQ397" s="17"/>
      <c r="AR397" s="17"/>
      <c r="AS397" s="17"/>
      <c r="AT397" s="18"/>
      <c r="AU397" s="91"/>
      <c r="AW397" s="17"/>
      <c r="AX397" s="17"/>
      <c r="AY397" s="17"/>
      <c r="AZ397" s="18"/>
      <c r="BA397" s="91"/>
    </row>
    <row r="398" spans="1:53" ht="17.100000000000001" customHeight="1" x14ac:dyDescent="0.25">
      <c r="A398" s="40"/>
      <c r="B398" s="40"/>
      <c r="C398" s="40"/>
      <c r="D398" s="74"/>
      <c r="E398" s="168"/>
      <c r="F398" s="169"/>
      <c r="G398" s="169"/>
      <c r="H398" s="17"/>
      <c r="I398" s="594"/>
      <c r="J398" s="111"/>
      <c r="K398" s="111"/>
      <c r="L398" s="111"/>
      <c r="M398" s="111"/>
      <c r="N398" s="60"/>
      <c r="O398" s="60"/>
      <c r="P398" s="17"/>
      <c r="Q398" s="60"/>
      <c r="R398" s="60"/>
      <c r="S398" s="17"/>
      <c r="T398" s="60"/>
      <c r="U398" s="60"/>
      <c r="V398" s="359"/>
      <c r="W398" s="391"/>
      <c r="X398" s="17"/>
      <c r="Y398" s="539"/>
      <c r="Z398" s="17"/>
      <c r="AA398" s="17"/>
      <c r="AB398" s="17"/>
      <c r="AC398" s="17"/>
      <c r="AE398" s="111"/>
      <c r="AF398" s="111"/>
      <c r="AG398" s="111"/>
      <c r="AH398" s="112"/>
      <c r="AI398" s="113"/>
      <c r="AK398" s="111"/>
      <c r="AL398" s="111"/>
      <c r="AM398" s="111"/>
      <c r="AN398" s="112"/>
      <c r="AO398" s="113"/>
      <c r="AQ398" s="17"/>
      <c r="AR398" s="17"/>
      <c r="AS398" s="17"/>
      <c r="AT398" s="18"/>
      <c r="AU398" s="91"/>
      <c r="AW398" s="17"/>
      <c r="AX398" s="17"/>
      <c r="AY398" s="17"/>
      <c r="AZ398" s="18"/>
      <c r="BA398" s="91"/>
    </row>
    <row r="399" spans="1:53" ht="17.100000000000001" customHeight="1" x14ac:dyDescent="0.25">
      <c r="A399" s="40"/>
      <c r="B399" s="40"/>
      <c r="C399" s="40"/>
      <c r="D399" s="74"/>
      <c r="E399" s="170"/>
      <c r="F399" s="171"/>
      <c r="G399" s="171"/>
      <c r="H399" s="17"/>
      <c r="I399" s="594"/>
      <c r="J399" s="111"/>
      <c r="K399" s="111"/>
      <c r="L399" s="111"/>
      <c r="M399" s="111"/>
      <c r="N399" s="61"/>
      <c r="O399" s="61"/>
      <c r="P399" s="17"/>
      <c r="Q399" s="61"/>
      <c r="R399" s="61"/>
      <c r="S399" s="17"/>
      <c r="T399" s="61"/>
      <c r="U399" s="61"/>
      <c r="V399" s="359"/>
      <c r="W399" s="391"/>
      <c r="X399" s="17"/>
      <c r="Y399" s="539"/>
      <c r="Z399" s="17"/>
      <c r="AA399" s="17"/>
      <c r="AB399" s="17"/>
      <c r="AC399" s="17"/>
      <c r="AE399" s="111"/>
      <c r="AF399" s="111"/>
      <c r="AG399" s="111"/>
      <c r="AH399" s="112"/>
      <c r="AI399" s="113"/>
      <c r="AK399" s="111"/>
      <c r="AL399" s="111"/>
      <c r="AM399" s="111"/>
      <c r="AN399" s="112"/>
      <c r="AO399" s="113"/>
      <c r="AQ399" s="17"/>
      <c r="AR399" s="17"/>
      <c r="AS399" s="17"/>
      <c r="AT399" s="18"/>
      <c r="AU399" s="91"/>
      <c r="AW399" s="17"/>
      <c r="AX399" s="17"/>
      <c r="AY399" s="17"/>
      <c r="AZ399" s="18"/>
      <c r="BA399" s="91"/>
    </row>
    <row r="400" spans="1:53" ht="17.100000000000001" customHeight="1" x14ac:dyDescent="0.25">
      <c r="A400" s="40"/>
      <c r="B400" s="40"/>
      <c r="C400" s="77"/>
      <c r="D400" s="134"/>
      <c r="E400" s="134"/>
      <c r="F400" s="134"/>
      <c r="G400" s="134"/>
      <c r="H400" s="540"/>
      <c r="I400" s="229"/>
      <c r="J400" s="64"/>
      <c r="K400" s="64"/>
      <c r="L400" s="81"/>
      <c r="M400" s="81"/>
      <c r="N400" s="81">
        <f t="shared" ref="N400:V400" si="446">SUM(N382:N395)</f>
        <v>0</v>
      </c>
      <c r="O400" s="81">
        <f t="shared" si="446"/>
        <v>0</v>
      </c>
      <c r="P400" s="81">
        <f t="shared" si="446"/>
        <v>0</v>
      </c>
      <c r="Q400" s="81">
        <f t="shared" si="446"/>
        <v>0</v>
      </c>
      <c r="R400" s="81">
        <f t="shared" si="446"/>
        <v>0</v>
      </c>
      <c r="S400" s="81">
        <f t="shared" si="446"/>
        <v>0</v>
      </c>
      <c r="T400" s="81">
        <f t="shared" si="446"/>
        <v>0</v>
      </c>
      <c r="U400" s="81">
        <f t="shared" si="446"/>
        <v>0</v>
      </c>
      <c r="V400" s="81">
        <f t="shared" si="446"/>
        <v>0</v>
      </c>
      <c r="W400" s="381">
        <f>SUM(W382:W395)</f>
        <v>0</v>
      </c>
      <c r="X400" s="82">
        <f t="shared" ref="X400:Y400" si="447">SUM(X382:X395)</f>
        <v>0</v>
      </c>
      <c r="Y400" s="82">
        <f t="shared" si="447"/>
        <v>0</v>
      </c>
      <c r="Z400" s="205">
        <f t="shared" ref="Z400" si="448">IF(Y$400=0,0,Y400/Y$400)</f>
        <v>0</v>
      </c>
      <c r="AA400" s="205"/>
      <c r="AB400" s="205"/>
      <c r="AC400" s="83"/>
      <c r="AE400" s="80"/>
      <c r="AF400" s="80"/>
      <c r="AG400" s="81"/>
      <c r="AH400" s="82"/>
      <c r="AI400" s="66"/>
      <c r="AK400" s="80"/>
      <c r="AL400" s="80"/>
      <c r="AM400" s="81"/>
      <c r="AN400" s="82"/>
      <c r="AO400" s="66"/>
      <c r="AQ400" s="80"/>
      <c r="AR400" s="80"/>
      <c r="AS400" s="81"/>
      <c r="AT400" s="82">
        <f t="shared" ref="AT400" si="449">SUM(AT382:AT395)</f>
        <v>0</v>
      </c>
      <c r="AU400" s="66">
        <f>IF(AT$400=0,0,AT400/AT$400)</f>
        <v>0</v>
      </c>
      <c r="AW400" s="80"/>
      <c r="AX400" s="80"/>
      <c r="AY400" s="81"/>
      <c r="AZ400" s="82">
        <f t="shared" ref="AZ400" si="450">SUM(AZ382:AZ395)</f>
        <v>0</v>
      </c>
      <c r="BA400" s="66">
        <f>IF(AZ$400=0,0,AZ400/AZ$400)</f>
        <v>0</v>
      </c>
    </row>
    <row r="401" spans="1:53" ht="17.100000000000001" customHeight="1" x14ac:dyDescent="0.25">
      <c r="A401" s="175"/>
      <c r="B401" s="48" t="s">
        <v>206</v>
      </c>
      <c r="C401" s="49" t="s">
        <v>473</v>
      </c>
      <c r="D401" s="176"/>
      <c r="E401" s="43"/>
      <c r="F401" s="43"/>
      <c r="G401" s="43"/>
      <c r="H401" s="540"/>
      <c r="I401" s="12"/>
      <c r="J401" s="88"/>
      <c r="K401" s="88"/>
      <c r="L401" s="71"/>
      <c r="M401" s="71"/>
      <c r="N401" s="71"/>
      <c r="O401" s="71"/>
      <c r="P401" s="71"/>
      <c r="Q401" s="71"/>
      <c r="R401" s="71"/>
      <c r="S401" s="71"/>
      <c r="T401" s="71"/>
      <c r="U401" s="71"/>
      <c r="V401" s="355"/>
      <c r="W401" s="377"/>
      <c r="X401" s="71"/>
      <c r="Y401" s="89"/>
      <c r="Z401" s="90"/>
      <c r="AA401" s="90"/>
      <c r="AB401" s="90"/>
      <c r="AC401" s="73"/>
      <c r="AE401" s="87"/>
      <c r="AF401" s="87"/>
      <c r="AG401" s="71"/>
      <c r="AH401" s="89"/>
      <c r="AI401" s="90"/>
      <c r="AK401" s="87"/>
      <c r="AL401" s="87"/>
      <c r="AM401" s="71"/>
      <c r="AN401" s="89"/>
      <c r="AO401" s="90"/>
      <c r="AQ401" s="87"/>
      <c r="AR401" s="87"/>
      <c r="AS401" s="71"/>
      <c r="AT401" s="89"/>
      <c r="AU401" s="90"/>
      <c r="AW401" s="87"/>
      <c r="AX401" s="87"/>
      <c r="AY401" s="71"/>
      <c r="AZ401" s="89"/>
      <c r="BA401" s="90"/>
    </row>
    <row r="402" spans="1:53" ht="17.100000000000001" customHeight="1" x14ac:dyDescent="0.25">
      <c r="A402" s="175"/>
      <c r="B402" s="177"/>
      <c r="C402" s="56" t="s">
        <v>207</v>
      </c>
      <c r="D402" s="57" t="s">
        <v>173</v>
      </c>
      <c r="E402" s="75"/>
      <c r="F402" s="75"/>
      <c r="G402" s="75"/>
      <c r="H402" s="540"/>
      <c r="I402" s="12"/>
      <c r="J402" s="111"/>
      <c r="K402" s="111"/>
      <c r="L402" s="111"/>
      <c r="M402" s="111"/>
      <c r="N402" s="60"/>
      <c r="O402" s="60"/>
      <c r="P402" s="17">
        <f t="shared" ref="P402:P406" si="451">SUM(N402:O402)</f>
        <v>0</v>
      </c>
      <c r="Q402" s="60"/>
      <c r="R402" s="60"/>
      <c r="S402" s="17">
        <f t="shared" ref="S402:S406" si="452">SUM(Q402:R402)</f>
        <v>0</v>
      </c>
      <c r="T402" s="60"/>
      <c r="U402" s="60"/>
      <c r="V402" s="359">
        <f t="shared" ref="V402:V406" si="453">SUM(T402:U402)</f>
        <v>0</v>
      </c>
      <c r="W402" s="391">
        <f t="shared" ref="W402:W406" si="454">J402+K402+N402+Q402+T402</f>
        <v>0</v>
      </c>
      <c r="X402" s="17">
        <f t="shared" ref="X402:X406" si="455">L402+O402+R402+U402</f>
        <v>0</v>
      </c>
      <c r="Y402" s="18">
        <f>SUM(W402:X402)</f>
        <v>0</v>
      </c>
      <c r="Z402" s="19">
        <f>IF(Y$407=0,0,Y402/Y$407)</f>
        <v>0</v>
      </c>
      <c r="AA402" s="19"/>
      <c r="AB402" s="19"/>
      <c r="AC402" s="84"/>
      <c r="AE402" s="111"/>
      <c r="AF402" s="111"/>
      <c r="AG402" s="111"/>
      <c r="AH402" s="112"/>
      <c r="AI402" s="113"/>
      <c r="AK402" s="111"/>
      <c r="AL402" s="111"/>
      <c r="AM402" s="111"/>
      <c r="AN402" s="112"/>
      <c r="AO402" s="113"/>
      <c r="AQ402" s="17"/>
      <c r="AR402" s="17"/>
      <c r="AS402" s="17"/>
      <c r="AT402" s="18">
        <f t="shared" ref="AT402:AT406" si="456">W402</f>
        <v>0</v>
      </c>
      <c r="AU402" s="19">
        <f t="shared" ref="AU402:AU407" si="457">IF(AT$407=0,0,AT402/AT$407)</f>
        <v>0</v>
      </c>
      <c r="AW402" s="17"/>
      <c r="AX402" s="17"/>
      <c r="AY402" s="17"/>
      <c r="AZ402" s="18">
        <f t="shared" ref="AZ402:AZ406" si="458">X402</f>
        <v>0</v>
      </c>
      <c r="BA402" s="19">
        <f t="shared" ref="BA402:BA407" si="459">IF(AZ$407=0,0,AZ402/AZ$407)</f>
        <v>0</v>
      </c>
    </row>
    <row r="403" spans="1:53" ht="17.100000000000001" customHeight="1" x14ac:dyDescent="0.25">
      <c r="A403" s="175"/>
      <c r="B403" s="177"/>
      <c r="C403" s="56" t="s">
        <v>208</v>
      </c>
      <c r="D403" s="57" t="s">
        <v>209</v>
      </c>
      <c r="E403" s="75"/>
      <c r="F403" s="75"/>
      <c r="G403" s="75"/>
      <c r="H403" s="540"/>
      <c r="I403" s="12"/>
      <c r="J403" s="111"/>
      <c r="K403" s="111"/>
      <c r="L403" s="111"/>
      <c r="M403" s="111"/>
      <c r="N403" s="61"/>
      <c r="O403" s="61"/>
      <c r="P403" s="17">
        <f t="shared" si="451"/>
        <v>0</v>
      </c>
      <c r="Q403" s="61"/>
      <c r="R403" s="61"/>
      <c r="S403" s="17">
        <f t="shared" si="452"/>
        <v>0</v>
      </c>
      <c r="T403" s="61"/>
      <c r="U403" s="61"/>
      <c r="V403" s="359">
        <f t="shared" si="453"/>
        <v>0</v>
      </c>
      <c r="W403" s="391">
        <f t="shared" si="454"/>
        <v>0</v>
      </c>
      <c r="X403" s="17">
        <f t="shared" si="455"/>
        <v>0</v>
      </c>
      <c r="Y403" s="18">
        <f>SUM(W403:X403)</f>
        <v>0</v>
      </c>
      <c r="Z403" s="19">
        <f t="shared" ref="Z403:Z406" si="460">IF(Y$407=0,0,Y403/Y$407)</f>
        <v>0</v>
      </c>
      <c r="AA403" s="19"/>
      <c r="AB403" s="19"/>
      <c r="AC403" s="84"/>
      <c r="AE403" s="111"/>
      <c r="AF403" s="111"/>
      <c r="AG403" s="111"/>
      <c r="AH403" s="112"/>
      <c r="AI403" s="113"/>
      <c r="AK403" s="111"/>
      <c r="AL403" s="111"/>
      <c r="AM403" s="111"/>
      <c r="AN403" s="112"/>
      <c r="AO403" s="113"/>
      <c r="AQ403" s="17"/>
      <c r="AR403" s="17"/>
      <c r="AS403" s="17"/>
      <c r="AT403" s="18">
        <f t="shared" si="456"/>
        <v>0</v>
      </c>
      <c r="AU403" s="19">
        <f t="shared" si="457"/>
        <v>0</v>
      </c>
      <c r="AW403" s="17"/>
      <c r="AX403" s="17"/>
      <c r="AY403" s="17"/>
      <c r="AZ403" s="18">
        <f t="shared" si="458"/>
        <v>0</v>
      </c>
      <c r="BA403" s="19">
        <f t="shared" si="459"/>
        <v>0</v>
      </c>
    </row>
    <row r="404" spans="1:53" ht="17.100000000000001" customHeight="1" x14ac:dyDescent="0.25">
      <c r="A404" s="175"/>
      <c r="B404" s="177"/>
      <c r="C404" s="56" t="s">
        <v>210</v>
      </c>
      <c r="D404" s="57" t="s">
        <v>211</v>
      </c>
      <c r="E404" s="75"/>
      <c r="F404" s="75"/>
      <c r="G404" s="75"/>
      <c r="H404" s="540"/>
      <c r="I404" s="12"/>
      <c r="J404" s="111"/>
      <c r="K404" s="111"/>
      <c r="L404" s="111"/>
      <c r="M404" s="111"/>
      <c r="N404" s="60"/>
      <c r="O404" s="60"/>
      <c r="P404" s="17">
        <f t="shared" si="451"/>
        <v>0</v>
      </c>
      <c r="Q404" s="60"/>
      <c r="R404" s="60"/>
      <c r="S404" s="17">
        <f t="shared" si="452"/>
        <v>0</v>
      </c>
      <c r="T404" s="60"/>
      <c r="U404" s="60"/>
      <c r="V404" s="359">
        <f t="shared" si="453"/>
        <v>0</v>
      </c>
      <c r="W404" s="391">
        <f t="shared" si="454"/>
        <v>0</v>
      </c>
      <c r="X404" s="17">
        <f t="shared" si="455"/>
        <v>0</v>
      </c>
      <c r="Y404" s="18">
        <f>SUM(W404:X404)</f>
        <v>0</v>
      </c>
      <c r="Z404" s="19">
        <f t="shared" si="460"/>
        <v>0</v>
      </c>
      <c r="AA404" s="19"/>
      <c r="AB404" s="19"/>
      <c r="AC404" s="84"/>
      <c r="AE404" s="111"/>
      <c r="AF404" s="111"/>
      <c r="AG404" s="111"/>
      <c r="AH404" s="112"/>
      <c r="AI404" s="113"/>
      <c r="AK404" s="111"/>
      <c r="AL404" s="111"/>
      <c r="AM404" s="111"/>
      <c r="AN404" s="112"/>
      <c r="AO404" s="113"/>
      <c r="AQ404" s="17"/>
      <c r="AR404" s="17"/>
      <c r="AS404" s="17"/>
      <c r="AT404" s="18">
        <f t="shared" si="456"/>
        <v>0</v>
      </c>
      <c r="AU404" s="19">
        <f t="shared" si="457"/>
        <v>0</v>
      </c>
      <c r="AW404" s="17"/>
      <c r="AX404" s="17"/>
      <c r="AY404" s="17"/>
      <c r="AZ404" s="18">
        <f t="shared" si="458"/>
        <v>0</v>
      </c>
      <c r="BA404" s="19">
        <f t="shared" si="459"/>
        <v>0</v>
      </c>
    </row>
    <row r="405" spans="1:53" ht="17.100000000000001" customHeight="1" x14ac:dyDescent="0.25">
      <c r="A405" s="175"/>
      <c r="B405" s="177"/>
      <c r="C405" s="56" t="s">
        <v>212</v>
      </c>
      <c r="D405" s="57" t="s">
        <v>213</v>
      </c>
      <c r="E405" s="75"/>
      <c r="F405" s="75"/>
      <c r="G405" s="75"/>
      <c r="H405" s="540"/>
      <c r="I405" s="12"/>
      <c r="J405" s="111"/>
      <c r="K405" s="111"/>
      <c r="L405" s="111"/>
      <c r="M405" s="111"/>
      <c r="N405" s="61"/>
      <c r="O405" s="61"/>
      <c r="P405" s="17">
        <f t="shared" si="451"/>
        <v>0</v>
      </c>
      <c r="Q405" s="61"/>
      <c r="R405" s="61"/>
      <c r="S405" s="17">
        <f t="shared" si="452"/>
        <v>0</v>
      </c>
      <c r="T405" s="61"/>
      <c r="U405" s="61"/>
      <c r="V405" s="359">
        <f t="shared" si="453"/>
        <v>0</v>
      </c>
      <c r="W405" s="391">
        <f t="shared" si="454"/>
        <v>0</v>
      </c>
      <c r="X405" s="17">
        <f t="shared" si="455"/>
        <v>0</v>
      </c>
      <c r="Y405" s="18">
        <f>SUM(W405:X405)</f>
        <v>0</v>
      </c>
      <c r="Z405" s="19">
        <f t="shared" si="460"/>
        <v>0</v>
      </c>
      <c r="AA405" s="19"/>
      <c r="AB405" s="19"/>
      <c r="AC405" s="84"/>
      <c r="AE405" s="111"/>
      <c r="AF405" s="111"/>
      <c r="AG405" s="111"/>
      <c r="AH405" s="112"/>
      <c r="AI405" s="113"/>
      <c r="AK405" s="111"/>
      <c r="AL405" s="111"/>
      <c r="AM405" s="111"/>
      <c r="AN405" s="112"/>
      <c r="AO405" s="113"/>
      <c r="AQ405" s="17"/>
      <c r="AR405" s="17"/>
      <c r="AS405" s="17"/>
      <c r="AT405" s="18">
        <f t="shared" si="456"/>
        <v>0</v>
      </c>
      <c r="AU405" s="19">
        <f t="shared" si="457"/>
        <v>0</v>
      </c>
      <c r="AW405" s="17"/>
      <c r="AX405" s="17"/>
      <c r="AY405" s="17"/>
      <c r="AZ405" s="18">
        <f t="shared" si="458"/>
        <v>0</v>
      </c>
      <c r="BA405" s="19">
        <f t="shared" si="459"/>
        <v>0</v>
      </c>
    </row>
    <row r="406" spans="1:53" ht="17.100000000000001" customHeight="1" x14ac:dyDescent="0.25">
      <c r="A406" s="175"/>
      <c r="B406" s="177"/>
      <c r="C406" s="56" t="s">
        <v>214</v>
      </c>
      <c r="D406" s="147" t="s">
        <v>129</v>
      </c>
      <c r="E406" s="75"/>
      <c r="F406" s="75"/>
      <c r="G406" s="75"/>
      <c r="H406" s="540"/>
      <c r="I406" s="12"/>
      <c r="J406" s="111"/>
      <c r="K406" s="111"/>
      <c r="L406" s="111"/>
      <c r="M406" s="111"/>
      <c r="N406" s="60"/>
      <c r="O406" s="60"/>
      <c r="P406" s="17">
        <f t="shared" si="451"/>
        <v>0</v>
      </c>
      <c r="Q406" s="60"/>
      <c r="R406" s="60"/>
      <c r="S406" s="17">
        <f t="shared" si="452"/>
        <v>0</v>
      </c>
      <c r="T406" s="60"/>
      <c r="U406" s="60"/>
      <c r="V406" s="359">
        <f t="shared" si="453"/>
        <v>0</v>
      </c>
      <c r="W406" s="391">
        <f t="shared" si="454"/>
        <v>0</v>
      </c>
      <c r="X406" s="17">
        <f t="shared" si="455"/>
        <v>0</v>
      </c>
      <c r="Y406" s="18">
        <f>SUM(W406:X406)</f>
        <v>0</v>
      </c>
      <c r="Z406" s="19">
        <f t="shared" si="460"/>
        <v>0</v>
      </c>
      <c r="AA406" s="19"/>
      <c r="AB406" s="19"/>
      <c r="AC406" s="84"/>
      <c r="AE406" s="111"/>
      <c r="AF406" s="111"/>
      <c r="AG406" s="111"/>
      <c r="AH406" s="112"/>
      <c r="AI406" s="113"/>
      <c r="AK406" s="111"/>
      <c r="AL406" s="111"/>
      <c r="AM406" s="111"/>
      <c r="AN406" s="112"/>
      <c r="AO406" s="113"/>
      <c r="AQ406" s="17"/>
      <c r="AR406" s="17"/>
      <c r="AS406" s="17"/>
      <c r="AT406" s="18">
        <f t="shared" si="456"/>
        <v>0</v>
      </c>
      <c r="AU406" s="19">
        <f t="shared" si="457"/>
        <v>0</v>
      </c>
      <c r="AW406" s="17"/>
      <c r="AX406" s="17"/>
      <c r="AY406" s="17"/>
      <c r="AZ406" s="18">
        <f t="shared" si="458"/>
        <v>0</v>
      </c>
      <c r="BA406" s="19">
        <f t="shared" si="459"/>
        <v>0</v>
      </c>
    </row>
    <row r="407" spans="1:53" ht="17.100000000000001" customHeight="1" x14ac:dyDescent="0.25">
      <c r="A407" s="175"/>
      <c r="B407" s="40"/>
      <c r="C407" s="77"/>
      <c r="D407" s="134"/>
      <c r="E407" s="134"/>
      <c r="F407" s="134"/>
      <c r="G407" s="134"/>
      <c r="H407" s="540"/>
      <c r="I407" s="12"/>
      <c r="J407" s="64"/>
      <c r="K407" s="64"/>
      <c r="L407" s="64"/>
      <c r="M407" s="64"/>
      <c r="N407" s="64">
        <f>SUM(N402:N406)</f>
        <v>0</v>
      </c>
      <c r="O407" s="64">
        <f t="shared" ref="O407:V407" si="461">SUM(O402:O406)</f>
        <v>0</v>
      </c>
      <c r="P407" s="64">
        <f t="shared" si="461"/>
        <v>0</v>
      </c>
      <c r="Q407" s="64">
        <f t="shared" si="461"/>
        <v>0</v>
      </c>
      <c r="R407" s="64">
        <f t="shared" si="461"/>
        <v>0</v>
      </c>
      <c r="S407" s="64">
        <f t="shared" si="461"/>
        <v>0</v>
      </c>
      <c r="T407" s="64">
        <f t="shared" si="461"/>
        <v>0</v>
      </c>
      <c r="U407" s="64">
        <f t="shared" si="461"/>
        <v>0</v>
      </c>
      <c r="V407" s="64">
        <f t="shared" si="461"/>
        <v>0</v>
      </c>
      <c r="W407" s="390">
        <f>SUM(W402:W406)</f>
        <v>0</v>
      </c>
      <c r="X407" s="224">
        <f t="shared" ref="X407:Y407" si="462">SUM(X402:X406)</f>
        <v>0</v>
      </c>
      <c r="Y407" s="224">
        <f t="shared" si="462"/>
        <v>0</v>
      </c>
      <c r="Z407" s="66">
        <f>IF(Y$407=0,0,Y407/Y$407)</f>
        <v>0</v>
      </c>
      <c r="AA407" s="66"/>
      <c r="AB407" s="66"/>
      <c r="AC407" s="83"/>
      <c r="AE407" s="80"/>
      <c r="AF407" s="80"/>
      <c r="AG407" s="81"/>
      <c r="AH407" s="82"/>
      <c r="AI407" s="66"/>
      <c r="AK407" s="80"/>
      <c r="AL407" s="80"/>
      <c r="AM407" s="81"/>
      <c r="AN407" s="82"/>
      <c r="AO407" s="66"/>
      <c r="AQ407" s="80"/>
      <c r="AR407" s="80"/>
      <c r="AS407" s="81"/>
      <c r="AT407" s="82">
        <f>SUM(AT402:AT406)</f>
        <v>0</v>
      </c>
      <c r="AU407" s="66">
        <f t="shared" si="457"/>
        <v>0</v>
      </c>
      <c r="AW407" s="80"/>
      <c r="AX407" s="80"/>
      <c r="AY407" s="81"/>
      <c r="AZ407" s="82">
        <f>SUM(AZ402:AZ406)</f>
        <v>0</v>
      </c>
      <c r="BA407" s="66">
        <f t="shared" si="459"/>
        <v>0</v>
      </c>
    </row>
    <row r="408" spans="1:53" s="117" customFormat="1" ht="17.100000000000001" customHeight="1" x14ac:dyDescent="0.25">
      <c r="A408" s="68"/>
      <c r="B408" s="119"/>
      <c r="C408" s="540"/>
      <c r="D408" s="261"/>
      <c r="E408" s="261"/>
      <c r="F408" s="68"/>
      <c r="G408" s="68"/>
      <c r="H408" s="119"/>
      <c r="I408" s="138"/>
      <c r="J408" s="17"/>
      <c r="K408" s="17"/>
      <c r="L408" s="17"/>
      <c r="M408" s="17"/>
      <c r="N408" s="17" t="str">
        <f>IF(N407=N$20,"OK","NOK")</f>
        <v>OK</v>
      </c>
      <c r="O408" s="17" t="str">
        <f>IF(O407=O$20,"OK","NOK")</f>
        <v>OK</v>
      </c>
      <c r="P408" s="17"/>
      <c r="Q408" s="17" t="str">
        <f>IF(Q407=Q$20,"OK","NOK")</f>
        <v>OK</v>
      </c>
      <c r="R408" s="17" t="str">
        <f>IF(R407=R$20,"OK","NOK")</f>
        <v>OK</v>
      </c>
      <c r="S408" s="17"/>
      <c r="T408" s="17" t="str">
        <f>IF(T407=T$20,"OK","NOK")</f>
        <v>OK</v>
      </c>
      <c r="U408" s="17" t="str">
        <f>IF(U407=U$20,"OK","NOK")</f>
        <v>OK</v>
      </c>
      <c r="V408" s="359"/>
      <c r="W408" s="382"/>
      <c r="X408" s="539"/>
      <c r="Y408" s="539"/>
      <c r="Z408" s="201"/>
      <c r="AA408" s="201"/>
      <c r="AB408" s="201"/>
      <c r="AC408" s="84"/>
      <c r="AE408" s="46"/>
      <c r="AF408" s="46"/>
      <c r="AG408" s="17"/>
      <c r="AH408" s="539"/>
      <c r="AI408" s="91"/>
      <c r="AK408" s="46"/>
      <c r="AL408" s="46"/>
      <c r="AM408" s="17"/>
      <c r="AN408" s="539"/>
      <c r="AO408" s="91"/>
      <c r="AQ408" s="46"/>
      <c r="AR408" s="46"/>
      <c r="AS408" s="17"/>
      <c r="AT408" s="539"/>
      <c r="AU408" s="91"/>
      <c r="AW408" s="46"/>
      <c r="AX408" s="46"/>
      <c r="AY408" s="17"/>
      <c r="AZ408" s="539"/>
      <c r="BA408" s="91"/>
    </row>
    <row r="409" spans="1:53" ht="17.100000000000001" customHeight="1" x14ac:dyDescent="0.25">
      <c r="A409" s="68"/>
      <c r="B409" s="48" t="s">
        <v>215</v>
      </c>
      <c r="C409" s="49" t="s">
        <v>216</v>
      </c>
      <c r="D409" s="50"/>
      <c r="E409" s="70"/>
      <c r="F409" s="70"/>
      <c r="G409" s="70"/>
      <c r="H409" s="119"/>
      <c r="J409" s="71"/>
      <c r="K409" s="71"/>
      <c r="L409" s="71"/>
      <c r="M409" s="71"/>
      <c r="N409" s="71">
        <f t="shared" ref="N409:X409" si="463">N403</f>
        <v>0</v>
      </c>
      <c r="O409" s="71">
        <f t="shared" si="463"/>
        <v>0</v>
      </c>
      <c r="P409" s="71"/>
      <c r="Q409" s="71">
        <f t="shared" si="463"/>
        <v>0</v>
      </c>
      <c r="R409" s="71">
        <f t="shared" si="463"/>
        <v>0</v>
      </c>
      <c r="S409" s="71"/>
      <c r="T409" s="71">
        <f t="shared" si="463"/>
        <v>0</v>
      </c>
      <c r="U409" s="71">
        <f t="shared" si="463"/>
        <v>0</v>
      </c>
      <c r="V409" s="355"/>
      <c r="W409" s="377">
        <f t="shared" si="463"/>
        <v>0</v>
      </c>
      <c r="X409" s="71">
        <f t="shared" si="463"/>
        <v>0</v>
      </c>
      <c r="Y409" s="72"/>
      <c r="Z409" s="73"/>
      <c r="AA409" s="73"/>
      <c r="AB409" s="73"/>
      <c r="AC409" s="73"/>
      <c r="AE409" s="71"/>
      <c r="AF409" s="71"/>
      <c r="AG409" s="71"/>
      <c r="AH409" s="72"/>
      <c r="AI409" s="73"/>
      <c r="AK409" s="71"/>
      <c r="AL409" s="71"/>
      <c r="AM409" s="71"/>
      <c r="AN409" s="72"/>
      <c r="AO409" s="73"/>
      <c r="AQ409" s="71"/>
      <c r="AR409" s="71"/>
      <c r="AS409" s="71"/>
      <c r="AT409" s="72"/>
      <c r="AU409" s="73"/>
      <c r="AW409" s="71"/>
      <c r="AX409" s="71"/>
      <c r="AY409" s="71"/>
      <c r="AZ409" s="72"/>
      <c r="BA409" s="73"/>
    </row>
    <row r="410" spans="1:53" ht="17.100000000000001" customHeight="1" x14ac:dyDescent="0.25">
      <c r="A410" s="40"/>
      <c r="B410" s="40"/>
      <c r="C410" s="56" t="s">
        <v>217</v>
      </c>
      <c r="D410" s="149" t="s">
        <v>218</v>
      </c>
      <c r="E410" s="149"/>
      <c r="F410" s="75"/>
      <c r="G410" s="75"/>
      <c r="H410" s="540"/>
      <c r="I410" s="229"/>
      <c r="J410" s="111"/>
      <c r="K410" s="111"/>
      <c r="L410" s="111"/>
      <c r="M410" s="111"/>
      <c r="N410" s="111"/>
      <c r="O410" s="111"/>
      <c r="P410" s="111"/>
      <c r="Q410" s="111"/>
      <c r="R410" s="111"/>
      <c r="S410" s="111"/>
      <c r="T410" s="111"/>
      <c r="U410" s="111"/>
      <c r="V410" s="358"/>
      <c r="W410" s="380"/>
      <c r="X410" s="111"/>
      <c r="Y410" s="545"/>
      <c r="Z410" s="131"/>
      <c r="AA410" s="131"/>
      <c r="AB410" s="131"/>
      <c r="AC410" s="111"/>
      <c r="AE410" s="111"/>
      <c r="AF410" s="111"/>
      <c r="AG410" s="111"/>
      <c r="AH410" s="545"/>
      <c r="AI410" s="131"/>
      <c r="AK410" s="111"/>
      <c r="AL410" s="111"/>
      <c r="AM410" s="111"/>
      <c r="AN410" s="545"/>
      <c r="AO410" s="131"/>
      <c r="AQ410" s="111"/>
      <c r="AR410" s="111"/>
      <c r="AS410" s="111"/>
      <c r="AT410" s="545"/>
      <c r="AU410" s="131"/>
      <c r="AW410" s="111"/>
      <c r="AX410" s="111"/>
      <c r="AY410" s="111"/>
      <c r="AZ410" s="545"/>
      <c r="BA410" s="131"/>
    </row>
    <row r="411" spans="1:53" ht="17.100000000000001" customHeight="1" x14ac:dyDescent="0.25">
      <c r="A411" s="40"/>
      <c r="B411" s="40"/>
      <c r="C411" s="55"/>
      <c r="D411" s="56" t="s">
        <v>219</v>
      </c>
      <c r="E411" s="149" t="s">
        <v>474</v>
      </c>
      <c r="F411" s="75"/>
      <c r="G411" s="75"/>
      <c r="H411" s="540"/>
      <c r="I411" s="229"/>
      <c r="J411" s="111"/>
      <c r="K411" s="111"/>
      <c r="L411" s="111"/>
      <c r="M411" s="111"/>
      <c r="N411" s="60"/>
      <c r="O411" s="60"/>
      <c r="P411" s="17">
        <f t="shared" ref="P411:P415" si="464">SUM(N411:O411)</f>
        <v>0</v>
      </c>
      <c r="Q411" s="60"/>
      <c r="R411" s="60"/>
      <c r="S411" s="17">
        <f t="shared" ref="S411:S415" si="465">SUM(Q411:R411)</f>
        <v>0</v>
      </c>
      <c r="T411" s="60"/>
      <c r="U411" s="60"/>
      <c r="V411" s="359">
        <f t="shared" ref="V411:V415" si="466">SUM(T411:U411)</f>
        <v>0</v>
      </c>
      <c r="W411" s="391">
        <f t="shared" ref="W411:W416" si="467">J411+K411+N411+Q411+T411</f>
        <v>0</v>
      </c>
      <c r="X411" s="17">
        <f t="shared" ref="X411:X416" si="468">L411+O411+R411+U411</f>
        <v>0</v>
      </c>
      <c r="Y411" s="18">
        <f>SUM(W411:X411)</f>
        <v>0</v>
      </c>
      <c r="Z411" s="19">
        <f>IF(Y$421=0,0,Y411/Y$421)</f>
        <v>0</v>
      </c>
      <c r="AA411" s="19"/>
      <c r="AB411" s="19"/>
      <c r="AC411" s="17"/>
      <c r="AE411" s="111"/>
      <c r="AF411" s="111"/>
      <c r="AG411" s="111"/>
      <c r="AH411" s="112"/>
      <c r="AI411" s="113"/>
      <c r="AK411" s="111"/>
      <c r="AL411" s="111"/>
      <c r="AM411" s="111"/>
      <c r="AN411" s="112"/>
      <c r="AO411" s="113"/>
      <c r="AQ411" s="17"/>
      <c r="AR411" s="17"/>
      <c r="AS411" s="17"/>
      <c r="AT411" s="18">
        <f t="shared" ref="AT411:AT416" si="469">W411</f>
        <v>0</v>
      </c>
      <c r="AU411" s="19">
        <f>IF(AT$421=0,0,AT411/AT$421)</f>
        <v>0</v>
      </c>
      <c r="AW411" s="17"/>
      <c r="AX411" s="17"/>
      <c r="AY411" s="17"/>
      <c r="AZ411" s="18">
        <f t="shared" ref="AZ411:AZ416" si="470">X411</f>
        <v>0</v>
      </c>
      <c r="BA411" s="19">
        <f>IF(AZ$421=0,0,AZ411/AZ$421)</f>
        <v>0</v>
      </c>
    </row>
    <row r="412" spans="1:53" ht="17.100000000000001" customHeight="1" x14ac:dyDescent="0.25">
      <c r="A412" s="40"/>
      <c r="B412" s="40"/>
      <c r="C412" s="40"/>
      <c r="D412" s="56" t="s">
        <v>220</v>
      </c>
      <c r="E412" s="149" t="s">
        <v>221</v>
      </c>
      <c r="F412" s="75"/>
      <c r="G412" s="75"/>
      <c r="H412" s="540"/>
      <c r="I412" s="229"/>
      <c r="J412" s="111"/>
      <c r="K412" s="111"/>
      <c r="L412" s="111"/>
      <c r="M412" s="111"/>
      <c r="N412" s="61"/>
      <c r="O412" s="61"/>
      <c r="P412" s="17">
        <f t="shared" si="464"/>
        <v>0</v>
      </c>
      <c r="Q412" s="61"/>
      <c r="R412" s="61"/>
      <c r="S412" s="17">
        <f t="shared" si="465"/>
        <v>0</v>
      </c>
      <c r="T412" s="61"/>
      <c r="U412" s="61"/>
      <c r="V412" s="359">
        <f t="shared" si="466"/>
        <v>0</v>
      </c>
      <c r="W412" s="391">
        <f t="shared" si="467"/>
        <v>0</v>
      </c>
      <c r="X412" s="17">
        <f t="shared" si="468"/>
        <v>0</v>
      </c>
      <c r="Y412" s="18">
        <f>SUM(W412:X412)</f>
        <v>0</v>
      </c>
      <c r="Z412" s="19">
        <f t="shared" ref="Z412:Z415" si="471">IF(Y$421=0,0,Y412/Y$421)</f>
        <v>0</v>
      </c>
      <c r="AA412" s="19"/>
      <c r="AB412" s="19"/>
      <c r="AC412" s="17"/>
      <c r="AE412" s="111"/>
      <c r="AF412" s="111"/>
      <c r="AG412" s="111"/>
      <c r="AH412" s="112"/>
      <c r="AI412" s="113"/>
      <c r="AK412" s="111"/>
      <c r="AL412" s="111"/>
      <c r="AM412" s="111"/>
      <c r="AN412" s="112"/>
      <c r="AO412" s="113"/>
      <c r="AQ412" s="17"/>
      <c r="AR412" s="17"/>
      <c r="AS412" s="17"/>
      <c r="AT412" s="18">
        <f t="shared" si="469"/>
        <v>0</v>
      </c>
      <c r="AU412" s="19">
        <f t="shared" ref="AU412:AU421" si="472">IF(AT$421=0,0,AT412/AT$421)</f>
        <v>0</v>
      </c>
      <c r="AW412" s="17"/>
      <c r="AX412" s="17"/>
      <c r="AY412" s="17"/>
      <c r="AZ412" s="18">
        <f t="shared" si="470"/>
        <v>0</v>
      </c>
      <c r="BA412" s="19">
        <f t="shared" ref="BA412:BA421" si="473">IF(AZ$421=0,0,AZ412/AZ$421)</f>
        <v>0</v>
      </c>
    </row>
    <row r="413" spans="1:53" ht="17.100000000000001" customHeight="1" x14ac:dyDescent="0.25">
      <c r="A413" s="40"/>
      <c r="B413" s="40"/>
      <c r="C413" s="40"/>
      <c r="D413" s="56" t="s">
        <v>222</v>
      </c>
      <c r="E413" s="149" t="s">
        <v>223</v>
      </c>
      <c r="F413" s="75"/>
      <c r="G413" s="75"/>
      <c r="H413" s="540"/>
      <c r="I413" s="229"/>
      <c r="J413" s="111"/>
      <c r="K413" s="111"/>
      <c r="L413" s="111"/>
      <c r="M413" s="111"/>
      <c r="N413" s="60"/>
      <c r="O413" s="60"/>
      <c r="P413" s="17">
        <f t="shared" si="464"/>
        <v>0</v>
      </c>
      <c r="Q413" s="60"/>
      <c r="R413" s="60"/>
      <c r="S413" s="17">
        <f t="shared" si="465"/>
        <v>0</v>
      </c>
      <c r="T413" s="60"/>
      <c r="U413" s="60"/>
      <c r="V413" s="359">
        <f t="shared" si="466"/>
        <v>0</v>
      </c>
      <c r="W413" s="391">
        <f t="shared" si="467"/>
        <v>0</v>
      </c>
      <c r="X413" s="17">
        <f t="shared" si="468"/>
        <v>0</v>
      </c>
      <c r="Y413" s="18">
        <f>SUM(W413:X413)</f>
        <v>0</v>
      </c>
      <c r="Z413" s="19">
        <f t="shared" si="471"/>
        <v>0</v>
      </c>
      <c r="AA413" s="19"/>
      <c r="AB413" s="19"/>
      <c r="AC413" s="17"/>
      <c r="AE413" s="111"/>
      <c r="AF413" s="111"/>
      <c r="AG413" s="111"/>
      <c r="AH413" s="112"/>
      <c r="AI413" s="113"/>
      <c r="AK413" s="111"/>
      <c r="AL413" s="111"/>
      <c r="AM413" s="111"/>
      <c r="AN413" s="112"/>
      <c r="AO413" s="113"/>
      <c r="AQ413" s="17"/>
      <c r="AR413" s="17"/>
      <c r="AS413" s="17"/>
      <c r="AT413" s="18">
        <f t="shared" si="469"/>
        <v>0</v>
      </c>
      <c r="AU413" s="19">
        <f t="shared" si="472"/>
        <v>0</v>
      </c>
      <c r="AW413" s="17"/>
      <c r="AX413" s="17"/>
      <c r="AY413" s="17"/>
      <c r="AZ413" s="18">
        <f t="shared" si="470"/>
        <v>0</v>
      </c>
      <c r="BA413" s="19">
        <f t="shared" si="473"/>
        <v>0</v>
      </c>
    </row>
    <row r="414" spans="1:53" ht="17.100000000000001" customHeight="1" x14ac:dyDescent="0.25">
      <c r="A414" s="40"/>
      <c r="B414" s="40"/>
      <c r="C414" s="40"/>
      <c r="D414" s="56" t="s">
        <v>224</v>
      </c>
      <c r="E414" s="149" t="s">
        <v>225</v>
      </c>
      <c r="F414" s="75"/>
      <c r="G414" s="75"/>
      <c r="H414" s="540"/>
      <c r="I414" s="229"/>
      <c r="J414" s="111"/>
      <c r="K414" s="111"/>
      <c r="L414" s="111"/>
      <c r="M414" s="111"/>
      <c r="N414" s="61"/>
      <c r="O414" s="61"/>
      <c r="P414" s="17">
        <f t="shared" si="464"/>
        <v>0</v>
      </c>
      <c r="Q414" s="61"/>
      <c r="R414" s="61"/>
      <c r="S414" s="17">
        <f t="shared" si="465"/>
        <v>0</v>
      </c>
      <c r="T414" s="61"/>
      <c r="U414" s="61"/>
      <c r="V414" s="359">
        <f t="shared" si="466"/>
        <v>0</v>
      </c>
      <c r="W414" s="391">
        <f t="shared" si="467"/>
        <v>0</v>
      </c>
      <c r="X414" s="17">
        <f t="shared" si="468"/>
        <v>0</v>
      </c>
      <c r="Y414" s="18">
        <f>SUM(W414:X414)</f>
        <v>0</v>
      </c>
      <c r="Z414" s="19">
        <f t="shared" si="471"/>
        <v>0</v>
      </c>
      <c r="AA414" s="19"/>
      <c r="AB414" s="19"/>
      <c r="AC414" s="17"/>
      <c r="AE414" s="111"/>
      <c r="AF414" s="111"/>
      <c r="AG414" s="111"/>
      <c r="AH414" s="112"/>
      <c r="AI414" s="113"/>
      <c r="AK414" s="111"/>
      <c r="AL414" s="111"/>
      <c r="AM414" s="111"/>
      <c r="AN414" s="112"/>
      <c r="AO414" s="113"/>
      <c r="AQ414" s="17"/>
      <c r="AR414" s="17"/>
      <c r="AS414" s="17"/>
      <c r="AT414" s="18">
        <f t="shared" si="469"/>
        <v>0</v>
      </c>
      <c r="AU414" s="19">
        <f t="shared" si="472"/>
        <v>0</v>
      </c>
      <c r="AW414" s="17"/>
      <c r="AX414" s="17"/>
      <c r="AY414" s="17"/>
      <c r="AZ414" s="18">
        <f t="shared" si="470"/>
        <v>0</v>
      </c>
      <c r="BA414" s="19">
        <f t="shared" si="473"/>
        <v>0</v>
      </c>
    </row>
    <row r="415" spans="1:53" ht="17.100000000000001" customHeight="1" x14ac:dyDescent="0.25">
      <c r="A415" s="40"/>
      <c r="B415" s="40"/>
      <c r="C415" s="40"/>
      <c r="D415" s="56" t="s">
        <v>226</v>
      </c>
      <c r="E415" s="75" t="s">
        <v>227</v>
      </c>
      <c r="F415" s="75"/>
      <c r="G415" s="75"/>
      <c r="H415" s="540"/>
      <c r="I415" s="229"/>
      <c r="J415" s="111"/>
      <c r="K415" s="111"/>
      <c r="L415" s="111"/>
      <c r="M415" s="111"/>
      <c r="N415" s="60"/>
      <c r="O415" s="60"/>
      <c r="P415" s="17">
        <f t="shared" si="464"/>
        <v>0</v>
      </c>
      <c r="Q415" s="60"/>
      <c r="R415" s="60"/>
      <c r="S415" s="17">
        <f t="shared" si="465"/>
        <v>0</v>
      </c>
      <c r="T415" s="60"/>
      <c r="U415" s="60"/>
      <c r="V415" s="359">
        <f t="shared" si="466"/>
        <v>0</v>
      </c>
      <c r="W415" s="391">
        <f t="shared" si="467"/>
        <v>0</v>
      </c>
      <c r="X415" s="17">
        <f t="shared" si="468"/>
        <v>0</v>
      </c>
      <c r="Y415" s="18">
        <f>SUM(W415:X415)</f>
        <v>0</v>
      </c>
      <c r="Z415" s="19">
        <f t="shared" si="471"/>
        <v>0</v>
      </c>
      <c r="AA415" s="19"/>
      <c r="AB415" s="19"/>
      <c r="AC415" s="17"/>
      <c r="AE415" s="111"/>
      <c r="AF415" s="111"/>
      <c r="AG415" s="111"/>
      <c r="AH415" s="112"/>
      <c r="AI415" s="113"/>
      <c r="AK415" s="111"/>
      <c r="AL415" s="111"/>
      <c r="AM415" s="111"/>
      <c r="AN415" s="112"/>
      <c r="AO415" s="113"/>
      <c r="AQ415" s="17"/>
      <c r="AR415" s="17"/>
      <c r="AS415" s="17"/>
      <c r="AT415" s="18">
        <f t="shared" si="469"/>
        <v>0</v>
      </c>
      <c r="AU415" s="19">
        <f t="shared" si="472"/>
        <v>0</v>
      </c>
      <c r="AW415" s="17"/>
      <c r="AX415" s="17"/>
      <c r="AY415" s="17"/>
      <c r="AZ415" s="18">
        <f t="shared" si="470"/>
        <v>0</v>
      </c>
      <c r="BA415" s="19">
        <f t="shared" si="473"/>
        <v>0</v>
      </c>
    </row>
    <row r="416" spans="1:53" ht="17.100000000000001" customHeight="1" x14ac:dyDescent="0.25">
      <c r="A416" s="40"/>
      <c r="B416" s="40"/>
      <c r="C416" s="179"/>
      <c r="D416" s="56" t="s">
        <v>228</v>
      </c>
      <c r="E416" s="75" t="s">
        <v>229</v>
      </c>
      <c r="F416" s="75"/>
      <c r="G416" s="75"/>
      <c r="H416" s="540"/>
      <c r="I416" s="229"/>
      <c r="J416" s="111"/>
      <c r="K416" s="111"/>
      <c r="L416" s="111"/>
      <c r="M416" s="111"/>
      <c r="N416" s="111">
        <f t="shared" ref="N416:V416" si="474">SUM(N417:N420)</f>
        <v>0</v>
      </c>
      <c r="O416" s="111">
        <f t="shared" si="474"/>
        <v>0</v>
      </c>
      <c r="P416" s="111">
        <f t="shared" si="474"/>
        <v>0</v>
      </c>
      <c r="Q416" s="111">
        <f t="shared" si="474"/>
        <v>0</v>
      </c>
      <c r="R416" s="111">
        <f t="shared" si="474"/>
        <v>0</v>
      </c>
      <c r="S416" s="111">
        <f t="shared" si="474"/>
        <v>0</v>
      </c>
      <c r="T416" s="111">
        <f t="shared" si="474"/>
        <v>0</v>
      </c>
      <c r="U416" s="111">
        <f t="shared" si="474"/>
        <v>0</v>
      </c>
      <c r="V416" s="111">
        <f t="shared" si="474"/>
        <v>0</v>
      </c>
      <c r="W416" s="380">
        <f t="shared" si="467"/>
        <v>0</v>
      </c>
      <c r="X416" s="111">
        <f t="shared" si="468"/>
        <v>0</v>
      </c>
      <c r="Y416" s="545">
        <f>SUM(J416:X416)</f>
        <v>0</v>
      </c>
      <c r="Z416" s="131">
        <f>IF(Y$421=0,0,Y416/Y$421)</f>
        <v>0</v>
      </c>
      <c r="AA416" s="131"/>
      <c r="AB416" s="131"/>
      <c r="AC416" s="111"/>
      <c r="AE416" s="111"/>
      <c r="AF416" s="111"/>
      <c r="AG416" s="111"/>
      <c r="AH416" s="112"/>
      <c r="AI416" s="113"/>
      <c r="AK416" s="111"/>
      <c r="AL416" s="111"/>
      <c r="AM416" s="111"/>
      <c r="AN416" s="112"/>
      <c r="AO416" s="113"/>
      <c r="AQ416" s="111"/>
      <c r="AR416" s="111"/>
      <c r="AS416" s="111"/>
      <c r="AT416" s="545">
        <f t="shared" si="469"/>
        <v>0</v>
      </c>
      <c r="AU416" s="404">
        <f t="shared" si="472"/>
        <v>0</v>
      </c>
      <c r="AW416" s="174"/>
      <c r="AX416" s="174"/>
      <c r="AY416" s="174"/>
      <c r="AZ416" s="405">
        <f t="shared" si="470"/>
        <v>0</v>
      </c>
      <c r="BA416" s="404">
        <f t="shared" si="473"/>
        <v>0</v>
      </c>
    </row>
    <row r="417" spans="1:53" ht="17.100000000000001" customHeight="1" x14ac:dyDescent="0.25">
      <c r="A417" s="40"/>
      <c r="B417" s="40"/>
      <c r="C417" s="179"/>
      <c r="D417" s="74"/>
      <c r="E417" s="168"/>
      <c r="F417" s="169"/>
      <c r="G417" s="169"/>
      <c r="H417" s="17"/>
      <c r="I417" s="594"/>
      <c r="J417" s="111"/>
      <c r="K417" s="111"/>
      <c r="L417" s="111"/>
      <c r="M417" s="111"/>
      <c r="N417" s="60"/>
      <c r="O417" s="60"/>
      <c r="P417" s="17"/>
      <c r="Q417" s="60"/>
      <c r="R417" s="60"/>
      <c r="S417" s="17"/>
      <c r="T417" s="60"/>
      <c r="U417" s="60"/>
      <c r="V417" s="359"/>
      <c r="W417" s="391"/>
      <c r="X417" s="17"/>
      <c r="Y417" s="18"/>
      <c r="Z417" s="19"/>
      <c r="AA417" s="19"/>
      <c r="AB417" s="19"/>
      <c r="AC417" s="17"/>
      <c r="AE417" s="111"/>
      <c r="AF417" s="111"/>
      <c r="AG417" s="111"/>
      <c r="AH417" s="545"/>
      <c r="AI417" s="131"/>
      <c r="AK417" s="111"/>
      <c r="AL417" s="111"/>
      <c r="AM417" s="111"/>
      <c r="AN417" s="545"/>
      <c r="AO417" s="131"/>
      <c r="AQ417" s="17"/>
      <c r="AR417" s="17"/>
      <c r="AS417" s="17"/>
      <c r="AT417" s="18"/>
      <c r="AU417" s="19"/>
      <c r="AW417" s="17"/>
      <c r="AX417" s="17"/>
      <c r="AY417" s="17"/>
      <c r="AZ417" s="18"/>
      <c r="BA417" s="19"/>
    </row>
    <row r="418" spans="1:53" ht="17.100000000000001" customHeight="1" x14ac:dyDescent="0.25">
      <c r="A418" s="40"/>
      <c r="B418" s="40"/>
      <c r="C418" s="179"/>
      <c r="D418" s="74"/>
      <c r="E418" s="170"/>
      <c r="F418" s="171"/>
      <c r="G418" s="171"/>
      <c r="H418" s="17"/>
      <c r="I418" s="594"/>
      <c r="J418" s="111"/>
      <c r="K418" s="111"/>
      <c r="L418" s="111"/>
      <c r="M418" s="111"/>
      <c r="N418" s="61"/>
      <c r="O418" s="61"/>
      <c r="P418" s="17"/>
      <c r="Q418" s="61"/>
      <c r="R418" s="61"/>
      <c r="S418" s="17"/>
      <c r="T418" s="61"/>
      <c r="U418" s="61"/>
      <c r="V418" s="359"/>
      <c r="W418" s="391"/>
      <c r="X418" s="17"/>
      <c r="Y418" s="18"/>
      <c r="Z418" s="19"/>
      <c r="AA418" s="19"/>
      <c r="AB418" s="19"/>
      <c r="AC418" s="17"/>
      <c r="AE418" s="111"/>
      <c r="AF418" s="111"/>
      <c r="AG418" s="111"/>
      <c r="AH418" s="545"/>
      <c r="AI418" s="131"/>
      <c r="AK418" s="111"/>
      <c r="AL418" s="111"/>
      <c r="AM418" s="111"/>
      <c r="AN418" s="545"/>
      <c r="AO418" s="131"/>
      <c r="AQ418" s="17"/>
      <c r="AR418" s="17"/>
      <c r="AS418" s="17"/>
      <c r="AT418" s="18"/>
      <c r="AU418" s="19"/>
      <c r="AW418" s="17"/>
      <c r="AX418" s="17"/>
      <c r="AY418" s="17"/>
      <c r="AZ418" s="18"/>
      <c r="BA418" s="19"/>
    </row>
    <row r="419" spans="1:53" ht="17.100000000000001" customHeight="1" x14ac:dyDescent="0.25">
      <c r="A419" s="40"/>
      <c r="B419" s="40"/>
      <c r="C419" s="179"/>
      <c r="D419" s="74"/>
      <c r="E419" s="168"/>
      <c r="F419" s="169"/>
      <c r="G419" s="169"/>
      <c r="H419" s="17"/>
      <c r="I419" s="594"/>
      <c r="J419" s="111"/>
      <c r="K419" s="111"/>
      <c r="L419" s="111"/>
      <c r="M419" s="111"/>
      <c r="N419" s="60"/>
      <c r="O419" s="60"/>
      <c r="P419" s="17"/>
      <c r="Q419" s="60"/>
      <c r="R419" s="60"/>
      <c r="S419" s="17"/>
      <c r="T419" s="60"/>
      <c r="U419" s="60"/>
      <c r="V419" s="359"/>
      <c r="W419" s="391"/>
      <c r="X419" s="17"/>
      <c r="Y419" s="18"/>
      <c r="Z419" s="19"/>
      <c r="AA419" s="19"/>
      <c r="AB419" s="19"/>
      <c r="AC419" s="17"/>
      <c r="AE419" s="111"/>
      <c r="AF419" s="111"/>
      <c r="AG419" s="111"/>
      <c r="AH419" s="545"/>
      <c r="AI419" s="131"/>
      <c r="AK419" s="111"/>
      <c r="AL419" s="111"/>
      <c r="AM419" s="111"/>
      <c r="AN419" s="545"/>
      <c r="AO419" s="131"/>
      <c r="AQ419" s="17"/>
      <c r="AR419" s="17"/>
      <c r="AS419" s="17"/>
      <c r="AT419" s="18"/>
      <c r="AU419" s="19"/>
      <c r="AW419" s="17"/>
      <c r="AX419" s="17"/>
      <c r="AY419" s="17"/>
      <c r="AZ419" s="18"/>
      <c r="BA419" s="19"/>
    </row>
    <row r="420" spans="1:53" ht="17.100000000000001" customHeight="1" x14ac:dyDescent="0.25">
      <c r="A420" s="40"/>
      <c r="B420" s="40"/>
      <c r="C420" s="179"/>
      <c r="D420" s="74"/>
      <c r="E420" s="170"/>
      <c r="F420" s="171"/>
      <c r="G420" s="171"/>
      <c r="H420" s="17"/>
      <c r="I420" s="594"/>
      <c r="J420" s="111"/>
      <c r="K420" s="111"/>
      <c r="L420" s="111"/>
      <c r="M420" s="111"/>
      <c r="N420" s="61"/>
      <c r="O420" s="61"/>
      <c r="P420" s="17"/>
      <c r="Q420" s="61"/>
      <c r="R420" s="61"/>
      <c r="S420" s="17"/>
      <c r="T420" s="61"/>
      <c r="U420" s="61"/>
      <c r="V420" s="359"/>
      <c r="W420" s="391"/>
      <c r="X420" s="17"/>
      <c r="Y420" s="18"/>
      <c r="Z420" s="19"/>
      <c r="AA420" s="19"/>
      <c r="AB420" s="19"/>
      <c r="AC420" s="17"/>
      <c r="AE420" s="111"/>
      <c r="AF420" s="111"/>
      <c r="AG420" s="111"/>
      <c r="AH420" s="545"/>
      <c r="AI420" s="131"/>
      <c r="AK420" s="111"/>
      <c r="AL420" s="111"/>
      <c r="AM420" s="111"/>
      <c r="AN420" s="545"/>
      <c r="AO420" s="131"/>
      <c r="AQ420" s="17"/>
      <c r="AR420" s="17"/>
      <c r="AS420" s="17"/>
      <c r="AT420" s="18"/>
      <c r="AU420" s="19"/>
      <c r="AW420" s="17"/>
      <c r="AX420" s="17"/>
      <c r="AY420" s="17"/>
      <c r="AZ420" s="18"/>
      <c r="BA420" s="19"/>
    </row>
    <row r="421" spans="1:53" ht="17.100000000000001" customHeight="1" x14ac:dyDescent="0.25">
      <c r="A421" s="40"/>
      <c r="B421" s="40"/>
      <c r="C421" s="77"/>
      <c r="D421" s="134"/>
      <c r="E421" s="134"/>
      <c r="F421" s="134"/>
      <c r="G421" s="134"/>
      <c r="H421" s="540"/>
      <c r="I421" s="229"/>
      <c r="J421" s="80"/>
      <c r="K421" s="80"/>
      <c r="L421" s="81"/>
      <c r="M421" s="81"/>
      <c r="N421" s="81">
        <f>SUM(N411:N416)</f>
        <v>0</v>
      </c>
      <c r="O421" s="81">
        <f t="shared" ref="O421:V421" si="475">SUM(O411:O416)</f>
        <v>0</v>
      </c>
      <c r="P421" s="81">
        <f t="shared" si="475"/>
        <v>0</v>
      </c>
      <c r="Q421" s="81">
        <f t="shared" si="475"/>
        <v>0</v>
      </c>
      <c r="R421" s="81">
        <f t="shared" si="475"/>
        <v>0</v>
      </c>
      <c r="S421" s="81">
        <f t="shared" si="475"/>
        <v>0</v>
      </c>
      <c r="T421" s="81">
        <f t="shared" si="475"/>
        <v>0</v>
      </c>
      <c r="U421" s="81">
        <f t="shared" si="475"/>
        <v>0</v>
      </c>
      <c r="V421" s="81">
        <f t="shared" si="475"/>
        <v>0</v>
      </c>
      <c r="W421" s="381">
        <f>SUM(W411:W416)</f>
        <v>0</v>
      </c>
      <c r="X421" s="82">
        <f t="shared" ref="X421:Y421" si="476">SUM(X411:X416)</f>
        <v>0</v>
      </c>
      <c r="Y421" s="82">
        <f t="shared" si="476"/>
        <v>0</v>
      </c>
      <c r="Z421" s="205">
        <f t="shared" ref="Z421" si="477">IF(Y$421=0,0,Y421/Y$421)</f>
        <v>0</v>
      </c>
      <c r="AA421" s="205"/>
      <c r="AB421" s="205"/>
      <c r="AC421" s="83"/>
      <c r="AE421" s="80"/>
      <c r="AF421" s="80"/>
      <c r="AG421" s="81"/>
      <c r="AH421" s="82"/>
      <c r="AI421" s="66"/>
      <c r="AK421" s="80"/>
      <c r="AL421" s="80"/>
      <c r="AM421" s="81"/>
      <c r="AN421" s="82"/>
      <c r="AO421" s="66"/>
      <c r="AQ421" s="80"/>
      <c r="AR421" s="80"/>
      <c r="AS421" s="81"/>
      <c r="AT421" s="82">
        <f>SUM(AT411:AT416)</f>
        <v>0</v>
      </c>
      <c r="AU421" s="66">
        <f t="shared" si="472"/>
        <v>0</v>
      </c>
      <c r="AW421" s="80"/>
      <c r="AX421" s="80"/>
      <c r="AY421" s="81"/>
      <c r="AZ421" s="82">
        <f>SUM(AZ411:AZ416)</f>
        <v>0</v>
      </c>
      <c r="BA421" s="66">
        <f t="shared" si="473"/>
        <v>0</v>
      </c>
    </row>
    <row r="422" spans="1:53" s="117" customFormat="1" ht="17.100000000000001" customHeight="1" x14ac:dyDescent="0.25">
      <c r="A422" s="68"/>
      <c r="B422" s="119"/>
      <c r="C422" s="540"/>
      <c r="D422" s="261"/>
      <c r="E422" s="261"/>
      <c r="F422" s="68"/>
      <c r="G422" s="68"/>
      <c r="H422" s="119"/>
      <c r="I422" s="138"/>
      <c r="J422" s="17"/>
      <c r="K422" s="17"/>
      <c r="L422" s="17"/>
      <c r="M422" s="17"/>
      <c r="N422" s="17" t="str">
        <f>IF(N421&gt;=N$409,"OK","NOK")</f>
        <v>OK</v>
      </c>
      <c r="O422" s="17" t="str">
        <f t="shared" ref="O422:U422" si="478">IF(O421&gt;=O$409,"OK","NOK")</f>
        <v>OK</v>
      </c>
      <c r="P422" s="17"/>
      <c r="Q422" s="17" t="str">
        <f t="shared" si="478"/>
        <v>OK</v>
      </c>
      <c r="R422" s="17" t="str">
        <f t="shared" si="478"/>
        <v>OK</v>
      </c>
      <c r="S422" s="17"/>
      <c r="T422" s="17" t="str">
        <f t="shared" si="478"/>
        <v>OK</v>
      </c>
      <c r="U422" s="17" t="str">
        <f t="shared" si="478"/>
        <v>OK</v>
      </c>
      <c r="V422" s="17"/>
      <c r="W422" s="382"/>
      <c r="X422" s="539"/>
      <c r="Y422" s="539"/>
      <c r="Z422" s="201"/>
      <c r="AA422" s="201"/>
      <c r="AB422" s="201"/>
      <c r="AC422" s="84"/>
      <c r="AE422" s="46"/>
      <c r="AF422" s="46"/>
      <c r="AG422" s="17"/>
      <c r="AH422" s="539"/>
      <c r="AI422" s="91"/>
      <c r="AK422" s="46"/>
      <c r="AL422" s="46"/>
      <c r="AM422" s="17"/>
      <c r="AN422" s="539"/>
      <c r="AO422" s="91"/>
      <c r="AQ422" s="46"/>
      <c r="AR422" s="46"/>
      <c r="AS422" s="17"/>
      <c r="AT422" s="539"/>
      <c r="AU422" s="91"/>
      <c r="AW422" s="46"/>
      <c r="AX422" s="46"/>
      <c r="AY422" s="17"/>
      <c r="AZ422" s="539"/>
      <c r="BA422" s="91"/>
    </row>
    <row r="423" spans="1:53" ht="17.100000000000001" customHeight="1" x14ac:dyDescent="0.25">
      <c r="A423" s="175"/>
      <c r="B423" s="40"/>
      <c r="C423" s="56" t="s">
        <v>230</v>
      </c>
      <c r="D423" s="57" t="s">
        <v>231</v>
      </c>
      <c r="E423" s="149"/>
      <c r="F423" s="149"/>
      <c r="G423" s="149"/>
      <c r="H423" s="182"/>
      <c r="I423" s="241"/>
      <c r="J423" s="152"/>
      <c r="K423" s="152"/>
      <c r="L423" s="111"/>
      <c r="M423" s="111"/>
      <c r="N423" s="111"/>
      <c r="O423" s="111"/>
      <c r="P423" s="111"/>
      <c r="Q423" s="111"/>
      <c r="R423" s="111"/>
      <c r="S423" s="111"/>
      <c r="T423" s="111"/>
      <c r="U423" s="111"/>
      <c r="V423" s="358"/>
      <c r="W423" s="380"/>
      <c r="X423" s="111"/>
      <c r="Y423" s="545"/>
      <c r="Z423" s="131"/>
      <c r="AA423" s="131"/>
      <c r="AB423" s="131"/>
      <c r="AC423" s="113"/>
      <c r="AE423" s="152"/>
      <c r="AF423" s="152"/>
      <c r="AG423" s="111"/>
      <c r="AH423" s="545"/>
      <c r="AI423" s="131"/>
      <c r="AK423" s="152"/>
      <c r="AL423" s="152"/>
      <c r="AM423" s="111"/>
      <c r="AN423" s="545"/>
      <c r="AO423" s="131"/>
      <c r="AQ423" s="152"/>
      <c r="AR423" s="152"/>
      <c r="AS423" s="111"/>
      <c r="AT423" s="545"/>
      <c r="AU423" s="131"/>
      <c r="AW423" s="152"/>
      <c r="AX423" s="152"/>
      <c r="AY423" s="111"/>
      <c r="AZ423" s="545"/>
      <c r="BA423" s="131"/>
    </row>
    <row r="424" spans="1:53" ht="17.100000000000001" customHeight="1" x14ac:dyDescent="0.25">
      <c r="A424" s="175"/>
      <c r="B424" s="40"/>
      <c r="C424" s="55"/>
      <c r="D424" s="56" t="s">
        <v>232</v>
      </c>
      <c r="E424" s="85" t="s">
        <v>173</v>
      </c>
      <c r="F424" s="167"/>
      <c r="G424" s="149"/>
      <c r="H424" s="182"/>
      <c r="I424" s="241"/>
      <c r="J424" s="111"/>
      <c r="K424" s="111"/>
      <c r="L424" s="111"/>
      <c r="M424" s="111"/>
      <c r="N424" s="60"/>
      <c r="O424" s="60"/>
      <c r="P424" s="17">
        <f>SUM(N424:O424)</f>
        <v>0</v>
      </c>
      <c r="Q424" s="60"/>
      <c r="R424" s="60"/>
      <c r="S424" s="17">
        <f>SUM(Q424:R424)</f>
        <v>0</v>
      </c>
      <c r="T424" s="60"/>
      <c r="U424" s="60"/>
      <c r="V424" s="359">
        <f>SUM(T424:U424)</f>
        <v>0</v>
      </c>
      <c r="W424" s="391">
        <f t="shared" ref="W424:W425" si="479">J424+K424+N424+Q424+T424</f>
        <v>0</v>
      </c>
      <c r="X424" s="17">
        <f t="shared" ref="X424:X425" si="480">L424+O424+R424+U424</f>
        <v>0</v>
      </c>
      <c r="Y424" s="18">
        <f>SUM(W424:X424)</f>
        <v>0</v>
      </c>
      <c r="Z424" s="19">
        <f>IF(Y$370=0,0,Y424/Y$370)</f>
        <v>0</v>
      </c>
      <c r="AA424" s="19"/>
      <c r="AB424" s="19"/>
      <c r="AC424" s="20"/>
      <c r="AE424" s="111"/>
      <c r="AF424" s="111"/>
      <c r="AG424" s="111"/>
      <c r="AH424" s="112"/>
      <c r="AI424" s="113"/>
      <c r="AK424" s="111"/>
      <c r="AL424" s="111"/>
      <c r="AM424" s="111"/>
      <c r="AN424" s="112"/>
      <c r="AO424" s="113"/>
      <c r="AQ424" s="17"/>
      <c r="AR424" s="17"/>
      <c r="AS424" s="17"/>
      <c r="AT424" s="18">
        <f t="shared" ref="AT424:AT425" si="481">W424</f>
        <v>0</v>
      </c>
      <c r="AU424" s="19">
        <f>IF(AT$430=0,0,AT424/AT$430)</f>
        <v>0</v>
      </c>
      <c r="AW424" s="17"/>
      <c r="AX424" s="17"/>
      <c r="AY424" s="17"/>
      <c r="AZ424" s="18">
        <f t="shared" ref="AZ424:AZ425" si="482">X424</f>
        <v>0</v>
      </c>
      <c r="BA424" s="19">
        <f>IF(AZ$430=0,0,AZ424/AZ$430)</f>
        <v>0</v>
      </c>
    </row>
    <row r="425" spans="1:53" ht="17.100000000000001" customHeight="1" x14ac:dyDescent="0.25">
      <c r="A425" s="175"/>
      <c r="B425" s="40"/>
      <c r="C425" s="55"/>
      <c r="D425" s="56" t="s">
        <v>233</v>
      </c>
      <c r="E425" s="85" t="s">
        <v>544</v>
      </c>
      <c r="F425" s="167"/>
      <c r="G425" s="149"/>
      <c r="H425" s="182"/>
      <c r="I425" s="241"/>
      <c r="J425" s="111"/>
      <c r="K425" s="111"/>
      <c r="L425" s="111"/>
      <c r="M425" s="111"/>
      <c r="N425" s="61"/>
      <c r="O425" s="61"/>
      <c r="P425" s="17">
        <f t="shared" ref="P425:P429" si="483">SUM(N425:O425)</f>
        <v>0</v>
      </c>
      <c r="Q425" s="61"/>
      <c r="R425" s="61"/>
      <c r="S425" s="17">
        <f t="shared" ref="S425:S429" si="484">SUM(Q425:R425)</f>
        <v>0</v>
      </c>
      <c r="T425" s="61"/>
      <c r="U425" s="61"/>
      <c r="V425" s="359">
        <f t="shared" ref="V425:V429" si="485">SUM(T425:U425)</f>
        <v>0</v>
      </c>
      <c r="W425" s="391">
        <f t="shared" si="479"/>
        <v>0</v>
      </c>
      <c r="X425" s="17">
        <f t="shared" si="480"/>
        <v>0</v>
      </c>
      <c r="Y425" s="18">
        <f>SUM(W425:X425)</f>
        <v>0</v>
      </c>
      <c r="Z425" s="19">
        <f>IF(Y$370=0,0,Y425/Y$370)</f>
        <v>0</v>
      </c>
      <c r="AA425" s="19"/>
      <c r="AB425" s="19"/>
      <c r="AC425" s="20"/>
      <c r="AE425" s="111"/>
      <c r="AF425" s="111"/>
      <c r="AG425" s="111"/>
      <c r="AH425" s="112"/>
      <c r="AI425" s="113"/>
      <c r="AK425" s="111"/>
      <c r="AL425" s="111"/>
      <c r="AM425" s="111"/>
      <c r="AN425" s="112"/>
      <c r="AO425" s="113"/>
      <c r="AQ425" s="17"/>
      <c r="AR425" s="17"/>
      <c r="AS425" s="17"/>
      <c r="AT425" s="18">
        <f t="shared" si="481"/>
        <v>0</v>
      </c>
      <c r="AU425" s="19">
        <f>IF(AT$430=0,0,AT425/AT$430)</f>
        <v>0</v>
      </c>
      <c r="AW425" s="17"/>
      <c r="AX425" s="17"/>
      <c r="AY425" s="17"/>
      <c r="AZ425" s="18">
        <f t="shared" si="482"/>
        <v>0</v>
      </c>
      <c r="BA425" s="19">
        <f>IF(AZ$430=0,0,AZ425/AZ$430)</f>
        <v>0</v>
      </c>
    </row>
    <row r="426" spans="1:53" ht="17.100000000000001" customHeight="1" x14ac:dyDescent="0.25">
      <c r="A426" s="175"/>
      <c r="B426" s="40"/>
      <c r="C426" s="55"/>
      <c r="D426" s="56" t="s">
        <v>234</v>
      </c>
      <c r="E426" s="146" t="s">
        <v>484</v>
      </c>
      <c r="F426" s="149"/>
      <c r="G426" s="149"/>
      <c r="H426" s="182"/>
      <c r="I426" s="241"/>
      <c r="J426" s="111"/>
      <c r="K426" s="111"/>
      <c r="L426" s="111"/>
      <c r="M426" s="111"/>
      <c r="N426" s="60"/>
      <c r="O426" s="60"/>
      <c r="P426" s="17"/>
      <c r="Q426" s="60"/>
      <c r="R426" s="60"/>
      <c r="S426" s="17"/>
      <c r="T426" s="60"/>
      <c r="U426" s="60"/>
      <c r="V426" s="359"/>
      <c r="W426" s="391">
        <f>MIN(N426,Q426,T426)</f>
        <v>0</v>
      </c>
      <c r="X426" s="17">
        <f>MIN(O426,R426,U426)</f>
        <v>0</v>
      </c>
      <c r="Y426" s="18"/>
      <c r="Z426" s="19"/>
      <c r="AA426" s="17">
        <f>MIN(N426:U426)</f>
        <v>0</v>
      </c>
      <c r="AB426" s="17"/>
      <c r="AC426" s="17"/>
      <c r="AE426" s="111"/>
      <c r="AF426" s="111"/>
      <c r="AG426" s="111"/>
      <c r="AH426" s="545"/>
      <c r="AI426" s="131"/>
      <c r="AK426" s="111"/>
      <c r="AL426" s="111"/>
      <c r="AM426" s="111"/>
      <c r="AN426" s="545"/>
      <c r="AO426" s="131"/>
      <c r="AQ426" s="17">
        <f>W426</f>
        <v>0</v>
      </c>
      <c r="AR426" s="17"/>
      <c r="AS426" s="17"/>
      <c r="AT426" s="18"/>
      <c r="AU426" s="19"/>
      <c r="AW426" s="17">
        <f>X426</f>
        <v>0</v>
      </c>
      <c r="AX426" s="17"/>
      <c r="AY426" s="17"/>
      <c r="AZ426" s="18"/>
      <c r="BA426" s="19"/>
    </row>
    <row r="427" spans="1:53" ht="17.100000000000001" customHeight="1" x14ac:dyDescent="0.25">
      <c r="A427" s="175"/>
      <c r="B427" s="40"/>
      <c r="C427" s="55"/>
      <c r="D427" s="56" t="s">
        <v>235</v>
      </c>
      <c r="E427" s="146" t="s">
        <v>485</v>
      </c>
      <c r="F427" s="149"/>
      <c r="G427" s="149"/>
      <c r="H427" s="182"/>
      <c r="I427" s="241"/>
      <c r="J427" s="111"/>
      <c r="K427" s="111"/>
      <c r="L427" s="111"/>
      <c r="M427" s="111"/>
      <c r="N427" s="61"/>
      <c r="O427" s="61"/>
      <c r="P427" s="17"/>
      <c r="Q427" s="61"/>
      <c r="R427" s="61"/>
      <c r="S427" s="17"/>
      <c r="T427" s="61"/>
      <c r="U427" s="61"/>
      <c r="V427" s="359"/>
      <c r="W427" s="391">
        <f>MAX(N427,Q427,T427)</f>
        <v>0</v>
      </c>
      <c r="X427" s="17">
        <f>MAX(O427,R427,U427)</f>
        <v>0</v>
      </c>
      <c r="Y427" s="18"/>
      <c r="Z427" s="19"/>
      <c r="AA427" s="17"/>
      <c r="AB427" s="17">
        <f>MAX(N427:U427)</f>
        <v>0</v>
      </c>
      <c r="AC427" s="17"/>
      <c r="AE427" s="111"/>
      <c r="AF427" s="111"/>
      <c r="AG427" s="111"/>
      <c r="AH427" s="545"/>
      <c r="AI427" s="131"/>
      <c r="AK427" s="111"/>
      <c r="AL427" s="111"/>
      <c r="AM427" s="111"/>
      <c r="AN427" s="545"/>
      <c r="AO427" s="131"/>
      <c r="AQ427" s="17"/>
      <c r="AR427" s="17">
        <f>W427</f>
        <v>0</v>
      </c>
      <c r="AS427" s="17"/>
      <c r="AT427" s="18"/>
      <c r="AU427" s="19"/>
      <c r="AW427" s="17"/>
      <c r="AX427" s="17">
        <f>X427</f>
        <v>0</v>
      </c>
      <c r="AY427" s="17"/>
      <c r="AZ427" s="18"/>
      <c r="BA427" s="19"/>
    </row>
    <row r="428" spans="1:53" ht="17.100000000000001" customHeight="1" x14ac:dyDescent="0.25">
      <c r="A428" s="175"/>
      <c r="B428" s="40"/>
      <c r="C428" s="55"/>
      <c r="D428" s="56" t="s">
        <v>236</v>
      </c>
      <c r="E428" s="146" t="s">
        <v>543</v>
      </c>
      <c r="F428" s="149"/>
      <c r="G428" s="149"/>
      <c r="H428" s="182"/>
      <c r="I428" s="241"/>
      <c r="J428" s="111"/>
      <c r="K428" s="111"/>
      <c r="L428" s="111"/>
      <c r="M428" s="111"/>
      <c r="N428" s="60"/>
      <c r="O428" s="60"/>
      <c r="P428" s="17"/>
      <c r="Q428" s="60"/>
      <c r="R428" s="60"/>
      <c r="S428" s="17"/>
      <c r="T428" s="60"/>
      <c r="U428" s="60"/>
      <c r="V428" s="359"/>
      <c r="W428" s="391">
        <f>IF(N428+Q428+T428=0,0,AVERAGE(N428,Q428,T428))</f>
        <v>0</v>
      </c>
      <c r="X428" s="17">
        <f>IF(O428+R428+U428=0,0,AVERAGE(O428,R428,U428))</f>
        <v>0</v>
      </c>
      <c r="Y428" s="18"/>
      <c r="Z428" s="19"/>
      <c r="AA428" s="17"/>
      <c r="AB428" s="17"/>
      <c r="AC428" s="17">
        <f>IF(SUM(N428:U428)=0,0,AVERAGE(N428:U428))</f>
        <v>0</v>
      </c>
      <c r="AE428" s="111"/>
      <c r="AF428" s="111"/>
      <c r="AG428" s="111"/>
      <c r="AH428" s="545"/>
      <c r="AI428" s="131"/>
      <c r="AK428" s="111"/>
      <c r="AL428" s="111"/>
      <c r="AM428" s="111"/>
      <c r="AN428" s="545"/>
      <c r="AO428" s="131"/>
      <c r="AQ428" s="17"/>
      <c r="AR428" s="17"/>
      <c r="AS428" s="17">
        <f>W428</f>
        <v>0</v>
      </c>
      <c r="AT428" s="18"/>
      <c r="AU428" s="19"/>
      <c r="AW428" s="17"/>
      <c r="AX428" s="17"/>
      <c r="AY428" s="17">
        <f>X428</f>
        <v>0</v>
      </c>
      <c r="AZ428" s="18"/>
      <c r="BA428" s="19"/>
    </row>
    <row r="429" spans="1:53" ht="17.100000000000001" customHeight="1" x14ac:dyDescent="0.25">
      <c r="A429" s="175"/>
      <c r="B429" s="40"/>
      <c r="C429" s="55"/>
      <c r="D429" s="56" t="s">
        <v>237</v>
      </c>
      <c r="E429" s="85" t="s">
        <v>129</v>
      </c>
      <c r="F429" s="167"/>
      <c r="G429" s="149"/>
      <c r="H429" s="182"/>
      <c r="I429" s="241"/>
      <c r="J429" s="111"/>
      <c r="K429" s="111"/>
      <c r="L429" s="111"/>
      <c r="M429" s="111"/>
      <c r="N429" s="61"/>
      <c r="O429" s="61"/>
      <c r="P429" s="17">
        <f t="shared" si="483"/>
        <v>0</v>
      </c>
      <c r="Q429" s="61"/>
      <c r="R429" s="61"/>
      <c r="S429" s="17">
        <f t="shared" si="484"/>
        <v>0</v>
      </c>
      <c r="T429" s="61"/>
      <c r="U429" s="61"/>
      <c r="V429" s="359">
        <f t="shared" si="485"/>
        <v>0</v>
      </c>
      <c r="W429" s="391">
        <f t="shared" ref="W429" si="486">J429+K429+N429+Q429+T429</f>
        <v>0</v>
      </c>
      <c r="X429" s="17">
        <f t="shared" ref="X429" si="487">L429+O429+R429+U429</f>
        <v>0</v>
      </c>
      <c r="Y429" s="18">
        <f>SUM(W429:X429)</f>
        <v>0</v>
      </c>
      <c r="Z429" s="19">
        <f>IF(Y$370=0,0,Y429/Y$370)</f>
        <v>0</v>
      </c>
      <c r="AA429" s="19"/>
      <c r="AB429" s="19"/>
      <c r="AC429" s="20"/>
      <c r="AE429" s="111"/>
      <c r="AF429" s="111"/>
      <c r="AG429" s="111"/>
      <c r="AH429" s="112"/>
      <c r="AI429" s="113"/>
      <c r="AK429" s="111"/>
      <c r="AL429" s="111"/>
      <c r="AM429" s="111"/>
      <c r="AN429" s="112"/>
      <c r="AO429" s="113"/>
      <c r="AQ429" s="17"/>
      <c r="AR429" s="17"/>
      <c r="AS429" s="17"/>
      <c r="AT429" s="18">
        <f t="shared" ref="AT429" si="488">W429</f>
        <v>0</v>
      </c>
      <c r="AU429" s="19">
        <f>IF(AT$430=0,0,AT429/AT$430)</f>
        <v>0</v>
      </c>
      <c r="AW429" s="17"/>
      <c r="AX429" s="17"/>
      <c r="AY429" s="17"/>
      <c r="AZ429" s="18">
        <f t="shared" ref="AZ429" si="489">X429</f>
        <v>0</v>
      </c>
      <c r="BA429" s="19">
        <f>IF(AZ$430=0,0,AZ429/AZ$430)</f>
        <v>0</v>
      </c>
    </row>
    <row r="430" spans="1:53" ht="17.100000000000001" customHeight="1" x14ac:dyDescent="0.25">
      <c r="A430" s="40"/>
      <c r="B430" s="40"/>
      <c r="C430" s="77"/>
      <c r="D430" s="134"/>
      <c r="E430" s="134"/>
      <c r="F430" s="134"/>
      <c r="G430" s="134"/>
      <c r="H430" s="540"/>
      <c r="I430" s="229"/>
      <c r="J430" s="80"/>
      <c r="K430" s="80"/>
      <c r="L430" s="81"/>
      <c r="M430" s="81"/>
      <c r="N430" s="81">
        <f>N424+N425+N429</f>
        <v>0</v>
      </c>
      <c r="O430" s="81">
        <f t="shared" ref="O430:V430" si="490">O424+O425+O429</f>
        <v>0</v>
      </c>
      <c r="P430" s="81">
        <f t="shared" si="490"/>
        <v>0</v>
      </c>
      <c r="Q430" s="81">
        <f t="shared" si="490"/>
        <v>0</v>
      </c>
      <c r="R430" s="81">
        <f t="shared" si="490"/>
        <v>0</v>
      </c>
      <c r="S430" s="81">
        <f t="shared" si="490"/>
        <v>0</v>
      </c>
      <c r="T430" s="81">
        <f t="shared" si="490"/>
        <v>0</v>
      </c>
      <c r="U430" s="81">
        <f t="shared" si="490"/>
        <v>0</v>
      </c>
      <c r="V430" s="81">
        <f t="shared" si="490"/>
        <v>0</v>
      </c>
      <c r="W430" s="381">
        <f>W424+W425+W429</f>
        <v>0</v>
      </c>
      <c r="X430" s="82">
        <f t="shared" ref="X430:Y430" si="491">X424+X425+X429</f>
        <v>0</v>
      </c>
      <c r="Y430" s="338">
        <f t="shared" si="491"/>
        <v>0</v>
      </c>
      <c r="Z430" s="205">
        <f>IF(Y$430=0,0,Y430/Y$430)</f>
        <v>0</v>
      </c>
      <c r="AA430" s="205"/>
      <c r="AB430" s="205"/>
      <c r="AC430" s="83"/>
      <c r="AE430" s="80"/>
      <c r="AF430" s="80"/>
      <c r="AG430" s="81"/>
      <c r="AH430" s="82"/>
      <c r="AI430" s="66"/>
      <c r="AK430" s="80"/>
      <c r="AL430" s="80"/>
      <c r="AM430" s="81"/>
      <c r="AN430" s="82"/>
      <c r="AO430" s="66"/>
      <c r="AQ430" s="80"/>
      <c r="AR430" s="80"/>
      <c r="AS430" s="81"/>
      <c r="AT430" s="82">
        <f>SUM(AT424:AT429)</f>
        <v>0</v>
      </c>
      <c r="AU430" s="66">
        <f>IF(AT$430=0,0,AT430/AT$430)</f>
        <v>0</v>
      </c>
      <c r="AW430" s="80"/>
      <c r="AX430" s="80"/>
      <c r="AY430" s="81"/>
      <c r="AZ430" s="82">
        <f>SUM(AZ424:AZ429)</f>
        <v>0</v>
      </c>
      <c r="BA430" s="66">
        <f>IF(AZ$430=0,0,AZ430/AZ$430)</f>
        <v>0</v>
      </c>
    </row>
    <row r="431" spans="1:53" s="117" customFormat="1" ht="17.100000000000001" customHeight="1" x14ac:dyDescent="0.25">
      <c r="A431" s="68"/>
      <c r="B431" s="119"/>
      <c r="C431" s="540"/>
      <c r="D431" s="261"/>
      <c r="E431" s="261"/>
      <c r="F431" s="68"/>
      <c r="G431" s="68"/>
      <c r="H431" s="119"/>
      <c r="I431" s="138"/>
      <c r="J431" s="17"/>
      <c r="K431" s="17"/>
      <c r="L431" s="17"/>
      <c r="M431" s="17"/>
      <c r="N431" s="17" t="str">
        <f>IF(N430=N$403,"OK","NOK")</f>
        <v>OK</v>
      </c>
      <c r="O431" s="17" t="str">
        <f>IF(O430=O$403,"OK","NOK")</f>
        <v>OK</v>
      </c>
      <c r="P431" s="17"/>
      <c r="Q431" s="17" t="str">
        <f>IF(Q430=Q$403,"OK","NOK")</f>
        <v>OK</v>
      </c>
      <c r="R431" s="17" t="str">
        <f>IF(R430=R$403,"OK","NOK")</f>
        <v>OK</v>
      </c>
      <c r="S431" s="17"/>
      <c r="T431" s="17" t="str">
        <f>IF(T430=T$403,"OK","NOK")</f>
        <v>OK</v>
      </c>
      <c r="U431" s="17" t="str">
        <f>IF(U430=U$403,"OK","NOK")</f>
        <v>OK</v>
      </c>
      <c r="V431" s="359"/>
      <c r="W431" s="382"/>
      <c r="X431" s="539"/>
      <c r="Y431" s="539"/>
      <c r="Z431" s="201"/>
      <c r="AA431" s="201"/>
      <c r="AB431" s="201"/>
      <c r="AC431" s="84"/>
      <c r="AE431" s="46"/>
      <c r="AF431" s="46"/>
      <c r="AG431" s="17"/>
      <c r="AH431" s="539"/>
      <c r="AI431" s="91"/>
      <c r="AK431" s="46"/>
      <c r="AL431" s="46"/>
      <c r="AM431" s="17"/>
      <c r="AN431" s="539"/>
      <c r="AO431" s="91"/>
      <c r="AQ431" s="46"/>
      <c r="AR431" s="46"/>
      <c r="AS431" s="17"/>
      <c r="AT431" s="539"/>
      <c r="AU431" s="91"/>
      <c r="AW431" s="46"/>
      <c r="AX431" s="46"/>
      <c r="AY431" s="17"/>
      <c r="AZ431" s="539"/>
      <c r="BA431" s="91"/>
    </row>
    <row r="432" spans="1:53" ht="17.100000000000001" customHeight="1" x14ac:dyDescent="0.25">
      <c r="A432" s="175"/>
      <c r="B432" s="40"/>
      <c r="C432" s="56" t="s">
        <v>238</v>
      </c>
      <c r="D432" s="57" t="s">
        <v>477</v>
      </c>
      <c r="E432" s="149"/>
      <c r="F432" s="149"/>
      <c r="G432" s="149"/>
      <c r="H432" s="182"/>
      <c r="I432" s="241"/>
      <c r="J432" s="152"/>
      <c r="K432" s="152"/>
      <c r="L432" s="111"/>
      <c r="M432" s="111"/>
      <c r="N432" s="111"/>
      <c r="O432" s="111"/>
      <c r="P432" s="111"/>
      <c r="Q432" s="111"/>
      <c r="R432" s="111"/>
      <c r="S432" s="111"/>
      <c r="T432" s="111"/>
      <c r="U432" s="111"/>
      <c r="V432" s="358"/>
      <c r="W432" s="380"/>
      <c r="X432" s="111"/>
      <c r="Y432" s="545"/>
      <c r="Z432" s="131"/>
      <c r="AA432" s="131"/>
      <c r="AB432" s="131"/>
      <c r="AC432" s="113"/>
      <c r="AE432" s="152"/>
      <c r="AF432" s="152"/>
      <c r="AG432" s="111"/>
      <c r="AH432" s="545"/>
      <c r="AI432" s="131"/>
      <c r="AK432" s="152"/>
      <c r="AL432" s="152"/>
      <c r="AM432" s="111"/>
      <c r="AN432" s="545"/>
      <c r="AO432" s="131"/>
      <c r="AQ432" s="152"/>
      <c r="AR432" s="152"/>
      <c r="AS432" s="111"/>
      <c r="AT432" s="545"/>
      <c r="AU432" s="131"/>
      <c r="AW432" s="152"/>
      <c r="AX432" s="152"/>
      <c r="AY432" s="111"/>
      <c r="AZ432" s="545"/>
      <c r="BA432" s="131"/>
    </row>
    <row r="433" spans="1:53" ht="17.100000000000001" customHeight="1" x14ac:dyDescent="0.25">
      <c r="A433" s="175"/>
      <c r="B433" s="40"/>
      <c r="C433" s="55"/>
      <c r="D433" s="56" t="s">
        <v>239</v>
      </c>
      <c r="E433" s="85" t="s">
        <v>478</v>
      </c>
      <c r="F433" s="149"/>
      <c r="G433" s="149"/>
      <c r="H433" s="182"/>
      <c r="I433" s="241"/>
      <c r="J433" s="111"/>
      <c r="K433" s="111"/>
      <c r="L433" s="111"/>
      <c r="M433" s="111"/>
      <c r="N433" s="60"/>
      <c r="O433" s="60"/>
      <c r="P433" s="17">
        <f t="shared" ref="P433:P440" si="492">SUM(N433:O433)</f>
        <v>0</v>
      </c>
      <c r="Q433" s="60"/>
      <c r="R433" s="60"/>
      <c r="S433" s="17">
        <f t="shared" ref="S433:S440" si="493">SUM(Q433:R433)</f>
        <v>0</v>
      </c>
      <c r="T433" s="60"/>
      <c r="U433" s="60"/>
      <c r="V433" s="359">
        <f t="shared" ref="V433:V440" si="494">SUM(T433:U433)</f>
        <v>0</v>
      </c>
      <c r="W433" s="391">
        <f t="shared" ref="W433:W440" si="495">J433+K433+N433+Q433+T433</f>
        <v>0</v>
      </c>
      <c r="X433" s="17">
        <f t="shared" ref="X433:X440" si="496">L433+O433+R433+U433</f>
        <v>0</v>
      </c>
      <c r="Y433" s="18">
        <f t="shared" ref="Y433:Y440" si="497">SUM(W433:X433)</f>
        <v>0</v>
      </c>
      <c r="Z433" s="19">
        <f>IF(Y$441=0,0,Y433/Y$441)</f>
        <v>0</v>
      </c>
      <c r="AA433" s="19"/>
      <c r="AB433" s="19"/>
      <c r="AC433" s="84"/>
      <c r="AE433" s="111"/>
      <c r="AF433" s="111"/>
      <c r="AG433" s="111"/>
      <c r="AH433" s="112"/>
      <c r="AI433" s="113"/>
      <c r="AK433" s="111"/>
      <c r="AL433" s="111"/>
      <c r="AM433" s="111"/>
      <c r="AN433" s="112"/>
      <c r="AO433" s="113"/>
      <c r="AQ433" s="17"/>
      <c r="AR433" s="17"/>
      <c r="AS433" s="17"/>
      <c r="AT433" s="18">
        <f t="shared" ref="AT433:AT440" si="498">W433</f>
        <v>0</v>
      </c>
      <c r="AU433" s="19">
        <f>IF(AT$441=0,0,AT433/AT$441)</f>
        <v>0</v>
      </c>
      <c r="AW433" s="17"/>
      <c r="AX433" s="17"/>
      <c r="AY433" s="17"/>
      <c r="AZ433" s="18">
        <f t="shared" ref="AZ433:AZ440" si="499">X433</f>
        <v>0</v>
      </c>
      <c r="BA433" s="19">
        <f>IF(AZ$441=0,0,AZ433/AZ$441)</f>
        <v>0</v>
      </c>
    </row>
    <row r="434" spans="1:53" ht="17.100000000000001" customHeight="1" x14ac:dyDescent="0.25">
      <c r="A434" s="175"/>
      <c r="B434" s="40"/>
      <c r="C434" s="55"/>
      <c r="D434" s="56" t="s">
        <v>240</v>
      </c>
      <c r="E434" s="85" t="s">
        <v>165</v>
      </c>
      <c r="F434" s="149"/>
      <c r="G434" s="149"/>
      <c r="H434" s="182"/>
      <c r="I434" s="241"/>
      <c r="J434" s="111"/>
      <c r="K434" s="111"/>
      <c r="L434" s="111"/>
      <c r="M434" s="111"/>
      <c r="N434" s="61"/>
      <c r="O434" s="61"/>
      <c r="P434" s="17">
        <f t="shared" si="492"/>
        <v>0</v>
      </c>
      <c r="Q434" s="61"/>
      <c r="R434" s="61"/>
      <c r="S434" s="17">
        <f t="shared" si="493"/>
        <v>0</v>
      </c>
      <c r="T434" s="61"/>
      <c r="U434" s="61"/>
      <c r="V434" s="359">
        <f t="shared" si="494"/>
        <v>0</v>
      </c>
      <c r="W434" s="391">
        <f t="shared" si="495"/>
        <v>0</v>
      </c>
      <c r="X434" s="17">
        <f t="shared" si="496"/>
        <v>0</v>
      </c>
      <c r="Y434" s="18">
        <f t="shared" si="497"/>
        <v>0</v>
      </c>
      <c r="Z434" s="19">
        <f t="shared" ref="Z434:Z441" si="500">IF(Y$441=0,0,Y434/Y$441)</f>
        <v>0</v>
      </c>
      <c r="AA434" s="19"/>
      <c r="AB434" s="19"/>
      <c r="AC434" s="84"/>
      <c r="AE434" s="111"/>
      <c r="AF434" s="111"/>
      <c r="AG434" s="111"/>
      <c r="AH434" s="112"/>
      <c r="AI434" s="113"/>
      <c r="AK434" s="111"/>
      <c r="AL434" s="111"/>
      <c r="AM434" s="111"/>
      <c r="AN434" s="112"/>
      <c r="AO434" s="113"/>
      <c r="AQ434" s="17"/>
      <c r="AR434" s="17"/>
      <c r="AS434" s="17"/>
      <c r="AT434" s="18">
        <f t="shared" si="498"/>
        <v>0</v>
      </c>
      <c r="AU434" s="19">
        <f t="shared" ref="AU434:AU441" si="501">IF(AT$441=0,0,AT434/AT$441)</f>
        <v>0</v>
      </c>
      <c r="AW434" s="17"/>
      <c r="AX434" s="17"/>
      <c r="AY434" s="17"/>
      <c r="AZ434" s="18">
        <f t="shared" si="499"/>
        <v>0</v>
      </c>
      <c r="BA434" s="19">
        <f t="shared" ref="BA434:BA441" si="502">IF(AZ$441=0,0,AZ434/AZ$441)</f>
        <v>0</v>
      </c>
    </row>
    <row r="435" spans="1:53" ht="17.100000000000001" customHeight="1" x14ac:dyDescent="0.25">
      <c r="A435" s="175"/>
      <c r="B435" s="40"/>
      <c r="C435" s="55"/>
      <c r="D435" s="56" t="s">
        <v>241</v>
      </c>
      <c r="E435" s="85" t="s">
        <v>167</v>
      </c>
      <c r="F435" s="149"/>
      <c r="G435" s="149"/>
      <c r="H435" s="182"/>
      <c r="I435" s="241"/>
      <c r="J435" s="111"/>
      <c r="K435" s="111"/>
      <c r="L435" s="111"/>
      <c r="M435" s="111"/>
      <c r="N435" s="60"/>
      <c r="O435" s="60"/>
      <c r="P435" s="17">
        <f t="shared" si="492"/>
        <v>0</v>
      </c>
      <c r="Q435" s="60"/>
      <c r="R435" s="60"/>
      <c r="S435" s="17">
        <f t="shared" si="493"/>
        <v>0</v>
      </c>
      <c r="T435" s="60"/>
      <c r="U435" s="60"/>
      <c r="V435" s="359">
        <f t="shared" si="494"/>
        <v>0</v>
      </c>
      <c r="W435" s="391">
        <f t="shared" si="495"/>
        <v>0</v>
      </c>
      <c r="X435" s="17">
        <f t="shared" si="496"/>
        <v>0</v>
      </c>
      <c r="Y435" s="18">
        <f t="shared" si="497"/>
        <v>0</v>
      </c>
      <c r="Z435" s="19">
        <f t="shared" si="500"/>
        <v>0</v>
      </c>
      <c r="AA435" s="19"/>
      <c r="AB435" s="19"/>
      <c r="AC435" s="84"/>
      <c r="AE435" s="111"/>
      <c r="AF435" s="111"/>
      <c r="AG435" s="111"/>
      <c r="AH435" s="112"/>
      <c r="AI435" s="113"/>
      <c r="AK435" s="111"/>
      <c r="AL435" s="111"/>
      <c r="AM435" s="111"/>
      <c r="AN435" s="112"/>
      <c r="AO435" s="113"/>
      <c r="AQ435" s="17"/>
      <c r="AR435" s="17"/>
      <c r="AS435" s="17"/>
      <c r="AT435" s="18">
        <f t="shared" si="498"/>
        <v>0</v>
      </c>
      <c r="AU435" s="19">
        <f t="shared" si="501"/>
        <v>0</v>
      </c>
      <c r="AW435" s="17"/>
      <c r="AX435" s="17"/>
      <c r="AY435" s="17"/>
      <c r="AZ435" s="18">
        <f t="shared" si="499"/>
        <v>0</v>
      </c>
      <c r="BA435" s="19">
        <f t="shared" si="502"/>
        <v>0</v>
      </c>
    </row>
    <row r="436" spans="1:53" ht="17.100000000000001" customHeight="1" x14ac:dyDescent="0.25">
      <c r="A436" s="175"/>
      <c r="B436" s="40"/>
      <c r="C436" s="55"/>
      <c r="D436" s="56" t="s">
        <v>242</v>
      </c>
      <c r="E436" s="85" t="s">
        <v>991</v>
      </c>
      <c r="F436" s="149"/>
      <c r="G436" s="149"/>
      <c r="H436" s="182"/>
      <c r="I436" s="241"/>
      <c r="J436" s="111"/>
      <c r="K436" s="111"/>
      <c r="L436" s="111"/>
      <c r="M436" s="111"/>
      <c r="N436" s="61"/>
      <c r="O436" s="61"/>
      <c r="P436" s="17">
        <f t="shared" si="492"/>
        <v>0</v>
      </c>
      <c r="Q436" s="61"/>
      <c r="R436" s="61"/>
      <c r="S436" s="17">
        <f t="shared" si="493"/>
        <v>0</v>
      </c>
      <c r="T436" s="61"/>
      <c r="U436" s="61"/>
      <c r="V436" s="359">
        <f t="shared" si="494"/>
        <v>0</v>
      </c>
      <c r="W436" s="391">
        <f t="shared" si="495"/>
        <v>0</v>
      </c>
      <c r="X436" s="17">
        <f t="shared" si="496"/>
        <v>0</v>
      </c>
      <c r="Y436" s="18">
        <f t="shared" si="497"/>
        <v>0</v>
      </c>
      <c r="Z436" s="19">
        <f t="shared" si="500"/>
        <v>0</v>
      </c>
      <c r="AA436" s="19"/>
      <c r="AB436" s="19"/>
      <c r="AC436" s="84"/>
      <c r="AE436" s="111"/>
      <c r="AF436" s="111"/>
      <c r="AG436" s="111"/>
      <c r="AH436" s="112"/>
      <c r="AI436" s="113"/>
      <c r="AK436" s="111"/>
      <c r="AL436" s="111"/>
      <c r="AM436" s="111"/>
      <c r="AN436" s="112"/>
      <c r="AO436" s="113"/>
      <c r="AQ436" s="17"/>
      <c r="AR436" s="17"/>
      <c r="AS436" s="17"/>
      <c r="AT436" s="18">
        <f t="shared" si="498"/>
        <v>0</v>
      </c>
      <c r="AU436" s="19">
        <f t="shared" si="501"/>
        <v>0</v>
      </c>
      <c r="AW436" s="17"/>
      <c r="AX436" s="17"/>
      <c r="AY436" s="17"/>
      <c r="AZ436" s="18">
        <f t="shared" si="499"/>
        <v>0</v>
      </c>
      <c r="BA436" s="19">
        <f t="shared" si="502"/>
        <v>0</v>
      </c>
    </row>
    <row r="437" spans="1:53" ht="17.100000000000001" customHeight="1" x14ac:dyDescent="0.25">
      <c r="A437" s="175"/>
      <c r="B437" s="40"/>
      <c r="C437" s="55"/>
      <c r="D437" s="56" t="s">
        <v>243</v>
      </c>
      <c r="E437" s="85" t="s">
        <v>438</v>
      </c>
      <c r="F437" s="149"/>
      <c r="G437" s="149"/>
      <c r="H437" s="182"/>
      <c r="I437" s="241"/>
      <c r="J437" s="111"/>
      <c r="K437" s="111"/>
      <c r="L437" s="111"/>
      <c r="M437" s="111"/>
      <c r="N437" s="60"/>
      <c r="O437" s="60"/>
      <c r="P437" s="17">
        <f t="shared" si="492"/>
        <v>0</v>
      </c>
      <c r="Q437" s="60"/>
      <c r="R437" s="60"/>
      <c r="S437" s="17">
        <f t="shared" si="493"/>
        <v>0</v>
      </c>
      <c r="T437" s="60"/>
      <c r="U437" s="60"/>
      <c r="V437" s="359">
        <f t="shared" si="494"/>
        <v>0</v>
      </c>
      <c r="W437" s="391">
        <f t="shared" si="495"/>
        <v>0</v>
      </c>
      <c r="X437" s="17">
        <f t="shared" si="496"/>
        <v>0</v>
      </c>
      <c r="Y437" s="18">
        <f t="shared" si="497"/>
        <v>0</v>
      </c>
      <c r="Z437" s="19">
        <f t="shared" si="500"/>
        <v>0</v>
      </c>
      <c r="AA437" s="19"/>
      <c r="AB437" s="19"/>
      <c r="AC437" s="84"/>
      <c r="AE437" s="111"/>
      <c r="AF437" s="111"/>
      <c r="AG437" s="111"/>
      <c r="AH437" s="112"/>
      <c r="AI437" s="113"/>
      <c r="AK437" s="111"/>
      <c r="AL437" s="111"/>
      <c r="AM437" s="111"/>
      <c r="AN437" s="112"/>
      <c r="AO437" s="113"/>
      <c r="AQ437" s="17"/>
      <c r="AR437" s="17"/>
      <c r="AS437" s="17"/>
      <c r="AT437" s="18">
        <f t="shared" si="498"/>
        <v>0</v>
      </c>
      <c r="AU437" s="19">
        <f t="shared" si="501"/>
        <v>0</v>
      </c>
      <c r="AW437" s="17"/>
      <c r="AX437" s="17"/>
      <c r="AY437" s="17"/>
      <c r="AZ437" s="18">
        <f t="shared" si="499"/>
        <v>0</v>
      </c>
      <c r="BA437" s="19">
        <f t="shared" si="502"/>
        <v>0</v>
      </c>
    </row>
    <row r="438" spans="1:53" ht="17.100000000000001" customHeight="1" x14ac:dyDescent="0.25">
      <c r="A438" s="175"/>
      <c r="B438" s="40"/>
      <c r="C438" s="55"/>
      <c r="D438" s="56" t="s">
        <v>244</v>
      </c>
      <c r="E438" s="85" t="s">
        <v>439</v>
      </c>
      <c r="F438" s="595"/>
      <c r="G438" s="595"/>
      <c r="H438" s="17"/>
      <c r="I438" s="594"/>
      <c r="J438" s="111"/>
      <c r="K438" s="111"/>
      <c r="L438" s="111"/>
      <c r="M438" s="111"/>
      <c r="N438" s="61"/>
      <c r="O438" s="61"/>
      <c r="P438" s="17">
        <f t="shared" si="492"/>
        <v>0</v>
      </c>
      <c r="Q438" s="61"/>
      <c r="R438" s="61"/>
      <c r="S438" s="17">
        <f t="shared" si="493"/>
        <v>0</v>
      </c>
      <c r="T438" s="61"/>
      <c r="U438" s="61"/>
      <c r="V438" s="359">
        <f t="shared" si="494"/>
        <v>0</v>
      </c>
      <c r="W438" s="391">
        <f t="shared" si="495"/>
        <v>0</v>
      </c>
      <c r="X438" s="17">
        <f t="shared" si="496"/>
        <v>0</v>
      </c>
      <c r="Y438" s="18">
        <f t="shared" si="497"/>
        <v>0</v>
      </c>
      <c r="Z438" s="19">
        <f t="shared" si="500"/>
        <v>0</v>
      </c>
      <c r="AA438" s="19"/>
      <c r="AB438" s="19"/>
      <c r="AC438" s="84"/>
      <c r="AE438" s="111"/>
      <c r="AF438" s="111"/>
      <c r="AG438" s="111"/>
      <c r="AH438" s="112"/>
      <c r="AI438" s="113"/>
      <c r="AK438" s="111"/>
      <c r="AL438" s="111"/>
      <c r="AM438" s="111"/>
      <c r="AN438" s="112"/>
      <c r="AO438" s="113"/>
      <c r="AQ438" s="17"/>
      <c r="AR438" s="17"/>
      <c r="AS438" s="17"/>
      <c r="AT438" s="18">
        <f t="shared" si="498"/>
        <v>0</v>
      </c>
      <c r="AU438" s="19">
        <f t="shared" si="501"/>
        <v>0</v>
      </c>
      <c r="AW438" s="17"/>
      <c r="AX438" s="17"/>
      <c r="AY438" s="17"/>
      <c r="AZ438" s="18">
        <f t="shared" si="499"/>
        <v>0</v>
      </c>
      <c r="BA438" s="19">
        <f t="shared" si="502"/>
        <v>0</v>
      </c>
    </row>
    <row r="439" spans="1:53" ht="17.100000000000001" customHeight="1" x14ac:dyDescent="0.25">
      <c r="A439" s="175"/>
      <c r="B439" s="40"/>
      <c r="C439" s="55"/>
      <c r="D439" s="56" t="s">
        <v>475</v>
      </c>
      <c r="E439" s="85" t="s">
        <v>483</v>
      </c>
      <c r="F439" s="595"/>
      <c r="G439" s="595"/>
      <c r="H439" s="17"/>
      <c r="I439" s="594"/>
      <c r="J439" s="111"/>
      <c r="K439" s="111"/>
      <c r="L439" s="111"/>
      <c r="M439" s="111"/>
      <c r="N439" s="60"/>
      <c r="O439" s="60"/>
      <c r="P439" s="17">
        <f t="shared" si="492"/>
        <v>0</v>
      </c>
      <c r="Q439" s="60"/>
      <c r="R439" s="60"/>
      <c r="S439" s="17">
        <f t="shared" si="493"/>
        <v>0</v>
      </c>
      <c r="T439" s="60"/>
      <c r="U439" s="60"/>
      <c r="V439" s="359">
        <f t="shared" si="494"/>
        <v>0</v>
      </c>
      <c r="W439" s="391">
        <f t="shared" si="495"/>
        <v>0</v>
      </c>
      <c r="X439" s="17">
        <f t="shared" si="496"/>
        <v>0</v>
      </c>
      <c r="Y439" s="18">
        <f t="shared" si="497"/>
        <v>0</v>
      </c>
      <c r="Z439" s="19">
        <f t="shared" si="500"/>
        <v>0</v>
      </c>
      <c r="AA439" s="19"/>
      <c r="AB439" s="19"/>
      <c r="AC439" s="84"/>
      <c r="AE439" s="111"/>
      <c r="AF439" s="111"/>
      <c r="AG439" s="111"/>
      <c r="AH439" s="112"/>
      <c r="AI439" s="113"/>
      <c r="AK439" s="111"/>
      <c r="AL439" s="111"/>
      <c r="AM439" s="111"/>
      <c r="AN439" s="112"/>
      <c r="AO439" s="113"/>
      <c r="AQ439" s="17"/>
      <c r="AR439" s="17"/>
      <c r="AS439" s="17"/>
      <c r="AT439" s="18">
        <f t="shared" si="498"/>
        <v>0</v>
      </c>
      <c r="AU439" s="19">
        <f t="shared" si="501"/>
        <v>0</v>
      </c>
      <c r="AW439" s="17"/>
      <c r="AX439" s="17"/>
      <c r="AY439" s="17"/>
      <c r="AZ439" s="18">
        <f t="shared" si="499"/>
        <v>0</v>
      </c>
      <c r="BA439" s="19">
        <f t="shared" si="502"/>
        <v>0</v>
      </c>
    </row>
    <row r="440" spans="1:53" ht="17.100000000000001" customHeight="1" x14ac:dyDescent="0.25">
      <c r="A440" s="175"/>
      <c r="B440" s="40"/>
      <c r="C440" s="55"/>
      <c r="D440" s="56" t="s">
        <v>476</v>
      </c>
      <c r="E440" s="149" t="s">
        <v>129</v>
      </c>
      <c r="F440" s="149"/>
      <c r="G440" s="149"/>
      <c r="H440" s="182"/>
      <c r="I440" s="241"/>
      <c r="J440" s="111"/>
      <c r="K440" s="111"/>
      <c r="L440" s="111"/>
      <c r="M440" s="111"/>
      <c r="N440" s="61"/>
      <c r="O440" s="61"/>
      <c r="P440" s="17">
        <f t="shared" si="492"/>
        <v>0</v>
      </c>
      <c r="Q440" s="61"/>
      <c r="R440" s="61"/>
      <c r="S440" s="17">
        <f t="shared" si="493"/>
        <v>0</v>
      </c>
      <c r="T440" s="61"/>
      <c r="U440" s="61"/>
      <c r="V440" s="359">
        <f t="shared" si="494"/>
        <v>0</v>
      </c>
      <c r="W440" s="391">
        <f t="shared" si="495"/>
        <v>0</v>
      </c>
      <c r="X440" s="17">
        <f t="shared" si="496"/>
        <v>0</v>
      </c>
      <c r="Y440" s="18">
        <f t="shared" si="497"/>
        <v>0</v>
      </c>
      <c r="Z440" s="19">
        <f t="shared" si="500"/>
        <v>0</v>
      </c>
      <c r="AA440" s="19"/>
      <c r="AB440" s="19"/>
      <c r="AC440" s="84"/>
      <c r="AE440" s="111"/>
      <c r="AF440" s="111"/>
      <c r="AG440" s="111"/>
      <c r="AH440" s="112"/>
      <c r="AI440" s="113"/>
      <c r="AK440" s="111"/>
      <c r="AL440" s="111"/>
      <c r="AM440" s="111"/>
      <c r="AN440" s="112"/>
      <c r="AO440" s="113"/>
      <c r="AQ440" s="17"/>
      <c r="AR440" s="17"/>
      <c r="AS440" s="17"/>
      <c r="AT440" s="18">
        <f t="shared" si="498"/>
        <v>0</v>
      </c>
      <c r="AU440" s="19">
        <f t="shared" si="501"/>
        <v>0</v>
      </c>
      <c r="AW440" s="17"/>
      <c r="AX440" s="17"/>
      <c r="AY440" s="17"/>
      <c r="AZ440" s="18">
        <f t="shared" si="499"/>
        <v>0</v>
      </c>
      <c r="BA440" s="19">
        <f t="shared" si="502"/>
        <v>0</v>
      </c>
    </row>
    <row r="441" spans="1:53" ht="17.100000000000001" customHeight="1" x14ac:dyDescent="0.25">
      <c r="A441" s="175"/>
      <c r="B441" s="40"/>
      <c r="C441" s="77"/>
      <c r="D441" s="134"/>
      <c r="E441" s="134"/>
      <c r="F441" s="134"/>
      <c r="G441" s="134"/>
      <c r="H441" s="540"/>
      <c r="I441" s="12"/>
      <c r="J441" s="80"/>
      <c r="K441" s="80"/>
      <c r="L441" s="81"/>
      <c r="M441" s="81"/>
      <c r="N441" s="81">
        <f>SUM(N433:N440)</f>
        <v>0</v>
      </c>
      <c r="O441" s="81">
        <f t="shared" ref="O441:V441" si="503">SUM(O433:O440)</f>
        <v>0</v>
      </c>
      <c r="P441" s="81">
        <f t="shared" si="503"/>
        <v>0</v>
      </c>
      <c r="Q441" s="81">
        <f t="shared" si="503"/>
        <v>0</v>
      </c>
      <c r="R441" s="81">
        <f t="shared" si="503"/>
        <v>0</v>
      </c>
      <c r="S441" s="81">
        <f t="shared" si="503"/>
        <v>0</v>
      </c>
      <c r="T441" s="81">
        <f t="shared" si="503"/>
        <v>0</v>
      </c>
      <c r="U441" s="81">
        <f t="shared" si="503"/>
        <v>0</v>
      </c>
      <c r="V441" s="81">
        <f t="shared" si="503"/>
        <v>0</v>
      </c>
      <c r="W441" s="381">
        <f>SUM(W433:W440)</f>
        <v>0</v>
      </c>
      <c r="X441" s="82">
        <f t="shared" ref="X441:Y441" si="504">SUM(X433:X440)</f>
        <v>0</v>
      </c>
      <c r="Y441" s="82">
        <f t="shared" si="504"/>
        <v>0</v>
      </c>
      <c r="Z441" s="205">
        <f t="shared" si="500"/>
        <v>0</v>
      </c>
      <c r="AA441" s="205"/>
      <c r="AB441" s="205"/>
      <c r="AC441" s="83"/>
      <c r="AE441" s="80"/>
      <c r="AF441" s="80"/>
      <c r="AG441" s="81"/>
      <c r="AH441" s="82"/>
      <c r="AI441" s="66"/>
      <c r="AK441" s="80"/>
      <c r="AL441" s="80"/>
      <c r="AM441" s="81"/>
      <c r="AN441" s="82"/>
      <c r="AO441" s="66"/>
      <c r="AQ441" s="80"/>
      <c r="AR441" s="80"/>
      <c r="AS441" s="81"/>
      <c r="AT441" s="82">
        <f>SUM(AT433:AT440)</f>
        <v>0</v>
      </c>
      <c r="AU441" s="66">
        <f t="shared" si="501"/>
        <v>0</v>
      </c>
      <c r="AW441" s="80"/>
      <c r="AX441" s="80"/>
      <c r="AY441" s="81"/>
      <c r="AZ441" s="82">
        <f>SUM(AZ433:AZ440)</f>
        <v>0</v>
      </c>
      <c r="BA441" s="66">
        <f t="shared" si="502"/>
        <v>0</v>
      </c>
    </row>
    <row r="442" spans="1:53" s="117" customFormat="1" ht="17.100000000000001" customHeight="1" x14ac:dyDescent="0.25">
      <c r="A442" s="68"/>
      <c r="B442" s="119"/>
      <c r="C442" s="540"/>
      <c r="D442" s="261"/>
      <c r="E442" s="261"/>
      <c r="F442" s="68"/>
      <c r="G442" s="68"/>
      <c r="H442" s="119"/>
      <c r="I442" s="138"/>
      <c r="J442" s="17"/>
      <c r="K442" s="17"/>
      <c r="L442" s="17"/>
      <c r="M442" s="17"/>
      <c r="N442" s="17" t="str">
        <f>IF(N441=N$403,"OK","NOK")</f>
        <v>OK</v>
      </c>
      <c r="O442" s="17" t="str">
        <f>IF(O441=O$403,"OK","NOK")</f>
        <v>OK</v>
      </c>
      <c r="P442" s="17"/>
      <c r="Q442" s="17" t="str">
        <f>IF(Q441=Q$403,"OK","NOK")</f>
        <v>OK</v>
      </c>
      <c r="R442" s="17" t="str">
        <f>IF(R441=R$403,"OK","NOK")</f>
        <v>OK</v>
      </c>
      <c r="S442" s="17"/>
      <c r="T442" s="17" t="str">
        <f>IF(T441=T$403,"OK","NOK")</f>
        <v>OK</v>
      </c>
      <c r="U442" s="17" t="str">
        <f>IF(U441=U$403,"OK","NOK")</f>
        <v>OK</v>
      </c>
      <c r="V442" s="359"/>
      <c r="W442" s="382"/>
      <c r="X442" s="539"/>
      <c r="Y442" s="539"/>
      <c r="Z442" s="201"/>
      <c r="AA442" s="201"/>
      <c r="AB442" s="201"/>
      <c r="AC442" s="84"/>
      <c r="AE442" s="46"/>
      <c r="AF442" s="46"/>
      <c r="AG442" s="17"/>
      <c r="AH442" s="539"/>
      <c r="AI442" s="91"/>
      <c r="AK442" s="46"/>
      <c r="AL442" s="46"/>
      <c r="AM442" s="17"/>
      <c r="AN442" s="539"/>
      <c r="AO442" s="91"/>
      <c r="AQ442" s="46"/>
      <c r="AR442" s="46"/>
      <c r="AS442" s="17"/>
      <c r="AT442" s="539"/>
      <c r="AU442" s="91"/>
      <c r="AW442" s="46"/>
      <c r="AX442" s="46"/>
      <c r="AY442" s="17"/>
      <c r="AZ442" s="539"/>
      <c r="BA442" s="91"/>
    </row>
    <row r="443" spans="1:53" ht="17.100000000000001" customHeight="1" x14ac:dyDescent="0.25">
      <c r="A443" s="68"/>
      <c r="B443" s="48" t="s">
        <v>245</v>
      </c>
      <c r="C443" s="49" t="s">
        <v>246</v>
      </c>
      <c r="D443" s="176"/>
      <c r="E443" s="70"/>
      <c r="F443" s="70"/>
      <c r="G443" s="70"/>
      <c r="H443" s="119"/>
      <c r="J443" s="71"/>
      <c r="K443" s="71"/>
      <c r="L443" s="71"/>
      <c r="M443" s="71"/>
      <c r="N443" s="71">
        <f t="shared" ref="N443:X443" si="505">SUM(N404:N405)</f>
        <v>0</v>
      </c>
      <c r="O443" s="71">
        <f t="shared" si="505"/>
        <v>0</v>
      </c>
      <c r="P443" s="71"/>
      <c r="Q443" s="71">
        <f t="shared" si="505"/>
        <v>0</v>
      </c>
      <c r="R443" s="71">
        <f t="shared" si="505"/>
        <v>0</v>
      </c>
      <c r="S443" s="71"/>
      <c r="T443" s="71">
        <f t="shared" si="505"/>
        <v>0</v>
      </c>
      <c r="U443" s="71">
        <f t="shared" si="505"/>
        <v>0</v>
      </c>
      <c r="V443" s="355"/>
      <c r="W443" s="377">
        <f t="shared" si="505"/>
        <v>0</v>
      </c>
      <c r="X443" s="71">
        <f t="shared" si="505"/>
        <v>0</v>
      </c>
      <c r="Y443" s="72"/>
      <c r="Z443" s="73"/>
      <c r="AA443" s="73"/>
      <c r="AB443" s="73"/>
      <c r="AC443" s="73"/>
      <c r="AE443" s="71"/>
      <c r="AF443" s="71"/>
      <c r="AG443" s="71"/>
      <c r="AH443" s="72"/>
      <c r="AI443" s="73"/>
      <c r="AK443" s="71"/>
      <c r="AL443" s="71"/>
      <c r="AM443" s="71"/>
      <c r="AN443" s="72"/>
      <c r="AO443" s="73"/>
      <c r="AQ443" s="71"/>
      <c r="AR443" s="71"/>
      <c r="AS443" s="71"/>
      <c r="AT443" s="72"/>
      <c r="AU443" s="73"/>
      <c r="AW443" s="71"/>
      <c r="AX443" s="71"/>
      <c r="AY443" s="71"/>
      <c r="AZ443" s="72"/>
      <c r="BA443" s="73"/>
    </row>
    <row r="444" spans="1:53" ht="17.100000000000001" customHeight="1" x14ac:dyDescent="0.25">
      <c r="A444" s="40"/>
      <c r="B444" s="55"/>
      <c r="C444" s="56" t="s">
        <v>247</v>
      </c>
      <c r="D444" s="149" t="s">
        <v>248</v>
      </c>
      <c r="E444" s="75"/>
      <c r="F444" s="75"/>
      <c r="G444" s="75"/>
      <c r="H444" s="540"/>
      <c r="I444" s="229"/>
      <c r="J444" s="111"/>
      <c r="K444" s="111"/>
      <c r="L444" s="111"/>
      <c r="M444" s="111"/>
      <c r="N444" s="111"/>
      <c r="O444" s="111"/>
      <c r="P444" s="111"/>
      <c r="Q444" s="111"/>
      <c r="R444" s="111"/>
      <c r="S444" s="111"/>
      <c r="T444" s="111"/>
      <c r="U444" s="111"/>
      <c r="V444" s="358"/>
      <c r="W444" s="380"/>
      <c r="X444" s="111"/>
      <c r="Y444" s="545"/>
      <c r="Z444" s="131"/>
      <c r="AA444" s="131"/>
      <c r="AB444" s="131"/>
      <c r="AC444" s="111"/>
      <c r="AE444" s="111"/>
      <c r="AF444" s="111"/>
      <c r="AG444" s="111"/>
      <c r="AH444" s="545"/>
      <c r="AI444" s="131"/>
      <c r="AK444" s="111"/>
      <c r="AL444" s="111"/>
      <c r="AM444" s="111"/>
      <c r="AN444" s="545"/>
      <c r="AO444" s="131"/>
      <c r="AQ444" s="111"/>
      <c r="AR444" s="111"/>
      <c r="AS444" s="111"/>
      <c r="AT444" s="545"/>
      <c r="AU444" s="131"/>
      <c r="AW444" s="111"/>
      <c r="AX444" s="111"/>
      <c r="AY444" s="111"/>
      <c r="AZ444" s="545"/>
      <c r="BA444" s="131"/>
    </row>
    <row r="445" spans="1:53" ht="17.100000000000001" customHeight="1" x14ac:dyDescent="0.25">
      <c r="A445" s="40"/>
      <c r="B445" s="40"/>
      <c r="C445" s="40"/>
      <c r="D445" s="56" t="s">
        <v>249</v>
      </c>
      <c r="E445" s="541" t="s">
        <v>479</v>
      </c>
      <c r="F445" s="75"/>
      <c r="G445" s="75"/>
      <c r="H445" s="540"/>
      <c r="I445" s="229"/>
      <c r="J445" s="111"/>
      <c r="K445" s="111"/>
      <c r="L445" s="111"/>
      <c r="M445" s="111"/>
      <c r="N445" s="60"/>
      <c r="O445" s="60"/>
      <c r="P445" s="17">
        <f t="shared" ref="P445:P449" si="506">SUM(N445:O445)</f>
        <v>0</v>
      </c>
      <c r="Q445" s="60"/>
      <c r="R445" s="60"/>
      <c r="S445" s="17">
        <f t="shared" ref="S445:S449" si="507">SUM(Q445:R445)</f>
        <v>0</v>
      </c>
      <c r="T445" s="60"/>
      <c r="U445" s="60"/>
      <c r="V445" s="359">
        <f t="shared" ref="V445:V449" si="508">SUM(T445:U445)</f>
        <v>0</v>
      </c>
      <c r="W445" s="391">
        <f t="shared" ref="W445:W449" si="509">J445+K445+N445+Q445+T445</f>
        <v>0</v>
      </c>
      <c r="X445" s="17">
        <f t="shared" ref="X445:X449" si="510">L445+O445+R445+U445</f>
        <v>0</v>
      </c>
      <c r="Y445" s="18">
        <f>SUM(W445:X445)</f>
        <v>0</v>
      </c>
      <c r="Z445" s="19">
        <f>IF(Y$454=0,0,Y445/Y$454)</f>
        <v>0</v>
      </c>
      <c r="AA445" s="19"/>
      <c r="AB445" s="19"/>
      <c r="AC445" s="17"/>
      <c r="AE445" s="111"/>
      <c r="AF445" s="111"/>
      <c r="AG445" s="111"/>
      <c r="AH445" s="112"/>
      <c r="AI445" s="113"/>
      <c r="AK445" s="111"/>
      <c r="AL445" s="111"/>
      <c r="AM445" s="111"/>
      <c r="AN445" s="112"/>
      <c r="AO445" s="113"/>
      <c r="AQ445" s="17"/>
      <c r="AR445" s="17"/>
      <c r="AS445" s="17"/>
      <c r="AT445" s="18">
        <f t="shared" ref="AT445:AT449" si="511">W445</f>
        <v>0</v>
      </c>
      <c r="AU445" s="19">
        <f>IF(AT$454=0,0,AT445/AT$454)</f>
        <v>0</v>
      </c>
      <c r="AW445" s="17"/>
      <c r="AX445" s="17"/>
      <c r="AY445" s="17"/>
      <c r="AZ445" s="18">
        <f t="shared" ref="AZ445:AZ449" si="512">X445</f>
        <v>0</v>
      </c>
      <c r="BA445" s="19">
        <f>IF(AZ$454=0,0,AZ445/AZ$454)</f>
        <v>0</v>
      </c>
    </row>
    <row r="446" spans="1:53" ht="17.100000000000001" customHeight="1" x14ac:dyDescent="0.25">
      <c r="A446" s="40"/>
      <c r="B446" s="40"/>
      <c r="C446" s="40"/>
      <c r="D446" s="56" t="s">
        <v>250</v>
      </c>
      <c r="E446" s="1403" t="s">
        <v>405</v>
      </c>
      <c r="F446" s="1404"/>
      <c r="G446" s="1404"/>
      <c r="H446" s="242"/>
      <c r="I446" s="230"/>
      <c r="J446" s="111"/>
      <c r="K446" s="111"/>
      <c r="L446" s="111"/>
      <c r="M446" s="111"/>
      <c r="N446" s="61"/>
      <c r="O446" s="61"/>
      <c r="P446" s="17">
        <f t="shared" si="506"/>
        <v>0</v>
      </c>
      <c r="Q446" s="61"/>
      <c r="R446" s="61"/>
      <c r="S446" s="17">
        <f t="shared" si="507"/>
        <v>0</v>
      </c>
      <c r="T446" s="61"/>
      <c r="U446" s="61"/>
      <c r="V446" s="359">
        <f t="shared" si="508"/>
        <v>0</v>
      </c>
      <c r="W446" s="391">
        <f t="shared" si="509"/>
        <v>0</v>
      </c>
      <c r="X446" s="17">
        <f t="shared" si="510"/>
        <v>0</v>
      </c>
      <c r="Y446" s="18">
        <f>SUM(W446:X446)</f>
        <v>0</v>
      </c>
      <c r="Z446" s="19">
        <f>IF(Y$454=0,0,Y446/Y$454)</f>
        <v>0</v>
      </c>
      <c r="AA446" s="19"/>
      <c r="AB446" s="19"/>
      <c r="AC446" s="17"/>
      <c r="AE446" s="111"/>
      <c r="AF446" s="111"/>
      <c r="AG446" s="111"/>
      <c r="AH446" s="112"/>
      <c r="AI446" s="113"/>
      <c r="AK446" s="111"/>
      <c r="AL446" s="111"/>
      <c r="AM446" s="111"/>
      <c r="AN446" s="112"/>
      <c r="AO446" s="113"/>
      <c r="AQ446" s="17"/>
      <c r="AR446" s="17"/>
      <c r="AS446" s="17"/>
      <c r="AT446" s="18">
        <f t="shared" si="511"/>
        <v>0</v>
      </c>
      <c r="AU446" s="19">
        <f>IF(AT$454=0,0,AT446/AT$454)</f>
        <v>0</v>
      </c>
      <c r="AW446" s="17"/>
      <c r="AX446" s="17"/>
      <c r="AY446" s="17"/>
      <c r="AZ446" s="18">
        <f t="shared" si="512"/>
        <v>0</v>
      </c>
      <c r="BA446" s="19">
        <f>IF(AZ$454=0,0,AZ446/AZ$454)</f>
        <v>0</v>
      </c>
    </row>
    <row r="447" spans="1:53" ht="17.100000000000001" customHeight="1" x14ac:dyDescent="0.25">
      <c r="A447" s="40"/>
      <c r="B447" s="40"/>
      <c r="C447" s="40"/>
      <c r="D447" s="56" t="s">
        <v>251</v>
      </c>
      <c r="E447" s="1398" t="s">
        <v>480</v>
      </c>
      <c r="F447" s="1399"/>
      <c r="G447" s="1399"/>
      <c r="H447" s="540"/>
      <c r="I447" s="229"/>
      <c r="J447" s="111"/>
      <c r="K447" s="111"/>
      <c r="L447" s="111"/>
      <c r="M447" s="111"/>
      <c r="N447" s="60"/>
      <c r="O447" s="60"/>
      <c r="P447" s="17">
        <f t="shared" si="506"/>
        <v>0</v>
      </c>
      <c r="Q447" s="60"/>
      <c r="R447" s="60"/>
      <c r="S447" s="17">
        <f t="shared" si="507"/>
        <v>0</v>
      </c>
      <c r="T447" s="60"/>
      <c r="U447" s="60"/>
      <c r="V447" s="359">
        <f t="shared" si="508"/>
        <v>0</v>
      </c>
      <c r="W447" s="391">
        <f t="shared" si="509"/>
        <v>0</v>
      </c>
      <c r="X447" s="17">
        <f t="shared" si="510"/>
        <v>0</v>
      </c>
      <c r="Y447" s="18">
        <f>SUM(W447:X447)</f>
        <v>0</v>
      </c>
      <c r="Z447" s="19">
        <f>IF(Y$454=0,0,Y447/Y$454)</f>
        <v>0</v>
      </c>
      <c r="AA447" s="19"/>
      <c r="AB447" s="19"/>
      <c r="AC447" s="17"/>
      <c r="AE447" s="111"/>
      <c r="AF447" s="111"/>
      <c r="AG447" s="111"/>
      <c r="AH447" s="112"/>
      <c r="AI447" s="113"/>
      <c r="AK447" s="111"/>
      <c r="AL447" s="111"/>
      <c r="AM447" s="111"/>
      <c r="AN447" s="112"/>
      <c r="AO447" s="113"/>
      <c r="AQ447" s="17"/>
      <c r="AR447" s="17"/>
      <c r="AS447" s="17"/>
      <c r="AT447" s="18">
        <f t="shared" si="511"/>
        <v>0</v>
      </c>
      <c r="AU447" s="19">
        <f>IF(AT$454=0,0,AT447/AT$454)</f>
        <v>0</v>
      </c>
      <c r="AW447" s="17"/>
      <c r="AX447" s="17"/>
      <c r="AY447" s="17"/>
      <c r="AZ447" s="18">
        <f t="shared" si="512"/>
        <v>0</v>
      </c>
      <c r="BA447" s="19">
        <f>IF(AZ$454=0,0,AZ447/AZ$454)</f>
        <v>0</v>
      </c>
    </row>
    <row r="448" spans="1:53" ht="17.100000000000001" customHeight="1" x14ac:dyDescent="0.25">
      <c r="A448" s="40"/>
      <c r="B448" s="40"/>
      <c r="C448" s="40"/>
      <c r="D448" s="56" t="s">
        <v>252</v>
      </c>
      <c r="E448" s="541" t="s">
        <v>481</v>
      </c>
      <c r="F448" s="75"/>
      <c r="G448" s="75"/>
      <c r="H448" s="242"/>
      <c r="I448" s="230"/>
      <c r="J448" s="111"/>
      <c r="K448" s="111"/>
      <c r="L448" s="111"/>
      <c r="M448" s="111"/>
      <c r="N448" s="61"/>
      <c r="O448" s="61"/>
      <c r="P448" s="17">
        <f t="shared" si="506"/>
        <v>0</v>
      </c>
      <c r="Q448" s="61"/>
      <c r="R448" s="61"/>
      <c r="S448" s="17">
        <f t="shared" si="507"/>
        <v>0</v>
      </c>
      <c r="T448" s="61"/>
      <c r="U448" s="61"/>
      <c r="V448" s="359">
        <f t="shared" si="508"/>
        <v>0</v>
      </c>
      <c r="W448" s="391">
        <f t="shared" si="509"/>
        <v>0</v>
      </c>
      <c r="X448" s="17">
        <f t="shared" si="510"/>
        <v>0</v>
      </c>
      <c r="Y448" s="18">
        <f>SUM(W448:X448)</f>
        <v>0</v>
      </c>
      <c r="Z448" s="19">
        <f>IF(Y$454=0,0,Y448/Y$454)</f>
        <v>0</v>
      </c>
      <c r="AA448" s="19"/>
      <c r="AB448" s="19"/>
      <c r="AC448" s="17"/>
      <c r="AE448" s="111"/>
      <c r="AF448" s="111"/>
      <c r="AG448" s="111"/>
      <c r="AH448" s="112"/>
      <c r="AI448" s="113"/>
      <c r="AK448" s="111"/>
      <c r="AL448" s="111"/>
      <c r="AM448" s="111"/>
      <c r="AN448" s="112"/>
      <c r="AO448" s="113"/>
      <c r="AQ448" s="17"/>
      <c r="AR448" s="17"/>
      <c r="AS448" s="17"/>
      <c r="AT448" s="18">
        <f t="shared" si="511"/>
        <v>0</v>
      </c>
      <c r="AU448" s="19">
        <f>IF(AT$454=0,0,AT448/AT$454)</f>
        <v>0</v>
      </c>
      <c r="AW448" s="17"/>
      <c r="AX448" s="17"/>
      <c r="AY448" s="17"/>
      <c r="AZ448" s="18">
        <f t="shared" si="512"/>
        <v>0</v>
      </c>
      <c r="BA448" s="19">
        <f>IF(AZ$454=0,0,AZ448/AZ$454)</f>
        <v>0</v>
      </c>
    </row>
    <row r="449" spans="1:53" ht="17.100000000000001" customHeight="1" x14ac:dyDescent="0.25">
      <c r="A449" s="40"/>
      <c r="B449" s="40"/>
      <c r="C449" s="40"/>
      <c r="D449" s="56" t="s">
        <v>253</v>
      </c>
      <c r="E449" s="541" t="s">
        <v>109</v>
      </c>
      <c r="F449" s="543"/>
      <c r="G449" s="543"/>
      <c r="H449" s="540"/>
      <c r="I449" s="229"/>
      <c r="J449" s="111"/>
      <c r="K449" s="111"/>
      <c r="L449" s="111"/>
      <c r="M449" s="111"/>
      <c r="N449" s="111">
        <f>SUM(N450:N452)</f>
        <v>0</v>
      </c>
      <c r="O449" s="111">
        <f t="shared" ref="O449:U449" si="513">SUM(O450:O452)</f>
        <v>0</v>
      </c>
      <c r="P449" s="111">
        <f t="shared" si="506"/>
        <v>0</v>
      </c>
      <c r="Q449" s="111">
        <f t="shared" si="513"/>
        <v>0</v>
      </c>
      <c r="R449" s="111">
        <f t="shared" si="513"/>
        <v>0</v>
      </c>
      <c r="S449" s="111">
        <f t="shared" si="507"/>
        <v>0</v>
      </c>
      <c r="T449" s="111">
        <f t="shared" si="513"/>
        <v>0</v>
      </c>
      <c r="U449" s="111">
        <f t="shared" si="513"/>
        <v>0</v>
      </c>
      <c r="V449" s="358">
        <f t="shared" si="508"/>
        <v>0</v>
      </c>
      <c r="W449" s="380">
        <f t="shared" si="509"/>
        <v>0</v>
      </c>
      <c r="X449" s="111">
        <f t="shared" si="510"/>
        <v>0</v>
      </c>
      <c r="Y449" s="545">
        <f>SUM(W449:X449)</f>
        <v>0</v>
      </c>
      <c r="Z449" s="131">
        <f>IF(Y$454=0,0,Y449/Y$454)</f>
        <v>0</v>
      </c>
      <c r="AA449" s="131"/>
      <c r="AB449" s="131"/>
      <c r="AC449" s="111"/>
      <c r="AE449" s="111"/>
      <c r="AF449" s="111"/>
      <c r="AG449" s="111"/>
      <c r="AH449" s="112"/>
      <c r="AI449" s="113"/>
      <c r="AK449" s="111"/>
      <c r="AL449" s="111"/>
      <c r="AM449" s="111"/>
      <c r="AN449" s="112"/>
      <c r="AO449" s="113"/>
      <c r="AQ449" s="111"/>
      <c r="AR449" s="111"/>
      <c r="AS449" s="111"/>
      <c r="AT449" s="545">
        <f t="shared" si="511"/>
        <v>0</v>
      </c>
      <c r="AU449" s="131">
        <f>IF(AT$454=0,0,AT449/AT$454)</f>
        <v>0</v>
      </c>
      <c r="AW449" s="111"/>
      <c r="AX449" s="111"/>
      <c r="AY449" s="111"/>
      <c r="AZ449" s="545">
        <f t="shared" si="512"/>
        <v>0</v>
      </c>
      <c r="BA449" s="131">
        <f>IF(AZ$454=0,0,AZ449/AZ$454)</f>
        <v>0</v>
      </c>
    </row>
    <row r="450" spans="1:53" ht="17.100000000000001" customHeight="1" x14ac:dyDescent="0.25">
      <c r="A450" s="40"/>
      <c r="B450" s="40"/>
      <c r="C450" s="40"/>
      <c r="D450" s="74"/>
      <c r="E450" s="170"/>
      <c r="F450" s="171"/>
      <c r="G450" s="171"/>
      <c r="H450" s="17"/>
      <c r="I450" s="594"/>
      <c r="J450" s="111"/>
      <c r="K450" s="111"/>
      <c r="L450" s="111"/>
      <c r="M450" s="111"/>
      <c r="N450" s="61"/>
      <c r="O450" s="61"/>
      <c r="P450" s="17"/>
      <c r="Q450" s="61"/>
      <c r="R450" s="61"/>
      <c r="S450" s="17"/>
      <c r="T450" s="61"/>
      <c r="U450" s="61"/>
      <c r="V450" s="359"/>
      <c r="W450" s="391"/>
      <c r="X450" s="17"/>
      <c r="Y450" s="539"/>
      <c r="Z450" s="17"/>
      <c r="AA450" s="17"/>
      <c r="AB450" s="17"/>
      <c r="AC450" s="17"/>
      <c r="AE450" s="17"/>
      <c r="AF450" s="17"/>
      <c r="AG450" s="17"/>
      <c r="AH450" s="539"/>
      <c r="AI450" s="17"/>
      <c r="AK450" s="17"/>
      <c r="AL450" s="17"/>
      <c r="AM450" s="17"/>
      <c r="AN450" s="539"/>
      <c r="AO450" s="17"/>
      <c r="AQ450" s="17"/>
      <c r="AR450" s="17"/>
      <c r="AS450" s="17"/>
      <c r="AT450" s="539"/>
      <c r="AU450" s="17"/>
      <c r="AW450" s="17"/>
      <c r="AX450" s="17"/>
      <c r="AY450" s="17"/>
      <c r="AZ450" s="539"/>
      <c r="BA450" s="17"/>
    </row>
    <row r="451" spans="1:53" ht="17.100000000000001" customHeight="1" x14ac:dyDescent="0.25">
      <c r="A451" s="40"/>
      <c r="B451" s="40"/>
      <c r="C451" s="40"/>
      <c r="D451" s="74"/>
      <c r="E451" s="168"/>
      <c r="F451" s="169"/>
      <c r="G451" s="169"/>
      <c r="H451" s="17"/>
      <c r="I451" s="594"/>
      <c r="J451" s="111"/>
      <c r="K451" s="111"/>
      <c r="L451" s="111"/>
      <c r="M451" s="111"/>
      <c r="N451" s="60"/>
      <c r="O451" s="60"/>
      <c r="P451" s="17"/>
      <c r="Q451" s="60"/>
      <c r="R451" s="60"/>
      <c r="S451" s="17"/>
      <c r="T451" s="60"/>
      <c r="U451" s="60"/>
      <c r="V451" s="359"/>
      <c r="W451" s="391"/>
      <c r="X451" s="17"/>
      <c r="Y451" s="539"/>
      <c r="Z451" s="17"/>
      <c r="AA451" s="17"/>
      <c r="AB451" s="17"/>
      <c r="AC451" s="17"/>
      <c r="AE451" s="17"/>
      <c r="AF451" s="17"/>
      <c r="AG451" s="17"/>
      <c r="AH451" s="539"/>
      <c r="AI451" s="17"/>
      <c r="AK451" s="17"/>
      <c r="AL451" s="17"/>
      <c r="AM451" s="17"/>
      <c r="AN451" s="539"/>
      <c r="AO451" s="17"/>
      <c r="AQ451" s="17"/>
      <c r="AR451" s="17"/>
      <c r="AS451" s="17"/>
      <c r="AT451" s="539"/>
      <c r="AU451" s="17"/>
      <c r="AW451" s="17"/>
      <c r="AX451" s="17"/>
      <c r="AY451" s="17"/>
      <c r="AZ451" s="539"/>
      <c r="BA451" s="17"/>
    </row>
    <row r="452" spans="1:53" ht="17.100000000000001" customHeight="1" x14ac:dyDescent="0.25">
      <c r="A452" s="40"/>
      <c r="B452" s="40"/>
      <c r="C452" s="40"/>
      <c r="D452" s="74"/>
      <c r="E452" s="170"/>
      <c r="F452" s="171"/>
      <c r="G452" s="171"/>
      <c r="H452" s="17"/>
      <c r="I452" s="594"/>
      <c r="J452" s="111"/>
      <c r="K452" s="111"/>
      <c r="L452" s="111"/>
      <c r="M452" s="111"/>
      <c r="N452" s="61"/>
      <c r="O452" s="61"/>
      <c r="P452" s="17"/>
      <c r="Q452" s="61"/>
      <c r="R452" s="61"/>
      <c r="S452" s="17"/>
      <c r="T452" s="61"/>
      <c r="U452" s="61"/>
      <c r="V452" s="359"/>
      <c r="W452" s="391"/>
      <c r="X452" s="17"/>
      <c r="Y452" s="539"/>
      <c r="Z452" s="17"/>
      <c r="AA452" s="17"/>
      <c r="AB452" s="17"/>
      <c r="AC452" s="17"/>
      <c r="AE452" s="17"/>
      <c r="AF452" s="17"/>
      <c r="AG452" s="17"/>
      <c r="AH452" s="539"/>
      <c r="AI452" s="17"/>
      <c r="AK452" s="17"/>
      <c r="AL452" s="17"/>
      <c r="AM452" s="17"/>
      <c r="AN452" s="539"/>
      <c r="AO452" s="17"/>
      <c r="AQ452" s="17"/>
      <c r="AR452" s="17"/>
      <c r="AS452" s="17"/>
      <c r="AT452" s="539"/>
      <c r="AU452" s="17"/>
      <c r="AW452" s="17"/>
      <c r="AX452" s="17"/>
      <c r="AY452" s="17"/>
      <c r="AZ452" s="539"/>
      <c r="BA452" s="17"/>
    </row>
    <row r="453" spans="1:53" ht="17.100000000000001" customHeight="1" x14ac:dyDescent="0.25">
      <c r="A453" s="40"/>
      <c r="B453" s="40"/>
      <c r="C453" s="40"/>
      <c r="D453" s="56" t="s">
        <v>616</v>
      </c>
      <c r="E453" s="596" t="s">
        <v>598</v>
      </c>
      <c r="F453" s="597"/>
      <c r="G453" s="597"/>
      <c r="H453" s="17"/>
      <c r="I453" s="594"/>
      <c r="J453" s="111"/>
      <c r="K453" s="111"/>
      <c r="L453" s="111"/>
      <c r="M453" s="111"/>
      <c r="N453" s="60"/>
      <c r="O453" s="60"/>
      <c r="P453" s="17">
        <f t="shared" ref="P453" si="514">SUM(N453:O453)</f>
        <v>0</v>
      </c>
      <c r="Q453" s="60"/>
      <c r="R453" s="60"/>
      <c r="S453" s="17">
        <f t="shared" ref="S453" si="515">SUM(Q453:R453)</f>
        <v>0</v>
      </c>
      <c r="T453" s="60"/>
      <c r="U453" s="60"/>
      <c r="V453" s="359">
        <f t="shared" ref="V453" si="516">SUM(T453:U453)</f>
        <v>0</v>
      </c>
      <c r="W453" s="391">
        <f t="shared" ref="W453" si="517">J453+K453+N453+Q453+T453</f>
        <v>0</v>
      </c>
      <c r="X453" s="17">
        <f t="shared" ref="X453" si="518">L453+O453+R453+U453</f>
        <v>0</v>
      </c>
      <c r="Y453" s="18">
        <f>SUM(W453:X453)</f>
        <v>0</v>
      </c>
      <c r="Z453" s="19">
        <f>IF(Y$454=0,0,Y453/Y$454)</f>
        <v>0</v>
      </c>
      <c r="AA453" s="19"/>
      <c r="AB453" s="19"/>
      <c r="AC453" s="17"/>
      <c r="AE453" s="17"/>
      <c r="AF453" s="17"/>
      <c r="AG453" s="17"/>
      <c r="AH453" s="18"/>
      <c r="AI453" s="19"/>
      <c r="AK453" s="17"/>
      <c r="AL453" s="17"/>
      <c r="AM453" s="17"/>
      <c r="AN453" s="18"/>
      <c r="AO453" s="19"/>
      <c r="AQ453" s="17"/>
      <c r="AR453" s="17"/>
      <c r="AS453" s="17"/>
      <c r="AT453" s="18">
        <f t="shared" ref="AT453" si="519">W453</f>
        <v>0</v>
      </c>
      <c r="AU453" s="19">
        <f>IF(AT$454=0,0,AT453/AT$454)</f>
        <v>0</v>
      </c>
      <c r="AW453" s="17"/>
      <c r="AX453" s="17"/>
      <c r="AY453" s="17"/>
      <c r="AZ453" s="18">
        <f>X453</f>
        <v>0</v>
      </c>
      <c r="BA453" s="19">
        <f>IF(AZ$454=0,0,AZ453/AZ$454)</f>
        <v>0</v>
      </c>
    </row>
    <row r="454" spans="1:53" ht="17.100000000000001" customHeight="1" x14ac:dyDescent="0.25">
      <c r="A454" s="40"/>
      <c r="B454" s="40"/>
      <c r="C454" s="77"/>
      <c r="D454" s="134"/>
      <c r="E454" s="134"/>
      <c r="F454" s="134"/>
      <c r="G454" s="134"/>
      <c r="H454" s="540"/>
      <c r="I454" s="229"/>
      <c r="J454" s="80"/>
      <c r="K454" s="80"/>
      <c r="L454" s="81"/>
      <c r="M454" s="81"/>
      <c r="N454" s="81">
        <f t="shared" ref="N454:V454" si="520">SUM(N445:N449)+N453</f>
        <v>0</v>
      </c>
      <c r="O454" s="81">
        <f t="shared" si="520"/>
        <v>0</v>
      </c>
      <c r="P454" s="81">
        <f t="shared" si="520"/>
        <v>0</v>
      </c>
      <c r="Q454" s="81">
        <f t="shared" si="520"/>
        <v>0</v>
      </c>
      <c r="R454" s="81">
        <f t="shared" si="520"/>
        <v>0</v>
      </c>
      <c r="S454" s="81">
        <f t="shared" si="520"/>
        <v>0</v>
      </c>
      <c r="T454" s="81">
        <f t="shared" si="520"/>
        <v>0</v>
      </c>
      <c r="U454" s="81">
        <f t="shared" si="520"/>
        <v>0</v>
      </c>
      <c r="V454" s="81">
        <f t="shared" si="520"/>
        <v>0</v>
      </c>
      <c r="W454" s="381">
        <f t="shared" ref="W454:Y454" si="521">SUM(W445:W449)+W453</f>
        <v>0</v>
      </c>
      <c r="X454" s="82">
        <f t="shared" si="521"/>
        <v>0</v>
      </c>
      <c r="Y454" s="82">
        <f t="shared" si="521"/>
        <v>0</v>
      </c>
      <c r="Z454" s="205">
        <f t="shared" ref="Z454" si="522">IF(Y$454=0,0,Y454/Y$454)</f>
        <v>0</v>
      </c>
      <c r="AA454" s="205"/>
      <c r="AB454" s="205"/>
      <c r="AC454" s="83"/>
      <c r="AE454" s="80"/>
      <c r="AF454" s="80"/>
      <c r="AG454" s="81"/>
      <c r="AH454" s="82"/>
      <c r="AI454" s="66"/>
      <c r="AK454" s="80"/>
      <c r="AL454" s="80"/>
      <c r="AM454" s="81"/>
      <c r="AN454" s="82"/>
      <c r="AO454" s="66"/>
      <c r="AQ454" s="80"/>
      <c r="AR454" s="80"/>
      <c r="AS454" s="81"/>
      <c r="AT454" s="82">
        <f>SUM(AT445:AT453)</f>
        <v>0</v>
      </c>
      <c r="AU454" s="66">
        <f>IF(AT$454=0,0,AT454/AT$454)</f>
        <v>0</v>
      </c>
      <c r="AW454" s="80"/>
      <c r="AX454" s="80"/>
      <c r="AY454" s="81"/>
      <c r="AZ454" s="82">
        <f>SUM(AZ445:AZ453)</f>
        <v>0</v>
      </c>
      <c r="BA454" s="66">
        <f>IF(AZ$454=0,0,AZ454/AZ$454)</f>
        <v>0</v>
      </c>
    </row>
    <row r="455" spans="1:53" s="117" customFormat="1" ht="17.100000000000001" customHeight="1" x14ac:dyDescent="0.25">
      <c r="A455" s="68"/>
      <c r="B455" s="119"/>
      <c r="C455" s="540"/>
      <c r="D455" s="261"/>
      <c r="E455" s="261"/>
      <c r="F455" s="68"/>
      <c r="G455" s="68"/>
      <c r="H455" s="119"/>
      <c r="I455" s="138"/>
      <c r="J455" s="17"/>
      <c r="K455" s="17"/>
      <c r="L455" s="17"/>
      <c r="M455" s="17"/>
      <c r="N455" s="17" t="str">
        <f>IF(N454=N$443,"OK","NOK")</f>
        <v>OK</v>
      </c>
      <c r="O455" s="17" t="str">
        <f>IF(O454=O$443,"OK","NOK")</f>
        <v>OK</v>
      </c>
      <c r="P455" s="17"/>
      <c r="Q455" s="17" t="str">
        <f>IF(Q454=Q$443,"OK","NOK")</f>
        <v>OK</v>
      </c>
      <c r="R455" s="17" t="str">
        <f>IF(R454=R$443,"OK","NOK")</f>
        <v>OK</v>
      </c>
      <c r="S455" s="17"/>
      <c r="T455" s="17" t="str">
        <f>IF(T454=T$443,"OK","NOK")</f>
        <v>OK</v>
      </c>
      <c r="U455" s="17" t="str">
        <f>IF(U454=U$443,"OK","NOK")</f>
        <v>OK</v>
      </c>
      <c r="V455" s="359"/>
      <c r="W455" s="382"/>
      <c r="X455" s="539"/>
      <c r="Y455" s="539"/>
      <c r="Z455" s="201"/>
      <c r="AA455" s="201"/>
      <c r="AB455" s="201"/>
      <c r="AC455" s="84"/>
      <c r="AE455" s="46"/>
      <c r="AF455" s="46"/>
      <c r="AG455" s="17"/>
      <c r="AH455" s="539"/>
      <c r="AI455" s="91"/>
      <c r="AK455" s="46"/>
      <c r="AL455" s="46"/>
      <c r="AM455" s="17"/>
      <c r="AN455" s="539"/>
      <c r="AO455" s="91"/>
      <c r="AQ455" s="46"/>
      <c r="AR455" s="46"/>
      <c r="AS455" s="17"/>
      <c r="AT455" s="539"/>
      <c r="AU455" s="91"/>
      <c r="AW455" s="46"/>
      <c r="AX455" s="46"/>
      <c r="AY455" s="17"/>
      <c r="AZ455" s="539"/>
      <c r="BA455" s="91"/>
    </row>
    <row r="456" spans="1:53" ht="17.100000000000001" customHeight="1" x14ac:dyDescent="0.25">
      <c r="A456" s="40"/>
      <c r="B456" s="40"/>
      <c r="C456" s="56" t="s">
        <v>254</v>
      </c>
      <c r="D456" s="146" t="s">
        <v>255</v>
      </c>
      <c r="E456" s="149"/>
      <c r="F456" s="75"/>
      <c r="G456" s="75"/>
      <c r="H456" s="540"/>
      <c r="I456" s="229"/>
      <c r="J456" s="545"/>
      <c r="K456" s="545"/>
      <c r="L456" s="545"/>
      <c r="M456" s="545"/>
      <c r="N456" s="545"/>
      <c r="O456" s="545"/>
      <c r="P456" s="545"/>
      <c r="Q456" s="545"/>
      <c r="R456" s="545"/>
      <c r="S456" s="545"/>
      <c r="T456" s="545"/>
      <c r="U456" s="545"/>
      <c r="V456" s="364"/>
      <c r="W456" s="385"/>
      <c r="X456" s="545"/>
      <c r="Y456" s="545"/>
      <c r="Z456" s="545"/>
      <c r="AA456" s="545"/>
      <c r="AB456" s="545"/>
      <c r="AC456" s="545"/>
      <c r="AE456" s="545"/>
      <c r="AF456" s="545"/>
      <c r="AG456" s="545"/>
      <c r="AH456" s="545"/>
      <c r="AI456" s="545"/>
      <c r="AK456" s="545"/>
      <c r="AL456" s="545"/>
      <c r="AM456" s="545"/>
      <c r="AN456" s="545"/>
      <c r="AO456" s="545"/>
      <c r="AQ456" s="545"/>
      <c r="AR456" s="545"/>
      <c r="AS456" s="545"/>
      <c r="AT456" s="545"/>
      <c r="AU456" s="545"/>
      <c r="AW456" s="545"/>
      <c r="AX456" s="545"/>
      <c r="AY456" s="545"/>
      <c r="AZ456" s="545"/>
      <c r="BA456" s="545"/>
    </row>
    <row r="457" spans="1:53" ht="17.100000000000001" customHeight="1" x14ac:dyDescent="0.25">
      <c r="A457" s="40"/>
      <c r="B457" s="40"/>
      <c r="C457" s="55"/>
      <c r="D457" s="180" t="s">
        <v>256</v>
      </c>
      <c r="E457" s="146" t="s">
        <v>113</v>
      </c>
      <c r="F457" s="75"/>
      <c r="G457" s="75"/>
      <c r="H457" s="540"/>
      <c r="I457" s="229"/>
      <c r="J457" s="111"/>
      <c r="K457" s="111"/>
      <c r="L457" s="111"/>
      <c r="M457" s="111"/>
      <c r="N457" s="60"/>
      <c r="O457" s="60"/>
      <c r="P457" s="17">
        <f t="shared" ref="P457:P459" si="523">SUM(N457:O457)</f>
        <v>0</v>
      </c>
      <c r="Q457" s="60"/>
      <c r="R457" s="60"/>
      <c r="S457" s="17">
        <f t="shared" ref="S457:S459" si="524">SUM(Q457:R457)</f>
        <v>0</v>
      </c>
      <c r="T457" s="60"/>
      <c r="U457" s="60"/>
      <c r="V457" s="359">
        <f t="shared" ref="V457:V459" si="525">SUM(T457:U457)</f>
        <v>0</v>
      </c>
      <c r="W457" s="391">
        <f t="shared" ref="W457:W459" si="526">J457+K457+N457+Q457+T457</f>
        <v>0</v>
      </c>
      <c r="X457" s="17">
        <f t="shared" ref="X457:X459" si="527">L457+O457+R457+U457</f>
        <v>0</v>
      </c>
      <c r="Y457" s="18">
        <f>SUM(W457:X457)</f>
        <v>0</v>
      </c>
      <c r="Z457" s="19">
        <f>IF(Y$460=0,0,Y457/Y$460)</f>
        <v>0</v>
      </c>
      <c r="AA457" s="19"/>
      <c r="AB457" s="19"/>
      <c r="AC457" s="17"/>
      <c r="AE457" s="111"/>
      <c r="AF457" s="111"/>
      <c r="AG457" s="111"/>
      <c r="AH457" s="112"/>
      <c r="AI457" s="113"/>
      <c r="AK457" s="111"/>
      <c r="AL457" s="111"/>
      <c r="AM457" s="111"/>
      <c r="AN457" s="112"/>
      <c r="AO457" s="113"/>
      <c r="AQ457" s="17"/>
      <c r="AR457" s="17"/>
      <c r="AS457" s="17"/>
      <c r="AT457" s="18">
        <f t="shared" ref="AT457:AT459" si="528">W457</f>
        <v>0</v>
      </c>
      <c r="AU457" s="19">
        <f>IF(AT$460=0,0,AT457/AT$460)</f>
        <v>0</v>
      </c>
      <c r="AW457" s="17"/>
      <c r="AX457" s="17"/>
      <c r="AY457" s="17"/>
      <c r="AZ457" s="18">
        <f t="shared" ref="AZ457:AZ459" si="529">X457</f>
        <v>0</v>
      </c>
      <c r="BA457" s="19">
        <f>IF(AZ$460=0,0,AZ457/AZ$460)</f>
        <v>0</v>
      </c>
    </row>
    <row r="458" spans="1:53" ht="17.100000000000001" customHeight="1" x14ac:dyDescent="0.25">
      <c r="A458" s="40"/>
      <c r="B458" s="40"/>
      <c r="C458" s="55"/>
      <c r="D458" s="180" t="s">
        <v>257</v>
      </c>
      <c r="E458" s="146" t="s">
        <v>258</v>
      </c>
      <c r="F458" s="75"/>
      <c r="G458" s="75"/>
      <c r="H458" s="540"/>
      <c r="I458" s="229"/>
      <c r="J458" s="111"/>
      <c r="K458" s="111"/>
      <c r="L458" s="111"/>
      <c r="M458" s="111"/>
      <c r="N458" s="61"/>
      <c r="O458" s="61"/>
      <c r="P458" s="17">
        <f t="shared" si="523"/>
        <v>0</v>
      </c>
      <c r="Q458" s="61"/>
      <c r="R458" s="61"/>
      <c r="S458" s="17">
        <f t="shared" si="524"/>
        <v>0</v>
      </c>
      <c r="T458" s="61"/>
      <c r="U458" s="61"/>
      <c r="V458" s="359">
        <f t="shared" si="525"/>
        <v>0</v>
      </c>
      <c r="W458" s="391">
        <f t="shared" si="526"/>
        <v>0</v>
      </c>
      <c r="X458" s="17">
        <f t="shared" si="527"/>
        <v>0</v>
      </c>
      <c r="Y458" s="18">
        <f>SUM(W458:X458)</f>
        <v>0</v>
      </c>
      <c r="Z458" s="19">
        <f t="shared" ref="Z458:Z460" si="530">IF(Y$460=0,0,Y458/Y$460)</f>
        <v>0</v>
      </c>
      <c r="AA458" s="19"/>
      <c r="AB458" s="19"/>
      <c r="AC458" s="17"/>
      <c r="AE458" s="111"/>
      <c r="AF458" s="111"/>
      <c r="AG458" s="111"/>
      <c r="AH458" s="112"/>
      <c r="AI458" s="113"/>
      <c r="AK458" s="111"/>
      <c r="AL458" s="111"/>
      <c r="AM458" s="111"/>
      <c r="AN458" s="112"/>
      <c r="AO458" s="113"/>
      <c r="AQ458" s="17"/>
      <c r="AR458" s="17"/>
      <c r="AS458" s="17"/>
      <c r="AT458" s="18">
        <f t="shared" si="528"/>
        <v>0</v>
      </c>
      <c r="AU458" s="19">
        <f>IF(AT$460=0,0,AT458/AT$460)</f>
        <v>0</v>
      </c>
      <c r="AW458" s="17"/>
      <c r="AX458" s="17"/>
      <c r="AY458" s="17"/>
      <c r="AZ458" s="18">
        <f t="shared" si="529"/>
        <v>0</v>
      </c>
      <c r="BA458" s="19">
        <f>IF(AZ$460=0,0,AZ458/AZ$460)</f>
        <v>0</v>
      </c>
    </row>
    <row r="459" spans="1:53" ht="17.100000000000001" customHeight="1" x14ac:dyDescent="0.25">
      <c r="A459" s="40"/>
      <c r="B459" s="40"/>
      <c r="C459" s="55"/>
      <c r="D459" s="180" t="s">
        <v>259</v>
      </c>
      <c r="E459" s="596" t="s">
        <v>598</v>
      </c>
      <c r="F459" s="542"/>
      <c r="G459" s="542"/>
      <c r="H459" s="540"/>
      <c r="I459" s="235"/>
      <c r="J459" s="111"/>
      <c r="K459" s="111"/>
      <c r="L459" s="111"/>
      <c r="M459" s="111"/>
      <c r="N459" s="60"/>
      <c r="O459" s="60"/>
      <c r="P459" s="17">
        <f t="shared" si="523"/>
        <v>0</v>
      </c>
      <c r="Q459" s="60"/>
      <c r="R459" s="60"/>
      <c r="S459" s="17">
        <f t="shared" si="524"/>
        <v>0</v>
      </c>
      <c r="T459" s="60"/>
      <c r="U459" s="60"/>
      <c r="V459" s="359">
        <f t="shared" si="525"/>
        <v>0</v>
      </c>
      <c r="W459" s="391">
        <f t="shared" si="526"/>
        <v>0</v>
      </c>
      <c r="X459" s="17">
        <f t="shared" si="527"/>
        <v>0</v>
      </c>
      <c r="Y459" s="18">
        <f>SUM(W459:X459)</f>
        <v>0</v>
      </c>
      <c r="Z459" s="19">
        <f t="shared" si="530"/>
        <v>0</v>
      </c>
      <c r="AA459" s="19"/>
      <c r="AB459" s="19"/>
      <c r="AC459" s="17"/>
      <c r="AE459" s="111"/>
      <c r="AF459" s="111"/>
      <c r="AG459" s="111"/>
      <c r="AH459" s="112"/>
      <c r="AI459" s="113"/>
      <c r="AK459" s="111"/>
      <c r="AL459" s="111"/>
      <c r="AM459" s="111"/>
      <c r="AN459" s="112"/>
      <c r="AO459" s="113"/>
      <c r="AQ459" s="17"/>
      <c r="AR459" s="17"/>
      <c r="AS459" s="17"/>
      <c r="AT459" s="18">
        <f t="shared" si="528"/>
        <v>0</v>
      </c>
      <c r="AU459" s="19">
        <f>IF(AT$460=0,0,AT459/AT$460)</f>
        <v>0</v>
      </c>
      <c r="AW459" s="17"/>
      <c r="AX459" s="17"/>
      <c r="AY459" s="17"/>
      <c r="AZ459" s="18">
        <f t="shared" si="529"/>
        <v>0</v>
      </c>
      <c r="BA459" s="19">
        <f>IF(AZ$460=0,0,AZ459/AZ$460)</f>
        <v>0</v>
      </c>
    </row>
    <row r="460" spans="1:53" ht="17.100000000000001" customHeight="1" x14ac:dyDescent="0.25">
      <c r="A460" s="40"/>
      <c r="B460" s="40"/>
      <c r="C460" s="77"/>
      <c r="D460" s="134"/>
      <c r="E460" s="134"/>
      <c r="F460" s="134"/>
      <c r="G460" s="134"/>
      <c r="H460" s="540"/>
      <c r="I460" s="229"/>
      <c r="J460" s="80"/>
      <c r="K460" s="80"/>
      <c r="L460" s="81"/>
      <c r="M460" s="81"/>
      <c r="N460" s="81">
        <f>SUM(N457:N459)</f>
        <v>0</v>
      </c>
      <c r="O460" s="81">
        <f t="shared" ref="O460:V460" si="531">SUM(O457:O459)</f>
        <v>0</v>
      </c>
      <c r="P460" s="81">
        <f t="shared" si="531"/>
        <v>0</v>
      </c>
      <c r="Q460" s="81">
        <f t="shared" si="531"/>
        <v>0</v>
      </c>
      <c r="R460" s="81">
        <f t="shared" si="531"/>
        <v>0</v>
      </c>
      <c r="S460" s="81">
        <f t="shared" si="531"/>
        <v>0</v>
      </c>
      <c r="T460" s="81">
        <f t="shared" si="531"/>
        <v>0</v>
      </c>
      <c r="U460" s="81">
        <f t="shared" si="531"/>
        <v>0</v>
      </c>
      <c r="V460" s="81">
        <f t="shared" si="531"/>
        <v>0</v>
      </c>
      <c r="W460" s="381">
        <f>SUM(W457:W459)</f>
        <v>0</v>
      </c>
      <c r="X460" s="82">
        <f t="shared" ref="X460:Y460" si="532">SUM(X457:X459)</f>
        <v>0</v>
      </c>
      <c r="Y460" s="82">
        <f t="shared" si="532"/>
        <v>0</v>
      </c>
      <c r="Z460" s="205">
        <f t="shared" si="530"/>
        <v>0</v>
      </c>
      <c r="AA460" s="205"/>
      <c r="AB460" s="205"/>
      <c r="AC460" s="83"/>
      <c r="AE460" s="80"/>
      <c r="AF460" s="80"/>
      <c r="AG460" s="81"/>
      <c r="AH460" s="82"/>
      <c r="AI460" s="66"/>
      <c r="AK460" s="80"/>
      <c r="AL460" s="80"/>
      <c r="AM460" s="81"/>
      <c r="AN460" s="82"/>
      <c r="AO460" s="66"/>
      <c r="AQ460" s="80"/>
      <c r="AR460" s="80"/>
      <c r="AS460" s="81"/>
      <c r="AT460" s="82">
        <f>SUM(AT457:AT459)</f>
        <v>0</v>
      </c>
      <c r="AU460" s="66">
        <f>IF(AT$460=0,0,AT460/AT$460)</f>
        <v>0</v>
      </c>
      <c r="AW460" s="80"/>
      <c r="AX460" s="80"/>
      <c r="AY460" s="81"/>
      <c r="AZ460" s="82">
        <f>SUM(AZ457:AZ459)</f>
        <v>0</v>
      </c>
      <c r="BA460" s="66">
        <f>IF(AZ$460=0,0,AZ460/AZ$460)</f>
        <v>0</v>
      </c>
    </row>
    <row r="461" spans="1:53" s="117" customFormat="1" ht="17.100000000000001" customHeight="1" x14ac:dyDescent="0.25">
      <c r="A461" s="68"/>
      <c r="B461" s="119"/>
      <c r="C461" s="540"/>
      <c r="D461" s="261"/>
      <c r="E461" s="261"/>
      <c r="F461" s="68"/>
      <c r="G461" s="68"/>
      <c r="H461" s="119"/>
      <c r="I461" s="138"/>
      <c r="J461" s="17"/>
      <c r="K461" s="17"/>
      <c r="L461" s="17"/>
      <c r="M461" s="17"/>
      <c r="N461" s="17" t="str">
        <f>IF(N460=N$443,"OK","NOK")</f>
        <v>OK</v>
      </c>
      <c r="O461" s="17" t="str">
        <f>IF(O460=O$443,"OK","NOK")</f>
        <v>OK</v>
      </c>
      <c r="P461" s="17"/>
      <c r="Q461" s="17" t="str">
        <f>IF(Q460=Q$443,"OK","NOK")</f>
        <v>OK</v>
      </c>
      <c r="R461" s="17" t="str">
        <f>IF(R460=R$443,"OK","NOK")</f>
        <v>OK</v>
      </c>
      <c r="S461" s="17"/>
      <c r="T461" s="17" t="str">
        <f>IF(T460=T$443,"OK","NOK")</f>
        <v>OK</v>
      </c>
      <c r="U461" s="17" t="str">
        <f>IF(U460=U$443,"OK","NOK")</f>
        <v>OK</v>
      </c>
      <c r="V461" s="359"/>
      <c r="W461" s="382"/>
      <c r="X461" s="539"/>
      <c r="Y461" s="539"/>
      <c r="Z461" s="201"/>
      <c r="AA461" s="201"/>
      <c r="AB461" s="201"/>
      <c r="AC461" s="84"/>
      <c r="AE461" s="46"/>
      <c r="AF461" s="46"/>
      <c r="AG461" s="17"/>
      <c r="AH461" s="539"/>
      <c r="AI461" s="91"/>
      <c r="AK461" s="46"/>
      <c r="AL461" s="46"/>
      <c r="AM461" s="17"/>
      <c r="AN461" s="539"/>
      <c r="AO461" s="91"/>
      <c r="AQ461" s="46"/>
      <c r="AR461" s="46"/>
      <c r="AS461" s="17"/>
      <c r="AT461" s="539"/>
      <c r="AU461" s="91"/>
      <c r="AW461" s="46"/>
      <c r="AX461" s="46"/>
      <c r="AY461" s="17"/>
      <c r="AZ461" s="539"/>
      <c r="BA461" s="91"/>
    </row>
    <row r="462" spans="1:53" s="117" customFormat="1" ht="17.100000000000001" customHeight="1" x14ac:dyDescent="0.25">
      <c r="A462" s="68"/>
      <c r="B462" s="119"/>
      <c r="C462" s="56" t="s">
        <v>260</v>
      </c>
      <c r="D462" s="57" t="s">
        <v>275</v>
      </c>
      <c r="E462" s="149"/>
      <c r="F462" s="149"/>
      <c r="G462" s="149"/>
      <c r="H462" s="182"/>
      <c r="I462" s="241"/>
      <c r="J462" s="152"/>
      <c r="K462" s="152"/>
      <c r="L462" s="111"/>
      <c r="M462" s="111"/>
      <c r="N462" s="111"/>
      <c r="O462" s="111"/>
      <c r="P462" s="111"/>
      <c r="Q462" s="111"/>
      <c r="R462" s="111"/>
      <c r="S462" s="111"/>
      <c r="T462" s="111"/>
      <c r="U462" s="111"/>
      <c r="V462" s="358"/>
      <c r="W462" s="380"/>
      <c r="X462" s="111"/>
      <c r="Y462" s="545"/>
      <c r="Z462" s="131"/>
      <c r="AA462" s="131"/>
      <c r="AB462" s="131"/>
      <c r="AC462" s="113"/>
      <c r="AE462" s="152"/>
      <c r="AF462" s="152"/>
      <c r="AG462" s="111"/>
      <c r="AH462" s="545"/>
      <c r="AI462" s="131"/>
      <c r="AK462" s="152"/>
      <c r="AL462" s="152"/>
      <c r="AM462" s="111"/>
      <c r="AN462" s="545"/>
      <c r="AO462" s="131"/>
      <c r="AQ462" s="152"/>
      <c r="AR462" s="152"/>
      <c r="AS462" s="111"/>
      <c r="AT462" s="545"/>
      <c r="AU462" s="131"/>
      <c r="AW462" s="152"/>
      <c r="AX462" s="152"/>
      <c r="AY462" s="111"/>
      <c r="AZ462" s="545"/>
      <c r="BA462" s="131"/>
    </row>
    <row r="463" spans="1:53" ht="17.100000000000001" customHeight="1" x14ac:dyDescent="0.25">
      <c r="A463" s="175"/>
      <c r="B463" s="40"/>
      <c r="C463" s="55"/>
      <c r="D463" s="56" t="s">
        <v>261</v>
      </c>
      <c r="E463" s="85" t="s">
        <v>173</v>
      </c>
      <c r="F463" s="225"/>
      <c r="G463" s="149"/>
      <c r="H463" s="182"/>
      <c r="I463" s="241"/>
      <c r="J463" s="111"/>
      <c r="K463" s="111"/>
      <c r="L463" s="111"/>
      <c r="M463" s="111"/>
      <c r="N463" s="60"/>
      <c r="O463" s="60"/>
      <c r="P463" s="17">
        <f>SUM(N463:O463)</f>
        <v>0</v>
      </c>
      <c r="Q463" s="60"/>
      <c r="R463" s="60"/>
      <c r="S463" s="17">
        <f>SUM(Q463:R463)</f>
        <v>0</v>
      </c>
      <c r="T463" s="60"/>
      <c r="U463" s="60"/>
      <c r="V463" s="359">
        <f>SUM(T463:U463)</f>
        <v>0</v>
      </c>
      <c r="W463" s="391">
        <f t="shared" ref="W463:W464" si="533">J463+K463+N463+Q463+T463</f>
        <v>0</v>
      </c>
      <c r="X463" s="17">
        <f t="shared" ref="X463:X464" si="534">L463+O463+R463+U463</f>
        <v>0</v>
      </c>
      <c r="Y463" s="18">
        <f>SUM(W463:X463)</f>
        <v>0</v>
      </c>
      <c r="Z463" s="19">
        <f>IF(Y$370=0,0,Y463/Y$370)</f>
        <v>0</v>
      </c>
      <c r="AA463" s="19"/>
      <c r="AB463" s="19"/>
      <c r="AC463" s="20"/>
      <c r="AE463" s="111"/>
      <c r="AF463" s="111"/>
      <c r="AG463" s="111"/>
      <c r="AH463" s="112"/>
      <c r="AI463" s="113"/>
      <c r="AK463" s="111"/>
      <c r="AL463" s="111"/>
      <c r="AM463" s="111"/>
      <c r="AN463" s="112"/>
      <c r="AO463" s="113"/>
      <c r="AQ463" s="17"/>
      <c r="AR463" s="17"/>
      <c r="AS463" s="17"/>
      <c r="AT463" s="18">
        <f t="shared" ref="AT463:AT464" si="535">W463</f>
        <v>0</v>
      </c>
      <c r="AU463" s="19">
        <f>IF(AT$469=0,0,AT463/AT$469)</f>
        <v>0</v>
      </c>
      <c r="AW463" s="17"/>
      <c r="AX463" s="17"/>
      <c r="AY463" s="17"/>
      <c r="AZ463" s="18">
        <f t="shared" ref="AZ463:AZ464" si="536">X463</f>
        <v>0</v>
      </c>
      <c r="BA463" s="19">
        <f>IF(AZ$469=0,0,AZ463/AZ$469)</f>
        <v>0</v>
      </c>
    </row>
    <row r="464" spans="1:53" ht="17.100000000000001" customHeight="1" x14ac:dyDescent="0.25">
      <c r="A464" s="175"/>
      <c r="B464" s="40"/>
      <c r="C464" s="55"/>
      <c r="D464" s="56" t="s">
        <v>262</v>
      </c>
      <c r="E464" s="85" t="s">
        <v>544</v>
      </c>
      <c r="F464" s="225"/>
      <c r="G464" s="149"/>
      <c r="H464" s="182"/>
      <c r="I464" s="241"/>
      <c r="J464" s="111"/>
      <c r="K464" s="111"/>
      <c r="L464" s="111"/>
      <c r="M464" s="111"/>
      <c r="N464" s="61"/>
      <c r="O464" s="61"/>
      <c r="P464" s="17">
        <f t="shared" ref="P464" si="537">SUM(N464:O464)</f>
        <v>0</v>
      </c>
      <c r="Q464" s="61"/>
      <c r="R464" s="61"/>
      <c r="S464" s="17">
        <f t="shared" ref="S464" si="538">SUM(Q464:R464)</f>
        <v>0</v>
      </c>
      <c r="T464" s="61"/>
      <c r="U464" s="61"/>
      <c r="V464" s="359">
        <f t="shared" ref="V464" si="539">SUM(T464:U464)</f>
        <v>0</v>
      </c>
      <c r="W464" s="391">
        <f t="shared" si="533"/>
        <v>0</v>
      </c>
      <c r="X464" s="17">
        <f t="shared" si="534"/>
        <v>0</v>
      </c>
      <c r="Y464" s="18">
        <f>SUM(W464:X464)</f>
        <v>0</v>
      </c>
      <c r="Z464" s="19">
        <f>IF(Y$370=0,0,Y464/Y$370)</f>
        <v>0</v>
      </c>
      <c r="AA464" s="19"/>
      <c r="AB464" s="19"/>
      <c r="AC464" s="20"/>
      <c r="AE464" s="111"/>
      <c r="AF464" s="111"/>
      <c r="AG464" s="111"/>
      <c r="AH464" s="112"/>
      <c r="AI464" s="113"/>
      <c r="AK464" s="111"/>
      <c r="AL464" s="111"/>
      <c r="AM464" s="111"/>
      <c r="AN464" s="112"/>
      <c r="AO464" s="113"/>
      <c r="AQ464" s="17"/>
      <c r="AR464" s="17"/>
      <c r="AS464" s="17"/>
      <c r="AT464" s="18">
        <f t="shared" si="535"/>
        <v>0</v>
      </c>
      <c r="AU464" s="19">
        <f>IF(AT$469=0,0,AT464/AT$469)</f>
        <v>0</v>
      </c>
      <c r="AW464" s="17"/>
      <c r="AX464" s="17"/>
      <c r="AY464" s="17"/>
      <c r="AZ464" s="18">
        <f t="shared" si="536"/>
        <v>0</v>
      </c>
      <c r="BA464" s="19">
        <f>IF(AZ$469=0,0,AZ464/AZ$469)</f>
        <v>0</v>
      </c>
    </row>
    <row r="465" spans="1:53" ht="17.100000000000001" customHeight="1" x14ac:dyDescent="0.25">
      <c r="A465" s="175"/>
      <c r="B465" s="40"/>
      <c r="C465" s="55"/>
      <c r="D465" s="56" t="s">
        <v>263</v>
      </c>
      <c r="E465" s="146" t="s">
        <v>484</v>
      </c>
      <c r="F465" s="225"/>
      <c r="G465" s="149"/>
      <c r="H465" s="182"/>
      <c r="I465" s="241"/>
      <c r="J465" s="111"/>
      <c r="K465" s="111"/>
      <c r="L465" s="111"/>
      <c r="M465" s="111"/>
      <c r="N465" s="60"/>
      <c r="O465" s="60"/>
      <c r="P465" s="17"/>
      <c r="Q465" s="60"/>
      <c r="R465" s="60"/>
      <c r="S465" s="17"/>
      <c r="T465" s="60"/>
      <c r="U465" s="60"/>
      <c r="V465" s="359"/>
      <c r="W465" s="391">
        <f>MIN(N465,Q465,T465)</f>
        <v>0</v>
      </c>
      <c r="X465" s="17">
        <f>MIN(O465,R465,U465)</f>
        <v>0</v>
      </c>
      <c r="Y465" s="18"/>
      <c r="Z465" s="19"/>
      <c r="AA465" s="17">
        <f>MIN(N465:U465)</f>
        <v>0</v>
      </c>
      <c r="AB465" s="17"/>
      <c r="AC465" s="17"/>
      <c r="AE465" s="111"/>
      <c r="AF465" s="111"/>
      <c r="AG465" s="111"/>
      <c r="AH465" s="545"/>
      <c r="AI465" s="131"/>
      <c r="AK465" s="111"/>
      <c r="AL465" s="111"/>
      <c r="AM465" s="111"/>
      <c r="AN465" s="545"/>
      <c r="AO465" s="131"/>
      <c r="AQ465" s="17">
        <f>W465</f>
        <v>0</v>
      </c>
      <c r="AR465" s="17"/>
      <c r="AS465" s="17"/>
      <c r="AT465" s="18"/>
      <c r="AU465" s="19"/>
      <c r="AW465" s="17">
        <f>X465</f>
        <v>0</v>
      </c>
      <c r="AX465" s="17"/>
      <c r="AY465" s="17"/>
      <c r="AZ465" s="18"/>
      <c r="BA465" s="19"/>
    </row>
    <row r="466" spans="1:53" ht="17.100000000000001" customHeight="1" x14ac:dyDescent="0.25">
      <c r="A466" s="175"/>
      <c r="B466" s="40"/>
      <c r="C466" s="55"/>
      <c r="D466" s="56" t="s">
        <v>264</v>
      </c>
      <c r="E466" s="146" t="s">
        <v>485</v>
      </c>
      <c r="F466" s="225"/>
      <c r="G466" s="149"/>
      <c r="H466" s="182"/>
      <c r="I466" s="241"/>
      <c r="J466" s="111"/>
      <c r="K466" s="111"/>
      <c r="L466" s="111"/>
      <c r="M466" s="111"/>
      <c r="N466" s="61"/>
      <c r="O466" s="61"/>
      <c r="P466" s="17"/>
      <c r="Q466" s="61"/>
      <c r="R466" s="61"/>
      <c r="S466" s="17"/>
      <c r="T466" s="61"/>
      <c r="U466" s="61"/>
      <c r="V466" s="359"/>
      <c r="W466" s="391">
        <f>MAX(N466,Q466,T466)</f>
        <v>0</v>
      </c>
      <c r="X466" s="17">
        <f>MAX(O466,R466,U466)</f>
        <v>0</v>
      </c>
      <c r="Y466" s="18"/>
      <c r="Z466" s="19"/>
      <c r="AA466" s="17"/>
      <c r="AB466" s="17">
        <f>MAX(N466:U466)</f>
        <v>0</v>
      </c>
      <c r="AC466" s="17"/>
      <c r="AE466" s="111"/>
      <c r="AF466" s="111"/>
      <c r="AG466" s="111"/>
      <c r="AH466" s="545"/>
      <c r="AI466" s="131"/>
      <c r="AK466" s="111"/>
      <c r="AL466" s="111"/>
      <c r="AM466" s="111"/>
      <c r="AN466" s="545"/>
      <c r="AO466" s="131"/>
      <c r="AQ466" s="17"/>
      <c r="AR466" s="17">
        <f>W466</f>
        <v>0</v>
      </c>
      <c r="AS466" s="17"/>
      <c r="AT466" s="18"/>
      <c r="AU466" s="19"/>
      <c r="AW466" s="17"/>
      <c r="AX466" s="17">
        <f>X466</f>
        <v>0</v>
      </c>
      <c r="AY466" s="17"/>
      <c r="AZ466" s="18"/>
      <c r="BA466" s="19"/>
    </row>
    <row r="467" spans="1:53" ht="17.100000000000001" customHeight="1" x14ac:dyDescent="0.25">
      <c r="A467" s="175"/>
      <c r="B467" s="40"/>
      <c r="C467" s="55"/>
      <c r="D467" s="56" t="s">
        <v>265</v>
      </c>
      <c r="E467" s="146" t="s">
        <v>543</v>
      </c>
      <c r="F467" s="225"/>
      <c r="G467" s="149"/>
      <c r="H467" s="182"/>
      <c r="I467" s="241"/>
      <c r="J467" s="111"/>
      <c r="K467" s="111"/>
      <c r="L467" s="111"/>
      <c r="M467" s="111"/>
      <c r="N467" s="60"/>
      <c r="O467" s="60"/>
      <c r="P467" s="17"/>
      <c r="Q467" s="60"/>
      <c r="R467" s="60"/>
      <c r="S467" s="17"/>
      <c r="T467" s="60"/>
      <c r="U467" s="60"/>
      <c r="V467" s="359"/>
      <c r="W467" s="391">
        <f>IF(N467+Q467+T467=0,0,AVERAGE(N467,Q467,T467))</f>
        <v>0</v>
      </c>
      <c r="X467" s="17">
        <f>IF(O467+R467+U467=0,0,AVERAGE(O467,R467,U467))</f>
        <v>0</v>
      </c>
      <c r="Y467" s="18"/>
      <c r="Z467" s="19"/>
      <c r="AA467" s="17"/>
      <c r="AB467" s="17"/>
      <c r="AC467" s="17">
        <f>IF(SUM(N467:U467)=0,0,AVERAGE(N467:U467))</f>
        <v>0</v>
      </c>
      <c r="AE467" s="111"/>
      <c r="AF467" s="111"/>
      <c r="AG467" s="111"/>
      <c r="AH467" s="545"/>
      <c r="AI467" s="131"/>
      <c r="AK467" s="111"/>
      <c r="AL467" s="111"/>
      <c r="AM467" s="111"/>
      <c r="AN467" s="545"/>
      <c r="AO467" s="131"/>
      <c r="AQ467" s="17"/>
      <c r="AR467" s="17"/>
      <c r="AS467" s="17">
        <f>W467</f>
        <v>0</v>
      </c>
      <c r="AT467" s="18"/>
      <c r="AU467" s="19"/>
      <c r="AW467" s="17"/>
      <c r="AX467" s="17"/>
      <c r="AY467" s="17">
        <f>X467</f>
        <v>0</v>
      </c>
      <c r="AZ467" s="18"/>
      <c r="BA467" s="19"/>
    </row>
    <row r="468" spans="1:53" ht="17.100000000000001" customHeight="1" x14ac:dyDescent="0.25">
      <c r="A468" s="175"/>
      <c r="B468" s="40"/>
      <c r="C468" s="55"/>
      <c r="D468" s="56" t="s">
        <v>266</v>
      </c>
      <c r="E468" s="596" t="s">
        <v>598</v>
      </c>
      <c r="F468" s="225"/>
      <c r="G468" s="149"/>
      <c r="H468" s="182"/>
      <c r="I468" s="241"/>
      <c r="J468" s="111"/>
      <c r="K468" s="111"/>
      <c r="L468" s="111"/>
      <c r="M468" s="111"/>
      <c r="N468" s="61"/>
      <c r="O468" s="61"/>
      <c r="P468" s="17">
        <f t="shared" ref="P468" si="540">SUM(N468:O468)</f>
        <v>0</v>
      </c>
      <c r="Q468" s="61"/>
      <c r="R468" s="61"/>
      <c r="S468" s="17">
        <f t="shared" ref="S468" si="541">SUM(Q468:R468)</f>
        <v>0</v>
      </c>
      <c r="T468" s="61"/>
      <c r="U468" s="61"/>
      <c r="V468" s="359">
        <f t="shared" ref="V468" si="542">SUM(T468:U468)</f>
        <v>0</v>
      </c>
      <c r="W468" s="391">
        <f t="shared" ref="W468" si="543">J468+K468+N468+Q468+T468</f>
        <v>0</v>
      </c>
      <c r="X468" s="17">
        <f t="shared" ref="X468" si="544">L468+O468+R468+U468</f>
        <v>0</v>
      </c>
      <c r="Y468" s="18">
        <f>SUM(W468:X468)</f>
        <v>0</v>
      </c>
      <c r="Z468" s="19">
        <f>IF(Y$370=0,0,Y468/Y$370)</f>
        <v>0</v>
      </c>
      <c r="AA468" s="19"/>
      <c r="AB468" s="19"/>
      <c r="AC468" s="20"/>
      <c r="AE468" s="111"/>
      <c r="AF468" s="111"/>
      <c r="AG468" s="111"/>
      <c r="AH468" s="112"/>
      <c r="AI468" s="113"/>
      <c r="AK468" s="111"/>
      <c r="AL468" s="111"/>
      <c r="AM468" s="111"/>
      <c r="AN468" s="112"/>
      <c r="AO468" s="113"/>
      <c r="AQ468" s="17"/>
      <c r="AR468" s="17"/>
      <c r="AS468" s="17"/>
      <c r="AT468" s="18">
        <f t="shared" ref="AT468" si="545">W468</f>
        <v>0</v>
      </c>
      <c r="AU468" s="19">
        <f t="shared" ref="AU468:AU469" si="546">IF(AT$469=0,0,AT468/AT$469)</f>
        <v>0</v>
      </c>
      <c r="AW468" s="17"/>
      <c r="AX468" s="17"/>
      <c r="AY468" s="17"/>
      <c r="AZ468" s="18">
        <f t="shared" ref="AZ468" si="547">X468</f>
        <v>0</v>
      </c>
      <c r="BA468" s="19">
        <f t="shared" ref="BA468:BA469" si="548">IF(AZ$469=0,0,AZ468/AZ$469)</f>
        <v>0</v>
      </c>
    </row>
    <row r="469" spans="1:53" s="117" customFormat="1" ht="17.100000000000001" customHeight="1" x14ac:dyDescent="0.25">
      <c r="A469" s="68"/>
      <c r="B469" s="119"/>
      <c r="C469" s="77"/>
      <c r="D469" s="134"/>
      <c r="E469" s="134"/>
      <c r="F469" s="134"/>
      <c r="G469" s="134"/>
      <c r="H469" s="540"/>
      <c r="I469" s="229"/>
      <c r="J469" s="80"/>
      <c r="K469" s="80"/>
      <c r="L469" s="81"/>
      <c r="M469" s="81"/>
      <c r="N469" s="81">
        <f>N463+N464+N468</f>
        <v>0</v>
      </c>
      <c r="O469" s="81">
        <f t="shared" ref="O469:V469" si="549">O463+O464+O468</f>
        <v>0</v>
      </c>
      <c r="P469" s="81">
        <f t="shared" si="549"/>
        <v>0</v>
      </c>
      <c r="Q469" s="81">
        <f t="shared" si="549"/>
        <v>0</v>
      </c>
      <c r="R469" s="81">
        <f t="shared" si="549"/>
        <v>0</v>
      </c>
      <c r="S469" s="81">
        <f t="shared" si="549"/>
        <v>0</v>
      </c>
      <c r="T469" s="81">
        <f t="shared" si="549"/>
        <v>0</v>
      </c>
      <c r="U469" s="81">
        <f t="shared" si="549"/>
        <v>0</v>
      </c>
      <c r="V469" s="81">
        <f t="shared" si="549"/>
        <v>0</v>
      </c>
      <c r="W469" s="381">
        <f>W463+W464+W468</f>
        <v>0</v>
      </c>
      <c r="X469" s="82">
        <f t="shared" ref="X469:Y469" si="550">X463+X464+X468</f>
        <v>0</v>
      </c>
      <c r="Y469" s="338">
        <f t="shared" si="550"/>
        <v>0</v>
      </c>
      <c r="Z469" s="205">
        <f>IF(Y$430=0,0,Y469/Y$430)</f>
        <v>0</v>
      </c>
      <c r="AA469" s="205"/>
      <c r="AB469" s="205"/>
      <c r="AC469" s="83"/>
      <c r="AE469" s="80"/>
      <c r="AF469" s="80"/>
      <c r="AG469" s="81"/>
      <c r="AH469" s="82"/>
      <c r="AI469" s="66"/>
      <c r="AK469" s="80"/>
      <c r="AL469" s="80"/>
      <c r="AM469" s="81"/>
      <c r="AN469" s="82"/>
      <c r="AO469" s="66"/>
      <c r="AQ469" s="80"/>
      <c r="AR469" s="80"/>
      <c r="AS469" s="81"/>
      <c r="AT469" s="82">
        <f>SUM(AT463:AT468)</f>
        <v>0</v>
      </c>
      <c r="AU469" s="66">
        <f t="shared" si="546"/>
        <v>0</v>
      </c>
      <c r="AW469" s="80"/>
      <c r="AX469" s="80"/>
      <c r="AY469" s="81"/>
      <c r="AZ469" s="82">
        <f>SUM(AZ463:AZ468)</f>
        <v>0</v>
      </c>
      <c r="BA469" s="66">
        <f t="shared" si="548"/>
        <v>0</v>
      </c>
    </row>
    <row r="470" spans="1:53" s="117" customFormat="1" ht="17.100000000000001" customHeight="1" x14ac:dyDescent="0.25">
      <c r="A470" s="68"/>
      <c r="B470" s="119"/>
      <c r="C470" s="540"/>
      <c r="D470" s="261"/>
      <c r="E470" s="261"/>
      <c r="F470" s="68"/>
      <c r="G470" s="68"/>
      <c r="H470" s="119"/>
      <c r="I470" s="138"/>
      <c r="J470" s="17"/>
      <c r="K470" s="17"/>
      <c r="L470" s="17"/>
      <c r="M470" s="17"/>
      <c r="N470" s="17" t="str">
        <f>IF(N469=N$443,"OK","NOK")</f>
        <v>OK</v>
      </c>
      <c r="O470" s="17" t="str">
        <f>IF(O469=O$443,"OK","NOK")</f>
        <v>OK</v>
      </c>
      <c r="P470" s="17"/>
      <c r="Q470" s="17" t="str">
        <f>IF(Q469=Q$443,"OK","NOK")</f>
        <v>OK</v>
      </c>
      <c r="R470" s="17" t="str">
        <f>IF(R469=R$443,"OK","NOK")</f>
        <v>OK</v>
      </c>
      <c r="S470" s="17"/>
      <c r="T470" s="17" t="str">
        <f>IF(T469=T$443,"OK","NOK")</f>
        <v>OK</v>
      </c>
      <c r="U470" s="17" t="str">
        <f>IF(U469=U$443,"OK","NOK")</f>
        <v>OK</v>
      </c>
      <c r="V470" s="359"/>
      <c r="W470" s="382"/>
      <c r="X470" s="539"/>
      <c r="Y470" s="539"/>
      <c r="Z470" s="201"/>
      <c r="AA470" s="201"/>
      <c r="AB470" s="201"/>
      <c r="AC470" s="84"/>
      <c r="AE470" s="46"/>
      <c r="AF470" s="46"/>
      <c r="AG470" s="17"/>
      <c r="AH470" s="539"/>
      <c r="AI470" s="91"/>
      <c r="AK470" s="46"/>
      <c r="AL470" s="46"/>
      <c r="AM470" s="17"/>
      <c r="AN470" s="539"/>
      <c r="AO470" s="91"/>
      <c r="AQ470" s="46"/>
      <c r="AR470" s="46"/>
      <c r="AS470" s="17"/>
      <c r="AT470" s="539"/>
      <c r="AU470" s="91"/>
      <c r="AW470" s="46"/>
      <c r="AX470" s="46"/>
      <c r="AY470" s="17"/>
      <c r="AZ470" s="539"/>
      <c r="BA470" s="91"/>
    </row>
    <row r="471" spans="1:53" s="117" customFormat="1" ht="17.100000000000001" customHeight="1" x14ac:dyDescent="0.25">
      <c r="A471" s="68"/>
      <c r="B471" s="119"/>
      <c r="C471" s="56" t="s">
        <v>267</v>
      </c>
      <c r="D471" s="57" t="s">
        <v>276</v>
      </c>
      <c r="E471" s="149"/>
      <c r="F471" s="149"/>
      <c r="G471" s="149"/>
      <c r="H471" s="182"/>
      <c r="I471" s="241"/>
      <c r="J471" s="152"/>
      <c r="K471" s="152"/>
      <c r="L471" s="111"/>
      <c r="M471" s="111"/>
      <c r="N471" s="111"/>
      <c r="O471" s="111"/>
      <c r="P471" s="111"/>
      <c r="Q471" s="111"/>
      <c r="R471" s="111"/>
      <c r="S471" s="111"/>
      <c r="T471" s="111"/>
      <c r="U471" s="111"/>
      <c r="V471" s="358"/>
      <c r="W471" s="380"/>
      <c r="X471" s="111"/>
      <c r="Y471" s="545"/>
      <c r="Z471" s="131"/>
      <c r="AA471" s="131"/>
      <c r="AB471" s="131"/>
      <c r="AC471" s="113"/>
      <c r="AE471" s="152"/>
      <c r="AF471" s="152"/>
      <c r="AG471" s="111"/>
      <c r="AH471" s="545"/>
      <c r="AI471" s="131"/>
      <c r="AK471" s="152"/>
      <c r="AL471" s="152"/>
      <c r="AM471" s="111"/>
      <c r="AN471" s="545"/>
      <c r="AO471" s="131"/>
      <c r="AQ471" s="152"/>
      <c r="AR471" s="152"/>
      <c r="AS471" s="111"/>
      <c r="AT471" s="545"/>
      <c r="AU471" s="131"/>
      <c r="AW471" s="152"/>
      <c r="AX471" s="152"/>
      <c r="AY471" s="111"/>
      <c r="AZ471" s="545"/>
      <c r="BA471" s="131"/>
    </row>
    <row r="472" spans="1:53" s="117" customFormat="1" ht="17.100000000000001" customHeight="1" x14ac:dyDescent="0.25">
      <c r="A472" s="68"/>
      <c r="B472" s="119"/>
      <c r="C472" s="55"/>
      <c r="D472" s="56" t="s">
        <v>268</v>
      </c>
      <c r="E472" s="85" t="s">
        <v>478</v>
      </c>
      <c r="F472" s="149"/>
      <c r="G472" s="149"/>
      <c r="H472" s="182"/>
      <c r="I472" s="241"/>
      <c r="J472" s="111"/>
      <c r="K472" s="111"/>
      <c r="L472" s="111"/>
      <c r="M472" s="111"/>
      <c r="N472" s="60"/>
      <c r="O472" s="60"/>
      <c r="P472" s="17">
        <f t="shared" ref="P472:P479" si="551">SUM(N472:O472)</f>
        <v>0</v>
      </c>
      <c r="Q472" s="60"/>
      <c r="R472" s="60"/>
      <c r="S472" s="17">
        <f t="shared" ref="S472:S479" si="552">SUM(Q472:R472)</f>
        <v>0</v>
      </c>
      <c r="T472" s="60"/>
      <c r="U472" s="60"/>
      <c r="V472" s="359">
        <f t="shared" ref="V472:V479" si="553">SUM(T472:U472)</f>
        <v>0</v>
      </c>
      <c r="W472" s="391">
        <f t="shared" ref="W472:W479" si="554">J472+K472+N472+Q472+T472</f>
        <v>0</v>
      </c>
      <c r="X472" s="17">
        <f t="shared" ref="X472:X479" si="555">L472+O472+R472+U472</f>
        <v>0</v>
      </c>
      <c r="Y472" s="18">
        <f t="shared" ref="Y472:Y479" si="556">SUM(W472:X472)</f>
        <v>0</v>
      </c>
      <c r="Z472" s="19">
        <f>IF(Y$480=0,0,Y472/Y$480)</f>
        <v>0</v>
      </c>
      <c r="AA472" s="19"/>
      <c r="AB472" s="19"/>
      <c r="AC472" s="84"/>
      <c r="AE472" s="111"/>
      <c r="AF472" s="111"/>
      <c r="AG472" s="111"/>
      <c r="AH472" s="112"/>
      <c r="AI472" s="113"/>
      <c r="AK472" s="111"/>
      <c r="AL472" s="111"/>
      <c r="AM472" s="111"/>
      <c r="AN472" s="112"/>
      <c r="AO472" s="113"/>
      <c r="AQ472" s="17"/>
      <c r="AR472" s="17"/>
      <c r="AS472" s="17"/>
      <c r="AT472" s="18">
        <f t="shared" ref="AT472:AT479" si="557">W472</f>
        <v>0</v>
      </c>
      <c r="AU472" s="19">
        <f>IF(AT$480=0,0,AT472/AT$480)</f>
        <v>0</v>
      </c>
      <c r="AW472" s="17"/>
      <c r="AX472" s="17"/>
      <c r="AY472" s="17"/>
      <c r="AZ472" s="18">
        <f t="shared" ref="AZ472:AZ479" si="558">X472</f>
        <v>0</v>
      </c>
      <c r="BA472" s="19">
        <f>IF(AZ$480=0,0,AZ472/AZ$480)</f>
        <v>0</v>
      </c>
    </row>
    <row r="473" spans="1:53" s="117" customFormat="1" ht="17.100000000000001" customHeight="1" x14ac:dyDescent="0.25">
      <c r="A473" s="68"/>
      <c r="B473" s="119"/>
      <c r="C473" s="55"/>
      <c r="D473" s="56" t="s">
        <v>269</v>
      </c>
      <c r="E473" s="85" t="s">
        <v>165</v>
      </c>
      <c r="F473" s="149"/>
      <c r="G473" s="149"/>
      <c r="H473" s="182"/>
      <c r="I473" s="241"/>
      <c r="J473" s="111"/>
      <c r="K473" s="111"/>
      <c r="L473" s="111"/>
      <c r="M473" s="111"/>
      <c r="N473" s="61"/>
      <c r="O473" s="61"/>
      <c r="P473" s="17">
        <f t="shared" si="551"/>
        <v>0</v>
      </c>
      <c r="Q473" s="61"/>
      <c r="R473" s="61"/>
      <c r="S473" s="17">
        <f t="shared" si="552"/>
        <v>0</v>
      </c>
      <c r="T473" s="61"/>
      <c r="U473" s="61"/>
      <c r="V473" s="359">
        <f t="shared" si="553"/>
        <v>0</v>
      </c>
      <c r="W473" s="391">
        <f t="shared" si="554"/>
        <v>0</v>
      </c>
      <c r="X473" s="17">
        <f t="shared" si="555"/>
        <v>0</v>
      </c>
      <c r="Y473" s="18">
        <f t="shared" si="556"/>
        <v>0</v>
      </c>
      <c r="Z473" s="19">
        <f t="shared" ref="Z473:Z479" si="559">IF(Y$480=0,0,Y473/Y$480)</f>
        <v>0</v>
      </c>
      <c r="AA473" s="19"/>
      <c r="AB473" s="19"/>
      <c r="AC473" s="84"/>
      <c r="AE473" s="111"/>
      <c r="AF473" s="111"/>
      <c r="AG473" s="111"/>
      <c r="AH473" s="112"/>
      <c r="AI473" s="113"/>
      <c r="AK473" s="111"/>
      <c r="AL473" s="111"/>
      <c r="AM473" s="111"/>
      <c r="AN473" s="112"/>
      <c r="AO473" s="113"/>
      <c r="AQ473" s="17"/>
      <c r="AR473" s="17"/>
      <c r="AS473" s="17"/>
      <c r="AT473" s="18">
        <f t="shared" si="557"/>
        <v>0</v>
      </c>
      <c r="AU473" s="19">
        <f t="shared" ref="AU473:AU480" si="560">IF(AT$480=0,0,AT473/AT$480)</f>
        <v>0</v>
      </c>
      <c r="AW473" s="17"/>
      <c r="AX473" s="17"/>
      <c r="AY473" s="17"/>
      <c r="AZ473" s="18">
        <f t="shared" si="558"/>
        <v>0</v>
      </c>
      <c r="BA473" s="19">
        <f t="shared" ref="BA473:BA480" si="561">IF(AZ$480=0,0,AZ473/AZ$480)</f>
        <v>0</v>
      </c>
    </row>
    <row r="474" spans="1:53" s="117" customFormat="1" ht="17.100000000000001" customHeight="1" x14ac:dyDescent="0.25">
      <c r="A474" s="68"/>
      <c r="B474" s="119"/>
      <c r="C474" s="55"/>
      <c r="D474" s="56" t="s">
        <v>270</v>
      </c>
      <c r="E474" s="85" t="s">
        <v>167</v>
      </c>
      <c r="F474" s="149"/>
      <c r="G474" s="149"/>
      <c r="H474" s="182"/>
      <c r="I474" s="241"/>
      <c r="J474" s="111"/>
      <c r="K474" s="111"/>
      <c r="L474" s="111"/>
      <c r="M474" s="111"/>
      <c r="N474" s="60"/>
      <c r="O474" s="60"/>
      <c r="P474" s="17">
        <f t="shared" si="551"/>
        <v>0</v>
      </c>
      <c r="Q474" s="60"/>
      <c r="R474" s="60"/>
      <c r="S474" s="17">
        <f t="shared" si="552"/>
        <v>0</v>
      </c>
      <c r="T474" s="60"/>
      <c r="U474" s="60"/>
      <c r="V474" s="359">
        <f t="shared" si="553"/>
        <v>0</v>
      </c>
      <c r="W474" s="391">
        <f t="shared" si="554"/>
        <v>0</v>
      </c>
      <c r="X474" s="17">
        <f t="shared" si="555"/>
        <v>0</v>
      </c>
      <c r="Y474" s="18">
        <f t="shared" si="556"/>
        <v>0</v>
      </c>
      <c r="Z474" s="19">
        <f t="shared" si="559"/>
        <v>0</v>
      </c>
      <c r="AA474" s="19"/>
      <c r="AB474" s="19"/>
      <c r="AC474" s="84"/>
      <c r="AE474" s="111"/>
      <c r="AF474" s="111"/>
      <c r="AG474" s="111"/>
      <c r="AH474" s="112"/>
      <c r="AI474" s="113"/>
      <c r="AK474" s="111"/>
      <c r="AL474" s="111"/>
      <c r="AM474" s="111"/>
      <c r="AN474" s="112"/>
      <c r="AO474" s="113"/>
      <c r="AQ474" s="17"/>
      <c r="AR474" s="17"/>
      <c r="AS474" s="17"/>
      <c r="AT474" s="18">
        <f t="shared" si="557"/>
        <v>0</v>
      </c>
      <c r="AU474" s="19">
        <f t="shared" si="560"/>
        <v>0</v>
      </c>
      <c r="AW474" s="17"/>
      <c r="AX474" s="17"/>
      <c r="AY474" s="17"/>
      <c r="AZ474" s="18">
        <f t="shared" si="558"/>
        <v>0</v>
      </c>
      <c r="BA474" s="19">
        <f t="shared" si="561"/>
        <v>0</v>
      </c>
    </row>
    <row r="475" spans="1:53" s="117" customFormat="1" ht="17.100000000000001" customHeight="1" x14ac:dyDescent="0.25">
      <c r="A475" s="68"/>
      <c r="B475" s="119"/>
      <c r="C475" s="55"/>
      <c r="D475" s="56" t="s">
        <v>271</v>
      </c>
      <c r="E475" s="85" t="s">
        <v>437</v>
      </c>
      <c r="F475" s="149"/>
      <c r="G475" s="149"/>
      <c r="H475" s="182"/>
      <c r="I475" s="241"/>
      <c r="J475" s="111"/>
      <c r="K475" s="111"/>
      <c r="L475" s="111"/>
      <c r="M475" s="111"/>
      <c r="N475" s="61"/>
      <c r="O475" s="61"/>
      <c r="P475" s="17">
        <f t="shared" si="551"/>
        <v>0</v>
      </c>
      <c r="Q475" s="61"/>
      <c r="R475" s="61"/>
      <c r="S475" s="17">
        <f t="shared" si="552"/>
        <v>0</v>
      </c>
      <c r="T475" s="61"/>
      <c r="U475" s="61"/>
      <c r="V475" s="359">
        <f t="shared" si="553"/>
        <v>0</v>
      </c>
      <c r="W475" s="391">
        <f t="shared" si="554"/>
        <v>0</v>
      </c>
      <c r="X475" s="17">
        <f t="shared" si="555"/>
        <v>0</v>
      </c>
      <c r="Y475" s="18">
        <f t="shared" si="556"/>
        <v>0</v>
      </c>
      <c r="Z475" s="19">
        <f t="shared" si="559"/>
        <v>0</v>
      </c>
      <c r="AA475" s="19"/>
      <c r="AB475" s="19"/>
      <c r="AC475" s="84"/>
      <c r="AE475" s="111"/>
      <c r="AF475" s="111"/>
      <c r="AG475" s="111"/>
      <c r="AH475" s="112"/>
      <c r="AI475" s="113"/>
      <c r="AK475" s="111"/>
      <c r="AL475" s="111"/>
      <c r="AM475" s="111"/>
      <c r="AN475" s="112"/>
      <c r="AO475" s="113"/>
      <c r="AQ475" s="17"/>
      <c r="AR475" s="17"/>
      <c r="AS475" s="17"/>
      <c r="AT475" s="18">
        <f t="shared" si="557"/>
        <v>0</v>
      </c>
      <c r="AU475" s="19">
        <f t="shared" si="560"/>
        <v>0</v>
      </c>
      <c r="AW475" s="17"/>
      <c r="AX475" s="17"/>
      <c r="AY475" s="17"/>
      <c r="AZ475" s="18">
        <f t="shared" si="558"/>
        <v>0</v>
      </c>
      <c r="BA475" s="19">
        <f t="shared" si="561"/>
        <v>0</v>
      </c>
    </row>
    <row r="476" spans="1:53" s="117" customFormat="1" ht="17.100000000000001" customHeight="1" x14ac:dyDescent="0.25">
      <c r="A476" s="68"/>
      <c r="B476" s="119"/>
      <c r="C476" s="55"/>
      <c r="D476" s="56" t="s">
        <v>272</v>
      </c>
      <c r="E476" s="85" t="s">
        <v>438</v>
      </c>
      <c r="F476" s="149"/>
      <c r="G476" s="149"/>
      <c r="H476" s="182"/>
      <c r="I476" s="241"/>
      <c r="J476" s="111"/>
      <c r="K476" s="111"/>
      <c r="L476" s="111"/>
      <c r="M476" s="111"/>
      <c r="N476" s="60"/>
      <c r="O476" s="60"/>
      <c r="P476" s="17">
        <f t="shared" si="551"/>
        <v>0</v>
      </c>
      <c r="Q476" s="60"/>
      <c r="R476" s="60"/>
      <c r="S476" s="17">
        <f t="shared" si="552"/>
        <v>0</v>
      </c>
      <c r="T476" s="60"/>
      <c r="U476" s="60"/>
      <c r="V476" s="359">
        <f t="shared" si="553"/>
        <v>0</v>
      </c>
      <c r="W476" s="391">
        <f t="shared" si="554"/>
        <v>0</v>
      </c>
      <c r="X476" s="17">
        <f t="shared" si="555"/>
        <v>0</v>
      </c>
      <c r="Y476" s="18">
        <f t="shared" si="556"/>
        <v>0</v>
      </c>
      <c r="Z476" s="19">
        <f t="shared" si="559"/>
        <v>0</v>
      </c>
      <c r="AA476" s="19"/>
      <c r="AB476" s="19"/>
      <c r="AC476" s="84"/>
      <c r="AE476" s="111"/>
      <c r="AF476" s="111"/>
      <c r="AG476" s="111"/>
      <c r="AH476" s="112"/>
      <c r="AI476" s="113"/>
      <c r="AK476" s="111"/>
      <c r="AL476" s="111"/>
      <c r="AM476" s="111"/>
      <c r="AN476" s="112"/>
      <c r="AO476" s="113"/>
      <c r="AQ476" s="17"/>
      <c r="AR476" s="17"/>
      <c r="AS476" s="17"/>
      <c r="AT476" s="18">
        <f t="shared" si="557"/>
        <v>0</v>
      </c>
      <c r="AU476" s="19">
        <f t="shared" si="560"/>
        <v>0</v>
      </c>
      <c r="AW476" s="17"/>
      <c r="AX476" s="17"/>
      <c r="AY476" s="17"/>
      <c r="AZ476" s="18">
        <f t="shared" si="558"/>
        <v>0</v>
      </c>
      <c r="BA476" s="19">
        <f t="shared" si="561"/>
        <v>0</v>
      </c>
    </row>
    <row r="477" spans="1:53" s="117" customFormat="1" ht="17.100000000000001" customHeight="1" x14ac:dyDescent="0.25">
      <c r="A477" s="68"/>
      <c r="B477" s="119"/>
      <c r="C477" s="55"/>
      <c r="D477" s="56" t="s">
        <v>273</v>
      </c>
      <c r="E477" s="85" t="s">
        <v>439</v>
      </c>
      <c r="F477" s="595"/>
      <c r="G477" s="595"/>
      <c r="H477" s="17"/>
      <c r="I477" s="594"/>
      <c r="J477" s="111"/>
      <c r="K477" s="111"/>
      <c r="L477" s="111"/>
      <c r="M477" s="111"/>
      <c r="N477" s="61"/>
      <c r="O477" s="61"/>
      <c r="P477" s="17">
        <f t="shared" si="551"/>
        <v>0</v>
      </c>
      <c r="Q477" s="61"/>
      <c r="R477" s="61"/>
      <c r="S477" s="17">
        <f t="shared" si="552"/>
        <v>0</v>
      </c>
      <c r="T477" s="61"/>
      <c r="U477" s="61"/>
      <c r="V477" s="359">
        <f t="shared" si="553"/>
        <v>0</v>
      </c>
      <c r="W477" s="391">
        <f t="shared" si="554"/>
        <v>0</v>
      </c>
      <c r="X477" s="17">
        <f t="shared" si="555"/>
        <v>0</v>
      </c>
      <c r="Y477" s="18">
        <f t="shared" si="556"/>
        <v>0</v>
      </c>
      <c r="Z477" s="19">
        <f t="shared" si="559"/>
        <v>0</v>
      </c>
      <c r="AA477" s="19"/>
      <c r="AB477" s="19"/>
      <c r="AC477" s="84"/>
      <c r="AE477" s="111"/>
      <c r="AF477" s="111"/>
      <c r="AG477" s="111"/>
      <c r="AH477" s="112"/>
      <c r="AI477" s="113"/>
      <c r="AK477" s="111"/>
      <c r="AL477" s="111"/>
      <c r="AM477" s="111"/>
      <c r="AN477" s="112"/>
      <c r="AO477" s="113"/>
      <c r="AQ477" s="17"/>
      <c r="AR477" s="17"/>
      <c r="AS477" s="17"/>
      <c r="AT477" s="18">
        <f t="shared" si="557"/>
        <v>0</v>
      </c>
      <c r="AU477" s="19">
        <f t="shared" si="560"/>
        <v>0</v>
      </c>
      <c r="AW477" s="17"/>
      <c r="AX477" s="17"/>
      <c r="AY477" s="17"/>
      <c r="AZ477" s="18">
        <f t="shared" si="558"/>
        <v>0</v>
      </c>
      <c r="BA477" s="19">
        <f t="shared" si="561"/>
        <v>0</v>
      </c>
    </row>
    <row r="478" spans="1:53" s="117" customFormat="1" ht="17.100000000000001" customHeight="1" x14ac:dyDescent="0.25">
      <c r="A478" s="68"/>
      <c r="B478" s="119"/>
      <c r="C478" s="55"/>
      <c r="D478" s="56" t="s">
        <v>274</v>
      </c>
      <c r="E478" s="85" t="s">
        <v>483</v>
      </c>
      <c r="F478" s="595"/>
      <c r="G478" s="595"/>
      <c r="H478" s="17"/>
      <c r="I478" s="594"/>
      <c r="J478" s="111"/>
      <c r="K478" s="111"/>
      <c r="L478" s="111"/>
      <c r="M478" s="111"/>
      <c r="N478" s="60"/>
      <c r="O478" s="60"/>
      <c r="P478" s="17">
        <f t="shared" si="551"/>
        <v>0</v>
      </c>
      <c r="Q478" s="60"/>
      <c r="R478" s="60"/>
      <c r="S478" s="17">
        <f t="shared" si="552"/>
        <v>0</v>
      </c>
      <c r="T478" s="60"/>
      <c r="U478" s="60"/>
      <c r="V478" s="359">
        <f t="shared" si="553"/>
        <v>0</v>
      </c>
      <c r="W478" s="391">
        <f t="shared" si="554"/>
        <v>0</v>
      </c>
      <c r="X478" s="17">
        <f t="shared" si="555"/>
        <v>0</v>
      </c>
      <c r="Y478" s="18">
        <f t="shared" si="556"/>
        <v>0</v>
      </c>
      <c r="Z478" s="19">
        <f t="shared" si="559"/>
        <v>0</v>
      </c>
      <c r="AA478" s="19"/>
      <c r="AB478" s="19"/>
      <c r="AC478" s="84"/>
      <c r="AE478" s="111"/>
      <c r="AF478" s="111"/>
      <c r="AG478" s="111"/>
      <c r="AH478" s="112"/>
      <c r="AI478" s="113"/>
      <c r="AK478" s="111"/>
      <c r="AL478" s="111"/>
      <c r="AM478" s="111"/>
      <c r="AN478" s="112"/>
      <c r="AO478" s="113"/>
      <c r="AQ478" s="17"/>
      <c r="AR478" s="17"/>
      <c r="AS478" s="17"/>
      <c r="AT478" s="18">
        <f t="shared" si="557"/>
        <v>0</v>
      </c>
      <c r="AU478" s="19">
        <f t="shared" si="560"/>
        <v>0</v>
      </c>
      <c r="AW478" s="17"/>
      <c r="AX478" s="17"/>
      <c r="AY478" s="17"/>
      <c r="AZ478" s="18">
        <f t="shared" si="558"/>
        <v>0</v>
      </c>
      <c r="BA478" s="19">
        <f t="shared" si="561"/>
        <v>0</v>
      </c>
    </row>
    <row r="479" spans="1:53" s="117" customFormat="1" ht="17.100000000000001" customHeight="1" x14ac:dyDescent="0.25">
      <c r="A479" s="68"/>
      <c r="B479" s="119"/>
      <c r="C479" s="55"/>
      <c r="D479" s="56" t="s">
        <v>482</v>
      </c>
      <c r="E479" s="149" t="s">
        <v>129</v>
      </c>
      <c r="F479" s="149"/>
      <c r="G479" s="149"/>
      <c r="H479" s="182"/>
      <c r="I479" s="241"/>
      <c r="J479" s="111"/>
      <c r="K479" s="111"/>
      <c r="L479" s="111"/>
      <c r="M479" s="111"/>
      <c r="N479" s="61"/>
      <c r="O479" s="61"/>
      <c r="P479" s="17">
        <f t="shared" si="551"/>
        <v>0</v>
      </c>
      <c r="Q479" s="61"/>
      <c r="R479" s="61"/>
      <c r="S479" s="17">
        <f t="shared" si="552"/>
        <v>0</v>
      </c>
      <c r="T479" s="61"/>
      <c r="U479" s="61"/>
      <c r="V479" s="359">
        <f t="shared" si="553"/>
        <v>0</v>
      </c>
      <c r="W479" s="391">
        <f t="shared" si="554"/>
        <v>0</v>
      </c>
      <c r="X479" s="17">
        <f t="shared" si="555"/>
        <v>0</v>
      </c>
      <c r="Y479" s="18">
        <f t="shared" si="556"/>
        <v>0</v>
      </c>
      <c r="Z479" s="19">
        <f t="shared" si="559"/>
        <v>0</v>
      </c>
      <c r="AA479" s="19"/>
      <c r="AB479" s="19"/>
      <c r="AC479" s="84"/>
      <c r="AE479" s="111"/>
      <c r="AF479" s="111"/>
      <c r="AG479" s="111"/>
      <c r="AH479" s="112"/>
      <c r="AI479" s="113"/>
      <c r="AK479" s="111"/>
      <c r="AL479" s="111"/>
      <c r="AM479" s="111"/>
      <c r="AN479" s="112"/>
      <c r="AO479" s="113"/>
      <c r="AQ479" s="17"/>
      <c r="AR479" s="17"/>
      <c r="AS479" s="17"/>
      <c r="AT479" s="18">
        <f t="shared" si="557"/>
        <v>0</v>
      </c>
      <c r="AU479" s="19">
        <f t="shared" si="560"/>
        <v>0</v>
      </c>
      <c r="AW479" s="17"/>
      <c r="AX479" s="17"/>
      <c r="AY479" s="17"/>
      <c r="AZ479" s="18">
        <f t="shared" si="558"/>
        <v>0</v>
      </c>
      <c r="BA479" s="19">
        <f t="shared" si="561"/>
        <v>0</v>
      </c>
    </row>
    <row r="480" spans="1:53" s="117" customFormat="1" ht="17.100000000000001" customHeight="1" x14ac:dyDescent="0.25">
      <c r="A480" s="68"/>
      <c r="B480" s="119"/>
      <c r="C480" s="77"/>
      <c r="D480" s="134"/>
      <c r="E480" s="134"/>
      <c r="F480" s="134"/>
      <c r="G480" s="134"/>
      <c r="H480" s="540"/>
      <c r="I480" s="229"/>
      <c r="J480" s="80"/>
      <c r="K480" s="80"/>
      <c r="L480" s="81"/>
      <c r="M480" s="81"/>
      <c r="N480" s="81">
        <f>SUM(N472:N479)</f>
        <v>0</v>
      </c>
      <c r="O480" s="81">
        <f t="shared" ref="O480:V480" si="562">SUM(O472:O479)</f>
        <v>0</v>
      </c>
      <c r="P480" s="81">
        <f t="shared" si="562"/>
        <v>0</v>
      </c>
      <c r="Q480" s="81">
        <f t="shared" si="562"/>
        <v>0</v>
      </c>
      <c r="R480" s="81">
        <f t="shared" si="562"/>
        <v>0</v>
      </c>
      <c r="S480" s="81">
        <f t="shared" si="562"/>
        <v>0</v>
      </c>
      <c r="T480" s="81">
        <f t="shared" si="562"/>
        <v>0</v>
      </c>
      <c r="U480" s="81">
        <f t="shared" si="562"/>
        <v>0</v>
      </c>
      <c r="V480" s="81">
        <f t="shared" si="562"/>
        <v>0</v>
      </c>
      <c r="W480" s="381">
        <f>SUM(W472:W479)</f>
        <v>0</v>
      </c>
      <c r="X480" s="82">
        <f t="shared" ref="X480:Y480" si="563">SUM(X472:X479)</f>
        <v>0</v>
      </c>
      <c r="Y480" s="82">
        <f t="shared" si="563"/>
        <v>0</v>
      </c>
      <c r="Z480" s="205">
        <f>IF(Y$480=0,0,Y480/Y$480)</f>
        <v>0</v>
      </c>
      <c r="AA480" s="205"/>
      <c r="AB480" s="205"/>
      <c r="AC480" s="83"/>
      <c r="AE480" s="80"/>
      <c r="AF480" s="80"/>
      <c r="AG480" s="81"/>
      <c r="AH480" s="82"/>
      <c r="AI480" s="66"/>
      <c r="AK480" s="80"/>
      <c r="AL480" s="80"/>
      <c r="AM480" s="81"/>
      <c r="AN480" s="82"/>
      <c r="AO480" s="66"/>
      <c r="AQ480" s="80"/>
      <c r="AR480" s="80"/>
      <c r="AS480" s="81"/>
      <c r="AT480" s="82">
        <f>SUM(AT472:AT479)</f>
        <v>0</v>
      </c>
      <c r="AU480" s="66">
        <f t="shared" si="560"/>
        <v>0</v>
      </c>
      <c r="AW480" s="80"/>
      <c r="AX480" s="80"/>
      <c r="AY480" s="81"/>
      <c r="AZ480" s="82">
        <f>SUM(AZ472:AZ479)</f>
        <v>0</v>
      </c>
      <c r="BA480" s="66">
        <f t="shared" si="561"/>
        <v>0</v>
      </c>
    </row>
    <row r="481" spans="1:53" s="117" customFormat="1" ht="17.100000000000001" customHeight="1" x14ac:dyDescent="0.25">
      <c r="A481" s="68"/>
      <c r="B481" s="119"/>
      <c r="C481" s="540"/>
      <c r="D481" s="261"/>
      <c r="E481" s="261"/>
      <c r="F481" s="68"/>
      <c r="G481" s="68"/>
      <c r="H481" s="119"/>
      <c r="I481" s="138"/>
      <c r="J481" s="17"/>
      <c r="K481" s="17"/>
      <c r="L481" s="17"/>
      <c r="M481" s="17"/>
      <c r="N481" s="17" t="str">
        <f>IF(N480=N$443,"OK","NOK")</f>
        <v>OK</v>
      </c>
      <c r="O481" s="17" t="str">
        <f>IF(O480=O$443,"OK","NOK")</f>
        <v>OK</v>
      </c>
      <c r="P481" s="17"/>
      <c r="Q481" s="17" t="str">
        <f>IF(Q480=Q$443,"OK","NOK")</f>
        <v>OK</v>
      </c>
      <c r="R481" s="17" t="str">
        <f>IF(R480=R$443,"OK","NOK")</f>
        <v>OK</v>
      </c>
      <c r="S481" s="17"/>
      <c r="T481" s="17" t="str">
        <f>IF(T480=T$443,"OK","NOK")</f>
        <v>OK</v>
      </c>
      <c r="U481" s="17" t="str">
        <f>IF(U480=U$443,"OK","NOK")</f>
        <v>OK</v>
      </c>
      <c r="V481" s="359"/>
      <c r="W481" s="382"/>
      <c r="X481" s="539"/>
      <c r="Y481" s="539"/>
      <c r="Z481" s="201"/>
      <c r="AA481" s="201"/>
      <c r="AB481" s="201"/>
      <c r="AC481" s="84"/>
      <c r="AE481" s="46"/>
      <c r="AF481" s="46"/>
      <c r="AG481" s="17"/>
      <c r="AH481" s="539"/>
      <c r="AI481" s="91"/>
      <c r="AK481" s="46"/>
      <c r="AL481" s="46"/>
      <c r="AM481" s="17"/>
      <c r="AN481" s="539"/>
      <c r="AO481" s="91"/>
      <c r="AQ481" s="46"/>
      <c r="AR481" s="46"/>
      <c r="AS481" s="17"/>
      <c r="AT481" s="539"/>
      <c r="AU481" s="91"/>
      <c r="AW481" s="46"/>
      <c r="AX481" s="46"/>
      <c r="AY481" s="17"/>
      <c r="AZ481" s="539"/>
      <c r="BA481" s="91"/>
    </row>
    <row r="482" spans="1:53" s="117" customFormat="1" ht="17.100000000000001" customHeight="1" x14ac:dyDescent="0.25">
      <c r="A482" s="68"/>
      <c r="B482" s="119"/>
      <c r="C482" s="119"/>
      <c r="D482" s="56" t="s">
        <v>272</v>
      </c>
      <c r="E482" s="149" t="s">
        <v>751</v>
      </c>
      <c r="F482" s="149"/>
      <c r="G482" s="149"/>
      <c r="H482" s="182"/>
      <c r="I482" s="241"/>
      <c r="J482" s="152"/>
      <c r="K482" s="152"/>
      <c r="L482" s="111"/>
      <c r="M482" s="111"/>
      <c r="N482" s="111"/>
      <c r="O482" s="111"/>
      <c r="P482" s="111"/>
      <c r="Q482" s="111"/>
      <c r="R482" s="111"/>
      <c r="S482" s="111"/>
      <c r="T482" s="111"/>
      <c r="U482" s="111"/>
      <c r="V482" s="358"/>
      <c r="W482" s="380"/>
      <c r="X482" s="111"/>
      <c r="Y482" s="545"/>
      <c r="Z482" s="131"/>
      <c r="AA482" s="131"/>
      <c r="AB482" s="131"/>
      <c r="AC482" s="113"/>
      <c r="AE482" s="152"/>
      <c r="AF482" s="152"/>
      <c r="AG482" s="111"/>
      <c r="AH482" s="545"/>
      <c r="AI482" s="131"/>
      <c r="AK482" s="152"/>
      <c r="AL482" s="152"/>
      <c r="AM482" s="111"/>
      <c r="AN482" s="545"/>
      <c r="AO482" s="131"/>
      <c r="AQ482" s="152"/>
      <c r="AR482" s="152"/>
      <c r="AS482" s="111"/>
      <c r="AT482" s="545"/>
      <c r="AU482" s="131"/>
      <c r="AW482" s="152"/>
      <c r="AX482" s="152"/>
      <c r="AY482" s="111"/>
      <c r="AZ482" s="545"/>
      <c r="BA482" s="131"/>
    </row>
    <row r="483" spans="1:53" s="117" customFormat="1" ht="17.100000000000001" customHeight="1" x14ac:dyDescent="0.25">
      <c r="A483" s="68"/>
      <c r="B483" s="119"/>
      <c r="C483" s="55"/>
      <c r="D483" s="55"/>
      <c r="E483" s="74" t="s">
        <v>753</v>
      </c>
      <c r="F483" s="603" t="s">
        <v>752</v>
      </c>
      <c r="G483" s="603"/>
      <c r="H483" s="182"/>
      <c r="I483" s="241"/>
      <c r="J483" s="111"/>
      <c r="K483" s="152"/>
      <c r="L483" s="152"/>
      <c r="M483" s="152"/>
      <c r="N483" s="152"/>
      <c r="O483" s="111"/>
      <c r="P483" s="60"/>
      <c r="Q483" s="152"/>
      <c r="R483" s="111"/>
      <c r="S483" s="60"/>
      <c r="T483" s="152"/>
      <c r="U483" s="111"/>
      <c r="V483" s="361"/>
      <c r="W483" s="391"/>
      <c r="X483" s="17"/>
      <c r="Y483" s="18">
        <f t="shared" ref="Y483:Y485" si="564">M483+P483+S483+V483</f>
        <v>0</v>
      </c>
      <c r="Z483" s="19">
        <f>IF(Y$486=0,0,Y483/Y$486)</f>
        <v>0</v>
      </c>
      <c r="AA483" s="19"/>
      <c r="AB483" s="19"/>
      <c r="AC483" s="84"/>
      <c r="AE483" s="111"/>
      <c r="AF483" s="111"/>
      <c r="AG483" s="111"/>
      <c r="AH483" s="112"/>
      <c r="AI483" s="113"/>
      <c r="AK483" s="111"/>
      <c r="AL483" s="111"/>
      <c r="AM483" s="111"/>
      <c r="AN483" s="112"/>
      <c r="AO483" s="113"/>
      <c r="AQ483" s="111"/>
      <c r="AR483" s="111"/>
      <c r="AS483" s="111"/>
      <c r="AT483" s="545"/>
      <c r="AU483" s="131"/>
      <c r="AW483" s="111"/>
      <c r="AX483" s="111"/>
      <c r="AY483" s="111"/>
      <c r="AZ483" s="545"/>
      <c r="BA483" s="131"/>
    </row>
    <row r="484" spans="1:53" s="117" customFormat="1" ht="17.100000000000001" customHeight="1" x14ac:dyDescent="0.25">
      <c r="A484" s="68"/>
      <c r="B484" s="119"/>
      <c r="C484" s="55"/>
      <c r="D484" s="55"/>
      <c r="E484" s="74" t="s">
        <v>754</v>
      </c>
      <c r="F484" s="604"/>
      <c r="G484" s="604"/>
      <c r="H484" s="182"/>
      <c r="I484" s="241"/>
      <c r="J484" s="111"/>
      <c r="K484" s="152"/>
      <c r="L484" s="152"/>
      <c r="M484" s="152"/>
      <c r="N484" s="152"/>
      <c r="O484" s="111"/>
      <c r="P484" s="61"/>
      <c r="Q484" s="152"/>
      <c r="R484" s="111"/>
      <c r="S484" s="61"/>
      <c r="T484" s="152"/>
      <c r="U484" s="111"/>
      <c r="V484" s="362"/>
      <c r="W484" s="391"/>
      <c r="X484" s="17"/>
      <c r="Y484" s="18">
        <f t="shared" si="564"/>
        <v>0</v>
      </c>
      <c r="Z484" s="19">
        <f t="shared" ref="Z484:Z486" si="565">IF(Y$486=0,0,Y484/Y$486)</f>
        <v>0</v>
      </c>
      <c r="AA484" s="19"/>
      <c r="AB484" s="19"/>
      <c r="AC484" s="84"/>
      <c r="AE484" s="111"/>
      <c r="AF484" s="111"/>
      <c r="AG484" s="111"/>
      <c r="AH484" s="112"/>
      <c r="AI484" s="113"/>
      <c r="AK484" s="111"/>
      <c r="AL484" s="111"/>
      <c r="AM484" s="111"/>
      <c r="AN484" s="112"/>
      <c r="AO484" s="113"/>
      <c r="AQ484" s="111"/>
      <c r="AR484" s="111"/>
      <c r="AS484" s="111"/>
      <c r="AT484" s="545"/>
      <c r="AU484" s="131"/>
      <c r="AW484" s="111"/>
      <c r="AX484" s="111"/>
      <c r="AY484" s="111"/>
      <c r="AZ484" s="545"/>
      <c r="BA484" s="131"/>
    </row>
    <row r="485" spans="1:53" s="117" customFormat="1" ht="17.100000000000001" customHeight="1" x14ac:dyDescent="0.25">
      <c r="A485" s="68"/>
      <c r="B485" s="119"/>
      <c r="C485" s="55"/>
      <c r="D485" s="55"/>
      <c r="E485" s="74" t="s">
        <v>755</v>
      </c>
      <c r="F485" s="603"/>
      <c r="G485" s="603"/>
      <c r="H485" s="182"/>
      <c r="I485" s="241"/>
      <c r="J485" s="111"/>
      <c r="K485" s="152"/>
      <c r="L485" s="152"/>
      <c r="M485" s="152"/>
      <c r="N485" s="152"/>
      <c r="O485" s="111"/>
      <c r="P485" s="60"/>
      <c r="Q485" s="152"/>
      <c r="R485" s="111"/>
      <c r="S485" s="60"/>
      <c r="T485" s="152"/>
      <c r="U485" s="111"/>
      <c r="V485" s="361"/>
      <c r="W485" s="391"/>
      <c r="X485" s="17"/>
      <c r="Y485" s="18">
        <f t="shared" si="564"/>
        <v>0</v>
      </c>
      <c r="Z485" s="19">
        <f t="shared" si="565"/>
        <v>0</v>
      </c>
      <c r="AA485" s="19"/>
      <c r="AB485" s="19"/>
      <c r="AC485" s="84"/>
      <c r="AE485" s="111"/>
      <c r="AF485" s="111"/>
      <c r="AG485" s="111"/>
      <c r="AH485" s="112"/>
      <c r="AI485" s="113"/>
      <c r="AK485" s="111"/>
      <c r="AL485" s="111"/>
      <c r="AM485" s="111"/>
      <c r="AN485" s="112"/>
      <c r="AO485" s="113"/>
      <c r="AQ485" s="111"/>
      <c r="AR485" s="111"/>
      <c r="AS485" s="111"/>
      <c r="AT485" s="545"/>
      <c r="AU485" s="131"/>
      <c r="AW485" s="111"/>
      <c r="AX485" s="111"/>
      <c r="AY485" s="111"/>
      <c r="AZ485" s="545"/>
      <c r="BA485" s="131"/>
    </row>
    <row r="486" spans="1:53" s="117" customFormat="1" ht="17.100000000000001" customHeight="1" x14ac:dyDescent="0.25">
      <c r="A486" s="68"/>
      <c r="B486" s="119"/>
      <c r="C486" s="77"/>
      <c r="D486" s="134"/>
      <c r="E486" s="134"/>
      <c r="F486" s="134"/>
      <c r="G486" s="134"/>
      <c r="H486" s="540"/>
      <c r="I486" s="229"/>
      <c r="J486" s="80"/>
      <c r="K486" s="80"/>
      <c r="L486" s="81"/>
      <c r="M486" s="81"/>
      <c r="N486" s="81"/>
      <c r="O486" s="81"/>
      <c r="P486" s="81">
        <f>SUM(P483:P485)</f>
        <v>0</v>
      </c>
      <c r="Q486" s="81"/>
      <c r="R486" s="81"/>
      <c r="S486" s="81">
        <f>SUM(S483:S485)</f>
        <v>0</v>
      </c>
      <c r="T486" s="81"/>
      <c r="U486" s="81"/>
      <c r="V486" s="81">
        <f>SUM(V483:V485)</f>
        <v>0</v>
      </c>
      <c r="W486" s="381"/>
      <c r="X486" s="82"/>
      <c r="Y486" s="82">
        <f>SUM(Y483:Y485)</f>
        <v>0</v>
      </c>
      <c r="Z486" s="205">
        <f t="shared" si="565"/>
        <v>0</v>
      </c>
      <c r="AA486" s="205"/>
      <c r="AB486" s="205"/>
      <c r="AC486" s="83"/>
      <c r="AE486" s="80"/>
      <c r="AF486" s="80"/>
      <c r="AG486" s="81"/>
      <c r="AH486" s="82"/>
      <c r="AI486" s="66"/>
      <c r="AK486" s="80"/>
      <c r="AL486" s="80"/>
      <c r="AM486" s="81"/>
      <c r="AN486" s="82"/>
      <c r="AO486" s="66"/>
      <c r="AQ486" s="80"/>
      <c r="AR486" s="80"/>
      <c r="AS486" s="81"/>
      <c r="AT486" s="82"/>
      <c r="AU486" s="66"/>
      <c r="AW486" s="80"/>
      <c r="AX486" s="80"/>
      <c r="AY486" s="81"/>
      <c r="AZ486" s="82"/>
      <c r="BA486" s="66"/>
    </row>
    <row r="487" spans="1:53" s="117" customFormat="1" ht="17.100000000000001" customHeight="1" x14ac:dyDescent="0.25">
      <c r="A487" s="68"/>
      <c r="B487" s="119"/>
      <c r="C487" s="92"/>
      <c r="D487" s="93"/>
      <c r="E487" s="93"/>
      <c r="F487" s="93"/>
      <c r="G487" s="93"/>
      <c r="H487" s="540"/>
      <c r="I487" s="12"/>
      <c r="J487" s="46"/>
      <c r="K487" s="46"/>
      <c r="L487" s="17"/>
      <c r="M487" s="17"/>
      <c r="N487" s="17"/>
      <c r="O487" s="17"/>
      <c r="P487" s="17"/>
      <c r="Q487" s="17"/>
      <c r="R487" s="17"/>
      <c r="S487" s="17"/>
      <c r="T487" s="17"/>
      <c r="U487" s="17"/>
      <c r="V487" s="359"/>
      <c r="W487" s="382"/>
      <c r="X487" s="539"/>
      <c r="Y487" s="539"/>
      <c r="Z487" s="201"/>
      <c r="AA487" s="201"/>
      <c r="AB487" s="201"/>
      <c r="AC487" s="84"/>
      <c r="AE487" s="46"/>
      <c r="AF487" s="46"/>
      <c r="AG487" s="17"/>
      <c r="AH487" s="539"/>
      <c r="AI487" s="91"/>
      <c r="AK487" s="46"/>
      <c r="AL487" s="46"/>
      <c r="AM487" s="17"/>
      <c r="AN487" s="539"/>
      <c r="AO487" s="91"/>
      <c r="AQ487" s="46"/>
      <c r="AR487" s="46"/>
      <c r="AS487" s="17"/>
      <c r="AT487" s="539"/>
      <c r="AU487" s="91"/>
      <c r="AW487" s="46"/>
      <c r="AX487" s="46"/>
      <c r="AY487" s="17"/>
      <c r="AZ487" s="539"/>
      <c r="BA487" s="91"/>
    </row>
    <row r="488" spans="1:53" ht="17.100000000000001" customHeight="1" x14ac:dyDescent="0.25">
      <c r="A488" s="119"/>
      <c r="B488" s="41" t="s">
        <v>876</v>
      </c>
      <c r="C488" s="69" t="s">
        <v>12</v>
      </c>
      <c r="D488" s="50"/>
      <c r="E488" s="70"/>
      <c r="F488" s="70"/>
      <c r="G488" s="70"/>
      <c r="H488" s="119"/>
      <c r="J488" s="71"/>
      <c r="K488" s="71"/>
      <c r="L488" s="71"/>
      <c r="M488" s="71"/>
      <c r="N488" s="71"/>
      <c r="O488" s="71"/>
      <c r="P488" s="71"/>
      <c r="Q488" s="71"/>
      <c r="R488" s="71"/>
      <c r="S488" s="71"/>
      <c r="T488" s="71"/>
      <c r="U488" s="71"/>
      <c r="V488" s="355"/>
      <c r="W488" s="377"/>
      <c r="X488" s="71"/>
      <c r="Y488" s="72"/>
      <c r="Z488" s="73"/>
      <c r="AA488" s="73"/>
      <c r="AB488" s="73"/>
      <c r="AC488" s="73"/>
      <c r="AE488" s="71"/>
      <c r="AF488" s="71"/>
      <c r="AG488" s="71"/>
      <c r="AH488" s="72"/>
      <c r="AI488" s="73"/>
      <c r="AK488" s="71"/>
      <c r="AL488" s="71"/>
      <c r="AM488" s="71"/>
      <c r="AN488" s="72"/>
      <c r="AO488" s="73"/>
      <c r="AQ488" s="71"/>
      <c r="AR488" s="71"/>
      <c r="AS488" s="71"/>
      <c r="AT488" s="72"/>
      <c r="AU488" s="73"/>
      <c r="AW488" s="71"/>
      <c r="AX488" s="71"/>
      <c r="AY488" s="71"/>
      <c r="AZ488" s="72"/>
      <c r="BA488" s="73"/>
    </row>
    <row r="489" spans="1:53" s="173" customFormat="1" ht="17.100000000000001" customHeight="1" x14ac:dyDescent="0.25">
      <c r="A489" s="102"/>
      <c r="B489" s="102"/>
      <c r="C489" s="182"/>
      <c r="D489" s="127" t="s">
        <v>1006</v>
      </c>
      <c r="E489" s="128"/>
      <c r="F489" s="128"/>
      <c r="G489" s="128"/>
      <c r="H489" s="119"/>
      <c r="I489" s="231"/>
      <c r="J489" s="154"/>
      <c r="K489" s="154"/>
      <c r="L489" s="154"/>
      <c r="M489" s="154"/>
      <c r="N489" s="154">
        <f t="shared" ref="N489:O489" si="566">N174</f>
        <v>0</v>
      </c>
      <c r="O489" s="154">
        <f t="shared" si="566"/>
        <v>0</v>
      </c>
      <c r="P489" s="154">
        <f>SUM(N489:O489)</f>
        <v>0</v>
      </c>
      <c r="Q489" s="154">
        <f t="shared" ref="Q489:R489" si="567">Q174</f>
        <v>0</v>
      </c>
      <c r="R489" s="154">
        <f t="shared" si="567"/>
        <v>0</v>
      </c>
      <c r="S489" s="154">
        <f>SUM(Q489:R489)</f>
        <v>0</v>
      </c>
      <c r="T489" s="154">
        <f t="shared" ref="T489:U489" si="568">T174</f>
        <v>0</v>
      </c>
      <c r="U489" s="154">
        <f t="shared" si="568"/>
        <v>0</v>
      </c>
      <c r="V489" s="159">
        <f>SUM(T489:U489)</f>
        <v>0</v>
      </c>
      <c r="W489" s="387">
        <f t="shared" ref="W489:W490" si="569">J489+K489+N489+Q489+T489</f>
        <v>0</v>
      </c>
      <c r="X489" s="154">
        <f t="shared" ref="X489:X490" si="570">L489+O489+R489+U489</f>
        <v>0</v>
      </c>
      <c r="Y489" s="129">
        <f t="shared" ref="Y489:Y490" si="571">SUM(W489:X489)</f>
        <v>0</v>
      </c>
      <c r="Z489" s="130"/>
      <c r="AA489" s="130"/>
      <c r="AB489" s="130"/>
      <c r="AC489" s="125"/>
      <c r="AE489" s="154"/>
      <c r="AF489" s="154"/>
      <c r="AG489" s="154"/>
      <c r="AH489" s="129"/>
      <c r="AI489" s="130"/>
      <c r="AJ489" s="12"/>
      <c r="AK489" s="154"/>
      <c r="AL489" s="154"/>
      <c r="AM489" s="154"/>
      <c r="AN489" s="129"/>
      <c r="AO489" s="130"/>
      <c r="AP489" s="12"/>
      <c r="AQ489" s="154"/>
      <c r="AR489" s="154"/>
      <c r="AS489" s="154"/>
      <c r="AT489" s="129"/>
      <c r="AU489" s="130"/>
      <c r="AV489" s="12"/>
      <c r="AW489" s="154"/>
      <c r="AX489" s="154"/>
      <c r="AY489" s="154"/>
      <c r="AZ489" s="129"/>
      <c r="BA489" s="130"/>
    </row>
    <row r="490" spans="1:53" s="173" customFormat="1" ht="17.100000000000001" customHeight="1" x14ac:dyDescent="0.25">
      <c r="A490" s="102"/>
      <c r="B490" s="102"/>
      <c r="C490" s="182"/>
      <c r="D490" s="127" t="s">
        <v>278</v>
      </c>
      <c r="E490" s="128"/>
      <c r="F490" s="128"/>
      <c r="G490" s="128"/>
      <c r="H490" s="119"/>
      <c r="I490" s="231"/>
      <c r="J490" s="154"/>
      <c r="K490" s="154"/>
      <c r="L490" s="154"/>
      <c r="M490" s="154"/>
      <c r="N490" s="154">
        <f t="shared" ref="N490:O490" si="572">N377</f>
        <v>0</v>
      </c>
      <c r="O490" s="154">
        <f t="shared" si="572"/>
        <v>0</v>
      </c>
      <c r="P490" s="154">
        <f>SUM(N490:O490)</f>
        <v>0</v>
      </c>
      <c r="Q490" s="154">
        <f t="shared" ref="Q490:R490" si="573">Q377</f>
        <v>0</v>
      </c>
      <c r="R490" s="154">
        <f t="shared" si="573"/>
        <v>0</v>
      </c>
      <c r="S490" s="154">
        <f>SUM(Q490:R490)</f>
        <v>0</v>
      </c>
      <c r="T490" s="154">
        <f t="shared" ref="T490:U490" si="574">T377</f>
        <v>0</v>
      </c>
      <c r="U490" s="154">
        <f t="shared" si="574"/>
        <v>0</v>
      </c>
      <c r="V490" s="159">
        <f>SUM(T490:U490)</f>
        <v>0</v>
      </c>
      <c r="W490" s="387">
        <f t="shared" si="569"/>
        <v>0</v>
      </c>
      <c r="X490" s="154">
        <f t="shared" si="570"/>
        <v>0</v>
      </c>
      <c r="Y490" s="129">
        <f t="shared" si="571"/>
        <v>0</v>
      </c>
      <c r="Z490" s="130"/>
      <c r="AA490" s="130"/>
      <c r="AB490" s="130"/>
      <c r="AC490" s="125"/>
      <c r="AE490" s="154"/>
      <c r="AF490" s="154"/>
      <c r="AG490" s="154"/>
      <c r="AH490" s="129"/>
      <c r="AI490" s="130"/>
      <c r="AJ490" s="12"/>
      <c r="AK490" s="154"/>
      <c r="AL490" s="154"/>
      <c r="AM490" s="154"/>
      <c r="AN490" s="129"/>
      <c r="AO490" s="130"/>
      <c r="AP490" s="12"/>
      <c r="AQ490" s="154"/>
      <c r="AR490" s="154"/>
      <c r="AS490" s="154"/>
      <c r="AT490" s="129"/>
      <c r="AU490" s="130"/>
      <c r="AV490" s="12"/>
      <c r="AW490" s="154"/>
      <c r="AX490" s="154"/>
      <c r="AY490" s="154"/>
      <c r="AZ490" s="129"/>
      <c r="BA490" s="130"/>
    </row>
    <row r="491" spans="1:53" s="117" customFormat="1" ht="17.100000000000001" customHeight="1" x14ac:dyDescent="0.25">
      <c r="A491" s="119"/>
      <c r="B491" s="119"/>
      <c r="C491" s="56" t="s">
        <v>277</v>
      </c>
      <c r="D491" s="427" t="s">
        <v>1007</v>
      </c>
      <c r="E491" s="428"/>
      <c r="F491" s="428"/>
      <c r="G491" s="428"/>
      <c r="H491" s="119"/>
      <c r="I491" s="97"/>
      <c r="J491" s="17"/>
      <c r="K491" s="17"/>
      <c r="L491" s="17"/>
      <c r="M491" s="17"/>
      <c r="N491" s="91">
        <f>IF(N489=0,0,N490/N489)</f>
        <v>0</v>
      </c>
      <c r="O491" s="91">
        <f t="shared" ref="O491:P491" si="575">IF(O489=0,0,O490/O489)</f>
        <v>0</v>
      </c>
      <c r="P491" s="91">
        <f t="shared" si="575"/>
        <v>0</v>
      </c>
      <c r="Q491" s="91">
        <f>IF(Q489=0,0,Q490/Q489)</f>
        <v>0</v>
      </c>
      <c r="R491" s="91">
        <f t="shared" ref="R491:S491" si="576">IF(R489=0,0,R490/R489)</f>
        <v>0</v>
      </c>
      <c r="S491" s="91">
        <f t="shared" si="576"/>
        <v>0</v>
      </c>
      <c r="T491" s="91">
        <f>IF(T489=0,0,T490/T489)</f>
        <v>0</v>
      </c>
      <c r="U491" s="91">
        <f t="shared" ref="U491:V491" si="577">IF(U489=0,0,U490/U489)</f>
        <v>0</v>
      </c>
      <c r="V491" s="373">
        <f t="shared" si="577"/>
        <v>0</v>
      </c>
      <c r="W491" s="395">
        <f>IF(W489=0,0,W490/W489)</f>
        <v>0</v>
      </c>
      <c r="X491" s="91">
        <f t="shared" ref="X491:Y491" si="578">IF(X489=0,0,X490/X489)</f>
        <v>0</v>
      </c>
      <c r="Y491" s="91">
        <f t="shared" si="578"/>
        <v>0</v>
      </c>
      <c r="Z491" s="84"/>
      <c r="AA491" s="84"/>
      <c r="AB491" s="84"/>
      <c r="AC491" s="84"/>
      <c r="AE491" s="17"/>
      <c r="AF491" s="17"/>
      <c r="AG491" s="17"/>
      <c r="AH491" s="568"/>
      <c r="AI491" s="84"/>
      <c r="AK491" s="17"/>
      <c r="AL491" s="17"/>
      <c r="AM491" s="17"/>
      <c r="AN491" s="568"/>
      <c r="AO491" s="84"/>
      <c r="AQ491" s="17"/>
      <c r="AR491" s="17"/>
      <c r="AS491" s="17"/>
      <c r="AT491" s="568"/>
      <c r="AU491" s="84"/>
      <c r="AW491" s="17"/>
      <c r="AX491" s="17"/>
      <c r="AY491" s="17"/>
      <c r="AZ491" s="568"/>
      <c r="BA491" s="84"/>
    </row>
    <row r="492" spans="1:53" s="173" customFormat="1" ht="17.100000000000001" customHeight="1" x14ac:dyDescent="0.25">
      <c r="A492" s="102"/>
      <c r="B492" s="102"/>
      <c r="C492" s="56" t="s">
        <v>279</v>
      </c>
      <c r="D492" s="85" t="s">
        <v>280</v>
      </c>
      <c r="E492" s="75"/>
      <c r="F492" s="75"/>
      <c r="G492" s="75"/>
      <c r="H492" s="540"/>
      <c r="I492" s="229"/>
      <c r="J492" s="181"/>
      <c r="K492" s="181"/>
      <c r="L492" s="181"/>
      <c r="M492" s="181"/>
      <c r="N492" s="181"/>
      <c r="O492" s="181"/>
      <c r="P492" s="181"/>
      <c r="Q492" s="181"/>
      <c r="R492" s="181"/>
      <c r="S492" s="181"/>
      <c r="T492" s="181"/>
      <c r="U492" s="181"/>
      <c r="V492" s="367"/>
      <c r="W492" s="392"/>
      <c r="X492" s="181"/>
      <c r="Y492" s="545"/>
      <c r="Z492" s="172"/>
      <c r="AA492" s="172"/>
      <c r="AB492" s="172"/>
      <c r="AC492" s="178"/>
      <c r="AE492" s="181"/>
      <c r="AF492" s="181"/>
      <c r="AG492" s="181"/>
      <c r="AH492" s="545"/>
      <c r="AI492" s="172"/>
      <c r="AJ492" s="12"/>
      <c r="AK492" s="181"/>
      <c r="AL492" s="181"/>
      <c r="AM492" s="181"/>
      <c r="AN492" s="545"/>
      <c r="AO492" s="172"/>
      <c r="AP492" s="12"/>
      <c r="AQ492" s="181"/>
      <c r="AR492" s="181"/>
      <c r="AS492" s="181"/>
      <c r="AT492" s="545"/>
      <c r="AU492" s="172"/>
      <c r="AV492" s="12"/>
      <c r="AW492" s="181"/>
      <c r="AX492" s="181"/>
      <c r="AY492" s="181"/>
      <c r="AZ492" s="545"/>
      <c r="BA492" s="172"/>
    </row>
    <row r="493" spans="1:53" s="173" customFormat="1" ht="17.100000000000001" customHeight="1" x14ac:dyDescent="0.25">
      <c r="A493" s="102"/>
      <c r="B493" s="102"/>
      <c r="C493" s="182"/>
      <c r="D493" s="127" t="s">
        <v>281</v>
      </c>
      <c r="E493" s="128"/>
      <c r="F493" s="128"/>
      <c r="G493" s="128"/>
      <c r="H493" s="119"/>
      <c r="I493" s="231"/>
      <c r="J493" s="154"/>
      <c r="K493" s="154"/>
      <c r="L493" s="154"/>
      <c r="M493" s="154"/>
      <c r="N493" s="154">
        <f>N402</f>
        <v>0</v>
      </c>
      <c r="O493" s="154">
        <f>O402</f>
        <v>0</v>
      </c>
      <c r="P493" s="154">
        <f t="shared" ref="P493:P500" si="579">SUM(N493:O493)</f>
        <v>0</v>
      </c>
      <c r="Q493" s="154">
        <f t="shared" ref="Q493:U497" si="580">Q402</f>
        <v>0</v>
      </c>
      <c r="R493" s="154">
        <f t="shared" si="580"/>
        <v>0</v>
      </c>
      <c r="S493" s="154">
        <f t="shared" ref="S493:S497" si="581">SUM(Q493:R493)</f>
        <v>0</v>
      </c>
      <c r="T493" s="154">
        <f t="shared" si="580"/>
        <v>0</v>
      </c>
      <c r="U493" s="154">
        <f t="shared" si="580"/>
        <v>0</v>
      </c>
      <c r="V493" s="154">
        <f t="shared" ref="V493:V497" si="582">SUM(T493:U493)</f>
        <v>0</v>
      </c>
      <c r="W493" s="387">
        <f t="shared" ref="W493:W500" si="583">J493+K493+N493+Q493+T493</f>
        <v>0</v>
      </c>
      <c r="X493" s="154">
        <f t="shared" ref="X493:X500" si="584">L493+O493+R493+U493</f>
        <v>0</v>
      </c>
      <c r="Y493" s="129">
        <f t="shared" ref="Y493:Y497" si="585">SUM(W493:X493)</f>
        <v>0</v>
      </c>
      <c r="Z493" s="130">
        <f t="shared" ref="Z493:Z498" si="586">IF(Y$498=0,0,Y493/Y$498)</f>
        <v>0</v>
      </c>
      <c r="AA493" s="130"/>
      <c r="AB493" s="130"/>
      <c r="AC493" s="125"/>
      <c r="AE493" s="154">
        <f t="shared" ref="AE493:AG497" si="587">AE402</f>
        <v>0</v>
      </c>
      <c r="AF493" s="154">
        <f t="shared" si="587"/>
        <v>0</v>
      </c>
      <c r="AG493" s="154">
        <f t="shared" si="587"/>
        <v>0</v>
      </c>
      <c r="AH493" s="129">
        <f>SUM(AE493:AG493)</f>
        <v>0</v>
      </c>
      <c r="AI493" s="130">
        <f t="shared" ref="AI493:AI498" si="588">IF(AH$498=0,0,AH493/AH$498)</f>
        <v>0</v>
      </c>
      <c r="AJ493" s="12"/>
      <c r="AK493" s="154">
        <f t="shared" ref="AK493:AM497" si="589">AK402</f>
        <v>0</v>
      </c>
      <c r="AL493" s="154">
        <f t="shared" si="589"/>
        <v>0</v>
      </c>
      <c r="AM493" s="154">
        <f t="shared" si="589"/>
        <v>0</v>
      </c>
      <c r="AN493" s="129">
        <f>SUM(AK493:AM493)</f>
        <v>0</v>
      </c>
      <c r="AO493" s="130">
        <f t="shared" ref="AO493:AO498" si="590">IF(AN$498=0,0,AN493/AN$498)</f>
        <v>0</v>
      </c>
      <c r="AP493" s="12"/>
      <c r="AQ493" s="154"/>
      <c r="AR493" s="154"/>
      <c r="AS493" s="154"/>
      <c r="AT493" s="129"/>
      <c r="AU493" s="130"/>
      <c r="AV493" s="12"/>
      <c r="AW493" s="154">
        <f t="shared" ref="AW493:AY497" si="591">AW402</f>
        <v>0</v>
      </c>
      <c r="AX493" s="154">
        <f t="shared" si="591"/>
        <v>0</v>
      </c>
      <c r="AY493" s="154">
        <f t="shared" si="591"/>
        <v>0</v>
      </c>
      <c r="AZ493" s="129">
        <f>SUM(AW493:AY493)</f>
        <v>0</v>
      </c>
      <c r="BA493" s="130">
        <f t="shared" ref="BA493:BA498" si="592">IF(AZ$498=0,0,AZ493/AZ$498)</f>
        <v>0</v>
      </c>
    </row>
    <row r="494" spans="1:53" ht="17.100000000000001" customHeight="1" x14ac:dyDescent="0.25">
      <c r="A494" s="40"/>
      <c r="B494" s="40"/>
      <c r="C494" s="182"/>
      <c r="D494" s="127" t="s">
        <v>282</v>
      </c>
      <c r="E494" s="128"/>
      <c r="F494" s="128"/>
      <c r="G494" s="128"/>
      <c r="H494" s="119"/>
      <c r="I494" s="231"/>
      <c r="J494" s="154"/>
      <c r="K494" s="154"/>
      <c r="L494" s="154"/>
      <c r="M494" s="154"/>
      <c r="N494" s="154">
        <f t="shared" ref="N494:O497" si="593">N403</f>
        <v>0</v>
      </c>
      <c r="O494" s="154">
        <f t="shared" si="593"/>
        <v>0</v>
      </c>
      <c r="P494" s="154">
        <f t="shared" si="579"/>
        <v>0</v>
      </c>
      <c r="Q494" s="154">
        <f t="shared" si="580"/>
        <v>0</v>
      </c>
      <c r="R494" s="154">
        <f t="shared" si="580"/>
        <v>0</v>
      </c>
      <c r="S494" s="154">
        <f t="shared" si="581"/>
        <v>0</v>
      </c>
      <c r="T494" s="154">
        <f t="shared" si="580"/>
        <v>0</v>
      </c>
      <c r="U494" s="154">
        <f t="shared" si="580"/>
        <v>0</v>
      </c>
      <c r="V494" s="154">
        <f t="shared" si="582"/>
        <v>0</v>
      </c>
      <c r="W494" s="387">
        <f t="shared" si="583"/>
        <v>0</v>
      </c>
      <c r="X494" s="154">
        <f t="shared" si="584"/>
        <v>0</v>
      </c>
      <c r="Y494" s="129">
        <f t="shared" si="585"/>
        <v>0</v>
      </c>
      <c r="Z494" s="130">
        <f t="shared" si="586"/>
        <v>0</v>
      </c>
      <c r="AA494" s="130"/>
      <c r="AB494" s="130"/>
      <c r="AC494" s="125"/>
      <c r="AE494" s="154">
        <f t="shared" si="587"/>
        <v>0</v>
      </c>
      <c r="AF494" s="154">
        <f t="shared" si="587"/>
        <v>0</v>
      </c>
      <c r="AG494" s="154">
        <f t="shared" si="587"/>
        <v>0</v>
      </c>
      <c r="AH494" s="129">
        <f>SUM(AE494:AG494)</f>
        <v>0</v>
      </c>
      <c r="AI494" s="130">
        <f t="shared" si="588"/>
        <v>0</v>
      </c>
      <c r="AK494" s="154">
        <f t="shared" si="589"/>
        <v>0</v>
      </c>
      <c r="AL494" s="154">
        <f t="shared" si="589"/>
        <v>0</v>
      </c>
      <c r="AM494" s="154">
        <f t="shared" si="589"/>
        <v>0</v>
      </c>
      <c r="AN494" s="129">
        <f>SUM(AK494:AM494)</f>
        <v>0</v>
      </c>
      <c r="AO494" s="130">
        <f t="shared" si="590"/>
        <v>0</v>
      </c>
      <c r="AQ494" s="154"/>
      <c r="AR494" s="154"/>
      <c r="AS494" s="154"/>
      <c r="AT494" s="129"/>
      <c r="AU494" s="130"/>
      <c r="AW494" s="154">
        <f t="shared" si="591"/>
        <v>0</v>
      </c>
      <c r="AX494" s="154">
        <f t="shared" si="591"/>
        <v>0</v>
      </c>
      <c r="AY494" s="154">
        <f t="shared" si="591"/>
        <v>0</v>
      </c>
      <c r="AZ494" s="129">
        <f>SUM(AW494:AY494)</f>
        <v>0</v>
      </c>
      <c r="BA494" s="130">
        <f t="shared" si="592"/>
        <v>0</v>
      </c>
    </row>
    <row r="495" spans="1:53" ht="17.100000000000001" customHeight="1" x14ac:dyDescent="0.25">
      <c r="A495" s="40"/>
      <c r="B495" s="40"/>
      <c r="C495" s="182"/>
      <c r="D495" s="127" t="s">
        <v>283</v>
      </c>
      <c r="E495" s="128"/>
      <c r="F495" s="128"/>
      <c r="G495" s="128"/>
      <c r="H495" s="119"/>
      <c r="I495" s="231"/>
      <c r="J495" s="154"/>
      <c r="K495" s="154"/>
      <c r="L495" s="154"/>
      <c r="M495" s="154"/>
      <c r="N495" s="154">
        <f t="shared" si="593"/>
        <v>0</v>
      </c>
      <c r="O495" s="154">
        <f t="shared" si="593"/>
        <v>0</v>
      </c>
      <c r="P495" s="154">
        <f t="shared" si="579"/>
        <v>0</v>
      </c>
      <c r="Q495" s="154">
        <f t="shared" si="580"/>
        <v>0</v>
      </c>
      <c r="R495" s="154">
        <f t="shared" si="580"/>
        <v>0</v>
      </c>
      <c r="S495" s="154">
        <f t="shared" si="581"/>
        <v>0</v>
      </c>
      <c r="T495" s="154">
        <f t="shared" si="580"/>
        <v>0</v>
      </c>
      <c r="U495" s="154">
        <f t="shared" si="580"/>
        <v>0</v>
      </c>
      <c r="V495" s="154">
        <f t="shared" si="582"/>
        <v>0</v>
      </c>
      <c r="W495" s="387">
        <f t="shared" si="583"/>
        <v>0</v>
      </c>
      <c r="X495" s="154">
        <f t="shared" si="584"/>
        <v>0</v>
      </c>
      <c r="Y495" s="129">
        <f t="shared" si="585"/>
        <v>0</v>
      </c>
      <c r="Z495" s="130">
        <f t="shared" si="586"/>
        <v>0</v>
      </c>
      <c r="AA495" s="130"/>
      <c r="AB495" s="130"/>
      <c r="AC495" s="125"/>
      <c r="AE495" s="154">
        <f t="shared" si="587"/>
        <v>0</v>
      </c>
      <c r="AF495" s="154">
        <f t="shared" si="587"/>
        <v>0</v>
      </c>
      <c r="AG495" s="154">
        <f t="shared" si="587"/>
        <v>0</v>
      </c>
      <c r="AH495" s="129">
        <f>SUM(AE495:AG495)</f>
        <v>0</v>
      </c>
      <c r="AI495" s="130">
        <f t="shared" si="588"/>
        <v>0</v>
      </c>
      <c r="AK495" s="154">
        <f t="shared" si="589"/>
        <v>0</v>
      </c>
      <c r="AL495" s="154">
        <f t="shared" si="589"/>
        <v>0</v>
      </c>
      <c r="AM495" s="154">
        <f t="shared" si="589"/>
        <v>0</v>
      </c>
      <c r="AN495" s="129">
        <f>SUM(AK495:AM495)</f>
        <v>0</v>
      </c>
      <c r="AO495" s="130">
        <f t="shared" si="590"/>
        <v>0</v>
      </c>
      <c r="AQ495" s="154"/>
      <c r="AR495" s="154"/>
      <c r="AS495" s="154"/>
      <c r="AT495" s="129"/>
      <c r="AU495" s="130"/>
      <c r="AW495" s="154">
        <f t="shared" si="591"/>
        <v>0</v>
      </c>
      <c r="AX495" s="154">
        <f t="shared" si="591"/>
        <v>0</v>
      </c>
      <c r="AY495" s="154">
        <f t="shared" si="591"/>
        <v>0</v>
      </c>
      <c r="AZ495" s="129">
        <f>SUM(AW495:AY495)</f>
        <v>0</v>
      </c>
      <c r="BA495" s="130">
        <f t="shared" si="592"/>
        <v>0</v>
      </c>
    </row>
    <row r="496" spans="1:53" ht="17.100000000000001" customHeight="1" x14ac:dyDescent="0.25">
      <c r="A496" s="40"/>
      <c r="B496" s="40"/>
      <c r="C496" s="182"/>
      <c r="D496" s="127" t="s">
        <v>284</v>
      </c>
      <c r="E496" s="128"/>
      <c r="F496" s="128"/>
      <c r="G496" s="128"/>
      <c r="H496" s="119"/>
      <c r="I496" s="231"/>
      <c r="J496" s="154"/>
      <c r="K496" s="154"/>
      <c r="L496" s="154"/>
      <c r="M496" s="154"/>
      <c r="N496" s="154">
        <f t="shared" si="593"/>
        <v>0</v>
      </c>
      <c r="O496" s="154">
        <f t="shared" si="593"/>
        <v>0</v>
      </c>
      <c r="P496" s="154">
        <f t="shared" si="579"/>
        <v>0</v>
      </c>
      <c r="Q496" s="154">
        <f t="shared" si="580"/>
        <v>0</v>
      </c>
      <c r="R496" s="154">
        <f t="shared" si="580"/>
        <v>0</v>
      </c>
      <c r="S496" s="154">
        <f t="shared" si="581"/>
        <v>0</v>
      </c>
      <c r="T496" s="154">
        <f t="shared" si="580"/>
        <v>0</v>
      </c>
      <c r="U496" s="154">
        <f t="shared" si="580"/>
        <v>0</v>
      </c>
      <c r="V496" s="154">
        <f t="shared" si="582"/>
        <v>0</v>
      </c>
      <c r="W496" s="387">
        <f t="shared" si="583"/>
        <v>0</v>
      </c>
      <c r="X496" s="154">
        <f t="shared" si="584"/>
        <v>0</v>
      </c>
      <c r="Y496" s="129">
        <f t="shared" si="585"/>
        <v>0</v>
      </c>
      <c r="Z496" s="130">
        <f t="shared" si="586"/>
        <v>0</v>
      </c>
      <c r="AA496" s="130"/>
      <c r="AB496" s="130"/>
      <c r="AC496" s="125"/>
      <c r="AE496" s="154">
        <f t="shared" si="587"/>
        <v>0</v>
      </c>
      <c r="AF496" s="154">
        <f t="shared" si="587"/>
        <v>0</v>
      </c>
      <c r="AG496" s="154">
        <f t="shared" si="587"/>
        <v>0</v>
      </c>
      <c r="AH496" s="129">
        <f>SUM(AE496:AG496)</f>
        <v>0</v>
      </c>
      <c r="AI496" s="130">
        <f t="shared" si="588"/>
        <v>0</v>
      </c>
      <c r="AK496" s="154">
        <f t="shared" si="589"/>
        <v>0</v>
      </c>
      <c r="AL496" s="154">
        <f t="shared" si="589"/>
        <v>0</v>
      </c>
      <c r="AM496" s="154">
        <f t="shared" si="589"/>
        <v>0</v>
      </c>
      <c r="AN496" s="129">
        <f>SUM(AK496:AM496)</f>
        <v>0</v>
      </c>
      <c r="AO496" s="130">
        <f t="shared" si="590"/>
        <v>0</v>
      </c>
      <c r="AQ496" s="154"/>
      <c r="AR496" s="154"/>
      <c r="AS496" s="154"/>
      <c r="AT496" s="129"/>
      <c r="AU496" s="130"/>
      <c r="AW496" s="154">
        <f t="shared" si="591"/>
        <v>0</v>
      </c>
      <c r="AX496" s="154">
        <f t="shared" si="591"/>
        <v>0</v>
      </c>
      <c r="AY496" s="154">
        <f t="shared" si="591"/>
        <v>0</v>
      </c>
      <c r="AZ496" s="129">
        <f>SUM(AW496:AY496)</f>
        <v>0</v>
      </c>
      <c r="BA496" s="130">
        <f t="shared" si="592"/>
        <v>0</v>
      </c>
    </row>
    <row r="497" spans="1:53" ht="17.100000000000001" customHeight="1" x14ac:dyDescent="0.25">
      <c r="A497" s="40"/>
      <c r="B497" s="40"/>
      <c r="C497" s="182"/>
      <c r="D497" s="183" t="s">
        <v>129</v>
      </c>
      <c r="E497" s="128"/>
      <c r="F497" s="128"/>
      <c r="G497" s="128"/>
      <c r="H497" s="119"/>
      <c r="I497" s="231"/>
      <c r="J497" s="154"/>
      <c r="K497" s="154"/>
      <c r="L497" s="154"/>
      <c r="M497" s="154"/>
      <c r="N497" s="154">
        <f t="shared" si="593"/>
        <v>0</v>
      </c>
      <c r="O497" s="154">
        <f t="shared" si="593"/>
        <v>0</v>
      </c>
      <c r="P497" s="154">
        <f t="shared" si="579"/>
        <v>0</v>
      </c>
      <c r="Q497" s="154">
        <f t="shared" si="580"/>
        <v>0</v>
      </c>
      <c r="R497" s="154">
        <f t="shared" si="580"/>
        <v>0</v>
      </c>
      <c r="S497" s="154">
        <f t="shared" si="581"/>
        <v>0</v>
      </c>
      <c r="T497" s="154">
        <f t="shared" si="580"/>
        <v>0</v>
      </c>
      <c r="U497" s="154">
        <f t="shared" si="580"/>
        <v>0</v>
      </c>
      <c r="V497" s="154">
        <f t="shared" si="582"/>
        <v>0</v>
      </c>
      <c r="W497" s="387">
        <f t="shared" si="583"/>
        <v>0</v>
      </c>
      <c r="X497" s="154">
        <f t="shared" si="584"/>
        <v>0</v>
      </c>
      <c r="Y497" s="129">
        <f t="shared" si="585"/>
        <v>0</v>
      </c>
      <c r="Z497" s="130">
        <f t="shared" si="586"/>
        <v>0</v>
      </c>
      <c r="AA497" s="130"/>
      <c r="AB497" s="130"/>
      <c r="AC497" s="125"/>
      <c r="AE497" s="154">
        <f t="shared" si="587"/>
        <v>0</v>
      </c>
      <c r="AF497" s="154">
        <f t="shared" si="587"/>
        <v>0</v>
      </c>
      <c r="AG497" s="154">
        <f t="shared" si="587"/>
        <v>0</v>
      </c>
      <c r="AH497" s="129">
        <f>SUM(AE497:AG497)</f>
        <v>0</v>
      </c>
      <c r="AI497" s="130">
        <f t="shared" si="588"/>
        <v>0</v>
      </c>
      <c r="AK497" s="154">
        <f t="shared" si="589"/>
        <v>0</v>
      </c>
      <c r="AL497" s="154">
        <f t="shared" si="589"/>
        <v>0</v>
      </c>
      <c r="AM497" s="154">
        <f t="shared" si="589"/>
        <v>0</v>
      </c>
      <c r="AN497" s="129">
        <f>SUM(AK497:AM497)</f>
        <v>0</v>
      </c>
      <c r="AO497" s="130">
        <f t="shared" si="590"/>
        <v>0</v>
      </c>
      <c r="AQ497" s="154"/>
      <c r="AR497" s="154"/>
      <c r="AS497" s="154"/>
      <c r="AT497" s="129"/>
      <c r="AU497" s="130"/>
      <c r="AW497" s="154">
        <f t="shared" si="591"/>
        <v>0</v>
      </c>
      <c r="AX497" s="154">
        <f t="shared" si="591"/>
        <v>0</v>
      </c>
      <c r="AY497" s="154">
        <f t="shared" si="591"/>
        <v>0</v>
      </c>
      <c r="AZ497" s="129">
        <f>SUM(AW497:AY497)</f>
        <v>0</v>
      </c>
      <c r="BA497" s="130">
        <f t="shared" si="592"/>
        <v>0</v>
      </c>
    </row>
    <row r="498" spans="1:53" ht="17.100000000000001" customHeight="1" x14ac:dyDescent="0.25">
      <c r="A498" s="40"/>
      <c r="B498" s="40"/>
      <c r="C498" s="182"/>
      <c r="D498" s="127"/>
      <c r="E498" s="128"/>
      <c r="F498" s="128"/>
      <c r="G498" s="128"/>
      <c r="H498" s="119"/>
      <c r="I498" s="231"/>
      <c r="J498" s="154"/>
      <c r="K498" s="154"/>
      <c r="L498" s="154"/>
      <c r="M498" s="154"/>
      <c r="N498" s="154"/>
      <c r="O498" s="154"/>
      <c r="P498" s="154"/>
      <c r="Q498" s="154"/>
      <c r="R498" s="154"/>
      <c r="S498" s="154"/>
      <c r="T498" s="154"/>
      <c r="U498" s="154"/>
      <c r="V498" s="159"/>
      <c r="W498" s="387"/>
      <c r="X498" s="154"/>
      <c r="Y498" s="129">
        <f>SUM(Y493:Y497)</f>
        <v>0</v>
      </c>
      <c r="Z498" s="130">
        <f t="shared" si="586"/>
        <v>0</v>
      </c>
      <c r="AA498" s="130"/>
      <c r="AB498" s="130"/>
      <c r="AC498" s="125"/>
      <c r="AE498" s="160"/>
      <c r="AF498" s="160"/>
      <c r="AG498" s="160"/>
      <c r="AH498" s="129">
        <f>SUM(AH493:AH497)</f>
        <v>0</v>
      </c>
      <c r="AI498" s="130">
        <f t="shared" si="588"/>
        <v>0</v>
      </c>
      <c r="AK498" s="160"/>
      <c r="AL498" s="160"/>
      <c r="AM498" s="160"/>
      <c r="AN498" s="129">
        <f>SUM(AN493:AN497)</f>
        <v>0</v>
      </c>
      <c r="AO498" s="130">
        <f t="shared" si="590"/>
        <v>0</v>
      </c>
      <c r="AQ498" s="160"/>
      <c r="AR498" s="160"/>
      <c r="AS498" s="160"/>
      <c r="AT498" s="129"/>
      <c r="AU498" s="130"/>
      <c r="AW498" s="160"/>
      <c r="AX498" s="160"/>
      <c r="AY498" s="160"/>
      <c r="AZ498" s="129">
        <f>SUM(AZ493:AZ497)</f>
        <v>0</v>
      </c>
      <c r="BA498" s="130">
        <f t="shared" si="592"/>
        <v>0</v>
      </c>
    </row>
    <row r="499" spans="1:53" ht="17.100000000000001" customHeight="1" x14ac:dyDescent="0.25">
      <c r="A499" s="40"/>
      <c r="B499" s="40"/>
      <c r="C499" s="182"/>
      <c r="D499" s="127" t="s">
        <v>285</v>
      </c>
      <c r="E499" s="128"/>
      <c r="F499" s="128"/>
      <c r="G499" s="128"/>
      <c r="H499" s="119"/>
      <c r="I499" s="231"/>
      <c r="J499" s="154"/>
      <c r="K499" s="154"/>
      <c r="L499" s="154"/>
      <c r="M499" s="154"/>
      <c r="N499" s="154">
        <f>N493+N497</f>
        <v>0</v>
      </c>
      <c r="O499" s="154">
        <f>O493+O497</f>
        <v>0</v>
      </c>
      <c r="P499" s="154">
        <f t="shared" si="579"/>
        <v>0</v>
      </c>
      <c r="Q499" s="154">
        <f>Q493+Q497</f>
        <v>0</v>
      </c>
      <c r="R499" s="154">
        <f>R493+R497</f>
        <v>0</v>
      </c>
      <c r="S499" s="154">
        <f t="shared" ref="S499:S500" si="594">SUM(Q499:R499)</f>
        <v>0</v>
      </c>
      <c r="T499" s="154">
        <f>T493+T497</f>
        <v>0</v>
      </c>
      <c r="U499" s="154">
        <f>U493+U497</f>
        <v>0</v>
      </c>
      <c r="V499" s="154">
        <f t="shared" ref="V499:V500" si="595">SUM(T499:U499)</f>
        <v>0</v>
      </c>
      <c r="W499" s="387">
        <f t="shared" si="583"/>
        <v>0</v>
      </c>
      <c r="X499" s="154">
        <f t="shared" si="584"/>
        <v>0</v>
      </c>
      <c r="Y499" s="129">
        <f t="shared" ref="Y499:Y500" si="596">SUM(W499:X499)</f>
        <v>0</v>
      </c>
      <c r="Z499" s="130"/>
      <c r="AA499" s="130"/>
      <c r="AB499" s="130"/>
      <c r="AC499" s="125"/>
      <c r="AE499" s="160">
        <f>IF((AE493+AE497)&gt;0,1,0)</f>
        <v>0</v>
      </c>
      <c r="AF499" s="160">
        <f t="shared" ref="AF499:AG499" si="597">IF((AF493+AF497)&gt;0,1,0)</f>
        <v>0</v>
      </c>
      <c r="AG499" s="160">
        <f t="shared" si="597"/>
        <v>0</v>
      </c>
      <c r="AH499" s="129">
        <f>SUM(AE499:AG499)</f>
        <v>0</v>
      </c>
      <c r="AI499" s="130"/>
      <c r="AK499" s="160">
        <f>IF((AK493+AK497)&gt;0,1,0)</f>
        <v>0</v>
      </c>
      <c r="AL499" s="160">
        <f t="shared" ref="AL499:AM499" si="598">IF((AL493+AL497)&gt;0,1,0)</f>
        <v>0</v>
      </c>
      <c r="AM499" s="160">
        <f t="shared" si="598"/>
        <v>0</v>
      </c>
      <c r="AN499" s="129">
        <f>SUM(AK499:AM499)</f>
        <v>0</v>
      </c>
      <c r="AO499" s="130"/>
      <c r="AQ499" s="160"/>
      <c r="AR499" s="160"/>
      <c r="AS499" s="160"/>
      <c r="AT499" s="129"/>
      <c r="AU499" s="130"/>
      <c r="AW499" s="160">
        <f>IF((AW493+AW497)&gt;0,1,0)</f>
        <v>0</v>
      </c>
      <c r="AX499" s="160">
        <f t="shared" ref="AX499:AY499" si="599">IF((AX493+AX497)&gt;0,1,0)</f>
        <v>0</v>
      </c>
      <c r="AY499" s="160">
        <f t="shared" si="599"/>
        <v>0</v>
      </c>
      <c r="AZ499" s="129">
        <f>SUM(AW499:AY499)</f>
        <v>0</v>
      </c>
      <c r="BA499" s="130"/>
    </row>
    <row r="500" spans="1:53" s="409" customFormat="1" ht="17.100000000000001" customHeight="1" x14ac:dyDescent="0.25">
      <c r="A500" s="540"/>
      <c r="B500" s="540"/>
      <c r="C500" s="56" t="s">
        <v>279</v>
      </c>
      <c r="D500" s="427" t="s">
        <v>286</v>
      </c>
      <c r="E500" s="93"/>
      <c r="F500" s="93"/>
      <c r="G500" s="93"/>
      <c r="H500" s="540"/>
      <c r="I500" s="12"/>
      <c r="J500" s="539"/>
      <c r="K500" s="539"/>
      <c r="L500" s="539"/>
      <c r="M500" s="539"/>
      <c r="N500" s="353">
        <f>SUM(N494:N496)</f>
        <v>0</v>
      </c>
      <c r="O500" s="353">
        <f>SUM(O494:O496)</f>
        <v>0</v>
      </c>
      <c r="P500" s="155">
        <f t="shared" si="579"/>
        <v>0</v>
      </c>
      <c r="Q500" s="353">
        <f>SUM(Q494:Q496)</f>
        <v>0</v>
      </c>
      <c r="R500" s="353">
        <f>SUM(R494:R496)</f>
        <v>0</v>
      </c>
      <c r="S500" s="155">
        <f t="shared" si="594"/>
        <v>0</v>
      </c>
      <c r="T500" s="353">
        <f>SUM(T494:T496)</f>
        <v>0</v>
      </c>
      <c r="U500" s="353">
        <f>SUM(U494:U496)</f>
        <v>0</v>
      </c>
      <c r="V500" s="155">
        <f t="shared" si="595"/>
        <v>0</v>
      </c>
      <c r="W500" s="388">
        <f t="shared" si="583"/>
        <v>0</v>
      </c>
      <c r="X500" s="155">
        <f t="shared" si="584"/>
        <v>0</v>
      </c>
      <c r="Y500" s="539">
        <f t="shared" si="596"/>
        <v>0</v>
      </c>
      <c r="Z500" s="23"/>
      <c r="AA500" s="23"/>
      <c r="AB500" s="23"/>
      <c r="AC500" s="23"/>
      <c r="AE500" s="539">
        <f>IF(SUM(AE494:AE496)&gt;0,1,0)</f>
        <v>0</v>
      </c>
      <c r="AF500" s="539">
        <f t="shared" ref="AF500:AG500" si="600">IF(SUM(AF494:AF496)&gt;0,1,0)</f>
        <v>0</v>
      </c>
      <c r="AG500" s="539">
        <f t="shared" si="600"/>
        <v>0</v>
      </c>
      <c r="AH500" s="568">
        <f>SUM(AE500:AG500)</f>
        <v>0</v>
      </c>
      <c r="AI500" s="23"/>
      <c r="AK500" s="539">
        <f>IF(SUM(AK494:AK496)&gt;0,1,0)</f>
        <v>0</v>
      </c>
      <c r="AL500" s="539">
        <f t="shared" ref="AL500:AM500" si="601">IF(SUM(AL494:AL496)&gt;0,1,0)</f>
        <v>0</v>
      </c>
      <c r="AM500" s="539">
        <f t="shared" si="601"/>
        <v>0</v>
      </c>
      <c r="AN500" s="568">
        <f>SUM(AK500:AM500)</f>
        <v>0</v>
      </c>
      <c r="AO500" s="23"/>
      <c r="AQ500" s="539"/>
      <c r="AR500" s="539"/>
      <c r="AS500" s="539"/>
      <c r="AT500" s="568"/>
      <c r="AU500" s="23"/>
      <c r="AW500" s="539">
        <f>IF(SUM(AW494:AW496)&gt;0,1,0)</f>
        <v>0</v>
      </c>
      <c r="AX500" s="539">
        <f t="shared" ref="AX500:AY500" si="602">IF(SUM(AX494:AX496)&gt;0,1,0)</f>
        <v>0</v>
      </c>
      <c r="AY500" s="539">
        <f t="shared" si="602"/>
        <v>0</v>
      </c>
      <c r="AZ500" s="568">
        <f>SUM(AW500:AY500)</f>
        <v>0</v>
      </c>
      <c r="BA500" s="23"/>
    </row>
    <row r="501" spans="1:53" s="97" customFormat="1" ht="17.100000000000001" customHeight="1" x14ac:dyDescent="0.25">
      <c r="A501" s="68"/>
      <c r="B501" s="68"/>
      <c r="C501" s="186"/>
      <c r="D501" s="165"/>
      <c r="E501" s="187"/>
      <c r="F501" s="187"/>
      <c r="G501" s="187"/>
      <c r="H501" s="540"/>
      <c r="I501" s="207"/>
      <c r="J501" s="95"/>
      <c r="K501" s="95"/>
      <c r="L501" s="95"/>
      <c r="M501" s="95"/>
      <c r="N501" s="95"/>
      <c r="O501" s="95"/>
      <c r="P501" s="95"/>
      <c r="Q501" s="95"/>
      <c r="R501" s="95"/>
      <c r="S501" s="95"/>
      <c r="T501" s="95"/>
      <c r="U501" s="95"/>
      <c r="V501" s="95"/>
      <c r="W501" s="378"/>
      <c r="X501" s="95"/>
      <c r="Y501" s="96"/>
      <c r="AE501" s="109"/>
      <c r="AF501" s="109"/>
      <c r="AG501" s="109"/>
      <c r="AH501" s="96"/>
      <c r="AK501" s="109"/>
      <c r="AL501" s="109"/>
      <c r="AM501" s="109"/>
      <c r="AN501" s="96"/>
      <c r="AQ501" s="109"/>
      <c r="AR501" s="109"/>
      <c r="AS501" s="109"/>
      <c r="AT501" s="96"/>
      <c r="AW501" s="109"/>
      <c r="AX501" s="109"/>
      <c r="AY501" s="109"/>
      <c r="AZ501" s="96"/>
    </row>
    <row r="502" spans="1:53" s="32" customFormat="1" ht="16.5" thickBot="1" x14ac:dyDescent="0.3">
      <c r="A502" s="24" t="s">
        <v>287</v>
      </c>
      <c r="B502" s="25" t="s">
        <v>288</v>
      </c>
      <c r="C502" s="26"/>
      <c r="D502" s="27"/>
      <c r="E502" s="27"/>
      <c r="F502" s="27"/>
      <c r="G502" s="27"/>
      <c r="H502" s="264"/>
      <c r="I502" s="228"/>
      <c r="J502" s="140"/>
      <c r="K502" s="140"/>
      <c r="L502" s="140"/>
      <c r="M502" s="140"/>
      <c r="N502" s="140"/>
      <c r="O502" s="140"/>
      <c r="P502" s="140"/>
      <c r="Q502" s="140"/>
      <c r="R502" s="140"/>
      <c r="S502" s="140"/>
      <c r="T502" s="140"/>
      <c r="U502" s="140"/>
      <c r="V502" s="365"/>
      <c r="W502" s="379"/>
      <c r="X502" s="140"/>
      <c r="Y502" s="30" t="s">
        <v>4</v>
      </c>
      <c r="Z502" s="30" t="s">
        <v>5</v>
      </c>
      <c r="AA502" s="30"/>
      <c r="AB502" s="30"/>
      <c r="AC502" s="188"/>
      <c r="AE502" s="33" t="s">
        <v>181</v>
      </c>
      <c r="AF502" s="33" t="s">
        <v>182</v>
      </c>
      <c r="AG502" s="33" t="s">
        <v>6</v>
      </c>
      <c r="AH502" s="33" t="s">
        <v>4</v>
      </c>
      <c r="AI502" s="34" t="s">
        <v>5</v>
      </c>
      <c r="AJ502" s="408"/>
      <c r="AK502" s="36" t="s">
        <v>181</v>
      </c>
      <c r="AL502" s="36" t="s">
        <v>182</v>
      </c>
      <c r="AM502" s="36" t="s">
        <v>6</v>
      </c>
      <c r="AN502" s="36" t="s">
        <v>4</v>
      </c>
      <c r="AO502" s="37" t="s">
        <v>5</v>
      </c>
      <c r="AP502" s="408"/>
      <c r="AQ502" s="36"/>
      <c r="AR502" s="36"/>
      <c r="AS502" s="36"/>
      <c r="AT502" s="36"/>
      <c r="AU502" s="37"/>
      <c r="AV502" s="408"/>
      <c r="AW502" s="38" t="s">
        <v>181</v>
      </c>
      <c r="AX502" s="38" t="s">
        <v>182</v>
      </c>
      <c r="AY502" s="38" t="s">
        <v>6</v>
      </c>
      <c r="AZ502" s="38" t="s">
        <v>4</v>
      </c>
      <c r="BA502" s="39" t="s">
        <v>5</v>
      </c>
    </row>
    <row r="503" spans="1:53" ht="17.100000000000001" customHeight="1" x14ac:dyDescent="0.25">
      <c r="A503" s="68"/>
      <c r="B503" s="41" t="s">
        <v>289</v>
      </c>
      <c r="C503" s="69" t="s">
        <v>620</v>
      </c>
      <c r="D503" s="50"/>
      <c r="E503" s="70"/>
      <c r="F503" s="70"/>
      <c r="G503" s="70"/>
      <c r="H503" s="119"/>
      <c r="J503" s="71"/>
      <c r="K503" s="71"/>
      <c r="L503" s="71"/>
      <c r="M503" s="71"/>
      <c r="N503" s="71"/>
      <c r="O503" s="71"/>
      <c r="P503" s="71"/>
      <c r="Q503" s="71"/>
      <c r="R503" s="71"/>
      <c r="S503" s="71"/>
      <c r="T503" s="71"/>
      <c r="U503" s="71"/>
      <c r="V503" s="355"/>
      <c r="W503" s="377"/>
      <c r="X503" s="71"/>
      <c r="Y503" s="72"/>
      <c r="Z503" s="73"/>
      <c r="AA503" s="73"/>
      <c r="AB503" s="73"/>
      <c r="AC503" s="73"/>
      <c r="AE503" s="71"/>
      <c r="AF503" s="71"/>
      <c r="AG503" s="71"/>
      <c r="AH503" s="72"/>
      <c r="AI503" s="73"/>
      <c r="AK503" s="71"/>
      <c r="AL503" s="71"/>
      <c r="AM503" s="71"/>
      <c r="AN503" s="72"/>
      <c r="AO503" s="73"/>
      <c r="AQ503" s="71"/>
      <c r="AR503" s="71"/>
      <c r="AS503" s="71"/>
      <c r="AT503" s="72"/>
      <c r="AU503" s="73"/>
      <c r="AW503" s="71"/>
      <c r="AX503" s="71"/>
      <c r="AY503" s="71"/>
      <c r="AZ503" s="72"/>
      <c r="BA503" s="73"/>
    </row>
    <row r="504" spans="1:53" ht="17.100000000000001" customHeight="1" x14ac:dyDescent="0.25">
      <c r="A504" s="40"/>
      <c r="B504" s="40"/>
      <c r="C504" s="74" t="s">
        <v>291</v>
      </c>
      <c r="D504" s="75" t="s">
        <v>292</v>
      </c>
      <c r="E504" s="105"/>
      <c r="F504" s="75"/>
      <c r="G504" s="75"/>
      <c r="H504" s="540"/>
      <c r="I504" s="229"/>
      <c r="J504" s="111"/>
      <c r="K504" s="111"/>
      <c r="L504" s="111"/>
      <c r="M504" s="111"/>
      <c r="N504" s="60"/>
      <c r="O504" s="60"/>
      <c r="P504" s="17">
        <f t="shared" ref="P504:P507" si="603">SUM(N504:O504)</f>
        <v>0</v>
      </c>
      <c r="Q504" s="60"/>
      <c r="R504" s="60"/>
      <c r="S504" s="17">
        <f t="shared" ref="S504:S507" si="604">SUM(Q504:R504)</f>
        <v>0</v>
      </c>
      <c r="T504" s="60"/>
      <c r="U504" s="60"/>
      <c r="V504" s="359">
        <f t="shared" ref="V504:V507" si="605">SUM(T504:U504)</f>
        <v>0</v>
      </c>
      <c r="W504" s="391">
        <f t="shared" ref="W504:W507" si="606">J504+K504+N504+Q504+T504</f>
        <v>0</v>
      </c>
      <c r="X504" s="17">
        <f t="shared" ref="X504:X507" si="607">L504+O504+R504+U504</f>
        <v>0</v>
      </c>
      <c r="Y504" s="18">
        <f>SUM(W504:X504)</f>
        <v>0</v>
      </c>
      <c r="Z504" s="19">
        <f>IF(Y$508=0,0,Y504/Y$508)</f>
        <v>0</v>
      </c>
      <c r="AA504" s="19"/>
      <c r="AB504" s="19"/>
      <c r="AC504" s="20"/>
      <c r="AE504" s="111"/>
      <c r="AF504" s="111"/>
      <c r="AG504" s="111"/>
      <c r="AH504" s="112"/>
      <c r="AI504" s="113"/>
      <c r="AK504" s="111"/>
      <c r="AL504" s="111"/>
      <c r="AM504" s="111"/>
      <c r="AN504" s="112"/>
      <c r="AO504" s="113"/>
      <c r="AQ504" s="17"/>
      <c r="AR504" s="17"/>
      <c r="AS504" s="17"/>
      <c r="AT504" s="18">
        <f t="shared" ref="AT504:AT507" si="608">W504</f>
        <v>0</v>
      </c>
      <c r="AU504" s="19">
        <f>IF(AT$508=0,0,AT504/AT$508)</f>
        <v>0</v>
      </c>
      <c r="AW504" s="17"/>
      <c r="AX504" s="17"/>
      <c r="AY504" s="17"/>
      <c r="AZ504" s="18">
        <f t="shared" ref="AZ504:AZ507" si="609">X504</f>
        <v>0</v>
      </c>
      <c r="BA504" s="19">
        <f>IF(AZ$508=0,0,AZ504/AZ$508)</f>
        <v>0</v>
      </c>
    </row>
    <row r="505" spans="1:53" ht="17.100000000000001" customHeight="1" x14ac:dyDescent="0.25">
      <c r="A505" s="40"/>
      <c r="B505" s="40"/>
      <c r="C505" s="74" t="s">
        <v>293</v>
      </c>
      <c r="D505" s="75" t="s">
        <v>11</v>
      </c>
      <c r="E505" s="105"/>
      <c r="F505" s="75"/>
      <c r="G505" s="75"/>
      <c r="H505" s="540"/>
      <c r="I505" s="229"/>
      <c r="J505" s="111"/>
      <c r="K505" s="111"/>
      <c r="L505" s="111"/>
      <c r="M505" s="111"/>
      <c r="N505" s="61"/>
      <c r="O505" s="61"/>
      <c r="P505" s="17">
        <f t="shared" si="603"/>
        <v>0</v>
      </c>
      <c r="Q505" s="61"/>
      <c r="R505" s="61"/>
      <c r="S505" s="17">
        <f t="shared" si="604"/>
        <v>0</v>
      </c>
      <c r="T505" s="61"/>
      <c r="U505" s="61"/>
      <c r="V505" s="359">
        <f t="shared" si="605"/>
        <v>0</v>
      </c>
      <c r="W505" s="391">
        <f t="shared" si="606"/>
        <v>0</v>
      </c>
      <c r="X505" s="17">
        <f t="shared" si="607"/>
        <v>0</v>
      </c>
      <c r="Y505" s="18">
        <f>SUM(W505:X505)</f>
        <v>0</v>
      </c>
      <c r="Z505" s="19">
        <f t="shared" ref="Z505:Z508" si="610">IF(Y$508=0,0,Y505/Y$508)</f>
        <v>0</v>
      </c>
      <c r="AA505" s="19"/>
      <c r="AB505" s="19"/>
      <c r="AC505" s="20"/>
      <c r="AE505" s="111"/>
      <c r="AF505" s="111"/>
      <c r="AG505" s="111"/>
      <c r="AH505" s="112"/>
      <c r="AI505" s="113"/>
      <c r="AK505" s="111"/>
      <c r="AL505" s="111"/>
      <c r="AM505" s="111"/>
      <c r="AN505" s="112"/>
      <c r="AO505" s="113"/>
      <c r="AQ505" s="17"/>
      <c r="AR505" s="17"/>
      <c r="AS505" s="17"/>
      <c r="AT505" s="18">
        <f t="shared" si="608"/>
        <v>0</v>
      </c>
      <c r="AU505" s="19">
        <f>IF(AT$508=0,0,AT505/AT$508)</f>
        <v>0</v>
      </c>
      <c r="AW505" s="17"/>
      <c r="AX505" s="17"/>
      <c r="AY505" s="17"/>
      <c r="AZ505" s="18">
        <f t="shared" si="609"/>
        <v>0</v>
      </c>
      <c r="BA505" s="19">
        <f>IF(AZ$508=0,0,AZ505/AZ$508)</f>
        <v>0</v>
      </c>
    </row>
    <row r="506" spans="1:53" ht="17.100000000000001" customHeight="1" x14ac:dyDescent="0.25">
      <c r="A506" s="40"/>
      <c r="B506" s="40"/>
      <c r="C506" s="74" t="s">
        <v>294</v>
      </c>
      <c r="D506" s="75" t="s">
        <v>295</v>
      </c>
      <c r="E506" s="105"/>
      <c r="F506" s="75"/>
      <c r="G506" s="75"/>
      <c r="H506" s="540"/>
      <c r="I506" s="229"/>
      <c r="J506" s="111"/>
      <c r="K506" s="111"/>
      <c r="L506" s="111"/>
      <c r="M506" s="111"/>
      <c r="N506" s="60"/>
      <c r="O506" s="60"/>
      <c r="P506" s="17">
        <f t="shared" si="603"/>
        <v>0</v>
      </c>
      <c r="Q506" s="60"/>
      <c r="R506" s="60"/>
      <c r="S506" s="17">
        <f t="shared" si="604"/>
        <v>0</v>
      </c>
      <c r="T506" s="60"/>
      <c r="U506" s="60"/>
      <c r="V506" s="359">
        <f t="shared" si="605"/>
        <v>0</v>
      </c>
      <c r="W506" s="391">
        <f t="shared" si="606"/>
        <v>0</v>
      </c>
      <c r="X506" s="17">
        <f t="shared" si="607"/>
        <v>0</v>
      </c>
      <c r="Y506" s="18">
        <f>SUM(W506:X506)</f>
        <v>0</v>
      </c>
      <c r="Z506" s="19">
        <f t="shared" si="610"/>
        <v>0</v>
      </c>
      <c r="AA506" s="19"/>
      <c r="AB506" s="19"/>
      <c r="AC506" s="20"/>
      <c r="AE506" s="111"/>
      <c r="AF506" s="111"/>
      <c r="AG506" s="111"/>
      <c r="AH506" s="112"/>
      <c r="AI506" s="113"/>
      <c r="AK506" s="111"/>
      <c r="AL506" s="111"/>
      <c r="AM506" s="111"/>
      <c r="AN506" s="112"/>
      <c r="AO506" s="113"/>
      <c r="AQ506" s="17"/>
      <c r="AR506" s="17"/>
      <c r="AS506" s="17"/>
      <c r="AT506" s="18">
        <f t="shared" si="608"/>
        <v>0</v>
      </c>
      <c r="AU506" s="19">
        <f>IF(AT$508=0,0,AT506/AT$508)</f>
        <v>0</v>
      </c>
      <c r="AW506" s="17"/>
      <c r="AX506" s="17"/>
      <c r="AY506" s="17"/>
      <c r="AZ506" s="18">
        <f t="shared" si="609"/>
        <v>0</v>
      </c>
      <c r="BA506" s="19">
        <f>IF(AZ$508=0,0,AZ506/AZ$508)</f>
        <v>0</v>
      </c>
    </row>
    <row r="507" spans="1:53" ht="17.100000000000001" customHeight="1" x14ac:dyDescent="0.25">
      <c r="A507" s="40"/>
      <c r="B507" s="40"/>
      <c r="C507" s="74" t="s">
        <v>296</v>
      </c>
      <c r="D507" s="75" t="s">
        <v>9</v>
      </c>
      <c r="E507" s="105"/>
      <c r="F507" s="75"/>
      <c r="G507" s="75"/>
      <c r="H507" s="540"/>
      <c r="I507" s="229"/>
      <c r="J507" s="111"/>
      <c r="K507" s="111"/>
      <c r="L507" s="111"/>
      <c r="M507" s="111"/>
      <c r="N507" s="61"/>
      <c r="O507" s="61"/>
      <c r="P507" s="17">
        <f t="shared" si="603"/>
        <v>0</v>
      </c>
      <c r="Q507" s="61"/>
      <c r="R507" s="61"/>
      <c r="S507" s="17">
        <f t="shared" si="604"/>
        <v>0</v>
      </c>
      <c r="T507" s="61"/>
      <c r="U507" s="61"/>
      <c r="V507" s="359">
        <f t="shared" si="605"/>
        <v>0</v>
      </c>
      <c r="W507" s="391">
        <f t="shared" si="606"/>
        <v>0</v>
      </c>
      <c r="X507" s="17">
        <f t="shared" si="607"/>
        <v>0</v>
      </c>
      <c r="Y507" s="18">
        <f>SUM(W507:X507)</f>
        <v>0</v>
      </c>
      <c r="Z507" s="19">
        <f t="shared" si="610"/>
        <v>0</v>
      </c>
      <c r="AA507" s="19"/>
      <c r="AB507" s="19"/>
      <c r="AC507" s="20"/>
      <c r="AE507" s="111"/>
      <c r="AF507" s="111"/>
      <c r="AG507" s="111"/>
      <c r="AH507" s="112"/>
      <c r="AI507" s="113"/>
      <c r="AK507" s="111"/>
      <c r="AL507" s="111"/>
      <c r="AM507" s="111"/>
      <c r="AN507" s="112"/>
      <c r="AO507" s="113"/>
      <c r="AQ507" s="17"/>
      <c r="AR507" s="17"/>
      <c r="AS507" s="17"/>
      <c r="AT507" s="18">
        <f t="shared" si="608"/>
        <v>0</v>
      </c>
      <c r="AU507" s="19">
        <f>IF(AT$508=0,0,AT507/AT$508)</f>
        <v>0</v>
      </c>
      <c r="AW507" s="17"/>
      <c r="AX507" s="17"/>
      <c r="AY507" s="17"/>
      <c r="AZ507" s="18">
        <f t="shared" si="609"/>
        <v>0</v>
      </c>
      <c r="BA507" s="19">
        <f>IF(AZ$508=0,0,AZ507/AZ$508)</f>
        <v>0</v>
      </c>
    </row>
    <row r="508" spans="1:53" ht="17.100000000000001" customHeight="1" x14ac:dyDescent="0.25">
      <c r="A508" s="40"/>
      <c r="B508" s="40"/>
      <c r="C508" s="292"/>
      <c r="D508" s="134"/>
      <c r="E508" s="134"/>
      <c r="F508" s="134"/>
      <c r="G508" s="134"/>
      <c r="H508" s="540"/>
      <c r="I508" s="229"/>
      <c r="J508" s="80"/>
      <c r="K508" s="80"/>
      <c r="L508" s="81"/>
      <c r="M508" s="81"/>
      <c r="N508" s="81">
        <f>SUM(N504:N507)</f>
        <v>0</v>
      </c>
      <c r="O508" s="81">
        <f t="shared" ref="O508:V508" si="611">SUM(O504:O507)</f>
        <v>0</v>
      </c>
      <c r="P508" s="81">
        <f t="shared" si="611"/>
        <v>0</v>
      </c>
      <c r="Q508" s="81">
        <f t="shared" si="611"/>
        <v>0</v>
      </c>
      <c r="R508" s="81">
        <f t="shared" si="611"/>
        <v>0</v>
      </c>
      <c r="S508" s="81">
        <f t="shared" si="611"/>
        <v>0</v>
      </c>
      <c r="T508" s="81">
        <f t="shared" si="611"/>
        <v>0</v>
      </c>
      <c r="U508" s="81">
        <f t="shared" si="611"/>
        <v>0</v>
      </c>
      <c r="V508" s="81">
        <f t="shared" si="611"/>
        <v>0</v>
      </c>
      <c r="W508" s="381">
        <f>SUM(W504:W507)</f>
        <v>0</v>
      </c>
      <c r="X508" s="82">
        <f t="shared" ref="X508:Y508" si="612">SUM(X504:X507)</f>
        <v>0</v>
      </c>
      <c r="Y508" s="82">
        <f t="shared" si="612"/>
        <v>0</v>
      </c>
      <c r="Z508" s="205">
        <f t="shared" si="610"/>
        <v>0</v>
      </c>
      <c r="AA508" s="205"/>
      <c r="AB508" s="205"/>
      <c r="AC508" s="83"/>
      <c r="AE508" s="80"/>
      <c r="AF508" s="80"/>
      <c r="AG508" s="81"/>
      <c r="AH508" s="82"/>
      <c r="AI508" s="66"/>
      <c r="AK508" s="80"/>
      <c r="AL508" s="80"/>
      <c r="AM508" s="81"/>
      <c r="AN508" s="82"/>
      <c r="AO508" s="66"/>
      <c r="AQ508" s="80"/>
      <c r="AR508" s="80"/>
      <c r="AS508" s="81"/>
      <c r="AT508" s="82">
        <f>SUM(AT504:AT507)</f>
        <v>0</v>
      </c>
      <c r="AU508" s="66">
        <f>IF(AT$508=0,0,AT508/AT$508)</f>
        <v>0</v>
      </c>
      <c r="AW508" s="80"/>
      <c r="AX508" s="80"/>
      <c r="AY508" s="81"/>
      <c r="AZ508" s="82">
        <f>SUM(AZ504:AZ507)</f>
        <v>0</v>
      </c>
      <c r="BA508" s="66">
        <f>IF(AZ$508=0,0,AZ508/AZ$508)</f>
        <v>0</v>
      </c>
    </row>
    <row r="509" spans="1:53" s="117" customFormat="1" ht="17.100000000000001" customHeight="1" x14ac:dyDescent="0.25">
      <c r="A509" s="68"/>
      <c r="B509" s="119"/>
      <c r="C509" s="540"/>
      <c r="D509" s="261"/>
      <c r="E509" s="261"/>
      <c r="F509" s="68"/>
      <c r="G509" s="68"/>
      <c r="H509" s="119"/>
      <c r="I509" s="138"/>
      <c r="J509" s="17"/>
      <c r="K509" s="17"/>
      <c r="L509" s="17"/>
      <c r="M509" s="17"/>
      <c r="N509" s="17" t="str">
        <f>IF(N508=N$20,"OK","NOK")</f>
        <v>OK</v>
      </c>
      <c r="O509" s="17" t="str">
        <f>IF(O508=O$20,"OK","NOK")</f>
        <v>OK</v>
      </c>
      <c r="P509" s="17"/>
      <c r="Q509" s="17" t="str">
        <f>IF(Q508=Q$20,"OK","NOK")</f>
        <v>OK</v>
      </c>
      <c r="R509" s="17" t="str">
        <f>IF(R508=R$20,"OK","NOK")</f>
        <v>OK</v>
      </c>
      <c r="S509" s="17"/>
      <c r="T509" s="17" t="str">
        <f>IF(T508=T$20,"OK","NOK")</f>
        <v>OK</v>
      </c>
      <c r="U509" s="17" t="str">
        <f>IF(U508=U$20,"OK","NOK")</f>
        <v>OK</v>
      </c>
      <c r="V509" s="359"/>
      <c r="W509" s="382"/>
      <c r="X509" s="539"/>
      <c r="Y509" s="539"/>
      <c r="Z509" s="201"/>
      <c r="AA509" s="201"/>
      <c r="AB509" s="201"/>
      <c r="AC509" s="84"/>
      <c r="AE509" s="46"/>
      <c r="AF509" s="46"/>
      <c r="AG509" s="17"/>
      <c r="AH509" s="539"/>
      <c r="AI509" s="91"/>
      <c r="AK509" s="46"/>
      <c r="AL509" s="46"/>
      <c r="AM509" s="17"/>
      <c r="AN509" s="539"/>
      <c r="AO509" s="91"/>
      <c r="AQ509" s="46"/>
      <c r="AR509" s="46"/>
      <c r="AS509" s="17"/>
      <c r="AT509" s="539"/>
      <c r="AU509" s="91"/>
      <c r="AW509" s="46"/>
      <c r="AX509" s="46"/>
      <c r="AY509" s="17"/>
      <c r="AZ509" s="539"/>
      <c r="BA509" s="91"/>
    </row>
    <row r="510" spans="1:53" ht="17.100000000000001" customHeight="1" x14ac:dyDescent="0.25">
      <c r="A510" s="68"/>
      <c r="B510" s="41" t="s">
        <v>297</v>
      </c>
      <c r="C510" s="69" t="s">
        <v>290</v>
      </c>
      <c r="D510" s="50"/>
      <c r="E510" s="70"/>
      <c r="F510" s="70"/>
      <c r="G510" s="70"/>
      <c r="H510" s="119"/>
      <c r="J510" s="71"/>
      <c r="K510" s="71"/>
      <c r="L510" s="71"/>
      <c r="M510" s="71"/>
      <c r="N510" s="71"/>
      <c r="O510" s="71"/>
      <c r="P510" s="71"/>
      <c r="Q510" s="71"/>
      <c r="R510" s="71"/>
      <c r="S510" s="71"/>
      <c r="T510" s="71"/>
      <c r="U510" s="71"/>
      <c r="V510" s="355"/>
      <c r="W510" s="377"/>
      <c r="X510" s="71"/>
      <c r="Y510" s="72"/>
      <c r="Z510" s="73"/>
      <c r="AA510" s="73"/>
      <c r="AB510" s="73"/>
      <c r="AC510" s="73"/>
      <c r="AE510" s="71"/>
      <c r="AF510" s="71"/>
      <c r="AG510" s="71"/>
      <c r="AH510" s="72"/>
      <c r="AI510" s="73"/>
      <c r="AK510" s="71"/>
      <c r="AL510" s="71"/>
      <c r="AM510" s="71"/>
      <c r="AN510" s="72"/>
      <c r="AO510" s="73"/>
      <c r="AQ510" s="71"/>
      <c r="AR510" s="71"/>
      <c r="AS510" s="71"/>
      <c r="AT510" s="72"/>
      <c r="AU510" s="73"/>
      <c r="AW510" s="71"/>
      <c r="AX510" s="71"/>
      <c r="AY510" s="71"/>
      <c r="AZ510" s="72"/>
      <c r="BA510" s="73"/>
    </row>
    <row r="511" spans="1:53" ht="17.100000000000001" customHeight="1" x14ac:dyDescent="0.25">
      <c r="A511" s="40"/>
      <c r="B511" s="40"/>
      <c r="C511" s="74" t="s">
        <v>298</v>
      </c>
      <c r="D511" s="75" t="s">
        <v>292</v>
      </c>
      <c r="E511" s="105"/>
      <c r="F511" s="75"/>
      <c r="G511" s="75"/>
      <c r="H511" s="540"/>
      <c r="I511" s="229"/>
      <c r="J511" s="111"/>
      <c r="K511" s="111"/>
      <c r="L511" s="111"/>
      <c r="M511" s="111"/>
      <c r="N511" s="60"/>
      <c r="O511" s="60"/>
      <c r="P511" s="17">
        <f t="shared" ref="P511:P514" si="613">SUM(N511:O511)</f>
        <v>0</v>
      </c>
      <c r="Q511" s="60"/>
      <c r="R511" s="60"/>
      <c r="S511" s="17">
        <f t="shared" ref="S511:S514" si="614">SUM(Q511:R511)</f>
        <v>0</v>
      </c>
      <c r="T511" s="60"/>
      <c r="U511" s="60"/>
      <c r="V511" s="359">
        <f t="shared" ref="V511:V514" si="615">SUM(T511:U511)</f>
        <v>0</v>
      </c>
      <c r="W511" s="391">
        <f t="shared" ref="W511:W514" si="616">J511+K511+N511+Q511+T511</f>
        <v>0</v>
      </c>
      <c r="X511" s="17">
        <f t="shared" ref="X511:X514" si="617">L511+O511+R511+U511</f>
        <v>0</v>
      </c>
      <c r="Y511" s="18">
        <f>SUM(W511:X511)</f>
        <v>0</v>
      </c>
      <c r="Z511" s="19">
        <f>IF(Y$515=0,0,Y511/Y$515)</f>
        <v>0</v>
      </c>
      <c r="AA511" s="19"/>
      <c r="AB511" s="19"/>
      <c r="AC511" s="20"/>
      <c r="AE511" s="111"/>
      <c r="AF511" s="111"/>
      <c r="AG511" s="111"/>
      <c r="AH511" s="112"/>
      <c r="AI511" s="113"/>
      <c r="AK511" s="111"/>
      <c r="AL511" s="111"/>
      <c r="AM511" s="111"/>
      <c r="AN511" s="112"/>
      <c r="AO511" s="113"/>
      <c r="AQ511" s="17"/>
      <c r="AR511" s="17"/>
      <c r="AS511" s="17"/>
      <c r="AT511" s="18">
        <f t="shared" ref="AT511:AT514" si="618">W511</f>
        <v>0</v>
      </c>
      <c r="AU511" s="19">
        <f t="shared" ref="AU511:AU514" si="619">IF(AT$508=0,0,AT511/AT$508)</f>
        <v>0</v>
      </c>
      <c r="AW511" s="17"/>
      <c r="AX511" s="17"/>
      <c r="AY511" s="17"/>
      <c r="AZ511" s="18">
        <f t="shared" ref="AZ511:AZ514" si="620">X511</f>
        <v>0</v>
      </c>
      <c r="BA511" s="19">
        <f>IF(AZ$515=0,0,AZ511/AZ$515)</f>
        <v>0</v>
      </c>
    </row>
    <row r="512" spans="1:53" ht="17.100000000000001" customHeight="1" x14ac:dyDescent="0.25">
      <c r="A512" s="40"/>
      <c r="B512" s="40"/>
      <c r="C512" s="74" t="s">
        <v>299</v>
      </c>
      <c r="D512" s="75" t="s">
        <v>11</v>
      </c>
      <c r="E512" s="105"/>
      <c r="F512" s="75"/>
      <c r="G512" s="75"/>
      <c r="H512" s="540"/>
      <c r="I512" s="229"/>
      <c r="J512" s="111"/>
      <c r="K512" s="111"/>
      <c r="L512" s="111"/>
      <c r="M512" s="111"/>
      <c r="N512" s="61"/>
      <c r="O512" s="61"/>
      <c r="P512" s="17">
        <f t="shared" si="613"/>
        <v>0</v>
      </c>
      <c r="Q512" s="61"/>
      <c r="R512" s="61"/>
      <c r="S512" s="17">
        <f t="shared" si="614"/>
        <v>0</v>
      </c>
      <c r="T512" s="61"/>
      <c r="U512" s="61"/>
      <c r="V512" s="359">
        <f t="shared" si="615"/>
        <v>0</v>
      </c>
      <c r="W512" s="391">
        <f t="shared" si="616"/>
        <v>0</v>
      </c>
      <c r="X512" s="17">
        <f t="shared" si="617"/>
        <v>0</v>
      </c>
      <c r="Y512" s="18">
        <f>SUM(W512:X512)</f>
        <v>0</v>
      </c>
      <c r="Z512" s="19">
        <f t="shared" ref="Z512:Z515" si="621">IF(Y$515=0,0,Y512/Y$515)</f>
        <v>0</v>
      </c>
      <c r="AA512" s="19"/>
      <c r="AB512" s="19"/>
      <c r="AC512" s="20"/>
      <c r="AE512" s="111"/>
      <c r="AF512" s="111"/>
      <c r="AG512" s="111"/>
      <c r="AH512" s="112"/>
      <c r="AI512" s="113"/>
      <c r="AK512" s="111"/>
      <c r="AL512" s="111"/>
      <c r="AM512" s="111"/>
      <c r="AN512" s="112"/>
      <c r="AO512" s="113"/>
      <c r="AQ512" s="17"/>
      <c r="AR512" s="17"/>
      <c r="AS512" s="17"/>
      <c r="AT512" s="18">
        <f t="shared" si="618"/>
        <v>0</v>
      </c>
      <c r="AU512" s="19">
        <f t="shared" si="619"/>
        <v>0</v>
      </c>
      <c r="AW512" s="17"/>
      <c r="AX512" s="17"/>
      <c r="AY512" s="17"/>
      <c r="AZ512" s="18">
        <f t="shared" si="620"/>
        <v>0</v>
      </c>
      <c r="BA512" s="19">
        <f t="shared" ref="BA512:BA515" si="622">IF(AZ$515=0,0,AZ512/AZ$515)</f>
        <v>0</v>
      </c>
    </row>
    <row r="513" spans="1:53" ht="17.100000000000001" customHeight="1" x14ac:dyDescent="0.25">
      <c r="A513" s="40"/>
      <c r="B513" s="40"/>
      <c r="C513" s="74" t="s">
        <v>301</v>
      </c>
      <c r="D513" s="75" t="s">
        <v>295</v>
      </c>
      <c r="E513" s="105"/>
      <c r="F513" s="75"/>
      <c r="G513" s="75"/>
      <c r="H513" s="540"/>
      <c r="I513" s="229"/>
      <c r="J513" s="111"/>
      <c r="K513" s="111"/>
      <c r="L513" s="111"/>
      <c r="M513" s="111"/>
      <c r="N513" s="60"/>
      <c r="O513" s="60"/>
      <c r="P513" s="17">
        <f t="shared" si="613"/>
        <v>0</v>
      </c>
      <c r="Q513" s="60"/>
      <c r="R513" s="60"/>
      <c r="S513" s="17">
        <f t="shared" si="614"/>
        <v>0</v>
      </c>
      <c r="T513" s="60"/>
      <c r="U513" s="60"/>
      <c r="V513" s="359">
        <f t="shared" si="615"/>
        <v>0</v>
      </c>
      <c r="W513" s="391">
        <f t="shared" si="616"/>
        <v>0</v>
      </c>
      <c r="X513" s="17">
        <f t="shared" si="617"/>
        <v>0</v>
      </c>
      <c r="Y513" s="18">
        <f>SUM(W513:X513)</f>
        <v>0</v>
      </c>
      <c r="Z513" s="19">
        <f t="shared" si="621"/>
        <v>0</v>
      </c>
      <c r="AA513" s="19"/>
      <c r="AB513" s="19"/>
      <c r="AC513" s="20"/>
      <c r="AE513" s="111"/>
      <c r="AF513" s="111"/>
      <c r="AG513" s="111"/>
      <c r="AH513" s="112"/>
      <c r="AI513" s="113"/>
      <c r="AK513" s="111"/>
      <c r="AL513" s="111"/>
      <c r="AM513" s="111"/>
      <c r="AN513" s="112"/>
      <c r="AO513" s="113"/>
      <c r="AQ513" s="17"/>
      <c r="AR513" s="17"/>
      <c r="AS513" s="17"/>
      <c r="AT513" s="18">
        <f t="shared" si="618"/>
        <v>0</v>
      </c>
      <c r="AU513" s="19">
        <f t="shared" si="619"/>
        <v>0</v>
      </c>
      <c r="AW513" s="17"/>
      <c r="AX513" s="17"/>
      <c r="AY513" s="17"/>
      <c r="AZ513" s="18">
        <f t="shared" si="620"/>
        <v>0</v>
      </c>
      <c r="BA513" s="19">
        <f t="shared" si="622"/>
        <v>0</v>
      </c>
    </row>
    <row r="514" spans="1:53" ht="17.100000000000001" customHeight="1" x14ac:dyDescent="0.25">
      <c r="A514" s="40"/>
      <c r="B514" s="40"/>
      <c r="C514" s="74" t="s">
        <v>303</v>
      </c>
      <c r="D514" s="75" t="s">
        <v>9</v>
      </c>
      <c r="E514" s="105"/>
      <c r="F514" s="75"/>
      <c r="G514" s="75"/>
      <c r="H514" s="540"/>
      <c r="I514" s="229"/>
      <c r="J514" s="111"/>
      <c r="K514" s="111"/>
      <c r="L514" s="111"/>
      <c r="M514" s="111"/>
      <c r="N514" s="61"/>
      <c r="O514" s="61"/>
      <c r="P514" s="17">
        <f t="shared" si="613"/>
        <v>0</v>
      </c>
      <c r="Q514" s="61"/>
      <c r="R514" s="61"/>
      <c r="S514" s="17">
        <f t="shared" si="614"/>
        <v>0</v>
      </c>
      <c r="T514" s="61"/>
      <c r="U514" s="61"/>
      <c r="V514" s="359">
        <f t="shared" si="615"/>
        <v>0</v>
      </c>
      <c r="W514" s="391">
        <f t="shared" si="616"/>
        <v>0</v>
      </c>
      <c r="X514" s="17">
        <f t="shared" si="617"/>
        <v>0</v>
      </c>
      <c r="Y514" s="18">
        <f>SUM(W514:X514)</f>
        <v>0</v>
      </c>
      <c r="Z514" s="19">
        <f t="shared" si="621"/>
        <v>0</v>
      </c>
      <c r="AA514" s="19"/>
      <c r="AB514" s="19"/>
      <c r="AC514" s="20"/>
      <c r="AE514" s="111"/>
      <c r="AF514" s="111"/>
      <c r="AG514" s="111"/>
      <c r="AH514" s="112"/>
      <c r="AI514" s="113"/>
      <c r="AK514" s="111"/>
      <c r="AL514" s="111"/>
      <c r="AM514" s="111"/>
      <c r="AN514" s="112"/>
      <c r="AO514" s="113"/>
      <c r="AQ514" s="17"/>
      <c r="AR514" s="17"/>
      <c r="AS514" s="17"/>
      <c r="AT514" s="18">
        <f t="shared" si="618"/>
        <v>0</v>
      </c>
      <c r="AU514" s="19">
        <f t="shared" si="619"/>
        <v>0</v>
      </c>
      <c r="AW514" s="17"/>
      <c r="AX514" s="17"/>
      <c r="AY514" s="17"/>
      <c r="AZ514" s="18">
        <f t="shared" si="620"/>
        <v>0</v>
      </c>
      <c r="BA514" s="19">
        <f t="shared" si="622"/>
        <v>0</v>
      </c>
    </row>
    <row r="515" spans="1:53" ht="17.100000000000001" customHeight="1" x14ac:dyDescent="0.25">
      <c r="A515" s="175"/>
      <c r="B515" s="40"/>
      <c r="C515" s="163"/>
      <c r="D515" s="134"/>
      <c r="E515" s="134"/>
      <c r="F515" s="134"/>
      <c r="G515" s="134"/>
      <c r="H515" s="540"/>
      <c r="I515" s="12"/>
      <c r="J515" s="80"/>
      <c r="K515" s="80"/>
      <c r="L515" s="81"/>
      <c r="M515" s="81"/>
      <c r="N515" s="81">
        <f>SUM(N511:N514)</f>
        <v>0</v>
      </c>
      <c r="O515" s="81">
        <f t="shared" ref="O515:V515" si="623">SUM(O511:O514)</f>
        <v>0</v>
      </c>
      <c r="P515" s="81">
        <f t="shared" si="623"/>
        <v>0</v>
      </c>
      <c r="Q515" s="81">
        <f t="shared" si="623"/>
        <v>0</v>
      </c>
      <c r="R515" s="81">
        <f t="shared" si="623"/>
        <v>0</v>
      </c>
      <c r="S515" s="81">
        <f t="shared" si="623"/>
        <v>0</v>
      </c>
      <c r="T515" s="81">
        <f t="shared" si="623"/>
        <v>0</v>
      </c>
      <c r="U515" s="81">
        <f t="shared" si="623"/>
        <v>0</v>
      </c>
      <c r="V515" s="81">
        <f t="shared" si="623"/>
        <v>0</v>
      </c>
      <c r="W515" s="381">
        <f>SUM(W511:W514)</f>
        <v>0</v>
      </c>
      <c r="X515" s="82">
        <f t="shared" ref="X515:Y515" si="624">SUM(X511:X514)</f>
        <v>0</v>
      </c>
      <c r="Y515" s="82">
        <f t="shared" si="624"/>
        <v>0</v>
      </c>
      <c r="Z515" s="205">
        <f t="shared" si="621"/>
        <v>0</v>
      </c>
      <c r="AA515" s="205"/>
      <c r="AB515" s="205"/>
      <c r="AC515" s="83"/>
      <c r="AE515" s="80"/>
      <c r="AF515" s="80"/>
      <c r="AG515" s="81"/>
      <c r="AH515" s="82">
        <f>SUM(AH511:AH514)</f>
        <v>0</v>
      </c>
      <c r="AI515" s="66">
        <f t="shared" ref="AI515" si="625">IF(AH$515=0,0,AH515/AH$515)</f>
        <v>0</v>
      </c>
      <c r="AK515" s="80"/>
      <c r="AL515" s="80"/>
      <c r="AM515" s="81"/>
      <c r="AN515" s="82">
        <f>SUM(AN511:AN514)</f>
        <v>0</v>
      </c>
      <c r="AO515" s="66">
        <f t="shared" ref="AO515" si="626">IF(AN$515=0,0,AN515/AN$515)</f>
        <v>0</v>
      </c>
      <c r="AQ515" s="80"/>
      <c r="AR515" s="80"/>
      <c r="AS515" s="81"/>
      <c r="AT515" s="82"/>
      <c r="AU515" s="66"/>
      <c r="AW515" s="80"/>
      <c r="AX515" s="80"/>
      <c r="AY515" s="81"/>
      <c r="AZ515" s="82">
        <f>SUM(AZ511:AZ514)</f>
        <v>0</v>
      </c>
      <c r="BA515" s="66">
        <f t="shared" si="622"/>
        <v>0</v>
      </c>
    </row>
    <row r="516" spans="1:53" s="117" customFormat="1" ht="17.100000000000001" customHeight="1" x14ac:dyDescent="0.25">
      <c r="A516" s="68"/>
      <c r="B516" s="119"/>
      <c r="C516" s="540"/>
      <c r="D516" s="261"/>
      <c r="E516" s="261"/>
      <c r="F516" s="68"/>
      <c r="G516" s="68"/>
      <c r="H516" s="119"/>
      <c r="I516" s="138"/>
      <c r="J516" s="17"/>
      <c r="K516" s="17"/>
      <c r="L516" s="17"/>
      <c r="M516" s="17"/>
      <c r="N516" s="17" t="str">
        <f>IF(N515=N$20,"OK","NOK")</f>
        <v>OK</v>
      </c>
      <c r="O516" s="17" t="str">
        <f>IF(O515=O$20,"OK","NOK")</f>
        <v>OK</v>
      </c>
      <c r="P516" s="17"/>
      <c r="Q516" s="17" t="str">
        <f>IF(Q515=Q$20,"OK","NOK")</f>
        <v>OK</v>
      </c>
      <c r="R516" s="17" t="str">
        <f>IF(R515=R$20,"OK","NOK")</f>
        <v>OK</v>
      </c>
      <c r="S516" s="17"/>
      <c r="T516" s="17" t="str">
        <f>IF(T515=T$20,"OK","NOK")</f>
        <v>OK</v>
      </c>
      <c r="U516" s="17" t="str">
        <f>IF(U515=U$20,"OK","NOK")</f>
        <v>OK</v>
      </c>
      <c r="V516" s="359"/>
      <c r="W516" s="382"/>
      <c r="X516" s="539"/>
      <c r="Y516" s="539"/>
      <c r="Z516" s="201"/>
      <c r="AA516" s="201"/>
      <c r="AB516" s="201"/>
      <c r="AC516" s="84"/>
      <c r="AE516" s="46"/>
      <c r="AF516" s="46"/>
      <c r="AG516" s="17"/>
      <c r="AH516" s="539"/>
      <c r="AI516" s="91"/>
      <c r="AK516" s="46"/>
      <c r="AL516" s="46"/>
      <c r="AM516" s="17"/>
      <c r="AN516" s="539"/>
      <c r="AO516" s="91"/>
      <c r="AQ516" s="46"/>
      <c r="AR516" s="46"/>
      <c r="AS516" s="17"/>
      <c r="AT516" s="539"/>
      <c r="AU516" s="91"/>
      <c r="AW516" s="46"/>
      <c r="AX516" s="46"/>
      <c r="AY516" s="17"/>
      <c r="AZ516" s="539"/>
      <c r="BA516" s="91"/>
    </row>
    <row r="517" spans="1:53" ht="17.100000000000001" customHeight="1" x14ac:dyDescent="0.25">
      <c r="A517" s="68"/>
      <c r="B517" s="41" t="s">
        <v>306</v>
      </c>
      <c r="C517" s="69" t="s">
        <v>486</v>
      </c>
      <c r="D517" s="50"/>
      <c r="E517" s="70"/>
      <c r="F517" s="70"/>
      <c r="G517" s="70"/>
      <c r="H517" s="119"/>
      <c r="J517" s="71"/>
      <c r="K517" s="71"/>
      <c r="L517" s="71"/>
      <c r="M517" s="71"/>
      <c r="N517" s="71"/>
      <c r="O517" s="71"/>
      <c r="P517" s="71"/>
      <c r="Q517" s="71"/>
      <c r="R517" s="71"/>
      <c r="S517" s="71"/>
      <c r="T517" s="71"/>
      <c r="U517" s="71"/>
      <c r="V517" s="355"/>
      <c r="W517" s="377"/>
      <c r="X517" s="71"/>
      <c r="Y517" s="72"/>
      <c r="Z517" s="73"/>
      <c r="AA517" s="73"/>
      <c r="AB517" s="73"/>
      <c r="AC517" s="73"/>
      <c r="AE517" s="71"/>
      <c r="AF517" s="71"/>
      <c r="AG517" s="71"/>
      <c r="AH517" s="72"/>
      <c r="AI517" s="73"/>
      <c r="AK517" s="71"/>
      <c r="AL517" s="71"/>
      <c r="AM517" s="71"/>
      <c r="AN517" s="72"/>
      <c r="AO517" s="73"/>
      <c r="AQ517" s="71"/>
      <c r="AR517" s="71"/>
      <c r="AS517" s="71"/>
      <c r="AT517" s="72"/>
      <c r="AU517" s="73"/>
      <c r="AW517" s="71"/>
      <c r="AX517" s="71"/>
      <c r="AY517" s="71"/>
      <c r="AZ517" s="72"/>
      <c r="BA517" s="73"/>
    </row>
    <row r="518" spans="1:53" ht="17.100000000000001" customHeight="1" x14ac:dyDescent="0.25">
      <c r="A518" s="40"/>
      <c r="B518" s="40"/>
      <c r="C518" s="74" t="s">
        <v>308</v>
      </c>
      <c r="D518" s="85" t="s">
        <v>292</v>
      </c>
      <c r="E518" s="105"/>
      <c r="F518" s="105"/>
      <c r="G518" s="105"/>
      <c r="H518" s="119"/>
      <c r="I518" s="231"/>
      <c r="J518" s="111"/>
      <c r="K518" s="111"/>
      <c r="L518" s="111"/>
      <c r="M518" s="111"/>
      <c r="N518" s="60"/>
      <c r="O518" s="60"/>
      <c r="P518" s="17">
        <f t="shared" ref="P518:P528" si="627">SUM(N518:O518)</f>
        <v>0</v>
      </c>
      <c r="Q518" s="60"/>
      <c r="R518" s="60"/>
      <c r="S518" s="17">
        <f t="shared" ref="S518:S528" si="628">SUM(Q518:R518)</f>
        <v>0</v>
      </c>
      <c r="T518" s="60"/>
      <c r="U518" s="60"/>
      <c r="V518" s="359">
        <f t="shared" ref="V518:V528" si="629">SUM(T518:U518)</f>
        <v>0</v>
      </c>
      <c r="W518" s="391">
        <f t="shared" ref="W518:W528" si="630">J518+K518+N518+Q518+T518</f>
        <v>0</v>
      </c>
      <c r="X518" s="17">
        <f t="shared" ref="X518:X528" si="631">L518+O518+R518+U518</f>
        <v>0</v>
      </c>
      <c r="Y518" s="18">
        <f t="shared" ref="Y518:Y528" si="632">SUM(W518:X518)</f>
        <v>0</v>
      </c>
      <c r="Z518" s="19">
        <f t="shared" ref="Z518:Z528" si="633">IF(Y$533=0,0,Y518/Y$533)</f>
        <v>0</v>
      </c>
      <c r="AA518" s="19"/>
      <c r="AB518" s="19"/>
      <c r="AC518" s="20"/>
      <c r="AE518" s="111"/>
      <c r="AF518" s="111"/>
      <c r="AG518" s="111"/>
      <c r="AH518" s="112"/>
      <c r="AI518" s="113"/>
      <c r="AK518" s="111"/>
      <c r="AL518" s="111"/>
      <c r="AM518" s="111"/>
      <c r="AN518" s="112"/>
      <c r="AO518" s="113"/>
      <c r="AQ518" s="17"/>
      <c r="AR518" s="17"/>
      <c r="AS518" s="17"/>
      <c r="AT518" s="18">
        <f t="shared" ref="AT518:AT528" si="634">W518</f>
        <v>0</v>
      </c>
      <c r="AU518" s="19">
        <f t="shared" ref="AU518:AU526" si="635">IF(AT$533=0,0,AT518/AT$533)</f>
        <v>0</v>
      </c>
      <c r="AW518" s="17"/>
      <c r="AX518" s="17"/>
      <c r="AY518" s="17"/>
      <c r="AZ518" s="18">
        <f t="shared" ref="AZ518:AZ528" si="636">X518</f>
        <v>0</v>
      </c>
      <c r="BA518" s="19">
        <f t="shared" ref="BA518:BA526" si="637">IF(AZ$533=0,0,AZ518/AZ$533)</f>
        <v>0</v>
      </c>
    </row>
    <row r="519" spans="1:53" ht="17.100000000000001" customHeight="1" x14ac:dyDescent="0.25">
      <c r="A519" s="40"/>
      <c r="B519" s="40"/>
      <c r="C519" s="74" t="s">
        <v>309</v>
      </c>
      <c r="D519" s="146" t="s">
        <v>757</v>
      </c>
      <c r="E519" s="105"/>
      <c r="F519" s="105"/>
      <c r="G519" s="105"/>
      <c r="H519" s="119"/>
      <c r="I519" s="231"/>
      <c r="J519" s="111"/>
      <c r="K519" s="111"/>
      <c r="L519" s="111"/>
      <c r="M519" s="111"/>
      <c r="N519" s="61"/>
      <c r="O519" s="61"/>
      <c r="P519" s="17">
        <f t="shared" si="627"/>
        <v>0</v>
      </c>
      <c r="Q519" s="61"/>
      <c r="R519" s="61"/>
      <c r="S519" s="17">
        <f t="shared" si="628"/>
        <v>0</v>
      </c>
      <c r="T519" s="61"/>
      <c r="U519" s="61"/>
      <c r="V519" s="359">
        <f t="shared" si="629"/>
        <v>0</v>
      </c>
      <c r="W519" s="391">
        <f t="shared" si="630"/>
        <v>0</v>
      </c>
      <c r="X519" s="17">
        <f t="shared" si="631"/>
        <v>0</v>
      </c>
      <c r="Y519" s="18">
        <f t="shared" si="632"/>
        <v>0</v>
      </c>
      <c r="Z519" s="19">
        <f t="shared" si="633"/>
        <v>0</v>
      </c>
      <c r="AA519" s="19"/>
      <c r="AB519" s="19"/>
      <c r="AC519" s="20"/>
      <c r="AE519" s="111"/>
      <c r="AF519" s="111"/>
      <c r="AG519" s="111"/>
      <c r="AH519" s="112"/>
      <c r="AI519" s="113"/>
      <c r="AK519" s="111"/>
      <c r="AL519" s="111"/>
      <c r="AM519" s="111"/>
      <c r="AN519" s="112"/>
      <c r="AO519" s="113"/>
      <c r="AQ519" s="17"/>
      <c r="AR519" s="17"/>
      <c r="AS519" s="17"/>
      <c r="AT519" s="18">
        <f t="shared" si="634"/>
        <v>0</v>
      </c>
      <c r="AU519" s="19">
        <f t="shared" si="635"/>
        <v>0</v>
      </c>
      <c r="AW519" s="17"/>
      <c r="AX519" s="17"/>
      <c r="AY519" s="17"/>
      <c r="AZ519" s="18">
        <f t="shared" si="636"/>
        <v>0</v>
      </c>
      <c r="BA519" s="19">
        <f t="shared" si="637"/>
        <v>0</v>
      </c>
    </row>
    <row r="520" spans="1:53" ht="17.100000000000001" customHeight="1" x14ac:dyDescent="0.25">
      <c r="A520" s="40"/>
      <c r="B520" s="40"/>
      <c r="C520" s="74" t="s">
        <v>489</v>
      </c>
      <c r="D520" s="85" t="s">
        <v>300</v>
      </c>
      <c r="E520" s="105"/>
      <c r="F520" s="105"/>
      <c r="G520" s="105"/>
      <c r="H520" s="119"/>
      <c r="I520" s="231"/>
      <c r="J520" s="111"/>
      <c r="K520" s="111"/>
      <c r="L520" s="111"/>
      <c r="M520" s="111"/>
      <c r="N520" s="60"/>
      <c r="O520" s="60"/>
      <c r="P520" s="17">
        <f t="shared" ref="P520:P521" si="638">SUM(N520:O520)</f>
        <v>0</v>
      </c>
      <c r="Q520" s="60"/>
      <c r="R520" s="60"/>
      <c r="S520" s="17">
        <f t="shared" ref="S520:S521" si="639">SUM(Q520:R520)</f>
        <v>0</v>
      </c>
      <c r="T520" s="60"/>
      <c r="U520" s="60"/>
      <c r="V520" s="359">
        <f t="shared" ref="V520:V521" si="640">SUM(T520:U520)</f>
        <v>0</v>
      </c>
      <c r="W520" s="391">
        <f t="shared" si="630"/>
        <v>0</v>
      </c>
      <c r="X520" s="17">
        <f t="shared" si="631"/>
        <v>0</v>
      </c>
      <c r="Y520" s="18">
        <f t="shared" si="632"/>
        <v>0</v>
      </c>
      <c r="Z520" s="19">
        <f t="shared" si="633"/>
        <v>0</v>
      </c>
      <c r="AA520" s="19"/>
      <c r="AB520" s="19"/>
      <c r="AC520" s="20"/>
      <c r="AE520" s="111"/>
      <c r="AF520" s="111"/>
      <c r="AG520" s="111"/>
      <c r="AH520" s="112"/>
      <c r="AI520" s="113"/>
      <c r="AK520" s="111"/>
      <c r="AL520" s="111"/>
      <c r="AM520" s="111"/>
      <c r="AN520" s="112"/>
      <c r="AO520" s="113"/>
      <c r="AQ520" s="17"/>
      <c r="AR520" s="17"/>
      <c r="AS520" s="17"/>
      <c r="AT520" s="18">
        <f t="shared" si="634"/>
        <v>0</v>
      </c>
      <c r="AU520" s="19">
        <f t="shared" si="635"/>
        <v>0</v>
      </c>
      <c r="AW520" s="17"/>
      <c r="AX520" s="17"/>
      <c r="AY520" s="17"/>
      <c r="AZ520" s="18">
        <f t="shared" si="636"/>
        <v>0</v>
      </c>
      <c r="BA520" s="19">
        <f t="shared" si="637"/>
        <v>0</v>
      </c>
    </row>
    <row r="521" spans="1:53" ht="17.100000000000001" customHeight="1" x14ac:dyDescent="0.25">
      <c r="A521" s="40"/>
      <c r="B521" s="40"/>
      <c r="C521" s="74" t="s">
        <v>621</v>
      </c>
      <c r="D521" s="85" t="s">
        <v>670</v>
      </c>
      <c r="E521" s="105"/>
      <c r="F521" s="105"/>
      <c r="G521" s="105"/>
      <c r="H521" s="119"/>
      <c r="I521" s="231"/>
      <c r="J521" s="111"/>
      <c r="K521" s="111"/>
      <c r="L521" s="111"/>
      <c r="M521" s="111"/>
      <c r="N521" s="61"/>
      <c r="O521" s="61"/>
      <c r="P521" s="17">
        <f t="shared" si="638"/>
        <v>0</v>
      </c>
      <c r="Q521" s="61"/>
      <c r="R521" s="61"/>
      <c r="S521" s="17">
        <f t="shared" si="639"/>
        <v>0</v>
      </c>
      <c r="T521" s="61"/>
      <c r="U521" s="61"/>
      <c r="V521" s="359">
        <f t="shared" si="640"/>
        <v>0</v>
      </c>
      <c r="W521" s="391">
        <f t="shared" si="630"/>
        <v>0</v>
      </c>
      <c r="X521" s="17">
        <f t="shared" si="631"/>
        <v>0</v>
      </c>
      <c r="Y521" s="18">
        <f t="shared" si="632"/>
        <v>0</v>
      </c>
      <c r="Z521" s="19">
        <f t="shared" si="633"/>
        <v>0</v>
      </c>
      <c r="AA521" s="19"/>
      <c r="AB521" s="19"/>
      <c r="AC521" s="20"/>
      <c r="AE521" s="111"/>
      <c r="AF521" s="111"/>
      <c r="AG521" s="111"/>
      <c r="AH521" s="112"/>
      <c r="AI521" s="113"/>
      <c r="AK521" s="111"/>
      <c r="AL521" s="111"/>
      <c r="AM521" s="111"/>
      <c r="AN521" s="112"/>
      <c r="AO521" s="113"/>
      <c r="AQ521" s="17"/>
      <c r="AR521" s="17"/>
      <c r="AS521" s="17"/>
      <c r="AT521" s="18">
        <f t="shared" si="634"/>
        <v>0</v>
      </c>
      <c r="AU521" s="19">
        <f t="shared" si="635"/>
        <v>0</v>
      </c>
      <c r="AW521" s="17"/>
      <c r="AX521" s="17"/>
      <c r="AY521" s="17"/>
      <c r="AZ521" s="18">
        <f t="shared" si="636"/>
        <v>0</v>
      </c>
      <c r="BA521" s="19">
        <f t="shared" si="637"/>
        <v>0</v>
      </c>
    </row>
    <row r="522" spans="1:53" ht="17.100000000000001" customHeight="1" x14ac:dyDescent="0.25">
      <c r="A522" s="40"/>
      <c r="B522" s="40"/>
      <c r="C522" s="74" t="s">
        <v>622</v>
      </c>
      <c r="D522" s="85" t="s">
        <v>671</v>
      </c>
      <c r="E522" s="105"/>
      <c r="F522" s="105"/>
      <c r="G522" s="105"/>
      <c r="H522" s="119"/>
      <c r="I522" s="231"/>
      <c r="J522" s="111"/>
      <c r="K522" s="111"/>
      <c r="L522" s="111"/>
      <c r="M522" s="111"/>
      <c r="N522" s="60"/>
      <c r="O522" s="60"/>
      <c r="P522" s="17">
        <f t="shared" si="627"/>
        <v>0</v>
      </c>
      <c r="Q522" s="60"/>
      <c r="R522" s="60"/>
      <c r="S522" s="17">
        <f t="shared" si="628"/>
        <v>0</v>
      </c>
      <c r="T522" s="60"/>
      <c r="U522" s="60"/>
      <c r="V522" s="359">
        <f t="shared" si="629"/>
        <v>0</v>
      </c>
      <c r="W522" s="391">
        <f t="shared" si="630"/>
        <v>0</v>
      </c>
      <c r="X522" s="17">
        <f t="shared" si="631"/>
        <v>0</v>
      </c>
      <c r="Y522" s="18">
        <f t="shared" si="632"/>
        <v>0</v>
      </c>
      <c r="Z522" s="19">
        <f t="shared" si="633"/>
        <v>0</v>
      </c>
      <c r="AA522" s="19"/>
      <c r="AB522" s="19"/>
      <c r="AC522" s="20"/>
      <c r="AE522" s="111"/>
      <c r="AF522" s="111"/>
      <c r="AG522" s="111"/>
      <c r="AH522" s="112"/>
      <c r="AI522" s="113"/>
      <c r="AK522" s="111"/>
      <c r="AL522" s="111"/>
      <c r="AM522" s="111"/>
      <c r="AN522" s="112"/>
      <c r="AO522" s="113"/>
      <c r="AQ522" s="17"/>
      <c r="AR522" s="17"/>
      <c r="AS522" s="17"/>
      <c r="AT522" s="18">
        <f t="shared" si="634"/>
        <v>0</v>
      </c>
      <c r="AU522" s="19">
        <f t="shared" si="635"/>
        <v>0</v>
      </c>
      <c r="AW522" s="17"/>
      <c r="AX522" s="17"/>
      <c r="AY522" s="17"/>
      <c r="AZ522" s="18">
        <f t="shared" si="636"/>
        <v>0</v>
      </c>
      <c r="BA522" s="19">
        <f t="shared" si="637"/>
        <v>0</v>
      </c>
    </row>
    <row r="523" spans="1:53" ht="17.100000000000001" customHeight="1" x14ac:dyDescent="0.25">
      <c r="A523" s="40"/>
      <c r="B523" s="40"/>
      <c r="C523" s="74" t="s">
        <v>623</v>
      </c>
      <c r="D523" s="85" t="s">
        <v>302</v>
      </c>
      <c r="E523" s="105"/>
      <c r="F523" s="105"/>
      <c r="G523" s="105"/>
      <c r="H523" s="119"/>
      <c r="I523" s="231"/>
      <c r="J523" s="111"/>
      <c r="K523" s="111"/>
      <c r="L523" s="111"/>
      <c r="M523" s="111"/>
      <c r="N523" s="61"/>
      <c r="O523" s="61"/>
      <c r="P523" s="17">
        <f t="shared" si="627"/>
        <v>0</v>
      </c>
      <c r="Q523" s="61"/>
      <c r="R523" s="61"/>
      <c r="S523" s="17">
        <f t="shared" si="628"/>
        <v>0</v>
      </c>
      <c r="T523" s="61"/>
      <c r="U523" s="61"/>
      <c r="V523" s="359">
        <f t="shared" si="629"/>
        <v>0</v>
      </c>
      <c r="W523" s="391">
        <f t="shared" si="630"/>
        <v>0</v>
      </c>
      <c r="X523" s="17">
        <f t="shared" si="631"/>
        <v>0</v>
      </c>
      <c r="Y523" s="18">
        <f t="shared" si="632"/>
        <v>0</v>
      </c>
      <c r="Z523" s="19">
        <f t="shared" si="633"/>
        <v>0</v>
      </c>
      <c r="AA523" s="19"/>
      <c r="AB523" s="19"/>
      <c r="AC523" s="20"/>
      <c r="AE523" s="111"/>
      <c r="AF523" s="111"/>
      <c r="AG523" s="111"/>
      <c r="AH523" s="112"/>
      <c r="AI523" s="113"/>
      <c r="AK523" s="111"/>
      <c r="AL523" s="111"/>
      <c r="AM523" s="111"/>
      <c r="AN523" s="112"/>
      <c r="AO523" s="113"/>
      <c r="AQ523" s="17"/>
      <c r="AR523" s="17"/>
      <c r="AS523" s="17"/>
      <c r="AT523" s="18">
        <f t="shared" si="634"/>
        <v>0</v>
      </c>
      <c r="AU523" s="19">
        <f t="shared" si="635"/>
        <v>0</v>
      </c>
      <c r="AW523" s="17"/>
      <c r="AX523" s="17"/>
      <c r="AY523" s="17"/>
      <c r="AZ523" s="18">
        <f t="shared" si="636"/>
        <v>0</v>
      </c>
      <c r="BA523" s="19">
        <f t="shared" si="637"/>
        <v>0</v>
      </c>
    </row>
    <row r="524" spans="1:53" ht="17.100000000000001" customHeight="1" x14ac:dyDescent="0.25">
      <c r="A524" s="40"/>
      <c r="B524" s="40"/>
      <c r="C524" s="74" t="s">
        <v>624</v>
      </c>
      <c r="D524" s="85" t="s">
        <v>487</v>
      </c>
      <c r="E524" s="75"/>
      <c r="F524" s="75"/>
      <c r="G524" s="75"/>
      <c r="H524" s="540"/>
      <c r="I524" s="229"/>
      <c r="J524" s="111"/>
      <c r="K524" s="111"/>
      <c r="L524" s="111"/>
      <c r="M524" s="111"/>
      <c r="N524" s="60"/>
      <c r="O524" s="60"/>
      <c r="P524" s="17">
        <f t="shared" si="627"/>
        <v>0</v>
      </c>
      <c r="Q524" s="60"/>
      <c r="R524" s="60"/>
      <c r="S524" s="17">
        <f t="shared" si="628"/>
        <v>0</v>
      </c>
      <c r="T524" s="60"/>
      <c r="U524" s="60"/>
      <c r="V524" s="359">
        <f t="shared" si="629"/>
        <v>0</v>
      </c>
      <c r="W524" s="391">
        <f t="shared" si="630"/>
        <v>0</v>
      </c>
      <c r="X524" s="17">
        <f t="shared" si="631"/>
        <v>0</v>
      </c>
      <c r="Y524" s="18">
        <f t="shared" si="632"/>
        <v>0</v>
      </c>
      <c r="Z524" s="19">
        <f t="shared" si="633"/>
        <v>0</v>
      </c>
      <c r="AA524" s="19"/>
      <c r="AB524" s="19"/>
      <c r="AC524" s="20"/>
      <c r="AE524" s="111"/>
      <c r="AF524" s="111"/>
      <c r="AG524" s="111"/>
      <c r="AH524" s="112"/>
      <c r="AI524" s="113"/>
      <c r="AK524" s="111"/>
      <c r="AL524" s="111"/>
      <c r="AM524" s="111"/>
      <c r="AN524" s="112"/>
      <c r="AO524" s="113"/>
      <c r="AQ524" s="17"/>
      <c r="AR524" s="17"/>
      <c r="AS524" s="17"/>
      <c r="AT524" s="18">
        <f t="shared" si="634"/>
        <v>0</v>
      </c>
      <c r="AU524" s="19">
        <f t="shared" si="635"/>
        <v>0</v>
      </c>
      <c r="AW524" s="17"/>
      <c r="AX524" s="17"/>
      <c r="AY524" s="17"/>
      <c r="AZ524" s="18">
        <f t="shared" si="636"/>
        <v>0</v>
      </c>
      <c r="BA524" s="19">
        <f t="shared" si="637"/>
        <v>0</v>
      </c>
    </row>
    <row r="525" spans="1:53" ht="17.100000000000001" customHeight="1" x14ac:dyDescent="0.25">
      <c r="A525" s="40"/>
      <c r="B525" s="40"/>
      <c r="C525" s="74" t="s">
        <v>625</v>
      </c>
      <c r="D525" s="85" t="s">
        <v>488</v>
      </c>
      <c r="E525" s="542"/>
      <c r="F525" s="105"/>
      <c r="G525" s="105"/>
      <c r="H525" s="119"/>
      <c r="I525" s="231"/>
      <c r="J525" s="111"/>
      <c r="K525" s="111"/>
      <c r="L525" s="111"/>
      <c r="M525" s="111"/>
      <c r="N525" s="61"/>
      <c r="O525" s="61"/>
      <c r="P525" s="17">
        <f t="shared" si="627"/>
        <v>0</v>
      </c>
      <c r="Q525" s="61"/>
      <c r="R525" s="61"/>
      <c r="S525" s="17">
        <f t="shared" si="628"/>
        <v>0</v>
      </c>
      <c r="T525" s="61"/>
      <c r="U525" s="61"/>
      <c r="V525" s="359">
        <f t="shared" si="629"/>
        <v>0</v>
      </c>
      <c r="W525" s="391">
        <f t="shared" si="630"/>
        <v>0</v>
      </c>
      <c r="X525" s="17">
        <f t="shared" si="631"/>
        <v>0</v>
      </c>
      <c r="Y525" s="18">
        <f t="shared" si="632"/>
        <v>0</v>
      </c>
      <c r="Z525" s="19">
        <f t="shared" si="633"/>
        <v>0</v>
      </c>
      <c r="AA525" s="19"/>
      <c r="AB525" s="19"/>
      <c r="AC525" s="20"/>
      <c r="AE525" s="111"/>
      <c r="AF525" s="111"/>
      <c r="AG525" s="111"/>
      <c r="AH525" s="112"/>
      <c r="AI525" s="113"/>
      <c r="AK525" s="111"/>
      <c r="AL525" s="111"/>
      <c r="AM525" s="111"/>
      <c r="AN525" s="112"/>
      <c r="AO525" s="113"/>
      <c r="AQ525" s="17"/>
      <c r="AR525" s="17"/>
      <c r="AS525" s="17"/>
      <c r="AT525" s="18">
        <f t="shared" si="634"/>
        <v>0</v>
      </c>
      <c r="AU525" s="19">
        <f t="shared" si="635"/>
        <v>0</v>
      </c>
      <c r="AW525" s="17"/>
      <c r="AX525" s="17"/>
      <c r="AY525" s="17"/>
      <c r="AZ525" s="18">
        <f t="shared" si="636"/>
        <v>0</v>
      </c>
      <c r="BA525" s="19">
        <f t="shared" si="637"/>
        <v>0</v>
      </c>
    </row>
    <row r="526" spans="1:53" ht="17.100000000000001" customHeight="1" x14ac:dyDescent="0.25">
      <c r="A526" s="40"/>
      <c r="B526" s="40"/>
      <c r="C526" s="74" t="s">
        <v>668</v>
      </c>
      <c r="D526" s="85" t="s">
        <v>304</v>
      </c>
      <c r="E526" s="542"/>
      <c r="F526" s="105"/>
      <c r="G526" s="105"/>
      <c r="H526" s="119"/>
      <c r="I526" s="231"/>
      <c r="J526" s="111"/>
      <c r="K526" s="111"/>
      <c r="L526" s="111"/>
      <c r="M526" s="111"/>
      <c r="N526" s="60"/>
      <c r="O526" s="60"/>
      <c r="P526" s="17">
        <f t="shared" si="627"/>
        <v>0</v>
      </c>
      <c r="Q526" s="60"/>
      <c r="R526" s="60"/>
      <c r="S526" s="17">
        <f t="shared" si="628"/>
        <v>0</v>
      </c>
      <c r="T526" s="60"/>
      <c r="U526" s="60"/>
      <c r="V526" s="359">
        <f t="shared" si="629"/>
        <v>0</v>
      </c>
      <c r="W526" s="391">
        <f t="shared" si="630"/>
        <v>0</v>
      </c>
      <c r="X526" s="17">
        <f t="shared" si="631"/>
        <v>0</v>
      </c>
      <c r="Y526" s="18">
        <f t="shared" si="632"/>
        <v>0</v>
      </c>
      <c r="Z526" s="19">
        <f t="shared" si="633"/>
        <v>0</v>
      </c>
      <c r="AA526" s="19"/>
      <c r="AB526" s="19"/>
      <c r="AC526" s="20"/>
      <c r="AE526" s="111"/>
      <c r="AF526" s="111"/>
      <c r="AG526" s="111"/>
      <c r="AH526" s="112"/>
      <c r="AI526" s="113"/>
      <c r="AK526" s="111"/>
      <c r="AL526" s="111"/>
      <c r="AM526" s="111"/>
      <c r="AN526" s="112"/>
      <c r="AO526" s="113"/>
      <c r="AQ526" s="17"/>
      <c r="AR526" s="17"/>
      <c r="AS526" s="17"/>
      <c r="AT526" s="18">
        <f t="shared" si="634"/>
        <v>0</v>
      </c>
      <c r="AU526" s="19">
        <f t="shared" si="635"/>
        <v>0</v>
      </c>
      <c r="AW526" s="17"/>
      <c r="AX526" s="17"/>
      <c r="AY526" s="17"/>
      <c r="AZ526" s="18">
        <f t="shared" si="636"/>
        <v>0</v>
      </c>
      <c r="BA526" s="19">
        <f t="shared" si="637"/>
        <v>0</v>
      </c>
    </row>
    <row r="527" spans="1:53" ht="17.100000000000001" customHeight="1" x14ac:dyDescent="0.25">
      <c r="A527" s="40"/>
      <c r="B527" s="40"/>
      <c r="C527" s="74" t="s">
        <v>669</v>
      </c>
      <c r="D527" s="85" t="s">
        <v>758</v>
      </c>
      <c r="E527" s="542"/>
      <c r="F527" s="105"/>
      <c r="G527" s="105"/>
      <c r="H527" s="119"/>
      <c r="I527" s="231"/>
      <c r="J527" s="111"/>
      <c r="K527" s="111"/>
      <c r="L527" s="111"/>
      <c r="M527" s="111"/>
      <c r="N527" s="61"/>
      <c r="O527" s="61"/>
      <c r="P527" s="17">
        <f t="shared" ref="P527" si="641">SUM(N527:O527)</f>
        <v>0</v>
      </c>
      <c r="Q527" s="61"/>
      <c r="R527" s="61"/>
      <c r="S527" s="17">
        <f t="shared" ref="S527" si="642">SUM(Q527:R527)</f>
        <v>0</v>
      </c>
      <c r="T527" s="61"/>
      <c r="U527" s="61"/>
      <c r="V527" s="359">
        <f t="shared" ref="V527" si="643">SUM(T527:U527)</f>
        <v>0</v>
      </c>
      <c r="W527" s="391">
        <f t="shared" si="630"/>
        <v>0</v>
      </c>
      <c r="X527" s="17">
        <f t="shared" si="631"/>
        <v>0</v>
      </c>
      <c r="Y527" s="18">
        <f t="shared" si="632"/>
        <v>0</v>
      </c>
      <c r="Z527" s="19">
        <f t="shared" si="633"/>
        <v>0</v>
      </c>
      <c r="AA527" s="19"/>
      <c r="AB527" s="19"/>
      <c r="AC527" s="20"/>
      <c r="AE527" s="111"/>
      <c r="AF527" s="111"/>
      <c r="AG527" s="111"/>
      <c r="AH527" s="112"/>
      <c r="AI527" s="113"/>
      <c r="AK527" s="111"/>
      <c r="AL527" s="111"/>
      <c r="AM527" s="111"/>
      <c r="AN527" s="112"/>
      <c r="AO527" s="113"/>
      <c r="AQ527" s="17"/>
      <c r="AR527" s="17"/>
      <c r="AS527" s="17"/>
      <c r="AT527" s="18"/>
      <c r="AU527" s="19"/>
      <c r="AW527" s="17"/>
      <c r="AX527" s="17"/>
      <c r="AY527" s="17"/>
      <c r="AZ527" s="18"/>
      <c r="BA527" s="19"/>
    </row>
    <row r="528" spans="1:53" ht="17.100000000000001" customHeight="1" x14ac:dyDescent="0.25">
      <c r="A528" s="40"/>
      <c r="B528" s="40"/>
      <c r="C528" s="74" t="s">
        <v>756</v>
      </c>
      <c r="D528" s="85" t="s">
        <v>305</v>
      </c>
      <c r="E528" s="542"/>
      <c r="F528" s="105"/>
      <c r="G528" s="105"/>
      <c r="H528" s="119"/>
      <c r="I528" s="231"/>
      <c r="J528" s="111"/>
      <c r="K528" s="111"/>
      <c r="L528" s="111"/>
      <c r="M528" s="111"/>
      <c r="N528" s="111">
        <f t="shared" ref="N528:U528" si="644">SUM(N529:N532)</f>
        <v>0</v>
      </c>
      <c r="O528" s="111">
        <f t="shared" si="644"/>
        <v>0</v>
      </c>
      <c r="P528" s="111">
        <f t="shared" si="627"/>
        <v>0</v>
      </c>
      <c r="Q528" s="111">
        <f t="shared" si="644"/>
        <v>0</v>
      </c>
      <c r="R528" s="111">
        <f t="shared" si="644"/>
        <v>0</v>
      </c>
      <c r="S528" s="111">
        <f t="shared" si="628"/>
        <v>0</v>
      </c>
      <c r="T528" s="111">
        <f t="shared" si="644"/>
        <v>0</v>
      </c>
      <c r="U528" s="111">
        <f t="shared" si="644"/>
        <v>0</v>
      </c>
      <c r="V528" s="358">
        <f t="shared" si="629"/>
        <v>0</v>
      </c>
      <c r="W528" s="380">
        <f t="shared" si="630"/>
        <v>0</v>
      </c>
      <c r="X528" s="111">
        <f t="shared" si="631"/>
        <v>0</v>
      </c>
      <c r="Y528" s="545">
        <f t="shared" si="632"/>
        <v>0</v>
      </c>
      <c r="Z528" s="131">
        <f t="shared" si="633"/>
        <v>0</v>
      </c>
      <c r="AA528" s="131"/>
      <c r="AB528" s="131"/>
      <c r="AC528" s="113"/>
      <c r="AE528" s="111"/>
      <c r="AF528" s="111"/>
      <c r="AG528" s="111"/>
      <c r="AH528" s="112"/>
      <c r="AI528" s="113"/>
      <c r="AK528" s="111"/>
      <c r="AL528" s="111"/>
      <c r="AM528" s="111"/>
      <c r="AN528" s="112"/>
      <c r="AO528" s="113"/>
      <c r="AQ528" s="111"/>
      <c r="AR528" s="111"/>
      <c r="AS528" s="111"/>
      <c r="AT528" s="545">
        <f t="shared" si="634"/>
        <v>0</v>
      </c>
      <c r="AU528" s="131">
        <f>IF(AT$533=0,0,AT528/AT$533)</f>
        <v>0</v>
      </c>
      <c r="AW528" s="111"/>
      <c r="AX528" s="111"/>
      <c r="AY528" s="111"/>
      <c r="AZ528" s="545">
        <f t="shared" si="636"/>
        <v>0</v>
      </c>
      <c r="BA528" s="131">
        <f>IF(AZ$533=0,0,AZ528/AZ$533)</f>
        <v>0</v>
      </c>
    </row>
    <row r="529" spans="1:53" ht="17.100000000000001" customHeight="1" x14ac:dyDescent="0.25">
      <c r="A529" s="40"/>
      <c r="B529" s="40"/>
      <c r="C529" s="74"/>
      <c r="D529" s="168"/>
      <c r="E529" s="169"/>
      <c r="F529" s="169"/>
      <c r="G529" s="169"/>
      <c r="H529" s="17"/>
      <c r="I529" s="594"/>
      <c r="J529" s="111"/>
      <c r="K529" s="111"/>
      <c r="L529" s="111"/>
      <c r="M529" s="111"/>
      <c r="N529" s="60"/>
      <c r="O529" s="60"/>
      <c r="P529" s="17"/>
      <c r="Q529" s="60"/>
      <c r="R529" s="60"/>
      <c r="S529" s="17"/>
      <c r="T529" s="60"/>
      <c r="U529" s="60"/>
      <c r="V529" s="359"/>
      <c r="W529" s="391"/>
      <c r="X529" s="17"/>
      <c r="Y529" s="86"/>
      <c r="Z529" s="20"/>
      <c r="AA529" s="20"/>
      <c r="AB529" s="20"/>
      <c r="AC529" s="20"/>
      <c r="AE529" s="17"/>
      <c r="AF529" s="17"/>
      <c r="AG529" s="17"/>
      <c r="AH529" s="86"/>
      <c r="AI529" s="20"/>
      <c r="AK529" s="17"/>
      <c r="AL529" s="17"/>
      <c r="AM529" s="17"/>
      <c r="AN529" s="86"/>
      <c r="AO529" s="20"/>
      <c r="AQ529" s="17"/>
      <c r="AR529" s="17"/>
      <c r="AS529" s="17"/>
      <c r="AT529" s="86"/>
      <c r="AU529" s="20"/>
      <c r="AW529" s="17"/>
      <c r="AX529" s="17"/>
      <c r="AY529" s="17"/>
      <c r="AZ529" s="86"/>
      <c r="BA529" s="20"/>
    </row>
    <row r="530" spans="1:53" ht="17.100000000000001" customHeight="1" x14ac:dyDescent="0.25">
      <c r="A530" s="40"/>
      <c r="B530" s="40"/>
      <c r="C530" s="74"/>
      <c r="D530" s="170"/>
      <c r="E530" s="171"/>
      <c r="F530" s="171"/>
      <c r="G530" s="171"/>
      <c r="H530" s="17"/>
      <c r="I530" s="594"/>
      <c r="J530" s="111"/>
      <c r="K530" s="111"/>
      <c r="L530" s="111"/>
      <c r="M530" s="111"/>
      <c r="N530" s="61"/>
      <c r="O530" s="61"/>
      <c r="P530" s="17"/>
      <c r="Q530" s="61"/>
      <c r="R530" s="61"/>
      <c r="S530" s="17"/>
      <c r="T530" s="61"/>
      <c r="U530" s="61"/>
      <c r="V530" s="359"/>
      <c r="W530" s="391"/>
      <c r="X530" s="17"/>
      <c r="Y530" s="86"/>
      <c r="Z530" s="20"/>
      <c r="AA530" s="20"/>
      <c r="AB530" s="20"/>
      <c r="AC530" s="20"/>
      <c r="AE530" s="17"/>
      <c r="AF530" s="17"/>
      <c r="AG530" s="17"/>
      <c r="AH530" s="86"/>
      <c r="AI530" s="20"/>
      <c r="AK530" s="17"/>
      <c r="AL530" s="17"/>
      <c r="AM530" s="17"/>
      <c r="AN530" s="86"/>
      <c r="AO530" s="20"/>
      <c r="AQ530" s="17"/>
      <c r="AR530" s="17"/>
      <c r="AS530" s="17"/>
      <c r="AT530" s="86"/>
      <c r="AU530" s="20"/>
      <c r="AW530" s="17"/>
      <c r="AX530" s="17"/>
      <c r="AY530" s="17"/>
      <c r="AZ530" s="86"/>
      <c r="BA530" s="20"/>
    </row>
    <row r="531" spans="1:53" ht="17.100000000000001" customHeight="1" x14ac:dyDescent="0.25">
      <c r="A531" s="40"/>
      <c r="B531" s="40"/>
      <c r="C531" s="74"/>
      <c r="D531" s="168"/>
      <c r="E531" s="169"/>
      <c r="F531" s="169"/>
      <c r="G531" s="169"/>
      <c r="H531" s="17"/>
      <c r="I531" s="594"/>
      <c r="J531" s="111"/>
      <c r="K531" s="111"/>
      <c r="L531" s="111"/>
      <c r="M531" s="111"/>
      <c r="N531" s="60"/>
      <c r="O531" s="60"/>
      <c r="P531" s="17"/>
      <c r="Q531" s="60"/>
      <c r="R531" s="60"/>
      <c r="S531" s="17"/>
      <c r="T531" s="60"/>
      <c r="U531" s="60"/>
      <c r="V531" s="359"/>
      <c r="W531" s="391"/>
      <c r="X531" s="17"/>
      <c r="Y531" s="86"/>
      <c r="Z531" s="20"/>
      <c r="AA531" s="20"/>
      <c r="AB531" s="20"/>
      <c r="AC531" s="20"/>
      <c r="AE531" s="17"/>
      <c r="AF531" s="17"/>
      <c r="AG531" s="17"/>
      <c r="AH531" s="86"/>
      <c r="AI531" s="20"/>
      <c r="AK531" s="17"/>
      <c r="AL531" s="17"/>
      <c r="AM531" s="17"/>
      <c r="AN531" s="86"/>
      <c r="AO531" s="20"/>
      <c r="AQ531" s="17"/>
      <c r="AR531" s="17"/>
      <c r="AS531" s="17"/>
      <c r="AT531" s="86"/>
      <c r="AU531" s="20"/>
      <c r="AW531" s="17"/>
      <c r="AX531" s="17"/>
      <c r="AY531" s="17"/>
      <c r="AZ531" s="86"/>
      <c r="BA531" s="20"/>
    </row>
    <row r="532" spans="1:53" ht="17.100000000000001" customHeight="1" x14ac:dyDescent="0.25">
      <c r="A532" s="40"/>
      <c r="B532" s="40"/>
      <c r="C532" s="74"/>
      <c r="D532" s="170"/>
      <c r="E532" s="171"/>
      <c r="F532" s="171"/>
      <c r="G532" s="171"/>
      <c r="H532" s="17"/>
      <c r="I532" s="594"/>
      <c r="J532" s="111"/>
      <c r="K532" s="111"/>
      <c r="L532" s="111"/>
      <c r="M532" s="111"/>
      <c r="N532" s="61"/>
      <c r="O532" s="61"/>
      <c r="P532" s="17"/>
      <c r="Q532" s="61"/>
      <c r="R532" s="61"/>
      <c r="S532" s="17"/>
      <c r="T532" s="61"/>
      <c r="U532" s="61"/>
      <c r="V532" s="359"/>
      <c r="W532" s="391"/>
      <c r="X532" s="17"/>
      <c r="Y532" s="86"/>
      <c r="Z532" s="20"/>
      <c r="AA532" s="20"/>
      <c r="AB532" s="20"/>
      <c r="AC532" s="20"/>
      <c r="AE532" s="17"/>
      <c r="AF532" s="17"/>
      <c r="AG532" s="17"/>
      <c r="AH532" s="86"/>
      <c r="AI532" s="20"/>
      <c r="AK532" s="17"/>
      <c r="AL532" s="17"/>
      <c r="AM532" s="17"/>
      <c r="AN532" s="86"/>
      <c r="AO532" s="20"/>
      <c r="AQ532" s="17"/>
      <c r="AR532" s="17"/>
      <c r="AS532" s="17"/>
      <c r="AT532" s="86"/>
      <c r="AU532" s="20"/>
      <c r="AW532" s="17"/>
      <c r="AX532" s="17"/>
      <c r="AY532" s="17"/>
      <c r="AZ532" s="86"/>
      <c r="BA532" s="20"/>
    </row>
    <row r="533" spans="1:53" ht="17.100000000000001" customHeight="1" x14ac:dyDescent="0.25">
      <c r="A533" s="40"/>
      <c r="B533" s="40"/>
      <c r="C533" s="77"/>
      <c r="D533" s="134"/>
      <c r="E533" s="134"/>
      <c r="F533" s="134"/>
      <c r="G533" s="134"/>
      <c r="H533" s="540"/>
      <c r="I533" s="229"/>
      <c r="J533" s="80"/>
      <c r="K533" s="80"/>
      <c r="L533" s="81"/>
      <c r="M533" s="81"/>
      <c r="N533" s="81">
        <f>SUM(N518:N528)</f>
        <v>0</v>
      </c>
      <c r="O533" s="81">
        <f t="shared" ref="O533:V533" si="645">SUM(O518:O528)</f>
        <v>0</v>
      </c>
      <c r="P533" s="82">
        <f t="shared" si="645"/>
        <v>0</v>
      </c>
      <c r="Q533" s="81">
        <f>SUM(Q518:Q528)</f>
        <v>0</v>
      </c>
      <c r="R533" s="81">
        <f t="shared" si="645"/>
        <v>0</v>
      </c>
      <c r="S533" s="82">
        <f t="shared" si="645"/>
        <v>0</v>
      </c>
      <c r="T533" s="81">
        <f>SUM(T518:T528)</f>
        <v>0</v>
      </c>
      <c r="U533" s="81">
        <f t="shared" si="645"/>
        <v>0</v>
      </c>
      <c r="V533" s="360">
        <f t="shared" si="645"/>
        <v>0</v>
      </c>
      <c r="W533" s="381">
        <f>SUM(W518:W528)</f>
        <v>0</v>
      </c>
      <c r="X533" s="82">
        <f t="shared" ref="X533:Y533" si="646">SUM(X518:X528)</f>
        <v>0</v>
      </c>
      <c r="Y533" s="82">
        <f t="shared" si="646"/>
        <v>0</v>
      </c>
      <c r="Z533" s="205">
        <f t="shared" ref="Z533" si="647">IF(Y$533=0,0,Y533/Y$533)</f>
        <v>0</v>
      </c>
      <c r="AA533" s="205"/>
      <c r="AB533" s="205"/>
      <c r="AC533" s="83"/>
      <c r="AE533" s="80"/>
      <c r="AF533" s="80"/>
      <c r="AG533" s="81"/>
      <c r="AH533" s="82"/>
      <c r="AI533" s="66"/>
      <c r="AK533" s="80"/>
      <c r="AL533" s="80"/>
      <c r="AM533" s="81"/>
      <c r="AN533" s="82"/>
      <c r="AO533" s="66"/>
      <c r="AQ533" s="80"/>
      <c r="AR533" s="80"/>
      <c r="AS533" s="81"/>
      <c r="AT533" s="82">
        <f>SUM(AT518:AT528)</f>
        <v>0</v>
      </c>
      <c r="AU533" s="66">
        <f>IF(AT$533=0,0,AT533/AT$533)</f>
        <v>0</v>
      </c>
      <c r="AW533" s="80"/>
      <c r="AX533" s="80"/>
      <c r="AY533" s="81"/>
      <c r="AZ533" s="82">
        <f>SUM(AZ518:AZ528)</f>
        <v>0</v>
      </c>
      <c r="BA533" s="66">
        <f>IF(AZ$533=0,0,AZ533/AZ$533)</f>
        <v>0</v>
      </c>
    </row>
    <row r="534" spans="1:53" ht="17.100000000000001" customHeight="1" x14ac:dyDescent="0.25">
      <c r="A534" s="68"/>
      <c r="B534" s="41" t="s">
        <v>310</v>
      </c>
      <c r="C534" s="49" t="s">
        <v>307</v>
      </c>
      <c r="D534" s="50"/>
      <c r="E534" s="70"/>
      <c r="F534" s="70"/>
      <c r="G534" s="70"/>
      <c r="H534" s="119"/>
      <c r="J534" s="71"/>
      <c r="K534" s="71"/>
      <c r="L534" s="71"/>
      <c r="M534" s="71"/>
      <c r="N534" s="71"/>
      <c r="O534" s="71"/>
      <c r="P534" s="71"/>
      <c r="Q534" s="71"/>
      <c r="R534" s="71"/>
      <c r="S534" s="71"/>
      <c r="T534" s="71"/>
      <c r="U534" s="71"/>
      <c r="V534" s="355"/>
      <c r="W534" s="377"/>
      <c r="X534" s="71"/>
      <c r="Y534" s="72"/>
      <c r="Z534" s="73"/>
      <c r="AA534" s="73"/>
      <c r="AB534" s="73"/>
      <c r="AC534" s="73"/>
      <c r="AE534" s="71"/>
      <c r="AF534" s="71"/>
      <c r="AG534" s="71"/>
      <c r="AH534" s="72"/>
      <c r="AI534" s="73"/>
      <c r="AK534" s="71"/>
      <c r="AL534" s="71"/>
      <c r="AM534" s="71"/>
      <c r="AN534" s="72"/>
      <c r="AO534" s="73"/>
      <c r="AQ534" s="71"/>
      <c r="AR534" s="71"/>
      <c r="AS534" s="71"/>
      <c r="AT534" s="72"/>
      <c r="AU534" s="73"/>
      <c r="AW534" s="71"/>
      <c r="AX534" s="71"/>
      <c r="AY534" s="71"/>
      <c r="AZ534" s="72"/>
      <c r="BA534" s="73"/>
    </row>
    <row r="535" spans="1:53" ht="17.100000000000001" customHeight="1" x14ac:dyDescent="0.25">
      <c r="A535" s="119"/>
      <c r="B535" s="119"/>
      <c r="C535" s="56" t="s">
        <v>311</v>
      </c>
      <c r="D535" s="146" t="s">
        <v>9</v>
      </c>
      <c r="E535" s="105"/>
      <c r="F535" s="105"/>
      <c r="G535" s="105"/>
      <c r="H535" s="119"/>
      <c r="I535" s="231"/>
      <c r="J535" s="111"/>
      <c r="K535" s="111"/>
      <c r="L535" s="111"/>
      <c r="M535" s="111"/>
      <c r="N535" s="60"/>
      <c r="O535" s="60"/>
      <c r="P535" s="17">
        <f t="shared" ref="P535:P537" si="648">SUM(N535:O535)</f>
        <v>0</v>
      </c>
      <c r="Q535" s="60"/>
      <c r="R535" s="60"/>
      <c r="S535" s="17">
        <f t="shared" ref="S535:S537" si="649">SUM(Q535:R535)</f>
        <v>0</v>
      </c>
      <c r="T535" s="60"/>
      <c r="U535" s="60"/>
      <c r="V535" s="359">
        <f t="shared" ref="V535:V537" si="650">SUM(T535:U535)</f>
        <v>0</v>
      </c>
      <c r="W535" s="391">
        <f t="shared" ref="W535:W537" si="651">J535+K535+N535+Q535+T535</f>
        <v>0</v>
      </c>
      <c r="X535" s="17">
        <f t="shared" ref="X535:X537" si="652">L535+O535+R535+U535</f>
        <v>0</v>
      </c>
      <c r="Y535" s="18">
        <f>SUM(W535:X535)</f>
        <v>0</v>
      </c>
      <c r="Z535" s="19">
        <f>IF(Y$538=0,0,Y535/Y$538)</f>
        <v>0</v>
      </c>
      <c r="AA535" s="19"/>
      <c r="AB535" s="19"/>
      <c r="AC535" s="20"/>
      <c r="AE535" s="111"/>
      <c r="AF535" s="111"/>
      <c r="AG535" s="111"/>
      <c r="AH535" s="112"/>
      <c r="AI535" s="113"/>
      <c r="AK535" s="111"/>
      <c r="AL535" s="111"/>
      <c r="AM535" s="111"/>
      <c r="AN535" s="112"/>
      <c r="AO535" s="113"/>
      <c r="AQ535" s="17"/>
      <c r="AR535" s="17"/>
      <c r="AS535" s="17"/>
      <c r="AT535" s="18">
        <f t="shared" ref="AT535:AT537" si="653">W535</f>
        <v>0</v>
      </c>
      <c r="AU535" s="19">
        <f>IF(AT$538=0,0,AT535/AT$538)</f>
        <v>0</v>
      </c>
      <c r="AW535" s="17"/>
      <c r="AX535" s="17"/>
      <c r="AY535" s="17"/>
      <c r="AZ535" s="18">
        <f t="shared" ref="AZ535:AZ537" si="654">X535</f>
        <v>0</v>
      </c>
      <c r="BA535" s="19">
        <f>IF(AZ$538=0,0,AZ535/AZ$538)</f>
        <v>0</v>
      </c>
    </row>
    <row r="536" spans="1:53" ht="17.100000000000001" customHeight="1" x14ac:dyDescent="0.25">
      <c r="A536" s="119"/>
      <c r="B536" s="119"/>
      <c r="C536" s="56" t="s">
        <v>312</v>
      </c>
      <c r="D536" s="146" t="s">
        <v>11</v>
      </c>
      <c r="E536" s="105"/>
      <c r="F536" s="105"/>
      <c r="G536" s="105"/>
      <c r="H536" s="119"/>
      <c r="I536" s="231"/>
      <c r="J536" s="111"/>
      <c r="K536" s="111"/>
      <c r="L536" s="111"/>
      <c r="M536" s="111"/>
      <c r="N536" s="61"/>
      <c r="O536" s="61"/>
      <c r="P536" s="17">
        <f t="shared" si="648"/>
        <v>0</v>
      </c>
      <c r="Q536" s="61"/>
      <c r="R536" s="61"/>
      <c r="S536" s="17">
        <f t="shared" si="649"/>
        <v>0</v>
      </c>
      <c r="T536" s="61"/>
      <c r="U536" s="61"/>
      <c r="V536" s="359">
        <f t="shared" si="650"/>
        <v>0</v>
      </c>
      <c r="W536" s="391">
        <f t="shared" si="651"/>
        <v>0</v>
      </c>
      <c r="X536" s="17">
        <f t="shared" si="652"/>
        <v>0</v>
      </c>
      <c r="Y536" s="18">
        <f>SUM(W536:X536)</f>
        <v>0</v>
      </c>
      <c r="Z536" s="19">
        <f t="shared" ref="Z536:Z538" si="655">IF(Y$538=0,0,Y536/Y$538)</f>
        <v>0</v>
      </c>
      <c r="AA536" s="19"/>
      <c r="AB536" s="19"/>
      <c r="AC536" s="20"/>
      <c r="AE536" s="111"/>
      <c r="AF536" s="111"/>
      <c r="AG536" s="111"/>
      <c r="AH536" s="112"/>
      <c r="AI536" s="113"/>
      <c r="AK536" s="111"/>
      <c r="AL536" s="111"/>
      <c r="AM536" s="111"/>
      <c r="AN536" s="112"/>
      <c r="AO536" s="113"/>
      <c r="AQ536" s="17"/>
      <c r="AR536" s="17"/>
      <c r="AS536" s="17"/>
      <c r="AT536" s="18">
        <f t="shared" si="653"/>
        <v>0</v>
      </c>
      <c r="AU536" s="19">
        <f t="shared" ref="AU536:AU538" si="656">IF(AT$538=0,0,AT536/AT$538)</f>
        <v>0</v>
      </c>
      <c r="AW536" s="17"/>
      <c r="AX536" s="17"/>
      <c r="AY536" s="17"/>
      <c r="AZ536" s="18">
        <f t="shared" si="654"/>
        <v>0</v>
      </c>
      <c r="BA536" s="19">
        <f t="shared" ref="BA536:BA538" si="657">IF(AZ$538=0,0,AZ536/AZ$538)</f>
        <v>0</v>
      </c>
    </row>
    <row r="537" spans="1:53" ht="17.100000000000001" customHeight="1" x14ac:dyDescent="0.25">
      <c r="A537" s="119"/>
      <c r="B537" s="119"/>
      <c r="C537" s="56" t="s">
        <v>490</v>
      </c>
      <c r="D537" s="146" t="s">
        <v>617</v>
      </c>
      <c r="E537" s="105"/>
      <c r="F537" s="105"/>
      <c r="G537" s="105"/>
      <c r="H537" s="119"/>
      <c r="I537" s="231"/>
      <c r="J537" s="111"/>
      <c r="K537" s="111"/>
      <c r="L537" s="111"/>
      <c r="M537" s="111"/>
      <c r="N537" s="60"/>
      <c r="O537" s="60"/>
      <c r="P537" s="17">
        <f t="shared" si="648"/>
        <v>0</v>
      </c>
      <c r="Q537" s="60"/>
      <c r="R537" s="60"/>
      <c r="S537" s="17">
        <f t="shared" si="649"/>
        <v>0</v>
      </c>
      <c r="T537" s="60"/>
      <c r="U537" s="60"/>
      <c r="V537" s="359">
        <f t="shared" si="650"/>
        <v>0</v>
      </c>
      <c r="W537" s="391">
        <f t="shared" si="651"/>
        <v>0</v>
      </c>
      <c r="X537" s="17">
        <f t="shared" si="652"/>
        <v>0</v>
      </c>
      <c r="Y537" s="18">
        <f>SUM(W537:X537)</f>
        <v>0</v>
      </c>
      <c r="Z537" s="19">
        <f t="shared" si="655"/>
        <v>0</v>
      </c>
      <c r="AA537" s="19"/>
      <c r="AB537" s="19"/>
      <c r="AC537" s="20"/>
      <c r="AE537" s="111"/>
      <c r="AF537" s="111"/>
      <c r="AG537" s="111"/>
      <c r="AH537" s="112"/>
      <c r="AI537" s="113"/>
      <c r="AK537" s="111"/>
      <c r="AL537" s="111"/>
      <c r="AM537" s="111"/>
      <c r="AN537" s="112"/>
      <c r="AO537" s="113"/>
      <c r="AQ537" s="17"/>
      <c r="AR537" s="17"/>
      <c r="AS537" s="17"/>
      <c r="AT537" s="18">
        <f t="shared" si="653"/>
        <v>0</v>
      </c>
      <c r="AU537" s="19">
        <f t="shared" si="656"/>
        <v>0</v>
      </c>
      <c r="AW537" s="17"/>
      <c r="AX537" s="17"/>
      <c r="AY537" s="17"/>
      <c r="AZ537" s="18">
        <f t="shared" si="654"/>
        <v>0</v>
      </c>
      <c r="BA537" s="19">
        <f t="shared" si="657"/>
        <v>0</v>
      </c>
    </row>
    <row r="538" spans="1:53" ht="17.100000000000001" customHeight="1" x14ac:dyDescent="0.25">
      <c r="A538" s="40"/>
      <c r="B538" s="40"/>
      <c r="C538" s="77"/>
      <c r="D538" s="134"/>
      <c r="E538" s="134"/>
      <c r="F538" s="134"/>
      <c r="G538" s="134"/>
      <c r="H538" s="540"/>
      <c r="I538" s="229"/>
      <c r="J538" s="80"/>
      <c r="K538" s="80"/>
      <c r="L538" s="81"/>
      <c r="M538" s="81"/>
      <c r="N538" s="81">
        <f>SUM(N535:N537)</f>
        <v>0</v>
      </c>
      <c r="O538" s="81">
        <f t="shared" ref="O538:V538" si="658">SUM(O535:O537)</f>
        <v>0</v>
      </c>
      <c r="P538" s="81">
        <f t="shared" si="658"/>
        <v>0</v>
      </c>
      <c r="Q538" s="81">
        <f t="shared" si="658"/>
        <v>0</v>
      </c>
      <c r="R538" s="81">
        <f t="shared" si="658"/>
        <v>0</v>
      </c>
      <c r="S538" s="81">
        <f t="shared" si="658"/>
        <v>0</v>
      </c>
      <c r="T538" s="81">
        <f t="shared" si="658"/>
        <v>0</v>
      </c>
      <c r="U538" s="81">
        <f t="shared" si="658"/>
        <v>0</v>
      </c>
      <c r="V538" s="81">
        <f t="shared" si="658"/>
        <v>0</v>
      </c>
      <c r="W538" s="381">
        <f>SUM(W535:W537)</f>
        <v>0</v>
      </c>
      <c r="X538" s="82">
        <f t="shared" ref="X538:Y538" si="659">SUM(X535:X537)</f>
        <v>0</v>
      </c>
      <c r="Y538" s="82">
        <f t="shared" si="659"/>
        <v>0</v>
      </c>
      <c r="Z538" s="205">
        <f t="shared" si="655"/>
        <v>0</v>
      </c>
      <c r="AA538" s="205"/>
      <c r="AB538" s="205"/>
      <c r="AC538" s="83"/>
      <c r="AE538" s="80"/>
      <c r="AF538" s="80"/>
      <c r="AG538" s="81"/>
      <c r="AH538" s="82"/>
      <c r="AI538" s="66"/>
      <c r="AK538" s="80"/>
      <c r="AL538" s="80"/>
      <c r="AM538" s="81"/>
      <c r="AN538" s="82"/>
      <c r="AO538" s="66"/>
      <c r="AQ538" s="80"/>
      <c r="AR538" s="80"/>
      <c r="AS538" s="81"/>
      <c r="AT538" s="82">
        <f>SUM(AT535:AT537)</f>
        <v>0</v>
      </c>
      <c r="AU538" s="66">
        <f t="shared" si="656"/>
        <v>0</v>
      </c>
      <c r="AW538" s="80"/>
      <c r="AX538" s="80"/>
      <c r="AY538" s="81"/>
      <c r="AZ538" s="82">
        <f>SUM(AZ535:AZ537)</f>
        <v>0</v>
      </c>
      <c r="BA538" s="66">
        <f t="shared" si="657"/>
        <v>0</v>
      </c>
    </row>
    <row r="539" spans="1:53" s="117" customFormat="1" ht="17.100000000000001" customHeight="1" x14ac:dyDescent="0.25">
      <c r="A539" s="68"/>
      <c r="B539" s="119"/>
      <c r="C539" s="540"/>
      <c r="D539" s="261"/>
      <c r="E539" s="261"/>
      <c r="F539" s="68"/>
      <c r="G539" s="68"/>
      <c r="H539" s="119"/>
      <c r="I539" s="138"/>
      <c r="J539" s="17"/>
      <c r="K539" s="17"/>
      <c r="L539" s="17"/>
      <c r="M539" s="17"/>
      <c r="N539" s="17" t="str">
        <f>IF(N538=N$20,"OK","NOK")</f>
        <v>OK</v>
      </c>
      <c r="O539" s="17" t="str">
        <f>IF(O538=O$20,"OK","NOK")</f>
        <v>OK</v>
      </c>
      <c r="P539" s="17"/>
      <c r="Q539" s="17" t="str">
        <f>IF(Q538=Q$20,"OK","NOK")</f>
        <v>OK</v>
      </c>
      <c r="R539" s="17" t="str">
        <f>IF(R538=R$20,"OK","NOK")</f>
        <v>OK</v>
      </c>
      <c r="S539" s="17"/>
      <c r="T539" s="17" t="str">
        <f>IF(T538=T$20,"OK","NOK")</f>
        <v>OK</v>
      </c>
      <c r="U539" s="17" t="str">
        <f>IF(U538=U$20,"OK","NOK")</f>
        <v>OK</v>
      </c>
      <c r="V539" s="359"/>
      <c r="W539" s="382"/>
      <c r="X539" s="539"/>
      <c r="Y539" s="539"/>
      <c r="Z539" s="201"/>
      <c r="AA539" s="201"/>
      <c r="AB539" s="201"/>
      <c r="AC539" s="84"/>
      <c r="AE539" s="46"/>
      <c r="AF539" s="46"/>
      <c r="AG539" s="17"/>
      <c r="AH539" s="539"/>
      <c r="AI539" s="91"/>
      <c r="AK539" s="46"/>
      <c r="AL539" s="46"/>
      <c r="AM539" s="17"/>
      <c r="AN539" s="539"/>
      <c r="AO539" s="91"/>
      <c r="AQ539" s="46"/>
      <c r="AR539" s="46"/>
      <c r="AS539" s="17"/>
      <c r="AT539" s="539"/>
      <c r="AU539" s="91"/>
      <c r="AW539" s="46"/>
      <c r="AX539" s="46"/>
      <c r="AY539" s="17"/>
      <c r="AZ539" s="539"/>
      <c r="BA539" s="91"/>
    </row>
    <row r="540" spans="1:53" s="117" customFormat="1" ht="17.100000000000001" customHeight="1" x14ac:dyDescent="0.25">
      <c r="A540" s="68"/>
      <c r="B540" s="119"/>
      <c r="C540" s="56" t="s">
        <v>672</v>
      </c>
      <c r="D540" s="146" t="s">
        <v>673</v>
      </c>
      <c r="E540" s="149"/>
      <c r="F540" s="149"/>
      <c r="G540" s="151"/>
      <c r="H540" s="119"/>
      <c r="I540" s="138"/>
      <c r="J540" s="111"/>
      <c r="K540" s="111"/>
      <c r="L540" s="111"/>
      <c r="M540" s="111"/>
      <c r="N540" s="111"/>
      <c r="O540" s="111"/>
      <c r="P540" s="336"/>
      <c r="Q540" s="341"/>
      <c r="R540" s="341"/>
      <c r="S540" s="336"/>
      <c r="T540" s="341"/>
      <c r="U540" s="341"/>
      <c r="V540" s="368"/>
      <c r="W540" s="382"/>
      <c r="X540" s="539"/>
      <c r="Y540" s="539"/>
      <c r="Z540" s="201"/>
      <c r="AA540" s="340">
        <f>MIN(P540,S540,V540)</f>
        <v>0</v>
      </c>
      <c r="AB540" s="340">
        <f>MAX(P540,S540,V540)</f>
        <v>0</v>
      </c>
      <c r="AC540" s="340">
        <f>IF(P540+S540+V540=0,0,AVERAGE(P540,S540,V540))</f>
        <v>0</v>
      </c>
      <c r="AE540" s="152"/>
      <c r="AF540" s="152"/>
      <c r="AG540" s="111"/>
      <c r="AH540" s="545"/>
      <c r="AI540" s="131"/>
      <c r="AK540" s="152"/>
      <c r="AL540" s="152"/>
      <c r="AM540" s="111"/>
      <c r="AN540" s="545"/>
      <c r="AO540" s="131"/>
      <c r="AQ540" s="152"/>
      <c r="AR540" s="152"/>
      <c r="AS540" s="111"/>
      <c r="AT540" s="545"/>
      <c r="AU540" s="131"/>
      <c r="AW540" s="152"/>
      <c r="AX540" s="152"/>
      <c r="AY540" s="111"/>
      <c r="AZ540" s="545"/>
      <c r="BA540" s="131"/>
    </row>
    <row r="541" spans="1:53" s="117" customFormat="1" ht="17.100000000000001" customHeight="1" x14ac:dyDescent="0.25">
      <c r="A541" s="68"/>
      <c r="B541" s="119"/>
      <c r="C541" s="92"/>
      <c r="D541" s="261"/>
      <c r="E541" s="261"/>
      <c r="F541" s="68"/>
      <c r="G541" s="68"/>
      <c r="H541" s="119"/>
      <c r="I541" s="138"/>
      <c r="J541" s="17"/>
      <c r="K541" s="17"/>
      <c r="L541" s="17"/>
      <c r="M541" s="17"/>
      <c r="N541" s="17"/>
      <c r="O541" s="17"/>
      <c r="P541" s="17"/>
      <c r="Q541" s="17"/>
      <c r="R541" s="17"/>
      <c r="S541" s="17"/>
      <c r="T541" s="17"/>
      <c r="U541" s="17"/>
      <c r="V541" s="359"/>
      <c r="W541" s="382"/>
      <c r="X541" s="539"/>
      <c r="Y541" s="539"/>
      <c r="Z541" s="201"/>
      <c r="AA541" s="201"/>
      <c r="AB541" s="201"/>
      <c r="AC541" s="84"/>
      <c r="AE541" s="46"/>
      <c r="AF541" s="46"/>
      <c r="AG541" s="17"/>
      <c r="AH541" s="539"/>
      <c r="AI541" s="91"/>
      <c r="AK541" s="46"/>
      <c r="AL541" s="46"/>
      <c r="AM541" s="17"/>
      <c r="AN541" s="539"/>
      <c r="AO541" s="91"/>
      <c r="AQ541" s="46"/>
      <c r="AR541" s="46"/>
      <c r="AS541" s="17"/>
      <c r="AT541" s="539"/>
      <c r="AU541" s="91"/>
      <c r="AW541" s="46"/>
      <c r="AX541" s="46"/>
      <c r="AY541" s="17"/>
      <c r="AZ541" s="539"/>
      <c r="BA541" s="91"/>
    </row>
    <row r="542" spans="1:53" ht="17.100000000000001" customHeight="1" x14ac:dyDescent="0.25">
      <c r="A542" s="68"/>
      <c r="B542" s="41" t="s">
        <v>313</v>
      </c>
      <c r="C542" s="69" t="s">
        <v>492</v>
      </c>
      <c r="D542" s="50"/>
      <c r="E542" s="70"/>
      <c r="F542" s="70"/>
      <c r="G542" s="70"/>
      <c r="H542" s="119"/>
      <c r="J542" s="71"/>
      <c r="K542" s="71"/>
      <c r="L542" s="71"/>
      <c r="M542" s="71"/>
      <c r="N542" s="71"/>
      <c r="O542" s="71"/>
      <c r="P542" s="71"/>
      <c r="Q542" s="71"/>
      <c r="R542" s="71"/>
      <c r="S542" s="71"/>
      <c r="T542" s="71"/>
      <c r="U542" s="71"/>
      <c r="V542" s="355"/>
      <c r="W542" s="377"/>
      <c r="X542" s="71"/>
      <c r="Y542" s="72"/>
      <c r="Z542" s="73"/>
      <c r="AA542" s="73"/>
      <c r="AB542" s="73"/>
      <c r="AC542" s="73"/>
      <c r="AE542" s="71"/>
      <c r="AF542" s="71"/>
      <c r="AG542" s="71"/>
      <c r="AH542" s="72"/>
      <c r="AI542" s="73"/>
      <c r="AK542" s="71"/>
      <c r="AL542" s="71"/>
      <c r="AM542" s="71"/>
      <c r="AN542" s="72"/>
      <c r="AO542" s="73"/>
      <c r="AQ542" s="71"/>
      <c r="AR542" s="71"/>
      <c r="AS542" s="71"/>
      <c r="AT542" s="72"/>
      <c r="AU542" s="73"/>
      <c r="AW542" s="71"/>
      <c r="AX542" s="71"/>
      <c r="AY542" s="71"/>
      <c r="AZ542" s="72"/>
      <c r="BA542" s="73"/>
    </row>
    <row r="543" spans="1:53" ht="17.100000000000001" customHeight="1" x14ac:dyDescent="0.25">
      <c r="A543" s="119"/>
      <c r="B543" s="119"/>
      <c r="C543" s="56" t="s">
        <v>314</v>
      </c>
      <c r="D543" s="149" t="s">
        <v>129</v>
      </c>
      <c r="E543" s="105"/>
      <c r="F543" s="105"/>
      <c r="G543" s="105"/>
      <c r="H543" s="119"/>
      <c r="J543" s="111"/>
      <c r="K543" s="111"/>
      <c r="L543" s="111"/>
      <c r="M543" s="111"/>
      <c r="N543" s="598"/>
      <c r="O543" s="598"/>
      <c r="P543" s="327"/>
      <c r="Q543" s="598"/>
      <c r="R543" s="598"/>
      <c r="S543" s="327"/>
      <c r="T543" s="598"/>
      <c r="U543" s="598"/>
      <c r="V543" s="369"/>
      <c r="W543" s="391"/>
      <c r="X543" s="17"/>
      <c r="Y543" s="328">
        <f>P543+S543+V543</f>
        <v>0</v>
      </c>
      <c r="Z543" s="19">
        <f>IF(Y$546=0,0,Y543/Y$546)</f>
        <v>0</v>
      </c>
      <c r="AA543" s="19"/>
      <c r="AB543" s="19"/>
      <c r="AC543" s="20"/>
      <c r="AE543" s="111"/>
      <c r="AF543" s="111"/>
      <c r="AG543" s="111"/>
      <c r="AH543" s="545"/>
      <c r="AI543" s="131"/>
      <c r="AK543" s="111"/>
      <c r="AL543" s="111"/>
      <c r="AM543" s="111"/>
      <c r="AN543" s="545"/>
      <c r="AO543" s="131"/>
      <c r="AQ543" s="111"/>
      <c r="AR543" s="111"/>
      <c r="AS543" s="111"/>
      <c r="AT543" s="545"/>
      <c r="AU543" s="131"/>
      <c r="AW543" s="111"/>
      <c r="AX543" s="111"/>
      <c r="AY543" s="111"/>
      <c r="AZ543" s="545"/>
      <c r="BA543" s="131"/>
    </row>
    <row r="544" spans="1:53" ht="17.100000000000001" customHeight="1" x14ac:dyDescent="0.25">
      <c r="A544" s="119"/>
      <c r="B544" s="119"/>
      <c r="C544" s="56" t="s">
        <v>327</v>
      </c>
      <c r="D544" s="149" t="s">
        <v>491</v>
      </c>
      <c r="E544" s="105"/>
      <c r="F544" s="105"/>
      <c r="G544" s="105"/>
      <c r="H544" s="119"/>
      <c r="J544" s="599"/>
      <c r="K544" s="599"/>
      <c r="L544" s="599"/>
      <c r="M544" s="599"/>
      <c r="N544" s="598"/>
      <c r="O544" s="598"/>
      <c r="P544" s="329"/>
      <c r="Q544" s="598"/>
      <c r="R544" s="598"/>
      <c r="S544" s="329"/>
      <c r="T544" s="598"/>
      <c r="U544" s="598"/>
      <c r="V544" s="370"/>
      <c r="W544" s="391"/>
      <c r="X544" s="17"/>
      <c r="Y544" s="328">
        <f t="shared" ref="Y544:Y545" si="660">P544+S544+V544</f>
        <v>0</v>
      </c>
      <c r="Z544" s="19">
        <f>IF(Y$546=0,0,Y544/Y$546)</f>
        <v>0</v>
      </c>
      <c r="AA544" s="19"/>
      <c r="AB544" s="19"/>
      <c r="AC544" s="189"/>
      <c r="AE544" s="111"/>
      <c r="AF544" s="111"/>
      <c r="AG544" s="111"/>
      <c r="AH544" s="545"/>
      <c r="AI544" s="131"/>
      <c r="AK544" s="111"/>
      <c r="AL544" s="111"/>
      <c r="AM544" s="111"/>
      <c r="AN544" s="545"/>
      <c r="AO544" s="131"/>
      <c r="AQ544" s="111"/>
      <c r="AR544" s="111"/>
      <c r="AS544" s="111"/>
      <c r="AT544" s="545"/>
      <c r="AU544" s="131"/>
      <c r="AW544" s="111"/>
      <c r="AX544" s="111"/>
      <c r="AY544" s="111"/>
      <c r="AZ544" s="545"/>
      <c r="BA544" s="131"/>
    </row>
    <row r="545" spans="1:53" ht="17.100000000000001" customHeight="1" x14ac:dyDescent="0.25">
      <c r="A545" s="119"/>
      <c r="B545" s="119"/>
      <c r="C545" s="56" t="s">
        <v>328</v>
      </c>
      <c r="D545" s="149" t="s">
        <v>493</v>
      </c>
      <c r="E545" s="105"/>
      <c r="F545" s="105"/>
      <c r="G545" s="105"/>
      <c r="H545" s="119"/>
      <c r="J545" s="111"/>
      <c r="K545" s="111"/>
      <c r="L545" s="111"/>
      <c r="M545" s="111"/>
      <c r="N545" s="598"/>
      <c r="O545" s="598"/>
      <c r="P545" s="327"/>
      <c r="Q545" s="598"/>
      <c r="R545" s="598"/>
      <c r="S545" s="327"/>
      <c r="T545" s="598"/>
      <c r="U545" s="598"/>
      <c r="V545" s="369"/>
      <c r="W545" s="391"/>
      <c r="X545" s="17"/>
      <c r="Y545" s="328">
        <f t="shared" si="660"/>
        <v>0</v>
      </c>
      <c r="Z545" s="19">
        <f>IF(Y$546=0,0,Y545/Y$546)</f>
        <v>0</v>
      </c>
      <c r="AA545" s="19"/>
      <c r="AB545" s="19"/>
      <c r="AC545" s="20"/>
      <c r="AE545" s="111"/>
      <c r="AF545" s="111"/>
      <c r="AG545" s="111"/>
      <c r="AH545" s="545"/>
      <c r="AI545" s="131"/>
      <c r="AK545" s="111"/>
      <c r="AL545" s="111"/>
      <c r="AM545" s="111"/>
      <c r="AN545" s="545"/>
      <c r="AO545" s="131"/>
      <c r="AQ545" s="111"/>
      <c r="AR545" s="111"/>
      <c r="AS545" s="111"/>
      <c r="AT545" s="545"/>
      <c r="AU545" s="131"/>
      <c r="AW545" s="111"/>
      <c r="AX545" s="111"/>
      <c r="AY545" s="111"/>
      <c r="AZ545" s="545"/>
      <c r="BA545" s="131"/>
    </row>
    <row r="546" spans="1:53" ht="17.100000000000001" customHeight="1" x14ac:dyDescent="0.25">
      <c r="A546" s="119"/>
      <c r="B546" s="119"/>
      <c r="C546" s="325"/>
      <c r="D546" s="326"/>
      <c r="E546" s="184"/>
      <c r="F546" s="184"/>
      <c r="G546" s="184"/>
      <c r="H546" s="119"/>
      <c r="J546" s="600"/>
      <c r="K546" s="600"/>
      <c r="L546" s="600"/>
      <c r="M546" s="600"/>
      <c r="N546" s="600"/>
      <c r="O546" s="600"/>
      <c r="P546" s="601">
        <f>SUM(P543:P545)</f>
        <v>0</v>
      </c>
      <c r="Q546" s="600"/>
      <c r="R546" s="600"/>
      <c r="S546" s="601">
        <f>SUM(S543:S545)</f>
        <v>0</v>
      </c>
      <c r="T546" s="600"/>
      <c r="U546" s="600"/>
      <c r="V546" s="602">
        <f>SUM(V543:V545)</f>
        <v>0</v>
      </c>
      <c r="W546" s="381"/>
      <c r="X546" s="82"/>
      <c r="Y546" s="82">
        <f t="shared" ref="Y546" si="661">SUM(Y543:Y545)</f>
        <v>0</v>
      </c>
      <c r="Z546" s="205">
        <f>IF(Y$546=0,0,Y546/Y$546)</f>
        <v>0</v>
      </c>
      <c r="AA546" s="205"/>
      <c r="AB546" s="205"/>
      <c r="AC546" s="204"/>
      <c r="AE546" s="81"/>
      <c r="AF546" s="81"/>
      <c r="AG546" s="81"/>
      <c r="AH546" s="82"/>
      <c r="AI546" s="66"/>
      <c r="AK546" s="81"/>
      <c r="AL546" s="81"/>
      <c r="AM546" s="81"/>
      <c r="AN546" s="82"/>
      <c r="AO546" s="66"/>
      <c r="AQ546" s="81"/>
      <c r="AR546" s="81"/>
      <c r="AS546" s="81"/>
      <c r="AT546" s="82"/>
      <c r="AU546" s="66"/>
      <c r="AW546" s="81"/>
      <c r="AX546" s="81"/>
      <c r="AY546" s="81"/>
      <c r="AZ546" s="82"/>
      <c r="BA546" s="66"/>
    </row>
    <row r="547" spans="1:53" s="117" customFormat="1" ht="17.100000000000001" customHeight="1" x14ac:dyDescent="0.25">
      <c r="A547" s="68"/>
      <c r="B547" s="119"/>
      <c r="C547" s="540"/>
      <c r="D547" s="261"/>
      <c r="E547" s="261"/>
      <c r="F547" s="68"/>
      <c r="G547" s="68"/>
      <c r="H547" s="119"/>
      <c r="I547" s="138"/>
      <c r="J547" s="17"/>
      <c r="K547" s="17"/>
      <c r="L547" s="17"/>
      <c r="M547" s="17"/>
      <c r="N547" s="17"/>
      <c r="O547" s="17"/>
      <c r="P547" s="17" t="str">
        <f>IF(P546=1,"OK","NOK")</f>
        <v>NOK</v>
      </c>
      <c r="Q547" s="17"/>
      <c r="R547" s="17"/>
      <c r="S547" s="17" t="str">
        <f>IF(S546=1,"OK","NOK")</f>
        <v>NOK</v>
      </c>
      <c r="T547" s="17"/>
      <c r="U547" s="17"/>
      <c r="V547" s="359" t="str">
        <f>IF(V546=1,"OK","NOK")</f>
        <v>NOK</v>
      </c>
      <c r="W547" s="382"/>
      <c r="X547" s="539"/>
      <c r="Y547" s="539"/>
      <c r="Z547" s="201"/>
      <c r="AA547" s="201"/>
      <c r="AB547" s="201"/>
      <c r="AC547" s="84"/>
      <c r="AE547" s="46"/>
      <c r="AF547" s="46"/>
      <c r="AG547" s="17"/>
      <c r="AH547" s="539"/>
      <c r="AI547" s="91"/>
      <c r="AK547" s="46"/>
      <c r="AL547" s="46"/>
      <c r="AM547" s="17"/>
      <c r="AN547" s="539"/>
      <c r="AO547" s="91"/>
      <c r="AQ547" s="46"/>
      <c r="AR547" s="46"/>
      <c r="AS547" s="17"/>
      <c r="AT547" s="539"/>
      <c r="AU547" s="91"/>
      <c r="AW547" s="46"/>
      <c r="AX547" s="46"/>
      <c r="AY547" s="17"/>
      <c r="AZ547" s="539"/>
      <c r="BA547" s="91"/>
    </row>
    <row r="548" spans="1:53" s="117" customFormat="1" ht="17.100000000000001" customHeight="1" x14ac:dyDescent="0.25">
      <c r="A548" s="68"/>
      <c r="B548" s="119"/>
      <c r="C548" s="92"/>
      <c r="D548" s="93"/>
      <c r="E548" s="93"/>
      <c r="F548" s="93"/>
      <c r="G548" s="93"/>
      <c r="H548" s="540"/>
      <c r="I548" s="12"/>
      <c r="J548" s="46"/>
      <c r="K548" s="46"/>
      <c r="L548" s="17"/>
      <c r="M548" s="17"/>
      <c r="N548" s="17"/>
      <c r="O548" s="17"/>
      <c r="P548" s="17"/>
      <c r="Q548" s="17"/>
      <c r="R548" s="17"/>
      <c r="S548" s="17"/>
      <c r="T548" s="17"/>
      <c r="U548" s="17"/>
      <c r="V548" s="359"/>
      <c r="W548" s="391"/>
      <c r="X548" s="17"/>
      <c r="Y548" s="539"/>
      <c r="Z548" s="91"/>
      <c r="AA548" s="91"/>
      <c r="AB548" s="91"/>
      <c r="AC548" s="84"/>
      <c r="AE548" s="46"/>
      <c r="AF548" s="46"/>
      <c r="AG548" s="17"/>
      <c r="AH548" s="539"/>
      <c r="AI548" s="91"/>
      <c r="AK548" s="46"/>
      <c r="AL548" s="46"/>
      <c r="AM548" s="17"/>
      <c r="AN548" s="539"/>
      <c r="AO548" s="91"/>
      <c r="AQ548" s="46"/>
      <c r="AR548" s="46"/>
      <c r="AS548" s="17"/>
      <c r="AT548" s="539"/>
      <c r="AU548" s="91"/>
      <c r="AW548" s="46"/>
      <c r="AX548" s="46"/>
      <c r="AY548" s="17"/>
      <c r="AZ548" s="539"/>
      <c r="BA548" s="91"/>
    </row>
    <row r="549" spans="1:53" ht="17.100000000000001" customHeight="1" x14ac:dyDescent="0.25">
      <c r="A549" s="68"/>
      <c r="B549" s="41" t="s">
        <v>1443</v>
      </c>
      <c r="C549" s="69" t="s">
        <v>12</v>
      </c>
      <c r="D549" s="50"/>
      <c r="E549" s="70"/>
      <c r="F549" s="70"/>
      <c r="G549" s="70"/>
      <c r="H549" s="119"/>
      <c r="J549" s="71"/>
      <c r="K549" s="71"/>
      <c r="L549" s="71"/>
      <c r="M549" s="71"/>
      <c r="N549" s="71"/>
      <c r="O549" s="71"/>
      <c r="P549" s="71"/>
      <c r="Q549" s="71"/>
      <c r="R549" s="71"/>
      <c r="S549" s="71"/>
      <c r="T549" s="71"/>
      <c r="U549" s="71"/>
      <c r="V549" s="355"/>
      <c r="W549" s="377"/>
      <c r="X549" s="71"/>
      <c r="Y549" s="72"/>
      <c r="Z549" s="73"/>
      <c r="AA549" s="73"/>
      <c r="AB549" s="73"/>
      <c r="AC549" s="73"/>
      <c r="AE549" s="71"/>
      <c r="AF549" s="71"/>
      <c r="AG549" s="71"/>
      <c r="AH549" s="72"/>
      <c r="AI549" s="73"/>
      <c r="AK549" s="71"/>
      <c r="AL549" s="71"/>
      <c r="AM549" s="71"/>
      <c r="AN549" s="72"/>
      <c r="AO549" s="73"/>
      <c r="AQ549" s="71"/>
      <c r="AR549" s="71"/>
      <c r="AS549" s="71"/>
      <c r="AT549" s="72"/>
      <c r="AU549" s="73"/>
      <c r="AW549" s="71"/>
      <c r="AX549" s="71"/>
      <c r="AY549" s="71"/>
      <c r="AZ549" s="72"/>
      <c r="BA549" s="73"/>
    </row>
    <row r="550" spans="1:53" ht="17.100000000000001" customHeight="1" x14ac:dyDescent="0.25">
      <c r="A550" s="40"/>
      <c r="B550" s="40"/>
      <c r="C550" s="74" t="s">
        <v>1444</v>
      </c>
      <c r="D550" s="931" t="s">
        <v>315</v>
      </c>
      <c r="E550" s="75"/>
      <c r="F550" s="75"/>
      <c r="G550" s="75"/>
      <c r="H550" s="928"/>
      <c r="I550" s="12"/>
      <c r="J550" s="152"/>
      <c r="K550" s="152"/>
      <c r="L550" s="152"/>
      <c r="M550" s="152"/>
      <c r="N550" s="152">
        <f>IF(N20&gt;0,1,0)</f>
        <v>0</v>
      </c>
      <c r="O550" s="152">
        <f>IF(O20&gt;0,1,0)</f>
        <v>0</v>
      </c>
      <c r="P550" s="152"/>
      <c r="Q550" s="152">
        <f>IF(Q20&gt;0,1,0)</f>
        <v>0</v>
      </c>
      <c r="R550" s="152">
        <f>IF(R20&gt;0,1,0)</f>
        <v>0</v>
      </c>
      <c r="S550" s="152"/>
      <c r="T550" s="152">
        <f>IF(T20&gt;0,1,0)</f>
        <v>0</v>
      </c>
      <c r="U550" s="152">
        <f>IF(U20&gt;0,1,0)</f>
        <v>0</v>
      </c>
      <c r="V550" s="152"/>
      <c r="W550" s="389"/>
      <c r="X550" s="152"/>
      <c r="Y550" s="932"/>
      <c r="Z550" s="131"/>
      <c r="AA550" s="131"/>
      <c r="AB550" s="131"/>
      <c r="AC550" s="113"/>
      <c r="AE550" s="152"/>
      <c r="AF550" s="152"/>
      <c r="AG550" s="152"/>
      <c r="AH550" s="932"/>
      <c r="AI550" s="131"/>
      <c r="AK550" s="152"/>
      <c r="AL550" s="152"/>
      <c r="AM550" s="152"/>
      <c r="AN550" s="932"/>
      <c r="AO550" s="131"/>
      <c r="AQ550" s="152"/>
      <c r="AR550" s="152"/>
      <c r="AS550" s="152"/>
      <c r="AT550" s="932"/>
      <c r="AU550" s="131"/>
      <c r="AW550" s="152"/>
      <c r="AX550" s="152"/>
      <c r="AY550" s="152"/>
      <c r="AZ550" s="932"/>
      <c r="BA550" s="131"/>
    </row>
    <row r="551" spans="1:53" ht="17.100000000000001" customHeight="1" x14ac:dyDescent="0.25">
      <c r="A551" s="119"/>
      <c r="B551" s="40"/>
      <c r="C551" s="40"/>
      <c r="D551" s="128" t="s">
        <v>1017</v>
      </c>
      <c r="E551" s="122"/>
      <c r="F551" s="122"/>
      <c r="G551" s="122"/>
      <c r="H551" s="928"/>
      <c r="I551" s="12"/>
      <c r="J551" s="190"/>
      <c r="K551" s="190"/>
      <c r="L551" s="190"/>
      <c r="M551" s="190"/>
      <c r="N551" s="570">
        <f>IF(N508=0,0,N506/N508)*0.5</f>
        <v>0</v>
      </c>
      <c r="O551" s="570">
        <f>IF(O508=0,0,O506/O508)*0.5</f>
        <v>0</v>
      </c>
      <c r="P551" s="190"/>
      <c r="Q551" s="570">
        <f>IF(Q508=0,0,Q506/Q508)*0.5</f>
        <v>0</v>
      </c>
      <c r="R551" s="570">
        <f>IF(R508=0,0,R506/R508)*0.5</f>
        <v>0</v>
      </c>
      <c r="S551" s="190"/>
      <c r="T551" s="570">
        <f>IF(T508=0,0,T506/T508)*0.5</f>
        <v>0</v>
      </c>
      <c r="U551" s="570">
        <f>IF(U508=0,0,U506/U508)*0.5</f>
        <v>0</v>
      </c>
      <c r="V551" s="371"/>
      <c r="W551" s="393"/>
      <c r="X551" s="190"/>
      <c r="Y551" s="129"/>
      <c r="Z551" s="130"/>
      <c r="AA551" s="130"/>
      <c r="AB551" s="130"/>
      <c r="AC551" s="125"/>
      <c r="AE551" s="190"/>
      <c r="AF551" s="190"/>
      <c r="AG551" s="190"/>
      <c r="AH551" s="129"/>
      <c r="AI551" s="130"/>
      <c r="AK551" s="190"/>
      <c r="AL551" s="190"/>
      <c r="AM551" s="190"/>
      <c r="AN551" s="129"/>
      <c r="AO551" s="130"/>
      <c r="AQ551" s="190"/>
      <c r="AR551" s="190"/>
      <c r="AS551" s="190"/>
      <c r="AT551" s="129"/>
      <c r="AU551" s="130"/>
      <c r="AW551" s="190"/>
      <c r="AX551" s="190"/>
      <c r="AY551" s="190"/>
      <c r="AZ551" s="129"/>
      <c r="BA551" s="130"/>
    </row>
    <row r="552" spans="1:53" ht="17.100000000000001" customHeight="1" x14ac:dyDescent="0.25">
      <c r="A552" s="119"/>
      <c r="B552" s="40"/>
      <c r="C552" s="40"/>
      <c r="D552" s="128" t="s">
        <v>1018</v>
      </c>
      <c r="E552" s="122"/>
      <c r="F552" s="122"/>
      <c r="G552" s="122"/>
      <c r="H552" s="928"/>
      <c r="I552" s="12"/>
      <c r="J552" s="190"/>
      <c r="K552" s="190"/>
      <c r="L552" s="190"/>
      <c r="M552" s="190"/>
      <c r="N552" s="570">
        <f>IF(N508=0,0,N507/N508)*1</f>
        <v>0</v>
      </c>
      <c r="O552" s="570">
        <f>IF(O508=0,0,O507/O508)*1</f>
        <v>0</v>
      </c>
      <c r="P552" s="190"/>
      <c r="Q552" s="570">
        <f>IF(Q508=0,0,Q507/Q508)*1</f>
        <v>0</v>
      </c>
      <c r="R552" s="570">
        <f>IF(R508=0,0,R507/R508)*1</f>
        <v>0</v>
      </c>
      <c r="S552" s="190"/>
      <c r="T552" s="570">
        <f>IF(T508=0,0,T507/T508)*1</f>
        <v>0</v>
      </c>
      <c r="U552" s="570">
        <f>IF(U508=0,0,U507/U508)*1</f>
        <v>0</v>
      </c>
      <c r="V552" s="371"/>
      <c r="W552" s="393"/>
      <c r="X552" s="190"/>
      <c r="Y552" s="129"/>
      <c r="Z552" s="130"/>
      <c r="AA552" s="130"/>
      <c r="AB552" s="130"/>
      <c r="AC552" s="125"/>
      <c r="AE552" s="190"/>
      <c r="AF552" s="190"/>
      <c r="AG552" s="190"/>
      <c r="AH552" s="129"/>
      <c r="AI552" s="130"/>
      <c r="AK552" s="190"/>
      <c r="AL552" s="190"/>
      <c r="AM552" s="190"/>
      <c r="AN552" s="129"/>
      <c r="AO552" s="130"/>
      <c r="AQ552" s="190"/>
      <c r="AR552" s="190"/>
      <c r="AS552" s="190"/>
      <c r="AT552" s="129"/>
      <c r="AU552" s="130"/>
      <c r="AW552" s="190"/>
      <c r="AX552" s="190"/>
      <c r="AY552" s="190"/>
      <c r="AZ552" s="129"/>
      <c r="BA552" s="130"/>
    </row>
    <row r="553" spans="1:53" ht="17.100000000000001" customHeight="1" x14ac:dyDescent="0.25">
      <c r="A553" s="119"/>
      <c r="B553" s="40"/>
      <c r="C553" s="40"/>
      <c r="D553" s="128" t="s">
        <v>316</v>
      </c>
      <c r="E553" s="122"/>
      <c r="F553" s="122"/>
      <c r="G553" s="122"/>
      <c r="H553" s="928"/>
      <c r="I553" s="12"/>
      <c r="J553" s="190"/>
      <c r="K553" s="190"/>
      <c r="L553" s="190"/>
      <c r="M553" s="190"/>
      <c r="N553" s="570">
        <f>IF(N515=0,0,N513/N515)*0.5</f>
        <v>0</v>
      </c>
      <c r="O553" s="570">
        <f>IF(O515=0,0,O513/O515)*0.5</f>
        <v>0</v>
      </c>
      <c r="P553" s="190"/>
      <c r="Q553" s="570">
        <f>IF(Q515=0,0,Q513/Q515)*0.5</f>
        <v>0</v>
      </c>
      <c r="R553" s="570">
        <f>IF(R515=0,0,R513/R515)*0.5</f>
        <v>0</v>
      </c>
      <c r="S553" s="190"/>
      <c r="T553" s="570">
        <f>IF(T515=0,0,T513/T515)*0.5</f>
        <v>0</v>
      </c>
      <c r="U553" s="570">
        <f>IF(U515=0,0,U513/U515)*0.5</f>
        <v>0</v>
      </c>
      <c r="V553" s="371"/>
      <c r="W553" s="393"/>
      <c r="X553" s="190"/>
      <c r="Y553" s="129"/>
      <c r="Z553" s="130"/>
      <c r="AA553" s="130"/>
      <c r="AB553" s="130"/>
      <c r="AC553" s="125"/>
      <c r="AE553" s="190"/>
      <c r="AF553" s="190"/>
      <c r="AG553" s="190"/>
      <c r="AH553" s="129"/>
      <c r="AI553" s="130"/>
      <c r="AK553" s="190"/>
      <c r="AL553" s="190"/>
      <c r="AM553" s="190"/>
      <c r="AN553" s="129"/>
      <c r="AO553" s="130"/>
      <c r="AQ553" s="190"/>
      <c r="AR553" s="190"/>
      <c r="AS553" s="190"/>
      <c r="AT553" s="129"/>
      <c r="AU553" s="130"/>
      <c r="AW553" s="190"/>
      <c r="AX553" s="190"/>
      <c r="AY553" s="190"/>
      <c r="AZ553" s="129"/>
      <c r="BA553" s="130"/>
    </row>
    <row r="554" spans="1:53" ht="17.100000000000001" customHeight="1" x14ac:dyDescent="0.25">
      <c r="A554" s="119"/>
      <c r="B554" s="40"/>
      <c r="C554" s="40"/>
      <c r="D554" s="128" t="s">
        <v>317</v>
      </c>
      <c r="E554" s="122"/>
      <c r="F554" s="122"/>
      <c r="G554" s="122"/>
      <c r="H554" s="928"/>
      <c r="I554" s="12"/>
      <c r="J554" s="190"/>
      <c r="K554" s="190"/>
      <c r="L554" s="190"/>
      <c r="M554" s="190"/>
      <c r="N554" s="570">
        <f>IF(N515=0,0,N514/N515)*1</f>
        <v>0</v>
      </c>
      <c r="O554" s="570">
        <f>IF(O515=0,0,O514/O515)*1</f>
        <v>0</v>
      </c>
      <c r="P554" s="190"/>
      <c r="Q554" s="570">
        <f>IF(Q515=0,0,Q514/Q515)*1</f>
        <v>0</v>
      </c>
      <c r="R554" s="570">
        <f>IF(R515=0,0,R514/R515)*1</f>
        <v>0</v>
      </c>
      <c r="S554" s="190"/>
      <c r="T554" s="570">
        <f>IF(T515=0,0,T514/T515)*1</f>
        <v>0</v>
      </c>
      <c r="U554" s="570">
        <f>IF(U515=0,0,U514/U515)*1</f>
        <v>0</v>
      </c>
      <c r="V554" s="371"/>
      <c r="W554" s="393"/>
      <c r="X554" s="190"/>
      <c r="Y554" s="129"/>
      <c r="Z554" s="130"/>
      <c r="AA554" s="130"/>
      <c r="AB554" s="130"/>
      <c r="AC554" s="125"/>
      <c r="AE554" s="190"/>
      <c r="AF554" s="190"/>
      <c r="AG554" s="190"/>
      <c r="AH554" s="129"/>
      <c r="AI554" s="130"/>
      <c r="AK554" s="190"/>
      <c r="AL554" s="190"/>
      <c r="AM554" s="190"/>
      <c r="AN554" s="129"/>
      <c r="AO554" s="130"/>
      <c r="AQ554" s="190"/>
      <c r="AR554" s="190"/>
      <c r="AS554" s="190"/>
      <c r="AT554" s="129"/>
      <c r="AU554" s="130"/>
      <c r="AW554" s="190"/>
      <c r="AX554" s="190"/>
      <c r="AY554" s="190"/>
      <c r="AZ554" s="129"/>
      <c r="BA554" s="130"/>
    </row>
    <row r="555" spans="1:53" ht="17.100000000000001" customHeight="1" x14ac:dyDescent="0.25">
      <c r="A555" s="137"/>
      <c r="B555" s="40"/>
      <c r="C555" s="40"/>
      <c r="D555" s="128" t="s">
        <v>1019</v>
      </c>
      <c r="E555" s="122"/>
      <c r="F555" s="122"/>
      <c r="G555" s="122"/>
      <c r="H555" s="928"/>
      <c r="I555" s="12"/>
      <c r="J555" s="190"/>
      <c r="K555" s="190"/>
      <c r="L555" s="190"/>
      <c r="M555" s="190"/>
      <c r="N555" s="570"/>
      <c r="O555" s="570"/>
      <c r="P555" s="190"/>
      <c r="Q555" s="570"/>
      <c r="R555" s="570"/>
      <c r="S555" s="190"/>
      <c r="T555" s="570"/>
      <c r="U555" s="570"/>
      <c r="V555" s="371"/>
      <c r="W555" s="393"/>
      <c r="X555" s="190"/>
      <c r="Y555" s="129"/>
      <c r="Z555" s="130"/>
      <c r="AA555" s="130"/>
      <c r="AB555" s="130"/>
      <c r="AC555" s="125"/>
      <c r="AE555" s="190"/>
      <c r="AF555" s="190"/>
      <c r="AG555" s="190"/>
      <c r="AH555" s="129"/>
      <c r="AI555" s="130"/>
      <c r="AK555" s="190"/>
      <c r="AL555" s="190"/>
      <c r="AM555" s="190"/>
      <c r="AN555" s="129"/>
      <c r="AO555" s="130"/>
      <c r="AQ555" s="190"/>
      <c r="AR555" s="190"/>
      <c r="AS555" s="190"/>
      <c r="AT555" s="129"/>
      <c r="AU555" s="130"/>
      <c r="AW555" s="190"/>
      <c r="AX555" s="190"/>
      <c r="AY555" s="190"/>
      <c r="AZ555" s="129"/>
      <c r="BA555" s="130"/>
    </row>
    <row r="556" spans="1:53" ht="17.100000000000001" customHeight="1" x14ac:dyDescent="0.25">
      <c r="A556" s="119"/>
      <c r="B556" s="40"/>
      <c r="C556" s="40"/>
      <c r="D556" s="128" t="s">
        <v>318</v>
      </c>
      <c r="E556" s="122"/>
      <c r="F556" s="122"/>
      <c r="G556" s="122"/>
      <c r="H556" s="928"/>
      <c r="I556" s="12"/>
      <c r="J556" s="190"/>
      <c r="K556" s="190"/>
      <c r="L556" s="190"/>
      <c r="M556" s="190"/>
      <c r="N556" s="570">
        <f>IF(N533=0,0,(SUM(N524:N525)+N522+N527)/N533)</f>
        <v>0</v>
      </c>
      <c r="O556" s="570">
        <f>IF(O533=0,0,(SUM(O524:O525)+O522+O527)/O533)</f>
        <v>0</v>
      </c>
      <c r="P556" s="190"/>
      <c r="Q556" s="570">
        <f>IF(Q533=0,0,(SUM(Q524:Q525)+Q522+Q527)/Q533)</f>
        <v>0</v>
      </c>
      <c r="R556" s="570">
        <f>IF(R533=0,0,(SUM(R524:R525)+R522+R527)/R533)</f>
        <v>0</v>
      </c>
      <c r="S556" s="190"/>
      <c r="T556" s="570">
        <f>IF(T533=0,0,(SUM(T524:T525)+T522+T527)/T533)</f>
        <v>0</v>
      </c>
      <c r="U556" s="570">
        <f>IF(U533=0,0,(SUM(U524:U525)+U522+U527)/U533)</f>
        <v>0</v>
      </c>
      <c r="V556" s="371"/>
      <c r="W556" s="393"/>
      <c r="X556" s="190"/>
      <c r="Y556" s="129"/>
      <c r="Z556" s="130"/>
      <c r="AA556" s="130"/>
      <c r="AB556" s="130"/>
      <c r="AC556" s="125"/>
      <c r="AE556" s="190"/>
      <c r="AF556" s="190"/>
      <c r="AG556" s="190"/>
      <c r="AH556" s="129"/>
      <c r="AI556" s="130"/>
      <c r="AK556" s="190"/>
      <c r="AL556" s="190"/>
      <c r="AM556" s="190"/>
      <c r="AN556" s="129"/>
      <c r="AO556" s="130"/>
      <c r="AQ556" s="190"/>
      <c r="AR556" s="190"/>
      <c r="AS556" s="190"/>
      <c r="AT556" s="129"/>
      <c r="AU556" s="130"/>
      <c r="AW556" s="190"/>
      <c r="AX556" s="190"/>
      <c r="AY556" s="190"/>
      <c r="AZ556" s="129"/>
      <c r="BA556" s="130"/>
    </row>
    <row r="557" spans="1:53" ht="17.100000000000001" customHeight="1" x14ac:dyDescent="0.25">
      <c r="A557" s="137"/>
      <c r="B557" s="40"/>
      <c r="C557" s="40"/>
      <c r="D557" s="128" t="s">
        <v>319</v>
      </c>
      <c r="E557" s="122"/>
      <c r="F557" s="122"/>
      <c r="G557" s="122"/>
      <c r="H557" s="928"/>
      <c r="I557" s="12"/>
      <c r="J557" s="190"/>
      <c r="K557" s="190"/>
      <c r="L557" s="190"/>
      <c r="M557" s="190"/>
      <c r="N557" s="570">
        <f>IF(N538=0,0,(N535/N538)*0.5)</f>
        <v>0</v>
      </c>
      <c r="O557" s="570">
        <f>IF(O538=0,0,(O535/O538)*0.5)</f>
        <v>0</v>
      </c>
      <c r="P557" s="190"/>
      <c r="Q557" s="570">
        <f>IF(Q538=0,0,(Q535/Q538)*0.5)</f>
        <v>0</v>
      </c>
      <c r="R557" s="570">
        <f>IF(R538=0,0,(R535/R538)*0.5)</f>
        <v>0</v>
      </c>
      <c r="S557" s="190"/>
      <c r="T557" s="570">
        <f>IF(T538=0,0,(T535/T538)*0.5)</f>
        <v>0</v>
      </c>
      <c r="U557" s="570">
        <f>IF(U538=0,0,(U535/U538)*0.5)</f>
        <v>0</v>
      </c>
      <c r="V557" s="371"/>
      <c r="W557" s="393"/>
      <c r="X557" s="190"/>
      <c r="Y557" s="129"/>
      <c r="Z557" s="130"/>
      <c r="AA557" s="130"/>
      <c r="AB557" s="130"/>
      <c r="AC557" s="125"/>
      <c r="AE557" s="190"/>
      <c r="AF557" s="190"/>
      <c r="AG557" s="190"/>
      <c r="AH557" s="129"/>
      <c r="AI557" s="130"/>
      <c r="AK557" s="190"/>
      <c r="AL557" s="190"/>
      <c r="AM557" s="190"/>
      <c r="AN557" s="129"/>
      <c r="AO557" s="130"/>
      <c r="AQ557" s="190"/>
      <c r="AR557" s="190"/>
      <c r="AS557" s="190"/>
      <c r="AT557" s="129"/>
      <c r="AU557" s="130"/>
      <c r="AW557" s="190"/>
      <c r="AX557" s="190"/>
      <c r="AY557" s="190"/>
      <c r="AZ557" s="129"/>
      <c r="BA557" s="130"/>
    </row>
    <row r="558" spans="1:53" ht="17.100000000000001" customHeight="1" x14ac:dyDescent="0.25">
      <c r="A558" s="119"/>
      <c r="B558" s="40"/>
      <c r="C558" s="40"/>
      <c r="D558" s="128" t="s">
        <v>320</v>
      </c>
      <c r="E558" s="122"/>
      <c r="F558" s="122"/>
      <c r="G558" s="122"/>
      <c r="H558" s="928"/>
      <c r="I558" s="12"/>
      <c r="J558" s="190"/>
      <c r="K558" s="190"/>
      <c r="L558" s="190"/>
      <c r="M558" s="190"/>
      <c r="N558" s="570">
        <f>SUM(N551:N557)</f>
        <v>0</v>
      </c>
      <c r="O558" s="570">
        <f>SUM(O551:O557)</f>
        <v>0</v>
      </c>
      <c r="P558" s="190"/>
      <c r="Q558" s="570">
        <f>SUM(Q551:Q557)</f>
        <v>0</v>
      </c>
      <c r="R558" s="570">
        <f>SUM(R551:R557)</f>
        <v>0</v>
      </c>
      <c r="S558" s="190"/>
      <c r="T558" s="570">
        <f>SUM(T551:T557)</f>
        <v>0</v>
      </c>
      <c r="U558" s="570">
        <f>SUM(U551:U557)</f>
        <v>0</v>
      </c>
      <c r="V558" s="371"/>
      <c r="W558" s="393"/>
      <c r="X558" s="190"/>
      <c r="Y558" s="129"/>
      <c r="Z558" s="130"/>
      <c r="AA558" s="130"/>
      <c r="AB558" s="130"/>
      <c r="AC558" s="125"/>
      <c r="AE558" s="190"/>
      <c r="AF558" s="190"/>
      <c r="AG558" s="190"/>
      <c r="AH558" s="129"/>
      <c r="AI558" s="130"/>
      <c r="AK558" s="190"/>
      <c r="AL558" s="190"/>
      <c r="AM558" s="190"/>
      <c r="AN558" s="129"/>
      <c r="AO558" s="130"/>
      <c r="AQ558" s="190"/>
      <c r="AR558" s="190"/>
      <c r="AS558" s="190"/>
      <c r="AT558" s="129"/>
      <c r="AU558" s="130"/>
      <c r="AW558" s="190"/>
      <c r="AX558" s="190"/>
      <c r="AY558" s="190"/>
      <c r="AZ558" s="129"/>
      <c r="BA558" s="130"/>
    </row>
    <row r="559" spans="1:53" ht="17.100000000000001" customHeight="1" x14ac:dyDescent="0.25">
      <c r="A559" s="119"/>
      <c r="B559" s="40"/>
      <c r="C559" s="40"/>
      <c r="D559" s="128" t="s">
        <v>321</v>
      </c>
      <c r="E559" s="122"/>
      <c r="F559" s="122"/>
      <c r="G559" s="122"/>
      <c r="H559" s="928"/>
      <c r="I559" s="12"/>
      <c r="J559" s="190"/>
      <c r="K559" s="190"/>
      <c r="L559" s="190"/>
      <c r="M559" s="190"/>
      <c r="N559" s="190">
        <v>3.5</v>
      </c>
      <c r="O559" s="190">
        <v>3.5</v>
      </c>
      <c r="P559" s="190"/>
      <c r="Q559" s="190">
        <v>3.5</v>
      </c>
      <c r="R559" s="190">
        <v>3.5</v>
      </c>
      <c r="S559" s="190"/>
      <c r="T559" s="190">
        <v>3.5</v>
      </c>
      <c r="U559" s="190">
        <v>3.5</v>
      </c>
      <c r="V559" s="371"/>
      <c r="W559" s="393"/>
      <c r="X559" s="190"/>
      <c r="Y559" s="129"/>
      <c r="Z559" s="130"/>
      <c r="AA559" s="130"/>
      <c r="AB559" s="130"/>
      <c r="AC559" s="125"/>
      <c r="AE559" s="190"/>
      <c r="AF559" s="190"/>
      <c r="AG559" s="190"/>
      <c r="AH559" s="129"/>
      <c r="AI559" s="130"/>
      <c r="AK559" s="190"/>
      <c r="AL559" s="190"/>
      <c r="AM559" s="190"/>
      <c r="AN559" s="129"/>
      <c r="AO559" s="130"/>
      <c r="AQ559" s="190"/>
      <c r="AR559" s="190"/>
      <c r="AS559" s="190"/>
      <c r="AT559" s="129"/>
      <c r="AU559" s="130"/>
      <c r="AW559" s="190"/>
      <c r="AX559" s="190"/>
      <c r="AY559" s="190"/>
      <c r="AZ559" s="129"/>
      <c r="BA559" s="130"/>
    </row>
    <row r="560" spans="1:53" ht="17.100000000000001" customHeight="1" x14ac:dyDescent="0.25">
      <c r="A560" s="119"/>
      <c r="B560" s="40"/>
      <c r="C560" s="40"/>
      <c r="D560" s="75" t="s">
        <v>322</v>
      </c>
      <c r="E560" s="75"/>
      <c r="F560" s="75"/>
      <c r="G560" s="75"/>
      <c r="H560" s="1322"/>
      <c r="I560" s="12"/>
      <c r="J560" s="191" t="str">
        <f>IF(J$502=0,"",J561)</f>
        <v/>
      </c>
      <c r="K560" s="191" t="str">
        <f>IF(K$502=0,"",K561)</f>
        <v/>
      </c>
      <c r="L560" s="191" t="str">
        <f>IF(L$502=0,"",L561)</f>
        <v/>
      </c>
      <c r="M560" s="191"/>
      <c r="N560" s="191" t="str">
        <f>IF(N550=0,"",IF(N561=0,0,N561))</f>
        <v/>
      </c>
      <c r="O560" s="191" t="str">
        <f>IF(O550=0,"",IF(O561=0,0,O561))</f>
        <v/>
      </c>
      <c r="P560" s="191"/>
      <c r="Q560" s="191" t="str">
        <f>IF(Q550=0,"",IF(Q561=0,0,Q561))</f>
        <v/>
      </c>
      <c r="R560" s="191" t="str">
        <f>IF(R550=0,"",IF(R561=0,0,R561))</f>
        <v/>
      </c>
      <c r="S560" s="191"/>
      <c r="T560" s="191" t="str">
        <f>IF(T550=0,"",IF(T561=0,0,T561))</f>
        <v/>
      </c>
      <c r="U560" s="191" t="str">
        <f>IF(U550=0,"",IF(U561=0,0,U561))</f>
        <v/>
      </c>
      <c r="V560" s="191"/>
      <c r="W560" s="394"/>
      <c r="X560" s="191"/>
      <c r="Y560" s="164"/>
      <c r="Z560" s="192"/>
      <c r="AA560" s="192"/>
      <c r="AB560" s="192"/>
      <c r="AC560" s="193">
        <f>IF(Y560=0,0,AVERAGE(J560:X560))</f>
        <v>0</v>
      </c>
      <c r="AE560" s="191"/>
      <c r="AF560" s="191"/>
      <c r="AG560" s="191"/>
      <c r="AH560" s="164"/>
      <c r="AI560" s="192"/>
      <c r="AK560" s="191"/>
      <c r="AL560" s="191"/>
      <c r="AM560" s="191"/>
      <c r="AN560" s="164"/>
      <c r="AO560" s="192"/>
      <c r="AQ560" s="191"/>
      <c r="AR560" s="191"/>
      <c r="AS560" s="191"/>
      <c r="AT560" s="164"/>
      <c r="AU560" s="192"/>
      <c r="AW560" s="191"/>
      <c r="AX560" s="191"/>
      <c r="AY560" s="191"/>
      <c r="AZ560" s="164"/>
      <c r="BA560" s="192"/>
    </row>
    <row r="561" spans="1:53" ht="17.100000000000001" customHeight="1" x14ac:dyDescent="0.25">
      <c r="A561" s="119"/>
      <c r="B561" s="40"/>
      <c r="C561" s="40"/>
      <c r="D561" s="128" t="s">
        <v>323</v>
      </c>
      <c r="E561" s="122"/>
      <c r="F561" s="122"/>
      <c r="G561" s="122"/>
      <c r="H561" s="1322"/>
      <c r="I561" s="12"/>
      <c r="J561" s="194"/>
      <c r="K561" s="194"/>
      <c r="L561" s="194"/>
      <c r="M561" s="194"/>
      <c r="N561" s="194">
        <f>N558/N559</f>
        <v>0</v>
      </c>
      <c r="O561" s="194">
        <f t="shared" ref="O561" si="662">O558/O559</f>
        <v>0</v>
      </c>
      <c r="P561" s="194"/>
      <c r="Q561" s="194">
        <f>Q558/Q559</f>
        <v>0</v>
      </c>
      <c r="R561" s="194">
        <f t="shared" ref="R561" si="663">R558/R559</f>
        <v>0</v>
      </c>
      <c r="S561" s="194"/>
      <c r="T561" s="194">
        <f>T558/T559</f>
        <v>0</v>
      </c>
      <c r="U561" s="194">
        <f t="shared" ref="U561" si="664">U558/U559</f>
        <v>0</v>
      </c>
      <c r="V561" s="194"/>
      <c r="W561" s="969">
        <f>N561+Q561+T561</f>
        <v>0</v>
      </c>
      <c r="X561" s="504">
        <f>O561+R561+U561</f>
        <v>0</v>
      </c>
      <c r="Y561" s="162"/>
      <c r="Z561" s="195"/>
      <c r="AA561" s="195"/>
      <c r="AB561" s="195"/>
      <c r="AC561" s="161"/>
      <c r="AE561" s="194"/>
      <c r="AF561" s="194"/>
      <c r="AG561" s="194"/>
      <c r="AH561" s="162"/>
      <c r="AI561" s="195"/>
      <c r="AK561" s="194"/>
      <c r="AL561" s="194"/>
      <c r="AM561" s="194"/>
      <c r="AN561" s="162"/>
      <c r="AO561" s="195"/>
      <c r="AQ561" s="194"/>
      <c r="AR561" s="194"/>
      <c r="AS561" s="194"/>
      <c r="AT561" s="162"/>
      <c r="AU561" s="195"/>
      <c r="AW561" s="194"/>
      <c r="AX561" s="194"/>
      <c r="AY561" s="194"/>
      <c r="AZ561" s="162"/>
      <c r="BA561" s="195"/>
    </row>
    <row r="562" spans="1:53" ht="17.100000000000001" customHeight="1" x14ac:dyDescent="0.25">
      <c r="A562" s="137"/>
      <c r="B562" s="137"/>
      <c r="C562" s="40"/>
      <c r="D562" s="128"/>
      <c r="E562" s="122"/>
      <c r="F562" s="122"/>
      <c r="G562" s="122"/>
      <c r="H562" s="1322"/>
      <c r="I562" s="12"/>
      <c r="J562" s="194"/>
      <c r="K562" s="194"/>
      <c r="L562" s="194"/>
      <c r="M562" s="194"/>
      <c r="N562" s="194" t="str">
        <f>IF(N550=0,"",N561)</f>
        <v/>
      </c>
      <c r="O562" s="194" t="str">
        <f>IF(O550=0,"",O561)</f>
        <v/>
      </c>
      <c r="P562" s="194"/>
      <c r="Q562" s="194" t="str">
        <f>IF(Q550=0,"",Q561)</f>
        <v/>
      </c>
      <c r="R562" s="194" t="str">
        <f>IF(R550=0,"",R561)</f>
        <v/>
      </c>
      <c r="S562" s="194"/>
      <c r="T562" s="194" t="str">
        <f>IF(T550=0,"",T561)</f>
        <v/>
      </c>
      <c r="U562" s="194" t="str">
        <f>IF(U550=0,"",U561)</f>
        <v/>
      </c>
      <c r="V562" s="194"/>
      <c r="W562" s="969" t="str">
        <f>IF(W561=0,"",AVERAGE(N562,Q562,T562))</f>
        <v/>
      </c>
      <c r="X562" s="504" t="str">
        <f>IF(X561=0,"",AVERAGE(O562,R562,U562))</f>
        <v/>
      </c>
      <c r="Y562" s="504" t="str">
        <f>IF(Y561=0,"",AVERAGE(P562,S562,V562))</f>
        <v/>
      </c>
      <c r="Z562" s="195"/>
      <c r="AA562" s="195"/>
      <c r="AB562" s="195"/>
      <c r="AC562" s="161"/>
      <c r="AE562" s="194"/>
      <c r="AF562" s="194"/>
      <c r="AG562" s="194"/>
      <c r="AH562" s="162"/>
      <c r="AI562" s="195"/>
      <c r="AK562" s="194"/>
      <c r="AL562" s="194"/>
      <c r="AM562" s="194"/>
      <c r="AN562" s="162"/>
      <c r="AO562" s="195"/>
      <c r="AQ562" s="194"/>
      <c r="AR562" s="194"/>
      <c r="AS562" s="194"/>
      <c r="AT562" s="162"/>
      <c r="AU562" s="195"/>
      <c r="AW562" s="194"/>
      <c r="AX562" s="194"/>
      <c r="AY562" s="194"/>
      <c r="AZ562" s="162"/>
      <c r="BA562" s="195"/>
    </row>
    <row r="563" spans="1:53" s="117" customFormat="1" ht="17.100000000000001" customHeight="1" x14ac:dyDescent="0.25">
      <c r="A563" s="119"/>
      <c r="B563" s="119"/>
      <c r="C563" s="196"/>
      <c r="D563" s="75" t="s">
        <v>324</v>
      </c>
      <c r="E563" s="75"/>
      <c r="F563" s="75"/>
      <c r="G563" s="75"/>
      <c r="H563" s="1322"/>
      <c r="I563" s="12"/>
      <c r="J563" s="55" t="str">
        <f>IF(J$502=0,"",IF(J560&gt;=0.75,1,0))</f>
        <v/>
      </c>
      <c r="K563" s="55" t="str">
        <f>IF(K$502=0,"",IF(K560&gt;=0.75,1,0))</f>
        <v/>
      </c>
      <c r="L563" s="55" t="str">
        <f>IF(L$502=0,"",IF(L560&gt;=0.75,1,0))</f>
        <v/>
      </c>
      <c r="M563" s="55"/>
      <c r="N563" s="55">
        <f>IF(N$550=0,0,IF(N$560&gt;=0.75,1,0))</f>
        <v>0</v>
      </c>
      <c r="O563" s="55">
        <f>IF(O$550=0,0,IF(O$560&gt;=0.75,1,0))</f>
        <v>0</v>
      </c>
      <c r="P563" s="55">
        <f>IF(SUM(N563:O563)=0,0,IF(SUM(N563:O563)=2,1,IF(AND(N$561=0,O563&gt;0),O563,SUM(N563:O563)/2)))</f>
        <v>0</v>
      </c>
      <c r="Q563" s="55">
        <f>IF(Q$550=0,0,IF(Q$560&gt;=0.75,1,0))</f>
        <v>0</v>
      </c>
      <c r="R563" s="55">
        <f>IF(R$550=0,0,IF(R$560&gt;=0.75,1,0))</f>
        <v>0</v>
      </c>
      <c r="S563" s="55">
        <f>IF(SUM(Q563:R563)=0,0,IF(SUM(Q563:R563)=2,1,IF(AND(Q$561=0,R563&gt;0),R563,SUM(Q563:R563)/2)))</f>
        <v>0</v>
      </c>
      <c r="T563" s="55">
        <f>IF(T$550=0,0,IF(T$560&gt;=0.75,1,0))</f>
        <v>0</v>
      </c>
      <c r="U563" s="55">
        <f>IF(U$550=0,0,IF(U$560&gt;=0.75,1,0))</f>
        <v>0</v>
      </c>
      <c r="V563" s="55">
        <f>IF(SUM(T563:U563)=0,0,IF(SUM(T563:U563)=2,1,IF(AND(T$561=0,U563&gt;0),U563,SUM(T563:U563)/2)))</f>
        <v>0</v>
      </c>
      <c r="W563" s="391">
        <f>N563+Q563+T563</f>
        <v>0</v>
      </c>
      <c r="X563" s="17">
        <f>O563+R563+U563</f>
        <v>0</v>
      </c>
      <c r="Y563" s="17">
        <f>P563+S563+V563</f>
        <v>0</v>
      </c>
      <c r="Z563" s="19">
        <f>IF(Y$566=0,0,Y563/Y$566)</f>
        <v>0</v>
      </c>
      <c r="AA563" s="197"/>
      <c r="AB563" s="197"/>
      <c r="AC563" s="198"/>
      <c r="AE563" s="55"/>
      <c r="AF563" s="55"/>
      <c r="AG563" s="55"/>
      <c r="AH563" s="164"/>
      <c r="AI563" s="197"/>
      <c r="AK563" s="55"/>
      <c r="AL563" s="55"/>
      <c r="AM563" s="55"/>
      <c r="AN563" s="164"/>
      <c r="AO563" s="197"/>
      <c r="AQ563" s="55"/>
      <c r="AR563" s="55"/>
      <c r="AS563" s="55"/>
      <c r="AT563" s="164"/>
      <c r="AU563" s="197"/>
      <c r="AW563" s="55"/>
      <c r="AX563" s="55"/>
      <c r="AY563" s="55"/>
      <c r="AZ563" s="164"/>
      <c r="BA563" s="197"/>
    </row>
    <row r="564" spans="1:53" s="117" customFormat="1" ht="17.100000000000001" customHeight="1" x14ac:dyDescent="0.25">
      <c r="A564" s="119"/>
      <c r="B564" s="119"/>
      <c r="C564" s="136"/>
      <c r="D564" s="75" t="s">
        <v>325</v>
      </c>
      <c r="E564" s="75"/>
      <c r="F564" s="75"/>
      <c r="G564" s="75"/>
      <c r="H564" s="1322"/>
      <c r="I564" s="12"/>
      <c r="J564" s="55" t="str">
        <f>IF(J$502=0,"",IF(AND(J561&gt;=0.5,J561&lt;0.75),1,0))</f>
        <v/>
      </c>
      <c r="K564" s="55" t="str">
        <f>IF(K$502=0,"",IF(AND(K561&gt;=0.5,K561&lt;0.75),1,0))</f>
        <v/>
      </c>
      <c r="L564" s="55" t="str">
        <f>IF(L$502=0,"",IF(AND(L561&gt;=0.5,L561&lt;0.75),1,0))</f>
        <v/>
      </c>
      <c r="M564" s="55"/>
      <c r="N564" s="55">
        <f>IF(N$550=0,0,IF(AND(N560&gt;=0.5,N560&lt;0.75),1,0))</f>
        <v>0</v>
      </c>
      <c r="O564" s="55">
        <f t="shared" ref="O564" si="665">IF(O$550=0,0,IF(AND(O560&gt;=0.5,O560&lt;0.75),1,0))</f>
        <v>0</v>
      </c>
      <c r="P564" s="55">
        <f t="shared" ref="P564:P565" si="666">IF(SUM(N564:O564)=0,0,IF(SUM(N564:O564)=2,1,IF(AND(N$561=0,O564&gt;0),O564,SUM(N564:O564)/2)))</f>
        <v>0</v>
      </c>
      <c r="Q564" s="55">
        <f>IF(Q$550=0,0,IF(AND(Q560&gt;=0.5,Q560&lt;0.75),1,0))</f>
        <v>0</v>
      </c>
      <c r="R564" s="55">
        <f t="shared" ref="R564" si="667">IF(R$550=0,0,IF(AND(R560&gt;=0.5,R560&lt;0.75),1,0))</f>
        <v>0</v>
      </c>
      <c r="S564" s="55">
        <f t="shared" ref="S564:S565" si="668">IF(SUM(Q564:R564)=0,0,IF(SUM(Q564:R564)=2,1,IF(AND(Q$561=0,R564&gt;0),R564,SUM(Q564:R564)/2)))</f>
        <v>0</v>
      </c>
      <c r="T564" s="55">
        <f>IF(T$550=0,0,IF(AND(T560&gt;=0.5,T560&lt;0.75),1,0))</f>
        <v>0</v>
      </c>
      <c r="U564" s="55">
        <f t="shared" ref="U564" si="669">IF(U$550=0,0,IF(AND(U560&gt;=0.5,U560&lt;0.75),1,0))</f>
        <v>0</v>
      </c>
      <c r="V564" s="55">
        <f t="shared" ref="V564:V565" si="670">IF(SUM(T564:U564)=0,0,IF(SUM(T564:U564)=2,1,IF(AND(T$561=0,U564&gt;0),U564,SUM(T564:U564)/2)))</f>
        <v>0</v>
      </c>
      <c r="W564" s="391">
        <f t="shared" ref="W564:Y565" si="671">N564+Q564+T564</f>
        <v>0</v>
      </c>
      <c r="X564" s="17">
        <f t="shared" si="671"/>
        <v>0</v>
      </c>
      <c r="Y564" s="17">
        <f t="shared" si="671"/>
        <v>0</v>
      </c>
      <c r="Z564" s="19">
        <f t="shared" ref="Z564:Z566" si="672">IF(Y$566=0,0,Y564/Y$566)</f>
        <v>0</v>
      </c>
      <c r="AA564" s="197"/>
      <c r="AB564" s="197"/>
      <c r="AC564" s="198"/>
      <c r="AE564" s="55"/>
      <c r="AF564" s="55"/>
      <c r="AG564" s="55"/>
      <c r="AH564" s="164"/>
      <c r="AI564" s="197"/>
      <c r="AK564" s="55"/>
      <c r="AL564" s="55"/>
      <c r="AM564" s="55"/>
      <c r="AN564" s="164"/>
      <c r="AO564" s="197"/>
      <c r="AQ564" s="55"/>
      <c r="AR564" s="55"/>
      <c r="AS564" s="55"/>
      <c r="AT564" s="164"/>
      <c r="AU564" s="197"/>
      <c r="AW564" s="55"/>
      <c r="AX564" s="55"/>
      <c r="AY564" s="55"/>
      <c r="AZ564" s="164"/>
      <c r="BA564" s="197"/>
    </row>
    <row r="565" spans="1:53" s="97" customFormat="1" ht="17.100000000000001" customHeight="1" x14ac:dyDescent="0.25">
      <c r="A565" s="119"/>
      <c r="B565" s="119"/>
      <c r="C565" s="137"/>
      <c r="D565" s="75" t="s">
        <v>326</v>
      </c>
      <c r="E565" s="75"/>
      <c r="F565" s="75"/>
      <c r="G565" s="75"/>
      <c r="H565" s="1322"/>
      <c r="I565" s="12"/>
      <c r="J565" s="55" t="str">
        <f>IF(J$502=0,"",IF(J561&lt;0.5,1,0))</f>
        <v/>
      </c>
      <c r="K565" s="55" t="str">
        <f>IF(K$502=0,"",IF(K561&lt;0.5,1,0))</f>
        <v/>
      </c>
      <c r="L565" s="55" t="str">
        <f>IF(L$502=0,"",IF(L561&lt;0.5,1,0))</f>
        <v/>
      </c>
      <c r="M565" s="55"/>
      <c r="N565" s="55">
        <f>IF(N$550=0,0,IF(N560&lt;0.5,1,0))</f>
        <v>0</v>
      </c>
      <c r="O565" s="55">
        <f t="shared" ref="O565" si="673">IF(O$550=0,0,IF(O560&lt;0.5,1,0))</f>
        <v>0</v>
      </c>
      <c r="P565" s="55">
        <f t="shared" si="666"/>
        <v>0</v>
      </c>
      <c r="Q565" s="55">
        <f>IF(Q$550=0,0,IF(Q560&lt;0.5,1,0))</f>
        <v>0</v>
      </c>
      <c r="R565" s="55">
        <f t="shared" ref="R565" si="674">IF(R$550=0,0,IF(R560&lt;0.5,1,0))</f>
        <v>0</v>
      </c>
      <c r="S565" s="55">
        <f t="shared" si="668"/>
        <v>0</v>
      </c>
      <c r="T565" s="55">
        <f>IF(T$550=0,0,IF(T560&lt;0.5,1,0))</f>
        <v>0</v>
      </c>
      <c r="U565" s="55">
        <f t="shared" ref="U565" si="675">IF(U$550=0,0,IF(U560&lt;0.5,1,0))</f>
        <v>0</v>
      </c>
      <c r="V565" s="55">
        <f t="shared" si="670"/>
        <v>0</v>
      </c>
      <c r="W565" s="391">
        <f t="shared" si="671"/>
        <v>0</v>
      </c>
      <c r="X565" s="17">
        <f t="shared" si="671"/>
        <v>0</v>
      </c>
      <c r="Y565" s="17">
        <f t="shared" si="671"/>
        <v>0</v>
      </c>
      <c r="Z565" s="19">
        <f t="shared" si="672"/>
        <v>0</v>
      </c>
      <c r="AA565" s="197"/>
      <c r="AB565" s="197"/>
      <c r="AC565" s="198"/>
      <c r="AE565" s="55"/>
      <c r="AF565" s="55"/>
      <c r="AG565" s="55"/>
      <c r="AH565" s="164"/>
      <c r="AI565" s="197"/>
      <c r="AK565" s="55"/>
      <c r="AL565" s="55"/>
      <c r="AM565" s="55"/>
      <c r="AN565" s="164"/>
      <c r="AO565" s="197"/>
      <c r="AQ565" s="55"/>
      <c r="AR565" s="55"/>
      <c r="AS565" s="55"/>
      <c r="AT565" s="164"/>
      <c r="AU565" s="197"/>
      <c r="AW565" s="55"/>
      <c r="AX565" s="55"/>
      <c r="AY565" s="55"/>
      <c r="AZ565" s="164"/>
      <c r="BA565" s="197"/>
    </row>
    <row r="566" spans="1:53" s="117" customFormat="1" ht="17.100000000000001" customHeight="1" x14ac:dyDescent="0.25">
      <c r="A566" s="119"/>
      <c r="B566" s="119"/>
      <c r="C566" s="119"/>
      <c r="D566" s="428"/>
      <c r="E566" s="93"/>
      <c r="F566" s="93"/>
      <c r="G566" s="93"/>
      <c r="H566" s="1322"/>
      <c r="I566" s="12"/>
      <c r="J566" s="191"/>
      <c r="K566" s="191"/>
      <c r="L566" s="191"/>
      <c r="M566" s="191"/>
      <c r="N566" s="191"/>
      <c r="O566" s="191"/>
      <c r="P566" s="191"/>
      <c r="Q566" s="191"/>
      <c r="R566" s="191"/>
      <c r="S566" s="191"/>
      <c r="T566" s="191"/>
      <c r="U566" s="191"/>
      <c r="V566" s="191"/>
      <c r="W566" s="394"/>
      <c r="X566" s="191"/>
      <c r="Y566" s="164">
        <f>SUM(Y563:Y565)</f>
        <v>0</v>
      </c>
      <c r="Z566" s="19">
        <f t="shared" si="672"/>
        <v>0</v>
      </c>
      <c r="AA566" s="192"/>
      <c r="AB566" s="192"/>
      <c r="AC566" s="198"/>
      <c r="AE566" s="191"/>
      <c r="AF566" s="191"/>
      <c r="AG566" s="191"/>
      <c r="AH566" s="164"/>
      <c r="AI566" s="192"/>
      <c r="AK566" s="191"/>
      <c r="AL566" s="191"/>
      <c r="AM566" s="191"/>
      <c r="AN566" s="164"/>
      <c r="AO566" s="192"/>
      <c r="AQ566" s="191"/>
      <c r="AR566" s="191"/>
      <c r="AS566" s="191"/>
      <c r="AT566" s="164"/>
      <c r="AU566" s="192"/>
      <c r="AW566" s="191"/>
      <c r="AX566" s="191"/>
      <c r="AY566" s="191"/>
      <c r="AZ566" s="164"/>
      <c r="BA566" s="192"/>
    </row>
    <row r="567" spans="1:53" s="97" customFormat="1" ht="17.100000000000001" customHeight="1" x14ac:dyDescent="0.25">
      <c r="A567" s="68"/>
      <c r="B567" s="68"/>
      <c r="C567" s="92"/>
      <c r="D567" s="93"/>
      <c r="E567" s="93"/>
      <c r="F567" s="93"/>
      <c r="G567" s="93"/>
      <c r="H567" s="165"/>
      <c r="I567" s="12"/>
      <c r="J567" s="94"/>
      <c r="K567" s="94"/>
      <c r="L567" s="95"/>
      <c r="M567" s="95"/>
      <c r="N567" s="95"/>
      <c r="O567" s="95"/>
      <c r="P567" s="95"/>
      <c r="Q567" s="95"/>
      <c r="R567" s="95"/>
      <c r="S567" s="95"/>
      <c r="T567" s="95"/>
      <c r="U567" s="95"/>
      <c r="V567" s="95"/>
      <c r="W567" s="378"/>
      <c r="X567" s="95"/>
      <c r="Y567" s="96"/>
      <c r="AE567" s="109"/>
      <c r="AF567" s="109"/>
      <c r="AG567" s="109"/>
      <c r="AH567" s="96"/>
      <c r="AK567" s="109"/>
      <c r="AL567" s="109"/>
      <c r="AM567" s="109"/>
      <c r="AN567" s="96"/>
      <c r="AQ567" s="109"/>
      <c r="AR567" s="109"/>
      <c r="AS567" s="109"/>
      <c r="AT567" s="96"/>
      <c r="AW567" s="109"/>
      <c r="AX567" s="109"/>
      <c r="AY567" s="109"/>
      <c r="AZ567" s="96"/>
    </row>
    <row r="568" spans="1:53" s="32" customFormat="1" ht="16.5" thickBot="1" x14ac:dyDescent="0.3">
      <c r="A568" s="24" t="s">
        <v>329</v>
      </c>
      <c r="B568" s="25" t="s">
        <v>330</v>
      </c>
      <c r="C568" s="26"/>
      <c r="D568" s="27"/>
      <c r="E568" s="27"/>
      <c r="F568" s="27"/>
      <c r="G568" s="28"/>
      <c r="H568" s="215"/>
      <c r="I568" s="228"/>
      <c r="J568" s="101"/>
      <c r="K568" s="101"/>
      <c r="L568" s="101"/>
      <c r="M568" s="101"/>
      <c r="N568" s="101"/>
      <c r="O568" s="101"/>
      <c r="P568" s="101"/>
      <c r="Q568" s="101"/>
      <c r="R568" s="101"/>
      <c r="S568" s="101"/>
      <c r="T568" s="101"/>
      <c r="U568" s="101"/>
      <c r="V568" s="357"/>
      <c r="W568" s="379"/>
      <c r="X568" s="101"/>
      <c r="Y568" s="30" t="s">
        <v>4</v>
      </c>
      <c r="Z568" s="30" t="s">
        <v>5</v>
      </c>
      <c r="AA568" s="30"/>
      <c r="AB568" s="30"/>
      <c r="AC568" s="30" t="s">
        <v>6</v>
      </c>
      <c r="AE568" s="33" t="s">
        <v>181</v>
      </c>
      <c r="AF568" s="33" t="s">
        <v>182</v>
      </c>
      <c r="AG568" s="33" t="s">
        <v>6</v>
      </c>
      <c r="AH568" s="33" t="s">
        <v>4</v>
      </c>
      <c r="AI568" s="34" t="s">
        <v>5</v>
      </c>
      <c r="AJ568" s="408"/>
      <c r="AK568" s="36" t="s">
        <v>181</v>
      </c>
      <c r="AL568" s="36" t="s">
        <v>182</v>
      </c>
      <c r="AM568" s="36" t="s">
        <v>6</v>
      </c>
      <c r="AN568" s="36" t="s">
        <v>4</v>
      </c>
      <c r="AO568" s="37" t="s">
        <v>5</v>
      </c>
      <c r="AP568" s="408"/>
      <c r="AQ568" s="36"/>
      <c r="AR568" s="36"/>
      <c r="AS568" s="36"/>
      <c r="AT568" s="36"/>
      <c r="AU568" s="37"/>
      <c r="AV568" s="408"/>
      <c r="AW568" s="38" t="s">
        <v>181</v>
      </c>
      <c r="AX568" s="38" t="s">
        <v>182</v>
      </c>
      <c r="AY568" s="38" t="s">
        <v>6</v>
      </c>
      <c r="AZ568" s="38" t="s">
        <v>4</v>
      </c>
      <c r="BA568" s="39" t="s">
        <v>5</v>
      </c>
    </row>
    <row r="569" spans="1:53" ht="17.100000000000001" customHeight="1" x14ac:dyDescent="0.25">
      <c r="A569" s="68"/>
      <c r="B569" s="41" t="s">
        <v>675</v>
      </c>
      <c r="C569" s="49" t="s">
        <v>674</v>
      </c>
      <c r="D569" s="50"/>
      <c r="E569" s="70"/>
      <c r="F569" s="70"/>
      <c r="G569" s="70"/>
      <c r="H569" s="119"/>
      <c r="J569" s="71"/>
      <c r="K569" s="71"/>
      <c r="L569" s="71"/>
      <c r="M569" s="71"/>
      <c r="N569" s="71"/>
      <c r="O569" s="71"/>
      <c r="P569" s="71"/>
      <c r="Q569" s="71"/>
      <c r="R569" s="71"/>
      <c r="S569" s="71"/>
      <c r="T569" s="71"/>
      <c r="U569" s="71"/>
      <c r="V569" s="355"/>
      <c r="W569" s="377"/>
      <c r="X569" s="71"/>
      <c r="Y569" s="72"/>
      <c r="Z569" s="73"/>
      <c r="AA569" s="73"/>
      <c r="AB569" s="73"/>
      <c r="AC569" s="73"/>
      <c r="AE569" s="71"/>
      <c r="AF569" s="71"/>
      <c r="AG569" s="71"/>
      <c r="AH569" s="72"/>
      <c r="AI569" s="73"/>
      <c r="AK569" s="71"/>
      <c r="AL569" s="71"/>
      <c r="AM569" s="71"/>
      <c r="AN569" s="72"/>
      <c r="AO569" s="73"/>
      <c r="AQ569" s="71"/>
      <c r="AR569" s="71"/>
      <c r="AS569" s="71"/>
      <c r="AT569" s="72"/>
      <c r="AU569" s="73"/>
      <c r="AW569" s="71"/>
      <c r="AX569" s="71"/>
      <c r="AY569" s="71"/>
      <c r="AZ569" s="72"/>
      <c r="BA569" s="73"/>
    </row>
    <row r="570" spans="1:53" ht="17.100000000000001" customHeight="1" x14ac:dyDescent="0.25">
      <c r="A570" s="119"/>
      <c r="B570" s="119"/>
      <c r="C570" s="56" t="s">
        <v>676</v>
      </c>
      <c r="D570" s="146" t="s">
        <v>9</v>
      </c>
      <c r="E570" s="105"/>
      <c r="F570" s="105"/>
      <c r="G570" s="105"/>
      <c r="H570" s="119"/>
      <c r="I570" s="231"/>
      <c r="J570" s="111"/>
      <c r="K570" s="111"/>
      <c r="L570" s="111"/>
      <c r="M570" s="111"/>
      <c r="N570" s="60"/>
      <c r="O570" s="60"/>
      <c r="P570" s="17">
        <f t="shared" ref="P570:P571" si="676">SUM(N570:O570)</f>
        <v>0</v>
      </c>
      <c r="Q570" s="60"/>
      <c r="R570" s="60"/>
      <c r="S570" s="17">
        <f t="shared" ref="S570:S571" si="677">SUM(Q570:R570)</f>
        <v>0</v>
      </c>
      <c r="T570" s="60"/>
      <c r="U570" s="60"/>
      <c r="V570" s="359">
        <f t="shared" ref="V570:V571" si="678">SUM(T570:U570)</f>
        <v>0</v>
      </c>
      <c r="W570" s="391">
        <f t="shared" ref="W570:W571" si="679">J570+K570+N570+Q570+T570</f>
        <v>0</v>
      </c>
      <c r="X570" s="17">
        <f t="shared" ref="X570:X571" si="680">L570+O570+R570+U570</f>
        <v>0</v>
      </c>
      <c r="Y570" s="18">
        <f>SUM(W570:X570)</f>
        <v>0</v>
      </c>
      <c r="Z570" s="19">
        <f>IF(Y$538=0,0,Y570/Y$538)</f>
        <v>0</v>
      </c>
      <c r="AA570" s="19"/>
      <c r="AB570" s="19"/>
      <c r="AC570" s="20"/>
      <c r="AE570" s="111"/>
      <c r="AF570" s="111"/>
      <c r="AG570" s="111"/>
      <c r="AH570" s="112"/>
      <c r="AI570" s="113"/>
      <c r="AK570" s="111"/>
      <c r="AL570" s="111"/>
      <c r="AM570" s="111"/>
      <c r="AN570" s="112"/>
      <c r="AO570" s="113"/>
      <c r="AQ570" s="17"/>
      <c r="AR570" s="17"/>
      <c r="AS570" s="17"/>
      <c r="AT570" s="18">
        <f t="shared" ref="AT570:AT571" si="681">W570</f>
        <v>0</v>
      </c>
      <c r="AU570" s="19">
        <f>IF(AT$538=0,0,AT570/AT$538)</f>
        <v>0</v>
      </c>
      <c r="AW570" s="17"/>
      <c r="AX570" s="17"/>
      <c r="AY570" s="17"/>
      <c r="AZ570" s="18">
        <f t="shared" ref="AZ570:AZ571" si="682">X570</f>
        <v>0</v>
      </c>
      <c r="BA570" s="19">
        <f>IF(AZ$538=0,0,AZ570/AZ$538)</f>
        <v>0</v>
      </c>
    </row>
    <row r="571" spans="1:53" ht="17.100000000000001" customHeight="1" x14ac:dyDescent="0.25">
      <c r="A571" s="119"/>
      <c r="B571" s="119"/>
      <c r="C571" s="56" t="s">
        <v>677</v>
      </c>
      <c r="D571" s="146" t="s">
        <v>11</v>
      </c>
      <c r="E571" s="105"/>
      <c r="F571" s="105"/>
      <c r="G571" s="105"/>
      <c r="H571" s="119"/>
      <c r="I571" s="231"/>
      <c r="J571" s="111"/>
      <c r="K571" s="111"/>
      <c r="L571" s="111"/>
      <c r="M571" s="111"/>
      <c r="N571" s="61"/>
      <c r="O571" s="61"/>
      <c r="P571" s="17">
        <f t="shared" si="676"/>
        <v>0</v>
      </c>
      <c r="Q571" s="61"/>
      <c r="R571" s="61"/>
      <c r="S571" s="17">
        <f t="shared" si="677"/>
        <v>0</v>
      </c>
      <c r="T571" s="61"/>
      <c r="U571" s="61"/>
      <c r="V571" s="359">
        <f t="shared" si="678"/>
        <v>0</v>
      </c>
      <c r="W571" s="391">
        <f t="shared" si="679"/>
        <v>0</v>
      </c>
      <c r="X571" s="17">
        <f t="shared" si="680"/>
        <v>0</v>
      </c>
      <c r="Y571" s="18">
        <f>SUM(W571:X571)</f>
        <v>0</v>
      </c>
      <c r="Z571" s="19">
        <f t="shared" ref="Z571:Z572" si="683">IF(Y$538=0,0,Y571/Y$538)</f>
        <v>0</v>
      </c>
      <c r="AA571" s="19"/>
      <c r="AB571" s="19"/>
      <c r="AC571" s="20"/>
      <c r="AE571" s="111"/>
      <c r="AF571" s="111"/>
      <c r="AG571" s="111"/>
      <c r="AH571" s="112"/>
      <c r="AI571" s="113"/>
      <c r="AK571" s="111"/>
      <c r="AL571" s="111"/>
      <c r="AM571" s="111"/>
      <c r="AN571" s="112"/>
      <c r="AO571" s="113"/>
      <c r="AQ571" s="17"/>
      <c r="AR571" s="17"/>
      <c r="AS571" s="17"/>
      <c r="AT571" s="18">
        <f t="shared" si="681"/>
        <v>0</v>
      </c>
      <c r="AU571" s="19">
        <f t="shared" ref="AU571:AU572" si="684">IF(AT$538=0,0,AT571/AT$538)</f>
        <v>0</v>
      </c>
      <c r="AW571" s="17"/>
      <c r="AX571" s="17"/>
      <c r="AY571" s="17"/>
      <c r="AZ571" s="18">
        <f t="shared" si="682"/>
        <v>0</v>
      </c>
      <c r="BA571" s="19">
        <f t="shared" ref="BA571:BA572" si="685">IF(AZ$538=0,0,AZ571/AZ$538)</f>
        <v>0</v>
      </c>
    </row>
    <row r="572" spans="1:53" ht="17.100000000000001" customHeight="1" x14ac:dyDescent="0.25">
      <c r="A572" s="40"/>
      <c r="B572" s="40"/>
      <c r="C572" s="77"/>
      <c r="D572" s="134"/>
      <c r="E572" s="134"/>
      <c r="F572" s="134"/>
      <c r="G572" s="134"/>
      <c r="H572" s="540"/>
      <c r="I572" s="229"/>
      <c r="J572" s="80"/>
      <c r="K572" s="80"/>
      <c r="L572" s="81"/>
      <c r="M572" s="81"/>
      <c r="N572" s="81">
        <f t="shared" ref="N572:Y572" si="686">SUM(N570:N571)</f>
        <v>0</v>
      </c>
      <c r="O572" s="81">
        <f t="shared" si="686"/>
        <v>0</v>
      </c>
      <c r="P572" s="81">
        <f t="shared" si="686"/>
        <v>0</v>
      </c>
      <c r="Q572" s="81">
        <f t="shared" si="686"/>
        <v>0</v>
      </c>
      <c r="R572" s="81">
        <f t="shared" si="686"/>
        <v>0</v>
      </c>
      <c r="S572" s="81">
        <f t="shared" si="686"/>
        <v>0</v>
      </c>
      <c r="T572" s="81">
        <f t="shared" si="686"/>
        <v>0</v>
      </c>
      <c r="U572" s="81">
        <f t="shared" si="686"/>
        <v>0</v>
      </c>
      <c r="V572" s="81">
        <f t="shared" si="686"/>
        <v>0</v>
      </c>
      <c r="W572" s="381">
        <f t="shared" si="686"/>
        <v>0</v>
      </c>
      <c r="X572" s="82">
        <f t="shared" si="686"/>
        <v>0</v>
      </c>
      <c r="Y572" s="82">
        <f t="shared" si="686"/>
        <v>0</v>
      </c>
      <c r="Z572" s="205">
        <f t="shared" si="683"/>
        <v>0</v>
      </c>
      <c r="AA572" s="205"/>
      <c r="AB572" s="205"/>
      <c r="AC572" s="83"/>
      <c r="AE572" s="80"/>
      <c r="AF572" s="80"/>
      <c r="AG572" s="81"/>
      <c r="AH572" s="82"/>
      <c r="AI572" s="66"/>
      <c r="AK572" s="80"/>
      <c r="AL572" s="80"/>
      <c r="AM572" s="81"/>
      <c r="AN572" s="82"/>
      <c r="AO572" s="66"/>
      <c r="AQ572" s="80"/>
      <c r="AR572" s="80"/>
      <c r="AS572" s="81"/>
      <c r="AT572" s="82">
        <f>SUM(AT570:AT571)</f>
        <v>0</v>
      </c>
      <c r="AU572" s="66">
        <f t="shared" si="684"/>
        <v>0</v>
      </c>
      <c r="AW572" s="80"/>
      <c r="AX572" s="80"/>
      <c r="AY572" s="81"/>
      <c r="AZ572" s="82">
        <f>SUM(AZ570:AZ571)</f>
        <v>0</v>
      </c>
      <c r="BA572" s="66">
        <f t="shared" si="685"/>
        <v>0</v>
      </c>
    </row>
    <row r="573" spans="1:53" s="117" customFormat="1" ht="17.100000000000001" customHeight="1" x14ac:dyDescent="0.25">
      <c r="A573" s="68"/>
      <c r="B573" s="119"/>
      <c r="C573" s="540"/>
      <c r="D573" s="261"/>
      <c r="E573" s="261"/>
      <c r="F573" s="68"/>
      <c r="G573" s="68"/>
      <c r="H573" s="119"/>
      <c r="I573" s="138"/>
      <c r="J573" s="17"/>
      <c r="K573" s="17"/>
      <c r="L573" s="17"/>
      <c r="M573" s="17"/>
      <c r="N573" s="17" t="str">
        <f>IF(N572=N$20,"OK","NOK")</f>
        <v>OK</v>
      </c>
      <c r="O573" s="17" t="str">
        <f>IF(O572=O$20,"OK","NOK")</f>
        <v>OK</v>
      </c>
      <c r="P573" s="17"/>
      <c r="Q573" s="17" t="str">
        <f>IF(Q572=Q$20,"OK","NOK")</f>
        <v>OK</v>
      </c>
      <c r="R573" s="17" t="str">
        <f>IF(R572=R$20,"OK","NOK")</f>
        <v>OK</v>
      </c>
      <c r="S573" s="17"/>
      <c r="T573" s="17" t="str">
        <f>IF(T572=T$20,"OK","NOK")</f>
        <v>OK</v>
      </c>
      <c r="U573" s="17" t="str">
        <f>IF(U572=U$20,"OK","NOK")</f>
        <v>OK</v>
      </c>
      <c r="V573" s="359"/>
      <c r="W573" s="382"/>
      <c r="X573" s="539"/>
      <c r="Y573" s="539"/>
      <c r="Z573" s="201"/>
      <c r="AA573" s="201"/>
      <c r="AB573" s="201"/>
      <c r="AC573" s="84"/>
      <c r="AE573" s="46"/>
      <c r="AF573" s="46"/>
      <c r="AG573" s="17"/>
      <c r="AH573" s="539"/>
      <c r="AI573" s="91"/>
      <c r="AK573" s="46"/>
      <c r="AL573" s="46"/>
      <c r="AM573" s="17"/>
      <c r="AN573" s="539"/>
      <c r="AO573" s="91"/>
      <c r="AQ573" s="46"/>
      <c r="AR573" s="46"/>
      <c r="AS573" s="17"/>
      <c r="AT573" s="539"/>
      <c r="AU573" s="91"/>
      <c r="AW573" s="46"/>
      <c r="AX573" s="46"/>
      <c r="AY573" s="17"/>
      <c r="AZ573" s="539"/>
      <c r="BA573" s="91"/>
    </row>
    <row r="574" spans="1:53" s="32" customFormat="1" ht="16.5" thickBot="1" x14ac:dyDescent="0.3">
      <c r="A574" s="342"/>
      <c r="B574" s="330"/>
      <c r="C574" s="331"/>
      <c r="D574" s="343"/>
      <c r="E574" s="343"/>
      <c r="F574" s="343"/>
      <c r="G574" s="343"/>
      <c r="H574" s="344"/>
      <c r="I574" s="14"/>
      <c r="J574" s="345"/>
      <c r="K574" s="345"/>
      <c r="L574" s="345"/>
      <c r="M574" s="345"/>
      <c r="N574" s="345"/>
      <c r="O574" s="345"/>
      <c r="P574" s="345"/>
      <c r="Q574" s="345"/>
      <c r="R574" s="345"/>
      <c r="S574" s="345"/>
      <c r="T574" s="345"/>
      <c r="U574" s="345"/>
      <c r="V574" s="374"/>
      <c r="W574" s="396"/>
      <c r="X574" s="345"/>
      <c r="Y574" s="346"/>
      <c r="Z574" s="346"/>
      <c r="AA574" s="346"/>
      <c r="AB574" s="346"/>
      <c r="AC574" s="346"/>
      <c r="AE574" s="347"/>
      <c r="AF574" s="347"/>
      <c r="AG574" s="347"/>
      <c r="AH574" s="347"/>
      <c r="AI574" s="348"/>
      <c r="AJ574" s="408"/>
      <c r="AK574" s="349"/>
      <c r="AL574" s="349"/>
      <c r="AM574" s="349"/>
      <c r="AN574" s="349"/>
      <c r="AO574" s="350"/>
      <c r="AP574" s="408"/>
      <c r="AQ574" s="349"/>
      <c r="AR574" s="349"/>
      <c r="AS574" s="349"/>
      <c r="AT574" s="349"/>
      <c r="AU574" s="350"/>
      <c r="AV574" s="408"/>
      <c r="AW574" s="351"/>
      <c r="AX574" s="351"/>
      <c r="AY574" s="351"/>
      <c r="AZ574" s="351"/>
      <c r="BA574" s="352"/>
    </row>
    <row r="575" spans="1:53" ht="17.100000000000001" customHeight="1" x14ac:dyDescent="0.25">
      <c r="A575" s="68"/>
      <c r="B575" s="41" t="s">
        <v>331</v>
      </c>
      <c r="C575" s="69" t="s">
        <v>332</v>
      </c>
      <c r="D575" s="50"/>
      <c r="E575" s="70"/>
      <c r="F575" s="70"/>
      <c r="G575" s="70"/>
      <c r="H575" s="263">
        <v>17</v>
      </c>
      <c r="J575" s="71"/>
      <c r="K575" s="71"/>
      <c r="L575" s="71"/>
      <c r="M575" s="71"/>
      <c r="N575" s="71"/>
      <c r="O575" s="71"/>
      <c r="P575" s="71"/>
      <c r="Q575" s="71"/>
      <c r="R575" s="71"/>
      <c r="S575" s="71"/>
      <c r="T575" s="71"/>
      <c r="U575" s="71"/>
      <c r="V575" s="355"/>
      <c r="W575" s="377"/>
      <c r="X575" s="71"/>
      <c r="Y575" s="72"/>
      <c r="Z575" s="73"/>
      <c r="AA575" s="73"/>
      <c r="AB575" s="73"/>
      <c r="AC575" s="73"/>
      <c r="AE575" s="71"/>
      <c r="AF575" s="71"/>
      <c r="AG575" s="71"/>
      <c r="AH575" s="72"/>
      <c r="AI575" s="73"/>
      <c r="AK575" s="71"/>
      <c r="AL575" s="71"/>
      <c r="AM575" s="71"/>
      <c r="AN575" s="72"/>
      <c r="AO575" s="73"/>
      <c r="AQ575" s="71"/>
      <c r="AR575" s="71"/>
      <c r="AS575" s="71"/>
      <c r="AT575" s="72"/>
      <c r="AU575" s="73"/>
      <c r="AW575" s="71"/>
      <c r="AX575" s="71"/>
      <c r="AY575" s="71"/>
      <c r="AZ575" s="72"/>
      <c r="BA575" s="73"/>
    </row>
    <row r="576" spans="1:53" ht="17.100000000000001" customHeight="1" x14ac:dyDescent="0.25">
      <c r="A576" s="40"/>
      <c r="B576" s="40"/>
      <c r="C576" s="74" t="s">
        <v>333</v>
      </c>
      <c r="D576" s="85" t="s">
        <v>9</v>
      </c>
      <c r="E576" s="105"/>
      <c r="F576" s="105"/>
      <c r="G576" s="105"/>
      <c r="H576" s="119"/>
      <c r="I576" s="231"/>
      <c r="J576" s="581"/>
      <c r="K576" s="581"/>
      <c r="L576" s="582"/>
      <c r="M576" s="593">
        <f>SUM(J576:L576)</f>
        <v>0</v>
      </c>
      <c r="N576" s="111"/>
      <c r="O576" s="111"/>
      <c r="P576" s="111"/>
      <c r="Q576" s="111"/>
      <c r="R576" s="111"/>
      <c r="S576" s="111"/>
      <c r="T576" s="111"/>
      <c r="U576" s="111"/>
      <c r="V576" s="358"/>
      <c r="W576" s="391">
        <f t="shared" ref="W576:W579" si="687">J576+K576+N576+Q576+T576</f>
        <v>0</v>
      </c>
      <c r="X576" s="17">
        <f t="shared" ref="X576:X579" si="688">L576+O576+R576+U576</f>
        <v>0</v>
      </c>
      <c r="Y576" s="18">
        <f>SUM(W576:X576)</f>
        <v>0</v>
      </c>
      <c r="Z576" s="19">
        <f>IF(Y$580=0,0,Y576/Y$580)</f>
        <v>0</v>
      </c>
      <c r="AA576" s="19"/>
      <c r="AB576" s="19"/>
      <c r="AC576" s="17"/>
      <c r="AE576" s="17"/>
      <c r="AF576" s="17"/>
      <c r="AG576" s="17"/>
      <c r="AH576" s="18">
        <f t="shared" ref="AH576:AH579" si="689">J576</f>
        <v>0</v>
      </c>
      <c r="AI576" s="19">
        <f>IF(AH$580=0,0,AH576/AH$580)</f>
        <v>0</v>
      </c>
      <c r="AJ576" s="97"/>
      <c r="AK576" s="17"/>
      <c r="AL576" s="17"/>
      <c r="AM576" s="17"/>
      <c r="AN576" s="18">
        <f t="shared" ref="AN576:AN579" si="690">K576</f>
        <v>0</v>
      </c>
      <c r="AO576" s="19">
        <f>IF(AN$580=0,0,AN576/AN$580)</f>
        <v>0</v>
      </c>
      <c r="AP576" s="97"/>
      <c r="AQ576" s="17"/>
      <c r="AR576" s="17"/>
      <c r="AS576" s="17"/>
      <c r="AT576" s="18">
        <f t="shared" ref="AT576:AT579" si="691">W576</f>
        <v>0</v>
      </c>
      <c r="AU576" s="19">
        <f>IF(AT$580=0,0,AT576/AT$580)</f>
        <v>0</v>
      </c>
      <c r="AV576" s="97"/>
      <c r="AW576" s="17"/>
      <c r="AX576" s="17"/>
      <c r="AY576" s="17"/>
      <c r="AZ576" s="18">
        <f t="shared" ref="AZ576:AZ579" si="692">X576</f>
        <v>0</v>
      </c>
      <c r="BA576" s="19">
        <f>IF(AZ$580=0,0,AZ576/AZ$580)</f>
        <v>0</v>
      </c>
    </row>
    <row r="577" spans="1:53" ht="17.100000000000001" customHeight="1" x14ac:dyDescent="0.25">
      <c r="A577" s="40"/>
      <c r="B577" s="40"/>
      <c r="C577" s="74" t="s">
        <v>334</v>
      </c>
      <c r="D577" s="85" t="s">
        <v>335</v>
      </c>
      <c r="E577" s="105"/>
      <c r="F577" s="105"/>
      <c r="G577" s="105"/>
      <c r="H577" s="119"/>
      <c r="I577" s="231"/>
      <c r="J577" s="583"/>
      <c r="K577" s="583"/>
      <c r="L577" s="584"/>
      <c r="M577" s="593">
        <f t="shared" ref="M577:M579" si="693">SUM(J577:L577)</f>
        <v>0</v>
      </c>
      <c r="N577" s="111"/>
      <c r="O577" s="111"/>
      <c r="P577" s="111"/>
      <c r="Q577" s="111"/>
      <c r="R577" s="111"/>
      <c r="S577" s="111"/>
      <c r="T577" s="111"/>
      <c r="U577" s="111"/>
      <c r="V577" s="358"/>
      <c r="W577" s="391">
        <f t="shared" si="687"/>
        <v>0</v>
      </c>
      <c r="X577" s="17">
        <f t="shared" si="688"/>
        <v>0</v>
      </c>
      <c r="Y577" s="18">
        <f>SUM(W577:X577)</f>
        <v>0</v>
      </c>
      <c r="Z577" s="19">
        <f t="shared" ref="Z577:Z579" si="694">IF(Y$580=0,0,Y577/Y$580)</f>
        <v>0</v>
      </c>
      <c r="AA577" s="19"/>
      <c r="AB577" s="19"/>
      <c r="AC577" s="17"/>
      <c r="AE577" s="17"/>
      <c r="AF577" s="17"/>
      <c r="AG577" s="17"/>
      <c r="AH577" s="18">
        <f t="shared" si="689"/>
        <v>0</v>
      </c>
      <c r="AI577" s="19">
        <f t="shared" ref="AI577:AI580" si="695">IF(AH$580=0,0,AH577/AH$580)</f>
        <v>0</v>
      </c>
      <c r="AJ577" s="97"/>
      <c r="AK577" s="17"/>
      <c r="AL577" s="17"/>
      <c r="AM577" s="17"/>
      <c r="AN577" s="18">
        <f t="shared" si="690"/>
        <v>0</v>
      </c>
      <c r="AO577" s="19">
        <f t="shared" ref="AO577:AO580" si="696">IF(AN$580=0,0,AN577/AN$580)</f>
        <v>0</v>
      </c>
      <c r="AP577" s="97"/>
      <c r="AQ577" s="17"/>
      <c r="AR577" s="17"/>
      <c r="AS577" s="17"/>
      <c r="AT577" s="18">
        <f t="shared" si="691"/>
        <v>0</v>
      </c>
      <c r="AU577" s="19">
        <f t="shared" ref="AU577:AU580" si="697">IF(AT$580=0,0,AT577/AT$580)</f>
        <v>0</v>
      </c>
      <c r="AV577" s="97"/>
      <c r="AW577" s="17"/>
      <c r="AX577" s="17"/>
      <c r="AY577" s="17"/>
      <c r="AZ577" s="18">
        <f t="shared" si="692"/>
        <v>0</v>
      </c>
      <c r="BA577" s="19">
        <f t="shared" ref="BA577:BA580" si="698">IF(AZ$580=0,0,AZ577/AZ$580)</f>
        <v>0</v>
      </c>
    </row>
    <row r="578" spans="1:53" ht="17.100000000000001" customHeight="1" x14ac:dyDescent="0.25">
      <c r="A578" s="40"/>
      <c r="B578" s="40"/>
      <c r="C578" s="74" t="s">
        <v>336</v>
      </c>
      <c r="D578" s="85" t="s">
        <v>129</v>
      </c>
      <c r="E578" s="105"/>
      <c r="F578" s="105"/>
      <c r="G578" s="105"/>
      <c r="H578" s="119"/>
      <c r="I578" s="231"/>
      <c r="J578" s="581"/>
      <c r="K578" s="581"/>
      <c r="L578" s="582"/>
      <c r="M578" s="593">
        <f t="shared" si="693"/>
        <v>0</v>
      </c>
      <c r="N578" s="111"/>
      <c r="O578" s="111"/>
      <c r="P578" s="111"/>
      <c r="Q578" s="111"/>
      <c r="R578" s="111"/>
      <c r="S578" s="111"/>
      <c r="T578" s="111"/>
      <c r="U578" s="111"/>
      <c r="V578" s="358"/>
      <c r="W578" s="391">
        <f t="shared" si="687"/>
        <v>0</v>
      </c>
      <c r="X578" s="17">
        <f t="shared" si="688"/>
        <v>0</v>
      </c>
      <c r="Y578" s="18">
        <f>SUM(W578:X578)</f>
        <v>0</v>
      </c>
      <c r="Z578" s="19">
        <f t="shared" si="694"/>
        <v>0</v>
      </c>
      <c r="AA578" s="19"/>
      <c r="AB578" s="19"/>
      <c r="AC578" s="17"/>
      <c r="AE578" s="17"/>
      <c r="AF578" s="17"/>
      <c r="AG578" s="17"/>
      <c r="AH578" s="18">
        <f t="shared" si="689"/>
        <v>0</v>
      </c>
      <c r="AI578" s="19">
        <f t="shared" si="695"/>
        <v>0</v>
      </c>
      <c r="AJ578" s="97"/>
      <c r="AK578" s="17"/>
      <c r="AL578" s="17"/>
      <c r="AM578" s="17"/>
      <c r="AN578" s="18">
        <f t="shared" si="690"/>
        <v>0</v>
      </c>
      <c r="AO578" s="19">
        <f t="shared" si="696"/>
        <v>0</v>
      </c>
      <c r="AP578" s="97"/>
      <c r="AQ578" s="17"/>
      <c r="AR578" s="17"/>
      <c r="AS578" s="17"/>
      <c r="AT578" s="18">
        <f t="shared" si="691"/>
        <v>0</v>
      </c>
      <c r="AU578" s="19">
        <f t="shared" si="697"/>
        <v>0</v>
      </c>
      <c r="AV578" s="97"/>
      <c r="AW578" s="17"/>
      <c r="AX578" s="17"/>
      <c r="AY578" s="17"/>
      <c r="AZ578" s="18">
        <f t="shared" si="692"/>
        <v>0</v>
      </c>
      <c r="BA578" s="19">
        <f t="shared" si="698"/>
        <v>0</v>
      </c>
    </row>
    <row r="579" spans="1:53" ht="17.100000000000001" customHeight="1" x14ac:dyDescent="0.25">
      <c r="A579" s="40"/>
      <c r="B579" s="40"/>
      <c r="C579" s="74" t="s">
        <v>554</v>
      </c>
      <c r="D579" s="85" t="s">
        <v>530</v>
      </c>
      <c r="E579" s="105"/>
      <c r="F579" s="105"/>
      <c r="G579" s="105"/>
      <c r="H579" s="119"/>
      <c r="I579" s="231"/>
      <c r="J579" s="583"/>
      <c r="K579" s="583"/>
      <c r="L579" s="584"/>
      <c r="M579" s="593">
        <f t="shared" si="693"/>
        <v>0</v>
      </c>
      <c r="N579" s="111"/>
      <c r="O579" s="111"/>
      <c r="P579" s="111"/>
      <c r="Q579" s="111"/>
      <c r="R579" s="111"/>
      <c r="S579" s="111"/>
      <c r="T579" s="111"/>
      <c r="U579" s="111"/>
      <c r="V579" s="358"/>
      <c r="W579" s="391">
        <f t="shared" si="687"/>
        <v>0</v>
      </c>
      <c r="X579" s="17">
        <f t="shared" si="688"/>
        <v>0</v>
      </c>
      <c r="Y579" s="18">
        <f>SUM(W579:X579)</f>
        <v>0</v>
      </c>
      <c r="Z579" s="19">
        <f t="shared" si="694"/>
        <v>0</v>
      </c>
      <c r="AA579" s="19"/>
      <c r="AB579" s="19"/>
      <c r="AC579" s="17"/>
      <c r="AE579" s="17"/>
      <c r="AF579" s="17"/>
      <c r="AG579" s="17"/>
      <c r="AH579" s="18">
        <f t="shared" si="689"/>
        <v>0</v>
      </c>
      <c r="AI579" s="19">
        <f t="shared" si="695"/>
        <v>0</v>
      </c>
      <c r="AJ579" s="97"/>
      <c r="AK579" s="17"/>
      <c r="AL579" s="17"/>
      <c r="AM579" s="17"/>
      <c r="AN579" s="18">
        <f t="shared" si="690"/>
        <v>0</v>
      </c>
      <c r="AO579" s="19">
        <f t="shared" si="696"/>
        <v>0</v>
      </c>
      <c r="AP579" s="97"/>
      <c r="AQ579" s="17"/>
      <c r="AR579" s="17"/>
      <c r="AS579" s="17"/>
      <c r="AT579" s="18">
        <f t="shared" si="691"/>
        <v>0</v>
      </c>
      <c r="AU579" s="19">
        <f t="shared" si="697"/>
        <v>0</v>
      </c>
      <c r="AV579" s="97"/>
      <c r="AW579" s="17"/>
      <c r="AX579" s="17"/>
      <c r="AY579" s="17"/>
      <c r="AZ579" s="18">
        <f t="shared" si="692"/>
        <v>0</v>
      </c>
      <c r="BA579" s="19">
        <f t="shared" si="698"/>
        <v>0</v>
      </c>
    </row>
    <row r="580" spans="1:53" ht="17.100000000000001" customHeight="1" x14ac:dyDescent="0.25">
      <c r="A580" s="40"/>
      <c r="B580" s="40"/>
      <c r="C580" s="77"/>
      <c r="D580" s="134"/>
      <c r="E580" s="134"/>
      <c r="F580" s="134"/>
      <c r="G580" s="134"/>
      <c r="H580" s="540"/>
      <c r="I580" s="229"/>
      <c r="J580" s="80">
        <f>SUM(J576:J579)</f>
        <v>0</v>
      </c>
      <c r="K580" s="80">
        <f t="shared" ref="K580:M580" si="699">SUM(K576:K579)</f>
        <v>0</v>
      </c>
      <c r="L580" s="80">
        <f t="shared" si="699"/>
        <v>0</v>
      </c>
      <c r="M580" s="80">
        <f t="shared" si="699"/>
        <v>0</v>
      </c>
      <c r="N580" s="81"/>
      <c r="O580" s="81"/>
      <c r="P580" s="81"/>
      <c r="Q580" s="81"/>
      <c r="R580" s="81"/>
      <c r="S580" s="81"/>
      <c r="T580" s="81"/>
      <c r="U580" s="81"/>
      <c r="V580" s="356"/>
      <c r="W580" s="381">
        <f t="shared" ref="W580:X580" si="700">SUM(W576:W579)</f>
        <v>0</v>
      </c>
      <c r="X580" s="82">
        <f t="shared" si="700"/>
        <v>0</v>
      </c>
      <c r="Y580" s="82">
        <f>SUM(Y576:Y579)</f>
        <v>0</v>
      </c>
      <c r="Z580" s="205">
        <f>IF(Y$580=0,0,Y580/Y$580)</f>
        <v>0</v>
      </c>
      <c r="AA580" s="205"/>
      <c r="AB580" s="205"/>
      <c r="AC580" s="83"/>
      <c r="AE580" s="80"/>
      <c r="AF580" s="80"/>
      <c r="AG580" s="81"/>
      <c r="AH580" s="82">
        <f>SUM(AH576:AH579)</f>
        <v>0</v>
      </c>
      <c r="AI580" s="66">
        <f t="shared" si="695"/>
        <v>0</v>
      </c>
      <c r="AK580" s="80"/>
      <c r="AL580" s="80"/>
      <c r="AM580" s="81"/>
      <c r="AN580" s="82">
        <f>SUM(AN576:AN579)</f>
        <v>0</v>
      </c>
      <c r="AO580" s="66">
        <f t="shared" si="696"/>
        <v>0</v>
      </c>
      <c r="AQ580" s="80"/>
      <c r="AR580" s="80"/>
      <c r="AS580" s="81"/>
      <c r="AT580" s="82">
        <f>SUM(AT576:AT579)</f>
        <v>0</v>
      </c>
      <c r="AU580" s="66">
        <f t="shared" si="697"/>
        <v>0</v>
      </c>
      <c r="AW580" s="80"/>
      <c r="AX580" s="80"/>
      <c r="AY580" s="81"/>
      <c r="AZ580" s="82">
        <f>SUM(AZ576:AZ579)</f>
        <v>0</v>
      </c>
      <c r="BA580" s="66">
        <f t="shared" si="698"/>
        <v>0</v>
      </c>
    </row>
    <row r="581" spans="1:53" s="117" customFormat="1" ht="17.100000000000001" customHeight="1" x14ac:dyDescent="0.25">
      <c r="A581" s="68"/>
      <c r="B581" s="119"/>
      <c r="C581" s="540"/>
      <c r="D581" s="261"/>
      <c r="E581" s="261"/>
      <c r="F581" s="68"/>
      <c r="G581" s="68"/>
      <c r="H581" s="119"/>
      <c r="I581" s="138"/>
      <c r="J581" s="17" t="str">
        <f>IF(J580=J$15,"OK","NOK")</f>
        <v>OK</v>
      </c>
      <c r="K581" s="17" t="str">
        <f t="shared" ref="K581:L581" si="701">IF(K580=K$15,"OK","NOK")</f>
        <v>OK</v>
      </c>
      <c r="L581" s="17" t="str">
        <f t="shared" si="701"/>
        <v>OK</v>
      </c>
      <c r="M581" s="17"/>
      <c r="N581" s="17"/>
      <c r="O581" s="17"/>
      <c r="P581" s="17"/>
      <c r="Q581" s="17"/>
      <c r="R581" s="17"/>
      <c r="S581" s="17"/>
      <c r="T581" s="17"/>
      <c r="U581" s="17"/>
      <c r="V581" s="359"/>
      <c r="W581" s="382"/>
      <c r="X581" s="539"/>
      <c r="Y581" s="539"/>
      <c r="Z581" s="201"/>
      <c r="AA581" s="201"/>
      <c r="AB581" s="201"/>
      <c r="AC581" s="84"/>
      <c r="AE581" s="46"/>
      <c r="AF581" s="46"/>
      <c r="AG581" s="17"/>
      <c r="AH581" s="539"/>
      <c r="AI581" s="91"/>
      <c r="AK581" s="46"/>
      <c r="AL581" s="46"/>
      <c r="AM581" s="17"/>
      <c r="AN581" s="539"/>
      <c r="AO581" s="91"/>
      <c r="AQ581" s="46"/>
      <c r="AR581" s="46"/>
      <c r="AS581" s="17"/>
      <c r="AT581" s="539"/>
      <c r="AU581" s="91"/>
      <c r="AW581" s="46"/>
      <c r="AX581" s="46"/>
      <c r="AY581" s="17"/>
      <c r="AZ581" s="539"/>
      <c r="BA581" s="91"/>
    </row>
    <row r="582" spans="1:53" ht="17.100000000000001" customHeight="1" x14ac:dyDescent="0.25">
      <c r="A582" s="40"/>
      <c r="B582" s="41" t="s">
        <v>337</v>
      </c>
      <c r="C582" s="69" t="s">
        <v>361</v>
      </c>
      <c r="D582" s="50"/>
      <c r="E582" s="70"/>
      <c r="F582" s="70"/>
      <c r="G582" s="70"/>
      <c r="H582" s="247">
        <v>21</v>
      </c>
      <c r="J582" s="71"/>
      <c r="K582" s="71"/>
      <c r="L582" s="71"/>
      <c r="M582" s="71"/>
      <c r="N582" s="71"/>
      <c r="O582" s="71"/>
      <c r="P582" s="71"/>
      <c r="Q582" s="71"/>
      <c r="R582" s="71"/>
      <c r="S582" s="71"/>
      <c r="T582" s="71"/>
      <c r="U582" s="71"/>
      <c r="V582" s="355"/>
      <c r="W582" s="377"/>
      <c r="X582" s="71"/>
      <c r="Y582" s="89"/>
      <c r="Z582" s="90"/>
      <c r="AA582" s="90"/>
      <c r="AB582" s="90"/>
      <c r="AC582" s="227"/>
      <c r="AE582" s="71"/>
      <c r="AF582" s="71"/>
      <c r="AG582" s="71"/>
      <c r="AH582" s="89"/>
      <c r="AI582" s="71"/>
      <c r="AK582" s="71"/>
      <c r="AL582" s="71"/>
      <c r="AM582" s="71"/>
      <c r="AN582" s="89"/>
      <c r="AO582" s="71"/>
      <c r="AQ582" s="71"/>
      <c r="AR582" s="71"/>
      <c r="AS582" s="71"/>
      <c r="AT582" s="89"/>
      <c r="AU582" s="71"/>
      <c r="AW582" s="71"/>
      <c r="AX582" s="71"/>
      <c r="AY582" s="71"/>
      <c r="AZ582" s="89"/>
      <c r="BA582" s="71"/>
    </row>
    <row r="583" spans="1:53" ht="17.100000000000001" customHeight="1" x14ac:dyDescent="0.25">
      <c r="A583" s="40"/>
      <c r="B583" s="40"/>
      <c r="C583" s="74" t="s">
        <v>499</v>
      </c>
      <c r="D583" s="85" t="s">
        <v>495</v>
      </c>
      <c r="E583" s="105"/>
      <c r="F583" s="105"/>
      <c r="G583" s="105"/>
      <c r="H583" s="119"/>
      <c r="I583" s="231"/>
      <c r="J583" s="581"/>
      <c r="K583" s="581"/>
      <c r="L583" s="582"/>
      <c r="M583" s="593">
        <f t="shared" ref="M583:M588" si="702">SUM(J583:L583)</f>
        <v>0</v>
      </c>
      <c r="N583" s="111"/>
      <c r="O583" s="111"/>
      <c r="P583" s="111"/>
      <c r="Q583" s="111"/>
      <c r="R583" s="111"/>
      <c r="S583" s="111"/>
      <c r="T583" s="111"/>
      <c r="U583" s="111"/>
      <c r="V583" s="358"/>
      <c r="W583" s="391">
        <f t="shared" ref="W583:W588" si="703">J583+K583+N583+Q583+T583</f>
        <v>0</v>
      </c>
      <c r="X583" s="17">
        <f t="shared" ref="X583:X588" si="704">L583+O583+R583+U583</f>
        <v>0</v>
      </c>
      <c r="Y583" s="18">
        <f t="shared" ref="Y583:Y588" si="705">SUM(W583:X583)</f>
        <v>0</v>
      </c>
      <c r="Z583" s="19">
        <f>IF(Y$589=0,0,Y583/Y$589)</f>
        <v>0</v>
      </c>
      <c r="AA583" s="19"/>
      <c r="AB583" s="19"/>
      <c r="AC583" s="17"/>
      <c r="AE583" s="17"/>
      <c r="AF583" s="17"/>
      <c r="AG583" s="17"/>
      <c r="AH583" s="18">
        <f t="shared" ref="AH583:AH588" si="706">J583</f>
        <v>0</v>
      </c>
      <c r="AI583" s="19">
        <f>IF(AH$589=0,0,AH583/AH$589)</f>
        <v>0</v>
      </c>
      <c r="AJ583" s="97"/>
      <c r="AK583" s="17"/>
      <c r="AL583" s="17"/>
      <c r="AM583" s="17"/>
      <c r="AN583" s="18">
        <f t="shared" ref="AN583:AN588" si="707">K583</f>
        <v>0</v>
      </c>
      <c r="AO583" s="19">
        <f>IF(AN$589=0,0,AN583/AN$589)</f>
        <v>0</v>
      </c>
      <c r="AP583" s="97"/>
      <c r="AQ583" s="17"/>
      <c r="AR583" s="17"/>
      <c r="AS583" s="17"/>
      <c r="AT583" s="18">
        <f t="shared" ref="AT583:AT588" si="708">W583</f>
        <v>0</v>
      </c>
      <c r="AU583" s="19">
        <f>IF(AT$589=0,0,AT583/AT$589)</f>
        <v>0</v>
      </c>
      <c r="AV583" s="97"/>
      <c r="AW583" s="17"/>
      <c r="AX583" s="17"/>
      <c r="AY583" s="17"/>
      <c r="AZ583" s="18">
        <f t="shared" ref="AZ583:AZ588" si="709">X583</f>
        <v>0</v>
      </c>
      <c r="BA583" s="19">
        <f>IF(AZ$589=0,0,AZ583/AZ$589)</f>
        <v>0</v>
      </c>
    </row>
    <row r="584" spans="1:53" ht="17.100000000000001" customHeight="1" x14ac:dyDescent="0.25">
      <c r="A584" s="40"/>
      <c r="B584" s="40"/>
      <c r="C584" s="74" t="s">
        <v>500</v>
      </c>
      <c r="D584" s="85" t="s">
        <v>496</v>
      </c>
      <c r="E584" s="105"/>
      <c r="F584" s="105"/>
      <c r="G584" s="105"/>
      <c r="H584" s="119"/>
      <c r="I584" s="231"/>
      <c r="J584" s="583"/>
      <c r="K584" s="583"/>
      <c r="L584" s="584"/>
      <c r="M584" s="593">
        <f t="shared" si="702"/>
        <v>0</v>
      </c>
      <c r="N584" s="111"/>
      <c r="O584" s="111"/>
      <c r="P584" s="111"/>
      <c r="Q584" s="111"/>
      <c r="R584" s="111"/>
      <c r="S584" s="111"/>
      <c r="T584" s="111"/>
      <c r="U584" s="111"/>
      <c r="V584" s="358"/>
      <c r="W584" s="391">
        <f t="shared" si="703"/>
        <v>0</v>
      </c>
      <c r="X584" s="17">
        <f t="shared" si="704"/>
        <v>0</v>
      </c>
      <c r="Y584" s="18">
        <f t="shared" si="705"/>
        <v>0</v>
      </c>
      <c r="Z584" s="19">
        <f t="shared" ref="Z584:Z588" si="710">IF(Y$589=0,0,Y584/Y$589)</f>
        <v>0</v>
      </c>
      <c r="AA584" s="19"/>
      <c r="AB584" s="19"/>
      <c r="AC584" s="17"/>
      <c r="AE584" s="17"/>
      <c r="AF584" s="17"/>
      <c r="AG584" s="17"/>
      <c r="AH584" s="18">
        <f t="shared" si="706"/>
        <v>0</v>
      </c>
      <c r="AI584" s="19">
        <f t="shared" ref="AI584:AI589" si="711">IF(AH$589=0,0,AH584/AH$589)</f>
        <v>0</v>
      </c>
      <c r="AJ584" s="97"/>
      <c r="AK584" s="17"/>
      <c r="AL584" s="17"/>
      <c r="AM584" s="17"/>
      <c r="AN584" s="18">
        <f t="shared" si="707"/>
        <v>0</v>
      </c>
      <c r="AO584" s="19">
        <f t="shared" ref="AO584:AO589" si="712">IF(AN$589=0,0,AN584/AN$589)</f>
        <v>0</v>
      </c>
      <c r="AP584" s="97"/>
      <c r="AQ584" s="17"/>
      <c r="AR584" s="17"/>
      <c r="AS584" s="17"/>
      <c r="AT584" s="18">
        <f t="shared" si="708"/>
        <v>0</v>
      </c>
      <c r="AU584" s="19">
        <f t="shared" ref="AU584:AU589" si="713">IF(AT$589=0,0,AT584/AT$589)</f>
        <v>0</v>
      </c>
      <c r="AV584" s="97"/>
      <c r="AW584" s="17"/>
      <c r="AX584" s="17"/>
      <c r="AY584" s="17"/>
      <c r="AZ584" s="18">
        <f t="shared" si="709"/>
        <v>0</v>
      </c>
      <c r="BA584" s="19">
        <f t="shared" ref="BA584:BA589" si="714">IF(AZ$589=0,0,AZ584/AZ$589)</f>
        <v>0</v>
      </c>
    </row>
    <row r="585" spans="1:53" ht="17.100000000000001" customHeight="1" x14ac:dyDescent="0.25">
      <c r="A585" s="40"/>
      <c r="B585" s="40"/>
      <c r="C585" s="74" t="s">
        <v>501</v>
      </c>
      <c r="D585" s="85" t="s">
        <v>497</v>
      </c>
      <c r="E585" s="105"/>
      <c r="F585" s="105"/>
      <c r="G585" s="105"/>
      <c r="H585" s="119"/>
      <c r="I585" s="231"/>
      <c r="J585" s="581"/>
      <c r="K585" s="581"/>
      <c r="L585" s="582"/>
      <c r="M585" s="593">
        <f t="shared" si="702"/>
        <v>0</v>
      </c>
      <c r="N585" s="111"/>
      <c r="O585" s="111"/>
      <c r="P585" s="111"/>
      <c r="Q585" s="111"/>
      <c r="R585" s="111"/>
      <c r="S585" s="111"/>
      <c r="T585" s="111"/>
      <c r="U585" s="111"/>
      <c r="V585" s="358"/>
      <c r="W585" s="391">
        <f t="shared" si="703"/>
        <v>0</v>
      </c>
      <c r="X585" s="17">
        <f t="shared" si="704"/>
        <v>0</v>
      </c>
      <c r="Y585" s="18">
        <f t="shared" si="705"/>
        <v>0</v>
      </c>
      <c r="Z585" s="19">
        <f t="shared" si="710"/>
        <v>0</v>
      </c>
      <c r="AA585" s="19"/>
      <c r="AB585" s="19"/>
      <c r="AC585" s="17"/>
      <c r="AE585" s="17"/>
      <c r="AF585" s="17"/>
      <c r="AG585" s="17"/>
      <c r="AH585" s="18">
        <f t="shared" si="706"/>
        <v>0</v>
      </c>
      <c r="AI585" s="19">
        <f t="shared" si="711"/>
        <v>0</v>
      </c>
      <c r="AJ585" s="97"/>
      <c r="AK585" s="17"/>
      <c r="AL585" s="17"/>
      <c r="AM585" s="17"/>
      <c r="AN585" s="18">
        <f t="shared" si="707"/>
        <v>0</v>
      </c>
      <c r="AO585" s="19">
        <f t="shared" si="712"/>
        <v>0</v>
      </c>
      <c r="AP585" s="97"/>
      <c r="AQ585" s="17"/>
      <c r="AR585" s="17"/>
      <c r="AS585" s="17"/>
      <c r="AT585" s="18">
        <f t="shared" si="708"/>
        <v>0</v>
      </c>
      <c r="AU585" s="19">
        <f t="shared" si="713"/>
        <v>0</v>
      </c>
      <c r="AV585" s="97"/>
      <c r="AW585" s="17"/>
      <c r="AX585" s="17"/>
      <c r="AY585" s="17"/>
      <c r="AZ585" s="18">
        <f t="shared" si="709"/>
        <v>0</v>
      </c>
      <c r="BA585" s="19">
        <f t="shared" si="714"/>
        <v>0</v>
      </c>
    </row>
    <row r="586" spans="1:53" ht="17.100000000000001" customHeight="1" x14ac:dyDescent="0.25">
      <c r="A586" s="40"/>
      <c r="B586" s="40"/>
      <c r="C586" s="74" t="s">
        <v>502</v>
      </c>
      <c r="D586" s="85" t="s">
        <v>498</v>
      </c>
      <c r="E586" s="105"/>
      <c r="F586" s="105"/>
      <c r="G586" s="105"/>
      <c r="H586" s="119"/>
      <c r="I586" s="231"/>
      <c r="J586" s="583"/>
      <c r="K586" s="583"/>
      <c r="L586" s="584"/>
      <c r="M586" s="593">
        <f t="shared" si="702"/>
        <v>0</v>
      </c>
      <c r="N586" s="111"/>
      <c r="O586" s="111"/>
      <c r="P586" s="111"/>
      <c r="Q586" s="111"/>
      <c r="R586" s="111"/>
      <c r="S586" s="111"/>
      <c r="T586" s="111"/>
      <c r="U586" s="111"/>
      <c r="V586" s="358"/>
      <c r="W586" s="391">
        <f t="shared" si="703"/>
        <v>0</v>
      </c>
      <c r="X586" s="17">
        <f t="shared" si="704"/>
        <v>0</v>
      </c>
      <c r="Y586" s="18">
        <f t="shared" si="705"/>
        <v>0</v>
      </c>
      <c r="Z586" s="19">
        <f t="shared" si="710"/>
        <v>0</v>
      </c>
      <c r="AA586" s="19"/>
      <c r="AB586" s="19"/>
      <c r="AC586" s="17"/>
      <c r="AE586" s="17"/>
      <c r="AF586" s="17"/>
      <c r="AG586" s="17"/>
      <c r="AH586" s="18">
        <f t="shared" si="706"/>
        <v>0</v>
      </c>
      <c r="AI586" s="19">
        <f t="shared" si="711"/>
        <v>0</v>
      </c>
      <c r="AJ586" s="97"/>
      <c r="AK586" s="17"/>
      <c r="AL586" s="17"/>
      <c r="AM586" s="17"/>
      <c r="AN586" s="18">
        <f t="shared" si="707"/>
        <v>0</v>
      </c>
      <c r="AO586" s="19">
        <f t="shared" si="712"/>
        <v>0</v>
      </c>
      <c r="AP586" s="97"/>
      <c r="AQ586" s="17"/>
      <c r="AR586" s="17"/>
      <c r="AS586" s="17"/>
      <c r="AT586" s="18">
        <f t="shared" si="708"/>
        <v>0</v>
      </c>
      <c r="AU586" s="19">
        <f t="shared" si="713"/>
        <v>0</v>
      </c>
      <c r="AV586" s="97"/>
      <c r="AW586" s="17"/>
      <c r="AX586" s="17"/>
      <c r="AY586" s="17"/>
      <c r="AZ586" s="18">
        <f t="shared" si="709"/>
        <v>0</v>
      </c>
      <c r="BA586" s="19">
        <f t="shared" si="714"/>
        <v>0</v>
      </c>
    </row>
    <row r="587" spans="1:53" ht="17.100000000000001" customHeight="1" x14ac:dyDescent="0.25">
      <c r="A587" s="40"/>
      <c r="B587" s="40"/>
      <c r="C587" s="74" t="s">
        <v>503</v>
      </c>
      <c r="D587" s="85" t="s">
        <v>129</v>
      </c>
      <c r="E587" s="105"/>
      <c r="F587" s="105"/>
      <c r="G587" s="105"/>
      <c r="H587" s="119"/>
      <c r="I587" s="231"/>
      <c r="J587" s="581"/>
      <c r="K587" s="581"/>
      <c r="L587" s="582"/>
      <c r="M587" s="593">
        <f t="shared" si="702"/>
        <v>0</v>
      </c>
      <c r="N587" s="111"/>
      <c r="O587" s="111"/>
      <c r="P587" s="111"/>
      <c r="Q587" s="111"/>
      <c r="R587" s="111"/>
      <c r="S587" s="111"/>
      <c r="T587" s="111"/>
      <c r="U587" s="111"/>
      <c r="V587" s="358"/>
      <c r="W587" s="391">
        <f t="shared" si="703"/>
        <v>0</v>
      </c>
      <c r="X587" s="17">
        <f t="shared" si="704"/>
        <v>0</v>
      </c>
      <c r="Y587" s="18">
        <f t="shared" si="705"/>
        <v>0</v>
      </c>
      <c r="Z587" s="19">
        <f t="shared" si="710"/>
        <v>0</v>
      </c>
      <c r="AA587" s="19"/>
      <c r="AB587" s="19"/>
      <c r="AC587" s="17"/>
      <c r="AE587" s="17"/>
      <c r="AF587" s="17"/>
      <c r="AG587" s="17"/>
      <c r="AH587" s="18">
        <f t="shared" si="706"/>
        <v>0</v>
      </c>
      <c r="AI587" s="19">
        <f t="shared" si="711"/>
        <v>0</v>
      </c>
      <c r="AJ587" s="97"/>
      <c r="AK587" s="17"/>
      <c r="AL587" s="17"/>
      <c r="AM587" s="17"/>
      <c r="AN587" s="18">
        <f t="shared" si="707"/>
        <v>0</v>
      </c>
      <c r="AO587" s="19">
        <f t="shared" si="712"/>
        <v>0</v>
      </c>
      <c r="AP587" s="97"/>
      <c r="AQ587" s="17"/>
      <c r="AR587" s="17"/>
      <c r="AS587" s="17"/>
      <c r="AT587" s="18">
        <f t="shared" si="708"/>
        <v>0</v>
      </c>
      <c r="AU587" s="19">
        <f t="shared" si="713"/>
        <v>0</v>
      </c>
      <c r="AV587" s="97"/>
      <c r="AW587" s="17"/>
      <c r="AX587" s="17"/>
      <c r="AY587" s="17"/>
      <c r="AZ587" s="18">
        <f t="shared" si="709"/>
        <v>0</v>
      </c>
      <c r="BA587" s="19">
        <f t="shared" si="714"/>
        <v>0</v>
      </c>
    </row>
    <row r="588" spans="1:53" ht="17.100000000000001" customHeight="1" x14ac:dyDescent="0.25">
      <c r="A588" s="40"/>
      <c r="B588" s="40"/>
      <c r="C588" s="74" t="s">
        <v>551</v>
      </c>
      <c r="D588" s="85" t="s">
        <v>550</v>
      </c>
      <c r="E588" s="105"/>
      <c r="F588" s="105"/>
      <c r="G588" s="105"/>
      <c r="H588" s="119"/>
      <c r="I588" s="231"/>
      <c r="J588" s="583"/>
      <c r="K588" s="583"/>
      <c r="L588" s="584"/>
      <c r="M588" s="593">
        <f t="shared" si="702"/>
        <v>0</v>
      </c>
      <c r="N588" s="111"/>
      <c r="O588" s="111"/>
      <c r="P588" s="111"/>
      <c r="Q588" s="111"/>
      <c r="R588" s="111"/>
      <c r="S588" s="111"/>
      <c r="T588" s="111"/>
      <c r="U588" s="111"/>
      <c r="V588" s="358"/>
      <c r="W588" s="391">
        <f t="shared" si="703"/>
        <v>0</v>
      </c>
      <c r="X588" s="17">
        <f t="shared" si="704"/>
        <v>0</v>
      </c>
      <c r="Y588" s="18">
        <f t="shared" si="705"/>
        <v>0</v>
      </c>
      <c r="Z588" s="19">
        <f t="shared" si="710"/>
        <v>0</v>
      </c>
      <c r="AA588" s="19"/>
      <c r="AB588" s="19"/>
      <c r="AC588" s="17"/>
      <c r="AE588" s="17"/>
      <c r="AF588" s="17"/>
      <c r="AG588" s="17"/>
      <c r="AH588" s="18">
        <f t="shared" si="706"/>
        <v>0</v>
      </c>
      <c r="AI588" s="19">
        <f t="shared" si="711"/>
        <v>0</v>
      </c>
      <c r="AJ588" s="97"/>
      <c r="AK588" s="17"/>
      <c r="AL588" s="17"/>
      <c r="AM588" s="17"/>
      <c r="AN588" s="18">
        <f t="shared" si="707"/>
        <v>0</v>
      </c>
      <c r="AO588" s="19">
        <f t="shared" si="712"/>
        <v>0</v>
      </c>
      <c r="AP588" s="97"/>
      <c r="AQ588" s="17"/>
      <c r="AR588" s="17"/>
      <c r="AS588" s="17"/>
      <c r="AT588" s="18">
        <f t="shared" si="708"/>
        <v>0</v>
      </c>
      <c r="AU588" s="19">
        <f t="shared" si="713"/>
        <v>0</v>
      </c>
      <c r="AV588" s="97"/>
      <c r="AW588" s="17"/>
      <c r="AX588" s="17"/>
      <c r="AY588" s="17"/>
      <c r="AZ588" s="18">
        <f t="shared" si="709"/>
        <v>0</v>
      </c>
      <c r="BA588" s="19">
        <f t="shared" si="714"/>
        <v>0</v>
      </c>
    </row>
    <row r="589" spans="1:53" ht="17.100000000000001" customHeight="1" x14ac:dyDescent="0.25">
      <c r="A589" s="40"/>
      <c r="B589" s="40"/>
      <c r="C589" s="77"/>
      <c r="D589" s="134"/>
      <c r="E589" s="134"/>
      <c r="F589" s="134"/>
      <c r="G589" s="134"/>
      <c r="H589" s="540"/>
      <c r="I589" s="229"/>
      <c r="J589" s="80">
        <f>SUM(J583:J588)</f>
        <v>0</v>
      </c>
      <c r="K589" s="80">
        <f t="shared" ref="K589:M589" si="715">SUM(K583:K588)</f>
        <v>0</v>
      </c>
      <c r="L589" s="80">
        <f t="shared" si="715"/>
        <v>0</v>
      </c>
      <c r="M589" s="80">
        <f t="shared" si="715"/>
        <v>0</v>
      </c>
      <c r="N589" s="81"/>
      <c r="O589" s="81"/>
      <c r="P589" s="81"/>
      <c r="Q589" s="81"/>
      <c r="R589" s="81"/>
      <c r="S589" s="81"/>
      <c r="T589" s="81"/>
      <c r="U589" s="81"/>
      <c r="V589" s="356"/>
      <c r="W589" s="381">
        <f t="shared" ref="W589:X589" si="716">SUM(W583:W588)</f>
        <v>0</v>
      </c>
      <c r="X589" s="82">
        <f t="shared" si="716"/>
        <v>0</v>
      </c>
      <c r="Y589" s="82">
        <f>SUM(Y583:Y588)</f>
        <v>0</v>
      </c>
      <c r="Z589" s="205">
        <f>IF(Y$589=0,0,Y589/Y$589)</f>
        <v>0</v>
      </c>
      <c r="AA589" s="205"/>
      <c r="AB589" s="205"/>
      <c r="AC589" s="83"/>
      <c r="AE589" s="80"/>
      <c r="AF589" s="80"/>
      <c r="AG589" s="81"/>
      <c r="AH589" s="82">
        <f>SUM(AH583:AH588)</f>
        <v>0</v>
      </c>
      <c r="AI589" s="66">
        <f t="shared" si="711"/>
        <v>0</v>
      </c>
      <c r="AK589" s="80"/>
      <c r="AL589" s="80"/>
      <c r="AM589" s="81"/>
      <c r="AN589" s="82">
        <f>SUM(AN583:AN588)</f>
        <v>0</v>
      </c>
      <c r="AO589" s="66">
        <f t="shared" si="712"/>
        <v>0</v>
      </c>
      <c r="AQ589" s="80"/>
      <c r="AR589" s="80"/>
      <c r="AS589" s="81"/>
      <c r="AT589" s="82">
        <f>SUM(AT583:AT588)</f>
        <v>0</v>
      </c>
      <c r="AU589" s="66">
        <f t="shared" si="713"/>
        <v>0</v>
      </c>
      <c r="AW589" s="80"/>
      <c r="AX589" s="80"/>
      <c r="AY589" s="81"/>
      <c r="AZ589" s="82">
        <f>SUM(AZ583:AZ588)</f>
        <v>0</v>
      </c>
      <c r="BA589" s="66">
        <f t="shared" si="714"/>
        <v>0</v>
      </c>
    </row>
    <row r="590" spans="1:53" s="117" customFormat="1" ht="17.100000000000001" customHeight="1" x14ac:dyDescent="0.25">
      <c r="A590" s="68"/>
      <c r="B590" s="119"/>
      <c r="C590" s="540"/>
      <c r="D590" s="261"/>
      <c r="E590" s="261"/>
      <c r="F590" s="68"/>
      <c r="G590" s="68"/>
      <c r="H590" s="119"/>
      <c r="I590" s="138"/>
      <c r="J590" s="17" t="str">
        <f t="shared" ref="J590:L590" si="717">IF(J589=J$576,"OK","NOK")</f>
        <v>OK</v>
      </c>
      <c r="K590" s="17" t="str">
        <f t="shared" si="717"/>
        <v>OK</v>
      </c>
      <c r="L590" s="17" t="str">
        <f t="shared" si="717"/>
        <v>OK</v>
      </c>
      <c r="M590" s="17"/>
      <c r="N590" s="17"/>
      <c r="O590" s="17"/>
      <c r="P590" s="17"/>
      <c r="Q590" s="17"/>
      <c r="R590" s="17"/>
      <c r="S590" s="17"/>
      <c r="T590" s="17"/>
      <c r="U590" s="17"/>
      <c r="V590" s="359"/>
      <c r="W590" s="382"/>
      <c r="X590" s="539"/>
      <c r="Y590" s="539"/>
      <c r="Z590" s="201"/>
      <c r="AA590" s="201"/>
      <c r="AB590" s="201"/>
      <c r="AC590" s="84"/>
      <c r="AE590" s="46"/>
      <c r="AF590" s="46"/>
      <c r="AG590" s="17"/>
      <c r="AH590" s="539"/>
      <c r="AI590" s="91"/>
      <c r="AK590" s="46"/>
      <c r="AL590" s="46"/>
      <c r="AM590" s="17"/>
      <c r="AN590" s="539"/>
      <c r="AO590" s="91"/>
      <c r="AQ590" s="46"/>
      <c r="AR590" s="46"/>
      <c r="AS590" s="17"/>
      <c r="AT590" s="539"/>
      <c r="AU590" s="91"/>
      <c r="AW590" s="46"/>
      <c r="AX590" s="46"/>
      <c r="AY590" s="17"/>
      <c r="AZ590" s="539"/>
      <c r="BA590" s="91"/>
    </row>
    <row r="591" spans="1:53" ht="17.100000000000001" customHeight="1" x14ac:dyDescent="0.25">
      <c r="A591" s="68"/>
      <c r="B591" s="41" t="s">
        <v>338</v>
      </c>
      <c r="C591" s="69" t="s">
        <v>360</v>
      </c>
      <c r="D591" s="50"/>
      <c r="E591" s="70"/>
      <c r="F591" s="70"/>
      <c r="G591" s="70"/>
      <c r="H591" s="243">
        <v>18</v>
      </c>
      <c r="J591" s="71"/>
      <c r="K591" s="71"/>
      <c r="L591" s="71"/>
      <c r="M591" s="71"/>
      <c r="N591" s="71"/>
      <c r="O591" s="71"/>
      <c r="P591" s="71"/>
      <c r="Q591" s="71"/>
      <c r="R591" s="71"/>
      <c r="S591" s="71"/>
      <c r="T591" s="71"/>
      <c r="U591" s="71"/>
      <c r="V591" s="355"/>
      <c r="W591" s="377"/>
      <c r="X591" s="71"/>
      <c r="Y591" s="72"/>
      <c r="Z591" s="73"/>
      <c r="AA591" s="73"/>
      <c r="AB591" s="73"/>
      <c r="AC591" s="73"/>
      <c r="AE591" s="71"/>
      <c r="AF591" s="71"/>
      <c r="AG591" s="71"/>
      <c r="AH591" s="72"/>
      <c r="AI591" s="73"/>
      <c r="AK591" s="71"/>
      <c r="AL591" s="71"/>
      <c r="AM591" s="71"/>
      <c r="AN591" s="72"/>
      <c r="AO591" s="73"/>
      <c r="AQ591" s="71"/>
      <c r="AR591" s="71"/>
      <c r="AS591" s="71"/>
      <c r="AT591" s="72"/>
      <c r="AU591" s="73"/>
      <c r="AW591" s="71"/>
      <c r="AX591" s="71"/>
      <c r="AY591" s="71"/>
      <c r="AZ591" s="72"/>
      <c r="BA591" s="73"/>
    </row>
    <row r="592" spans="1:53" ht="17.100000000000001" customHeight="1" x14ac:dyDescent="0.25">
      <c r="A592" s="40"/>
      <c r="B592" s="40"/>
      <c r="C592" s="74" t="s">
        <v>339</v>
      </c>
      <c r="D592" s="85" t="s">
        <v>504</v>
      </c>
      <c r="E592" s="105"/>
      <c r="F592" s="105"/>
      <c r="G592" s="105"/>
      <c r="H592" s="119"/>
      <c r="I592" s="231"/>
      <c r="J592" s="581"/>
      <c r="K592" s="581"/>
      <c r="L592" s="582"/>
      <c r="M592" s="593">
        <f t="shared" ref="M592:M596" si="718">SUM(J592:L592)</f>
        <v>0</v>
      </c>
      <c r="N592" s="111"/>
      <c r="O592" s="111"/>
      <c r="P592" s="111"/>
      <c r="Q592" s="111"/>
      <c r="R592" s="111"/>
      <c r="S592" s="111"/>
      <c r="T592" s="111"/>
      <c r="U592" s="111"/>
      <c r="V592" s="358"/>
      <c r="W592" s="391">
        <f t="shared" ref="W592:W596" si="719">J592+K592+N592+Q592+T592</f>
        <v>0</v>
      </c>
      <c r="X592" s="17">
        <f t="shared" ref="X592:X596" si="720">L592+O592+R592+U592</f>
        <v>0</v>
      </c>
      <c r="Y592" s="18">
        <f>SUM(W592:X592)</f>
        <v>0</v>
      </c>
      <c r="Z592" s="19">
        <f>IF(Y$597=0,0,Y592/Y$597)</f>
        <v>0</v>
      </c>
      <c r="AA592" s="19"/>
      <c r="AB592" s="19"/>
      <c r="AC592" s="17"/>
      <c r="AE592" s="17"/>
      <c r="AF592" s="17"/>
      <c r="AG592" s="17"/>
      <c r="AH592" s="18">
        <f t="shared" ref="AH592:AH596" si="721">J592</f>
        <v>0</v>
      </c>
      <c r="AI592" s="19">
        <f>IF(AH$597=0,0,AH592/AH$597)</f>
        <v>0</v>
      </c>
      <c r="AJ592" s="97"/>
      <c r="AK592" s="17"/>
      <c r="AL592" s="17"/>
      <c r="AM592" s="17"/>
      <c r="AN592" s="18">
        <f t="shared" ref="AN592:AN596" si="722">K592</f>
        <v>0</v>
      </c>
      <c r="AO592" s="19">
        <f>IF(AN$597=0,0,AN592/AN$597)</f>
        <v>0</v>
      </c>
      <c r="AP592" s="97"/>
      <c r="AQ592" s="17"/>
      <c r="AR592" s="17"/>
      <c r="AS592" s="17"/>
      <c r="AT592" s="18">
        <f t="shared" ref="AT592:AT596" si="723">W592</f>
        <v>0</v>
      </c>
      <c r="AU592" s="19">
        <f>IF(AT$597=0,0,AT592/AT$597)</f>
        <v>0</v>
      </c>
      <c r="AV592" s="97"/>
      <c r="AW592" s="17"/>
      <c r="AX592" s="17"/>
      <c r="AY592" s="17"/>
      <c r="AZ592" s="18">
        <f t="shared" ref="AZ592:AZ596" si="724">X592</f>
        <v>0</v>
      </c>
      <c r="BA592" s="19">
        <f>IF(AZ$597=0,0,AZ592/AZ$597)</f>
        <v>0</v>
      </c>
    </row>
    <row r="593" spans="1:53" ht="17.100000000000001" customHeight="1" x14ac:dyDescent="0.25">
      <c r="A593" s="40"/>
      <c r="B593" s="40"/>
      <c r="C593" s="74" t="s">
        <v>340</v>
      </c>
      <c r="D593" s="85" t="s">
        <v>505</v>
      </c>
      <c r="E593" s="105"/>
      <c r="F593" s="105"/>
      <c r="G593" s="105"/>
      <c r="H593" s="119"/>
      <c r="I593" s="231"/>
      <c r="J593" s="583"/>
      <c r="K593" s="583"/>
      <c r="L593" s="584"/>
      <c r="M593" s="593">
        <f t="shared" si="718"/>
        <v>0</v>
      </c>
      <c r="N593" s="111"/>
      <c r="O593" s="111"/>
      <c r="P593" s="111"/>
      <c r="Q593" s="111"/>
      <c r="R593" s="111"/>
      <c r="S593" s="111"/>
      <c r="T593" s="111"/>
      <c r="U593" s="111"/>
      <c r="V593" s="358"/>
      <c r="W593" s="391">
        <f t="shared" si="719"/>
        <v>0</v>
      </c>
      <c r="X593" s="17">
        <f t="shared" si="720"/>
        <v>0</v>
      </c>
      <c r="Y593" s="18">
        <f>SUM(W593:X593)</f>
        <v>0</v>
      </c>
      <c r="Z593" s="19">
        <f t="shared" ref="Z593:Z596" si="725">IF(Y$597=0,0,Y593/Y$597)</f>
        <v>0</v>
      </c>
      <c r="AA593" s="19"/>
      <c r="AB593" s="19"/>
      <c r="AC593" s="17"/>
      <c r="AE593" s="17"/>
      <c r="AF593" s="17"/>
      <c r="AG593" s="17"/>
      <c r="AH593" s="18">
        <f t="shared" si="721"/>
        <v>0</v>
      </c>
      <c r="AI593" s="19">
        <f t="shared" ref="AI593:AI597" si="726">IF(AH$597=0,0,AH593/AH$597)</f>
        <v>0</v>
      </c>
      <c r="AJ593" s="97"/>
      <c r="AK593" s="17"/>
      <c r="AL593" s="17"/>
      <c r="AM593" s="17"/>
      <c r="AN593" s="18">
        <f t="shared" si="722"/>
        <v>0</v>
      </c>
      <c r="AO593" s="19">
        <f t="shared" ref="AO593:AO597" si="727">IF(AN$597=0,0,AN593/AN$597)</f>
        <v>0</v>
      </c>
      <c r="AP593" s="97"/>
      <c r="AQ593" s="17"/>
      <c r="AR593" s="17"/>
      <c r="AS593" s="17"/>
      <c r="AT593" s="18">
        <f t="shared" si="723"/>
        <v>0</v>
      </c>
      <c r="AU593" s="19">
        <f t="shared" ref="AU593:AU597" si="728">IF(AT$597=0,0,AT593/AT$597)</f>
        <v>0</v>
      </c>
      <c r="AV593" s="97"/>
      <c r="AW593" s="17"/>
      <c r="AX593" s="17"/>
      <c r="AY593" s="17"/>
      <c r="AZ593" s="18">
        <f t="shared" si="724"/>
        <v>0</v>
      </c>
      <c r="BA593" s="19">
        <f t="shared" ref="BA593:BA597" si="729">IF(AZ$597=0,0,AZ593/AZ$597)</f>
        <v>0</v>
      </c>
    </row>
    <row r="594" spans="1:53" ht="17.100000000000001" customHeight="1" x14ac:dyDescent="0.25">
      <c r="A594" s="40"/>
      <c r="B594" s="40"/>
      <c r="C594" s="74" t="s">
        <v>341</v>
      </c>
      <c r="D594" s="85" t="s">
        <v>506</v>
      </c>
      <c r="E594" s="105"/>
      <c r="F594" s="105"/>
      <c r="G594" s="105"/>
      <c r="H594" s="119"/>
      <c r="I594" s="231"/>
      <c r="J594" s="581"/>
      <c r="K594" s="581"/>
      <c r="L594" s="582"/>
      <c r="M594" s="593">
        <f t="shared" si="718"/>
        <v>0</v>
      </c>
      <c r="N594" s="111"/>
      <c r="O594" s="111"/>
      <c r="P594" s="111"/>
      <c r="Q594" s="111"/>
      <c r="R594" s="111"/>
      <c r="S594" s="111"/>
      <c r="T594" s="111"/>
      <c r="U594" s="111"/>
      <c r="V594" s="358"/>
      <c r="W594" s="391">
        <f t="shared" si="719"/>
        <v>0</v>
      </c>
      <c r="X594" s="17">
        <f t="shared" si="720"/>
        <v>0</v>
      </c>
      <c r="Y594" s="18">
        <f>SUM(W594:X594)</f>
        <v>0</v>
      </c>
      <c r="Z594" s="19">
        <f t="shared" si="725"/>
        <v>0</v>
      </c>
      <c r="AA594" s="19"/>
      <c r="AB594" s="19"/>
      <c r="AC594" s="17"/>
      <c r="AE594" s="17"/>
      <c r="AF594" s="17"/>
      <c r="AG594" s="17"/>
      <c r="AH594" s="18">
        <f t="shared" si="721"/>
        <v>0</v>
      </c>
      <c r="AI594" s="19">
        <f t="shared" si="726"/>
        <v>0</v>
      </c>
      <c r="AJ594" s="97"/>
      <c r="AK594" s="17"/>
      <c r="AL594" s="17"/>
      <c r="AM594" s="17"/>
      <c r="AN594" s="18">
        <f t="shared" si="722"/>
        <v>0</v>
      </c>
      <c r="AO594" s="19">
        <f t="shared" si="727"/>
        <v>0</v>
      </c>
      <c r="AP594" s="97"/>
      <c r="AQ594" s="17"/>
      <c r="AR594" s="17"/>
      <c r="AS594" s="17"/>
      <c r="AT594" s="18">
        <f t="shared" si="723"/>
        <v>0</v>
      </c>
      <c r="AU594" s="19">
        <f t="shared" si="728"/>
        <v>0</v>
      </c>
      <c r="AV594" s="97"/>
      <c r="AW594" s="17"/>
      <c r="AX594" s="17"/>
      <c r="AY594" s="17"/>
      <c r="AZ594" s="18">
        <f t="shared" si="724"/>
        <v>0</v>
      </c>
      <c r="BA594" s="19">
        <f t="shared" si="729"/>
        <v>0</v>
      </c>
    </row>
    <row r="595" spans="1:53" ht="17.100000000000001" customHeight="1" x14ac:dyDescent="0.25">
      <c r="A595" s="40"/>
      <c r="B595" s="40"/>
      <c r="C595" s="74" t="s">
        <v>342</v>
      </c>
      <c r="D595" s="85" t="s">
        <v>129</v>
      </c>
      <c r="E595" s="105"/>
      <c r="F595" s="105"/>
      <c r="G595" s="105"/>
      <c r="H595" s="119"/>
      <c r="I595" s="231"/>
      <c r="J595" s="583"/>
      <c r="K595" s="583"/>
      <c r="L595" s="584"/>
      <c r="M595" s="593">
        <f t="shared" si="718"/>
        <v>0</v>
      </c>
      <c r="N595" s="111"/>
      <c r="O595" s="111"/>
      <c r="P595" s="111"/>
      <c r="Q595" s="111"/>
      <c r="R595" s="111"/>
      <c r="S595" s="111"/>
      <c r="T595" s="111"/>
      <c r="U595" s="111"/>
      <c r="V595" s="358"/>
      <c r="W595" s="391">
        <f t="shared" si="719"/>
        <v>0</v>
      </c>
      <c r="X595" s="17">
        <f t="shared" si="720"/>
        <v>0</v>
      </c>
      <c r="Y595" s="18">
        <f>SUM(W595:X595)</f>
        <v>0</v>
      </c>
      <c r="Z595" s="19">
        <f t="shared" si="725"/>
        <v>0</v>
      </c>
      <c r="AA595" s="19"/>
      <c r="AB595" s="19"/>
      <c r="AC595" s="17"/>
      <c r="AE595" s="17"/>
      <c r="AF595" s="17"/>
      <c r="AG595" s="17"/>
      <c r="AH595" s="18">
        <f t="shared" si="721"/>
        <v>0</v>
      </c>
      <c r="AI595" s="19">
        <f t="shared" si="726"/>
        <v>0</v>
      </c>
      <c r="AJ595" s="97"/>
      <c r="AK595" s="17"/>
      <c r="AL595" s="17"/>
      <c r="AM595" s="17"/>
      <c r="AN595" s="18">
        <f t="shared" si="722"/>
        <v>0</v>
      </c>
      <c r="AO595" s="19">
        <f t="shared" si="727"/>
        <v>0</v>
      </c>
      <c r="AP595" s="97"/>
      <c r="AQ595" s="17"/>
      <c r="AR595" s="17"/>
      <c r="AS595" s="17"/>
      <c r="AT595" s="18">
        <f t="shared" si="723"/>
        <v>0</v>
      </c>
      <c r="AU595" s="19">
        <f t="shared" si="728"/>
        <v>0</v>
      </c>
      <c r="AV595" s="97"/>
      <c r="AW595" s="17"/>
      <c r="AX595" s="17"/>
      <c r="AY595" s="17"/>
      <c r="AZ595" s="18">
        <f t="shared" si="724"/>
        <v>0</v>
      </c>
      <c r="BA595" s="19">
        <f t="shared" si="729"/>
        <v>0</v>
      </c>
    </row>
    <row r="596" spans="1:53" ht="17.100000000000001" customHeight="1" x14ac:dyDescent="0.25">
      <c r="A596" s="40"/>
      <c r="B596" s="40"/>
      <c r="C596" s="74" t="s">
        <v>553</v>
      </c>
      <c r="D596" s="85" t="s">
        <v>530</v>
      </c>
      <c r="E596" s="105"/>
      <c r="F596" s="105"/>
      <c r="G596" s="105"/>
      <c r="H596" s="119"/>
      <c r="I596" s="231"/>
      <c r="J596" s="581"/>
      <c r="K596" s="581"/>
      <c r="L596" s="582"/>
      <c r="M596" s="593">
        <f t="shared" si="718"/>
        <v>0</v>
      </c>
      <c r="N596" s="111"/>
      <c r="O596" s="111"/>
      <c r="P596" s="111"/>
      <c r="Q596" s="111"/>
      <c r="R596" s="111"/>
      <c r="S596" s="111"/>
      <c r="T596" s="111"/>
      <c r="U596" s="111"/>
      <c r="V596" s="358"/>
      <c r="W596" s="391">
        <f t="shared" si="719"/>
        <v>0</v>
      </c>
      <c r="X596" s="17">
        <f t="shared" si="720"/>
        <v>0</v>
      </c>
      <c r="Y596" s="18">
        <f>SUM(W596:X596)</f>
        <v>0</v>
      </c>
      <c r="Z596" s="19">
        <f t="shared" si="725"/>
        <v>0</v>
      </c>
      <c r="AA596" s="19"/>
      <c r="AB596" s="19"/>
      <c r="AC596" s="17"/>
      <c r="AE596" s="17"/>
      <c r="AF596" s="17"/>
      <c r="AG596" s="17"/>
      <c r="AH596" s="18">
        <f t="shared" si="721"/>
        <v>0</v>
      </c>
      <c r="AI596" s="19">
        <f t="shared" si="726"/>
        <v>0</v>
      </c>
      <c r="AJ596" s="97"/>
      <c r="AK596" s="17"/>
      <c r="AL596" s="17"/>
      <c r="AM596" s="17"/>
      <c r="AN596" s="18">
        <f t="shared" si="722"/>
        <v>0</v>
      </c>
      <c r="AO596" s="19">
        <f t="shared" si="727"/>
        <v>0</v>
      </c>
      <c r="AP596" s="97"/>
      <c r="AQ596" s="17"/>
      <c r="AR596" s="17"/>
      <c r="AS596" s="17"/>
      <c r="AT596" s="18">
        <f t="shared" si="723"/>
        <v>0</v>
      </c>
      <c r="AU596" s="19">
        <f t="shared" si="728"/>
        <v>0</v>
      </c>
      <c r="AV596" s="97"/>
      <c r="AW596" s="17"/>
      <c r="AX596" s="17"/>
      <c r="AY596" s="17"/>
      <c r="AZ596" s="18">
        <f t="shared" si="724"/>
        <v>0</v>
      </c>
      <c r="BA596" s="19">
        <f t="shared" si="729"/>
        <v>0</v>
      </c>
    </row>
    <row r="597" spans="1:53" ht="17.100000000000001" customHeight="1" x14ac:dyDescent="0.25">
      <c r="A597" s="40"/>
      <c r="B597" s="40"/>
      <c r="C597" s="77"/>
      <c r="D597" s="134"/>
      <c r="E597" s="134"/>
      <c r="F597" s="134"/>
      <c r="G597" s="134"/>
      <c r="H597" s="540"/>
      <c r="I597" s="229"/>
      <c r="J597" s="80">
        <f>SUM(J592:J596)</f>
        <v>0</v>
      </c>
      <c r="K597" s="80">
        <f t="shared" ref="K597:M597" si="730">SUM(K592:K596)</f>
        <v>0</v>
      </c>
      <c r="L597" s="80">
        <f t="shared" si="730"/>
        <v>0</v>
      </c>
      <c r="M597" s="80">
        <f t="shared" si="730"/>
        <v>0</v>
      </c>
      <c r="N597" s="81"/>
      <c r="O597" s="81"/>
      <c r="P597" s="81"/>
      <c r="Q597" s="81"/>
      <c r="R597" s="81"/>
      <c r="S597" s="81"/>
      <c r="T597" s="81"/>
      <c r="U597" s="81"/>
      <c r="V597" s="356"/>
      <c r="W597" s="381">
        <f>SUM(W592:W596)</f>
        <v>0</v>
      </c>
      <c r="X597" s="82">
        <f t="shared" ref="X597:Y597" si="731">SUM(X592:X596)</f>
        <v>0</v>
      </c>
      <c r="Y597" s="82">
        <f t="shared" si="731"/>
        <v>0</v>
      </c>
      <c r="Z597" s="205">
        <f>IF(Y$597=0,0,Y597/Y$597)</f>
        <v>0</v>
      </c>
      <c r="AA597" s="205"/>
      <c r="AB597" s="205"/>
      <c r="AC597" s="83"/>
      <c r="AE597" s="80"/>
      <c r="AF597" s="80"/>
      <c r="AG597" s="81"/>
      <c r="AH597" s="82">
        <f>SUM(AH592:AH596)</f>
        <v>0</v>
      </c>
      <c r="AI597" s="66">
        <f t="shared" si="726"/>
        <v>0</v>
      </c>
      <c r="AK597" s="80"/>
      <c r="AL597" s="80"/>
      <c r="AM597" s="81"/>
      <c r="AN597" s="82">
        <f>SUM(AN592:AN596)</f>
        <v>0</v>
      </c>
      <c r="AO597" s="66">
        <f t="shared" si="727"/>
        <v>0</v>
      </c>
      <c r="AQ597" s="80"/>
      <c r="AR597" s="80"/>
      <c r="AS597" s="81"/>
      <c r="AT597" s="82">
        <f>SUM(AT592:AT596)</f>
        <v>0</v>
      </c>
      <c r="AU597" s="66">
        <f t="shared" si="728"/>
        <v>0</v>
      </c>
      <c r="AW597" s="80"/>
      <c r="AX597" s="80"/>
      <c r="AY597" s="81"/>
      <c r="AZ597" s="82">
        <f>SUM(AZ592:AZ596)</f>
        <v>0</v>
      </c>
      <c r="BA597" s="66">
        <f t="shared" si="729"/>
        <v>0</v>
      </c>
    </row>
    <row r="598" spans="1:53" s="117" customFormat="1" ht="17.100000000000001" customHeight="1" x14ac:dyDescent="0.25">
      <c r="A598" s="68"/>
      <c r="B598" s="119"/>
      <c r="C598" s="540"/>
      <c r="D598" s="261"/>
      <c r="E598" s="261"/>
      <c r="F598" s="68"/>
      <c r="G598" s="68"/>
      <c r="H598" s="119"/>
      <c r="I598" s="138"/>
      <c r="J598" s="17" t="str">
        <f t="shared" ref="J598:L598" si="732">IF(J597=J$576,"OK","NOK")</f>
        <v>OK</v>
      </c>
      <c r="K598" s="17" t="str">
        <f t="shared" si="732"/>
        <v>OK</v>
      </c>
      <c r="L598" s="17" t="str">
        <f t="shared" si="732"/>
        <v>OK</v>
      </c>
      <c r="M598" s="17"/>
      <c r="N598" s="17"/>
      <c r="O598" s="17"/>
      <c r="P598" s="17"/>
      <c r="Q598" s="17"/>
      <c r="R598" s="17"/>
      <c r="S598" s="17"/>
      <c r="T598" s="17"/>
      <c r="U598" s="17"/>
      <c r="V598" s="359"/>
      <c r="W598" s="382"/>
      <c r="X598" s="539"/>
      <c r="Y598" s="539"/>
      <c r="Z598" s="201"/>
      <c r="AA598" s="201"/>
      <c r="AB598" s="201"/>
      <c r="AC598" s="84"/>
      <c r="AE598" s="46"/>
      <c r="AF598" s="46"/>
      <c r="AG598" s="17"/>
      <c r="AH598" s="539"/>
      <c r="AI598" s="91"/>
      <c r="AK598" s="46"/>
      <c r="AL598" s="46"/>
      <c r="AM598" s="17"/>
      <c r="AN598" s="539"/>
      <c r="AO598" s="91"/>
      <c r="AQ598" s="46"/>
      <c r="AR598" s="46"/>
      <c r="AS598" s="17"/>
      <c r="AT598" s="539"/>
      <c r="AU598" s="91"/>
      <c r="AW598" s="46"/>
      <c r="AX598" s="46"/>
      <c r="AY598" s="17"/>
      <c r="AZ598" s="539"/>
      <c r="BA598" s="91"/>
    </row>
    <row r="599" spans="1:53" ht="17.100000000000001" customHeight="1" x14ac:dyDescent="0.25">
      <c r="A599" s="68"/>
      <c r="B599" s="41" t="s">
        <v>343</v>
      </c>
      <c r="C599" s="69" t="s">
        <v>507</v>
      </c>
      <c r="D599" s="50"/>
      <c r="E599" s="70"/>
      <c r="F599" s="70"/>
      <c r="G599" s="70"/>
      <c r="H599" s="243">
        <v>19</v>
      </c>
      <c r="J599" s="71"/>
      <c r="K599" s="71"/>
      <c r="L599" s="71"/>
      <c r="M599" s="71"/>
      <c r="N599" s="71"/>
      <c r="O599" s="71"/>
      <c r="P599" s="71"/>
      <c r="Q599" s="71"/>
      <c r="R599" s="71"/>
      <c r="S599" s="71"/>
      <c r="T599" s="71"/>
      <c r="U599" s="71"/>
      <c r="V599" s="355"/>
      <c r="W599" s="377"/>
      <c r="X599" s="71"/>
      <c r="Y599" s="72"/>
      <c r="Z599" s="73"/>
      <c r="AA599" s="73"/>
      <c r="AB599" s="73"/>
      <c r="AC599" s="73"/>
      <c r="AE599" s="71"/>
      <c r="AF599" s="71"/>
      <c r="AG599" s="71"/>
      <c r="AH599" s="72"/>
      <c r="AI599" s="73"/>
      <c r="AK599" s="71"/>
      <c r="AL599" s="71"/>
      <c r="AM599" s="71"/>
      <c r="AN599" s="72"/>
      <c r="AO599" s="73"/>
      <c r="AQ599" s="71"/>
      <c r="AR599" s="71"/>
      <c r="AS599" s="71"/>
      <c r="AT599" s="72"/>
      <c r="AU599" s="73"/>
      <c r="AW599" s="71"/>
      <c r="AX599" s="71"/>
      <c r="AY599" s="71"/>
      <c r="AZ599" s="72"/>
      <c r="BA599" s="73"/>
    </row>
    <row r="600" spans="1:53" ht="17.100000000000001" customHeight="1" x14ac:dyDescent="0.25">
      <c r="A600" s="40"/>
      <c r="B600" s="40"/>
      <c r="C600" s="74" t="s">
        <v>344</v>
      </c>
      <c r="D600" s="85" t="s">
        <v>173</v>
      </c>
      <c r="E600" s="105"/>
      <c r="F600" s="105"/>
      <c r="G600" s="105"/>
      <c r="H600" s="119"/>
      <c r="I600" s="231"/>
      <c r="J600" s="581"/>
      <c r="K600" s="581"/>
      <c r="L600" s="582"/>
      <c r="M600" s="593">
        <f t="shared" ref="M600:M606" si="733">SUM(J600:L600)</f>
        <v>0</v>
      </c>
      <c r="N600" s="111"/>
      <c r="O600" s="111"/>
      <c r="P600" s="111"/>
      <c r="Q600" s="111"/>
      <c r="R600" s="111"/>
      <c r="S600" s="111"/>
      <c r="T600" s="111"/>
      <c r="U600" s="111"/>
      <c r="V600" s="358"/>
      <c r="W600" s="391">
        <f t="shared" ref="W600:W601" si="734">J600+K600+N600+Q600+T600</f>
        <v>0</v>
      </c>
      <c r="X600" s="17">
        <f t="shared" ref="X600:X601" si="735">L600+O600+R600+U600</f>
        <v>0</v>
      </c>
      <c r="Y600" s="18">
        <f>SUM(W600:X600)</f>
        <v>0</v>
      </c>
      <c r="Z600" s="19">
        <f>IF(Y$607=0,0,Y600/Y$607)</f>
        <v>0</v>
      </c>
      <c r="AA600" s="19"/>
      <c r="AB600" s="19"/>
      <c r="AC600" s="17"/>
      <c r="AE600" s="17"/>
      <c r="AF600" s="17"/>
      <c r="AG600" s="17"/>
      <c r="AH600" s="18">
        <f t="shared" ref="AH600:AH601" si="736">J600</f>
        <v>0</v>
      </c>
      <c r="AI600" s="19">
        <f>IF(AH$607=0,0,AH600/AH$607)</f>
        <v>0</v>
      </c>
      <c r="AJ600" s="97"/>
      <c r="AK600" s="17"/>
      <c r="AL600" s="17"/>
      <c r="AM600" s="17"/>
      <c r="AN600" s="18">
        <f t="shared" ref="AN600:AN601" si="737">K600</f>
        <v>0</v>
      </c>
      <c r="AO600" s="19">
        <f>IF(AN$607=0,0,AN600/AN$607)</f>
        <v>0</v>
      </c>
      <c r="AP600" s="97"/>
      <c r="AQ600" s="17"/>
      <c r="AR600" s="17"/>
      <c r="AS600" s="17"/>
      <c r="AT600" s="18">
        <f t="shared" ref="AT600:AT601" si="738">W600</f>
        <v>0</v>
      </c>
      <c r="AU600" s="19">
        <f>IF(AT$607=0,0,AT600/AT$607)</f>
        <v>0</v>
      </c>
      <c r="AV600" s="97"/>
      <c r="AW600" s="17"/>
      <c r="AX600" s="17"/>
      <c r="AY600" s="17"/>
      <c r="AZ600" s="18">
        <f t="shared" ref="AZ600:AZ601" si="739">X600</f>
        <v>0</v>
      </c>
      <c r="BA600" s="19">
        <f>IF(AZ$607=0,0,AZ600/AZ$607)</f>
        <v>0</v>
      </c>
    </row>
    <row r="601" spans="1:53" ht="17.100000000000001" customHeight="1" x14ac:dyDescent="0.25">
      <c r="A601" s="40"/>
      <c r="B601" s="40"/>
      <c r="C601" s="74" t="s">
        <v>345</v>
      </c>
      <c r="D601" s="85" t="s">
        <v>544</v>
      </c>
      <c r="E601" s="105"/>
      <c r="F601" s="105"/>
      <c r="G601" s="105"/>
      <c r="H601" s="119"/>
      <c r="I601" s="231"/>
      <c r="J601" s="583"/>
      <c r="K601" s="583"/>
      <c r="L601" s="584"/>
      <c r="M601" s="593">
        <f t="shared" si="733"/>
        <v>0</v>
      </c>
      <c r="N601" s="111"/>
      <c r="O601" s="111"/>
      <c r="P601" s="111"/>
      <c r="Q601" s="111"/>
      <c r="R601" s="111"/>
      <c r="S601" s="111"/>
      <c r="T601" s="111"/>
      <c r="U601" s="111"/>
      <c r="V601" s="358"/>
      <c r="W601" s="391">
        <f t="shared" si="734"/>
        <v>0</v>
      </c>
      <c r="X601" s="17">
        <f t="shared" si="735"/>
        <v>0</v>
      </c>
      <c r="Y601" s="18">
        <f>SUM(W601:X601)</f>
        <v>0</v>
      </c>
      <c r="Z601" s="19">
        <f t="shared" ref="Z601:Z606" si="740">IF(Y$607=0,0,Y601/Y$607)</f>
        <v>0</v>
      </c>
      <c r="AA601" s="19"/>
      <c r="AB601" s="19"/>
      <c r="AC601" s="17"/>
      <c r="AE601" s="17"/>
      <c r="AF601" s="17"/>
      <c r="AG601" s="17"/>
      <c r="AH601" s="18">
        <f t="shared" si="736"/>
        <v>0</v>
      </c>
      <c r="AI601" s="19">
        <f>IF(AH$607=0,0,AH601/AH$607)</f>
        <v>0</v>
      </c>
      <c r="AJ601" s="97"/>
      <c r="AK601" s="17"/>
      <c r="AL601" s="17"/>
      <c r="AM601" s="17"/>
      <c r="AN601" s="18">
        <f t="shared" si="737"/>
        <v>0</v>
      </c>
      <c r="AO601" s="19">
        <f>IF(AN$607=0,0,AN601/AN$607)</f>
        <v>0</v>
      </c>
      <c r="AP601" s="97"/>
      <c r="AQ601" s="17"/>
      <c r="AR601" s="17"/>
      <c r="AS601" s="17"/>
      <c r="AT601" s="18">
        <f t="shared" si="738"/>
        <v>0</v>
      </c>
      <c r="AU601" s="19">
        <f>IF(AT$607=0,0,AT601/AT$607)</f>
        <v>0</v>
      </c>
      <c r="AV601" s="97"/>
      <c r="AW601" s="17"/>
      <c r="AX601" s="17"/>
      <c r="AY601" s="17"/>
      <c r="AZ601" s="18">
        <f t="shared" si="739"/>
        <v>0</v>
      </c>
      <c r="BA601" s="19">
        <f>IF(AZ$607=0,0,AZ601/AZ$607)</f>
        <v>0</v>
      </c>
    </row>
    <row r="602" spans="1:53" ht="17.100000000000001" customHeight="1" x14ac:dyDescent="0.25">
      <c r="A602" s="40"/>
      <c r="B602" s="40"/>
      <c r="C602" s="74" t="s">
        <v>346</v>
      </c>
      <c r="D602" s="146" t="s">
        <v>484</v>
      </c>
      <c r="E602" s="75"/>
      <c r="F602" s="105"/>
      <c r="G602" s="105"/>
      <c r="H602" s="119"/>
      <c r="I602" s="231"/>
      <c r="J602" s="581"/>
      <c r="K602" s="581"/>
      <c r="L602" s="582"/>
      <c r="M602" s="593"/>
      <c r="N602" s="111"/>
      <c r="O602" s="111"/>
      <c r="P602" s="111"/>
      <c r="Q602" s="111"/>
      <c r="R602" s="111"/>
      <c r="S602" s="111"/>
      <c r="T602" s="111"/>
      <c r="U602" s="111"/>
      <c r="V602" s="358"/>
      <c r="W602" s="391">
        <f>MIN(J602:K602)</f>
        <v>0</v>
      </c>
      <c r="X602" s="17">
        <f>L602</f>
        <v>0</v>
      </c>
      <c r="Y602" s="18"/>
      <c r="Z602" s="19"/>
      <c r="AA602" s="17">
        <f>MIN(J602:L602)</f>
        <v>0</v>
      </c>
      <c r="AB602" s="17"/>
      <c r="AC602" s="17"/>
      <c r="AE602" s="17">
        <f>J602</f>
        <v>0</v>
      </c>
      <c r="AF602" s="17"/>
      <c r="AG602" s="17"/>
      <c r="AH602" s="18"/>
      <c r="AI602" s="19"/>
      <c r="AJ602" s="97"/>
      <c r="AK602" s="17">
        <f>K602</f>
        <v>0</v>
      </c>
      <c r="AL602" s="17"/>
      <c r="AM602" s="17"/>
      <c r="AN602" s="18"/>
      <c r="AO602" s="19"/>
      <c r="AP602" s="97"/>
      <c r="AQ602" s="17">
        <f>W602</f>
        <v>0</v>
      </c>
      <c r="AR602" s="17"/>
      <c r="AS602" s="17"/>
      <c r="AT602" s="18"/>
      <c r="AU602" s="19"/>
      <c r="AV602" s="97"/>
      <c r="AW602" s="17">
        <f>L602</f>
        <v>0</v>
      </c>
      <c r="AX602" s="17"/>
      <c r="AY602" s="17"/>
      <c r="AZ602" s="18"/>
      <c r="BA602" s="19"/>
    </row>
    <row r="603" spans="1:53" ht="17.100000000000001" customHeight="1" x14ac:dyDescent="0.25">
      <c r="A603" s="40"/>
      <c r="B603" s="40"/>
      <c r="C603" s="74" t="s">
        <v>347</v>
      </c>
      <c r="D603" s="146" t="s">
        <v>485</v>
      </c>
      <c r="E603" s="75"/>
      <c r="F603" s="105"/>
      <c r="G603" s="105"/>
      <c r="H603" s="119"/>
      <c r="I603" s="231"/>
      <c r="J603" s="583"/>
      <c r="K603" s="583"/>
      <c r="L603" s="584"/>
      <c r="M603" s="593"/>
      <c r="N603" s="111"/>
      <c r="O603" s="111"/>
      <c r="P603" s="111"/>
      <c r="Q603" s="111"/>
      <c r="R603" s="111"/>
      <c r="S603" s="111"/>
      <c r="T603" s="111"/>
      <c r="U603" s="111"/>
      <c r="V603" s="358"/>
      <c r="W603" s="391">
        <f>MAX(J603:K603)</f>
        <v>0</v>
      </c>
      <c r="X603" s="17">
        <f t="shared" ref="X603:X604" si="741">L603</f>
        <v>0</v>
      </c>
      <c r="Y603" s="18"/>
      <c r="Z603" s="19"/>
      <c r="AA603" s="17"/>
      <c r="AB603" s="17">
        <f>MAX(J603:L603)</f>
        <v>0</v>
      </c>
      <c r="AC603" s="17"/>
      <c r="AE603" s="17"/>
      <c r="AF603" s="17">
        <f>J603</f>
        <v>0</v>
      </c>
      <c r="AG603" s="17"/>
      <c r="AH603" s="18"/>
      <c r="AI603" s="19"/>
      <c r="AJ603" s="97"/>
      <c r="AK603" s="17"/>
      <c r="AL603" s="17">
        <f>K603</f>
        <v>0</v>
      </c>
      <c r="AM603" s="17"/>
      <c r="AN603" s="18"/>
      <c r="AO603" s="19"/>
      <c r="AP603" s="97"/>
      <c r="AQ603" s="17"/>
      <c r="AR603" s="17">
        <f>W603</f>
        <v>0</v>
      </c>
      <c r="AS603" s="17"/>
      <c r="AT603" s="18"/>
      <c r="AU603" s="19"/>
      <c r="AV603" s="97"/>
      <c r="AW603" s="17"/>
      <c r="AX603" s="17">
        <f>L603</f>
        <v>0</v>
      </c>
      <c r="AY603" s="17"/>
      <c r="AZ603" s="18"/>
      <c r="BA603" s="19"/>
    </row>
    <row r="604" spans="1:53" ht="17.100000000000001" customHeight="1" x14ac:dyDescent="0.25">
      <c r="A604" s="40"/>
      <c r="B604" s="40"/>
      <c r="C604" s="74" t="s">
        <v>348</v>
      </c>
      <c r="D604" s="146" t="s">
        <v>543</v>
      </c>
      <c r="E604" s="75"/>
      <c r="F604" s="105"/>
      <c r="G604" s="105"/>
      <c r="H604" s="119"/>
      <c r="I604" s="231"/>
      <c r="J604" s="581"/>
      <c r="K604" s="581"/>
      <c r="L604" s="582"/>
      <c r="M604" s="593"/>
      <c r="N604" s="111"/>
      <c r="O604" s="111"/>
      <c r="P604" s="111"/>
      <c r="Q604" s="111"/>
      <c r="R604" s="111"/>
      <c r="S604" s="111"/>
      <c r="T604" s="111"/>
      <c r="U604" s="111"/>
      <c r="V604" s="358"/>
      <c r="W604" s="391">
        <f>IF(SUM(J604:K604)=0,0,AVERAGE(J604:K604))</f>
        <v>0</v>
      </c>
      <c r="X604" s="17">
        <f t="shared" si="741"/>
        <v>0</v>
      </c>
      <c r="Y604" s="18"/>
      <c r="Z604" s="19"/>
      <c r="AA604" s="17"/>
      <c r="AB604" s="17"/>
      <c r="AC604" s="17">
        <f>IF(SUM(J604:L604)=0,0,AVERAGE(J604:L604))</f>
        <v>0</v>
      </c>
      <c r="AE604" s="17"/>
      <c r="AF604" s="17"/>
      <c r="AG604" s="17">
        <f>J604</f>
        <v>0</v>
      </c>
      <c r="AH604" s="18"/>
      <c r="AI604" s="19"/>
      <c r="AJ604" s="97"/>
      <c r="AK604" s="17"/>
      <c r="AL604" s="17"/>
      <c r="AM604" s="17">
        <f>K604</f>
        <v>0</v>
      </c>
      <c r="AN604" s="18"/>
      <c r="AO604" s="19"/>
      <c r="AP604" s="97"/>
      <c r="AQ604" s="17"/>
      <c r="AR604" s="17"/>
      <c r="AS604" s="17">
        <f>W604</f>
        <v>0</v>
      </c>
      <c r="AT604" s="18"/>
      <c r="AU604" s="19"/>
      <c r="AV604" s="97"/>
      <c r="AW604" s="17"/>
      <c r="AX604" s="17"/>
      <c r="AY604" s="17">
        <f>L604</f>
        <v>0</v>
      </c>
      <c r="AZ604" s="18"/>
      <c r="BA604" s="19"/>
    </row>
    <row r="605" spans="1:53" ht="17.100000000000001" customHeight="1" x14ac:dyDescent="0.25">
      <c r="A605" s="40"/>
      <c r="B605" s="40"/>
      <c r="C605" s="74" t="s">
        <v>349</v>
      </c>
      <c r="D605" s="75" t="s">
        <v>129</v>
      </c>
      <c r="E605" s="75"/>
      <c r="F605" s="105"/>
      <c r="G605" s="105"/>
      <c r="H605" s="119"/>
      <c r="I605" s="231"/>
      <c r="J605" s="583"/>
      <c r="K605" s="583"/>
      <c r="L605" s="584"/>
      <c r="M605" s="593">
        <f t="shared" si="733"/>
        <v>0</v>
      </c>
      <c r="N605" s="111"/>
      <c r="O605" s="111"/>
      <c r="P605" s="111"/>
      <c r="Q605" s="111"/>
      <c r="R605" s="111"/>
      <c r="S605" s="111"/>
      <c r="T605" s="111"/>
      <c r="U605" s="111"/>
      <c r="V605" s="358"/>
      <c r="W605" s="391">
        <f t="shared" ref="W605:W606" si="742">J605+K605+N605+Q605+T605</f>
        <v>0</v>
      </c>
      <c r="X605" s="17">
        <f t="shared" ref="X605:X606" si="743">L605+O605+R605+U605</f>
        <v>0</v>
      </c>
      <c r="Y605" s="18">
        <f>SUM(W605:X605)</f>
        <v>0</v>
      </c>
      <c r="Z605" s="19">
        <f t="shared" si="740"/>
        <v>0</v>
      </c>
      <c r="AA605" s="19"/>
      <c r="AB605" s="19"/>
      <c r="AC605" s="17"/>
      <c r="AE605" s="17"/>
      <c r="AF605" s="17"/>
      <c r="AG605" s="17"/>
      <c r="AH605" s="18">
        <f t="shared" ref="AH605:AH606" si="744">J605</f>
        <v>0</v>
      </c>
      <c r="AI605" s="19">
        <f>IF(AH$607=0,0,AH605/AH$607)</f>
        <v>0</v>
      </c>
      <c r="AJ605" s="97"/>
      <c r="AK605" s="17"/>
      <c r="AL605" s="17"/>
      <c r="AM605" s="17"/>
      <c r="AN605" s="18">
        <f t="shared" ref="AN605:AN606" si="745">K605</f>
        <v>0</v>
      </c>
      <c r="AO605" s="19">
        <f>IF(AN$607=0,0,AN605/AN$607)</f>
        <v>0</v>
      </c>
      <c r="AP605" s="97"/>
      <c r="AQ605" s="17"/>
      <c r="AR605" s="17"/>
      <c r="AS605" s="17"/>
      <c r="AT605" s="18">
        <f t="shared" ref="AT605:AT606" si="746">W605</f>
        <v>0</v>
      </c>
      <c r="AU605" s="19">
        <f>IF(AT$607=0,0,AT605/AT$607)</f>
        <v>0</v>
      </c>
      <c r="AV605" s="97"/>
      <c r="AW605" s="17"/>
      <c r="AX605" s="17"/>
      <c r="AY605" s="17"/>
      <c r="AZ605" s="18">
        <f t="shared" ref="AZ605:AZ606" si="747">X605</f>
        <v>0</v>
      </c>
      <c r="BA605" s="19">
        <f>IF(AZ$607=0,0,AZ605/AZ$607)</f>
        <v>0</v>
      </c>
    </row>
    <row r="606" spans="1:53" ht="17.100000000000001" customHeight="1" x14ac:dyDescent="0.25">
      <c r="A606" s="40"/>
      <c r="B606" s="40"/>
      <c r="C606" s="74" t="s">
        <v>552</v>
      </c>
      <c r="D606" s="75" t="s">
        <v>530</v>
      </c>
      <c r="E606" s="105"/>
      <c r="F606" s="105"/>
      <c r="G606" s="105"/>
      <c r="H606" s="119"/>
      <c r="I606" s="231"/>
      <c r="J606" s="581"/>
      <c r="K606" s="581"/>
      <c r="L606" s="582"/>
      <c r="M606" s="593">
        <f t="shared" si="733"/>
        <v>0</v>
      </c>
      <c r="N606" s="111"/>
      <c r="O606" s="111"/>
      <c r="P606" s="111"/>
      <c r="Q606" s="111"/>
      <c r="R606" s="111"/>
      <c r="S606" s="111"/>
      <c r="T606" s="111"/>
      <c r="U606" s="111"/>
      <c r="V606" s="358"/>
      <c r="W606" s="391">
        <f t="shared" si="742"/>
        <v>0</v>
      </c>
      <c r="X606" s="17">
        <f t="shared" si="743"/>
        <v>0</v>
      </c>
      <c r="Y606" s="18">
        <f>SUM(W606:X606)</f>
        <v>0</v>
      </c>
      <c r="Z606" s="19">
        <f t="shared" si="740"/>
        <v>0</v>
      </c>
      <c r="AA606" s="19"/>
      <c r="AB606" s="19"/>
      <c r="AC606" s="17"/>
      <c r="AE606" s="17"/>
      <c r="AF606" s="17"/>
      <c r="AG606" s="17"/>
      <c r="AH606" s="18">
        <f t="shared" si="744"/>
        <v>0</v>
      </c>
      <c r="AI606" s="19">
        <f>IF(AH$607=0,0,AH606/AH$607)</f>
        <v>0</v>
      </c>
      <c r="AJ606" s="97"/>
      <c r="AK606" s="17"/>
      <c r="AL606" s="17"/>
      <c r="AM606" s="17"/>
      <c r="AN606" s="18">
        <f t="shared" si="745"/>
        <v>0</v>
      </c>
      <c r="AO606" s="19">
        <f>IF(AN$607=0,0,AN606/AN$607)</f>
        <v>0</v>
      </c>
      <c r="AP606" s="97"/>
      <c r="AQ606" s="17"/>
      <c r="AR606" s="17"/>
      <c r="AS606" s="17"/>
      <c r="AT606" s="18">
        <f t="shared" si="746"/>
        <v>0</v>
      </c>
      <c r="AU606" s="19">
        <f>IF(AT$607=0,0,AT606/AT$607)</f>
        <v>0</v>
      </c>
      <c r="AV606" s="97"/>
      <c r="AW606" s="17"/>
      <c r="AX606" s="17"/>
      <c r="AY606" s="17"/>
      <c r="AZ606" s="18">
        <f t="shared" si="747"/>
        <v>0</v>
      </c>
      <c r="BA606" s="19">
        <f>IF(AZ$607=0,0,AZ606/AZ$607)</f>
        <v>0</v>
      </c>
    </row>
    <row r="607" spans="1:53" ht="17.100000000000001" customHeight="1" x14ac:dyDescent="0.25">
      <c r="A607" s="40"/>
      <c r="B607" s="40"/>
      <c r="C607" s="77"/>
      <c r="D607" s="134"/>
      <c r="E607" s="134"/>
      <c r="F607" s="134"/>
      <c r="G607" s="134"/>
      <c r="H607" s="540"/>
      <c r="I607" s="229"/>
      <c r="J607" s="80">
        <f>J600+J601+J605+J606</f>
        <v>0</v>
      </c>
      <c r="K607" s="80">
        <f t="shared" ref="K607:M607" si="748">K600+K601+K605+K606</f>
        <v>0</v>
      </c>
      <c r="L607" s="80">
        <f t="shared" si="748"/>
        <v>0</v>
      </c>
      <c r="M607" s="80">
        <f t="shared" si="748"/>
        <v>0</v>
      </c>
      <c r="N607" s="81"/>
      <c r="O607" s="81"/>
      <c r="P607" s="81"/>
      <c r="Q607" s="81"/>
      <c r="R607" s="81"/>
      <c r="S607" s="81"/>
      <c r="T607" s="81"/>
      <c r="U607" s="81"/>
      <c r="V607" s="356"/>
      <c r="W607" s="381">
        <f>W600+W601+W605+W606</f>
        <v>0</v>
      </c>
      <c r="X607" s="82">
        <f t="shared" ref="X607:Y607" si="749">X600+X601+X605+X606</f>
        <v>0</v>
      </c>
      <c r="Y607" s="82">
        <f t="shared" si="749"/>
        <v>0</v>
      </c>
      <c r="Z607" s="205">
        <f>IF(Y$607=0,0,Y607/Y$607)</f>
        <v>0</v>
      </c>
      <c r="AA607" s="205"/>
      <c r="AB607" s="205"/>
      <c r="AC607" s="83"/>
      <c r="AE607" s="80"/>
      <c r="AF607" s="80"/>
      <c r="AG607" s="81"/>
      <c r="AH607" s="82">
        <f>SUM(AH600:AH606)</f>
        <v>0</v>
      </c>
      <c r="AI607" s="66">
        <f>IF(AH$607=0,0,AH607/AH$607)</f>
        <v>0</v>
      </c>
      <c r="AK607" s="80"/>
      <c r="AL607" s="80"/>
      <c r="AM607" s="81"/>
      <c r="AN607" s="82">
        <f>SUM(AN600:AN606)</f>
        <v>0</v>
      </c>
      <c r="AO607" s="66">
        <f>IF(AN$607=0,0,AN607/AN$607)</f>
        <v>0</v>
      </c>
      <c r="AQ607" s="80"/>
      <c r="AR607" s="80"/>
      <c r="AS607" s="81"/>
      <c r="AT607" s="82">
        <f>SUM(AT600:AT606)</f>
        <v>0</v>
      </c>
      <c r="AU607" s="66">
        <f>IF(AT$607=0,0,AT607/AT$607)</f>
        <v>0</v>
      </c>
      <c r="AW607" s="80"/>
      <c r="AX607" s="80"/>
      <c r="AY607" s="81"/>
      <c r="AZ607" s="82">
        <f>SUM(AZ600:AZ606)</f>
        <v>0</v>
      </c>
      <c r="BA607" s="66">
        <f>IF(AZ$607=0,0,AZ607/AZ$607)</f>
        <v>0</v>
      </c>
    </row>
    <row r="608" spans="1:53" s="117" customFormat="1" ht="17.100000000000001" customHeight="1" x14ac:dyDescent="0.25">
      <c r="A608" s="68"/>
      <c r="B608" s="119"/>
      <c r="C608" s="540"/>
      <c r="D608" s="261"/>
      <c r="E608" s="261"/>
      <c r="F608" s="68"/>
      <c r="G608" s="68"/>
      <c r="H608" s="119"/>
      <c r="I608" s="138"/>
      <c r="J608" s="17" t="str">
        <f>IF(J607=J$576,"OK","NOK")</f>
        <v>OK</v>
      </c>
      <c r="K608" s="17" t="str">
        <f t="shared" ref="K608:L608" si="750">IF(K607=K$576,"OK","NOK")</f>
        <v>OK</v>
      </c>
      <c r="L608" s="17" t="str">
        <f t="shared" si="750"/>
        <v>OK</v>
      </c>
      <c r="M608" s="17"/>
      <c r="N608" s="17"/>
      <c r="O608" s="17"/>
      <c r="P608" s="17"/>
      <c r="Q608" s="17"/>
      <c r="R608" s="17"/>
      <c r="S608" s="17"/>
      <c r="T608" s="17"/>
      <c r="U608" s="17"/>
      <c r="V608" s="359"/>
      <c r="W608" s="382"/>
      <c r="X608" s="539"/>
      <c r="Y608" s="539"/>
      <c r="Z608" s="201"/>
      <c r="AA608" s="201"/>
      <c r="AB608" s="201"/>
      <c r="AC608" s="84"/>
      <c r="AE608" s="46"/>
      <c r="AF608" s="46"/>
      <c r="AG608" s="17"/>
      <c r="AH608" s="539"/>
      <c r="AI608" s="91"/>
      <c r="AK608" s="46"/>
      <c r="AL608" s="46"/>
      <c r="AM608" s="17"/>
      <c r="AN608" s="539"/>
      <c r="AO608" s="91"/>
      <c r="AQ608" s="46"/>
      <c r="AR608" s="46"/>
      <c r="AS608" s="17"/>
      <c r="AT608" s="539"/>
      <c r="AU608" s="91"/>
      <c r="AW608" s="46"/>
      <c r="AX608" s="46"/>
      <c r="AY608" s="17"/>
      <c r="AZ608" s="539"/>
      <c r="BA608" s="91"/>
    </row>
    <row r="609" spans="1:53" ht="17.100000000000001" customHeight="1" x14ac:dyDescent="0.25">
      <c r="A609" s="68"/>
      <c r="B609" s="41" t="s">
        <v>350</v>
      </c>
      <c r="C609" s="69" t="s">
        <v>362</v>
      </c>
      <c r="D609" s="50"/>
      <c r="E609" s="70"/>
      <c r="F609" s="70"/>
      <c r="G609" s="70"/>
      <c r="H609" s="243">
        <v>22</v>
      </c>
      <c r="J609" s="71"/>
      <c r="K609" s="71"/>
      <c r="L609" s="71"/>
      <c r="M609" s="71"/>
      <c r="N609" s="71"/>
      <c r="O609" s="71"/>
      <c r="P609" s="71"/>
      <c r="Q609" s="71"/>
      <c r="R609" s="71"/>
      <c r="S609" s="71"/>
      <c r="T609" s="71"/>
      <c r="U609" s="71"/>
      <c r="V609" s="355"/>
      <c r="W609" s="377"/>
      <c r="X609" s="71"/>
      <c r="Y609" s="72"/>
      <c r="Z609" s="73"/>
      <c r="AA609" s="73"/>
      <c r="AB609" s="73"/>
      <c r="AC609" s="73"/>
      <c r="AE609" s="71"/>
      <c r="AF609" s="71"/>
      <c r="AG609" s="71"/>
      <c r="AH609" s="72"/>
      <c r="AI609" s="73"/>
      <c r="AK609" s="71"/>
      <c r="AL609" s="71"/>
      <c r="AM609" s="71"/>
      <c r="AN609" s="72"/>
      <c r="AO609" s="73"/>
      <c r="AQ609" s="71"/>
      <c r="AR609" s="71"/>
      <c r="AS609" s="71"/>
      <c r="AT609" s="72"/>
      <c r="AU609" s="73"/>
      <c r="AW609" s="71"/>
      <c r="AX609" s="71"/>
      <c r="AY609" s="71"/>
      <c r="AZ609" s="72"/>
      <c r="BA609" s="73"/>
    </row>
    <row r="610" spans="1:53" ht="17.100000000000001" customHeight="1" x14ac:dyDescent="0.25">
      <c r="A610" s="40"/>
      <c r="B610" s="40"/>
      <c r="C610" s="74" t="s">
        <v>351</v>
      </c>
      <c r="D610" s="57" t="s">
        <v>1025</v>
      </c>
      <c r="E610" s="105"/>
      <c r="F610" s="105"/>
      <c r="G610" s="105"/>
      <c r="H610" s="119"/>
      <c r="I610" s="231"/>
      <c r="J610" s="111"/>
      <c r="K610" s="111"/>
      <c r="L610" s="111"/>
      <c r="M610" s="111"/>
      <c r="N610" s="111"/>
      <c r="O610" s="111"/>
      <c r="P610" s="111"/>
      <c r="Q610" s="111"/>
      <c r="R610" s="111"/>
      <c r="S610" s="111"/>
      <c r="T610" s="111"/>
      <c r="U610" s="111"/>
      <c r="V610" s="358"/>
      <c r="W610" s="380"/>
      <c r="X610" s="111"/>
      <c r="Y610" s="545"/>
      <c r="Z610" s="111"/>
      <c r="AA610" s="111"/>
      <c r="AB610" s="111"/>
      <c r="AC610" s="111"/>
      <c r="AE610" s="111"/>
      <c r="AF610" s="111"/>
      <c r="AG610" s="111"/>
      <c r="AH610" s="545"/>
      <c r="AI610" s="111"/>
      <c r="AK610" s="111"/>
      <c r="AL610" s="111"/>
      <c r="AM610" s="111"/>
      <c r="AN610" s="545"/>
      <c r="AO610" s="111"/>
      <c r="AQ610" s="111"/>
      <c r="AR610" s="111"/>
      <c r="AS610" s="111"/>
      <c r="AT610" s="545"/>
      <c r="AU610" s="111"/>
      <c r="AW610" s="111"/>
      <c r="AX610" s="111"/>
      <c r="AY610" s="111"/>
      <c r="AZ610" s="545"/>
      <c r="BA610" s="111"/>
    </row>
    <row r="611" spans="1:53" ht="17.100000000000001" customHeight="1" x14ac:dyDescent="0.25">
      <c r="A611" s="40"/>
      <c r="B611" s="40"/>
      <c r="C611" s="119"/>
      <c r="D611" s="180" t="s">
        <v>352</v>
      </c>
      <c r="E611" s="85" t="s">
        <v>512</v>
      </c>
      <c r="F611" s="105"/>
      <c r="G611" s="105"/>
      <c r="H611" s="119"/>
      <c r="I611" s="231"/>
      <c r="J611" s="581"/>
      <c r="K611" s="581"/>
      <c r="L611" s="582"/>
      <c r="M611" s="593">
        <f t="shared" ref="M611:M619" si="751">SUM(J611:L611)</f>
        <v>0</v>
      </c>
      <c r="N611" s="111"/>
      <c r="O611" s="111"/>
      <c r="P611" s="111"/>
      <c r="Q611" s="111"/>
      <c r="R611" s="111"/>
      <c r="S611" s="111"/>
      <c r="T611" s="111"/>
      <c r="U611" s="111"/>
      <c r="V611" s="358"/>
      <c r="W611" s="391">
        <f t="shared" ref="W611:W619" si="752">J611+K611+N611+Q611+T611</f>
        <v>0</v>
      </c>
      <c r="X611" s="17">
        <f t="shared" ref="X611:X619" si="753">L611+O611+R611+U611</f>
        <v>0</v>
      </c>
      <c r="Y611" s="18">
        <f t="shared" ref="Y611:Y619" si="754">SUM(W611:X611)</f>
        <v>0</v>
      </c>
      <c r="Z611" s="19">
        <f>IF(Y$620=0,0,Y611/Y$620)</f>
        <v>0</v>
      </c>
      <c r="AA611" s="19"/>
      <c r="AB611" s="19"/>
      <c r="AC611" s="17"/>
      <c r="AE611" s="17"/>
      <c r="AF611" s="17"/>
      <c r="AG611" s="17"/>
      <c r="AH611" s="18">
        <f t="shared" ref="AH611:AH619" si="755">J611</f>
        <v>0</v>
      </c>
      <c r="AI611" s="19">
        <f>IF(AH$620=0,0,AH611/AH$620)</f>
        <v>0</v>
      </c>
      <c r="AJ611" s="97"/>
      <c r="AK611" s="17"/>
      <c r="AL611" s="17"/>
      <c r="AM611" s="17"/>
      <c r="AN611" s="18">
        <f t="shared" ref="AN611:AN619" si="756">K611</f>
        <v>0</v>
      </c>
      <c r="AO611" s="19">
        <f>IF(AN$620=0,0,AN611/AN$620)</f>
        <v>0</v>
      </c>
      <c r="AP611" s="97"/>
      <c r="AQ611" s="17"/>
      <c r="AR611" s="17"/>
      <c r="AS611" s="17"/>
      <c r="AT611" s="18">
        <f t="shared" ref="AT611:AT619" si="757">W611</f>
        <v>0</v>
      </c>
      <c r="AU611" s="19">
        <f>IF(AT$620=0,0,AT611/AT$620)</f>
        <v>0</v>
      </c>
      <c r="AV611" s="97"/>
      <c r="AW611" s="17"/>
      <c r="AX611" s="17"/>
      <c r="AY611" s="17"/>
      <c r="AZ611" s="18">
        <f t="shared" ref="AZ611:AZ619" si="758">X611</f>
        <v>0</v>
      </c>
      <c r="BA611" s="19">
        <f>IF(AZ$620=0,0,AZ611/AZ$620)</f>
        <v>0</v>
      </c>
    </row>
    <row r="612" spans="1:53" ht="17.100000000000001" customHeight="1" x14ac:dyDescent="0.25">
      <c r="A612" s="40"/>
      <c r="B612" s="40"/>
      <c r="C612" s="119"/>
      <c r="D612" s="180" t="s">
        <v>353</v>
      </c>
      <c r="E612" s="85" t="s">
        <v>513</v>
      </c>
      <c r="F612" s="105"/>
      <c r="G612" s="105"/>
      <c r="H612" s="119"/>
      <c r="I612" s="231"/>
      <c r="J612" s="583"/>
      <c r="K612" s="583"/>
      <c r="L612" s="584"/>
      <c r="M612" s="593">
        <f t="shared" si="751"/>
        <v>0</v>
      </c>
      <c r="N612" s="111"/>
      <c r="O612" s="111"/>
      <c r="P612" s="111"/>
      <c r="Q612" s="111"/>
      <c r="R612" s="111"/>
      <c r="S612" s="111"/>
      <c r="T612" s="111"/>
      <c r="U612" s="111"/>
      <c r="V612" s="358"/>
      <c r="W612" s="391">
        <f t="shared" si="752"/>
        <v>0</v>
      </c>
      <c r="X612" s="17">
        <f t="shared" si="753"/>
        <v>0</v>
      </c>
      <c r="Y612" s="18">
        <f t="shared" si="754"/>
        <v>0</v>
      </c>
      <c r="Z612" s="19">
        <f t="shared" ref="Z612:Z620" si="759">IF(Y$620=0,0,Y612/Y$620)</f>
        <v>0</v>
      </c>
      <c r="AA612" s="19"/>
      <c r="AB612" s="19"/>
      <c r="AC612" s="17"/>
      <c r="AE612" s="17"/>
      <c r="AF612" s="17"/>
      <c r="AG612" s="17"/>
      <c r="AH612" s="18">
        <f t="shared" si="755"/>
        <v>0</v>
      </c>
      <c r="AI612" s="19">
        <f t="shared" ref="AI612:AI619" si="760">IF(AH$620=0,0,AH612/AH$620)</f>
        <v>0</v>
      </c>
      <c r="AJ612" s="97"/>
      <c r="AK612" s="17"/>
      <c r="AL612" s="17"/>
      <c r="AM612" s="17"/>
      <c r="AN612" s="18">
        <f t="shared" si="756"/>
        <v>0</v>
      </c>
      <c r="AO612" s="19">
        <f t="shared" ref="AO612:AO619" si="761">IF(AN$620=0,0,AN612/AN$620)</f>
        <v>0</v>
      </c>
      <c r="AP612" s="97"/>
      <c r="AQ612" s="17"/>
      <c r="AR612" s="17"/>
      <c r="AS612" s="17"/>
      <c r="AT612" s="18">
        <f t="shared" si="757"/>
        <v>0</v>
      </c>
      <c r="AU612" s="19">
        <f t="shared" ref="AU612:AU619" si="762">IF(AT$620=0,0,AT612/AT$620)</f>
        <v>0</v>
      </c>
      <c r="AV612" s="97"/>
      <c r="AW612" s="17"/>
      <c r="AX612" s="17"/>
      <c r="AY612" s="17"/>
      <c r="AZ612" s="18">
        <f t="shared" si="758"/>
        <v>0</v>
      </c>
      <c r="BA612" s="19">
        <f t="shared" ref="BA612:BA619" si="763">IF(AZ$620=0,0,AZ612/AZ$620)</f>
        <v>0</v>
      </c>
    </row>
    <row r="613" spans="1:53" ht="17.100000000000001" customHeight="1" x14ac:dyDescent="0.25">
      <c r="A613" s="40"/>
      <c r="B613" s="40"/>
      <c r="C613" s="119"/>
      <c r="D613" s="180" t="s">
        <v>354</v>
      </c>
      <c r="E613" s="85" t="s">
        <v>514</v>
      </c>
      <c r="F613" s="105"/>
      <c r="G613" s="105"/>
      <c r="H613" s="119"/>
      <c r="I613" s="231"/>
      <c r="J613" s="581"/>
      <c r="K613" s="581"/>
      <c r="L613" s="582"/>
      <c r="M613" s="593">
        <f t="shared" si="751"/>
        <v>0</v>
      </c>
      <c r="N613" s="111"/>
      <c r="O613" s="111"/>
      <c r="P613" s="111"/>
      <c r="Q613" s="111"/>
      <c r="R613" s="111"/>
      <c r="S613" s="111"/>
      <c r="T613" s="111"/>
      <c r="U613" s="111"/>
      <c r="V613" s="358"/>
      <c r="W613" s="391">
        <f t="shared" si="752"/>
        <v>0</v>
      </c>
      <c r="X613" s="17">
        <f t="shared" si="753"/>
        <v>0</v>
      </c>
      <c r="Y613" s="18">
        <f t="shared" si="754"/>
        <v>0</v>
      </c>
      <c r="Z613" s="19">
        <f t="shared" si="759"/>
        <v>0</v>
      </c>
      <c r="AA613" s="19"/>
      <c r="AB613" s="19"/>
      <c r="AC613" s="17"/>
      <c r="AE613" s="17"/>
      <c r="AF613" s="17"/>
      <c r="AG613" s="17"/>
      <c r="AH613" s="18">
        <f t="shared" si="755"/>
        <v>0</v>
      </c>
      <c r="AI613" s="19">
        <f t="shared" si="760"/>
        <v>0</v>
      </c>
      <c r="AJ613" s="97"/>
      <c r="AK613" s="17"/>
      <c r="AL613" s="17"/>
      <c r="AM613" s="17"/>
      <c r="AN613" s="18">
        <f t="shared" si="756"/>
        <v>0</v>
      </c>
      <c r="AO613" s="19">
        <f t="shared" si="761"/>
        <v>0</v>
      </c>
      <c r="AP613" s="97"/>
      <c r="AQ613" s="17"/>
      <c r="AR613" s="17"/>
      <c r="AS613" s="17"/>
      <c r="AT613" s="18">
        <f t="shared" si="757"/>
        <v>0</v>
      </c>
      <c r="AU613" s="19">
        <f t="shared" si="762"/>
        <v>0</v>
      </c>
      <c r="AV613" s="97"/>
      <c r="AW613" s="17"/>
      <c r="AX613" s="17"/>
      <c r="AY613" s="17"/>
      <c r="AZ613" s="18">
        <f t="shared" si="758"/>
        <v>0</v>
      </c>
      <c r="BA613" s="19">
        <f t="shared" si="763"/>
        <v>0</v>
      </c>
    </row>
    <row r="614" spans="1:53" ht="17.100000000000001" customHeight="1" x14ac:dyDescent="0.25">
      <c r="A614" s="40"/>
      <c r="B614" s="40"/>
      <c r="C614" s="119"/>
      <c r="D614" s="180" t="s">
        <v>355</v>
      </c>
      <c r="E614" s="85" t="s">
        <v>357</v>
      </c>
      <c r="F614" s="105"/>
      <c r="G614" s="105"/>
      <c r="H614" s="119"/>
      <c r="I614" s="231"/>
      <c r="J614" s="583"/>
      <c r="K614" s="583"/>
      <c r="L614" s="584"/>
      <c r="M614" s="593">
        <f t="shared" si="751"/>
        <v>0</v>
      </c>
      <c r="N614" s="111"/>
      <c r="O614" s="111"/>
      <c r="P614" s="111"/>
      <c r="Q614" s="111"/>
      <c r="R614" s="111"/>
      <c r="S614" s="111"/>
      <c r="T614" s="111"/>
      <c r="U614" s="111"/>
      <c r="V614" s="358"/>
      <c r="W614" s="391">
        <f t="shared" si="752"/>
        <v>0</v>
      </c>
      <c r="X614" s="17">
        <f t="shared" si="753"/>
        <v>0</v>
      </c>
      <c r="Y614" s="18">
        <f t="shared" si="754"/>
        <v>0</v>
      </c>
      <c r="Z614" s="19">
        <f t="shared" si="759"/>
        <v>0</v>
      </c>
      <c r="AA614" s="19"/>
      <c r="AB614" s="19"/>
      <c r="AC614" s="17"/>
      <c r="AE614" s="17"/>
      <c r="AF614" s="17"/>
      <c r="AG614" s="17"/>
      <c r="AH614" s="18">
        <f t="shared" si="755"/>
        <v>0</v>
      </c>
      <c r="AI614" s="19">
        <f t="shared" si="760"/>
        <v>0</v>
      </c>
      <c r="AJ614" s="97"/>
      <c r="AK614" s="17"/>
      <c r="AL614" s="17"/>
      <c r="AM614" s="17"/>
      <c r="AN614" s="18">
        <f t="shared" si="756"/>
        <v>0</v>
      </c>
      <c r="AO614" s="19">
        <f t="shared" si="761"/>
        <v>0</v>
      </c>
      <c r="AP614" s="97"/>
      <c r="AQ614" s="17"/>
      <c r="AR614" s="17"/>
      <c r="AS614" s="17"/>
      <c r="AT614" s="18">
        <f t="shared" si="757"/>
        <v>0</v>
      </c>
      <c r="AU614" s="19">
        <f t="shared" si="762"/>
        <v>0</v>
      </c>
      <c r="AV614" s="97"/>
      <c r="AW614" s="17"/>
      <c r="AX614" s="17"/>
      <c r="AY614" s="17"/>
      <c r="AZ614" s="18">
        <f t="shared" si="758"/>
        <v>0</v>
      </c>
      <c r="BA614" s="19">
        <f t="shared" si="763"/>
        <v>0</v>
      </c>
    </row>
    <row r="615" spans="1:53" ht="17.100000000000001" customHeight="1" x14ac:dyDescent="0.25">
      <c r="A615" s="40"/>
      <c r="B615" s="40"/>
      <c r="C615" s="119"/>
      <c r="D615" s="180" t="s">
        <v>356</v>
      </c>
      <c r="E615" s="85" t="s">
        <v>515</v>
      </c>
      <c r="F615" s="105"/>
      <c r="G615" s="105"/>
      <c r="H615" s="119"/>
      <c r="I615" s="231"/>
      <c r="J615" s="581"/>
      <c r="K615" s="581"/>
      <c r="L615" s="582"/>
      <c r="M615" s="593">
        <f t="shared" si="751"/>
        <v>0</v>
      </c>
      <c r="N615" s="111"/>
      <c r="O615" s="111"/>
      <c r="P615" s="111"/>
      <c r="Q615" s="111"/>
      <c r="R615" s="111"/>
      <c r="S615" s="111"/>
      <c r="T615" s="111"/>
      <c r="U615" s="111"/>
      <c r="V615" s="358"/>
      <c r="W615" s="391">
        <f t="shared" si="752"/>
        <v>0</v>
      </c>
      <c r="X615" s="17">
        <f t="shared" si="753"/>
        <v>0</v>
      </c>
      <c r="Y615" s="18">
        <f t="shared" si="754"/>
        <v>0</v>
      </c>
      <c r="Z615" s="19">
        <f t="shared" si="759"/>
        <v>0</v>
      </c>
      <c r="AA615" s="19"/>
      <c r="AB615" s="19"/>
      <c r="AC615" s="17"/>
      <c r="AE615" s="17"/>
      <c r="AF615" s="17"/>
      <c r="AG615" s="17"/>
      <c r="AH615" s="18">
        <f t="shared" si="755"/>
        <v>0</v>
      </c>
      <c r="AI615" s="19">
        <f t="shared" si="760"/>
        <v>0</v>
      </c>
      <c r="AJ615" s="97"/>
      <c r="AK615" s="17"/>
      <c r="AL615" s="17"/>
      <c r="AM615" s="17"/>
      <c r="AN615" s="18">
        <f t="shared" si="756"/>
        <v>0</v>
      </c>
      <c r="AO615" s="19">
        <f t="shared" si="761"/>
        <v>0</v>
      </c>
      <c r="AP615" s="97"/>
      <c r="AQ615" s="17"/>
      <c r="AR615" s="17"/>
      <c r="AS615" s="17"/>
      <c r="AT615" s="18">
        <f t="shared" si="757"/>
        <v>0</v>
      </c>
      <c r="AU615" s="19">
        <f t="shared" si="762"/>
        <v>0</v>
      </c>
      <c r="AV615" s="97"/>
      <c r="AW615" s="17"/>
      <c r="AX615" s="17"/>
      <c r="AY615" s="17"/>
      <c r="AZ615" s="18">
        <f t="shared" si="758"/>
        <v>0</v>
      </c>
      <c r="BA615" s="19">
        <f t="shared" si="763"/>
        <v>0</v>
      </c>
    </row>
    <row r="616" spans="1:53" ht="17.100000000000001" customHeight="1" x14ac:dyDescent="0.25">
      <c r="A616" s="40"/>
      <c r="B616" s="40"/>
      <c r="C616" s="119"/>
      <c r="D616" s="180" t="s">
        <v>508</v>
      </c>
      <c r="E616" s="85" t="s">
        <v>516</v>
      </c>
      <c r="F616" s="105"/>
      <c r="G616" s="105"/>
      <c r="H616" s="119"/>
      <c r="I616" s="231"/>
      <c r="J616" s="583"/>
      <c r="K616" s="583"/>
      <c r="L616" s="584"/>
      <c r="M616" s="593">
        <f t="shared" si="751"/>
        <v>0</v>
      </c>
      <c r="N616" s="111"/>
      <c r="O616" s="111"/>
      <c r="P616" s="111"/>
      <c r="Q616" s="111"/>
      <c r="R616" s="111"/>
      <c r="S616" s="111"/>
      <c r="T616" s="111"/>
      <c r="U616" s="111"/>
      <c r="V616" s="358"/>
      <c r="W616" s="391">
        <f t="shared" si="752"/>
        <v>0</v>
      </c>
      <c r="X616" s="17">
        <f t="shared" si="753"/>
        <v>0</v>
      </c>
      <c r="Y616" s="18">
        <f t="shared" si="754"/>
        <v>0</v>
      </c>
      <c r="Z616" s="19">
        <f t="shared" si="759"/>
        <v>0</v>
      </c>
      <c r="AA616" s="19"/>
      <c r="AB616" s="19"/>
      <c r="AC616" s="17"/>
      <c r="AE616" s="17"/>
      <c r="AF616" s="17"/>
      <c r="AG616" s="17"/>
      <c r="AH616" s="18">
        <f t="shared" si="755"/>
        <v>0</v>
      </c>
      <c r="AI616" s="19">
        <f t="shared" si="760"/>
        <v>0</v>
      </c>
      <c r="AJ616" s="97"/>
      <c r="AK616" s="17"/>
      <c r="AL616" s="17"/>
      <c r="AM616" s="17"/>
      <c r="AN616" s="18">
        <f t="shared" si="756"/>
        <v>0</v>
      </c>
      <c r="AO616" s="19">
        <f t="shared" si="761"/>
        <v>0</v>
      </c>
      <c r="AP616" s="97"/>
      <c r="AQ616" s="17"/>
      <c r="AR616" s="17"/>
      <c r="AS616" s="17"/>
      <c r="AT616" s="18">
        <f t="shared" si="757"/>
        <v>0</v>
      </c>
      <c r="AU616" s="19">
        <f t="shared" si="762"/>
        <v>0</v>
      </c>
      <c r="AV616" s="97"/>
      <c r="AW616" s="17"/>
      <c r="AX616" s="17"/>
      <c r="AY616" s="17"/>
      <c r="AZ616" s="18">
        <f t="shared" si="758"/>
        <v>0</v>
      </c>
      <c r="BA616" s="19">
        <f t="shared" si="763"/>
        <v>0</v>
      </c>
    </row>
    <row r="617" spans="1:53" ht="17.100000000000001" customHeight="1" x14ac:dyDescent="0.25">
      <c r="A617" s="40"/>
      <c r="B617" s="40"/>
      <c r="C617" s="119"/>
      <c r="D617" s="180" t="s">
        <v>509</v>
      </c>
      <c r="E617" s="85" t="s">
        <v>517</v>
      </c>
      <c r="F617" s="105"/>
      <c r="G617" s="105"/>
      <c r="H617" s="119"/>
      <c r="I617" s="231"/>
      <c r="J617" s="581"/>
      <c r="K617" s="581"/>
      <c r="L617" s="582"/>
      <c r="M617" s="593">
        <f t="shared" si="751"/>
        <v>0</v>
      </c>
      <c r="N617" s="111"/>
      <c r="O617" s="111"/>
      <c r="P617" s="111"/>
      <c r="Q617" s="111"/>
      <c r="R617" s="111"/>
      <c r="S617" s="111"/>
      <c r="T617" s="111"/>
      <c r="U617" s="111"/>
      <c r="V617" s="358"/>
      <c r="W617" s="391">
        <f t="shared" si="752"/>
        <v>0</v>
      </c>
      <c r="X617" s="17">
        <f t="shared" si="753"/>
        <v>0</v>
      </c>
      <c r="Y617" s="18">
        <f t="shared" si="754"/>
        <v>0</v>
      </c>
      <c r="Z617" s="19">
        <f t="shared" si="759"/>
        <v>0</v>
      </c>
      <c r="AA617" s="19"/>
      <c r="AB617" s="19"/>
      <c r="AC617" s="17"/>
      <c r="AE617" s="17"/>
      <c r="AF617" s="17"/>
      <c r="AG617" s="17"/>
      <c r="AH617" s="18">
        <f t="shared" si="755"/>
        <v>0</v>
      </c>
      <c r="AI617" s="19">
        <f t="shared" si="760"/>
        <v>0</v>
      </c>
      <c r="AJ617" s="97"/>
      <c r="AK617" s="17"/>
      <c r="AL617" s="17"/>
      <c r="AM617" s="17"/>
      <c r="AN617" s="18">
        <f t="shared" si="756"/>
        <v>0</v>
      </c>
      <c r="AO617" s="19">
        <f t="shared" si="761"/>
        <v>0</v>
      </c>
      <c r="AP617" s="97"/>
      <c r="AQ617" s="17"/>
      <c r="AR617" s="17"/>
      <c r="AS617" s="17"/>
      <c r="AT617" s="18">
        <f t="shared" si="757"/>
        <v>0</v>
      </c>
      <c r="AU617" s="19">
        <f t="shared" si="762"/>
        <v>0</v>
      </c>
      <c r="AV617" s="97"/>
      <c r="AW617" s="17"/>
      <c r="AX617" s="17"/>
      <c r="AY617" s="17"/>
      <c r="AZ617" s="18">
        <f t="shared" si="758"/>
        <v>0</v>
      </c>
      <c r="BA617" s="19">
        <f t="shared" si="763"/>
        <v>0</v>
      </c>
    </row>
    <row r="618" spans="1:53" ht="17.100000000000001" customHeight="1" x14ac:dyDescent="0.25">
      <c r="A618" s="40"/>
      <c r="B618" s="40"/>
      <c r="C618" s="119"/>
      <c r="D618" s="180" t="s">
        <v>510</v>
      </c>
      <c r="E618" s="85" t="s">
        <v>518</v>
      </c>
      <c r="F618" s="105"/>
      <c r="G618" s="105"/>
      <c r="H618" s="119"/>
      <c r="I618" s="231"/>
      <c r="J618" s="583"/>
      <c r="K618" s="583"/>
      <c r="L618" s="584"/>
      <c r="M618" s="593">
        <f t="shared" si="751"/>
        <v>0</v>
      </c>
      <c r="N618" s="111"/>
      <c r="O618" s="111"/>
      <c r="P618" s="111"/>
      <c r="Q618" s="111"/>
      <c r="R618" s="111"/>
      <c r="S618" s="111"/>
      <c r="T618" s="111"/>
      <c r="U618" s="111"/>
      <c r="V618" s="358"/>
      <c r="W618" s="391">
        <f t="shared" si="752"/>
        <v>0</v>
      </c>
      <c r="X618" s="17">
        <f t="shared" si="753"/>
        <v>0</v>
      </c>
      <c r="Y618" s="18">
        <f t="shared" si="754"/>
        <v>0</v>
      </c>
      <c r="Z618" s="19">
        <f t="shared" si="759"/>
        <v>0</v>
      </c>
      <c r="AA618" s="19"/>
      <c r="AB618" s="19"/>
      <c r="AC618" s="17"/>
      <c r="AE618" s="17"/>
      <c r="AF618" s="17"/>
      <c r="AG618" s="17"/>
      <c r="AH618" s="18">
        <f t="shared" si="755"/>
        <v>0</v>
      </c>
      <c r="AI618" s="19">
        <f t="shared" si="760"/>
        <v>0</v>
      </c>
      <c r="AJ618" s="97"/>
      <c r="AK618" s="17"/>
      <c r="AL618" s="17"/>
      <c r="AM618" s="17"/>
      <c r="AN618" s="18">
        <f t="shared" si="756"/>
        <v>0</v>
      </c>
      <c r="AO618" s="19">
        <f t="shared" si="761"/>
        <v>0</v>
      </c>
      <c r="AP618" s="97"/>
      <c r="AQ618" s="17"/>
      <c r="AR618" s="17"/>
      <c r="AS618" s="17"/>
      <c r="AT618" s="18">
        <f t="shared" si="757"/>
        <v>0</v>
      </c>
      <c r="AU618" s="19">
        <f t="shared" si="762"/>
        <v>0</v>
      </c>
      <c r="AV618" s="97"/>
      <c r="AW618" s="17"/>
      <c r="AX618" s="17"/>
      <c r="AY618" s="17"/>
      <c r="AZ618" s="18">
        <f t="shared" si="758"/>
        <v>0</v>
      </c>
      <c r="BA618" s="19">
        <f t="shared" si="763"/>
        <v>0</v>
      </c>
    </row>
    <row r="619" spans="1:53" ht="17.100000000000001" customHeight="1" x14ac:dyDescent="0.25">
      <c r="A619" s="40"/>
      <c r="B619" s="40"/>
      <c r="C619" s="119"/>
      <c r="D619" s="180" t="s">
        <v>511</v>
      </c>
      <c r="E619" s="85" t="s">
        <v>129</v>
      </c>
      <c r="F619" s="105"/>
      <c r="G619" s="105"/>
      <c r="H619" s="119"/>
      <c r="I619" s="231"/>
      <c r="J619" s="581"/>
      <c r="K619" s="581"/>
      <c r="L619" s="582"/>
      <c r="M619" s="593">
        <f t="shared" si="751"/>
        <v>0</v>
      </c>
      <c r="N619" s="111"/>
      <c r="O619" s="111"/>
      <c r="P619" s="111"/>
      <c r="Q619" s="111"/>
      <c r="R619" s="111"/>
      <c r="S619" s="111"/>
      <c r="T619" s="111"/>
      <c r="U619" s="111"/>
      <c r="V619" s="358"/>
      <c r="W619" s="391">
        <f t="shared" si="752"/>
        <v>0</v>
      </c>
      <c r="X619" s="17">
        <f t="shared" si="753"/>
        <v>0</v>
      </c>
      <c r="Y619" s="18">
        <f t="shared" si="754"/>
        <v>0</v>
      </c>
      <c r="Z619" s="19">
        <f t="shared" si="759"/>
        <v>0</v>
      </c>
      <c r="AA619" s="19"/>
      <c r="AB619" s="19"/>
      <c r="AC619" s="17"/>
      <c r="AE619" s="17"/>
      <c r="AF619" s="17"/>
      <c r="AG619" s="17"/>
      <c r="AH619" s="18">
        <f t="shared" si="755"/>
        <v>0</v>
      </c>
      <c r="AI619" s="19">
        <f t="shared" si="760"/>
        <v>0</v>
      </c>
      <c r="AJ619" s="97"/>
      <c r="AK619" s="17"/>
      <c r="AL619" s="17"/>
      <c r="AM619" s="17"/>
      <c r="AN619" s="18">
        <f t="shared" si="756"/>
        <v>0</v>
      </c>
      <c r="AO619" s="19">
        <f t="shared" si="761"/>
        <v>0</v>
      </c>
      <c r="AP619" s="97"/>
      <c r="AQ619" s="17"/>
      <c r="AR619" s="17"/>
      <c r="AS619" s="17"/>
      <c r="AT619" s="18">
        <f t="shared" si="757"/>
        <v>0</v>
      </c>
      <c r="AU619" s="19">
        <f t="shared" si="762"/>
        <v>0</v>
      </c>
      <c r="AV619" s="97"/>
      <c r="AW619" s="17"/>
      <c r="AX619" s="17"/>
      <c r="AY619" s="17"/>
      <c r="AZ619" s="18">
        <f t="shared" si="758"/>
        <v>0</v>
      </c>
      <c r="BA619" s="19">
        <f t="shared" si="763"/>
        <v>0</v>
      </c>
    </row>
    <row r="620" spans="1:53" ht="17.100000000000001" customHeight="1" x14ac:dyDescent="0.25">
      <c r="A620" s="40"/>
      <c r="B620" s="40"/>
      <c r="C620" s="77"/>
      <c r="D620" s="134"/>
      <c r="E620" s="134"/>
      <c r="F620" s="134"/>
      <c r="G620" s="134"/>
      <c r="H620" s="540"/>
      <c r="I620" s="229"/>
      <c r="J620" s="80">
        <f>SUM(J611:J619)</f>
        <v>0</v>
      </c>
      <c r="K620" s="80">
        <f t="shared" ref="K620:M620" si="764">SUM(K611:K619)</f>
        <v>0</v>
      </c>
      <c r="L620" s="80">
        <f t="shared" si="764"/>
        <v>0</v>
      </c>
      <c r="M620" s="80">
        <f t="shared" si="764"/>
        <v>0</v>
      </c>
      <c r="N620" s="81"/>
      <c r="O620" s="81"/>
      <c r="P620" s="81"/>
      <c r="Q620" s="81"/>
      <c r="R620" s="81"/>
      <c r="S620" s="81"/>
      <c r="T620" s="81"/>
      <c r="U620" s="81"/>
      <c r="V620" s="356"/>
      <c r="W620" s="381">
        <f>SUM(W611:W619)</f>
        <v>0</v>
      </c>
      <c r="X620" s="82">
        <f t="shared" ref="X620:Y620" si="765">SUM(X611:X619)</f>
        <v>0</v>
      </c>
      <c r="Y620" s="82">
        <f t="shared" si="765"/>
        <v>0</v>
      </c>
      <c r="Z620" s="205">
        <f t="shared" si="759"/>
        <v>0</v>
      </c>
      <c r="AA620" s="205"/>
      <c r="AB620" s="205"/>
      <c r="AC620" s="83"/>
      <c r="AE620" s="80"/>
      <c r="AF620" s="80"/>
      <c r="AG620" s="81"/>
      <c r="AH620" s="82">
        <f>SUM(AH611:AH619)</f>
        <v>0</v>
      </c>
      <c r="AI620" s="66">
        <f>IF(AH$620=0,0,AH620/AH$620)</f>
        <v>0</v>
      </c>
      <c r="AK620" s="80"/>
      <c r="AL620" s="80"/>
      <c r="AM620" s="81"/>
      <c r="AN620" s="82">
        <f>SUM(AN611:AN619)</f>
        <v>0</v>
      </c>
      <c r="AO620" s="66">
        <f>IF(AN$620=0,0,AN620/AN$620)</f>
        <v>0</v>
      </c>
      <c r="AQ620" s="80"/>
      <c r="AR620" s="80"/>
      <c r="AS620" s="81"/>
      <c r="AT620" s="82">
        <f>SUM(AT611:AT619)</f>
        <v>0</v>
      </c>
      <c r="AU620" s="66">
        <f>IF(AT$620=0,0,AT620/AT$620)</f>
        <v>0</v>
      </c>
      <c r="AW620" s="80"/>
      <c r="AX620" s="80"/>
      <c r="AY620" s="81"/>
      <c r="AZ620" s="82">
        <f>SUM(AZ611:AZ619)</f>
        <v>0</v>
      </c>
      <c r="BA620" s="66">
        <f>IF(AZ$620=0,0,AZ620/AZ$620)</f>
        <v>0</v>
      </c>
    </row>
    <row r="621" spans="1:53" s="117" customFormat="1" ht="17.100000000000001" customHeight="1" x14ac:dyDescent="0.25">
      <c r="A621" s="68"/>
      <c r="B621" s="119"/>
      <c r="C621" s="540"/>
      <c r="D621" s="261"/>
      <c r="E621" s="261"/>
      <c r="F621" s="68"/>
      <c r="G621" s="68"/>
      <c r="H621" s="119"/>
      <c r="I621" s="138"/>
      <c r="J621" s="17" t="str">
        <f>IF(J620=J$576,"OK","NOK")</f>
        <v>OK</v>
      </c>
      <c r="K621" s="17" t="str">
        <f t="shared" ref="K621:L621" si="766">IF(K620=K$576,"OK","NOK")</f>
        <v>OK</v>
      </c>
      <c r="L621" s="17" t="str">
        <f t="shared" si="766"/>
        <v>OK</v>
      </c>
      <c r="M621" s="17"/>
      <c r="N621" s="17"/>
      <c r="O621" s="17"/>
      <c r="P621" s="17"/>
      <c r="Q621" s="17"/>
      <c r="R621" s="17"/>
      <c r="S621" s="17"/>
      <c r="T621" s="17"/>
      <c r="U621" s="17"/>
      <c r="V621" s="359"/>
      <c r="W621" s="382"/>
      <c r="X621" s="539"/>
      <c r="Y621" s="539"/>
      <c r="Z621" s="201"/>
      <c r="AA621" s="201"/>
      <c r="AB621" s="201"/>
      <c r="AC621" s="84"/>
      <c r="AE621" s="46"/>
      <c r="AF621" s="46"/>
      <c r="AG621" s="17"/>
      <c r="AH621" s="539"/>
      <c r="AI621" s="91"/>
      <c r="AK621" s="46"/>
      <c r="AL621" s="46"/>
      <c r="AM621" s="17"/>
      <c r="AN621" s="539"/>
      <c r="AO621" s="91"/>
      <c r="AQ621" s="46"/>
      <c r="AR621" s="46"/>
      <c r="AS621" s="17"/>
      <c r="AT621" s="539"/>
      <c r="AU621" s="91"/>
      <c r="AW621" s="46"/>
      <c r="AX621" s="46"/>
      <c r="AY621" s="17"/>
      <c r="AZ621" s="539"/>
      <c r="BA621" s="91"/>
    </row>
    <row r="622" spans="1:53" ht="17.100000000000001" customHeight="1" x14ac:dyDescent="0.25">
      <c r="A622" s="68"/>
      <c r="B622" s="48" t="s">
        <v>678</v>
      </c>
      <c r="C622" s="50" t="s">
        <v>679</v>
      </c>
      <c r="D622" s="50"/>
      <c r="E622" s="70"/>
      <c r="F622" s="70"/>
      <c r="G622" s="70"/>
      <c r="H622" s="119"/>
      <c r="J622" s="71"/>
      <c r="K622" s="71"/>
      <c r="L622" s="71"/>
      <c r="M622" s="71"/>
      <c r="N622" s="71"/>
      <c r="O622" s="71"/>
      <c r="P622" s="71"/>
      <c r="Q622" s="71"/>
      <c r="R622" s="71"/>
      <c r="S622" s="71"/>
      <c r="T622" s="71"/>
      <c r="U622" s="71"/>
      <c r="V622" s="355"/>
      <c r="W622" s="377"/>
      <c r="X622" s="71"/>
      <c r="Y622" s="72"/>
      <c r="Z622" s="73"/>
      <c r="AA622" s="73"/>
      <c r="AB622" s="73"/>
      <c r="AC622" s="73"/>
      <c r="AE622" s="71"/>
      <c r="AF622" s="71"/>
      <c r="AG622" s="71"/>
      <c r="AH622" s="72"/>
      <c r="AI622" s="73"/>
      <c r="AK622" s="71"/>
      <c r="AL622" s="71"/>
      <c r="AM622" s="71"/>
      <c r="AN622" s="72"/>
      <c r="AO622" s="73"/>
      <c r="AQ622" s="71"/>
      <c r="AR622" s="71"/>
      <c r="AS622" s="71"/>
      <c r="AT622" s="72"/>
      <c r="AU622" s="73"/>
      <c r="AW622" s="71"/>
      <c r="AX622" s="71"/>
      <c r="AY622" s="71"/>
      <c r="AZ622" s="72"/>
      <c r="BA622" s="73"/>
    </row>
    <row r="623" spans="1:53" s="117" customFormat="1" ht="17.100000000000001" customHeight="1" x14ac:dyDescent="0.25">
      <c r="A623" s="68"/>
      <c r="B623" s="119"/>
      <c r="C623" s="74" t="s">
        <v>680</v>
      </c>
      <c r="D623" s="85" t="s">
        <v>504</v>
      </c>
      <c r="E623" s="75"/>
      <c r="F623" s="151"/>
      <c r="G623" s="318"/>
      <c r="H623" s="119"/>
      <c r="I623" s="138"/>
      <c r="J623" s="111"/>
      <c r="K623" s="111"/>
      <c r="L623" s="111"/>
      <c r="M623" s="111"/>
      <c r="N623" s="111"/>
      <c r="O623" s="111"/>
      <c r="P623" s="327"/>
      <c r="Q623" s="111"/>
      <c r="R623" s="111"/>
      <c r="S623" s="327"/>
      <c r="T623" s="111"/>
      <c r="U623" s="111"/>
      <c r="V623" s="369"/>
      <c r="W623" s="391"/>
      <c r="X623" s="17"/>
      <c r="Y623" s="328">
        <f t="shared" ref="Y623:Y624" si="767">P623+S623+V623</f>
        <v>0</v>
      </c>
      <c r="Z623" s="19">
        <f>IF(Y$628=0,0,Y623/Y$628)</f>
        <v>0</v>
      </c>
      <c r="AA623" s="201"/>
      <c r="AB623" s="201"/>
      <c r="AC623" s="84"/>
      <c r="AE623" s="111"/>
      <c r="AF623" s="111"/>
      <c r="AG623" s="111"/>
      <c r="AH623" s="545"/>
      <c r="AI623" s="131"/>
      <c r="AK623" s="111"/>
      <c r="AL623" s="111"/>
      <c r="AM623" s="111"/>
      <c r="AN623" s="545"/>
      <c r="AO623" s="131"/>
      <c r="AQ623" s="111"/>
      <c r="AR623" s="111"/>
      <c r="AS623" s="111"/>
      <c r="AT623" s="545"/>
      <c r="AU623" s="131"/>
      <c r="AW623" s="111"/>
      <c r="AX623" s="111"/>
      <c r="AY623" s="111"/>
      <c r="AZ623" s="545"/>
      <c r="BA623" s="131"/>
    </row>
    <row r="624" spans="1:53" s="117" customFormat="1" ht="17.100000000000001" customHeight="1" x14ac:dyDescent="0.25">
      <c r="A624" s="68"/>
      <c r="B624" s="119"/>
      <c r="C624" s="74" t="s">
        <v>681</v>
      </c>
      <c r="D624" s="85" t="s">
        <v>505</v>
      </c>
      <c r="E624" s="75"/>
      <c r="F624" s="151"/>
      <c r="G624" s="318"/>
      <c r="H624" s="119"/>
      <c r="I624" s="138"/>
      <c r="J624" s="111"/>
      <c r="K624" s="111"/>
      <c r="L624" s="111"/>
      <c r="M624" s="111"/>
      <c r="N624" s="111"/>
      <c r="O624" s="111"/>
      <c r="P624" s="329"/>
      <c r="Q624" s="111"/>
      <c r="R624" s="111"/>
      <c r="S624" s="329"/>
      <c r="T624" s="111"/>
      <c r="U624" s="111"/>
      <c r="V624" s="370"/>
      <c r="W624" s="391"/>
      <c r="X624" s="17"/>
      <c r="Y624" s="328">
        <f t="shared" si="767"/>
        <v>0</v>
      </c>
      <c r="Z624" s="19">
        <f t="shared" ref="Z624:Z628" si="768">IF(Y$628=0,0,Y624/Y$628)</f>
        <v>0</v>
      </c>
      <c r="AA624" s="201"/>
      <c r="AB624" s="201"/>
      <c r="AC624" s="84"/>
      <c r="AE624" s="111"/>
      <c r="AF624" s="111"/>
      <c r="AG624" s="111"/>
      <c r="AH624" s="545"/>
      <c r="AI624" s="131"/>
      <c r="AK624" s="111"/>
      <c r="AL624" s="111"/>
      <c r="AM624" s="111"/>
      <c r="AN624" s="545"/>
      <c r="AO624" s="131"/>
      <c r="AQ624" s="111"/>
      <c r="AR624" s="111"/>
      <c r="AS624" s="111"/>
      <c r="AT624" s="545"/>
      <c r="AU624" s="131"/>
      <c r="AW624" s="111"/>
      <c r="AX624" s="111"/>
      <c r="AY624" s="111"/>
      <c r="AZ624" s="545"/>
      <c r="BA624" s="131"/>
    </row>
    <row r="625" spans="1:53" s="117" customFormat="1" ht="17.100000000000001" customHeight="1" x14ac:dyDescent="0.25">
      <c r="A625" s="68"/>
      <c r="B625" s="119"/>
      <c r="C625" s="74" t="s">
        <v>682</v>
      </c>
      <c r="D625" s="85" t="s">
        <v>683</v>
      </c>
      <c r="E625" s="75"/>
      <c r="F625" s="151"/>
      <c r="G625" s="318"/>
      <c r="H625" s="119"/>
      <c r="I625" s="138"/>
      <c r="J625" s="111"/>
      <c r="K625" s="111"/>
      <c r="L625" s="111"/>
      <c r="M625" s="111"/>
      <c r="N625" s="111"/>
      <c r="O625" s="111"/>
      <c r="P625" s="327"/>
      <c r="Q625" s="111"/>
      <c r="R625" s="111"/>
      <c r="S625" s="327"/>
      <c r="T625" s="111"/>
      <c r="U625" s="111"/>
      <c r="V625" s="369"/>
      <c r="W625" s="391"/>
      <c r="X625" s="17"/>
      <c r="Y625" s="328">
        <f>P625+S625+V625</f>
        <v>0</v>
      </c>
      <c r="Z625" s="19">
        <f t="shared" si="768"/>
        <v>0</v>
      </c>
      <c r="AA625" s="201"/>
      <c r="AB625" s="201"/>
      <c r="AC625" s="84"/>
      <c r="AE625" s="111"/>
      <c r="AF625" s="111"/>
      <c r="AG625" s="111"/>
      <c r="AH625" s="545"/>
      <c r="AI625" s="131"/>
      <c r="AK625" s="111"/>
      <c r="AL625" s="111"/>
      <c r="AM625" s="111"/>
      <c r="AN625" s="545"/>
      <c r="AO625" s="131"/>
      <c r="AQ625" s="111"/>
      <c r="AR625" s="111"/>
      <c r="AS625" s="111"/>
      <c r="AT625" s="545"/>
      <c r="AU625" s="131"/>
      <c r="AW625" s="111"/>
      <c r="AX625" s="111"/>
      <c r="AY625" s="111"/>
      <c r="AZ625" s="545"/>
      <c r="BA625" s="131"/>
    </row>
    <row r="626" spans="1:53" s="117" customFormat="1" ht="17.100000000000001" customHeight="1" x14ac:dyDescent="0.25">
      <c r="A626" s="68"/>
      <c r="B626" s="119"/>
      <c r="C626" s="74" t="s">
        <v>684</v>
      </c>
      <c r="D626" s="85" t="s">
        <v>685</v>
      </c>
      <c r="E626" s="75"/>
      <c r="F626" s="151"/>
      <c r="G626" s="318"/>
      <c r="H626" s="119"/>
      <c r="I626" s="138"/>
      <c r="J626" s="111"/>
      <c r="K626" s="111"/>
      <c r="L626" s="111"/>
      <c r="M626" s="111"/>
      <c r="N626" s="111"/>
      <c r="O626" s="111"/>
      <c r="P626" s="329"/>
      <c r="Q626" s="111"/>
      <c r="R626" s="111"/>
      <c r="S626" s="329"/>
      <c r="T626" s="111"/>
      <c r="U626" s="111"/>
      <c r="V626" s="370"/>
      <c r="W626" s="391"/>
      <c r="X626" s="17"/>
      <c r="Y626" s="328">
        <f t="shared" ref="Y626:Y627" si="769">P626+S626+V626</f>
        <v>0</v>
      </c>
      <c r="Z626" s="19">
        <f t="shared" si="768"/>
        <v>0</v>
      </c>
      <c r="AA626" s="201"/>
      <c r="AB626" s="201"/>
      <c r="AC626" s="84"/>
      <c r="AE626" s="111"/>
      <c r="AF626" s="111"/>
      <c r="AG626" s="111"/>
      <c r="AH626" s="545"/>
      <c r="AI626" s="131"/>
      <c r="AK626" s="111"/>
      <c r="AL626" s="111"/>
      <c r="AM626" s="111"/>
      <c r="AN626" s="545"/>
      <c r="AO626" s="131"/>
      <c r="AQ626" s="111"/>
      <c r="AR626" s="111"/>
      <c r="AS626" s="111"/>
      <c r="AT626" s="545"/>
      <c r="AU626" s="131"/>
      <c r="AW626" s="111"/>
      <c r="AX626" s="111"/>
      <c r="AY626" s="111"/>
      <c r="AZ626" s="545"/>
      <c r="BA626" s="131"/>
    </row>
    <row r="627" spans="1:53" s="117" customFormat="1" ht="17.100000000000001" customHeight="1" x14ac:dyDescent="0.25">
      <c r="A627" s="68"/>
      <c r="B627" s="119"/>
      <c r="C627" s="74" t="s">
        <v>686</v>
      </c>
      <c r="D627" s="85" t="s">
        <v>129</v>
      </c>
      <c r="E627" s="75"/>
      <c r="F627" s="151"/>
      <c r="G627" s="318"/>
      <c r="H627" s="119"/>
      <c r="I627" s="138"/>
      <c r="J627" s="111"/>
      <c r="K627" s="111"/>
      <c r="L627" s="111"/>
      <c r="M627" s="111"/>
      <c r="N627" s="111"/>
      <c r="O627" s="111"/>
      <c r="P627" s="327"/>
      <c r="Q627" s="111"/>
      <c r="R627" s="111"/>
      <c r="S627" s="327"/>
      <c r="T627" s="111"/>
      <c r="U627" s="111"/>
      <c r="V627" s="369"/>
      <c r="W627" s="391"/>
      <c r="X627" s="17"/>
      <c r="Y627" s="328">
        <f t="shared" si="769"/>
        <v>0</v>
      </c>
      <c r="Z627" s="19">
        <f t="shared" si="768"/>
        <v>0</v>
      </c>
      <c r="AA627" s="201"/>
      <c r="AB627" s="201"/>
      <c r="AC627" s="84"/>
      <c r="AE627" s="111"/>
      <c r="AF627" s="111"/>
      <c r="AG627" s="111"/>
      <c r="AH627" s="545"/>
      <c r="AI627" s="131"/>
      <c r="AK627" s="111"/>
      <c r="AL627" s="111"/>
      <c r="AM627" s="111"/>
      <c r="AN627" s="545"/>
      <c r="AO627" s="131"/>
      <c r="AQ627" s="111"/>
      <c r="AR627" s="111"/>
      <c r="AS627" s="111"/>
      <c r="AT627" s="545"/>
      <c r="AU627" s="131"/>
      <c r="AW627" s="111"/>
      <c r="AX627" s="111"/>
      <c r="AY627" s="111"/>
      <c r="AZ627" s="545"/>
      <c r="BA627" s="131"/>
    </row>
    <row r="628" spans="1:53" ht="17.100000000000001" customHeight="1" x14ac:dyDescent="0.25">
      <c r="A628" s="40"/>
      <c r="B628" s="40"/>
      <c r="C628" s="77"/>
      <c r="D628" s="134"/>
      <c r="E628" s="134"/>
      <c r="F628" s="134"/>
      <c r="G628" s="134"/>
      <c r="H628" s="540"/>
      <c r="I628" s="229"/>
      <c r="J628" s="80"/>
      <c r="K628" s="80"/>
      <c r="L628" s="80"/>
      <c r="M628" s="80"/>
      <c r="N628" s="81"/>
      <c r="O628" s="81"/>
      <c r="P628" s="82">
        <f>SUM(P623:P627)</f>
        <v>0</v>
      </c>
      <c r="Q628" s="81"/>
      <c r="R628" s="81"/>
      <c r="S628" s="82">
        <f>SUM(S623:S627)</f>
        <v>0</v>
      </c>
      <c r="T628" s="81"/>
      <c r="U628" s="81"/>
      <c r="V628" s="360">
        <f>SUM(V623:V627)</f>
        <v>0</v>
      </c>
      <c r="W628" s="381"/>
      <c r="X628" s="82"/>
      <c r="Y628" s="82">
        <f>SUM(Y623:Y627)</f>
        <v>0</v>
      </c>
      <c r="Z628" s="205">
        <f t="shared" si="768"/>
        <v>0</v>
      </c>
      <c r="AA628" s="205"/>
      <c r="AB628" s="205"/>
      <c r="AC628" s="83"/>
      <c r="AE628" s="80"/>
      <c r="AF628" s="80"/>
      <c r="AG628" s="81"/>
      <c r="AH628" s="82"/>
      <c r="AI628" s="66"/>
      <c r="AK628" s="80"/>
      <c r="AL628" s="80"/>
      <c r="AM628" s="81"/>
      <c r="AN628" s="82"/>
      <c r="AO628" s="66"/>
      <c r="AQ628" s="80"/>
      <c r="AR628" s="80"/>
      <c r="AS628" s="81"/>
      <c r="AT628" s="82"/>
      <c r="AU628" s="66"/>
      <c r="AW628" s="80"/>
      <c r="AX628" s="80"/>
      <c r="AY628" s="81"/>
      <c r="AZ628" s="82"/>
      <c r="BA628" s="66"/>
    </row>
    <row r="629" spans="1:53" s="117" customFormat="1" ht="17.100000000000001" customHeight="1" x14ac:dyDescent="0.25">
      <c r="A629" s="68"/>
      <c r="B629" s="119"/>
      <c r="C629" s="540"/>
      <c r="D629" s="261"/>
      <c r="E629" s="261"/>
      <c r="F629" s="68"/>
      <c r="G629" s="68"/>
      <c r="H629" s="119"/>
      <c r="I629" s="138"/>
      <c r="J629" s="17"/>
      <c r="K629" s="17"/>
      <c r="L629" s="17"/>
      <c r="M629" s="17"/>
      <c r="N629" s="17"/>
      <c r="O629" s="17"/>
      <c r="P629" s="17" t="str">
        <f>IF(P628=1,"OK","NOK")</f>
        <v>NOK</v>
      </c>
      <c r="Q629" s="17"/>
      <c r="R629" s="17"/>
      <c r="S629" s="17" t="str">
        <f>IF(S628=1,"OK","NOK")</f>
        <v>NOK</v>
      </c>
      <c r="T629" s="17"/>
      <c r="U629" s="17"/>
      <c r="V629" s="359" t="str">
        <f>IF(V628=1,"OK","NOK")</f>
        <v>NOK</v>
      </c>
      <c r="W629" s="382"/>
      <c r="X629" s="539"/>
      <c r="Y629" s="539"/>
      <c r="Z629" s="201"/>
      <c r="AA629" s="201"/>
      <c r="AB629" s="201"/>
      <c r="AC629" s="84"/>
      <c r="AE629" s="46"/>
      <c r="AF629" s="46"/>
      <c r="AG629" s="17"/>
      <c r="AH629" s="539"/>
      <c r="AI629" s="91"/>
      <c r="AK629" s="46"/>
      <c r="AL629" s="46"/>
      <c r="AM629" s="17"/>
      <c r="AN629" s="539"/>
      <c r="AO629" s="91"/>
      <c r="AQ629" s="46"/>
      <c r="AR629" s="46"/>
      <c r="AS629" s="17"/>
      <c r="AT629" s="539"/>
      <c r="AU629" s="91"/>
      <c r="AW629" s="46"/>
      <c r="AX629" s="46"/>
      <c r="AY629" s="17"/>
      <c r="AZ629" s="539"/>
      <c r="BA629" s="91"/>
    </row>
    <row r="630" spans="1:53" ht="17.100000000000001" customHeight="1" x14ac:dyDescent="0.25">
      <c r="A630" s="119"/>
      <c r="B630" s="48" t="s">
        <v>687</v>
      </c>
      <c r="C630" s="50" t="s">
        <v>688</v>
      </c>
      <c r="D630" s="50"/>
      <c r="E630" s="70"/>
      <c r="F630" s="70"/>
      <c r="G630" s="70"/>
      <c r="H630" s="119"/>
      <c r="J630" s="71"/>
      <c r="K630" s="71"/>
      <c r="L630" s="71"/>
      <c r="M630" s="71"/>
      <c r="N630" s="71"/>
      <c r="O630" s="71"/>
      <c r="P630" s="71"/>
      <c r="Q630" s="71"/>
      <c r="R630" s="71"/>
      <c r="S630" s="71"/>
      <c r="T630" s="71"/>
      <c r="U630" s="71"/>
      <c r="V630" s="355"/>
      <c r="W630" s="377"/>
      <c r="X630" s="71"/>
      <c r="Y630" s="72"/>
      <c r="Z630" s="73"/>
      <c r="AA630" s="73"/>
      <c r="AB630" s="73"/>
      <c r="AC630" s="73"/>
      <c r="AE630" s="71"/>
      <c r="AF630" s="71"/>
      <c r="AG630" s="71"/>
      <c r="AH630" s="72"/>
      <c r="AI630" s="73"/>
      <c r="AK630" s="71"/>
      <c r="AL630" s="71"/>
      <c r="AM630" s="71"/>
      <c r="AN630" s="72"/>
      <c r="AO630" s="73"/>
      <c r="AQ630" s="71"/>
      <c r="AR630" s="71"/>
      <c r="AS630" s="71"/>
      <c r="AT630" s="72"/>
      <c r="AU630" s="73"/>
      <c r="AW630" s="71"/>
      <c r="AX630" s="71"/>
      <c r="AY630" s="71"/>
      <c r="AZ630" s="72"/>
      <c r="BA630" s="73"/>
    </row>
    <row r="631" spans="1:53" ht="17.100000000000001" customHeight="1" x14ac:dyDescent="0.25">
      <c r="A631" s="119"/>
      <c r="B631" s="119"/>
      <c r="C631" s="48" t="s">
        <v>689</v>
      </c>
      <c r="D631" s="50" t="s">
        <v>690</v>
      </c>
      <c r="E631" s="70"/>
      <c r="F631" s="70"/>
      <c r="G631" s="70"/>
      <c r="H631" s="119"/>
      <c r="J631" s="71"/>
      <c r="K631" s="71"/>
      <c r="L631" s="71"/>
      <c r="M631" s="71"/>
      <c r="N631" s="71"/>
      <c r="O631" s="71"/>
      <c r="P631" s="71"/>
      <c r="Q631" s="71"/>
      <c r="R631" s="71"/>
      <c r="S631" s="71"/>
      <c r="T631" s="71"/>
      <c r="U631" s="71"/>
      <c r="V631" s="355"/>
      <c r="W631" s="377"/>
      <c r="X631" s="71"/>
      <c r="Y631" s="72"/>
      <c r="Z631" s="73"/>
      <c r="AA631" s="73"/>
      <c r="AB631" s="73"/>
      <c r="AC631" s="73"/>
      <c r="AE631" s="71"/>
      <c r="AF631" s="71"/>
      <c r="AG631" s="71"/>
      <c r="AH631" s="72"/>
      <c r="AI631" s="73"/>
      <c r="AK631" s="71"/>
      <c r="AL631" s="71"/>
      <c r="AM631" s="71"/>
      <c r="AN631" s="72"/>
      <c r="AO631" s="73"/>
      <c r="AQ631" s="71"/>
      <c r="AR631" s="71"/>
      <c r="AS631" s="71"/>
      <c r="AT631" s="72"/>
      <c r="AU631" s="73"/>
      <c r="AW631" s="71"/>
      <c r="AX631" s="71"/>
      <c r="AY631" s="71"/>
      <c r="AZ631" s="72"/>
      <c r="BA631" s="73"/>
    </row>
    <row r="632" spans="1:53" s="117" customFormat="1" ht="17.100000000000001" customHeight="1" x14ac:dyDescent="0.25">
      <c r="A632" s="119"/>
      <c r="B632" s="40"/>
      <c r="C632" s="40"/>
      <c r="D632" s="74" t="s">
        <v>691</v>
      </c>
      <c r="E632" s="75" t="s">
        <v>692</v>
      </c>
      <c r="F632" s="105"/>
      <c r="G632" s="151"/>
      <c r="H632" s="119"/>
      <c r="I632" s="138"/>
      <c r="J632" s="111"/>
      <c r="K632" s="111"/>
      <c r="L632" s="111"/>
      <c r="M632" s="111"/>
      <c r="N632" s="111"/>
      <c r="O632" s="111"/>
      <c r="P632" s="327"/>
      <c r="Q632" s="111"/>
      <c r="R632" s="111"/>
      <c r="S632" s="327"/>
      <c r="T632" s="111"/>
      <c r="U632" s="111"/>
      <c r="V632" s="369"/>
      <c r="W632" s="391"/>
      <c r="X632" s="17"/>
      <c r="Y632" s="328">
        <f t="shared" ref="Y632" si="770">P632+S632+V632</f>
        <v>0</v>
      </c>
      <c r="Z632" s="19">
        <f>IF(Y$636=0,0,Y632/Y$636)</f>
        <v>0</v>
      </c>
      <c r="AA632" s="201"/>
      <c r="AB632" s="201"/>
      <c r="AC632" s="84"/>
      <c r="AE632" s="111"/>
      <c r="AF632" s="111"/>
      <c r="AG632" s="111"/>
      <c r="AH632" s="545"/>
      <c r="AI632" s="131"/>
      <c r="AK632" s="111"/>
      <c r="AL632" s="111"/>
      <c r="AM632" s="111"/>
      <c r="AN632" s="545"/>
      <c r="AO632" s="131"/>
      <c r="AQ632" s="111"/>
      <c r="AR632" s="111"/>
      <c r="AS632" s="111"/>
      <c r="AT632" s="545"/>
      <c r="AU632" s="131"/>
      <c r="AW632" s="111"/>
      <c r="AX632" s="111"/>
      <c r="AY632" s="111"/>
      <c r="AZ632" s="545"/>
      <c r="BA632" s="131"/>
    </row>
    <row r="633" spans="1:53" s="117" customFormat="1" ht="17.100000000000001" customHeight="1" x14ac:dyDescent="0.25">
      <c r="A633" s="68"/>
      <c r="B633" s="40"/>
      <c r="C633" s="40"/>
      <c r="D633" s="74" t="s">
        <v>704</v>
      </c>
      <c r="E633" s="85" t="s">
        <v>694</v>
      </c>
      <c r="F633" s="75"/>
      <c r="G633" s="151"/>
      <c r="H633" s="119"/>
      <c r="I633" s="138"/>
      <c r="J633" s="111"/>
      <c r="K633" s="111"/>
      <c r="L633" s="111"/>
      <c r="M633" s="111"/>
      <c r="N633" s="111"/>
      <c r="O633" s="111"/>
      <c r="P633" s="329"/>
      <c r="Q633" s="111"/>
      <c r="R633" s="111"/>
      <c r="S633" s="329"/>
      <c r="T633" s="111"/>
      <c r="U633" s="111"/>
      <c r="V633" s="370"/>
      <c r="W633" s="382"/>
      <c r="X633" s="539"/>
      <c r="Y633" s="539"/>
      <c r="Z633" s="201"/>
      <c r="AA633" s="353">
        <f>MIN(P633,S633,V633)</f>
        <v>0</v>
      </c>
      <c r="AB633" s="353">
        <f>MAX(P633,S633,V633)</f>
        <v>0</v>
      </c>
      <c r="AC633" s="353">
        <f>IF(P633+S633+V633=0,0,AVERAGE(P633,S633,V633))</f>
        <v>0</v>
      </c>
      <c r="AE633" s="111"/>
      <c r="AF633" s="111"/>
      <c r="AG633" s="111"/>
      <c r="AH633" s="545"/>
      <c r="AI633" s="131"/>
      <c r="AK633" s="111"/>
      <c r="AL633" s="111"/>
      <c r="AM633" s="111"/>
      <c r="AN633" s="545"/>
      <c r="AO633" s="131"/>
      <c r="AQ633" s="111"/>
      <c r="AR633" s="111"/>
      <c r="AS633" s="111"/>
      <c r="AT633" s="545"/>
      <c r="AU633" s="131"/>
      <c r="AW633" s="111"/>
      <c r="AX633" s="111"/>
      <c r="AY633" s="111"/>
      <c r="AZ633" s="545"/>
      <c r="BA633" s="131"/>
    </row>
    <row r="634" spans="1:53" ht="17.100000000000001" customHeight="1" x14ac:dyDescent="0.25">
      <c r="A634" s="40"/>
      <c r="B634" s="40"/>
      <c r="C634" s="40"/>
      <c r="D634" s="77" t="s">
        <v>704</v>
      </c>
      <c r="E634" s="134" t="s">
        <v>697</v>
      </c>
      <c r="F634" s="134"/>
      <c r="G634" s="134"/>
      <c r="H634" s="540"/>
      <c r="I634" s="229"/>
      <c r="J634" s="80"/>
      <c r="K634" s="80"/>
      <c r="L634" s="80"/>
      <c r="M634" s="80"/>
      <c r="N634" s="81"/>
      <c r="O634" s="81"/>
      <c r="P634" s="81">
        <f>IF(P633&gt;0,1,0)</f>
        <v>0</v>
      </c>
      <c r="Q634" s="81"/>
      <c r="R634" s="81"/>
      <c r="S634" s="81">
        <f>IF(S633&gt;0,1,0)</f>
        <v>0</v>
      </c>
      <c r="T634" s="81"/>
      <c r="U634" s="81"/>
      <c r="V634" s="356">
        <f>IF(V633&gt;0,1,0)</f>
        <v>0</v>
      </c>
      <c r="W634" s="382"/>
      <c r="X634" s="539"/>
      <c r="Y634" s="328">
        <f t="shared" ref="Y634:Y635" si="771">P634+S634+V634</f>
        <v>0</v>
      </c>
      <c r="Z634" s="19">
        <f t="shared" ref="Z634:Z636" si="772">IF(Y$636=0,0,Y634/Y$636)</f>
        <v>0</v>
      </c>
      <c r="AA634" s="201"/>
      <c r="AB634" s="201"/>
      <c r="AC634" s="84"/>
      <c r="AE634" s="80"/>
      <c r="AF634" s="80"/>
      <c r="AG634" s="81"/>
      <c r="AH634" s="82"/>
      <c r="AI634" s="66"/>
      <c r="AK634" s="80"/>
      <c r="AL634" s="80"/>
      <c r="AM634" s="81"/>
      <c r="AN634" s="82"/>
      <c r="AO634" s="66"/>
      <c r="AQ634" s="80"/>
      <c r="AR634" s="80"/>
      <c r="AS634" s="81"/>
      <c r="AT634" s="82"/>
      <c r="AU634" s="66"/>
      <c r="AW634" s="80"/>
      <c r="AX634" s="80"/>
      <c r="AY634" s="81"/>
      <c r="AZ634" s="82"/>
      <c r="BA634" s="66"/>
    </row>
    <row r="635" spans="1:53" s="117" customFormat="1" ht="17.100000000000001" customHeight="1" x14ac:dyDescent="0.25">
      <c r="A635" s="68"/>
      <c r="B635" s="40"/>
      <c r="C635" s="40"/>
      <c r="D635" s="74" t="s">
        <v>695</v>
      </c>
      <c r="E635" s="85" t="s">
        <v>696</v>
      </c>
      <c r="F635" s="105"/>
      <c r="G635" s="151"/>
      <c r="H635" s="119"/>
      <c r="I635" s="138"/>
      <c r="J635" s="111"/>
      <c r="K635" s="111"/>
      <c r="L635" s="111"/>
      <c r="M635" s="111"/>
      <c r="N635" s="111"/>
      <c r="O635" s="111"/>
      <c r="P635" s="327"/>
      <c r="Q635" s="111"/>
      <c r="R635" s="111"/>
      <c r="S635" s="327"/>
      <c r="T635" s="111"/>
      <c r="U635" s="111"/>
      <c r="V635" s="369"/>
      <c r="W635" s="391"/>
      <c r="X635" s="17"/>
      <c r="Y635" s="328">
        <f t="shared" si="771"/>
        <v>0</v>
      </c>
      <c r="Z635" s="19">
        <f t="shared" si="772"/>
        <v>0</v>
      </c>
      <c r="AA635" s="201"/>
      <c r="AB635" s="201"/>
      <c r="AC635" s="84"/>
      <c r="AE635" s="111"/>
      <c r="AF635" s="111"/>
      <c r="AG635" s="111"/>
      <c r="AH635" s="545"/>
      <c r="AI635" s="131"/>
      <c r="AK635" s="111"/>
      <c r="AL635" s="111"/>
      <c r="AM635" s="111"/>
      <c r="AN635" s="545"/>
      <c r="AO635" s="131"/>
      <c r="AQ635" s="111"/>
      <c r="AR635" s="111"/>
      <c r="AS635" s="111"/>
      <c r="AT635" s="545"/>
      <c r="AU635" s="131"/>
      <c r="AW635" s="111"/>
      <c r="AX635" s="111"/>
      <c r="AY635" s="111"/>
      <c r="AZ635" s="545"/>
      <c r="BA635" s="131"/>
    </row>
    <row r="636" spans="1:53" ht="17.100000000000001" customHeight="1" x14ac:dyDescent="0.25">
      <c r="A636" s="40"/>
      <c r="B636" s="40"/>
      <c r="C636" s="77"/>
      <c r="D636" s="134"/>
      <c r="E636" s="134"/>
      <c r="F636" s="134"/>
      <c r="G636" s="134"/>
      <c r="H636" s="540"/>
      <c r="I636" s="229"/>
      <c r="J636" s="80"/>
      <c r="K636" s="80"/>
      <c r="L636" s="80"/>
      <c r="M636" s="80"/>
      <c r="N636" s="81"/>
      <c r="O636" s="81"/>
      <c r="P636" s="82">
        <f>P632+P634+P635</f>
        <v>0</v>
      </c>
      <c r="Q636" s="81"/>
      <c r="R636" s="81"/>
      <c r="S636" s="82">
        <f>S632+S634+S635</f>
        <v>0</v>
      </c>
      <c r="T636" s="81"/>
      <c r="U636" s="81"/>
      <c r="V636" s="360">
        <f>V632+V634+V635</f>
        <v>0</v>
      </c>
      <c r="W636" s="381"/>
      <c r="X636" s="82"/>
      <c r="Y636" s="82">
        <f>SUM(Y630:Y635)</f>
        <v>0</v>
      </c>
      <c r="Z636" s="205">
        <f t="shared" si="772"/>
        <v>0</v>
      </c>
      <c r="AA636" s="205"/>
      <c r="AB636" s="205"/>
      <c r="AC636" s="83"/>
      <c r="AE636" s="80"/>
      <c r="AF636" s="80"/>
      <c r="AG636" s="81"/>
      <c r="AH636" s="82"/>
      <c r="AI636" s="66"/>
      <c r="AK636" s="80"/>
      <c r="AL636" s="80"/>
      <c r="AM636" s="81"/>
      <c r="AN636" s="82"/>
      <c r="AO636" s="66"/>
      <c r="AQ636" s="80"/>
      <c r="AR636" s="80"/>
      <c r="AS636" s="81"/>
      <c r="AT636" s="82"/>
      <c r="AU636" s="66"/>
      <c r="AW636" s="80"/>
      <c r="AX636" s="80"/>
      <c r="AY636" s="81"/>
      <c r="AZ636" s="82"/>
      <c r="BA636" s="66"/>
    </row>
    <row r="637" spans="1:53" s="117" customFormat="1" ht="17.100000000000001" customHeight="1" x14ac:dyDescent="0.25">
      <c r="A637" s="68"/>
      <c r="B637" s="119"/>
      <c r="C637" s="540"/>
      <c r="D637" s="261"/>
      <c r="E637" s="261"/>
      <c r="F637" s="68"/>
      <c r="G637" s="68"/>
      <c r="H637" s="119"/>
      <c r="I637" s="138"/>
      <c r="J637" s="17"/>
      <c r="K637" s="17"/>
      <c r="L637" s="17"/>
      <c r="M637" s="17"/>
      <c r="N637" s="17"/>
      <c r="O637" s="17"/>
      <c r="P637" s="17" t="str">
        <f>IF(P636=1,"OK","NOK")</f>
        <v>NOK</v>
      </c>
      <c r="Q637" s="17"/>
      <c r="R637" s="17"/>
      <c r="S637" s="17" t="str">
        <f>IF(S636=1,"OK","NOK")</f>
        <v>NOK</v>
      </c>
      <c r="T637" s="17"/>
      <c r="U637" s="17"/>
      <c r="V637" s="359" t="str">
        <f>IF(V636=1,"OK","NOK")</f>
        <v>NOK</v>
      </c>
      <c r="W637" s="382"/>
      <c r="X637" s="539"/>
      <c r="Y637" s="539"/>
      <c r="Z637" s="201"/>
      <c r="AA637" s="201"/>
      <c r="AB637" s="201"/>
      <c r="AC637" s="84"/>
      <c r="AE637" s="46"/>
      <c r="AF637" s="46"/>
      <c r="AG637" s="17"/>
      <c r="AH637" s="539"/>
      <c r="AI637" s="91"/>
      <c r="AK637" s="46"/>
      <c r="AL637" s="46"/>
      <c r="AM637" s="17"/>
      <c r="AN637" s="539"/>
      <c r="AO637" s="91"/>
      <c r="AQ637" s="46"/>
      <c r="AR637" s="46"/>
      <c r="AS637" s="17"/>
      <c r="AT637" s="539"/>
      <c r="AU637" s="91"/>
      <c r="AW637" s="46"/>
      <c r="AX637" s="46"/>
      <c r="AY637" s="17"/>
      <c r="AZ637" s="539"/>
      <c r="BA637" s="91"/>
    </row>
    <row r="638" spans="1:53" ht="17.100000000000001" customHeight="1" x14ac:dyDescent="0.25">
      <c r="A638" s="119"/>
      <c r="B638" s="119"/>
      <c r="C638" s="48" t="s">
        <v>698</v>
      </c>
      <c r="D638" s="551" t="s">
        <v>699</v>
      </c>
      <c r="E638" s="70"/>
      <c r="F638" s="70"/>
      <c r="G638" s="70"/>
      <c r="H638" s="119"/>
      <c r="J638" s="71"/>
      <c r="K638" s="71"/>
      <c r="L638" s="71"/>
      <c r="M638" s="71"/>
      <c r="N638" s="71"/>
      <c r="O638" s="71"/>
      <c r="P638" s="71"/>
      <c r="Q638" s="71"/>
      <c r="R638" s="71"/>
      <c r="S638" s="71"/>
      <c r="T638" s="71"/>
      <c r="U638" s="71"/>
      <c r="V638" s="355"/>
      <c r="W638" s="377"/>
      <c r="X638" s="71"/>
      <c r="Y638" s="72"/>
      <c r="Z638" s="73"/>
      <c r="AA638" s="73"/>
      <c r="AB638" s="73"/>
      <c r="AC638" s="73"/>
      <c r="AE638" s="71"/>
      <c r="AF638" s="71"/>
      <c r="AG638" s="71"/>
      <c r="AH638" s="72"/>
      <c r="AI638" s="73"/>
      <c r="AK638" s="71"/>
      <c r="AL638" s="71"/>
      <c r="AM638" s="71"/>
      <c r="AN638" s="72"/>
      <c r="AO638" s="73"/>
      <c r="AQ638" s="71"/>
      <c r="AR638" s="71"/>
      <c r="AS638" s="71"/>
      <c r="AT638" s="72"/>
      <c r="AU638" s="73"/>
      <c r="AW638" s="71"/>
      <c r="AX638" s="71"/>
      <c r="AY638" s="71"/>
      <c r="AZ638" s="72"/>
      <c r="BA638" s="73"/>
    </row>
    <row r="639" spans="1:53" s="117" customFormat="1" ht="17.100000000000001" customHeight="1" x14ac:dyDescent="0.25">
      <c r="A639" s="119"/>
      <c r="B639" s="40"/>
      <c r="C639" s="40"/>
      <c r="D639" s="74" t="s">
        <v>702</v>
      </c>
      <c r="E639" s="75" t="s">
        <v>692</v>
      </c>
      <c r="F639" s="105"/>
      <c r="G639" s="151"/>
      <c r="H639" s="119"/>
      <c r="I639" s="138"/>
      <c r="J639" s="111"/>
      <c r="K639" s="111"/>
      <c r="L639" s="111"/>
      <c r="M639" s="111"/>
      <c r="N639" s="111"/>
      <c r="O639" s="111"/>
      <c r="P639" s="327"/>
      <c r="Q639" s="111"/>
      <c r="R639" s="111"/>
      <c r="S639" s="327"/>
      <c r="T639" s="111"/>
      <c r="U639" s="111"/>
      <c r="V639" s="369"/>
      <c r="W639" s="391"/>
      <c r="X639" s="17"/>
      <c r="Y639" s="328">
        <f t="shared" ref="Y639" si="773">P639+S639+V639</f>
        <v>0</v>
      </c>
      <c r="Z639" s="19">
        <f>IF(Y$643=0,0,Y639/Y$643)</f>
        <v>0</v>
      </c>
      <c r="AA639" s="201"/>
      <c r="AB639" s="201"/>
      <c r="AC639" s="84"/>
      <c r="AE639" s="111"/>
      <c r="AF639" s="111"/>
      <c r="AG639" s="111"/>
      <c r="AH639" s="545"/>
      <c r="AI639" s="131"/>
      <c r="AK639" s="111"/>
      <c r="AL639" s="111"/>
      <c r="AM639" s="111"/>
      <c r="AN639" s="545"/>
      <c r="AO639" s="131"/>
      <c r="AQ639" s="111"/>
      <c r="AR639" s="111"/>
      <c r="AS639" s="111"/>
      <c r="AT639" s="545"/>
      <c r="AU639" s="131"/>
      <c r="AW639" s="111"/>
      <c r="AX639" s="111"/>
      <c r="AY639" s="111"/>
      <c r="AZ639" s="545"/>
      <c r="BA639" s="131"/>
    </row>
    <row r="640" spans="1:53" s="117" customFormat="1" ht="17.100000000000001" customHeight="1" x14ac:dyDescent="0.25">
      <c r="A640" s="68"/>
      <c r="B640" s="40"/>
      <c r="C640" s="40"/>
      <c r="D640" s="74" t="s">
        <v>693</v>
      </c>
      <c r="E640" s="85" t="s">
        <v>694</v>
      </c>
      <c r="F640" s="75"/>
      <c r="G640" s="151"/>
      <c r="H640" s="119"/>
      <c r="I640" s="138"/>
      <c r="J640" s="111"/>
      <c r="K640" s="111"/>
      <c r="L640" s="111"/>
      <c r="M640" s="111"/>
      <c r="N640" s="111"/>
      <c r="O640" s="111"/>
      <c r="P640" s="329"/>
      <c r="Q640" s="111"/>
      <c r="R640" s="111"/>
      <c r="S640" s="329"/>
      <c r="T640" s="111"/>
      <c r="U640" s="111"/>
      <c r="V640" s="370"/>
      <c r="W640" s="382"/>
      <c r="X640" s="539"/>
      <c r="Y640" s="539"/>
      <c r="Z640" s="19"/>
      <c r="AA640" s="353">
        <f>MIN(P640,S640,V640)</f>
        <v>0</v>
      </c>
      <c r="AB640" s="353">
        <f>MAX(P640,S640,V640)</f>
        <v>0</v>
      </c>
      <c r="AC640" s="353">
        <f>IF(P640+S640+V640=0,0,AVERAGE(P640,S640,V640))</f>
        <v>0</v>
      </c>
      <c r="AE640" s="111"/>
      <c r="AF640" s="111"/>
      <c r="AG640" s="111"/>
      <c r="AH640" s="545"/>
      <c r="AI640" s="131"/>
      <c r="AK640" s="111"/>
      <c r="AL640" s="111"/>
      <c r="AM640" s="111"/>
      <c r="AN640" s="545"/>
      <c r="AO640" s="131"/>
      <c r="AQ640" s="111"/>
      <c r="AR640" s="111"/>
      <c r="AS640" s="111"/>
      <c r="AT640" s="545"/>
      <c r="AU640" s="131"/>
      <c r="AW640" s="111"/>
      <c r="AX640" s="111"/>
      <c r="AY640" s="111"/>
      <c r="AZ640" s="545"/>
      <c r="BA640" s="131"/>
    </row>
    <row r="641" spans="1:53" ht="17.100000000000001" customHeight="1" x14ac:dyDescent="0.25">
      <c r="A641" s="40"/>
      <c r="B641" s="40"/>
      <c r="C641" s="40"/>
      <c r="D641" s="77" t="s">
        <v>693</v>
      </c>
      <c r="E641" s="134" t="s">
        <v>697</v>
      </c>
      <c r="F641" s="134"/>
      <c r="G641" s="134"/>
      <c r="H641" s="540"/>
      <c r="I641" s="229"/>
      <c r="J641" s="80"/>
      <c r="K641" s="80"/>
      <c r="L641" s="80"/>
      <c r="M641" s="80"/>
      <c r="N641" s="81"/>
      <c r="O641" s="81"/>
      <c r="P641" s="81">
        <f>IF(P640&gt;0,1,0)</f>
        <v>0</v>
      </c>
      <c r="Q641" s="81"/>
      <c r="R641" s="81"/>
      <c r="S641" s="81">
        <f>IF(S640&gt;0,1,0)</f>
        <v>0</v>
      </c>
      <c r="T641" s="81"/>
      <c r="U641" s="81"/>
      <c r="V641" s="356">
        <f>IF(V640&gt;0,1,0)</f>
        <v>0</v>
      </c>
      <c r="W641" s="382"/>
      <c r="X641" s="539"/>
      <c r="Y641" s="328">
        <f t="shared" ref="Y641:Y642" si="774">P641+S641+V641</f>
        <v>0</v>
      </c>
      <c r="Z641" s="19">
        <f t="shared" ref="Z641:Z643" si="775">IF(Y$643=0,0,Y641/Y$643)</f>
        <v>0</v>
      </c>
      <c r="AA641" s="201"/>
      <c r="AB641" s="201"/>
      <c r="AC641" s="84"/>
      <c r="AE641" s="80"/>
      <c r="AF641" s="80"/>
      <c r="AG641" s="81"/>
      <c r="AH641" s="82"/>
      <c r="AI641" s="66"/>
      <c r="AK641" s="80"/>
      <c r="AL641" s="80"/>
      <c r="AM641" s="81"/>
      <c r="AN641" s="82"/>
      <c r="AO641" s="66"/>
      <c r="AQ641" s="80"/>
      <c r="AR641" s="80"/>
      <c r="AS641" s="81"/>
      <c r="AT641" s="82"/>
      <c r="AU641" s="66"/>
      <c r="AW641" s="80"/>
      <c r="AX641" s="80"/>
      <c r="AY641" s="81"/>
      <c r="AZ641" s="82"/>
      <c r="BA641" s="66"/>
    </row>
    <row r="642" spans="1:53" s="117" customFormat="1" ht="17.100000000000001" customHeight="1" x14ac:dyDescent="0.25">
      <c r="A642" s="68"/>
      <c r="B642" s="40"/>
      <c r="C642" s="40"/>
      <c r="D642" s="74" t="s">
        <v>703</v>
      </c>
      <c r="E642" s="85" t="s">
        <v>696</v>
      </c>
      <c r="F642" s="105"/>
      <c r="G642" s="151"/>
      <c r="H642" s="119"/>
      <c r="I642" s="138"/>
      <c r="J642" s="111"/>
      <c r="K642" s="111"/>
      <c r="L642" s="111"/>
      <c r="M642" s="111"/>
      <c r="N642" s="111"/>
      <c r="O642" s="111"/>
      <c r="P642" s="327"/>
      <c r="Q642" s="111"/>
      <c r="R642" s="111"/>
      <c r="S642" s="327"/>
      <c r="T642" s="111"/>
      <c r="U642" s="111"/>
      <c r="V642" s="369"/>
      <c r="W642" s="391"/>
      <c r="X642" s="17"/>
      <c r="Y642" s="328">
        <f t="shared" si="774"/>
        <v>0</v>
      </c>
      <c r="Z642" s="19">
        <f t="shared" si="775"/>
        <v>0</v>
      </c>
      <c r="AA642" s="201"/>
      <c r="AB642" s="201"/>
      <c r="AC642" s="84"/>
      <c r="AE642" s="111"/>
      <c r="AF642" s="111"/>
      <c r="AG642" s="111"/>
      <c r="AH642" s="545"/>
      <c r="AI642" s="131"/>
      <c r="AK642" s="111"/>
      <c r="AL642" s="111"/>
      <c r="AM642" s="111"/>
      <c r="AN642" s="545"/>
      <c r="AO642" s="131"/>
      <c r="AQ642" s="111"/>
      <c r="AR642" s="111"/>
      <c r="AS642" s="111"/>
      <c r="AT642" s="545"/>
      <c r="AU642" s="131"/>
      <c r="AW642" s="111"/>
      <c r="AX642" s="111"/>
      <c r="AY642" s="111"/>
      <c r="AZ642" s="545"/>
      <c r="BA642" s="131"/>
    </row>
    <row r="643" spans="1:53" ht="17.100000000000001" customHeight="1" x14ac:dyDescent="0.25">
      <c r="A643" s="40"/>
      <c r="B643" s="40"/>
      <c r="C643" s="77"/>
      <c r="D643" s="134"/>
      <c r="E643" s="134"/>
      <c r="F643" s="134"/>
      <c r="G643" s="134"/>
      <c r="H643" s="540"/>
      <c r="I643" s="229"/>
      <c r="J643" s="80"/>
      <c r="K643" s="80"/>
      <c r="L643" s="80"/>
      <c r="M643" s="80"/>
      <c r="N643" s="81"/>
      <c r="O643" s="81"/>
      <c r="P643" s="82">
        <f>P639+P641+P642</f>
        <v>0</v>
      </c>
      <c r="Q643" s="81"/>
      <c r="R643" s="81"/>
      <c r="S643" s="82">
        <f>S639+S641+S642</f>
        <v>0</v>
      </c>
      <c r="T643" s="81"/>
      <c r="U643" s="81"/>
      <c r="V643" s="360">
        <f>V639+V641+V642</f>
        <v>0</v>
      </c>
      <c r="W643" s="381"/>
      <c r="X643" s="82"/>
      <c r="Y643" s="82">
        <f>SUM(Y637:Y642)</f>
        <v>0</v>
      </c>
      <c r="Z643" s="205">
        <f t="shared" si="775"/>
        <v>0</v>
      </c>
      <c r="AA643" s="205"/>
      <c r="AB643" s="205"/>
      <c r="AC643" s="83"/>
      <c r="AE643" s="80"/>
      <c r="AF643" s="80"/>
      <c r="AG643" s="81"/>
      <c r="AH643" s="82"/>
      <c r="AI643" s="66"/>
      <c r="AK643" s="80"/>
      <c r="AL643" s="80"/>
      <c r="AM643" s="81"/>
      <c r="AN643" s="82"/>
      <c r="AO643" s="66"/>
      <c r="AQ643" s="80"/>
      <c r="AR643" s="80"/>
      <c r="AS643" s="81"/>
      <c r="AT643" s="82"/>
      <c r="AU643" s="66"/>
      <c r="AW643" s="80"/>
      <c r="AX643" s="80"/>
      <c r="AY643" s="81"/>
      <c r="AZ643" s="82"/>
      <c r="BA643" s="66"/>
    </row>
    <row r="644" spans="1:53" s="117" customFormat="1" ht="17.100000000000001" customHeight="1" x14ac:dyDescent="0.25">
      <c r="A644" s="68"/>
      <c r="B644" s="119"/>
      <c r="C644" s="540"/>
      <c r="D644" s="261"/>
      <c r="E644" s="261"/>
      <c r="F644" s="68"/>
      <c r="G644" s="68"/>
      <c r="H644" s="119"/>
      <c r="I644" s="138"/>
      <c r="J644" s="17"/>
      <c r="K644" s="17"/>
      <c r="L644" s="17"/>
      <c r="M644" s="17"/>
      <c r="N644" s="17"/>
      <c r="O644" s="17"/>
      <c r="P644" s="17" t="str">
        <f>IF(P643=1,"OK","NOK")</f>
        <v>NOK</v>
      </c>
      <c r="Q644" s="17"/>
      <c r="R644" s="17"/>
      <c r="S644" s="17" t="str">
        <f>IF(S643=1,"OK","NOK")</f>
        <v>NOK</v>
      </c>
      <c r="T644" s="17"/>
      <c r="U644" s="17"/>
      <c r="V644" s="359" t="str">
        <f>IF(V643=1,"OK","NOK")</f>
        <v>NOK</v>
      </c>
      <c r="W644" s="382"/>
      <c r="X644" s="539"/>
      <c r="Y644" s="539"/>
      <c r="Z644" s="201"/>
      <c r="AA644" s="201"/>
      <c r="AB644" s="201"/>
      <c r="AC644" s="84"/>
      <c r="AE644" s="46"/>
      <c r="AF644" s="46"/>
      <c r="AG644" s="17"/>
      <c r="AH644" s="539"/>
      <c r="AI644" s="91"/>
      <c r="AK644" s="46"/>
      <c r="AL644" s="46"/>
      <c r="AM644" s="17"/>
      <c r="AN644" s="539"/>
      <c r="AO644" s="91"/>
      <c r="AQ644" s="46"/>
      <c r="AR644" s="46"/>
      <c r="AS644" s="17"/>
      <c r="AT644" s="539"/>
      <c r="AU644" s="91"/>
      <c r="AW644" s="46"/>
      <c r="AX644" s="46"/>
      <c r="AY644" s="17"/>
      <c r="AZ644" s="539"/>
      <c r="BA644" s="91"/>
    </row>
    <row r="645" spans="1:53" ht="17.100000000000001" customHeight="1" x14ac:dyDescent="0.25">
      <c r="A645" s="119"/>
      <c r="B645" s="119"/>
      <c r="C645" s="48" t="s">
        <v>700</v>
      </c>
      <c r="D645" s="551" t="s">
        <v>701</v>
      </c>
      <c r="E645" s="43"/>
      <c r="F645" s="43"/>
      <c r="G645" s="43"/>
      <c r="H645" s="43"/>
      <c r="I645" s="43"/>
      <c r="J645" s="44"/>
      <c r="K645" s="71"/>
      <c r="L645" s="71"/>
      <c r="M645" s="71"/>
      <c r="N645" s="71"/>
      <c r="O645" s="71"/>
      <c r="P645" s="71"/>
      <c r="Q645" s="71"/>
      <c r="R645" s="71"/>
      <c r="S645" s="71"/>
      <c r="T645" s="71"/>
      <c r="U645" s="71"/>
      <c r="V645" s="355"/>
      <c r="W645" s="377"/>
      <c r="X645" s="71"/>
      <c r="Y645" s="72"/>
      <c r="Z645" s="73"/>
      <c r="AA645" s="73"/>
      <c r="AB645" s="73"/>
      <c r="AC645" s="73"/>
      <c r="AE645" s="71"/>
      <c r="AF645" s="71"/>
      <c r="AG645" s="71"/>
      <c r="AH645" s="72"/>
      <c r="AI645" s="73"/>
      <c r="AK645" s="71"/>
      <c r="AL645" s="71"/>
      <c r="AM645" s="71"/>
      <c r="AN645" s="72"/>
      <c r="AO645" s="73"/>
      <c r="AQ645" s="71"/>
      <c r="AR645" s="71"/>
      <c r="AS645" s="71"/>
      <c r="AT645" s="72"/>
      <c r="AU645" s="73"/>
      <c r="AW645" s="71"/>
      <c r="AX645" s="71"/>
      <c r="AY645" s="71"/>
      <c r="AZ645" s="72"/>
      <c r="BA645" s="73"/>
    </row>
    <row r="646" spans="1:53" s="117" customFormat="1" ht="17.100000000000001" customHeight="1" x14ac:dyDescent="0.25">
      <c r="A646" s="119"/>
      <c r="B646" s="40"/>
      <c r="C646" s="40"/>
      <c r="D646" s="74" t="s">
        <v>705</v>
      </c>
      <c r="E646" s="75" t="s">
        <v>692</v>
      </c>
      <c r="F646" s="105"/>
      <c r="G646" s="151"/>
      <c r="H646" s="119"/>
      <c r="I646" s="138"/>
      <c r="J646" s="111"/>
      <c r="K646" s="111"/>
      <c r="L646" s="111"/>
      <c r="M646" s="111"/>
      <c r="N646" s="111"/>
      <c r="O646" s="111"/>
      <c r="P646" s="327"/>
      <c r="Q646" s="111"/>
      <c r="R646" s="111"/>
      <c r="S646" s="327"/>
      <c r="T646" s="111"/>
      <c r="U646" s="111"/>
      <c r="V646" s="369"/>
      <c r="W646" s="391"/>
      <c r="X646" s="17"/>
      <c r="Y646" s="328">
        <f t="shared" ref="Y646" si="776">P646+S646+V646</f>
        <v>0</v>
      </c>
      <c r="Z646" s="19">
        <f>IF(Y$650=0,0,Y646/Y$650)</f>
        <v>0</v>
      </c>
      <c r="AA646" s="201"/>
      <c r="AB646" s="201"/>
      <c r="AC646" s="84"/>
      <c r="AE646" s="111"/>
      <c r="AF646" s="111"/>
      <c r="AG646" s="111"/>
      <c r="AH646" s="545"/>
      <c r="AI646" s="131"/>
      <c r="AK646" s="111"/>
      <c r="AL646" s="111"/>
      <c r="AM646" s="111"/>
      <c r="AN646" s="545"/>
      <c r="AO646" s="131"/>
      <c r="AQ646" s="111"/>
      <c r="AR646" s="111"/>
      <c r="AS646" s="111"/>
      <c r="AT646" s="545"/>
      <c r="AU646" s="131"/>
      <c r="AW646" s="111"/>
      <c r="AX646" s="111"/>
      <c r="AY646" s="111"/>
      <c r="AZ646" s="545"/>
      <c r="BA646" s="131"/>
    </row>
    <row r="647" spans="1:53" s="117" customFormat="1" ht="17.100000000000001" customHeight="1" x14ac:dyDescent="0.25">
      <c r="A647" s="68"/>
      <c r="B647" s="40"/>
      <c r="C647" s="40"/>
      <c r="D647" s="74" t="s">
        <v>706</v>
      </c>
      <c r="E647" s="85" t="s">
        <v>694</v>
      </c>
      <c r="F647" s="75"/>
      <c r="G647" s="151"/>
      <c r="H647" s="119"/>
      <c r="I647" s="138"/>
      <c r="J647" s="111"/>
      <c r="K647" s="111"/>
      <c r="L647" s="111"/>
      <c r="M647" s="111"/>
      <c r="N647" s="111"/>
      <c r="O647" s="111"/>
      <c r="P647" s="329"/>
      <c r="Q647" s="111"/>
      <c r="R647" s="111"/>
      <c r="S647" s="329"/>
      <c r="T647" s="111"/>
      <c r="U647" s="111"/>
      <c r="V647" s="370"/>
      <c r="W647" s="382"/>
      <c r="X647" s="539"/>
      <c r="Y647" s="539"/>
      <c r="Z647" s="201"/>
      <c r="AA647" s="353">
        <f>MIN(P647,S647,V647)</f>
        <v>0</v>
      </c>
      <c r="AB647" s="353">
        <f>MAX(P647,S647,V647)</f>
        <v>0</v>
      </c>
      <c r="AC647" s="353">
        <f>IF(P647+S647+V647=0,0,AVERAGE(P647,S647,V647))</f>
        <v>0</v>
      </c>
      <c r="AE647" s="111"/>
      <c r="AF647" s="111"/>
      <c r="AG647" s="111"/>
      <c r="AH647" s="545"/>
      <c r="AI647" s="131"/>
      <c r="AK647" s="111"/>
      <c r="AL647" s="111"/>
      <c r="AM647" s="111"/>
      <c r="AN647" s="545"/>
      <c r="AO647" s="131"/>
      <c r="AQ647" s="111"/>
      <c r="AR647" s="111"/>
      <c r="AS647" s="111"/>
      <c r="AT647" s="545"/>
      <c r="AU647" s="131"/>
      <c r="AW647" s="111"/>
      <c r="AX647" s="111"/>
      <c r="AY647" s="111"/>
      <c r="AZ647" s="545"/>
      <c r="BA647" s="131"/>
    </row>
    <row r="648" spans="1:53" ht="17.100000000000001" customHeight="1" x14ac:dyDescent="0.25">
      <c r="A648" s="40"/>
      <c r="B648" s="40"/>
      <c r="C648" s="40"/>
      <c r="D648" s="77" t="s">
        <v>706</v>
      </c>
      <c r="E648" s="134" t="s">
        <v>697</v>
      </c>
      <c r="F648" s="134"/>
      <c r="G648" s="134"/>
      <c r="H648" s="540"/>
      <c r="I648" s="229"/>
      <c r="J648" s="80"/>
      <c r="K648" s="80"/>
      <c r="L648" s="80"/>
      <c r="M648" s="80"/>
      <c r="N648" s="81"/>
      <c r="O648" s="81"/>
      <c r="P648" s="81">
        <f>IF(P647&gt;0,1,0)</f>
        <v>0</v>
      </c>
      <c r="Q648" s="81"/>
      <c r="R648" s="81"/>
      <c r="S648" s="81">
        <f>IF(S647&gt;0,1,0)</f>
        <v>0</v>
      </c>
      <c r="T648" s="81"/>
      <c r="U648" s="81"/>
      <c r="V648" s="356">
        <f>IF(V647&gt;0,1,0)</f>
        <v>0</v>
      </c>
      <c r="W648" s="382"/>
      <c r="X648" s="539"/>
      <c r="Y648" s="328">
        <f t="shared" ref="Y648:Y649" si="777">P648+S648+V648</f>
        <v>0</v>
      </c>
      <c r="Z648" s="19">
        <f t="shared" ref="Z648:Z650" si="778">IF(Y$650=0,0,Y648/Y$650)</f>
        <v>0</v>
      </c>
      <c r="AA648" s="201"/>
      <c r="AB648" s="201"/>
      <c r="AC648" s="84"/>
      <c r="AE648" s="80"/>
      <c r="AF648" s="80"/>
      <c r="AG648" s="81"/>
      <c r="AH648" s="82"/>
      <c r="AI648" s="66"/>
      <c r="AK648" s="80"/>
      <c r="AL648" s="80"/>
      <c r="AM648" s="81"/>
      <c r="AN648" s="82"/>
      <c r="AO648" s="66"/>
      <c r="AQ648" s="80"/>
      <c r="AR648" s="80"/>
      <c r="AS648" s="81"/>
      <c r="AT648" s="82"/>
      <c r="AU648" s="66"/>
      <c r="AW648" s="80"/>
      <c r="AX648" s="80"/>
      <c r="AY648" s="81"/>
      <c r="AZ648" s="82"/>
      <c r="BA648" s="66"/>
    </row>
    <row r="649" spans="1:53" s="117" customFormat="1" ht="17.100000000000001" customHeight="1" x14ac:dyDescent="0.25">
      <c r="A649" s="68"/>
      <c r="B649" s="40"/>
      <c r="C649" s="40"/>
      <c r="D649" s="74" t="s">
        <v>707</v>
      </c>
      <c r="E649" s="85" t="s">
        <v>696</v>
      </c>
      <c r="F649" s="105"/>
      <c r="G649" s="151"/>
      <c r="H649" s="119"/>
      <c r="I649" s="138"/>
      <c r="J649" s="111"/>
      <c r="K649" s="111"/>
      <c r="L649" s="111"/>
      <c r="M649" s="111"/>
      <c r="N649" s="111"/>
      <c r="O649" s="111"/>
      <c r="P649" s="327"/>
      <c r="Q649" s="111"/>
      <c r="R649" s="111"/>
      <c r="S649" s="327"/>
      <c r="T649" s="111"/>
      <c r="U649" s="111"/>
      <c r="V649" s="369"/>
      <c r="W649" s="391"/>
      <c r="X649" s="17"/>
      <c r="Y649" s="328">
        <f t="shared" si="777"/>
        <v>0</v>
      </c>
      <c r="Z649" s="19">
        <f t="shared" si="778"/>
        <v>0</v>
      </c>
      <c r="AA649" s="201"/>
      <c r="AB649" s="201"/>
      <c r="AC649" s="84"/>
      <c r="AE649" s="111"/>
      <c r="AF649" s="111"/>
      <c r="AG649" s="111"/>
      <c r="AH649" s="545"/>
      <c r="AI649" s="131"/>
      <c r="AK649" s="111"/>
      <c r="AL649" s="111"/>
      <c r="AM649" s="111"/>
      <c r="AN649" s="545"/>
      <c r="AO649" s="131"/>
      <c r="AQ649" s="111"/>
      <c r="AR649" s="111"/>
      <c r="AS649" s="111"/>
      <c r="AT649" s="545"/>
      <c r="AU649" s="131"/>
      <c r="AW649" s="111"/>
      <c r="AX649" s="111"/>
      <c r="AY649" s="111"/>
      <c r="AZ649" s="545"/>
      <c r="BA649" s="131"/>
    </row>
    <row r="650" spans="1:53" ht="17.100000000000001" customHeight="1" x14ac:dyDescent="0.25">
      <c r="A650" s="40"/>
      <c r="B650" s="40"/>
      <c r="C650" s="77"/>
      <c r="D650" s="134"/>
      <c r="E650" s="134"/>
      <c r="F650" s="134"/>
      <c r="G650" s="134"/>
      <c r="H650" s="540"/>
      <c r="I650" s="229"/>
      <c r="J650" s="80"/>
      <c r="K650" s="80"/>
      <c r="L650" s="80"/>
      <c r="M650" s="80"/>
      <c r="N650" s="81"/>
      <c r="O650" s="81"/>
      <c r="P650" s="82">
        <f>P646+P648+P649</f>
        <v>0</v>
      </c>
      <c r="Q650" s="81"/>
      <c r="R650" s="81"/>
      <c r="S650" s="82">
        <f>S646+S648+S649</f>
        <v>0</v>
      </c>
      <c r="T650" s="81"/>
      <c r="U650" s="81"/>
      <c r="V650" s="360">
        <f>V646+V648+V649</f>
        <v>0</v>
      </c>
      <c r="W650" s="381"/>
      <c r="X650" s="82"/>
      <c r="Y650" s="82">
        <f>SUM(Y644:Y649)</f>
        <v>0</v>
      </c>
      <c r="Z650" s="205">
        <f t="shared" si="778"/>
        <v>0</v>
      </c>
      <c r="AA650" s="205"/>
      <c r="AB650" s="205"/>
      <c r="AC650" s="83"/>
      <c r="AE650" s="80"/>
      <c r="AF650" s="80"/>
      <c r="AG650" s="81"/>
      <c r="AH650" s="82"/>
      <c r="AI650" s="66"/>
      <c r="AK650" s="80"/>
      <c r="AL650" s="80"/>
      <c r="AM650" s="81"/>
      <c r="AN650" s="82"/>
      <c r="AO650" s="66"/>
      <c r="AQ650" s="80"/>
      <c r="AR650" s="80"/>
      <c r="AS650" s="81"/>
      <c r="AT650" s="82"/>
      <c r="AU650" s="66"/>
      <c r="AW650" s="80"/>
      <c r="AX650" s="80"/>
      <c r="AY650" s="81"/>
      <c r="AZ650" s="82"/>
      <c r="BA650" s="66"/>
    </row>
    <row r="651" spans="1:53" s="117" customFormat="1" ht="17.100000000000001" customHeight="1" x14ac:dyDescent="0.25">
      <c r="A651" s="68"/>
      <c r="B651" s="119"/>
      <c r="C651" s="540"/>
      <c r="D651" s="261"/>
      <c r="E651" s="261"/>
      <c r="F651" s="68"/>
      <c r="G651" s="68"/>
      <c r="H651" s="119"/>
      <c r="I651" s="138"/>
      <c r="J651" s="17"/>
      <c r="K651" s="17"/>
      <c r="L651" s="17"/>
      <c r="M651" s="17"/>
      <c r="N651" s="17"/>
      <c r="O651" s="17"/>
      <c r="P651" s="17" t="str">
        <f>IF(P650=1,"OK","NOK")</f>
        <v>NOK</v>
      </c>
      <c r="Q651" s="17"/>
      <c r="R651" s="17"/>
      <c r="S651" s="17" t="str">
        <f>IF(S650=1,"OK","NOK")</f>
        <v>NOK</v>
      </c>
      <c r="T651" s="17"/>
      <c r="U651" s="17"/>
      <c r="V651" s="359" t="str">
        <f>IF(V650=1,"OK","NOK")</f>
        <v>NOK</v>
      </c>
      <c r="W651" s="382"/>
      <c r="X651" s="539"/>
      <c r="Y651" s="539"/>
      <c r="Z651" s="201"/>
      <c r="AA651" s="201"/>
      <c r="AB651" s="201"/>
      <c r="AC651" s="84"/>
      <c r="AE651" s="46"/>
      <c r="AF651" s="46"/>
      <c r="AG651" s="17"/>
      <c r="AH651" s="539"/>
      <c r="AI651" s="91"/>
      <c r="AK651" s="46"/>
      <c r="AL651" s="46"/>
      <c r="AM651" s="17"/>
      <c r="AN651" s="539"/>
      <c r="AO651" s="91"/>
      <c r="AQ651" s="46"/>
      <c r="AR651" s="46"/>
      <c r="AS651" s="17"/>
      <c r="AT651" s="539"/>
      <c r="AU651" s="91"/>
      <c r="AW651" s="46"/>
      <c r="AX651" s="46"/>
      <c r="AY651" s="17"/>
      <c r="AZ651" s="539"/>
      <c r="BA651" s="91"/>
    </row>
    <row r="652" spans="1:53" ht="17.100000000000001" customHeight="1" x14ac:dyDescent="0.25">
      <c r="A652" s="119"/>
      <c r="B652" s="48" t="s">
        <v>708</v>
      </c>
      <c r="C652" s="50" t="s">
        <v>709</v>
      </c>
      <c r="D652" s="50"/>
      <c r="E652" s="70"/>
      <c r="F652" s="70"/>
      <c r="G652" s="70"/>
      <c r="H652" s="119"/>
      <c r="J652" s="71"/>
      <c r="K652" s="71"/>
      <c r="L652" s="71"/>
      <c r="M652" s="71"/>
      <c r="N652" s="71"/>
      <c r="O652" s="71"/>
      <c r="P652" s="71"/>
      <c r="Q652" s="71"/>
      <c r="R652" s="71"/>
      <c r="S652" s="71"/>
      <c r="T652" s="71"/>
      <c r="U652" s="71"/>
      <c r="V652" s="355"/>
      <c r="W652" s="377"/>
      <c r="X652" s="71"/>
      <c r="Y652" s="72"/>
      <c r="Z652" s="73"/>
      <c r="AA652" s="73"/>
      <c r="AB652" s="73"/>
      <c r="AC652" s="73"/>
      <c r="AE652" s="71"/>
      <c r="AF652" s="71"/>
      <c r="AG652" s="71"/>
      <c r="AH652" s="72"/>
      <c r="AI652" s="73"/>
      <c r="AK652" s="71"/>
      <c r="AL652" s="71"/>
      <c r="AM652" s="71"/>
      <c r="AN652" s="72"/>
      <c r="AO652" s="73"/>
      <c r="AQ652" s="71"/>
      <c r="AR652" s="71"/>
      <c r="AS652" s="71"/>
      <c r="AT652" s="72"/>
      <c r="AU652" s="73"/>
      <c r="AW652" s="71"/>
      <c r="AX652" s="71"/>
      <c r="AY652" s="71"/>
      <c r="AZ652" s="72"/>
      <c r="BA652" s="73"/>
    </row>
    <row r="653" spans="1:53" ht="17.100000000000001" customHeight="1" x14ac:dyDescent="0.25">
      <c r="A653" s="119"/>
      <c r="B653" s="119"/>
      <c r="C653" s="48" t="s">
        <v>710</v>
      </c>
      <c r="D653" s="50" t="s">
        <v>711</v>
      </c>
      <c r="E653" s="70"/>
      <c r="F653" s="70"/>
      <c r="G653" s="70"/>
      <c r="H653" s="119"/>
      <c r="J653" s="71"/>
      <c r="K653" s="71"/>
      <c r="L653" s="71"/>
      <c r="M653" s="71"/>
      <c r="N653" s="71"/>
      <c r="O653" s="71"/>
      <c r="P653" s="71"/>
      <c r="Q653" s="71"/>
      <c r="R653" s="71"/>
      <c r="S653" s="71"/>
      <c r="T653" s="71"/>
      <c r="U653" s="71"/>
      <c r="V653" s="355"/>
      <c r="W653" s="377"/>
      <c r="X653" s="71"/>
      <c r="Y653" s="72"/>
      <c r="Z653" s="73"/>
      <c r="AA653" s="73"/>
      <c r="AB653" s="73"/>
      <c r="AC653" s="73"/>
      <c r="AE653" s="71"/>
      <c r="AF653" s="71"/>
      <c r="AG653" s="71"/>
      <c r="AH653" s="72"/>
      <c r="AI653" s="73"/>
      <c r="AK653" s="71"/>
      <c r="AL653" s="71"/>
      <c r="AM653" s="71"/>
      <c r="AN653" s="72"/>
      <c r="AO653" s="73"/>
      <c r="AQ653" s="71"/>
      <c r="AR653" s="71"/>
      <c r="AS653" s="71"/>
      <c r="AT653" s="72"/>
      <c r="AU653" s="73"/>
      <c r="AW653" s="71"/>
      <c r="AX653" s="71"/>
      <c r="AY653" s="71"/>
      <c r="AZ653" s="72"/>
      <c r="BA653" s="73"/>
    </row>
    <row r="654" spans="1:53" s="117" customFormat="1" ht="17.100000000000001" customHeight="1" x14ac:dyDescent="0.25">
      <c r="A654" s="68"/>
      <c r="B654" s="119"/>
      <c r="C654" s="92"/>
      <c r="D654" s="180" t="s">
        <v>712</v>
      </c>
      <c r="E654" s="85" t="s">
        <v>692</v>
      </c>
      <c r="F654" s="75"/>
      <c r="G654" s="151"/>
      <c r="H654" s="119"/>
      <c r="I654" s="138"/>
      <c r="J654" s="111"/>
      <c r="K654" s="111"/>
      <c r="L654" s="111"/>
      <c r="M654" s="111"/>
      <c r="N654" s="111"/>
      <c r="O654" s="111"/>
      <c r="P654" s="327"/>
      <c r="Q654" s="111"/>
      <c r="R654" s="111"/>
      <c r="S654" s="327"/>
      <c r="T654" s="111"/>
      <c r="U654" s="111"/>
      <c r="V654" s="369"/>
      <c r="W654" s="382"/>
      <c r="X654" s="539"/>
      <c r="Y654" s="328">
        <f t="shared" ref="Y654:Y662" si="779">P654+S654+V654</f>
        <v>0</v>
      </c>
      <c r="Z654" s="19">
        <f>IF(Y$663=0,0,Y654/Y$663)</f>
        <v>0</v>
      </c>
      <c r="AA654" s="201"/>
      <c r="AB654" s="201"/>
      <c r="AC654" s="84"/>
      <c r="AE654" s="111"/>
      <c r="AF654" s="111"/>
      <c r="AG654" s="111"/>
      <c r="AH654" s="545"/>
      <c r="AI654" s="131"/>
      <c r="AK654" s="111"/>
      <c r="AL654" s="111"/>
      <c r="AM654" s="111"/>
      <c r="AN654" s="545"/>
      <c r="AO654" s="131"/>
      <c r="AQ654" s="111"/>
      <c r="AR654" s="111"/>
      <c r="AS654" s="111"/>
      <c r="AT654" s="545"/>
      <c r="AU654" s="131"/>
      <c r="AW654" s="111"/>
      <c r="AX654" s="111"/>
      <c r="AY654" s="111"/>
      <c r="AZ654" s="545"/>
      <c r="BA654" s="131"/>
    </row>
    <row r="655" spans="1:53" s="117" customFormat="1" ht="17.100000000000001" customHeight="1" x14ac:dyDescent="0.25">
      <c r="A655" s="68"/>
      <c r="B655" s="119"/>
      <c r="C655" s="92"/>
      <c r="D655" s="180" t="s">
        <v>713</v>
      </c>
      <c r="E655" s="85" t="s">
        <v>512</v>
      </c>
      <c r="F655" s="75"/>
      <c r="G655" s="151"/>
      <c r="H655" s="119"/>
      <c r="I655" s="138"/>
      <c r="J655" s="111"/>
      <c r="K655" s="111"/>
      <c r="L655" s="111"/>
      <c r="M655" s="111"/>
      <c r="N655" s="111"/>
      <c r="O655" s="111"/>
      <c r="P655" s="329"/>
      <c r="Q655" s="111"/>
      <c r="R655" s="111"/>
      <c r="S655" s="329"/>
      <c r="T655" s="111"/>
      <c r="U655" s="111"/>
      <c r="V655" s="370"/>
      <c r="W655" s="382"/>
      <c r="X655" s="539"/>
      <c r="Y655" s="328">
        <f t="shared" si="779"/>
        <v>0</v>
      </c>
      <c r="Z655" s="19">
        <f t="shared" ref="Z655:Z663" si="780">IF(Y$663=0,0,Y655/Y$663)</f>
        <v>0</v>
      </c>
      <c r="AA655" s="201"/>
      <c r="AB655" s="201"/>
      <c r="AC655" s="84"/>
      <c r="AE655" s="111"/>
      <c r="AF655" s="111"/>
      <c r="AG655" s="111"/>
      <c r="AH655" s="545"/>
      <c r="AI655" s="131"/>
      <c r="AK655" s="111"/>
      <c r="AL655" s="111"/>
      <c r="AM655" s="111"/>
      <c r="AN655" s="545"/>
      <c r="AO655" s="131"/>
      <c r="AQ655" s="111"/>
      <c r="AR655" s="111"/>
      <c r="AS655" s="111"/>
      <c r="AT655" s="545"/>
      <c r="AU655" s="131"/>
      <c r="AW655" s="111"/>
      <c r="AX655" s="111"/>
      <c r="AY655" s="111"/>
      <c r="AZ655" s="545"/>
      <c r="BA655" s="131"/>
    </row>
    <row r="656" spans="1:53" s="117" customFormat="1" ht="17.100000000000001" customHeight="1" x14ac:dyDescent="0.25">
      <c r="A656" s="68"/>
      <c r="B656" s="119"/>
      <c r="C656" s="92"/>
      <c r="D656" s="180" t="s">
        <v>714</v>
      </c>
      <c r="E656" s="85" t="s">
        <v>513</v>
      </c>
      <c r="F656" s="75"/>
      <c r="G656" s="151"/>
      <c r="H656" s="119"/>
      <c r="I656" s="138"/>
      <c r="J656" s="111"/>
      <c r="K656" s="111"/>
      <c r="L656" s="111"/>
      <c r="M656" s="111"/>
      <c r="N656" s="111"/>
      <c r="O656" s="111"/>
      <c r="P656" s="327"/>
      <c r="Q656" s="111"/>
      <c r="R656" s="111"/>
      <c r="S656" s="327"/>
      <c r="T656" s="111"/>
      <c r="U656" s="111"/>
      <c r="V656" s="369"/>
      <c r="W656" s="382"/>
      <c r="X656" s="539"/>
      <c r="Y656" s="328">
        <f t="shared" si="779"/>
        <v>0</v>
      </c>
      <c r="Z656" s="19">
        <f t="shared" si="780"/>
        <v>0</v>
      </c>
      <c r="AA656" s="201"/>
      <c r="AB656" s="201"/>
      <c r="AC656" s="84"/>
      <c r="AE656" s="111"/>
      <c r="AF656" s="111"/>
      <c r="AG656" s="111"/>
      <c r="AH656" s="545"/>
      <c r="AI656" s="131"/>
      <c r="AK656" s="111"/>
      <c r="AL656" s="111"/>
      <c r="AM656" s="111"/>
      <c r="AN656" s="545"/>
      <c r="AO656" s="131"/>
      <c r="AQ656" s="111"/>
      <c r="AR656" s="111"/>
      <c r="AS656" s="111"/>
      <c r="AT656" s="545"/>
      <c r="AU656" s="131"/>
      <c r="AW656" s="111"/>
      <c r="AX656" s="111"/>
      <c r="AY656" s="111"/>
      <c r="AZ656" s="545"/>
      <c r="BA656" s="131"/>
    </row>
    <row r="657" spans="1:53" s="117" customFormat="1" ht="17.100000000000001" customHeight="1" x14ac:dyDescent="0.25">
      <c r="A657" s="68"/>
      <c r="B657" s="119"/>
      <c r="C657" s="92"/>
      <c r="D657" s="180" t="s">
        <v>715</v>
      </c>
      <c r="E657" s="85" t="s">
        <v>514</v>
      </c>
      <c r="F657" s="75"/>
      <c r="G657" s="151"/>
      <c r="H657" s="119"/>
      <c r="I657" s="138"/>
      <c r="J657" s="111"/>
      <c r="K657" s="111"/>
      <c r="L657" s="111"/>
      <c r="M657" s="111"/>
      <c r="N657" s="111"/>
      <c r="O657" s="111"/>
      <c r="P657" s="329"/>
      <c r="Q657" s="111"/>
      <c r="R657" s="111"/>
      <c r="S657" s="329"/>
      <c r="T657" s="111"/>
      <c r="U657" s="111"/>
      <c r="V657" s="370"/>
      <c r="W657" s="382"/>
      <c r="X657" s="539"/>
      <c r="Y657" s="328">
        <f t="shared" si="779"/>
        <v>0</v>
      </c>
      <c r="Z657" s="19">
        <f t="shared" si="780"/>
        <v>0</v>
      </c>
      <c r="AA657" s="201"/>
      <c r="AB657" s="201"/>
      <c r="AC657" s="84"/>
      <c r="AE657" s="111"/>
      <c r="AF657" s="111"/>
      <c r="AG657" s="111"/>
      <c r="AH657" s="545"/>
      <c r="AI657" s="131"/>
      <c r="AK657" s="111"/>
      <c r="AL657" s="111"/>
      <c r="AM657" s="111"/>
      <c r="AN657" s="545"/>
      <c r="AO657" s="131"/>
      <c r="AQ657" s="111"/>
      <c r="AR657" s="111"/>
      <c r="AS657" s="111"/>
      <c r="AT657" s="545"/>
      <c r="AU657" s="131"/>
      <c r="AW657" s="111"/>
      <c r="AX657" s="111"/>
      <c r="AY657" s="111"/>
      <c r="AZ657" s="545"/>
      <c r="BA657" s="131"/>
    </row>
    <row r="658" spans="1:53" s="117" customFormat="1" ht="17.100000000000001" customHeight="1" x14ac:dyDescent="0.25">
      <c r="A658" s="68"/>
      <c r="B658" s="119"/>
      <c r="C658" s="92"/>
      <c r="D658" s="180" t="s">
        <v>716</v>
      </c>
      <c r="E658" s="85" t="s">
        <v>357</v>
      </c>
      <c r="F658" s="75"/>
      <c r="G658" s="151"/>
      <c r="H658" s="119"/>
      <c r="I658" s="138"/>
      <c r="J658" s="111"/>
      <c r="K658" s="111"/>
      <c r="L658" s="111"/>
      <c r="M658" s="111"/>
      <c r="N658" s="111"/>
      <c r="O658" s="111"/>
      <c r="P658" s="327"/>
      <c r="Q658" s="111"/>
      <c r="R658" s="111"/>
      <c r="S658" s="327"/>
      <c r="T658" s="111"/>
      <c r="U658" s="111"/>
      <c r="V658" s="369"/>
      <c r="W658" s="382"/>
      <c r="X658" s="539"/>
      <c r="Y658" s="328">
        <f t="shared" si="779"/>
        <v>0</v>
      </c>
      <c r="Z658" s="19">
        <f t="shared" si="780"/>
        <v>0</v>
      </c>
      <c r="AA658" s="201"/>
      <c r="AB658" s="201"/>
      <c r="AC658" s="84"/>
      <c r="AE658" s="111"/>
      <c r="AF658" s="111"/>
      <c r="AG658" s="111"/>
      <c r="AH658" s="545"/>
      <c r="AI658" s="131"/>
      <c r="AK658" s="111"/>
      <c r="AL658" s="111"/>
      <c r="AM658" s="111"/>
      <c r="AN658" s="545"/>
      <c r="AO658" s="131"/>
      <c r="AQ658" s="111"/>
      <c r="AR658" s="111"/>
      <c r="AS658" s="111"/>
      <c r="AT658" s="545"/>
      <c r="AU658" s="131"/>
      <c r="AW658" s="111"/>
      <c r="AX658" s="111"/>
      <c r="AY658" s="111"/>
      <c r="AZ658" s="545"/>
      <c r="BA658" s="131"/>
    </row>
    <row r="659" spans="1:53" s="117" customFormat="1" ht="17.100000000000001" customHeight="1" x14ac:dyDescent="0.25">
      <c r="A659" s="68"/>
      <c r="B659" s="119"/>
      <c r="C659" s="92"/>
      <c r="D659" s="180" t="s">
        <v>717</v>
      </c>
      <c r="E659" s="85" t="s">
        <v>515</v>
      </c>
      <c r="F659" s="75"/>
      <c r="G659" s="151"/>
      <c r="H659" s="119"/>
      <c r="I659" s="138"/>
      <c r="J659" s="111"/>
      <c r="K659" s="111"/>
      <c r="L659" s="111"/>
      <c r="M659" s="111"/>
      <c r="N659" s="111"/>
      <c r="O659" s="111"/>
      <c r="P659" s="329"/>
      <c r="Q659" s="111"/>
      <c r="R659" s="111"/>
      <c r="S659" s="329"/>
      <c r="T659" s="111"/>
      <c r="U659" s="111"/>
      <c r="V659" s="370"/>
      <c r="W659" s="382"/>
      <c r="X659" s="539"/>
      <c r="Y659" s="328">
        <f t="shared" si="779"/>
        <v>0</v>
      </c>
      <c r="Z659" s="19">
        <f t="shared" si="780"/>
        <v>0</v>
      </c>
      <c r="AA659" s="201"/>
      <c r="AB659" s="201"/>
      <c r="AC659" s="84"/>
      <c r="AE659" s="111"/>
      <c r="AF659" s="111"/>
      <c r="AG659" s="111"/>
      <c r="AH659" s="545"/>
      <c r="AI659" s="131"/>
      <c r="AK659" s="111"/>
      <c r="AL659" s="111"/>
      <c r="AM659" s="111"/>
      <c r="AN659" s="545"/>
      <c r="AO659" s="131"/>
      <c r="AQ659" s="111"/>
      <c r="AR659" s="111"/>
      <c r="AS659" s="111"/>
      <c r="AT659" s="545"/>
      <c r="AU659" s="131"/>
      <c r="AW659" s="111"/>
      <c r="AX659" s="111"/>
      <c r="AY659" s="111"/>
      <c r="AZ659" s="545"/>
      <c r="BA659" s="131"/>
    </row>
    <row r="660" spans="1:53" s="117" customFormat="1" ht="17.100000000000001" customHeight="1" x14ac:dyDescent="0.25">
      <c r="A660" s="68"/>
      <c r="B660" s="119"/>
      <c r="C660" s="92"/>
      <c r="D660" s="180" t="s">
        <v>718</v>
      </c>
      <c r="E660" s="85" t="s">
        <v>516</v>
      </c>
      <c r="F660" s="75"/>
      <c r="G660" s="151"/>
      <c r="H660" s="119"/>
      <c r="I660" s="138"/>
      <c r="J660" s="111"/>
      <c r="K660" s="111"/>
      <c r="L660" s="111"/>
      <c r="M660" s="111"/>
      <c r="N660" s="111"/>
      <c r="O660" s="111"/>
      <c r="P660" s="327"/>
      <c r="Q660" s="111"/>
      <c r="R660" s="111"/>
      <c r="S660" s="327"/>
      <c r="T660" s="111"/>
      <c r="U660" s="111"/>
      <c r="V660" s="369"/>
      <c r="W660" s="382"/>
      <c r="X660" s="539"/>
      <c r="Y660" s="328">
        <f t="shared" si="779"/>
        <v>0</v>
      </c>
      <c r="Z660" s="19">
        <f t="shared" si="780"/>
        <v>0</v>
      </c>
      <c r="AA660" s="201"/>
      <c r="AB660" s="201"/>
      <c r="AC660" s="84"/>
      <c r="AE660" s="111"/>
      <c r="AF660" s="111"/>
      <c r="AG660" s="111"/>
      <c r="AH660" s="545"/>
      <c r="AI660" s="131"/>
      <c r="AK660" s="111"/>
      <c r="AL660" s="111"/>
      <c r="AM660" s="111"/>
      <c r="AN660" s="545"/>
      <c r="AO660" s="131"/>
      <c r="AQ660" s="111"/>
      <c r="AR660" s="111"/>
      <c r="AS660" s="111"/>
      <c r="AT660" s="545"/>
      <c r="AU660" s="131"/>
      <c r="AW660" s="111"/>
      <c r="AX660" s="111"/>
      <c r="AY660" s="111"/>
      <c r="AZ660" s="545"/>
      <c r="BA660" s="131"/>
    </row>
    <row r="661" spans="1:53" s="117" customFormat="1" ht="17.100000000000001" customHeight="1" x14ac:dyDescent="0.25">
      <c r="A661" s="68"/>
      <c r="B661" s="119"/>
      <c r="C661" s="92"/>
      <c r="D661" s="180" t="s">
        <v>719</v>
      </c>
      <c r="E661" s="85" t="s">
        <v>517</v>
      </c>
      <c r="F661" s="75"/>
      <c r="G661" s="151"/>
      <c r="H661" s="119"/>
      <c r="I661" s="138"/>
      <c r="J661" s="111"/>
      <c r="K661" s="111"/>
      <c r="L661" s="111"/>
      <c r="M661" s="111"/>
      <c r="N661" s="111"/>
      <c r="O661" s="111"/>
      <c r="P661" s="329"/>
      <c r="Q661" s="111"/>
      <c r="R661" s="111"/>
      <c r="S661" s="329"/>
      <c r="T661" s="111"/>
      <c r="U661" s="111"/>
      <c r="V661" s="370"/>
      <c r="W661" s="382"/>
      <c r="X661" s="539"/>
      <c r="Y661" s="328">
        <f t="shared" si="779"/>
        <v>0</v>
      </c>
      <c r="Z661" s="19">
        <f t="shared" si="780"/>
        <v>0</v>
      </c>
      <c r="AA661" s="201"/>
      <c r="AB661" s="201"/>
      <c r="AC661" s="84"/>
      <c r="AE661" s="111"/>
      <c r="AF661" s="111"/>
      <c r="AG661" s="111"/>
      <c r="AH661" s="545"/>
      <c r="AI661" s="131"/>
      <c r="AK661" s="111"/>
      <c r="AL661" s="111"/>
      <c r="AM661" s="111"/>
      <c r="AN661" s="545"/>
      <c r="AO661" s="131"/>
      <c r="AQ661" s="111"/>
      <c r="AR661" s="111"/>
      <c r="AS661" s="111"/>
      <c r="AT661" s="545"/>
      <c r="AU661" s="131"/>
      <c r="AW661" s="111"/>
      <c r="AX661" s="111"/>
      <c r="AY661" s="111"/>
      <c r="AZ661" s="545"/>
      <c r="BA661" s="131"/>
    </row>
    <row r="662" spans="1:53" s="117" customFormat="1" ht="17.100000000000001" customHeight="1" x14ac:dyDescent="0.25">
      <c r="A662" s="68"/>
      <c r="B662" s="119"/>
      <c r="C662" s="92"/>
      <c r="D662" s="180" t="s">
        <v>720</v>
      </c>
      <c r="E662" s="85" t="s">
        <v>129</v>
      </c>
      <c r="F662" s="75"/>
      <c r="G662" s="151"/>
      <c r="H662" s="119"/>
      <c r="I662" s="138"/>
      <c r="J662" s="111"/>
      <c r="K662" s="111"/>
      <c r="L662" s="111"/>
      <c r="M662" s="111"/>
      <c r="N662" s="111"/>
      <c r="O662" s="111"/>
      <c r="P662" s="327"/>
      <c r="Q662" s="111"/>
      <c r="R662" s="111"/>
      <c r="S662" s="327"/>
      <c r="T662" s="111"/>
      <c r="U662" s="111"/>
      <c r="V662" s="369"/>
      <c r="W662" s="382"/>
      <c r="X662" s="539"/>
      <c r="Y662" s="328">
        <f t="shared" si="779"/>
        <v>0</v>
      </c>
      <c r="Z662" s="19">
        <f t="shared" si="780"/>
        <v>0</v>
      </c>
      <c r="AA662" s="201"/>
      <c r="AB662" s="201"/>
      <c r="AC662" s="84"/>
      <c r="AE662" s="111"/>
      <c r="AF662" s="111"/>
      <c r="AG662" s="111"/>
      <c r="AH662" s="545"/>
      <c r="AI662" s="131"/>
      <c r="AK662" s="111"/>
      <c r="AL662" s="111"/>
      <c r="AM662" s="111"/>
      <c r="AN662" s="545"/>
      <c r="AO662" s="131"/>
      <c r="AQ662" s="111"/>
      <c r="AR662" s="111"/>
      <c r="AS662" s="111"/>
      <c r="AT662" s="545"/>
      <c r="AU662" s="131"/>
      <c r="AW662" s="111"/>
      <c r="AX662" s="111"/>
      <c r="AY662" s="111"/>
      <c r="AZ662" s="545"/>
      <c r="BA662" s="131"/>
    </row>
    <row r="663" spans="1:53" ht="17.100000000000001" customHeight="1" x14ac:dyDescent="0.25">
      <c r="A663" s="40"/>
      <c r="B663" s="40"/>
      <c r="C663" s="77"/>
      <c r="D663" s="134"/>
      <c r="E663" s="134"/>
      <c r="F663" s="134"/>
      <c r="G663" s="134"/>
      <c r="H663" s="540"/>
      <c r="I663" s="229"/>
      <c r="J663" s="80"/>
      <c r="K663" s="80"/>
      <c r="L663" s="80"/>
      <c r="M663" s="80"/>
      <c r="N663" s="81"/>
      <c r="O663" s="81"/>
      <c r="P663" s="82">
        <f>SUM(P654:P662)</f>
        <v>0</v>
      </c>
      <c r="Q663" s="81"/>
      <c r="R663" s="81"/>
      <c r="S663" s="82">
        <f>SUM(S654:S662)</f>
        <v>0</v>
      </c>
      <c r="T663" s="81"/>
      <c r="U663" s="81"/>
      <c r="V663" s="360">
        <f>SUM(V654:V662)</f>
        <v>0</v>
      </c>
      <c r="W663" s="381"/>
      <c r="X663" s="82"/>
      <c r="Y663" s="82">
        <f>SUM(Y654:Y662)</f>
        <v>0</v>
      </c>
      <c r="Z663" s="205">
        <f t="shared" si="780"/>
        <v>0</v>
      </c>
      <c r="AA663" s="205"/>
      <c r="AB663" s="205"/>
      <c r="AC663" s="83"/>
      <c r="AE663" s="80"/>
      <c r="AF663" s="80"/>
      <c r="AG663" s="81"/>
      <c r="AH663" s="82"/>
      <c r="AI663" s="66"/>
      <c r="AK663" s="80"/>
      <c r="AL663" s="80"/>
      <c r="AM663" s="81"/>
      <c r="AN663" s="82"/>
      <c r="AO663" s="66"/>
      <c r="AQ663" s="80"/>
      <c r="AR663" s="80"/>
      <c r="AS663" s="81"/>
      <c r="AT663" s="82"/>
      <c r="AU663" s="66"/>
      <c r="AW663" s="80"/>
      <c r="AX663" s="80"/>
      <c r="AY663" s="81"/>
      <c r="AZ663" s="82"/>
      <c r="BA663" s="66"/>
    </row>
    <row r="664" spans="1:53" ht="17.100000000000001" customHeight="1" x14ac:dyDescent="0.25">
      <c r="A664" s="119"/>
      <c r="B664" s="119"/>
      <c r="C664" s="48" t="s">
        <v>721</v>
      </c>
      <c r="D664" s="50" t="s">
        <v>722</v>
      </c>
      <c r="E664" s="70"/>
      <c r="F664" s="70"/>
      <c r="G664" s="70"/>
      <c r="H664" s="119"/>
      <c r="J664" s="71"/>
      <c r="K664" s="71"/>
      <c r="L664" s="71"/>
      <c r="M664" s="71"/>
      <c r="N664" s="71"/>
      <c r="O664" s="71"/>
      <c r="P664" s="71"/>
      <c r="Q664" s="71"/>
      <c r="R664" s="71"/>
      <c r="S664" s="71"/>
      <c r="T664" s="71"/>
      <c r="U664" s="71"/>
      <c r="V664" s="355"/>
      <c r="W664" s="377"/>
      <c r="X664" s="71"/>
      <c r="Y664" s="72"/>
      <c r="Z664" s="73"/>
      <c r="AA664" s="73"/>
      <c r="AB664" s="73"/>
      <c r="AC664" s="73"/>
      <c r="AE664" s="71"/>
      <c r="AF664" s="71"/>
      <c r="AG664" s="71"/>
      <c r="AH664" s="72"/>
      <c r="AI664" s="73"/>
      <c r="AK664" s="71"/>
      <c r="AL664" s="71"/>
      <c r="AM664" s="71"/>
      <c r="AN664" s="72"/>
      <c r="AO664" s="73"/>
      <c r="AQ664" s="71"/>
      <c r="AR664" s="71"/>
      <c r="AS664" s="71"/>
      <c r="AT664" s="72"/>
      <c r="AU664" s="73"/>
      <c r="AW664" s="71"/>
      <c r="AX664" s="71"/>
      <c r="AY664" s="71"/>
      <c r="AZ664" s="72"/>
      <c r="BA664" s="73"/>
    </row>
    <row r="665" spans="1:53" s="117" customFormat="1" ht="17.100000000000001" customHeight="1" x14ac:dyDescent="0.25">
      <c r="A665" s="68"/>
      <c r="B665" s="119"/>
      <c r="C665" s="92"/>
      <c r="D665" s="56" t="s">
        <v>723</v>
      </c>
      <c r="E665" s="85" t="s">
        <v>692</v>
      </c>
      <c r="F665" s="75"/>
      <c r="G665" s="151"/>
      <c r="H665" s="119"/>
      <c r="I665" s="138"/>
      <c r="J665" s="111"/>
      <c r="K665" s="111"/>
      <c r="L665" s="111"/>
      <c r="M665" s="111"/>
      <c r="N665" s="111"/>
      <c r="O665" s="111"/>
      <c r="P665" s="327"/>
      <c r="Q665" s="111"/>
      <c r="R665" s="111"/>
      <c r="S665" s="327"/>
      <c r="T665" s="111"/>
      <c r="U665" s="111"/>
      <c r="V665" s="369"/>
      <c r="W665" s="382"/>
      <c r="X665" s="539"/>
      <c r="Y665" s="328">
        <f t="shared" ref="Y665:Y669" si="781">P665+S665+V665</f>
        <v>0</v>
      </c>
      <c r="Z665" s="19">
        <f>IF(Y$670=0,0,Y665/Y$670)</f>
        <v>0</v>
      </c>
      <c r="AA665" s="201"/>
      <c r="AB665" s="201"/>
      <c r="AC665" s="84"/>
      <c r="AE665" s="111"/>
      <c r="AF665" s="111"/>
      <c r="AG665" s="111"/>
      <c r="AH665" s="545"/>
      <c r="AI665" s="131"/>
      <c r="AK665" s="111"/>
      <c r="AL665" s="111"/>
      <c r="AM665" s="111"/>
      <c r="AN665" s="545"/>
      <c r="AO665" s="131"/>
      <c r="AQ665" s="111"/>
      <c r="AR665" s="111"/>
      <c r="AS665" s="111"/>
      <c r="AT665" s="545"/>
      <c r="AU665" s="131"/>
      <c r="AW665" s="111"/>
      <c r="AX665" s="111"/>
      <c r="AY665" s="111"/>
      <c r="AZ665" s="545"/>
      <c r="BA665" s="131"/>
    </row>
    <row r="666" spans="1:53" s="117" customFormat="1" ht="17.100000000000001" customHeight="1" x14ac:dyDescent="0.25">
      <c r="A666" s="68"/>
      <c r="B666" s="119"/>
      <c r="C666" s="92"/>
      <c r="D666" s="56" t="s">
        <v>724</v>
      </c>
      <c r="E666" s="85" t="s">
        <v>725</v>
      </c>
      <c r="F666" s="75"/>
      <c r="G666" s="151"/>
      <c r="H666" s="119"/>
      <c r="I666" s="138"/>
      <c r="J666" s="111"/>
      <c r="K666" s="111"/>
      <c r="L666" s="111"/>
      <c r="M666" s="111"/>
      <c r="N666" s="111"/>
      <c r="O666" s="111"/>
      <c r="P666" s="329"/>
      <c r="Q666" s="111"/>
      <c r="R666" s="111"/>
      <c r="S666" s="329"/>
      <c r="T666" s="111"/>
      <c r="U666" s="111"/>
      <c r="V666" s="370"/>
      <c r="W666" s="382"/>
      <c r="X666" s="539"/>
      <c r="Y666" s="328">
        <f t="shared" si="781"/>
        <v>0</v>
      </c>
      <c r="Z666" s="19">
        <f t="shared" ref="Z666:Z670" si="782">IF(Y$670=0,0,Y666/Y$670)</f>
        <v>0</v>
      </c>
      <c r="AA666" s="201"/>
      <c r="AB666" s="201"/>
      <c r="AC666" s="84"/>
      <c r="AE666" s="111"/>
      <c r="AF666" s="111"/>
      <c r="AG666" s="111"/>
      <c r="AH666" s="545"/>
      <c r="AI666" s="131"/>
      <c r="AK666" s="111"/>
      <c r="AL666" s="111"/>
      <c r="AM666" s="111"/>
      <c r="AN666" s="545"/>
      <c r="AO666" s="131"/>
      <c r="AQ666" s="111"/>
      <c r="AR666" s="111"/>
      <c r="AS666" s="111"/>
      <c r="AT666" s="545"/>
      <c r="AU666" s="131"/>
      <c r="AW666" s="111"/>
      <c r="AX666" s="111"/>
      <c r="AY666" s="111"/>
      <c r="AZ666" s="545"/>
      <c r="BA666" s="131"/>
    </row>
    <row r="667" spans="1:53" s="117" customFormat="1" ht="17.100000000000001" customHeight="1" x14ac:dyDescent="0.25">
      <c r="A667" s="68"/>
      <c r="B667" s="119"/>
      <c r="C667" s="92"/>
      <c r="D667" s="56" t="s">
        <v>726</v>
      </c>
      <c r="E667" s="85" t="s">
        <v>727</v>
      </c>
      <c r="F667" s="75"/>
      <c r="G667" s="151"/>
      <c r="H667" s="119"/>
      <c r="I667" s="138"/>
      <c r="J667" s="111"/>
      <c r="K667" s="111"/>
      <c r="L667" s="111"/>
      <c r="M667" s="111"/>
      <c r="N667" s="111"/>
      <c r="O667" s="111"/>
      <c r="P667" s="327"/>
      <c r="Q667" s="111"/>
      <c r="R667" s="111"/>
      <c r="S667" s="327"/>
      <c r="T667" s="111"/>
      <c r="U667" s="111"/>
      <c r="V667" s="369"/>
      <c r="W667" s="382"/>
      <c r="X667" s="539"/>
      <c r="Y667" s="328">
        <f t="shared" si="781"/>
        <v>0</v>
      </c>
      <c r="Z667" s="19">
        <f t="shared" si="782"/>
        <v>0</v>
      </c>
      <c r="AA667" s="201"/>
      <c r="AB667" s="201"/>
      <c r="AC667" s="84"/>
      <c r="AE667" s="111"/>
      <c r="AF667" s="111"/>
      <c r="AG667" s="111"/>
      <c r="AH667" s="545"/>
      <c r="AI667" s="131"/>
      <c r="AK667" s="111"/>
      <c r="AL667" s="111"/>
      <c r="AM667" s="111"/>
      <c r="AN667" s="545"/>
      <c r="AO667" s="131"/>
      <c r="AQ667" s="111"/>
      <c r="AR667" s="111"/>
      <c r="AS667" s="111"/>
      <c r="AT667" s="545"/>
      <c r="AU667" s="131"/>
      <c r="AW667" s="111"/>
      <c r="AX667" s="111"/>
      <c r="AY667" s="111"/>
      <c r="AZ667" s="545"/>
      <c r="BA667" s="131"/>
    </row>
    <row r="668" spans="1:53" s="117" customFormat="1" ht="17.100000000000001" customHeight="1" x14ac:dyDescent="0.25">
      <c r="A668" s="68"/>
      <c r="B668" s="119"/>
      <c r="C668" s="92"/>
      <c r="D668" s="56" t="s">
        <v>728</v>
      </c>
      <c r="E668" s="85" t="s">
        <v>729</v>
      </c>
      <c r="F668" s="75"/>
      <c r="G668" s="151"/>
      <c r="H668" s="119"/>
      <c r="I668" s="138"/>
      <c r="J668" s="111"/>
      <c r="K668" s="111"/>
      <c r="L668" s="111"/>
      <c r="M668" s="111"/>
      <c r="N668" s="111"/>
      <c r="O668" s="111"/>
      <c r="P668" s="329"/>
      <c r="Q668" s="111"/>
      <c r="R668" s="111"/>
      <c r="S668" s="329"/>
      <c r="T668" s="111"/>
      <c r="U668" s="111"/>
      <c r="V668" s="370"/>
      <c r="W668" s="382"/>
      <c r="X668" s="539"/>
      <c r="Y668" s="328">
        <f t="shared" si="781"/>
        <v>0</v>
      </c>
      <c r="Z668" s="19">
        <f t="shared" si="782"/>
        <v>0</v>
      </c>
      <c r="AA668" s="201"/>
      <c r="AB668" s="201"/>
      <c r="AC668" s="84"/>
      <c r="AE668" s="111"/>
      <c r="AF668" s="111"/>
      <c r="AG668" s="111"/>
      <c r="AH668" s="545"/>
      <c r="AI668" s="131"/>
      <c r="AK668" s="111"/>
      <c r="AL668" s="111"/>
      <c r="AM668" s="111"/>
      <c r="AN668" s="545"/>
      <c r="AO668" s="131"/>
      <c r="AQ668" s="111"/>
      <c r="AR668" s="111"/>
      <c r="AS668" s="111"/>
      <c r="AT668" s="545"/>
      <c r="AU668" s="131"/>
      <c r="AW668" s="111"/>
      <c r="AX668" s="111"/>
      <c r="AY668" s="111"/>
      <c r="AZ668" s="545"/>
      <c r="BA668" s="131"/>
    </row>
    <row r="669" spans="1:53" s="117" customFormat="1" ht="17.100000000000001" customHeight="1" x14ac:dyDescent="0.25">
      <c r="A669" s="68"/>
      <c r="B669" s="119"/>
      <c r="C669" s="92"/>
      <c r="D669" s="56" t="s">
        <v>730</v>
      </c>
      <c r="E669" s="85" t="s">
        <v>129</v>
      </c>
      <c r="F669" s="75"/>
      <c r="G669" s="151"/>
      <c r="H669" s="119"/>
      <c r="I669" s="138"/>
      <c r="J669" s="111"/>
      <c r="K669" s="111"/>
      <c r="L669" s="111"/>
      <c r="M669" s="111"/>
      <c r="N669" s="111"/>
      <c r="O669" s="111"/>
      <c r="P669" s="327"/>
      <c r="Q669" s="111"/>
      <c r="R669" s="111"/>
      <c r="S669" s="327"/>
      <c r="T669" s="111"/>
      <c r="U669" s="111"/>
      <c r="V669" s="369"/>
      <c r="W669" s="382"/>
      <c r="X669" s="539"/>
      <c r="Y669" s="328">
        <f t="shared" si="781"/>
        <v>0</v>
      </c>
      <c r="Z669" s="19">
        <f t="shared" si="782"/>
        <v>0</v>
      </c>
      <c r="AA669" s="201"/>
      <c r="AB669" s="201"/>
      <c r="AC669" s="84"/>
      <c r="AE669" s="111"/>
      <c r="AF669" s="111"/>
      <c r="AG669" s="111"/>
      <c r="AH669" s="545"/>
      <c r="AI669" s="131"/>
      <c r="AK669" s="111"/>
      <c r="AL669" s="111"/>
      <c r="AM669" s="111"/>
      <c r="AN669" s="545"/>
      <c r="AO669" s="131"/>
      <c r="AQ669" s="111"/>
      <c r="AR669" s="111"/>
      <c r="AS669" s="111"/>
      <c r="AT669" s="545"/>
      <c r="AU669" s="131"/>
      <c r="AW669" s="111"/>
      <c r="AX669" s="111"/>
      <c r="AY669" s="111"/>
      <c r="AZ669" s="545"/>
      <c r="BA669" s="131"/>
    </row>
    <row r="670" spans="1:53" ht="17.100000000000001" customHeight="1" x14ac:dyDescent="0.25">
      <c r="A670" s="40"/>
      <c r="B670" s="40"/>
      <c r="C670" s="77"/>
      <c r="D670" s="134"/>
      <c r="E670" s="134"/>
      <c r="F670" s="134"/>
      <c r="G670" s="134"/>
      <c r="H670" s="540"/>
      <c r="I670" s="229"/>
      <c r="J670" s="80"/>
      <c r="K670" s="80"/>
      <c r="L670" s="80"/>
      <c r="M670" s="80"/>
      <c r="N670" s="81"/>
      <c r="O670" s="81"/>
      <c r="P670" s="82">
        <f>SUM(P665:P669)</f>
        <v>0</v>
      </c>
      <c r="Q670" s="81"/>
      <c r="R670" s="81"/>
      <c r="S670" s="82">
        <f>SUM(S665:S669)</f>
        <v>0</v>
      </c>
      <c r="T670" s="81"/>
      <c r="U670" s="81"/>
      <c r="V670" s="360">
        <f>SUM(V665:V669)</f>
        <v>0</v>
      </c>
      <c r="W670" s="381"/>
      <c r="X670" s="82"/>
      <c r="Y670" s="82">
        <f>SUM(Y665:Y669)</f>
        <v>0</v>
      </c>
      <c r="Z670" s="205">
        <f t="shared" si="782"/>
        <v>0</v>
      </c>
      <c r="AA670" s="205"/>
      <c r="AB670" s="205"/>
      <c r="AC670" s="83"/>
      <c r="AE670" s="80"/>
      <c r="AF670" s="80"/>
      <c r="AG670" s="81"/>
      <c r="AH670" s="82"/>
      <c r="AI670" s="66"/>
      <c r="AK670" s="80"/>
      <c r="AL670" s="80"/>
      <c r="AM670" s="81"/>
      <c r="AN670" s="82"/>
      <c r="AO670" s="66"/>
      <c r="AQ670" s="80"/>
      <c r="AR670" s="80"/>
      <c r="AS670" s="81"/>
      <c r="AT670" s="82"/>
      <c r="AU670" s="66"/>
      <c r="AW670" s="80"/>
      <c r="AX670" s="80"/>
      <c r="AY670" s="81"/>
      <c r="AZ670" s="82"/>
      <c r="BA670" s="66"/>
    </row>
    <row r="671" spans="1:53" s="117" customFormat="1" ht="17.100000000000001" customHeight="1" x14ac:dyDescent="0.25">
      <c r="A671" s="68"/>
      <c r="B671" s="119"/>
      <c r="C671" s="92"/>
      <c r="D671" s="261"/>
      <c r="E671" s="261"/>
      <c r="F671" s="68"/>
      <c r="G671" s="68"/>
      <c r="H671" s="119"/>
      <c r="I671" s="138"/>
      <c r="J671" s="17"/>
      <c r="K671" s="17"/>
      <c r="L671" s="17"/>
      <c r="M671" s="17"/>
      <c r="N671" s="17"/>
      <c r="O671" s="17"/>
      <c r="P671" s="17"/>
      <c r="Q671" s="17"/>
      <c r="R671" s="17"/>
      <c r="S671" s="17"/>
      <c r="T671" s="17"/>
      <c r="U671" s="17"/>
      <c r="V671" s="359"/>
      <c r="W671" s="382"/>
      <c r="X671" s="539"/>
      <c r="Y671" s="539"/>
      <c r="Z671" s="201"/>
      <c r="AA671" s="201"/>
      <c r="AB671" s="201"/>
      <c r="AC671" s="84"/>
      <c r="AE671" s="46"/>
      <c r="AF671" s="46"/>
      <c r="AG671" s="17"/>
      <c r="AH671" s="539"/>
      <c r="AI671" s="91"/>
      <c r="AK671" s="46"/>
      <c r="AL671" s="46"/>
      <c r="AM671" s="17"/>
      <c r="AN671" s="539"/>
      <c r="AO671" s="91"/>
      <c r="AQ671" s="46"/>
      <c r="AR671" s="46"/>
      <c r="AS671" s="17"/>
      <c r="AT671" s="539"/>
      <c r="AU671" s="91"/>
      <c r="AW671" s="46"/>
      <c r="AX671" s="46"/>
      <c r="AY671" s="17"/>
      <c r="AZ671" s="539"/>
      <c r="BA671" s="91"/>
    </row>
    <row r="672" spans="1:53" ht="17.100000000000001" customHeight="1" x14ac:dyDescent="0.25">
      <c r="A672" s="68"/>
      <c r="B672" s="41" t="s">
        <v>1445</v>
      </c>
      <c r="C672" s="69" t="s">
        <v>12</v>
      </c>
      <c r="D672" s="50"/>
      <c r="E672" s="70"/>
      <c r="F672" s="70"/>
      <c r="G672" s="70"/>
      <c r="H672" s="119"/>
      <c r="J672" s="71"/>
      <c r="K672" s="71"/>
      <c r="L672" s="71"/>
      <c r="M672" s="71"/>
      <c r="N672" s="71"/>
      <c r="O672" s="71"/>
      <c r="P672" s="71"/>
      <c r="Q672" s="71"/>
      <c r="R672" s="71"/>
      <c r="S672" s="71"/>
      <c r="T672" s="71"/>
      <c r="U672" s="71"/>
      <c r="V672" s="355"/>
      <c r="W672" s="377"/>
      <c r="X672" s="71"/>
      <c r="Y672" s="72"/>
      <c r="Z672" s="73"/>
      <c r="AA672" s="73"/>
      <c r="AB672" s="73"/>
      <c r="AC672" s="73"/>
      <c r="AE672" s="71"/>
      <c r="AF672" s="71"/>
      <c r="AG672" s="71"/>
      <c r="AH672" s="72"/>
      <c r="AI672" s="73"/>
      <c r="AK672" s="71"/>
      <c r="AL672" s="71"/>
      <c r="AM672" s="71"/>
      <c r="AN672" s="72"/>
      <c r="AO672" s="73"/>
      <c r="AQ672" s="71"/>
      <c r="AR672" s="71"/>
      <c r="AS672" s="71"/>
      <c r="AT672" s="72"/>
      <c r="AU672" s="73"/>
      <c r="AW672" s="71"/>
      <c r="AX672" s="71"/>
      <c r="AY672" s="71"/>
      <c r="AZ672" s="72" t="s">
        <v>4</v>
      </c>
      <c r="BA672" s="73"/>
    </row>
    <row r="686" spans="4:52" s="2" customFormat="1" ht="17.100000000000001" customHeight="1" x14ac:dyDescent="0.25">
      <c r="D686" s="3"/>
      <c r="E686" s="3"/>
      <c r="F686" s="4"/>
      <c r="G686" s="4"/>
      <c r="H686" s="138"/>
      <c r="I686" s="97"/>
      <c r="J686" s="6"/>
      <c r="K686" s="6"/>
      <c r="L686" s="6"/>
      <c r="M686" s="6"/>
      <c r="N686" s="6"/>
      <c r="O686" s="6"/>
      <c r="P686" s="6"/>
      <c r="Q686" s="6"/>
      <c r="R686" s="6"/>
      <c r="S686" s="6"/>
      <c r="T686" s="6"/>
      <c r="U686" s="6"/>
      <c r="V686" s="339"/>
      <c r="W686" s="339"/>
      <c r="X686" s="6"/>
      <c r="Y686" s="206"/>
      <c r="AE686" s="6"/>
      <c r="AF686" s="6"/>
      <c r="AG686" s="6"/>
      <c r="AH686" s="206"/>
      <c r="AJ686" s="213"/>
      <c r="AK686" s="6"/>
      <c r="AL686" s="6"/>
      <c r="AM686" s="6"/>
      <c r="AN686" s="206"/>
      <c r="AP686" s="213"/>
      <c r="AQ686" s="6"/>
      <c r="AR686" s="6"/>
      <c r="AS686" s="6"/>
      <c r="AT686" s="206"/>
      <c r="AV686" s="213"/>
      <c r="AW686" s="6"/>
      <c r="AX686" s="6"/>
      <c r="AY686" s="6"/>
      <c r="AZ686" s="206"/>
    </row>
    <row r="687" spans="4:52" s="2" customFormat="1" ht="17.100000000000001" customHeight="1" x14ac:dyDescent="0.25">
      <c r="D687" s="3"/>
      <c r="E687" s="3"/>
      <c r="F687" s="4"/>
      <c r="G687" s="4"/>
      <c r="H687" s="138"/>
      <c r="I687" s="97"/>
      <c r="J687" s="6"/>
      <c r="K687" s="6"/>
      <c r="L687" s="6"/>
      <c r="M687" s="6"/>
      <c r="N687" s="6"/>
      <c r="O687" s="6"/>
      <c r="P687" s="6"/>
      <c r="Q687" s="6"/>
      <c r="R687" s="6"/>
      <c r="S687" s="6"/>
      <c r="T687" s="6"/>
      <c r="U687" s="6"/>
      <c r="V687" s="339"/>
      <c r="W687" s="339"/>
      <c r="X687" s="6"/>
      <c r="Y687" s="206"/>
      <c r="AE687" s="6"/>
      <c r="AF687" s="6"/>
      <c r="AG687" s="6"/>
      <c r="AH687" s="206"/>
      <c r="AJ687" s="213"/>
      <c r="AK687" s="6"/>
      <c r="AL687" s="6"/>
      <c r="AM687" s="6"/>
      <c r="AN687" s="206"/>
      <c r="AP687" s="213"/>
      <c r="AQ687" s="6"/>
      <c r="AR687" s="6"/>
      <c r="AS687" s="6"/>
      <c r="AT687" s="206"/>
      <c r="AV687" s="213"/>
      <c r="AW687" s="6"/>
      <c r="AX687" s="6"/>
      <c r="AY687" s="6"/>
      <c r="AZ687" s="206"/>
    </row>
    <row r="688" spans="4:52" s="2" customFormat="1" ht="17.100000000000001" customHeight="1" x14ac:dyDescent="0.25">
      <c r="D688" s="3"/>
      <c r="E688" s="3"/>
      <c r="F688" s="4"/>
      <c r="G688" s="4"/>
      <c r="H688" s="138"/>
      <c r="I688" s="97"/>
      <c r="J688" s="6"/>
      <c r="K688" s="6"/>
      <c r="L688" s="6"/>
      <c r="M688" s="6"/>
      <c r="N688" s="6"/>
      <c r="O688" s="6"/>
      <c r="P688" s="6"/>
      <c r="Q688" s="6"/>
      <c r="R688" s="6"/>
      <c r="S688" s="6"/>
      <c r="T688" s="6"/>
      <c r="U688" s="6"/>
      <c r="V688" s="339"/>
      <c r="W688" s="339"/>
      <c r="X688" s="6"/>
      <c r="Y688" s="206"/>
      <c r="AE688" s="6"/>
      <c r="AF688" s="6"/>
      <c r="AG688" s="6"/>
      <c r="AH688" s="206"/>
      <c r="AJ688" s="213"/>
      <c r="AK688" s="6"/>
      <c r="AL688" s="6"/>
      <c r="AM688" s="6"/>
      <c r="AN688" s="206"/>
      <c r="AP688" s="213"/>
      <c r="AQ688" s="6"/>
      <c r="AR688" s="6"/>
      <c r="AS688" s="6"/>
      <c r="AT688" s="206"/>
      <c r="AV688" s="213"/>
      <c r="AW688" s="6"/>
      <c r="AX688" s="6"/>
      <c r="AY688" s="6"/>
      <c r="AZ688" s="206"/>
    </row>
    <row r="689" spans="4:52" s="2" customFormat="1" ht="17.100000000000001" customHeight="1" x14ac:dyDescent="0.25">
      <c r="D689" s="3"/>
      <c r="E689" s="3"/>
      <c r="F689" s="4"/>
      <c r="G689" s="4"/>
      <c r="H689" s="138"/>
      <c r="I689" s="97"/>
      <c r="J689" s="6"/>
      <c r="K689" s="6"/>
      <c r="L689" s="6"/>
      <c r="M689" s="6"/>
      <c r="N689" s="6"/>
      <c r="O689" s="6"/>
      <c r="P689" s="6"/>
      <c r="Q689" s="6"/>
      <c r="R689" s="6"/>
      <c r="S689" s="6"/>
      <c r="T689" s="6"/>
      <c r="U689" s="6"/>
      <c r="V689" s="339"/>
      <c r="W689" s="339"/>
      <c r="X689" s="6"/>
      <c r="Y689" s="206"/>
      <c r="AE689" s="6"/>
      <c r="AF689" s="6"/>
      <c r="AG689" s="6"/>
      <c r="AH689" s="206"/>
      <c r="AJ689" s="213"/>
      <c r="AK689" s="6"/>
      <c r="AL689" s="6"/>
      <c r="AM689" s="6"/>
      <c r="AN689" s="206"/>
      <c r="AP689" s="213"/>
      <c r="AQ689" s="6"/>
      <c r="AR689" s="6"/>
      <c r="AS689" s="6"/>
      <c r="AT689" s="206"/>
      <c r="AV689" s="213"/>
      <c r="AW689" s="6"/>
      <c r="AX689" s="6"/>
      <c r="AY689" s="6"/>
      <c r="AZ689" s="206"/>
    </row>
    <row r="690" spans="4:52" s="2" customFormat="1" ht="17.100000000000001" customHeight="1" x14ac:dyDescent="0.25">
      <c r="D690" s="3"/>
      <c r="E690" s="3"/>
      <c r="F690" s="4"/>
      <c r="G690" s="4"/>
      <c r="H690" s="138"/>
      <c r="I690" s="97"/>
      <c r="J690" s="6"/>
      <c r="K690" s="6"/>
      <c r="L690" s="6"/>
      <c r="M690" s="6"/>
      <c r="N690" s="6"/>
      <c r="O690" s="6"/>
      <c r="P690" s="6"/>
      <c r="Q690" s="6"/>
      <c r="R690" s="6"/>
      <c r="S690" s="6"/>
      <c r="T690" s="6"/>
      <c r="U690" s="6"/>
      <c r="V690" s="339"/>
      <c r="W690" s="339"/>
      <c r="X690" s="6"/>
      <c r="Y690" s="206"/>
      <c r="AE690" s="6"/>
      <c r="AF690" s="6"/>
      <c r="AG690" s="6"/>
      <c r="AH690" s="206"/>
      <c r="AJ690" s="213"/>
      <c r="AK690" s="6"/>
      <c r="AL690" s="6"/>
      <c r="AM690" s="6"/>
      <c r="AN690" s="206"/>
      <c r="AP690" s="213"/>
      <c r="AQ690" s="6"/>
      <c r="AR690" s="6"/>
      <c r="AS690" s="6"/>
      <c r="AT690" s="206"/>
      <c r="AV690" s="213"/>
      <c r="AW690" s="6"/>
      <c r="AX690" s="6"/>
      <c r="AY690" s="6"/>
      <c r="AZ690" s="206"/>
    </row>
    <row r="691" spans="4:52" s="2" customFormat="1" ht="17.100000000000001" customHeight="1" x14ac:dyDescent="0.25">
      <c r="D691" s="3"/>
      <c r="E691" s="3"/>
      <c r="F691" s="4"/>
      <c r="G691" s="4"/>
      <c r="H691" s="138"/>
      <c r="I691" s="97"/>
      <c r="J691" s="6"/>
      <c r="K691" s="6"/>
      <c r="L691" s="6"/>
      <c r="M691" s="6"/>
      <c r="N691" s="6"/>
      <c r="O691" s="6"/>
      <c r="P691" s="6"/>
      <c r="Q691" s="6"/>
      <c r="R691" s="6"/>
      <c r="S691" s="6"/>
      <c r="T691" s="6"/>
      <c r="U691" s="6"/>
      <c r="V691" s="339"/>
      <c r="W691" s="339"/>
      <c r="X691" s="6"/>
      <c r="Y691" s="206"/>
      <c r="AE691" s="6"/>
      <c r="AF691" s="6"/>
      <c r="AG691" s="6"/>
      <c r="AH691" s="206"/>
      <c r="AJ691" s="213"/>
      <c r="AK691" s="6"/>
      <c r="AL691" s="6"/>
      <c r="AM691" s="6"/>
      <c r="AN691" s="206"/>
      <c r="AP691" s="213"/>
      <c r="AQ691" s="6"/>
      <c r="AR691" s="6"/>
      <c r="AS691" s="6"/>
      <c r="AT691" s="206"/>
      <c r="AV691" s="213"/>
      <c r="AW691" s="6"/>
      <c r="AX691" s="6"/>
      <c r="AY691" s="6"/>
      <c r="AZ691" s="206"/>
    </row>
    <row r="692" spans="4:52" s="2" customFormat="1" ht="17.100000000000001" customHeight="1" x14ac:dyDescent="0.25">
      <c r="D692" s="3"/>
      <c r="E692" s="3"/>
      <c r="F692" s="4"/>
      <c r="G692" s="4"/>
      <c r="H692" s="138"/>
      <c r="I692" s="97"/>
      <c r="J692" s="6"/>
      <c r="K692" s="6"/>
      <c r="L692" s="6"/>
      <c r="M692" s="6"/>
      <c r="N692" s="6"/>
      <c r="O692" s="6"/>
      <c r="P692" s="6"/>
      <c r="Q692" s="6"/>
      <c r="R692" s="6"/>
      <c r="S692" s="6"/>
      <c r="T692" s="6"/>
      <c r="U692" s="6"/>
      <c r="V692" s="339"/>
      <c r="W692" s="339"/>
      <c r="X692" s="6"/>
      <c r="Y692" s="206"/>
      <c r="AE692" s="6"/>
      <c r="AF692" s="6"/>
      <c r="AG692" s="6"/>
      <c r="AH692" s="206"/>
      <c r="AJ692" s="213"/>
      <c r="AK692" s="6"/>
      <c r="AL692" s="6"/>
      <c r="AM692" s="6"/>
      <c r="AN692" s="206"/>
      <c r="AP692" s="213"/>
      <c r="AQ692" s="6"/>
      <c r="AR692" s="6"/>
      <c r="AS692" s="6"/>
      <c r="AT692" s="206"/>
      <c r="AV692" s="213"/>
      <c r="AW692" s="6"/>
      <c r="AX692" s="6"/>
      <c r="AY692" s="6"/>
      <c r="AZ692" s="206"/>
    </row>
    <row r="693" spans="4:52" s="2" customFormat="1" ht="17.100000000000001" customHeight="1" x14ac:dyDescent="0.25">
      <c r="D693" s="3"/>
      <c r="E693" s="3"/>
      <c r="F693" s="4"/>
      <c r="G693" s="4"/>
      <c r="H693" s="138"/>
      <c r="I693" s="97"/>
      <c r="J693" s="6"/>
      <c r="K693" s="6"/>
      <c r="L693" s="6"/>
      <c r="M693" s="6"/>
      <c r="N693" s="6"/>
      <c r="O693" s="6"/>
      <c r="P693" s="6"/>
      <c r="Q693" s="6"/>
      <c r="R693" s="6"/>
      <c r="S693" s="6"/>
      <c r="T693" s="6"/>
      <c r="U693" s="6"/>
      <c r="V693" s="339"/>
      <c r="W693" s="339"/>
      <c r="X693" s="6"/>
      <c r="Y693" s="206"/>
      <c r="AE693" s="6"/>
      <c r="AF693" s="6"/>
      <c r="AG693" s="6"/>
      <c r="AH693" s="206"/>
      <c r="AJ693" s="213"/>
      <c r="AK693" s="6"/>
      <c r="AL693" s="6"/>
      <c r="AM693" s="6"/>
      <c r="AN693" s="206"/>
      <c r="AP693" s="213"/>
      <c r="AQ693" s="6"/>
      <c r="AR693" s="6"/>
      <c r="AS693" s="6"/>
      <c r="AT693" s="206"/>
      <c r="AV693" s="213"/>
      <c r="AW693" s="6"/>
      <c r="AX693" s="6"/>
      <c r="AY693" s="6"/>
      <c r="AZ693" s="206"/>
    </row>
    <row r="694" spans="4:52" s="2" customFormat="1" ht="17.100000000000001" customHeight="1" x14ac:dyDescent="0.25">
      <c r="D694" s="3"/>
      <c r="E694" s="3"/>
      <c r="F694" s="4"/>
      <c r="G694" s="4"/>
      <c r="H694" s="138"/>
      <c r="I694" s="97"/>
      <c r="J694" s="6"/>
      <c r="K694" s="6"/>
      <c r="L694" s="6"/>
      <c r="M694" s="6"/>
      <c r="N694" s="6"/>
      <c r="O694" s="6"/>
      <c r="P694" s="6"/>
      <c r="Q694" s="6"/>
      <c r="R694" s="6"/>
      <c r="S694" s="6"/>
      <c r="T694" s="6"/>
      <c r="U694" s="6"/>
      <c r="V694" s="339"/>
      <c r="W694" s="339"/>
      <c r="X694" s="6"/>
      <c r="Y694" s="206"/>
      <c r="AE694" s="6"/>
      <c r="AF694" s="6"/>
      <c r="AG694" s="6"/>
      <c r="AH694" s="206"/>
      <c r="AJ694" s="213"/>
      <c r="AK694" s="6"/>
      <c r="AL694" s="6"/>
      <c r="AM694" s="6"/>
      <c r="AN694" s="206"/>
      <c r="AP694" s="213"/>
      <c r="AQ694" s="6"/>
      <c r="AR694" s="6"/>
      <c r="AS694" s="6"/>
      <c r="AT694" s="206"/>
      <c r="AV694" s="213"/>
      <c r="AW694" s="6"/>
      <c r="AX694" s="6"/>
      <c r="AY694" s="6"/>
      <c r="AZ694" s="206"/>
    </row>
    <row r="695" spans="4:52" s="2" customFormat="1" ht="17.100000000000001" customHeight="1" x14ac:dyDescent="0.25">
      <c r="D695" s="3"/>
      <c r="E695" s="3"/>
      <c r="F695" s="4"/>
      <c r="G695" s="4"/>
      <c r="H695" s="138"/>
      <c r="I695" s="97"/>
      <c r="J695" s="6"/>
      <c r="K695" s="6"/>
      <c r="L695" s="6"/>
      <c r="M695" s="6"/>
      <c r="N695" s="6"/>
      <c r="O695" s="6"/>
      <c r="P695" s="6"/>
      <c r="Q695" s="6"/>
      <c r="R695" s="6"/>
      <c r="S695" s="6"/>
      <c r="T695" s="6"/>
      <c r="U695" s="6"/>
      <c r="V695" s="339"/>
      <c r="W695" s="339"/>
      <c r="X695" s="6"/>
      <c r="Y695" s="206"/>
      <c r="AE695" s="6"/>
      <c r="AF695" s="6"/>
      <c r="AG695" s="6"/>
      <c r="AH695" s="206"/>
      <c r="AJ695" s="213"/>
      <c r="AK695" s="6"/>
      <c r="AL695" s="6"/>
      <c r="AM695" s="6"/>
      <c r="AN695" s="206"/>
      <c r="AP695" s="213"/>
      <c r="AQ695" s="6"/>
      <c r="AR695" s="6"/>
      <c r="AS695" s="6"/>
      <c r="AT695" s="206"/>
      <c r="AV695" s="213"/>
      <c r="AW695" s="6"/>
      <c r="AX695" s="6"/>
      <c r="AY695" s="6"/>
      <c r="AZ695" s="206"/>
    </row>
    <row r="696" spans="4:52" s="2" customFormat="1" ht="17.100000000000001" customHeight="1" x14ac:dyDescent="0.25">
      <c r="D696" s="3"/>
      <c r="E696" s="3"/>
      <c r="F696" s="4"/>
      <c r="G696" s="4"/>
      <c r="H696" s="138"/>
      <c r="I696" s="97"/>
      <c r="J696" s="6"/>
      <c r="K696" s="6"/>
      <c r="L696" s="6"/>
      <c r="M696" s="6"/>
      <c r="N696" s="6"/>
      <c r="O696" s="6"/>
      <c r="P696" s="6"/>
      <c r="Q696" s="6"/>
      <c r="R696" s="6"/>
      <c r="S696" s="6"/>
      <c r="T696" s="6"/>
      <c r="U696" s="6"/>
      <c r="V696" s="339"/>
      <c r="W696" s="339"/>
      <c r="X696" s="6"/>
      <c r="Y696" s="206"/>
      <c r="AE696" s="6"/>
      <c r="AF696" s="6"/>
      <c r="AG696" s="6"/>
      <c r="AH696" s="206"/>
      <c r="AJ696" s="213"/>
      <c r="AK696" s="6"/>
      <c r="AL696" s="6"/>
      <c r="AM696" s="6"/>
      <c r="AN696" s="206"/>
      <c r="AP696" s="213"/>
      <c r="AQ696" s="6"/>
      <c r="AR696" s="6"/>
      <c r="AS696" s="6"/>
      <c r="AT696" s="206"/>
      <c r="AV696" s="213"/>
      <c r="AW696" s="6"/>
      <c r="AX696" s="6"/>
      <c r="AY696" s="6"/>
      <c r="AZ696" s="206"/>
    </row>
    <row r="697" spans="4:52" s="2" customFormat="1" ht="17.100000000000001" customHeight="1" x14ac:dyDescent="0.25">
      <c r="D697" s="3"/>
      <c r="E697" s="3"/>
      <c r="F697" s="4"/>
      <c r="G697" s="4"/>
      <c r="H697" s="138"/>
      <c r="I697" s="97"/>
      <c r="J697" s="6"/>
      <c r="K697" s="6"/>
      <c r="L697" s="6"/>
      <c r="M697" s="6"/>
      <c r="N697" s="6"/>
      <c r="O697" s="6"/>
      <c r="P697" s="6"/>
      <c r="Q697" s="6"/>
      <c r="R697" s="6"/>
      <c r="S697" s="6"/>
      <c r="T697" s="6"/>
      <c r="U697" s="6"/>
      <c r="V697" s="339"/>
      <c r="W697" s="339"/>
      <c r="X697" s="6"/>
      <c r="Y697" s="206"/>
      <c r="AE697" s="6"/>
      <c r="AF697" s="6"/>
      <c r="AG697" s="6"/>
      <c r="AH697" s="206"/>
      <c r="AJ697" s="213"/>
      <c r="AK697" s="6"/>
      <c r="AL697" s="6"/>
      <c r="AM697" s="6"/>
      <c r="AN697" s="206"/>
      <c r="AP697" s="213"/>
      <c r="AQ697" s="6"/>
      <c r="AR697" s="6"/>
      <c r="AS697" s="6"/>
      <c r="AT697" s="206"/>
      <c r="AV697" s="213"/>
      <c r="AW697" s="6"/>
      <c r="AX697" s="6"/>
      <c r="AY697" s="6"/>
      <c r="AZ697" s="206"/>
    </row>
    <row r="698" spans="4:52" s="2" customFormat="1" ht="17.100000000000001" customHeight="1" x14ac:dyDescent="0.25">
      <c r="D698" s="3"/>
      <c r="E698" s="3"/>
      <c r="F698" s="4"/>
      <c r="G698" s="4"/>
      <c r="H698" s="138"/>
      <c r="I698" s="97"/>
      <c r="J698" s="6"/>
      <c r="K698" s="6"/>
      <c r="L698" s="6"/>
      <c r="M698" s="6"/>
      <c r="N698" s="6"/>
      <c r="O698" s="6"/>
      <c r="P698" s="6"/>
      <c r="Q698" s="6"/>
      <c r="R698" s="6"/>
      <c r="S698" s="6"/>
      <c r="T698" s="6"/>
      <c r="U698" s="6"/>
      <c r="V698" s="339"/>
      <c r="W698" s="339"/>
      <c r="X698" s="6"/>
      <c r="Y698" s="206"/>
      <c r="AE698" s="6"/>
      <c r="AF698" s="6"/>
      <c r="AG698" s="6"/>
      <c r="AH698" s="206"/>
      <c r="AJ698" s="213"/>
      <c r="AK698" s="6"/>
      <c r="AL698" s="6"/>
      <c r="AM698" s="6"/>
      <c r="AN698" s="206"/>
      <c r="AP698" s="213"/>
      <c r="AQ698" s="6"/>
      <c r="AR698" s="6"/>
      <c r="AS698" s="6"/>
      <c r="AT698" s="206"/>
      <c r="AV698" s="213"/>
      <c r="AW698" s="6"/>
      <c r="AX698" s="6"/>
      <c r="AY698" s="6"/>
      <c r="AZ698" s="206"/>
    </row>
    <row r="699" spans="4:52" s="2" customFormat="1" ht="17.100000000000001" customHeight="1" x14ac:dyDescent="0.25">
      <c r="D699" s="3"/>
      <c r="E699" s="3"/>
      <c r="F699" s="4"/>
      <c r="G699" s="4"/>
      <c r="H699" s="138"/>
      <c r="I699" s="97"/>
      <c r="J699" s="6"/>
      <c r="K699" s="6"/>
      <c r="L699" s="6"/>
      <c r="M699" s="6"/>
      <c r="N699" s="6"/>
      <c r="O699" s="6"/>
      <c r="P699" s="6"/>
      <c r="Q699" s="6"/>
      <c r="R699" s="6"/>
      <c r="S699" s="6"/>
      <c r="T699" s="6"/>
      <c r="U699" s="6"/>
      <c r="V699" s="339"/>
      <c r="W699" s="339"/>
      <c r="X699" s="6"/>
      <c r="Y699" s="206"/>
      <c r="AE699" s="6"/>
      <c r="AF699" s="6"/>
      <c r="AG699" s="6"/>
      <c r="AH699" s="206"/>
      <c r="AJ699" s="213"/>
      <c r="AK699" s="6"/>
      <c r="AL699" s="6"/>
      <c r="AM699" s="6"/>
      <c r="AN699" s="206"/>
      <c r="AP699" s="213"/>
      <c r="AQ699" s="6"/>
      <c r="AR699" s="6"/>
      <c r="AS699" s="6"/>
      <c r="AT699" s="206"/>
      <c r="AV699" s="213"/>
      <c r="AW699" s="6"/>
      <c r="AX699" s="6"/>
      <c r="AY699" s="6"/>
      <c r="AZ699" s="206"/>
    </row>
    <row r="700" spans="4:52" s="2" customFormat="1" ht="17.100000000000001" customHeight="1" x14ac:dyDescent="0.25">
      <c r="D700" s="3"/>
      <c r="E700" s="3"/>
      <c r="F700" s="4"/>
      <c r="G700" s="4"/>
      <c r="H700" s="138"/>
      <c r="I700" s="97"/>
      <c r="J700" s="6"/>
      <c r="K700" s="6"/>
      <c r="L700" s="6"/>
      <c r="M700" s="6"/>
      <c r="N700" s="6"/>
      <c r="O700" s="6"/>
      <c r="P700" s="6"/>
      <c r="Q700" s="6"/>
      <c r="R700" s="6"/>
      <c r="S700" s="6"/>
      <c r="T700" s="6"/>
      <c r="U700" s="6"/>
      <c r="V700" s="339"/>
      <c r="W700" s="339"/>
      <c r="X700" s="6"/>
      <c r="Y700" s="206"/>
      <c r="AE700" s="6"/>
      <c r="AF700" s="6"/>
      <c r="AG700" s="6"/>
      <c r="AH700" s="206"/>
      <c r="AJ700" s="213"/>
      <c r="AK700" s="6"/>
      <c r="AL700" s="6"/>
      <c r="AM700" s="6"/>
      <c r="AN700" s="206"/>
      <c r="AP700" s="213"/>
      <c r="AQ700" s="6"/>
      <c r="AR700" s="6"/>
      <c r="AS700" s="6"/>
      <c r="AT700" s="206"/>
      <c r="AV700" s="213"/>
      <c r="AW700" s="6"/>
      <c r="AX700" s="6"/>
      <c r="AY700" s="6"/>
      <c r="AZ700" s="206"/>
    </row>
    <row r="701" spans="4:52" s="2" customFormat="1" ht="17.100000000000001" customHeight="1" x14ac:dyDescent="0.25">
      <c r="D701" s="3"/>
      <c r="E701" s="3"/>
      <c r="F701" s="4"/>
      <c r="G701" s="4"/>
      <c r="H701" s="138"/>
      <c r="I701" s="97"/>
      <c r="J701" s="6"/>
      <c r="K701" s="6"/>
      <c r="L701" s="6"/>
      <c r="M701" s="6"/>
      <c r="N701" s="6"/>
      <c r="O701" s="6"/>
      <c r="P701" s="6"/>
      <c r="Q701" s="6"/>
      <c r="R701" s="6"/>
      <c r="S701" s="6"/>
      <c r="T701" s="6"/>
      <c r="U701" s="6"/>
      <c r="V701" s="339"/>
      <c r="W701" s="339"/>
      <c r="X701" s="6"/>
      <c r="Y701" s="206"/>
      <c r="AE701" s="6"/>
      <c r="AF701" s="6"/>
      <c r="AG701" s="6"/>
      <c r="AH701" s="206"/>
      <c r="AJ701" s="213"/>
      <c r="AK701" s="6"/>
      <c r="AL701" s="6"/>
      <c r="AM701" s="6"/>
      <c r="AN701" s="206"/>
      <c r="AP701" s="213"/>
      <c r="AQ701" s="6"/>
      <c r="AR701" s="6"/>
      <c r="AS701" s="6"/>
      <c r="AT701" s="206"/>
      <c r="AV701" s="213"/>
      <c r="AW701" s="6"/>
      <c r="AX701" s="6"/>
      <c r="AY701" s="6"/>
      <c r="AZ701" s="206"/>
    </row>
    <row r="702" spans="4:52" s="2" customFormat="1" ht="17.100000000000001" customHeight="1" x14ac:dyDescent="0.25">
      <c r="D702" s="3"/>
      <c r="E702" s="3"/>
      <c r="F702" s="4"/>
      <c r="G702" s="4"/>
      <c r="H702" s="138"/>
      <c r="I702" s="97"/>
      <c r="J702" s="6"/>
      <c r="K702" s="6"/>
      <c r="L702" s="6"/>
      <c r="M702" s="6"/>
      <c r="N702" s="6"/>
      <c r="O702" s="6"/>
      <c r="P702" s="6"/>
      <c r="Q702" s="6"/>
      <c r="R702" s="6"/>
      <c r="S702" s="6"/>
      <c r="T702" s="6"/>
      <c r="U702" s="6"/>
      <c r="V702" s="339"/>
      <c r="W702" s="339"/>
      <c r="X702" s="6"/>
      <c r="Y702" s="206"/>
      <c r="AE702" s="6"/>
      <c r="AF702" s="6"/>
      <c r="AG702" s="6"/>
      <c r="AH702" s="206"/>
      <c r="AJ702" s="213"/>
      <c r="AK702" s="6"/>
      <c r="AL702" s="6"/>
      <c r="AM702" s="6"/>
      <c r="AN702" s="206"/>
      <c r="AP702" s="213"/>
      <c r="AQ702" s="6"/>
      <c r="AR702" s="6"/>
      <c r="AS702" s="6"/>
      <c r="AT702" s="206"/>
      <c r="AV702" s="213"/>
      <c r="AW702" s="6"/>
      <c r="AX702" s="6"/>
      <c r="AY702" s="6"/>
      <c r="AZ702" s="206"/>
    </row>
    <row r="703" spans="4:52" s="2" customFormat="1" ht="17.100000000000001" customHeight="1" x14ac:dyDescent="0.25">
      <c r="D703" s="3"/>
      <c r="E703" s="3"/>
      <c r="F703" s="4"/>
      <c r="G703" s="4"/>
      <c r="H703" s="138"/>
      <c r="I703" s="97"/>
      <c r="J703" s="6"/>
      <c r="K703" s="6"/>
      <c r="L703" s="6"/>
      <c r="M703" s="6"/>
      <c r="N703" s="6"/>
      <c r="O703" s="6"/>
      <c r="P703" s="6"/>
      <c r="Q703" s="6"/>
      <c r="R703" s="6"/>
      <c r="S703" s="6"/>
      <c r="T703" s="6"/>
      <c r="U703" s="6"/>
      <c r="V703" s="339"/>
      <c r="W703" s="339"/>
      <c r="X703" s="6"/>
      <c r="Y703" s="206"/>
      <c r="AE703" s="6"/>
      <c r="AF703" s="6"/>
      <c r="AG703" s="6"/>
      <c r="AH703" s="206"/>
      <c r="AJ703" s="213"/>
      <c r="AK703" s="6"/>
      <c r="AL703" s="6"/>
      <c r="AM703" s="6"/>
      <c r="AN703" s="206"/>
      <c r="AP703" s="213"/>
      <c r="AQ703" s="6"/>
      <c r="AR703" s="6"/>
      <c r="AS703" s="6"/>
      <c r="AT703" s="206"/>
      <c r="AV703" s="213"/>
      <c r="AW703" s="6"/>
      <c r="AX703" s="6"/>
      <c r="AY703" s="6"/>
      <c r="AZ703" s="206"/>
    </row>
    <row r="704" spans="4:52" s="2" customFormat="1" ht="17.100000000000001" customHeight="1" x14ac:dyDescent="0.25">
      <c r="D704" s="3"/>
      <c r="E704" s="3"/>
      <c r="F704" s="4"/>
      <c r="G704" s="4"/>
      <c r="H704" s="138"/>
      <c r="I704" s="97"/>
      <c r="J704" s="6"/>
      <c r="K704" s="6"/>
      <c r="L704" s="6"/>
      <c r="M704" s="6"/>
      <c r="N704" s="6"/>
      <c r="O704" s="6"/>
      <c r="P704" s="6"/>
      <c r="Q704" s="6"/>
      <c r="R704" s="6"/>
      <c r="S704" s="6"/>
      <c r="T704" s="6"/>
      <c r="U704" s="6"/>
      <c r="V704" s="339"/>
      <c r="W704" s="339"/>
      <c r="X704" s="6"/>
      <c r="Y704" s="206"/>
      <c r="AE704" s="6"/>
      <c r="AF704" s="6"/>
      <c r="AG704" s="6"/>
      <c r="AH704" s="206"/>
      <c r="AJ704" s="213"/>
      <c r="AK704" s="6"/>
      <c r="AL704" s="6"/>
      <c r="AM704" s="6"/>
      <c r="AN704" s="206"/>
      <c r="AP704" s="213"/>
      <c r="AQ704" s="6"/>
      <c r="AR704" s="6"/>
      <c r="AS704" s="6"/>
      <c r="AT704" s="206"/>
      <c r="AV704" s="213"/>
      <c r="AW704" s="6"/>
      <c r="AX704" s="6"/>
      <c r="AY704" s="6"/>
      <c r="AZ704" s="206"/>
    </row>
    <row r="705" spans="4:52" s="2" customFormat="1" ht="17.100000000000001" customHeight="1" x14ac:dyDescent="0.25">
      <c r="D705" s="3"/>
      <c r="E705" s="3"/>
      <c r="F705" s="4"/>
      <c r="G705" s="4"/>
      <c r="H705" s="138"/>
      <c r="I705" s="97"/>
      <c r="J705" s="6"/>
      <c r="K705" s="6"/>
      <c r="L705" s="6"/>
      <c r="M705" s="6"/>
      <c r="N705" s="6"/>
      <c r="O705" s="6"/>
      <c r="P705" s="6"/>
      <c r="Q705" s="6"/>
      <c r="R705" s="6"/>
      <c r="S705" s="6"/>
      <c r="T705" s="6"/>
      <c r="U705" s="6"/>
      <c r="V705" s="339"/>
      <c r="W705" s="339"/>
      <c r="X705" s="6"/>
      <c r="Y705" s="206"/>
      <c r="AE705" s="6"/>
      <c r="AF705" s="6"/>
      <c r="AG705" s="6"/>
      <c r="AH705" s="206"/>
      <c r="AJ705" s="213"/>
      <c r="AK705" s="6"/>
      <c r="AL705" s="6"/>
      <c r="AM705" s="6"/>
      <c r="AN705" s="206"/>
      <c r="AP705" s="213"/>
      <c r="AQ705" s="6"/>
      <c r="AR705" s="6"/>
      <c r="AS705" s="6"/>
      <c r="AT705" s="206"/>
      <c r="AV705" s="213"/>
      <c r="AW705" s="6"/>
      <c r="AX705" s="6"/>
      <c r="AY705" s="6"/>
      <c r="AZ705" s="206"/>
    </row>
    <row r="706" spans="4:52" s="2" customFormat="1" ht="17.100000000000001" customHeight="1" x14ac:dyDescent="0.25">
      <c r="D706" s="3"/>
      <c r="E706" s="3"/>
      <c r="F706" s="4"/>
      <c r="G706" s="4"/>
      <c r="H706" s="138"/>
      <c r="I706" s="97"/>
      <c r="J706" s="6"/>
      <c r="K706" s="6"/>
      <c r="L706" s="6"/>
      <c r="M706" s="6"/>
      <c r="N706" s="6"/>
      <c r="O706" s="6"/>
      <c r="P706" s="6"/>
      <c r="Q706" s="6"/>
      <c r="R706" s="6"/>
      <c r="S706" s="6"/>
      <c r="T706" s="6"/>
      <c r="U706" s="6"/>
      <c r="V706" s="339"/>
      <c r="W706" s="339"/>
      <c r="X706" s="6"/>
      <c r="Y706" s="206"/>
      <c r="AE706" s="6"/>
      <c r="AF706" s="6"/>
      <c r="AG706" s="6"/>
      <c r="AH706" s="206"/>
      <c r="AJ706" s="213"/>
      <c r="AK706" s="6"/>
      <c r="AL706" s="6"/>
      <c r="AM706" s="6"/>
      <c r="AN706" s="206"/>
      <c r="AP706" s="213"/>
      <c r="AQ706" s="6"/>
      <c r="AR706" s="6"/>
      <c r="AS706" s="6"/>
      <c r="AT706" s="206"/>
      <c r="AV706" s="213"/>
      <c r="AW706" s="6"/>
      <c r="AX706" s="6"/>
      <c r="AY706" s="6"/>
      <c r="AZ706" s="206"/>
    </row>
    <row r="707" spans="4:52" s="2" customFormat="1" ht="17.100000000000001" customHeight="1" x14ac:dyDescent="0.25">
      <c r="D707" s="3"/>
      <c r="E707" s="3"/>
      <c r="F707" s="4"/>
      <c r="G707" s="4"/>
      <c r="H707" s="138"/>
      <c r="I707" s="97"/>
      <c r="J707" s="6"/>
      <c r="K707" s="6"/>
      <c r="L707" s="6"/>
      <c r="M707" s="6"/>
      <c r="N707" s="6"/>
      <c r="O707" s="6"/>
      <c r="P707" s="6"/>
      <c r="Q707" s="6"/>
      <c r="R707" s="6"/>
      <c r="S707" s="6"/>
      <c r="T707" s="6"/>
      <c r="U707" s="6"/>
      <c r="V707" s="339"/>
      <c r="W707" s="339"/>
      <c r="X707" s="6"/>
      <c r="Y707" s="206"/>
      <c r="AE707" s="6"/>
      <c r="AF707" s="6"/>
      <c r="AG707" s="6"/>
      <c r="AH707" s="206"/>
      <c r="AJ707" s="213"/>
      <c r="AK707" s="6"/>
      <c r="AL707" s="6"/>
      <c r="AM707" s="6"/>
      <c r="AN707" s="206"/>
      <c r="AP707" s="213"/>
      <c r="AQ707" s="6"/>
      <c r="AR707" s="6"/>
      <c r="AS707" s="6"/>
      <c r="AT707" s="206"/>
      <c r="AV707" s="213"/>
      <c r="AW707" s="6"/>
      <c r="AX707" s="6"/>
      <c r="AY707" s="6"/>
      <c r="AZ707" s="206"/>
    </row>
    <row r="708" spans="4:52" s="2" customFormat="1" ht="17.100000000000001" customHeight="1" x14ac:dyDescent="0.25">
      <c r="D708" s="3"/>
      <c r="E708" s="3"/>
      <c r="F708" s="4"/>
      <c r="G708" s="4"/>
      <c r="H708" s="138"/>
      <c r="I708" s="97"/>
      <c r="J708" s="6"/>
      <c r="K708" s="6"/>
      <c r="L708" s="6"/>
      <c r="M708" s="6"/>
      <c r="N708" s="6"/>
      <c r="O708" s="6"/>
      <c r="P708" s="6"/>
      <c r="Q708" s="6"/>
      <c r="R708" s="6"/>
      <c r="S708" s="6"/>
      <c r="T708" s="6"/>
      <c r="U708" s="6"/>
      <c r="V708" s="339"/>
      <c r="W708" s="339"/>
      <c r="X708" s="6"/>
      <c r="Y708" s="206"/>
      <c r="AE708" s="6"/>
      <c r="AF708" s="6"/>
      <c r="AG708" s="6"/>
      <c r="AH708" s="206"/>
      <c r="AJ708" s="213"/>
      <c r="AK708" s="6"/>
      <c r="AL708" s="6"/>
      <c r="AM708" s="6"/>
      <c r="AN708" s="206"/>
      <c r="AP708" s="213"/>
      <c r="AQ708" s="6"/>
      <c r="AR708" s="6"/>
      <c r="AS708" s="6"/>
      <c r="AT708" s="206"/>
      <c r="AV708" s="213"/>
      <c r="AW708" s="6"/>
      <c r="AX708" s="6"/>
      <c r="AY708" s="6"/>
      <c r="AZ708" s="206"/>
    </row>
    <row r="709" spans="4:52" s="2" customFormat="1" ht="17.100000000000001" customHeight="1" x14ac:dyDescent="0.25">
      <c r="D709" s="3"/>
      <c r="E709" s="3"/>
      <c r="F709" s="4"/>
      <c r="G709" s="4"/>
      <c r="H709" s="138"/>
      <c r="I709" s="97"/>
      <c r="J709" s="6"/>
      <c r="K709" s="6"/>
      <c r="L709" s="6"/>
      <c r="M709" s="6"/>
      <c r="N709" s="6"/>
      <c r="O709" s="6"/>
      <c r="P709" s="6"/>
      <c r="Q709" s="6"/>
      <c r="R709" s="6"/>
      <c r="S709" s="6"/>
      <c r="T709" s="6"/>
      <c r="U709" s="6"/>
      <c r="V709" s="339"/>
      <c r="W709" s="339"/>
      <c r="X709" s="6"/>
      <c r="Y709" s="206"/>
      <c r="AE709" s="6"/>
      <c r="AF709" s="6"/>
      <c r="AG709" s="6"/>
      <c r="AH709" s="206"/>
      <c r="AJ709" s="213"/>
      <c r="AK709" s="6"/>
      <c r="AL709" s="6"/>
      <c r="AM709" s="6"/>
      <c r="AN709" s="206"/>
      <c r="AP709" s="213"/>
      <c r="AQ709" s="6"/>
      <c r="AR709" s="6"/>
      <c r="AS709" s="6"/>
      <c r="AT709" s="206"/>
      <c r="AV709" s="213"/>
      <c r="AW709" s="6"/>
      <c r="AX709" s="6"/>
      <c r="AY709" s="6"/>
      <c r="AZ709" s="206"/>
    </row>
    <row r="710" spans="4:52" s="2" customFormat="1" ht="17.100000000000001" customHeight="1" x14ac:dyDescent="0.25">
      <c r="D710" s="3"/>
      <c r="E710" s="3"/>
      <c r="F710" s="4"/>
      <c r="G710" s="4"/>
      <c r="H710" s="138"/>
      <c r="I710" s="97"/>
      <c r="J710" s="6"/>
      <c r="K710" s="6"/>
      <c r="L710" s="6"/>
      <c r="M710" s="6"/>
      <c r="N710" s="6"/>
      <c r="O710" s="6"/>
      <c r="P710" s="6"/>
      <c r="Q710" s="6"/>
      <c r="R710" s="6"/>
      <c r="S710" s="6"/>
      <c r="T710" s="6"/>
      <c r="U710" s="6"/>
      <c r="V710" s="339"/>
      <c r="W710" s="339"/>
      <c r="X710" s="6"/>
      <c r="Y710" s="206"/>
      <c r="AE710" s="6"/>
      <c r="AF710" s="6"/>
      <c r="AG710" s="6"/>
      <c r="AH710" s="206"/>
      <c r="AJ710" s="213"/>
      <c r="AK710" s="6"/>
      <c r="AL710" s="6"/>
      <c r="AM710" s="6"/>
      <c r="AN710" s="206"/>
      <c r="AP710" s="213"/>
      <c r="AQ710" s="6"/>
      <c r="AR710" s="6"/>
      <c r="AS710" s="6"/>
      <c r="AT710" s="206"/>
      <c r="AV710" s="213"/>
      <c r="AW710" s="6"/>
      <c r="AX710" s="6"/>
      <c r="AY710" s="6"/>
      <c r="AZ710" s="206"/>
    </row>
    <row r="711" spans="4:52" s="2" customFormat="1" ht="17.100000000000001" customHeight="1" x14ac:dyDescent="0.25">
      <c r="D711" s="3"/>
      <c r="E711" s="3"/>
      <c r="F711" s="4"/>
      <c r="G711" s="4"/>
      <c r="H711" s="138"/>
      <c r="I711" s="97"/>
      <c r="J711" s="6"/>
      <c r="K711" s="6"/>
      <c r="L711" s="6"/>
      <c r="M711" s="6"/>
      <c r="N711" s="6"/>
      <c r="O711" s="6"/>
      <c r="P711" s="6"/>
      <c r="Q711" s="6"/>
      <c r="R711" s="6"/>
      <c r="S711" s="6"/>
      <c r="T711" s="6"/>
      <c r="U711" s="6"/>
      <c r="V711" s="339"/>
      <c r="W711" s="339"/>
      <c r="X711" s="6"/>
      <c r="Y711" s="206"/>
      <c r="AE711" s="6"/>
      <c r="AF711" s="6"/>
      <c r="AG711" s="6"/>
      <c r="AH711" s="206"/>
      <c r="AJ711" s="213"/>
      <c r="AK711" s="6"/>
      <c r="AL711" s="6"/>
      <c r="AM711" s="6"/>
      <c r="AN711" s="206"/>
      <c r="AP711" s="213"/>
      <c r="AQ711" s="6"/>
      <c r="AR711" s="6"/>
      <c r="AS711" s="6"/>
      <c r="AT711" s="206"/>
      <c r="AV711" s="213"/>
      <c r="AW711" s="6"/>
      <c r="AX711" s="6"/>
      <c r="AY711" s="6"/>
      <c r="AZ711" s="206"/>
    </row>
    <row r="712" spans="4:52" s="2" customFormat="1" ht="17.100000000000001" customHeight="1" x14ac:dyDescent="0.25">
      <c r="D712" s="3"/>
      <c r="E712" s="3"/>
      <c r="F712" s="4"/>
      <c r="G712" s="4"/>
      <c r="H712" s="138"/>
      <c r="I712" s="97"/>
      <c r="J712" s="6"/>
      <c r="K712" s="6"/>
      <c r="L712" s="6"/>
      <c r="M712" s="6"/>
      <c r="N712" s="6"/>
      <c r="O712" s="6"/>
      <c r="P712" s="6"/>
      <c r="Q712" s="6"/>
      <c r="R712" s="6"/>
      <c r="S712" s="6"/>
      <c r="T712" s="6"/>
      <c r="U712" s="6"/>
      <c r="V712" s="339"/>
      <c r="W712" s="339"/>
      <c r="X712" s="6"/>
      <c r="Y712" s="206"/>
      <c r="AE712" s="6"/>
      <c r="AF712" s="6"/>
      <c r="AG712" s="6"/>
      <c r="AH712" s="206"/>
      <c r="AJ712" s="213"/>
      <c r="AK712" s="6"/>
      <c r="AL712" s="6"/>
      <c r="AM712" s="6"/>
      <c r="AN712" s="206"/>
      <c r="AP712" s="213"/>
      <c r="AQ712" s="6"/>
      <c r="AR712" s="6"/>
      <c r="AS712" s="6"/>
      <c r="AT712" s="206"/>
      <c r="AV712" s="213"/>
      <c r="AW712" s="6"/>
      <c r="AX712" s="6"/>
      <c r="AY712" s="6"/>
      <c r="AZ712" s="206"/>
    </row>
    <row r="713" spans="4:52" s="2" customFormat="1" ht="17.100000000000001" customHeight="1" x14ac:dyDescent="0.25">
      <c r="D713" s="3"/>
      <c r="E713" s="3"/>
      <c r="F713" s="4"/>
      <c r="G713" s="4"/>
      <c r="H713" s="138"/>
      <c r="I713" s="97"/>
      <c r="J713" s="6"/>
      <c r="K713" s="6"/>
      <c r="L713" s="6"/>
      <c r="M713" s="6"/>
      <c r="N713" s="6"/>
      <c r="O713" s="6"/>
      <c r="P713" s="6"/>
      <c r="Q713" s="6"/>
      <c r="R713" s="6"/>
      <c r="S713" s="6"/>
      <c r="T713" s="6"/>
      <c r="U713" s="6"/>
      <c r="V713" s="339"/>
      <c r="W713" s="339"/>
      <c r="X713" s="6"/>
      <c r="Y713" s="206"/>
      <c r="AE713" s="6"/>
      <c r="AF713" s="6"/>
      <c r="AG713" s="6"/>
      <c r="AH713" s="206"/>
      <c r="AJ713" s="213"/>
      <c r="AK713" s="6"/>
      <c r="AL713" s="6"/>
      <c r="AM713" s="6"/>
      <c r="AN713" s="206"/>
      <c r="AP713" s="213"/>
      <c r="AQ713" s="6"/>
      <c r="AR713" s="6"/>
      <c r="AS713" s="6"/>
      <c r="AT713" s="206"/>
      <c r="AV713" s="213"/>
      <c r="AW713" s="6"/>
      <c r="AX713" s="6"/>
      <c r="AY713" s="6"/>
      <c r="AZ713" s="206"/>
    </row>
    <row r="714" spans="4:52" s="2" customFormat="1" ht="17.100000000000001" customHeight="1" x14ac:dyDescent="0.25">
      <c r="D714" s="3"/>
      <c r="E714" s="3"/>
      <c r="F714" s="4"/>
      <c r="G714" s="4"/>
      <c r="H714" s="138"/>
      <c r="I714" s="97"/>
      <c r="J714" s="6"/>
      <c r="K714" s="6"/>
      <c r="L714" s="6"/>
      <c r="M714" s="6"/>
      <c r="N714" s="6"/>
      <c r="O714" s="6"/>
      <c r="P714" s="6"/>
      <c r="Q714" s="6"/>
      <c r="R714" s="6"/>
      <c r="S714" s="6"/>
      <c r="T714" s="6"/>
      <c r="U714" s="6"/>
      <c r="V714" s="339"/>
      <c r="W714" s="339"/>
      <c r="X714" s="6"/>
      <c r="Y714" s="206"/>
      <c r="AE714" s="6"/>
      <c r="AF714" s="6"/>
      <c r="AG714" s="6"/>
      <c r="AH714" s="206"/>
      <c r="AJ714" s="213"/>
      <c r="AK714" s="6"/>
      <c r="AL714" s="6"/>
      <c r="AM714" s="6"/>
      <c r="AN714" s="206"/>
      <c r="AP714" s="213"/>
      <c r="AQ714" s="6"/>
      <c r="AR714" s="6"/>
      <c r="AS714" s="6"/>
      <c r="AT714" s="206"/>
      <c r="AV714" s="213"/>
      <c r="AW714" s="6"/>
      <c r="AX714" s="6"/>
      <c r="AY714" s="6"/>
      <c r="AZ714" s="206"/>
    </row>
    <row r="715" spans="4:52" s="2" customFormat="1" ht="17.100000000000001" customHeight="1" x14ac:dyDescent="0.25">
      <c r="D715" s="3"/>
      <c r="E715" s="3"/>
      <c r="F715" s="4"/>
      <c r="G715" s="4"/>
      <c r="H715" s="138"/>
      <c r="I715" s="97"/>
      <c r="J715" s="6"/>
      <c r="K715" s="6"/>
      <c r="L715" s="6"/>
      <c r="M715" s="6"/>
      <c r="N715" s="6"/>
      <c r="O715" s="6"/>
      <c r="P715" s="6"/>
      <c r="Q715" s="6"/>
      <c r="R715" s="6"/>
      <c r="S715" s="6"/>
      <c r="T715" s="6"/>
      <c r="U715" s="6"/>
      <c r="V715" s="339"/>
      <c r="W715" s="339"/>
      <c r="X715" s="6"/>
      <c r="Y715" s="206"/>
      <c r="AE715" s="6"/>
      <c r="AF715" s="6"/>
      <c r="AG715" s="6"/>
      <c r="AH715" s="206"/>
      <c r="AJ715" s="213"/>
      <c r="AK715" s="6"/>
      <c r="AL715" s="6"/>
      <c r="AM715" s="6"/>
      <c r="AN715" s="206"/>
      <c r="AP715" s="213"/>
      <c r="AQ715" s="6"/>
      <c r="AR715" s="6"/>
      <c r="AS715" s="6"/>
      <c r="AT715" s="206"/>
      <c r="AV715" s="213"/>
      <c r="AW715" s="6"/>
      <c r="AX715" s="6"/>
      <c r="AY715" s="6"/>
      <c r="AZ715" s="206"/>
    </row>
    <row r="716" spans="4:52" s="2" customFormat="1" ht="17.100000000000001" customHeight="1" x14ac:dyDescent="0.25">
      <c r="D716" s="3"/>
      <c r="E716" s="3"/>
      <c r="F716" s="4"/>
      <c r="G716" s="4"/>
      <c r="H716" s="138"/>
      <c r="I716" s="97"/>
      <c r="J716" s="6"/>
      <c r="K716" s="6"/>
      <c r="L716" s="6"/>
      <c r="M716" s="6"/>
      <c r="N716" s="6"/>
      <c r="O716" s="6"/>
      <c r="P716" s="6"/>
      <c r="Q716" s="6"/>
      <c r="R716" s="6"/>
      <c r="S716" s="6"/>
      <c r="T716" s="6"/>
      <c r="U716" s="6"/>
      <c r="V716" s="339"/>
      <c r="W716" s="339"/>
      <c r="X716" s="6"/>
      <c r="Y716" s="206"/>
      <c r="AE716" s="6"/>
      <c r="AF716" s="6"/>
      <c r="AG716" s="6"/>
      <c r="AH716" s="206"/>
      <c r="AJ716" s="213"/>
      <c r="AK716" s="6"/>
      <c r="AL716" s="6"/>
      <c r="AM716" s="6"/>
      <c r="AN716" s="206"/>
      <c r="AP716" s="213"/>
      <c r="AQ716" s="6"/>
      <c r="AR716" s="6"/>
      <c r="AS716" s="6"/>
      <c r="AT716" s="206"/>
      <c r="AV716" s="213"/>
      <c r="AW716" s="6"/>
      <c r="AX716" s="6"/>
      <c r="AY716" s="6"/>
      <c r="AZ716" s="206"/>
    </row>
    <row r="717" spans="4:52" s="2" customFormat="1" ht="17.100000000000001" customHeight="1" x14ac:dyDescent="0.25">
      <c r="D717" s="3"/>
      <c r="E717" s="3"/>
      <c r="F717" s="4"/>
      <c r="G717" s="4"/>
      <c r="H717" s="138"/>
      <c r="I717" s="97"/>
      <c r="J717" s="6"/>
      <c r="K717" s="6"/>
      <c r="L717" s="6"/>
      <c r="M717" s="6"/>
      <c r="N717" s="6"/>
      <c r="O717" s="6"/>
      <c r="P717" s="6"/>
      <c r="Q717" s="6"/>
      <c r="R717" s="6"/>
      <c r="S717" s="6"/>
      <c r="T717" s="6"/>
      <c r="U717" s="6"/>
      <c r="V717" s="339"/>
      <c r="W717" s="339"/>
      <c r="X717" s="6"/>
      <c r="Y717" s="206"/>
      <c r="AE717" s="6"/>
      <c r="AF717" s="6"/>
      <c r="AG717" s="6"/>
      <c r="AH717" s="206"/>
      <c r="AJ717" s="213"/>
      <c r="AK717" s="6"/>
      <c r="AL717" s="6"/>
      <c r="AM717" s="6"/>
      <c r="AN717" s="206"/>
      <c r="AP717" s="213"/>
      <c r="AQ717" s="6"/>
      <c r="AR717" s="6"/>
      <c r="AS717" s="6"/>
      <c r="AT717" s="206"/>
      <c r="AV717" s="213"/>
      <c r="AW717" s="6"/>
      <c r="AX717" s="6"/>
      <c r="AY717" s="6"/>
      <c r="AZ717" s="206"/>
    </row>
    <row r="718" spans="4:52" s="2" customFormat="1" ht="17.100000000000001" customHeight="1" x14ac:dyDescent="0.25">
      <c r="D718" s="3"/>
      <c r="E718" s="3"/>
      <c r="F718" s="4"/>
      <c r="G718" s="4"/>
      <c r="H718" s="138"/>
      <c r="I718" s="97"/>
      <c r="J718" s="6"/>
      <c r="K718" s="6"/>
      <c r="L718" s="6"/>
      <c r="M718" s="6"/>
      <c r="N718" s="6"/>
      <c r="O718" s="6"/>
      <c r="P718" s="6"/>
      <c r="Q718" s="6"/>
      <c r="R718" s="6"/>
      <c r="S718" s="6"/>
      <c r="T718" s="6"/>
      <c r="U718" s="6"/>
      <c r="V718" s="339"/>
      <c r="W718" s="339"/>
      <c r="X718" s="6"/>
      <c r="Y718" s="206"/>
      <c r="AE718" s="6"/>
      <c r="AF718" s="6"/>
      <c r="AG718" s="6"/>
      <c r="AH718" s="206"/>
      <c r="AJ718" s="213"/>
      <c r="AK718" s="6"/>
      <c r="AL718" s="6"/>
      <c r="AM718" s="6"/>
      <c r="AN718" s="206"/>
      <c r="AP718" s="213"/>
      <c r="AQ718" s="6"/>
      <c r="AR718" s="6"/>
      <c r="AS718" s="6"/>
      <c r="AT718" s="206"/>
      <c r="AV718" s="213"/>
      <c r="AW718" s="6"/>
      <c r="AX718" s="6"/>
      <c r="AY718" s="6"/>
      <c r="AZ718" s="206"/>
    </row>
    <row r="719" spans="4:52" s="2" customFormat="1" ht="17.100000000000001" customHeight="1" x14ac:dyDescent="0.25">
      <c r="D719" s="3"/>
      <c r="E719" s="3"/>
      <c r="F719" s="4"/>
      <c r="G719" s="4"/>
      <c r="H719" s="138"/>
      <c r="I719" s="97"/>
      <c r="J719" s="6"/>
      <c r="K719" s="6"/>
      <c r="L719" s="6"/>
      <c r="M719" s="6"/>
      <c r="N719" s="6"/>
      <c r="O719" s="6"/>
      <c r="P719" s="6"/>
      <c r="Q719" s="6"/>
      <c r="R719" s="6"/>
      <c r="S719" s="6"/>
      <c r="T719" s="6"/>
      <c r="U719" s="6"/>
      <c r="V719" s="339"/>
      <c r="W719" s="339"/>
      <c r="X719" s="6"/>
      <c r="Y719" s="206"/>
      <c r="AE719" s="6"/>
      <c r="AF719" s="6"/>
      <c r="AG719" s="6"/>
      <c r="AH719" s="206"/>
      <c r="AJ719" s="213"/>
      <c r="AK719" s="6"/>
      <c r="AL719" s="6"/>
      <c r="AM719" s="6"/>
      <c r="AN719" s="206"/>
      <c r="AP719" s="213"/>
      <c r="AQ719" s="6"/>
      <c r="AR719" s="6"/>
      <c r="AS719" s="6"/>
      <c r="AT719" s="206"/>
      <c r="AV719" s="213"/>
      <c r="AW719" s="6"/>
      <c r="AX719" s="6"/>
      <c r="AY719" s="6"/>
      <c r="AZ719" s="206"/>
    </row>
    <row r="720" spans="4:52" s="2" customFormat="1" ht="17.100000000000001" customHeight="1" x14ac:dyDescent="0.25">
      <c r="D720" s="3"/>
      <c r="E720" s="3"/>
      <c r="F720" s="4"/>
      <c r="G720" s="4"/>
      <c r="H720" s="138"/>
      <c r="I720" s="97"/>
      <c r="J720" s="6"/>
      <c r="K720" s="6"/>
      <c r="L720" s="6"/>
      <c r="M720" s="6"/>
      <c r="N720" s="6"/>
      <c r="O720" s="6"/>
      <c r="P720" s="6"/>
      <c r="Q720" s="6"/>
      <c r="R720" s="6"/>
      <c r="S720" s="6"/>
      <c r="T720" s="6"/>
      <c r="U720" s="6"/>
      <c r="V720" s="339"/>
      <c r="W720" s="339"/>
      <c r="X720" s="6"/>
      <c r="Y720" s="206"/>
      <c r="AE720" s="6"/>
      <c r="AF720" s="6"/>
      <c r="AG720" s="6"/>
      <c r="AH720" s="206"/>
      <c r="AJ720" s="213"/>
      <c r="AK720" s="6"/>
      <c r="AL720" s="6"/>
      <c r="AM720" s="6"/>
      <c r="AN720" s="206"/>
      <c r="AP720" s="213"/>
      <c r="AQ720" s="6"/>
      <c r="AR720" s="6"/>
      <c r="AS720" s="6"/>
      <c r="AT720" s="206"/>
      <c r="AV720" s="213"/>
      <c r="AW720" s="6"/>
      <c r="AX720" s="6"/>
      <c r="AY720" s="6"/>
      <c r="AZ720" s="206"/>
    </row>
    <row r="721" spans="4:52" s="2" customFormat="1" ht="17.100000000000001" customHeight="1" x14ac:dyDescent="0.25">
      <c r="D721" s="3"/>
      <c r="E721" s="3"/>
      <c r="F721" s="4"/>
      <c r="G721" s="4"/>
      <c r="H721" s="138"/>
      <c r="I721" s="97"/>
      <c r="J721" s="6"/>
      <c r="K721" s="6"/>
      <c r="L721" s="6"/>
      <c r="M721" s="6"/>
      <c r="N721" s="6"/>
      <c r="O721" s="6"/>
      <c r="P721" s="6"/>
      <c r="Q721" s="6"/>
      <c r="R721" s="6"/>
      <c r="S721" s="6"/>
      <c r="T721" s="6"/>
      <c r="U721" s="6"/>
      <c r="V721" s="339"/>
      <c r="W721" s="339"/>
      <c r="X721" s="6"/>
      <c r="Y721" s="206"/>
      <c r="AE721" s="6"/>
      <c r="AF721" s="6"/>
      <c r="AG721" s="6"/>
      <c r="AH721" s="206"/>
      <c r="AJ721" s="213"/>
      <c r="AK721" s="6"/>
      <c r="AL721" s="6"/>
      <c r="AM721" s="6"/>
      <c r="AN721" s="206"/>
      <c r="AP721" s="213"/>
      <c r="AQ721" s="6"/>
      <c r="AR721" s="6"/>
      <c r="AS721" s="6"/>
      <c r="AT721" s="206"/>
      <c r="AV721" s="213"/>
      <c r="AW721" s="6"/>
      <c r="AX721" s="6"/>
      <c r="AY721" s="6"/>
      <c r="AZ721" s="206"/>
    </row>
    <row r="722" spans="4:52" s="2" customFormat="1" ht="17.100000000000001" customHeight="1" x14ac:dyDescent="0.25">
      <c r="D722" s="3"/>
      <c r="E722" s="3"/>
      <c r="F722" s="4"/>
      <c r="G722" s="4"/>
      <c r="H722" s="138"/>
      <c r="I722" s="97"/>
      <c r="J722" s="6"/>
      <c r="K722" s="6"/>
      <c r="L722" s="6"/>
      <c r="M722" s="6"/>
      <c r="N722" s="6"/>
      <c r="O722" s="6"/>
      <c r="P722" s="6"/>
      <c r="Q722" s="6"/>
      <c r="R722" s="6"/>
      <c r="S722" s="6"/>
      <c r="T722" s="6"/>
      <c r="U722" s="6"/>
      <c r="V722" s="339"/>
      <c r="W722" s="339"/>
      <c r="X722" s="6"/>
      <c r="Y722" s="206"/>
      <c r="AE722" s="6"/>
      <c r="AF722" s="6"/>
      <c r="AG722" s="6"/>
      <c r="AH722" s="206"/>
      <c r="AJ722" s="213"/>
      <c r="AK722" s="6"/>
      <c r="AL722" s="6"/>
      <c r="AM722" s="6"/>
      <c r="AN722" s="206"/>
      <c r="AP722" s="213"/>
      <c r="AQ722" s="6"/>
      <c r="AR722" s="6"/>
      <c r="AS722" s="6"/>
      <c r="AT722" s="206"/>
      <c r="AV722" s="213"/>
      <c r="AW722" s="6"/>
      <c r="AX722" s="6"/>
      <c r="AY722" s="6"/>
      <c r="AZ722" s="206"/>
    </row>
    <row r="723" spans="4:52" s="2" customFormat="1" ht="17.100000000000001" customHeight="1" x14ac:dyDescent="0.25">
      <c r="D723" s="3"/>
      <c r="E723" s="3"/>
      <c r="F723" s="4"/>
      <c r="G723" s="4"/>
      <c r="H723" s="138"/>
      <c r="I723" s="97"/>
      <c r="J723" s="6"/>
      <c r="K723" s="6"/>
      <c r="L723" s="6"/>
      <c r="M723" s="6"/>
      <c r="N723" s="6"/>
      <c r="O723" s="6"/>
      <c r="P723" s="6"/>
      <c r="Q723" s="6"/>
      <c r="R723" s="6"/>
      <c r="S723" s="6"/>
      <c r="T723" s="6"/>
      <c r="U723" s="6"/>
      <c r="V723" s="339"/>
      <c r="W723" s="339"/>
      <c r="X723" s="6"/>
      <c r="Y723" s="206"/>
      <c r="AE723" s="6"/>
      <c r="AF723" s="6"/>
      <c r="AG723" s="6"/>
      <c r="AH723" s="206"/>
      <c r="AJ723" s="213"/>
      <c r="AK723" s="6"/>
      <c r="AL723" s="6"/>
      <c r="AM723" s="6"/>
      <c r="AN723" s="206"/>
      <c r="AP723" s="213"/>
      <c r="AQ723" s="6"/>
      <c r="AR723" s="6"/>
      <c r="AS723" s="6"/>
      <c r="AT723" s="206"/>
      <c r="AV723" s="213"/>
      <c r="AW723" s="6"/>
      <c r="AX723" s="6"/>
      <c r="AY723" s="6"/>
      <c r="AZ723" s="206"/>
    </row>
    <row r="724" spans="4:52" s="2" customFormat="1" ht="17.100000000000001" customHeight="1" x14ac:dyDescent="0.25">
      <c r="D724" s="3"/>
      <c r="E724" s="3"/>
      <c r="F724" s="4"/>
      <c r="G724" s="4"/>
      <c r="H724" s="138"/>
      <c r="I724" s="97"/>
      <c r="J724" s="6"/>
      <c r="K724" s="6"/>
      <c r="L724" s="6"/>
      <c r="M724" s="6"/>
      <c r="N724" s="6"/>
      <c r="O724" s="6"/>
      <c r="P724" s="6"/>
      <c r="Q724" s="6"/>
      <c r="R724" s="6"/>
      <c r="S724" s="6"/>
      <c r="T724" s="6"/>
      <c r="U724" s="6"/>
      <c r="V724" s="339"/>
      <c r="W724" s="339"/>
      <c r="X724" s="6"/>
      <c r="Y724" s="206"/>
      <c r="AE724" s="6"/>
      <c r="AF724" s="6"/>
      <c r="AG724" s="6"/>
      <c r="AH724" s="206"/>
      <c r="AJ724" s="213"/>
      <c r="AK724" s="6"/>
      <c r="AL724" s="6"/>
      <c r="AM724" s="6"/>
      <c r="AN724" s="206"/>
      <c r="AP724" s="213"/>
      <c r="AQ724" s="6"/>
      <c r="AR724" s="6"/>
      <c r="AS724" s="6"/>
      <c r="AT724" s="206"/>
      <c r="AV724" s="213"/>
      <c r="AW724" s="6"/>
      <c r="AX724" s="6"/>
      <c r="AY724" s="6"/>
      <c r="AZ724" s="206"/>
    </row>
    <row r="725" spans="4:52" s="2" customFormat="1" ht="17.100000000000001" customHeight="1" x14ac:dyDescent="0.25">
      <c r="D725" s="3"/>
      <c r="E725" s="3"/>
      <c r="F725" s="4"/>
      <c r="G725" s="4"/>
      <c r="H725" s="138"/>
      <c r="I725" s="97"/>
      <c r="J725" s="6"/>
      <c r="K725" s="6"/>
      <c r="L725" s="6"/>
      <c r="M725" s="6"/>
      <c r="N725" s="6"/>
      <c r="O725" s="6"/>
      <c r="P725" s="6"/>
      <c r="Q725" s="6"/>
      <c r="R725" s="6"/>
      <c r="S725" s="6"/>
      <c r="T725" s="6"/>
      <c r="U725" s="6"/>
      <c r="V725" s="339"/>
      <c r="W725" s="339"/>
      <c r="X725" s="6"/>
      <c r="Y725" s="206"/>
      <c r="AE725" s="6"/>
      <c r="AF725" s="6"/>
      <c r="AG725" s="6"/>
      <c r="AH725" s="206"/>
      <c r="AJ725" s="213"/>
      <c r="AK725" s="6"/>
      <c r="AL725" s="6"/>
      <c r="AM725" s="6"/>
      <c r="AN725" s="206"/>
      <c r="AP725" s="213"/>
      <c r="AQ725" s="6"/>
      <c r="AR725" s="6"/>
      <c r="AS725" s="6"/>
      <c r="AT725" s="206"/>
      <c r="AV725" s="213"/>
      <c r="AW725" s="6"/>
      <c r="AX725" s="6"/>
      <c r="AY725" s="6"/>
      <c r="AZ725" s="206"/>
    </row>
    <row r="726" spans="4:52" s="2" customFormat="1" ht="17.100000000000001" customHeight="1" x14ac:dyDescent="0.25">
      <c r="D726" s="3"/>
      <c r="E726" s="3"/>
      <c r="F726" s="4"/>
      <c r="G726" s="4"/>
      <c r="H726" s="138"/>
      <c r="I726" s="97"/>
      <c r="J726" s="6"/>
      <c r="K726" s="6"/>
      <c r="L726" s="6"/>
      <c r="M726" s="6"/>
      <c r="N726" s="6"/>
      <c r="O726" s="6"/>
      <c r="P726" s="6"/>
      <c r="Q726" s="6"/>
      <c r="R726" s="6"/>
      <c r="S726" s="6"/>
      <c r="T726" s="6"/>
      <c r="U726" s="6"/>
      <c r="V726" s="339"/>
      <c r="W726" s="339"/>
      <c r="X726" s="6"/>
      <c r="Y726" s="206"/>
      <c r="AE726" s="6"/>
      <c r="AF726" s="6"/>
      <c r="AG726" s="6"/>
      <c r="AH726" s="206"/>
      <c r="AJ726" s="213"/>
      <c r="AK726" s="6"/>
      <c r="AL726" s="6"/>
      <c r="AM726" s="6"/>
      <c r="AN726" s="206"/>
      <c r="AP726" s="213"/>
      <c r="AQ726" s="6"/>
      <c r="AR726" s="6"/>
      <c r="AS726" s="6"/>
      <c r="AT726" s="206"/>
      <c r="AV726" s="213"/>
      <c r="AW726" s="6"/>
      <c r="AX726" s="6"/>
      <c r="AY726" s="6"/>
      <c r="AZ726" s="206"/>
    </row>
    <row r="727" spans="4:52" s="2" customFormat="1" ht="17.100000000000001" customHeight="1" x14ac:dyDescent="0.25">
      <c r="D727" s="3"/>
      <c r="E727" s="3"/>
      <c r="F727" s="4"/>
      <c r="G727" s="4"/>
      <c r="H727" s="138"/>
      <c r="I727" s="97"/>
      <c r="J727" s="6"/>
      <c r="K727" s="6"/>
      <c r="L727" s="6"/>
      <c r="M727" s="6"/>
      <c r="N727" s="6"/>
      <c r="O727" s="6"/>
      <c r="P727" s="6"/>
      <c r="Q727" s="6"/>
      <c r="R727" s="6"/>
      <c r="S727" s="6"/>
      <c r="T727" s="6"/>
      <c r="U727" s="6"/>
      <c r="V727" s="339"/>
      <c r="W727" s="339"/>
      <c r="X727" s="6"/>
      <c r="Y727" s="206"/>
      <c r="AE727" s="6"/>
      <c r="AF727" s="6"/>
      <c r="AG727" s="6"/>
      <c r="AH727" s="206"/>
      <c r="AJ727" s="213"/>
      <c r="AK727" s="6"/>
      <c r="AL727" s="6"/>
      <c r="AM727" s="6"/>
      <c r="AN727" s="206"/>
      <c r="AP727" s="213"/>
      <c r="AQ727" s="6"/>
      <c r="AR727" s="6"/>
      <c r="AS727" s="6"/>
      <c r="AT727" s="206"/>
      <c r="AV727" s="213"/>
      <c r="AW727" s="6"/>
      <c r="AX727" s="6"/>
      <c r="AY727" s="6"/>
      <c r="AZ727" s="206"/>
    </row>
    <row r="728" spans="4:52" s="2" customFormat="1" ht="17.100000000000001" customHeight="1" x14ac:dyDescent="0.25">
      <c r="D728" s="3"/>
      <c r="E728" s="3"/>
      <c r="F728" s="4"/>
      <c r="G728" s="4"/>
      <c r="H728" s="138"/>
      <c r="I728" s="97"/>
      <c r="J728" s="6"/>
      <c r="K728" s="6"/>
      <c r="L728" s="6"/>
      <c r="M728" s="6"/>
      <c r="N728" s="6"/>
      <c r="O728" s="6"/>
      <c r="P728" s="6"/>
      <c r="Q728" s="6"/>
      <c r="R728" s="6"/>
      <c r="S728" s="6"/>
      <c r="T728" s="6"/>
      <c r="U728" s="6"/>
      <c r="V728" s="339"/>
      <c r="W728" s="339"/>
      <c r="X728" s="6"/>
      <c r="Y728" s="206"/>
      <c r="AE728" s="6"/>
      <c r="AF728" s="6"/>
      <c r="AG728" s="6"/>
      <c r="AH728" s="206"/>
      <c r="AJ728" s="213"/>
      <c r="AK728" s="6"/>
      <c r="AL728" s="6"/>
      <c r="AM728" s="6"/>
      <c r="AN728" s="206"/>
      <c r="AP728" s="213"/>
      <c r="AQ728" s="6"/>
      <c r="AR728" s="6"/>
      <c r="AS728" s="6"/>
      <c r="AT728" s="206"/>
      <c r="AV728" s="213"/>
      <c r="AW728" s="6"/>
      <c r="AX728" s="6"/>
      <c r="AY728" s="6"/>
      <c r="AZ728" s="206"/>
    </row>
    <row r="729" spans="4:52" s="2" customFormat="1" ht="17.100000000000001" customHeight="1" x14ac:dyDescent="0.25">
      <c r="D729" s="3"/>
      <c r="E729" s="3"/>
      <c r="F729" s="4"/>
      <c r="G729" s="4"/>
      <c r="H729" s="138"/>
      <c r="I729" s="97"/>
      <c r="J729" s="6"/>
      <c r="K729" s="6"/>
      <c r="L729" s="6"/>
      <c r="M729" s="6"/>
      <c r="N729" s="6"/>
      <c r="O729" s="6"/>
      <c r="P729" s="6"/>
      <c r="Q729" s="6"/>
      <c r="R729" s="6"/>
      <c r="S729" s="6"/>
      <c r="T729" s="6"/>
      <c r="U729" s="6"/>
      <c r="V729" s="339"/>
      <c r="W729" s="339"/>
      <c r="X729" s="6"/>
      <c r="Y729" s="206"/>
      <c r="AE729" s="6"/>
      <c r="AF729" s="6"/>
      <c r="AG729" s="6"/>
      <c r="AH729" s="206"/>
      <c r="AJ729" s="213"/>
      <c r="AK729" s="6"/>
      <c r="AL729" s="6"/>
      <c r="AM729" s="6"/>
      <c r="AN729" s="206"/>
      <c r="AP729" s="213"/>
      <c r="AQ729" s="6"/>
      <c r="AR729" s="6"/>
      <c r="AS729" s="6"/>
      <c r="AT729" s="206"/>
      <c r="AV729" s="213"/>
      <c r="AW729" s="6"/>
      <c r="AX729" s="6"/>
      <c r="AY729" s="6"/>
      <c r="AZ729" s="206"/>
    </row>
    <row r="730" spans="4:52" s="2" customFormat="1" ht="17.100000000000001" customHeight="1" x14ac:dyDescent="0.25">
      <c r="D730" s="3"/>
      <c r="E730" s="3"/>
      <c r="F730" s="4"/>
      <c r="G730" s="4"/>
      <c r="H730" s="138"/>
      <c r="I730" s="97"/>
      <c r="J730" s="6"/>
      <c r="K730" s="6"/>
      <c r="L730" s="6"/>
      <c r="M730" s="6"/>
      <c r="N730" s="6"/>
      <c r="O730" s="6"/>
      <c r="P730" s="6"/>
      <c r="Q730" s="6"/>
      <c r="R730" s="6"/>
      <c r="S730" s="6"/>
      <c r="T730" s="6"/>
      <c r="U730" s="6"/>
      <c r="V730" s="339"/>
      <c r="W730" s="339"/>
      <c r="X730" s="6"/>
      <c r="Y730" s="206"/>
      <c r="AE730" s="6"/>
      <c r="AF730" s="6"/>
      <c r="AG730" s="6"/>
      <c r="AH730" s="206"/>
      <c r="AJ730" s="213"/>
      <c r="AK730" s="6"/>
      <c r="AL730" s="6"/>
      <c r="AM730" s="6"/>
      <c r="AN730" s="206"/>
      <c r="AP730" s="213"/>
      <c r="AQ730" s="6"/>
      <c r="AR730" s="6"/>
      <c r="AS730" s="6"/>
      <c r="AT730" s="206"/>
      <c r="AV730" s="213"/>
      <c r="AW730" s="6"/>
      <c r="AX730" s="6"/>
      <c r="AY730" s="6"/>
      <c r="AZ730" s="206"/>
    </row>
    <row r="731" spans="4:52" s="2" customFormat="1" ht="17.100000000000001" customHeight="1" x14ac:dyDescent="0.25">
      <c r="D731" s="3"/>
      <c r="E731" s="3"/>
      <c r="F731" s="4"/>
      <c r="G731" s="4"/>
      <c r="H731" s="138"/>
      <c r="I731" s="97"/>
      <c r="J731" s="6"/>
      <c r="K731" s="6"/>
      <c r="L731" s="6"/>
      <c r="M731" s="6"/>
      <c r="N731" s="6"/>
      <c r="O731" s="6"/>
      <c r="P731" s="6"/>
      <c r="Q731" s="6"/>
      <c r="R731" s="6"/>
      <c r="S731" s="6"/>
      <c r="T731" s="6"/>
      <c r="U731" s="6"/>
      <c r="V731" s="339"/>
      <c r="W731" s="339"/>
      <c r="X731" s="6"/>
      <c r="Y731" s="206"/>
      <c r="AE731" s="6"/>
      <c r="AF731" s="6"/>
      <c r="AG731" s="6"/>
      <c r="AH731" s="206"/>
      <c r="AJ731" s="213"/>
      <c r="AK731" s="6"/>
      <c r="AL731" s="6"/>
      <c r="AM731" s="6"/>
      <c r="AN731" s="206"/>
      <c r="AP731" s="213"/>
      <c r="AQ731" s="6"/>
      <c r="AR731" s="6"/>
      <c r="AS731" s="6"/>
      <c r="AT731" s="206"/>
      <c r="AV731" s="213"/>
      <c r="AW731" s="6"/>
      <c r="AX731" s="6"/>
      <c r="AY731" s="6"/>
      <c r="AZ731" s="206"/>
    </row>
    <row r="732" spans="4:52" s="2" customFormat="1" ht="17.100000000000001" customHeight="1" x14ac:dyDescent="0.25">
      <c r="D732" s="3"/>
      <c r="E732" s="3"/>
      <c r="F732" s="4"/>
      <c r="G732" s="4"/>
      <c r="H732" s="138"/>
      <c r="I732" s="97"/>
      <c r="J732" s="6"/>
      <c r="K732" s="6"/>
      <c r="L732" s="6"/>
      <c r="M732" s="6"/>
      <c r="N732" s="6"/>
      <c r="O732" s="6"/>
      <c r="P732" s="6"/>
      <c r="Q732" s="6"/>
      <c r="R732" s="6"/>
      <c r="S732" s="6"/>
      <c r="T732" s="6"/>
      <c r="U732" s="6"/>
      <c r="V732" s="339"/>
      <c r="W732" s="339"/>
      <c r="X732" s="6"/>
      <c r="Y732" s="206"/>
      <c r="AE732" s="6"/>
      <c r="AF732" s="6"/>
      <c r="AG732" s="6"/>
      <c r="AH732" s="206"/>
      <c r="AJ732" s="213"/>
      <c r="AK732" s="6"/>
      <c r="AL732" s="6"/>
      <c r="AM732" s="6"/>
      <c r="AN732" s="206"/>
      <c r="AP732" s="213"/>
      <c r="AQ732" s="6"/>
      <c r="AR732" s="6"/>
      <c r="AS732" s="6"/>
      <c r="AT732" s="206"/>
      <c r="AV732" s="213"/>
      <c r="AW732" s="6"/>
      <c r="AX732" s="6"/>
      <c r="AY732" s="6"/>
      <c r="AZ732" s="206"/>
    </row>
    <row r="733" spans="4:52" s="2" customFormat="1" ht="17.100000000000001" customHeight="1" x14ac:dyDescent="0.25">
      <c r="D733" s="3"/>
      <c r="E733" s="3"/>
      <c r="F733" s="4"/>
      <c r="G733" s="4"/>
      <c r="H733" s="138"/>
      <c r="I733" s="97"/>
      <c r="J733" s="6"/>
      <c r="K733" s="6"/>
      <c r="L733" s="6"/>
      <c r="M733" s="6"/>
      <c r="N733" s="6"/>
      <c r="O733" s="6"/>
      <c r="P733" s="6"/>
      <c r="Q733" s="6"/>
      <c r="R733" s="6"/>
      <c r="S733" s="6"/>
      <c r="T733" s="6"/>
      <c r="U733" s="6"/>
      <c r="V733" s="339"/>
      <c r="W733" s="339"/>
      <c r="X733" s="6"/>
      <c r="Y733" s="206"/>
      <c r="AE733" s="6"/>
      <c r="AF733" s="6"/>
      <c r="AG733" s="6"/>
      <c r="AH733" s="206"/>
      <c r="AJ733" s="213"/>
      <c r="AK733" s="6"/>
      <c r="AL733" s="6"/>
      <c r="AM733" s="6"/>
      <c r="AN733" s="206"/>
      <c r="AP733" s="213"/>
      <c r="AQ733" s="6"/>
      <c r="AR733" s="6"/>
      <c r="AS733" s="6"/>
      <c r="AT733" s="206"/>
      <c r="AV733" s="213"/>
      <c r="AW733" s="6"/>
      <c r="AX733" s="6"/>
      <c r="AY733" s="6"/>
      <c r="AZ733" s="206"/>
    </row>
    <row r="734" spans="4:52" s="2" customFormat="1" ht="17.100000000000001" customHeight="1" x14ac:dyDescent="0.25">
      <c r="D734" s="3"/>
      <c r="E734" s="3"/>
      <c r="F734" s="4"/>
      <c r="G734" s="4"/>
      <c r="H734" s="138"/>
      <c r="I734" s="97"/>
      <c r="J734" s="6"/>
      <c r="K734" s="6"/>
      <c r="L734" s="6"/>
      <c r="M734" s="6"/>
      <c r="N734" s="6"/>
      <c r="O734" s="6"/>
      <c r="P734" s="6"/>
      <c r="Q734" s="6"/>
      <c r="R734" s="6"/>
      <c r="S734" s="6"/>
      <c r="T734" s="6"/>
      <c r="U734" s="6"/>
      <c r="V734" s="339"/>
      <c r="W734" s="339"/>
      <c r="X734" s="6"/>
      <c r="Y734" s="206"/>
      <c r="AE734" s="6"/>
      <c r="AF734" s="6"/>
      <c r="AG734" s="6"/>
      <c r="AH734" s="206"/>
      <c r="AJ734" s="213"/>
      <c r="AK734" s="6"/>
      <c r="AL734" s="6"/>
      <c r="AM734" s="6"/>
      <c r="AN734" s="206"/>
      <c r="AP734" s="213"/>
      <c r="AQ734" s="6"/>
      <c r="AR734" s="6"/>
      <c r="AS734" s="6"/>
      <c r="AT734" s="206"/>
      <c r="AV734" s="213"/>
      <c r="AW734" s="6"/>
      <c r="AX734" s="6"/>
      <c r="AY734" s="6"/>
      <c r="AZ734" s="206"/>
    </row>
    <row r="735" spans="4:52" s="2" customFormat="1" ht="17.100000000000001" customHeight="1" x14ac:dyDescent="0.25">
      <c r="D735" s="3"/>
      <c r="E735" s="3"/>
      <c r="F735" s="4"/>
      <c r="G735" s="4"/>
      <c r="H735" s="138"/>
      <c r="I735" s="97"/>
      <c r="J735" s="6"/>
      <c r="K735" s="6"/>
      <c r="L735" s="6"/>
      <c r="M735" s="6"/>
      <c r="N735" s="6"/>
      <c r="O735" s="6"/>
      <c r="P735" s="6"/>
      <c r="Q735" s="6"/>
      <c r="R735" s="6"/>
      <c r="S735" s="6"/>
      <c r="T735" s="6"/>
      <c r="U735" s="6"/>
      <c r="V735" s="339"/>
      <c r="W735" s="339"/>
      <c r="X735" s="6"/>
      <c r="Y735" s="206"/>
      <c r="AE735" s="6"/>
      <c r="AF735" s="6"/>
      <c r="AG735" s="6"/>
      <c r="AH735" s="206"/>
      <c r="AJ735" s="213"/>
      <c r="AK735" s="6"/>
      <c r="AL735" s="6"/>
      <c r="AM735" s="6"/>
      <c r="AN735" s="206"/>
      <c r="AP735" s="213"/>
      <c r="AQ735" s="6"/>
      <c r="AR735" s="6"/>
      <c r="AS735" s="6"/>
      <c r="AT735" s="206"/>
      <c r="AV735" s="213"/>
      <c r="AW735" s="6"/>
      <c r="AX735" s="6"/>
      <c r="AY735" s="6"/>
      <c r="AZ735" s="206"/>
    </row>
    <row r="736" spans="4:52" s="2" customFormat="1" ht="17.100000000000001" customHeight="1" x14ac:dyDescent="0.25">
      <c r="D736" s="3"/>
      <c r="E736" s="3"/>
      <c r="F736" s="4"/>
      <c r="G736" s="4"/>
      <c r="H736" s="138"/>
      <c r="I736" s="97"/>
      <c r="J736" s="6"/>
      <c r="K736" s="6"/>
      <c r="L736" s="6"/>
      <c r="M736" s="6"/>
      <c r="N736" s="6"/>
      <c r="O736" s="6"/>
      <c r="P736" s="6"/>
      <c r="Q736" s="6"/>
      <c r="R736" s="6"/>
      <c r="S736" s="6"/>
      <c r="T736" s="6"/>
      <c r="U736" s="6"/>
      <c r="V736" s="339"/>
      <c r="W736" s="339"/>
      <c r="X736" s="6"/>
      <c r="Y736" s="206"/>
      <c r="AE736" s="6"/>
      <c r="AF736" s="6"/>
      <c r="AG736" s="6"/>
      <c r="AH736" s="206"/>
      <c r="AJ736" s="213"/>
      <c r="AK736" s="6"/>
      <c r="AL736" s="6"/>
      <c r="AM736" s="6"/>
      <c r="AN736" s="206"/>
      <c r="AP736" s="213"/>
      <c r="AQ736" s="6"/>
      <c r="AR736" s="6"/>
      <c r="AS736" s="6"/>
      <c r="AT736" s="206"/>
      <c r="AV736" s="213"/>
      <c r="AW736" s="6"/>
      <c r="AX736" s="6"/>
      <c r="AY736" s="6"/>
      <c r="AZ736" s="206"/>
    </row>
    <row r="737" spans="4:52" s="2" customFormat="1" ht="17.100000000000001" customHeight="1" x14ac:dyDescent="0.25">
      <c r="D737" s="3"/>
      <c r="E737" s="3"/>
      <c r="F737" s="4"/>
      <c r="G737" s="4"/>
      <c r="H737" s="138"/>
      <c r="I737" s="97"/>
      <c r="J737" s="6"/>
      <c r="K737" s="6"/>
      <c r="L737" s="6"/>
      <c r="M737" s="6"/>
      <c r="N737" s="6"/>
      <c r="O737" s="6"/>
      <c r="P737" s="6"/>
      <c r="Q737" s="6"/>
      <c r="R737" s="6"/>
      <c r="S737" s="6"/>
      <c r="T737" s="6"/>
      <c r="U737" s="6"/>
      <c r="V737" s="339"/>
      <c r="W737" s="339"/>
      <c r="X737" s="6"/>
      <c r="Y737" s="206"/>
      <c r="AE737" s="6"/>
      <c r="AF737" s="6"/>
      <c r="AG737" s="6"/>
      <c r="AH737" s="206"/>
      <c r="AJ737" s="213"/>
      <c r="AK737" s="6"/>
      <c r="AL737" s="6"/>
      <c r="AM737" s="6"/>
      <c r="AN737" s="206"/>
      <c r="AP737" s="213"/>
      <c r="AQ737" s="6"/>
      <c r="AR737" s="6"/>
      <c r="AS737" s="6"/>
      <c r="AT737" s="206"/>
      <c r="AV737" s="213"/>
      <c r="AW737" s="6"/>
      <c r="AX737" s="6"/>
      <c r="AY737" s="6"/>
      <c r="AZ737" s="206"/>
    </row>
    <row r="738" spans="4:52" s="2" customFormat="1" ht="17.100000000000001" customHeight="1" x14ac:dyDescent="0.25">
      <c r="D738" s="3"/>
      <c r="E738" s="3"/>
      <c r="F738" s="4"/>
      <c r="G738" s="4"/>
      <c r="H738" s="138"/>
      <c r="I738" s="97"/>
      <c r="J738" s="6"/>
      <c r="K738" s="6"/>
      <c r="L738" s="6"/>
      <c r="M738" s="6"/>
      <c r="N738" s="6"/>
      <c r="O738" s="6"/>
      <c r="P738" s="6"/>
      <c r="Q738" s="6"/>
      <c r="R738" s="6"/>
      <c r="S738" s="6"/>
      <c r="T738" s="6"/>
      <c r="U738" s="6"/>
      <c r="V738" s="339"/>
      <c r="W738" s="339"/>
      <c r="X738" s="6"/>
      <c r="Y738" s="206"/>
      <c r="AE738" s="6"/>
      <c r="AF738" s="6"/>
      <c r="AG738" s="6"/>
      <c r="AH738" s="206"/>
      <c r="AJ738" s="213"/>
      <c r="AK738" s="6"/>
      <c r="AL738" s="6"/>
      <c r="AM738" s="6"/>
      <c r="AN738" s="206"/>
      <c r="AP738" s="213"/>
      <c r="AQ738" s="6"/>
      <c r="AR738" s="6"/>
      <c r="AS738" s="6"/>
      <c r="AT738" s="206"/>
      <c r="AV738" s="213"/>
      <c r="AW738" s="6"/>
      <c r="AX738" s="6"/>
      <c r="AY738" s="6"/>
      <c r="AZ738" s="206"/>
    </row>
    <row r="739" spans="4:52" s="2" customFormat="1" ht="17.100000000000001" customHeight="1" x14ac:dyDescent="0.25">
      <c r="D739" s="3"/>
      <c r="E739" s="3"/>
      <c r="F739" s="4"/>
      <c r="G739" s="4"/>
      <c r="H739" s="138"/>
      <c r="I739" s="97"/>
      <c r="J739" s="6"/>
      <c r="K739" s="6"/>
      <c r="L739" s="6"/>
      <c r="M739" s="6"/>
      <c r="N739" s="6"/>
      <c r="O739" s="6"/>
      <c r="P739" s="6"/>
      <c r="Q739" s="6"/>
      <c r="R739" s="6"/>
      <c r="S739" s="6"/>
      <c r="T739" s="6"/>
      <c r="U739" s="6"/>
      <c r="V739" s="339"/>
      <c r="W739" s="339"/>
      <c r="X739" s="6"/>
      <c r="Y739" s="206"/>
      <c r="AE739" s="6"/>
      <c r="AF739" s="6"/>
      <c r="AG739" s="6"/>
      <c r="AH739" s="206"/>
      <c r="AJ739" s="213"/>
      <c r="AK739" s="6"/>
      <c r="AL739" s="6"/>
      <c r="AM739" s="6"/>
      <c r="AN739" s="206"/>
      <c r="AP739" s="213"/>
      <c r="AQ739" s="6"/>
      <c r="AR739" s="6"/>
      <c r="AS739" s="6"/>
      <c r="AT739" s="206"/>
      <c r="AV739" s="213"/>
      <c r="AW739" s="6"/>
      <c r="AX739" s="6"/>
      <c r="AY739" s="6"/>
      <c r="AZ739" s="206"/>
    </row>
    <row r="740" spans="4:52" s="2" customFormat="1" ht="17.100000000000001" customHeight="1" x14ac:dyDescent="0.25">
      <c r="D740" s="3"/>
      <c r="E740" s="3"/>
      <c r="F740" s="4"/>
      <c r="G740" s="4"/>
      <c r="H740" s="138"/>
      <c r="I740" s="97"/>
      <c r="J740" s="6"/>
      <c r="K740" s="6"/>
      <c r="L740" s="6"/>
      <c r="M740" s="6"/>
      <c r="N740" s="6"/>
      <c r="O740" s="6"/>
      <c r="P740" s="6"/>
      <c r="Q740" s="6"/>
      <c r="R740" s="6"/>
      <c r="S740" s="6"/>
      <c r="T740" s="6"/>
      <c r="U740" s="6"/>
      <c r="V740" s="339"/>
      <c r="W740" s="339"/>
      <c r="X740" s="6"/>
      <c r="Y740" s="206"/>
      <c r="AE740" s="6"/>
      <c r="AF740" s="6"/>
      <c r="AG740" s="6"/>
      <c r="AH740" s="206"/>
      <c r="AJ740" s="213"/>
      <c r="AK740" s="6"/>
      <c r="AL740" s="6"/>
      <c r="AM740" s="6"/>
      <c r="AN740" s="206"/>
      <c r="AP740" s="213"/>
      <c r="AQ740" s="6"/>
      <c r="AR740" s="6"/>
      <c r="AS740" s="6"/>
      <c r="AT740" s="206"/>
      <c r="AV740" s="213"/>
      <c r="AW740" s="6"/>
      <c r="AX740" s="6"/>
      <c r="AY740" s="6"/>
      <c r="AZ740" s="206"/>
    </row>
    <row r="741" spans="4:52" s="2" customFormat="1" ht="17.100000000000001" customHeight="1" x14ac:dyDescent="0.25">
      <c r="D741" s="3"/>
      <c r="E741" s="3"/>
      <c r="F741" s="4"/>
      <c r="G741" s="4"/>
      <c r="H741" s="138"/>
      <c r="I741" s="97"/>
      <c r="J741" s="6"/>
      <c r="K741" s="6"/>
      <c r="L741" s="6"/>
      <c r="M741" s="6"/>
      <c r="N741" s="6"/>
      <c r="O741" s="6"/>
      <c r="P741" s="6"/>
      <c r="Q741" s="6"/>
      <c r="R741" s="6"/>
      <c r="S741" s="6"/>
      <c r="T741" s="6"/>
      <c r="U741" s="6"/>
      <c r="V741" s="339"/>
      <c r="W741" s="339"/>
      <c r="X741" s="6"/>
      <c r="Y741" s="206"/>
      <c r="AE741" s="6"/>
      <c r="AF741" s="6"/>
      <c r="AG741" s="6"/>
      <c r="AH741" s="206"/>
      <c r="AJ741" s="213"/>
      <c r="AK741" s="6"/>
      <c r="AL741" s="6"/>
      <c r="AM741" s="6"/>
      <c r="AN741" s="206"/>
      <c r="AP741" s="213"/>
      <c r="AQ741" s="6"/>
      <c r="AR741" s="6"/>
      <c r="AS741" s="6"/>
      <c r="AT741" s="206"/>
      <c r="AV741" s="213"/>
      <c r="AW741" s="6"/>
      <c r="AX741" s="6"/>
      <c r="AY741" s="6"/>
      <c r="AZ741" s="206"/>
    </row>
    <row r="742" spans="4:52" s="2" customFormat="1" ht="17.100000000000001" customHeight="1" x14ac:dyDescent="0.25">
      <c r="D742" s="3"/>
      <c r="E742" s="3"/>
      <c r="F742" s="4"/>
      <c r="G742" s="4"/>
      <c r="H742" s="138"/>
      <c r="I742" s="97"/>
      <c r="J742" s="6"/>
      <c r="K742" s="6"/>
      <c r="L742" s="6"/>
      <c r="M742" s="6"/>
      <c r="N742" s="6"/>
      <c r="O742" s="6"/>
      <c r="P742" s="6"/>
      <c r="Q742" s="6"/>
      <c r="R742" s="6"/>
      <c r="S742" s="6"/>
      <c r="T742" s="6"/>
      <c r="U742" s="6"/>
      <c r="V742" s="339"/>
      <c r="W742" s="339"/>
      <c r="X742" s="6"/>
      <c r="Y742" s="206"/>
      <c r="AE742" s="6"/>
      <c r="AF742" s="6"/>
      <c r="AG742" s="6"/>
      <c r="AH742" s="206"/>
      <c r="AJ742" s="213"/>
      <c r="AK742" s="6"/>
      <c r="AL742" s="6"/>
      <c r="AM742" s="6"/>
      <c r="AN742" s="206"/>
      <c r="AP742" s="213"/>
      <c r="AQ742" s="6"/>
      <c r="AR742" s="6"/>
      <c r="AS742" s="6"/>
      <c r="AT742" s="206"/>
      <c r="AV742" s="213"/>
      <c r="AW742" s="6"/>
      <c r="AX742" s="6"/>
      <c r="AY742" s="6"/>
      <c r="AZ742" s="206"/>
    </row>
    <row r="743" spans="4:52" s="2" customFormat="1" ht="17.100000000000001" customHeight="1" x14ac:dyDescent="0.25">
      <c r="D743" s="3"/>
      <c r="E743" s="3"/>
      <c r="F743" s="4"/>
      <c r="G743" s="4"/>
      <c r="H743" s="138"/>
      <c r="I743" s="97"/>
      <c r="J743" s="6"/>
      <c r="K743" s="6"/>
      <c r="L743" s="6"/>
      <c r="M743" s="6"/>
      <c r="N743" s="6"/>
      <c r="O743" s="6"/>
      <c r="P743" s="6"/>
      <c r="Q743" s="6"/>
      <c r="R743" s="6"/>
      <c r="S743" s="6"/>
      <c r="T743" s="6"/>
      <c r="U743" s="6"/>
      <c r="V743" s="339"/>
      <c r="W743" s="339"/>
      <c r="X743" s="6"/>
      <c r="Y743" s="206"/>
      <c r="AE743" s="6"/>
      <c r="AF743" s="6"/>
      <c r="AG743" s="6"/>
      <c r="AH743" s="206"/>
      <c r="AJ743" s="213"/>
      <c r="AK743" s="6"/>
      <c r="AL743" s="6"/>
      <c r="AM743" s="6"/>
      <c r="AN743" s="206"/>
      <c r="AP743" s="213"/>
      <c r="AQ743" s="6"/>
      <c r="AR743" s="6"/>
      <c r="AS743" s="6"/>
      <c r="AT743" s="206"/>
      <c r="AV743" s="213"/>
      <c r="AW743" s="6"/>
      <c r="AX743" s="6"/>
      <c r="AY743" s="6"/>
      <c r="AZ743" s="206"/>
    </row>
    <row r="744" spans="4:52" s="2" customFormat="1" ht="17.100000000000001" customHeight="1" x14ac:dyDescent="0.25">
      <c r="D744" s="3"/>
      <c r="E744" s="3"/>
      <c r="F744" s="4"/>
      <c r="G744" s="4"/>
      <c r="H744" s="138"/>
      <c r="I744" s="97"/>
      <c r="J744" s="6"/>
      <c r="K744" s="6"/>
      <c r="L744" s="6"/>
      <c r="M744" s="6"/>
      <c r="N744" s="6"/>
      <c r="O744" s="6"/>
      <c r="P744" s="6"/>
      <c r="Q744" s="6"/>
      <c r="R744" s="6"/>
      <c r="S744" s="6"/>
      <c r="T744" s="6"/>
      <c r="U744" s="6"/>
      <c r="V744" s="339"/>
      <c r="W744" s="339"/>
      <c r="X744" s="6"/>
      <c r="Y744" s="206"/>
      <c r="AE744" s="6"/>
      <c r="AF744" s="6"/>
      <c r="AG744" s="6"/>
      <c r="AH744" s="206"/>
      <c r="AJ744" s="213"/>
      <c r="AK744" s="6"/>
      <c r="AL744" s="6"/>
      <c r="AM744" s="6"/>
      <c r="AN744" s="206"/>
      <c r="AP744" s="213"/>
      <c r="AQ744" s="6"/>
      <c r="AR744" s="6"/>
      <c r="AS744" s="6"/>
      <c r="AT744" s="206"/>
      <c r="AV744" s="213"/>
      <c r="AW744" s="6"/>
      <c r="AX744" s="6"/>
      <c r="AY744" s="6"/>
      <c r="AZ744" s="206"/>
    </row>
    <row r="745" spans="4:52" s="2" customFormat="1" ht="17.100000000000001" customHeight="1" x14ac:dyDescent="0.25">
      <c r="D745" s="3"/>
      <c r="E745" s="3"/>
      <c r="F745" s="4"/>
      <c r="G745" s="4"/>
      <c r="H745" s="138"/>
      <c r="I745" s="97"/>
      <c r="J745" s="6"/>
      <c r="K745" s="6"/>
      <c r="L745" s="6"/>
      <c r="M745" s="6"/>
      <c r="N745" s="6"/>
      <c r="O745" s="6"/>
      <c r="P745" s="6"/>
      <c r="Q745" s="6"/>
      <c r="R745" s="6"/>
      <c r="S745" s="6"/>
      <c r="T745" s="6"/>
      <c r="U745" s="6"/>
      <c r="V745" s="339"/>
      <c r="W745" s="339"/>
      <c r="X745" s="6"/>
      <c r="Y745" s="206"/>
      <c r="AE745" s="6"/>
      <c r="AF745" s="6"/>
      <c r="AG745" s="6"/>
      <c r="AH745" s="206"/>
      <c r="AJ745" s="213"/>
      <c r="AK745" s="6"/>
      <c r="AL745" s="6"/>
      <c r="AM745" s="6"/>
      <c r="AN745" s="206"/>
      <c r="AP745" s="213"/>
      <c r="AQ745" s="6"/>
      <c r="AR745" s="6"/>
      <c r="AS745" s="6"/>
      <c r="AT745" s="206"/>
      <c r="AV745" s="213"/>
      <c r="AW745" s="6"/>
      <c r="AX745" s="6"/>
      <c r="AY745" s="6"/>
      <c r="AZ745" s="206"/>
    </row>
    <row r="746" spans="4:52" s="2" customFormat="1" ht="17.100000000000001" customHeight="1" x14ac:dyDescent="0.25">
      <c r="D746" s="3"/>
      <c r="E746" s="3"/>
      <c r="F746" s="4"/>
      <c r="G746" s="4"/>
      <c r="H746" s="138"/>
      <c r="I746" s="97"/>
      <c r="J746" s="6"/>
      <c r="K746" s="6"/>
      <c r="L746" s="6"/>
      <c r="M746" s="6"/>
      <c r="N746" s="6"/>
      <c r="O746" s="6"/>
      <c r="P746" s="6"/>
      <c r="Q746" s="6"/>
      <c r="R746" s="6"/>
      <c r="S746" s="6"/>
      <c r="T746" s="6"/>
      <c r="U746" s="6"/>
      <c r="V746" s="339"/>
      <c r="W746" s="339"/>
      <c r="X746" s="6"/>
      <c r="Y746" s="206"/>
      <c r="AE746" s="6"/>
      <c r="AF746" s="6"/>
      <c r="AG746" s="6"/>
      <c r="AH746" s="206"/>
      <c r="AJ746" s="213"/>
      <c r="AK746" s="6"/>
      <c r="AL746" s="6"/>
      <c r="AM746" s="6"/>
      <c r="AN746" s="206"/>
      <c r="AP746" s="213"/>
      <c r="AQ746" s="6"/>
      <c r="AR746" s="6"/>
      <c r="AS746" s="6"/>
      <c r="AT746" s="206"/>
      <c r="AV746" s="213"/>
      <c r="AW746" s="6"/>
      <c r="AX746" s="6"/>
      <c r="AY746" s="6"/>
      <c r="AZ746" s="206"/>
    </row>
    <row r="747" spans="4:52" s="2" customFormat="1" ht="17.100000000000001" customHeight="1" x14ac:dyDescent="0.25">
      <c r="D747" s="3"/>
      <c r="E747" s="3"/>
      <c r="F747" s="4"/>
      <c r="G747" s="4"/>
      <c r="H747" s="138"/>
      <c r="I747" s="97"/>
      <c r="J747" s="6"/>
      <c r="K747" s="6"/>
      <c r="L747" s="6"/>
      <c r="M747" s="6"/>
      <c r="N747" s="6"/>
      <c r="O747" s="6"/>
      <c r="P747" s="6"/>
      <c r="Q747" s="6"/>
      <c r="R747" s="6"/>
      <c r="S747" s="6"/>
      <c r="T747" s="6"/>
      <c r="U747" s="6"/>
      <c r="V747" s="339"/>
      <c r="W747" s="339"/>
      <c r="X747" s="6"/>
      <c r="Y747" s="206"/>
      <c r="AE747" s="6"/>
      <c r="AF747" s="6"/>
      <c r="AG747" s="6"/>
      <c r="AH747" s="206"/>
      <c r="AJ747" s="213"/>
      <c r="AK747" s="6"/>
      <c r="AL747" s="6"/>
      <c r="AM747" s="6"/>
      <c r="AN747" s="206"/>
      <c r="AP747" s="213"/>
      <c r="AQ747" s="6"/>
      <c r="AR747" s="6"/>
      <c r="AS747" s="6"/>
      <c r="AT747" s="206"/>
      <c r="AV747" s="213"/>
      <c r="AW747" s="6"/>
      <c r="AX747" s="6"/>
      <c r="AY747" s="6"/>
      <c r="AZ747" s="206"/>
    </row>
    <row r="748" spans="4:52" s="2" customFormat="1" ht="17.100000000000001" customHeight="1" x14ac:dyDescent="0.25">
      <c r="D748" s="3"/>
      <c r="E748" s="3"/>
      <c r="F748" s="4"/>
      <c r="G748" s="4"/>
      <c r="H748" s="138"/>
      <c r="I748" s="97"/>
      <c r="J748" s="6"/>
      <c r="K748" s="6"/>
      <c r="L748" s="6"/>
      <c r="M748" s="6"/>
      <c r="N748" s="6"/>
      <c r="O748" s="6"/>
      <c r="P748" s="6"/>
      <c r="Q748" s="6"/>
      <c r="R748" s="6"/>
      <c r="S748" s="6"/>
      <c r="T748" s="6"/>
      <c r="U748" s="6"/>
      <c r="V748" s="339"/>
      <c r="W748" s="339"/>
      <c r="X748" s="6"/>
      <c r="Y748" s="206"/>
      <c r="AE748" s="6"/>
      <c r="AF748" s="6"/>
      <c r="AG748" s="6"/>
      <c r="AH748" s="206"/>
      <c r="AJ748" s="213"/>
      <c r="AK748" s="6"/>
      <c r="AL748" s="6"/>
      <c r="AM748" s="6"/>
      <c r="AN748" s="206"/>
      <c r="AP748" s="213"/>
      <c r="AQ748" s="6"/>
      <c r="AR748" s="6"/>
      <c r="AS748" s="6"/>
      <c r="AT748" s="206"/>
      <c r="AV748" s="213"/>
      <c r="AW748" s="6"/>
      <c r="AX748" s="6"/>
      <c r="AY748" s="6"/>
      <c r="AZ748" s="206"/>
    </row>
    <row r="749" spans="4:52" s="2" customFormat="1" ht="17.100000000000001" customHeight="1" x14ac:dyDescent="0.25">
      <c r="D749" s="3"/>
      <c r="E749" s="3"/>
      <c r="F749" s="4"/>
      <c r="G749" s="4"/>
      <c r="H749" s="138"/>
      <c r="I749" s="97"/>
      <c r="J749" s="6"/>
      <c r="K749" s="6"/>
      <c r="L749" s="6"/>
      <c r="M749" s="6"/>
      <c r="N749" s="6"/>
      <c r="O749" s="6"/>
      <c r="P749" s="6"/>
      <c r="Q749" s="6"/>
      <c r="R749" s="6"/>
      <c r="S749" s="6"/>
      <c r="T749" s="6"/>
      <c r="U749" s="6"/>
      <c r="V749" s="339"/>
      <c r="W749" s="339"/>
      <c r="X749" s="6"/>
      <c r="Y749" s="206"/>
      <c r="AE749" s="6"/>
      <c r="AF749" s="6"/>
      <c r="AG749" s="6"/>
      <c r="AH749" s="206"/>
      <c r="AJ749" s="213"/>
      <c r="AK749" s="6"/>
      <c r="AL749" s="6"/>
      <c r="AM749" s="6"/>
      <c r="AN749" s="206"/>
      <c r="AP749" s="213"/>
      <c r="AQ749" s="6"/>
      <c r="AR749" s="6"/>
      <c r="AS749" s="6"/>
      <c r="AT749" s="206"/>
      <c r="AV749" s="213"/>
      <c r="AW749" s="6"/>
      <c r="AX749" s="6"/>
      <c r="AY749" s="6"/>
      <c r="AZ749" s="206"/>
    </row>
    <row r="750" spans="4:52" s="2" customFormat="1" ht="17.100000000000001" customHeight="1" x14ac:dyDescent="0.25">
      <c r="D750" s="3"/>
      <c r="E750" s="3"/>
      <c r="F750" s="4"/>
      <c r="G750" s="4"/>
      <c r="H750" s="138"/>
      <c r="I750" s="97"/>
      <c r="J750" s="6"/>
      <c r="K750" s="6"/>
      <c r="L750" s="6"/>
      <c r="M750" s="6"/>
      <c r="N750" s="6"/>
      <c r="O750" s="6"/>
      <c r="P750" s="6"/>
      <c r="Q750" s="6"/>
      <c r="R750" s="6"/>
      <c r="S750" s="6"/>
      <c r="T750" s="6"/>
      <c r="U750" s="6"/>
      <c r="V750" s="339"/>
      <c r="W750" s="339"/>
      <c r="X750" s="6"/>
      <c r="Y750" s="206"/>
      <c r="AE750" s="6"/>
      <c r="AF750" s="6"/>
      <c r="AG750" s="6"/>
      <c r="AH750" s="206"/>
      <c r="AJ750" s="213"/>
      <c r="AK750" s="6"/>
      <c r="AL750" s="6"/>
      <c r="AM750" s="6"/>
      <c r="AN750" s="206"/>
      <c r="AP750" s="213"/>
      <c r="AQ750" s="6"/>
      <c r="AR750" s="6"/>
      <c r="AS750" s="6"/>
      <c r="AT750" s="206"/>
      <c r="AV750" s="213"/>
      <c r="AW750" s="6"/>
      <c r="AX750" s="6"/>
      <c r="AY750" s="6"/>
      <c r="AZ750" s="206"/>
    </row>
    <row r="751" spans="4:52" s="2" customFormat="1" ht="17.100000000000001" customHeight="1" x14ac:dyDescent="0.25">
      <c r="D751" s="3"/>
      <c r="E751" s="3"/>
      <c r="F751" s="4"/>
      <c r="G751" s="4"/>
      <c r="H751" s="138"/>
      <c r="I751" s="97"/>
      <c r="J751" s="6"/>
      <c r="K751" s="6"/>
      <c r="L751" s="6"/>
      <c r="M751" s="6"/>
      <c r="N751" s="6"/>
      <c r="O751" s="6"/>
      <c r="P751" s="6"/>
      <c r="Q751" s="6"/>
      <c r="R751" s="6"/>
      <c r="S751" s="6"/>
      <c r="T751" s="6"/>
      <c r="U751" s="6"/>
      <c r="V751" s="339"/>
      <c r="W751" s="339"/>
      <c r="X751" s="6"/>
      <c r="Y751" s="206"/>
      <c r="AE751" s="6"/>
      <c r="AF751" s="6"/>
      <c r="AG751" s="6"/>
      <c r="AH751" s="206"/>
      <c r="AJ751" s="213"/>
      <c r="AK751" s="6"/>
      <c r="AL751" s="6"/>
      <c r="AM751" s="6"/>
      <c r="AN751" s="206"/>
      <c r="AP751" s="213"/>
      <c r="AQ751" s="6"/>
      <c r="AR751" s="6"/>
      <c r="AS751" s="6"/>
      <c r="AT751" s="206"/>
      <c r="AV751" s="213"/>
      <c r="AW751" s="6"/>
      <c r="AX751" s="6"/>
      <c r="AY751" s="6"/>
      <c r="AZ751" s="206"/>
    </row>
    <row r="752" spans="4:52" s="2" customFormat="1" ht="17.100000000000001" customHeight="1" x14ac:dyDescent="0.25">
      <c r="D752" s="3"/>
      <c r="E752" s="3"/>
      <c r="F752" s="4"/>
      <c r="G752" s="4"/>
      <c r="H752" s="138"/>
      <c r="I752" s="97"/>
      <c r="J752" s="6"/>
      <c r="K752" s="6"/>
      <c r="L752" s="6"/>
      <c r="M752" s="6"/>
      <c r="N752" s="6"/>
      <c r="O752" s="6"/>
      <c r="P752" s="6"/>
      <c r="Q752" s="6"/>
      <c r="R752" s="6"/>
      <c r="S752" s="6"/>
      <c r="T752" s="6"/>
      <c r="U752" s="6"/>
      <c r="V752" s="339"/>
      <c r="W752" s="339"/>
      <c r="X752" s="6"/>
      <c r="Y752" s="206"/>
      <c r="AE752" s="6"/>
      <c r="AF752" s="6"/>
      <c r="AG752" s="6"/>
      <c r="AH752" s="206"/>
      <c r="AJ752" s="213"/>
      <c r="AK752" s="6"/>
      <c r="AL752" s="6"/>
      <c r="AM752" s="6"/>
      <c r="AN752" s="206"/>
      <c r="AP752" s="213"/>
      <c r="AQ752" s="6"/>
      <c r="AR752" s="6"/>
      <c r="AS752" s="6"/>
      <c r="AT752" s="206"/>
      <c r="AV752" s="213"/>
      <c r="AW752" s="6"/>
      <c r="AX752" s="6"/>
      <c r="AY752" s="6"/>
      <c r="AZ752" s="206"/>
    </row>
    <row r="753" spans="4:52" s="2" customFormat="1" ht="17.100000000000001" customHeight="1" x14ac:dyDescent="0.25">
      <c r="D753" s="3"/>
      <c r="E753" s="3"/>
      <c r="F753" s="4"/>
      <c r="G753" s="4"/>
      <c r="H753" s="138"/>
      <c r="I753" s="97"/>
      <c r="J753" s="6"/>
      <c r="K753" s="6"/>
      <c r="L753" s="6"/>
      <c r="M753" s="6"/>
      <c r="N753" s="6"/>
      <c r="O753" s="6"/>
      <c r="P753" s="6"/>
      <c r="Q753" s="6"/>
      <c r="R753" s="6"/>
      <c r="S753" s="6"/>
      <c r="T753" s="6"/>
      <c r="U753" s="6"/>
      <c r="V753" s="339"/>
      <c r="W753" s="339"/>
      <c r="X753" s="6"/>
      <c r="Y753" s="206"/>
      <c r="AE753" s="6"/>
      <c r="AF753" s="6"/>
      <c r="AG753" s="6"/>
      <c r="AH753" s="206"/>
      <c r="AJ753" s="213"/>
      <c r="AK753" s="6"/>
      <c r="AL753" s="6"/>
      <c r="AM753" s="6"/>
      <c r="AN753" s="206"/>
      <c r="AP753" s="213"/>
      <c r="AQ753" s="6"/>
      <c r="AR753" s="6"/>
      <c r="AS753" s="6"/>
      <c r="AT753" s="206"/>
      <c r="AV753" s="213"/>
      <c r="AW753" s="6"/>
      <c r="AX753" s="6"/>
      <c r="AY753" s="6"/>
      <c r="AZ753" s="206"/>
    </row>
    <row r="754" spans="4:52" s="2" customFormat="1" ht="17.100000000000001" customHeight="1" x14ac:dyDescent="0.25">
      <c r="D754" s="3"/>
      <c r="E754" s="3"/>
      <c r="F754" s="4"/>
      <c r="G754" s="4"/>
      <c r="H754" s="138"/>
      <c r="I754" s="97"/>
      <c r="J754" s="6"/>
      <c r="K754" s="6"/>
      <c r="L754" s="6"/>
      <c r="M754" s="6"/>
      <c r="N754" s="6"/>
      <c r="O754" s="6"/>
      <c r="P754" s="6"/>
      <c r="Q754" s="6"/>
      <c r="R754" s="6"/>
      <c r="S754" s="6"/>
      <c r="T754" s="6"/>
      <c r="U754" s="6"/>
      <c r="V754" s="339"/>
      <c r="W754" s="339"/>
      <c r="X754" s="6"/>
      <c r="Y754" s="206"/>
      <c r="AE754" s="6"/>
      <c r="AF754" s="6"/>
      <c r="AG754" s="6"/>
      <c r="AH754" s="206"/>
      <c r="AJ754" s="213"/>
      <c r="AK754" s="6"/>
      <c r="AL754" s="6"/>
      <c r="AM754" s="6"/>
      <c r="AN754" s="206"/>
      <c r="AP754" s="213"/>
      <c r="AQ754" s="6"/>
      <c r="AR754" s="6"/>
      <c r="AS754" s="6"/>
      <c r="AT754" s="206"/>
      <c r="AV754" s="213"/>
      <c r="AW754" s="6"/>
      <c r="AX754" s="6"/>
      <c r="AY754" s="6"/>
      <c r="AZ754" s="206"/>
    </row>
    <row r="755" spans="4:52" s="2" customFormat="1" ht="17.100000000000001" customHeight="1" x14ac:dyDescent="0.25">
      <c r="D755" s="3"/>
      <c r="E755" s="3"/>
      <c r="F755" s="4"/>
      <c r="G755" s="4"/>
      <c r="H755" s="138"/>
      <c r="I755" s="97"/>
      <c r="J755" s="6"/>
      <c r="K755" s="6"/>
      <c r="L755" s="6"/>
      <c r="M755" s="6"/>
      <c r="N755" s="6"/>
      <c r="O755" s="6"/>
      <c r="P755" s="6"/>
      <c r="Q755" s="6"/>
      <c r="R755" s="6"/>
      <c r="S755" s="6"/>
      <c r="T755" s="6"/>
      <c r="U755" s="6"/>
      <c r="V755" s="339"/>
      <c r="W755" s="339"/>
      <c r="X755" s="6"/>
      <c r="Y755" s="206"/>
      <c r="AE755" s="6"/>
      <c r="AF755" s="6"/>
      <c r="AG755" s="6"/>
      <c r="AH755" s="206"/>
      <c r="AJ755" s="213"/>
      <c r="AK755" s="6"/>
      <c r="AL755" s="6"/>
      <c r="AM755" s="6"/>
      <c r="AN755" s="206"/>
      <c r="AP755" s="213"/>
      <c r="AQ755" s="6"/>
      <c r="AR755" s="6"/>
      <c r="AS755" s="6"/>
      <c r="AT755" s="206"/>
      <c r="AV755" s="213"/>
      <c r="AW755" s="6"/>
      <c r="AX755" s="6"/>
      <c r="AY755" s="6"/>
      <c r="AZ755" s="206"/>
    </row>
    <row r="756" spans="4:52" s="2" customFormat="1" ht="17.100000000000001" customHeight="1" x14ac:dyDescent="0.25">
      <c r="D756" s="3"/>
      <c r="E756" s="3"/>
      <c r="F756" s="4"/>
      <c r="G756" s="4"/>
      <c r="H756" s="138"/>
      <c r="I756" s="97"/>
      <c r="J756" s="6"/>
      <c r="K756" s="6"/>
      <c r="L756" s="6"/>
      <c r="M756" s="6"/>
      <c r="N756" s="6"/>
      <c r="O756" s="6"/>
      <c r="P756" s="6"/>
      <c r="Q756" s="6"/>
      <c r="R756" s="6"/>
      <c r="S756" s="6"/>
      <c r="T756" s="6"/>
      <c r="U756" s="6"/>
      <c r="V756" s="339"/>
      <c r="W756" s="339"/>
      <c r="X756" s="6"/>
      <c r="Y756" s="206"/>
      <c r="AE756" s="6"/>
      <c r="AF756" s="6"/>
      <c r="AG756" s="6"/>
      <c r="AH756" s="206"/>
      <c r="AJ756" s="213"/>
      <c r="AK756" s="6"/>
      <c r="AL756" s="6"/>
      <c r="AM756" s="6"/>
      <c r="AN756" s="206"/>
      <c r="AP756" s="213"/>
      <c r="AQ756" s="6"/>
      <c r="AR756" s="6"/>
      <c r="AS756" s="6"/>
      <c r="AT756" s="206"/>
      <c r="AV756" s="213"/>
      <c r="AW756" s="6"/>
      <c r="AX756" s="6"/>
      <c r="AY756" s="6"/>
      <c r="AZ756" s="206"/>
    </row>
    <row r="757" spans="4:52" s="2" customFormat="1" ht="17.100000000000001" customHeight="1" x14ac:dyDescent="0.25">
      <c r="D757" s="3"/>
      <c r="E757" s="3"/>
      <c r="F757" s="4"/>
      <c r="G757" s="4"/>
      <c r="H757" s="138"/>
      <c r="I757" s="97"/>
      <c r="J757" s="6"/>
      <c r="K757" s="6"/>
      <c r="L757" s="6"/>
      <c r="M757" s="6"/>
      <c r="N757" s="6"/>
      <c r="O757" s="6"/>
      <c r="P757" s="6"/>
      <c r="Q757" s="6"/>
      <c r="R757" s="6"/>
      <c r="S757" s="6"/>
      <c r="T757" s="6"/>
      <c r="U757" s="6"/>
      <c r="V757" s="339"/>
      <c r="W757" s="339"/>
      <c r="X757" s="6"/>
      <c r="Y757" s="206"/>
      <c r="AE757" s="6"/>
      <c r="AF757" s="6"/>
      <c r="AG757" s="6"/>
      <c r="AH757" s="206"/>
      <c r="AJ757" s="213"/>
      <c r="AK757" s="6"/>
      <c r="AL757" s="6"/>
      <c r="AM757" s="6"/>
      <c r="AN757" s="206"/>
      <c r="AP757" s="213"/>
      <c r="AQ757" s="6"/>
      <c r="AR757" s="6"/>
      <c r="AS757" s="6"/>
      <c r="AT757" s="206"/>
      <c r="AV757" s="213"/>
      <c r="AW757" s="6"/>
      <c r="AX757" s="6"/>
      <c r="AY757" s="6"/>
      <c r="AZ757" s="206"/>
    </row>
    <row r="758" spans="4:52" s="2" customFormat="1" ht="17.100000000000001" customHeight="1" x14ac:dyDescent="0.25">
      <c r="D758" s="3"/>
      <c r="E758" s="3"/>
      <c r="F758" s="4"/>
      <c r="G758" s="4"/>
      <c r="H758" s="138"/>
      <c r="I758" s="97"/>
      <c r="J758" s="6"/>
      <c r="K758" s="6"/>
      <c r="L758" s="6"/>
      <c r="M758" s="6"/>
      <c r="N758" s="6"/>
      <c r="O758" s="6"/>
      <c r="P758" s="6"/>
      <c r="Q758" s="6"/>
      <c r="R758" s="6"/>
      <c r="S758" s="6"/>
      <c r="T758" s="6"/>
      <c r="U758" s="6"/>
      <c r="V758" s="339"/>
      <c r="W758" s="339"/>
      <c r="X758" s="6"/>
      <c r="Y758" s="206"/>
      <c r="AE758" s="6"/>
      <c r="AF758" s="6"/>
      <c r="AG758" s="6"/>
      <c r="AH758" s="206"/>
      <c r="AJ758" s="213"/>
      <c r="AK758" s="6"/>
      <c r="AL758" s="6"/>
      <c r="AM758" s="6"/>
      <c r="AN758" s="206"/>
      <c r="AP758" s="213"/>
      <c r="AQ758" s="6"/>
      <c r="AR758" s="6"/>
      <c r="AS758" s="6"/>
      <c r="AT758" s="206"/>
      <c r="AV758" s="213"/>
      <c r="AW758" s="6"/>
      <c r="AX758" s="6"/>
      <c r="AY758" s="6"/>
      <c r="AZ758" s="206"/>
    </row>
    <row r="759" spans="4:52" s="2" customFormat="1" ht="17.100000000000001" customHeight="1" x14ac:dyDescent="0.25">
      <c r="D759" s="3"/>
      <c r="E759" s="3"/>
      <c r="F759" s="4"/>
      <c r="G759" s="4"/>
      <c r="H759" s="138"/>
      <c r="I759" s="97"/>
      <c r="J759" s="6"/>
      <c r="K759" s="6"/>
      <c r="L759" s="6"/>
      <c r="M759" s="6"/>
      <c r="N759" s="6"/>
      <c r="O759" s="6"/>
      <c r="P759" s="6"/>
      <c r="Q759" s="6"/>
      <c r="R759" s="6"/>
      <c r="S759" s="6"/>
      <c r="T759" s="6"/>
      <c r="U759" s="6"/>
      <c r="V759" s="339"/>
      <c r="W759" s="339"/>
      <c r="X759" s="6"/>
      <c r="Y759" s="206"/>
      <c r="AE759" s="6"/>
      <c r="AF759" s="6"/>
      <c r="AG759" s="6"/>
      <c r="AH759" s="206"/>
      <c r="AJ759" s="213"/>
      <c r="AK759" s="6"/>
      <c r="AL759" s="6"/>
      <c r="AM759" s="6"/>
      <c r="AN759" s="206"/>
      <c r="AP759" s="213"/>
      <c r="AQ759" s="6"/>
      <c r="AR759" s="6"/>
      <c r="AS759" s="6"/>
      <c r="AT759" s="206"/>
      <c r="AV759" s="213"/>
      <c r="AW759" s="6"/>
      <c r="AX759" s="6"/>
      <c r="AY759" s="6"/>
      <c r="AZ759" s="206"/>
    </row>
    <row r="760" spans="4:52" s="2" customFormat="1" ht="17.100000000000001" customHeight="1" x14ac:dyDescent="0.25">
      <c r="D760" s="3"/>
      <c r="E760" s="3"/>
      <c r="F760" s="4"/>
      <c r="G760" s="4"/>
      <c r="H760" s="138"/>
      <c r="I760" s="97"/>
      <c r="J760" s="6"/>
      <c r="K760" s="6"/>
      <c r="L760" s="6"/>
      <c r="M760" s="6"/>
      <c r="N760" s="6"/>
      <c r="O760" s="6"/>
      <c r="P760" s="6"/>
      <c r="Q760" s="6"/>
      <c r="R760" s="6"/>
      <c r="S760" s="6"/>
      <c r="T760" s="6"/>
      <c r="U760" s="6"/>
      <c r="V760" s="339"/>
      <c r="W760" s="339"/>
      <c r="X760" s="6"/>
      <c r="Y760" s="206"/>
      <c r="AE760" s="6"/>
      <c r="AF760" s="6"/>
      <c r="AG760" s="6"/>
      <c r="AH760" s="206"/>
      <c r="AJ760" s="213"/>
      <c r="AK760" s="6"/>
      <c r="AL760" s="6"/>
      <c r="AM760" s="6"/>
      <c r="AN760" s="206"/>
      <c r="AP760" s="213"/>
      <c r="AQ760" s="6"/>
      <c r="AR760" s="6"/>
      <c r="AS760" s="6"/>
      <c r="AT760" s="206"/>
      <c r="AV760" s="213"/>
      <c r="AW760" s="6"/>
      <c r="AX760" s="6"/>
      <c r="AY760" s="6"/>
      <c r="AZ760" s="206"/>
    </row>
    <row r="761" spans="4:52" s="2" customFormat="1" ht="17.100000000000001" customHeight="1" x14ac:dyDescent="0.25">
      <c r="D761" s="3"/>
      <c r="E761" s="3"/>
      <c r="F761" s="4"/>
      <c r="G761" s="4"/>
      <c r="H761" s="138"/>
      <c r="I761" s="97"/>
      <c r="J761" s="6"/>
      <c r="K761" s="6"/>
      <c r="L761" s="6"/>
      <c r="M761" s="6"/>
      <c r="N761" s="6"/>
      <c r="O761" s="6"/>
      <c r="P761" s="6"/>
      <c r="Q761" s="6"/>
      <c r="R761" s="6"/>
      <c r="S761" s="6"/>
      <c r="T761" s="6"/>
      <c r="U761" s="6"/>
      <c r="V761" s="339"/>
      <c r="W761" s="339"/>
      <c r="X761" s="6"/>
      <c r="Y761" s="206"/>
      <c r="AE761" s="6"/>
      <c r="AF761" s="6"/>
      <c r="AG761" s="6"/>
      <c r="AH761" s="206"/>
      <c r="AJ761" s="213"/>
      <c r="AK761" s="6"/>
      <c r="AL761" s="6"/>
      <c r="AM761" s="6"/>
      <c r="AN761" s="206"/>
      <c r="AP761" s="213"/>
      <c r="AQ761" s="6"/>
      <c r="AR761" s="6"/>
      <c r="AS761" s="6"/>
      <c r="AT761" s="206"/>
      <c r="AV761" s="213"/>
      <c r="AW761" s="6"/>
      <c r="AX761" s="6"/>
      <c r="AY761" s="6"/>
      <c r="AZ761" s="206"/>
    </row>
    <row r="762" spans="4:52" s="2" customFormat="1" ht="17.100000000000001" customHeight="1" x14ac:dyDescent="0.25">
      <c r="D762" s="3"/>
      <c r="E762" s="3"/>
      <c r="F762" s="4"/>
      <c r="G762" s="4"/>
      <c r="H762" s="138"/>
      <c r="I762" s="97"/>
      <c r="J762" s="6"/>
      <c r="K762" s="6"/>
      <c r="L762" s="6"/>
      <c r="M762" s="6"/>
      <c r="N762" s="6"/>
      <c r="O762" s="6"/>
      <c r="P762" s="6"/>
      <c r="Q762" s="6"/>
      <c r="R762" s="6"/>
      <c r="S762" s="6"/>
      <c r="T762" s="6"/>
      <c r="U762" s="6"/>
      <c r="V762" s="339"/>
      <c r="W762" s="339"/>
      <c r="X762" s="6"/>
      <c r="Y762" s="206"/>
      <c r="AE762" s="6"/>
      <c r="AF762" s="6"/>
      <c r="AG762" s="6"/>
      <c r="AH762" s="206"/>
      <c r="AJ762" s="213"/>
      <c r="AK762" s="6"/>
      <c r="AL762" s="6"/>
      <c r="AM762" s="6"/>
      <c r="AN762" s="206"/>
      <c r="AP762" s="213"/>
      <c r="AQ762" s="6"/>
      <c r="AR762" s="6"/>
      <c r="AS762" s="6"/>
      <c r="AT762" s="206"/>
      <c r="AV762" s="213"/>
      <c r="AW762" s="6"/>
      <c r="AX762" s="6"/>
      <c r="AY762" s="6"/>
      <c r="AZ762" s="206"/>
    </row>
    <row r="763" spans="4:52" s="2" customFormat="1" ht="17.100000000000001" customHeight="1" x14ac:dyDescent="0.25">
      <c r="D763" s="3"/>
      <c r="E763" s="3"/>
      <c r="F763" s="4"/>
      <c r="G763" s="4"/>
      <c r="H763" s="138"/>
      <c r="I763" s="97"/>
      <c r="J763" s="6"/>
      <c r="K763" s="6"/>
      <c r="L763" s="6"/>
      <c r="M763" s="6"/>
      <c r="N763" s="6"/>
      <c r="O763" s="6"/>
      <c r="P763" s="6"/>
      <c r="Q763" s="6"/>
      <c r="R763" s="6"/>
      <c r="S763" s="6"/>
      <c r="T763" s="6"/>
      <c r="U763" s="6"/>
      <c r="V763" s="339"/>
      <c r="W763" s="339"/>
      <c r="X763" s="6"/>
      <c r="Y763" s="206"/>
      <c r="AE763" s="6"/>
      <c r="AF763" s="6"/>
      <c r="AG763" s="6"/>
      <c r="AH763" s="206"/>
      <c r="AJ763" s="213"/>
      <c r="AK763" s="6"/>
      <c r="AL763" s="6"/>
      <c r="AM763" s="6"/>
      <c r="AN763" s="206"/>
      <c r="AP763" s="213"/>
      <c r="AQ763" s="6"/>
      <c r="AR763" s="6"/>
      <c r="AS763" s="6"/>
      <c r="AT763" s="206"/>
      <c r="AV763" s="213"/>
      <c r="AW763" s="6"/>
      <c r="AX763" s="6"/>
      <c r="AY763" s="6"/>
      <c r="AZ763" s="206"/>
    </row>
    <row r="764" spans="4:52" s="2" customFormat="1" ht="17.100000000000001" customHeight="1" x14ac:dyDescent="0.25">
      <c r="D764" s="3"/>
      <c r="E764" s="3"/>
      <c r="F764" s="4"/>
      <c r="G764" s="4"/>
      <c r="H764" s="138"/>
      <c r="I764" s="97"/>
      <c r="J764" s="6"/>
      <c r="K764" s="6"/>
      <c r="L764" s="6"/>
      <c r="M764" s="6"/>
      <c r="N764" s="6"/>
      <c r="O764" s="6"/>
      <c r="P764" s="6"/>
      <c r="Q764" s="6"/>
      <c r="R764" s="6"/>
      <c r="S764" s="6"/>
      <c r="T764" s="6"/>
      <c r="U764" s="6"/>
      <c r="V764" s="339"/>
      <c r="W764" s="339"/>
      <c r="X764" s="6"/>
      <c r="Y764" s="206"/>
      <c r="AE764" s="6"/>
      <c r="AF764" s="6"/>
      <c r="AG764" s="6"/>
      <c r="AH764" s="206"/>
      <c r="AJ764" s="213"/>
      <c r="AK764" s="6"/>
      <c r="AL764" s="6"/>
      <c r="AM764" s="6"/>
      <c r="AN764" s="206"/>
      <c r="AP764" s="213"/>
      <c r="AQ764" s="6"/>
      <c r="AR764" s="6"/>
      <c r="AS764" s="6"/>
      <c r="AT764" s="206"/>
      <c r="AV764" s="213"/>
      <c r="AW764" s="6"/>
      <c r="AX764" s="6"/>
      <c r="AY764" s="6"/>
      <c r="AZ764" s="206"/>
    </row>
    <row r="765" spans="4:52" s="2" customFormat="1" ht="17.100000000000001" customHeight="1" x14ac:dyDescent="0.25">
      <c r="D765" s="3"/>
      <c r="E765" s="3"/>
      <c r="F765" s="4"/>
      <c r="G765" s="4"/>
      <c r="H765" s="138"/>
      <c r="I765" s="97"/>
      <c r="J765" s="6"/>
      <c r="K765" s="6"/>
      <c r="L765" s="6"/>
      <c r="M765" s="6"/>
      <c r="N765" s="6"/>
      <c r="O765" s="6"/>
      <c r="P765" s="6"/>
      <c r="Q765" s="6"/>
      <c r="R765" s="6"/>
      <c r="S765" s="6"/>
      <c r="T765" s="6"/>
      <c r="U765" s="6"/>
      <c r="V765" s="339"/>
      <c r="W765" s="339"/>
      <c r="X765" s="6"/>
      <c r="Y765" s="206"/>
      <c r="AE765" s="6"/>
      <c r="AF765" s="6"/>
      <c r="AG765" s="6"/>
      <c r="AH765" s="206"/>
      <c r="AJ765" s="213"/>
      <c r="AK765" s="6"/>
      <c r="AL765" s="6"/>
      <c r="AM765" s="6"/>
      <c r="AN765" s="206"/>
      <c r="AP765" s="213"/>
      <c r="AQ765" s="6"/>
      <c r="AR765" s="6"/>
      <c r="AS765" s="6"/>
      <c r="AT765" s="206"/>
      <c r="AV765" s="213"/>
      <c r="AW765" s="6"/>
      <c r="AX765" s="6"/>
      <c r="AY765" s="6"/>
      <c r="AZ765" s="206"/>
    </row>
    <row r="766" spans="4:52" s="2" customFormat="1" ht="17.100000000000001" customHeight="1" x14ac:dyDescent="0.25">
      <c r="D766" s="3"/>
      <c r="E766" s="3"/>
      <c r="F766" s="4"/>
      <c r="G766" s="4"/>
      <c r="H766" s="138"/>
      <c r="I766" s="97"/>
      <c r="J766" s="6"/>
      <c r="K766" s="6"/>
      <c r="L766" s="6"/>
      <c r="M766" s="6"/>
      <c r="N766" s="6"/>
      <c r="O766" s="6"/>
      <c r="P766" s="6"/>
      <c r="Q766" s="6"/>
      <c r="R766" s="6"/>
      <c r="S766" s="6"/>
      <c r="T766" s="6"/>
      <c r="U766" s="6"/>
      <c r="V766" s="339"/>
      <c r="W766" s="339"/>
      <c r="X766" s="6"/>
      <c r="Y766" s="206"/>
      <c r="AE766" s="6"/>
      <c r="AF766" s="6"/>
      <c r="AG766" s="6"/>
      <c r="AH766" s="206"/>
      <c r="AJ766" s="213"/>
      <c r="AK766" s="6"/>
      <c r="AL766" s="6"/>
      <c r="AM766" s="6"/>
      <c r="AN766" s="206"/>
      <c r="AP766" s="213"/>
      <c r="AQ766" s="6"/>
      <c r="AR766" s="6"/>
      <c r="AS766" s="6"/>
      <c r="AT766" s="206"/>
      <c r="AV766" s="213"/>
      <c r="AW766" s="6"/>
      <c r="AX766" s="6"/>
      <c r="AY766" s="6"/>
      <c r="AZ766" s="206"/>
    </row>
    <row r="767" spans="4:52" s="2" customFormat="1" ht="17.100000000000001" customHeight="1" x14ac:dyDescent="0.25">
      <c r="D767" s="3"/>
      <c r="E767" s="3"/>
      <c r="F767" s="4"/>
      <c r="G767" s="4"/>
      <c r="H767" s="138"/>
      <c r="I767" s="97"/>
      <c r="J767" s="6"/>
      <c r="K767" s="6"/>
      <c r="L767" s="6"/>
      <c r="M767" s="6"/>
      <c r="N767" s="6"/>
      <c r="O767" s="6"/>
      <c r="P767" s="6"/>
      <c r="Q767" s="6"/>
      <c r="R767" s="6"/>
      <c r="S767" s="6"/>
      <c r="T767" s="6"/>
      <c r="U767" s="6"/>
      <c r="V767" s="339"/>
      <c r="W767" s="339"/>
      <c r="X767" s="6"/>
      <c r="Y767" s="206"/>
      <c r="AE767" s="6"/>
      <c r="AF767" s="6"/>
      <c r="AG767" s="6"/>
      <c r="AH767" s="206"/>
      <c r="AJ767" s="213"/>
      <c r="AK767" s="6"/>
      <c r="AL767" s="6"/>
      <c r="AM767" s="6"/>
      <c r="AN767" s="206"/>
      <c r="AP767" s="213"/>
      <c r="AQ767" s="6"/>
      <c r="AR767" s="6"/>
      <c r="AS767" s="6"/>
      <c r="AT767" s="206"/>
      <c r="AV767" s="213"/>
      <c r="AW767" s="6"/>
      <c r="AX767" s="6"/>
      <c r="AY767" s="6"/>
      <c r="AZ767" s="206"/>
    </row>
    <row r="768" spans="4:52" s="2" customFormat="1" ht="17.100000000000001" customHeight="1" x14ac:dyDescent="0.25">
      <c r="D768" s="3"/>
      <c r="E768" s="3"/>
      <c r="F768" s="4"/>
      <c r="G768" s="4"/>
      <c r="H768" s="138"/>
      <c r="I768" s="97"/>
      <c r="J768" s="6"/>
      <c r="K768" s="6"/>
      <c r="L768" s="6"/>
      <c r="M768" s="6"/>
      <c r="N768" s="6"/>
      <c r="O768" s="6"/>
      <c r="P768" s="6"/>
      <c r="Q768" s="6"/>
      <c r="R768" s="6"/>
      <c r="S768" s="6"/>
      <c r="T768" s="6"/>
      <c r="U768" s="6"/>
      <c r="V768" s="339"/>
      <c r="W768" s="339"/>
      <c r="X768" s="6"/>
      <c r="Y768" s="206"/>
      <c r="AE768" s="6"/>
      <c r="AF768" s="6"/>
      <c r="AG768" s="6"/>
      <c r="AH768" s="206"/>
      <c r="AJ768" s="213"/>
      <c r="AK768" s="6"/>
      <c r="AL768" s="6"/>
      <c r="AM768" s="6"/>
      <c r="AN768" s="206"/>
      <c r="AP768" s="213"/>
      <c r="AQ768" s="6"/>
      <c r="AR768" s="6"/>
      <c r="AS768" s="6"/>
      <c r="AT768" s="206"/>
      <c r="AV768" s="213"/>
      <c r="AW768" s="6"/>
      <c r="AX768" s="6"/>
      <c r="AY768" s="6"/>
      <c r="AZ768" s="206"/>
    </row>
    <row r="769" spans="4:52" s="2" customFormat="1" ht="17.100000000000001" customHeight="1" x14ac:dyDescent="0.25">
      <c r="D769" s="3"/>
      <c r="E769" s="3"/>
      <c r="F769" s="4"/>
      <c r="G769" s="4"/>
      <c r="H769" s="138"/>
      <c r="I769" s="97"/>
      <c r="J769" s="6"/>
      <c r="K769" s="6"/>
      <c r="L769" s="6"/>
      <c r="M769" s="6"/>
      <c r="N769" s="6"/>
      <c r="O769" s="6"/>
      <c r="P769" s="6"/>
      <c r="Q769" s="6"/>
      <c r="R769" s="6"/>
      <c r="S769" s="6"/>
      <c r="T769" s="6"/>
      <c r="U769" s="6"/>
      <c r="V769" s="339"/>
      <c r="W769" s="339"/>
      <c r="X769" s="6"/>
      <c r="Y769" s="206"/>
      <c r="AE769" s="6"/>
      <c r="AF769" s="6"/>
      <c r="AG769" s="6"/>
      <c r="AH769" s="206"/>
      <c r="AJ769" s="213"/>
      <c r="AK769" s="6"/>
      <c r="AL769" s="6"/>
      <c r="AM769" s="6"/>
      <c r="AN769" s="206"/>
      <c r="AP769" s="213"/>
      <c r="AQ769" s="6"/>
      <c r="AR769" s="6"/>
      <c r="AS769" s="6"/>
      <c r="AT769" s="206"/>
      <c r="AV769" s="213"/>
      <c r="AW769" s="6"/>
      <c r="AX769" s="6"/>
      <c r="AY769" s="6"/>
      <c r="AZ769" s="206"/>
    </row>
    <row r="770" spans="4:52" s="2" customFormat="1" ht="17.100000000000001" customHeight="1" x14ac:dyDescent="0.25">
      <c r="D770" s="3"/>
      <c r="E770" s="3"/>
      <c r="F770" s="4"/>
      <c r="G770" s="4"/>
      <c r="H770" s="138"/>
      <c r="I770" s="97"/>
      <c r="J770" s="6"/>
      <c r="K770" s="6"/>
      <c r="L770" s="6"/>
      <c r="M770" s="6"/>
      <c r="N770" s="6"/>
      <c r="O770" s="6"/>
      <c r="P770" s="6"/>
      <c r="Q770" s="6"/>
      <c r="R770" s="6"/>
      <c r="S770" s="6"/>
      <c r="T770" s="6"/>
      <c r="U770" s="6"/>
      <c r="V770" s="339"/>
      <c r="W770" s="339"/>
      <c r="X770" s="6"/>
      <c r="Y770" s="206"/>
      <c r="AE770" s="6"/>
      <c r="AF770" s="6"/>
      <c r="AG770" s="6"/>
      <c r="AH770" s="206"/>
      <c r="AJ770" s="213"/>
      <c r="AK770" s="6"/>
      <c r="AL770" s="6"/>
      <c r="AM770" s="6"/>
      <c r="AN770" s="206"/>
      <c r="AP770" s="213"/>
      <c r="AQ770" s="6"/>
      <c r="AR770" s="6"/>
      <c r="AS770" s="6"/>
      <c r="AT770" s="206"/>
      <c r="AV770" s="213"/>
      <c r="AW770" s="6"/>
      <c r="AX770" s="6"/>
      <c r="AY770" s="6"/>
      <c r="AZ770" s="206"/>
    </row>
    <row r="771" spans="4:52" s="2" customFormat="1" ht="17.100000000000001" customHeight="1" x14ac:dyDescent="0.25">
      <c r="D771" s="3"/>
      <c r="E771" s="3"/>
      <c r="F771" s="4"/>
      <c r="G771" s="4"/>
      <c r="H771" s="138"/>
      <c r="I771" s="97"/>
      <c r="J771" s="6"/>
      <c r="K771" s="6"/>
      <c r="L771" s="6"/>
      <c r="M771" s="6"/>
      <c r="N771" s="6"/>
      <c r="O771" s="6"/>
      <c r="P771" s="6"/>
      <c r="Q771" s="6"/>
      <c r="R771" s="6"/>
      <c r="S771" s="6"/>
      <c r="T771" s="6"/>
      <c r="U771" s="6"/>
      <c r="V771" s="339"/>
      <c r="W771" s="339"/>
      <c r="X771" s="6"/>
      <c r="Y771" s="206"/>
      <c r="AE771" s="6"/>
      <c r="AF771" s="6"/>
      <c r="AG771" s="6"/>
      <c r="AH771" s="206"/>
      <c r="AJ771" s="213"/>
      <c r="AK771" s="6"/>
      <c r="AL771" s="6"/>
      <c r="AM771" s="6"/>
      <c r="AN771" s="206"/>
      <c r="AP771" s="213"/>
      <c r="AQ771" s="6"/>
      <c r="AR771" s="6"/>
      <c r="AS771" s="6"/>
      <c r="AT771" s="206"/>
      <c r="AV771" s="213"/>
      <c r="AW771" s="6"/>
      <c r="AX771" s="6"/>
      <c r="AY771" s="6"/>
      <c r="AZ771" s="206"/>
    </row>
    <row r="772" spans="4:52" s="2" customFormat="1" ht="17.100000000000001" customHeight="1" x14ac:dyDescent="0.25">
      <c r="D772" s="3"/>
      <c r="E772" s="3"/>
      <c r="F772" s="4"/>
      <c r="G772" s="4"/>
      <c r="H772" s="138"/>
      <c r="I772" s="97"/>
      <c r="J772" s="6"/>
      <c r="K772" s="6"/>
      <c r="L772" s="6"/>
      <c r="M772" s="6"/>
      <c r="N772" s="6"/>
      <c r="O772" s="6"/>
      <c r="P772" s="6"/>
      <c r="Q772" s="6"/>
      <c r="R772" s="6"/>
      <c r="S772" s="6"/>
      <c r="T772" s="6"/>
      <c r="U772" s="6"/>
      <c r="V772" s="339"/>
      <c r="W772" s="339"/>
      <c r="X772" s="6"/>
      <c r="Y772" s="206"/>
      <c r="AE772" s="6"/>
      <c r="AF772" s="6"/>
      <c r="AG772" s="6"/>
      <c r="AH772" s="206"/>
      <c r="AJ772" s="213"/>
      <c r="AK772" s="6"/>
      <c r="AL772" s="6"/>
      <c r="AM772" s="6"/>
      <c r="AN772" s="206"/>
      <c r="AP772" s="213"/>
      <c r="AQ772" s="6"/>
      <c r="AR772" s="6"/>
      <c r="AS772" s="6"/>
      <c r="AT772" s="206"/>
      <c r="AV772" s="213"/>
      <c r="AW772" s="6"/>
      <c r="AX772" s="6"/>
      <c r="AY772" s="6"/>
      <c r="AZ772" s="206"/>
    </row>
    <row r="773" spans="4:52" s="2" customFormat="1" ht="17.100000000000001" customHeight="1" x14ac:dyDescent="0.25">
      <c r="D773" s="3"/>
      <c r="E773" s="3"/>
      <c r="F773" s="4"/>
      <c r="G773" s="4"/>
      <c r="H773" s="138"/>
      <c r="I773" s="97"/>
      <c r="J773" s="6"/>
      <c r="K773" s="6"/>
      <c r="L773" s="6"/>
      <c r="M773" s="6"/>
      <c r="N773" s="6"/>
      <c r="O773" s="6"/>
      <c r="P773" s="6"/>
      <c r="Q773" s="6"/>
      <c r="R773" s="6"/>
      <c r="S773" s="6"/>
      <c r="T773" s="6"/>
      <c r="U773" s="6"/>
      <c r="V773" s="339"/>
      <c r="W773" s="339"/>
      <c r="X773" s="6"/>
      <c r="Y773" s="206"/>
      <c r="AE773" s="6"/>
      <c r="AF773" s="6"/>
      <c r="AG773" s="6"/>
      <c r="AH773" s="206"/>
      <c r="AJ773" s="213"/>
      <c r="AK773" s="6"/>
      <c r="AL773" s="6"/>
      <c r="AM773" s="6"/>
      <c r="AN773" s="206"/>
      <c r="AP773" s="213"/>
      <c r="AQ773" s="6"/>
      <c r="AR773" s="6"/>
      <c r="AS773" s="6"/>
      <c r="AT773" s="206"/>
      <c r="AV773" s="213"/>
      <c r="AW773" s="6"/>
      <c r="AX773" s="6"/>
      <c r="AY773" s="6"/>
      <c r="AZ773" s="206"/>
    </row>
    <row r="774" spans="4:52" s="2" customFormat="1" ht="17.100000000000001" customHeight="1" x14ac:dyDescent="0.25">
      <c r="D774" s="3"/>
      <c r="E774" s="3"/>
      <c r="F774" s="4"/>
      <c r="G774" s="4"/>
      <c r="H774" s="138"/>
      <c r="I774" s="97"/>
      <c r="J774" s="6"/>
      <c r="K774" s="6"/>
      <c r="L774" s="6"/>
      <c r="M774" s="6"/>
      <c r="N774" s="6"/>
      <c r="O774" s="6"/>
      <c r="P774" s="6"/>
      <c r="Q774" s="6"/>
      <c r="R774" s="6"/>
      <c r="S774" s="6"/>
      <c r="T774" s="6"/>
      <c r="U774" s="6"/>
      <c r="V774" s="339"/>
      <c r="W774" s="339"/>
      <c r="X774" s="6"/>
      <c r="Y774" s="206"/>
      <c r="AE774" s="6"/>
      <c r="AF774" s="6"/>
      <c r="AG774" s="6"/>
      <c r="AH774" s="206"/>
      <c r="AJ774" s="213"/>
      <c r="AK774" s="6"/>
      <c r="AL774" s="6"/>
      <c r="AM774" s="6"/>
      <c r="AN774" s="206"/>
      <c r="AP774" s="213"/>
      <c r="AQ774" s="6"/>
      <c r="AR774" s="6"/>
      <c r="AS774" s="6"/>
      <c r="AT774" s="206"/>
      <c r="AV774" s="213"/>
      <c r="AW774" s="6"/>
      <c r="AX774" s="6"/>
      <c r="AY774" s="6"/>
      <c r="AZ774" s="206"/>
    </row>
    <row r="775" spans="4:52" s="2" customFormat="1" ht="17.100000000000001" customHeight="1" x14ac:dyDescent="0.25">
      <c r="D775" s="3"/>
      <c r="E775" s="3"/>
      <c r="F775" s="4"/>
      <c r="G775" s="4"/>
      <c r="H775" s="138"/>
      <c r="I775" s="97"/>
      <c r="J775" s="6"/>
      <c r="K775" s="6"/>
      <c r="L775" s="6"/>
      <c r="M775" s="6"/>
      <c r="N775" s="6"/>
      <c r="O775" s="6"/>
      <c r="P775" s="6"/>
      <c r="Q775" s="6"/>
      <c r="R775" s="6"/>
      <c r="S775" s="6"/>
      <c r="T775" s="6"/>
      <c r="U775" s="6"/>
      <c r="V775" s="339"/>
      <c r="W775" s="339"/>
      <c r="X775" s="6"/>
      <c r="Y775" s="206"/>
      <c r="AE775" s="6"/>
      <c r="AF775" s="6"/>
      <c r="AG775" s="6"/>
      <c r="AH775" s="206"/>
      <c r="AJ775" s="213"/>
      <c r="AK775" s="6"/>
      <c r="AL775" s="6"/>
      <c r="AM775" s="6"/>
      <c r="AN775" s="206"/>
      <c r="AP775" s="213"/>
      <c r="AQ775" s="6"/>
      <c r="AR775" s="6"/>
      <c r="AS775" s="6"/>
      <c r="AT775" s="206"/>
      <c r="AV775" s="213"/>
      <c r="AW775" s="6"/>
      <c r="AX775" s="6"/>
      <c r="AY775" s="6"/>
      <c r="AZ775" s="206"/>
    </row>
    <row r="776" spans="4:52" s="2" customFormat="1" ht="17.100000000000001" customHeight="1" x14ac:dyDescent="0.25">
      <c r="D776" s="3"/>
      <c r="E776" s="3"/>
      <c r="F776" s="4"/>
      <c r="G776" s="4"/>
      <c r="H776" s="138"/>
      <c r="I776" s="97"/>
      <c r="J776" s="6"/>
      <c r="K776" s="6"/>
      <c r="L776" s="6"/>
      <c r="M776" s="6"/>
      <c r="N776" s="6"/>
      <c r="O776" s="6"/>
      <c r="P776" s="6"/>
      <c r="Q776" s="6"/>
      <c r="R776" s="6"/>
      <c r="S776" s="6"/>
      <c r="T776" s="6"/>
      <c r="U776" s="6"/>
      <c r="V776" s="339"/>
      <c r="W776" s="339"/>
      <c r="X776" s="6"/>
      <c r="Y776" s="206"/>
      <c r="AE776" s="6"/>
      <c r="AF776" s="6"/>
      <c r="AG776" s="6"/>
      <c r="AH776" s="206"/>
      <c r="AJ776" s="213"/>
      <c r="AK776" s="6"/>
      <c r="AL776" s="6"/>
      <c r="AM776" s="6"/>
      <c r="AN776" s="206"/>
      <c r="AP776" s="213"/>
      <c r="AQ776" s="6"/>
      <c r="AR776" s="6"/>
      <c r="AS776" s="6"/>
      <c r="AT776" s="206"/>
      <c r="AV776" s="213"/>
      <c r="AW776" s="6"/>
      <c r="AX776" s="6"/>
      <c r="AY776" s="6"/>
      <c r="AZ776" s="206"/>
    </row>
    <row r="777" spans="4:52" s="2" customFormat="1" ht="17.100000000000001" customHeight="1" x14ac:dyDescent="0.25">
      <c r="D777" s="3"/>
      <c r="E777" s="3"/>
      <c r="F777" s="4"/>
      <c r="G777" s="4"/>
      <c r="H777" s="138"/>
      <c r="I777" s="97"/>
      <c r="J777" s="6"/>
      <c r="K777" s="6"/>
      <c r="L777" s="6"/>
      <c r="M777" s="6"/>
      <c r="N777" s="6"/>
      <c r="O777" s="6"/>
      <c r="P777" s="6"/>
      <c r="Q777" s="6"/>
      <c r="R777" s="6"/>
      <c r="S777" s="6"/>
      <c r="T777" s="6"/>
      <c r="U777" s="6"/>
      <c r="V777" s="339"/>
      <c r="W777" s="339"/>
      <c r="X777" s="6"/>
      <c r="Y777" s="206"/>
      <c r="AE777" s="6"/>
      <c r="AF777" s="6"/>
      <c r="AG777" s="6"/>
      <c r="AH777" s="206"/>
      <c r="AJ777" s="213"/>
      <c r="AK777" s="6"/>
      <c r="AL777" s="6"/>
      <c r="AM777" s="6"/>
      <c r="AN777" s="206"/>
      <c r="AP777" s="213"/>
      <c r="AQ777" s="6"/>
      <c r="AR777" s="6"/>
      <c r="AS777" s="6"/>
      <c r="AT777" s="206"/>
      <c r="AV777" s="213"/>
      <c r="AW777" s="6"/>
      <c r="AX777" s="6"/>
      <c r="AY777" s="6"/>
      <c r="AZ777" s="206"/>
    </row>
    <row r="778" spans="4:52" s="2" customFormat="1" ht="17.100000000000001" customHeight="1" x14ac:dyDescent="0.25">
      <c r="D778" s="3"/>
      <c r="E778" s="3"/>
      <c r="F778" s="4"/>
      <c r="G778" s="4"/>
      <c r="H778" s="138"/>
      <c r="I778" s="97"/>
      <c r="J778" s="6"/>
      <c r="K778" s="6"/>
      <c r="L778" s="6"/>
      <c r="M778" s="6"/>
      <c r="N778" s="6"/>
      <c r="O778" s="6"/>
      <c r="P778" s="6"/>
      <c r="Q778" s="6"/>
      <c r="R778" s="6"/>
      <c r="S778" s="6"/>
      <c r="T778" s="6"/>
      <c r="U778" s="6"/>
      <c r="V778" s="339"/>
      <c r="W778" s="339"/>
      <c r="X778" s="6"/>
      <c r="Y778" s="206"/>
      <c r="AE778" s="6"/>
      <c r="AF778" s="6"/>
      <c r="AG778" s="6"/>
      <c r="AH778" s="206"/>
      <c r="AJ778" s="213"/>
      <c r="AK778" s="6"/>
      <c r="AL778" s="6"/>
      <c r="AM778" s="6"/>
      <c r="AN778" s="206"/>
      <c r="AP778" s="213"/>
      <c r="AQ778" s="6"/>
      <c r="AR778" s="6"/>
      <c r="AS778" s="6"/>
      <c r="AT778" s="206"/>
      <c r="AV778" s="213"/>
      <c r="AW778" s="6"/>
      <c r="AX778" s="6"/>
      <c r="AY778" s="6"/>
      <c r="AZ778" s="206"/>
    </row>
    <row r="779" spans="4:52" s="2" customFormat="1" ht="17.100000000000001" customHeight="1" x14ac:dyDescent="0.25">
      <c r="D779" s="3"/>
      <c r="E779" s="3"/>
      <c r="F779" s="4"/>
      <c r="G779" s="4"/>
      <c r="H779" s="138"/>
      <c r="I779" s="97"/>
      <c r="J779" s="6"/>
      <c r="K779" s="6"/>
      <c r="L779" s="6"/>
      <c r="M779" s="6"/>
      <c r="N779" s="6"/>
      <c r="O779" s="6"/>
      <c r="P779" s="6"/>
      <c r="Q779" s="6"/>
      <c r="R779" s="6"/>
      <c r="S779" s="6"/>
      <c r="T779" s="6"/>
      <c r="U779" s="6"/>
      <c r="V779" s="339"/>
      <c r="W779" s="339"/>
      <c r="X779" s="6"/>
      <c r="Y779" s="206"/>
      <c r="AE779" s="6"/>
      <c r="AF779" s="6"/>
      <c r="AG779" s="6"/>
      <c r="AH779" s="206"/>
      <c r="AJ779" s="213"/>
      <c r="AK779" s="6"/>
      <c r="AL779" s="6"/>
      <c r="AM779" s="6"/>
      <c r="AN779" s="206"/>
      <c r="AP779" s="213"/>
      <c r="AQ779" s="6"/>
      <c r="AR779" s="6"/>
      <c r="AS779" s="6"/>
      <c r="AT779" s="206"/>
      <c r="AV779" s="213"/>
      <c r="AW779" s="6"/>
      <c r="AX779" s="6"/>
      <c r="AY779" s="6"/>
      <c r="AZ779" s="206"/>
    </row>
    <row r="780" spans="4:52" s="2" customFormat="1" ht="17.100000000000001" customHeight="1" x14ac:dyDescent="0.25">
      <c r="D780" s="3"/>
      <c r="E780" s="3"/>
      <c r="F780" s="4"/>
      <c r="G780" s="4"/>
      <c r="H780" s="138"/>
      <c r="I780" s="97"/>
      <c r="J780" s="6"/>
      <c r="K780" s="6"/>
      <c r="L780" s="6"/>
      <c r="M780" s="6"/>
      <c r="N780" s="6"/>
      <c r="O780" s="6"/>
      <c r="P780" s="6"/>
      <c r="Q780" s="6"/>
      <c r="R780" s="6"/>
      <c r="S780" s="6"/>
      <c r="T780" s="6"/>
      <c r="U780" s="6"/>
      <c r="V780" s="339"/>
      <c r="W780" s="339"/>
      <c r="X780" s="6"/>
      <c r="Y780" s="206"/>
      <c r="AE780" s="6"/>
      <c r="AF780" s="6"/>
      <c r="AG780" s="6"/>
      <c r="AH780" s="206"/>
      <c r="AJ780" s="213"/>
      <c r="AK780" s="6"/>
      <c r="AL780" s="6"/>
      <c r="AM780" s="6"/>
      <c r="AN780" s="206"/>
      <c r="AP780" s="213"/>
      <c r="AQ780" s="6"/>
      <c r="AR780" s="6"/>
      <c r="AS780" s="6"/>
      <c r="AT780" s="206"/>
      <c r="AV780" s="213"/>
      <c r="AW780" s="6"/>
      <c r="AX780" s="6"/>
      <c r="AY780" s="6"/>
      <c r="AZ780" s="206"/>
    </row>
    <row r="781" spans="4:52" s="2" customFormat="1" ht="17.100000000000001" customHeight="1" x14ac:dyDescent="0.25">
      <c r="D781" s="3"/>
      <c r="E781" s="3"/>
      <c r="F781" s="4"/>
      <c r="G781" s="4"/>
      <c r="H781" s="138"/>
      <c r="I781" s="97"/>
      <c r="J781" s="6"/>
      <c r="K781" s="6"/>
      <c r="L781" s="6"/>
      <c r="M781" s="6"/>
      <c r="N781" s="6"/>
      <c r="O781" s="6"/>
      <c r="P781" s="6"/>
      <c r="Q781" s="6"/>
      <c r="R781" s="6"/>
      <c r="S781" s="6"/>
      <c r="T781" s="6"/>
      <c r="U781" s="6"/>
      <c r="V781" s="339"/>
      <c r="W781" s="339"/>
      <c r="X781" s="6"/>
      <c r="Y781" s="206"/>
      <c r="AE781" s="6"/>
      <c r="AF781" s="6"/>
      <c r="AG781" s="6"/>
      <c r="AH781" s="206"/>
      <c r="AJ781" s="213"/>
      <c r="AK781" s="6"/>
      <c r="AL781" s="6"/>
      <c r="AM781" s="6"/>
      <c r="AN781" s="206"/>
      <c r="AP781" s="213"/>
      <c r="AQ781" s="6"/>
      <c r="AR781" s="6"/>
      <c r="AS781" s="6"/>
      <c r="AT781" s="206"/>
      <c r="AV781" s="213"/>
      <c r="AW781" s="6"/>
      <c r="AX781" s="6"/>
      <c r="AY781" s="6"/>
      <c r="AZ781" s="206"/>
    </row>
    <row r="782" spans="4:52" s="2" customFormat="1" ht="17.100000000000001" customHeight="1" x14ac:dyDescent="0.25">
      <c r="D782" s="3"/>
      <c r="E782" s="3"/>
      <c r="F782" s="4"/>
      <c r="G782" s="4"/>
      <c r="H782" s="138"/>
      <c r="I782" s="97"/>
      <c r="J782" s="6"/>
      <c r="K782" s="6"/>
      <c r="L782" s="6"/>
      <c r="M782" s="6"/>
      <c r="N782" s="6"/>
      <c r="O782" s="6"/>
      <c r="P782" s="6"/>
      <c r="Q782" s="6"/>
      <c r="R782" s="6"/>
      <c r="S782" s="6"/>
      <c r="T782" s="6"/>
      <c r="U782" s="6"/>
      <c r="V782" s="339"/>
      <c r="W782" s="339"/>
      <c r="X782" s="6"/>
      <c r="Y782" s="206"/>
      <c r="AE782" s="6"/>
      <c r="AF782" s="6"/>
      <c r="AG782" s="6"/>
      <c r="AH782" s="206"/>
      <c r="AJ782" s="213"/>
      <c r="AK782" s="6"/>
      <c r="AL782" s="6"/>
      <c r="AM782" s="6"/>
      <c r="AN782" s="206"/>
      <c r="AP782" s="213"/>
      <c r="AQ782" s="6"/>
      <c r="AR782" s="6"/>
      <c r="AS782" s="6"/>
      <c r="AT782" s="206"/>
      <c r="AV782" s="213"/>
      <c r="AW782" s="6"/>
      <c r="AX782" s="6"/>
      <c r="AY782" s="6"/>
      <c r="AZ782" s="206"/>
    </row>
    <row r="783" spans="4:52" s="2" customFormat="1" ht="17.100000000000001" customHeight="1" x14ac:dyDescent="0.25">
      <c r="D783" s="3"/>
      <c r="E783" s="3"/>
      <c r="F783" s="4"/>
      <c r="G783" s="4"/>
      <c r="H783" s="138"/>
      <c r="I783" s="97"/>
      <c r="J783" s="6"/>
      <c r="K783" s="6"/>
      <c r="L783" s="6"/>
      <c r="M783" s="6"/>
      <c r="N783" s="6"/>
      <c r="O783" s="6"/>
      <c r="P783" s="6"/>
      <c r="Q783" s="6"/>
      <c r="R783" s="6"/>
      <c r="S783" s="6"/>
      <c r="T783" s="6"/>
      <c r="U783" s="6"/>
      <c r="V783" s="339"/>
      <c r="W783" s="339"/>
      <c r="X783" s="6"/>
      <c r="Y783" s="206"/>
      <c r="AE783" s="6"/>
      <c r="AF783" s="6"/>
      <c r="AG783" s="6"/>
      <c r="AH783" s="206"/>
      <c r="AJ783" s="213"/>
      <c r="AK783" s="6"/>
      <c r="AL783" s="6"/>
      <c r="AM783" s="6"/>
      <c r="AN783" s="206"/>
      <c r="AP783" s="213"/>
      <c r="AQ783" s="6"/>
      <c r="AR783" s="6"/>
      <c r="AS783" s="6"/>
      <c r="AT783" s="206"/>
      <c r="AV783" s="213"/>
      <c r="AW783" s="6"/>
      <c r="AX783" s="6"/>
      <c r="AY783" s="6"/>
      <c r="AZ783" s="206"/>
    </row>
    <row r="784" spans="4:52" s="2" customFormat="1" ht="17.100000000000001" customHeight="1" x14ac:dyDescent="0.25">
      <c r="D784" s="3"/>
      <c r="E784" s="3"/>
      <c r="F784" s="4"/>
      <c r="G784" s="4"/>
      <c r="H784" s="138"/>
      <c r="I784" s="97"/>
      <c r="J784" s="6"/>
      <c r="K784" s="6"/>
      <c r="L784" s="6"/>
      <c r="M784" s="6"/>
      <c r="N784" s="6"/>
      <c r="O784" s="6"/>
      <c r="P784" s="6"/>
      <c r="Q784" s="6"/>
      <c r="R784" s="6"/>
      <c r="S784" s="6"/>
      <c r="T784" s="6"/>
      <c r="U784" s="6"/>
      <c r="V784" s="339"/>
      <c r="W784" s="339"/>
      <c r="X784" s="6"/>
      <c r="Y784" s="206"/>
      <c r="AE784" s="6"/>
      <c r="AF784" s="6"/>
      <c r="AG784" s="6"/>
      <c r="AH784" s="206"/>
      <c r="AJ784" s="213"/>
      <c r="AK784" s="6"/>
      <c r="AL784" s="6"/>
      <c r="AM784" s="6"/>
      <c r="AN784" s="206"/>
      <c r="AP784" s="213"/>
      <c r="AQ784" s="6"/>
      <c r="AR784" s="6"/>
      <c r="AS784" s="6"/>
      <c r="AT784" s="206"/>
      <c r="AV784" s="213"/>
      <c r="AW784" s="6"/>
      <c r="AX784" s="6"/>
      <c r="AY784" s="6"/>
      <c r="AZ784" s="206"/>
    </row>
    <row r="785" spans="4:52" s="2" customFormat="1" ht="17.100000000000001" customHeight="1" x14ac:dyDescent="0.25">
      <c r="D785" s="3"/>
      <c r="E785" s="3"/>
      <c r="F785" s="4"/>
      <c r="G785" s="4"/>
      <c r="H785" s="138"/>
      <c r="I785" s="97"/>
      <c r="J785" s="6"/>
      <c r="K785" s="6"/>
      <c r="L785" s="6"/>
      <c r="M785" s="6"/>
      <c r="N785" s="6"/>
      <c r="O785" s="6"/>
      <c r="P785" s="6"/>
      <c r="Q785" s="6"/>
      <c r="R785" s="6"/>
      <c r="S785" s="6"/>
      <c r="T785" s="6"/>
      <c r="U785" s="6"/>
      <c r="V785" s="339"/>
      <c r="W785" s="339"/>
      <c r="X785" s="6"/>
      <c r="Y785" s="206"/>
      <c r="AE785" s="6"/>
      <c r="AF785" s="6"/>
      <c r="AG785" s="6"/>
      <c r="AH785" s="206"/>
      <c r="AJ785" s="213"/>
      <c r="AK785" s="6"/>
      <c r="AL785" s="6"/>
      <c r="AM785" s="6"/>
      <c r="AN785" s="206"/>
      <c r="AP785" s="213"/>
      <c r="AQ785" s="6"/>
      <c r="AR785" s="6"/>
      <c r="AS785" s="6"/>
      <c r="AT785" s="206"/>
      <c r="AV785" s="213"/>
      <c r="AW785" s="6"/>
      <c r="AX785" s="6"/>
      <c r="AY785" s="6"/>
      <c r="AZ785" s="206"/>
    </row>
    <row r="786" spans="4:52" s="2" customFormat="1" ht="17.100000000000001" customHeight="1" x14ac:dyDescent="0.25">
      <c r="D786" s="3"/>
      <c r="E786" s="3"/>
      <c r="F786" s="4"/>
      <c r="G786" s="4"/>
      <c r="H786" s="138"/>
      <c r="I786" s="97"/>
      <c r="J786" s="6"/>
      <c r="K786" s="6"/>
      <c r="L786" s="6"/>
      <c r="M786" s="6"/>
      <c r="N786" s="6"/>
      <c r="O786" s="6"/>
      <c r="P786" s="6"/>
      <c r="Q786" s="6"/>
      <c r="R786" s="6"/>
      <c r="S786" s="6"/>
      <c r="T786" s="6"/>
      <c r="U786" s="6"/>
      <c r="V786" s="339"/>
      <c r="W786" s="339"/>
      <c r="X786" s="6"/>
      <c r="Y786" s="206"/>
      <c r="AE786" s="6"/>
      <c r="AF786" s="6"/>
      <c r="AG786" s="6"/>
      <c r="AH786" s="206"/>
      <c r="AJ786" s="213"/>
      <c r="AK786" s="6"/>
      <c r="AL786" s="6"/>
      <c r="AM786" s="6"/>
      <c r="AN786" s="206"/>
      <c r="AP786" s="213"/>
      <c r="AQ786" s="6"/>
      <c r="AR786" s="6"/>
      <c r="AS786" s="6"/>
      <c r="AT786" s="206"/>
      <c r="AV786" s="213"/>
      <c r="AW786" s="6"/>
      <c r="AX786" s="6"/>
      <c r="AY786" s="6"/>
      <c r="AZ786" s="206"/>
    </row>
    <row r="787" spans="4:52" s="2" customFormat="1" ht="17.100000000000001" customHeight="1" x14ac:dyDescent="0.25">
      <c r="D787" s="3"/>
      <c r="E787" s="3"/>
      <c r="F787" s="4"/>
      <c r="G787" s="4"/>
      <c r="H787" s="138"/>
      <c r="I787" s="97"/>
      <c r="J787" s="6"/>
      <c r="K787" s="6"/>
      <c r="L787" s="6"/>
      <c r="M787" s="6"/>
      <c r="N787" s="6"/>
      <c r="O787" s="6"/>
      <c r="P787" s="6"/>
      <c r="Q787" s="6"/>
      <c r="R787" s="6"/>
      <c r="S787" s="6"/>
      <c r="T787" s="6"/>
      <c r="U787" s="6"/>
      <c r="V787" s="339"/>
      <c r="W787" s="339"/>
      <c r="X787" s="6"/>
      <c r="Y787" s="206"/>
      <c r="AE787" s="6"/>
      <c r="AF787" s="6"/>
      <c r="AG787" s="6"/>
      <c r="AH787" s="206"/>
      <c r="AJ787" s="213"/>
      <c r="AK787" s="6"/>
      <c r="AL787" s="6"/>
      <c r="AM787" s="6"/>
      <c r="AN787" s="206"/>
      <c r="AP787" s="213"/>
      <c r="AQ787" s="6"/>
      <c r="AR787" s="6"/>
      <c r="AS787" s="6"/>
      <c r="AT787" s="206"/>
      <c r="AV787" s="213"/>
      <c r="AW787" s="6"/>
      <c r="AX787" s="6"/>
      <c r="AY787" s="6"/>
      <c r="AZ787" s="206"/>
    </row>
    <row r="788" spans="4:52" s="2" customFormat="1" ht="17.100000000000001" customHeight="1" x14ac:dyDescent="0.25">
      <c r="D788" s="3"/>
      <c r="E788" s="3"/>
      <c r="F788" s="4"/>
      <c r="G788" s="4"/>
      <c r="H788" s="138"/>
      <c r="I788" s="97"/>
      <c r="J788" s="6"/>
      <c r="K788" s="6"/>
      <c r="L788" s="6"/>
      <c r="M788" s="6"/>
      <c r="N788" s="6"/>
      <c r="O788" s="6"/>
      <c r="P788" s="6"/>
      <c r="Q788" s="6"/>
      <c r="R788" s="6"/>
      <c r="S788" s="6"/>
      <c r="T788" s="6"/>
      <c r="U788" s="6"/>
      <c r="V788" s="339"/>
      <c r="W788" s="339"/>
      <c r="X788" s="6"/>
      <c r="Y788" s="206"/>
      <c r="AE788" s="6"/>
      <c r="AF788" s="6"/>
      <c r="AG788" s="6"/>
      <c r="AH788" s="206"/>
      <c r="AJ788" s="213"/>
      <c r="AK788" s="6"/>
      <c r="AL788" s="6"/>
      <c r="AM788" s="6"/>
      <c r="AN788" s="206"/>
      <c r="AP788" s="213"/>
      <c r="AQ788" s="6"/>
      <c r="AR788" s="6"/>
      <c r="AS788" s="6"/>
      <c r="AT788" s="206"/>
      <c r="AV788" s="213"/>
      <c r="AW788" s="6"/>
      <c r="AX788" s="6"/>
      <c r="AY788" s="6"/>
      <c r="AZ788" s="206"/>
    </row>
    <row r="789" spans="4:52" s="2" customFormat="1" ht="17.100000000000001" customHeight="1" x14ac:dyDescent="0.25">
      <c r="D789" s="3"/>
      <c r="E789" s="3"/>
      <c r="F789" s="4"/>
      <c r="G789" s="4"/>
      <c r="H789" s="138"/>
      <c r="I789" s="97"/>
      <c r="J789" s="6"/>
      <c r="K789" s="6"/>
      <c r="L789" s="6"/>
      <c r="M789" s="6"/>
      <c r="N789" s="6"/>
      <c r="O789" s="6"/>
      <c r="P789" s="6"/>
      <c r="Q789" s="6"/>
      <c r="R789" s="6"/>
      <c r="S789" s="6"/>
      <c r="T789" s="6"/>
      <c r="U789" s="6"/>
      <c r="V789" s="339"/>
      <c r="W789" s="339"/>
      <c r="X789" s="6"/>
      <c r="Y789" s="206"/>
      <c r="AE789" s="6"/>
      <c r="AF789" s="6"/>
      <c r="AG789" s="6"/>
      <c r="AH789" s="206"/>
      <c r="AJ789" s="213"/>
      <c r="AK789" s="6"/>
      <c r="AL789" s="6"/>
      <c r="AM789" s="6"/>
      <c r="AN789" s="206"/>
      <c r="AP789" s="213"/>
      <c r="AQ789" s="6"/>
      <c r="AR789" s="6"/>
      <c r="AS789" s="6"/>
      <c r="AT789" s="206"/>
      <c r="AV789" s="213"/>
      <c r="AW789" s="6"/>
      <c r="AX789" s="6"/>
      <c r="AY789" s="6"/>
      <c r="AZ789" s="206"/>
    </row>
    <row r="790" spans="4:52" s="2" customFormat="1" ht="17.100000000000001" customHeight="1" x14ac:dyDescent="0.25">
      <c r="D790" s="3"/>
      <c r="E790" s="3"/>
      <c r="F790" s="4"/>
      <c r="G790" s="4"/>
      <c r="H790" s="138"/>
      <c r="I790" s="97"/>
      <c r="J790" s="6"/>
      <c r="K790" s="6"/>
      <c r="L790" s="6"/>
      <c r="M790" s="6"/>
      <c r="N790" s="6"/>
      <c r="O790" s="6"/>
      <c r="P790" s="6"/>
      <c r="Q790" s="6"/>
      <c r="R790" s="6"/>
      <c r="S790" s="6"/>
      <c r="T790" s="6"/>
      <c r="U790" s="6"/>
      <c r="V790" s="339"/>
      <c r="W790" s="339"/>
      <c r="X790" s="6"/>
      <c r="Y790" s="206"/>
      <c r="AE790" s="6"/>
      <c r="AF790" s="6"/>
      <c r="AG790" s="6"/>
      <c r="AH790" s="206"/>
      <c r="AJ790" s="213"/>
      <c r="AK790" s="6"/>
      <c r="AL790" s="6"/>
      <c r="AM790" s="6"/>
      <c r="AN790" s="206"/>
      <c r="AP790" s="213"/>
      <c r="AQ790" s="6"/>
      <c r="AR790" s="6"/>
      <c r="AS790" s="6"/>
      <c r="AT790" s="206"/>
      <c r="AV790" s="213"/>
      <c r="AW790" s="6"/>
      <c r="AX790" s="6"/>
      <c r="AY790" s="6"/>
      <c r="AZ790" s="206"/>
    </row>
    <row r="791" spans="4:52" s="2" customFormat="1" ht="17.100000000000001" customHeight="1" x14ac:dyDescent="0.25">
      <c r="D791" s="3"/>
      <c r="E791" s="3"/>
      <c r="F791" s="4"/>
      <c r="G791" s="4"/>
      <c r="H791" s="138"/>
      <c r="I791" s="97"/>
      <c r="J791" s="6"/>
      <c r="K791" s="6"/>
      <c r="L791" s="6"/>
      <c r="M791" s="6"/>
      <c r="N791" s="6"/>
      <c r="O791" s="6"/>
      <c r="P791" s="6"/>
      <c r="Q791" s="6"/>
      <c r="R791" s="6"/>
      <c r="S791" s="6"/>
      <c r="T791" s="6"/>
      <c r="U791" s="6"/>
      <c r="V791" s="339"/>
      <c r="W791" s="339"/>
      <c r="X791" s="6"/>
      <c r="Y791" s="206"/>
      <c r="AE791" s="6"/>
      <c r="AF791" s="6"/>
      <c r="AG791" s="6"/>
      <c r="AH791" s="206"/>
      <c r="AJ791" s="213"/>
      <c r="AK791" s="6"/>
      <c r="AL791" s="6"/>
      <c r="AM791" s="6"/>
      <c r="AN791" s="206"/>
      <c r="AP791" s="213"/>
      <c r="AQ791" s="6"/>
      <c r="AR791" s="6"/>
      <c r="AS791" s="6"/>
      <c r="AT791" s="206"/>
      <c r="AV791" s="213"/>
      <c r="AW791" s="6"/>
      <c r="AX791" s="6"/>
      <c r="AY791" s="6"/>
      <c r="AZ791" s="206"/>
    </row>
    <row r="792" spans="4:52" s="2" customFormat="1" ht="17.100000000000001" customHeight="1" x14ac:dyDescent="0.25">
      <c r="D792" s="3"/>
      <c r="E792" s="3"/>
      <c r="F792" s="4"/>
      <c r="G792" s="4"/>
      <c r="H792" s="138"/>
      <c r="I792" s="97"/>
      <c r="J792" s="6"/>
      <c r="K792" s="6"/>
      <c r="L792" s="6"/>
      <c r="M792" s="6"/>
      <c r="N792" s="6"/>
      <c r="O792" s="6"/>
      <c r="P792" s="6"/>
      <c r="Q792" s="6"/>
      <c r="R792" s="6"/>
      <c r="S792" s="6"/>
      <c r="T792" s="6"/>
      <c r="U792" s="6"/>
      <c r="V792" s="339"/>
      <c r="W792" s="339"/>
      <c r="X792" s="6"/>
      <c r="Y792" s="206"/>
      <c r="AE792" s="6"/>
      <c r="AF792" s="6"/>
      <c r="AG792" s="6"/>
      <c r="AH792" s="206"/>
      <c r="AJ792" s="213"/>
      <c r="AK792" s="6"/>
      <c r="AL792" s="6"/>
      <c r="AM792" s="6"/>
      <c r="AN792" s="206"/>
      <c r="AP792" s="213"/>
      <c r="AQ792" s="6"/>
      <c r="AR792" s="6"/>
      <c r="AS792" s="6"/>
      <c r="AT792" s="206"/>
      <c r="AV792" s="213"/>
      <c r="AW792" s="6"/>
      <c r="AX792" s="6"/>
      <c r="AY792" s="6"/>
      <c r="AZ792" s="206"/>
    </row>
    <row r="793" spans="4:52" s="2" customFormat="1" ht="17.100000000000001" customHeight="1" x14ac:dyDescent="0.25">
      <c r="D793" s="3"/>
      <c r="E793" s="3"/>
      <c r="F793" s="4"/>
      <c r="G793" s="4"/>
      <c r="H793" s="138"/>
      <c r="I793" s="97"/>
      <c r="J793" s="6"/>
      <c r="K793" s="6"/>
      <c r="L793" s="6"/>
      <c r="M793" s="6"/>
      <c r="N793" s="6"/>
      <c r="O793" s="6"/>
      <c r="P793" s="6"/>
      <c r="Q793" s="6"/>
      <c r="R793" s="6"/>
      <c r="S793" s="6"/>
      <c r="T793" s="6"/>
      <c r="U793" s="6"/>
      <c r="V793" s="339"/>
      <c r="W793" s="339"/>
      <c r="X793" s="6"/>
      <c r="Y793" s="206"/>
      <c r="AE793" s="6"/>
      <c r="AF793" s="6"/>
      <c r="AG793" s="6"/>
      <c r="AH793" s="206"/>
      <c r="AJ793" s="213"/>
      <c r="AK793" s="6"/>
      <c r="AL793" s="6"/>
      <c r="AM793" s="6"/>
      <c r="AN793" s="206"/>
      <c r="AP793" s="213"/>
      <c r="AQ793" s="6"/>
      <c r="AR793" s="6"/>
      <c r="AS793" s="6"/>
      <c r="AT793" s="206"/>
      <c r="AV793" s="213"/>
      <c r="AW793" s="6"/>
      <c r="AX793" s="6"/>
      <c r="AY793" s="6"/>
      <c r="AZ793" s="206"/>
    </row>
    <row r="794" spans="4:52" s="2" customFormat="1" ht="17.100000000000001" customHeight="1" x14ac:dyDescent="0.25">
      <c r="D794" s="3"/>
      <c r="E794" s="3"/>
      <c r="F794" s="4"/>
      <c r="G794" s="4"/>
      <c r="H794" s="138"/>
      <c r="I794" s="97"/>
      <c r="J794" s="6"/>
      <c r="K794" s="6"/>
      <c r="L794" s="6"/>
      <c r="M794" s="6"/>
      <c r="N794" s="6"/>
      <c r="O794" s="6"/>
      <c r="P794" s="6"/>
      <c r="Q794" s="6"/>
      <c r="R794" s="6"/>
      <c r="S794" s="6"/>
      <c r="T794" s="6"/>
      <c r="U794" s="6"/>
      <c r="V794" s="339"/>
      <c r="W794" s="339"/>
      <c r="X794" s="6"/>
      <c r="Y794" s="206"/>
      <c r="AE794" s="6"/>
      <c r="AF794" s="6"/>
      <c r="AG794" s="6"/>
      <c r="AH794" s="206"/>
      <c r="AJ794" s="213"/>
      <c r="AK794" s="6"/>
      <c r="AL794" s="6"/>
      <c r="AM794" s="6"/>
      <c r="AN794" s="206"/>
      <c r="AP794" s="213"/>
      <c r="AQ794" s="6"/>
      <c r="AR794" s="6"/>
      <c r="AS794" s="6"/>
      <c r="AT794" s="206"/>
      <c r="AV794" s="213"/>
      <c r="AW794" s="6"/>
      <c r="AX794" s="6"/>
      <c r="AY794" s="6"/>
      <c r="AZ794" s="206"/>
    </row>
    <row r="795" spans="4:52" s="2" customFormat="1" ht="17.100000000000001" customHeight="1" x14ac:dyDescent="0.25">
      <c r="D795" s="3"/>
      <c r="E795" s="3"/>
      <c r="F795" s="4"/>
      <c r="G795" s="4"/>
      <c r="H795" s="138"/>
      <c r="I795" s="97"/>
      <c r="J795" s="6"/>
      <c r="K795" s="6"/>
      <c r="L795" s="6"/>
      <c r="M795" s="6"/>
      <c r="N795" s="6"/>
      <c r="O795" s="6"/>
      <c r="P795" s="6"/>
      <c r="Q795" s="6"/>
      <c r="R795" s="6"/>
      <c r="S795" s="6"/>
      <c r="T795" s="6"/>
      <c r="U795" s="6"/>
      <c r="V795" s="339"/>
      <c r="W795" s="339"/>
      <c r="X795" s="6"/>
      <c r="Y795" s="206"/>
      <c r="AE795" s="6"/>
      <c r="AF795" s="6"/>
      <c r="AG795" s="6"/>
      <c r="AH795" s="206"/>
      <c r="AJ795" s="213"/>
      <c r="AK795" s="6"/>
      <c r="AL795" s="6"/>
      <c r="AM795" s="6"/>
      <c r="AN795" s="206"/>
      <c r="AP795" s="213"/>
      <c r="AQ795" s="6"/>
      <c r="AR795" s="6"/>
      <c r="AS795" s="6"/>
      <c r="AT795" s="206"/>
      <c r="AV795" s="213"/>
      <c r="AW795" s="6"/>
      <c r="AX795" s="6"/>
      <c r="AY795" s="6"/>
      <c r="AZ795" s="206"/>
    </row>
    <row r="796" spans="4:52" s="2" customFormat="1" ht="17.100000000000001" customHeight="1" x14ac:dyDescent="0.25">
      <c r="D796" s="3"/>
      <c r="E796" s="3"/>
      <c r="F796" s="4"/>
      <c r="G796" s="4"/>
      <c r="H796" s="138"/>
      <c r="I796" s="97"/>
      <c r="J796" s="6"/>
      <c r="K796" s="6"/>
      <c r="L796" s="6"/>
      <c r="M796" s="6"/>
      <c r="N796" s="6"/>
      <c r="O796" s="6"/>
      <c r="P796" s="6"/>
      <c r="Q796" s="6"/>
      <c r="R796" s="6"/>
      <c r="S796" s="6"/>
      <c r="T796" s="6"/>
      <c r="U796" s="6"/>
      <c r="V796" s="339"/>
      <c r="W796" s="339"/>
      <c r="X796" s="6"/>
      <c r="Y796" s="206"/>
      <c r="AE796" s="6"/>
      <c r="AF796" s="6"/>
      <c r="AG796" s="6"/>
      <c r="AH796" s="206"/>
      <c r="AJ796" s="213"/>
      <c r="AK796" s="6"/>
      <c r="AL796" s="6"/>
      <c r="AM796" s="6"/>
      <c r="AN796" s="206"/>
      <c r="AP796" s="213"/>
      <c r="AQ796" s="6"/>
      <c r="AR796" s="6"/>
      <c r="AS796" s="6"/>
      <c r="AT796" s="206"/>
      <c r="AV796" s="213"/>
      <c r="AW796" s="6"/>
      <c r="AX796" s="6"/>
      <c r="AY796" s="6"/>
      <c r="AZ796" s="206"/>
    </row>
    <row r="797" spans="4:52" s="2" customFormat="1" ht="17.100000000000001" customHeight="1" x14ac:dyDescent="0.25">
      <c r="D797" s="3"/>
      <c r="E797" s="3"/>
      <c r="F797" s="4"/>
      <c r="G797" s="4"/>
      <c r="H797" s="138"/>
      <c r="I797" s="97"/>
      <c r="J797" s="6"/>
      <c r="K797" s="6"/>
      <c r="L797" s="6"/>
      <c r="M797" s="6"/>
      <c r="N797" s="6"/>
      <c r="O797" s="6"/>
      <c r="P797" s="6"/>
      <c r="Q797" s="6"/>
      <c r="R797" s="6"/>
      <c r="S797" s="6"/>
      <c r="T797" s="6"/>
      <c r="U797" s="6"/>
      <c r="V797" s="339"/>
      <c r="W797" s="339"/>
      <c r="X797" s="6"/>
      <c r="Y797" s="206"/>
      <c r="AE797" s="6"/>
      <c r="AF797" s="6"/>
      <c r="AG797" s="6"/>
      <c r="AH797" s="206"/>
      <c r="AJ797" s="213"/>
      <c r="AK797" s="6"/>
      <c r="AL797" s="6"/>
      <c r="AM797" s="6"/>
      <c r="AN797" s="206"/>
      <c r="AP797" s="213"/>
      <c r="AQ797" s="6"/>
      <c r="AR797" s="6"/>
      <c r="AS797" s="6"/>
      <c r="AT797" s="206"/>
      <c r="AV797" s="213"/>
      <c r="AW797" s="6"/>
      <c r="AX797" s="6"/>
      <c r="AY797" s="6"/>
      <c r="AZ797" s="206"/>
    </row>
    <row r="798" spans="4:52" s="2" customFormat="1" ht="17.100000000000001" customHeight="1" x14ac:dyDescent="0.25">
      <c r="D798" s="3"/>
      <c r="E798" s="3"/>
      <c r="F798" s="4"/>
      <c r="G798" s="4"/>
      <c r="H798" s="138"/>
      <c r="I798" s="97"/>
      <c r="J798" s="6"/>
      <c r="K798" s="6"/>
      <c r="L798" s="6"/>
      <c r="M798" s="6"/>
      <c r="N798" s="6"/>
      <c r="O798" s="6"/>
      <c r="P798" s="6"/>
      <c r="Q798" s="6"/>
      <c r="R798" s="6"/>
      <c r="S798" s="6"/>
      <c r="T798" s="6"/>
      <c r="U798" s="6"/>
      <c r="V798" s="339"/>
      <c r="W798" s="339"/>
      <c r="X798" s="6"/>
      <c r="Y798" s="206"/>
      <c r="AE798" s="6"/>
      <c r="AF798" s="6"/>
      <c r="AG798" s="6"/>
      <c r="AH798" s="206"/>
      <c r="AJ798" s="213"/>
      <c r="AK798" s="6"/>
      <c r="AL798" s="6"/>
      <c r="AM798" s="6"/>
      <c r="AN798" s="206"/>
      <c r="AP798" s="213"/>
      <c r="AQ798" s="6"/>
      <c r="AR798" s="6"/>
      <c r="AS798" s="6"/>
      <c r="AT798" s="206"/>
      <c r="AV798" s="213"/>
      <c r="AW798" s="6"/>
      <c r="AX798" s="6"/>
      <c r="AY798" s="6"/>
      <c r="AZ798" s="206"/>
    </row>
    <row r="799" spans="4:52" s="2" customFormat="1" ht="17.100000000000001" customHeight="1" x14ac:dyDescent="0.25">
      <c r="D799" s="3"/>
      <c r="E799" s="3"/>
      <c r="F799" s="4"/>
      <c r="G799" s="4"/>
      <c r="H799" s="138"/>
      <c r="I799" s="97"/>
      <c r="J799" s="6"/>
      <c r="K799" s="6"/>
      <c r="L799" s="6"/>
      <c r="M799" s="6"/>
      <c r="N799" s="6"/>
      <c r="O799" s="6"/>
      <c r="P799" s="6"/>
      <c r="Q799" s="6"/>
      <c r="R799" s="6"/>
      <c r="S799" s="6"/>
      <c r="T799" s="6"/>
      <c r="U799" s="6"/>
      <c r="V799" s="339"/>
      <c r="W799" s="339"/>
      <c r="X799" s="6"/>
      <c r="Y799" s="206"/>
      <c r="AE799" s="6"/>
      <c r="AF799" s="6"/>
      <c r="AG799" s="6"/>
      <c r="AH799" s="206"/>
      <c r="AJ799" s="213"/>
      <c r="AK799" s="6"/>
      <c r="AL799" s="6"/>
      <c r="AM799" s="6"/>
      <c r="AN799" s="206"/>
      <c r="AP799" s="213"/>
      <c r="AQ799" s="6"/>
      <c r="AR799" s="6"/>
      <c r="AS799" s="6"/>
      <c r="AT799" s="206"/>
      <c r="AV799" s="213"/>
      <c r="AW799" s="6"/>
      <c r="AX799" s="6"/>
      <c r="AY799" s="6"/>
      <c r="AZ799" s="206"/>
    </row>
    <row r="800" spans="4:52" s="2" customFormat="1" ht="17.100000000000001" customHeight="1" x14ac:dyDescent="0.25">
      <c r="D800" s="3"/>
      <c r="E800" s="3"/>
      <c r="F800" s="4"/>
      <c r="G800" s="4"/>
      <c r="H800" s="138"/>
      <c r="I800" s="97"/>
      <c r="J800" s="6"/>
      <c r="K800" s="6"/>
      <c r="L800" s="6"/>
      <c r="M800" s="6"/>
      <c r="N800" s="6"/>
      <c r="O800" s="6"/>
      <c r="P800" s="6"/>
      <c r="Q800" s="6"/>
      <c r="R800" s="6"/>
      <c r="S800" s="6"/>
      <c r="T800" s="6"/>
      <c r="U800" s="6"/>
      <c r="V800" s="339"/>
      <c r="W800" s="339"/>
      <c r="X800" s="6"/>
      <c r="Y800" s="206"/>
      <c r="AE800" s="6"/>
      <c r="AF800" s="6"/>
      <c r="AG800" s="6"/>
      <c r="AH800" s="206"/>
      <c r="AJ800" s="213"/>
      <c r="AK800" s="6"/>
      <c r="AL800" s="6"/>
      <c r="AM800" s="6"/>
      <c r="AN800" s="206"/>
      <c r="AP800" s="213"/>
      <c r="AQ800" s="6"/>
      <c r="AR800" s="6"/>
      <c r="AS800" s="6"/>
      <c r="AT800" s="206"/>
      <c r="AV800" s="213"/>
      <c r="AW800" s="6"/>
      <c r="AX800" s="6"/>
      <c r="AY800" s="6"/>
      <c r="AZ800" s="206"/>
    </row>
    <row r="801" spans="4:52" s="2" customFormat="1" ht="17.100000000000001" customHeight="1" x14ac:dyDescent="0.25">
      <c r="D801" s="3"/>
      <c r="E801" s="3"/>
      <c r="F801" s="4"/>
      <c r="G801" s="4"/>
      <c r="H801" s="138"/>
      <c r="I801" s="97"/>
      <c r="J801" s="6"/>
      <c r="K801" s="6"/>
      <c r="L801" s="6"/>
      <c r="M801" s="6"/>
      <c r="N801" s="6"/>
      <c r="O801" s="6"/>
      <c r="P801" s="6"/>
      <c r="Q801" s="6"/>
      <c r="R801" s="6"/>
      <c r="S801" s="6"/>
      <c r="T801" s="6"/>
      <c r="U801" s="6"/>
      <c r="V801" s="339"/>
      <c r="W801" s="339"/>
      <c r="X801" s="6"/>
      <c r="Y801" s="206"/>
      <c r="AE801" s="6"/>
      <c r="AF801" s="6"/>
      <c r="AG801" s="6"/>
      <c r="AH801" s="206"/>
      <c r="AJ801" s="213"/>
      <c r="AK801" s="6"/>
      <c r="AL801" s="6"/>
      <c r="AM801" s="6"/>
      <c r="AN801" s="206"/>
      <c r="AP801" s="213"/>
      <c r="AQ801" s="6"/>
      <c r="AR801" s="6"/>
      <c r="AS801" s="6"/>
      <c r="AT801" s="206"/>
      <c r="AV801" s="213"/>
      <c r="AW801" s="6"/>
      <c r="AX801" s="6"/>
      <c r="AY801" s="6"/>
      <c r="AZ801" s="206"/>
    </row>
    <row r="802" spans="4:52" s="2" customFormat="1" ht="17.100000000000001" customHeight="1" x14ac:dyDescent="0.25">
      <c r="D802" s="3"/>
      <c r="E802" s="3"/>
      <c r="F802" s="4"/>
      <c r="G802" s="4"/>
      <c r="H802" s="138"/>
      <c r="I802" s="97"/>
      <c r="J802" s="6"/>
      <c r="K802" s="6"/>
      <c r="L802" s="6"/>
      <c r="M802" s="6"/>
      <c r="N802" s="6"/>
      <c r="O802" s="6"/>
      <c r="P802" s="6"/>
      <c r="Q802" s="6"/>
      <c r="R802" s="6"/>
      <c r="S802" s="6"/>
      <c r="T802" s="6"/>
      <c r="U802" s="6"/>
      <c r="V802" s="339"/>
      <c r="W802" s="339"/>
      <c r="X802" s="6"/>
      <c r="Y802" s="206"/>
      <c r="AE802" s="6"/>
      <c r="AF802" s="6"/>
      <c r="AG802" s="6"/>
      <c r="AH802" s="206"/>
      <c r="AJ802" s="213"/>
      <c r="AK802" s="6"/>
      <c r="AL802" s="6"/>
      <c r="AM802" s="6"/>
      <c r="AN802" s="206"/>
      <c r="AP802" s="213"/>
      <c r="AQ802" s="6"/>
      <c r="AR802" s="6"/>
      <c r="AS802" s="6"/>
      <c r="AT802" s="206"/>
      <c r="AV802" s="213"/>
      <c r="AW802" s="6"/>
      <c r="AX802" s="6"/>
      <c r="AY802" s="6"/>
      <c r="AZ802" s="206"/>
    </row>
    <row r="803" spans="4:52" s="2" customFormat="1" ht="17.100000000000001" customHeight="1" x14ac:dyDescent="0.25">
      <c r="D803" s="3"/>
      <c r="E803" s="3"/>
      <c r="F803" s="4"/>
      <c r="G803" s="4"/>
      <c r="H803" s="138"/>
      <c r="I803" s="97"/>
      <c r="J803" s="6"/>
      <c r="K803" s="6"/>
      <c r="L803" s="6"/>
      <c r="M803" s="6"/>
      <c r="N803" s="6"/>
      <c r="O803" s="6"/>
      <c r="P803" s="6"/>
      <c r="Q803" s="6"/>
      <c r="R803" s="6"/>
      <c r="S803" s="6"/>
      <c r="T803" s="6"/>
      <c r="U803" s="6"/>
      <c r="V803" s="339"/>
      <c r="W803" s="339"/>
      <c r="X803" s="6"/>
      <c r="Y803" s="206"/>
      <c r="AE803" s="6"/>
      <c r="AF803" s="6"/>
      <c r="AG803" s="6"/>
      <c r="AH803" s="206"/>
      <c r="AJ803" s="213"/>
      <c r="AK803" s="6"/>
      <c r="AL803" s="6"/>
      <c r="AM803" s="6"/>
      <c r="AN803" s="206"/>
      <c r="AP803" s="213"/>
      <c r="AQ803" s="6"/>
      <c r="AR803" s="6"/>
      <c r="AS803" s="6"/>
      <c r="AT803" s="206"/>
      <c r="AV803" s="213"/>
      <c r="AW803" s="6"/>
      <c r="AX803" s="6"/>
      <c r="AY803" s="6"/>
      <c r="AZ803" s="206"/>
    </row>
    <row r="804" spans="4:52" s="2" customFormat="1" ht="17.100000000000001" customHeight="1" x14ac:dyDescent="0.25">
      <c r="D804" s="3"/>
      <c r="E804" s="3"/>
      <c r="F804" s="4"/>
      <c r="G804" s="4"/>
      <c r="H804" s="138"/>
      <c r="I804" s="97"/>
      <c r="J804" s="6"/>
      <c r="K804" s="6"/>
      <c r="L804" s="6"/>
      <c r="M804" s="6"/>
      <c r="N804" s="6"/>
      <c r="O804" s="6"/>
      <c r="P804" s="6"/>
      <c r="Q804" s="6"/>
      <c r="R804" s="6"/>
      <c r="S804" s="6"/>
      <c r="T804" s="6"/>
      <c r="U804" s="6"/>
      <c r="V804" s="339"/>
      <c r="W804" s="339"/>
      <c r="X804" s="6"/>
      <c r="Y804" s="206"/>
      <c r="AE804" s="6"/>
      <c r="AF804" s="6"/>
      <c r="AG804" s="6"/>
      <c r="AH804" s="206"/>
      <c r="AJ804" s="213"/>
      <c r="AK804" s="6"/>
      <c r="AL804" s="6"/>
      <c r="AM804" s="6"/>
      <c r="AN804" s="206"/>
      <c r="AP804" s="213"/>
      <c r="AQ804" s="6"/>
      <c r="AR804" s="6"/>
      <c r="AS804" s="6"/>
      <c r="AT804" s="206"/>
      <c r="AV804" s="213"/>
      <c r="AW804" s="6"/>
      <c r="AX804" s="6"/>
      <c r="AY804" s="6"/>
      <c r="AZ804" s="206"/>
    </row>
    <row r="805" spans="4:52" s="2" customFormat="1" ht="17.100000000000001" customHeight="1" x14ac:dyDescent="0.25">
      <c r="D805" s="3"/>
      <c r="E805" s="3"/>
      <c r="F805" s="4"/>
      <c r="G805" s="4"/>
      <c r="H805" s="138"/>
      <c r="I805" s="97"/>
      <c r="J805" s="6"/>
      <c r="K805" s="6"/>
      <c r="L805" s="6"/>
      <c r="M805" s="6"/>
      <c r="N805" s="6"/>
      <c r="O805" s="6"/>
      <c r="P805" s="6"/>
      <c r="Q805" s="6"/>
      <c r="R805" s="6"/>
      <c r="S805" s="6"/>
      <c r="T805" s="6"/>
      <c r="U805" s="6"/>
      <c r="V805" s="339"/>
      <c r="W805" s="339"/>
      <c r="X805" s="6"/>
      <c r="Y805" s="206"/>
      <c r="AE805" s="6"/>
      <c r="AF805" s="6"/>
      <c r="AG805" s="6"/>
      <c r="AH805" s="206"/>
      <c r="AJ805" s="213"/>
      <c r="AK805" s="6"/>
      <c r="AL805" s="6"/>
      <c r="AM805" s="6"/>
      <c r="AN805" s="206"/>
      <c r="AP805" s="213"/>
      <c r="AQ805" s="6"/>
      <c r="AR805" s="6"/>
      <c r="AS805" s="6"/>
      <c r="AT805" s="206"/>
      <c r="AV805" s="213"/>
      <c r="AW805" s="6"/>
      <c r="AX805" s="6"/>
      <c r="AY805" s="6"/>
      <c r="AZ805" s="206"/>
    </row>
    <row r="806" spans="4:52" s="2" customFormat="1" ht="17.100000000000001" customHeight="1" x14ac:dyDescent="0.25">
      <c r="D806" s="3"/>
      <c r="E806" s="3"/>
      <c r="F806" s="4"/>
      <c r="G806" s="4"/>
      <c r="H806" s="138"/>
      <c r="I806" s="97"/>
      <c r="J806" s="6"/>
      <c r="K806" s="6"/>
      <c r="L806" s="6"/>
      <c r="M806" s="6"/>
      <c r="N806" s="6"/>
      <c r="O806" s="6"/>
      <c r="P806" s="6"/>
      <c r="Q806" s="6"/>
      <c r="R806" s="6"/>
      <c r="S806" s="6"/>
      <c r="T806" s="6"/>
      <c r="U806" s="6"/>
      <c r="V806" s="339"/>
      <c r="W806" s="339"/>
      <c r="X806" s="6"/>
      <c r="Y806" s="206"/>
      <c r="AE806" s="6"/>
      <c r="AF806" s="6"/>
      <c r="AG806" s="6"/>
      <c r="AH806" s="206"/>
      <c r="AJ806" s="213"/>
      <c r="AK806" s="6"/>
      <c r="AL806" s="6"/>
      <c r="AM806" s="6"/>
      <c r="AN806" s="206"/>
      <c r="AP806" s="213"/>
      <c r="AQ806" s="6"/>
      <c r="AR806" s="6"/>
      <c r="AS806" s="6"/>
      <c r="AT806" s="206"/>
      <c r="AV806" s="213"/>
      <c r="AW806" s="6"/>
      <c r="AX806" s="6"/>
      <c r="AY806" s="6"/>
      <c r="AZ806" s="206"/>
    </row>
    <row r="807" spans="4:52" s="2" customFormat="1" ht="17.100000000000001" customHeight="1" x14ac:dyDescent="0.25">
      <c r="D807" s="3"/>
      <c r="E807" s="3"/>
      <c r="F807" s="4"/>
      <c r="G807" s="4"/>
      <c r="H807" s="138"/>
      <c r="I807" s="97"/>
      <c r="J807" s="6"/>
      <c r="K807" s="6"/>
      <c r="L807" s="6"/>
      <c r="M807" s="6"/>
      <c r="N807" s="6"/>
      <c r="O807" s="6"/>
      <c r="P807" s="6"/>
      <c r="Q807" s="6"/>
      <c r="R807" s="6"/>
      <c r="S807" s="6"/>
      <c r="T807" s="6"/>
      <c r="U807" s="6"/>
      <c r="V807" s="339"/>
      <c r="W807" s="339"/>
      <c r="X807" s="6"/>
      <c r="Y807" s="206"/>
      <c r="AE807" s="6"/>
      <c r="AF807" s="6"/>
      <c r="AG807" s="6"/>
      <c r="AH807" s="206"/>
      <c r="AJ807" s="213"/>
      <c r="AK807" s="6"/>
      <c r="AL807" s="6"/>
      <c r="AM807" s="6"/>
      <c r="AN807" s="206"/>
      <c r="AP807" s="213"/>
      <c r="AQ807" s="6"/>
      <c r="AR807" s="6"/>
      <c r="AS807" s="6"/>
      <c r="AT807" s="206"/>
      <c r="AV807" s="213"/>
      <c r="AW807" s="6"/>
      <c r="AX807" s="6"/>
      <c r="AY807" s="6"/>
      <c r="AZ807" s="206"/>
    </row>
    <row r="808" spans="4:52" s="2" customFormat="1" ht="17.100000000000001" customHeight="1" x14ac:dyDescent="0.25">
      <c r="D808" s="3"/>
      <c r="E808" s="3"/>
      <c r="F808" s="4"/>
      <c r="G808" s="4"/>
      <c r="H808" s="138"/>
      <c r="I808" s="97"/>
      <c r="J808" s="6"/>
      <c r="K808" s="6"/>
      <c r="L808" s="6"/>
      <c r="M808" s="6"/>
      <c r="N808" s="6"/>
      <c r="O808" s="6"/>
      <c r="P808" s="6"/>
      <c r="Q808" s="6"/>
      <c r="R808" s="6"/>
      <c r="S808" s="6"/>
      <c r="T808" s="6"/>
      <c r="U808" s="6"/>
      <c r="V808" s="339"/>
      <c r="W808" s="339"/>
      <c r="X808" s="6"/>
      <c r="Y808" s="206"/>
      <c r="AE808" s="6"/>
      <c r="AF808" s="6"/>
      <c r="AG808" s="6"/>
      <c r="AH808" s="206"/>
      <c r="AJ808" s="213"/>
      <c r="AK808" s="6"/>
      <c r="AL808" s="6"/>
      <c r="AM808" s="6"/>
      <c r="AN808" s="206"/>
      <c r="AP808" s="213"/>
      <c r="AQ808" s="6"/>
      <c r="AR808" s="6"/>
      <c r="AS808" s="6"/>
      <c r="AT808" s="206"/>
      <c r="AV808" s="213"/>
      <c r="AW808" s="6"/>
      <c r="AX808" s="6"/>
      <c r="AY808" s="6"/>
      <c r="AZ808" s="206"/>
    </row>
    <row r="809" spans="4:52" s="2" customFormat="1" ht="17.100000000000001" customHeight="1" x14ac:dyDescent="0.25">
      <c r="D809" s="3"/>
      <c r="E809" s="3"/>
      <c r="F809" s="4"/>
      <c r="G809" s="4"/>
      <c r="H809" s="138"/>
      <c r="I809" s="97"/>
      <c r="J809" s="6"/>
      <c r="K809" s="6"/>
      <c r="L809" s="6"/>
      <c r="M809" s="6"/>
      <c r="N809" s="6"/>
      <c r="O809" s="6"/>
      <c r="P809" s="6"/>
      <c r="Q809" s="6"/>
      <c r="R809" s="6"/>
      <c r="S809" s="6"/>
      <c r="T809" s="6"/>
      <c r="U809" s="6"/>
      <c r="V809" s="339"/>
      <c r="W809" s="339"/>
      <c r="X809" s="6"/>
      <c r="Y809" s="206"/>
      <c r="AE809" s="6"/>
      <c r="AF809" s="6"/>
      <c r="AG809" s="6"/>
      <c r="AH809" s="206"/>
      <c r="AJ809" s="213"/>
      <c r="AK809" s="6"/>
      <c r="AL809" s="6"/>
      <c r="AM809" s="6"/>
      <c r="AN809" s="206"/>
      <c r="AP809" s="213"/>
      <c r="AQ809" s="6"/>
      <c r="AR809" s="6"/>
      <c r="AS809" s="6"/>
      <c r="AT809" s="206"/>
      <c r="AV809" s="213"/>
      <c r="AW809" s="6"/>
      <c r="AX809" s="6"/>
      <c r="AY809" s="6"/>
      <c r="AZ809" s="206"/>
    </row>
    <row r="810" spans="4:52" s="2" customFormat="1" ht="17.100000000000001" customHeight="1" x14ac:dyDescent="0.25">
      <c r="D810" s="3"/>
      <c r="E810" s="3"/>
      <c r="F810" s="4"/>
      <c r="G810" s="4"/>
      <c r="H810" s="138"/>
      <c r="I810" s="97"/>
      <c r="J810" s="6"/>
      <c r="K810" s="6"/>
      <c r="L810" s="6"/>
      <c r="M810" s="6"/>
      <c r="N810" s="6"/>
      <c r="O810" s="6"/>
      <c r="P810" s="6"/>
      <c r="Q810" s="6"/>
      <c r="R810" s="6"/>
      <c r="S810" s="6"/>
      <c r="T810" s="6"/>
      <c r="U810" s="6"/>
      <c r="V810" s="339"/>
      <c r="W810" s="339"/>
      <c r="X810" s="6"/>
      <c r="Y810" s="206"/>
      <c r="AE810" s="6"/>
      <c r="AF810" s="6"/>
      <c r="AG810" s="6"/>
      <c r="AH810" s="206"/>
      <c r="AJ810" s="213"/>
      <c r="AK810" s="6"/>
      <c r="AL810" s="6"/>
      <c r="AM810" s="6"/>
      <c r="AN810" s="206"/>
      <c r="AP810" s="213"/>
      <c r="AQ810" s="6"/>
      <c r="AR810" s="6"/>
      <c r="AS810" s="6"/>
      <c r="AT810" s="206"/>
      <c r="AV810" s="213"/>
      <c r="AW810" s="6"/>
      <c r="AX810" s="6"/>
      <c r="AY810" s="6"/>
      <c r="AZ810" s="206"/>
    </row>
    <row r="811" spans="4:52" s="2" customFormat="1" ht="17.100000000000001" customHeight="1" x14ac:dyDescent="0.25">
      <c r="D811" s="3"/>
      <c r="E811" s="3"/>
      <c r="F811" s="4"/>
      <c r="G811" s="4"/>
      <c r="H811" s="138"/>
      <c r="I811" s="97"/>
      <c r="J811" s="6"/>
      <c r="K811" s="6"/>
      <c r="L811" s="6"/>
      <c r="M811" s="6"/>
      <c r="N811" s="6"/>
      <c r="O811" s="6"/>
      <c r="P811" s="6"/>
      <c r="Q811" s="6"/>
      <c r="R811" s="6"/>
      <c r="S811" s="6"/>
      <c r="T811" s="6"/>
      <c r="U811" s="6"/>
      <c r="V811" s="339"/>
      <c r="W811" s="339"/>
      <c r="X811" s="6"/>
      <c r="Y811" s="206"/>
      <c r="AE811" s="6"/>
      <c r="AF811" s="6"/>
      <c r="AG811" s="6"/>
      <c r="AH811" s="206"/>
      <c r="AJ811" s="213"/>
      <c r="AK811" s="6"/>
      <c r="AL811" s="6"/>
      <c r="AM811" s="6"/>
      <c r="AN811" s="206"/>
      <c r="AP811" s="213"/>
      <c r="AQ811" s="6"/>
      <c r="AR811" s="6"/>
      <c r="AS811" s="6"/>
      <c r="AT811" s="206"/>
      <c r="AV811" s="213"/>
      <c r="AW811" s="6"/>
      <c r="AX811" s="6"/>
      <c r="AY811" s="6"/>
      <c r="AZ811" s="206"/>
    </row>
    <row r="812" spans="4:52" s="2" customFormat="1" ht="17.100000000000001" customHeight="1" x14ac:dyDescent="0.25">
      <c r="D812" s="3"/>
      <c r="E812" s="3"/>
      <c r="F812" s="4"/>
      <c r="G812" s="4"/>
      <c r="H812" s="138"/>
      <c r="I812" s="97"/>
      <c r="J812" s="6"/>
      <c r="K812" s="6"/>
      <c r="L812" s="6"/>
      <c r="M812" s="6"/>
      <c r="N812" s="6"/>
      <c r="O812" s="6"/>
      <c r="P812" s="6"/>
      <c r="Q812" s="6"/>
      <c r="R812" s="6"/>
      <c r="S812" s="6"/>
      <c r="T812" s="6"/>
      <c r="U812" s="6"/>
      <c r="V812" s="339"/>
      <c r="W812" s="339"/>
      <c r="X812" s="6"/>
      <c r="Y812" s="206"/>
      <c r="AE812" s="6"/>
      <c r="AF812" s="6"/>
      <c r="AG812" s="6"/>
      <c r="AH812" s="206"/>
      <c r="AJ812" s="213"/>
      <c r="AK812" s="6"/>
      <c r="AL812" s="6"/>
      <c r="AM812" s="6"/>
      <c r="AN812" s="206"/>
      <c r="AP812" s="213"/>
      <c r="AQ812" s="6"/>
      <c r="AR812" s="6"/>
      <c r="AS812" s="6"/>
      <c r="AT812" s="206"/>
      <c r="AV812" s="213"/>
      <c r="AW812" s="6"/>
      <c r="AX812" s="6"/>
      <c r="AY812" s="6"/>
      <c r="AZ812" s="206"/>
    </row>
    <row r="813" spans="4:52" s="2" customFormat="1" ht="17.100000000000001" customHeight="1" x14ac:dyDescent="0.25">
      <c r="D813" s="3"/>
      <c r="E813" s="3"/>
      <c r="F813" s="4"/>
      <c r="G813" s="4"/>
      <c r="H813" s="138"/>
      <c r="I813" s="97"/>
      <c r="J813" s="6"/>
      <c r="K813" s="6"/>
      <c r="L813" s="6"/>
      <c r="M813" s="6"/>
      <c r="N813" s="6"/>
      <c r="O813" s="6"/>
      <c r="P813" s="6"/>
      <c r="Q813" s="6"/>
      <c r="R813" s="6"/>
      <c r="S813" s="6"/>
      <c r="T813" s="6"/>
      <c r="U813" s="6"/>
      <c r="V813" s="339"/>
      <c r="W813" s="339"/>
      <c r="X813" s="6"/>
      <c r="Y813" s="206"/>
      <c r="AE813" s="6"/>
      <c r="AF813" s="6"/>
      <c r="AG813" s="6"/>
      <c r="AH813" s="206"/>
      <c r="AJ813" s="213"/>
      <c r="AK813" s="6"/>
      <c r="AL813" s="6"/>
      <c r="AM813" s="6"/>
      <c r="AN813" s="206"/>
      <c r="AP813" s="213"/>
      <c r="AQ813" s="6"/>
      <c r="AR813" s="6"/>
      <c r="AS813" s="6"/>
      <c r="AT813" s="206"/>
      <c r="AV813" s="213"/>
      <c r="AW813" s="6"/>
      <c r="AX813" s="6"/>
      <c r="AY813" s="6"/>
      <c r="AZ813" s="206"/>
    </row>
    <row r="814" spans="4:52" s="2" customFormat="1" ht="17.100000000000001" customHeight="1" x14ac:dyDescent="0.25">
      <c r="D814" s="3"/>
      <c r="E814" s="3"/>
      <c r="F814" s="4"/>
      <c r="G814" s="4"/>
      <c r="H814" s="138"/>
      <c r="I814" s="97"/>
      <c r="J814" s="6"/>
      <c r="K814" s="6"/>
      <c r="L814" s="6"/>
      <c r="M814" s="6"/>
      <c r="N814" s="6"/>
      <c r="O814" s="6"/>
      <c r="P814" s="6"/>
      <c r="Q814" s="6"/>
      <c r="R814" s="6"/>
      <c r="S814" s="6"/>
      <c r="T814" s="6"/>
      <c r="U814" s="6"/>
      <c r="V814" s="339"/>
      <c r="W814" s="339"/>
      <c r="X814" s="6"/>
      <c r="Y814" s="206"/>
      <c r="AE814" s="6"/>
      <c r="AF814" s="6"/>
      <c r="AG814" s="6"/>
      <c r="AH814" s="206"/>
      <c r="AJ814" s="213"/>
      <c r="AK814" s="6"/>
      <c r="AL814" s="6"/>
      <c r="AM814" s="6"/>
      <c r="AN814" s="206"/>
      <c r="AP814" s="213"/>
      <c r="AQ814" s="6"/>
      <c r="AR814" s="6"/>
      <c r="AS814" s="6"/>
      <c r="AT814" s="206"/>
      <c r="AV814" s="213"/>
      <c r="AW814" s="6"/>
      <c r="AX814" s="6"/>
      <c r="AY814" s="6"/>
      <c r="AZ814" s="206"/>
    </row>
    <row r="815" spans="4:52" s="2" customFormat="1" ht="17.100000000000001" customHeight="1" x14ac:dyDescent="0.25">
      <c r="D815" s="3"/>
      <c r="E815" s="3"/>
      <c r="F815" s="4"/>
      <c r="G815" s="4"/>
      <c r="H815" s="138"/>
      <c r="I815" s="97"/>
      <c r="J815" s="6"/>
      <c r="K815" s="6"/>
      <c r="L815" s="6"/>
      <c r="M815" s="6"/>
      <c r="N815" s="6"/>
      <c r="O815" s="6"/>
      <c r="P815" s="6"/>
      <c r="Q815" s="6"/>
      <c r="R815" s="6"/>
      <c r="S815" s="6"/>
      <c r="T815" s="6"/>
      <c r="U815" s="6"/>
      <c r="V815" s="339"/>
      <c r="W815" s="339"/>
      <c r="X815" s="6"/>
      <c r="Y815" s="206"/>
      <c r="AE815" s="6"/>
      <c r="AF815" s="6"/>
      <c r="AG815" s="6"/>
      <c r="AH815" s="206"/>
      <c r="AJ815" s="213"/>
      <c r="AK815" s="6"/>
      <c r="AL815" s="6"/>
      <c r="AM815" s="6"/>
      <c r="AN815" s="206"/>
      <c r="AP815" s="213"/>
      <c r="AQ815" s="6"/>
      <c r="AR815" s="6"/>
      <c r="AS815" s="6"/>
      <c r="AT815" s="206"/>
      <c r="AV815" s="213"/>
      <c r="AW815" s="6"/>
      <c r="AX815" s="6"/>
      <c r="AY815" s="6"/>
      <c r="AZ815" s="206"/>
    </row>
    <row r="816" spans="4:52" s="2" customFormat="1" ht="17.100000000000001" customHeight="1" x14ac:dyDescent="0.25">
      <c r="D816" s="3"/>
      <c r="E816" s="3"/>
      <c r="F816" s="4"/>
      <c r="G816" s="4"/>
      <c r="H816" s="138"/>
      <c r="I816" s="97"/>
      <c r="J816" s="6"/>
      <c r="K816" s="6"/>
      <c r="L816" s="6"/>
      <c r="M816" s="6"/>
      <c r="N816" s="6"/>
      <c r="O816" s="6"/>
      <c r="P816" s="6"/>
      <c r="Q816" s="6"/>
      <c r="R816" s="6"/>
      <c r="S816" s="6"/>
      <c r="T816" s="6"/>
      <c r="U816" s="6"/>
      <c r="V816" s="339"/>
      <c r="W816" s="339"/>
      <c r="X816" s="6"/>
      <c r="Y816" s="206"/>
      <c r="AE816" s="6"/>
      <c r="AF816" s="6"/>
      <c r="AG816" s="6"/>
      <c r="AH816" s="206"/>
      <c r="AJ816" s="213"/>
      <c r="AK816" s="6"/>
      <c r="AL816" s="6"/>
      <c r="AM816" s="6"/>
      <c r="AN816" s="206"/>
      <c r="AP816" s="213"/>
      <c r="AQ816" s="6"/>
      <c r="AR816" s="6"/>
      <c r="AS816" s="6"/>
      <c r="AT816" s="206"/>
      <c r="AV816" s="213"/>
      <c r="AW816" s="6"/>
      <c r="AX816" s="6"/>
      <c r="AY816" s="6"/>
      <c r="AZ816" s="206"/>
    </row>
    <row r="817" spans="4:52" s="2" customFormat="1" ht="17.100000000000001" customHeight="1" x14ac:dyDescent="0.25">
      <c r="D817" s="3"/>
      <c r="E817" s="3"/>
      <c r="F817" s="4"/>
      <c r="G817" s="4"/>
      <c r="H817" s="138"/>
      <c r="I817" s="97"/>
      <c r="J817" s="6"/>
      <c r="K817" s="6"/>
      <c r="L817" s="6"/>
      <c r="M817" s="6"/>
      <c r="N817" s="6"/>
      <c r="O817" s="6"/>
      <c r="P817" s="6"/>
      <c r="Q817" s="6"/>
      <c r="R817" s="6"/>
      <c r="S817" s="6"/>
      <c r="T817" s="6"/>
      <c r="U817" s="6"/>
      <c r="V817" s="339"/>
      <c r="W817" s="339"/>
      <c r="X817" s="6"/>
      <c r="Y817" s="206"/>
      <c r="AE817" s="6"/>
      <c r="AF817" s="6"/>
      <c r="AG817" s="6"/>
      <c r="AH817" s="206"/>
      <c r="AJ817" s="213"/>
      <c r="AK817" s="6"/>
      <c r="AL817" s="6"/>
      <c r="AM817" s="6"/>
      <c r="AN817" s="206"/>
      <c r="AP817" s="213"/>
      <c r="AQ817" s="6"/>
      <c r="AR817" s="6"/>
      <c r="AS817" s="6"/>
      <c r="AT817" s="206"/>
      <c r="AV817" s="213"/>
      <c r="AW817" s="6"/>
      <c r="AX817" s="6"/>
      <c r="AY817" s="6"/>
      <c r="AZ817" s="206"/>
    </row>
    <row r="818" spans="4:52" s="2" customFormat="1" ht="17.100000000000001" customHeight="1" x14ac:dyDescent="0.25">
      <c r="D818" s="3"/>
      <c r="E818" s="3"/>
      <c r="F818" s="4"/>
      <c r="G818" s="4"/>
      <c r="H818" s="138"/>
      <c r="I818" s="97"/>
      <c r="J818" s="6"/>
      <c r="K818" s="6"/>
      <c r="L818" s="6"/>
      <c r="M818" s="6"/>
      <c r="N818" s="6"/>
      <c r="O818" s="6"/>
      <c r="P818" s="6"/>
      <c r="Q818" s="6"/>
      <c r="R818" s="6"/>
      <c r="S818" s="6"/>
      <c r="T818" s="6"/>
      <c r="U818" s="6"/>
      <c r="V818" s="339"/>
      <c r="W818" s="339"/>
      <c r="X818" s="6"/>
      <c r="Y818" s="206"/>
      <c r="AE818" s="6"/>
      <c r="AF818" s="6"/>
      <c r="AG818" s="6"/>
      <c r="AH818" s="206"/>
      <c r="AJ818" s="213"/>
      <c r="AK818" s="6"/>
      <c r="AL818" s="6"/>
      <c r="AM818" s="6"/>
      <c r="AN818" s="206"/>
      <c r="AP818" s="213"/>
      <c r="AQ818" s="6"/>
      <c r="AR818" s="6"/>
      <c r="AS818" s="6"/>
      <c r="AT818" s="206"/>
      <c r="AV818" s="213"/>
      <c r="AW818" s="6"/>
      <c r="AX818" s="6"/>
      <c r="AY818" s="6"/>
      <c r="AZ818" s="206"/>
    </row>
    <row r="819" spans="4:52" s="2" customFormat="1" ht="17.100000000000001" customHeight="1" x14ac:dyDescent="0.25">
      <c r="D819" s="3"/>
      <c r="E819" s="3"/>
      <c r="F819" s="4"/>
      <c r="G819" s="4"/>
      <c r="H819" s="138"/>
      <c r="I819" s="97"/>
      <c r="J819" s="6"/>
      <c r="K819" s="6"/>
      <c r="L819" s="6"/>
      <c r="M819" s="6"/>
      <c r="N819" s="6"/>
      <c r="O819" s="6"/>
      <c r="P819" s="6"/>
      <c r="Q819" s="6"/>
      <c r="R819" s="6"/>
      <c r="S819" s="6"/>
      <c r="T819" s="6"/>
      <c r="U819" s="6"/>
      <c r="V819" s="339"/>
      <c r="W819" s="339"/>
      <c r="X819" s="6"/>
      <c r="Y819" s="206"/>
      <c r="AE819" s="6"/>
      <c r="AF819" s="6"/>
      <c r="AG819" s="6"/>
      <c r="AH819" s="206"/>
      <c r="AJ819" s="213"/>
      <c r="AK819" s="6"/>
      <c r="AL819" s="6"/>
      <c r="AM819" s="6"/>
      <c r="AN819" s="206"/>
      <c r="AP819" s="213"/>
      <c r="AQ819" s="6"/>
      <c r="AR819" s="6"/>
      <c r="AS819" s="6"/>
      <c r="AT819" s="206"/>
      <c r="AV819" s="213"/>
      <c r="AW819" s="6"/>
      <c r="AX819" s="6"/>
      <c r="AY819" s="6"/>
      <c r="AZ819" s="206"/>
    </row>
    <row r="820" spans="4:52" s="2" customFormat="1" ht="17.100000000000001" customHeight="1" x14ac:dyDescent="0.25">
      <c r="D820" s="3"/>
      <c r="E820" s="3"/>
      <c r="F820" s="4"/>
      <c r="G820" s="4"/>
      <c r="H820" s="138"/>
      <c r="I820" s="97"/>
      <c r="J820" s="6"/>
      <c r="K820" s="6"/>
      <c r="L820" s="6"/>
      <c r="M820" s="6"/>
      <c r="N820" s="6"/>
      <c r="O820" s="6"/>
      <c r="P820" s="6"/>
      <c r="Q820" s="6"/>
      <c r="R820" s="6"/>
      <c r="S820" s="6"/>
      <c r="T820" s="6"/>
      <c r="U820" s="6"/>
      <c r="V820" s="339"/>
      <c r="W820" s="339"/>
      <c r="X820" s="6"/>
      <c r="Y820" s="206"/>
      <c r="AE820" s="6"/>
      <c r="AF820" s="6"/>
      <c r="AG820" s="6"/>
      <c r="AH820" s="206"/>
      <c r="AJ820" s="213"/>
      <c r="AK820" s="6"/>
      <c r="AL820" s="6"/>
      <c r="AM820" s="6"/>
      <c r="AN820" s="206"/>
      <c r="AP820" s="213"/>
      <c r="AQ820" s="6"/>
      <c r="AR820" s="6"/>
      <c r="AS820" s="6"/>
      <c r="AT820" s="206"/>
      <c r="AV820" s="213"/>
      <c r="AW820" s="6"/>
      <c r="AX820" s="6"/>
      <c r="AY820" s="6"/>
      <c r="AZ820" s="206"/>
    </row>
    <row r="821" spans="4:52" s="2" customFormat="1" ht="17.100000000000001" customHeight="1" x14ac:dyDescent="0.25">
      <c r="D821" s="3"/>
      <c r="E821" s="3"/>
      <c r="F821" s="4"/>
      <c r="G821" s="4"/>
      <c r="H821" s="138"/>
      <c r="I821" s="97"/>
      <c r="J821" s="6"/>
      <c r="K821" s="6"/>
      <c r="L821" s="6"/>
      <c r="M821" s="6"/>
      <c r="N821" s="6"/>
      <c r="O821" s="6"/>
      <c r="P821" s="6"/>
      <c r="Q821" s="6"/>
      <c r="R821" s="6"/>
      <c r="S821" s="6"/>
      <c r="T821" s="6"/>
      <c r="U821" s="6"/>
      <c r="V821" s="339"/>
      <c r="W821" s="339"/>
      <c r="X821" s="6"/>
      <c r="Y821" s="206"/>
      <c r="AE821" s="6"/>
      <c r="AF821" s="6"/>
      <c r="AG821" s="6"/>
      <c r="AH821" s="206"/>
      <c r="AJ821" s="213"/>
      <c r="AK821" s="6"/>
      <c r="AL821" s="6"/>
      <c r="AM821" s="6"/>
      <c r="AN821" s="206"/>
      <c r="AP821" s="213"/>
      <c r="AQ821" s="6"/>
      <c r="AR821" s="6"/>
      <c r="AS821" s="6"/>
      <c r="AT821" s="206"/>
      <c r="AV821" s="213"/>
      <c r="AW821" s="6"/>
      <c r="AX821" s="6"/>
      <c r="AY821" s="6"/>
      <c r="AZ821" s="206"/>
    </row>
    <row r="822" spans="4:52" s="2" customFormat="1" ht="17.100000000000001" customHeight="1" x14ac:dyDescent="0.25">
      <c r="D822" s="3"/>
      <c r="E822" s="3"/>
      <c r="F822" s="4"/>
      <c r="G822" s="4"/>
      <c r="H822" s="138"/>
      <c r="I822" s="97"/>
      <c r="J822" s="6"/>
      <c r="K822" s="6"/>
      <c r="L822" s="6"/>
      <c r="M822" s="6"/>
      <c r="N822" s="6"/>
      <c r="O822" s="6"/>
      <c r="P822" s="6"/>
      <c r="Q822" s="6"/>
      <c r="R822" s="6"/>
      <c r="S822" s="6"/>
      <c r="T822" s="6"/>
      <c r="U822" s="6"/>
      <c r="V822" s="339"/>
      <c r="W822" s="339"/>
      <c r="X822" s="6"/>
      <c r="Y822" s="206"/>
      <c r="AE822" s="6"/>
      <c r="AF822" s="6"/>
      <c r="AG822" s="6"/>
      <c r="AH822" s="206"/>
      <c r="AJ822" s="213"/>
      <c r="AK822" s="6"/>
      <c r="AL822" s="6"/>
      <c r="AM822" s="6"/>
      <c r="AN822" s="206"/>
      <c r="AP822" s="213"/>
      <c r="AQ822" s="6"/>
      <c r="AR822" s="6"/>
      <c r="AS822" s="6"/>
      <c r="AT822" s="206"/>
      <c r="AV822" s="213"/>
      <c r="AW822" s="6"/>
      <c r="AX822" s="6"/>
      <c r="AY822" s="6"/>
      <c r="AZ822" s="206"/>
    </row>
    <row r="823" spans="4:52" s="2" customFormat="1" ht="17.100000000000001" customHeight="1" x14ac:dyDescent="0.25">
      <c r="D823" s="3"/>
      <c r="E823" s="3"/>
      <c r="F823" s="4"/>
      <c r="G823" s="4"/>
      <c r="H823" s="138"/>
      <c r="I823" s="97"/>
      <c r="J823" s="6"/>
      <c r="K823" s="6"/>
      <c r="L823" s="6"/>
      <c r="M823" s="6"/>
      <c r="N823" s="6"/>
      <c r="O823" s="6"/>
      <c r="P823" s="6"/>
      <c r="Q823" s="6"/>
      <c r="R823" s="6"/>
      <c r="S823" s="6"/>
      <c r="T823" s="6"/>
      <c r="U823" s="6"/>
      <c r="V823" s="339"/>
      <c r="W823" s="339"/>
      <c r="X823" s="6"/>
      <c r="Y823" s="206"/>
      <c r="AE823" s="6"/>
      <c r="AF823" s="6"/>
      <c r="AG823" s="6"/>
      <c r="AH823" s="206"/>
      <c r="AJ823" s="213"/>
      <c r="AK823" s="6"/>
      <c r="AL823" s="6"/>
      <c r="AM823" s="6"/>
      <c r="AN823" s="206"/>
      <c r="AP823" s="213"/>
      <c r="AQ823" s="6"/>
      <c r="AR823" s="6"/>
      <c r="AS823" s="6"/>
      <c r="AT823" s="206"/>
      <c r="AV823" s="213"/>
      <c r="AW823" s="6"/>
      <c r="AX823" s="6"/>
      <c r="AY823" s="6"/>
      <c r="AZ823" s="206"/>
    </row>
    <row r="824" spans="4:52" s="2" customFormat="1" ht="17.100000000000001" customHeight="1" x14ac:dyDescent="0.25">
      <c r="D824" s="3"/>
      <c r="E824" s="3"/>
      <c r="F824" s="4"/>
      <c r="G824" s="4"/>
      <c r="H824" s="138"/>
      <c r="I824" s="97"/>
      <c r="J824" s="6"/>
      <c r="K824" s="6"/>
      <c r="L824" s="6"/>
      <c r="M824" s="6"/>
      <c r="N824" s="6"/>
      <c r="O824" s="6"/>
      <c r="P824" s="6"/>
      <c r="Q824" s="6"/>
      <c r="R824" s="6"/>
      <c r="S824" s="6"/>
      <c r="T824" s="6"/>
      <c r="U824" s="6"/>
      <c r="V824" s="339"/>
      <c r="W824" s="339"/>
      <c r="X824" s="6"/>
      <c r="Y824" s="206"/>
      <c r="AE824" s="6"/>
      <c r="AF824" s="6"/>
      <c r="AG824" s="6"/>
      <c r="AH824" s="206"/>
      <c r="AJ824" s="213"/>
      <c r="AK824" s="6"/>
      <c r="AL824" s="6"/>
      <c r="AM824" s="6"/>
      <c r="AN824" s="206"/>
      <c r="AP824" s="213"/>
      <c r="AQ824" s="6"/>
      <c r="AR824" s="6"/>
      <c r="AS824" s="6"/>
      <c r="AT824" s="206"/>
      <c r="AV824" s="213"/>
      <c r="AW824" s="6"/>
      <c r="AX824" s="6"/>
      <c r="AY824" s="6"/>
      <c r="AZ824" s="206"/>
    </row>
    <row r="825" spans="4:52" s="2" customFormat="1" ht="17.100000000000001" customHeight="1" x14ac:dyDescent="0.25">
      <c r="D825" s="3"/>
      <c r="E825" s="3"/>
      <c r="F825" s="4"/>
      <c r="G825" s="4"/>
      <c r="H825" s="138"/>
      <c r="I825" s="97"/>
      <c r="J825" s="6"/>
      <c r="K825" s="6"/>
      <c r="L825" s="6"/>
      <c r="M825" s="6"/>
      <c r="N825" s="6"/>
      <c r="O825" s="6"/>
      <c r="P825" s="6"/>
      <c r="Q825" s="6"/>
      <c r="R825" s="6"/>
      <c r="S825" s="6"/>
      <c r="T825" s="6"/>
      <c r="U825" s="6"/>
      <c r="V825" s="339"/>
      <c r="W825" s="339"/>
      <c r="X825" s="6"/>
      <c r="Y825" s="206"/>
      <c r="AE825" s="6"/>
      <c r="AF825" s="6"/>
      <c r="AG825" s="6"/>
      <c r="AH825" s="206"/>
      <c r="AJ825" s="213"/>
      <c r="AK825" s="6"/>
      <c r="AL825" s="6"/>
      <c r="AM825" s="6"/>
      <c r="AN825" s="206"/>
      <c r="AP825" s="213"/>
      <c r="AQ825" s="6"/>
      <c r="AR825" s="6"/>
      <c r="AS825" s="6"/>
      <c r="AT825" s="206"/>
      <c r="AV825" s="213"/>
      <c r="AW825" s="6"/>
      <c r="AX825" s="6"/>
      <c r="AY825" s="6"/>
      <c r="AZ825" s="206"/>
    </row>
    <row r="826" spans="4:52" s="2" customFormat="1" ht="17.100000000000001" customHeight="1" x14ac:dyDescent="0.25">
      <c r="D826" s="3"/>
      <c r="E826" s="3"/>
      <c r="F826" s="4"/>
      <c r="G826" s="4"/>
      <c r="H826" s="138"/>
      <c r="I826" s="97"/>
      <c r="J826" s="6"/>
      <c r="K826" s="6"/>
      <c r="L826" s="6"/>
      <c r="M826" s="6"/>
      <c r="N826" s="6"/>
      <c r="O826" s="6"/>
      <c r="P826" s="6"/>
      <c r="Q826" s="6"/>
      <c r="R826" s="6"/>
      <c r="S826" s="6"/>
      <c r="T826" s="6"/>
      <c r="U826" s="6"/>
      <c r="V826" s="339"/>
      <c r="W826" s="339"/>
      <c r="X826" s="6"/>
      <c r="Y826" s="206"/>
      <c r="AE826" s="6"/>
      <c r="AF826" s="6"/>
      <c r="AG826" s="6"/>
      <c r="AH826" s="206"/>
      <c r="AJ826" s="213"/>
      <c r="AK826" s="6"/>
      <c r="AL826" s="6"/>
      <c r="AM826" s="6"/>
      <c r="AN826" s="206"/>
      <c r="AP826" s="213"/>
      <c r="AQ826" s="6"/>
      <c r="AR826" s="6"/>
      <c r="AS826" s="6"/>
      <c r="AT826" s="206"/>
      <c r="AV826" s="213"/>
      <c r="AW826" s="6"/>
      <c r="AX826" s="6"/>
      <c r="AY826" s="6"/>
      <c r="AZ826" s="206"/>
    </row>
    <row r="827" spans="4:52" s="2" customFormat="1" ht="17.100000000000001" customHeight="1" x14ac:dyDescent="0.25">
      <c r="D827" s="3"/>
      <c r="E827" s="3"/>
      <c r="F827" s="4"/>
      <c r="G827" s="4"/>
      <c r="H827" s="138"/>
      <c r="I827" s="97"/>
      <c r="J827" s="6"/>
      <c r="K827" s="6"/>
      <c r="L827" s="6"/>
      <c r="M827" s="6"/>
      <c r="N827" s="6"/>
      <c r="O827" s="6"/>
      <c r="P827" s="6"/>
      <c r="Q827" s="6"/>
      <c r="R827" s="6"/>
      <c r="S827" s="6"/>
      <c r="T827" s="6"/>
      <c r="U827" s="6"/>
      <c r="V827" s="339"/>
      <c r="W827" s="339"/>
      <c r="X827" s="6"/>
      <c r="Y827" s="206"/>
      <c r="AE827" s="6"/>
      <c r="AF827" s="6"/>
      <c r="AG827" s="6"/>
      <c r="AH827" s="206"/>
      <c r="AJ827" s="213"/>
      <c r="AK827" s="6"/>
      <c r="AL827" s="6"/>
      <c r="AM827" s="6"/>
      <c r="AN827" s="206"/>
      <c r="AP827" s="213"/>
      <c r="AQ827" s="6"/>
      <c r="AR827" s="6"/>
      <c r="AS827" s="6"/>
      <c r="AT827" s="206"/>
      <c r="AV827" s="213"/>
      <c r="AW827" s="6"/>
      <c r="AX827" s="6"/>
      <c r="AY827" s="6"/>
      <c r="AZ827" s="206"/>
    </row>
    <row r="828" spans="4:52" s="2" customFormat="1" ht="17.100000000000001" customHeight="1" x14ac:dyDescent="0.25">
      <c r="D828" s="3"/>
      <c r="E828" s="3"/>
      <c r="F828" s="4"/>
      <c r="G828" s="4"/>
      <c r="H828" s="138"/>
      <c r="I828" s="97"/>
      <c r="J828" s="6"/>
      <c r="K828" s="6"/>
      <c r="L828" s="6"/>
      <c r="M828" s="6"/>
      <c r="N828" s="6"/>
      <c r="O828" s="6"/>
      <c r="P828" s="6"/>
      <c r="Q828" s="6"/>
      <c r="R828" s="6"/>
      <c r="S828" s="6"/>
      <c r="T828" s="6"/>
      <c r="U828" s="6"/>
      <c r="V828" s="339"/>
      <c r="W828" s="339"/>
      <c r="X828" s="6"/>
      <c r="Y828" s="206"/>
      <c r="AE828" s="6"/>
      <c r="AF828" s="6"/>
      <c r="AG828" s="6"/>
      <c r="AH828" s="206"/>
      <c r="AJ828" s="213"/>
      <c r="AK828" s="6"/>
      <c r="AL828" s="6"/>
      <c r="AM828" s="6"/>
      <c r="AN828" s="206"/>
      <c r="AP828" s="213"/>
      <c r="AQ828" s="6"/>
      <c r="AR828" s="6"/>
      <c r="AS828" s="6"/>
      <c r="AT828" s="206"/>
      <c r="AV828" s="213"/>
      <c r="AW828" s="6"/>
      <c r="AX828" s="6"/>
      <c r="AY828" s="6"/>
      <c r="AZ828" s="206"/>
    </row>
    <row r="829" spans="4:52" s="2" customFormat="1" ht="17.100000000000001" customHeight="1" x14ac:dyDescent="0.25">
      <c r="D829" s="3"/>
      <c r="E829" s="3"/>
      <c r="F829" s="4"/>
      <c r="G829" s="4"/>
      <c r="H829" s="138"/>
      <c r="I829" s="97"/>
      <c r="J829" s="6"/>
      <c r="K829" s="6"/>
      <c r="L829" s="6"/>
      <c r="M829" s="6"/>
      <c r="N829" s="6"/>
      <c r="O829" s="6"/>
      <c r="P829" s="6"/>
      <c r="Q829" s="6"/>
      <c r="R829" s="6"/>
      <c r="S829" s="6"/>
      <c r="T829" s="6"/>
      <c r="U829" s="6"/>
      <c r="V829" s="339"/>
      <c r="W829" s="339"/>
      <c r="X829" s="6"/>
      <c r="Y829" s="206"/>
      <c r="AE829" s="6"/>
      <c r="AF829" s="6"/>
      <c r="AG829" s="6"/>
      <c r="AH829" s="206"/>
      <c r="AJ829" s="213"/>
      <c r="AK829" s="6"/>
      <c r="AL829" s="6"/>
      <c r="AM829" s="6"/>
      <c r="AN829" s="206"/>
      <c r="AP829" s="213"/>
      <c r="AQ829" s="6"/>
      <c r="AR829" s="6"/>
      <c r="AS829" s="6"/>
      <c r="AT829" s="206"/>
      <c r="AV829" s="213"/>
      <c r="AW829" s="6"/>
      <c r="AX829" s="6"/>
      <c r="AY829" s="6"/>
      <c r="AZ829" s="206"/>
    </row>
    <row r="830" spans="4:52" s="2" customFormat="1" ht="17.100000000000001" customHeight="1" x14ac:dyDescent="0.25">
      <c r="D830" s="3"/>
      <c r="E830" s="3"/>
      <c r="F830" s="4"/>
      <c r="G830" s="4"/>
      <c r="H830" s="138"/>
      <c r="I830" s="97"/>
      <c r="J830" s="6"/>
      <c r="K830" s="6"/>
      <c r="L830" s="6"/>
      <c r="M830" s="6"/>
      <c r="N830" s="6"/>
      <c r="O830" s="6"/>
      <c r="P830" s="6"/>
      <c r="Q830" s="6"/>
      <c r="R830" s="6"/>
      <c r="S830" s="6"/>
      <c r="T830" s="6"/>
      <c r="U830" s="6"/>
      <c r="V830" s="339"/>
      <c r="W830" s="339"/>
      <c r="X830" s="6"/>
      <c r="Y830" s="206"/>
      <c r="AE830" s="6"/>
      <c r="AF830" s="6"/>
      <c r="AG830" s="6"/>
      <c r="AH830" s="206"/>
      <c r="AJ830" s="213"/>
      <c r="AK830" s="6"/>
      <c r="AL830" s="6"/>
      <c r="AM830" s="6"/>
      <c r="AN830" s="206"/>
      <c r="AP830" s="213"/>
      <c r="AQ830" s="6"/>
      <c r="AR830" s="6"/>
      <c r="AS830" s="6"/>
      <c r="AT830" s="206"/>
      <c r="AV830" s="213"/>
      <c r="AW830" s="6"/>
      <c r="AX830" s="6"/>
      <c r="AY830" s="6"/>
      <c r="AZ830" s="206"/>
    </row>
    <row r="831" spans="4:52" s="2" customFormat="1" ht="17.100000000000001" customHeight="1" x14ac:dyDescent="0.25">
      <c r="D831" s="3"/>
      <c r="E831" s="3"/>
      <c r="F831" s="4"/>
      <c r="G831" s="4"/>
      <c r="H831" s="138"/>
      <c r="I831" s="97"/>
      <c r="J831" s="6"/>
      <c r="K831" s="6"/>
      <c r="L831" s="6"/>
      <c r="M831" s="6"/>
      <c r="N831" s="6"/>
      <c r="O831" s="6"/>
      <c r="P831" s="6"/>
      <c r="Q831" s="6"/>
      <c r="R831" s="6"/>
      <c r="S831" s="6"/>
      <c r="T831" s="6"/>
      <c r="U831" s="6"/>
      <c r="V831" s="339"/>
      <c r="W831" s="339"/>
      <c r="X831" s="6"/>
      <c r="Y831" s="206"/>
      <c r="AE831" s="6"/>
      <c r="AF831" s="6"/>
      <c r="AG831" s="6"/>
      <c r="AH831" s="206"/>
      <c r="AJ831" s="213"/>
      <c r="AK831" s="6"/>
      <c r="AL831" s="6"/>
      <c r="AM831" s="6"/>
      <c r="AN831" s="206"/>
      <c r="AP831" s="213"/>
      <c r="AQ831" s="6"/>
      <c r="AR831" s="6"/>
      <c r="AS831" s="6"/>
      <c r="AT831" s="206"/>
      <c r="AV831" s="213"/>
      <c r="AW831" s="6"/>
      <c r="AX831" s="6"/>
      <c r="AY831" s="6"/>
      <c r="AZ831" s="206"/>
    </row>
    <row r="832" spans="4:52" s="2" customFormat="1" ht="17.100000000000001" customHeight="1" x14ac:dyDescent="0.25">
      <c r="D832" s="3"/>
      <c r="E832" s="3"/>
      <c r="F832" s="4"/>
      <c r="G832" s="4"/>
      <c r="H832" s="138"/>
      <c r="I832" s="97"/>
      <c r="J832" s="6"/>
      <c r="K832" s="6"/>
      <c r="L832" s="6"/>
      <c r="M832" s="6"/>
      <c r="N832" s="6"/>
      <c r="O832" s="6"/>
      <c r="P832" s="6"/>
      <c r="Q832" s="6"/>
      <c r="R832" s="6"/>
      <c r="S832" s="6"/>
      <c r="T832" s="6"/>
      <c r="U832" s="6"/>
      <c r="V832" s="339"/>
      <c r="W832" s="339"/>
      <c r="X832" s="6"/>
      <c r="Y832" s="206"/>
      <c r="AE832" s="6"/>
      <c r="AF832" s="6"/>
      <c r="AG832" s="6"/>
      <c r="AH832" s="206"/>
      <c r="AJ832" s="213"/>
      <c r="AK832" s="6"/>
      <c r="AL832" s="6"/>
      <c r="AM832" s="6"/>
      <c r="AN832" s="206"/>
      <c r="AP832" s="213"/>
      <c r="AQ832" s="6"/>
      <c r="AR832" s="6"/>
      <c r="AS832" s="6"/>
      <c r="AT832" s="206"/>
      <c r="AV832" s="213"/>
      <c r="AW832" s="6"/>
      <c r="AX832" s="6"/>
      <c r="AY832" s="6"/>
      <c r="AZ832" s="206"/>
    </row>
    <row r="833" spans="4:52" s="2" customFormat="1" ht="17.100000000000001" customHeight="1" x14ac:dyDescent="0.25">
      <c r="D833" s="3"/>
      <c r="E833" s="3"/>
      <c r="F833" s="4"/>
      <c r="G833" s="4"/>
      <c r="H833" s="138"/>
      <c r="I833" s="97"/>
      <c r="J833" s="6"/>
      <c r="K833" s="6"/>
      <c r="L833" s="6"/>
      <c r="M833" s="6"/>
      <c r="N833" s="6"/>
      <c r="O833" s="6"/>
      <c r="P833" s="6"/>
      <c r="Q833" s="6"/>
      <c r="R833" s="6"/>
      <c r="S833" s="6"/>
      <c r="T833" s="6"/>
      <c r="U833" s="6"/>
      <c r="V833" s="339"/>
      <c r="W833" s="339"/>
      <c r="X833" s="6"/>
      <c r="Y833" s="206"/>
      <c r="AE833" s="6"/>
      <c r="AF833" s="6"/>
      <c r="AG833" s="6"/>
      <c r="AH833" s="206"/>
      <c r="AJ833" s="213"/>
      <c r="AK833" s="6"/>
      <c r="AL833" s="6"/>
      <c r="AM833" s="6"/>
      <c r="AN833" s="206"/>
      <c r="AP833" s="213"/>
      <c r="AQ833" s="6"/>
      <c r="AR833" s="6"/>
      <c r="AS833" s="6"/>
      <c r="AT833" s="206"/>
      <c r="AV833" s="213"/>
      <c r="AW833" s="6"/>
      <c r="AX833" s="6"/>
      <c r="AY833" s="6"/>
      <c r="AZ833" s="206"/>
    </row>
    <row r="834" spans="4:52" s="2" customFormat="1" ht="17.100000000000001" customHeight="1" x14ac:dyDescent="0.25">
      <c r="D834" s="3"/>
      <c r="E834" s="3"/>
      <c r="F834" s="4"/>
      <c r="G834" s="4"/>
      <c r="H834" s="138"/>
      <c r="I834" s="97"/>
      <c r="J834" s="6"/>
      <c r="K834" s="6"/>
      <c r="L834" s="6"/>
      <c r="M834" s="6"/>
      <c r="N834" s="6"/>
      <c r="O834" s="6"/>
      <c r="P834" s="6"/>
      <c r="Q834" s="6"/>
      <c r="R834" s="6"/>
      <c r="S834" s="6"/>
      <c r="T834" s="6"/>
      <c r="U834" s="6"/>
      <c r="V834" s="339"/>
      <c r="W834" s="339"/>
      <c r="X834" s="6"/>
      <c r="Y834" s="206"/>
      <c r="AE834" s="6"/>
      <c r="AF834" s="6"/>
      <c r="AG834" s="6"/>
      <c r="AH834" s="206"/>
      <c r="AJ834" s="213"/>
      <c r="AK834" s="6"/>
      <c r="AL834" s="6"/>
      <c r="AM834" s="6"/>
      <c r="AN834" s="206"/>
      <c r="AP834" s="213"/>
      <c r="AQ834" s="6"/>
      <c r="AR834" s="6"/>
      <c r="AS834" s="6"/>
      <c r="AT834" s="206"/>
      <c r="AV834" s="213"/>
      <c r="AW834" s="6"/>
      <c r="AX834" s="6"/>
      <c r="AY834" s="6"/>
      <c r="AZ834" s="206"/>
    </row>
    <row r="835" spans="4:52" s="2" customFormat="1" ht="17.100000000000001" customHeight="1" x14ac:dyDescent="0.25">
      <c r="D835" s="3"/>
      <c r="E835" s="3"/>
      <c r="F835" s="4"/>
      <c r="G835" s="4"/>
      <c r="H835" s="138"/>
      <c r="I835" s="97"/>
      <c r="J835" s="6"/>
      <c r="K835" s="6"/>
      <c r="L835" s="6"/>
      <c r="M835" s="6"/>
      <c r="N835" s="6"/>
      <c r="O835" s="6"/>
      <c r="P835" s="6"/>
      <c r="Q835" s="6"/>
      <c r="R835" s="6"/>
      <c r="S835" s="6"/>
      <c r="T835" s="6"/>
      <c r="U835" s="6"/>
      <c r="V835" s="339"/>
      <c r="W835" s="339"/>
      <c r="X835" s="6"/>
      <c r="Y835" s="206"/>
      <c r="AE835" s="6"/>
      <c r="AF835" s="6"/>
      <c r="AG835" s="6"/>
      <c r="AH835" s="206"/>
      <c r="AJ835" s="213"/>
      <c r="AK835" s="6"/>
      <c r="AL835" s="6"/>
      <c r="AM835" s="6"/>
      <c r="AN835" s="206"/>
      <c r="AP835" s="213"/>
      <c r="AQ835" s="6"/>
      <c r="AR835" s="6"/>
      <c r="AS835" s="6"/>
      <c r="AT835" s="206"/>
      <c r="AV835" s="213"/>
      <c r="AW835" s="6"/>
      <c r="AX835" s="6"/>
      <c r="AY835" s="6"/>
      <c r="AZ835" s="206"/>
    </row>
    <row r="836" spans="4:52" s="2" customFormat="1" ht="17.100000000000001" customHeight="1" x14ac:dyDescent="0.25">
      <c r="D836" s="3"/>
      <c r="E836" s="3"/>
      <c r="F836" s="4"/>
      <c r="G836" s="4"/>
      <c r="H836" s="138"/>
      <c r="I836" s="97"/>
      <c r="J836" s="6"/>
      <c r="K836" s="6"/>
      <c r="L836" s="6"/>
      <c r="M836" s="6"/>
      <c r="N836" s="6"/>
      <c r="O836" s="6"/>
      <c r="P836" s="6"/>
      <c r="Q836" s="6"/>
      <c r="R836" s="6"/>
      <c r="S836" s="6"/>
      <c r="T836" s="6"/>
      <c r="U836" s="6"/>
      <c r="V836" s="339"/>
      <c r="W836" s="339"/>
      <c r="X836" s="6"/>
      <c r="Y836" s="206"/>
      <c r="AE836" s="6"/>
      <c r="AF836" s="6"/>
      <c r="AG836" s="6"/>
      <c r="AH836" s="206"/>
      <c r="AJ836" s="213"/>
      <c r="AK836" s="6"/>
      <c r="AL836" s="6"/>
      <c r="AM836" s="6"/>
      <c r="AN836" s="206"/>
      <c r="AP836" s="213"/>
      <c r="AQ836" s="6"/>
      <c r="AR836" s="6"/>
      <c r="AS836" s="6"/>
      <c r="AT836" s="206"/>
      <c r="AV836" s="213"/>
      <c r="AW836" s="6"/>
      <c r="AX836" s="6"/>
      <c r="AY836" s="6"/>
      <c r="AZ836" s="206"/>
    </row>
    <row r="837" spans="4:52" s="2" customFormat="1" ht="17.100000000000001" customHeight="1" x14ac:dyDescent="0.25">
      <c r="D837" s="3"/>
      <c r="E837" s="3"/>
      <c r="F837" s="4"/>
      <c r="G837" s="4"/>
      <c r="H837" s="138"/>
      <c r="I837" s="97"/>
      <c r="J837" s="6"/>
      <c r="K837" s="6"/>
      <c r="L837" s="6"/>
      <c r="M837" s="6"/>
      <c r="N837" s="6"/>
      <c r="O837" s="6"/>
      <c r="P837" s="6"/>
      <c r="Q837" s="6"/>
      <c r="R837" s="6"/>
      <c r="S837" s="6"/>
      <c r="T837" s="6"/>
      <c r="U837" s="6"/>
      <c r="V837" s="339"/>
      <c r="W837" s="339"/>
      <c r="X837" s="6"/>
      <c r="Y837" s="206"/>
      <c r="AE837" s="6"/>
      <c r="AF837" s="6"/>
      <c r="AG837" s="6"/>
      <c r="AH837" s="206"/>
      <c r="AJ837" s="213"/>
      <c r="AK837" s="6"/>
      <c r="AL837" s="6"/>
      <c r="AM837" s="6"/>
      <c r="AN837" s="206"/>
      <c r="AP837" s="213"/>
      <c r="AQ837" s="6"/>
      <c r="AR837" s="6"/>
      <c r="AS837" s="6"/>
      <c r="AT837" s="206"/>
      <c r="AV837" s="213"/>
      <c r="AW837" s="6"/>
      <c r="AX837" s="6"/>
      <c r="AY837" s="6"/>
      <c r="AZ837" s="206"/>
    </row>
    <row r="838" spans="4:52" s="2" customFormat="1" ht="17.100000000000001" customHeight="1" x14ac:dyDescent="0.25">
      <c r="D838" s="3"/>
      <c r="E838" s="3"/>
      <c r="F838" s="4"/>
      <c r="G838" s="4"/>
      <c r="H838" s="138"/>
      <c r="I838" s="97"/>
      <c r="J838" s="6"/>
      <c r="K838" s="6"/>
      <c r="L838" s="6"/>
      <c r="M838" s="6"/>
      <c r="N838" s="6"/>
      <c r="O838" s="6"/>
      <c r="P838" s="6"/>
      <c r="Q838" s="6"/>
      <c r="R838" s="6"/>
      <c r="S838" s="6"/>
      <c r="T838" s="6"/>
      <c r="U838" s="6"/>
      <c r="V838" s="339"/>
      <c r="W838" s="339"/>
      <c r="X838" s="6"/>
      <c r="Y838" s="206"/>
      <c r="AE838" s="6"/>
      <c r="AF838" s="6"/>
      <c r="AG838" s="6"/>
      <c r="AH838" s="206"/>
      <c r="AJ838" s="213"/>
      <c r="AK838" s="6"/>
      <c r="AL838" s="6"/>
      <c r="AM838" s="6"/>
      <c r="AN838" s="206"/>
      <c r="AP838" s="213"/>
      <c r="AQ838" s="6"/>
      <c r="AR838" s="6"/>
      <c r="AS838" s="6"/>
      <c r="AT838" s="206"/>
      <c r="AV838" s="213"/>
      <c r="AW838" s="6"/>
      <c r="AX838" s="6"/>
      <c r="AY838" s="6"/>
      <c r="AZ838" s="206"/>
    </row>
    <row r="839" spans="4:52" s="2" customFormat="1" ht="17.100000000000001" customHeight="1" x14ac:dyDescent="0.25">
      <c r="D839" s="3"/>
      <c r="E839" s="3"/>
      <c r="F839" s="4"/>
      <c r="G839" s="4"/>
      <c r="H839" s="138"/>
      <c r="I839" s="97"/>
      <c r="J839" s="6"/>
      <c r="K839" s="6"/>
      <c r="L839" s="6"/>
      <c r="M839" s="6"/>
      <c r="N839" s="6"/>
      <c r="O839" s="6"/>
      <c r="P839" s="6"/>
      <c r="Q839" s="6"/>
      <c r="R839" s="6"/>
      <c r="S839" s="6"/>
      <c r="T839" s="6"/>
      <c r="U839" s="6"/>
      <c r="V839" s="339"/>
      <c r="W839" s="339"/>
      <c r="X839" s="6"/>
      <c r="Y839" s="206"/>
      <c r="AE839" s="6"/>
      <c r="AF839" s="6"/>
      <c r="AG839" s="6"/>
      <c r="AH839" s="206"/>
      <c r="AJ839" s="213"/>
      <c r="AK839" s="6"/>
      <c r="AL839" s="6"/>
      <c r="AM839" s="6"/>
      <c r="AN839" s="206"/>
      <c r="AP839" s="213"/>
      <c r="AQ839" s="6"/>
      <c r="AR839" s="6"/>
      <c r="AS839" s="6"/>
      <c r="AT839" s="206"/>
      <c r="AV839" s="213"/>
      <c r="AW839" s="6"/>
      <c r="AX839" s="6"/>
      <c r="AY839" s="6"/>
      <c r="AZ839" s="206"/>
    </row>
    <row r="840" spans="4:52" s="2" customFormat="1" ht="17.100000000000001" customHeight="1" x14ac:dyDescent="0.25">
      <c r="D840" s="3"/>
      <c r="E840" s="3"/>
      <c r="F840" s="4"/>
      <c r="G840" s="4"/>
      <c r="H840" s="138"/>
      <c r="I840" s="97"/>
      <c r="J840" s="6"/>
      <c r="K840" s="6"/>
      <c r="L840" s="6"/>
      <c r="M840" s="6"/>
      <c r="N840" s="6"/>
      <c r="O840" s="6"/>
      <c r="P840" s="6"/>
      <c r="Q840" s="6"/>
      <c r="R840" s="6"/>
      <c r="S840" s="6"/>
      <c r="T840" s="6"/>
      <c r="U840" s="6"/>
      <c r="V840" s="339"/>
      <c r="W840" s="339"/>
      <c r="X840" s="6"/>
      <c r="Y840" s="206"/>
      <c r="AE840" s="6"/>
      <c r="AF840" s="6"/>
      <c r="AG840" s="6"/>
      <c r="AH840" s="206"/>
      <c r="AJ840" s="213"/>
      <c r="AK840" s="6"/>
      <c r="AL840" s="6"/>
      <c r="AM840" s="6"/>
      <c r="AN840" s="206"/>
      <c r="AP840" s="213"/>
      <c r="AQ840" s="6"/>
      <c r="AR840" s="6"/>
      <c r="AS840" s="6"/>
      <c r="AT840" s="206"/>
      <c r="AV840" s="213"/>
      <c r="AW840" s="6"/>
      <c r="AX840" s="6"/>
      <c r="AY840" s="6"/>
      <c r="AZ840" s="206"/>
    </row>
  </sheetData>
  <dataConsolidate/>
  <mergeCells count="19">
    <mergeCell ref="AQ10:AU10"/>
    <mergeCell ref="AW10:BA10"/>
    <mergeCell ref="E382:G382"/>
    <mergeCell ref="E384:G384"/>
    <mergeCell ref="E446:G446"/>
    <mergeCell ref="E447:G447"/>
    <mergeCell ref="AE8:AO8"/>
    <mergeCell ref="J9:M9"/>
    <mergeCell ref="N9:P9"/>
    <mergeCell ref="Q9:S9"/>
    <mergeCell ref="T9:V9"/>
    <mergeCell ref="AE10:AI10"/>
    <mergeCell ref="AK10:AO10"/>
    <mergeCell ref="W8:Y9"/>
    <mergeCell ref="L6:M6"/>
    <mergeCell ref="J8:M8"/>
    <mergeCell ref="N8:P8"/>
    <mergeCell ref="Q8:S8"/>
    <mergeCell ref="T8:V8"/>
  </mergeCells>
  <pageMargins left="0.7" right="0.7" top="0.75" bottom="0.75" header="0.3" footer="0.3"/>
  <pageSetup paperSize="9" scale="70" fitToHeight="5" orientation="portrait" r:id="rId1"/>
  <headerFooter>
    <oddFooter>&amp;L&amp;10SANITATION DEMAND AND SUPPLY STUDY&amp;C&amp;10&amp;P&amp;R&amp;10HOUSEHOLDS WITH TOILET</oddFooter>
  </headerFooter>
  <rowBreaks count="4" manualBreakCount="4">
    <brk id="89" max="10" man="1"/>
    <brk id="212" max="10" man="1"/>
    <brk id="373" max="10" man="1"/>
    <brk id="567"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BA506"/>
  <sheetViews>
    <sheetView zoomScale="80" zoomScaleNormal="80" workbookViewId="0">
      <pane xSplit="7" ySplit="11" topLeftCell="H12" activePane="bottomRight" state="frozen"/>
      <selection activeCell="B335" sqref="B335"/>
      <selection pane="topRight" activeCell="B335" sqref="B335"/>
      <selection pane="bottomLeft" activeCell="B335" sqref="B335"/>
      <selection pane="bottomRight" activeCell="O5" sqref="O5"/>
    </sheetView>
  </sheetViews>
  <sheetFormatPr defaultRowHeight="17.100000000000001" customHeight="1" x14ac:dyDescent="0.25"/>
  <cols>
    <col min="1" max="2" width="4.7109375" style="2" customWidth="1"/>
    <col min="3" max="3" width="6.7109375" style="2" customWidth="1"/>
    <col min="4" max="4" width="7.7109375" style="3" customWidth="1"/>
    <col min="5" max="5" width="4.7109375" style="3" customWidth="1"/>
    <col min="6" max="6" width="30.7109375" style="4" customWidth="1"/>
    <col min="7" max="7" width="3.7109375" style="4" customWidth="1"/>
    <col min="8" max="8" width="4.42578125" style="4" customWidth="1"/>
    <col min="9" max="9" width="3.7109375" style="97" customWidth="1"/>
    <col min="10" max="25" width="10.7109375" style="3" customWidth="1"/>
    <col min="26" max="29" width="9.7109375" style="3" customWidth="1"/>
    <col min="30" max="30" width="9.140625" style="3"/>
    <col min="31" max="35" width="9.7109375" style="3" customWidth="1"/>
    <col min="36" max="36" width="9.140625" style="3"/>
    <col min="37" max="41" width="9.7109375" style="3" customWidth="1"/>
    <col min="42" max="48" width="9.140625" style="3"/>
    <col min="49" max="53" width="9.7109375" style="3" customWidth="1"/>
    <col min="54" max="16384" width="9.140625" style="3"/>
  </cols>
  <sheetData>
    <row r="1" spans="1:53" ht="17.100000000000001" customHeight="1" x14ac:dyDescent="0.25">
      <c r="A1" s="1" t="s">
        <v>363</v>
      </c>
      <c r="J1" s="5" t="s">
        <v>883</v>
      </c>
      <c r="AE1" s="8"/>
      <c r="AF1" s="8"/>
      <c r="AG1" s="8"/>
      <c r="AH1" s="7"/>
      <c r="AK1" s="8"/>
      <c r="AL1" s="8"/>
      <c r="AM1" s="8"/>
      <c r="AN1" s="7"/>
      <c r="AW1" s="8"/>
      <c r="AX1" s="8"/>
      <c r="AY1" s="8"/>
      <c r="AZ1" s="8"/>
    </row>
    <row r="2" spans="1:53" ht="17.100000000000001" customHeight="1" x14ac:dyDescent="0.25">
      <c r="A2" s="1" t="str">
        <f>'STUDY VILLAGES'!U7</f>
        <v>KAMPOT PROVINCE</v>
      </c>
      <c r="J2" s="5"/>
      <c r="AE2" s="8"/>
      <c r="AF2" s="8"/>
      <c r="AG2" s="8"/>
      <c r="AH2" s="7"/>
      <c r="AK2" s="8"/>
      <c r="AL2" s="8"/>
      <c r="AM2" s="8"/>
      <c r="AN2" s="7"/>
      <c r="AW2" s="8"/>
      <c r="AX2" s="8"/>
      <c r="AY2" s="8"/>
      <c r="AZ2" s="8"/>
    </row>
    <row r="3" spans="1:53" ht="17.100000000000001" customHeight="1" x14ac:dyDescent="0.25">
      <c r="A3" s="1" t="str">
        <f>'STUDY VILLAGES'!U8</f>
        <v>BANTEAY MEAS DISTRICT</v>
      </c>
      <c r="J3" s="268" t="s">
        <v>555</v>
      </c>
      <c r="L3" s="267" t="str">
        <f>'STUDY VILLAGES'!B10</f>
        <v>SAMRAONG LEU</v>
      </c>
      <c r="M3" s="267"/>
      <c r="N3" s="6"/>
      <c r="O3" s="6"/>
      <c r="P3" s="6"/>
      <c r="Q3" s="6"/>
      <c r="R3" s="6"/>
      <c r="S3" s="6"/>
      <c r="T3" s="6"/>
      <c r="U3" s="6"/>
      <c r="V3" s="6"/>
      <c r="W3" s="6"/>
      <c r="X3" s="6"/>
      <c r="AE3" s="8"/>
      <c r="AF3" s="8"/>
      <c r="AG3" s="8"/>
      <c r="AH3" s="7"/>
      <c r="AK3" s="8"/>
      <c r="AL3" s="8"/>
      <c r="AM3" s="8"/>
      <c r="AN3" s="7"/>
      <c r="AW3" s="8"/>
      <c r="AX3" s="8"/>
      <c r="AY3" s="8"/>
      <c r="AZ3" s="8"/>
    </row>
    <row r="4" spans="1:53" ht="12.75" x14ac:dyDescent="0.25">
      <c r="N4" s="6"/>
      <c r="O4" s="6"/>
      <c r="P4" s="6"/>
      <c r="Q4" s="6"/>
      <c r="R4" s="6"/>
      <c r="S4" s="6"/>
      <c r="T4" s="6"/>
      <c r="U4" s="6"/>
      <c r="V4" s="6"/>
      <c r="W4" s="6"/>
      <c r="X4" s="6"/>
      <c r="AE4" s="8"/>
      <c r="AF4" s="8"/>
      <c r="AG4" s="8"/>
      <c r="AH4" s="7"/>
      <c r="AK4" s="8"/>
      <c r="AL4" s="8"/>
      <c r="AM4" s="8"/>
      <c r="AN4" s="7"/>
      <c r="AW4" s="8"/>
      <c r="AX4" s="8"/>
      <c r="AY4" s="8"/>
      <c r="AZ4" s="8"/>
    </row>
    <row r="5" spans="1:53" ht="21" x14ac:dyDescent="0.25">
      <c r="A5" s="1" t="s">
        <v>743</v>
      </c>
      <c r="J5" s="9" t="s">
        <v>1</v>
      </c>
      <c r="K5" s="10"/>
      <c r="L5" s="653"/>
      <c r="M5" s="397"/>
      <c r="N5" s="6"/>
      <c r="O5" s="652" t="s">
        <v>1068</v>
      </c>
      <c r="P5" s="6"/>
      <c r="Q5" s="6"/>
      <c r="R5" s="6"/>
      <c r="S5" s="6"/>
      <c r="T5" s="6"/>
      <c r="U5" s="6"/>
      <c r="V5" s="6"/>
      <c r="W5" s="6"/>
      <c r="X5" s="6"/>
      <c r="AE5" s="8"/>
      <c r="AF5" s="8"/>
      <c r="AG5" s="8"/>
      <c r="AH5" s="7"/>
      <c r="AK5" s="8"/>
      <c r="AL5" s="8"/>
      <c r="AM5" s="8"/>
      <c r="AN5" s="7"/>
      <c r="AW5" s="8"/>
      <c r="AX5" s="8"/>
      <c r="AY5" s="8"/>
      <c r="AZ5" s="8"/>
    </row>
    <row r="6" spans="1:53" ht="21" x14ac:dyDescent="0.25">
      <c r="A6" s="444" t="s">
        <v>619</v>
      </c>
      <c r="J6" s="11" t="s">
        <v>2</v>
      </c>
      <c r="K6" s="10"/>
      <c r="L6" s="1379"/>
      <c r="M6" s="1379"/>
      <c r="AE6" s="8"/>
      <c r="AF6" s="8"/>
      <c r="AG6" s="8"/>
      <c r="AH6" s="7"/>
      <c r="AK6" s="8"/>
      <c r="AL6" s="8"/>
      <c r="AM6" s="8"/>
      <c r="AN6" s="7"/>
      <c r="AW6" s="8"/>
      <c r="AX6" s="8"/>
      <c r="AY6" s="8"/>
      <c r="AZ6" s="8"/>
    </row>
    <row r="7" spans="1:53" ht="9.9499999999999993" customHeight="1" x14ac:dyDescent="0.25">
      <c r="A7" s="12"/>
      <c r="B7" s="13"/>
      <c r="C7" s="14"/>
      <c r="D7" s="15"/>
      <c r="E7" s="16"/>
      <c r="F7" s="16"/>
      <c r="G7" s="16"/>
      <c r="H7" s="16"/>
      <c r="I7" s="16"/>
      <c r="AE7" s="8"/>
      <c r="AF7" s="8"/>
      <c r="AG7" s="8"/>
      <c r="AH7" s="7"/>
      <c r="AK7" s="8"/>
      <c r="AL7" s="8"/>
      <c r="AM7" s="8"/>
      <c r="AN7" s="7"/>
      <c r="AW7" s="8"/>
      <c r="AX7" s="8"/>
      <c r="AY7" s="8"/>
      <c r="AZ7" s="8"/>
    </row>
    <row r="8" spans="1:53" ht="17.100000000000001" customHeight="1" x14ac:dyDescent="0.25">
      <c r="D8" s="2"/>
      <c r="E8" s="2"/>
      <c r="F8" s="21"/>
      <c r="G8" s="21"/>
      <c r="H8" s="21"/>
      <c r="I8" s="138"/>
      <c r="J8" s="1384" t="s">
        <v>541</v>
      </c>
      <c r="K8" s="1385"/>
      <c r="L8" s="1385"/>
      <c r="M8" s="1386"/>
      <c r="N8" s="1384" t="s">
        <v>364</v>
      </c>
      <c r="O8" s="1385"/>
      <c r="P8" s="1386"/>
      <c r="Q8" s="1384" t="s">
        <v>365</v>
      </c>
      <c r="R8" s="1385"/>
      <c r="S8" s="1386"/>
      <c r="T8" s="1384" t="s">
        <v>366</v>
      </c>
      <c r="U8" s="1385"/>
      <c r="V8" s="1386"/>
      <c r="W8" s="1408" t="s">
        <v>4</v>
      </c>
      <c r="X8" s="1408"/>
      <c r="Y8" s="1408"/>
      <c r="AE8" s="1383" t="s">
        <v>731</v>
      </c>
      <c r="AF8" s="1383"/>
      <c r="AG8" s="1383"/>
      <c r="AH8" s="1383"/>
      <c r="AI8" s="1383"/>
      <c r="AJ8" s="1383"/>
      <c r="AK8" s="1383"/>
      <c r="AL8" s="1383"/>
      <c r="AM8" s="1383"/>
      <c r="AN8" s="1383"/>
      <c r="AO8" s="1383"/>
      <c r="AW8" s="8"/>
      <c r="AX8" s="8"/>
      <c r="AY8" s="8"/>
      <c r="AZ8" s="8"/>
    </row>
    <row r="9" spans="1:53" ht="17.100000000000001" customHeight="1" x14ac:dyDescent="0.25">
      <c r="D9" s="2"/>
      <c r="E9" s="2"/>
      <c r="F9" s="21"/>
      <c r="G9" s="21"/>
      <c r="H9" s="21"/>
      <c r="I9" s="138"/>
      <c r="J9" s="1384" t="s">
        <v>542</v>
      </c>
      <c r="K9" s="1385"/>
      <c r="L9" s="1385"/>
      <c r="M9" s="1386"/>
      <c r="N9" s="1387" t="str">
        <f>'STUDY VILLAGES'!C10</f>
        <v>Bra Phung (substitute)</v>
      </c>
      <c r="O9" s="1388"/>
      <c r="P9" s="1389"/>
      <c r="Q9" s="1387" t="str">
        <f>'STUDY VILLAGES'!F10</f>
        <v>Damnak trayeong (substitute)</v>
      </c>
      <c r="R9" s="1388"/>
      <c r="S9" s="1389"/>
      <c r="T9" s="1387">
        <f>'STUDY VILLAGES'!I10</f>
        <v>0</v>
      </c>
      <c r="U9" s="1388"/>
      <c r="V9" s="1389"/>
      <c r="W9" s="1408"/>
      <c r="X9" s="1408"/>
      <c r="Y9" s="1408"/>
      <c r="AE9" s="8"/>
      <c r="AF9" s="8"/>
      <c r="AG9" s="8"/>
      <c r="AH9" s="7"/>
      <c r="AK9" s="8"/>
      <c r="AL9" s="8"/>
      <c r="AM9" s="8"/>
      <c r="AN9" s="7"/>
      <c r="AW9" s="8"/>
      <c r="AX9" s="8"/>
      <c r="AY9" s="8"/>
      <c r="AZ9" s="8"/>
    </row>
    <row r="10" spans="1:53" ht="17.100000000000001" customHeight="1" x14ac:dyDescent="0.25">
      <c r="A10" s="21"/>
      <c r="B10" s="21"/>
      <c r="C10" s="21"/>
      <c r="D10" s="4"/>
      <c r="E10" s="4"/>
      <c r="G10" s="22"/>
      <c r="H10" s="22"/>
      <c r="I10" s="208"/>
      <c r="J10" s="334" t="s">
        <v>733</v>
      </c>
      <c r="K10" s="334" t="s">
        <v>734</v>
      </c>
      <c r="L10" s="334" t="s">
        <v>657</v>
      </c>
      <c r="M10" s="334" t="s">
        <v>320</v>
      </c>
      <c r="N10" s="334" t="s">
        <v>735</v>
      </c>
      <c r="O10" s="334" t="s">
        <v>657</v>
      </c>
      <c r="P10" s="334" t="s">
        <v>320</v>
      </c>
      <c r="Q10" s="334" t="s">
        <v>735</v>
      </c>
      <c r="R10" s="334" t="s">
        <v>657</v>
      </c>
      <c r="S10" s="334" t="s">
        <v>320</v>
      </c>
      <c r="T10" s="334" t="s">
        <v>735</v>
      </c>
      <c r="U10" s="334" t="s">
        <v>657</v>
      </c>
      <c r="V10" s="334" t="s">
        <v>320</v>
      </c>
      <c r="W10" s="375" t="s">
        <v>735</v>
      </c>
      <c r="X10" s="335" t="s">
        <v>657</v>
      </c>
      <c r="Y10" s="410" t="s">
        <v>4</v>
      </c>
      <c r="AE10" s="1400" t="s">
        <v>733</v>
      </c>
      <c r="AF10" s="1401"/>
      <c r="AG10" s="1401"/>
      <c r="AH10" s="1401"/>
      <c r="AI10" s="1402"/>
      <c r="AK10" s="1390" t="s">
        <v>734</v>
      </c>
      <c r="AL10" s="1391"/>
      <c r="AM10" s="1391"/>
      <c r="AN10" s="1391"/>
      <c r="AO10" s="1392"/>
      <c r="AQ10" s="1380" t="s">
        <v>732</v>
      </c>
      <c r="AR10" s="1381"/>
      <c r="AS10" s="1381"/>
      <c r="AT10" s="1381"/>
      <c r="AU10" s="1382"/>
      <c r="AW10" s="1405" t="s">
        <v>556</v>
      </c>
      <c r="AX10" s="1406"/>
      <c r="AY10" s="1406"/>
      <c r="AZ10" s="1406"/>
      <c r="BA10" s="1407"/>
    </row>
    <row r="11" spans="1:53" s="32" customFormat="1" ht="17.100000000000001" customHeight="1" thickBot="1" x14ac:dyDescent="0.3">
      <c r="A11" s="24">
        <v>0</v>
      </c>
      <c r="B11" s="25" t="s">
        <v>3</v>
      </c>
      <c r="C11" s="26"/>
      <c r="D11" s="27"/>
      <c r="E11" s="27"/>
      <c r="F11" s="27"/>
      <c r="G11" s="28"/>
      <c r="H11" s="310"/>
      <c r="I11" s="228"/>
      <c r="J11" s="29"/>
      <c r="K11" s="29"/>
      <c r="L11" s="29"/>
      <c r="M11" s="29"/>
      <c r="N11" s="29"/>
      <c r="O11" s="29"/>
      <c r="P11" s="29"/>
      <c r="Q11" s="29"/>
      <c r="R11" s="29"/>
      <c r="S11" s="29"/>
      <c r="T11" s="29"/>
      <c r="U11" s="29"/>
      <c r="V11" s="29"/>
      <c r="W11" s="29"/>
      <c r="X11" s="29"/>
      <c r="Y11" s="29"/>
      <c r="Z11" s="31" t="s">
        <v>5</v>
      </c>
      <c r="AA11" s="31" t="s">
        <v>181</v>
      </c>
      <c r="AB11" s="31" t="s">
        <v>182</v>
      </c>
      <c r="AC11" s="31" t="s">
        <v>6</v>
      </c>
      <c r="AE11" s="33" t="s">
        <v>181</v>
      </c>
      <c r="AF11" s="33" t="s">
        <v>182</v>
      </c>
      <c r="AG11" s="33" t="s">
        <v>6</v>
      </c>
      <c r="AH11" s="33" t="s">
        <v>4</v>
      </c>
      <c r="AI11" s="34" t="s">
        <v>5</v>
      </c>
      <c r="AJ11" s="35"/>
      <c r="AK11" s="36" t="s">
        <v>181</v>
      </c>
      <c r="AL11" s="36" t="s">
        <v>182</v>
      </c>
      <c r="AM11" s="36" t="s">
        <v>6</v>
      </c>
      <c r="AN11" s="36" t="s">
        <v>4</v>
      </c>
      <c r="AO11" s="37" t="s">
        <v>5</v>
      </c>
      <c r="AQ11" s="398" t="s">
        <v>181</v>
      </c>
      <c r="AR11" s="398" t="s">
        <v>182</v>
      </c>
      <c r="AS11" s="398" t="s">
        <v>6</v>
      </c>
      <c r="AT11" s="398" t="s">
        <v>4</v>
      </c>
      <c r="AU11" s="399" t="s">
        <v>5</v>
      </c>
      <c r="AW11" s="38" t="s">
        <v>181</v>
      </c>
      <c r="AX11" s="38" t="s">
        <v>182</v>
      </c>
      <c r="AY11" s="38" t="s">
        <v>6</v>
      </c>
      <c r="AZ11" s="38" t="s">
        <v>4</v>
      </c>
      <c r="BA11" s="39" t="s">
        <v>5</v>
      </c>
    </row>
    <row r="12" spans="1:53" ht="17.100000000000001" customHeight="1" x14ac:dyDescent="0.25">
      <c r="A12" s="47"/>
      <c r="B12" s="414">
        <v>0</v>
      </c>
      <c r="C12" s="42" t="s">
        <v>367</v>
      </c>
      <c r="D12" s="43"/>
      <c r="E12" s="269"/>
      <c r="F12" s="269"/>
      <c r="G12" s="270"/>
      <c r="H12" s="311">
        <v>1</v>
      </c>
      <c r="I12" s="229"/>
      <c r="J12" s="271"/>
      <c r="K12" s="271"/>
      <c r="L12" s="272"/>
      <c r="M12" s="272"/>
      <c r="N12" s="272"/>
      <c r="O12" s="272"/>
      <c r="P12" s="272"/>
      <c r="Q12" s="272"/>
      <c r="R12" s="272"/>
      <c r="S12" s="272"/>
      <c r="T12" s="272"/>
      <c r="U12" s="272"/>
      <c r="V12" s="272"/>
      <c r="W12" s="272"/>
      <c r="X12" s="272"/>
      <c r="Y12" s="272"/>
      <c r="Z12" s="51"/>
      <c r="AA12" s="51"/>
      <c r="AB12" s="51"/>
      <c r="AC12" s="51"/>
      <c r="AE12" s="52"/>
      <c r="AF12" s="52"/>
      <c r="AG12" s="53"/>
      <c r="AH12" s="54"/>
      <c r="AI12" s="51"/>
      <c r="AK12" s="52"/>
      <c r="AL12" s="52"/>
      <c r="AM12" s="53"/>
      <c r="AN12" s="54"/>
      <c r="AO12" s="51"/>
      <c r="AQ12" s="52"/>
      <c r="AR12" s="52"/>
      <c r="AS12" s="52"/>
      <c r="AT12" s="53"/>
      <c r="AU12" s="54"/>
      <c r="AW12" s="52"/>
      <c r="AX12" s="52"/>
      <c r="AY12" s="53"/>
      <c r="AZ12" s="54"/>
      <c r="BA12" s="51"/>
    </row>
    <row r="13" spans="1:53" ht="17.100000000000001" customHeight="1" x14ac:dyDescent="0.25">
      <c r="A13" s="47"/>
      <c r="B13" s="55"/>
      <c r="C13" s="56" t="s">
        <v>626</v>
      </c>
      <c r="D13" s="57" t="s">
        <v>368</v>
      </c>
      <c r="E13" s="58"/>
      <c r="F13" s="58"/>
      <c r="G13" s="59"/>
      <c r="H13" s="1318"/>
      <c r="I13" s="229"/>
      <c r="J13" s="581">
        <v>4</v>
      </c>
      <c r="K13" s="581">
        <v>4</v>
      </c>
      <c r="L13" s="582">
        <v>28</v>
      </c>
      <c r="M13" s="17">
        <f>SUM(J13:L13)</f>
        <v>36</v>
      </c>
      <c r="N13" s="111"/>
      <c r="O13" s="111"/>
      <c r="P13" s="111"/>
      <c r="Q13" s="111"/>
      <c r="R13" s="111"/>
      <c r="S13" s="111"/>
      <c r="T13" s="111"/>
      <c r="U13" s="111"/>
      <c r="V13" s="111"/>
      <c r="W13" s="391">
        <f>J13+K13+N13+Q13+T13</f>
        <v>8</v>
      </c>
      <c r="X13" s="17">
        <f>L13+O13+R13+U13</f>
        <v>28</v>
      </c>
      <c r="Y13" s="18">
        <f>SUM(W13:X13)</f>
        <v>36</v>
      </c>
      <c r="Z13" s="19">
        <f>IF(Y$15=0,0,Y13/Y$15)</f>
        <v>0.30769230769230771</v>
      </c>
      <c r="AA13" s="411"/>
      <c r="AB13" s="411"/>
      <c r="AC13" s="45"/>
      <c r="AE13" s="17"/>
      <c r="AF13" s="17"/>
      <c r="AG13" s="17"/>
      <c r="AH13" s="18">
        <f>J13</f>
        <v>4</v>
      </c>
      <c r="AI13" s="19">
        <f>IF(AH$15=0,0,AH13/AH$15)</f>
        <v>0.2</v>
      </c>
      <c r="AK13" s="17"/>
      <c r="AL13" s="17"/>
      <c r="AM13" s="17"/>
      <c r="AN13" s="18">
        <f>K13</f>
        <v>4</v>
      </c>
      <c r="AO13" s="19">
        <f>IF(AN$15=0,0,AN13/AN$15)</f>
        <v>0.26666666666666666</v>
      </c>
      <c r="AQ13" s="17"/>
      <c r="AR13" s="17"/>
      <c r="AS13" s="17"/>
      <c r="AT13" s="18">
        <f>W13</f>
        <v>8</v>
      </c>
      <c r="AU13" s="19">
        <f>IF(AT$15=0,0,AT13/AT$15)</f>
        <v>0.22857142857142856</v>
      </c>
      <c r="AW13" s="17"/>
      <c r="AX13" s="17"/>
      <c r="AY13" s="17"/>
      <c r="AZ13" s="424">
        <f>X13</f>
        <v>28</v>
      </c>
      <c r="BA13" s="19">
        <f>IF(AZ$15=0,0,AZ13/AZ$15)</f>
        <v>0.34146341463414637</v>
      </c>
    </row>
    <row r="14" spans="1:53" ht="17.100000000000001" customHeight="1" x14ac:dyDescent="0.25">
      <c r="A14" s="47"/>
      <c r="B14" s="55"/>
      <c r="C14" s="56" t="s">
        <v>627</v>
      </c>
      <c r="D14" s="57" t="s">
        <v>369</v>
      </c>
      <c r="E14" s="58"/>
      <c r="F14" s="58"/>
      <c r="G14" s="59"/>
      <c r="H14" s="1318"/>
      <c r="I14" s="229"/>
      <c r="J14" s="583">
        <v>16</v>
      </c>
      <c r="K14" s="583">
        <v>11</v>
      </c>
      <c r="L14" s="584">
        <v>54</v>
      </c>
      <c r="M14" s="17">
        <f>SUM(J14:L14)</f>
        <v>81</v>
      </c>
      <c r="N14" s="111"/>
      <c r="O14" s="111"/>
      <c r="P14" s="111"/>
      <c r="Q14" s="111"/>
      <c r="R14" s="111"/>
      <c r="S14" s="111"/>
      <c r="T14" s="111"/>
      <c r="U14" s="111"/>
      <c r="V14" s="111"/>
      <c r="W14" s="391">
        <f>J14+K14+N14+Q14+T14</f>
        <v>27</v>
      </c>
      <c r="X14" s="17">
        <f>L14+O14+R14+U14</f>
        <v>54</v>
      </c>
      <c r="Y14" s="18">
        <f>SUM(W14:X14)</f>
        <v>81</v>
      </c>
      <c r="Z14" s="19">
        <f>IF(Y$15=0,0,Y14/Y$15)</f>
        <v>0.69230769230769229</v>
      </c>
      <c r="AA14" s="411"/>
      <c r="AB14" s="411"/>
      <c r="AC14" s="45"/>
      <c r="AE14" s="17"/>
      <c r="AF14" s="17"/>
      <c r="AG14" s="17"/>
      <c r="AH14" s="18">
        <f>J14</f>
        <v>16</v>
      </c>
      <c r="AI14" s="19">
        <f>IF(AH$15=0,0,AH14/AH$15)</f>
        <v>0.8</v>
      </c>
      <c r="AK14" s="17"/>
      <c r="AL14" s="17"/>
      <c r="AM14" s="17"/>
      <c r="AN14" s="18">
        <f>K14</f>
        <v>11</v>
      </c>
      <c r="AO14" s="19">
        <f>IF(AN$15=0,0,AN14/AN$15)</f>
        <v>0.73333333333333328</v>
      </c>
      <c r="AQ14" s="17"/>
      <c r="AR14" s="17"/>
      <c r="AS14" s="17"/>
      <c r="AT14" s="18">
        <f>W14</f>
        <v>27</v>
      </c>
      <c r="AU14" s="19">
        <f>IF(AT$15=0,0,AT14/AT$15)</f>
        <v>0.77142857142857146</v>
      </c>
      <c r="AW14" s="17"/>
      <c r="AX14" s="17"/>
      <c r="AY14" s="17"/>
      <c r="AZ14" s="424">
        <f>X14</f>
        <v>54</v>
      </c>
      <c r="BA14" s="19">
        <f>IF(AZ$15=0,0,AZ14/AZ$15)</f>
        <v>0.65853658536585369</v>
      </c>
    </row>
    <row r="15" spans="1:53" ht="17.100000000000001" customHeight="1" x14ac:dyDescent="0.25">
      <c r="A15" s="47"/>
      <c r="B15" s="47"/>
      <c r="C15" s="252"/>
      <c r="D15" s="62"/>
      <c r="E15" s="62"/>
      <c r="F15" s="62"/>
      <c r="G15" s="63"/>
      <c r="H15" s="540"/>
      <c r="I15" s="229"/>
      <c r="J15" s="64">
        <f>SUM(J13:J14)</f>
        <v>20</v>
      </c>
      <c r="K15" s="64">
        <f t="shared" ref="K15:M15" si="0">SUM(K13:K14)</f>
        <v>15</v>
      </c>
      <c r="L15" s="64">
        <f t="shared" si="0"/>
        <v>82</v>
      </c>
      <c r="M15" s="64">
        <f t="shared" si="0"/>
        <v>117</v>
      </c>
      <c r="N15" s="637"/>
      <c r="O15" s="637"/>
      <c r="P15" s="637"/>
      <c r="Q15" s="637"/>
      <c r="R15" s="637"/>
      <c r="S15" s="637"/>
      <c r="T15" s="637"/>
      <c r="U15" s="637"/>
      <c r="V15" s="637"/>
      <c r="W15" s="381">
        <f>SUM(W13:W14)</f>
        <v>35</v>
      </c>
      <c r="X15" s="82">
        <f t="shared" ref="X15:Y15" si="1">SUM(X13:X14)</f>
        <v>82</v>
      </c>
      <c r="Y15" s="82">
        <f t="shared" si="1"/>
        <v>117</v>
      </c>
      <c r="Z15" s="205">
        <f>IF(Y$15=0,0,Y15/Y$15)</f>
        <v>1</v>
      </c>
      <c r="AA15" s="412"/>
      <c r="AB15" s="412"/>
      <c r="AC15" s="67"/>
      <c r="AE15" s="67"/>
      <c r="AF15" s="67"/>
      <c r="AG15" s="67"/>
      <c r="AH15" s="65">
        <f>SUM(AH13:AH14)</f>
        <v>20</v>
      </c>
      <c r="AI15" s="66">
        <f>IF(AH$15=0,0,AH15/AH$15)</f>
        <v>1</v>
      </c>
      <c r="AK15" s="67"/>
      <c r="AL15" s="67"/>
      <c r="AM15" s="67"/>
      <c r="AN15" s="65">
        <f>SUM(AN13:AN14)</f>
        <v>15</v>
      </c>
      <c r="AO15" s="66">
        <f>IF(AN$15=0,0,AN15/AN$15)</f>
        <v>1</v>
      </c>
      <c r="AQ15" s="67"/>
      <c r="AR15" s="67"/>
      <c r="AS15" s="67"/>
      <c r="AT15" s="65">
        <f>SUM(AT13:AT14)</f>
        <v>35</v>
      </c>
      <c r="AU15" s="66">
        <f>IF(AT$15=0,0,AT15/AT$15)</f>
        <v>1</v>
      </c>
      <c r="AW15" s="67"/>
      <c r="AX15" s="67"/>
      <c r="AY15" s="67"/>
      <c r="AZ15" s="65">
        <f>SUM(AZ13:AZ14)</f>
        <v>82</v>
      </c>
      <c r="BA15" s="66">
        <f>IF(AZ$15=0,0,AZ15/AZ$15)</f>
        <v>1</v>
      </c>
    </row>
    <row r="16" spans="1:53" s="117" customFormat="1" ht="17.100000000000001" customHeight="1" x14ac:dyDescent="0.25">
      <c r="A16" s="186"/>
      <c r="B16" s="253"/>
      <c r="C16" s="254"/>
      <c r="D16" s="255"/>
      <c r="E16" s="93"/>
      <c r="F16" s="93"/>
      <c r="G16" s="209"/>
      <c r="H16" s="540"/>
      <c r="I16" s="12"/>
      <c r="J16" s="198"/>
      <c r="K16" s="638"/>
      <c r="L16" s="425"/>
      <c r="M16" s="425"/>
      <c r="N16" s="425"/>
      <c r="O16" s="425"/>
      <c r="P16" s="425"/>
      <c r="Q16" s="425"/>
      <c r="R16" s="425"/>
      <c r="S16" s="425"/>
      <c r="T16" s="425"/>
      <c r="U16" s="425"/>
      <c r="V16" s="425"/>
      <c r="W16" s="395">
        <f>IF($Y$15=0,0,W15/$Y$15)</f>
        <v>0.29914529914529914</v>
      </c>
      <c r="X16" s="91">
        <f>IF($Y$15=0,0,X15/$Y$15)</f>
        <v>0.70085470085470081</v>
      </c>
      <c r="Y16" s="91">
        <f>IF($Y$15=0,0,Y15/$Y$15)</f>
        <v>1</v>
      </c>
      <c r="Z16" s="201"/>
      <c r="AA16" s="413"/>
      <c r="AB16" s="413"/>
      <c r="AC16" s="256"/>
      <c r="AE16" s="256"/>
      <c r="AF16" s="256"/>
      <c r="AG16" s="256"/>
      <c r="AH16" s="257"/>
      <c r="AI16" s="91"/>
      <c r="AK16" s="256"/>
      <c r="AL16" s="256"/>
      <c r="AM16" s="256"/>
      <c r="AN16" s="257"/>
      <c r="AO16" s="91"/>
      <c r="AQ16" s="256"/>
      <c r="AR16" s="256"/>
      <c r="AS16" s="256"/>
      <c r="AT16" s="257"/>
      <c r="AU16" s="91"/>
      <c r="AW16" s="256"/>
      <c r="AX16" s="256"/>
      <c r="AY16" s="256"/>
      <c r="AZ16" s="425"/>
      <c r="BA16" s="91"/>
    </row>
    <row r="17" spans="1:53" ht="17.100000000000001" customHeight="1" x14ac:dyDescent="0.25">
      <c r="A17" s="40"/>
      <c r="B17" s="41">
        <v>0.1</v>
      </c>
      <c r="C17" s="42" t="s">
        <v>628</v>
      </c>
      <c r="D17" s="43"/>
      <c r="E17" s="43"/>
      <c r="F17" s="43"/>
      <c r="G17" s="44"/>
      <c r="H17" s="219"/>
      <c r="I17" s="229"/>
      <c r="J17" s="586"/>
      <c r="K17" s="586"/>
      <c r="L17" s="71"/>
      <c r="M17" s="71"/>
      <c r="N17" s="71"/>
      <c r="O17" s="71"/>
      <c r="P17" s="71"/>
      <c r="Q17" s="71"/>
      <c r="R17" s="71"/>
      <c r="S17" s="71"/>
      <c r="T17" s="71"/>
      <c r="U17" s="71"/>
      <c r="V17" s="355"/>
      <c r="W17" s="377"/>
      <c r="X17" s="71"/>
      <c r="Y17" s="72"/>
      <c r="Z17" s="73"/>
      <c r="AA17" s="73"/>
      <c r="AB17" s="73"/>
      <c r="AC17" s="73"/>
      <c r="AE17" s="52"/>
      <c r="AF17" s="52"/>
      <c r="AG17" s="52"/>
      <c r="AH17" s="53"/>
      <c r="AI17" s="54"/>
      <c r="AJ17" s="117"/>
      <c r="AK17" s="52"/>
      <c r="AL17" s="52"/>
      <c r="AM17" s="52"/>
      <c r="AN17" s="53"/>
      <c r="AO17" s="54"/>
      <c r="AP17" s="117"/>
      <c r="AQ17" s="52"/>
      <c r="AR17" s="52"/>
      <c r="AS17" s="52"/>
      <c r="AT17" s="53"/>
      <c r="AU17" s="54"/>
      <c r="AV17" s="117"/>
      <c r="AW17" s="52"/>
      <c r="AX17" s="52"/>
      <c r="AY17" s="52"/>
      <c r="AZ17" s="272"/>
      <c r="BA17" s="54"/>
    </row>
    <row r="18" spans="1:53" ht="17.100000000000001" customHeight="1" x14ac:dyDescent="0.25">
      <c r="A18" s="47"/>
      <c r="B18" s="55"/>
      <c r="C18" s="56" t="s">
        <v>371</v>
      </c>
      <c r="D18" s="120" t="s">
        <v>629</v>
      </c>
      <c r="E18" s="58"/>
      <c r="F18" s="58"/>
      <c r="G18" s="59"/>
      <c r="H18" s="216"/>
      <c r="I18" s="229"/>
      <c r="J18" s="174"/>
      <c r="K18" s="174"/>
      <c r="L18" s="111"/>
      <c r="M18" s="111"/>
      <c r="N18" s="60"/>
      <c r="O18" s="60"/>
      <c r="P18" s="17">
        <f>SUM(N18:O18)</f>
        <v>0</v>
      </c>
      <c r="Q18" s="60"/>
      <c r="R18" s="60"/>
      <c r="S18" s="17">
        <f>SUM(Q18:R18)</f>
        <v>0</v>
      </c>
      <c r="T18" s="60"/>
      <c r="U18" s="60"/>
      <c r="V18" s="359">
        <f>SUM(T18:U18)</f>
        <v>0</v>
      </c>
      <c r="W18" s="391">
        <f t="shared" ref="W18:W19" si="2">J18+K18+N18+Q18+T18</f>
        <v>0</v>
      </c>
      <c r="X18" s="17">
        <f t="shared" ref="X18:X19" si="3">L18+O18+R18+U18</f>
        <v>0</v>
      </c>
      <c r="Y18" s="18">
        <f>SUM(W18:X18)</f>
        <v>0</v>
      </c>
      <c r="Z18" s="19">
        <f>IF(Y$20=0,0,Y18/Y$20)</f>
        <v>0</v>
      </c>
      <c r="AA18" s="19"/>
      <c r="AB18" s="19"/>
      <c r="AC18" s="20"/>
      <c r="AE18" s="111"/>
      <c r="AF18" s="111"/>
      <c r="AG18" s="111"/>
      <c r="AH18" s="545"/>
      <c r="AI18" s="131"/>
      <c r="AJ18" s="117"/>
      <c r="AK18" s="111"/>
      <c r="AL18" s="111"/>
      <c r="AM18" s="111"/>
      <c r="AN18" s="545"/>
      <c r="AO18" s="131"/>
      <c r="AP18" s="117"/>
      <c r="AQ18" s="17"/>
      <c r="AR18" s="17"/>
      <c r="AS18" s="17"/>
      <c r="AT18" s="18">
        <f>W18</f>
        <v>0</v>
      </c>
      <c r="AU18" s="19">
        <f>IF(AT$20=0,0,AT18/AT$20)</f>
        <v>0</v>
      </c>
      <c r="AV18" s="117"/>
      <c r="AW18" s="17"/>
      <c r="AX18" s="17"/>
      <c r="AY18" s="17"/>
      <c r="AZ18" s="424">
        <f>X18</f>
        <v>0</v>
      </c>
      <c r="BA18" s="19">
        <f>IF(AZ$20=0,0,AZ18/AZ$20)</f>
        <v>0</v>
      </c>
    </row>
    <row r="19" spans="1:53" ht="17.100000000000001" customHeight="1" x14ac:dyDescent="0.25">
      <c r="A19" s="47"/>
      <c r="B19" s="55"/>
      <c r="C19" s="56" t="s">
        <v>372</v>
      </c>
      <c r="D19" s="120" t="s">
        <v>630</v>
      </c>
      <c r="E19" s="58"/>
      <c r="F19" s="58"/>
      <c r="G19" s="59"/>
      <c r="H19" s="216"/>
      <c r="I19" s="229"/>
      <c r="J19" s="174"/>
      <c r="K19" s="174"/>
      <c r="L19" s="111"/>
      <c r="M19" s="111"/>
      <c r="N19" s="61">
        <v>2</v>
      </c>
      <c r="O19" s="61">
        <v>3</v>
      </c>
      <c r="P19" s="17">
        <f>SUM(N19:O19)</f>
        <v>5</v>
      </c>
      <c r="Q19" s="61"/>
      <c r="R19" s="61"/>
      <c r="S19" s="17">
        <f>SUM(Q19:R19)</f>
        <v>0</v>
      </c>
      <c r="T19" s="61"/>
      <c r="U19" s="61"/>
      <c r="V19" s="359">
        <f>SUM(T19:U19)</f>
        <v>0</v>
      </c>
      <c r="W19" s="391">
        <f t="shared" si="2"/>
        <v>2</v>
      </c>
      <c r="X19" s="17">
        <f t="shared" si="3"/>
        <v>3</v>
      </c>
      <c r="Y19" s="18">
        <f>SUM(W19:X19)</f>
        <v>5</v>
      </c>
      <c r="Z19" s="19">
        <f t="shared" ref="Z19:Z20" si="4">IF(Y$20=0,0,Y19/Y$20)</f>
        <v>1</v>
      </c>
      <c r="AA19" s="19"/>
      <c r="AB19" s="19"/>
      <c r="AC19" s="20"/>
      <c r="AE19" s="111"/>
      <c r="AF19" s="111"/>
      <c r="AG19" s="111"/>
      <c r="AH19" s="545"/>
      <c r="AI19" s="131"/>
      <c r="AJ19" s="117"/>
      <c r="AK19" s="111"/>
      <c r="AL19" s="111"/>
      <c r="AM19" s="111"/>
      <c r="AN19" s="545"/>
      <c r="AO19" s="131"/>
      <c r="AP19" s="117"/>
      <c r="AQ19" s="17"/>
      <c r="AR19" s="17"/>
      <c r="AS19" s="17"/>
      <c r="AT19" s="18">
        <f>W19</f>
        <v>2</v>
      </c>
      <c r="AU19" s="19">
        <f t="shared" ref="AU19:AU20" si="5">IF(AT$20=0,0,AT19/AT$20)</f>
        <v>1</v>
      </c>
      <c r="AV19" s="117"/>
      <c r="AW19" s="17"/>
      <c r="AX19" s="17"/>
      <c r="AY19" s="17"/>
      <c r="AZ19" s="424">
        <f>X19</f>
        <v>3</v>
      </c>
      <c r="BA19" s="19">
        <f t="shared" ref="BA19:BA20" si="6">IF(AZ$20=0,0,AZ19/AZ$20)</f>
        <v>1</v>
      </c>
    </row>
    <row r="20" spans="1:53" ht="17.100000000000001" customHeight="1" x14ac:dyDescent="0.25">
      <c r="A20" s="47"/>
      <c r="B20" s="47"/>
      <c r="C20" s="252"/>
      <c r="D20" s="62"/>
      <c r="E20" s="62"/>
      <c r="F20" s="62"/>
      <c r="G20" s="63"/>
      <c r="H20" s="216"/>
      <c r="I20" s="229"/>
      <c r="J20" s="64"/>
      <c r="K20" s="64"/>
      <c r="L20" s="64"/>
      <c r="M20" s="64"/>
      <c r="N20" s="64">
        <f>SUM(N18:N19)</f>
        <v>2</v>
      </c>
      <c r="O20" s="64">
        <f t="shared" ref="O20:V20" si="7">SUM(O18:O19)</f>
        <v>3</v>
      </c>
      <c r="P20" s="64">
        <f t="shared" si="7"/>
        <v>5</v>
      </c>
      <c r="Q20" s="64">
        <f t="shared" si="7"/>
        <v>0</v>
      </c>
      <c r="R20" s="64">
        <f t="shared" si="7"/>
        <v>0</v>
      </c>
      <c r="S20" s="64">
        <f t="shared" si="7"/>
        <v>0</v>
      </c>
      <c r="T20" s="64">
        <f t="shared" si="7"/>
        <v>0</v>
      </c>
      <c r="U20" s="64">
        <f t="shared" si="7"/>
        <v>0</v>
      </c>
      <c r="V20" s="64">
        <f t="shared" si="7"/>
        <v>0</v>
      </c>
      <c r="W20" s="381">
        <f>SUM(W18:W19)</f>
        <v>2</v>
      </c>
      <c r="X20" s="82">
        <f t="shared" ref="X20:Y20" si="8">SUM(X18:X19)</f>
        <v>3</v>
      </c>
      <c r="Y20" s="82">
        <f t="shared" si="8"/>
        <v>5</v>
      </c>
      <c r="Z20" s="205">
        <f t="shared" si="4"/>
        <v>1</v>
      </c>
      <c r="AA20" s="205"/>
      <c r="AB20" s="205"/>
      <c r="AC20" s="83"/>
      <c r="AE20" s="67"/>
      <c r="AF20" s="67"/>
      <c r="AG20" s="67"/>
      <c r="AH20" s="65"/>
      <c r="AI20" s="66"/>
      <c r="AJ20" s="117"/>
      <c r="AK20" s="67"/>
      <c r="AL20" s="67"/>
      <c r="AM20" s="67"/>
      <c r="AN20" s="65"/>
      <c r="AO20" s="66"/>
      <c r="AP20" s="117"/>
      <c r="AQ20" s="67"/>
      <c r="AR20" s="67"/>
      <c r="AS20" s="67"/>
      <c r="AT20" s="65">
        <f>SUM(AT18:AT19)</f>
        <v>2</v>
      </c>
      <c r="AU20" s="66">
        <f t="shared" si="5"/>
        <v>1</v>
      </c>
      <c r="AV20" s="117"/>
      <c r="AW20" s="67"/>
      <c r="AX20" s="67"/>
      <c r="AY20" s="67"/>
      <c r="AZ20" s="65">
        <f>SUM(AZ18:AZ19)</f>
        <v>3</v>
      </c>
      <c r="BA20" s="66">
        <f t="shared" si="6"/>
        <v>1</v>
      </c>
    </row>
    <row r="21" spans="1:53" s="117" customFormat="1" ht="17.100000000000001" customHeight="1" x14ac:dyDescent="0.25">
      <c r="A21" s="186"/>
      <c r="B21" s="253"/>
      <c r="C21" s="254"/>
      <c r="D21" s="93"/>
      <c r="E21" s="93"/>
      <c r="F21" s="93"/>
      <c r="G21" s="209"/>
      <c r="H21" s="540"/>
      <c r="I21" s="12"/>
      <c r="J21" s="198"/>
      <c r="K21" s="638"/>
      <c r="L21" s="425"/>
      <c r="M21" s="425"/>
      <c r="N21" s="425"/>
      <c r="O21" s="425"/>
      <c r="P21" s="425"/>
      <c r="Q21" s="425"/>
      <c r="R21" s="425"/>
      <c r="S21" s="425"/>
      <c r="T21" s="425"/>
      <c r="U21" s="425"/>
      <c r="V21" s="425"/>
      <c r="W21" s="639"/>
      <c r="X21" s="91"/>
      <c r="Y21" s="91"/>
      <c r="Z21" s="201"/>
      <c r="AA21" s="413"/>
      <c r="AB21" s="413"/>
      <c r="AC21" s="256"/>
      <c r="AE21" s="256"/>
      <c r="AF21" s="256"/>
      <c r="AG21" s="256"/>
      <c r="AH21" s="257"/>
      <c r="AI21" s="91"/>
      <c r="AK21" s="256"/>
      <c r="AL21" s="256"/>
      <c r="AM21" s="256"/>
      <c r="AN21" s="257"/>
      <c r="AO21" s="91"/>
      <c r="AQ21" s="256"/>
      <c r="AR21" s="256"/>
      <c r="AS21" s="256"/>
      <c r="AT21" s="257"/>
      <c r="AU21" s="91"/>
      <c r="AW21" s="256"/>
      <c r="AX21" s="256"/>
      <c r="AY21" s="256"/>
      <c r="AZ21" s="425"/>
      <c r="BA21" s="91"/>
    </row>
    <row r="22" spans="1:53" ht="17.100000000000001" customHeight="1" x14ac:dyDescent="0.25">
      <c r="A22" s="40"/>
      <c r="B22" s="41">
        <v>0.2</v>
      </c>
      <c r="C22" s="69" t="s">
        <v>370</v>
      </c>
      <c r="D22" s="50"/>
      <c r="E22" s="43"/>
      <c r="F22" s="43"/>
      <c r="G22" s="44"/>
      <c r="H22" s="640">
        <v>5</v>
      </c>
      <c r="I22" s="229"/>
      <c r="J22" s="71"/>
      <c r="K22" s="71"/>
      <c r="L22" s="71"/>
      <c r="M22" s="71"/>
      <c r="N22" s="71"/>
      <c r="O22" s="71"/>
      <c r="P22" s="71"/>
      <c r="Q22" s="71"/>
      <c r="R22" s="71"/>
      <c r="S22" s="71"/>
      <c r="T22" s="71"/>
      <c r="U22" s="71"/>
      <c r="V22" s="71"/>
      <c r="W22" s="71"/>
      <c r="X22" s="71"/>
      <c r="Y22" s="71"/>
      <c r="Z22" s="73"/>
      <c r="AA22" s="73"/>
      <c r="AB22" s="73"/>
      <c r="AC22" s="73"/>
      <c r="AE22" s="71"/>
      <c r="AF22" s="71"/>
      <c r="AG22" s="71"/>
      <c r="AH22" s="72"/>
      <c r="AI22" s="73"/>
      <c r="AK22" s="71"/>
      <c r="AL22" s="71"/>
      <c r="AM22" s="71"/>
      <c r="AN22" s="72"/>
      <c r="AO22" s="73"/>
      <c r="AQ22" s="71"/>
      <c r="AR22" s="71"/>
      <c r="AS22" s="71"/>
      <c r="AT22" s="72"/>
      <c r="AU22" s="73"/>
      <c r="AW22" s="71"/>
      <c r="AX22" s="71"/>
      <c r="AY22" s="71"/>
      <c r="AZ22" s="273"/>
      <c r="BA22" s="73"/>
    </row>
    <row r="23" spans="1:53" ht="17.100000000000001" customHeight="1" x14ac:dyDescent="0.25">
      <c r="A23" s="40"/>
      <c r="B23" s="40"/>
      <c r="C23" s="74" t="s">
        <v>7</v>
      </c>
      <c r="D23" s="542" t="s">
        <v>9</v>
      </c>
      <c r="E23" s="75"/>
      <c r="F23" s="75"/>
      <c r="G23" s="76"/>
      <c r="H23" s="1318"/>
      <c r="I23" s="229"/>
      <c r="J23" s="581"/>
      <c r="K23" s="581"/>
      <c r="L23" s="582"/>
      <c r="M23" s="17">
        <f t="shared" ref="M23:M25" si="9">SUM(J23:L23)</f>
        <v>0</v>
      </c>
      <c r="N23" s="111"/>
      <c r="O23" s="111"/>
      <c r="P23" s="111"/>
      <c r="Q23" s="111"/>
      <c r="R23" s="111"/>
      <c r="S23" s="111"/>
      <c r="T23" s="111"/>
      <c r="U23" s="111"/>
      <c r="V23" s="111"/>
      <c r="W23" s="391">
        <f t="shared" ref="W23:W25" si="10">J23+K23+N23+Q23+T23</f>
        <v>0</v>
      </c>
      <c r="X23" s="17">
        <f t="shared" ref="X23:X25" si="11">L23+O23+R23+U23</f>
        <v>0</v>
      </c>
      <c r="Y23" s="18">
        <f>SUM(W23:X23)</f>
        <v>0</v>
      </c>
      <c r="Z23" s="19">
        <f>IF(Y$26=0,0,Y23/Y$26)</f>
        <v>0</v>
      </c>
      <c r="AA23" s="411"/>
      <c r="AB23" s="411"/>
      <c r="AC23" s="45"/>
      <c r="AE23" s="17"/>
      <c r="AF23" s="17"/>
      <c r="AG23" s="17"/>
      <c r="AH23" s="18">
        <f>J23</f>
        <v>0</v>
      </c>
      <c r="AI23" s="19">
        <f>IF(AH$26=0,0,AH23/AH$26)</f>
        <v>0</v>
      </c>
      <c r="AK23" s="17"/>
      <c r="AL23" s="17"/>
      <c r="AM23" s="17"/>
      <c r="AN23" s="18">
        <f>K23</f>
        <v>0</v>
      </c>
      <c r="AO23" s="19">
        <f>IF(AN$26=0,0,AN23/AN$26)</f>
        <v>0</v>
      </c>
      <c r="AQ23" s="17"/>
      <c r="AR23" s="17"/>
      <c r="AS23" s="17"/>
      <c r="AT23" s="18">
        <f>W23</f>
        <v>0</v>
      </c>
      <c r="AU23" s="19">
        <f>IF(AT$26=0,0,AT23/AT$26)</f>
        <v>0</v>
      </c>
      <c r="AW23" s="17"/>
      <c r="AX23" s="17"/>
      <c r="AY23" s="17"/>
      <c r="AZ23" s="424">
        <f>X23</f>
        <v>0</v>
      </c>
      <c r="BA23" s="19">
        <f>IF(AZ$26=0,0,AZ23/AZ$26)</f>
        <v>0</v>
      </c>
    </row>
    <row r="24" spans="1:53" ht="17.100000000000001" customHeight="1" x14ac:dyDescent="0.25">
      <c r="A24" s="40"/>
      <c r="B24" s="40"/>
      <c r="C24" s="74" t="s">
        <v>8</v>
      </c>
      <c r="D24" s="542" t="s">
        <v>10</v>
      </c>
      <c r="E24" s="75"/>
      <c r="F24" s="75"/>
      <c r="G24" s="76"/>
      <c r="H24" s="540"/>
      <c r="I24" s="229"/>
      <c r="J24" s="583"/>
      <c r="K24" s="583"/>
      <c r="L24" s="584"/>
      <c r="M24" s="17">
        <f t="shared" si="9"/>
        <v>0</v>
      </c>
      <c r="N24" s="111"/>
      <c r="O24" s="111"/>
      <c r="P24" s="111"/>
      <c r="Q24" s="111"/>
      <c r="R24" s="111"/>
      <c r="S24" s="111"/>
      <c r="T24" s="111"/>
      <c r="U24" s="111"/>
      <c r="V24" s="111"/>
      <c r="W24" s="391">
        <f t="shared" si="10"/>
        <v>0</v>
      </c>
      <c r="X24" s="17">
        <f t="shared" si="11"/>
        <v>0</v>
      </c>
      <c r="Y24" s="18">
        <f>SUM(W24:X24)</f>
        <v>0</v>
      </c>
      <c r="Z24" s="19">
        <f t="shared" ref="Z24:Z25" si="12">IF(Y$26=0,0,Y24/Y$26)</f>
        <v>0</v>
      </c>
      <c r="AA24" s="411"/>
      <c r="AB24" s="411"/>
      <c r="AC24" s="45"/>
      <c r="AE24" s="17"/>
      <c r="AF24" s="17"/>
      <c r="AG24" s="17"/>
      <c r="AH24" s="18">
        <f t="shared" ref="AH24:AH25" si="13">J24</f>
        <v>0</v>
      </c>
      <c r="AI24" s="19">
        <f>IF(AH$26=0,0,AH24/AH$26)</f>
        <v>0</v>
      </c>
      <c r="AK24" s="17"/>
      <c r="AL24" s="17"/>
      <c r="AM24" s="17"/>
      <c r="AN24" s="18">
        <f t="shared" ref="AN24:AN25" si="14">K24</f>
        <v>0</v>
      </c>
      <c r="AO24" s="19">
        <f>IF(AN$26=0,0,AN24/AN$26)</f>
        <v>0</v>
      </c>
      <c r="AQ24" s="17"/>
      <c r="AR24" s="17"/>
      <c r="AS24" s="17"/>
      <c r="AT24" s="18">
        <f t="shared" ref="AT24:AT25" si="15">W24</f>
        <v>0</v>
      </c>
      <c r="AU24" s="19">
        <f t="shared" ref="AU24:AU26" si="16">IF(AT$26=0,0,AT24/AT$26)</f>
        <v>0</v>
      </c>
      <c r="AW24" s="17"/>
      <c r="AX24" s="17"/>
      <c r="AY24" s="17"/>
      <c r="AZ24" s="424">
        <f t="shared" ref="AZ24:AZ25" si="17">X24</f>
        <v>0</v>
      </c>
      <c r="BA24" s="19">
        <f>IF(AZ$26=0,0,AZ24/AZ$26)</f>
        <v>0</v>
      </c>
    </row>
    <row r="25" spans="1:53" ht="17.100000000000001" customHeight="1" x14ac:dyDescent="0.25">
      <c r="A25" s="40"/>
      <c r="B25" s="40"/>
      <c r="C25" s="74" t="s">
        <v>531</v>
      </c>
      <c r="D25" s="542" t="s">
        <v>530</v>
      </c>
      <c r="E25" s="75"/>
      <c r="F25" s="75"/>
      <c r="G25" s="76"/>
      <c r="H25" s="540"/>
      <c r="I25" s="229"/>
      <c r="J25" s="581"/>
      <c r="K25" s="581"/>
      <c r="L25" s="582"/>
      <c r="M25" s="17">
        <f t="shared" si="9"/>
        <v>0</v>
      </c>
      <c r="N25" s="111"/>
      <c r="O25" s="111"/>
      <c r="P25" s="111"/>
      <c r="Q25" s="111"/>
      <c r="R25" s="111"/>
      <c r="S25" s="111"/>
      <c r="T25" s="111"/>
      <c r="U25" s="111"/>
      <c r="V25" s="111"/>
      <c r="W25" s="391">
        <f t="shared" si="10"/>
        <v>0</v>
      </c>
      <c r="X25" s="17">
        <f t="shared" si="11"/>
        <v>0</v>
      </c>
      <c r="Y25" s="18">
        <f>SUM(W25:X25)</f>
        <v>0</v>
      </c>
      <c r="Z25" s="19">
        <f t="shared" si="12"/>
        <v>0</v>
      </c>
      <c r="AA25" s="411"/>
      <c r="AB25" s="411"/>
      <c r="AC25" s="45"/>
      <c r="AE25" s="17"/>
      <c r="AF25" s="17"/>
      <c r="AG25" s="17"/>
      <c r="AH25" s="18">
        <f t="shared" si="13"/>
        <v>0</v>
      </c>
      <c r="AI25" s="19">
        <f>IF(AH$26=0,0,AH25/AH$26)</f>
        <v>0</v>
      </c>
      <c r="AK25" s="17"/>
      <c r="AL25" s="17"/>
      <c r="AM25" s="17"/>
      <c r="AN25" s="18">
        <f t="shared" si="14"/>
        <v>0</v>
      </c>
      <c r="AO25" s="19">
        <f>IF(AN$26=0,0,AN25/AN$26)</f>
        <v>0</v>
      </c>
      <c r="AQ25" s="17"/>
      <c r="AR25" s="17"/>
      <c r="AS25" s="17"/>
      <c r="AT25" s="18">
        <f t="shared" si="15"/>
        <v>0</v>
      </c>
      <c r="AU25" s="19">
        <f t="shared" si="16"/>
        <v>0</v>
      </c>
      <c r="AW25" s="17"/>
      <c r="AX25" s="17"/>
      <c r="AY25" s="17"/>
      <c r="AZ25" s="424">
        <f t="shared" si="17"/>
        <v>0</v>
      </c>
      <c r="BA25" s="19">
        <f>IF(AZ$26=0,0,AZ25/AZ$26)</f>
        <v>0</v>
      </c>
    </row>
    <row r="26" spans="1:53" ht="17.100000000000001" customHeight="1" x14ac:dyDescent="0.25">
      <c r="A26" s="40"/>
      <c r="B26" s="40"/>
      <c r="C26" s="77"/>
      <c r="D26" s="78"/>
      <c r="E26" s="78"/>
      <c r="F26" s="78"/>
      <c r="G26" s="79"/>
      <c r="H26" s="540"/>
      <c r="I26" s="230"/>
      <c r="J26" s="80">
        <f>SUM(J23:J25)</f>
        <v>0</v>
      </c>
      <c r="K26" s="80">
        <f t="shared" ref="K26:M26" si="18">SUM(K23:K25)</f>
        <v>0</v>
      </c>
      <c r="L26" s="80">
        <f t="shared" si="18"/>
        <v>0</v>
      </c>
      <c r="M26" s="80">
        <f t="shared" si="18"/>
        <v>0</v>
      </c>
      <c r="N26" s="81"/>
      <c r="O26" s="81"/>
      <c r="P26" s="81"/>
      <c r="Q26" s="81"/>
      <c r="R26" s="81"/>
      <c r="S26" s="81"/>
      <c r="T26" s="81"/>
      <c r="U26" s="81"/>
      <c r="V26" s="81"/>
      <c r="W26" s="381">
        <f>SUM(W23:W25)</f>
        <v>0</v>
      </c>
      <c r="X26" s="82">
        <f t="shared" ref="X26:Y26" si="19">SUM(X23:X25)</f>
        <v>0</v>
      </c>
      <c r="Y26" s="82">
        <f t="shared" si="19"/>
        <v>0</v>
      </c>
      <c r="Z26" s="205">
        <f>IF(Y$26=0,0,Y26/Y$26)</f>
        <v>0</v>
      </c>
      <c r="AA26" s="205"/>
      <c r="AB26" s="205"/>
      <c r="AC26" s="83"/>
      <c r="AE26" s="81"/>
      <c r="AF26" s="81"/>
      <c r="AG26" s="81"/>
      <c r="AH26" s="82">
        <f>SUM(AH23:AH25)</f>
        <v>0</v>
      </c>
      <c r="AI26" s="66">
        <f>IF(AH$26=0,0,AH26/AH$26)</f>
        <v>0</v>
      </c>
      <c r="AK26" s="81"/>
      <c r="AL26" s="81"/>
      <c r="AM26" s="81"/>
      <c r="AN26" s="82">
        <f>SUM(AN23:AN25)</f>
        <v>0</v>
      </c>
      <c r="AO26" s="66">
        <f>IF(AN$26=0,0,AN26/AN$26)</f>
        <v>0</v>
      </c>
      <c r="AQ26" s="67"/>
      <c r="AR26" s="67"/>
      <c r="AS26" s="67"/>
      <c r="AT26" s="65">
        <f>SUM(AT23:AT25)</f>
        <v>0</v>
      </c>
      <c r="AU26" s="66">
        <f t="shared" si="16"/>
        <v>0</v>
      </c>
      <c r="AW26" s="81"/>
      <c r="AX26" s="81"/>
      <c r="AY26" s="81"/>
      <c r="AZ26" s="82">
        <f>SUM(AZ23:AZ25)</f>
        <v>0</v>
      </c>
      <c r="BA26" s="66">
        <f>IF(AZ$26=0,0,AZ26/AZ$26)</f>
        <v>0</v>
      </c>
    </row>
    <row r="27" spans="1:53" s="97" customFormat="1" ht="17.100000000000001" customHeight="1" x14ac:dyDescent="0.25">
      <c r="A27" s="68"/>
      <c r="B27" s="68"/>
      <c r="C27" s="92"/>
      <c r="D27" s="93"/>
      <c r="E27" s="93"/>
      <c r="F27" s="93"/>
      <c r="G27" s="93"/>
      <c r="H27" s="165"/>
      <c r="I27" s="12"/>
      <c r="J27" s="94" t="str">
        <f>IF(J26=J$15,"OK","NOK")</f>
        <v>NOK</v>
      </c>
      <c r="K27" s="94" t="str">
        <f t="shared" ref="K27:L27" si="20">IF(K26=K$15,"OK","NOK")</f>
        <v>NOK</v>
      </c>
      <c r="L27" s="94" t="str">
        <f t="shared" si="20"/>
        <v>NOK</v>
      </c>
      <c r="M27" s="95"/>
      <c r="N27" s="95"/>
      <c r="O27" s="95"/>
      <c r="P27" s="95"/>
      <c r="Q27" s="95"/>
      <c r="R27" s="95"/>
      <c r="S27" s="95"/>
      <c r="T27" s="95"/>
      <c r="U27" s="95"/>
      <c r="V27" s="95"/>
      <c r="W27" s="95"/>
      <c r="X27" s="95"/>
      <c r="Y27" s="95"/>
      <c r="AQ27" s="98"/>
      <c r="AR27" s="98"/>
      <c r="AS27" s="98"/>
      <c r="AT27" s="99"/>
      <c r="AU27" s="100"/>
    </row>
    <row r="28" spans="1:53" s="32" customFormat="1" ht="16.5" thickBot="1" x14ac:dyDescent="0.3">
      <c r="A28" s="24" t="s">
        <v>13</v>
      </c>
      <c r="B28" s="25" t="s">
        <v>557</v>
      </c>
      <c r="C28" s="26"/>
      <c r="D28" s="27"/>
      <c r="E28" s="27"/>
      <c r="F28" s="27"/>
      <c r="G28" s="28"/>
      <c r="H28" s="310"/>
      <c r="I28" s="228"/>
      <c r="J28" s="101"/>
      <c r="K28" s="101"/>
      <c r="L28" s="101"/>
      <c r="M28" s="101"/>
      <c r="N28" s="101"/>
      <c r="O28" s="101"/>
      <c r="P28" s="101"/>
      <c r="Q28" s="101"/>
      <c r="R28" s="101"/>
      <c r="S28" s="101"/>
      <c r="T28" s="101"/>
      <c r="U28" s="101"/>
      <c r="V28" s="101"/>
      <c r="W28" s="101"/>
      <c r="X28" s="101"/>
      <c r="Y28" s="415" t="s">
        <v>4</v>
      </c>
      <c r="Z28" s="31" t="s">
        <v>5</v>
      </c>
      <c r="AA28" s="31" t="s">
        <v>181</v>
      </c>
      <c r="AB28" s="31" t="s">
        <v>182</v>
      </c>
      <c r="AC28" s="31" t="s">
        <v>6</v>
      </c>
      <c r="AE28" s="33" t="s">
        <v>181</v>
      </c>
      <c r="AF28" s="33" t="s">
        <v>182</v>
      </c>
      <c r="AG28" s="33" t="s">
        <v>6</v>
      </c>
      <c r="AH28" s="33" t="s">
        <v>4</v>
      </c>
      <c r="AI28" s="34" t="s">
        <v>5</v>
      </c>
      <c r="AK28" s="36" t="s">
        <v>181</v>
      </c>
      <c r="AL28" s="36" t="s">
        <v>182</v>
      </c>
      <c r="AM28" s="36" t="s">
        <v>6</v>
      </c>
      <c r="AN28" s="36" t="s">
        <v>4</v>
      </c>
      <c r="AO28" s="37" t="s">
        <v>5</v>
      </c>
      <c r="AQ28" s="398" t="s">
        <v>181</v>
      </c>
      <c r="AR28" s="398" t="s">
        <v>182</v>
      </c>
      <c r="AS28" s="398" t="s">
        <v>6</v>
      </c>
      <c r="AT28" s="398" t="s">
        <v>4</v>
      </c>
      <c r="AU28" s="399" t="s">
        <v>5</v>
      </c>
      <c r="AW28" s="38" t="s">
        <v>181</v>
      </c>
      <c r="AX28" s="38" t="s">
        <v>182</v>
      </c>
      <c r="AY28" s="38" t="s">
        <v>6</v>
      </c>
      <c r="AZ28" s="38" t="s">
        <v>4</v>
      </c>
      <c r="BA28" s="39" t="s">
        <v>5</v>
      </c>
    </row>
    <row r="29" spans="1:53" ht="17.100000000000001" customHeight="1" x14ac:dyDescent="0.25">
      <c r="A29" s="275"/>
      <c r="B29" s="41" t="s">
        <v>15</v>
      </c>
      <c r="C29" s="69" t="s">
        <v>16</v>
      </c>
      <c r="D29" s="276"/>
      <c r="E29" s="276"/>
      <c r="F29" s="276"/>
      <c r="G29" s="276"/>
      <c r="H29" s="589">
        <v>8</v>
      </c>
      <c r="I29" s="12"/>
      <c r="J29" s="277"/>
      <c r="K29" s="277"/>
      <c r="L29" s="277"/>
      <c r="M29" s="277"/>
      <c r="N29" s="277"/>
      <c r="O29" s="277"/>
      <c r="P29" s="277"/>
      <c r="Q29" s="277"/>
      <c r="R29" s="277"/>
      <c r="S29" s="277"/>
      <c r="T29" s="277"/>
      <c r="U29" s="277"/>
      <c r="V29" s="277"/>
      <c r="W29" s="277"/>
      <c r="X29" s="277"/>
      <c r="Y29" s="277"/>
      <c r="Z29" s="51"/>
      <c r="AA29" s="51"/>
      <c r="AB29" s="51"/>
      <c r="AC29" s="51"/>
      <c r="AE29" s="71"/>
      <c r="AF29" s="71"/>
      <c r="AG29" s="273"/>
      <c r="AH29" s="73"/>
      <c r="AI29" s="73"/>
      <c r="AK29" s="71"/>
      <c r="AL29" s="71"/>
      <c r="AM29" s="273"/>
      <c r="AN29" s="73"/>
      <c r="AO29" s="73"/>
      <c r="AQ29" s="71"/>
      <c r="AR29" s="71"/>
      <c r="AS29" s="71"/>
      <c r="AT29" s="72"/>
      <c r="AU29" s="73"/>
      <c r="AW29" s="71"/>
      <c r="AX29" s="71"/>
      <c r="AY29" s="273"/>
      <c r="AZ29" s="73"/>
      <c r="BA29" s="73"/>
    </row>
    <row r="30" spans="1:53" ht="17.100000000000001" customHeight="1" x14ac:dyDescent="0.25">
      <c r="A30" s="40"/>
      <c r="B30" s="40"/>
      <c r="C30" s="74" t="s">
        <v>17</v>
      </c>
      <c r="D30" s="104" t="s">
        <v>609</v>
      </c>
      <c r="E30" s="75"/>
      <c r="F30" s="75"/>
      <c r="G30" s="76"/>
      <c r="H30" s="210"/>
      <c r="I30" s="229"/>
      <c r="J30" s="46">
        <f>J15</f>
        <v>20</v>
      </c>
      <c r="K30" s="46"/>
      <c r="L30" s="17"/>
      <c r="M30" s="17">
        <f t="shared" ref="M30:M32" si="21">SUM(J30:L30)</f>
        <v>20</v>
      </c>
      <c r="N30" s="111"/>
      <c r="O30" s="111"/>
      <c r="P30" s="111"/>
      <c r="Q30" s="111"/>
      <c r="R30" s="111"/>
      <c r="S30" s="111"/>
      <c r="T30" s="111"/>
      <c r="U30" s="111"/>
      <c r="V30" s="111"/>
      <c r="W30" s="391">
        <f t="shared" ref="W30:W32" si="22">J30+K30+N30+Q30+T30</f>
        <v>20</v>
      </c>
      <c r="X30" s="17">
        <f t="shared" ref="X30:X32" si="23">L30+O30+R30+U30</f>
        <v>0</v>
      </c>
      <c r="Y30" s="18">
        <f>SUM(W30:X30)</f>
        <v>20</v>
      </c>
      <c r="Z30" s="19">
        <f>IF(Y$33=0,0,Y30/Y$33)</f>
        <v>0.17094017094017094</v>
      </c>
      <c r="AA30" s="411"/>
      <c r="AB30" s="411"/>
      <c r="AC30" s="45"/>
      <c r="AE30" s="17"/>
      <c r="AF30" s="17"/>
      <c r="AG30" s="17"/>
      <c r="AH30" s="18">
        <f>J30</f>
        <v>20</v>
      </c>
      <c r="AI30" s="19">
        <f>IF(AH$33=0,0,AH30/AH$33)</f>
        <v>1</v>
      </c>
      <c r="AK30" s="17"/>
      <c r="AL30" s="17"/>
      <c r="AM30" s="17"/>
      <c r="AN30" s="18">
        <f>K30</f>
        <v>0</v>
      </c>
      <c r="AO30" s="19">
        <f>IF(AN$33=0,0,AN30/AN$33)</f>
        <v>0</v>
      </c>
      <c r="AQ30" s="17"/>
      <c r="AR30" s="17"/>
      <c r="AS30" s="17"/>
      <c r="AT30" s="18">
        <f t="shared" ref="AT30:AT32" si="24">W30</f>
        <v>20</v>
      </c>
      <c r="AU30" s="19">
        <f>IF(AT$33=0,0,AT30/AT$33)</f>
        <v>0.5714285714285714</v>
      </c>
      <c r="AW30" s="17"/>
      <c r="AX30" s="17"/>
      <c r="AY30" s="17"/>
      <c r="AZ30" s="424">
        <f>X30</f>
        <v>0</v>
      </c>
      <c r="BA30" s="19">
        <f>IF(AZ$33=0,0,AZ30/AZ$33)</f>
        <v>0</v>
      </c>
    </row>
    <row r="31" spans="1:53" ht="17.100000000000001" customHeight="1" x14ac:dyDescent="0.25">
      <c r="A31" s="40"/>
      <c r="B31" s="40"/>
      <c r="C31" s="74" t="s">
        <v>18</v>
      </c>
      <c r="D31" s="104" t="s">
        <v>610</v>
      </c>
      <c r="E31" s="75"/>
      <c r="F31" s="75"/>
      <c r="G31" s="76"/>
      <c r="H31" s="210"/>
      <c r="I31" s="229"/>
      <c r="J31" s="46"/>
      <c r="K31" s="46">
        <f>K15</f>
        <v>15</v>
      </c>
      <c r="L31" s="17"/>
      <c r="M31" s="17">
        <f t="shared" si="21"/>
        <v>15</v>
      </c>
      <c r="N31" s="111"/>
      <c r="O31" s="111"/>
      <c r="P31" s="111"/>
      <c r="Q31" s="111"/>
      <c r="R31" s="111"/>
      <c r="S31" s="111"/>
      <c r="T31" s="111"/>
      <c r="U31" s="111"/>
      <c r="V31" s="111"/>
      <c r="W31" s="391">
        <f t="shared" si="22"/>
        <v>15</v>
      </c>
      <c r="X31" s="17">
        <f t="shared" si="23"/>
        <v>0</v>
      </c>
      <c r="Y31" s="18">
        <f>SUM(W31:X31)</f>
        <v>15</v>
      </c>
      <c r="Z31" s="19">
        <f t="shared" ref="Z31:Z33" si="25">IF(Y$33=0,0,Y31/Y$33)</f>
        <v>0.12820512820512819</v>
      </c>
      <c r="AA31" s="411"/>
      <c r="AB31" s="411"/>
      <c r="AC31" s="45"/>
      <c r="AE31" s="17"/>
      <c r="AF31" s="17"/>
      <c r="AG31" s="17"/>
      <c r="AH31" s="18">
        <f t="shared" ref="AH31:AH32" si="26">J31</f>
        <v>0</v>
      </c>
      <c r="AI31" s="19">
        <f>IF(AH$33=0,0,AH31/AH$33)</f>
        <v>0</v>
      </c>
      <c r="AK31" s="17"/>
      <c r="AL31" s="17"/>
      <c r="AM31" s="17"/>
      <c r="AN31" s="18">
        <f t="shared" ref="AN31:AN32" si="27">K31</f>
        <v>15</v>
      </c>
      <c r="AO31" s="19">
        <f>IF(AN$33=0,0,AN31/AN$33)</f>
        <v>1</v>
      </c>
      <c r="AQ31" s="17"/>
      <c r="AR31" s="17"/>
      <c r="AS31" s="17"/>
      <c r="AT31" s="18">
        <f t="shared" si="24"/>
        <v>15</v>
      </c>
      <c r="AU31" s="19">
        <f>IF(AT$33=0,0,AT31/AT$33)</f>
        <v>0.42857142857142855</v>
      </c>
      <c r="AW31" s="17"/>
      <c r="AX31" s="17"/>
      <c r="AY31" s="17"/>
      <c r="AZ31" s="424">
        <f t="shared" ref="AZ31:AZ32" si="28">X31</f>
        <v>0</v>
      </c>
      <c r="BA31" s="19">
        <f>IF(AZ$33=0,0,AZ31/AZ$33)</f>
        <v>0</v>
      </c>
    </row>
    <row r="32" spans="1:53" ht="17.100000000000001" customHeight="1" x14ac:dyDescent="0.25">
      <c r="A32" s="40"/>
      <c r="B32" s="40"/>
      <c r="C32" s="74" t="s">
        <v>19</v>
      </c>
      <c r="D32" s="104" t="s">
        <v>611</v>
      </c>
      <c r="E32" s="75"/>
      <c r="F32" s="75"/>
      <c r="G32" s="76"/>
      <c r="H32" s="210"/>
      <c r="I32" s="229"/>
      <c r="J32" s="46"/>
      <c r="K32" s="46"/>
      <c r="L32" s="17">
        <f>L15</f>
        <v>82</v>
      </c>
      <c r="M32" s="17">
        <f t="shared" si="21"/>
        <v>82</v>
      </c>
      <c r="N32" s="111"/>
      <c r="O32" s="111"/>
      <c r="P32" s="111"/>
      <c r="Q32" s="111"/>
      <c r="R32" s="111"/>
      <c r="S32" s="111"/>
      <c r="T32" s="111"/>
      <c r="U32" s="111"/>
      <c r="V32" s="111"/>
      <c r="W32" s="391">
        <f t="shared" si="22"/>
        <v>0</v>
      </c>
      <c r="X32" s="17">
        <f t="shared" si="23"/>
        <v>82</v>
      </c>
      <c r="Y32" s="18">
        <f>SUM(W32:X32)</f>
        <v>82</v>
      </c>
      <c r="Z32" s="19">
        <f t="shared" si="25"/>
        <v>0.70085470085470081</v>
      </c>
      <c r="AA32" s="411"/>
      <c r="AB32" s="411"/>
      <c r="AC32" s="45"/>
      <c r="AE32" s="17"/>
      <c r="AF32" s="17"/>
      <c r="AG32" s="17"/>
      <c r="AH32" s="18">
        <f t="shared" si="26"/>
        <v>0</v>
      </c>
      <c r="AI32" s="19">
        <f>IF(AH$33=0,0,AH32/AH$33)</f>
        <v>0</v>
      </c>
      <c r="AK32" s="17"/>
      <c r="AL32" s="17"/>
      <c r="AM32" s="17"/>
      <c r="AN32" s="18">
        <f t="shared" si="27"/>
        <v>0</v>
      </c>
      <c r="AO32" s="19">
        <f>IF(AN$33=0,0,AN32/AN$33)</f>
        <v>0</v>
      </c>
      <c r="AQ32" s="17"/>
      <c r="AR32" s="17"/>
      <c r="AS32" s="17"/>
      <c r="AT32" s="18">
        <f t="shared" si="24"/>
        <v>0</v>
      </c>
      <c r="AU32" s="19">
        <f>IF(AT$33=0,0,AT32/AT$33)</f>
        <v>0</v>
      </c>
      <c r="AW32" s="17"/>
      <c r="AX32" s="17"/>
      <c r="AY32" s="17"/>
      <c r="AZ32" s="424">
        <f t="shared" si="28"/>
        <v>82</v>
      </c>
      <c r="BA32" s="19">
        <f>IF(AZ$33=0,0,AZ32/AZ$33)</f>
        <v>1</v>
      </c>
    </row>
    <row r="33" spans="1:53" ht="17.100000000000001" customHeight="1" x14ac:dyDescent="0.25">
      <c r="A33" s="40"/>
      <c r="B33" s="40"/>
      <c r="C33" s="77"/>
      <c r="D33" s="78"/>
      <c r="E33" s="78"/>
      <c r="F33" s="78"/>
      <c r="G33" s="79"/>
      <c r="H33" s="217"/>
      <c r="I33" s="230"/>
      <c r="J33" s="80">
        <f>SUM(J30:J32)</f>
        <v>20</v>
      </c>
      <c r="K33" s="80">
        <f t="shared" ref="K33:M33" si="29">SUM(K30:K32)</f>
        <v>15</v>
      </c>
      <c r="L33" s="80">
        <f t="shared" si="29"/>
        <v>82</v>
      </c>
      <c r="M33" s="80">
        <f t="shared" si="29"/>
        <v>117</v>
      </c>
      <c r="N33" s="81"/>
      <c r="O33" s="81"/>
      <c r="P33" s="81"/>
      <c r="Q33" s="81"/>
      <c r="R33" s="81"/>
      <c r="S33" s="81"/>
      <c r="T33" s="81"/>
      <c r="U33" s="81"/>
      <c r="V33" s="81"/>
      <c r="W33" s="381">
        <f>SUM(W30:W32)</f>
        <v>35</v>
      </c>
      <c r="X33" s="82">
        <f t="shared" ref="X33:Y33" si="30">SUM(X30:X32)</f>
        <v>82</v>
      </c>
      <c r="Y33" s="82">
        <f t="shared" si="30"/>
        <v>117</v>
      </c>
      <c r="Z33" s="205">
        <f t="shared" si="25"/>
        <v>1</v>
      </c>
      <c r="AA33" s="205"/>
      <c r="AB33" s="205"/>
      <c r="AC33" s="83"/>
      <c r="AE33" s="107"/>
      <c r="AF33" s="107"/>
      <c r="AG33" s="107"/>
      <c r="AH33" s="82">
        <f>SUM(AH30:AH32)</f>
        <v>20</v>
      </c>
      <c r="AI33" s="66">
        <f>IF(AH$33=0,0,AH33/AH$33)</f>
        <v>1</v>
      </c>
      <c r="AK33" s="107"/>
      <c r="AL33" s="107"/>
      <c r="AM33" s="107"/>
      <c r="AN33" s="82">
        <f>SUM(AN30:AN32)</f>
        <v>15</v>
      </c>
      <c r="AO33" s="66">
        <f>IF(AN$33=0,0,AN33/AN$33)</f>
        <v>1</v>
      </c>
      <c r="AQ33" s="107"/>
      <c r="AR33" s="107"/>
      <c r="AS33" s="107"/>
      <c r="AT33" s="82">
        <f>SUM(AT30:AT32)</f>
        <v>35</v>
      </c>
      <c r="AU33" s="66">
        <f>IF(AT$33=0,0,AT33/AT$33)</f>
        <v>1</v>
      </c>
      <c r="AW33" s="107"/>
      <c r="AX33" s="107"/>
      <c r="AY33" s="107"/>
      <c r="AZ33" s="82">
        <f>SUM(AZ30:AZ32)</f>
        <v>82</v>
      </c>
      <c r="BA33" s="66">
        <f>IF(AZ$33=0,0,AZ33/AZ$33)</f>
        <v>1</v>
      </c>
    </row>
    <row r="34" spans="1:53" s="97" customFormat="1" ht="17.100000000000001" customHeight="1" x14ac:dyDescent="0.25">
      <c r="A34" s="68"/>
      <c r="B34" s="68"/>
      <c r="C34" s="92"/>
      <c r="D34" s="93"/>
      <c r="E34" s="93"/>
      <c r="F34" s="93"/>
      <c r="G34" s="93"/>
      <c r="H34" s="12"/>
      <c r="I34" s="12"/>
      <c r="J34" s="109"/>
      <c r="K34" s="109"/>
      <c r="L34" s="109"/>
      <c r="M34" s="109"/>
      <c r="N34" s="109"/>
      <c r="O34" s="109"/>
      <c r="P34" s="109"/>
      <c r="Q34" s="109"/>
      <c r="R34" s="109"/>
      <c r="S34" s="109"/>
      <c r="T34" s="109"/>
      <c r="U34" s="109"/>
      <c r="V34" s="109"/>
      <c r="W34" s="109"/>
      <c r="X34" s="109"/>
      <c r="Y34" s="109"/>
      <c r="AQ34" s="109"/>
      <c r="AR34" s="109"/>
      <c r="AS34" s="109"/>
      <c r="AT34" s="96"/>
    </row>
    <row r="35" spans="1:53" s="32" customFormat="1" ht="16.5" thickBot="1" x14ac:dyDescent="0.3">
      <c r="A35" s="24" t="s">
        <v>20</v>
      </c>
      <c r="B35" s="25" t="s">
        <v>21</v>
      </c>
      <c r="C35" s="26"/>
      <c r="D35" s="27"/>
      <c r="E35" s="27"/>
      <c r="F35" s="27"/>
      <c r="G35" s="28"/>
      <c r="H35" s="28"/>
      <c r="I35" s="228"/>
      <c r="J35" s="101"/>
      <c r="K35" s="101"/>
      <c r="L35" s="101"/>
      <c r="M35" s="101"/>
      <c r="N35" s="101"/>
      <c r="O35" s="101"/>
      <c r="P35" s="101"/>
      <c r="Q35" s="101"/>
      <c r="R35" s="101"/>
      <c r="S35" s="101"/>
      <c r="T35" s="101"/>
      <c r="U35" s="101"/>
      <c r="V35" s="101"/>
      <c r="W35" s="101"/>
      <c r="X35" s="101"/>
      <c r="Y35" s="415" t="s">
        <v>4</v>
      </c>
      <c r="Z35" s="31" t="s">
        <v>5</v>
      </c>
      <c r="AA35" s="31" t="s">
        <v>181</v>
      </c>
      <c r="AB35" s="31" t="s">
        <v>182</v>
      </c>
      <c r="AC35" s="31" t="s">
        <v>6</v>
      </c>
      <c r="AE35" s="33" t="s">
        <v>181</v>
      </c>
      <c r="AF35" s="33" t="s">
        <v>182</v>
      </c>
      <c r="AG35" s="33" t="s">
        <v>6</v>
      </c>
      <c r="AH35" s="33" t="s">
        <v>4</v>
      </c>
      <c r="AI35" s="34" t="s">
        <v>5</v>
      </c>
      <c r="AK35" s="36" t="s">
        <v>181</v>
      </c>
      <c r="AL35" s="36" t="s">
        <v>182</v>
      </c>
      <c r="AM35" s="36" t="s">
        <v>6</v>
      </c>
      <c r="AN35" s="36" t="s">
        <v>4</v>
      </c>
      <c r="AO35" s="37" t="s">
        <v>5</v>
      </c>
      <c r="AQ35" s="36"/>
      <c r="AR35" s="36"/>
      <c r="AS35" s="36"/>
      <c r="AT35" s="36"/>
      <c r="AU35" s="37"/>
      <c r="AW35" s="38" t="s">
        <v>181</v>
      </c>
      <c r="AX35" s="38" t="s">
        <v>182</v>
      </c>
      <c r="AY35" s="38" t="s">
        <v>6</v>
      </c>
      <c r="AZ35" s="38" t="s">
        <v>4</v>
      </c>
      <c r="BA35" s="39" t="s">
        <v>5</v>
      </c>
    </row>
    <row r="36" spans="1:53" ht="17.100000000000001" customHeight="1" x14ac:dyDescent="0.25">
      <c r="A36" s="119"/>
      <c r="B36" s="41" t="s">
        <v>22</v>
      </c>
      <c r="C36" s="332" t="s">
        <v>23</v>
      </c>
      <c r="D36" s="50"/>
      <c r="E36" s="70"/>
      <c r="F36" s="70"/>
      <c r="G36" s="70"/>
      <c r="H36" s="589">
        <v>9</v>
      </c>
      <c r="J36" s="71"/>
      <c r="K36" s="71"/>
      <c r="L36" s="71"/>
      <c r="M36" s="71"/>
      <c r="N36" s="71"/>
      <c r="O36" s="71"/>
      <c r="P36" s="71"/>
      <c r="Q36" s="71"/>
      <c r="R36" s="71"/>
      <c r="S36" s="71"/>
      <c r="T36" s="71"/>
      <c r="U36" s="71"/>
      <c r="V36" s="355"/>
      <c r="W36" s="377"/>
      <c r="X36" s="71"/>
      <c r="Y36" s="72"/>
      <c r="Z36" s="73"/>
      <c r="AA36" s="73"/>
      <c r="AB36" s="73"/>
      <c r="AC36" s="73"/>
      <c r="AE36" s="71"/>
      <c r="AF36" s="71"/>
      <c r="AG36" s="71"/>
      <c r="AH36" s="72"/>
      <c r="AI36" s="73"/>
      <c r="AJ36" s="117"/>
      <c r="AK36" s="71"/>
      <c r="AL36" s="71"/>
      <c r="AM36" s="71"/>
      <c r="AN36" s="72"/>
      <c r="AO36" s="73"/>
      <c r="AP36" s="117"/>
      <c r="AQ36" s="71"/>
      <c r="AR36" s="71"/>
      <c r="AS36" s="71"/>
      <c r="AT36" s="72"/>
      <c r="AU36" s="73"/>
      <c r="AV36" s="117"/>
      <c r="AW36" s="71"/>
      <c r="AX36" s="71"/>
      <c r="AY36" s="71"/>
      <c r="AZ36" s="273"/>
      <c r="BA36" s="73"/>
    </row>
    <row r="37" spans="1:53" ht="17.100000000000001" customHeight="1" x14ac:dyDescent="0.25">
      <c r="A37" s="119"/>
      <c r="B37" s="540"/>
      <c r="C37" s="103" t="s">
        <v>631</v>
      </c>
      <c r="D37" s="313" t="s">
        <v>658</v>
      </c>
      <c r="E37" s="108"/>
      <c r="F37" s="108"/>
      <c r="G37" s="108"/>
      <c r="H37" s="119"/>
      <c r="J37" s="111"/>
      <c r="K37" s="111"/>
      <c r="L37" s="111"/>
      <c r="M37" s="111"/>
      <c r="N37" s="111"/>
      <c r="O37" s="111"/>
      <c r="P37" s="111"/>
      <c r="Q37" s="111"/>
      <c r="R37" s="111"/>
      <c r="S37" s="111"/>
      <c r="T37" s="111"/>
      <c r="U37" s="111"/>
      <c r="V37" s="358"/>
      <c r="W37" s="380"/>
      <c r="X37" s="111"/>
      <c r="Y37" s="112"/>
      <c r="Z37" s="113"/>
      <c r="AA37" s="113"/>
      <c r="AB37" s="113"/>
      <c r="AC37" s="113"/>
      <c r="AE37" s="111"/>
      <c r="AF37" s="111"/>
      <c r="AG37" s="111"/>
      <c r="AH37" s="112"/>
      <c r="AI37" s="113"/>
      <c r="AJ37" s="117"/>
      <c r="AK37" s="111"/>
      <c r="AL37" s="111"/>
      <c r="AM37" s="111"/>
      <c r="AN37" s="112"/>
      <c r="AO37" s="113"/>
      <c r="AP37" s="117"/>
      <c r="AQ37" s="111"/>
      <c r="AR37" s="111"/>
      <c r="AS37" s="111"/>
      <c r="AT37" s="112"/>
      <c r="AU37" s="113"/>
      <c r="AV37" s="117"/>
      <c r="AW37" s="111"/>
      <c r="AX37" s="111"/>
      <c r="AY37" s="111"/>
      <c r="AZ37" s="114"/>
      <c r="BA37" s="113"/>
    </row>
    <row r="38" spans="1:53" ht="17.100000000000001" customHeight="1" x14ac:dyDescent="0.25">
      <c r="A38" s="47"/>
      <c r="B38" s="55"/>
      <c r="C38" s="56"/>
      <c r="D38" s="120" t="s">
        <v>632</v>
      </c>
      <c r="E38" s="58" t="s">
        <v>659</v>
      </c>
      <c r="F38" s="58"/>
      <c r="G38" s="59"/>
      <c r="H38" s="216"/>
      <c r="I38" s="229"/>
      <c r="J38" s="174"/>
      <c r="K38" s="174"/>
      <c r="L38" s="111"/>
      <c r="M38" s="111"/>
      <c r="N38" s="60"/>
      <c r="O38" s="60">
        <v>1</v>
      </c>
      <c r="P38" s="17">
        <f>SUM(N38:O38)</f>
        <v>1</v>
      </c>
      <c r="Q38" s="60"/>
      <c r="R38" s="60"/>
      <c r="S38" s="17">
        <f>SUM(Q38:R38)</f>
        <v>0</v>
      </c>
      <c r="T38" s="60"/>
      <c r="U38" s="60"/>
      <c r="V38" s="17">
        <f>SUM(T38:U38)</f>
        <v>0</v>
      </c>
      <c r="W38" s="391">
        <f t="shared" ref="W38:W40" si="31">J38+K38+N38+Q38+T38</f>
        <v>0</v>
      </c>
      <c r="X38" s="17">
        <f t="shared" ref="X38:X40" si="32">L38+O38+R38+U38</f>
        <v>1</v>
      </c>
      <c r="Y38" s="18">
        <f>SUM(W38:X38)</f>
        <v>1</v>
      </c>
      <c r="Z38" s="19">
        <f>IF(Y$41=0,0,Y38/Y$41)</f>
        <v>0.2</v>
      </c>
      <c r="AA38" s="19"/>
      <c r="AB38" s="19"/>
      <c r="AC38" s="20"/>
      <c r="AE38" s="111"/>
      <c r="AF38" s="111"/>
      <c r="AG38" s="111"/>
      <c r="AH38" s="545"/>
      <c r="AI38" s="131"/>
      <c r="AJ38" s="117"/>
      <c r="AK38" s="111"/>
      <c r="AL38" s="111"/>
      <c r="AM38" s="111"/>
      <c r="AN38" s="545"/>
      <c r="AO38" s="131"/>
      <c r="AP38" s="117"/>
      <c r="AQ38" s="17"/>
      <c r="AR38" s="17"/>
      <c r="AS38" s="17"/>
      <c r="AT38" s="18">
        <f>W38</f>
        <v>0</v>
      </c>
      <c r="AU38" s="19">
        <f>IF(AT$41=0,0,AT38/AT$41)</f>
        <v>0</v>
      </c>
      <c r="AV38" s="117"/>
      <c r="AW38" s="17"/>
      <c r="AX38" s="17"/>
      <c r="AY38" s="17"/>
      <c r="AZ38" s="424">
        <f>X38</f>
        <v>1</v>
      </c>
      <c r="BA38" s="19">
        <f>IF(AZ$41=0,0,AZ38/AZ$41)</f>
        <v>0.33333333333333331</v>
      </c>
    </row>
    <row r="39" spans="1:53" ht="17.100000000000001" customHeight="1" x14ac:dyDescent="0.25">
      <c r="A39" s="47"/>
      <c r="B39" s="55"/>
      <c r="C39" s="56"/>
      <c r="D39" s="120" t="s">
        <v>633</v>
      </c>
      <c r="E39" s="58" t="s">
        <v>634</v>
      </c>
      <c r="F39" s="58"/>
      <c r="G39" s="59"/>
      <c r="H39" s="216"/>
      <c r="I39" s="229"/>
      <c r="J39" s="174"/>
      <c r="K39" s="174"/>
      <c r="L39" s="111"/>
      <c r="M39" s="111"/>
      <c r="N39" s="61">
        <v>2</v>
      </c>
      <c r="O39" s="61">
        <v>2</v>
      </c>
      <c r="P39" s="17">
        <f t="shared" ref="P39:P40" si="33">SUM(N39:O39)</f>
        <v>4</v>
      </c>
      <c r="Q39" s="61"/>
      <c r="R39" s="61"/>
      <c r="S39" s="17">
        <f t="shared" ref="S39:S40" si="34">SUM(Q39:R39)</f>
        <v>0</v>
      </c>
      <c r="T39" s="61"/>
      <c r="U39" s="61"/>
      <c r="V39" s="17">
        <f t="shared" ref="V39:V40" si="35">SUM(T39:U39)</f>
        <v>0</v>
      </c>
      <c r="W39" s="391">
        <f t="shared" si="31"/>
        <v>2</v>
      </c>
      <c r="X39" s="17">
        <f t="shared" si="32"/>
        <v>2</v>
      </c>
      <c r="Y39" s="18">
        <f>SUM(W39:X39)</f>
        <v>4</v>
      </c>
      <c r="Z39" s="19">
        <f>IF(Y$41=0,0,Y39/Y$41)</f>
        <v>0.8</v>
      </c>
      <c r="AA39" s="19"/>
      <c r="AB39" s="19"/>
      <c r="AC39" s="20"/>
      <c r="AE39" s="111"/>
      <c r="AF39" s="111"/>
      <c r="AG39" s="111"/>
      <c r="AH39" s="545"/>
      <c r="AI39" s="131"/>
      <c r="AJ39" s="117"/>
      <c r="AK39" s="111"/>
      <c r="AL39" s="111"/>
      <c r="AM39" s="111"/>
      <c r="AN39" s="545"/>
      <c r="AO39" s="131"/>
      <c r="AP39" s="117"/>
      <c r="AQ39" s="17"/>
      <c r="AR39" s="17"/>
      <c r="AS39" s="17"/>
      <c r="AT39" s="18">
        <f>W39</f>
        <v>2</v>
      </c>
      <c r="AU39" s="19">
        <f>IF(AT$41=0,0,AT39/AT$41)</f>
        <v>1</v>
      </c>
      <c r="AV39" s="117"/>
      <c r="AW39" s="17"/>
      <c r="AX39" s="17"/>
      <c r="AY39" s="17"/>
      <c r="AZ39" s="424">
        <f>X39</f>
        <v>2</v>
      </c>
      <c r="BA39" s="19">
        <f>IF(AZ$41=0,0,AZ39/AZ$41)</f>
        <v>0.66666666666666663</v>
      </c>
    </row>
    <row r="40" spans="1:53" ht="17.100000000000001" customHeight="1" x14ac:dyDescent="0.25">
      <c r="A40" s="47"/>
      <c r="B40" s="55"/>
      <c r="C40" s="56"/>
      <c r="D40" s="120" t="s">
        <v>744</v>
      </c>
      <c r="E40" s="58" t="s">
        <v>745</v>
      </c>
      <c r="F40" s="58"/>
      <c r="G40" s="59"/>
      <c r="H40" s="216"/>
      <c r="I40" s="229"/>
      <c r="J40" s="174"/>
      <c r="K40" s="174"/>
      <c r="L40" s="111"/>
      <c r="M40" s="111"/>
      <c r="N40" s="60"/>
      <c r="O40" s="60"/>
      <c r="P40" s="17">
        <f t="shared" si="33"/>
        <v>0</v>
      </c>
      <c r="Q40" s="60"/>
      <c r="R40" s="60"/>
      <c r="S40" s="17">
        <f t="shared" si="34"/>
        <v>0</v>
      </c>
      <c r="T40" s="60"/>
      <c r="U40" s="60"/>
      <c r="V40" s="17">
        <f t="shared" si="35"/>
        <v>0</v>
      </c>
      <c r="W40" s="391">
        <f t="shared" si="31"/>
        <v>0</v>
      </c>
      <c r="X40" s="17">
        <f t="shared" si="32"/>
        <v>0</v>
      </c>
      <c r="Y40" s="18">
        <f>SUM(W40:X40)</f>
        <v>0</v>
      </c>
      <c r="Z40" s="19">
        <f>IF(Y$41=0,0,Y40/Y$41)</f>
        <v>0</v>
      </c>
      <c r="AA40" s="19"/>
      <c r="AB40" s="19"/>
      <c r="AC40" s="20"/>
      <c r="AE40" s="111"/>
      <c r="AF40" s="111"/>
      <c r="AG40" s="111"/>
      <c r="AH40" s="545"/>
      <c r="AI40" s="131"/>
      <c r="AJ40" s="117"/>
      <c r="AK40" s="111"/>
      <c r="AL40" s="111"/>
      <c r="AM40" s="111"/>
      <c r="AN40" s="545"/>
      <c r="AO40" s="131"/>
      <c r="AP40" s="117"/>
      <c r="AQ40" s="17"/>
      <c r="AR40" s="17"/>
      <c r="AS40" s="17"/>
      <c r="AT40" s="18">
        <f>W40</f>
        <v>0</v>
      </c>
      <c r="AU40" s="19">
        <f>IF(AT$41=0,0,AT40/AT$41)</f>
        <v>0</v>
      </c>
      <c r="AV40" s="117"/>
      <c r="AW40" s="17"/>
      <c r="AX40" s="17"/>
      <c r="AY40" s="17"/>
      <c r="AZ40" s="424">
        <f>X40</f>
        <v>0</v>
      </c>
      <c r="BA40" s="19">
        <f>IF(AZ$41=0,0,AZ40/AZ$41)</f>
        <v>0</v>
      </c>
    </row>
    <row r="41" spans="1:53" ht="17.100000000000001" customHeight="1" x14ac:dyDescent="0.25">
      <c r="A41" s="40"/>
      <c r="B41" s="40"/>
      <c r="C41" s="77"/>
      <c r="D41" s="78"/>
      <c r="E41" s="78"/>
      <c r="F41" s="78"/>
      <c r="G41" s="78"/>
      <c r="H41" s="242"/>
      <c r="I41" s="230"/>
      <c r="J41" s="80"/>
      <c r="K41" s="80"/>
      <c r="L41" s="80"/>
      <c r="M41" s="80"/>
      <c r="N41" s="64">
        <f>SUM(N38:N40)</f>
        <v>2</v>
      </c>
      <c r="O41" s="64">
        <f t="shared" ref="O41:V41" si="36">SUM(O38:O40)</f>
        <v>3</v>
      </c>
      <c r="P41" s="64">
        <f t="shared" si="36"/>
        <v>5</v>
      </c>
      <c r="Q41" s="64">
        <f t="shared" si="36"/>
        <v>0</v>
      </c>
      <c r="R41" s="64">
        <f t="shared" si="36"/>
        <v>0</v>
      </c>
      <c r="S41" s="64">
        <f t="shared" si="36"/>
        <v>0</v>
      </c>
      <c r="T41" s="64">
        <f t="shared" si="36"/>
        <v>0</v>
      </c>
      <c r="U41" s="64">
        <f t="shared" si="36"/>
        <v>0</v>
      </c>
      <c r="V41" s="64">
        <f t="shared" si="36"/>
        <v>0</v>
      </c>
      <c r="W41" s="381">
        <f>SUM(W38:W40)</f>
        <v>2</v>
      </c>
      <c r="X41" s="82">
        <f t="shared" ref="X41:Y41" si="37">SUM(X38:X40)</f>
        <v>3</v>
      </c>
      <c r="Y41" s="82">
        <f t="shared" si="37"/>
        <v>5</v>
      </c>
      <c r="Z41" s="205">
        <f>IF(Y$41=0,0,Y41/Y$41)</f>
        <v>1</v>
      </c>
      <c r="AA41" s="205"/>
      <c r="AB41" s="205"/>
      <c r="AC41" s="83"/>
      <c r="AE41" s="81"/>
      <c r="AF41" s="81"/>
      <c r="AG41" s="81"/>
      <c r="AH41" s="82"/>
      <c r="AI41" s="66"/>
      <c r="AJ41" s="117"/>
      <c r="AK41" s="81"/>
      <c r="AL41" s="81"/>
      <c r="AM41" s="81"/>
      <c r="AN41" s="82"/>
      <c r="AO41" s="66"/>
      <c r="AP41" s="117"/>
      <c r="AQ41" s="81"/>
      <c r="AR41" s="81"/>
      <c r="AS41" s="81"/>
      <c r="AT41" s="82">
        <f>SUM(AT38:AT40)</f>
        <v>2</v>
      </c>
      <c r="AU41" s="66">
        <f>IF(AT$41=0,0,AT41/AT$41)</f>
        <v>1</v>
      </c>
      <c r="AV41" s="117"/>
      <c r="AW41" s="81"/>
      <c r="AX41" s="81"/>
      <c r="AY41" s="81"/>
      <c r="AZ41" s="82">
        <f>SUM(AZ38:AZ40)</f>
        <v>3</v>
      </c>
      <c r="BA41" s="66">
        <f>IF(AZ$41=0,0,AZ41/AZ$41)</f>
        <v>1</v>
      </c>
    </row>
    <row r="42" spans="1:53" s="117" customFormat="1" ht="17.100000000000001" customHeight="1" x14ac:dyDescent="0.25">
      <c r="A42" s="119"/>
      <c r="B42" s="119"/>
      <c r="C42" s="540"/>
      <c r="D42" s="212"/>
      <c r="E42" s="212"/>
      <c r="F42" s="212"/>
      <c r="G42" s="212"/>
      <c r="H42" s="242"/>
      <c r="I42" s="230"/>
      <c r="J42" s="17"/>
      <c r="K42" s="17"/>
      <c r="L42" s="17"/>
      <c r="M42" s="17"/>
      <c r="N42" s="17" t="str">
        <f>IF(N41=N$20,"OK","NOK")</f>
        <v>OK</v>
      </c>
      <c r="O42" s="17" t="str">
        <f>IF(O41=O$20,"OK","NOK")</f>
        <v>OK</v>
      </c>
      <c r="P42" s="17"/>
      <c r="Q42" s="17" t="str">
        <f>IF(Q41=Q$20,"OK","NOK")</f>
        <v>OK</v>
      </c>
      <c r="R42" s="17" t="str">
        <f>IF(R41=R$20,"OK","NOK")</f>
        <v>OK</v>
      </c>
      <c r="S42" s="17"/>
      <c r="T42" s="17" t="str">
        <f>IF(T41=T$20,"OK","NOK")</f>
        <v>OK</v>
      </c>
      <c r="U42" s="17" t="str">
        <f>IF(U41=U$20,"OK","NOK")</f>
        <v>OK</v>
      </c>
      <c r="V42" s="359"/>
      <c r="W42" s="395">
        <f>IF($Y$41=0,0,W41/$Y$41)</f>
        <v>0.4</v>
      </c>
      <c r="X42" s="91">
        <f>IF($Y$41=0,0,X41/$Y$41)</f>
        <v>0.6</v>
      </c>
      <c r="Y42" s="91">
        <f>IF($Y$41=0,0,Y41/$Y$41)</f>
        <v>1</v>
      </c>
      <c r="Z42" s="201"/>
      <c r="AA42" s="201"/>
      <c r="AB42" s="201"/>
      <c r="AC42" s="84"/>
      <c r="AE42" s="17"/>
      <c r="AF42" s="17"/>
      <c r="AG42" s="17"/>
      <c r="AH42" s="539"/>
      <c r="AI42" s="91"/>
      <c r="AK42" s="17"/>
      <c r="AL42" s="17"/>
      <c r="AM42" s="17"/>
      <c r="AN42" s="539"/>
      <c r="AO42" s="91"/>
      <c r="AQ42" s="17"/>
      <c r="AR42" s="17"/>
      <c r="AS42" s="17"/>
      <c r="AT42" s="539"/>
      <c r="AU42" s="91"/>
      <c r="AW42" s="17"/>
      <c r="AX42" s="17"/>
      <c r="AY42" s="17"/>
      <c r="AZ42" s="17"/>
      <c r="BA42" s="91"/>
    </row>
    <row r="43" spans="1:53" ht="17.100000000000001" customHeight="1" x14ac:dyDescent="0.25">
      <c r="A43" s="68"/>
      <c r="B43" s="540"/>
      <c r="C43" s="103" t="s">
        <v>24</v>
      </c>
      <c r="D43" s="110" t="s">
        <v>373</v>
      </c>
      <c r="E43" s="108"/>
      <c r="F43" s="108"/>
      <c r="G43" s="108"/>
      <c r="H43" s="119"/>
      <c r="J43" s="111"/>
      <c r="K43" s="111"/>
      <c r="L43" s="111"/>
      <c r="M43" s="111"/>
      <c r="N43" s="111"/>
      <c r="O43" s="111"/>
      <c r="P43" s="111"/>
      <c r="Q43" s="111"/>
      <c r="R43" s="111"/>
      <c r="S43" s="111"/>
      <c r="T43" s="111"/>
      <c r="U43" s="111"/>
      <c r="V43" s="111"/>
      <c r="W43" s="111"/>
      <c r="X43" s="111"/>
      <c r="Y43" s="111"/>
      <c r="Z43" s="113"/>
      <c r="AA43" s="113"/>
      <c r="AB43" s="113"/>
      <c r="AC43" s="113"/>
      <c r="AE43" s="111"/>
      <c r="AF43" s="111"/>
      <c r="AG43" s="111"/>
      <c r="AH43" s="112"/>
      <c r="AI43" s="113"/>
      <c r="AK43" s="111"/>
      <c r="AL43" s="111"/>
      <c r="AM43" s="111"/>
      <c r="AN43" s="112"/>
      <c r="AO43" s="113"/>
      <c r="AQ43" s="111"/>
      <c r="AR43" s="111"/>
      <c r="AS43" s="111"/>
      <c r="AT43" s="112"/>
      <c r="AU43" s="113"/>
      <c r="AW43" s="111"/>
      <c r="AX43" s="111"/>
      <c r="AY43" s="111"/>
      <c r="AZ43" s="114"/>
      <c r="BA43" s="113"/>
    </row>
    <row r="44" spans="1:53" ht="17.100000000000001" customHeight="1" x14ac:dyDescent="0.25">
      <c r="A44" s="68"/>
      <c r="B44" s="540"/>
      <c r="C44" s="23"/>
      <c r="D44" s="202" t="s">
        <v>25</v>
      </c>
      <c r="E44" s="85" t="s">
        <v>384</v>
      </c>
      <c r="F44" s="75"/>
      <c r="G44" s="75"/>
      <c r="H44" s="119"/>
      <c r="J44" s="581"/>
      <c r="K44" s="581"/>
      <c r="L44" s="582"/>
      <c r="M44" s="593">
        <f>SUM(J44:L44)</f>
        <v>0</v>
      </c>
      <c r="N44" s="111"/>
      <c r="O44" s="111"/>
      <c r="P44" s="111"/>
      <c r="Q44" s="111"/>
      <c r="R44" s="111"/>
      <c r="S44" s="111"/>
      <c r="T44" s="111"/>
      <c r="U44" s="111"/>
      <c r="V44" s="111"/>
      <c r="W44" s="391">
        <f t="shared" ref="W44:W57" si="38">J44+K44+N44+Q44+T44</f>
        <v>0</v>
      </c>
      <c r="X44" s="17">
        <f t="shared" ref="X44:X57" si="39">L44+O44+R44+U44</f>
        <v>0</v>
      </c>
      <c r="Y44" s="18">
        <f t="shared" ref="Y44:Y57" si="40">SUM(W44:X44)</f>
        <v>0</v>
      </c>
      <c r="Z44" s="19">
        <f>IF(Y$58=0,0,Y44/Y$58)</f>
        <v>0</v>
      </c>
      <c r="AA44" s="19"/>
      <c r="AB44" s="19"/>
      <c r="AC44" s="84"/>
      <c r="AE44" s="17"/>
      <c r="AF44" s="17"/>
      <c r="AG44" s="17"/>
      <c r="AH44" s="18">
        <f>J44</f>
        <v>0</v>
      </c>
      <c r="AI44" s="19">
        <f>IF(AH$58=0,0,AH44/AH$58)</f>
        <v>0</v>
      </c>
      <c r="AK44" s="17"/>
      <c r="AL44" s="17"/>
      <c r="AM44" s="17"/>
      <c r="AN44" s="18">
        <f>K44</f>
        <v>0</v>
      </c>
      <c r="AO44" s="19">
        <f>IF(AN$58=0,0,AN44/AN$58)</f>
        <v>0</v>
      </c>
      <c r="AQ44" s="17"/>
      <c r="AR44" s="17"/>
      <c r="AS44" s="17"/>
      <c r="AT44" s="18">
        <f t="shared" ref="AT44:AT57" si="41">W44</f>
        <v>0</v>
      </c>
      <c r="AU44" s="19">
        <f>IF(AT$58=0,0,AT44/AT$58)</f>
        <v>0</v>
      </c>
      <c r="AW44" s="17"/>
      <c r="AX44" s="17"/>
      <c r="AY44" s="17"/>
      <c r="AZ44" s="424">
        <f>X44</f>
        <v>0</v>
      </c>
      <c r="BA44" s="19">
        <f>IF(AZ$58=0,0,AZ44/AZ$58)</f>
        <v>0</v>
      </c>
    </row>
    <row r="45" spans="1:53" ht="17.100000000000001" customHeight="1" x14ac:dyDescent="0.25">
      <c r="A45" s="68"/>
      <c r="B45" s="540"/>
      <c r="C45" s="23"/>
      <c r="D45" s="202" t="s">
        <v>27</v>
      </c>
      <c r="E45" s="85" t="s">
        <v>385</v>
      </c>
      <c r="F45" s="75"/>
      <c r="G45" s="75"/>
      <c r="H45" s="119"/>
      <c r="J45" s="583"/>
      <c r="K45" s="583"/>
      <c r="L45" s="584"/>
      <c r="M45" s="593">
        <f t="shared" ref="M45:M57" si="42">SUM(J45:L45)</f>
        <v>0</v>
      </c>
      <c r="N45" s="111"/>
      <c r="O45" s="111"/>
      <c r="P45" s="111"/>
      <c r="Q45" s="111"/>
      <c r="R45" s="111"/>
      <c r="S45" s="111"/>
      <c r="T45" s="111"/>
      <c r="U45" s="111"/>
      <c r="V45" s="111"/>
      <c r="W45" s="391">
        <f t="shared" si="38"/>
        <v>0</v>
      </c>
      <c r="X45" s="17">
        <f t="shared" si="39"/>
        <v>0</v>
      </c>
      <c r="Y45" s="18">
        <f t="shared" si="40"/>
        <v>0</v>
      </c>
      <c r="Z45" s="19">
        <f t="shared" ref="Z45:Z58" si="43">IF(Y$58=0,0,Y45/Y$58)</f>
        <v>0</v>
      </c>
      <c r="AA45" s="19"/>
      <c r="AB45" s="19"/>
      <c r="AC45" s="84"/>
      <c r="AE45" s="17"/>
      <c r="AF45" s="17"/>
      <c r="AG45" s="17"/>
      <c r="AH45" s="18">
        <f t="shared" ref="AH45:AH57" si="44">J45</f>
        <v>0</v>
      </c>
      <c r="AI45" s="19">
        <f t="shared" ref="AI45:AI58" si="45">IF(AH$58=0,0,AH45/AH$58)</f>
        <v>0</v>
      </c>
      <c r="AK45" s="17"/>
      <c r="AL45" s="17"/>
      <c r="AM45" s="17"/>
      <c r="AN45" s="18">
        <f t="shared" ref="AN45:AN57" si="46">K45</f>
        <v>0</v>
      </c>
      <c r="AO45" s="19">
        <f t="shared" ref="AO45:AO58" si="47">IF(AN$58=0,0,AN45/AN$58)</f>
        <v>0</v>
      </c>
      <c r="AQ45" s="17"/>
      <c r="AR45" s="17"/>
      <c r="AS45" s="17"/>
      <c r="AT45" s="18">
        <f t="shared" si="41"/>
        <v>0</v>
      </c>
      <c r="AU45" s="19">
        <f t="shared" ref="AU45:AU58" si="48">IF(AT$58=0,0,AT45/AT$58)</f>
        <v>0</v>
      </c>
      <c r="AW45" s="17"/>
      <c r="AX45" s="17"/>
      <c r="AY45" s="17"/>
      <c r="AZ45" s="424">
        <f t="shared" ref="AZ45:AZ57" si="49">X45</f>
        <v>0</v>
      </c>
      <c r="BA45" s="19">
        <f t="shared" ref="BA45:BA58" si="50">IF(AZ$58=0,0,AZ45/AZ$58)</f>
        <v>0</v>
      </c>
    </row>
    <row r="46" spans="1:53" ht="17.100000000000001" customHeight="1" x14ac:dyDescent="0.25">
      <c r="A46" s="68"/>
      <c r="B46" s="540"/>
      <c r="C46" s="23"/>
      <c r="D46" s="202" t="s">
        <v>29</v>
      </c>
      <c r="E46" s="85" t="s">
        <v>386</v>
      </c>
      <c r="F46" s="75"/>
      <c r="G46" s="75"/>
      <c r="H46" s="119"/>
      <c r="J46" s="581"/>
      <c r="K46" s="581"/>
      <c r="L46" s="582"/>
      <c r="M46" s="593">
        <f t="shared" si="42"/>
        <v>0</v>
      </c>
      <c r="N46" s="111"/>
      <c r="O46" s="111"/>
      <c r="P46" s="111"/>
      <c r="Q46" s="111"/>
      <c r="R46" s="111"/>
      <c r="S46" s="111"/>
      <c r="T46" s="111"/>
      <c r="U46" s="111"/>
      <c r="V46" s="111"/>
      <c r="W46" s="391">
        <f t="shared" si="38"/>
        <v>0</v>
      </c>
      <c r="X46" s="17">
        <f t="shared" si="39"/>
        <v>0</v>
      </c>
      <c r="Y46" s="18">
        <f t="shared" si="40"/>
        <v>0</v>
      </c>
      <c r="Z46" s="19">
        <f t="shared" si="43"/>
        <v>0</v>
      </c>
      <c r="AA46" s="19"/>
      <c r="AB46" s="19"/>
      <c r="AC46" s="84"/>
      <c r="AE46" s="17"/>
      <c r="AF46" s="17"/>
      <c r="AG46" s="17"/>
      <c r="AH46" s="18">
        <f t="shared" si="44"/>
        <v>0</v>
      </c>
      <c r="AI46" s="19">
        <f t="shared" si="45"/>
        <v>0</v>
      </c>
      <c r="AK46" s="17"/>
      <c r="AL46" s="17"/>
      <c r="AM46" s="17"/>
      <c r="AN46" s="18">
        <f t="shared" si="46"/>
        <v>0</v>
      </c>
      <c r="AO46" s="19">
        <f t="shared" si="47"/>
        <v>0</v>
      </c>
      <c r="AQ46" s="17"/>
      <c r="AR46" s="17"/>
      <c r="AS46" s="17"/>
      <c r="AT46" s="18">
        <f t="shared" si="41"/>
        <v>0</v>
      </c>
      <c r="AU46" s="19">
        <f t="shared" si="48"/>
        <v>0</v>
      </c>
      <c r="AW46" s="17"/>
      <c r="AX46" s="17"/>
      <c r="AY46" s="17"/>
      <c r="AZ46" s="424">
        <f t="shared" si="49"/>
        <v>0</v>
      </c>
      <c r="BA46" s="19">
        <f t="shared" si="50"/>
        <v>0</v>
      </c>
    </row>
    <row r="47" spans="1:53" ht="17.100000000000001" customHeight="1" x14ac:dyDescent="0.25">
      <c r="A47" s="68"/>
      <c r="B47" s="540"/>
      <c r="C47" s="23"/>
      <c r="D47" s="202" t="s">
        <v>31</v>
      </c>
      <c r="E47" s="85" t="s">
        <v>533</v>
      </c>
      <c r="F47" s="75"/>
      <c r="G47" s="75"/>
      <c r="H47" s="119"/>
      <c r="J47" s="583"/>
      <c r="K47" s="583">
        <v>1</v>
      </c>
      <c r="L47" s="584">
        <v>2</v>
      </c>
      <c r="M47" s="593">
        <f t="shared" si="42"/>
        <v>3</v>
      </c>
      <c r="N47" s="111"/>
      <c r="O47" s="111"/>
      <c r="P47" s="111"/>
      <c r="Q47" s="111"/>
      <c r="R47" s="111"/>
      <c r="S47" s="111"/>
      <c r="T47" s="111"/>
      <c r="U47" s="111"/>
      <c r="V47" s="111"/>
      <c r="W47" s="391">
        <f t="shared" si="38"/>
        <v>1</v>
      </c>
      <c r="X47" s="17">
        <f t="shared" si="39"/>
        <v>2</v>
      </c>
      <c r="Y47" s="18">
        <f t="shared" si="40"/>
        <v>3</v>
      </c>
      <c r="Z47" s="19">
        <f t="shared" si="43"/>
        <v>2.564102564102564E-2</v>
      </c>
      <c r="AA47" s="19"/>
      <c r="AB47" s="19"/>
      <c r="AC47" s="84"/>
      <c r="AE47" s="17"/>
      <c r="AF47" s="17"/>
      <c r="AG47" s="17"/>
      <c r="AH47" s="18">
        <f t="shared" si="44"/>
        <v>0</v>
      </c>
      <c r="AI47" s="19">
        <f t="shared" si="45"/>
        <v>0</v>
      </c>
      <c r="AK47" s="17"/>
      <c r="AL47" s="17"/>
      <c r="AM47" s="17"/>
      <c r="AN47" s="18">
        <f t="shared" si="46"/>
        <v>1</v>
      </c>
      <c r="AO47" s="19">
        <f t="shared" si="47"/>
        <v>6.6666666666666666E-2</v>
      </c>
      <c r="AQ47" s="17"/>
      <c r="AR47" s="17"/>
      <c r="AS47" s="17"/>
      <c r="AT47" s="18">
        <f t="shared" si="41"/>
        <v>1</v>
      </c>
      <c r="AU47" s="19">
        <f t="shared" si="48"/>
        <v>2.8571428571428571E-2</v>
      </c>
      <c r="AW47" s="17"/>
      <c r="AX47" s="17"/>
      <c r="AY47" s="17"/>
      <c r="AZ47" s="424">
        <f t="shared" si="49"/>
        <v>2</v>
      </c>
      <c r="BA47" s="19">
        <f t="shared" si="50"/>
        <v>2.4390243902439025E-2</v>
      </c>
    </row>
    <row r="48" spans="1:53" ht="17.100000000000001" customHeight="1" x14ac:dyDescent="0.25">
      <c r="A48" s="68"/>
      <c r="B48" s="540"/>
      <c r="C48" s="93"/>
      <c r="D48" s="202" t="s">
        <v>374</v>
      </c>
      <c r="E48" s="85" t="s">
        <v>534</v>
      </c>
      <c r="F48" s="75"/>
      <c r="G48" s="75"/>
      <c r="H48" s="119"/>
      <c r="J48" s="581"/>
      <c r="K48" s="581"/>
      <c r="L48" s="582"/>
      <c r="M48" s="593">
        <f t="shared" si="42"/>
        <v>0</v>
      </c>
      <c r="N48" s="111"/>
      <c r="O48" s="111"/>
      <c r="P48" s="111"/>
      <c r="Q48" s="111"/>
      <c r="R48" s="111"/>
      <c r="S48" s="111"/>
      <c r="T48" s="111"/>
      <c r="U48" s="111"/>
      <c r="V48" s="111"/>
      <c r="W48" s="391">
        <f t="shared" si="38"/>
        <v>0</v>
      </c>
      <c r="X48" s="17">
        <f t="shared" si="39"/>
        <v>0</v>
      </c>
      <c r="Y48" s="18">
        <f t="shared" si="40"/>
        <v>0</v>
      </c>
      <c r="Z48" s="19">
        <f t="shared" si="43"/>
        <v>0</v>
      </c>
      <c r="AA48" s="19"/>
      <c r="AB48" s="19"/>
      <c r="AC48" s="84"/>
      <c r="AE48" s="17"/>
      <c r="AF48" s="17"/>
      <c r="AG48" s="17"/>
      <c r="AH48" s="18">
        <f t="shared" si="44"/>
        <v>0</v>
      </c>
      <c r="AI48" s="19">
        <f t="shared" si="45"/>
        <v>0</v>
      </c>
      <c r="AK48" s="17"/>
      <c r="AL48" s="17"/>
      <c r="AM48" s="17"/>
      <c r="AN48" s="18">
        <f t="shared" si="46"/>
        <v>0</v>
      </c>
      <c r="AO48" s="19">
        <f t="shared" si="47"/>
        <v>0</v>
      </c>
      <c r="AQ48" s="17"/>
      <c r="AR48" s="17"/>
      <c r="AS48" s="17"/>
      <c r="AT48" s="18">
        <f t="shared" si="41"/>
        <v>0</v>
      </c>
      <c r="AU48" s="19">
        <f t="shared" si="48"/>
        <v>0</v>
      </c>
      <c r="AW48" s="17"/>
      <c r="AX48" s="17"/>
      <c r="AY48" s="17"/>
      <c r="AZ48" s="424">
        <f t="shared" si="49"/>
        <v>0</v>
      </c>
      <c r="BA48" s="19">
        <f t="shared" si="50"/>
        <v>0</v>
      </c>
    </row>
    <row r="49" spans="1:53" ht="17.100000000000001" customHeight="1" x14ac:dyDescent="0.25">
      <c r="A49" s="68"/>
      <c r="B49" s="540"/>
      <c r="C49" s="93"/>
      <c r="D49" s="202" t="s">
        <v>375</v>
      </c>
      <c r="E49" s="85" t="s">
        <v>535</v>
      </c>
      <c r="F49" s="75"/>
      <c r="G49" s="75"/>
      <c r="H49" s="119"/>
      <c r="J49" s="583">
        <v>1</v>
      </c>
      <c r="K49" s="583"/>
      <c r="L49" s="584">
        <v>1</v>
      </c>
      <c r="M49" s="593">
        <f t="shared" si="42"/>
        <v>2</v>
      </c>
      <c r="N49" s="111"/>
      <c r="O49" s="111"/>
      <c r="P49" s="111"/>
      <c r="Q49" s="111"/>
      <c r="R49" s="111"/>
      <c r="S49" s="111"/>
      <c r="T49" s="111"/>
      <c r="U49" s="111"/>
      <c r="V49" s="111"/>
      <c r="W49" s="391">
        <f t="shared" si="38"/>
        <v>1</v>
      </c>
      <c r="X49" s="17">
        <f t="shared" si="39"/>
        <v>1</v>
      </c>
      <c r="Y49" s="18">
        <f t="shared" si="40"/>
        <v>2</v>
      </c>
      <c r="Z49" s="19">
        <f t="shared" si="43"/>
        <v>1.7094017094017096E-2</v>
      </c>
      <c r="AA49" s="19"/>
      <c r="AB49" s="19"/>
      <c r="AC49" s="84"/>
      <c r="AE49" s="17"/>
      <c r="AF49" s="17"/>
      <c r="AG49" s="17"/>
      <c r="AH49" s="18">
        <f t="shared" si="44"/>
        <v>1</v>
      </c>
      <c r="AI49" s="19">
        <f t="shared" si="45"/>
        <v>0.05</v>
      </c>
      <c r="AK49" s="17"/>
      <c r="AL49" s="17"/>
      <c r="AM49" s="17"/>
      <c r="AN49" s="18">
        <f t="shared" si="46"/>
        <v>0</v>
      </c>
      <c r="AO49" s="19">
        <f t="shared" si="47"/>
        <v>0</v>
      </c>
      <c r="AQ49" s="17"/>
      <c r="AR49" s="17"/>
      <c r="AS49" s="17"/>
      <c r="AT49" s="18">
        <f t="shared" si="41"/>
        <v>1</v>
      </c>
      <c r="AU49" s="19">
        <f t="shared" si="48"/>
        <v>2.8571428571428571E-2</v>
      </c>
      <c r="AW49" s="17"/>
      <c r="AX49" s="17"/>
      <c r="AY49" s="17"/>
      <c r="AZ49" s="424">
        <f t="shared" si="49"/>
        <v>1</v>
      </c>
      <c r="BA49" s="19">
        <f t="shared" si="50"/>
        <v>1.2195121951219513E-2</v>
      </c>
    </row>
    <row r="50" spans="1:53" ht="17.100000000000001" customHeight="1" x14ac:dyDescent="0.25">
      <c r="A50" s="68"/>
      <c r="B50" s="540"/>
      <c r="C50" s="93"/>
      <c r="D50" s="202" t="s">
        <v>376</v>
      </c>
      <c r="E50" s="85" t="s">
        <v>387</v>
      </c>
      <c r="F50" s="75"/>
      <c r="G50" s="75"/>
      <c r="H50" s="119"/>
      <c r="J50" s="581"/>
      <c r="K50" s="581"/>
      <c r="L50" s="582"/>
      <c r="M50" s="593">
        <f t="shared" si="42"/>
        <v>0</v>
      </c>
      <c r="N50" s="111"/>
      <c r="O50" s="111"/>
      <c r="P50" s="111"/>
      <c r="Q50" s="111"/>
      <c r="R50" s="111"/>
      <c r="S50" s="111"/>
      <c r="T50" s="111"/>
      <c r="U50" s="111"/>
      <c r="V50" s="111"/>
      <c r="W50" s="391">
        <f t="shared" si="38"/>
        <v>0</v>
      </c>
      <c r="X50" s="17">
        <f t="shared" si="39"/>
        <v>0</v>
      </c>
      <c r="Y50" s="18">
        <f t="shared" si="40"/>
        <v>0</v>
      </c>
      <c r="Z50" s="19">
        <f t="shared" si="43"/>
        <v>0</v>
      </c>
      <c r="AA50" s="19"/>
      <c r="AB50" s="19"/>
      <c r="AC50" s="84"/>
      <c r="AE50" s="17"/>
      <c r="AF50" s="17"/>
      <c r="AG50" s="17"/>
      <c r="AH50" s="18">
        <f t="shared" si="44"/>
        <v>0</v>
      </c>
      <c r="AI50" s="19">
        <f t="shared" si="45"/>
        <v>0</v>
      </c>
      <c r="AK50" s="17"/>
      <c r="AL50" s="17"/>
      <c r="AM50" s="17"/>
      <c r="AN50" s="18">
        <f t="shared" si="46"/>
        <v>0</v>
      </c>
      <c r="AO50" s="19">
        <f t="shared" si="47"/>
        <v>0</v>
      </c>
      <c r="AQ50" s="17"/>
      <c r="AR50" s="17"/>
      <c r="AS50" s="17"/>
      <c r="AT50" s="18">
        <f t="shared" si="41"/>
        <v>0</v>
      </c>
      <c r="AU50" s="19">
        <f t="shared" si="48"/>
        <v>0</v>
      </c>
      <c r="AW50" s="17"/>
      <c r="AX50" s="17"/>
      <c r="AY50" s="17"/>
      <c r="AZ50" s="424">
        <f t="shared" si="49"/>
        <v>0</v>
      </c>
      <c r="BA50" s="19">
        <f t="shared" si="50"/>
        <v>0</v>
      </c>
    </row>
    <row r="51" spans="1:53" ht="17.100000000000001" customHeight="1" x14ac:dyDescent="0.25">
      <c r="A51" s="68"/>
      <c r="B51" s="540"/>
      <c r="C51" s="93"/>
      <c r="D51" s="202" t="s">
        <v>377</v>
      </c>
      <c r="E51" s="85" t="s">
        <v>388</v>
      </c>
      <c r="F51" s="75"/>
      <c r="G51" s="75"/>
      <c r="H51" s="119"/>
      <c r="J51" s="583"/>
      <c r="K51" s="583"/>
      <c r="L51" s="584"/>
      <c r="M51" s="593">
        <f t="shared" si="42"/>
        <v>0</v>
      </c>
      <c r="N51" s="111"/>
      <c r="O51" s="111"/>
      <c r="P51" s="111"/>
      <c r="Q51" s="111"/>
      <c r="R51" s="111"/>
      <c r="S51" s="111"/>
      <c r="T51" s="111"/>
      <c r="U51" s="111"/>
      <c r="V51" s="111"/>
      <c r="W51" s="391">
        <f t="shared" si="38"/>
        <v>0</v>
      </c>
      <c r="X51" s="17">
        <f t="shared" si="39"/>
        <v>0</v>
      </c>
      <c r="Y51" s="18">
        <f t="shared" si="40"/>
        <v>0</v>
      </c>
      <c r="Z51" s="19">
        <f t="shared" si="43"/>
        <v>0</v>
      </c>
      <c r="AA51" s="19"/>
      <c r="AB51" s="19"/>
      <c r="AC51" s="84"/>
      <c r="AE51" s="17"/>
      <c r="AF51" s="17"/>
      <c r="AG51" s="17"/>
      <c r="AH51" s="18">
        <f t="shared" si="44"/>
        <v>0</v>
      </c>
      <c r="AI51" s="19">
        <f t="shared" si="45"/>
        <v>0</v>
      </c>
      <c r="AK51" s="17"/>
      <c r="AL51" s="17"/>
      <c r="AM51" s="17"/>
      <c r="AN51" s="18">
        <f t="shared" si="46"/>
        <v>0</v>
      </c>
      <c r="AO51" s="19">
        <f t="shared" si="47"/>
        <v>0</v>
      </c>
      <c r="AQ51" s="17"/>
      <c r="AR51" s="17"/>
      <c r="AS51" s="17"/>
      <c r="AT51" s="18">
        <f t="shared" si="41"/>
        <v>0</v>
      </c>
      <c r="AU51" s="19">
        <f t="shared" si="48"/>
        <v>0</v>
      </c>
      <c r="AW51" s="17"/>
      <c r="AX51" s="17"/>
      <c r="AY51" s="17"/>
      <c r="AZ51" s="424">
        <f t="shared" si="49"/>
        <v>0</v>
      </c>
      <c r="BA51" s="19">
        <f t="shared" si="50"/>
        <v>0</v>
      </c>
    </row>
    <row r="52" spans="1:53" ht="17.100000000000001" customHeight="1" x14ac:dyDescent="0.25">
      <c r="A52" s="68"/>
      <c r="B52" s="540"/>
      <c r="C52" s="93"/>
      <c r="D52" s="202" t="s">
        <v>378</v>
      </c>
      <c r="E52" s="85" t="s">
        <v>532</v>
      </c>
      <c r="F52" s="75"/>
      <c r="G52" s="75"/>
      <c r="H52" s="119"/>
      <c r="J52" s="581">
        <v>17</v>
      </c>
      <c r="K52" s="581">
        <v>13</v>
      </c>
      <c r="L52" s="582">
        <v>64</v>
      </c>
      <c r="M52" s="593">
        <f t="shared" si="42"/>
        <v>94</v>
      </c>
      <c r="N52" s="111"/>
      <c r="O52" s="111"/>
      <c r="P52" s="111"/>
      <c r="Q52" s="111"/>
      <c r="R52" s="111"/>
      <c r="S52" s="111"/>
      <c r="T52" s="111"/>
      <c r="U52" s="111"/>
      <c r="V52" s="111"/>
      <c r="W52" s="391">
        <f t="shared" si="38"/>
        <v>30</v>
      </c>
      <c r="X52" s="17">
        <f t="shared" si="39"/>
        <v>64</v>
      </c>
      <c r="Y52" s="18">
        <f t="shared" si="40"/>
        <v>94</v>
      </c>
      <c r="Z52" s="19">
        <f t="shared" si="43"/>
        <v>0.80341880341880345</v>
      </c>
      <c r="AA52" s="19"/>
      <c r="AB52" s="19"/>
      <c r="AC52" s="84"/>
      <c r="AE52" s="17"/>
      <c r="AF52" s="17"/>
      <c r="AG52" s="17"/>
      <c r="AH52" s="18">
        <f t="shared" si="44"/>
        <v>17</v>
      </c>
      <c r="AI52" s="19">
        <f t="shared" si="45"/>
        <v>0.85</v>
      </c>
      <c r="AK52" s="17"/>
      <c r="AL52" s="17"/>
      <c r="AM52" s="17"/>
      <c r="AN52" s="18">
        <f t="shared" si="46"/>
        <v>13</v>
      </c>
      <c r="AO52" s="19">
        <f t="shared" si="47"/>
        <v>0.8666666666666667</v>
      </c>
      <c r="AQ52" s="17"/>
      <c r="AR52" s="17"/>
      <c r="AS52" s="17"/>
      <c r="AT52" s="18">
        <f t="shared" si="41"/>
        <v>30</v>
      </c>
      <c r="AU52" s="19">
        <f t="shared" si="48"/>
        <v>0.8571428571428571</v>
      </c>
      <c r="AW52" s="17"/>
      <c r="AX52" s="17"/>
      <c r="AY52" s="17"/>
      <c r="AZ52" s="424">
        <f t="shared" si="49"/>
        <v>64</v>
      </c>
      <c r="BA52" s="19">
        <f t="shared" si="50"/>
        <v>0.78048780487804881</v>
      </c>
    </row>
    <row r="53" spans="1:53" ht="17.100000000000001" customHeight="1" x14ac:dyDescent="0.25">
      <c r="A53" s="68"/>
      <c r="B53" s="540"/>
      <c r="C53" s="93"/>
      <c r="D53" s="202" t="s">
        <v>379</v>
      </c>
      <c r="E53" s="85" t="s">
        <v>389</v>
      </c>
      <c r="F53" s="75"/>
      <c r="G53" s="105"/>
      <c r="H53" s="119"/>
      <c r="J53" s="583"/>
      <c r="K53" s="583"/>
      <c r="L53" s="584"/>
      <c r="M53" s="593">
        <f t="shared" si="42"/>
        <v>0</v>
      </c>
      <c r="N53" s="111"/>
      <c r="O53" s="111"/>
      <c r="P53" s="111"/>
      <c r="Q53" s="111"/>
      <c r="R53" s="111"/>
      <c r="S53" s="111"/>
      <c r="T53" s="111"/>
      <c r="U53" s="111"/>
      <c r="V53" s="111"/>
      <c r="W53" s="391">
        <f t="shared" si="38"/>
        <v>0</v>
      </c>
      <c r="X53" s="17">
        <f t="shared" si="39"/>
        <v>0</v>
      </c>
      <c r="Y53" s="18">
        <f t="shared" si="40"/>
        <v>0</v>
      </c>
      <c r="Z53" s="19">
        <f t="shared" si="43"/>
        <v>0</v>
      </c>
      <c r="AA53" s="19"/>
      <c r="AB53" s="19"/>
      <c r="AC53" s="84"/>
      <c r="AE53" s="17"/>
      <c r="AF53" s="17"/>
      <c r="AG53" s="17"/>
      <c r="AH53" s="18">
        <f t="shared" si="44"/>
        <v>0</v>
      </c>
      <c r="AI53" s="19">
        <f t="shared" si="45"/>
        <v>0</v>
      </c>
      <c r="AK53" s="17"/>
      <c r="AL53" s="17"/>
      <c r="AM53" s="17"/>
      <c r="AN53" s="18">
        <f t="shared" si="46"/>
        <v>0</v>
      </c>
      <c r="AO53" s="19">
        <f t="shared" si="47"/>
        <v>0</v>
      </c>
      <c r="AQ53" s="17"/>
      <c r="AR53" s="17"/>
      <c r="AS53" s="17"/>
      <c r="AT53" s="18">
        <f t="shared" si="41"/>
        <v>0</v>
      </c>
      <c r="AU53" s="19">
        <f t="shared" si="48"/>
        <v>0</v>
      </c>
      <c r="AW53" s="17"/>
      <c r="AX53" s="17"/>
      <c r="AY53" s="17"/>
      <c r="AZ53" s="424">
        <f t="shared" si="49"/>
        <v>0</v>
      </c>
      <c r="BA53" s="19">
        <f t="shared" si="50"/>
        <v>0</v>
      </c>
    </row>
    <row r="54" spans="1:53" ht="17.100000000000001" customHeight="1" x14ac:dyDescent="0.25">
      <c r="A54" s="68"/>
      <c r="B54" s="540"/>
      <c r="C54" s="93"/>
      <c r="D54" s="202" t="s">
        <v>380</v>
      </c>
      <c r="E54" s="85" t="s">
        <v>390</v>
      </c>
      <c r="F54" s="75"/>
      <c r="G54" s="105"/>
      <c r="H54" s="119"/>
      <c r="J54" s="581"/>
      <c r="K54" s="581"/>
      <c r="L54" s="582"/>
      <c r="M54" s="593">
        <f t="shared" si="42"/>
        <v>0</v>
      </c>
      <c r="N54" s="111"/>
      <c r="O54" s="111"/>
      <c r="P54" s="111"/>
      <c r="Q54" s="111"/>
      <c r="R54" s="111"/>
      <c r="S54" s="111"/>
      <c r="T54" s="111"/>
      <c r="U54" s="111"/>
      <c r="V54" s="111"/>
      <c r="W54" s="391">
        <f t="shared" si="38"/>
        <v>0</v>
      </c>
      <c r="X54" s="17">
        <f t="shared" si="39"/>
        <v>0</v>
      </c>
      <c r="Y54" s="18">
        <f t="shared" si="40"/>
        <v>0</v>
      </c>
      <c r="Z54" s="19">
        <f t="shared" si="43"/>
        <v>0</v>
      </c>
      <c r="AA54" s="19"/>
      <c r="AB54" s="19"/>
      <c r="AC54" s="84"/>
      <c r="AE54" s="17"/>
      <c r="AF54" s="17"/>
      <c r="AG54" s="17"/>
      <c r="AH54" s="18">
        <f t="shared" si="44"/>
        <v>0</v>
      </c>
      <c r="AI54" s="19">
        <f t="shared" si="45"/>
        <v>0</v>
      </c>
      <c r="AK54" s="17"/>
      <c r="AL54" s="17"/>
      <c r="AM54" s="17"/>
      <c r="AN54" s="18">
        <f t="shared" si="46"/>
        <v>0</v>
      </c>
      <c r="AO54" s="19">
        <f t="shared" si="47"/>
        <v>0</v>
      </c>
      <c r="AQ54" s="17"/>
      <c r="AR54" s="17"/>
      <c r="AS54" s="17"/>
      <c r="AT54" s="18">
        <f t="shared" si="41"/>
        <v>0</v>
      </c>
      <c r="AU54" s="19">
        <f t="shared" si="48"/>
        <v>0</v>
      </c>
      <c r="AW54" s="17"/>
      <c r="AX54" s="17"/>
      <c r="AY54" s="17"/>
      <c r="AZ54" s="424">
        <f t="shared" si="49"/>
        <v>0</v>
      </c>
      <c r="BA54" s="19">
        <f t="shared" si="50"/>
        <v>0</v>
      </c>
    </row>
    <row r="55" spans="1:53" ht="17.100000000000001" customHeight="1" x14ac:dyDescent="0.25">
      <c r="A55" s="68"/>
      <c r="B55" s="540"/>
      <c r="C55" s="93"/>
      <c r="D55" s="202" t="s">
        <v>381</v>
      </c>
      <c r="E55" s="85" t="s">
        <v>536</v>
      </c>
      <c r="F55" s="75"/>
      <c r="G55" s="105"/>
      <c r="H55" s="119"/>
      <c r="J55" s="583">
        <v>2</v>
      </c>
      <c r="K55" s="583"/>
      <c r="L55" s="584">
        <v>15</v>
      </c>
      <c r="M55" s="593">
        <f t="shared" si="42"/>
        <v>17</v>
      </c>
      <c r="N55" s="111"/>
      <c r="O55" s="111"/>
      <c r="P55" s="111"/>
      <c r="Q55" s="111"/>
      <c r="R55" s="111"/>
      <c r="S55" s="111"/>
      <c r="T55" s="111"/>
      <c r="U55" s="111"/>
      <c r="V55" s="111"/>
      <c r="W55" s="391">
        <f t="shared" si="38"/>
        <v>2</v>
      </c>
      <c r="X55" s="17">
        <f t="shared" si="39"/>
        <v>15</v>
      </c>
      <c r="Y55" s="18">
        <f t="shared" si="40"/>
        <v>17</v>
      </c>
      <c r="Z55" s="19">
        <f t="shared" si="43"/>
        <v>0.14529914529914531</v>
      </c>
      <c r="AA55" s="19"/>
      <c r="AB55" s="19"/>
      <c r="AC55" s="84"/>
      <c r="AE55" s="17"/>
      <c r="AF55" s="17"/>
      <c r="AG55" s="17"/>
      <c r="AH55" s="18">
        <f t="shared" si="44"/>
        <v>2</v>
      </c>
      <c r="AI55" s="19">
        <f t="shared" si="45"/>
        <v>0.1</v>
      </c>
      <c r="AK55" s="17"/>
      <c r="AL55" s="17"/>
      <c r="AM55" s="17"/>
      <c r="AN55" s="18">
        <f t="shared" si="46"/>
        <v>0</v>
      </c>
      <c r="AO55" s="19">
        <f t="shared" si="47"/>
        <v>0</v>
      </c>
      <c r="AQ55" s="17"/>
      <c r="AR55" s="17"/>
      <c r="AS55" s="17"/>
      <c r="AT55" s="18">
        <f t="shared" si="41"/>
        <v>2</v>
      </c>
      <c r="AU55" s="19">
        <f t="shared" si="48"/>
        <v>5.7142857142857141E-2</v>
      </c>
      <c r="AW55" s="17"/>
      <c r="AX55" s="17"/>
      <c r="AY55" s="17"/>
      <c r="AZ55" s="424">
        <f t="shared" si="49"/>
        <v>15</v>
      </c>
      <c r="BA55" s="19">
        <f t="shared" si="50"/>
        <v>0.18292682926829268</v>
      </c>
    </row>
    <row r="56" spans="1:53" ht="17.100000000000001" customHeight="1" x14ac:dyDescent="0.25">
      <c r="A56" s="68"/>
      <c r="B56" s="540"/>
      <c r="C56" s="93"/>
      <c r="D56" s="202" t="s">
        <v>382</v>
      </c>
      <c r="E56" s="85" t="s">
        <v>391</v>
      </c>
      <c r="F56" s="75"/>
      <c r="G56" s="105"/>
      <c r="H56" s="119"/>
      <c r="J56" s="581"/>
      <c r="K56" s="581"/>
      <c r="L56" s="582"/>
      <c r="M56" s="593">
        <f t="shared" si="42"/>
        <v>0</v>
      </c>
      <c r="N56" s="111"/>
      <c r="O56" s="111"/>
      <c r="P56" s="111"/>
      <c r="Q56" s="111"/>
      <c r="R56" s="111"/>
      <c r="S56" s="111"/>
      <c r="T56" s="111"/>
      <c r="U56" s="111"/>
      <c r="V56" s="111"/>
      <c r="W56" s="391">
        <f t="shared" si="38"/>
        <v>0</v>
      </c>
      <c r="X56" s="17">
        <f t="shared" si="39"/>
        <v>0</v>
      </c>
      <c r="Y56" s="18">
        <f t="shared" si="40"/>
        <v>0</v>
      </c>
      <c r="Z56" s="19">
        <f t="shared" si="43"/>
        <v>0</v>
      </c>
      <c r="AA56" s="19"/>
      <c r="AB56" s="19"/>
      <c r="AC56" s="84"/>
      <c r="AE56" s="17"/>
      <c r="AF56" s="17"/>
      <c r="AG56" s="17"/>
      <c r="AH56" s="18">
        <f t="shared" si="44"/>
        <v>0</v>
      </c>
      <c r="AI56" s="19">
        <f t="shared" si="45"/>
        <v>0</v>
      </c>
      <c r="AK56" s="17"/>
      <c r="AL56" s="17"/>
      <c r="AM56" s="17"/>
      <c r="AN56" s="18">
        <f t="shared" si="46"/>
        <v>0</v>
      </c>
      <c r="AO56" s="19">
        <f t="shared" si="47"/>
        <v>0</v>
      </c>
      <c r="AQ56" s="17"/>
      <c r="AR56" s="17"/>
      <c r="AS56" s="17"/>
      <c r="AT56" s="18">
        <f t="shared" si="41"/>
        <v>0</v>
      </c>
      <c r="AU56" s="19">
        <f t="shared" si="48"/>
        <v>0</v>
      </c>
      <c r="AW56" s="17"/>
      <c r="AX56" s="17"/>
      <c r="AY56" s="17"/>
      <c r="AZ56" s="424">
        <f t="shared" si="49"/>
        <v>0</v>
      </c>
      <c r="BA56" s="19">
        <f t="shared" si="50"/>
        <v>0</v>
      </c>
    </row>
    <row r="57" spans="1:53" ht="17.100000000000001" customHeight="1" x14ac:dyDescent="0.25">
      <c r="A57" s="68"/>
      <c r="B57" s="540"/>
      <c r="C57" s="93"/>
      <c r="D57" s="202" t="s">
        <v>383</v>
      </c>
      <c r="E57" s="85" t="s">
        <v>392</v>
      </c>
      <c r="F57" s="75"/>
      <c r="G57" s="105"/>
      <c r="H57" s="119"/>
      <c r="J57" s="583"/>
      <c r="K57" s="583">
        <v>1</v>
      </c>
      <c r="L57" s="584"/>
      <c r="M57" s="593">
        <f t="shared" si="42"/>
        <v>1</v>
      </c>
      <c r="N57" s="111"/>
      <c r="O57" s="111"/>
      <c r="P57" s="111"/>
      <c r="Q57" s="111"/>
      <c r="R57" s="111"/>
      <c r="S57" s="111"/>
      <c r="T57" s="111"/>
      <c r="U57" s="111"/>
      <c r="V57" s="111"/>
      <c r="W57" s="391">
        <f t="shared" si="38"/>
        <v>1</v>
      </c>
      <c r="X57" s="17">
        <f t="shared" si="39"/>
        <v>0</v>
      </c>
      <c r="Y57" s="18">
        <f t="shared" si="40"/>
        <v>1</v>
      </c>
      <c r="Z57" s="19">
        <f t="shared" si="43"/>
        <v>8.5470085470085479E-3</v>
      </c>
      <c r="AA57" s="19"/>
      <c r="AB57" s="19"/>
      <c r="AC57" s="84"/>
      <c r="AE57" s="17"/>
      <c r="AF57" s="17"/>
      <c r="AG57" s="17"/>
      <c r="AH57" s="18">
        <f t="shared" si="44"/>
        <v>0</v>
      </c>
      <c r="AI57" s="19">
        <f t="shared" si="45"/>
        <v>0</v>
      </c>
      <c r="AK57" s="17"/>
      <c r="AL57" s="17"/>
      <c r="AM57" s="17"/>
      <c r="AN57" s="18">
        <f t="shared" si="46"/>
        <v>1</v>
      </c>
      <c r="AO57" s="19">
        <f t="shared" si="47"/>
        <v>6.6666666666666666E-2</v>
      </c>
      <c r="AQ57" s="17"/>
      <c r="AR57" s="17"/>
      <c r="AS57" s="17"/>
      <c r="AT57" s="18">
        <f t="shared" si="41"/>
        <v>1</v>
      </c>
      <c r="AU57" s="19">
        <f t="shared" si="48"/>
        <v>2.8571428571428571E-2</v>
      </c>
      <c r="AW57" s="17"/>
      <c r="AX57" s="17"/>
      <c r="AY57" s="17"/>
      <c r="AZ57" s="424">
        <f t="shared" si="49"/>
        <v>0</v>
      </c>
      <c r="BA57" s="19">
        <f t="shared" si="50"/>
        <v>0</v>
      </c>
    </row>
    <row r="58" spans="1:53" ht="17.100000000000001" customHeight="1" x14ac:dyDescent="0.25">
      <c r="A58" s="40"/>
      <c r="B58" s="40"/>
      <c r="C58" s="77"/>
      <c r="D58" s="78"/>
      <c r="E58" s="78"/>
      <c r="F58" s="78"/>
      <c r="G58" s="78"/>
      <c r="H58" s="242"/>
      <c r="I58" s="230"/>
      <c r="J58" s="80">
        <f>SUM(J44:J57)</f>
        <v>20</v>
      </c>
      <c r="K58" s="80">
        <f t="shared" ref="K58:M58" si="51">SUM(K44:K57)</f>
        <v>15</v>
      </c>
      <c r="L58" s="80">
        <f t="shared" si="51"/>
        <v>82</v>
      </c>
      <c r="M58" s="80">
        <f t="shared" si="51"/>
        <v>117</v>
      </c>
      <c r="N58" s="80"/>
      <c r="O58" s="80"/>
      <c r="P58" s="80"/>
      <c r="Q58" s="81"/>
      <c r="R58" s="81"/>
      <c r="S58" s="81"/>
      <c r="T58" s="81"/>
      <c r="U58" s="81"/>
      <c r="V58" s="81"/>
      <c r="W58" s="381">
        <f>SUM(W44:W57)</f>
        <v>35</v>
      </c>
      <c r="X58" s="82">
        <f t="shared" ref="X58:Y58" si="52">SUM(X44:X57)</f>
        <v>82</v>
      </c>
      <c r="Y58" s="82">
        <f t="shared" si="52"/>
        <v>117</v>
      </c>
      <c r="Z58" s="205">
        <f t="shared" si="43"/>
        <v>1</v>
      </c>
      <c r="AA58" s="205"/>
      <c r="AB58" s="205"/>
      <c r="AC58" s="83"/>
      <c r="AE58" s="81"/>
      <c r="AF58" s="81"/>
      <c r="AG58" s="81"/>
      <c r="AH58" s="82">
        <f>SUM(AH44:AH57)</f>
        <v>20</v>
      </c>
      <c r="AI58" s="66">
        <f t="shared" si="45"/>
        <v>1</v>
      </c>
      <c r="AK58" s="81"/>
      <c r="AL58" s="81"/>
      <c r="AM58" s="81"/>
      <c r="AN58" s="82">
        <f>SUM(AN44:AN57)</f>
        <v>15</v>
      </c>
      <c r="AO58" s="66">
        <f t="shared" si="47"/>
        <v>1</v>
      </c>
      <c r="AQ58" s="81"/>
      <c r="AR58" s="81"/>
      <c r="AS58" s="81"/>
      <c r="AT58" s="82">
        <f>SUM(AT44:AT57)</f>
        <v>35</v>
      </c>
      <c r="AU58" s="66">
        <f t="shared" si="48"/>
        <v>1</v>
      </c>
      <c r="AW58" s="81"/>
      <c r="AX58" s="81"/>
      <c r="AY58" s="81"/>
      <c r="AZ58" s="82">
        <f>SUM(AZ44:AZ57)</f>
        <v>82</v>
      </c>
      <c r="BA58" s="66">
        <f t="shared" si="50"/>
        <v>1</v>
      </c>
    </row>
    <row r="59" spans="1:53" s="117" customFormat="1" ht="17.100000000000001" customHeight="1" x14ac:dyDescent="0.25">
      <c r="A59" s="119"/>
      <c r="B59" s="119"/>
      <c r="C59" s="540"/>
      <c r="D59" s="212"/>
      <c r="E59" s="212"/>
      <c r="F59" s="212"/>
      <c r="G59" s="212"/>
      <c r="H59" s="242"/>
      <c r="I59" s="230"/>
      <c r="J59" s="17" t="str">
        <f>IF(J58=J$15,"OK","NOK")</f>
        <v>OK</v>
      </c>
      <c r="K59" s="17" t="str">
        <f t="shared" ref="K59:L59" si="53">IF(K58=K$15,"OK","NOK")</f>
        <v>OK</v>
      </c>
      <c r="L59" s="17" t="str">
        <f t="shared" si="53"/>
        <v>OK</v>
      </c>
      <c r="M59" s="17"/>
      <c r="N59" s="17"/>
      <c r="O59" s="17"/>
      <c r="P59" s="17"/>
      <c r="Q59" s="17"/>
      <c r="R59" s="17"/>
      <c r="S59" s="17"/>
      <c r="T59" s="17"/>
      <c r="U59" s="17"/>
      <c r="V59" s="17"/>
      <c r="W59" s="539"/>
      <c r="X59" s="539"/>
      <c r="Y59" s="539"/>
      <c r="Z59" s="201"/>
      <c r="AA59" s="201"/>
      <c r="AB59" s="201"/>
      <c r="AC59" s="84"/>
      <c r="AE59" s="17"/>
      <c r="AF59" s="17"/>
      <c r="AG59" s="17"/>
      <c r="AH59" s="539"/>
      <c r="AI59" s="91"/>
      <c r="AK59" s="17"/>
      <c r="AL59" s="17"/>
      <c r="AM59" s="17"/>
      <c r="AN59" s="539"/>
      <c r="AO59" s="91"/>
      <c r="AQ59" s="17"/>
      <c r="AR59" s="17"/>
      <c r="AS59" s="17"/>
      <c r="AT59" s="539"/>
      <c r="AU59" s="91"/>
      <c r="AW59" s="17"/>
      <c r="AX59" s="17"/>
      <c r="AY59" s="17"/>
      <c r="AZ59" s="17"/>
      <c r="BA59" s="91"/>
    </row>
    <row r="60" spans="1:53" ht="17.100000000000001" customHeight="1" x14ac:dyDescent="0.25">
      <c r="A60" s="102"/>
      <c r="B60" s="102"/>
      <c r="C60" s="103" t="s">
        <v>33</v>
      </c>
      <c r="D60" s="110" t="s">
        <v>736</v>
      </c>
      <c r="E60" s="108"/>
      <c r="F60" s="108"/>
      <c r="G60" s="108"/>
      <c r="H60" s="315"/>
      <c r="I60" s="232"/>
      <c r="J60" s="111"/>
      <c r="K60" s="111"/>
      <c r="L60" s="111"/>
      <c r="M60" s="111"/>
      <c r="N60" s="111"/>
      <c r="O60" s="111"/>
      <c r="P60" s="111"/>
      <c r="Q60" s="111"/>
      <c r="R60" s="111"/>
      <c r="S60" s="111"/>
      <c r="T60" s="111"/>
      <c r="U60" s="111"/>
      <c r="V60" s="111"/>
      <c r="W60" s="111"/>
      <c r="X60" s="111"/>
      <c r="Y60" s="111"/>
      <c r="Z60" s="113"/>
      <c r="AA60" s="113"/>
      <c r="AB60" s="113"/>
      <c r="AC60" s="113"/>
      <c r="AE60" s="114"/>
      <c r="AF60" s="114"/>
      <c r="AG60" s="114"/>
      <c r="AH60" s="112"/>
      <c r="AI60" s="113"/>
      <c r="AK60" s="114"/>
      <c r="AL60" s="114"/>
      <c r="AM60" s="114"/>
      <c r="AN60" s="112"/>
      <c r="AO60" s="113"/>
      <c r="AQ60" s="114"/>
      <c r="AR60" s="114"/>
      <c r="AS60" s="114"/>
      <c r="AT60" s="112"/>
      <c r="AU60" s="113"/>
      <c r="AW60" s="114"/>
      <c r="AX60" s="114"/>
      <c r="AY60" s="114"/>
      <c r="AZ60" s="114"/>
      <c r="BA60" s="113"/>
    </row>
    <row r="61" spans="1:53" s="117" customFormat="1" ht="17.100000000000001" customHeight="1" x14ac:dyDescent="0.25">
      <c r="A61" s="540"/>
      <c r="B61" s="23"/>
      <c r="C61" s="23"/>
      <c r="D61" s="74" t="s">
        <v>34</v>
      </c>
      <c r="E61" s="75" t="s">
        <v>26</v>
      </c>
      <c r="F61" s="75"/>
      <c r="G61" s="75"/>
      <c r="H61" s="23"/>
      <c r="I61" s="229"/>
      <c r="J61" s="152"/>
      <c r="K61" s="152"/>
      <c r="L61" s="111"/>
      <c r="M61" s="111"/>
      <c r="N61" s="60">
        <v>2</v>
      </c>
      <c r="O61" s="60">
        <v>1</v>
      </c>
      <c r="P61" s="593">
        <f>SUM(N61:O61)</f>
        <v>3</v>
      </c>
      <c r="Q61" s="60"/>
      <c r="R61" s="60"/>
      <c r="S61" s="593">
        <f>SUM(Q61:R61)</f>
        <v>0</v>
      </c>
      <c r="T61" s="60"/>
      <c r="U61" s="60"/>
      <c r="V61" s="593">
        <f>SUM(T61:U61)</f>
        <v>0</v>
      </c>
      <c r="W61" s="391">
        <f t="shared" ref="W61:W64" si="54">J61+K61+N61+Q61+T61</f>
        <v>2</v>
      </c>
      <c r="X61" s="17">
        <f t="shared" ref="X61:X64" si="55">L61+O61+R61+U61</f>
        <v>1</v>
      </c>
      <c r="Y61" s="18">
        <f>SUM(W61:X61)</f>
        <v>3</v>
      </c>
      <c r="Z61" s="19">
        <f>IF(Y$65=0,0,Y61/Y$65)</f>
        <v>0.6</v>
      </c>
      <c r="AA61" s="91"/>
      <c r="AB61" s="91"/>
      <c r="AC61" s="84"/>
      <c r="AE61" s="111"/>
      <c r="AF61" s="111"/>
      <c r="AG61" s="111"/>
      <c r="AH61" s="545"/>
      <c r="AI61" s="131"/>
      <c r="AK61" s="111"/>
      <c r="AL61" s="111"/>
      <c r="AM61" s="111"/>
      <c r="AN61" s="545"/>
      <c r="AO61" s="131"/>
      <c r="AQ61" s="17"/>
      <c r="AR61" s="17"/>
      <c r="AS61" s="17"/>
      <c r="AT61" s="18">
        <f>W61</f>
        <v>2</v>
      </c>
      <c r="AU61" s="19">
        <f>IF(AT$65=0,0,AT61/AT$65)</f>
        <v>1</v>
      </c>
      <c r="AW61" s="17"/>
      <c r="AX61" s="17"/>
      <c r="AY61" s="17"/>
      <c r="AZ61" s="424">
        <f>X61</f>
        <v>1</v>
      </c>
      <c r="BA61" s="91">
        <f>IF(AZ$65=0,0,AZ61/AZ$65)</f>
        <v>0.33333333333333331</v>
      </c>
    </row>
    <row r="62" spans="1:53" s="117" customFormat="1" ht="17.100000000000001" customHeight="1" x14ac:dyDescent="0.25">
      <c r="A62" s="540"/>
      <c r="B62" s="23"/>
      <c r="C62" s="23"/>
      <c r="D62" s="74" t="s">
        <v>36</v>
      </c>
      <c r="E62" s="75" t="s">
        <v>28</v>
      </c>
      <c r="F62" s="75"/>
      <c r="G62" s="75"/>
      <c r="H62" s="23"/>
      <c r="I62" s="229"/>
      <c r="J62" s="152"/>
      <c r="K62" s="152"/>
      <c r="L62" s="111"/>
      <c r="M62" s="111"/>
      <c r="N62" s="61"/>
      <c r="O62" s="61"/>
      <c r="P62" s="593">
        <f t="shared" ref="P62:P64" si="56">SUM(N62:O62)</f>
        <v>0</v>
      </c>
      <c r="Q62" s="61"/>
      <c r="R62" s="61"/>
      <c r="S62" s="593">
        <f t="shared" ref="S62:S64" si="57">SUM(Q62:R62)</f>
        <v>0</v>
      </c>
      <c r="T62" s="61"/>
      <c r="U62" s="61"/>
      <c r="V62" s="593">
        <f t="shared" ref="V62:V64" si="58">SUM(T62:U62)</f>
        <v>0</v>
      </c>
      <c r="W62" s="391">
        <f t="shared" si="54"/>
        <v>0</v>
      </c>
      <c r="X62" s="17">
        <f t="shared" si="55"/>
        <v>0</v>
      </c>
      <c r="Y62" s="18">
        <f>SUM(W62:X62)</f>
        <v>0</v>
      </c>
      <c r="Z62" s="19">
        <f t="shared" ref="Z62:Z65" si="59">IF(Y$65=0,0,Y62/Y$65)</f>
        <v>0</v>
      </c>
      <c r="AA62" s="91"/>
      <c r="AB62" s="91"/>
      <c r="AC62" s="84"/>
      <c r="AE62" s="111"/>
      <c r="AF62" s="111"/>
      <c r="AG62" s="111"/>
      <c r="AH62" s="545"/>
      <c r="AI62" s="131"/>
      <c r="AK62" s="111"/>
      <c r="AL62" s="111"/>
      <c r="AM62" s="111"/>
      <c r="AN62" s="545"/>
      <c r="AO62" s="131"/>
      <c r="AQ62" s="17"/>
      <c r="AR62" s="17"/>
      <c r="AS62" s="17"/>
      <c r="AT62" s="18">
        <f t="shared" ref="AT62:AT64" si="60">W62</f>
        <v>0</v>
      </c>
      <c r="AU62" s="19">
        <f t="shared" ref="AU62:AU65" si="61">IF(AT$65=0,0,AT62/AT$65)</f>
        <v>0</v>
      </c>
      <c r="AW62" s="17"/>
      <c r="AX62" s="17"/>
      <c r="AY62" s="17"/>
      <c r="AZ62" s="424">
        <f t="shared" ref="AZ62:AZ64" si="62">X62</f>
        <v>0</v>
      </c>
      <c r="BA62" s="91">
        <f>IF(AZ$65=0,0,AZ62/AZ$65)</f>
        <v>0</v>
      </c>
    </row>
    <row r="63" spans="1:53" s="117" customFormat="1" ht="17.100000000000001" customHeight="1" x14ac:dyDescent="0.25">
      <c r="A63" s="540"/>
      <c r="B63" s="23"/>
      <c r="C63" s="23"/>
      <c r="D63" s="74" t="s">
        <v>38</v>
      </c>
      <c r="E63" s="75" t="s">
        <v>30</v>
      </c>
      <c r="F63" s="75"/>
      <c r="G63" s="75"/>
      <c r="H63" s="23"/>
      <c r="I63" s="229"/>
      <c r="J63" s="152"/>
      <c r="K63" s="152"/>
      <c r="L63" s="111"/>
      <c r="M63" s="111"/>
      <c r="N63" s="60"/>
      <c r="O63" s="60">
        <v>2</v>
      </c>
      <c r="P63" s="593">
        <f t="shared" si="56"/>
        <v>2</v>
      </c>
      <c r="Q63" s="60"/>
      <c r="R63" s="60"/>
      <c r="S63" s="593">
        <f t="shared" si="57"/>
        <v>0</v>
      </c>
      <c r="T63" s="60"/>
      <c r="U63" s="60"/>
      <c r="V63" s="593">
        <f t="shared" si="58"/>
        <v>0</v>
      </c>
      <c r="W63" s="391">
        <f t="shared" si="54"/>
        <v>0</v>
      </c>
      <c r="X63" s="17">
        <f t="shared" si="55"/>
        <v>2</v>
      </c>
      <c r="Y63" s="18">
        <f>SUM(W63:X63)</f>
        <v>2</v>
      </c>
      <c r="Z63" s="19">
        <f t="shared" si="59"/>
        <v>0.4</v>
      </c>
      <c r="AA63" s="91"/>
      <c r="AB63" s="91"/>
      <c r="AC63" s="84"/>
      <c r="AE63" s="111"/>
      <c r="AF63" s="111"/>
      <c r="AG63" s="111"/>
      <c r="AH63" s="545"/>
      <c r="AI63" s="131"/>
      <c r="AK63" s="111"/>
      <c r="AL63" s="111"/>
      <c r="AM63" s="111"/>
      <c r="AN63" s="545"/>
      <c r="AO63" s="131"/>
      <c r="AQ63" s="17"/>
      <c r="AR63" s="17"/>
      <c r="AS63" s="17"/>
      <c r="AT63" s="18">
        <f t="shared" si="60"/>
        <v>0</v>
      </c>
      <c r="AU63" s="19">
        <f t="shared" si="61"/>
        <v>0</v>
      </c>
      <c r="AW63" s="17"/>
      <c r="AX63" s="17"/>
      <c r="AY63" s="17"/>
      <c r="AZ63" s="424">
        <f t="shared" si="62"/>
        <v>2</v>
      </c>
      <c r="BA63" s="91">
        <f>IF(AZ$65=0,0,AZ63/AZ$65)</f>
        <v>0.66666666666666663</v>
      </c>
    </row>
    <row r="64" spans="1:53" s="117" customFormat="1" ht="17.100000000000001" customHeight="1" x14ac:dyDescent="0.25">
      <c r="A64" s="540"/>
      <c r="B64" s="23"/>
      <c r="C64" s="23"/>
      <c r="D64" s="74" t="s">
        <v>40</v>
      </c>
      <c r="E64" s="75" t="s">
        <v>32</v>
      </c>
      <c r="F64" s="75"/>
      <c r="G64" s="75"/>
      <c r="H64" s="23"/>
      <c r="I64" s="229"/>
      <c r="J64" s="152"/>
      <c r="K64" s="152"/>
      <c r="L64" s="111"/>
      <c r="M64" s="111"/>
      <c r="N64" s="61"/>
      <c r="O64" s="61"/>
      <c r="P64" s="593">
        <f t="shared" si="56"/>
        <v>0</v>
      </c>
      <c r="Q64" s="61"/>
      <c r="R64" s="61"/>
      <c r="S64" s="593">
        <f t="shared" si="57"/>
        <v>0</v>
      </c>
      <c r="T64" s="61"/>
      <c r="U64" s="61"/>
      <c r="V64" s="593">
        <f t="shared" si="58"/>
        <v>0</v>
      </c>
      <c r="W64" s="391">
        <f t="shared" si="54"/>
        <v>0</v>
      </c>
      <c r="X64" s="17">
        <f t="shared" si="55"/>
        <v>0</v>
      </c>
      <c r="Y64" s="18">
        <f>SUM(W64:X64)</f>
        <v>0</v>
      </c>
      <c r="Z64" s="19">
        <f t="shared" si="59"/>
        <v>0</v>
      </c>
      <c r="AA64" s="91"/>
      <c r="AB64" s="91"/>
      <c r="AC64" s="84"/>
      <c r="AE64" s="111"/>
      <c r="AF64" s="111"/>
      <c r="AG64" s="111"/>
      <c r="AH64" s="545"/>
      <c r="AI64" s="131"/>
      <c r="AK64" s="111"/>
      <c r="AL64" s="111"/>
      <c r="AM64" s="111"/>
      <c r="AN64" s="545"/>
      <c r="AO64" s="131"/>
      <c r="AQ64" s="17"/>
      <c r="AR64" s="17"/>
      <c r="AS64" s="17"/>
      <c r="AT64" s="18">
        <f t="shared" si="60"/>
        <v>0</v>
      </c>
      <c r="AU64" s="19">
        <f t="shared" si="61"/>
        <v>0</v>
      </c>
      <c r="AW64" s="17"/>
      <c r="AX64" s="17"/>
      <c r="AY64" s="17"/>
      <c r="AZ64" s="424">
        <f t="shared" si="62"/>
        <v>0</v>
      </c>
      <c r="BA64" s="91">
        <f>IF(AZ$65=0,0,AZ64/AZ$65)</f>
        <v>0</v>
      </c>
    </row>
    <row r="65" spans="1:53" s="117" customFormat="1" ht="17.100000000000001" customHeight="1" x14ac:dyDescent="0.25">
      <c r="A65" s="40"/>
      <c r="B65" s="40"/>
      <c r="C65" s="77"/>
      <c r="D65" s="78"/>
      <c r="E65" s="78"/>
      <c r="F65" s="78"/>
      <c r="G65" s="78"/>
      <c r="H65" s="316"/>
      <c r="I65" s="230"/>
      <c r="J65" s="80"/>
      <c r="K65" s="64"/>
      <c r="L65" s="81"/>
      <c r="M65" s="81"/>
      <c r="N65" s="81">
        <f>SUM(N61:N64)</f>
        <v>2</v>
      </c>
      <c r="O65" s="81">
        <f t="shared" ref="O65:Y65" si="63">SUM(O61:O64)</f>
        <v>3</v>
      </c>
      <c r="P65" s="81">
        <f t="shared" si="63"/>
        <v>5</v>
      </c>
      <c r="Q65" s="81">
        <f t="shared" si="63"/>
        <v>0</v>
      </c>
      <c r="R65" s="81">
        <f t="shared" si="63"/>
        <v>0</v>
      </c>
      <c r="S65" s="81">
        <f t="shared" si="63"/>
        <v>0</v>
      </c>
      <c r="T65" s="81">
        <f t="shared" si="63"/>
        <v>0</v>
      </c>
      <c r="U65" s="81">
        <f t="shared" si="63"/>
        <v>0</v>
      </c>
      <c r="V65" s="81">
        <f t="shared" si="63"/>
        <v>0</v>
      </c>
      <c r="W65" s="381">
        <f t="shared" si="63"/>
        <v>2</v>
      </c>
      <c r="X65" s="82">
        <f t="shared" si="63"/>
        <v>3</v>
      </c>
      <c r="Y65" s="82">
        <f t="shared" si="63"/>
        <v>5</v>
      </c>
      <c r="Z65" s="205">
        <f t="shared" si="59"/>
        <v>1</v>
      </c>
      <c r="AA65" s="205"/>
      <c r="AB65" s="205"/>
      <c r="AC65" s="83"/>
      <c r="AE65" s="81"/>
      <c r="AF65" s="81"/>
      <c r="AG65" s="81"/>
      <c r="AH65" s="82"/>
      <c r="AI65" s="66"/>
      <c r="AJ65" s="3"/>
      <c r="AK65" s="81"/>
      <c r="AL65" s="81"/>
      <c r="AM65" s="81"/>
      <c r="AN65" s="82"/>
      <c r="AO65" s="66"/>
      <c r="AP65" s="3"/>
      <c r="AQ65" s="81"/>
      <c r="AR65" s="81"/>
      <c r="AS65" s="81"/>
      <c r="AT65" s="82">
        <f>SUM(AT61:AT64)</f>
        <v>2</v>
      </c>
      <c r="AU65" s="66">
        <f t="shared" si="61"/>
        <v>1</v>
      </c>
      <c r="AV65" s="3"/>
      <c r="AW65" s="81"/>
      <c r="AX65" s="81"/>
      <c r="AY65" s="81"/>
      <c r="AZ65" s="82">
        <f>SUM(AZ61:AZ64)</f>
        <v>3</v>
      </c>
      <c r="BA65" s="66">
        <f>IF(AZ$65=0,0,AZ65/AZ$65)</f>
        <v>1</v>
      </c>
    </row>
    <row r="66" spans="1:53" s="117" customFormat="1" ht="17.100000000000001" customHeight="1" x14ac:dyDescent="0.25">
      <c r="A66" s="119"/>
      <c r="B66" s="119"/>
      <c r="C66" s="540"/>
      <c r="D66" s="212"/>
      <c r="E66" s="212"/>
      <c r="F66" s="212"/>
      <c r="G66" s="212"/>
      <c r="H66" s="242"/>
      <c r="I66" s="230"/>
      <c r="J66" s="17"/>
      <c r="K66" s="17"/>
      <c r="L66" s="17"/>
      <c r="M66" s="17"/>
      <c r="N66" s="17" t="str">
        <f>IF(N65=N$20,"OK","NOK")</f>
        <v>OK</v>
      </c>
      <c r="O66" s="17" t="str">
        <f>IF(O65=O$20,"OK","NOK")</f>
        <v>OK</v>
      </c>
      <c r="P66" s="17"/>
      <c r="Q66" s="17" t="str">
        <f>IF(Q65=Q$20,"OK","NOK")</f>
        <v>OK</v>
      </c>
      <c r="R66" s="17" t="str">
        <f>IF(R65=R$20,"OK","NOK")</f>
        <v>OK</v>
      </c>
      <c r="S66" s="17"/>
      <c r="T66" s="17" t="str">
        <f>IF(T65=T$20,"OK","NOK")</f>
        <v>OK</v>
      </c>
      <c r="U66" s="17" t="str">
        <f>IF(U65=U$20,"OK","NOK")</f>
        <v>OK</v>
      </c>
      <c r="V66" s="359"/>
      <c r="W66" s="382"/>
      <c r="X66" s="539"/>
      <c r="Y66" s="539"/>
      <c r="Z66" s="201"/>
      <c r="AA66" s="201"/>
      <c r="AB66" s="201"/>
      <c r="AC66" s="84"/>
      <c r="AE66" s="17"/>
      <c r="AF66" s="17"/>
      <c r="AG66" s="17"/>
      <c r="AH66" s="539"/>
      <c r="AI66" s="91"/>
      <c r="AK66" s="17"/>
      <c r="AL66" s="17"/>
      <c r="AM66" s="17"/>
      <c r="AN66" s="539"/>
      <c r="AO66" s="91"/>
      <c r="AQ66" s="17"/>
      <c r="AR66" s="17"/>
      <c r="AS66" s="17"/>
      <c r="AT66" s="539"/>
      <c r="AU66" s="91"/>
      <c r="AW66" s="17"/>
      <c r="AX66" s="17"/>
      <c r="AY66" s="17"/>
      <c r="AZ66" s="17"/>
      <c r="BA66" s="91"/>
    </row>
    <row r="67" spans="1:53" ht="17.100000000000001" customHeight="1" x14ac:dyDescent="0.25">
      <c r="A67" s="102"/>
      <c r="B67" s="23"/>
      <c r="C67" s="103" t="s">
        <v>393</v>
      </c>
      <c r="D67" s="110" t="s">
        <v>737</v>
      </c>
      <c r="E67" s="313"/>
      <c r="F67" s="313"/>
      <c r="G67" s="313"/>
      <c r="H67" s="313"/>
      <c r="I67" s="313"/>
      <c r="J67" s="314"/>
      <c r="K67" s="111"/>
      <c r="L67" s="111"/>
      <c r="M67" s="111"/>
      <c r="N67" s="111"/>
      <c r="O67" s="111"/>
      <c r="P67" s="111"/>
      <c r="Q67" s="111"/>
      <c r="R67" s="111"/>
      <c r="S67" s="111"/>
      <c r="T67" s="111"/>
      <c r="U67" s="111"/>
      <c r="V67" s="111"/>
      <c r="W67" s="111"/>
      <c r="X67" s="111"/>
      <c r="Y67" s="111"/>
      <c r="Z67" s="113"/>
      <c r="AA67" s="113"/>
      <c r="AB67" s="113"/>
      <c r="AC67" s="113"/>
      <c r="AE67" s="114"/>
      <c r="AF67" s="114"/>
      <c r="AG67" s="114"/>
      <c r="AH67" s="112"/>
      <c r="AI67" s="113"/>
      <c r="AK67" s="114"/>
      <c r="AL67" s="114"/>
      <c r="AM67" s="114"/>
      <c r="AN67" s="112"/>
      <c r="AO67" s="113"/>
      <c r="AQ67" s="114"/>
      <c r="AR67" s="114"/>
      <c r="AS67" s="114"/>
      <c r="AT67" s="112"/>
      <c r="AU67" s="113"/>
      <c r="AW67" s="114"/>
      <c r="AX67" s="114"/>
      <c r="AY67" s="114"/>
      <c r="AZ67" s="114"/>
      <c r="BA67" s="113"/>
    </row>
    <row r="68" spans="1:53" ht="17.100000000000001" customHeight="1" x14ac:dyDescent="0.25">
      <c r="A68" s="102"/>
      <c r="B68" s="118"/>
      <c r="C68" s="118"/>
      <c r="D68" s="103" t="s">
        <v>394</v>
      </c>
      <c r="E68" s="108" t="s">
        <v>35</v>
      </c>
      <c r="F68" s="108"/>
      <c r="G68" s="108"/>
      <c r="H68" s="315"/>
      <c r="I68" s="232"/>
      <c r="J68" s="152"/>
      <c r="K68" s="152"/>
      <c r="L68" s="111"/>
      <c r="M68" s="111"/>
      <c r="N68" s="60"/>
      <c r="O68" s="60"/>
      <c r="P68" s="593">
        <f t="shared" ref="P68:P72" si="64">SUM(N68:O68)</f>
        <v>0</v>
      </c>
      <c r="Q68" s="60"/>
      <c r="R68" s="60"/>
      <c r="S68" s="593">
        <f t="shared" ref="S68:S72" si="65">SUM(Q68:R68)</f>
        <v>0</v>
      </c>
      <c r="T68" s="60"/>
      <c r="U68" s="60"/>
      <c r="V68" s="593">
        <f t="shared" ref="V68:V72" si="66">SUM(T68:U68)</f>
        <v>0</v>
      </c>
      <c r="W68" s="391">
        <f t="shared" ref="W68:W72" si="67">J68+K68+N68+Q68+T68</f>
        <v>0</v>
      </c>
      <c r="X68" s="17">
        <f t="shared" ref="X68:X72" si="68">L68+O68+R68+U68</f>
        <v>0</v>
      </c>
      <c r="Y68" s="18">
        <f>SUM(W68:X68)</f>
        <v>0</v>
      </c>
      <c r="Z68" s="19">
        <f>IF(Y$73=0,0,Y68/Y$73)</f>
        <v>0</v>
      </c>
      <c r="AA68" s="19"/>
      <c r="AB68" s="19"/>
      <c r="AC68" s="20"/>
      <c r="AE68" s="111"/>
      <c r="AF68" s="111"/>
      <c r="AG68" s="111"/>
      <c r="AH68" s="545"/>
      <c r="AI68" s="131"/>
      <c r="AJ68" s="117"/>
      <c r="AK68" s="111"/>
      <c r="AL68" s="111"/>
      <c r="AM68" s="111"/>
      <c r="AN68" s="545"/>
      <c r="AO68" s="131"/>
      <c r="AQ68" s="17"/>
      <c r="AR68" s="17"/>
      <c r="AS68" s="17"/>
      <c r="AT68" s="18">
        <f t="shared" ref="AT68:AT72" si="69">W68</f>
        <v>0</v>
      </c>
      <c r="AU68" s="19">
        <f>IF(AT$73=0,0,AT68/AT$73)</f>
        <v>0</v>
      </c>
      <c r="AW68" s="17"/>
      <c r="AX68" s="17"/>
      <c r="AY68" s="17"/>
      <c r="AZ68" s="424">
        <f>X68</f>
        <v>0</v>
      </c>
      <c r="BA68" s="19">
        <f t="shared" ref="BA68:BA73" si="70">IF(AZ$73=0,0,AZ68/AZ$73)</f>
        <v>0</v>
      </c>
    </row>
    <row r="69" spans="1:53" ht="17.100000000000001" customHeight="1" x14ac:dyDescent="0.25">
      <c r="A69" s="102"/>
      <c r="B69" s="118"/>
      <c r="C69" s="118"/>
      <c r="D69" s="103" t="s">
        <v>395</v>
      </c>
      <c r="E69" s="108" t="s">
        <v>37</v>
      </c>
      <c r="F69" s="108"/>
      <c r="G69" s="108"/>
      <c r="H69" s="315"/>
      <c r="I69" s="232"/>
      <c r="J69" s="152"/>
      <c r="K69" s="152"/>
      <c r="L69" s="111"/>
      <c r="M69" s="111"/>
      <c r="N69" s="61">
        <v>2</v>
      </c>
      <c r="O69" s="61">
        <v>3</v>
      </c>
      <c r="P69" s="593">
        <f t="shared" si="64"/>
        <v>5</v>
      </c>
      <c r="Q69" s="61"/>
      <c r="R69" s="61"/>
      <c r="S69" s="593">
        <f t="shared" si="65"/>
        <v>0</v>
      </c>
      <c r="T69" s="61"/>
      <c r="U69" s="61"/>
      <c r="V69" s="593">
        <f t="shared" si="66"/>
        <v>0</v>
      </c>
      <c r="W69" s="391">
        <f t="shared" si="67"/>
        <v>2</v>
      </c>
      <c r="X69" s="17">
        <f t="shared" si="68"/>
        <v>3</v>
      </c>
      <c r="Y69" s="18">
        <f>SUM(W69:X69)</f>
        <v>5</v>
      </c>
      <c r="Z69" s="19">
        <f t="shared" ref="Z69:Z73" si="71">IF(Y$73=0,0,Y69/Y$73)</f>
        <v>1</v>
      </c>
      <c r="AA69" s="19"/>
      <c r="AB69" s="19"/>
      <c r="AC69" s="20"/>
      <c r="AE69" s="111"/>
      <c r="AF69" s="111"/>
      <c r="AG69" s="111"/>
      <c r="AH69" s="545"/>
      <c r="AI69" s="131"/>
      <c r="AJ69" s="117"/>
      <c r="AK69" s="111"/>
      <c r="AL69" s="111"/>
      <c r="AM69" s="111"/>
      <c r="AN69" s="545"/>
      <c r="AO69" s="131"/>
      <c r="AQ69" s="17"/>
      <c r="AR69" s="17"/>
      <c r="AS69" s="17"/>
      <c r="AT69" s="18">
        <f t="shared" si="69"/>
        <v>2</v>
      </c>
      <c r="AU69" s="19">
        <f t="shared" ref="AU69:AU73" si="72">IF(AT$73=0,0,AT69/AT$73)</f>
        <v>1</v>
      </c>
      <c r="AW69" s="17"/>
      <c r="AX69" s="17"/>
      <c r="AY69" s="17"/>
      <c r="AZ69" s="424">
        <f t="shared" ref="AZ69:AZ72" si="73">X69</f>
        <v>3</v>
      </c>
      <c r="BA69" s="19">
        <f t="shared" si="70"/>
        <v>1</v>
      </c>
    </row>
    <row r="70" spans="1:53" ht="17.100000000000001" customHeight="1" x14ac:dyDescent="0.25">
      <c r="A70" s="102"/>
      <c r="B70" s="118"/>
      <c r="C70" s="118"/>
      <c r="D70" s="103" t="s">
        <v>396</v>
      </c>
      <c r="E70" s="108" t="s">
        <v>39</v>
      </c>
      <c r="F70" s="108"/>
      <c r="G70" s="108"/>
      <c r="H70" s="315"/>
      <c r="I70" s="232"/>
      <c r="J70" s="152"/>
      <c r="K70" s="152"/>
      <c r="L70" s="111"/>
      <c r="M70" s="111"/>
      <c r="N70" s="60"/>
      <c r="O70" s="60"/>
      <c r="P70" s="593">
        <f t="shared" si="64"/>
        <v>0</v>
      </c>
      <c r="Q70" s="60"/>
      <c r="R70" s="60"/>
      <c r="S70" s="593">
        <f t="shared" si="65"/>
        <v>0</v>
      </c>
      <c r="T70" s="60"/>
      <c r="U70" s="60"/>
      <c r="V70" s="593">
        <f t="shared" si="66"/>
        <v>0</v>
      </c>
      <c r="W70" s="391">
        <f t="shared" si="67"/>
        <v>0</v>
      </c>
      <c r="X70" s="17">
        <f t="shared" si="68"/>
        <v>0</v>
      </c>
      <c r="Y70" s="18">
        <f>SUM(W70:X70)</f>
        <v>0</v>
      </c>
      <c r="Z70" s="19">
        <f t="shared" si="71"/>
        <v>0</v>
      </c>
      <c r="AA70" s="19"/>
      <c r="AB70" s="19"/>
      <c r="AC70" s="20"/>
      <c r="AE70" s="111"/>
      <c r="AF70" s="111"/>
      <c r="AG70" s="111"/>
      <c r="AH70" s="545"/>
      <c r="AI70" s="131"/>
      <c r="AJ70" s="117"/>
      <c r="AK70" s="111"/>
      <c r="AL70" s="111"/>
      <c r="AM70" s="111"/>
      <c r="AN70" s="545"/>
      <c r="AO70" s="131"/>
      <c r="AQ70" s="17"/>
      <c r="AR70" s="17"/>
      <c r="AS70" s="17"/>
      <c r="AT70" s="18">
        <f t="shared" si="69"/>
        <v>0</v>
      </c>
      <c r="AU70" s="19">
        <f t="shared" si="72"/>
        <v>0</v>
      </c>
      <c r="AW70" s="17"/>
      <c r="AX70" s="17"/>
      <c r="AY70" s="17"/>
      <c r="AZ70" s="424">
        <f t="shared" si="73"/>
        <v>0</v>
      </c>
      <c r="BA70" s="19">
        <f t="shared" si="70"/>
        <v>0</v>
      </c>
    </row>
    <row r="71" spans="1:53" ht="17.100000000000001" customHeight="1" x14ac:dyDescent="0.25">
      <c r="A71" s="102"/>
      <c r="B71" s="118"/>
      <c r="C71" s="118"/>
      <c r="D71" s="103" t="s">
        <v>397</v>
      </c>
      <c r="E71" s="108" t="s">
        <v>41</v>
      </c>
      <c r="F71" s="108"/>
      <c r="G71" s="108"/>
      <c r="H71" s="315"/>
      <c r="I71" s="232"/>
      <c r="J71" s="152"/>
      <c r="K71" s="152"/>
      <c r="L71" s="111"/>
      <c r="M71" s="111"/>
      <c r="N71" s="61"/>
      <c r="O71" s="61"/>
      <c r="P71" s="593">
        <f t="shared" si="64"/>
        <v>0</v>
      </c>
      <c r="Q71" s="61"/>
      <c r="R71" s="61"/>
      <c r="S71" s="593">
        <f t="shared" si="65"/>
        <v>0</v>
      </c>
      <c r="T71" s="61"/>
      <c r="U71" s="61"/>
      <c r="V71" s="593">
        <f t="shared" si="66"/>
        <v>0</v>
      </c>
      <c r="W71" s="391">
        <f t="shared" si="67"/>
        <v>0</v>
      </c>
      <c r="X71" s="17">
        <f t="shared" si="68"/>
        <v>0</v>
      </c>
      <c r="Y71" s="18">
        <f>SUM(W71:X71)</f>
        <v>0</v>
      </c>
      <c r="Z71" s="19">
        <f t="shared" si="71"/>
        <v>0</v>
      </c>
      <c r="AA71" s="19"/>
      <c r="AB71" s="19"/>
      <c r="AC71" s="20"/>
      <c r="AE71" s="111"/>
      <c r="AF71" s="111"/>
      <c r="AG71" s="111"/>
      <c r="AH71" s="545"/>
      <c r="AI71" s="131"/>
      <c r="AJ71" s="117"/>
      <c r="AK71" s="111"/>
      <c r="AL71" s="111"/>
      <c r="AM71" s="111"/>
      <c r="AN71" s="545"/>
      <c r="AO71" s="131"/>
      <c r="AQ71" s="17"/>
      <c r="AR71" s="17"/>
      <c r="AS71" s="17"/>
      <c r="AT71" s="18">
        <f t="shared" si="69"/>
        <v>0</v>
      </c>
      <c r="AU71" s="19">
        <f t="shared" si="72"/>
        <v>0</v>
      </c>
      <c r="AW71" s="17"/>
      <c r="AX71" s="17"/>
      <c r="AY71" s="17"/>
      <c r="AZ71" s="424">
        <f t="shared" si="73"/>
        <v>0</v>
      </c>
      <c r="BA71" s="19">
        <f t="shared" si="70"/>
        <v>0</v>
      </c>
    </row>
    <row r="72" spans="1:53" ht="17.100000000000001" customHeight="1" x14ac:dyDescent="0.25">
      <c r="A72" s="102"/>
      <c r="B72" s="118"/>
      <c r="C72" s="118"/>
      <c r="D72" s="103" t="s">
        <v>398</v>
      </c>
      <c r="E72" s="108" t="s">
        <v>42</v>
      </c>
      <c r="F72" s="108"/>
      <c r="G72" s="108"/>
      <c r="H72" s="315"/>
      <c r="I72" s="232"/>
      <c r="J72" s="174"/>
      <c r="K72" s="174"/>
      <c r="L72" s="111"/>
      <c r="M72" s="111"/>
      <c r="N72" s="60"/>
      <c r="O72" s="60"/>
      <c r="P72" s="593">
        <f t="shared" si="64"/>
        <v>0</v>
      </c>
      <c r="Q72" s="60"/>
      <c r="R72" s="60"/>
      <c r="S72" s="593">
        <f t="shared" si="65"/>
        <v>0</v>
      </c>
      <c r="T72" s="60"/>
      <c r="U72" s="60"/>
      <c r="V72" s="593">
        <f t="shared" si="66"/>
        <v>0</v>
      </c>
      <c r="W72" s="391">
        <f t="shared" si="67"/>
        <v>0</v>
      </c>
      <c r="X72" s="17">
        <f t="shared" si="68"/>
        <v>0</v>
      </c>
      <c r="Y72" s="18">
        <f>SUM(W72:X72)</f>
        <v>0</v>
      </c>
      <c r="Z72" s="19">
        <f t="shared" si="71"/>
        <v>0</v>
      </c>
      <c r="AA72" s="19"/>
      <c r="AB72" s="19"/>
      <c r="AC72" s="20"/>
      <c r="AE72" s="111"/>
      <c r="AF72" s="111"/>
      <c r="AG72" s="111"/>
      <c r="AH72" s="545"/>
      <c r="AI72" s="131"/>
      <c r="AJ72" s="117"/>
      <c r="AK72" s="111"/>
      <c r="AL72" s="111"/>
      <c r="AM72" s="111"/>
      <c r="AN72" s="545"/>
      <c r="AO72" s="131"/>
      <c r="AQ72" s="17"/>
      <c r="AR72" s="17"/>
      <c r="AS72" s="17"/>
      <c r="AT72" s="18">
        <f t="shared" si="69"/>
        <v>0</v>
      </c>
      <c r="AU72" s="19">
        <f t="shared" si="72"/>
        <v>0</v>
      </c>
      <c r="AW72" s="17"/>
      <c r="AX72" s="17"/>
      <c r="AY72" s="17"/>
      <c r="AZ72" s="424">
        <f t="shared" si="73"/>
        <v>0</v>
      </c>
      <c r="BA72" s="19">
        <f t="shared" si="70"/>
        <v>0</v>
      </c>
    </row>
    <row r="73" spans="1:53" ht="17.100000000000001" customHeight="1" x14ac:dyDescent="0.25">
      <c r="A73" s="40"/>
      <c r="B73" s="40"/>
      <c r="C73" s="77"/>
      <c r="D73" s="78"/>
      <c r="E73" s="78"/>
      <c r="F73" s="78"/>
      <c r="G73" s="78"/>
      <c r="H73" s="316"/>
      <c r="I73" s="230"/>
      <c r="J73" s="80"/>
      <c r="K73" s="80"/>
      <c r="L73" s="80"/>
      <c r="M73" s="80"/>
      <c r="N73" s="80">
        <f>SUM(N68:N72)</f>
        <v>2</v>
      </c>
      <c r="O73" s="80">
        <f t="shared" ref="O73:V73" si="74">SUM(O68:O72)</f>
        <v>3</v>
      </c>
      <c r="P73" s="80">
        <f t="shared" si="74"/>
        <v>5</v>
      </c>
      <c r="Q73" s="80">
        <f t="shared" si="74"/>
        <v>0</v>
      </c>
      <c r="R73" s="80">
        <f t="shared" si="74"/>
        <v>0</v>
      </c>
      <c r="S73" s="80">
        <f t="shared" si="74"/>
        <v>0</v>
      </c>
      <c r="T73" s="80">
        <f t="shared" si="74"/>
        <v>0</v>
      </c>
      <c r="U73" s="80">
        <f t="shared" si="74"/>
        <v>0</v>
      </c>
      <c r="V73" s="80">
        <f t="shared" si="74"/>
        <v>0</v>
      </c>
      <c r="W73" s="381">
        <f t="shared" ref="W73:X73" si="75">SUM(W68:W72)</f>
        <v>2</v>
      </c>
      <c r="X73" s="82">
        <f t="shared" si="75"/>
        <v>3</v>
      </c>
      <c r="Y73" s="82">
        <f>SUM(Y68:Y72)</f>
        <v>5</v>
      </c>
      <c r="Z73" s="205">
        <f t="shared" si="71"/>
        <v>1</v>
      </c>
      <c r="AA73" s="205"/>
      <c r="AB73" s="205"/>
      <c r="AC73" s="83"/>
      <c r="AE73" s="81"/>
      <c r="AF73" s="81"/>
      <c r="AG73" s="81"/>
      <c r="AH73" s="82"/>
      <c r="AI73" s="66"/>
      <c r="AK73" s="81"/>
      <c r="AL73" s="81"/>
      <c r="AM73" s="81"/>
      <c r="AN73" s="82"/>
      <c r="AO73" s="66"/>
      <c r="AQ73" s="81"/>
      <c r="AR73" s="81"/>
      <c r="AS73" s="81"/>
      <c r="AT73" s="82">
        <f>SUM(AT68:AT72)</f>
        <v>2</v>
      </c>
      <c r="AU73" s="66">
        <f t="shared" si="72"/>
        <v>1</v>
      </c>
      <c r="AW73" s="81"/>
      <c r="AX73" s="81"/>
      <c r="AY73" s="81"/>
      <c r="AZ73" s="82">
        <f>SUM(AZ68:AZ72)</f>
        <v>3</v>
      </c>
      <c r="BA73" s="66">
        <f t="shared" si="70"/>
        <v>1</v>
      </c>
    </row>
    <row r="74" spans="1:53" s="117" customFormat="1" ht="17.100000000000001" customHeight="1" x14ac:dyDescent="0.25">
      <c r="A74" s="119"/>
      <c r="B74" s="119"/>
      <c r="C74" s="540"/>
      <c r="D74" s="212"/>
      <c r="E74" s="212"/>
      <c r="F74" s="212"/>
      <c r="G74" s="212"/>
      <c r="H74" s="242"/>
      <c r="I74" s="230"/>
      <c r="J74" s="17"/>
      <c r="K74" s="17"/>
      <c r="L74" s="17"/>
      <c r="M74" s="17"/>
      <c r="N74" s="17" t="str">
        <f>IF(N73=N$20,"OK","NOK")</f>
        <v>OK</v>
      </c>
      <c r="O74" s="17" t="str">
        <f>IF(O73=O$20,"OK","NOK")</f>
        <v>OK</v>
      </c>
      <c r="P74" s="17"/>
      <c r="Q74" s="17" t="str">
        <f>IF(Q73=Q$20,"OK","NOK")</f>
        <v>OK</v>
      </c>
      <c r="R74" s="17" t="str">
        <f>IF(R73=R$20,"OK","NOK")</f>
        <v>OK</v>
      </c>
      <c r="S74" s="17"/>
      <c r="T74" s="17" t="str">
        <f>IF(T73=T$20,"OK","NOK")</f>
        <v>OK</v>
      </c>
      <c r="U74" s="17" t="str">
        <f>IF(U73=U$20,"OK","NOK")</f>
        <v>OK</v>
      </c>
      <c r="V74" s="359"/>
      <c r="W74" s="382"/>
      <c r="X74" s="539"/>
      <c r="Y74" s="539"/>
      <c r="Z74" s="201"/>
      <c r="AA74" s="201"/>
      <c r="AB74" s="201"/>
      <c r="AC74" s="84"/>
      <c r="AE74" s="17"/>
      <c r="AF74" s="17"/>
      <c r="AG74" s="17"/>
      <c r="AH74" s="539"/>
      <c r="AI74" s="91"/>
      <c r="AK74" s="17"/>
      <c r="AL74" s="17"/>
      <c r="AM74" s="17"/>
      <c r="AN74" s="539"/>
      <c r="AO74" s="91"/>
      <c r="AQ74" s="17"/>
      <c r="AR74" s="17"/>
      <c r="AS74" s="17"/>
      <c r="AT74" s="539"/>
      <c r="AU74" s="91"/>
      <c r="AW74" s="17"/>
      <c r="AX74" s="17"/>
      <c r="AY74" s="17"/>
      <c r="AZ74" s="17"/>
      <c r="BA74" s="91"/>
    </row>
    <row r="75" spans="1:53" ht="17.100000000000001" customHeight="1" x14ac:dyDescent="0.25">
      <c r="A75" s="68"/>
      <c r="B75" s="41" t="s">
        <v>43</v>
      </c>
      <c r="C75" s="69" t="s">
        <v>44</v>
      </c>
      <c r="D75" s="50"/>
      <c r="E75" s="70"/>
      <c r="F75" s="70"/>
      <c r="G75" s="70"/>
      <c r="H75" s="119"/>
      <c r="J75" s="71"/>
      <c r="K75" s="71"/>
      <c r="L75" s="71"/>
      <c r="M75" s="71"/>
      <c r="N75" s="71"/>
      <c r="O75" s="71"/>
      <c r="P75" s="71"/>
      <c r="Q75" s="71"/>
      <c r="R75" s="71"/>
      <c r="S75" s="71"/>
      <c r="T75" s="71"/>
      <c r="U75" s="71"/>
      <c r="V75" s="355"/>
      <c r="W75" s="377"/>
      <c r="X75" s="71"/>
      <c r="Y75" s="72"/>
      <c r="Z75" s="73"/>
      <c r="AA75" s="73"/>
      <c r="AB75" s="73"/>
      <c r="AC75" s="73"/>
      <c r="AE75" s="71"/>
      <c r="AF75" s="71"/>
      <c r="AG75" s="71"/>
      <c r="AH75" s="72"/>
      <c r="AI75" s="73"/>
      <c r="AJ75" s="117"/>
      <c r="AK75" s="71"/>
      <c r="AL75" s="71"/>
      <c r="AM75" s="71"/>
      <c r="AN75" s="72"/>
      <c r="AO75" s="73"/>
      <c r="AP75" s="117"/>
      <c r="AQ75" s="71"/>
      <c r="AR75" s="71"/>
      <c r="AS75" s="71"/>
      <c r="AT75" s="72"/>
      <c r="AU75" s="73"/>
      <c r="AV75" s="117"/>
      <c r="AW75" s="71"/>
      <c r="AX75" s="71"/>
      <c r="AY75" s="71"/>
      <c r="AZ75" s="273"/>
      <c r="BA75" s="73"/>
    </row>
    <row r="76" spans="1:53" ht="17.100000000000001" customHeight="1" x14ac:dyDescent="0.25">
      <c r="A76" s="102"/>
      <c r="B76" s="102"/>
      <c r="C76" s="103" t="s">
        <v>45</v>
      </c>
      <c r="D76" s="108" t="s">
        <v>46</v>
      </c>
      <c r="E76" s="108"/>
      <c r="F76" s="108"/>
      <c r="G76" s="108"/>
      <c r="H76" s="258"/>
      <c r="I76" s="232"/>
      <c r="J76" s="111"/>
      <c r="K76" s="111"/>
      <c r="L76" s="111"/>
      <c r="M76" s="111"/>
      <c r="N76" s="111"/>
      <c r="O76" s="111"/>
      <c r="P76" s="111"/>
      <c r="Q76" s="111"/>
      <c r="R76" s="111"/>
      <c r="S76" s="111"/>
      <c r="T76" s="111"/>
      <c r="U76" s="111"/>
      <c r="V76" s="358"/>
      <c r="W76" s="380"/>
      <c r="X76" s="111"/>
      <c r="Y76" s="112"/>
      <c r="Z76" s="113"/>
      <c r="AA76" s="113"/>
      <c r="AB76" s="113"/>
      <c r="AC76" s="113"/>
      <c r="AE76" s="114"/>
      <c r="AF76" s="114"/>
      <c r="AG76" s="114"/>
      <c r="AH76" s="112"/>
      <c r="AI76" s="113"/>
      <c r="AJ76" s="117"/>
      <c r="AK76" s="114"/>
      <c r="AL76" s="114"/>
      <c r="AM76" s="114"/>
      <c r="AN76" s="112"/>
      <c r="AO76" s="113"/>
      <c r="AP76" s="117"/>
      <c r="AQ76" s="114"/>
      <c r="AR76" s="114"/>
      <c r="AS76" s="114"/>
      <c r="AT76" s="112"/>
      <c r="AU76" s="113"/>
      <c r="AV76" s="117"/>
      <c r="AW76" s="114"/>
      <c r="AX76" s="114"/>
      <c r="AY76" s="114"/>
      <c r="AZ76" s="114"/>
      <c r="BA76" s="113"/>
    </row>
    <row r="77" spans="1:53" ht="17.100000000000001" customHeight="1" x14ac:dyDescent="0.25">
      <c r="A77" s="102"/>
      <c r="B77" s="102"/>
      <c r="C77" s="102"/>
      <c r="D77" s="103" t="s">
        <v>47</v>
      </c>
      <c r="E77" s="108" t="s">
        <v>35</v>
      </c>
      <c r="F77" s="108"/>
      <c r="G77" s="108"/>
      <c r="H77" s="258"/>
      <c r="I77" s="232"/>
      <c r="J77" s="152"/>
      <c r="K77" s="152"/>
      <c r="L77" s="111"/>
      <c r="M77" s="111"/>
      <c r="N77" s="152"/>
      <c r="O77" s="111"/>
      <c r="P77" s="60"/>
      <c r="Q77" s="152"/>
      <c r="R77" s="111"/>
      <c r="S77" s="60"/>
      <c r="T77" s="152"/>
      <c r="U77" s="111"/>
      <c r="V77" s="361"/>
      <c r="W77" s="391"/>
      <c r="X77" s="17"/>
      <c r="Y77" s="18">
        <f>M77+P77+S77+V77</f>
        <v>0</v>
      </c>
      <c r="Z77" s="19">
        <f>IF(Y$81=0,0,Y77/Y$81)</f>
        <v>0</v>
      </c>
      <c r="AA77" s="19"/>
      <c r="AB77" s="19"/>
      <c r="AC77" s="20"/>
      <c r="AE77" s="111"/>
      <c r="AF77" s="111"/>
      <c r="AG77" s="111"/>
      <c r="AH77" s="545"/>
      <c r="AI77" s="131"/>
      <c r="AJ77" s="117"/>
      <c r="AK77" s="111"/>
      <c r="AL77" s="111"/>
      <c r="AM77" s="111"/>
      <c r="AN77" s="545"/>
      <c r="AO77" s="131"/>
      <c r="AP77" s="117"/>
      <c r="AQ77" s="111"/>
      <c r="AR77" s="111"/>
      <c r="AS77" s="111"/>
      <c r="AT77" s="545"/>
      <c r="AU77" s="131"/>
      <c r="AV77" s="117"/>
      <c r="AW77" s="111"/>
      <c r="AX77" s="111"/>
      <c r="AY77" s="111"/>
      <c r="AZ77" s="111"/>
      <c r="BA77" s="131"/>
    </row>
    <row r="78" spans="1:53" ht="17.100000000000001" customHeight="1" x14ac:dyDescent="0.25">
      <c r="A78" s="102"/>
      <c r="B78" s="102"/>
      <c r="C78" s="102"/>
      <c r="D78" s="103" t="s">
        <v>48</v>
      </c>
      <c r="E78" s="108" t="s">
        <v>49</v>
      </c>
      <c r="F78" s="108"/>
      <c r="G78" s="108"/>
      <c r="H78" s="258"/>
      <c r="I78" s="232"/>
      <c r="J78" s="152"/>
      <c r="K78" s="152"/>
      <c r="L78" s="111"/>
      <c r="M78" s="111"/>
      <c r="N78" s="152"/>
      <c r="O78" s="111"/>
      <c r="P78" s="61">
        <v>1</v>
      </c>
      <c r="Q78" s="152"/>
      <c r="R78" s="111"/>
      <c r="S78" s="61"/>
      <c r="T78" s="152"/>
      <c r="U78" s="111"/>
      <c r="V78" s="362"/>
      <c r="W78" s="391"/>
      <c r="X78" s="17"/>
      <c r="Y78" s="18">
        <f t="shared" ref="Y78:Y80" si="76">M78+P78+S78+V78</f>
        <v>1</v>
      </c>
      <c r="Z78" s="19">
        <f t="shared" ref="Z78:Z81" si="77">IF(Y$81=0,0,Y78/Y$81)</f>
        <v>1</v>
      </c>
      <c r="AA78" s="19"/>
      <c r="AB78" s="19"/>
      <c r="AC78" s="20"/>
      <c r="AE78" s="111"/>
      <c r="AF78" s="111"/>
      <c r="AG78" s="111"/>
      <c r="AH78" s="545"/>
      <c r="AI78" s="131"/>
      <c r="AJ78" s="117"/>
      <c r="AK78" s="111"/>
      <c r="AL78" s="111"/>
      <c r="AM78" s="111"/>
      <c r="AN78" s="545"/>
      <c r="AO78" s="131"/>
      <c r="AP78" s="117"/>
      <c r="AQ78" s="111"/>
      <c r="AR78" s="111"/>
      <c r="AS78" s="111"/>
      <c r="AT78" s="545"/>
      <c r="AU78" s="131"/>
      <c r="AV78" s="117"/>
      <c r="AW78" s="111"/>
      <c r="AX78" s="111"/>
      <c r="AY78" s="111"/>
      <c r="AZ78" s="111"/>
      <c r="BA78" s="131"/>
    </row>
    <row r="79" spans="1:53" ht="17.100000000000001" customHeight="1" x14ac:dyDescent="0.25">
      <c r="A79" s="102"/>
      <c r="B79" s="102"/>
      <c r="C79" s="102"/>
      <c r="D79" s="103" t="s">
        <v>50</v>
      </c>
      <c r="E79" s="108" t="s">
        <v>51</v>
      </c>
      <c r="F79" s="108"/>
      <c r="G79" s="108"/>
      <c r="H79" s="258"/>
      <c r="I79" s="232"/>
      <c r="J79" s="152"/>
      <c r="K79" s="152"/>
      <c r="L79" s="111"/>
      <c r="M79" s="111"/>
      <c r="N79" s="152"/>
      <c r="O79" s="111"/>
      <c r="P79" s="60"/>
      <c r="Q79" s="152"/>
      <c r="R79" s="111"/>
      <c r="S79" s="60"/>
      <c r="T79" s="152"/>
      <c r="U79" s="111"/>
      <c r="V79" s="361"/>
      <c r="W79" s="391"/>
      <c r="X79" s="17"/>
      <c r="Y79" s="18">
        <f t="shared" si="76"/>
        <v>0</v>
      </c>
      <c r="Z79" s="19">
        <f t="shared" si="77"/>
        <v>0</v>
      </c>
      <c r="AA79" s="19"/>
      <c r="AB79" s="19"/>
      <c r="AC79" s="20"/>
      <c r="AE79" s="111"/>
      <c r="AF79" s="111"/>
      <c r="AG79" s="111"/>
      <c r="AH79" s="545"/>
      <c r="AI79" s="131"/>
      <c r="AJ79" s="117"/>
      <c r="AK79" s="111"/>
      <c r="AL79" s="111"/>
      <c r="AM79" s="111"/>
      <c r="AN79" s="545"/>
      <c r="AO79" s="131"/>
      <c r="AP79" s="117"/>
      <c r="AQ79" s="111"/>
      <c r="AR79" s="111"/>
      <c r="AS79" s="111"/>
      <c r="AT79" s="545"/>
      <c r="AU79" s="131"/>
      <c r="AV79" s="117"/>
      <c r="AW79" s="111"/>
      <c r="AX79" s="111"/>
      <c r="AY79" s="111"/>
      <c r="AZ79" s="111"/>
      <c r="BA79" s="131"/>
    </row>
    <row r="80" spans="1:53" ht="17.100000000000001" customHeight="1" x14ac:dyDescent="0.25">
      <c r="A80" s="102"/>
      <c r="B80" s="102"/>
      <c r="C80" s="102"/>
      <c r="D80" s="103" t="s">
        <v>52</v>
      </c>
      <c r="E80" s="108" t="s">
        <v>53</v>
      </c>
      <c r="F80" s="108"/>
      <c r="G80" s="108"/>
      <c r="H80" s="258"/>
      <c r="I80" s="232"/>
      <c r="J80" s="152"/>
      <c r="K80" s="152"/>
      <c r="L80" s="111"/>
      <c r="M80" s="111"/>
      <c r="N80" s="152"/>
      <c r="O80" s="111"/>
      <c r="P80" s="61"/>
      <c r="Q80" s="152"/>
      <c r="R80" s="111"/>
      <c r="S80" s="61"/>
      <c r="T80" s="152"/>
      <c r="U80" s="111"/>
      <c r="V80" s="362"/>
      <c r="W80" s="391"/>
      <c r="X80" s="17"/>
      <c r="Y80" s="18">
        <f t="shared" si="76"/>
        <v>0</v>
      </c>
      <c r="Z80" s="19">
        <f t="shared" si="77"/>
        <v>0</v>
      </c>
      <c r="AA80" s="19"/>
      <c r="AB80" s="19"/>
      <c r="AC80" s="20"/>
      <c r="AE80" s="111"/>
      <c r="AF80" s="111"/>
      <c r="AG80" s="111"/>
      <c r="AH80" s="545"/>
      <c r="AI80" s="131"/>
      <c r="AJ80" s="117"/>
      <c r="AK80" s="111"/>
      <c r="AL80" s="111"/>
      <c r="AM80" s="111"/>
      <c r="AN80" s="545"/>
      <c r="AO80" s="131"/>
      <c r="AP80" s="117"/>
      <c r="AQ80" s="111"/>
      <c r="AR80" s="111"/>
      <c r="AS80" s="111"/>
      <c r="AT80" s="545"/>
      <c r="AU80" s="131"/>
      <c r="AV80" s="117"/>
      <c r="AW80" s="111"/>
      <c r="AX80" s="111"/>
      <c r="AY80" s="111"/>
      <c r="AZ80" s="111"/>
      <c r="BA80" s="131"/>
    </row>
    <row r="81" spans="1:53" ht="17.100000000000001" customHeight="1" x14ac:dyDescent="0.25">
      <c r="A81" s="40"/>
      <c r="B81" s="40"/>
      <c r="C81" s="77"/>
      <c r="D81" s="78"/>
      <c r="E81" s="78"/>
      <c r="F81" s="78"/>
      <c r="G81" s="78"/>
      <c r="H81" s="242"/>
      <c r="I81" s="230"/>
      <c r="J81" s="80"/>
      <c r="K81" s="80"/>
      <c r="L81" s="81"/>
      <c r="M81" s="81"/>
      <c r="N81" s="81"/>
      <c r="O81" s="81"/>
      <c r="P81" s="82">
        <f>SUM(P77:P80)</f>
        <v>1</v>
      </c>
      <c r="Q81" s="81"/>
      <c r="R81" s="81"/>
      <c r="S81" s="82">
        <f>SUM(S77:S80)</f>
        <v>0</v>
      </c>
      <c r="T81" s="81"/>
      <c r="U81" s="81"/>
      <c r="V81" s="360">
        <f>SUM(V77:V80)</f>
        <v>0</v>
      </c>
      <c r="W81" s="381"/>
      <c r="X81" s="82"/>
      <c r="Y81" s="82">
        <f t="shared" ref="Y81" si="78">SUM(Y77:Y80)</f>
        <v>1</v>
      </c>
      <c r="Z81" s="205">
        <f t="shared" si="77"/>
        <v>1</v>
      </c>
      <c r="AA81" s="205"/>
      <c r="AB81" s="205"/>
      <c r="AC81" s="83"/>
      <c r="AE81" s="81"/>
      <c r="AF81" s="81"/>
      <c r="AG81" s="81"/>
      <c r="AH81" s="82"/>
      <c r="AI81" s="66"/>
      <c r="AJ81" s="117"/>
      <c r="AK81" s="81"/>
      <c r="AL81" s="81"/>
      <c r="AM81" s="81"/>
      <c r="AN81" s="82"/>
      <c r="AO81" s="66"/>
      <c r="AP81" s="117"/>
      <c r="AQ81" s="81"/>
      <c r="AR81" s="81"/>
      <c r="AS81" s="81"/>
      <c r="AT81" s="82"/>
      <c r="AU81" s="66"/>
      <c r="AV81" s="117"/>
      <c r="AW81" s="81"/>
      <c r="AX81" s="81"/>
      <c r="AY81" s="81"/>
      <c r="AZ81" s="81"/>
      <c r="BA81" s="66"/>
    </row>
    <row r="82" spans="1:53" s="117" customFormat="1" ht="17.100000000000001" customHeight="1" x14ac:dyDescent="0.25">
      <c r="A82" s="119"/>
      <c r="B82" s="119"/>
      <c r="C82" s="540"/>
      <c r="D82" s="212"/>
      <c r="E82" s="212"/>
      <c r="F82" s="212"/>
      <c r="G82" s="212"/>
      <c r="H82" s="242"/>
      <c r="I82" s="230"/>
      <c r="J82" s="17"/>
      <c r="K82" s="17"/>
      <c r="L82" s="17"/>
      <c r="M82" s="17"/>
      <c r="N82" s="17"/>
      <c r="O82" s="17"/>
      <c r="P82" s="17" t="str">
        <f>IF(P81=1,"OK","NOK")</f>
        <v>OK</v>
      </c>
      <c r="Q82" s="17"/>
      <c r="R82" s="17"/>
      <c r="S82" s="17" t="str">
        <f>IF(S81=1,"OK","NOK")</f>
        <v>NOK</v>
      </c>
      <c r="T82" s="17"/>
      <c r="U82" s="17"/>
      <c r="V82" s="359" t="str">
        <f>IF(V81=1,"OK","NOK")</f>
        <v>NOK</v>
      </c>
      <c r="W82" s="382"/>
      <c r="X82" s="539"/>
      <c r="Y82" s="539"/>
      <c r="Z82" s="201"/>
      <c r="AA82" s="201"/>
      <c r="AB82" s="201"/>
      <c r="AC82" s="84"/>
      <c r="AE82" s="17"/>
      <c r="AF82" s="17"/>
      <c r="AG82" s="17"/>
      <c r="AH82" s="539"/>
      <c r="AI82" s="91"/>
      <c r="AK82" s="17"/>
      <c r="AL82" s="17"/>
      <c r="AM82" s="17"/>
      <c r="AN82" s="539"/>
      <c r="AO82" s="91"/>
      <c r="AQ82" s="17"/>
      <c r="AR82" s="17"/>
      <c r="AS82" s="17"/>
      <c r="AT82" s="539"/>
      <c r="AU82" s="91"/>
      <c r="AW82" s="17"/>
      <c r="AX82" s="17"/>
      <c r="AY82" s="17"/>
      <c r="AZ82" s="17"/>
      <c r="BA82" s="91"/>
    </row>
    <row r="83" spans="1:53" ht="17.100000000000001" customHeight="1" x14ac:dyDescent="0.25">
      <c r="A83" s="102"/>
      <c r="B83" s="102"/>
      <c r="C83" s="103"/>
      <c r="D83" s="108"/>
      <c r="E83" s="108"/>
      <c r="F83" s="108"/>
      <c r="G83" s="108"/>
      <c r="H83" s="258"/>
      <c r="I83" s="232"/>
      <c r="J83" s="111"/>
      <c r="K83" s="111"/>
      <c r="L83" s="111"/>
      <c r="M83" s="111"/>
      <c r="N83" s="111"/>
      <c r="O83" s="111"/>
      <c r="P83" s="111"/>
      <c r="Q83" s="111"/>
      <c r="R83" s="111"/>
      <c r="S83" s="111"/>
      <c r="T83" s="111"/>
      <c r="U83" s="111"/>
      <c r="V83" s="358"/>
      <c r="W83" s="380"/>
      <c r="X83" s="111"/>
      <c r="Y83" s="112"/>
      <c r="Z83" s="113"/>
      <c r="AA83" s="113"/>
      <c r="AB83" s="113"/>
      <c r="AC83" s="113"/>
      <c r="AE83" s="114"/>
      <c r="AF83" s="114"/>
      <c r="AG83" s="114"/>
      <c r="AH83" s="112"/>
      <c r="AI83" s="113"/>
      <c r="AJ83" s="117"/>
      <c r="AK83" s="114"/>
      <c r="AL83" s="114"/>
      <c r="AM83" s="114"/>
      <c r="AN83" s="112"/>
      <c r="AO83" s="113"/>
      <c r="AP83" s="117"/>
      <c r="AQ83" s="114"/>
      <c r="AR83" s="114"/>
      <c r="AS83" s="114"/>
      <c r="AT83" s="112"/>
      <c r="AU83" s="113"/>
      <c r="AV83" s="117"/>
      <c r="AW83" s="114"/>
      <c r="AX83" s="114"/>
      <c r="AY83" s="114"/>
      <c r="AZ83" s="114"/>
      <c r="BA83" s="113"/>
    </row>
    <row r="84" spans="1:53" ht="17.100000000000001" customHeight="1" x14ac:dyDescent="0.25">
      <c r="A84" s="102"/>
      <c r="B84" s="118"/>
      <c r="C84" s="118"/>
      <c r="D84" s="103"/>
      <c r="E84" s="108"/>
      <c r="F84" s="108"/>
      <c r="G84" s="108"/>
      <c r="H84" s="258"/>
      <c r="I84" s="232"/>
      <c r="J84" s="152"/>
      <c r="K84" s="152"/>
      <c r="L84" s="111"/>
      <c r="M84" s="111"/>
      <c r="N84" s="152"/>
      <c r="O84" s="111"/>
      <c r="P84" s="587"/>
      <c r="Q84" s="152"/>
      <c r="R84" s="111"/>
      <c r="S84" s="587"/>
      <c r="T84" s="152"/>
      <c r="U84" s="111"/>
      <c r="V84" s="590"/>
      <c r="W84" s="391"/>
      <c r="X84" s="17"/>
      <c r="Y84" s="18"/>
      <c r="Z84" s="19"/>
      <c r="AA84" s="19"/>
      <c r="AB84" s="19"/>
      <c r="AC84" s="20"/>
      <c r="AE84" s="111"/>
      <c r="AF84" s="111"/>
      <c r="AG84" s="111"/>
      <c r="AH84" s="545"/>
      <c r="AI84" s="131"/>
      <c r="AJ84" s="117"/>
      <c r="AK84" s="111"/>
      <c r="AL84" s="111"/>
      <c r="AM84" s="111"/>
      <c r="AN84" s="545"/>
      <c r="AO84" s="131"/>
      <c r="AP84" s="117"/>
      <c r="AQ84" s="111"/>
      <c r="AR84" s="111"/>
      <c r="AS84" s="111"/>
      <c r="AT84" s="545"/>
      <c r="AU84" s="131"/>
      <c r="AV84" s="117"/>
      <c r="AW84" s="111"/>
      <c r="AX84" s="111"/>
      <c r="AY84" s="111"/>
      <c r="AZ84" s="111"/>
      <c r="BA84" s="131"/>
    </row>
    <row r="85" spans="1:53" ht="17.100000000000001" customHeight="1" x14ac:dyDescent="0.25">
      <c r="A85" s="102"/>
      <c r="B85" s="118"/>
      <c r="C85" s="118"/>
      <c r="D85" s="103"/>
      <c r="E85" s="108"/>
      <c r="F85" s="108"/>
      <c r="G85" s="108"/>
      <c r="H85" s="258"/>
      <c r="I85" s="232"/>
      <c r="J85" s="152"/>
      <c r="K85" s="152"/>
      <c r="L85" s="111"/>
      <c r="M85" s="111"/>
      <c r="N85" s="152"/>
      <c r="O85" s="111"/>
      <c r="P85" s="588"/>
      <c r="Q85" s="152"/>
      <c r="R85" s="111"/>
      <c r="S85" s="588"/>
      <c r="T85" s="152"/>
      <c r="U85" s="111"/>
      <c r="V85" s="591"/>
      <c r="W85" s="391"/>
      <c r="X85" s="17"/>
      <c r="Y85" s="18"/>
      <c r="Z85" s="19"/>
      <c r="AA85" s="19"/>
      <c r="AB85" s="19"/>
      <c r="AC85" s="20"/>
      <c r="AE85" s="111"/>
      <c r="AF85" s="111"/>
      <c r="AG85" s="111"/>
      <c r="AH85" s="545"/>
      <c r="AI85" s="131"/>
      <c r="AJ85" s="117"/>
      <c r="AK85" s="111"/>
      <c r="AL85" s="111"/>
      <c r="AM85" s="111"/>
      <c r="AN85" s="545"/>
      <c r="AO85" s="131"/>
      <c r="AP85" s="117"/>
      <c r="AQ85" s="111"/>
      <c r="AR85" s="111"/>
      <c r="AS85" s="111"/>
      <c r="AT85" s="545"/>
      <c r="AU85" s="131"/>
      <c r="AV85" s="117"/>
      <c r="AW85" s="111"/>
      <c r="AX85" s="111"/>
      <c r="AY85" s="111"/>
      <c r="AZ85" s="111"/>
      <c r="BA85" s="131"/>
    </row>
    <row r="86" spans="1:53" ht="17.100000000000001" customHeight="1" x14ac:dyDescent="0.25">
      <c r="A86" s="102"/>
      <c r="B86" s="118"/>
      <c r="C86" s="118"/>
      <c r="D86" s="103"/>
      <c r="E86" s="108"/>
      <c r="F86" s="108"/>
      <c r="G86" s="108"/>
      <c r="H86" s="258"/>
      <c r="I86" s="232"/>
      <c r="J86" s="152"/>
      <c r="K86" s="152"/>
      <c r="L86" s="111"/>
      <c r="M86" s="111"/>
      <c r="N86" s="152"/>
      <c r="O86" s="111"/>
      <c r="P86" s="587"/>
      <c r="Q86" s="152"/>
      <c r="R86" s="111"/>
      <c r="S86" s="587"/>
      <c r="T86" s="152"/>
      <c r="U86" s="111"/>
      <c r="V86" s="590"/>
      <c r="W86" s="391"/>
      <c r="X86" s="17"/>
      <c r="Y86" s="18"/>
      <c r="Z86" s="19"/>
      <c r="AA86" s="19"/>
      <c r="AB86" s="19"/>
      <c r="AC86" s="20"/>
      <c r="AE86" s="111"/>
      <c r="AF86" s="111"/>
      <c r="AG86" s="111"/>
      <c r="AH86" s="545"/>
      <c r="AI86" s="131"/>
      <c r="AJ86" s="117"/>
      <c r="AK86" s="111"/>
      <c r="AL86" s="111"/>
      <c r="AM86" s="111"/>
      <c r="AN86" s="545"/>
      <c r="AO86" s="131"/>
      <c r="AP86" s="117"/>
      <c r="AQ86" s="111"/>
      <c r="AR86" s="111"/>
      <c r="AS86" s="111"/>
      <c r="AT86" s="545"/>
      <c r="AU86" s="131"/>
      <c r="AV86" s="117"/>
      <c r="AW86" s="111"/>
      <c r="AX86" s="111"/>
      <c r="AY86" s="111"/>
      <c r="AZ86" s="111"/>
      <c r="BA86" s="131"/>
    </row>
    <row r="87" spans="1:53" ht="17.100000000000001" customHeight="1" x14ac:dyDescent="0.25">
      <c r="A87" s="102"/>
      <c r="B87" s="118"/>
      <c r="C87" s="118"/>
      <c r="D87" s="103"/>
      <c r="E87" s="108"/>
      <c r="F87" s="108"/>
      <c r="G87" s="108"/>
      <c r="H87" s="258"/>
      <c r="I87" s="232"/>
      <c r="J87" s="152"/>
      <c r="K87" s="152"/>
      <c r="L87" s="111"/>
      <c r="M87" s="111"/>
      <c r="N87" s="152"/>
      <c r="O87" s="111"/>
      <c r="P87" s="588"/>
      <c r="Q87" s="152"/>
      <c r="R87" s="111"/>
      <c r="S87" s="588"/>
      <c r="T87" s="152"/>
      <c r="U87" s="111"/>
      <c r="V87" s="591"/>
      <c r="W87" s="391"/>
      <c r="X87" s="17"/>
      <c r="Y87" s="18"/>
      <c r="Z87" s="19"/>
      <c r="AA87" s="19"/>
      <c r="AB87" s="19"/>
      <c r="AC87" s="20"/>
      <c r="AE87" s="111"/>
      <c r="AF87" s="111"/>
      <c r="AG87" s="111"/>
      <c r="AH87" s="545"/>
      <c r="AI87" s="131"/>
      <c r="AJ87" s="117"/>
      <c r="AK87" s="111"/>
      <c r="AL87" s="111"/>
      <c r="AM87" s="111"/>
      <c r="AN87" s="545"/>
      <c r="AO87" s="131"/>
      <c r="AP87" s="117"/>
      <c r="AQ87" s="111"/>
      <c r="AR87" s="111"/>
      <c r="AS87" s="111"/>
      <c r="AT87" s="545"/>
      <c r="AU87" s="131"/>
      <c r="AV87" s="117"/>
      <c r="AW87" s="111"/>
      <c r="AX87" s="111"/>
      <c r="AY87" s="111"/>
      <c r="AZ87" s="111"/>
      <c r="BA87" s="131"/>
    </row>
    <row r="88" spans="1:53" ht="17.100000000000001" customHeight="1" x14ac:dyDescent="0.25">
      <c r="A88" s="40"/>
      <c r="B88" s="40"/>
      <c r="C88" s="77"/>
      <c r="D88" s="78"/>
      <c r="E88" s="78"/>
      <c r="F88" s="78"/>
      <c r="G88" s="78"/>
      <c r="H88" s="242"/>
      <c r="I88" s="230"/>
      <c r="J88" s="80"/>
      <c r="K88" s="80"/>
      <c r="L88" s="81"/>
      <c r="M88" s="81"/>
      <c r="N88" s="81"/>
      <c r="O88" s="81"/>
      <c r="P88" s="82"/>
      <c r="Q88" s="81"/>
      <c r="R88" s="81"/>
      <c r="S88" s="82"/>
      <c r="T88" s="81"/>
      <c r="U88" s="81"/>
      <c r="V88" s="360"/>
      <c r="W88" s="381"/>
      <c r="X88" s="82"/>
      <c r="Y88" s="82"/>
      <c r="Z88" s="205"/>
      <c r="AA88" s="205"/>
      <c r="AB88" s="205"/>
      <c r="AC88" s="83"/>
      <c r="AE88" s="81"/>
      <c r="AF88" s="81"/>
      <c r="AG88" s="81"/>
      <c r="AH88" s="82"/>
      <c r="AI88" s="66"/>
      <c r="AJ88" s="117"/>
      <c r="AK88" s="81"/>
      <c r="AL88" s="81"/>
      <c r="AM88" s="81"/>
      <c r="AN88" s="82"/>
      <c r="AO88" s="66"/>
      <c r="AP88" s="117"/>
      <c r="AQ88" s="81"/>
      <c r="AR88" s="81"/>
      <c r="AS88" s="81"/>
      <c r="AT88" s="82"/>
      <c r="AU88" s="66"/>
      <c r="AV88" s="117"/>
      <c r="AW88" s="81"/>
      <c r="AX88" s="81"/>
      <c r="AY88" s="81"/>
      <c r="AZ88" s="81"/>
      <c r="BA88" s="66"/>
    </row>
    <row r="89" spans="1:53" s="117" customFormat="1" ht="17.100000000000001" customHeight="1" x14ac:dyDescent="0.25">
      <c r="A89" s="119"/>
      <c r="B89" s="119"/>
      <c r="C89" s="540"/>
      <c r="D89" s="212"/>
      <c r="E89" s="212"/>
      <c r="F89" s="212"/>
      <c r="G89" s="212"/>
      <c r="H89" s="242"/>
      <c r="I89" s="230"/>
      <c r="J89" s="17"/>
      <c r="K89" s="17"/>
      <c r="L89" s="17"/>
      <c r="M89" s="17"/>
      <c r="N89" s="17"/>
      <c r="O89" s="17"/>
      <c r="P89" s="17"/>
      <c r="Q89" s="17"/>
      <c r="R89" s="17"/>
      <c r="S89" s="17"/>
      <c r="T89" s="17"/>
      <c r="U89" s="17"/>
      <c r="V89" s="359"/>
      <c r="W89" s="382"/>
      <c r="X89" s="539"/>
      <c r="Y89" s="539"/>
      <c r="Z89" s="201"/>
      <c r="AA89" s="201"/>
      <c r="AB89" s="201"/>
      <c r="AC89" s="84"/>
      <c r="AE89" s="17"/>
      <c r="AF89" s="17"/>
      <c r="AG89" s="17"/>
      <c r="AH89" s="539"/>
      <c r="AI89" s="91"/>
      <c r="AK89" s="17"/>
      <c r="AL89" s="17"/>
      <c r="AM89" s="17"/>
      <c r="AN89" s="539"/>
      <c r="AO89" s="91"/>
      <c r="AQ89" s="17"/>
      <c r="AR89" s="17"/>
      <c r="AS89" s="17"/>
      <c r="AT89" s="539"/>
      <c r="AU89" s="91"/>
      <c r="AW89" s="17"/>
      <c r="AX89" s="17"/>
      <c r="AY89" s="17"/>
      <c r="AZ89" s="17"/>
      <c r="BA89" s="91"/>
    </row>
    <row r="90" spans="1:53" ht="17.100000000000001" customHeight="1" x14ac:dyDescent="0.25">
      <c r="A90" s="68"/>
      <c r="B90" s="41" t="s">
        <v>63</v>
      </c>
      <c r="C90" s="69" t="s">
        <v>64</v>
      </c>
      <c r="D90" s="50"/>
      <c r="E90" s="70"/>
      <c r="F90" s="70"/>
      <c r="G90" s="70"/>
      <c r="H90" s="84"/>
      <c r="J90" s="71"/>
      <c r="K90" s="71"/>
      <c r="L90" s="71"/>
      <c r="M90" s="71"/>
      <c r="N90" s="71"/>
      <c r="O90" s="71"/>
      <c r="P90" s="71"/>
      <c r="Q90" s="71"/>
      <c r="R90" s="71"/>
      <c r="S90" s="71"/>
      <c r="T90" s="71"/>
      <c r="U90" s="71"/>
      <c r="V90" s="71"/>
      <c r="W90" s="71"/>
      <c r="X90" s="71"/>
      <c r="Y90" s="71"/>
      <c r="Z90" s="73"/>
      <c r="AA90" s="73"/>
      <c r="AB90" s="73"/>
      <c r="AC90" s="73"/>
      <c r="AE90" s="71"/>
      <c r="AF90" s="71"/>
      <c r="AG90" s="71"/>
      <c r="AH90" s="72"/>
      <c r="AI90" s="73"/>
      <c r="AJ90" s="117"/>
      <c r="AK90" s="71"/>
      <c r="AL90" s="71"/>
      <c r="AM90" s="71"/>
      <c r="AN90" s="72"/>
      <c r="AO90" s="73"/>
      <c r="AP90" s="117"/>
      <c r="AQ90" s="71"/>
      <c r="AR90" s="71"/>
      <c r="AS90" s="71"/>
      <c r="AT90" s="72"/>
      <c r="AU90" s="73"/>
      <c r="AV90" s="117"/>
      <c r="AW90" s="71"/>
      <c r="AX90" s="71"/>
      <c r="AY90" s="71"/>
      <c r="AZ90" s="273"/>
      <c r="BA90" s="73"/>
    </row>
    <row r="91" spans="1:53" ht="17.100000000000001" customHeight="1" x14ac:dyDescent="0.25">
      <c r="A91" s="102"/>
      <c r="B91" s="102"/>
      <c r="C91" s="103" t="s">
        <v>65</v>
      </c>
      <c r="D91" s="108" t="s">
        <v>66</v>
      </c>
      <c r="E91" s="108"/>
      <c r="F91" s="108"/>
      <c r="G91" s="108"/>
      <c r="H91" s="315"/>
      <c r="I91" s="232"/>
      <c r="J91" s="111"/>
      <c r="K91" s="111"/>
      <c r="L91" s="111"/>
      <c r="M91" s="111"/>
      <c r="N91" s="111"/>
      <c r="O91" s="111"/>
      <c r="P91" s="111"/>
      <c r="Q91" s="111"/>
      <c r="R91" s="111"/>
      <c r="S91" s="111"/>
      <c r="T91" s="111"/>
      <c r="U91" s="111"/>
      <c r="V91" s="111"/>
      <c r="W91" s="111"/>
      <c r="X91" s="111"/>
      <c r="Y91" s="111"/>
      <c r="Z91" s="113"/>
      <c r="AA91" s="113"/>
      <c r="AB91" s="113"/>
      <c r="AC91" s="113"/>
      <c r="AE91" s="114"/>
      <c r="AF91" s="114"/>
      <c r="AG91" s="114"/>
      <c r="AH91" s="112"/>
      <c r="AI91" s="113"/>
      <c r="AJ91" s="117"/>
      <c r="AK91" s="114"/>
      <c r="AL91" s="114"/>
      <c r="AM91" s="114"/>
      <c r="AN91" s="112"/>
      <c r="AO91" s="113"/>
      <c r="AP91" s="117"/>
      <c r="AQ91" s="114"/>
      <c r="AR91" s="114"/>
      <c r="AS91" s="114"/>
      <c r="AT91" s="112"/>
      <c r="AU91" s="113"/>
      <c r="AV91" s="117"/>
      <c r="AW91" s="114"/>
      <c r="AX91" s="114"/>
      <c r="AY91" s="114"/>
      <c r="AZ91" s="114"/>
      <c r="BA91" s="113"/>
    </row>
    <row r="92" spans="1:53" ht="17.100000000000001" customHeight="1" x14ac:dyDescent="0.25">
      <c r="A92" s="102"/>
      <c r="B92" s="118"/>
      <c r="C92" s="118"/>
      <c r="D92" s="103" t="s">
        <v>67</v>
      </c>
      <c r="E92" s="278" t="s">
        <v>558</v>
      </c>
      <c r="F92" s="312"/>
      <c r="G92" s="312"/>
      <c r="H92" s="317"/>
      <c r="I92" s="307"/>
      <c r="J92" s="152"/>
      <c r="K92" s="152"/>
      <c r="L92" s="111"/>
      <c r="M92" s="111"/>
      <c r="N92" s="152"/>
      <c r="O92" s="111"/>
      <c r="P92" s="60">
        <v>1</v>
      </c>
      <c r="Q92" s="152"/>
      <c r="R92" s="111"/>
      <c r="S92" s="60"/>
      <c r="T92" s="152"/>
      <c r="U92" s="111"/>
      <c r="V92" s="361"/>
      <c r="W92" s="391"/>
      <c r="X92" s="17"/>
      <c r="Y92" s="18">
        <f>M92+P92+S92+V92</f>
        <v>1</v>
      </c>
      <c r="Z92" s="19">
        <f>IF(Y$96=0,0,Y92/Y$96)</f>
        <v>1</v>
      </c>
      <c r="AA92" s="19"/>
      <c r="AB92" s="19"/>
      <c r="AC92" s="20"/>
      <c r="AE92" s="111"/>
      <c r="AF92" s="111"/>
      <c r="AG92" s="111"/>
      <c r="AH92" s="545"/>
      <c r="AI92" s="131"/>
      <c r="AJ92" s="117"/>
      <c r="AK92" s="111"/>
      <c r="AL92" s="111"/>
      <c r="AM92" s="111"/>
      <c r="AN92" s="545"/>
      <c r="AO92" s="131"/>
      <c r="AP92" s="117"/>
      <c r="AQ92" s="111"/>
      <c r="AR92" s="111"/>
      <c r="AS92" s="111"/>
      <c r="AT92" s="545"/>
      <c r="AU92" s="131"/>
      <c r="AV92" s="117"/>
      <c r="AW92" s="111"/>
      <c r="AX92" s="111"/>
      <c r="AY92" s="111"/>
      <c r="AZ92" s="111"/>
      <c r="BA92" s="131"/>
    </row>
    <row r="93" spans="1:53" ht="17.100000000000001" customHeight="1" x14ac:dyDescent="0.25">
      <c r="A93" s="102"/>
      <c r="B93" s="118"/>
      <c r="C93" s="118"/>
      <c r="D93" s="103" t="s">
        <v>69</v>
      </c>
      <c r="E93" s="278" t="s">
        <v>559</v>
      </c>
      <c r="F93" s="108"/>
      <c r="G93" s="108"/>
      <c r="H93" s="315"/>
      <c r="I93" s="232"/>
      <c r="J93" s="152"/>
      <c r="K93" s="152"/>
      <c r="L93" s="111"/>
      <c r="M93" s="111"/>
      <c r="N93" s="152"/>
      <c r="O93" s="111"/>
      <c r="P93" s="61"/>
      <c r="Q93" s="152"/>
      <c r="R93" s="111"/>
      <c r="S93" s="61"/>
      <c r="T93" s="152"/>
      <c r="U93" s="111"/>
      <c r="V93" s="362"/>
      <c r="W93" s="391"/>
      <c r="X93" s="17"/>
      <c r="Y93" s="18">
        <f t="shared" ref="Y93:Y95" si="79">M93+P93+S93+V93</f>
        <v>0</v>
      </c>
      <c r="Z93" s="19">
        <f t="shared" ref="Z93:Z96" si="80">IF(Y$96=0,0,Y93/Y$96)</f>
        <v>0</v>
      </c>
      <c r="AA93" s="19"/>
      <c r="AB93" s="19"/>
      <c r="AC93" s="20"/>
      <c r="AE93" s="111"/>
      <c r="AF93" s="111"/>
      <c r="AG93" s="111"/>
      <c r="AH93" s="545"/>
      <c r="AI93" s="131"/>
      <c r="AJ93" s="117"/>
      <c r="AK93" s="111"/>
      <c r="AL93" s="111"/>
      <c r="AM93" s="111"/>
      <c r="AN93" s="545"/>
      <c r="AO93" s="131"/>
      <c r="AP93" s="117"/>
      <c r="AQ93" s="111"/>
      <c r="AR93" s="111"/>
      <c r="AS93" s="111"/>
      <c r="AT93" s="545"/>
      <c r="AU93" s="131"/>
      <c r="AV93" s="117"/>
      <c r="AW93" s="111"/>
      <c r="AX93" s="111"/>
      <c r="AY93" s="111"/>
      <c r="AZ93" s="111"/>
      <c r="BA93" s="131"/>
    </row>
    <row r="94" spans="1:53" ht="17.100000000000001" customHeight="1" x14ac:dyDescent="0.25">
      <c r="A94" s="102"/>
      <c r="B94" s="118"/>
      <c r="C94" s="118"/>
      <c r="D94" s="103" t="s">
        <v>71</v>
      </c>
      <c r="E94" s="278" t="s">
        <v>560</v>
      </c>
      <c r="F94" s="108"/>
      <c r="G94" s="108"/>
      <c r="H94" s="315"/>
      <c r="I94" s="232"/>
      <c r="J94" s="152"/>
      <c r="K94" s="152"/>
      <c r="L94" s="111"/>
      <c r="M94" s="111"/>
      <c r="N94" s="152"/>
      <c r="O94" s="111"/>
      <c r="P94" s="60"/>
      <c r="Q94" s="152"/>
      <c r="R94" s="111"/>
      <c r="S94" s="60"/>
      <c r="T94" s="152"/>
      <c r="U94" s="111"/>
      <c r="V94" s="361"/>
      <c r="W94" s="391"/>
      <c r="X94" s="17"/>
      <c r="Y94" s="18">
        <f t="shared" si="79"/>
        <v>0</v>
      </c>
      <c r="Z94" s="19">
        <f t="shared" si="80"/>
        <v>0</v>
      </c>
      <c r="AA94" s="19"/>
      <c r="AB94" s="19"/>
      <c r="AC94" s="20"/>
      <c r="AE94" s="111"/>
      <c r="AF94" s="111"/>
      <c r="AG94" s="111"/>
      <c r="AH94" s="545"/>
      <c r="AI94" s="131"/>
      <c r="AJ94" s="117"/>
      <c r="AK94" s="111"/>
      <c r="AL94" s="111"/>
      <c r="AM94" s="111"/>
      <c r="AN94" s="545"/>
      <c r="AO94" s="131"/>
      <c r="AP94" s="117"/>
      <c r="AQ94" s="111"/>
      <c r="AR94" s="111"/>
      <c r="AS94" s="111"/>
      <c r="AT94" s="545"/>
      <c r="AU94" s="131"/>
      <c r="AV94" s="117"/>
      <c r="AW94" s="111"/>
      <c r="AX94" s="111"/>
      <c r="AY94" s="111"/>
      <c r="AZ94" s="111"/>
      <c r="BA94" s="131"/>
    </row>
    <row r="95" spans="1:53" ht="17.100000000000001" customHeight="1" x14ac:dyDescent="0.25">
      <c r="A95" s="102"/>
      <c r="B95" s="118"/>
      <c r="C95" s="118"/>
      <c r="D95" s="103" t="s">
        <v>73</v>
      </c>
      <c r="E95" s="278" t="s">
        <v>561</v>
      </c>
      <c r="F95" s="312"/>
      <c r="G95" s="312"/>
      <c r="H95" s="317"/>
      <c r="I95" s="307"/>
      <c r="J95" s="152"/>
      <c r="K95" s="152"/>
      <c r="L95" s="111"/>
      <c r="M95" s="111"/>
      <c r="N95" s="152"/>
      <c r="O95" s="111"/>
      <c r="P95" s="61"/>
      <c r="Q95" s="152"/>
      <c r="R95" s="111"/>
      <c r="S95" s="61"/>
      <c r="T95" s="152"/>
      <c r="U95" s="111"/>
      <c r="V95" s="362"/>
      <c r="W95" s="391"/>
      <c r="X95" s="17"/>
      <c r="Y95" s="18">
        <f t="shared" si="79"/>
        <v>0</v>
      </c>
      <c r="Z95" s="19">
        <f t="shared" si="80"/>
        <v>0</v>
      </c>
      <c r="AA95" s="19"/>
      <c r="AB95" s="19"/>
      <c r="AC95" s="20"/>
      <c r="AE95" s="111"/>
      <c r="AF95" s="111"/>
      <c r="AG95" s="111"/>
      <c r="AH95" s="545"/>
      <c r="AI95" s="131"/>
      <c r="AJ95" s="117"/>
      <c r="AK95" s="111"/>
      <c r="AL95" s="111"/>
      <c r="AM95" s="111"/>
      <c r="AN95" s="545"/>
      <c r="AO95" s="131"/>
      <c r="AP95" s="117"/>
      <c r="AQ95" s="111"/>
      <c r="AR95" s="111"/>
      <c r="AS95" s="111"/>
      <c r="AT95" s="545"/>
      <c r="AU95" s="131"/>
      <c r="AV95" s="117"/>
      <c r="AW95" s="111"/>
      <c r="AX95" s="111"/>
      <c r="AY95" s="111"/>
      <c r="AZ95" s="111"/>
      <c r="BA95" s="131"/>
    </row>
    <row r="96" spans="1:53" ht="17.100000000000001" customHeight="1" x14ac:dyDescent="0.25">
      <c r="A96" s="40"/>
      <c r="B96" s="40"/>
      <c r="C96" s="77"/>
      <c r="D96" s="78"/>
      <c r="E96" s="78"/>
      <c r="F96" s="78"/>
      <c r="G96" s="78"/>
      <c r="H96" s="316"/>
      <c r="I96" s="230"/>
      <c r="J96" s="80"/>
      <c r="K96" s="80"/>
      <c r="L96" s="81"/>
      <c r="M96" s="81"/>
      <c r="N96" s="81"/>
      <c r="O96" s="81"/>
      <c r="P96" s="82">
        <f>SUM(P92:P95)</f>
        <v>1</v>
      </c>
      <c r="Q96" s="81"/>
      <c r="R96" s="81"/>
      <c r="S96" s="82">
        <f>SUM(S92:S95)</f>
        <v>0</v>
      </c>
      <c r="T96" s="81"/>
      <c r="U96" s="81"/>
      <c r="V96" s="360">
        <f>SUM(V92:V95)</f>
        <v>0</v>
      </c>
      <c r="W96" s="381"/>
      <c r="X96" s="82"/>
      <c r="Y96" s="82">
        <f t="shared" ref="Y96" si="81">SUM(Y92:Y95)</f>
        <v>1</v>
      </c>
      <c r="Z96" s="205">
        <f t="shared" si="80"/>
        <v>1</v>
      </c>
      <c r="AA96" s="205"/>
      <c r="AB96" s="205"/>
      <c r="AC96" s="83"/>
      <c r="AE96" s="81"/>
      <c r="AF96" s="81"/>
      <c r="AG96" s="81"/>
      <c r="AH96" s="82"/>
      <c r="AI96" s="66"/>
      <c r="AJ96" s="117"/>
      <c r="AK96" s="81"/>
      <c r="AL96" s="81"/>
      <c r="AM96" s="81"/>
      <c r="AN96" s="82"/>
      <c r="AO96" s="66"/>
      <c r="AP96" s="117"/>
      <c r="AQ96" s="81"/>
      <c r="AR96" s="81"/>
      <c r="AS96" s="81"/>
      <c r="AT96" s="82"/>
      <c r="AU96" s="66"/>
      <c r="AV96" s="117"/>
      <c r="AW96" s="81"/>
      <c r="AX96" s="81"/>
      <c r="AY96" s="81"/>
      <c r="AZ96" s="81"/>
      <c r="BA96" s="66"/>
    </row>
    <row r="97" spans="1:53" s="117" customFormat="1" ht="17.100000000000001" customHeight="1" x14ac:dyDescent="0.25">
      <c r="A97" s="119"/>
      <c r="B97" s="119"/>
      <c r="C97" s="540"/>
      <c r="D97" s="212"/>
      <c r="E97" s="212"/>
      <c r="F97" s="212"/>
      <c r="G97" s="212"/>
      <c r="H97" s="242"/>
      <c r="I97" s="230"/>
      <c r="J97" s="17"/>
      <c r="K97" s="17"/>
      <c r="L97" s="17"/>
      <c r="M97" s="17"/>
      <c r="N97" s="17"/>
      <c r="O97" s="17"/>
      <c r="P97" s="17" t="str">
        <f>IF(P96=1,"OK","NOK")</f>
        <v>OK</v>
      </c>
      <c r="Q97" s="17"/>
      <c r="R97" s="17"/>
      <c r="S97" s="17" t="str">
        <f>IF(S96=1,"OK","NOK")</f>
        <v>NOK</v>
      </c>
      <c r="T97" s="17"/>
      <c r="U97" s="17"/>
      <c r="V97" s="359" t="str">
        <f>IF(V96=1,"OK","NOK")</f>
        <v>NOK</v>
      </c>
      <c r="W97" s="382"/>
      <c r="X97" s="539"/>
      <c r="Y97" s="539"/>
      <c r="Z97" s="201"/>
      <c r="AA97" s="201"/>
      <c r="AB97" s="201"/>
      <c r="AC97" s="84"/>
      <c r="AE97" s="17"/>
      <c r="AF97" s="17"/>
      <c r="AG97" s="17"/>
      <c r="AH97" s="539"/>
      <c r="AI97" s="91"/>
      <c r="AK97" s="17"/>
      <c r="AL97" s="17"/>
      <c r="AM97" s="17"/>
      <c r="AN97" s="539"/>
      <c r="AO97" s="91"/>
      <c r="AQ97" s="17"/>
      <c r="AR97" s="17"/>
      <c r="AS97" s="17"/>
      <c r="AT97" s="539"/>
      <c r="AU97" s="91"/>
      <c r="AW97" s="17"/>
      <c r="AX97" s="17"/>
      <c r="AY97" s="17"/>
      <c r="AZ97" s="17"/>
      <c r="BA97" s="91"/>
    </row>
    <row r="98" spans="1:53" s="97" customFormat="1" ht="17.100000000000001" customHeight="1" x14ac:dyDescent="0.25">
      <c r="A98" s="68"/>
      <c r="B98" s="41" t="s">
        <v>74</v>
      </c>
      <c r="C98" s="69" t="s">
        <v>12</v>
      </c>
      <c r="D98" s="50"/>
      <c r="E98" s="70"/>
      <c r="F98" s="70"/>
      <c r="G98" s="70"/>
      <c r="H98" s="84"/>
      <c r="J98" s="71"/>
      <c r="K98" s="71"/>
      <c r="L98" s="71"/>
      <c r="M98" s="71"/>
      <c r="N98" s="71"/>
      <c r="O98" s="71"/>
      <c r="P98" s="71"/>
      <c r="Q98" s="71"/>
      <c r="R98" s="71"/>
      <c r="S98" s="71"/>
      <c r="T98" s="71"/>
      <c r="U98" s="71"/>
      <c r="V98" s="355"/>
      <c r="W98" s="377"/>
      <c r="X98" s="71"/>
      <c r="Y98" s="71"/>
      <c r="Z98" s="73"/>
      <c r="AA98" s="73"/>
      <c r="AB98" s="73"/>
      <c r="AC98" s="73"/>
      <c r="AE98" s="273"/>
      <c r="AF98" s="273"/>
      <c r="AG98" s="273"/>
      <c r="AH98" s="72"/>
      <c r="AI98" s="73"/>
      <c r="AJ98" s="3"/>
      <c r="AK98" s="273"/>
      <c r="AL98" s="273"/>
      <c r="AM98" s="273"/>
      <c r="AN98" s="72"/>
      <c r="AO98" s="73"/>
      <c r="AP98" s="3"/>
      <c r="AQ98" s="71"/>
      <c r="AR98" s="71"/>
      <c r="AS98" s="71"/>
      <c r="AT98" s="89"/>
      <c r="AU98" s="421"/>
      <c r="AV98" s="3"/>
      <c r="AW98" s="71"/>
      <c r="AX98" s="71"/>
      <c r="AY98" s="71"/>
      <c r="AZ98" s="71"/>
      <c r="BA98" s="421"/>
    </row>
    <row r="99" spans="1:53" s="97" customFormat="1" ht="17.100000000000001" customHeight="1" x14ac:dyDescent="0.25">
      <c r="A99" s="119"/>
      <c r="B99" s="119"/>
      <c r="C99" s="120" t="s">
        <v>895</v>
      </c>
      <c r="D99" s="85"/>
      <c r="E99" s="75"/>
      <c r="F99" s="75"/>
      <c r="G99" s="75"/>
      <c r="H99" s="928"/>
      <c r="I99" s="229"/>
      <c r="J99" s="111"/>
      <c r="K99" s="111"/>
      <c r="L99" s="111"/>
      <c r="M99" s="111"/>
      <c r="N99" s="111"/>
      <c r="O99" s="111"/>
      <c r="P99" s="111"/>
      <c r="Q99" s="111"/>
      <c r="R99" s="111"/>
      <c r="S99" s="111"/>
      <c r="T99" s="111"/>
      <c r="U99" s="111"/>
      <c r="V99" s="358"/>
      <c r="W99" s="380"/>
      <c r="X99" s="111"/>
      <c r="Y99" s="112"/>
      <c r="Z99" s="113"/>
      <c r="AA99" s="113"/>
      <c r="AB99" s="113"/>
      <c r="AC99" s="113"/>
      <c r="AE99" s="114"/>
      <c r="AF99" s="114"/>
      <c r="AG99" s="114"/>
      <c r="AH99" s="112"/>
      <c r="AI99" s="113"/>
      <c r="AK99" s="114"/>
      <c r="AL99" s="114"/>
      <c r="AM99" s="114"/>
      <c r="AN99" s="112"/>
      <c r="AO99" s="113"/>
      <c r="AQ99" s="114"/>
      <c r="AR99" s="114"/>
      <c r="AS99" s="114"/>
      <c r="AT99" s="112"/>
      <c r="AU99" s="113"/>
      <c r="AW99" s="114"/>
      <c r="AX99" s="114"/>
      <c r="AY99" s="114"/>
      <c r="AZ99" s="112"/>
      <c r="BA99" s="113"/>
    </row>
    <row r="100" spans="1:53" s="97" customFormat="1" ht="17.100000000000001" customHeight="1" x14ac:dyDescent="0.25">
      <c r="A100" s="119"/>
      <c r="B100" s="119"/>
      <c r="C100" s="928"/>
      <c r="D100" s="121" t="s">
        <v>75</v>
      </c>
      <c r="E100" s="122"/>
      <c r="F100" s="122"/>
      <c r="G100" s="122"/>
      <c r="H100" s="928"/>
      <c r="I100" s="229"/>
      <c r="J100" s="123"/>
      <c r="K100" s="123"/>
      <c r="L100" s="123"/>
      <c r="M100" s="123"/>
      <c r="N100" s="123"/>
      <c r="O100" s="123"/>
      <c r="P100" s="123"/>
      <c r="Q100" s="123"/>
      <c r="R100" s="123"/>
      <c r="S100" s="123"/>
      <c r="T100" s="123"/>
      <c r="U100" s="123"/>
      <c r="V100" s="363"/>
      <c r="W100" s="383"/>
      <c r="X100" s="123"/>
      <c r="Y100" s="124"/>
      <c r="Z100" s="125"/>
      <c r="AA100" s="125"/>
      <c r="AB100" s="125"/>
      <c r="AC100" s="125"/>
      <c r="AE100" s="126"/>
      <c r="AF100" s="126"/>
      <c r="AG100" s="126"/>
      <c r="AH100" s="124"/>
      <c r="AI100" s="125"/>
      <c r="AK100" s="126"/>
      <c r="AL100" s="126"/>
      <c r="AM100" s="126"/>
      <c r="AN100" s="124"/>
      <c r="AO100" s="125"/>
      <c r="AQ100" s="126"/>
      <c r="AR100" s="126"/>
      <c r="AS100" s="126"/>
      <c r="AT100" s="124"/>
      <c r="AU100" s="125"/>
      <c r="AW100" s="126"/>
      <c r="AX100" s="126"/>
      <c r="AY100" s="126"/>
      <c r="AZ100" s="124"/>
      <c r="BA100" s="125"/>
    </row>
    <row r="101" spans="1:53" s="97" customFormat="1" ht="17.100000000000001" customHeight="1" x14ac:dyDescent="0.25">
      <c r="A101" s="137"/>
      <c r="B101" s="119"/>
      <c r="C101" s="928"/>
      <c r="D101" s="941" t="s">
        <v>1438</v>
      </c>
      <c r="E101" s="122"/>
      <c r="F101" s="122"/>
      <c r="G101" s="122"/>
      <c r="H101" s="928"/>
      <c r="I101" s="229"/>
      <c r="J101" s="123"/>
      <c r="K101" s="123"/>
      <c r="L101" s="123"/>
      <c r="M101" s="123"/>
      <c r="N101" s="123">
        <f>N40</f>
        <v>0</v>
      </c>
      <c r="O101" s="123">
        <f>O40</f>
        <v>0</v>
      </c>
      <c r="P101" s="942">
        <f>SUM(N101:O101)</f>
        <v>0</v>
      </c>
      <c r="Q101" s="123">
        <f>Q40</f>
        <v>0</v>
      </c>
      <c r="R101" s="123">
        <f>R40</f>
        <v>0</v>
      </c>
      <c r="S101" s="942">
        <f>SUM(Q101:R101)</f>
        <v>0</v>
      </c>
      <c r="T101" s="123">
        <f>T40</f>
        <v>0</v>
      </c>
      <c r="U101" s="123">
        <f>U40</f>
        <v>0</v>
      </c>
      <c r="V101" s="942">
        <f>SUM(T101:U101)</f>
        <v>0</v>
      </c>
      <c r="W101" s="383"/>
      <c r="X101" s="123"/>
      <c r="Y101" s="124"/>
      <c r="Z101" s="125"/>
      <c r="AA101" s="125"/>
      <c r="AB101" s="125"/>
      <c r="AC101" s="125"/>
      <c r="AE101" s="126"/>
      <c r="AF101" s="126"/>
      <c r="AG101" s="126"/>
      <c r="AH101" s="124"/>
      <c r="AI101" s="125"/>
      <c r="AK101" s="126"/>
      <c r="AL101" s="126"/>
      <c r="AM101" s="126"/>
      <c r="AN101" s="124"/>
      <c r="AO101" s="125"/>
      <c r="AQ101" s="126"/>
      <c r="AR101" s="126"/>
      <c r="AS101" s="126"/>
      <c r="AT101" s="124"/>
      <c r="AU101" s="125"/>
      <c r="AW101" s="126"/>
      <c r="AX101" s="126"/>
      <c r="AY101" s="126"/>
      <c r="AZ101" s="124"/>
      <c r="BA101" s="125"/>
    </row>
    <row r="102" spans="1:53" s="97" customFormat="1" ht="17.100000000000001" customHeight="1" x14ac:dyDescent="0.25">
      <c r="A102" s="137"/>
      <c r="B102" s="119"/>
      <c r="C102" s="928"/>
      <c r="D102" s="127" t="s">
        <v>76</v>
      </c>
      <c r="E102" s="128"/>
      <c r="F102" s="122"/>
      <c r="G102" s="122"/>
      <c r="H102" s="928"/>
      <c r="I102" s="229"/>
      <c r="J102" s="123"/>
      <c r="K102" s="123"/>
      <c r="L102" s="123"/>
      <c r="M102" s="123"/>
      <c r="N102" s="943">
        <f>N63</f>
        <v>0</v>
      </c>
      <c r="O102" s="943">
        <f>O63</f>
        <v>2</v>
      </c>
      <c r="P102" s="942">
        <f>SUM(N102:O102)</f>
        <v>2</v>
      </c>
      <c r="Q102" s="943">
        <f>Q63</f>
        <v>0</v>
      </c>
      <c r="R102" s="943">
        <f>R63</f>
        <v>0</v>
      </c>
      <c r="S102" s="942">
        <f>SUM(Q102:R102)</f>
        <v>0</v>
      </c>
      <c r="T102" s="943">
        <f>T63</f>
        <v>0</v>
      </c>
      <c r="U102" s="943">
        <f>U63</f>
        <v>0</v>
      </c>
      <c r="V102" s="942">
        <f>SUM(T102:U102)</f>
        <v>0</v>
      </c>
      <c r="W102" s="383"/>
      <c r="X102" s="123"/>
      <c r="Y102" s="129">
        <f t="shared" ref="Y102:Y105" si="82">M102+P102+S102+V102</f>
        <v>2</v>
      </c>
      <c r="Z102" s="125"/>
      <c r="AA102" s="125"/>
      <c r="AB102" s="125"/>
      <c r="AC102" s="125"/>
      <c r="AE102" s="123"/>
      <c r="AF102" s="123"/>
      <c r="AG102" s="123"/>
      <c r="AH102" s="124"/>
      <c r="AI102" s="125"/>
      <c r="AK102" s="123"/>
      <c r="AL102" s="123"/>
      <c r="AM102" s="123"/>
      <c r="AN102" s="124"/>
      <c r="AO102" s="125"/>
      <c r="AQ102" s="123"/>
      <c r="AR102" s="123"/>
      <c r="AS102" s="123"/>
      <c r="AT102" s="124"/>
      <c r="AU102" s="125"/>
      <c r="AW102" s="123"/>
      <c r="AX102" s="123"/>
      <c r="AY102" s="123"/>
      <c r="AZ102" s="124"/>
      <c r="BA102" s="125"/>
    </row>
    <row r="103" spans="1:53" s="97" customFormat="1" ht="17.100000000000001" customHeight="1" x14ac:dyDescent="0.25">
      <c r="A103" s="137"/>
      <c r="B103" s="119"/>
      <c r="C103" s="928"/>
      <c r="D103" s="127" t="s">
        <v>77</v>
      </c>
      <c r="E103" s="128"/>
      <c r="F103" s="122"/>
      <c r="G103" s="122"/>
      <c r="H103" s="928"/>
      <c r="I103" s="229"/>
      <c r="J103" s="123"/>
      <c r="K103" s="123"/>
      <c r="L103" s="123"/>
      <c r="M103" s="123"/>
      <c r="N103" s="943">
        <f>N64</f>
        <v>0</v>
      </c>
      <c r="O103" s="943">
        <f>O64</f>
        <v>0</v>
      </c>
      <c r="P103" s="942">
        <f t="shared" ref="P103:P107" si="83">SUM(N103:O103)</f>
        <v>0</v>
      </c>
      <c r="Q103" s="943">
        <f>Q64</f>
        <v>0</v>
      </c>
      <c r="R103" s="943">
        <f>R64</f>
        <v>0</v>
      </c>
      <c r="S103" s="942">
        <f t="shared" ref="S103:S107" si="84">SUM(Q103:R103)</f>
        <v>0</v>
      </c>
      <c r="T103" s="943">
        <f>T64</f>
        <v>0</v>
      </c>
      <c r="U103" s="943">
        <f>U64</f>
        <v>0</v>
      </c>
      <c r="V103" s="942">
        <f t="shared" ref="V103:V107" si="85">SUM(T103:U103)</f>
        <v>0</v>
      </c>
      <c r="W103" s="383"/>
      <c r="X103" s="123"/>
      <c r="Y103" s="129">
        <f t="shared" si="82"/>
        <v>0</v>
      </c>
      <c r="Z103" s="125"/>
      <c r="AA103" s="125"/>
      <c r="AB103" s="125"/>
      <c r="AC103" s="125"/>
      <c r="AE103" s="123"/>
      <c r="AF103" s="123"/>
      <c r="AG103" s="123"/>
      <c r="AH103" s="124"/>
      <c r="AI103" s="125"/>
      <c r="AK103" s="123"/>
      <c r="AL103" s="123"/>
      <c r="AM103" s="123"/>
      <c r="AN103" s="124"/>
      <c r="AO103" s="125"/>
      <c r="AQ103" s="123"/>
      <c r="AR103" s="123"/>
      <c r="AS103" s="123"/>
      <c r="AT103" s="124"/>
      <c r="AU103" s="125"/>
      <c r="AW103" s="123"/>
      <c r="AX103" s="123"/>
      <c r="AY103" s="123"/>
      <c r="AZ103" s="124"/>
      <c r="BA103" s="125"/>
    </row>
    <row r="104" spans="1:53" s="97" customFormat="1" ht="17.100000000000001" customHeight="1" x14ac:dyDescent="0.25">
      <c r="A104" s="137"/>
      <c r="B104" s="137"/>
      <c r="C104" s="928"/>
      <c r="D104" s="127" t="s">
        <v>78</v>
      </c>
      <c r="E104" s="128"/>
      <c r="F104" s="122"/>
      <c r="G104" s="122"/>
      <c r="H104" s="928"/>
      <c r="I104" s="229"/>
      <c r="J104" s="123"/>
      <c r="K104" s="123"/>
      <c r="L104" s="123"/>
      <c r="M104" s="123"/>
      <c r="N104" s="943">
        <f>N71</f>
        <v>0</v>
      </c>
      <c r="O104" s="943">
        <f>O71</f>
        <v>0</v>
      </c>
      <c r="P104" s="942">
        <f t="shared" si="83"/>
        <v>0</v>
      </c>
      <c r="Q104" s="943">
        <f>Q71</f>
        <v>0</v>
      </c>
      <c r="R104" s="943">
        <f>R71</f>
        <v>0</v>
      </c>
      <c r="S104" s="942">
        <f t="shared" si="84"/>
        <v>0</v>
      </c>
      <c r="T104" s="943">
        <f>T71</f>
        <v>0</v>
      </c>
      <c r="U104" s="943">
        <f>U71</f>
        <v>0</v>
      </c>
      <c r="V104" s="942">
        <f t="shared" si="85"/>
        <v>0</v>
      </c>
      <c r="W104" s="383"/>
      <c r="X104" s="123"/>
      <c r="Y104" s="129">
        <f t="shared" si="82"/>
        <v>0</v>
      </c>
      <c r="Z104" s="125"/>
      <c r="AA104" s="125"/>
      <c r="AB104" s="125"/>
      <c r="AC104" s="125"/>
      <c r="AE104" s="123"/>
      <c r="AF104" s="123"/>
      <c r="AG104" s="123"/>
      <c r="AH104" s="124"/>
      <c r="AI104" s="125"/>
      <c r="AK104" s="123"/>
      <c r="AL104" s="123"/>
      <c r="AM104" s="123"/>
      <c r="AN104" s="124"/>
      <c r="AO104" s="125"/>
      <c r="AQ104" s="123"/>
      <c r="AR104" s="123"/>
      <c r="AS104" s="123"/>
      <c r="AT104" s="124"/>
      <c r="AU104" s="125"/>
      <c r="AW104" s="123"/>
      <c r="AX104" s="123"/>
      <c r="AY104" s="123"/>
      <c r="AZ104" s="124"/>
      <c r="BA104" s="125"/>
    </row>
    <row r="105" spans="1:53" s="97" customFormat="1" ht="17.100000000000001" customHeight="1" x14ac:dyDescent="0.25">
      <c r="A105" s="137"/>
      <c r="B105" s="137"/>
      <c r="C105" s="928"/>
      <c r="D105" s="127" t="s">
        <v>79</v>
      </c>
      <c r="E105" s="122"/>
      <c r="F105" s="122"/>
      <c r="G105" s="122"/>
      <c r="H105" s="928"/>
      <c r="I105" s="229"/>
      <c r="J105" s="123"/>
      <c r="K105" s="123"/>
      <c r="L105" s="123"/>
      <c r="M105" s="123"/>
      <c r="N105" s="943">
        <f>N72</f>
        <v>0</v>
      </c>
      <c r="O105" s="943">
        <f>O72</f>
        <v>0</v>
      </c>
      <c r="P105" s="942">
        <f t="shared" si="83"/>
        <v>0</v>
      </c>
      <c r="Q105" s="943">
        <f>Q72</f>
        <v>0</v>
      </c>
      <c r="R105" s="943">
        <f>R72</f>
        <v>0</v>
      </c>
      <c r="S105" s="942">
        <f t="shared" si="84"/>
        <v>0</v>
      </c>
      <c r="T105" s="943">
        <f>T72</f>
        <v>0</v>
      </c>
      <c r="U105" s="943">
        <f>U72</f>
        <v>0</v>
      </c>
      <c r="V105" s="942">
        <f t="shared" si="85"/>
        <v>0</v>
      </c>
      <c r="W105" s="383"/>
      <c r="X105" s="123"/>
      <c r="Y105" s="129">
        <f t="shared" si="82"/>
        <v>0</v>
      </c>
      <c r="Z105" s="125"/>
      <c r="AA105" s="125"/>
      <c r="AB105" s="125"/>
      <c r="AC105" s="125"/>
      <c r="AE105" s="123"/>
      <c r="AF105" s="123"/>
      <c r="AG105" s="123"/>
      <c r="AH105" s="124"/>
      <c r="AI105" s="125"/>
      <c r="AK105" s="123"/>
      <c r="AL105" s="123"/>
      <c r="AM105" s="123"/>
      <c r="AN105" s="124"/>
      <c r="AO105" s="125"/>
      <c r="AQ105" s="123"/>
      <c r="AR105" s="123"/>
      <c r="AS105" s="123"/>
      <c r="AT105" s="124"/>
      <c r="AU105" s="125"/>
      <c r="AW105" s="123"/>
      <c r="AX105" s="123"/>
      <c r="AY105" s="123"/>
      <c r="AZ105" s="124"/>
      <c r="BA105" s="125"/>
    </row>
    <row r="106" spans="1:53" s="97" customFormat="1" ht="17.100000000000001" customHeight="1" x14ac:dyDescent="0.25">
      <c r="A106" s="137"/>
      <c r="B106" s="137"/>
      <c r="C106" s="928"/>
      <c r="D106" s="127" t="s">
        <v>81</v>
      </c>
      <c r="E106" s="122"/>
      <c r="F106" s="122"/>
      <c r="G106" s="122"/>
      <c r="H106" s="928"/>
      <c r="I106" s="229"/>
      <c r="J106" s="123"/>
      <c r="K106" s="123"/>
      <c r="L106" s="123"/>
      <c r="M106" s="123"/>
      <c r="N106" s="943">
        <f>SUM(N101:N105)</f>
        <v>0</v>
      </c>
      <c r="O106" s="943">
        <f>SUM(O101:O105)</f>
        <v>2</v>
      </c>
      <c r="P106" s="942">
        <f t="shared" si="83"/>
        <v>2</v>
      </c>
      <c r="Q106" s="943">
        <f>SUM(Q101:Q105)</f>
        <v>0</v>
      </c>
      <c r="R106" s="943">
        <f>SUM(R101:R105)</f>
        <v>0</v>
      </c>
      <c r="S106" s="942">
        <f t="shared" si="84"/>
        <v>0</v>
      </c>
      <c r="T106" s="943">
        <f>SUM(T101:T105)</f>
        <v>0</v>
      </c>
      <c r="U106" s="943">
        <f>SUM(U101:U105)</f>
        <v>0</v>
      </c>
      <c r="V106" s="942">
        <f t="shared" si="85"/>
        <v>0</v>
      </c>
      <c r="W106" s="383"/>
      <c r="X106" s="123"/>
      <c r="Y106" s="129"/>
      <c r="Z106" s="125"/>
      <c r="AA106" s="125"/>
      <c r="AB106" s="125"/>
      <c r="AC106" s="125"/>
      <c r="AE106" s="123"/>
      <c r="AF106" s="123"/>
      <c r="AG106" s="123"/>
      <c r="AH106" s="124"/>
      <c r="AI106" s="125"/>
      <c r="AK106" s="123"/>
      <c r="AL106" s="123"/>
      <c r="AM106" s="123"/>
      <c r="AN106" s="124"/>
      <c r="AO106" s="125"/>
      <c r="AQ106" s="123"/>
      <c r="AR106" s="123"/>
      <c r="AS106" s="123"/>
      <c r="AT106" s="124"/>
      <c r="AU106" s="125"/>
      <c r="AW106" s="123"/>
      <c r="AX106" s="123"/>
      <c r="AY106" s="123"/>
      <c r="AZ106" s="124"/>
      <c r="BA106" s="125"/>
    </row>
    <row r="107" spans="1:53" s="97" customFormat="1" ht="17.100000000000001" customHeight="1" x14ac:dyDescent="0.25">
      <c r="A107" s="137"/>
      <c r="B107" s="137"/>
      <c r="C107" s="928"/>
      <c r="D107" s="127" t="s">
        <v>1439</v>
      </c>
      <c r="E107" s="122"/>
      <c r="F107" s="122"/>
      <c r="G107" s="122"/>
      <c r="H107" s="928"/>
      <c r="I107" s="229"/>
      <c r="J107" s="123"/>
      <c r="K107" s="123"/>
      <c r="L107" s="123"/>
      <c r="M107" s="123"/>
      <c r="N107" s="943">
        <f>N20*3</f>
        <v>6</v>
      </c>
      <c r="O107" s="943">
        <f>O20*3</f>
        <v>9</v>
      </c>
      <c r="P107" s="942">
        <f t="shared" si="83"/>
        <v>15</v>
      </c>
      <c r="Q107" s="943">
        <f>Q20*3</f>
        <v>0</v>
      </c>
      <c r="R107" s="943">
        <f>R20*3</f>
        <v>0</v>
      </c>
      <c r="S107" s="942">
        <f t="shared" si="84"/>
        <v>0</v>
      </c>
      <c r="T107" s="943">
        <f>T20*3</f>
        <v>0</v>
      </c>
      <c r="U107" s="943">
        <f>U20*3</f>
        <v>0</v>
      </c>
      <c r="V107" s="942">
        <f t="shared" si="85"/>
        <v>0</v>
      </c>
      <c r="W107" s="383"/>
      <c r="X107" s="123"/>
      <c r="Y107" s="129"/>
      <c r="Z107" s="125"/>
      <c r="AA107" s="125"/>
      <c r="AB107" s="125"/>
      <c r="AC107" s="125"/>
      <c r="AE107" s="123"/>
      <c r="AF107" s="123"/>
      <c r="AG107" s="123"/>
      <c r="AH107" s="124"/>
      <c r="AI107" s="125"/>
      <c r="AK107" s="123"/>
      <c r="AL107" s="123"/>
      <c r="AM107" s="123"/>
      <c r="AN107" s="124"/>
      <c r="AO107" s="125"/>
      <c r="AQ107" s="123"/>
      <c r="AR107" s="123"/>
      <c r="AS107" s="123"/>
      <c r="AT107" s="124"/>
      <c r="AU107" s="125"/>
      <c r="AW107" s="123"/>
      <c r="AX107" s="123"/>
      <c r="AY107" s="123"/>
      <c r="AZ107" s="124"/>
      <c r="BA107" s="125"/>
    </row>
    <row r="108" spans="1:53" s="97" customFormat="1" ht="17.100000000000001" customHeight="1" x14ac:dyDescent="0.25">
      <c r="A108" s="137"/>
      <c r="B108" s="119"/>
      <c r="C108" s="928"/>
      <c r="D108" s="127" t="s">
        <v>1440</v>
      </c>
      <c r="E108" s="122"/>
      <c r="F108" s="122"/>
      <c r="G108" s="122"/>
      <c r="H108" s="928"/>
      <c r="I108" s="229"/>
      <c r="J108" s="123"/>
      <c r="K108" s="123"/>
      <c r="L108" s="123"/>
      <c r="M108" s="123"/>
      <c r="N108" s="130">
        <f>IF(N107=0,0,N106/N107)</f>
        <v>0</v>
      </c>
      <c r="O108" s="130">
        <f t="shared" ref="O108:V108" si="86">IF(O107=0,0,O106/O107)</f>
        <v>0.22222222222222221</v>
      </c>
      <c r="P108" s="130">
        <f t="shared" si="86"/>
        <v>0.13333333333333333</v>
      </c>
      <c r="Q108" s="130">
        <f t="shared" si="86"/>
        <v>0</v>
      </c>
      <c r="R108" s="130">
        <f t="shared" si="86"/>
        <v>0</v>
      </c>
      <c r="S108" s="130">
        <f t="shared" si="86"/>
        <v>0</v>
      </c>
      <c r="T108" s="130">
        <f t="shared" si="86"/>
        <v>0</v>
      </c>
      <c r="U108" s="130">
        <f t="shared" si="86"/>
        <v>0</v>
      </c>
      <c r="V108" s="130">
        <f t="shared" si="86"/>
        <v>0</v>
      </c>
      <c r="W108" s="383"/>
      <c r="X108" s="123"/>
      <c r="Y108" s="129"/>
      <c r="Z108" s="125"/>
      <c r="AA108" s="125"/>
      <c r="AB108" s="125"/>
      <c r="AC108" s="125"/>
      <c r="AE108" s="123"/>
      <c r="AF108" s="123"/>
      <c r="AG108" s="123"/>
      <c r="AH108" s="124"/>
      <c r="AI108" s="125"/>
      <c r="AK108" s="123"/>
      <c r="AL108" s="123"/>
      <c r="AM108" s="123"/>
      <c r="AN108" s="124"/>
      <c r="AO108" s="125"/>
      <c r="AQ108" s="123"/>
      <c r="AR108" s="123"/>
      <c r="AS108" s="123"/>
      <c r="AT108" s="124"/>
      <c r="AU108" s="125"/>
      <c r="AW108" s="123"/>
      <c r="AX108" s="123"/>
      <c r="AY108" s="123"/>
      <c r="AZ108" s="124"/>
      <c r="BA108" s="125"/>
    </row>
    <row r="109" spans="1:53" s="97" customFormat="1" ht="17.100000000000001" customHeight="1" x14ac:dyDescent="0.25">
      <c r="A109" s="137"/>
      <c r="B109" s="119"/>
      <c r="C109" s="103" t="s">
        <v>80</v>
      </c>
      <c r="D109" s="85" t="s">
        <v>896</v>
      </c>
      <c r="E109" s="75"/>
      <c r="F109" s="75"/>
      <c r="G109" s="75"/>
      <c r="H109" s="1310"/>
      <c r="I109" s="229"/>
      <c r="J109" s="1309"/>
      <c r="K109" s="1309"/>
      <c r="L109" s="1309"/>
      <c r="M109" s="1309"/>
      <c r="N109" s="1309"/>
      <c r="O109" s="1309"/>
      <c r="P109" s="1309">
        <f>IF(P108&gt;=0.5,1,0)</f>
        <v>0</v>
      </c>
      <c r="Q109" s="1309"/>
      <c r="R109" s="1309"/>
      <c r="S109" s="1309">
        <f>IF(S108&gt;=0.5,1,0)</f>
        <v>0</v>
      </c>
      <c r="T109" s="1309"/>
      <c r="U109" s="1309"/>
      <c r="V109" s="1309">
        <f>IF(V108&gt;=0.5,1,0)</f>
        <v>0</v>
      </c>
      <c r="W109" s="382"/>
      <c r="X109" s="1309"/>
      <c r="Y109" s="1309">
        <f t="shared" ref="Y109" si="87">M109+P109+S109+V109</f>
        <v>0</v>
      </c>
      <c r="Z109" s="91"/>
      <c r="AA109" s="91"/>
      <c r="AB109" s="91"/>
      <c r="AC109" s="84"/>
      <c r="AE109" s="1309"/>
      <c r="AF109" s="1309"/>
      <c r="AG109" s="1309"/>
      <c r="AH109" s="1309"/>
      <c r="AI109" s="91"/>
      <c r="AK109" s="1309"/>
      <c r="AL109" s="1309"/>
      <c r="AM109" s="1309"/>
      <c r="AN109" s="1309"/>
      <c r="AO109" s="91"/>
      <c r="AQ109" s="1309"/>
      <c r="AR109" s="1309"/>
      <c r="AS109" s="1309"/>
      <c r="AT109" s="1309"/>
      <c r="AU109" s="91"/>
      <c r="AW109" s="1309"/>
      <c r="AX109" s="1309"/>
      <c r="AY109" s="1309"/>
      <c r="AZ109" s="1309"/>
      <c r="BA109" s="91"/>
    </row>
    <row r="110" spans="1:53" s="97" customFormat="1" ht="17.100000000000001" customHeight="1" x14ac:dyDescent="0.25">
      <c r="A110" s="119"/>
      <c r="B110" s="119"/>
      <c r="C110" s="928"/>
      <c r="D110" s="121" t="s">
        <v>82</v>
      </c>
      <c r="E110" s="122"/>
      <c r="F110" s="122"/>
      <c r="G110" s="122"/>
      <c r="H110" s="928"/>
      <c r="I110" s="229"/>
      <c r="J110" s="123"/>
      <c r="K110" s="123"/>
      <c r="L110" s="123"/>
      <c r="M110" s="123"/>
      <c r="N110" s="123"/>
      <c r="O110" s="123"/>
      <c r="P110" s="123"/>
      <c r="Q110" s="123"/>
      <c r="R110" s="123"/>
      <c r="S110" s="123"/>
      <c r="T110" s="123"/>
      <c r="U110" s="123"/>
      <c r="V110" s="363"/>
      <c r="W110" s="383"/>
      <c r="X110" s="123"/>
      <c r="Y110" s="124"/>
      <c r="Z110" s="125"/>
      <c r="AA110" s="125"/>
      <c r="AB110" s="125"/>
      <c r="AC110" s="125"/>
      <c r="AE110" s="126"/>
      <c r="AF110" s="126"/>
      <c r="AG110" s="126"/>
      <c r="AH110" s="124"/>
      <c r="AI110" s="125"/>
      <c r="AK110" s="126"/>
      <c r="AL110" s="126"/>
      <c r="AM110" s="126"/>
      <c r="AN110" s="124"/>
      <c r="AO110" s="125"/>
      <c r="AQ110" s="126"/>
      <c r="AR110" s="126"/>
      <c r="AS110" s="126"/>
      <c r="AT110" s="124"/>
      <c r="AU110" s="125"/>
      <c r="AW110" s="126"/>
      <c r="AX110" s="126"/>
      <c r="AY110" s="126"/>
      <c r="AZ110" s="124"/>
      <c r="BA110" s="125"/>
    </row>
    <row r="111" spans="1:53" s="97" customFormat="1" ht="17.100000000000001" customHeight="1" x14ac:dyDescent="0.25">
      <c r="A111" s="119"/>
      <c r="B111" s="119"/>
      <c r="C111" s="928"/>
      <c r="D111" s="127" t="s">
        <v>910</v>
      </c>
      <c r="E111" s="122"/>
      <c r="F111" s="122"/>
      <c r="G111" s="122"/>
      <c r="H111" s="928"/>
      <c r="I111" s="229"/>
      <c r="J111" s="123"/>
      <c r="K111" s="123"/>
      <c r="L111" s="123"/>
      <c r="M111" s="123"/>
      <c r="N111" s="123"/>
      <c r="O111" s="123"/>
      <c r="P111" s="129">
        <f>P80</f>
        <v>0</v>
      </c>
      <c r="Q111" s="123"/>
      <c r="R111" s="123"/>
      <c r="S111" s="129">
        <f>S80</f>
        <v>0</v>
      </c>
      <c r="T111" s="123"/>
      <c r="U111" s="123"/>
      <c r="V111" s="129">
        <f>V80</f>
        <v>0</v>
      </c>
      <c r="W111" s="383"/>
      <c r="X111" s="123"/>
      <c r="Y111" s="124"/>
      <c r="Z111" s="125"/>
      <c r="AA111" s="125"/>
      <c r="AB111" s="125"/>
      <c r="AC111" s="125"/>
      <c r="AE111" s="126"/>
      <c r="AF111" s="126"/>
      <c r="AG111" s="126"/>
      <c r="AH111" s="124"/>
      <c r="AI111" s="125"/>
      <c r="AK111" s="126"/>
      <c r="AL111" s="126"/>
      <c r="AM111" s="126"/>
      <c r="AN111" s="124"/>
      <c r="AO111" s="125"/>
      <c r="AQ111" s="126"/>
      <c r="AR111" s="126"/>
      <c r="AS111" s="126"/>
      <c r="AT111" s="124"/>
      <c r="AU111" s="125"/>
      <c r="AW111" s="126"/>
      <c r="AX111" s="126"/>
      <c r="AY111" s="126"/>
      <c r="AZ111" s="124"/>
      <c r="BA111" s="125"/>
    </row>
    <row r="112" spans="1:53" s="97" customFormat="1" ht="17.100000000000001" customHeight="1" x14ac:dyDescent="0.25">
      <c r="A112" s="119"/>
      <c r="B112" s="119"/>
      <c r="C112" s="928"/>
      <c r="D112" s="127" t="s">
        <v>83</v>
      </c>
      <c r="E112" s="122"/>
      <c r="F112" s="122"/>
      <c r="G112" s="122"/>
      <c r="H112" s="928"/>
      <c r="I112" s="229"/>
      <c r="J112" s="123"/>
      <c r="K112" s="123"/>
      <c r="L112" s="123"/>
      <c r="M112" s="123"/>
      <c r="N112" s="123"/>
      <c r="O112" s="123"/>
      <c r="P112" s="129">
        <f>P85</f>
        <v>0</v>
      </c>
      <c r="Q112" s="123"/>
      <c r="R112" s="123"/>
      <c r="S112" s="129">
        <f>S85</f>
        <v>0</v>
      </c>
      <c r="T112" s="123"/>
      <c r="U112" s="123"/>
      <c r="V112" s="129">
        <f>V85</f>
        <v>0</v>
      </c>
      <c r="W112" s="383"/>
      <c r="X112" s="123"/>
      <c r="Y112" s="129"/>
      <c r="Z112" s="125"/>
      <c r="AA112" s="125"/>
      <c r="AB112" s="125"/>
      <c r="AC112" s="125"/>
      <c r="AE112" s="123"/>
      <c r="AF112" s="123"/>
      <c r="AG112" s="123"/>
      <c r="AH112" s="124"/>
      <c r="AI112" s="125"/>
      <c r="AK112" s="123"/>
      <c r="AL112" s="123"/>
      <c r="AM112" s="123"/>
      <c r="AN112" s="124"/>
      <c r="AO112" s="125"/>
      <c r="AQ112" s="123"/>
      <c r="AR112" s="123"/>
      <c r="AS112" s="123"/>
      <c r="AT112" s="124"/>
      <c r="AU112" s="125"/>
      <c r="AW112" s="123"/>
      <c r="AX112" s="123"/>
      <c r="AY112" s="123"/>
      <c r="AZ112" s="124"/>
      <c r="BA112" s="125"/>
    </row>
    <row r="113" spans="1:53" s="97" customFormat="1" ht="17.100000000000001" customHeight="1" x14ac:dyDescent="0.25">
      <c r="A113" s="119"/>
      <c r="B113" s="119"/>
      <c r="C113" s="928"/>
      <c r="D113" s="127" t="s">
        <v>84</v>
      </c>
      <c r="E113" s="122"/>
      <c r="F113" s="122"/>
      <c r="G113" s="122"/>
      <c r="H113" s="928"/>
      <c r="I113" s="229"/>
      <c r="J113" s="123"/>
      <c r="K113" s="123"/>
      <c r="L113" s="123"/>
      <c r="M113" s="123"/>
      <c r="N113" s="123"/>
      <c r="O113" s="123"/>
      <c r="P113" s="129">
        <f>P86</f>
        <v>0</v>
      </c>
      <c r="Q113" s="123"/>
      <c r="R113" s="123"/>
      <c r="S113" s="129">
        <f>S86</f>
        <v>0</v>
      </c>
      <c r="T113" s="123"/>
      <c r="U113" s="123"/>
      <c r="V113" s="129">
        <f>V86</f>
        <v>0</v>
      </c>
      <c r="W113" s="383"/>
      <c r="X113" s="123"/>
      <c r="Y113" s="129"/>
      <c r="Z113" s="125"/>
      <c r="AA113" s="125"/>
      <c r="AB113" s="125"/>
      <c r="AC113" s="125"/>
      <c r="AE113" s="123"/>
      <c r="AF113" s="123"/>
      <c r="AG113" s="123"/>
      <c r="AH113" s="124"/>
      <c r="AI113" s="125"/>
      <c r="AK113" s="123"/>
      <c r="AL113" s="123"/>
      <c r="AM113" s="123"/>
      <c r="AN113" s="124"/>
      <c r="AO113" s="125"/>
      <c r="AQ113" s="123"/>
      <c r="AR113" s="123"/>
      <c r="AS113" s="123"/>
      <c r="AT113" s="124"/>
      <c r="AU113" s="125"/>
      <c r="AW113" s="123"/>
      <c r="AX113" s="123"/>
      <c r="AY113" s="123"/>
      <c r="AZ113" s="124"/>
      <c r="BA113" s="125"/>
    </row>
    <row r="114" spans="1:53" s="97" customFormat="1" ht="17.100000000000001" customHeight="1" x14ac:dyDescent="0.25">
      <c r="A114" s="119"/>
      <c r="B114" s="119"/>
      <c r="C114" s="928"/>
      <c r="D114" s="127" t="s">
        <v>85</v>
      </c>
      <c r="E114" s="122"/>
      <c r="F114" s="122"/>
      <c r="G114" s="122"/>
      <c r="H114" s="928"/>
      <c r="I114" s="229"/>
      <c r="J114" s="123"/>
      <c r="K114" s="123"/>
      <c r="L114" s="123"/>
      <c r="M114" s="123"/>
      <c r="N114" s="123"/>
      <c r="O114" s="123"/>
      <c r="P114" s="129">
        <f>P87</f>
        <v>0</v>
      </c>
      <c r="Q114" s="123"/>
      <c r="R114" s="123"/>
      <c r="S114" s="129">
        <f>S87</f>
        <v>0</v>
      </c>
      <c r="T114" s="123"/>
      <c r="U114" s="123"/>
      <c r="V114" s="129">
        <f>V87</f>
        <v>0</v>
      </c>
      <c r="W114" s="383"/>
      <c r="X114" s="123"/>
      <c r="Y114" s="129"/>
      <c r="Z114" s="125"/>
      <c r="AA114" s="125"/>
      <c r="AB114" s="125"/>
      <c r="AC114" s="125"/>
      <c r="AE114" s="123"/>
      <c r="AF114" s="123"/>
      <c r="AG114" s="123"/>
      <c r="AH114" s="124"/>
      <c r="AI114" s="125"/>
      <c r="AK114" s="123"/>
      <c r="AL114" s="123"/>
      <c r="AM114" s="123"/>
      <c r="AN114" s="124"/>
      <c r="AO114" s="125"/>
      <c r="AQ114" s="123"/>
      <c r="AR114" s="123"/>
      <c r="AS114" s="123"/>
      <c r="AT114" s="124"/>
      <c r="AU114" s="125"/>
      <c r="AW114" s="123"/>
      <c r="AX114" s="123"/>
      <c r="AY114" s="123"/>
      <c r="AZ114" s="124"/>
      <c r="BA114" s="125"/>
    </row>
    <row r="115" spans="1:53" s="97" customFormat="1" ht="17.100000000000001" customHeight="1" x14ac:dyDescent="0.25">
      <c r="A115" s="119"/>
      <c r="B115" s="119"/>
      <c r="C115" s="103" t="s">
        <v>86</v>
      </c>
      <c r="D115" s="85" t="s">
        <v>907</v>
      </c>
      <c r="E115" s="75"/>
      <c r="F115" s="75"/>
      <c r="G115" s="75"/>
      <c r="H115" s="928"/>
      <c r="I115" s="229"/>
      <c r="J115" s="932"/>
      <c r="K115" s="932"/>
      <c r="L115" s="932"/>
      <c r="M115" s="932"/>
      <c r="N115" s="932"/>
      <c r="O115" s="932"/>
      <c r="P115" s="932"/>
      <c r="Q115" s="932"/>
      <c r="R115" s="932"/>
      <c r="S115" s="932"/>
      <c r="T115" s="932"/>
      <c r="U115" s="932"/>
      <c r="V115" s="932"/>
      <c r="W115" s="385"/>
      <c r="X115" s="932"/>
      <c r="Y115" s="932"/>
      <c r="Z115" s="131"/>
      <c r="AA115" s="131"/>
      <c r="AB115" s="131"/>
      <c r="AC115" s="113"/>
      <c r="AE115" s="927"/>
      <c r="AF115" s="927"/>
      <c r="AG115" s="927"/>
      <c r="AH115" s="927"/>
      <c r="AI115" s="91"/>
      <c r="AK115" s="927"/>
      <c r="AL115" s="927"/>
      <c r="AM115" s="927"/>
      <c r="AN115" s="927"/>
      <c r="AO115" s="91"/>
      <c r="AQ115" s="927"/>
      <c r="AR115" s="927"/>
      <c r="AS115" s="927"/>
      <c r="AT115" s="927"/>
      <c r="AU115" s="91"/>
      <c r="AW115" s="927"/>
      <c r="AX115" s="927"/>
      <c r="AY115" s="927"/>
      <c r="AZ115" s="927"/>
      <c r="BA115" s="91"/>
    </row>
    <row r="116" spans="1:53" s="97" customFormat="1" ht="17.100000000000001" customHeight="1" x14ac:dyDescent="0.25">
      <c r="A116" s="119"/>
      <c r="B116" s="119"/>
      <c r="C116" s="119"/>
      <c r="D116" s="74" t="s">
        <v>905</v>
      </c>
      <c r="E116" s="75" t="s">
        <v>908</v>
      </c>
      <c r="F116" s="75"/>
      <c r="G116" s="75"/>
      <c r="H116" s="928"/>
      <c r="I116" s="229"/>
      <c r="J116" s="927"/>
      <c r="K116" s="927"/>
      <c r="L116" s="927"/>
      <c r="M116" s="927"/>
      <c r="N116" s="927"/>
      <c r="O116" s="927"/>
      <c r="P116" s="927">
        <f>IF(SUM(P111:P112)&gt;=1,1,0)</f>
        <v>0</v>
      </c>
      <c r="Q116" s="927"/>
      <c r="R116" s="927"/>
      <c r="S116" s="927">
        <f>IF(SUM(S111:S112)&gt;=1,1,0)</f>
        <v>0</v>
      </c>
      <c r="T116" s="927"/>
      <c r="U116" s="927"/>
      <c r="V116" s="927">
        <f>IF(SUM(V111:V112)&gt;=1,1,0)</f>
        <v>0</v>
      </c>
      <c r="W116" s="382"/>
      <c r="X116" s="927"/>
      <c r="Y116" s="927">
        <f t="shared" ref="Y116:Y121" si="88">M116+P116+S116+V116</f>
        <v>0</v>
      </c>
      <c r="Z116" s="91"/>
      <c r="AA116" s="91"/>
      <c r="AB116" s="91"/>
      <c r="AC116" s="84"/>
      <c r="AE116" s="927"/>
      <c r="AF116" s="927"/>
      <c r="AG116" s="927"/>
      <c r="AH116" s="927"/>
      <c r="AI116" s="91"/>
      <c r="AK116" s="927"/>
      <c r="AL116" s="927"/>
      <c r="AM116" s="927"/>
      <c r="AN116" s="927"/>
      <c r="AO116" s="91"/>
      <c r="AQ116" s="927"/>
      <c r="AR116" s="927"/>
      <c r="AS116" s="927"/>
      <c r="AT116" s="927"/>
      <c r="AU116" s="91"/>
      <c r="AW116" s="927"/>
      <c r="AX116" s="927"/>
      <c r="AY116" s="927"/>
      <c r="AZ116" s="927"/>
      <c r="BA116" s="91"/>
    </row>
    <row r="117" spans="1:53" s="97" customFormat="1" ht="17.100000000000001" customHeight="1" x14ac:dyDescent="0.25">
      <c r="A117" s="119"/>
      <c r="B117" s="119"/>
      <c r="C117" s="119"/>
      <c r="D117" s="74" t="s">
        <v>906</v>
      </c>
      <c r="E117" s="75" t="s">
        <v>909</v>
      </c>
      <c r="F117" s="75"/>
      <c r="G117" s="75"/>
      <c r="H117" s="928"/>
      <c r="I117" s="229"/>
      <c r="J117" s="927"/>
      <c r="K117" s="927"/>
      <c r="L117" s="927"/>
      <c r="M117" s="927"/>
      <c r="N117" s="927"/>
      <c r="O117" s="927"/>
      <c r="P117" s="927">
        <f>IF(SUM(P113:P114)&gt;=1,1,0)</f>
        <v>0</v>
      </c>
      <c r="Q117" s="927"/>
      <c r="R117" s="927"/>
      <c r="S117" s="927">
        <f>IF(SUM(S113:S114)&gt;=1,1,0)</f>
        <v>0</v>
      </c>
      <c r="T117" s="927"/>
      <c r="U117" s="927"/>
      <c r="V117" s="927">
        <f>IF(SUM(V113:V114)&gt;=1,1,0)</f>
        <v>0</v>
      </c>
      <c r="W117" s="382"/>
      <c r="X117" s="927"/>
      <c r="Y117" s="927">
        <f t="shared" si="88"/>
        <v>0</v>
      </c>
      <c r="Z117" s="91"/>
      <c r="AA117" s="91"/>
      <c r="AB117" s="91"/>
      <c r="AC117" s="84"/>
      <c r="AE117" s="927"/>
      <c r="AF117" s="927"/>
      <c r="AG117" s="927"/>
      <c r="AH117" s="927"/>
      <c r="AI117" s="91"/>
      <c r="AK117" s="927"/>
      <c r="AL117" s="927"/>
      <c r="AM117" s="927"/>
      <c r="AN117" s="927"/>
      <c r="AO117" s="91"/>
      <c r="AQ117" s="927"/>
      <c r="AR117" s="927"/>
      <c r="AS117" s="927"/>
      <c r="AT117" s="927"/>
      <c r="AU117" s="91"/>
      <c r="AW117" s="927"/>
      <c r="AX117" s="927"/>
      <c r="AY117" s="927"/>
      <c r="AZ117" s="927"/>
      <c r="BA117" s="91"/>
    </row>
    <row r="118" spans="1:53" s="97" customFormat="1" ht="17.100000000000001" customHeight="1" x14ac:dyDescent="0.25">
      <c r="A118" s="119"/>
      <c r="B118" s="119"/>
      <c r="C118" s="928"/>
      <c r="D118" s="121" t="s">
        <v>88</v>
      </c>
      <c r="E118" s="122"/>
      <c r="F118" s="122"/>
      <c r="G118" s="122"/>
      <c r="H118" s="928"/>
      <c r="I118" s="229"/>
      <c r="J118" s="123"/>
      <c r="K118" s="123"/>
      <c r="L118" s="123"/>
      <c r="M118" s="123"/>
      <c r="N118" s="123"/>
      <c r="O118" s="123"/>
      <c r="P118" s="123"/>
      <c r="Q118" s="123"/>
      <c r="R118" s="123"/>
      <c r="S118" s="123"/>
      <c r="T118" s="123"/>
      <c r="U118" s="123"/>
      <c r="V118" s="363"/>
      <c r="W118" s="383"/>
      <c r="X118" s="123"/>
      <c r="Y118" s="124"/>
      <c r="Z118" s="125"/>
      <c r="AA118" s="125"/>
      <c r="AB118" s="125"/>
      <c r="AC118" s="125"/>
      <c r="AE118" s="126"/>
      <c r="AF118" s="126"/>
      <c r="AG118" s="126"/>
      <c r="AH118" s="124"/>
      <c r="AI118" s="125"/>
      <c r="AK118" s="126"/>
      <c r="AL118" s="126"/>
      <c r="AM118" s="126"/>
      <c r="AN118" s="124"/>
      <c r="AO118" s="125"/>
      <c r="AQ118" s="126"/>
      <c r="AR118" s="126"/>
      <c r="AS118" s="126"/>
      <c r="AT118" s="124"/>
      <c r="AU118" s="125"/>
      <c r="AW118" s="126"/>
      <c r="AX118" s="126"/>
      <c r="AY118" s="126"/>
      <c r="AZ118" s="124"/>
      <c r="BA118" s="125"/>
    </row>
    <row r="119" spans="1:53" s="97" customFormat="1" ht="17.100000000000001" customHeight="1" x14ac:dyDescent="0.25">
      <c r="A119" s="119"/>
      <c r="B119" s="119"/>
      <c r="C119" s="928"/>
      <c r="D119" s="127" t="s">
        <v>90</v>
      </c>
      <c r="E119" s="122"/>
      <c r="F119" s="122"/>
      <c r="G119" s="279"/>
      <c r="H119" s="928"/>
      <c r="I119" s="229"/>
      <c r="J119" s="123"/>
      <c r="K119" s="123"/>
      <c r="L119" s="123"/>
      <c r="M119" s="123"/>
      <c r="N119" s="123"/>
      <c r="O119" s="123"/>
      <c r="P119" s="123">
        <f>P92</f>
        <v>1</v>
      </c>
      <c r="Q119" s="123"/>
      <c r="R119" s="123"/>
      <c r="S119" s="123">
        <f>S92</f>
        <v>0</v>
      </c>
      <c r="T119" s="123"/>
      <c r="U119" s="123"/>
      <c r="V119" s="123">
        <f>V92</f>
        <v>0</v>
      </c>
      <c r="W119" s="383"/>
      <c r="X119" s="123"/>
      <c r="Y119" s="123">
        <f t="shared" si="88"/>
        <v>1</v>
      </c>
      <c r="Z119" s="125"/>
      <c r="AA119" s="125"/>
      <c r="AB119" s="125"/>
      <c r="AC119" s="125"/>
      <c r="AE119" s="123"/>
      <c r="AF119" s="123"/>
      <c r="AG119" s="123"/>
      <c r="AH119" s="124"/>
      <c r="AI119" s="125"/>
      <c r="AK119" s="123"/>
      <c r="AL119" s="123"/>
      <c r="AM119" s="123"/>
      <c r="AN119" s="124"/>
      <c r="AO119" s="125"/>
      <c r="AQ119" s="123"/>
      <c r="AR119" s="123"/>
      <c r="AS119" s="123"/>
      <c r="AT119" s="124"/>
      <c r="AU119" s="125"/>
      <c r="AW119" s="123"/>
      <c r="AX119" s="123"/>
      <c r="AY119" s="123"/>
      <c r="AZ119" s="124"/>
      <c r="BA119" s="125"/>
    </row>
    <row r="120" spans="1:53" s="97" customFormat="1" ht="17.100000000000001" customHeight="1" x14ac:dyDescent="0.25">
      <c r="A120" s="119"/>
      <c r="B120" s="119"/>
      <c r="C120" s="928"/>
      <c r="D120" s="127" t="s">
        <v>89</v>
      </c>
      <c r="E120" s="122"/>
      <c r="F120" s="128"/>
      <c r="G120" s="279"/>
      <c r="H120" s="928"/>
      <c r="I120" s="229"/>
      <c r="J120" s="123"/>
      <c r="K120" s="123"/>
      <c r="L120" s="123"/>
      <c r="M120" s="123"/>
      <c r="N120" s="123"/>
      <c r="O120" s="123"/>
      <c r="P120" s="123">
        <f>SUM(P93:P95)</f>
        <v>0</v>
      </c>
      <c r="Q120" s="123"/>
      <c r="R120" s="123"/>
      <c r="S120" s="123">
        <f>SUM(S93:S95)</f>
        <v>0</v>
      </c>
      <c r="T120" s="123"/>
      <c r="U120" s="123"/>
      <c r="V120" s="123">
        <f>SUM(V93:V95)</f>
        <v>0</v>
      </c>
      <c r="W120" s="383"/>
      <c r="X120" s="123"/>
      <c r="Y120" s="123">
        <f t="shared" si="88"/>
        <v>0</v>
      </c>
      <c r="Z120" s="125"/>
      <c r="AA120" s="125"/>
      <c r="AB120" s="125"/>
      <c r="AC120" s="125"/>
      <c r="AE120" s="123"/>
      <c r="AF120" s="123"/>
      <c r="AG120" s="123"/>
      <c r="AH120" s="124"/>
      <c r="AI120" s="125"/>
      <c r="AK120" s="123"/>
      <c r="AL120" s="123"/>
      <c r="AM120" s="123"/>
      <c r="AN120" s="124"/>
      <c r="AO120" s="125"/>
      <c r="AQ120" s="123"/>
      <c r="AR120" s="123"/>
      <c r="AS120" s="123"/>
      <c r="AT120" s="124"/>
      <c r="AU120" s="125"/>
      <c r="AW120" s="123"/>
      <c r="AX120" s="123"/>
      <c r="AY120" s="123"/>
      <c r="AZ120" s="124"/>
      <c r="BA120" s="125"/>
    </row>
    <row r="121" spans="1:53" s="97" customFormat="1" ht="17.100000000000001" customHeight="1" x14ac:dyDescent="0.25">
      <c r="A121" s="119"/>
      <c r="B121" s="119"/>
      <c r="C121" s="928"/>
      <c r="D121" s="127" t="s">
        <v>91</v>
      </c>
      <c r="E121" s="122"/>
      <c r="F121" s="122"/>
      <c r="G121" s="279"/>
      <c r="H121" s="928"/>
      <c r="I121" s="229"/>
      <c r="J121" s="129"/>
      <c r="K121" s="129"/>
      <c r="L121" s="129"/>
      <c r="M121" s="129"/>
      <c r="N121" s="129"/>
      <c r="O121" s="129"/>
      <c r="P121" s="129">
        <f t="shared" ref="P121" si="89">IF(P119=1,0,IF(P120=1,1,0))</f>
        <v>0</v>
      </c>
      <c r="Q121" s="129"/>
      <c r="R121" s="129"/>
      <c r="S121" s="129">
        <f t="shared" ref="S121" si="90">IF(S119=1,0,IF(S120=1,1,0))</f>
        <v>0</v>
      </c>
      <c r="T121" s="129"/>
      <c r="U121" s="129"/>
      <c r="V121" s="129">
        <f t="shared" ref="V121" si="91">IF(V119=1,0,IF(V120=1,1,0))</f>
        <v>0</v>
      </c>
      <c r="W121" s="384"/>
      <c r="X121" s="129"/>
      <c r="Y121" s="129">
        <f t="shared" si="88"/>
        <v>0</v>
      </c>
      <c r="Z121" s="130"/>
      <c r="AA121" s="130"/>
      <c r="AB121" s="130"/>
      <c r="AC121" s="125"/>
      <c r="AE121" s="129"/>
      <c r="AF121" s="129"/>
      <c r="AG121" s="129"/>
      <c r="AH121" s="129"/>
      <c r="AI121" s="130"/>
      <c r="AK121" s="129"/>
      <c r="AL121" s="129"/>
      <c r="AM121" s="129"/>
      <c r="AN121" s="129"/>
      <c r="AO121" s="130"/>
      <c r="AQ121" s="129"/>
      <c r="AR121" s="129"/>
      <c r="AS121" s="129"/>
      <c r="AT121" s="129"/>
      <c r="AU121" s="130"/>
      <c r="AW121" s="129"/>
      <c r="AX121" s="129"/>
      <c r="AY121" s="129"/>
      <c r="AZ121" s="129"/>
      <c r="BA121" s="130"/>
    </row>
    <row r="122" spans="1:53" s="97" customFormat="1" ht="17.100000000000001" customHeight="1" x14ac:dyDescent="0.25">
      <c r="A122" s="119"/>
      <c r="B122" s="119"/>
      <c r="C122" s="103" t="s">
        <v>92</v>
      </c>
      <c r="D122" s="85" t="s">
        <v>914</v>
      </c>
      <c r="E122" s="75"/>
      <c r="F122" s="75"/>
      <c r="G122" s="75"/>
      <c r="H122" s="928"/>
      <c r="I122" s="229"/>
      <c r="J122" s="927"/>
      <c r="K122" s="927"/>
      <c r="L122" s="927"/>
      <c r="M122" s="927"/>
      <c r="N122" s="927"/>
      <c r="O122" s="927"/>
      <c r="P122" s="927">
        <f>P121</f>
        <v>0</v>
      </c>
      <c r="Q122" s="927"/>
      <c r="R122" s="927"/>
      <c r="S122" s="927">
        <f>S121</f>
        <v>0</v>
      </c>
      <c r="T122" s="927"/>
      <c r="U122" s="927"/>
      <c r="V122" s="927">
        <f>V121</f>
        <v>0</v>
      </c>
      <c r="W122" s="382"/>
      <c r="X122" s="927"/>
      <c r="Y122" s="927">
        <f>SUM(J122:X122)</f>
        <v>0</v>
      </c>
      <c r="Z122" s="91"/>
      <c r="AA122" s="91"/>
      <c r="AB122" s="91"/>
      <c r="AC122" s="84"/>
      <c r="AE122" s="927"/>
      <c r="AF122" s="927"/>
      <c r="AG122" s="927"/>
      <c r="AH122" s="927"/>
      <c r="AI122" s="91"/>
      <c r="AK122" s="927"/>
      <c r="AL122" s="927"/>
      <c r="AM122" s="927"/>
      <c r="AN122" s="927"/>
      <c r="AO122" s="91"/>
      <c r="AQ122" s="927"/>
      <c r="AR122" s="927"/>
      <c r="AS122" s="927"/>
      <c r="AT122" s="927"/>
      <c r="AU122" s="91"/>
      <c r="AW122" s="927"/>
      <c r="AX122" s="927"/>
      <c r="AY122" s="927"/>
      <c r="AZ122" s="927"/>
      <c r="BA122" s="91"/>
    </row>
    <row r="123" spans="1:53" s="97" customFormat="1" ht="17.100000000000001" customHeight="1" x14ac:dyDescent="0.25">
      <c r="A123" s="119"/>
      <c r="B123" s="119"/>
      <c r="C123" s="103" t="s">
        <v>93</v>
      </c>
      <c r="D123" s="85" t="s">
        <v>94</v>
      </c>
      <c r="E123" s="75"/>
      <c r="F123" s="75"/>
      <c r="G123" s="75"/>
      <c r="H123" s="928"/>
      <c r="I123" s="229"/>
      <c r="J123" s="932"/>
      <c r="K123" s="932"/>
      <c r="L123" s="932"/>
      <c r="M123" s="932"/>
      <c r="N123" s="932"/>
      <c r="O123" s="932"/>
      <c r="P123" s="932"/>
      <c r="Q123" s="932"/>
      <c r="R123" s="932"/>
      <c r="S123" s="932"/>
      <c r="T123" s="932"/>
      <c r="U123" s="932"/>
      <c r="V123" s="364"/>
      <c r="W123" s="385"/>
      <c r="X123" s="932"/>
      <c r="Y123" s="932"/>
      <c r="Z123" s="131"/>
      <c r="AA123" s="131"/>
      <c r="AB123" s="131"/>
      <c r="AC123" s="113"/>
      <c r="AE123" s="114"/>
      <c r="AF123" s="114"/>
      <c r="AG123" s="114"/>
      <c r="AH123" s="112"/>
      <c r="AI123" s="113"/>
      <c r="AK123" s="114"/>
      <c r="AL123" s="114"/>
      <c r="AM123" s="114"/>
      <c r="AN123" s="112"/>
      <c r="AO123" s="113"/>
      <c r="AQ123" s="114"/>
      <c r="AR123" s="114"/>
      <c r="AS123" s="114"/>
      <c r="AT123" s="112"/>
      <c r="AU123" s="113"/>
      <c r="AW123" s="114"/>
      <c r="AX123" s="114"/>
      <c r="AY123" s="114"/>
      <c r="AZ123" s="112"/>
      <c r="BA123" s="113"/>
    </row>
    <row r="124" spans="1:53" s="97" customFormat="1" ht="17.100000000000001" customHeight="1" x14ac:dyDescent="0.25">
      <c r="A124" s="137"/>
      <c r="B124" s="119"/>
      <c r="C124" s="132"/>
      <c r="D124" s="133" t="s">
        <v>95</v>
      </c>
      <c r="E124" s="134"/>
      <c r="F124" s="134"/>
      <c r="G124" s="134"/>
      <c r="H124" s="928"/>
      <c r="I124" s="229"/>
      <c r="J124" s="82"/>
      <c r="K124" s="82"/>
      <c r="L124" s="82" t="str">
        <f>IF(SUM(L30:L32)=1,1-SUM(L125:L127),"")</f>
        <v/>
      </c>
      <c r="M124" s="82"/>
      <c r="N124" s="82"/>
      <c r="O124" s="82"/>
      <c r="P124" s="82">
        <f>IF(P20=0,0,IF(P109+P116+P117+P122=0,1,0))</f>
        <v>1</v>
      </c>
      <c r="Q124" s="82"/>
      <c r="R124" s="82"/>
      <c r="S124" s="82">
        <f>IF(S20=0,0,IF(S109+S116+S117+S122=0,1,0))</f>
        <v>0</v>
      </c>
      <c r="T124" s="82"/>
      <c r="U124" s="82"/>
      <c r="V124" s="82">
        <f>IF(V20=0,0,IF(V109+V116+V117+V122=0,1,0))</f>
        <v>0</v>
      </c>
      <c r="W124" s="381" t="str">
        <f>IF(SUM(W30:W32)=1,1-SUM(W125:W127),"")</f>
        <v/>
      </c>
      <c r="X124" s="82" t="str">
        <f>IF(SUM(X30:X32)=1,1-SUM(X125:X127),"")</f>
        <v/>
      </c>
      <c r="Y124" s="82">
        <f>P124+S124+V124</f>
        <v>1</v>
      </c>
      <c r="Z124" s="66">
        <f>IF(Y$128=0,0,Y124/Y$128)</f>
        <v>1</v>
      </c>
      <c r="AA124" s="66"/>
      <c r="AB124" s="66"/>
      <c r="AC124" s="83"/>
      <c r="AE124" s="82"/>
      <c r="AF124" s="82"/>
      <c r="AG124" s="82"/>
      <c r="AH124" s="82"/>
      <c r="AI124" s="66"/>
      <c r="AK124" s="82"/>
      <c r="AL124" s="82"/>
      <c r="AM124" s="82"/>
      <c r="AN124" s="82"/>
      <c r="AO124" s="66"/>
      <c r="AQ124" s="82"/>
      <c r="AR124" s="82"/>
      <c r="AS124" s="82"/>
      <c r="AT124" s="82"/>
      <c r="AU124" s="66"/>
      <c r="AW124" s="82"/>
      <c r="AX124" s="82"/>
      <c r="AY124" s="82"/>
      <c r="AZ124" s="82"/>
      <c r="BA124" s="66"/>
    </row>
    <row r="125" spans="1:53" s="97" customFormat="1" ht="17.100000000000001" customHeight="1" x14ac:dyDescent="0.25">
      <c r="A125" s="119"/>
      <c r="B125" s="119"/>
      <c r="C125" s="135"/>
      <c r="D125" s="133" t="s">
        <v>96</v>
      </c>
      <c r="E125" s="134"/>
      <c r="F125" s="134"/>
      <c r="G125" s="134"/>
      <c r="H125" s="928"/>
      <c r="I125" s="229"/>
      <c r="J125" s="82"/>
      <c r="K125" s="82"/>
      <c r="L125" s="82"/>
      <c r="M125" s="82"/>
      <c r="N125" s="82"/>
      <c r="O125" s="82"/>
      <c r="P125" s="82">
        <f>IF(P109+P116+P117+P122=1,1,0)</f>
        <v>0</v>
      </c>
      <c r="Q125" s="82"/>
      <c r="R125" s="82"/>
      <c r="S125" s="82">
        <f>IF(S109+S116+S117+S122=1,1,0)</f>
        <v>0</v>
      </c>
      <c r="T125" s="82"/>
      <c r="U125" s="82"/>
      <c r="V125" s="82">
        <f>IF(V109+V116+V117+V122=1,1,0)</f>
        <v>0</v>
      </c>
      <c r="W125" s="381"/>
      <c r="X125" s="82"/>
      <c r="Y125" s="82">
        <f t="shared" ref="Y125:Y127" si="92">P125+S125+V125</f>
        <v>0</v>
      </c>
      <c r="Z125" s="66">
        <f>IF(Y$128=0,0,Y125/Y$128)</f>
        <v>0</v>
      </c>
      <c r="AA125" s="66"/>
      <c r="AB125" s="66"/>
      <c r="AC125" s="83"/>
      <c r="AE125" s="82"/>
      <c r="AF125" s="82"/>
      <c r="AG125" s="82"/>
      <c r="AH125" s="82"/>
      <c r="AI125" s="66"/>
      <c r="AK125" s="82"/>
      <c r="AL125" s="82"/>
      <c r="AM125" s="82"/>
      <c r="AN125" s="82"/>
      <c r="AO125" s="66"/>
      <c r="AQ125" s="82"/>
      <c r="AR125" s="82"/>
      <c r="AS125" s="82"/>
      <c r="AT125" s="82"/>
      <c r="AU125" s="66"/>
      <c r="AW125" s="82"/>
      <c r="AX125" s="82"/>
      <c r="AY125" s="82"/>
      <c r="AZ125" s="82"/>
      <c r="BA125" s="66"/>
    </row>
    <row r="126" spans="1:53" s="97" customFormat="1" ht="17.100000000000001" customHeight="1" x14ac:dyDescent="0.25">
      <c r="A126" s="119"/>
      <c r="B126" s="119"/>
      <c r="C126" s="136"/>
      <c r="D126" s="133" t="s">
        <v>97</v>
      </c>
      <c r="E126" s="134"/>
      <c r="F126" s="134"/>
      <c r="G126" s="134"/>
      <c r="H126" s="928"/>
      <c r="I126" s="229"/>
      <c r="J126" s="82"/>
      <c r="K126" s="82"/>
      <c r="L126" s="82"/>
      <c r="M126" s="82"/>
      <c r="N126" s="82"/>
      <c r="O126" s="82"/>
      <c r="P126" s="82">
        <f>IF(P109+P116+P117+P122=2,1,0)</f>
        <v>0</v>
      </c>
      <c r="Q126" s="82"/>
      <c r="R126" s="82"/>
      <c r="S126" s="82">
        <f>IF(S109+S116+S117+S122=2,1,0)</f>
        <v>0</v>
      </c>
      <c r="T126" s="82"/>
      <c r="U126" s="82"/>
      <c r="V126" s="82">
        <f>IF(V109+V116+V117+V122=2,1,0)</f>
        <v>0</v>
      </c>
      <c r="W126" s="381"/>
      <c r="X126" s="82"/>
      <c r="Y126" s="82">
        <f t="shared" si="92"/>
        <v>0</v>
      </c>
      <c r="Z126" s="66">
        <f>IF(Y$128=0,0,Y126/Y$128)</f>
        <v>0</v>
      </c>
      <c r="AA126" s="66"/>
      <c r="AB126" s="66"/>
      <c r="AC126" s="83"/>
      <c r="AE126" s="82"/>
      <c r="AF126" s="82"/>
      <c r="AG126" s="82"/>
      <c r="AH126" s="82"/>
      <c r="AI126" s="66"/>
      <c r="AK126" s="82"/>
      <c r="AL126" s="82"/>
      <c r="AM126" s="82"/>
      <c r="AN126" s="82"/>
      <c r="AO126" s="66"/>
      <c r="AQ126" s="82"/>
      <c r="AR126" s="82"/>
      <c r="AS126" s="82"/>
      <c r="AT126" s="82"/>
      <c r="AU126" s="66"/>
      <c r="AW126" s="82"/>
      <c r="AX126" s="82"/>
      <c r="AY126" s="82"/>
      <c r="AZ126" s="82"/>
      <c r="BA126" s="66"/>
    </row>
    <row r="127" spans="1:53" s="97" customFormat="1" ht="17.100000000000001" customHeight="1" x14ac:dyDescent="0.25">
      <c r="A127" s="119"/>
      <c r="B127" s="119"/>
      <c r="C127" s="137"/>
      <c r="D127" s="133" t="s">
        <v>98</v>
      </c>
      <c r="E127" s="134"/>
      <c r="F127" s="134"/>
      <c r="G127" s="134"/>
      <c r="H127" s="928"/>
      <c r="I127" s="229"/>
      <c r="J127" s="82"/>
      <c r="K127" s="82"/>
      <c r="L127" s="82"/>
      <c r="M127" s="82"/>
      <c r="N127" s="82"/>
      <c r="O127" s="82"/>
      <c r="P127" s="82">
        <f>IF(P109+P116+P117+P122=3,1,0)</f>
        <v>0</v>
      </c>
      <c r="Q127" s="82"/>
      <c r="R127" s="82"/>
      <c r="S127" s="82">
        <f>IF(S109+S116+S117+S122=3,1,0)</f>
        <v>0</v>
      </c>
      <c r="T127" s="82"/>
      <c r="U127" s="82"/>
      <c r="V127" s="82">
        <f>IF(V109+V116+V117+V122=3,1,0)</f>
        <v>0</v>
      </c>
      <c r="W127" s="381"/>
      <c r="X127" s="82"/>
      <c r="Y127" s="82">
        <f t="shared" si="92"/>
        <v>0</v>
      </c>
      <c r="Z127" s="66">
        <f>IF(Y$128=0,0,Y127/Y$128)</f>
        <v>0</v>
      </c>
      <c r="AA127" s="66"/>
      <c r="AB127" s="66"/>
      <c r="AC127" s="83"/>
      <c r="AE127" s="82"/>
      <c r="AF127" s="82"/>
      <c r="AG127" s="82"/>
      <c r="AH127" s="82"/>
      <c r="AI127" s="66"/>
      <c r="AK127" s="82"/>
      <c r="AL127" s="82"/>
      <c r="AM127" s="82"/>
      <c r="AN127" s="82"/>
      <c r="AO127" s="66"/>
      <c r="AQ127" s="82"/>
      <c r="AR127" s="82"/>
      <c r="AS127" s="82"/>
      <c r="AT127" s="82"/>
      <c r="AU127" s="66"/>
      <c r="AW127" s="82"/>
      <c r="AX127" s="82"/>
      <c r="AY127" s="82"/>
      <c r="AZ127" s="82"/>
      <c r="BA127" s="66"/>
    </row>
    <row r="128" spans="1:53" s="97" customFormat="1" ht="17.100000000000001" customHeight="1" x14ac:dyDescent="0.25">
      <c r="A128" s="119"/>
      <c r="B128" s="119"/>
      <c r="C128" s="928"/>
      <c r="D128" s="133"/>
      <c r="E128" s="134"/>
      <c r="F128" s="134"/>
      <c r="G128" s="134"/>
      <c r="H128" s="928"/>
      <c r="I128" s="229"/>
      <c r="J128" s="82"/>
      <c r="K128" s="82"/>
      <c r="L128" s="82"/>
      <c r="M128" s="82"/>
      <c r="N128" s="82"/>
      <c r="O128" s="82"/>
      <c r="P128" s="82"/>
      <c r="Q128" s="82"/>
      <c r="R128" s="82"/>
      <c r="S128" s="82"/>
      <c r="T128" s="82"/>
      <c r="U128" s="82"/>
      <c r="V128" s="360"/>
      <c r="W128" s="381"/>
      <c r="X128" s="82"/>
      <c r="Y128" s="82">
        <f>SUM(Y124:Y127)</f>
        <v>1</v>
      </c>
      <c r="Z128" s="66">
        <f>IF(Y$128=0,0,Y128/Y$128)</f>
        <v>1</v>
      </c>
      <c r="AA128" s="66"/>
      <c r="AB128" s="66"/>
      <c r="AC128" s="83"/>
      <c r="AE128" s="82"/>
      <c r="AF128" s="82"/>
      <c r="AG128" s="82"/>
      <c r="AH128" s="82"/>
      <c r="AI128" s="66"/>
      <c r="AK128" s="82"/>
      <c r="AL128" s="82"/>
      <c r="AM128" s="82"/>
      <c r="AN128" s="82"/>
      <c r="AO128" s="66"/>
      <c r="AQ128" s="82"/>
      <c r="AR128" s="82"/>
      <c r="AS128" s="82"/>
      <c r="AT128" s="82"/>
      <c r="AU128" s="66"/>
      <c r="AW128" s="82"/>
      <c r="AX128" s="82"/>
      <c r="AY128" s="82"/>
      <c r="AZ128" s="82"/>
      <c r="BA128" s="66"/>
    </row>
    <row r="129" spans="1:53" s="97" customFormat="1" ht="17.100000000000001" customHeight="1" x14ac:dyDescent="0.25">
      <c r="A129" s="119"/>
      <c r="B129" s="119"/>
      <c r="C129" s="928"/>
      <c r="D129" s="127" t="s">
        <v>81</v>
      </c>
      <c r="E129" s="122"/>
      <c r="F129" s="122"/>
      <c r="G129" s="122"/>
      <c r="H129" s="928"/>
      <c r="I129" s="229"/>
      <c r="J129" s="123"/>
      <c r="K129" s="123"/>
      <c r="L129" s="123"/>
      <c r="M129" s="123"/>
      <c r="N129" s="123"/>
      <c r="O129" s="123"/>
      <c r="P129" s="123">
        <f t="shared" ref="P129" si="93">P109</f>
        <v>0</v>
      </c>
      <c r="Q129" s="123"/>
      <c r="R129" s="123"/>
      <c r="S129" s="123">
        <f t="shared" ref="S129" si="94">S109</f>
        <v>0</v>
      </c>
      <c r="T129" s="123"/>
      <c r="U129" s="123"/>
      <c r="V129" s="123">
        <f t="shared" ref="V129" si="95">V109</f>
        <v>0</v>
      </c>
      <c r="W129" s="383"/>
      <c r="X129" s="123"/>
      <c r="Y129" s="123">
        <f t="shared" ref="Y129" si="96">Y109</f>
        <v>0</v>
      </c>
      <c r="Z129" s="525"/>
      <c r="AA129" s="125"/>
      <c r="AB129" s="125"/>
      <c r="AC129" s="125"/>
      <c r="AE129" s="123"/>
      <c r="AF129" s="123"/>
      <c r="AG129" s="123"/>
      <c r="AH129" s="124"/>
      <c r="AI129" s="125"/>
      <c r="AK129" s="123"/>
      <c r="AL129" s="123"/>
      <c r="AM129" s="123"/>
      <c r="AN129" s="124"/>
      <c r="AO129" s="125"/>
      <c r="AQ129" s="123"/>
      <c r="AR129" s="123"/>
      <c r="AS129" s="123"/>
      <c r="AT129" s="124"/>
      <c r="AU129" s="125"/>
      <c r="AW129" s="123"/>
      <c r="AX129" s="123"/>
      <c r="AY129" s="123"/>
      <c r="AZ129" s="124"/>
      <c r="BA129" s="125"/>
    </row>
    <row r="130" spans="1:53" s="97" customFormat="1" ht="17.100000000000001" customHeight="1" x14ac:dyDescent="0.25">
      <c r="A130" s="119"/>
      <c r="B130" s="119"/>
      <c r="C130" s="1310"/>
      <c r="D130" s="127" t="s">
        <v>87</v>
      </c>
      <c r="E130" s="122"/>
      <c r="F130" s="122"/>
      <c r="G130" s="122"/>
      <c r="H130" s="1310"/>
      <c r="I130" s="229"/>
      <c r="J130" s="123"/>
      <c r="K130" s="123"/>
      <c r="L130" s="123"/>
      <c r="M130" s="123"/>
      <c r="N130" s="123"/>
      <c r="O130" s="123"/>
      <c r="P130" s="123">
        <f>P116+P117</f>
        <v>0</v>
      </c>
      <c r="Q130" s="123"/>
      <c r="R130" s="123"/>
      <c r="S130" s="123">
        <f>S116+S117</f>
        <v>0</v>
      </c>
      <c r="T130" s="123"/>
      <c r="U130" s="123"/>
      <c r="V130" s="123">
        <f>V116+V117</f>
        <v>0</v>
      </c>
      <c r="W130" s="383"/>
      <c r="X130" s="123"/>
      <c r="Y130" s="123">
        <f>Y116+Y117</f>
        <v>0</v>
      </c>
      <c r="Z130" s="525"/>
      <c r="AA130" s="125"/>
      <c r="AB130" s="125"/>
      <c r="AC130" s="125"/>
      <c r="AE130" s="123"/>
      <c r="AF130" s="123"/>
      <c r="AG130" s="123"/>
      <c r="AH130" s="124"/>
      <c r="AI130" s="125"/>
      <c r="AK130" s="123"/>
      <c r="AL130" s="123"/>
      <c r="AM130" s="123"/>
      <c r="AN130" s="124"/>
      <c r="AO130" s="125"/>
      <c r="AQ130" s="123"/>
      <c r="AR130" s="123"/>
      <c r="AS130" s="123"/>
      <c r="AT130" s="124"/>
      <c r="AU130" s="125"/>
      <c r="AW130" s="123"/>
      <c r="AX130" s="123"/>
      <c r="AY130" s="123"/>
      <c r="AZ130" s="124"/>
      <c r="BA130" s="125"/>
    </row>
    <row r="131" spans="1:53" s="97" customFormat="1" ht="17.100000000000001" customHeight="1" x14ac:dyDescent="0.25">
      <c r="A131" s="119"/>
      <c r="B131" s="119"/>
      <c r="C131" s="928"/>
      <c r="D131" s="127" t="s">
        <v>923</v>
      </c>
      <c r="E131" s="122"/>
      <c r="F131" s="122"/>
      <c r="G131" s="122"/>
      <c r="H131" s="928"/>
      <c r="I131" s="229"/>
      <c r="J131" s="123"/>
      <c r="K131" s="123"/>
      <c r="L131" s="123"/>
      <c r="M131" s="123"/>
      <c r="N131" s="123"/>
      <c r="O131" s="123"/>
      <c r="P131" s="123"/>
      <c r="Q131" s="123"/>
      <c r="R131" s="123"/>
      <c r="S131" s="123"/>
      <c r="T131" s="123"/>
      <c r="U131" s="123"/>
      <c r="V131" s="123"/>
      <c r="W131" s="383"/>
      <c r="X131" s="123"/>
      <c r="Y131" s="123"/>
      <c r="Z131" s="525"/>
      <c r="AA131" s="130"/>
      <c r="AB131" s="130"/>
      <c r="AC131" s="125"/>
      <c r="AE131" s="123"/>
      <c r="AF131" s="123"/>
      <c r="AG131" s="123"/>
      <c r="AH131" s="129"/>
      <c r="AI131" s="130"/>
      <c r="AK131" s="123"/>
      <c r="AL131" s="123"/>
      <c r="AM131" s="123"/>
      <c r="AN131" s="129"/>
      <c r="AO131" s="130"/>
      <c r="AQ131" s="123"/>
      <c r="AR131" s="123"/>
      <c r="AS131" s="123"/>
      <c r="AT131" s="129"/>
      <c r="AU131" s="130"/>
      <c r="AW131" s="123"/>
      <c r="AX131" s="123"/>
      <c r="AY131" s="123"/>
      <c r="AZ131" s="129"/>
      <c r="BA131" s="130"/>
    </row>
    <row r="132" spans="1:53" s="97" customFormat="1" ht="17.100000000000001" customHeight="1" x14ac:dyDescent="0.25">
      <c r="A132" s="119"/>
      <c r="B132" s="119"/>
      <c r="C132" s="928"/>
      <c r="D132" s="127" t="s">
        <v>922</v>
      </c>
      <c r="E132" s="122"/>
      <c r="F132" s="122"/>
      <c r="G132" s="122"/>
      <c r="H132" s="928"/>
      <c r="I132" s="229"/>
      <c r="J132" s="123"/>
      <c r="K132" s="123"/>
      <c r="L132" s="123"/>
      <c r="M132" s="123"/>
      <c r="N132" s="123"/>
      <c r="O132" s="123"/>
      <c r="P132" s="123">
        <f t="shared" ref="P132" si="97">SUM(P129:P131)</f>
        <v>0</v>
      </c>
      <c r="Q132" s="123"/>
      <c r="R132" s="123"/>
      <c r="S132" s="123">
        <f t="shared" ref="S132" si="98">SUM(S129:S131)</f>
        <v>0</v>
      </c>
      <c r="T132" s="123"/>
      <c r="U132" s="123"/>
      <c r="V132" s="123">
        <f t="shared" ref="V132" si="99">SUM(V129:V131)</f>
        <v>0</v>
      </c>
      <c r="W132" s="383"/>
      <c r="X132" s="123"/>
      <c r="Y132" s="123">
        <f t="shared" ref="Y132:Y133" si="100">SUM(Y129:Y131)</f>
        <v>0</v>
      </c>
      <c r="Z132" s="525"/>
      <c r="AA132" s="125"/>
      <c r="AB132" s="125"/>
      <c r="AC132" s="125"/>
      <c r="AE132" s="123"/>
      <c r="AF132" s="123"/>
      <c r="AG132" s="123"/>
      <c r="AH132" s="124"/>
      <c r="AI132" s="125"/>
      <c r="AK132" s="123"/>
      <c r="AL132" s="123"/>
      <c r="AM132" s="123"/>
      <c r="AN132" s="124"/>
      <c r="AO132" s="125"/>
      <c r="AQ132" s="123"/>
      <c r="AR132" s="123"/>
      <c r="AS132" s="123"/>
      <c r="AT132" s="124"/>
      <c r="AU132" s="125"/>
      <c r="AW132" s="123"/>
      <c r="AX132" s="123"/>
      <c r="AY132" s="123"/>
      <c r="AZ132" s="124"/>
      <c r="BA132" s="125"/>
    </row>
    <row r="133" spans="1:53" s="97" customFormat="1" ht="17.100000000000001" customHeight="1" x14ac:dyDescent="0.25">
      <c r="A133" s="119"/>
      <c r="B133" s="119"/>
      <c r="C133" s="103" t="s">
        <v>99</v>
      </c>
      <c r="D133" s="85" t="s">
        <v>921</v>
      </c>
      <c r="E133" s="75"/>
      <c r="F133" s="75"/>
      <c r="G133" s="75"/>
      <c r="H133" s="928"/>
      <c r="I133" s="229"/>
      <c r="J133" s="927"/>
      <c r="K133" s="927"/>
      <c r="L133" s="927"/>
      <c r="M133" s="927"/>
      <c r="N133" s="927"/>
      <c r="O133" s="927"/>
      <c r="P133" s="927">
        <f t="shared" ref="P133" si="101">IF(P132&gt;=1,1,0)</f>
        <v>0</v>
      </c>
      <c r="Q133" s="927"/>
      <c r="R133" s="927"/>
      <c r="S133" s="927">
        <f t="shared" ref="S133" si="102">IF(S132&gt;=1,1,0)</f>
        <v>0</v>
      </c>
      <c r="T133" s="927"/>
      <c r="U133" s="927"/>
      <c r="V133" s="927">
        <f t="shared" ref="V133" si="103">IF(V132&gt;=1,1,0)</f>
        <v>0</v>
      </c>
      <c r="W133" s="382"/>
      <c r="X133" s="927"/>
      <c r="Y133" s="927">
        <f t="shared" si="100"/>
        <v>0</v>
      </c>
      <c r="Z133" s="91"/>
      <c r="AA133" s="91"/>
      <c r="AB133" s="91"/>
      <c r="AC133" s="84"/>
      <c r="AE133" s="927"/>
      <c r="AF133" s="927"/>
      <c r="AG133" s="927"/>
      <c r="AH133" s="927"/>
      <c r="AI133" s="91"/>
      <c r="AK133" s="927"/>
      <c r="AL133" s="927"/>
      <c r="AM133" s="927"/>
      <c r="AN133" s="927"/>
      <c r="AO133" s="91"/>
      <c r="AQ133" s="927"/>
      <c r="AR133" s="927"/>
      <c r="AS133" s="927"/>
      <c r="AT133" s="927"/>
      <c r="AU133" s="91"/>
      <c r="AW133" s="927"/>
      <c r="AX133" s="927"/>
      <c r="AY133" s="927"/>
      <c r="AZ133" s="927"/>
      <c r="BA133" s="91"/>
    </row>
    <row r="134" spans="1:53" s="97" customFormat="1" ht="17.100000000000001" customHeight="1" x14ac:dyDescent="0.25">
      <c r="A134" s="138"/>
      <c r="B134" s="138"/>
      <c r="C134" s="139"/>
      <c r="D134" s="12"/>
      <c r="E134" s="12"/>
      <c r="F134" s="12"/>
      <c r="G134" s="12"/>
      <c r="H134" s="12"/>
      <c r="I134" s="12"/>
      <c r="J134" s="95"/>
      <c r="K134" s="95"/>
      <c r="L134" s="95"/>
      <c r="M134" s="95"/>
      <c r="N134" s="95"/>
      <c r="O134" s="95"/>
      <c r="P134" s="95"/>
      <c r="Q134" s="95"/>
      <c r="R134" s="95"/>
      <c r="S134" s="95"/>
      <c r="T134" s="95"/>
      <c r="U134" s="95"/>
      <c r="V134" s="95"/>
      <c r="W134" s="95"/>
      <c r="X134" s="95"/>
      <c r="Y134" s="95"/>
      <c r="AQ134" s="109"/>
      <c r="AR134" s="109"/>
      <c r="AS134" s="109"/>
      <c r="AT134" s="96"/>
    </row>
    <row r="135" spans="1:53" s="32" customFormat="1" ht="16.5" thickBot="1" x14ac:dyDescent="0.3">
      <c r="A135" s="24" t="s">
        <v>100</v>
      </c>
      <c r="B135" s="25" t="s">
        <v>562</v>
      </c>
      <c r="C135" s="26"/>
      <c r="D135" s="27"/>
      <c r="E135" s="27"/>
      <c r="F135" s="27"/>
      <c r="G135" s="28"/>
      <c r="H135" s="310"/>
      <c r="I135" s="228"/>
      <c r="J135" s="140"/>
      <c r="K135" s="140"/>
      <c r="L135" s="140"/>
      <c r="M135" s="140"/>
      <c r="N135" s="140"/>
      <c r="O135" s="140"/>
      <c r="P135" s="140"/>
      <c r="Q135" s="140"/>
      <c r="R135" s="140"/>
      <c r="S135" s="140"/>
      <c r="T135" s="140"/>
      <c r="U135" s="140"/>
      <c r="V135" s="140"/>
      <c r="W135" s="140"/>
      <c r="X135" s="140"/>
      <c r="Y135" s="140"/>
      <c r="Z135" s="31" t="s">
        <v>5</v>
      </c>
      <c r="AA135" s="31"/>
      <c r="AB135" s="31"/>
      <c r="AC135" s="24"/>
      <c r="AE135" s="33" t="s">
        <v>181</v>
      </c>
      <c r="AF135" s="33" t="s">
        <v>182</v>
      </c>
      <c r="AG135" s="33" t="s">
        <v>6</v>
      </c>
      <c r="AH135" s="33" t="s">
        <v>4</v>
      </c>
      <c r="AI135" s="34" t="s">
        <v>5</v>
      </c>
      <c r="AJ135" s="35"/>
      <c r="AK135" s="36" t="s">
        <v>181</v>
      </c>
      <c r="AL135" s="36" t="s">
        <v>182</v>
      </c>
      <c r="AM135" s="36" t="s">
        <v>6</v>
      </c>
      <c r="AN135" s="36" t="s">
        <v>4</v>
      </c>
      <c r="AO135" s="37" t="s">
        <v>5</v>
      </c>
      <c r="AQ135" s="36"/>
      <c r="AR135" s="36"/>
      <c r="AS135" s="36"/>
      <c r="AT135" s="36"/>
      <c r="AU135" s="37"/>
      <c r="AW135" s="38" t="s">
        <v>181</v>
      </c>
      <c r="AX135" s="38" t="s">
        <v>182</v>
      </c>
      <c r="AY135" s="38" t="s">
        <v>6</v>
      </c>
      <c r="AZ135" s="38" t="s">
        <v>4</v>
      </c>
      <c r="BA135" s="39" t="s">
        <v>5</v>
      </c>
    </row>
    <row r="136" spans="1:53" ht="17.100000000000001" customHeight="1" x14ac:dyDescent="0.25">
      <c r="A136" s="40"/>
      <c r="B136" s="41" t="s">
        <v>738</v>
      </c>
      <c r="C136" s="42" t="s">
        <v>563</v>
      </c>
      <c r="D136" s="43"/>
      <c r="E136" s="43"/>
      <c r="F136" s="43"/>
      <c r="G136" s="44"/>
      <c r="H136" s="263">
        <v>1</v>
      </c>
      <c r="I136" s="229"/>
      <c r="J136" s="71"/>
      <c r="K136" s="71"/>
      <c r="L136" s="71"/>
      <c r="M136" s="71"/>
      <c r="N136" s="71"/>
      <c r="O136" s="71"/>
      <c r="P136" s="71"/>
      <c r="Q136" s="71"/>
      <c r="R136" s="71"/>
      <c r="S136" s="71"/>
      <c r="T136" s="71"/>
      <c r="U136" s="71"/>
      <c r="V136" s="71"/>
      <c r="W136" s="71"/>
      <c r="X136" s="71"/>
      <c r="Y136" s="71"/>
      <c r="Z136" s="73"/>
      <c r="AA136" s="73"/>
      <c r="AB136" s="73"/>
      <c r="AC136" s="73"/>
      <c r="AE136" s="71"/>
      <c r="AF136" s="71"/>
      <c r="AG136" s="73"/>
      <c r="AH136" s="73"/>
      <c r="AI136" s="73"/>
      <c r="AK136" s="71"/>
      <c r="AL136" s="71"/>
      <c r="AM136" s="73"/>
      <c r="AN136" s="73"/>
      <c r="AO136" s="73"/>
      <c r="AQ136" s="71"/>
      <c r="AR136" s="71"/>
      <c r="AS136" s="71"/>
      <c r="AT136" s="72"/>
      <c r="AU136" s="73"/>
      <c r="AW136" s="71"/>
      <c r="AX136" s="71"/>
      <c r="AY136" s="73"/>
      <c r="AZ136" s="73"/>
      <c r="BA136" s="73"/>
    </row>
    <row r="137" spans="1:53" ht="17.100000000000001" customHeight="1" x14ac:dyDescent="0.25">
      <c r="A137" s="40"/>
      <c r="B137" s="40"/>
      <c r="C137" s="141" t="s">
        <v>739</v>
      </c>
      <c r="D137" s="541" t="s">
        <v>612</v>
      </c>
      <c r="E137" s="542"/>
      <c r="F137" s="542"/>
      <c r="G137" s="281"/>
      <c r="H137" s="540"/>
      <c r="I137" s="235"/>
      <c r="J137" s="581">
        <v>9</v>
      </c>
      <c r="K137" s="581">
        <v>4</v>
      </c>
      <c r="L137" s="582">
        <v>26</v>
      </c>
      <c r="M137" s="593">
        <f t="shared" ref="M137:M138" si="104">SUM(J137:L137)</f>
        <v>39</v>
      </c>
      <c r="N137" s="111"/>
      <c r="O137" s="111"/>
      <c r="P137" s="111"/>
      <c r="Q137" s="111"/>
      <c r="R137" s="111"/>
      <c r="S137" s="111"/>
      <c r="T137" s="111"/>
      <c r="U137" s="111"/>
      <c r="V137" s="111"/>
      <c r="W137" s="391">
        <f t="shared" ref="W137" si="105">J137+K137+N137+Q137+T137</f>
        <v>13</v>
      </c>
      <c r="X137" s="17">
        <f t="shared" ref="X137" si="106">L137+O137+R137+U137</f>
        <v>26</v>
      </c>
      <c r="Y137" s="18">
        <f t="shared" ref="Y137" si="107">SUM(W137:X137)</f>
        <v>39</v>
      </c>
      <c r="Z137" s="19">
        <f>IF(Y$139=0,0,Y137/Y$139)</f>
        <v>0.33333333333333331</v>
      </c>
      <c r="AA137" s="19"/>
      <c r="AB137" s="19"/>
      <c r="AC137" s="20"/>
      <c r="AE137" s="17"/>
      <c r="AF137" s="17"/>
      <c r="AG137" s="17"/>
      <c r="AH137" s="18">
        <f>J137</f>
        <v>9</v>
      </c>
      <c r="AI137" s="19">
        <f>IF(AH$139=0,0,AH137/AH$139)</f>
        <v>0.45</v>
      </c>
      <c r="AK137" s="17"/>
      <c r="AL137" s="17"/>
      <c r="AM137" s="17"/>
      <c r="AN137" s="18">
        <f>K137</f>
        <v>4</v>
      </c>
      <c r="AO137" s="19">
        <f>IF(AN$139=0,0,AN137/AN$139)</f>
        <v>0.26666666666666666</v>
      </c>
      <c r="AQ137" s="17"/>
      <c r="AR137" s="17"/>
      <c r="AS137" s="17"/>
      <c r="AT137" s="18">
        <f t="shared" ref="AT137" si="108">W137</f>
        <v>13</v>
      </c>
      <c r="AU137" s="19">
        <f>IF(AT$139=0,0,AT137/AT$139)</f>
        <v>0.37142857142857144</v>
      </c>
      <c r="AW137" s="17"/>
      <c r="AX137" s="17"/>
      <c r="AY137" s="17"/>
      <c r="AZ137" s="424">
        <f>X137</f>
        <v>26</v>
      </c>
      <c r="BA137" s="19">
        <f>IF(AZ$139=0,0,AZ137/AZ$139)</f>
        <v>0.31707317073170732</v>
      </c>
    </row>
    <row r="138" spans="1:53" ht="17.100000000000001" customHeight="1" x14ac:dyDescent="0.25">
      <c r="A138" s="40"/>
      <c r="B138" s="40"/>
      <c r="C138" s="141" t="s">
        <v>740</v>
      </c>
      <c r="D138" s="541" t="s">
        <v>564</v>
      </c>
      <c r="E138" s="542"/>
      <c r="F138" s="542"/>
      <c r="G138" s="281"/>
      <c r="H138" s="540"/>
      <c r="I138" s="235"/>
      <c r="J138" s="583">
        <v>11</v>
      </c>
      <c r="K138" s="583">
        <v>11</v>
      </c>
      <c r="L138" s="584">
        <v>56</v>
      </c>
      <c r="M138" s="593">
        <f t="shared" si="104"/>
        <v>78</v>
      </c>
      <c r="N138" s="111"/>
      <c r="O138" s="111"/>
      <c r="P138" s="111"/>
      <c r="Q138" s="111"/>
      <c r="R138" s="111"/>
      <c r="S138" s="111"/>
      <c r="T138" s="111"/>
      <c r="U138" s="111"/>
      <c r="V138" s="111"/>
      <c r="W138" s="391">
        <f t="shared" ref="W138" si="109">J138+K138+N138+Q138+T138</f>
        <v>22</v>
      </c>
      <c r="X138" s="17">
        <f t="shared" ref="X138" si="110">L138+O138+R138+U138</f>
        <v>56</v>
      </c>
      <c r="Y138" s="18">
        <f t="shared" ref="Y138" si="111">SUM(W138:X138)</f>
        <v>78</v>
      </c>
      <c r="Z138" s="19">
        <f t="shared" ref="Z138:Z139" si="112">IF(Y$139=0,0,Y138/Y$139)</f>
        <v>0.66666666666666663</v>
      </c>
      <c r="AA138" s="19"/>
      <c r="AB138" s="19"/>
      <c r="AC138" s="20"/>
      <c r="AE138" s="17"/>
      <c r="AF138" s="17"/>
      <c r="AG138" s="17"/>
      <c r="AH138" s="18">
        <f>J138</f>
        <v>11</v>
      </c>
      <c r="AI138" s="19">
        <f t="shared" ref="AI138:AI139" si="113">IF(AH$139=0,0,AH138/AH$139)</f>
        <v>0.55000000000000004</v>
      </c>
      <c r="AK138" s="17"/>
      <c r="AL138" s="17"/>
      <c r="AM138" s="17"/>
      <c r="AN138" s="18">
        <f>K138</f>
        <v>11</v>
      </c>
      <c r="AO138" s="19">
        <f t="shared" ref="AO138:AO139" si="114">IF(AN$139=0,0,AN138/AN$139)</f>
        <v>0.73333333333333328</v>
      </c>
      <c r="AQ138" s="17"/>
      <c r="AR138" s="17"/>
      <c r="AS138" s="17"/>
      <c r="AT138" s="18">
        <f t="shared" ref="AT138" si="115">W138</f>
        <v>22</v>
      </c>
      <c r="AU138" s="19">
        <f t="shared" ref="AU138:AU139" si="116">IF(AT$139=0,0,AT138/AT$139)</f>
        <v>0.62857142857142856</v>
      </c>
      <c r="AW138" s="17"/>
      <c r="AX138" s="17"/>
      <c r="AY138" s="17"/>
      <c r="AZ138" s="424">
        <f>X138</f>
        <v>56</v>
      </c>
      <c r="BA138" s="19">
        <f t="shared" ref="BA138:BA139" si="117">IF(AZ$139=0,0,AZ138/AZ$139)</f>
        <v>0.68292682926829273</v>
      </c>
    </row>
    <row r="139" spans="1:53" ht="16.5" customHeight="1" x14ac:dyDescent="0.25">
      <c r="A139" s="40"/>
      <c r="B139" s="40"/>
      <c r="C139" s="77"/>
      <c r="D139" s="144"/>
      <c r="E139" s="144"/>
      <c r="F139" s="145"/>
      <c r="G139" s="283"/>
      <c r="H139" s="119"/>
      <c r="I139" s="236"/>
      <c r="J139" s="64">
        <f>SUM(J137:J138)</f>
        <v>20</v>
      </c>
      <c r="K139" s="64">
        <f t="shared" ref="K139:M139" si="118">SUM(K137:K138)</f>
        <v>15</v>
      </c>
      <c r="L139" s="64">
        <f t="shared" si="118"/>
        <v>82</v>
      </c>
      <c r="M139" s="64">
        <f t="shared" si="118"/>
        <v>117</v>
      </c>
      <c r="N139" s="81"/>
      <c r="O139" s="81"/>
      <c r="P139" s="81"/>
      <c r="Q139" s="81"/>
      <c r="R139" s="81"/>
      <c r="S139" s="81"/>
      <c r="T139" s="81"/>
      <c r="U139" s="81"/>
      <c r="V139" s="81"/>
      <c r="W139" s="82">
        <f>SUM(W137:W138)</f>
        <v>35</v>
      </c>
      <c r="X139" s="82">
        <f t="shared" ref="X139:Y139" si="119">SUM(X137:X138)</f>
        <v>82</v>
      </c>
      <c r="Y139" s="82">
        <f t="shared" si="119"/>
        <v>117</v>
      </c>
      <c r="Z139" s="205">
        <f t="shared" si="112"/>
        <v>1</v>
      </c>
      <c r="AA139" s="205"/>
      <c r="AB139" s="205"/>
      <c r="AC139" s="83"/>
      <c r="AE139" s="81"/>
      <c r="AF139" s="81"/>
      <c r="AG139" s="82"/>
      <c r="AH139" s="324">
        <f>SUM(AH137:AH138)</f>
        <v>20</v>
      </c>
      <c r="AI139" s="66">
        <f t="shared" si="113"/>
        <v>1</v>
      </c>
      <c r="AK139" s="81"/>
      <c r="AL139" s="81"/>
      <c r="AM139" s="82"/>
      <c r="AN139" s="324">
        <f>SUM(AN137:AN138)</f>
        <v>15</v>
      </c>
      <c r="AO139" s="66">
        <f t="shared" si="114"/>
        <v>1</v>
      </c>
      <c r="AQ139" s="81"/>
      <c r="AR139" s="81"/>
      <c r="AS139" s="82"/>
      <c r="AT139" s="324">
        <f>SUM(AT137:AT138)</f>
        <v>35</v>
      </c>
      <c r="AU139" s="66">
        <f t="shared" si="116"/>
        <v>1</v>
      </c>
      <c r="AW139" s="81"/>
      <c r="AX139" s="81"/>
      <c r="AY139" s="82"/>
      <c r="AZ139" s="324">
        <f>SUM(AZ137:AZ138)</f>
        <v>82</v>
      </c>
      <c r="BA139" s="66">
        <f t="shared" si="117"/>
        <v>1</v>
      </c>
    </row>
    <row r="140" spans="1:53" s="117" customFormat="1" ht="17.100000000000001" customHeight="1" x14ac:dyDescent="0.25">
      <c r="A140" s="119"/>
      <c r="B140" s="119"/>
      <c r="C140" s="540"/>
      <c r="D140" s="212"/>
      <c r="E140" s="212"/>
      <c r="F140" s="212"/>
      <c r="G140" s="212"/>
      <c r="H140" s="242"/>
      <c r="I140" s="230"/>
      <c r="J140" s="17" t="str">
        <f>IF(J139=J$15,"OK","NOK")</f>
        <v>OK</v>
      </c>
      <c r="K140" s="17" t="str">
        <f t="shared" ref="K140:L140" si="120">IF(K139=K$15,"OK","NOK")</f>
        <v>OK</v>
      </c>
      <c r="L140" s="17" t="str">
        <f t="shared" si="120"/>
        <v>OK</v>
      </c>
      <c r="M140" s="17"/>
      <c r="N140" s="17"/>
      <c r="O140" s="17"/>
      <c r="P140" s="17"/>
      <c r="Q140" s="17"/>
      <c r="R140" s="17"/>
      <c r="S140" s="17"/>
      <c r="T140" s="17"/>
      <c r="U140" s="17"/>
      <c r="V140" s="17"/>
      <c r="W140" s="539"/>
      <c r="X140" s="539"/>
      <c r="Y140" s="539"/>
      <c r="Z140" s="201"/>
      <c r="AA140" s="201"/>
      <c r="AB140" s="201"/>
      <c r="AC140" s="84"/>
      <c r="AE140" s="84"/>
      <c r="AF140" s="84"/>
      <c r="AG140" s="84"/>
      <c r="AH140" s="84"/>
      <c r="AI140" s="84"/>
      <c r="AK140" s="84"/>
      <c r="AL140" s="84"/>
      <c r="AM140" s="84"/>
      <c r="AN140" s="84"/>
      <c r="AO140" s="84"/>
      <c r="AW140" s="84"/>
      <c r="AX140" s="84"/>
      <c r="AY140" s="84"/>
      <c r="AZ140" s="84"/>
      <c r="BA140" s="84"/>
    </row>
    <row r="141" spans="1:53" ht="17.100000000000001" customHeight="1" x14ac:dyDescent="0.25">
      <c r="A141" s="40"/>
      <c r="B141" s="41" t="s">
        <v>102</v>
      </c>
      <c r="C141" s="42" t="s">
        <v>563</v>
      </c>
      <c r="D141" s="43"/>
      <c r="E141" s="43"/>
      <c r="F141" s="43"/>
      <c r="G141" s="44"/>
      <c r="H141" s="242"/>
      <c r="I141" s="229"/>
      <c r="J141" s="71"/>
      <c r="K141" s="71"/>
      <c r="L141" s="71"/>
      <c r="M141" s="71"/>
      <c r="N141" s="71"/>
      <c r="O141" s="71"/>
      <c r="P141" s="71"/>
      <c r="Q141" s="71"/>
      <c r="R141" s="71"/>
      <c r="S141" s="71"/>
      <c r="T141" s="71"/>
      <c r="U141" s="71"/>
      <c r="V141" s="71"/>
      <c r="W141" s="71"/>
      <c r="X141" s="71"/>
      <c r="Y141" s="71"/>
      <c r="Z141" s="73"/>
      <c r="AA141" s="73"/>
      <c r="AB141" s="73"/>
      <c r="AC141" s="73"/>
      <c r="AE141" s="71"/>
      <c r="AF141" s="71"/>
      <c r="AG141" s="73"/>
      <c r="AH141" s="73"/>
      <c r="AI141" s="73"/>
      <c r="AK141" s="71"/>
      <c r="AL141" s="71"/>
      <c r="AM141" s="73"/>
      <c r="AN141" s="73"/>
      <c r="AO141" s="73"/>
      <c r="AQ141" s="71"/>
      <c r="AR141" s="71"/>
      <c r="AS141" s="73"/>
      <c r="AT141" s="73"/>
      <c r="AU141" s="73"/>
      <c r="AW141" s="71"/>
      <c r="AX141" s="71"/>
      <c r="AY141" s="73"/>
      <c r="AZ141" s="73"/>
      <c r="BA141" s="73"/>
    </row>
    <row r="142" spans="1:53" s="117" customFormat="1" ht="17.100000000000001" customHeight="1" x14ac:dyDescent="0.25">
      <c r="A142" s="119"/>
      <c r="B142" s="40"/>
      <c r="C142" s="141" t="s">
        <v>104</v>
      </c>
      <c r="D142" s="85" t="s">
        <v>612</v>
      </c>
      <c r="E142" s="75"/>
      <c r="F142" s="75"/>
      <c r="G142" s="543"/>
      <c r="H142" s="242"/>
      <c r="I142" s="230"/>
      <c r="J142" s="111"/>
      <c r="K142" s="111"/>
      <c r="L142" s="111"/>
      <c r="M142" s="111"/>
      <c r="N142" s="60">
        <v>2</v>
      </c>
      <c r="O142" s="60">
        <v>3</v>
      </c>
      <c r="P142" s="593">
        <f t="shared" ref="P142:P144" si="121">SUM(N142:O142)</f>
        <v>5</v>
      </c>
      <c r="Q142" s="60"/>
      <c r="R142" s="60"/>
      <c r="S142" s="593">
        <f t="shared" ref="S142:S144" si="122">SUM(Q142:R142)</f>
        <v>0</v>
      </c>
      <c r="T142" s="60"/>
      <c r="U142" s="60"/>
      <c r="V142" s="593">
        <f t="shared" ref="V142:V144" si="123">SUM(T142:U142)</f>
        <v>0</v>
      </c>
      <c r="W142" s="391">
        <f t="shared" ref="W142" si="124">J142+K142+N142+Q142+T142</f>
        <v>2</v>
      </c>
      <c r="X142" s="17">
        <f t="shared" ref="X142" si="125">L142+O142+R142+U142</f>
        <v>3</v>
      </c>
      <c r="Y142" s="18">
        <f>SUM(W142:X142)</f>
        <v>5</v>
      </c>
      <c r="Z142" s="19">
        <f>IF(Y$145=0,0,Y142/Y$145)</f>
        <v>1</v>
      </c>
      <c r="AA142" s="201"/>
      <c r="AB142" s="201"/>
      <c r="AC142" s="84"/>
      <c r="AE142" s="113"/>
      <c r="AF142" s="113"/>
      <c r="AG142" s="113"/>
      <c r="AH142" s="113"/>
      <c r="AI142" s="113"/>
      <c r="AK142" s="113"/>
      <c r="AL142" s="113"/>
      <c r="AM142" s="113"/>
      <c r="AN142" s="113"/>
      <c r="AO142" s="113"/>
      <c r="AQ142" s="84"/>
      <c r="AR142" s="84"/>
      <c r="AS142" s="84"/>
      <c r="AT142" s="17">
        <f>W142</f>
        <v>2</v>
      </c>
      <c r="AU142" s="19">
        <f>IF(AT$145=0,0,AT142/AT$145)</f>
        <v>1</v>
      </c>
      <c r="AW142" s="84"/>
      <c r="AX142" s="84"/>
      <c r="AY142" s="84"/>
      <c r="AZ142" s="424">
        <f t="shared" ref="AZ142:AZ144" si="126">X142</f>
        <v>3</v>
      </c>
      <c r="BA142" s="19">
        <f>IF(AZ$145=0,0,AZ142/AZ$145)</f>
        <v>1</v>
      </c>
    </row>
    <row r="143" spans="1:53" s="117" customFormat="1" ht="17.100000000000001" customHeight="1" x14ac:dyDescent="0.25">
      <c r="A143" s="119"/>
      <c r="B143" s="40"/>
      <c r="C143" s="141" t="s">
        <v>105</v>
      </c>
      <c r="D143" s="85" t="s">
        <v>741</v>
      </c>
      <c r="E143" s="75"/>
      <c r="F143" s="75"/>
      <c r="G143" s="543"/>
      <c r="H143" s="242"/>
      <c r="I143" s="230"/>
      <c r="J143" s="111"/>
      <c r="K143" s="111"/>
      <c r="L143" s="111"/>
      <c r="M143" s="111"/>
      <c r="N143" s="61"/>
      <c r="O143" s="61"/>
      <c r="P143" s="593">
        <f t="shared" si="121"/>
        <v>0</v>
      </c>
      <c r="Q143" s="61"/>
      <c r="R143" s="61"/>
      <c r="S143" s="593">
        <f t="shared" si="122"/>
        <v>0</v>
      </c>
      <c r="T143" s="61"/>
      <c r="U143" s="61"/>
      <c r="V143" s="593">
        <f t="shared" si="123"/>
        <v>0</v>
      </c>
      <c r="W143" s="391">
        <f t="shared" ref="W143:W144" si="127">J143+K143+N143+Q143+T143</f>
        <v>0</v>
      </c>
      <c r="X143" s="17">
        <f t="shared" ref="X143:X144" si="128">L143+O143+R143+U143</f>
        <v>0</v>
      </c>
      <c r="Y143" s="18">
        <f t="shared" ref="Y143:Y144" si="129">SUM(W143:X143)</f>
        <v>0</v>
      </c>
      <c r="Z143" s="19">
        <f>IF(Y$145=0,0,Y143/Y$145)</f>
        <v>0</v>
      </c>
      <c r="AA143" s="201"/>
      <c r="AB143" s="201"/>
      <c r="AC143" s="84"/>
      <c r="AE143" s="113"/>
      <c r="AF143" s="113"/>
      <c r="AG143" s="113"/>
      <c r="AH143" s="113"/>
      <c r="AI143" s="113"/>
      <c r="AK143" s="113"/>
      <c r="AL143" s="113"/>
      <c r="AM143" s="113"/>
      <c r="AN143" s="113"/>
      <c r="AO143" s="113"/>
      <c r="AQ143" s="84"/>
      <c r="AR143" s="84"/>
      <c r="AS143" s="84"/>
      <c r="AT143" s="17">
        <f t="shared" ref="AT143:AT144" si="130">W143</f>
        <v>0</v>
      </c>
      <c r="AU143" s="19">
        <f>IF(AT$145=0,0,AT143/AT$145)</f>
        <v>0</v>
      </c>
      <c r="AW143" s="84"/>
      <c r="AX143" s="84"/>
      <c r="AY143" s="84"/>
      <c r="AZ143" s="424">
        <f t="shared" si="126"/>
        <v>0</v>
      </c>
      <c r="BA143" s="19">
        <f>IF(AZ$145=0,0,AZ143/AZ$145)</f>
        <v>0</v>
      </c>
    </row>
    <row r="144" spans="1:53" s="117" customFormat="1" ht="17.100000000000001" customHeight="1" x14ac:dyDescent="0.25">
      <c r="A144" s="119"/>
      <c r="B144" s="40"/>
      <c r="C144" s="141" t="s">
        <v>106</v>
      </c>
      <c r="D144" s="85" t="s">
        <v>742</v>
      </c>
      <c r="E144" s="75"/>
      <c r="F144" s="75"/>
      <c r="G144" s="543"/>
      <c r="H144" s="242"/>
      <c r="I144" s="230"/>
      <c r="J144" s="111"/>
      <c r="K144" s="111"/>
      <c r="L144" s="111"/>
      <c r="M144" s="111"/>
      <c r="N144" s="60"/>
      <c r="O144" s="60"/>
      <c r="P144" s="593">
        <f t="shared" si="121"/>
        <v>0</v>
      </c>
      <c r="Q144" s="60"/>
      <c r="R144" s="60"/>
      <c r="S144" s="593">
        <f t="shared" si="122"/>
        <v>0</v>
      </c>
      <c r="T144" s="60"/>
      <c r="U144" s="60"/>
      <c r="V144" s="593">
        <f t="shared" si="123"/>
        <v>0</v>
      </c>
      <c r="W144" s="391">
        <f t="shared" si="127"/>
        <v>0</v>
      </c>
      <c r="X144" s="17">
        <f t="shared" si="128"/>
        <v>0</v>
      </c>
      <c r="Y144" s="18">
        <f t="shared" si="129"/>
        <v>0</v>
      </c>
      <c r="Z144" s="19">
        <f>IF(Y$145=0,0,Y144/Y$145)</f>
        <v>0</v>
      </c>
      <c r="AA144" s="201"/>
      <c r="AB144" s="201"/>
      <c r="AC144" s="84"/>
      <c r="AE144" s="113"/>
      <c r="AF144" s="113"/>
      <c r="AG144" s="113"/>
      <c r="AH144" s="113"/>
      <c r="AI144" s="113"/>
      <c r="AK144" s="113"/>
      <c r="AL144" s="113"/>
      <c r="AM144" s="113"/>
      <c r="AN144" s="113"/>
      <c r="AO144" s="113"/>
      <c r="AQ144" s="84"/>
      <c r="AR144" s="84"/>
      <c r="AS144" s="84"/>
      <c r="AT144" s="17">
        <f t="shared" si="130"/>
        <v>0</v>
      </c>
      <c r="AU144" s="19">
        <f>IF(AT$145=0,0,AT144/AT$145)</f>
        <v>0</v>
      </c>
      <c r="AW144" s="84"/>
      <c r="AX144" s="84"/>
      <c r="AY144" s="84"/>
      <c r="AZ144" s="424">
        <f t="shared" si="126"/>
        <v>0</v>
      </c>
      <c r="BA144" s="19">
        <f>IF(AZ$145=0,0,AZ144/AZ$145)</f>
        <v>0</v>
      </c>
    </row>
    <row r="145" spans="1:53" ht="16.5" customHeight="1" x14ac:dyDescent="0.25">
      <c r="A145" s="40"/>
      <c r="B145" s="40"/>
      <c r="C145" s="77"/>
      <c r="D145" s="144"/>
      <c r="E145" s="144"/>
      <c r="F145" s="145"/>
      <c r="G145" s="283"/>
      <c r="H145" s="119"/>
      <c r="I145" s="236"/>
      <c r="J145" s="64"/>
      <c r="K145" s="64"/>
      <c r="L145" s="64"/>
      <c r="M145" s="64"/>
      <c r="N145" s="81">
        <f t="shared" ref="N145:Y145" si="131">SUM(N142:N144)</f>
        <v>2</v>
      </c>
      <c r="O145" s="81">
        <f t="shared" si="131"/>
        <v>3</v>
      </c>
      <c r="P145" s="81">
        <f t="shared" si="131"/>
        <v>5</v>
      </c>
      <c r="Q145" s="81">
        <f t="shared" si="131"/>
        <v>0</v>
      </c>
      <c r="R145" s="81">
        <f t="shared" si="131"/>
        <v>0</v>
      </c>
      <c r="S145" s="81">
        <f t="shared" si="131"/>
        <v>0</v>
      </c>
      <c r="T145" s="81">
        <f t="shared" si="131"/>
        <v>0</v>
      </c>
      <c r="U145" s="81">
        <f t="shared" si="131"/>
        <v>0</v>
      </c>
      <c r="V145" s="356">
        <f t="shared" si="131"/>
        <v>0</v>
      </c>
      <c r="W145" s="381">
        <f t="shared" si="131"/>
        <v>2</v>
      </c>
      <c r="X145" s="82">
        <f t="shared" si="131"/>
        <v>3</v>
      </c>
      <c r="Y145" s="82">
        <f t="shared" si="131"/>
        <v>5</v>
      </c>
      <c r="Z145" s="205">
        <f>IF(Y$145=0,0,Y145/Y$145)</f>
        <v>1</v>
      </c>
      <c r="AA145" s="205"/>
      <c r="AB145" s="205"/>
      <c r="AC145" s="83"/>
      <c r="AE145" s="81"/>
      <c r="AF145" s="81"/>
      <c r="AG145" s="82"/>
      <c r="AH145" s="324"/>
      <c r="AI145" s="66"/>
      <c r="AK145" s="81"/>
      <c r="AL145" s="81"/>
      <c r="AM145" s="82"/>
      <c r="AN145" s="324"/>
      <c r="AO145" s="66"/>
      <c r="AQ145" s="81"/>
      <c r="AR145" s="81"/>
      <c r="AS145" s="82"/>
      <c r="AT145" s="324">
        <f>SUM(AT142:AT144)</f>
        <v>2</v>
      </c>
      <c r="AU145" s="66">
        <f>IF(AT$145=0,0,AT145/AT$145)</f>
        <v>1</v>
      </c>
      <c r="AW145" s="81"/>
      <c r="AX145" s="81"/>
      <c r="AY145" s="82"/>
      <c r="AZ145" s="324">
        <f>SUM(AZ142:AZ144)</f>
        <v>3</v>
      </c>
      <c r="BA145" s="66">
        <f>IF(AZ$145=0,0,AZ145/AZ$145)</f>
        <v>1</v>
      </c>
    </row>
    <row r="146" spans="1:53" s="117" customFormat="1" ht="17.100000000000001" customHeight="1" x14ac:dyDescent="0.25">
      <c r="A146" s="119"/>
      <c r="B146" s="119"/>
      <c r="C146" s="540"/>
      <c r="D146" s="212"/>
      <c r="E146" s="212"/>
      <c r="F146" s="212"/>
      <c r="G146" s="212"/>
      <c r="H146" s="242"/>
      <c r="I146" s="230"/>
      <c r="J146" s="17"/>
      <c r="K146" s="17"/>
      <c r="L146" s="17"/>
      <c r="M146" s="17"/>
      <c r="N146" s="17" t="str">
        <f>IF(N145=N$20,"OK","NOK")</f>
        <v>OK</v>
      </c>
      <c r="O146" s="17" t="str">
        <f>IF(O145=O$20,"OK","NOK")</f>
        <v>OK</v>
      </c>
      <c r="P146" s="17"/>
      <c r="Q146" s="17" t="str">
        <f>IF(Q145=Q$20,"OK","NOK")</f>
        <v>OK</v>
      </c>
      <c r="R146" s="17" t="str">
        <f>IF(R145=R$20,"OK","NOK")</f>
        <v>OK</v>
      </c>
      <c r="S146" s="17"/>
      <c r="T146" s="17" t="str">
        <f>IF(T145=T$20,"OK","NOK")</f>
        <v>OK</v>
      </c>
      <c r="U146" s="17" t="str">
        <f>IF(U145=U$20,"OK","NOK")</f>
        <v>OK</v>
      </c>
      <c r="V146" s="359"/>
      <c r="W146" s="382"/>
      <c r="X146" s="539"/>
      <c r="Y146" s="539"/>
      <c r="Z146" s="201"/>
      <c r="AA146" s="201"/>
      <c r="AB146" s="201"/>
      <c r="AC146" s="84"/>
      <c r="AE146" s="17"/>
      <c r="AF146" s="17"/>
      <c r="AG146" s="17"/>
      <c r="AH146" s="539"/>
      <c r="AI146" s="91"/>
      <c r="AK146" s="17"/>
      <c r="AL146" s="17"/>
      <c r="AM146" s="17"/>
      <c r="AN146" s="539"/>
      <c r="AO146" s="91"/>
      <c r="AQ146" s="17"/>
      <c r="AR146" s="17"/>
      <c r="AS146" s="17"/>
      <c r="AT146" s="539"/>
      <c r="AU146" s="91"/>
      <c r="AW146" s="17"/>
      <c r="AX146" s="17"/>
      <c r="AY146" s="17"/>
      <c r="AZ146" s="17"/>
      <c r="BA146" s="91"/>
    </row>
    <row r="147" spans="1:53" ht="17.100000000000001" customHeight="1" x14ac:dyDescent="0.25">
      <c r="A147" s="40"/>
      <c r="B147" s="41" t="s">
        <v>110</v>
      </c>
      <c r="C147" s="42" t="s">
        <v>565</v>
      </c>
      <c r="D147" s="43"/>
      <c r="E147" s="43"/>
      <c r="F147" s="43"/>
      <c r="G147" s="44"/>
      <c r="H147" s="23"/>
      <c r="I147" s="229"/>
      <c r="J147" s="71"/>
      <c r="K147" s="71"/>
      <c r="L147" s="71"/>
      <c r="M147" s="71"/>
      <c r="N147" s="71"/>
      <c r="O147" s="71"/>
      <c r="P147" s="71"/>
      <c r="Q147" s="71"/>
      <c r="R147" s="71"/>
      <c r="S147" s="71"/>
      <c r="T147" s="71"/>
      <c r="U147" s="71"/>
      <c r="V147" s="71"/>
      <c r="W147" s="71"/>
      <c r="X147" s="71"/>
      <c r="Y147" s="71"/>
      <c r="Z147" s="73"/>
      <c r="AA147" s="73"/>
      <c r="AB147" s="73"/>
      <c r="AC147" s="73"/>
      <c r="AE147" s="71"/>
      <c r="AF147" s="71"/>
      <c r="AG147" s="73"/>
      <c r="AH147" s="73"/>
      <c r="AI147" s="73"/>
      <c r="AK147" s="71"/>
      <c r="AL147" s="71"/>
      <c r="AM147" s="73"/>
      <c r="AN147" s="73"/>
      <c r="AO147" s="73"/>
      <c r="AQ147" s="71"/>
      <c r="AR147" s="71"/>
      <c r="AS147" s="73"/>
      <c r="AT147" s="73"/>
      <c r="AU147" s="73"/>
      <c r="AW147" s="71"/>
      <c r="AX147" s="71"/>
      <c r="AY147" s="73"/>
      <c r="AZ147" s="73"/>
      <c r="BA147" s="73"/>
    </row>
    <row r="148" spans="1:53" ht="17.100000000000001" customHeight="1" x14ac:dyDescent="0.25">
      <c r="A148" s="40"/>
      <c r="B148" s="40"/>
      <c r="C148" s="141" t="s">
        <v>112</v>
      </c>
      <c r="D148" s="85" t="s">
        <v>566</v>
      </c>
      <c r="E148" s="75"/>
      <c r="F148" s="75"/>
      <c r="G148" s="76"/>
      <c r="H148" s="23"/>
      <c r="I148" s="229"/>
      <c r="J148" s="174"/>
      <c r="K148" s="174"/>
      <c r="L148" s="111"/>
      <c r="M148" s="111"/>
      <c r="N148" s="60"/>
      <c r="O148" s="60"/>
      <c r="P148" s="593">
        <f t="shared" ref="P148:P150" si="132">SUM(N148:O148)</f>
        <v>0</v>
      </c>
      <c r="Q148" s="60"/>
      <c r="R148" s="60"/>
      <c r="S148" s="593">
        <f t="shared" ref="S148:S150" si="133">SUM(Q148:R148)</f>
        <v>0</v>
      </c>
      <c r="T148" s="60"/>
      <c r="U148" s="60"/>
      <c r="V148" s="593">
        <f t="shared" ref="V148:V150" si="134">SUM(T148:U148)</f>
        <v>0</v>
      </c>
      <c r="W148" s="391">
        <f t="shared" ref="W148:W150" si="135">J148+K148+N148+Q148+T148</f>
        <v>0</v>
      </c>
      <c r="X148" s="17">
        <f t="shared" ref="X148:X150" si="136">L148+O148+R148+U148</f>
        <v>0</v>
      </c>
      <c r="Y148" s="18">
        <f t="shared" ref="Y148:Y150" si="137">SUM(W148:X148)</f>
        <v>0</v>
      </c>
      <c r="Z148" s="19">
        <f>IF(Y$151=0,0,Y148/Y$151)</f>
        <v>0</v>
      </c>
      <c r="AA148" s="19"/>
      <c r="AB148" s="19"/>
      <c r="AC148" s="20"/>
      <c r="AE148" s="111"/>
      <c r="AF148" s="111"/>
      <c r="AG148" s="111"/>
      <c r="AH148" s="545"/>
      <c r="AI148" s="131"/>
      <c r="AK148" s="111"/>
      <c r="AL148" s="111"/>
      <c r="AM148" s="111"/>
      <c r="AN148" s="545"/>
      <c r="AO148" s="131"/>
      <c r="AQ148" s="17"/>
      <c r="AR148" s="17"/>
      <c r="AS148" s="17"/>
      <c r="AT148" s="17">
        <f t="shared" ref="AT148:AT150" si="138">W148</f>
        <v>0</v>
      </c>
      <c r="AU148" s="19">
        <f>IF(AT$151=0,0,AT148/AT$151)</f>
        <v>0</v>
      </c>
      <c r="AW148" s="17"/>
      <c r="AX148" s="17"/>
      <c r="AY148" s="17"/>
      <c r="AZ148" s="424">
        <f>X148</f>
        <v>0</v>
      </c>
      <c r="BA148" s="19">
        <f>IF(AZ$151=0,0,AZ148/AZ$151)</f>
        <v>0</v>
      </c>
    </row>
    <row r="149" spans="1:53" ht="17.100000000000001" customHeight="1" x14ac:dyDescent="0.25">
      <c r="A149" s="40"/>
      <c r="B149" s="40"/>
      <c r="C149" s="141" t="s">
        <v>114</v>
      </c>
      <c r="D149" s="85" t="s">
        <v>567</v>
      </c>
      <c r="E149" s="75"/>
      <c r="F149" s="75"/>
      <c r="G149" s="76"/>
      <c r="H149" s="23"/>
      <c r="I149" s="229"/>
      <c r="J149" s="174"/>
      <c r="K149" s="174"/>
      <c r="L149" s="111"/>
      <c r="M149" s="111"/>
      <c r="N149" s="61"/>
      <c r="O149" s="61"/>
      <c r="P149" s="593">
        <f t="shared" si="132"/>
        <v>0</v>
      </c>
      <c r="Q149" s="61"/>
      <c r="R149" s="61"/>
      <c r="S149" s="593">
        <f t="shared" si="133"/>
        <v>0</v>
      </c>
      <c r="T149" s="61"/>
      <c r="U149" s="61"/>
      <c r="V149" s="593">
        <f t="shared" si="134"/>
        <v>0</v>
      </c>
      <c r="W149" s="391">
        <f t="shared" si="135"/>
        <v>0</v>
      </c>
      <c r="X149" s="17">
        <f t="shared" si="136"/>
        <v>0</v>
      </c>
      <c r="Y149" s="18">
        <f t="shared" si="137"/>
        <v>0</v>
      </c>
      <c r="Z149" s="19">
        <f t="shared" ref="Z149:Z151" si="139">IF(Y$151=0,0,Y149/Y$151)</f>
        <v>0</v>
      </c>
      <c r="AA149" s="19"/>
      <c r="AB149" s="19"/>
      <c r="AC149" s="20"/>
      <c r="AE149" s="111"/>
      <c r="AF149" s="111"/>
      <c r="AG149" s="111"/>
      <c r="AH149" s="545"/>
      <c r="AI149" s="131"/>
      <c r="AK149" s="111"/>
      <c r="AL149" s="111"/>
      <c r="AM149" s="111"/>
      <c r="AN149" s="545"/>
      <c r="AO149" s="131"/>
      <c r="AQ149" s="17"/>
      <c r="AR149" s="17"/>
      <c r="AS149" s="17"/>
      <c r="AT149" s="17">
        <f t="shared" si="138"/>
        <v>0</v>
      </c>
      <c r="AU149" s="19">
        <f t="shared" ref="AU149:AU151" si="140">IF(AT$151=0,0,AT149/AT$151)</f>
        <v>0</v>
      </c>
      <c r="AW149" s="17"/>
      <c r="AX149" s="17"/>
      <c r="AY149" s="17"/>
      <c r="AZ149" s="424">
        <f t="shared" ref="AZ149:AZ150" si="141">X149</f>
        <v>0</v>
      </c>
      <c r="BA149" s="19">
        <f t="shared" ref="BA149:BA151" si="142">IF(AZ$151=0,0,AZ149/AZ$151)</f>
        <v>0</v>
      </c>
    </row>
    <row r="150" spans="1:53" ht="17.100000000000001" customHeight="1" x14ac:dyDescent="0.25">
      <c r="A150" s="40"/>
      <c r="B150" s="40"/>
      <c r="C150" s="141" t="s">
        <v>568</v>
      </c>
      <c r="D150" s="85" t="s">
        <v>614</v>
      </c>
      <c r="E150" s="542"/>
      <c r="F150" s="542"/>
      <c r="G150" s="281"/>
      <c r="H150" s="254"/>
      <c r="I150" s="235"/>
      <c r="J150" s="111"/>
      <c r="K150" s="111"/>
      <c r="L150" s="111"/>
      <c r="M150" s="111"/>
      <c r="N150" s="60">
        <v>2</v>
      </c>
      <c r="O150" s="60">
        <v>3</v>
      </c>
      <c r="P150" s="593">
        <f t="shared" si="132"/>
        <v>5</v>
      </c>
      <c r="Q150" s="60"/>
      <c r="R150" s="60"/>
      <c r="S150" s="593">
        <f t="shared" si="133"/>
        <v>0</v>
      </c>
      <c r="T150" s="60"/>
      <c r="U150" s="60"/>
      <c r="V150" s="593">
        <f t="shared" si="134"/>
        <v>0</v>
      </c>
      <c r="W150" s="391">
        <f t="shared" si="135"/>
        <v>2</v>
      </c>
      <c r="X150" s="17">
        <f t="shared" si="136"/>
        <v>3</v>
      </c>
      <c r="Y150" s="18">
        <f t="shared" si="137"/>
        <v>5</v>
      </c>
      <c r="Z150" s="19">
        <f t="shared" si="139"/>
        <v>1</v>
      </c>
      <c r="AA150" s="91"/>
      <c r="AB150" s="91"/>
      <c r="AC150" s="84"/>
      <c r="AE150" s="111"/>
      <c r="AF150" s="111"/>
      <c r="AG150" s="111"/>
      <c r="AH150" s="545"/>
      <c r="AI150" s="131"/>
      <c r="AK150" s="111"/>
      <c r="AL150" s="111"/>
      <c r="AM150" s="111"/>
      <c r="AN150" s="545"/>
      <c r="AO150" s="131"/>
      <c r="AQ150" s="17"/>
      <c r="AR150" s="17"/>
      <c r="AS150" s="17"/>
      <c r="AT150" s="17">
        <f t="shared" si="138"/>
        <v>2</v>
      </c>
      <c r="AU150" s="19">
        <f t="shared" si="140"/>
        <v>1</v>
      </c>
      <c r="AW150" s="17"/>
      <c r="AX150" s="17"/>
      <c r="AY150" s="17"/>
      <c r="AZ150" s="424">
        <f t="shared" si="141"/>
        <v>3</v>
      </c>
      <c r="BA150" s="19">
        <f t="shared" si="142"/>
        <v>1</v>
      </c>
    </row>
    <row r="151" spans="1:53" ht="17.100000000000001" customHeight="1" x14ac:dyDescent="0.25">
      <c r="A151" s="40"/>
      <c r="B151" s="40"/>
      <c r="C151" s="77"/>
      <c r="D151" s="144"/>
      <c r="E151" s="144"/>
      <c r="F151" s="145"/>
      <c r="G151" s="283"/>
      <c r="H151" s="119"/>
      <c r="I151" s="236"/>
      <c r="J151" s="64"/>
      <c r="K151" s="64"/>
      <c r="L151" s="81"/>
      <c r="M151" s="81"/>
      <c r="N151" s="81">
        <f>SUM(N148:N150)</f>
        <v>2</v>
      </c>
      <c r="O151" s="81">
        <f t="shared" ref="O151:Y151" si="143">SUM(O148:O150)</f>
        <v>3</v>
      </c>
      <c r="P151" s="81">
        <f t="shared" si="143"/>
        <v>5</v>
      </c>
      <c r="Q151" s="81">
        <f t="shared" si="143"/>
        <v>0</v>
      </c>
      <c r="R151" s="81">
        <f t="shared" si="143"/>
        <v>0</v>
      </c>
      <c r="S151" s="81">
        <f t="shared" si="143"/>
        <v>0</v>
      </c>
      <c r="T151" s="81">
        <f t="shared" si="143"/>
        <v>0</v>
      </c>
      <c r="U151" s="81">
        <f t="shared" si="143"/>
        <v>0</v>
      </c>
      <c r="V151" s="81">
        <f t="shared" si="143"/>
        <v>0</v>
      </c>
      <c r="W151" s="82">
        <f t="shared" si="143"/>
        <v>2</v>
      </c>
      <c r="X151" s="82">
        <f t="shared" si="143"/>
        <v>3</v>
      </c>
      <c r="Y151" s="82">
        <f t="shared" si="143"/>
        <v>5</v>
      </c>
      <c r="Z151" s="205">
        <f t="shared" si="139"/>
        <v>1</v>
      </c>
      <c r="AA151" s="205"/>
      <c r="AB151" s="205"/>
      <c r="AC151" s="83"/>
      <c r="AE151" s="81"/>
      <c r="AF151" s="81"/>
      <c r="AG151" s="82"/>
      <c r="AH151" s="82"/>
      <c r="AI151" s="66"/>
      <c r="AK151" s="81"/>
      <c r="AL151" s="81"/>
      <c r="AM151" s="82"/>
      <c r="AN151" s="82"/>
      <c r="AO151" s="66"/>
      <c r="AQ151" s="81"/>
      <c r="AR151" s="81"/>
      <c r="AS151" s="82"/>
      <c r="AT151" s="82">
        <f>SUM(AT148:AT150)</f>
        <v>2</v>
      </c>
      <c r="AU151" s="66">
        <f t="shared" si="140"/>
        <v>1</v>
      </c>
      <c r="AW151" s="81"/>
      <c r="AX151" s="81"/>
      <c r="AY151" s="82"/>
      <c r="AZ151" s="82">
        <f>SUM(AZ148:AZ150)</f>
        <v>3</v>
      </c>
      <c r="BA151" s="66">
        <f t="shared" si="142"/>
        <v>1</v>
      </c>
    </row>
    <row r="152" spans="1:53" s="117" customFormat="1" ht="17.100000000000001" customHeight="1" x14ac:dyDescent="0.25">
      <c r="A152" s="119"/>
      <c r="B152" s="119"/>
      <c r="C152" s="540"/>
      <c r="D152" s="212"/>
      <c r="E152" s="212"/>
      <c r="F152" s="212"/>
      <c r="G152" s="212"/>
      <c r="H152" s="242"/>
      <c r="I152" s="230"/>
      <c r="J152" s="17"/>
      <c r="K152" s="17"/>
      <c r="L152" s="17"/>
      <c r="M152" s="17"/>
      <c r="N152" s="17" t="str">
        <f>IF(N151=N$20,"OK","NOK")</f>
        <v>OK</v>
      </c>
      <c r="O152" s="17" t="str">
        <f>IF(O151=O$20,"OK","NOK")</f>
        <v>OK</v>
      </c>
      <c r="P152" s="17"/>
      <c r="Q152" s="17" t="str">
        <f>IF(Q151=Q$20,"OK","NOK")</f>
        <v>OK</v>
      </c>
      <c r="R152" s="17" t="str">
        <f>IF(R151=R$20,"OK","NOK")</f>
        <v>OK</v>
      </c>
      <c r="S152" s="17"/>
      <c r="T152" s="17" t="str">
        <f>IF(T151=T$20,"OK","NOK")</f>
        <v>OK</v>
      </c>
      <c r="U152" s="17" t="str">
        <f>IF(U151=U$20,"OK","NOK")</f>
        <v>OK</v>
      </c>
      <c r="V152" s="359"/>
      <c r="W152" s="382"/>
      <c r="X152" s="539"/>
      <c r="Y152" s="539"/>
      <c r="Z152" s="201"/>
      <c r="AA152" s="201"/>
      <c r="AB152" s="201"/>
      <c r="AC152" s="84"/>
      <c r="AE152" s="17"/>
      <c r="AF152" s="17"/>
      <c r="AG152" s="17"/>
      <c r="AH152" s="539"/>
      <c r="AI152" s="91"/>
      <c r="AK152" s="17"/>
      <c r="AL152" s="17"/>
      <c r="AM152" s="17"/>
      <c r="AN152" s="539"/>
      <c r="AO152" s="91"/>
      <c r="AQ152" s="17"/>
      <c r="AR152" s="17"/>
      <c r="AS152" s="17"/>
      <c r="AT152" s="539"/>
      <c r="AU152" s="91"/>
      <c r="AW152" s="17"/>
      <c r="AX152" s="17"/>
      <c r="AY152" s="17"/>
      <c r="AZ152" s="17"/>
      <c r="BA152" s="91"/>
    </row>
    <row r="153" spans="1:53" ht="17.100000000000001" customHeight="1" x14ac:dyDescent="0.25">
      <c r="A153" s="40"/>
      <c r="B153" s="40"/>
      <c r="C153" s="40"/>
      <c r="D153" s="85" t="s">
        <v>613</v>
      </c>
      <c r="E153" s="150"/>
      <c r="F153" s="151"/>
      <c r="G153" s="318"/>
      <c r="H153" s="119"/>
      <c r="I153" s="236"/>
      <c r="J153" s="174"/>
      <c r="K153" s="174"/>
      <c r="L153" s="111"/>
      <c r="M153" s="111"/>
      <c r="N153" s="111"/>
      <c r="O153" s="111"/>
      <c r="P153" s="111"/>
      <c r="Q153" s="111"/>
      <c r="R153" s="111"/>
      <c r="S153" s="111"/>
      <c r="T153" s="111"/>
      <c r="U153" s="111"/>
      <c r="V153" s="111"/>
      <c r="W153" s="111"/>
      <c r="X153" s="111"/>
      <c r="Y153" s="111"/>
      <c r="Z153" s="131"/>
      <c r="AA153" s="131"/>
      <c r="AB153" s="131"/>
      <c r="AC153" s="113"/>
      <c r="AE153" s="111"/>
      <c r="AF153" s="111"/>
      <c r="AG153" s="545"/>
      <c r="AH153" s="131"/>
      <c r="AI153" s="113"/>
      <c r="AK153" s="111"/>
      <c r="AL153" s="111"/>
      <c r="AM153" s="545"/>
      <c r="AN153" s="131"/>
      <c r="AO153" s="113"/>
      <c r="AQ153" s="111"/>
      <c r="AR153" s="111"/>
      <c r="AS153" s="545"/>
      <c r="AT153" s="131"/>
      <c r="AU153" s="113"/>
      <c r="AW153" s="111"/>
      <c r="AX153" s="111"/>
      <c r="AY153" s="545"/>
      <c r="AZ153" s="131"/>
      <c r="BA153" s="113"/>
    </row>
    <row r="154" spans="1:53" ht="17.100000000000001" customHeight="1" x14ac:dyDescent="0.25">
      <c r="A154" s="40"/>
      <c r="B154" s="40"/>
      <c r="C154" s="40"/>
      <c r="D154" s="74" t="s">
        <v>569</v>
      </c>
      <c r="E154" s="85" t="s">
        <v>570</v>
      </c>
      <c r="F154" s="75"/>
      <c r="G154" s="76"/>
      <c r="H154" s="316"/>
      <c r="I154" s="230"/>
      <c r="J154" s="174"/>
      <c r="K154" s="174"/>
      <c r="L154" s="111"/>
      <c r="M154" s="111"/>
      <c r="N154" s="60">
        <v>2</v>
      </c>
      <c r="O154" s="60">
        <v>3</v>
      </c>
      <c r="P154" s="593">
        <f t="shared" ref="P154:P168" si="144">SUM(N154:O154)</f>
        <v>5</v>
      </c>
      <c r="Q154" s="60"/>
      <c r="R154" s="60"/>
      <c r="S154" s="593">
        <f t="shared" ref="S154:S163" si="145">SUM(Q154:R154)</f>
        <v>0</v>
      </c>
      <c r="T154" s="60"/>
      <c r="U154" s="60"/>
      <c r="V154" s="593">
        <f t="shared" ref="V154:V163" si="146">SUM(T154:U154)</f>
        <v>0</v>
      </c>
      <c r="W154" s="391">
        <f t="shared" ref="W154:W163" si="147">J154+K154+N154+Q154+T154</f>
        <v>2</v>
      </c>
      <c r="X154" s="17">
        <f t="shared" ref="X154:X163" si="148">L154+O154+R154+U154</f>
        <v>3</v>
      </c>
      <c r="Y154" s="18">
        <f t="shared" ref="Y154:Y163" si="149">SUM(W154:X154)</f>
        <v>5</v>
      </c>
      <c r="Z154" s="19">
        <f t="shared" ref="Z154:Z163" si="150">IF(Y$169=0,0,Y154/Y$169)</f>
        <v>0.55555555555555558</v>
      </c>
      <c r="AA154" s="19"/>
      <c r="AB154" s="19"/>
      <c r="AC154" s="20"/>
      <c r="AE154" s="111"/>
      <c r="AF154" s="111"/>
      <c r="AG154" s="111"/>
      <c r="AH154" s="545"/>
      <c r="AI154" s="131"/>
      <c r="AK154" s="111"/>
      <c r="AL154" s="111"/>
      <c r="AM154" s="111"/>
      <c r="AN154" s="545"/>
      <c r="AO154" s="131"/>
      <c r="AQ154" s="20"/>
      <c r="AR154" s="20"/>
      <c r="AS154" s="20"/>
      <c r="AT154" s="17">
        <f t="shared" ref="AT154:AT163" si="151">W154</f>
        <v>2</v>
      </c>
      <c r="AU154" s="19">
        <f t="shared" ref="AU154:AU163" si="152">IF(AT$169=0,0,AT154/AT$169)</f>
        <v>0.66666666666666663</v>
      </c>
      <c r="AW154" s="17"/>
      <c r="AX154" s="17"/>
      <c r="AY154" s="17"/>
      <c r="AZ154" s="424">
        <f>X154</f>
        <v>3</v>
      </c>
      <c r="BA154" s="19">
        <f t="shared" ref="BA154:BA163" si="153">IF(AZ$169=0,0,AZ154/AZ$169)</f>
        <v>0.5</v>
      </c>
    </row>
    <row r="155" spans="1:53" ht="17.100000000000001" customHeight="1" x14ac:dyDescent="0.25">
      <c r="A155" s="40"/>
      <c r="B155" s="40"/>
      <c r="C155" s="40"/>
      <c r="D155" s="74" t="s">
        <v>571</v>
      </c>
      <c r="E155" s="542" t="s">
        <v>572</v>
      </c>
      <c r="F155" s="542"/>
      <c r="G155" s="281"/>
      <c r="H155" s="254"/>
      <c r="I155" s="235"/>
      <c r="J155" s="174"/>
      <c r="K155" s="174"/>
      <c r="L155" s="111"/>
      <c r="M155" s="111"/>
      <c r="N155" s="61"/>
      <c r="O155" s="61"/>
      <c r="P155" s="593">
        <f t="shared" si="144"/>
        <v>0</v>
      </c>
      <c r="Q155" s="61"/>
      <c r="R155" s="61"/>
      <c r="S155" s="593">
        <f t="shared" si="145"/>
        <v>0</v>
      </c>
      <c r="T155" s="61"/>
      <c r="U155" s="61"/>
      <c r="V155" s="593">
        <f t="shared" si="146"/>
        <v>0</v>
      </c>
      <c r="W155" s="391">
        <f t="shared" si="147"/>
        <v>0</v>
      </c>
      <c r="X155" s="17">
        <f t="shared" si="148"/>
        <v>0</v>
      </c>
      <c r="Y155" s="18">
        <f t="shared" si="149"/>
        <v>0</v>
      </c>
      <c r="Z155" s="19">
        <f t="shared" si="150"/>
        <v>0</v>
      </c>
      <c r="AA155" s="19"/>
      <c r="AB155" s="19"/>
      <c r="AC155" s="20"/>
      <c r="AE155" s="111"/>
      <c r="AF155" s="111"/>
      <c r="AG155" s="111"/>
      <c r="AH155" s="545"/>
      <c r="AI155" s="131"/>
      <c r="AK155" s="111"/>
      <c r="AL155" s="111"/>
      <c r="AM155" s="111"/>
      <c r="AN155" s="545"/>
      <c r="AO155" s="131"/>
      <c r="AQ155" s="20"/>
      <c r="AR155" s="20"/>
      <c r="AS155" s="20"/>
      <c r="AT155" s="17">
        <f t="shared" si="151"/>
        <v>0</v>
      </c>
      <c r="AU155" s="19">
        <f t="shared" si="152"/>
        <v>0</v>
      </c>
      <c r="AW155" s="17"/>
      <c r="AX155" s="17"/>
      <c r="AY155" s="17"/>
      <c r="AZ155" s="424">
        <f t="shared" ref="AZ155:AZ163" si="154">X155</f>
        <v>0</v>
      </c>
      <c r="BA155" s="19">
        <f t="shared" si="153"/>
        <v>0</v>
      </c>
    </row>
    <row r="156" spans="1:53" ht="17.100000000000001" customHeight="1" x14ac:dyDescent="0.25">
      <c r="A156" s="40"/>
      <c r="B156" s="40"/>
      <c r="C156" s="40"/>
      <c r="D156" s="74" t="s">
        <v>573</v>
      </c>
      <c r="E156" s="542" t="s">
        <v>574</v>
      </c>
      <c r="F156" s="542"/>
      <c r="G156" s="281"/>
      <c r="H156" s="254"/>
      <c r="I156" s="235"/>
      <c r="J156" s="174"/>
      <c r="K156" s="174"/>
      <c r="L156" s="111"/>
      <c r="M156" s="111"/>
      <c r="N156" s="60">
        <v>1</v>
      </c>
      <c r="O156" s="60">
        <v>3</v>
      </c>
      <c r="P156" s="593">
        <f t="shared" si="144"/>
        <v>4</v>
      </c>
      <c r="Q156" s="60"/>
      <c r="R156" s="60"/>
      <c r="S156" s="593">
        <f t="shared" si="145"/>
        <v>0</v>
      </c>
      <c r="T156" s="60"/>
      <c r="U156" s="60"/>
      <c r="V156" s="593">
        <f t="shared" si="146"/>
        <v>0</v>
      </c>
      <c r="W156" s="391">
        <f t="shared" si="147"/>
        <v>1</v>
      </c>
      <c r="X156" s="17">
        <f t="shared" si="148"/>
        <v>3</v>
      </c>
      <c r="Y156" s="18">
        <f t="shared" si="149"/>
        <v>4</v>
      </c>
      <c r="Z156" s="19">
        <f t="shared" si="150"/>
        <v>0.44444444444444442</v>
      </c>
      <c r="AA156" s="19"/>
      <c r="AB156" s="19"/>
      <c r="AC156" s="20"/>
      <c r="AE156" s="111"/>
      <c r="AF156" s="111"/>
      <c r="AG156" s="111"/>
      <c r="AH156" s="545"/>
      <c r="AI156" s="131"/>
      <c r="AK156" s="111"/>
      <c r="AL156" s="111"/>
      <c r="AM156" s="111"/>
      <c r="AN156" s="545"/>
      <c r="AO156" s="131"/>
      <c r="AQ156" s="20"/>
      <c r="AR156" s="20"/>
      <c r="AS156" s="20"/>
      <c r="AT156" s="17">
        <f t="shared" si="151"/>
        <v>1</v>
      </c>
      <c r="AU156" s="19">
        <f t="shared" si="152"/>
        <v>0.33333333333333331</v>
      </c>
      <c r="AW156" s="17"/>
      <c r="AX156" s="17"/>
      <c r="AY156" s="17"/>
      <c r="AZ156" s="424">
        <f t="shared" si="154"/>
        <v>3</v>
      </c>
      <c r="BA156" s="19">
        <f t="shared" si="153"/>
        <v>0.5</v>
      </c>
    </row>
    <row r="157" spans="1:53" ht="17.100000000000001" customHeight="1" x14ac:dyDescent="0.25">
      <c r="A157" s="40"/>
      <c r="B157" s="40"/>
      <c r="C157" s="40"/>
      <c r="D157" s="74" t="s">
        <v>575</v>
      </c>
      <c r="E157" s="542" t="s">
        <v>576</v>
      </c>
      <c r="F157" s="542"/>
      <c r="G157" s="281"/>
      <c r="H157" s="254"/>
      <c r="I157" s="235"/>
      <c r="J157" s="174"/>
      <c r="K157" s="174"/>
      <c r="L157" s="111"/>
      <c r="M157" s="111"/>
      <c r="N157" s="61"/>
      <c r="O157" s="61"/>
      <c r="P157" s="593">
        <f t="shared" si="144"/>
        <v>0</v>
      </c>
      <c r="Q157" s="61"/>
      <c r="R157" s="61"/>
      <c r="S157" s="593">
        <f t="shared" si="145"/>
        <v>0</v>
      </c>
      <c r="T157" s="61"/>
      <c r="U157" s="61"/>
      <c r="V157" s="593">
        <f t="shared" si="146"/>
        <v>0</v>
      </c>
      <c r="W157" s="391">
        <f t="shared" si="147"/>
        <v>0</v>
      </c>
      <c r="X157" s="17">
        <f t="shared" si="148"/>
        <v>0</v>
      </c>
      <c r="Y157" s="18">
        <f t="shared" si="149"/>
        <v>0</v>
      </c>
      <c r="Z157" s="19">
        <f t="shared" si="150"/>
        <v>0</v>
      </c>
      <c r="AA157" s="19"/>
      <c r="AB157" s="19"/>
      <c r="AC157" s="20"/>
      <c r="AE157" s="111"/>
      <c r="AF157" s="111"/>
      <c r="AG157" s="111"/>
      <c r="AH157" s="545"/>
      <c r="AI157" s="131"/>
      <c r="AK157" s="111"/>
      <c r="AL157" s="111"/>
      <c r="AM157" s="111"/>
      <c r="AN157" s="545"/>
      <c r="AO157" s="131"/>
      <c r="AQ157" s="20"/>
      <c r="AR157" s="20"/>
      <c r="AS157" s="20"/>
      <c r="AT157" s="17">
        <f t="shared" si="151"/>
        <v>0</v>
      </c>
      <c r="AU157" s="19">
        <f t="shared" si="152"/>
        <v>0</v>
      </c>
      <c r="AW157" s="17"/>
      <c r="AX157" s="17"/>
      <c r="AY157" s="17"/>
      <c r="AZ157" s="424">
        <f t="shared" si="154"/>
        <v>0</v>
      </c>
      <c r="BA157" s="19">
        <f t="shared" si="153"/>
        <v>0</v>
      </c>
    </row>
    <row r="158" spans="1:53" ht="17.100000000000001" customHeight="1" x14ac:dyDescent="0.25">
      <c r="A158" s="40"/>
      <c r="B158" s="40"/>
      <c r="C158" s="40"/>
      <c r="D158" s="74" t="s">
        <v>577</v>
      </c>
      <c r="E158" s="85" t="s">
        <v>578</v>
      </c>
      <c r="F158" s="75"/>
      <c r="G158" s="76"/>
      <c r="H158" s="316"/>
      <c r="I158" s="230"/>
      <c r="J158" s="174"/>
      <c r="K158" s="174"/>
      <c r="L158" s="111"/>
      <c r="M158" s="111"/>
      <c r="N158" s="60"/>
      <c r="O158" s="60"/>
      <c r="P158" s="593">
        <f t="shared" si="144"/>
        <v>0</v>
      </c>
      <c r="Q158" s="60"/>
      <c r="R158" s="60"/>
      <c r="S158" s="593">
        <f t="shared" si="145"/>
        <v>0</v>
      </c>
      <c r="T158" s="60"/>
      <c r="U158" s="60"/>
      <c r="V158" s="593">
        <f t="shared" si="146"/>
        <v>0</v>
      </c>
      <c r="W158" s="391">
        <f t="shared" si="147"/>
        <v>0</v>
      </c>
      <c r="X158" s="17">
        <f t="shared" si="148"/>
        <v>0</v>
      </c>
      <c r="Y158" s="18">
        <f t="shared" si="149"/>
        <v>0</v>
      </c>
      <c r="Z158" s="19">
        <f t="shared" si="150"/>
        <v>0</v>
      </c>
      <c r="AA158" s="19"/>
      <c r="AB158" s="19"/>
      <c r="AC158" s="20"/>
      <c r="AE158" s="111"/>
      <c r="AF158" s="111"/>
      <c r="AG158" s="111"/>
      <c r="AH158" s="545"/>
      <c r="AI158" s="131"/>
      <c r="AK158" s="111"/>
      <c r="AL158" s="111"/>
      <c r="AM158" s="111"/>
      <c r="AN158" s="545"/>
      <c r="AO158" s="131"/>
      <c r="AQ158" s="20"/>
      <c r="AR158" s="20"/>
      <c r="AS158" s="20"/>
      <c r="AT158" s="17">
        <f t="shared" si="151"/>
        <v>0</v>
      </c>
      <c r="AU158" s="19">
        <f t="shared" si="152"/>
        <v>0</v>
      </c>
      <c r="AW158" s="17"/>
      <c r="AX158" s="17"/>
      <c r="AY158" s="17"/>
      <c r="AZ158" s="424">
        <f t="shared" si="154"/>
        <v>0</v>
      </c>
      <c r="BA158" s="19">
        <f t="shared" si="153"/>
        <v>0</v>
      </c>
    </row>
    <row r="159" spans="1:53" ht="17.100000000000001" customHeight="1" x14ac:dyDescent="0.25">
      <c r="A159" s="40"/>
      <c r="B159" s="40"/>
      <c r="C159" s="40"/>
      <c r="D159" s="74" t="s">
        <v>579</v>
      </c>
      <c r="E159" s="85" t="s">
        <v>580</v>
      </c>
      <c r="F159" s="75"/>
      <c r="G159" s="76"/>
      <c r="H159" s="316"/>
      <c r="I159" s="230"/>
      <c r="J159" s="174"/>
      <c r="K159" s="174"/>
      <c r="L159" s="111"/>
      <c r="M159" s="111"/>
      <c r="N159" s="61"/>
      <c r="O159" s="61"/>
      <c r="P159" s="593">
        <f t="shared" si="144"/>
        <v>0</v>
      </c>
      <c r="Q159" s="61"/>
      <c r="R159" s="61"/>
      <c r="S159" s="593">
        <f t="shared" si="145"/>
        <v>0</v>
      </c>
      <c r="T159" s="61"/>
      <c r="U159" s="61"/>
      <c r="V159" s="593">
        <f t="shared" si="146"/>
        <v>0</v>
      </c>
      <c r="W159" s="391">
        <f t="shared" si="147"/>
        <v>0</v>
      </c>
      <c r="X159" s="17">
        <f t="shared" si="148"/>
        <v>0</v>
      </c>
      <c r="Y159" s="18">
        <f t="shared" si="149"/>
        <v>0</v>
      </c>
      <c r="Z159" s="19">
        <f t="shared" si="150"/>
        <v>0</v>
      </c>
      <c r="AA159" s="19"/>
      <c r="AB159" s="19"/>
      <c r="AC159" s="20"/>
      <c r="AE159" s="111"/>
      <c r="AF159" s="111"/>
      <c r="AG159" s="111"/>
      <c r="AH159" s="545"/>
      <c r="AI159" s="131"/>
      <c r="AK159" s="111"/>
      <c r="AL159" s="111"/>
      <c r="AM159" s="111"/>
      <c r="AN159" s="545"/>
      <c r="AO159" s="131"/>
      <c r="AQ159" s="20"/>
      <c r="AR159" s="20"/>
      <c r="AS159" s="20"/>
      <c r="AT159" s="17">
        <f t="shared" si="151"/>
        <v>0</v>
      </c>
      <c r="AU159" s="19">
        <f t="shared" si="152"/>
        <v>0</v>
      </c>
      <c r="AW159" s="17"/>
      <c r="AX159" s="17"/>
      <c r="AY159" s="17"/>
      <c r="AZ159" s="424">
        <f t="shared" si="154"/>
        <v>0</v>
      </c>
      <c r="BA159" s="19">
        <f t="shared" si="153"/>
        <v>0</v>
      </c>
    </row>
    <row r="160" spans="1:53" ht="17.100000000000001" customHeight="1" x14ac:dyDescent="0.25">
      <c r="A160" s="40"/>
      <c r="B160" s="40"/>
      <c r="C160" s="40"/>
      <c r="D160" s="74" t="s">
        <v>581</v>
      </c>
      <c r="E160" s="85" t="s">
        <v>582</v>
      </c>
      <c r="F160" s="75"/>
      <c r="G160" s="76"/>
      <c r="H160" s="316"/>
      <c r="I160" s="230"/>
      <c r="J160" s="174"/>
      <c r="K160" s="174"/>
      <c r="L160" s="111"/>
      <c r="M160" s="111"/>
      <c r="N160" s="60"/>
      <c r="O160" s="60"/>
      <c r="P160" s="593">
        <f t="shared" si="144"/>
        <v>0</v>
      </c>
      <c r="Q160" s="60"/>
      <c r="R160" s="60"/>
      <c r="S160" s="593">
        <f t="shared" si="145"/>
        <v>0</v>
      </c>
      <c r="T160" s="60"/>
      <c r="U160" s="60"/>
      <c r="V160" s="593">
        <f t="shared" si="146"/>
        <v>0</v>
      </c>
      <c r="W160" s="391">
        <f t="shared" si="147"/>
        <v>0</v>
      </c>
      <c r="X160" s="17">
        <f t="shared" si="148"/>
        <v>0</v>
      </c>
      <c r="Y160" s="18">
        <f t="shared" si="149"/>
        <v>0</v>
      </c>
      <c r="Z160" s="19">
        <f t="shared" si="150"/>
        <v>0</v>
      </c>
      <c r="AA160" s="19"/>
      <c r="AB160" s="19"/>
      <c r="AC160" s="20"/>
      <c r="AE160" s="111"/>
      <c r="AF160" s="111"/>
      <c r="AG160" s="111"/>
      <c r="AH160" s="545"/>
      <c r="AI160" s="131"/>
      <c r="AK160" s="111"/>
      <c r="AL160" s="111"/>
      <c r="AM160" s="111"/>
      <c r="AN160" s="545"/>
      <c r="AO160" s="131"/>
      <c r="AQ160" s="20"/>
      <c r="AR160" s="20"/>
      <c r="AS160" s="20"/>
      <c r="AT160" s="17">
        <f t="shared" si="151"/>
        <v>0</v>
      </c>
      <c r="AU160" s="19">
        <f t="shared" si="152"/>
        <v>0</v>
      </c>
      <c r="AW160" s="17"/>
      <c r="AX160" s="17"/>
      <c r="AY160" s="17"/>
      <c r="AZ160" s="424">
        <f t="shared" si="154"/>
        <v>0</v>
      </c>
      <c r="BA160" s="19">
        <f t="shared" si="153"/>
        <v>0</v>
      </c>
    </row>
    <row r="161" spans="1:53" ht="17.100000000000001" customHeight="1" x14ac:dyDescent="0.25">
      <c r="A161" s="40"/>
      <c r="B161" s="40"/>
      <c r="C161" s="40"/>
      <c r="D161" s="74" t="s">
        <v>583</v>
      </c>
      <c r="E161" s="85" t="s">
        <v>584</v>
      </c>
      <c r="F161" s="75"/>
      <c r="G161" s="76"/>
      <c r="H161" s="316"/>
      <c r="I161" s="230"/>
      <c r="J161" s="174"/>
      <c r="K161" s="174"/>
      <c r="L161" s="111"/>
      <c r="M161" s="111"/>
      <c r="N161" s="61"/>
      <c r="O161" s="61"/>
      <c r="P161" s="593">
        <f t="shared" si="144"/>
        <v>0</v>
      </c>
      <c r="Q161" s="61"/>
      <c r="R161" s="61"/>
      <c r="S161" s="593">
        <f t="shared" si="145"/>
        <v>0</v>
      </c>
      <c r="T161" s="61"/>
      <c r="U161" s="61"/>
      <c r="V161" s="593">
        <f t="shared" si="146"/>
        <v>0</v>
      </c>
      <c r="W161" s="391">
        <f t="shared" si="147"/>
        <v>0</v>
      </c>
      <c r="X161" s="17">
        <f t="shared" si="148"/>
        <v>0</v>
      </c>
      <c r="Y161" s="18">
        <f t="shared" si="149"/>
        <v>0</v>
      </c>
      <c r="Z161" s="19">
        <f t="shared" si="150"/>
        <v>0</v>
      </c>
      <c r="AA161" s="19"/>
      <c r="AB161" s="19"/>
      <c r="AC161" s="20"/>
      <c r="AE161" s="111"/>
      <c r="AF161" s="111"/>
      <c r="AG161" s="111"/>
      <c r="AH161" s="545"/>
      <c r="AI161" s="131"/>
      <c r="AK161" s="111"/>
      <c r="AL161" s="111"/>
      <c r="AM161" s="111"/>
      <c r="AN161" s="545"/>
      <c r="AO161" s="131"/>
      <c r="AQ161" s="20"/>
      <c r="AR161" s="20"/>
      <c r="AS161" s="20"/>
      <c r="AT161" s="17">
        <f t="shared" si="151"/>
        <v>0</v>
      </c>
      <c r="AU161" s="19">
        <f t="shared" si="152"/>
        <v>0</v>
      </c>
      <c r="AW161" s="17"/>
      <c r="AX161" s="17"/>
      <c r="AY161" s="17"/>
      <c r="AZ161" s="424">
        <f t="shared" si="154"/>
        <v>0</v>
      </c>
      <c r="BA161" s="19">
        <f t="shared" si="153"/>
        <v>0</v>
      </c>
    </row>
    <row r="162" spans="1:53" ht="17.100000000000001" customHeight="1" x14ac:dyDescent="0.25">
      <c r="A162" s="40"/>
      <c r="B162" s="40"/>
      <c r="C162" s="40"/>
      <c r="D162" s="74" t="s">
        <v>585</v>
      </c>
      <c r="E162" s="85" t="s">
        <v>586</v>
      </c>
      <c r="F162" s="75"/>
      <c r="G162" s="76"/>
      <c r="H162" s="316"/>
      <c r="I162" s="230"/>
      <c r="J162" s="174"/>
      <c r="K162" s="174"/>
      <c r="L162" s="111"/>
      <c r="M162" s="111"/>
      <c r="N162" s="60"/>
      <c r="O162" s="60"/>
      <c r="P162" s="593">
        <f t="shared" si="144"/>
        <v>0</v>
      </c>
      <c r="Q162" s="60"/>
      <c r="R162" s="60"/>
      <c r="S162" s="593">
        <f t="shared" si="145"/>
        <v>0</v>
      </c>
      <c r="T162" s="60"/>
      <c r="U162" s="60"/>
      <c r="V162" s="593">
        <f t="shared" si="146"/>
        <v>0</v>
      </c>
      <c r="W162" s="391">
        <f t="shared" si="147"/>
        <v>0</v>
      </c>
      <c r="X162" s="17">
        <f t="shared" si="148"/>
        <v>0</v>
      </c>
      <c r="Y162" s="18">
        <f t="shared" si="149"/>
        <v>0</v>
      </c>
      <c r="Z162" s="19">
        <f t="shared" si="150"/>
        <v>0</v>
      </c>
      <c r="AA162" s="19"/>
      <c r="AB162" s="19"/>
      <c r="AC162" s="20"/>
      <c r="AE162" s="111"/>
      <c r="AF162" s="111"/>
      <c r="AG162" s="111"/>
      <c r="AH162" s="545"/>
      <c r="AI162" s="131"/>
      <c r="AK162" s="111"/>
      <c r="AL162" s="111"/>
      <c r="AM162" s="111"/>
      <c r="AN162" s="545"/>
      <c r="AO162" s="131"/>
      <c r="AQ162" s="20"/>
      <c r="AR162" s="20"/>
      <c r="AS162" s="20"/>
      <c r="AT162" s="17">
        <f t="shared" si="151"/>
        <v>0</v>
      </c>
      <c r="AU162" s="19">
        <f t="shared" si="152"/>
        <v>0</v>
      </c>
      <c r="AW162" s="17"/>
      <c r="AX162" s="17"/>
      <c r="AY162" s="17"/>
      <c r="AZ162" s="424">
        <f t="shared" si="154"/>
        <v>0</v>
      </c>
      <c r="BA162" s="19">
        <f t="shared" si="153"/>
        <v>0</v>
      </c>
    </row>
    <row r="163" spans="1:53" ht="17.100000000000001" customHeight="1" x14ac:dyDescent="0.25">
      <c r="A163" s="40"/>
      <c r="B163" s="40"/>
      <c r="C163" s="40"/>
      <c r="D163" s="56" t="s">
        <v>587</v>
      </c>
      <c r="E163" s="75" t="s">
        <v>588</v>
      </c>
      <c r="F163" s="284"/>
      <c r="G163" s="285"/>
      <c r="H163" s="319"/>
      <c r="I163" s="308"/>
      <c r="J163" s="111"/>
      <c r="K163" s="111"/>
      <c r="L163" s="111"/>
      <c r="M163" s="111"/>
      <c r="N163" s="111">
        <f t="shared" ref="N163:U163" si="155">SUM(N164:N168)</f>
        <v>0</v>
      </c>
      <c r="O163" s="111">
        <f t="shared" si="155"/>
        <v>0</v>
      </c>
      <c r="P163" s="111">
        <f t="shared" si="144"/>
        <v>0</v>
      </c>
      <c r="Q163" s="111">
        <f t="shared" si="155"/>
        <v>0</v>
      </c>
      <c r="R163" s="111">
        <f t="shared" si="155"/>
        <v>0</v>
      </c>
      <c r="S163" s="111">
        <f t="shared" si="145"/>
        <v>0</v>
      </c>
      <c r="T163" s="111">
        <f t="shared" si="155"/>
        <v>0</v>
      </c>
      <c r="U163" s="111">
        <f t="shared" si="155"/>
        <v>0</v>
      </c>
      <c r="V163" s="111">
        <f t="shared" si="146"/>
        <v>0</v>
      </c>
      <c r="W163" s="380">
        <f t="shared" si="147"/>
        <v>0</v>
      </c>
      <c r="X163" s="111">
        <f t="shared" si="148"/>
        <v>0</v>
      </c>
      <c r="Y163" s="545">
        <f t="shared" si="149"/>
        <v>0</v>
      </c>
      <c r="Z163" s="131">
        <f t="shared" si="150"/>
        <v>0</v>
      </c>
      <c r="AA163" s="131"/>
      <c r="AB163" s="131"/>
      <c r="AC163" s="113"/>
      <c r="AE163" s="111"/>
      <c r="AF163" s="111"/>
      <c r="AG163" s="111"/>
      <c r="AH163" s="545"/>
      <c r="AI163" s="131"/>
      <c r="AK163" s="111"/>
      <c r="AL163" s="111"/>
      <c r="AM163" s="111"/>
      <c r="AN163" s="545"/>
      <c r="AO163" s="131"/>
      <c r="AQ163" s="111"/>
      <c r="AR163" s="111"/>
      <c r="AS163" s="111"/>
      <c r="AT163" s="111">
        <f t="shared" si="151"/>
        <v>0</v>
      </c>
      <c r="AU163" s="131">
        <f t="shared" si="152"/>
        <v>0</v>
      </c>
      <c r="AW163" s="111"/>
      <c r="AX163" s="111"/>
      <c r="AY163" s="111"/>
      <c r="AZ163" s="111">
        <f t="shared" si="154"/>
        <v>0</v>
      </c>
      <c r="BA163" s="131">
        <f t="shared" si="153"/>
        <v>0</v>
      </c>
    </row>
    <row r="164" spans="1:53" ht="17.100000000000001" customHeight="1" x14ac:dyDescent="0.25">
      <c r="A164" s="40"/>
      <c r="B164" s="40"/>
      <c r="C164" s="40"/>
      <c r="D164" s="74"/>
      <c r="E164" s="286"/>
      <c r="F164" s="287"/>
      <c r="G164" s="288"/>
      <c r="H164" s="46"/>
      <c r="I164" s="641"/>
      <c r="J164" s="174"/>
      <c r="K164" s="174"/>
      <c r="L164" s="111"/>
      <c r="M164" s="111"/>
      <c r="N164" s="60"/>
      <c r="O164" s="60"/>
      <c r="P164" s="593">
        <f t="shared" si="144"/>
        <v>0</v>
      </c>
      <c r="Q164" s="60"/>
      <c r="R164" s="60"/>
      <c r="S164" s="593">
        <f t="shared" ref="S164:S168" si="156">SUM(Q164:R164)</f>
        <v>0</v>
      </c>
      <c r="T164" s="60"/>
      <c r="U164" s="60"/>
      <c r="V164" s="593">
        <f t="shared" ref="V164:V166" si="157">SUM(T164:U164)</f>
        <v>0</v>
      </c>
      <c r="W164" s="391">
        <f t="shared" ref="W164:W166" si="158">J164+K164+N164+Q164+T164</f>
        <v>0</v>
      </c>
      <c r="X164" s="17">
        <f t="shared" ref="X164:X166" si="159">L164+O164+R164+U164</f>
        <v>0</v>
      </c>
      <c r="Y164" s="18">
        <f t="shared" ref="Y164:Y166" si="160">SUM(W164:X164)</f>
        <v>0</v>
      </c>
      <c r="Z164" s="19"/>
      <c r="AA164" s="19"/>
      <c r="AB164" s="19"/>
      <c r="AC164" s="20"/>
      <c r="AE164" s="111"/>
      <c r="AF164" s="111"/>
      <c r="AG164" s="113"/>
      <c r="AH164" s="131"/>
      <c r="AI164" s="113"/>
      <c r="AK164" s="111"/>
      <c r="AL164" s="111"/>
      <c r="AM164" s="113"/>
      <c r="AN164" s="131"/>
      <c r="AO164" s="113"/>
      <c r="AQ164" s="20"/>
      <c r="AR164" s="20"/>
      <c r="AS164" s="20"/>
      <c r="AT164" s="20"/>
      <c r="AU164" s="20"/>
      <c r="AW164" s="17"/>
      <c r="AX164" s="17"/>
      <c r="AY164" s="20"/>
      <c r="AZ164" s="19"/>
      <c r="BA164" s="20"/>
    </row>
    <row r="165" spans="1:53" ht="17.100000000000001" customHeight="1" x14ac:dyDescent="0.25">
      <c r="A165" s="40"/>
      <c r="B165" s="40"/>
      <c r="C165" s="40"/>
      <c r="D165" s="74"/>
      <c r="E165" s="289"/>
      <c r="F165" s="290"/>
      <c r="G165" s="291"/>
      <c r="H165" s="46"/>
      <c r="I165" s="641"/>
      <c r="J165" s="174"/>
      <c r="K165" s="174"/>
      <c r="L165" s="111"/>
      <c r="M165" s="111"/>
      <c r="N165" s="61"/>
      <c r="O165" s="61"/>
      <c r="P165" s="593">
        <f t="shared" si="144"/>
        <v>0</v>
      </c>
      <c r="Q165" s="61"/>
      <c r="R165" s="61"/>
      <c r="S165" s="593">
        <f t="shared" si="156"/>
        <v>0</v>
      </c>
      <c r="T165" s="61"/>
      <c r="U165" s="61"/>
      <c r="V165" s="593">
        <f t="shared" si="157"/>
        <v>0</v>
      </c>
      <c r="W165" s="391">
        <f t="shared" si="158"/>
        <v>0</v>
      </c>
      <c r="X165" s="17">
        <f t="shared" si="159"/>
        <v>0</v>
      </c>
      <c r="Y165" s="18">
        <f t="shared" si="160"/>
        <v>0</v>
      </c>
      <c r="Z165" s="19"/>
      <c r="AA165" s="19"/>
      <c r="AB165" s="19"/>
      <c r="AC165" s="20"/>
      <c r="AE165" s="111"/>
      <c r="AF165" s="111"/>
      <c r="AG165" s="113"/>
      <c r="AH165" s="131"/>
      <c r="AI165" s="113"/>
      <c r="AK165" s="111"/>
      <c r="AL165" s="111"/>
      <c r="AM165" s="113"/>
      <c r="AN165" s="131"/>
      <c r="AO165" s="113"/>
      <c r="AQ165" s="20"/>
      <c r="AR165" s="20"/>
      <c r="AS165" s="20"/>
      <c r="AT165" s="20"/>
      <c r="AU165" s="20"/>
      <c r="AW165" s="17"/>
      <c r="AX165" s="17"/>
      <c r="AY165" s="20"/>
      <c r="AZ165" s="19"/>
      <c r="BA165" s="20"/>
    </row>
    <row r="166" spans="1:53" ht="17.100000000000001" customHeight="1" x14ac:dyDescent="0.25">
      <c r="A166" s="40"/>
      <c r="B166" s="40"/>
      <c r="C166" s="40"/>
      <c r="D166" s="74"/>
      <c r="E166" s="286"/>
      <c r="F166" s="287"/>
      <c r="G166" s="288"/>
      <c r="H166" s="46"/>
      <c r="I166" s="641"/>
      <c r="J166" s="174"/>
      <c r="K166" s="174"/>
      <c r="L166" s="111"/>
      <c r="M166" s="111"/>
      <c r="N166" s="60"/>
      <c r="O166" s="60"/>
      <c r="P166" s="593">
        <f t="shared" si="144"/>
        <v>0</v>
      </c>
      <c r="Q166" s="60"/>
      <c r="R166" s="60"/>
      <c r="S166" s="593">
        <f t="shared" si="156"/>
        <v>0</v>
      </c>
      <c r="T166" s="60"/>
      <c r="U166" s="60"/>
      <c r="V166" s="593">
        <f t="shared" si="157"/>
        <v>0</v>
      </c>
      <c r="W166" s="391">
        <f t="shared" si="158"/>
        <v>0</v>
      </c>
      <c r="X166" s="17">
        <f t="shared" si="159"/>
        <v>0</v>
      </c>
      <c r="Y166" s="18">
        <f t="shared" si="160"/>
        <v>0</v>
      </c>
      <c r="Z166" s="19"/>
      <c r="AA166" s="19"/>
      <c r="AB166" s="19"/>
      <c r="AC166" s="20"/>
      <c r="AE166" s="111"/>
      <c r="AF166" s="111"/>
      <c r="AG166" s="113"/>
      <c r="AH166" s="131"/>
      <c r="AI166" s="113"/>
      <c r="AK166" s="111"/>
      <c r="AL166" s="111"/>
      <c r="AM166" s="113"/>
      <c r="AN166" s="131"/>
      <c r="AO166" s="113"/>
      <c r="AQ166" s="20"/>
      <c r="AR166" s="20"/>
      <c r="AS166" s="20"/>
      <c r="AT166" s="20"/>
      <c r="AU166" s="20"/>
      <c r="AW166" s="17"/>
      <c r="AX166" s="17"/>
      <c r="AY166" s="20"/>
      <c r="AZ166" s="19"/>
      <c r="BA166" s="20"/>
    </row>
    <row r="167" spans="1:53" ht="17.100000000000001" customHeight="1" x14ac:dyDescent="0.25">
      <c r="A167" s="40"/>
      <c r="B167" s="40"/>
      <c r="C167" s="40"/>
      <c r="D167" s="74"/>
      <c r="E167" s="289"/>
      <c r="F167" s="290"/>
      <c r="G167" s="291"/>
      <c r="H167" s="46"/>
      <c r="I167" s="641"/>
      <c r="J167" s="174"/>
      <c r="K167" s="174"/>
      <c r="L167" s="111"/>
      <c r="M167" s="111"/>
      <c r="N167" s="61"/>
      <c r="O167" s="61"/>
      <c r="P167" s="593">
        <f t="shared" si="144"/>
        <v>0</v>
      </c>
      <c r="Q167" s="61"/>
      <c r="R167" s="61"/>
      <c r="S167" s="593">
        <f t="shared" si="156"/>
        <v>0</v>
      </c>
      <c r="T167" s="61"/>
      <c r="U167" s="61"/>
      <c r="V167" s="593">
        <f t="shared" ref="V167:V168" si="161">SUM(T167:U167)</f>
        <v>0</v>
      </c>
      <c r="W167" s="391">
        <f t="shared" ref="W167:W168" si="162">J167+K167+N167+Q167+T167</f>
        <v>0</v>
      </c>
      <c r="X167" s="17">
        <f t="shared" ref="X167:X168" si="163">L167+O167+R167+U167</f>
        <v>0</v>
      </c>
      <c r="Y167" s="18">
        <f t="shared" ref="Y167:Y168" si="164">SUM(W167:X167)</f>
        <v>0</v>
      </c>
      <c r="Z167" s="19"/>
      <c r="AA167" s="19"/>
      <c r="AB167" s="19"/>
      <c r="AC167" s="20"/>
      <c r="AE167" s="111"/>
      <c r="AF167" s="111"/>
      <c r="AG167" s="113"/>
      <c r="AH167" s="131"/>
      <c r="AI167" s="113"/>
      <c r="AK167" s="111"/>
      <c r="AL167" s="111"/>
      <c r="AM167" s="113"/>
      <c r="AN167" s="131"/>
      <c r="AO167" s="113"/>
      <c r="AQ167" s="20"/>
      <c r="AR167" s="20"/>
      <c r="AS167" s="20"/>
      <c r="AT167" s="20"/>
      <c r="AU167" s="20"/>
      <c r="AW167" s="17"/>
      <c r="AX167" s="17"/>
      <c r="AY167" s="20"/>
      <c r="AZ167" s="19"/>
      <c r="BA167" s="20"/>
    </row>
    <row r="168" spans="1:53" ht="17.100000000000001" customHeight="1" x14ac:dyDescent="0.25">
      <c r="A168" s="40"/>
      <c r="B168" s="40"/>
      <c r="C168" s="40"/>
      <c r="D168" s="74"/>
      <c r="E168" s="286"/>
      <c r="F168" s="287"/>
      <c r="G168" s="288"/>
      <c r="H168" s="46"/>
      <c r="I168" s="641"/>
      <c r="J168" s="174"/>
      <c r="K168" s="174"/>
      <c r="L168" s="111"/>
      <c r="M168" s="111"/>
      <c r="N168" s="60"/>
      <c r="O168" s="60"/>
      <c r="P168" s="593">
        <f t="shared" si="144"/>
        <v>0</v>
      </c>
      <c r="Q168" s="60"/>
      <c r="R168" s="60"/>
      <c r="S168" s="593">
        <f t="shared" si="156"/>
        <v>0</v>
      </c>
      <c r="T168" s="60"/>
      <c r="U168" s="60"/>
      <c r="V168" s="593">
        <f t="shared" si="161"/>
        <v>0</v>
      </c>
      <c r="W168" s="391">
        <f t="shared" si="162"/>
        <v>0</v>
      </c>
      <c r="X168" s="17">
        <f t="shared" si="163"/>
        <v>0</v>
      </c>
      <c r="Y168" s="18">
        <f t="shared" si="164"/>
        <v>0</v>
      </c>
      <c r="Z168" s="19"/>
      <c r="AA168" s="19"/>
      <c r="AB168" s="19"/>
      <c r="AC168" s="20"/>
      <c r="AE168" s="111"/>
      <c r="AF168" s="111"/>
      <c r="AG168" s="113"/>
      <c r="AH168" s="131"/>
      <c r="AI168" s="113"/>
      <c r="AK168" s="111"/>
      <c r="AL168" s="111"/>
      <c r="AM168" s="113"/>
      <c r="AN168" s="131"/>
      <c r="AO168" s="113"/>
      <c r="AQ168" s="20"/>
      <c r="AR168" s="20"/>
      <c r="AS168" s="20"/>
      <c r="AT168" s="20"/>
      <c r="AU168" s="20"/>
      <c r="AW168" s="17"/>
      <c r="AX168" s="17"/>
      <c r="AY168" s="20"/>
      <c r="AZ168" s="19"/>
      <c r="BA168" s="20"/>
    </row>
    <row r="169" spans="1:53" ht="17.100000000000001" customHeight="1" x14ac:dyDescent="0.25">
      <c r="A169" s="40"/>
      <c r="B169" s="40"/>
      <c r="C169" s="292"/>
      <c r="D169" s="144"/>
      <c r="E169" s="144"/>
      <c r="F169" s="145"/>
      <c r="G169" s="283"/>
      <c r="H169" s="119"/>
      <c r="I169" s="236"/>
      <c r="J169" s="64"/>
      <c r="K169" s="64"/>
      <c r="L169" s="81"/>
      <c r="M169" s="81"/>
      <c r="N169" s="81">
        <f>SUM(N154:N163)</f>
        <v>3</v>
      </c>
      <c r="O169" s="81">
        <f t="shared" ref="O169:Y169" si="165">SUM(O154:O163)</f>
        <v>6</v>
      </c>
      <c r="P169" s="81">
        <f t="shared" si="165"/>
        <v>9</v>
      </c>
      <c r="Q169" s="81">
        <f t="shared" si="165"/>
        <v>0</v>
      </c>
      <c r="R169" s="81">
        <f t="shared" si="165"/>
        <v>0</v>
      </c>
      <c r="S169" s="81">
        <f t="shared" ref="S169" si="166">SUM(S154:S163)</f>
        <v>0</v>
      </c>
      <c r="T169" s="81">
        <f t="shared" si="165"/>
        <v>0</v>
      </c>
      <c r="U169" s="81">
        <f t="shared" si="165"/>
        <v>0</v>
      </c>
      <c r="V169" s="81">
        <f t="shared" ref="V169" si="167">SUM(V154:V163)</f>
        <v>0</v>
      </c>
      <c r="W169" s="82">
        <f t="shared" si="165"/>
        <v>3</v>
      </c>
      <c r="X169" s="82">
        <f t="shared" si="165"/>
        <v>6</v>
      </c>
      <c r="Y169" s="82">
        <f t="shared" si="165"/>
        <v>9</v>
      </c>
      <c r="Z169" s="205">
        <f>IF(Y$169=0,0,Y169/Y$169)</f>
        <v>1</v>
      </c>
      <c r="AA169" s="205"/>
      <c r="AB169" s="205"/>
      <c r="AC169" s="83"/>
      <c r="AE169" s="81"/>
      <c r="AF169" s="81"/>
      <c r="AG169" s="82"/>
      <c r="AH169" s="82"/>
      <c r="AI169" s="66"/>
      <c r="AK169" s="81"/>
      <c r="AL169" s="81"/>
      <c r="AM169" s="82"/>
      <c r="AN169" s="82"/>
      <c r="AO169" s="66"/>
      <c r="AQ169" s="81"/>
      <c r="AR169" s="81"/>
      <c r="AS169" s="82"/>
      <c r="AT169" s="82">
        <f>SUM(AT154:AT163)</f>
        <v>3</v>
      </c>
      <c r="AU169" s="66">
        <f t="shared" ref="AU169" si="168">IF(AT$169=0,0,AT169/AT$169)</f>
        <v>1</v>
      </c>
      <c r="AW169" s="81"/>
      <c r="AX169" s="81"/>
      <c r="AY169" s="82"/>
      <c r="AZ169" s="82">
        <f>SUM(AZ154:AZ163)</f>
        <v>6</v>
      </c>
      <c r="BA169" s="66">
        <f t="shared" ref="BA169" si="169">IF(AZ$169=0,0,AZ169/AZ$169)</f>
        <v>1</v>
      </c>
    </row>
    <row r="170" spans="1:53" s="117" customFormat="1" ht="17.100000000000001" customHeight="1" x14ac:dyDescent="0.25">
      <c r="A170" s="119"/>
      <c r="B170" s="119"/>
      <c r="C170" s="420"/>
      <c r="D170" s="261"/>
      <c r="E170" s="261"/>
      <c r="F170" s="68"/>
      <c r="G170" s="210"/>
      <c r="H170" s="119"/>
      <c r="I170" s="236"/>
      <c r="J170" s="198"/>
      <c r="K170" s="198"/>
      <c r="L170" s="17"/>
      <c r="M170" s="17"/>
      <c r="N170" s="17"/>
      <c r="O170" s="17"/>
      <c r="P170" s="17"/>
      <c r="Q170" s="17"/>
      <c r="R170" s="17"/>
      <c r="S170" s="17"/>
      <c r="T170" s="17"/>
      <c r="U170" s="17"/>
      <c r="V170" s="17"/>
      <c r="W170" s="539"/>
      <c r="X170" s="539"/>
      <c r="Y170" s="539"/>
      <c r="Z170" s="201"/>
      <c r="AA170" s="201"/>
      <c r="AB170" s="201"/>
      <c r="AC170" s="84"/>
      <c r="AE170" s="17"/>
      <c r="AF170" s="17"/>
      <c r="AG170" s="539"/>
      <c r="AH170" s="539"/>
      <c r="AI170" s="91"/>
      <c r="AK170" s="17"/>
      <c r="AL170" s="17"/>
      <c r="AM170" s="539"/>
      <c r="AN170" s="539"/>
      <c r="AO170" s="91"/>
      <c r="AQ170" s="17"/>
      <c r="AR170" s="17"/>
      <c r="AS170" s="539"/>
      <c r="AT170" s="539"/>
      <c r="AU170" s="91"/>
      <c r="AW170" s="17"/>
      <c r="AX170" s="17"/>
      <c r="AY170" s="539"/>
      <c r="AZ170" s="17"/>
      <c r="BA170" s="91"/>
    </row>
    <row r="171" spans="1:53" ht="17.100000000000001" customHeight="1" x14ac:dyDescent="0.25">
      <c r="A171" s="40"/>
      <c r="B171" s="41" t="s">
        <v>116</v>
      </c>
      <c r="C171" s="42" t="s">
        <v>12</v>
      </c>
      <c r="D171" s="43"/>
      <c r="E171" s="43"/>
      <c r="F171" s="43"/>
      <c r="G171" s="44"/>
      <c r="H171" s="23"/>
      <c r="I171" s="229"/>
      <c r="J171" s="71"/>
      <c r="K171" s="71"/>
      <c r="L171" s="71"/>
      <c r="M171" s="71"/>
      <c r="N171" s="71"/>
      <c r="O171" s="71"/>
      <c r="P171" s="71"/>
      <c r="Q171" s="71"/>
      <c r="R171" s="71"/>
      <c r="S171" s="71"/>
      <c r="T171" s="71"/>
      <c r="U171" s="71"/>
      <c r="V171" s="71"/>
      <c r="W171" s="71"/>
      <c r="X171" s="71"/>
      <c r="Y171" s="71"/>
      <c r="Z171" s="73"/>
      <c r="AA171" s="73"/>
      <c r="AB171" s="73"/>
      <c r="AC171" s="73"/>
      <c r="AE171" s="71"/>
      <c r="AF171" s="71"/>
      <c r="AG171" s="73"/>
      <c r="AH171" s="73"/>
      <c r="AI171" s="73"/>
      <c r="AK171" s="71"/>
      <c r="AL171" s="71"/>
      <c r="AM171" s="73"/>
      <c r="AN171" s="73"/>
      <c r="AO171" s="73"/>
      <c r="AQ171" s="71"/>
      <c r="AR171" s="71"/>
      <c r="AS171" s="73"/>
      <c r="AT171" s="73"/>
      <c r="AU171" s="73"/>
      <c r="AW171" s="71"/>
      <c r="AX171" s="71"/>
      <c r="AY171" s="73"/>
      <c r="AZ171" s="73"/>
      <c r="BA171" s="73"/>
    </row>
    <row r="172" spans="1:53" s="97" customFormat="1" ht="17.100000000000001" customHeight="1" x14ac:dyDescent="0.25">
      <c r="A172" s="68"/>
      <c r="B172" s="68"/>
      <c r="C172" s="92"/>
      <c r="D172" s="93"/>
      <c r="E172" s="93"/>
      <c r="F172" s="93"/>
      <c r="G172" s="93"/>
      <c r="H172" s="12"/>
      <c r="I172" s="12"/>
    </row>
    <row r="173" spans="1:53" s="32" customFormat="1" ht="16.5" thickBot="1" x14ac:dyDescent="0.3">
      <c r="A173" s="24" t="s">
        <v>150</v>
      </c>
      <c r="B173" s="25" t="s">
        <v>589</v>
      </c>
      <c r="C173" s="26"/>
      <c r="D173" s="27"/>
      <c r="E173" s="27"/>
      <c r="F173" s="27"/>
      <c r="G173" s="27"/>
      <c r="H173" s="310"/>
      <c r="I173" s="14"/>
      <c r="J173" s="140"/>
      <c r="K173" s="140"/>
      <c r="L173" s="140"/>
      <c r="M173" s="140"/>
      <c r="N173" s="140"/>
      <c r="O173" s="140"/>
      <c r="P173" s="140"/>
      <c r="Q173" s="140"/>
      <c r="R173" s="140"/>
      <c r="S173" s="140"/>
      <c r="T173" s="140"/>
      <c r="U173" s="140"/>
      <c r="V173" s="140"/>
      <c r="W173" s="140"/>
      <c r="X173" s="140"/>
      <c r="Y173" s="140"/>
      <c r="Z173" s="31" t="s">
        <v>5</v>
      </c>
      <c r="AA173" s="31"/>
      <c r="AB173" s="31"/>
      <c r="AC173" s="24"/>
      <c r="AE173" s="33" t="s">
        <v>181</v>
      </c>
      <c r="AF173" s="33" t="s">
        <v>182</v>
      </c>
      <c r="AG173" s="33" t="s">
        <v>6</v>
      </c>
      <c r="AH173" s="33" t="s">
        <v>4</v>
      </c>
      <c r="AI173" s="34" t="s">
        <v>5</v>
      </c>
      <c r="AJ173" s="35"/>
      <c r="AK173" s="36" t="s">
        <v>181</v>
      </c>
      <c r="AL173" s="36" t="s">
        <v>182</v>
      </c>
      <c r="AM173" s="36" t="s">
        <v>6</v>
      </c>
      <c r="AN173" s="36" t="s">
        <v>4</v>
      </c>
      <c r="AO173" s="37" t="s">
        <v>5</v>
      </c>
      <c r="AQ173" s="398" t="s">
        <v>181</v>
      </c>
      <c r="AR173" s="398" t="s">
        <v>182</v>
      </c>
      <c r="AS173" s="398" t="s">
        <v>6</v>
      </c>
      <c r="AT173" s="398" t="s">
        <v>4</v>
      </c>
      <c r="AU173" s="399" t="s">
        <v>5</v>
      </c>
      <c r="AW173" s="38" t="s">
        <v>181</v>
      </c>
      <c r="AX173" s="38" t="s">
        <v>182</v>
      </c>
      <c r="AY173" s="38" t="s">
        <v>6</v>
      </c>
      <c r="AZ173" s="38" t="s">
        <v>4</v>
      </c>
      <c r="BA173" s="39" t="s">
        <v>5</v>
      </c>
    </row>
    <row r="174" spans="1:53" ht="17.100000000000001" customHeight="1" x14ac:dyDescent="0.25">
      <c r="A174" s="40"/>
      <c r="B174" s="41" t="s">
        <v>152</v>
      </c>
      <c r="C174" s="274" t="s">
        <v>615</v>
      </c>
      <c r="D174" s="43"/>
      <c r="E174" s="43"/>
      <c r="F174" s="43"/>
      <c r="G174" s="43"/>
      <c r="H174" s="321"/>
      <c r="I174" s="12"/>
      <c r="J174" s="73"/>
      <c r="K174" s="73"/>
      <c r="L174" s="73"/>
      <c r="M174" s="73"/>
      <c r="N174" s="73"/>
      <c r="O174" s="73"/>
      <c r="P174" s="73"/>
      <c r="Q174" s="73"/>
      <c r="R174" s="73"/>
      <c r="S174" s="73"/>
      <c r="T174" s="73"/>
      <c r="U174" s="73"/>
      <c r="V174" s="73"/>
      <c r="W174" s="73"/>
      <c r="X174" s="73"/>
      <c r="Y174" s="73"/>
      <c r="Z174" s="73"/>
      <c r="AA174" s="73"/>
      <c r="AB174" s="73"/>
      <c r="AC174" s="73"/>
      <c r="AE174" s="73"/>
      <c r="AF174" s="73"/>
      <c r="AG174" s="73"/>
      <c r="AH174" s="73"/>
      <c r="AI174" s="73"/>
      <c r="AK174" s="73"/>
      <c r="AL174" s="73"/>
      <c r="AM174" s="73"/>
      <c r="AN174" s="73"/>
      <c r="AO174" s="73"/>
      <c r="AQ174" s="71"/>
      <c r="AR174" s="71"/>
      <c r="AS174" s="71"/>
      <c r="AT174" s="72"/>
      <c r="AU174" s="73"/>
      <c r="AW174" s="73"/>
      <c r="AX174" s="73"/>
      <c r="AY174" s="73"/>
      <c r="AZ174" s="73"/>
      <c r="BA174" s="73"/>
    </row>
    <row r="175" spans="1:53" s="4" customFormat="1" ht="17.100000000000001" customHeight="1" x14ac:dyDescent="0.25">
      <c r="A175" s="102"/>
      <c r="B175" s="102"/>
      <c r="C175" s="74" t="s">
        <v>153</v>
      </c>
      <c r="D175" s="85" t="s">
        <v>590</v>
      </c>
      <c r="E175" s="75"/>
      <c r="F175" s="75"/>
      <c r="G175" s="106"/>
      <c r="H175" s="540"/>
      <c r="I175" s="231"/>
      <c r="J175" s="174"/>
      <c r="K175" s="174"/>
      <c r="L175" s="111"/>
      <c r="M175" s="111"/>
      <c r="N175" s="60"/>
      <c r="O175" s="60"/>
      <c r="P175" s="17">
        <f t="shared" ref="P175:P187" si="170">SUM(N175:O175)</f>
        <v>0</v>
      </c>
      <c r="Q175" s="60"/>
      <c r="R175" s="60"/>
      <c r="S175" s="17">
        <f t="shared" ref="S175:S187" si="171">SUM(Q175:R175)</f>
        <v>0</v>
      </c>
      <c r="T175" s="60"/>
      <c r="U175" s="60"/>
      <c r="V175" s="17">
        <f t="shared" ref="V175:V181" si="172">SUM(T175:U175)</f>
        <v>0</v>
      </c>
      <c r="W175" s="391">
        <f t="shared" ref="W175:W181" si="173">J175+K175+N175+Q175+T175</f>
        <v>0</v>
      </c>
      <c r="X175" s="17">
        <f t="shared" ref="X175:X181" si="174">L175+O175+R175+U175</f>
        <v>0</v>
      </c>
      <c r="Y175" s="18">
        <f t="shared" ref="Y175:Y181" si="175">SUM(W175:X175)</f>
        <v>0</v>
      </c>
      <c r="Z175" s="19">
        <f t="shared" ref="Z175:Z181" si="176">IF(Y$188=0,0,Y175/Y$188)</f>
        <v>0</v>
      </c>
      <c r="AA175" s="19"/>
      <c r="AB175" s="19"/>
      <c r="AC175" s="20"/>
      <c r="AE175" s="111"/>
      <c r="AF175" s="111"/>
      <c r="AG175" s="111"/>
      <c r="AH175" s="545"/>
      <c r="AI175" s="131"/>
      <c r="AJ175" s="3"/>
      <c r="AK175" s="111"/>
      <c r="AL175" s="111"/>
      <c r="AM175" s="111"/>
      <c r="AN175" s="545"/>
      <c r="AO175" s="131"/>
      <c r="AP175" s="3"/>
      <c r="AQ175" s="20"/>
      <c r="AR175" s="20"/>
      <c r="AS175" s="20"/>
      <c r="AT175" s="17">
        <f t="shared" ref="AT175:AT181" si="177">W175</f>
        <v>0</v>
      </c>
      <c r="AU175" s="19">
        <f>IF(AT$169=0,0,AT175/AT$169)</f>
        <v>0</v>
      </c>
      <c r="AV175" s="3"/>
      <c r="AW175" s="17"/>
      <c r="AX175" s="17"/>
      <c r="AY175" s="17"/>
      <c r="AZ175" s="424">
        <f>X175</f>
        <v>0</v>
      </c>
      <c r="BA175" s="19">
        <f>IF(AZ$169=0,0,AZ175/AZ$169)</f>
        <v>0</v>
      </c>
    </row>
    <row r="176" spans="1:53" s="4" customFormat="1" ht="17.100000000000001" customHeight="1" x14ac:dyDescent="0.25">
      <c r="A176" s="102"/>
      <c r="B176" s="102"/>
      <c r="C176" s="74" t="s">
        <v>154</v>
      </c>
      <c r="D176" s="85" t="s">
        <v>591</v>
      </c>
      <c r="E176" s="75"/>
      <c r="F176" s="75"/>
      <c r="G176" s="106"/>
      <c r="H176" s="540"/>
      <c r="I176" s="231"/>
      <c r="J176" s="174"/>
      <c r="K176" s="174"/>
      <c r="L176" s="111"/>
      <c r="M176" s="111"/>
      <c r="N176" s="61"/>
      <c r="O176" s="61"/>
      <c r="P176" s="17">
        <f t="shared" si="170"/>
        <v>0</v>
      </c>
      <c r="Q176" s="61"/>
      <c r="R176" s="61"/>
      <c r="S176" s="17">
        <f t="shared" si="171"/>
        <v>0</v>
      </c>
      <c r="T176" s="61"/>
      <c r="U176" s="61"/>
      <c r="V176" s="17">
        <f t="shared" si="172"/>
        <v>0</v>
      </c>
      <c r="W176" s="391">
        <f t="shared" si="173"/>
        <v>0</v>
      </c>
      <c r="X176" s="17">
        <f t="shared" si="174"/>
        <v>0</v>
      </c>
      <c r="Y176" s="18">
        <f t="shared" si="175"/>
        <v>0</v>
      </c>
      <c r="Z176" s="19">
        <f t="shared" si="176"/>
        <v>0</v>
      </c>
      <c r="AA176" s="19"/>
      <c r="AB176" s="19"/>
      <c r="AC176" s="20"/>
      <c r="AE176" s="111"/>
      <c r="AF176" s="111"/>
      <c r="AG176" s="111"/>
      <c r="AH176" s="545"/>
      <c r="AI176" s="131"/>
      <c r="AJ176" s="3"/>
      <c r="AK176" s="111"/>
      <c r="AL176" s="111"/>
      <c r="AM176" s="111"/>
      <c r="AN176" s="545"/>
      <c r="AO176" s="131"/>
      <c r="AP176" s="3"/>
      <c r="AQ176" s="20"/>
      <c r="AR176" s="20"/>
      <c r="AS176" s="20"/>
      <c r="AT176" s="17">
        <f t="shared" si="177"/>
        <v>0</v>
      </c>
      <c r="AU176" s="19">
        <f t="shared" ref="AU176:AU181" si="178">IF(AT$188=0,0,AT176/AT$188)</f>
        <v>0</v>
      </c>
      <c r="AV176" s="3"/>
      <c r="AW176" s="17"/>
      <c r="AX176" s="17"/>
      <c r="AY176" s="17"/>
      <c r="AZ176" s="424">
        <f t="shared" ref="AZ176:AZ181" si="179">Y176</f>
        <v>0</v>
      </c>
      <c r="BA176" s="19">
        <f t="shared" ref="BA176:BA181" si="180">IF(AZ$188=0,0,AZ176/AZ$188)</f>
        <v>0</v>
      </c>
    </row>
    <row r="177" spans="1:53" s="4" customFormat="1" ht="17.100000000000001" customHeight="1" x14ac:dyDescent="0.25">
      <c r="A177" s="102"/>
      <c r="B177" s="102"/>
      <c r="C177" s="74" t="s">
        <v>155</v>
      </c>
      <c r="D177" s="85" t="s">
        <v>592</v>
      </c>
      <c r="E177" s="75"/>
      <c r="F177" s="75"/>
      <c r="G177" s="105"/>
      <c r="H177" s="119"/>
      <c r="I177" s="231"/>
      <c r="J177" s="174"/>
      <c r="K177" s="174"/>
      <c r="L177" s="111"/>
      <c r="M177" s="111"/>
      <c r="N177" s="60">
        <v>2</v>
      </c>
      <c r="O177" s="60">
        <v>3</v>
      </c>
      <c r="P177" s="17">
        <f t="shared" si="170"/>
        <v>5</v>
      </c>
      <c r="Q177" s="60"/>
      <c r="R177" s="60"/>
      <c r="S177" s="17">
        <f t="shared" si="171"/>
        <v>0</v>
      </c>
      <c r="T177" s="60"/>
      <c r="U177" s="60"/>
      <c r="V177" s="17">
        <f t="shared" si="172"/>
        <v>0</v>
      </c>
      <c r="W177" s="391">
        <f t="shared" si="173"/>
        <v>2</v>
      </c>
      <c r="X177" s="17">
        <f t="shared" si="174"/>
        <v>3</v>
      </c>
      <c r="Y177" s="18">
        <f t="shared" si="175"/>
        <v>5</v>
      </c>
      <c r="Z177" s="19">
        <f t="shared" si="176"/>
        <v>1</v>
      </c>
      <c r="AA177" s="19"/>
      <c r="AB177" s="19"/>
      <c r="AC177" s="20"/>
      <c r="AE177" s="111"/>
      <c r="AF177" s="111"/>
      <c r="AG177" s="111"/>
      <c r="AH177" s="545"/>
      <c r="AI177" s="131"/>
      <c r="AJ177" s="3"/>
      <c r="AK177" s="111"/>
      <c r="AL177" s="111"/>
      <c r="AM177" s="111"/>
      <c r="AN177" s="545"/>
      <c r="AO177" s="131"/>
      <c r="AP177" s="3"/>
      <c r="AQ177" s="20"/>
      <c r="AR177" s="20"/>
      <c r="AS177" s="20"/>
      <c r="AT177" s="17">
        <f t="shared" si="177"/>
        <v>2</v>
      </c>
      <c r="AU177" s="19">
        <f t="shared" si="178"/>
        <v>1</v>
      </c>
      <c r="AV177" s="3"/>
      <c r="AW177" s="17"/>
      <c r="AX177" s="17"/>
      <c r="AY177" s="17"/>
      <c r="AZ177" s="424">
        <f t="shared" si="179"/>
        <v>5</v>
      </c>
      <c r="BA177" s="19">
        <f t="shared" si="180"/>
        <v>1</v>
      </c>
    </row>
    <row r="178" spans="1:53" s="4" customFormat="1" ht="17.100000000000001" customHeight="1" x14ac:dyDescent="0.25">
      <c r="A178" s="102"/>
      <c r="B178" s="102"/>
      <c r="C178" s="74" t="s">
        <v>156</v>
      </c>
      <c r="D178" s="85" t="s">
        <v>593</v>
      </c>
      <c r="E178" s="75"/>
      <c r="F178" s="75"/>
      <c r="G178" s="105"/>
      <c r="H178" s="84"/>
      <c r="I178" s="231"/>
      <c r="J178" s="174"/>
      <c r="K178" s="174"/>
      <c r="L178" s="111"/>
      <c r="M178" s="111"/>
      <c r="N178" s="61"/>
      <c r="O178" s="61"/>
      <c r="P178" s="17">
        <f t="shared" si="170"/>
        <v>0</v>
      </c>
      <c r="Q178" s="61"/>
      <c r="R178" s="61"/>
      <c r="S178" s="17">
        <f t="shared" si="171"/>
        <v>0</v>
      </c>
      <c r="T178" s="61"/>
      <c r="U178" s="61"/>
      <c r="V178" s="17">
        <f t="shared" si="172"/>
        <v>0</v>
      </c>
      <c r="W178" s="391">
        <f t="shared" si="173"/>
        <v>0</v>
      </c>
      <c r="X178" s="17">
        <f t="shared" si="174"/>
        <v>0</v>
      </c>
      <c r="Y178" s="18">
        <f t="shared" si="175"/>
        <v>0</v>
      </c>
      <c r="Z178" s="19">
        <f t="shared" si="176"/>
        <v>0</v>
      </c>
      <c r="AA178" s="19"/>
      <c r="AB178" s="19"/>
      <c r="AC178" s="20"/>
      <c r="AE178" s="111"/>
      <c r="AF178" s="111"/>
      <c r="AG178" s="111"/>
      <c r="AH178" s="545"/>
      <c r="AI178" s="131"/>
      <c r="AJ178" s="3"/>
      <c r="AK178" s="111"/>
      <c r="AL178" s="111"/>
      <c r="AM178" s="111"/>
      <c r="AN178" s="545"/>
      <c r="AO178" s="131"/>
      <c r="AP178" s="3"/>
      <c r="AQ178" s="20"/>
      <c r="AR178" s="20"/>
      <c r="AS178" s="20"/>
      <c r="AT178" s="17">
        <f t="shared" si="177"/>
        <v>0</v>
      </c>
      <c r="AU178" s="19">
        <f t="shared" si="178"/>
        <v>0</v>
      </c>
      <c r="AV178" s="3"/>
      <c r="AW178" s="17"/>
      <c r="AX178" s="17"/>
      <c r="AY178" s="17"/>
      <c r="AZ178" s="424">
        <f t="shared" si="179"/>
        <v>0</v>
      </c>
      <c r="BA178" s="19">
        <f t="shared" si="180"/>
        <v>0</v>
      </c>
    </row>
    <row r="179" spans="1:53" s="4" customFormat="1" ht="17.100000000000001" customHeight="1" x14ac:dyDescent="0.25">
      <c r="A179" s="102"/>
      <c r="B179" s="102"/>
      <c r="C179" s="74" t="s">
        <v>157</v>
      </c>
      <c r="D179" s="85" t="s">
        <v>594</v>
      </c>
      <c r="E179" s="75"/>
      <c r="F179" s="75"/>
      <c r="G179" s="105"/>
      <c r="H179" s="84"/>
      <c r="I179" s="231"/>
      <c r="J179" s="174"/>
      <c r="K179" s="174"/>
      <c r="L179" s="111"/>
      <c r="M179" s="111"/>
      <c r="N179" s="60"/>
      <c r="O179" s="60"/>
      <c r="P179" s="17">
        <f t="shared" si="170"/>
        <v>0</v>
      </c>
      <c r="Q179" s="60"/>
      <c r="R179" s="60"/>
      <c r="S179" s="17">
        <f t="shared" si="171"/>
        <v>0</v>
      </c>
      <c r="T179" s="60"/>
      <c r="U179" s="60"/>
      <c r="V179" s="17">
        <f t="shared" si="172"/>
        <v>0</v>
      </c>
      <c r="W179" s="391">
        <f t="shared" si="173"/>
        <v>0</v>
      </c>
      <c r="X179" s="17">
        <f t="shared" si="174"/>
        <v>0</v>
      </c>
      <c r="Y179" s="18">
        <f t="shared" si="175"/>
        <v>0</v>
      </c>
      <c r="Z179" s="19">
        <f t="shared" si="176"/>
        <v>0</v>
      </c>
      <c r="AA179" s="19"/>
      <c r="AB179" s="19"/>
      <c r="AC179" s="20"/>
      <c r="AE179" s="111"/>
      <c r="AF179" s="111"/>
      <c r="AG179" s="111"/>
      <c r="AH179" s="545"/>
      <c r="AI179" s="131"/>
      <c r="AJ179" s="3"/>
      <c r="AK179" s="111"/>
      <c r="AL179" s="111"/>
      <c r="AM179" s="111"/>
      <c r="AN179" s="545"/>
      <c r="AO179" s="131"/>
      <c r="AP179" s="3"/>
      <c r="AQ179" s="20"/>
      <c r="AR179" s="20"/>
      <c r="AS179" s="20"/>
      <c r="AT179" s="17">
        <f t="shared" si="177"/>
        <v>0</v>
      </c>
      <c r="AU179" s="19">
        <f t="shared" si="178"/>
        <v>0</v>
      </c>
      <c r="AV179" s="3"/>
      <c r="AW179" s="17"/>
      <c r="AX179" s="17"/>
      <c r="AY179" s="17"/>
      <c r="AZ179" s="424">
        <f t="shared" si="179"/>
        <v>0</v>
      </c>
      <c r="BA179" s="19">
        <f t="shared" si="180"/>
        <v>0</v>
      </c>
    </row>
    <row r="180" spans="1:53" s="4" customFormat="1" ht="17.100000000000001" customHeight="1" x14ac:dyDescent="0.25">
      <c r="A180" s="102"/>
      <c r="B180" s="102"/>
      <c r="C180" s="74" t="s">
        <v>158</v>
      </c>
      <c r="D180" s="85" t="s">
        <v>595</v>
      </c>
      <c r="E180" s="75"/>
      <c r="F180" s="75"/>
      <c r="G180" s="105"/>
      <c r="H180" s="84"/>
      <c r="I180" s="231"/>
      <c r="J180" s="174"/>
      <c r="K180" s="174"/>
      <c r="L180" s="111"/>
      <c r="M180" s="111"/>
      <c r="N180" s="61"/>
      <c r="O180" s="61"/>
      <c r="P180" s="17">
        <f t="shared" si="170"/>
        <v>0</v>
      </c>
      <c r="Q180" s="61"/>
      <c r="R180" s="61"/>
      <c r="S180" s="17">
        <f t="shared" si="171"/>
        <v>0</v>
      </c>
      <c r="T180" s="61"/>
      <c r="U180" s="61"/>
      <c r="V180" s="17">
        <f t="shared" si="172"/>
        <v>0</v>
      </c>
      <c r="W180" s="391">
        <f t="shared" si="173"/>
        <v>0</v>
      </c>
      <c r="X180" s="17">
        <f t="shared" si="174"/>
        <v>0</v>
      </c>
      <c r="Y180" s="18">
        <f t="shared" si="175"/>
        <v>0</v>
      </c>
      <c r="Z180" s="19">
        <f t="shared" si="176"/>
        <v>0</v>
      </c>
      <c r="AA180" s="19"/>
      <c r="AB180" s="19"/>
      <c r="AC180" s="20"/>
      <c r="AE180" s="111"/>
      <c r="AF180" s="111"/>
      <c r="AG180" s="111"/>
      <c r="AH180" s="545"/>
      <c r="AI180" s="131"/>
      <c r="AJ180" s="3"/>
      <c r="AK180" s="111"/>
      <c r="AL180" s="111"/>
      <c r="AM180" s="111"/>
      <c r="AN180" s="545"/>
      <c r="AO180" s="131"/>
      <c r="AP180" s="3"/>
      <c r="AQ180" s="20"/>
      <c r="AR180" s="20"/>
      <c r="AS180" s="20"/>
      <c r="AT180" s="17">
        <f t="shared" si="177"/>
        <v>0</v>
      </c>
      <c r="AU180" s="19">
        <f t="shared" si="178"/>
        <v>0</v>
      </c>
      <c r="AV180" s="3"/>
      <c r="AW180" s="17"/>
      <c r="AX180" s="17"/>
      <c r="AY180" s="17"/>
      <c r="AZ180" s="424">
        <f t="shared" si="179"/>
        <v>0</v>
      </c>
      <c r="BA180" s="19">
        <f t="shared" si="180"/>
        <v>0</v>
      </c>
    </row>
    <row r="181" spans="1:53" s="4" customFormat="1" ht="17.100000000000001" customHeight="1" x14ac:dyDescent="0.25">
      <c r="A181" s="102"/>
      <c r="B181" s="102"/>
      <c r="C181" s="74" t="s">
        <v>159</v>
      </c>
      <c r="D181" s="85" t="s">
        <v>596</v>
      </c>
      <c r="E181" s="75"/>
      <c r="F181" s="542"/>
      <c r="G181" s="246"/>
      <c r="H181" s="84"/>
      <c r="I181" s="97"/>
      <c r="J181" s="111"/>
      <c r="K181" s="111"/>
      <c r="L181" s="111"/>
      <c r="M181" s="111"/>
      <c r="N181" s="111">
        <f t="shared" ref="N181:U181" si="181">SUM(N182:N185)</f>
        <v>0</v>
      </c>
      <c r="O181" s="111">
        <f t="shared" si="181"/>
        <v>0</v>
      </c>
      <c r="P181" s="17">
        <f t="shared" si="170"/>
        <v>0</v>
      </c>
      <c r="Q181" s="111">
        <f t="shared" si="181"/>
        <v>0</v>
      </c>
      <c r="R181" s="111">
        <f t="shared" si="181"/>
        <v>0</v>
      </c>
      <c r="S181" s="17">
        <f t="shared" si="171"/>
        <v>0</v>
      </c>
      <c r="T181" s="111">
        <f t="shared" si="181"/>
        <v>0</v>
      </c>
      <c r="U181" s="111">
        <f t="shared" si="181"/>
        <v>0</v>
      </c>
      <c r="V181" s="17">
        <f t="shared" si="172"/>
        <v>0</v>
      </c>
      <c r="W181" s="380">
        <f t="shared" si="173"/>
        <v>0</v>
      </c>
      <c r="X181" s="111">
        <f t="shared" si="174"/>
        <v>0</v>
      </c>
      <c r="Y181" s="545">
        <f t="shared" si="175"/>
        <v>0</v>
      </c>
      <c r="Z181" s="131">
        <f t="shared" si="176"/>
        <v>0</v>
      </c>
      <c r="AA181" s="131"/>
      <c r="AB181" s="131"/>
      <c r="AC181" s="113"/>
      <c r="AE181" s="111"/>
      <c r="AF181" s="111"/>
      <c r="AG181" s="111"/>
      <c r="AH181" s="545"/>
      <c r="AI181" s="131"/>
      <c r="AJ181" s="3"/>
      <c r="AK181" s="111"/>
      <c r="AL181" s="111"/>
      <c r="AM181" s="111"/>
      <c r="AN181" s="545"/>
      <c r="AO181" s="131"/>
      <c r="AP181" s="3"/>
      <c r="AQ181" s="111"/>
      <c r="AR181" s="111"/>
      <c r="AS181" s="111"/>
      <c r="AT181" s="111">
        <f t="shared" si="177"/>
        <v>0</v>
      </c>
      <c r="AU181" s="131">
        <f t="shared" si="178"/>
        <v>0</v>
      </c>
      <c r="AV181" s="3"/>
      <c r="AW181" s="111"/>
      <c r="AX181" s="111"/>
      <c r="AY181" s="111"/>
      <c r="AZ181" s="111">
        <f t="shared" si="179"/>
        <v>0</v>
      </c>
      <c r="BA181" s="131">
        <f t="shared" si="180"/>
        <v>0</v>
      </c>
    </row>
    <row r="182" spans="1:53" s="4" customFormat="1" ht="17.100000000000001" customHeight="1" x14ac:dyDescent="0.25">
      <c r="A182" s="102"/>
      <c r="B182" s="102"/>
      <c r="C182" s="74"/>
      <c r="D182" s="294"/>
      <c r="E182" s="295"/>
      <c r="F182" s="295"/>
      <c r="G182" s="295"/>
      <c r="H182" s="198"/>
      <c r="I182" s="642"/>
      <c r="J182" s="174"/>
      <c r="K182" s="174"/>
      <c r="L182" s="111"/>
      <c r="M182" s="111"/>
      <c r="N182" s="60"/>
      <c r="O182" s="60"/>
      <c r="P182" s="17">
        <f t="shared" si="170"/>
        <v>0</v>
      </c>
      <c r="Q182" s="60"/>
      <c r="R182" s="60"/>
      <c r="S182" s="17">
        <f t="shared" si="171"/>
        <v>0</v>
      </c>
      <c r="T182" s="60"/>
      <c r="U182" s="60"/>
      <c r="V182" s="17">
        <f t="shared" ref="V182:V185" si="182">SUM(T182:U182)</f>
        <v>0</v>
      </c>
      <c r="W182" s="391">
        <f t="shared" ref="W182:W185" si="183">J182+K182+N182+Q182+T182</f>
        <v>0</v>
      </c>
      <c r="X182" s="17">
        <f t="shared" ref="X182:X185" si="184">L182+O182+R182+U182</f>
        <v>0</v>
      </c>
      <c r="Y182" s="18">
        <f t="shared" ref="Y182:Y185" si="185">SUM(W182:X182)</f>
        <v>0</v>
      </c>
      <c r="Z182" s="20"/>
      <c r="AA182" s="20"/>
      <c r="AB182" s="20"/>
      <c r="AC182" s="20"/>
      <c r="AE182" s="111"/>
      <c r="AF182" s="111"/>
      <c r="AG182" s="113"/>
      <c r="AH182" s="113"/>
      <c r="AI182" s="131"/>
      <c r="AK182" s="111"/>
      <c r="AL182" s="111"/>
      <c r="AM182" s="113"/>
      <c r="AN182" s="113"/>
      <c r="AO182" s="131"/>
      <c r="AQ182" s="17"/>
      <c r="AR182" s="17"/>
      <c r="AS182" s="20"/>
      <c r="AT182" s="20"/>
      <c r="AU182" s="19"/>
      <c r="AW182" s="17"/>
      <c r="AX182" s="17"/>
      <c r="AY182" s="20"/>
      <c r="AZ182" s="20"/>
      <c r="BA182" s="19"/>
    </row>
    <row r="183" spans="1:53" s="4" customFormat="1" ht="17.100000000000001" customHeight="1" x14ac:dyDescent="0.25">
      <c r="A183" s="102"/>
      <c r="B183" s="102"/>
      <c r="C183" s="74"/>
      <c r="D183" s="296"/>
      <c r="E183" s="297"/>
      <c r="F183" s="297"/>
      <c r="G183" s="297"/>
      <c r="H183" s="198"/>
      <c r="I183" s="642"/>
      <c r="J183" s="174"/>
      <c r="K183" s="174"/>
      <c r="L183" s="111"/>
      <c r="M183" s="111"/>
      <c r="N183" s="61"/>
      <c r="O183" s="61"/>
      <c r="P183" s="17">
        <f t="shared" si="170"/>
        <v>0</v>
      </c>
      <c r="Q183" s="61"/>
      <c r="R183" s="61"/>
      <c r="S183" s="17">
        <f t="shared" si="171"/>
        <v>0</v>
      </c>
      <c r="T183" s="61"/>
      <c r="U183" s="61"/>
      <c r="V183" s="17">
        <f t="shared" si="182"/>
        <v>0</v>
      </c>
      <c r="W183" s="391">
        <f t="shared" si="183"/>
        <v>0</v>
      </c>
      <c r="X183" s="17">
        <f t="shared" si="184"/>
        <v>0</v>
      </c>
      <c r="Y183" s="18">
        <f t="shared" si="185"/>
        <v>0</v>
      </c>
      <c r="Z183" s="20"/>
      <c r="AA183" s="20"/>
      <c r="AB183" s="20"/>
      <c r="AC183" s="20"/>
      <c r="AE183" s="111"/>
      <c r="AF183" s="111"/>
      <c r="AG183" s="113"/>
      <c r="AH183" s="113"/>
      <c r="AI183" s="131"/>
      <c r="AK183" s="111"/>
      <c r="AL183" s="111"/>
      <c r="AM183" s="113"/>
      <c r="AN183" s="113"/>
      <c r="AO183" s="131"/>
      <c r="AQ183" s="17"/>
      <c r="AR183" s="17"/>
      <c r="AS183" s="20"/>
      <c r="AT183" s="20"/>
      <c r="AU183" s="19"/>
      <c r="AW183" s="17"/>
      <c r="AX183" s="17"/>
      <c r="AY183" s="20"/>
      <c r="AZ183" s="20"/>
      <c r="BA183" s="19"/>
    </row>
    <row r="184" spans="1:53" s="4" customFormat="1" ht="17.100000000000001" customHeight="1" x14ac:dyDescent="0.25">
      <c r="A184" s="102"/>
      <c r="B184" s="102"/>
      <c r="C184" s="74"/>
      <c r="D184" s="294"/>
      <c r="E184" s="295"/>
      <c r="F184" s="295"/>
      <c r="G184" s="295"/>
      <c r="H184" s="198"/>
      <c r="I184" s="642"/>
      <c r="J184" s="174"/>
      <c r="K184" s="174"/>
      <c r="L184" s="111"/>
      <c r="M184" s="111"/>
      <c r="N184" s="60"/>
      <c r="O184" s="60"/>
      <c r="P184" s="17">
        <f t="shared" si="170"/>
        <v>0</v>
      </c>
      <c r="Q184" s="60"/>
      <c r="R184" s="60"/>
      <c r="S184" s="17">
        <f t="shared" si="171"/>
        <v>0</v>
      </c>
      <c r="T184" s="60"/>
      <c r="U184" s="60"/>
      <c r="V184" s="17">
        <f t="shared" si="182"/>
        <v>0</v>
      </c>
      <c r="W184" s="391">
        <f t="shared" si="183"/>
        <v>0</v>
      </c>
      <c r="X184" s="17">
        <f t="shared" si="184"/>
        <v>0</v>
      </c>
      <c r="Y184" s="18">
        <f t="shared" si="185"/>
        <v>0</v>
      </c>
      <c r="Z184" s="20"/>
      <c r="AA184" s="20"/>
      <c r="AB184" s="20"/>
      <c r="AC184" s="20"/>
      <c r="AE184" s="111"/>
      <c r="AF184" s="111"/>
      <c r="AG184" s="113"/>
      <c r="AH184" s="113"/>
      <c r="AI184" s="131"/>
      <c r="AK184" s="111"/>
      <c r="AL184" s="111"/>
      <c r="AM184" s="113"/>
      <c r="AN184" s="113"/>
      <c r="AO184" s="131"/>
      <c r="AQ184" s="17"/>
      <c r="AR184" s="17"/>
      <c r="AS184" s="20"/>
      <c r="AT184" s="20"/>
      <c r="AU184" s="19"/>
      <c r="AW184" s="17"/>
      <c r="AX184" s="17"/>
      <c r="AY184" s="20"/>
      <c r="AZ184" s="20"/>
      <c r="BA184" s="19"/>
    </row>
    <row r="185" spans="1:53" s="4" customFormat="1" ht="17.100000000000001" customHeight="1" x14ac:dyDescent="0.25">
      <c r="A185" s="102"/>
      <c r="B185" s="102"/>
      <c r="C185" s="74"/>
      <c r="D185" s="296"/>
      <c r="E185" s="297"/>
      <c r="F185" s="297"/>
      <c r="G185" s="297"/>
      <c r="H185" s="198"/>
      <c r="I185" s="642"/>
      <c r="J185" s="174"/>
      <c r="K185" s="174"/>
      <c r="L185" s="111"/>
      <c r="M185" s="111"/>
      <c r="N185" s="61"/>
      <c r="O185" s="61"/>
      <c r="P185" s="17">
        <f t="shared" si="170"/>
        <v>0</v>
      </c>
      <c r="Q185" s="61"/>
      <c r="R185" s="61"/>
      <c r="S185" s="17">
        <f t="shared" si="171"/>
        <v>0</v>
      </c>
      <c r="T185" s="61"/>
      <c r="U185" s="61"/>
      <c r="V185" s="17">
        <f t="shared" si="182"/>
        <v>0</v>
      </c>
      <c r="W185" s="391">
        <f t="shared" si="183"/>
        <v>0</v>
      </c>
      <c r="X185" s="17">
        <f t="shared" si="184"/>
        <v>0</v>
      </c>
      <c r="Y185" s="18">
        <f t="shared" si="185"/>
        <v>0</v>
      </c>
      <c r="Z185" s="20"/>
      <c r="AA185" s="20"/>
      <c r="AB185" s="20"/>
      <c r="AC185" s="20"/>
      <c r="AE185" s="111"/>
      <c r="AF185" s="111"/>
      <c r="AG185" s="113"/>
      <c r="AH185" s="113"/>
      <c r="AI185" s="131"/>
      <c r="AK185" s="111"/>
      <c r="AL185" s="111"/>
      <c r="AM185" s="113"/>
      <c r="AN185" s="113"/>
      <c r="AO185" s="131"/>
      <c r="AQ185" s="17"/>
      <c r="AR185" s="17"/>
      <c r="AS185" s="20"/>
      <c r="AT185" s="20"/>
      <c r="AU185" s="19"/>
      <c r="AW185" s="17"/>
      <c r="AX185" s="17"/>
      <c r="AY185" s="20"/>
      <c r="AZ185" s="20"/>
      <c r="BA185" s="19"/>
    </row>
    <row r="186" spans="1:53" s="4" customFormat="1" ht="17.100000000000001" customHeight="1" x14ac:dyDescent="0.25">
      <c r="A186" s="102"/>
      <c r="B186" s="102"/>
      <c r="C186" s="74"/>
      <c r="D186" s="294"/>
      <c r="E186" s="295"/>
      <c r="F186" s="295"/>
      <c r="G186" s="295"/>
      <c r="H186" s="198"/>
      <c r="I186" s="642"/>
      <c r="J186" s="174"/>
      <c r="K186" s="174"/>
      <c r="L186" s="111"/>
      <c r="M186" s="111"/>
      <c r="N186" s="60"/>
      <c r="O186" s="60"/>
      <c r="P186" s="17">
        <f t="shared" si="170"/>
        <v>0</v>
      </c>
      <c r="Q186" s="60"/>
      <c r="R186" s="60"/>
      <c r="S186" s="17">
        <f t="shared" si="171"/>
        <v>0</v>
      </c>
      <c r="T186" s="60"/>
      <c r="U186" s="60"/>
      <c r="V186" s="17">
        <f t="shared" ref="V186:V187" si="186">SUM(T186:U186)</f>
        <v>0</v>
      </c>
      <c r="W186" s="391">
        <f t="shared" ref="W186:W187" si="187">J186+K186+N186+Q186+T186</f>
        <v>0</v>
      </c>
      <c r="X186" s="17">
        <f t="shared" ref="X186:X187" si="188">L186+O186+R186+U186</f>
        <v>0</v>
      </c>
      <c r="Y186" s="18">
        <f t="shared" ref="Y186:Y187" si="189">SUM(W186:X186)</f>
        <v>0</v>
      </c>
      <c r="Z186" s="20"/>
      <c r="AA186" s="20"/>
      <c r="AB186" s="20"/>
      <c r="AC186" s="20"/>
      <c r="AE186" s="111"/>
      <c r="AF186" s="111"/>
      <c r="AG186" s="113"/>
      <c r="AH186" s="113"/>
      <c r="AI186" s="131"/>
      <c r="AK186" s="111"/>
      <c r="AL186" s="111"/>
      <c r="AM186" s="113"/>
      <c r="AN186" s="113"/>
      <c r="AO186" s="131"/>
      <c r="AQ186" s="17"/>
      <c r="AR186" s="17"/>
      <c r="AS186" s="20"/>
      <c r="AT186" s="20"/>
      <c r="AU186" s="19"/>
      <c r="AW186" s="17"/>
      <c r="AX186" s="17"/>
      <c r="AY186" s="20"/>
      <c r="AZ186" s="20"/>
      <c r="BA186" s="19"/>
    </row>
    <row r="187" spans="1:53" s="4" customFormat="1" ht="17.100000000000001" customHeight="1" x14ac:dyDescent="0.25">
      <c r="A187" s="102"/>
      <c r="B187" s="102"/>
      <c r="C187" s="74"/>
      <c r="D187" s="1317"/>
      <c r="E187" s="297"/>
      <c r="F187" s="297"/>
      <c r="G187" s="297"/>
      <c r="H187" s="198"/>
      <c r="I187" s="642"/>
      <c r="J187" s="174"/>
      <c r="K187" s="174"/>
      <c r="L187" s="111"/>
      <c r="M187" s="111"/>
      <c r="N187" s="61"/>
      <c r="O187" s="61"/>
      <c r="P187" s="17">
        <f t="shared" si="170"/>
        <v>0</v>
      </c>
      <c r="Q187" s="61"/>
      <c r="R187" s="61"/>
      <c r="S187" s="17">
        <f t="shared" si="171"/>
        <v>0</v>
      </c>
      <c r="T187" s="61"/>
      <c r="U187" s="61"/>
      <c r="V187" s="17">
        <f t="shared" si="186"/>
        <v>0</v>
      </c>
      <c r="W187" s="391">
        <f t="shared" si="187"/>
        <v>0</v>
      </c>
      <c r="X187" s="17">
        <f t="shared" si="188"/>
        <v>0</v>
      </c>
      <c r="Y187" s="18">
        <f t="shared" si="189"/>
        <v>0</v>
      </c>
      <c r="Z187" s="20"/>
      <c r="AA187" s="20"/>
      <c r="AB187" s="20"/>
      <c r="AC187" s="20"/>
      <c r="AE187" s="111"/>
      <c r="AF187" s="111"/>
      <c r="AG187" s="113"/>
      <c r="AH187" s="113"/>
      <c r="AI187" s="131"/>
      <c r="AK187" s="111"/>
      <c r="AL187" s="111"/>
      <c r="AM187" s="113"/>
      <c r="AN187" s="113"/>
      <c r="AO187" s="131"/>
      <c r="AQ187" s="17"/>
      <c r="AR187" s="17"/>
      <c r="AS187" s="20"/>
      <c r="AT187" s="20"/>
      <c r="AU187" s="19"/>
      <c r="AW187" s="17"/>
      <c r="AX187" s="17"/>
      <c r="AY187" s="20"/>
      <c r="AZ187" s="20"/>
      <c r="BA187" s="19"/>
    </row>
    <row r="188" spans="1:53" ht="17.100000000000001" customHeight="1" x14ac:dyDescent="0.25">
      <c r="A188" s="40"/>
      <c r="B188" s="40"/>
      <c r="C188" s="292"/>
      <c r="D188" s="144"/>
      <c r="E188" s="144"/>
      <c r="F188" s="145"/>
      <c r="G188" s="145"/>
      <c r="H188" s="119"/>
      <c r="I188" s="236"/>
      <c r="J188" s="64"/>
      <c r="K188" s="64"/>
      <c r="L188" s="81"/>
      <c r="M188" s="81"/>
      <c r="N188" s="81">
        <f>SUM(N175:N181)</f>
        <v>2</v>
      </c>
      <c r="O188" s="81">
        <f t="shared" ref="O188:Y188" si="190">SUM(O175:O181)</f>
        <v>3</v>
      </c>
      <c r="P188" s="81">
        <f t="shared" si="190"/>
        <v>5</v>
      </c>
      <c r="Q188" s="81">
        <f t="shared" si="190"/>
        <v>0</v>
      </c>
      <c r="R188" s="81">
        <f t="shared" si="190"/>
        <v>0</v>
      </c>
      <c r="S188" s="81">
        <f t="shared" si="190"/>
        <v>0</v>
      </c>
      <c r="T188" s="81">
        <f t="shared" si="190"/>
        <v>0</v>
      </c>
      <c r="U188" s="81">
        <f t="shared" si="190"/>
        <v>0</v>
      </c>
      <c r="V188" s="81">
        <f t="shared" si="190"/>
        <v>0</v>
      </c>
      <c r="W188" s="82">
        <f t="shared" si="190"/>
        <v>2</v>
      </c>
      <c r="X188" s="82">
        <f t="shared" si="190"/>
        <v>3</v>
      </c>
      <c r="Y188" s="82">
        <f t="shared" si="190"/>
        <v>5</v>
      </c>
      <c r="Z188" s="66">
        <f t="shared" ref="Z188" si="191">IF(Y$188=0,0,Y188/Y$188)</f>
        <v>1</v>
      </c>
      <c r="AA188" s="205"/>
      <c r="AB188" s="205"/>
      <c r="AC188" s="83"/>
      <c r="AE188" s="81"/>
      <c r="AF188" s="81"/>
      <c r="AG188" s="82"/>
      <c r="AH188" s="82"/>
      <c r="AI188" s="66"/>
      <c r="AK188" s="81"/>
      <c r="AL188" s="81"/>
      <c r="AM188" s="82"/>
      <c r="AN188" s="82"/>
      <c r="AO188" s="66"/>
      <c r="AQ188" s="81"/>
      <c r="AR188" s="81"/>
      <c r="AS188" s="82"/>
      <c r="AT188" s="82">
        <f>SUM(AT175:AT181)</f>
        <v>2</v>
      </c>
      <c r="AU188" s="66">
        <f>IF(AT$188=0,0,AT188/AT$188)</f>
        <v>1</v>
      </c>
      <c r="AW188" s="81"/>
      <c r="AX188" s="81"/>
      <c r="AY188" s="82"/>
      <c r="AZ188" s="82">
        <f>SUM(AZ175:AZ181)</f>
        <v>5</v>
      </c>
      <c r="BA188" s="66">
        <f>IF(AZ$188=0,0,AZ188/AZ$188)</f>
        <v>1</v>
      </c>
    </row>
    <row r="189" spans="1:53" s="117" customFormat="1" ht="17.100000000000001" customHeight="1" x14ac:dyDescent="0.25">
      <c r="A189" s="119"/>
      <c r="B189" s="119"/>
      <c r="C189" s="540"/>
      <c r="D189" s="212"/>
      <c r="E189" s="212"/>
      <c r="F189" s="212"/>
      <c r="G189" s="212"/>
      <c r="H189" s="242"/>
      <c r="I189" s="230"/>
      <c r="J189" s="17"/>
      <c r="K189" s="17"/>
      <c r="L189" s="17"/>
      <c r="M189" s="17"/>
      <c r="N189" s="17" t="str">
        <f>IF(N188&gt;=N$20,"OK","NOK")</f>
        <v>OK</v>
      </c>
      <c r="O189" s="17" t="str">
        <f>IF(O188&gt;=O$20,"OK","NOK")</f>
        <v>OK</v>
      </c>
      <c r="P189" s="17"/>
      <c r="Q189" s="17" t="str">
        <f>IF(Q188&gt;=Q$20,"OK","NOK")</f>
        <v>OK</v>
      </c>
      <c r="R189" s="17" t="str">
        <f>IF(R188&gt;=R$20,"OK","NOK")</f>
        <v>OK</v>
      </c>
      <c r="S189" s="17"/>
      <c r="T189" s="17" t="str">
        <f>IF(T188&gt;=T$20,"OK","NOK")</f>
        <v>OK</v>
      </c>
      <c r="U189" s="17" t="str">
        <f>IF(U188&gt;=U$20,"OK","NOK")</f>
        <v>OK</v>
      </c>
      <c r="V189" s="359"/>
      <c r="W189" s="382"/>
      <c r="X189" s="539"/>
      <c r="Y189" s="539"/>
      <c r="Z189" s="201"/>
      <c r="AA189" s="201"/>
      <c r="AB189" s="201"/>
      <c r="AC189" s="84"/>
      <c r="AE189" s="17"/>
      <c r="AF189" s="17"/>
      <c r="AG189" s="17"/>
      <c r="AH189" s="539"/>
      <c r="AI189" s="91"/>
      <c r="AK189" s="17"/>
      <c r="AL189" s="17"/>
      <c r="AM189" s="17"/>
      <c r="AN189" s="539"/>
      <c r="AO189" s="91"/>
      <c r="AQ189" s="17"/>
      <c r="AR189" s="17"/>
      <c r="AS189" s="17"/>
      <c r="AT189" s="539"/>
      <c r="AU189" s="91"/>
      <c r="AW189" s="17"/>
      <c r="AX189" s="17"/>
      <c r="AY189" s="17"/>
      <c r="AZ189" s="17"/>
      <c r="BA189" s="91"/>
    </row>
    <row r="190" spans="1:53" ht="17.100000000000001" customHeight="1" x14ac:dyDescent="0.25">
      <c r="A190" s="40"/>
      <c r="B190" s="41" t="s">
        <v>160</v>
      </c>
      <c r="C190" s="274" t="s">
        <v>597</v>
      </c>
      <c r="D190" s="43"/>
      <c r="E190" s="43"/>
      <c r="F190" s="43"/>
      <c r="G190" s="43"/>
      <c r="H190" s="23"/>
      <c r="I190" s="12"/>
      <c r="J190" s="73"/>
      <c r="K190" s="73"/>
      <c r="L190" s="73"/>
      <c r="M190" s="73"/>
      <c r="N190" s="73"/>
      <c r="O190" s="73"/>
      <c r="P190" s="73"/>
      <c r="Q190" s="73"/>
      <c r="R190" s="73"/>
      <c r="S190" s="73"/>
      <c r="T190" s="73"/>
      <c r="U190" s="73"/>
      <c r="V190" s="73"/>
      <c r="W190" s="73"/>
      <c r="X190" s="73"/>
      <c r="Y190" s="73"/>
      <c r="Z190" s="73"/>
      <c r="AA190" s="73"/>
      <c r="AB190" s="73"/>
      <c r="AC190" s="73"/>
      <c r="AE190" s="73"/>
      <c r="AF190" s="73"/>
      <c r="AG190" s="73"/>
      <c r="AH190" s="73"/>
      <c r="AI190" s="73"/>
      <c r="AK190" s="73"/>
      <c r="AL190" s="73"/>
      <c r="AM190" s="73"/>
      <c r="AN190" s="73"/>
      <c r="AO190" s="73"/>
      <c r="AQ190" s="73"/>
      <c r="AR190" s="73"/>
      <c r="AS190" s="73"/>
      <c r="AT190" s="73"/>
      <c r="AU190" s="73"/>
      <c r="AW190" s="73"/>
      <c r="AX190" s="73"/>
      <c r="AY190" s="73"/>
      <c r="AZ190" s="73"/>
      <c r="BA190" s="73"/>
    </row>
    <row r="191" spans="1:53" s="4" customFormat="1" ht="17.100000000000001" customHeight="1" x14ac:dyDescent="0.25">
      <c r="A191" s="102"/>
      <c r="B191" s="102"/>
      <c r="C191" s="74" t="s">
        <v>161</v>
      </c>
      <c r="D191" s="85" t="s">
        <v>9</v>
      </c>
      <c r="E191" s="75"/>
      <c r="F191" s="75"/>
      <c r="G191" s="105"/>
      <c r="H191" s="84"/>
      <c r="I191" s="231"/>
      <c r="J191" s="174"/>
      <c r="K191" s="174"/>
      <c r="L191" s="111"/>
      <c r="M191" s="111"/>
      <c r="N191" s="60">
        <v>2</v>
      </c>
      <c r="O191" s="60">
        <v>3</v>
      </c>
      <c r="P191" s="17">
        <f t="shared" ref="P191:P195" si="192">SUM(N191:O191)</f>
        <v>5</v>
      </c>
      <c r="Q191" s="60"/>
      <c r="R191" s="60"/>
      <c r="S191" s="17">
        <f t="shared" ref="S191:S195" si="193">SUM(Q191:R191)</f>
        <v>0</v>
      </c>
      <c r="T191" s="60"/>
      <c r="U191" s="60"/>
      <c r="V191" s="17">
        <f t="shared" ref="V191:V195" si="194">SUM(T191:U191)</f>
        <v>0</v>
      </c>
      <c r="W191" s="391">
        <f t="shared" ref="W191:W195" si="195">J191+K191+N191+Q191+T191</f>
        <v>2</v>
      </c>
      <c r="X191" s="17">
        <f t="shared" ref="X191:X195" si="196">L191+O191+R191+U191</f>
        <v>3</v>
      </c>
      <c r="Y191" s="18">
        <f t="shared" ref="Y191:Y195" si="197">SUM(W191:X191)</f>
        <v>5</v>
      </c>
      <c r="Z191" s="19">
        <f>IF(Y$196=0,0,Y191/Y$196)</f>
        <v>1</v>
      </c>
      <c r="AA191" s="19"/>
      <c r="AB191" s="19"/>
      <c r="AC191" s="20"/>
      <c r="AE191" s="111"/>
      <c r="AF191" s="111"/>
      <c r="AG191" s="111"/>
      <c r="AH191" s="545"/>
      <c r="AI191" s="131"/>
      <c r="AJ191" s="3"/>
      <c r="AK191" s="111"/>
      <c r="AL191" s="111"/>
      <c r="AM191" s="111"/>
      <c r="AN191" s="545"/>
      <c r="AO191" s="131"/>
      <c r="AP191" s="3"/>
      <c r="AQ191" s="17"/>
      <c r="AR191" s="17"/>
      <c r="AS191" s="17"/>
      <c r="AT191" s="424">
        <f>W191</f>
        <v>2</v>
      </c>
      <c r="AU191" s="19">
        <f>IF(AT$196=0,0,AT191/AT$196)</f>
        <v>1</v>
      </c>
      <c r="AV191" s="3"/>
      <c r="AW191" s="17"/>
      <c r="AX191" s="17"/>
      <c r="AY191" s="17"/>
      <c r="AZ191" s="424">
        <f>X191</f>
        <v>3</v>
      </c>
      <c r="BA191" s="19">
        <f>IF(AZ$196=0,0,AZ191/AZ$196)</f>
        <v>1</v>
      </c>
    </row>
    <row r="192" spans="1:53" s="4" customFormat="1" ht="17.100000000000001" customHeight="1" x14ac:dyDescent="0.25">
      <c r="A192" s="102"/>
      <c r="B192" s="102"/>
      <c r="C192" s="74" t="s">
        <v>163</v>
      </c>
      <c r="D192" s="85" t="s">
        <v>11</v>
      </c>
      <c r="E192" s="75"/>
      <c r="F192" s="75"/>
      <c r="G192" s="105"/>
      <c r="H192" s="84"/>
      <c r="I192" s="231"/>
      <c r="J192" s="174"/>
      <c r="K192" s="174"/>
      <c r="L192" s="111"/>
      <c r="M192" s="111"/>
      <c r="N192" s="61"/>
      <c r="O192" s="61"/>
      <c r="P192" s="17">
        <f t="shared" si="192"/>
        <v>0</v>
      </c>
      <c r="Q192" s="61"/>
      <c r="R192" s="61"/>
      <c r="S192" s="17">
        <f t="shared" si="193"/>
        <v>0</v>
      </c>
      <c r="T192" s="61"/>
      <c r="U192" s="61"/>
      <c r="V192" s="17">
        <f t="shared" si="194"/>
        <v>0</v>
      </c>
      <c r="W192" s="391">
        <f t="shared" si="195"/>
        <v>0</v>
      </c>
      <c r="X192" s="17">
        <f t="shared" si="196"/>
        <v>0</v>
      </c>
      <c r="Y192" s="18">
        <f t="shared" si="197"/>
        <v>0</v>
      </c>
      <c r="Z192" s="19">
        <f t="shared" ref="Z192:Z196" si="198">IF(Y$196=0,0,Y192/Y$196)</f>
        <v>0</v>
      </c>
      <c r="AA192" s="19"/>
      <c r="AB192" s="19"/>
      <c r="AC192" s="20"/>
      <c r="AE192" s="111"/>
      <c r="AF192" s="111"/>
      <c r="AG192" s="111"/>
      <c r="AH192" s="545"/>
      <c r="AI192" s="131"/>
      <c r="AJ192" s="3"/>
      <c r="AK192" s="111"/>
      <c r="AL192" s="111"/>
      <c r="AM192" s="111"/>
      <c r="AN192" s="545"/>
      <c r="AO192" s="131"/>
      <c r="AP192" s="3"/>
      <c r="AQ192" s="17"/>
      <c r="AR192" s="17"/>
      <c r="AS192" s="17"/>
      <c r="AT192" s="424">
        <f t="shared" ref="AT192:AT195" si="199">W192</f>
        <v>0</v>
      </c>
      <c r="AU192" s="19">
        <f t="shared" ref="AU192:AU196" si="200">IF(AT$196=0,0,AT192/AT$196)</f>
        <v>0</v>
      </c>
      <c r="AV192" s="3"/>
      <c r="AW192" s="17"/>
      <c r="AX192" s="17"/>
      <c r="AY192" s="17"/>
      <c r="AZ192" s="424">
        <f t="shared" ref="AZ192:AZ195" si="201">X192</f>
        <v>0</v>
      </c>
      <c r="BA192" s="19">
        <f t="shared" ref="BA192:BA196" si="202">IF(AZ$196=0,0,AZ192/AZ$196)</f>
        <v>0</v>
      </c>
    </row>
    <row r="193" spans="1:53" s="4" customFormat="1" ht="17.100000000000001" customHeight="1" x14ac:dyDescent="0.25">
      <c r="A193" s="102"/>
      <c r="B193" s="102"/>
      <c r="C193" s="74" t="s">
        <v>164</v>
      </c>
      <c r="D193" s="85" t="s">
        <v>129</v>
      </c>
      <c r="E193" s="75"/>
      <c r="F193" s="75"/>
      <c r="G193" s="105"/>
      <c r="H193" s="84"/>
      <c r="I193" s="231"/>
      <c r="J193" s="174"/>
      <c r="K193" s="174"/>
      <c r="L193" s="111"/>
      <c r="M193" s="111"/>
      <c r="N193" s="60"/>
      <c r="O193" s="60"/>
      <c r="P193" s="17">
        <f t="shared" si="192"/>
        <v>0</v>
      </c>
      <c r="Q193" s="60"/>
      <c r="R193" s="60"/>
      <c r="S193" s="17">
        <f t="shared" si="193"/>
        <v>0</v>
      </c>
      <c r="T193" s="60"/>
      <c r="U193" s="60"/>
      <c r="V193" s="17">
        <f t="shared" si="194"/>
        <v>0</v>
      </c>
      <c r="W193" s="391">
        <f t="shared" si="195"/>
        <v>0</v>
      </c>
      <c r="X193" s="17">
        <f t="shared" si="196"/>
        <v>0</v>
      </c>
      <c r="Y193" s="18">
        <f t="shared" si="197"/>
        <v>0</v>
      </c>
      <c r="Z193" s="19">
        <f t="shared" si="198"/>
        <v>0</v>
      </c>
      <c r="AA193" s="19"/>
      <c r="AB193" s="19"/>
      <c r="AC193" s="20"/>
      <c r="AE193" s="111"/>
      <c r="AF193" s="111"/>
      <c r="AG193" s="111"/>
      <c r="AH193" s="545"/>
      <c r="AI193" s="131"/>
      <c r="AJ193" s="3"/>
      <c r="AK193" s="111"/>
      <c r="AL193" s="111"/>
      <c r="AM193" s="111"/>
      <c r="AN193" s="545"/>
      <c r="AO193" s="131"/>
      <c r="AP193" s="3"/>
      <c r="AQ193" s="17"/>
      <c r="AR193" s="17"/>
      <c r="AS193" s="17"/>
      <c r="AT193" s="424">
        <f t="shared" si="199"/>
        <v>0</v>
      </c>
      <c r="AU193" s="19">
        <f t="shared" si="200"/>
        <v>0</v>
      </c>
      <c r="AV193" s="3"/>
      <c r="AW193" s="17"/>
      <c r="AX193" s="17"/>
      <c r="AY193" s="17"/>
      <c r="AZ193" s="424">
        <f t="shared" si="201"/>
        <v>0</v>
      </c>
      <c r="BA193" s="19">
        <f t="shared" si="202"/>
        <v>0</v>
      </c>
    </row>
    <row r="194" spans="1:53" s="4" customFormat="1" ht="17.100000000000001" customHeight="1" x14ac:dyDescent="0.25">
      <c r="A194" s="102"/>
      <c r="B194" s="102"/>
      <c r="C194" s="74" t="s">
        <v>166</v>
      </c>
      <c r="D194" s="85" t="s">
        <v>599</v>
      </c>
      <c r="E194" s="75"/>
      <c r="F194" s="75"/>
      <c r="G194" s="105"/>
      <c r="H194" s="84"/>
      <c r="I194" s="231"/>
      <c r="J194" s="174"/>
      <c r="K194" s="174"/>
      <c r="L194" s="111"/>
      <c r="M194" s="111"/>
      <c r="N194" s="61"/>
      <c r="O194" s="61"/>
      <c r="P194" s="17">
        <f t="shared" si="192"/>
        <v>0</v>
      </c>
      <c r="Q194" s="61"/>
      <c r="R194" s="61"/>
      <c r="S194" s="17">
        <f t="shared" si="193"/>
        <v>0</v>
      </c>
      <c r="T194" s="61"/>
      <c r="U194" s="61"/>
      <c r="V194" s="17">
        <f t="shared" si="194"/>
        <v>0</v>
      </c>
      <c r="W194" s="391">
        <f t="shared" si="195"/>
        <v>0</v>
      </c>
      <c r="X194" s="17">
        <f t="shared" si="196"/>
        <v>0</v>
      </c>
      <c r="Y194" s="18">
        <f t="shared" si="197"/>
        <v>0</v>
      </c>
      <c r="Z194" s="19">
        <f t="shared" si="198"/>
        <v>0</v>
      </c>
      <c r="AA194" s="19"/>
      <c r="AB194" s="19"/>
      <c r="AC194" s="20"/>
      <c r="AE194" s="111"/>
      <c r="AF194" s="111"/>
      <c r="AG194" s="111"/>
      <c r="AH194" s="545"/>
      <c r="AI194" s="131"/>
      <c r="AJ194" s="3"/>
      <c r="AK194" s="111"/>
      <c r="AL194" s="111"/>
      <c r="AM194" s="111"/>
      <c r="AN194" s="545"/>
      <c r="AO194" s="131"/>
      <c r="AP194" s="3"/>
      <c r="AQ194" s="17"/>
      <c r="AR194" s="17"/>
      <c r="AS194" s="17"/>
      <c r="AT194" s="424">
        <f t="shared" si="199"/>
        <v>0</v>
      </c>
      <c r="AU194" s="19">
        <f t="shared" si="200"/>
        <v>0</v>
      </c>
      <c r="AV194" s="3"/>
      <c r="AW194" s="17"/>
      <c r="AX194" s="17"/>
      <c r="AY194" s="17"/>
      <c r="AZ194" s="424">
        <f t="shared" si="201"/>
        <v>0</v>
      </c>
      <c r="BA194" s="19">
        <f t="shared" si="202"/>
        <v>0</v>
      </c>
    </row>
    <row r="195" spans="1:53" s="4" customFormat="1" ht="17.100000000000001" customHeight="1" x14ac:dyDescent="0.25">
      <c r="A195" s="102"/>
      <c r="B195" s="102"/>
      <c r="C195" s="74" t="s">
        <v>168</v>
      </c>
      <c r="D195" s="75" t="s">
        <v>600</v>
      </c>
      <c r="E195" s="75"/>
      <c r="F195" s="75"/>
      <c r="G195" s="105"/>
      <c r="H195" s="84"/>
      <c r="I195" s="231"/>
      <c r="J195" s="174"/>
      <c r="K195" s="174"/>
      <c r="L195" s="111"/>
      <c r="M195" s="111"/>
      <c r="N195" s="60"/>
      <c r="O195" s="60"/>
      <c r="P195" s="17">
        <f t="shared" si="192"/>
        <v>0</v>
      </c>
      <c r="Q195" s="60"/>
      <c r="R195" s="60"/>
      <c r="S195" s="17">
        <f t="shared" si="193"/>
        <v>0</v>
      </c>
      <c r="T195" s="60"/>
      <c r="U195" s="60"/>
      <c r="V195" s="17">
        <f t="shared" si="194"/>
        <v>0</v>
      </c>
      <c r="W195" s="391">
        <f t="shared" si="195"/>
        <v>0</v>
      </c>
      <c r="X195" s="17">
        <f t="shared" si="196"/>
        <v>0</v>
      </c>
      <c r="Y195" s="18">
        <f t="shared" si="197"/>
        <v>0</v>
      </c>
      <c r="Z195" s="19">
        <f t="shared" si="198"/>
        <v>0</v>
      </c>
      <c r="AA195" s="19"/>
      <c r="AB195" s="19"/>
      <c r="AC195" s="20"/>
      <c r="AE195" s="111"/>
      <c r="AF195" s="111"/>
      <c r="AG195" s="111"/>
      <c r="AH195" s="545"/>
      <c r="AI195" s="131"/>
      <c r="AJ195" s="3"/>
      <c r="AK195" s="111"/>
      <c r="AL195" s="111"/>
      <c r="AM195" s="111"/>
      <c r="AN195" s="545"/>
      <c r="AO195" s="131"/>
      <c r="AP195" s="3"/>
      <c r="AQ195" s="17"/>
      <c r="AR195" s="17"/>
      <c r="AS195" s="17"/>
      <c r="AT195" s="424">
        <f t="shared" si="199"/>
        <v>0</v>
      </c>
      <c r="AU195" s="19">
        <f t="shared" si="200"/>
        <v>0</v>
      </c>
      <c r="AV195" s="3"/>
      <c r="AW195" s="17"/>
      <c r="AX195" s="17"/>
      <c r="AY195" s="17"/>
      <c r="AZ195" s="424">
        <f t="shared" si="201"/>
        <v>0</v>
      </c>
      <c r="BA195" s="19">
        <f t="shared" si="202"/>
        <v>0</v>
      </c>
    </row>
    <row r="196" spans="1:53" ht="17.100000000000001" customHeight="1" x14ac:dyDescent="0.25">
      <c r="A196" s="40"/>
      <c r="B196" s="40"/>
      <c r="C196" s="292"/>
      <c r="D196" s="144"/>
      <c r="E196" s="144"/>
      <c r="F196" s="145"/>
      <c r="G196" s="145"/>
      <c r="H196" s="119"/>
      <c r="I196" s="138"/>
      <c r="J196" s="64"/>
      <c r="K196" s="64"/>
      <c r="L196" s="81"/>
      <c r="M196" s="81"/>
      <c r="N196" s="81">
        <f>SUM(N191:N195)</f>
        <v>2</v>
      </c>
      <c r="O196" s="81">
        <f t="shared" ref="O196:V196" si="203">SUM(O191:O195)</f>
        <v>3</v>
      </c>
      <c r="P196" s="81">
        <f t="shared" si="203"/>
        <v>5</v>
      </c>
      <c r="Q196" s="81">
        <f t="shared" si="203"/>
        <v>0</v>
      </c>
      <c r="R196" s="81">
        <f t="shared" si="203"/>
        <v>0</v>
      </c>
      <c r="S196" s="81">
        <f t="shared" si="203"/>
        <v>0</v>
      </c>
      <c r="T196" s="81">
        <f t="shared" si="203"/>
        <v>0</v>
      </c>
      <c r="U196" s="81">
        <f t="shared" si="203"/>
        <v>0</v>
      </c>
      <c r="V196" s="81">
        <f t="shared" si="203"/>
        <v>0</v>
      </c>
      <c r="W196" s="82">
        <f>SUM(W191:W195)</f>
        <v>2</v>
      </c>
      <c r="X196" s="82">
        <f t="shared" ref="X196:Y196" si="204">SUM(X191:X195)</f>
        <v>3</v>
      </c>
      <c r="Y196" s="82">
        <f t="shared" si="204"/>
        <v>5</v>
      </c>
      <c r="Z196" s="66">
        <f t="shared" si="198"/>
        <v>1</v>
      </c>
      <c r="AA196" s="66"/>
      <c r="AB196" s="66"/>
      <c r="AC196" s="83"/>
      <c r="AE196" s="81"/>
      <c r="AF196" s="81"/>
      <c r="AG196" s="82"/>
      <c r="AH196" s="82"/>
      <c r="AI196" s="66"/>
      <c r="AK196" s="81"/>
      <c r="AL196" s="81"/>
      <c r="AM196" s="82"/>
      <c r="AN196" s="82"/>
      <c r="AO196" s="66"/>
      <c r="AQ196" s="81"/>
      <c r="AR196" s="81"/>
      <c r="AS196" s="82"/>
      <c r="AT196" s="81">
        <f>SUM(AT191:AT195)</f>
        <v>2</v>
      </c>
      <c r="AU196" s="66">
        <f t="shared" si="200"/>
        <v>1</v>
      </c>
      <c r="AW196" s="81"/>
      <c r="AX196" s="81"/>
      <c r="AY196" s="82"/>
      <c r="AZ196" s="81">
        <f>SUM(AZ191:AZ195)</f>
        <v>3</v>
      </c>
      <c r="BA196" s="66">
        <f t="shared" si="202"/>
        <v>1</v>
      </c>
    </row>
    <row r="197" spans="1:53" s="117" customFormat="1" ht="17.100000000000001" customHeight="1" x14ac:dyDescent="0.25">
      <c r="A197" s="119"/>
      <c r="B197" s="119"/>
      <c r="C197" s="540"/>
      <c r="D197" s="212"/>
      <c r="E197" s="212"/>
      <c r="F197" s="212"/>
      <c r="G197" s="212"/>
      <c r="H197" s="242"/>
      <c r="I197" s="230"/>
      <c r="J197" s="17"/>
      <c r="K197" s="17"/>
      <c r="L197" s="17"/>
      <c r="M197" s="17"/>
      <c r="N197" s="17" t="str">
        <f>IF(N196=N$20,"OK","NOK")</f>
        <v>OK</v>
      </c>
      <c r="O197" s="17" t="str">
        <f>IF(O196=O$20,"OK","NOK")</f>
        <v>OK</v>
      </c>
      <c r="P197" s="17"/>
      <c r="Q197" s="17" t="str">
        <f>IF(Q196&gt;=Q$20,"OK","NOK")</f>
        <v>OK</v>
      </c>
      <c r="R197" s="17" t="str">
        <f>IF(R196&gt;=R$20,"OK","NOK")</f>
        <v>OK</v>
      </c>
      <c r="S197" s="17"/>
      <c r="T197" s="17" t="str">
        <f>IF(T196&gt;=T$20,"OK","NOK")</f>
        <v>OK</v>
      </c>
      <c r="U197" s="17" t="str">
        <f>IF(U196&gt;=U$20,"OK","NOK")</f>
        <v>OK</v>
      </c>
      <c r="V197" s="359"/>
      <c r="W197" s="382"/>
      <c r="X197" s="539"/>
      <c r="Y197" s="539"/>
      <c r="Z197" s="201"/>
      <c r="AA197" s="201"/>
      <c r="AB197" s="201"/>
      <c r="AC197" s="84"/>
      <c r="AE197" s="17"/>
      <c r="AF197" s="17"/>
      <c r="AG197" s="17"/>
      <c r="AH197" s="539"/>
      <c r="AI197" s="91"/>
      <c r="AK197" s="17"/>
      <c r="AL197" s="17"/>
      <c r="AM197" s="17"/>
      <c r="AN197" s="539"/>
      <c r="AO197" s="91"/>
      <c r="AQ197" s="17"/>
      <c r="AR197" s="17"/>
      <c r="AS197" s="17"/>
      <c r="AT197" s="539"/>
      <c r="AU197" s="91"/>
      <c r="AW197" s="17"/>
      <c r="AX197" s="17"/>
      <c r="AY197" s="17"/>
      <c r="AZ197" s="17"/>
      <c r="BA197" s="91"/>
    </row>
    <row r="198" spans="1:53" ht="17.100000000000001" customHeight="1" x14ac:dyDescent="0.25">
      <c r="A198" s="40"/>
      <c r="B198" s="41" t="s">
        <v>171</v>
      </c>
      <c r="C198" s="42" t="s">
        <v>601</v>
      </c>
      <c r="D198" s="43"/>
      <c r="E198" s="43"/>
      <c r="F198" s="43"/>
      <c r="G198" s="43"/>
      <c r="H198" s="23"/>
      <c r="I198" s="12"/>
      <c r="J198" s="73"/>
      <c r="K198" s="73"/>
      <c r="L198" s="73"/>
      <c r="M198" s="73"/>
      <c r="N198" s="71">
        <f>N191</f>
        <v>2</v>
      </c>
      <c r="O198" s="71">
        <f t="shared" ref="O198:U198" si="205">O191</f>
        <v>3</v>
      </c>
      <c r="P198" s="71"/>
      <c r="Q198" s="71">
        <f t="shared" si="205"/>
        <v>0</v>
      </c>
      <c r="R198" s="71">
        <f t="shared" si="205"/>
        <v>0</v>
      </c>
      <c r="S198" s="71"/>
      <c r="T198" s="71">
        <f t="shared" si="205"/>
        <v>0</v>
      </c>
      <c r="U198" s="71">
        <f t="shared" si="205"/>
        <v>0</v>
      </c>
      <c r="V198" s="71"/>
      <c r="W198" s="73"/>
      <c r="X198" s="73"/>
      <c r="Y198" s="73"/>
      <c r="Z198" s="73"/>
      <c r="AA198" s="73"/>
      <c r="AB198" s="73"/>
      <c r="AC198" s="73"/>
      <c r="AE198" s="73"/>
      <c r="AF198" s="73"/>
      <c r="AG198" s="73"/>
      <c r="AH198" s="73"/>
      <c r="AI198" s="73"/>
      <c r="AK198" s="73"/>
      <c r="AL198" s="73"/>
      <c r="AM198" s="73"/>
      <c r="AN198" s="73"/>
      <c r="AO198" s="73"/>
      <c r="AQ198" s="73"/>
      <c r="AR198" s="73"/>
      <c r="AS198" s="73"/>
      <c r="AT198" s="73"/>
      <c r="AU198" s="73"/>
      <c r="AW198" s="73"/>
      <c r="AX198" s="73"/>
      <c r="AY198" s="73"/>
      <c r="AZ198" s="73"/>
      <c r="BA198" s="73"/>
    </row>
    <row r="199" spans="1:53" s="4" customFormat="1" ht="17.100000000000001" customHeight="1" x14ac:dyDescent="0.25">
      <c r="A199" s="40"/>
      <c r="B199" s="40"/>
      <c r="C199" s="141" t="s">
        <v>172</v>
      </c>
      <c r="D199" s="541" t="s">
        <v>479</v>
      </c>
      <c r="E199" s="75"/>
      <c r="F199" s="75"/>
      <c r="G199" s="542"/>
      <c r="H199" s="254"/>
      <c r="I199" s="207"/>
      <c r="J199" s="174"/>
      <c r="K199" s="174"/>
      <c r="L199" s="111"/>
      <c r="M199" s="111"/>
      <c r="N199" s="60"/>
      <c r="O199" s="60"/>
      <c r="P199" s="17">
        <f t="shared" ref="P199:P203" si="206">SUM(N199:O199)</f>
        <v>0</v>
      </c>
      <c r="Q199" s="60"/>
      <c r="R199" s="60"/>
      <c r="S199" s="17">
        <f t="shared" ref="S199:S203" si="207">SUM(Q199:R199)</f>
        <v>0</v>
      </c>
      <c r="T199" s="60"/>
      <c r="U199" s="60"/>
      <c r="V199" s="17">
        <f t="shared" ref="V199:V203" si="208">SUM(T199:U199)</f>
        <v>0</v>
      </c>
      <c r="W199" s="391">
        <f t="shared" ref="W199" si="209">J199+K199+N199+Q199+T199</f>
        <v>0</v>
      </c>
      <c r="X199" s="17">
        <f t="shared" ref="X199" si="210">L199+O199+R199+U199</f>
        <v>0</v>
      </c>
      <c r="Y199" s="18">
        <f t="shared" ref="Y199" si="211">SUM(W199:X199)</f>
        <v>0</v>
      </c>
      <c r="Z199" s="19">
        <f>IF(Y$208=0,0,Y199/Y$208)</f>
        <v>0</v>
      </c>
      <c r="AA199" s="19"/>
      <c r="AB199" s="19"/>
      <c r="AC199" s="20"/>
      <c r="AE199" s="111"/>
      <c r="AF199" s="111"/>
      <c r="AG199" s="111"/>
      <c r="AH199" s="545"/>
      <c r="AI199" s="131"/>
      <c r="AJ199" s="3"/>
      <c r="AK199" s="111"/>
      <c r="AL199" s="111"/>
      <c r="AM199" s="111"/>
      <c r="AN199" s="545"/>
      <c r="AO199" s="131"/>
      <c r="AP199" s="3"/>
      <c r="AQ199" s="17"/>
      <c r="AR199" s="17"/>
      <c r="AS199" s="17"/>
      <c r="AT199" s="424">
        <f>W199</f>
        <v>0</v>
      </c>
      <c r="AU199" s="19">
        <f>IF(AT$208=0,0,AT199/AT$208)</f>
        <v>0</v>
      </c>
      <c r="AV199" s="3"/>
      <c r="AW199" s="17"/>
      <c r="AX199" s="17"/>
      <c r="AY199" s="17"/>
      <c r="AZ199" s="424">
        <f>X199</f>
        <v>0</v>
      </c>
      <c r="BA199" s="19">
        <f>IF(AZ$208=0,0,AZ199/AZ$208)</f>
        <v>0</v>
      </c>
    </row>
    <row r="200" spans="1:53" s="4" customFormat="1" ht="17.100000000000001" customHeight="1" x14ac:dyDescent="0.25">
      <c r="A200" s="40"/>
      <c r="B200" s="40"/>
      <c r="C200" s="141" t="s">
        <v>174</v>
      </c>
      <c r="D200" s="85" t="s">
        <v>405</v>
      </c>
      <c r="E200" s="75"/>
      <c r="F200" s="75"/>
      <c r="G200" s="542"/>
      <c r="H200" s="254"/>
      <c r="I200" s="207"/>
      <c r="J200" s="174"/>
      <c r="K200" s="174"/>
      <c r="L200" s="111"/>
      <c r="M200" s="111"/>
      <c r="N200" s="61"/>
      <c r="O200" s="61"/>
      <c r="P200" s="17">
        <f t="shared" si="206"/>
        <v>0</v>
      </c>
      <c r="Q200" s="61"/>
      <c r="R200" s="61"/>
      <c r="S200" s="17">
        <f t="shared" si="207"/>
        <v>0</v>
      </c>
      <c r="T200" s="61"/>
      <c r="U200" s="61"/>
      <c r="V200" s="17">
        <f t="shared" si="208"/>
        <v>0</v>
      </c>
      <c r="W200" s="391">
        <f t="shared" ref="W200:W207" si="212">J200+K200+N200+Q200+T200</f>
        <v>0</v>
      </c>
      <c r="X200" s="17">
        <f t="shared" ref="X200:X207" si="213">L200+O200+R200+U200</f>
        <v>0</v>
      </c>
      <c r="Y200" s="18">
        <f t="shared" ref="Y200:Y207" si="214">SUM(W200:X200)</f>
        <v>0</v>
      </c>
      <c r="Z200" s="19">
        <f t="shared" ref="Z200:Z208" si="215">IF(Y$208=0,0,Y200/Y$208)</f>
        <v>0</v>
      </c>
      <c r="AA200" s="19"/>
      <c r="AB200" s="19"/>
      <c r="AC200" s="20"/>
      <c r="AE200" s="111"/>
      <c r="AF200" s="111"/>
      <c r="AG200" s="111"/>
      <c r="AH200" s="545"/>
      <c r="AI200" s="131"/>
      <c r="AJ200" s="3"/>
      <c r="AK200" s="111"/>
      <c r="AL200" s="111"/>
      <c r="AM200" s="111"/>
      <c r="AN200" s="545"/>
      <c r="AO200" s="131"/>
      <c r="AP200" s="3"/>
      <c r="AQ200" s="17"/>
      <c r="AR200" s="17"/>
      <c r="AS200" s="17"/>
      <c r="AT200" s="424">
        <f t="shared" ref="AT200:AT207" si="216">W200</f>
        <v>0</v>
      </c>
      <c r="AU200" s="19">
        <f t="shared" ref="AU200:AU203" si="217">IF(AT$208=0,0,AT200/AT$208)</f>
        <v>0</v>
      </c>
      <c r="AV200" s="3"/>
      <c r="AW200" s="17"/>
      <c r="AX200" s="17"/>
      <c r="AY200" s="17"/>
      <c r="AZ200" s="424">
        <f t="shared" ref="AZ200:AZ207" si="218">X200</f>
        <v>0</v>
      </c>
      <c r="BA200" s="19">
        <f t="shared" ref="BA200:BA208" si="219">IF(AZ$208=0,0,AZ200/AZ$208)</f>
        <v>0</v>
      </c>
    </row>
    <row r="201" spans="1:53" s="4" customFormat="1" ht="17.100000000000001" customHeight="1" x14ac:dyDescent="0.25">
      <c r="A201" s="40"/>
      <c r="B201" s="40"/>
      <c r="C201" s="141" t="s">
        <v>175</v>
      </c>
      <c r="D201" s="85" t="s">
        <v>480</v>
      </c>
      <c r="E201" s="75"/>
      <c r="F201" s="75"/>
      <c r="G201" s="542"/>
      <c r="H201" s="254"/>
      <c r="I201" s="207"/>
      <c r="J201" s="174"/>
      <c r="K201" s="174"/>
      <c r="L201" s="111"/>
      <c r="M201" s="111"/>
      <c r="N201" s="60">
        <v>2</v>
      </c>
      <c r="O201" s="60">
        <v>3</v>
      </c>
      <c r="P201" s="17">
        <f t="shared" si="206"/>
        <v>5</v>
      </c>
      <c r="Q201" s="60"/>
      <c r="R201" s="60"/>
      <c r="S201" s="17">
        <f t="shared" si="207"/>
        <v>0</v>
      </c>
      <c r="T201" s="60"/>
      <c r="U201" s="60"/>
      <c r="V201" s="17">
        <f t="shared" si="208"/>
        <v>0</v>
      </c>
      <c r="W201" s="391">
        <f t="shared" si="212"/>
        <v>2</v>
      </c>
      <c r="X201" s="17">
        <f t="shared" si="213"/>
        <v>3</v>
      </c>
      <c r="Y201" s="18">
        <f t="shared" si="214"/>
        <v>5</v>
      </c>
      <c r="Z201" s="19">
        <f t="shared" si="215"/>
        <v>1</v>
      </c>
      <c r="AA201" s="19"/>
      <c r="AB201" s="19"/>
      <c r="AC201" s="20"/>
      <c r="AE201" s="111"/>
      <c r="AF201" s="111"/>
      <c r="AG201" s="111"/>
      <c r="AH201" s="545"/>
      <c r="AI201" s="131"/>
      <c r="AJ201" s="3"/>
      <c r="AK201" s="111"/>
      <c r="AL201" s="111"/>
      <c r="AM201" s="111"/>
      <c r="AN201" s="545"/>
      <c r="AO201" s="131"/>
      <c r="AP201" s="3"/>
      <c r="AQ201" s="17"/>
      <c r="AR201" s="17"/>
      <c r="AS201" s="17"/>
      <c r="AT201" s="424">
        <f t="shared" si="216"/>
        <v>2</v>
      </c>
      <c r="AU201" s="19">
        <f t="shared" si="217"/>
        <v>1</v>
      </c>
      <c r="AV201" s="3"/>
      <c r="AW201" s="17"/>
      <c r="AX201" s="17"/>
      <c r="AY201" s="17"/>
      <c r="AZ201" s="424">
        <f t="shared" si="218"/>
        <v>3</v>
      </c>
      <c r="BA201" s="19">
        <f t="shared" si="219"/>
        <v>1</v>
      </c>
    </row>
    <row r="202" spans="1:53" s="4" customFormat="1" ht="17.100000000000001" customHeight="1" x14ac:dyDescent="0.25">
      <c r="A202" s="40"/>
      <c r="B202" s="40"/>
      <c r="C202" s="141" t="s">
        <v>176</v>
      </c>
      <c r="D202" s="541" t="s">
        <v>481</v>
      </c>
      <c r="E202" s="75"/>
      <c r="F202" s="75"/>
      <c r="G202" s="542"/>
      <c r="H202" s="254"/>
      <c r="I202" s="207"/>
      <c r="J202" s="174"/>
      <c r="K202" s="174"/>
      <c r="L202" s="111"/>
      <c r="M202" s="111"/>
      <c r="N202" s="61"/>
      <c r="O202" s="61"/>
      <c r="P202" s="17">
        <f t="shared" si="206"/>
        <v>0</v>
      </c>
      <c r="Q202" s="61"/>
      <c r="R202" s="61"/>
      <c r="S202" s="17">
        <f t="shared" si="207"/>
        <v>0</v>
      </c>
      <c r="T202" s="61"/>
      <c r="U202" s="61"/>
      <c r="V202" s="17">
        <f t="shared" si="208"/>
        <v>0</v>
      </c>
      <c r="W202" s="391">
        <f t="shared" si="212"/>
        <v>0</v>
      </c>
      <c r="X202" s="17">
        <f t="shared" si="213"/>
        <v>0</v>
      </c>
      <c r="Y202" s="18">
        <f t="shared" si="214"/>
        <v>0</v>
      </c>
      <c r="Z202" s="19">
        <f t="shared" si="215"/>
        <v>0</v>
      </c>
      <c r="AA202" s="19"/>
      <c r="AB202" s="19"/>
      <c r="AC202" s="20"/>
      <c r="AE202" s="111"/>
      <c r="AF202" s="111"/>
      <c r="AG202" s="111"/>
      <c r="AH202" s="545"/>
      <c r="AI202" s="131"/>
      <c r="AJ202" s="3"/>
      <c r="AK202" s="111"/>
      <c r="AL202" s="111"/>
      <c r="AM202" s="111"/>
      <c r="AN202" s="545"/>
      <c r="AO202" s="131"/>
      <c r="AP202" s="3"/>
      <c r="AQ202" s="17"/>
      <c r="AR202" s="17"/>
      <c r="AS202" s="17"/>
      <c r="AT202" s="424">
        <f t="shared" si="216"/>
        <v>0</v>
      </c>
      <c r="AU202" s="19">
        <f t="shared" si="217"/>
        <v>0</v>
      </c>
      <c r="AV202" s="3"/>
      <c r="AW202" s="17"/>
      <c r="AX202" s="17"/>
      <c r="AY202" s="17"/>
      <c r="AZ202" s="424">
        <f t="shared" si="218"/>
        <v>0</v>
      </c>
      <c r="BA202" s="19">
        <f t="shared" si="219"/>
        <v>0</v>
      </c>
    </row>
    <row r="203" spans="1:53" s="4" customFormat="1" ht="17.100000000000001" customHeight="1" x14ac:dyDescent="0.25">
      <c r="A203" s="40"/>
      <c r="B203" s="40"/>
      <c r="C203" s="282" t="s">
        <v>177</v>
      </c>
      <c r="D203" s="541" t="s">
        <v>109</v>
      </c>
      <c r="E203" s="543"/>
      <c r="F203" s="543"/>
      <c r="G203" s="542"/>
      <c r="H203" s="254"/>
      <c r="I203" s="207"/>
      <c r="J203" s="111"/>
      <c r="K203" s="111"/>
      <c r="L203" s="111"/>
      <c r="M203" s="111"/>
      <c r="N203" s="111">
        <f>SUM(N204:N206)</f>
        <v>0</v>
      </c>
      <c r="O203" s="111">
        <f t="shared" ref="O203:U203" si="220">SUM(O204:O206)</f>
        <v>0</v>
      </c>
      <c r="P203" s="111">
        <f t="shared" si="206"/>
        <v>0</v>
      </c>
      <c r="Q203" s="111">
        <f t="shared" si="220"/>
        <v>0</v>
      </c>
      <c r="R203" s="111">
        <f t="shared" si="220"/>
        <v>0</v>
      </c>
      <c r="S203" s="111">
        <f t="shared" si="207"/>
        <v>0</v>
      </c>
      <c r="T203" s="111">
        <f t="shared" si="220"/>
        <v>0</v>
      </c>
      <c r="U203" s="111">
        <f t="shared" si="220"/>
        <v>0</v>
      </c>
      <c r="V203" s="111">
        <f t="shared" si="208"/>
        <v>0</v>
      </c>
      <c r="W203" s="380">
        <f t="shared" si="212"/>
        <v>0</v>
      </c>
      <c r="X203" s="111">
        <f t="shared" si="213"/>
        <v>0</v>
      </c>
      <c r="Y203" s="545">
        <f t="shared" si="214"/>
        <v>0</v>
      </c>
      <c r="Z203" s="131">
        <f t="shared" si="215"/>
        <v>0</v>
      </c>
      <c r="AA203" s="131"/>
      <c r="AB203" s="131"/>
      <c r="AC203" s="113"/>
      <c r="AE203" s="111"/>
      <c r="AF203" s="111"/>
      <c r="AG203" s="111"/>
      <c r="AH203" s="545"/>
      <c r="AI203" s="131"/>
      <c r="AJ203" s="3"/>
      <c r="AK203" s="111"/>
      <c r="AL203" s="111"/>
      <c r="AM203" s="111"/>
      <c r="AN203" s="545"/>
      <c r="AO203" s="131"/>
      <c r="AP203" s="3"/>
      <c r="AQ203" s="111"/>
      <c r="AR203" s="111"/>
      <c r="AS203" s="111"/>
      <c r="AT203" s="111">
        <f t="shared" si="216"/>
        <v>0</v>
      </c>
      <c r="AU203" s="131">
        <f t="shared" si="217"/>
        <v>0</v>
      </c>
      <c r="AV203" s="3"/>
      <c r="AW203" s="111"/>
      <c r="AX203" s="111"/>
      <c r="AY203" s="111"/>
      <c r="AZ203" s="111">
        <f t="shared" si="218"/>
        <v>0</v>
      </c>
      <c r="BA203" s="131">
        <f t="shared" si="219"/>
        <v>0</v>
      </c>
    </row>
    <row r="204" spans="1:53" s="4" customFormat="1" ht="16.5" customHeight="1" x14ac:dyDescent="0.25">
      <c r="A204" s="40"/>
      <c r="B204" s="40"/>
      <c r="C204" s="56"/>
      <c r="D204" s="294"/>
      <c r="E204" s="295"/>
      <c r="F204" s="295"/>
      <c r="G204" s="295"/>
      <c r="H204" s="198"/>
      <c r="I204" s="642"/>
      <c r="J204" s="174"/>
      <c r="K204" s="174"/>
      <c r="L204" s="111"/>
      <c r="M204" s="111"/>
      <c r="N204" s="60"/>
      <c r="O204" s="60"/>
      <c r="P204" s="17"/>
      <c r="Q204" s="60"/>
      <c r="R204" s="60"/>
      <c r="S204" s="17"/>
      <c r="T204" s="60"/>
      <c r="U204" s="60"/>
      <c r="V204" s="17"/>
      <c r="W204" s="391"/>
      <c r="X204" s="17"/>
      <c r="Y204" s="18"/>
      <c r="Z204" s="19"/>
      <c r="AA204" s="20"/>
      <c r="AB204" s="20"/>
      <c r="AC204" s="20"/>
      <c r="AE204" s="111"/>
      <c r="AF204" s="111"/>
      <c r="AG204" s="113"/>
      <c r="AH204" s="113"/>
      <c r="AI204" s="131"/>
      <c r="AK204" s="111"/>
      <c r="AL204" s="111"/>
      <c r="AM204" s="113"/>
      <c r="AN204" s="113"/>
      <c r="AO204" s="131"/>
      <c r="AQ204" s="17"/>
      <c r="AR204" s="17"/>
      <c r="AS204" s="20"/>
      <c r="AT204" s="424"/>
      <c r="AU204" s="19"/>
      <c r="AW204" s="17"/>
      <c r="AX204" s="17"/>
      <c r="AY204" s="20"/>
      <c r="AZ204" s="424"/>
      <c r="BA204" s="19"/>
    </row>
    <row r="205" spans="1:53" s="4" customFormat="1" ht="17.100000000000001" customHeight="1" x14ac:dyDescent="0.25">
      <c r="A205" s="40"/>
      <c r="B205" s="40"/>
      <c r="C205" s="56"/>
      <c r="D205" s="296"/>
      <c r="E205" s="297"/>
      <c r="F205" s="297"/>
      <c r="G205" s="297"/>
      <c r="H205" s="198"/>
      <c r="I205" s="642"/>
      <c r="J205" s="174"/>
      <c r="K205" s="174"/>
      <c r="L205" s="111"/>
      <c r="M205" s="111"/>
      <c r="N205" s="61"/>
      <c r="O205" s="61"/>
      <c r="P205" s="17"/>
      <c r="Q205" s="61"/>
      <c r="R205" s="61"/>
      <c r="S205" s="17"/>
      <c r="T205" s="61"/>
      <c r="U205" s="61"/>
      <c r="V205" s="17"/>
      <c r="W205" s="391"/>
      <c r="X205" s="17"/>
      <c r="Y205" s="18"/>
      <c r="Z205" s="19"/>
      <c r="AA205" s="20"/>
      <c r="AB205" s="20"/>
      <c r="AC205" s="20"/>
      <c r="AE205" s="111"/>
      <c r="AF205" s="111"/>
      <c r="AG205" s="113"/>
      <c r="AH205" s="113"/>
      <c r="AI205" s="131"/>
      <c r="AK205" s="111"/>
      <c r="AL205" s="111"/>
      <c r="AM205" s="113"/>
      <c r="AN205" s="113"/>
      <c r="AO205" s="131"/>
      <c r="AQ205" s="17"/>
      <c r="AR205" s="17"/>
      <c r="AS205" s="20"/>
      <c r="AT205" s="424"/>
      <c r="AU205" s="19"/>
      <c r="AW205" s="17"/>
      <c r="AX205" s="17"/>
      <c r="AY205" s="20"/>
      <c r="AZ205" s="424"/>
      <c r="BA205" s="19"/>
    </row>
    <row r="206" spans="1:53" s="4" customFormat="1" ht="16.5" customHeight="1" x14ac:dyDescent="0.25">
      <c r="A206" s="40"/>
      <c r="B206" s="40"/>
      <c r="C206" s="56"/>
      <c r="D206" s="294"/>
      <c r="E206" s="295"/>
      <c r="F206" s="295"/>
      <c r="G206" s="295"/>
      <c r="H206" s="198"/>
      <c r="I206" s="642"/>
      <c r="J206" s="174"/>
      <c r="K206" s="174"/>
      <c r="L206" s="111"/>
      <c r="M206" s="111"/>
      <c r="N206" s="60"/>
      <c r="O206" s="60"/>
      <c r="P206" s="17"/>
      <c r="Q206" s="60"/>
      <c r="R206" s="60"/>
      <c r="S206" s="17"/>
      <c r="T206" s="60"/>
      <c r="U206" s="60"/>
      <c r="V206" s="17"/>
      <c r="W206" s="391"/>
      <c r="X206" s="17"/>
      <c r="Y206" s="18"/>
      <c r="Z206" s="19"/>
      <c r="AA206" s="20"/>
      <c r="AB206" s="20"/>
      <c r="AC206" s="20"/>
      <c r="AE206" s="111"/>
      <c r="AF206" s="111"/>
      <c r="AG206" s="113"/>
      <c r="AH206" s="113"/>
      <c r="AI206" s="131"/>
      <c r="AK206" s="111"/>
      <c r="AL206" s="111"/>
      <c r="AM206" s="113"/>
      <c r="AN206" s="113"/>
      <c r="AO206" s="131"/>
      <c r="AQ206" s="17"/>
      <c r="AR206" s="17"/>
      <c r="AS206" s="20"/>
      <c r="AT206" s="424"/>
      <c r="AU206" s="19"/>
      <c r="AW206" s="17"/>
      <c r="AX206" s="17"/>
      <c r="AY206" s="20"/>
      <c r="AZ206" s="424"/>
      <c r="BA206" s="19"/>
    </row>
    <row r="207" spans="1:53" s="4" customFormat="1" ht="17.100000000000001" customHeight="1" x14ac:dyDescent="0.25">
      <c r="A207" s="40"/>
      <c r="B207" s="40"/>
      <c r="C207" s="56" t="s">
        <v>178</v>
      </c>
      <c r="D207" s="596" t="s">
        <v>598</v>
      </c>
      <c r="E207" s="542"/>
      <c r="F207" s="542"/>
      <c r="G207" s="542"/>
      <c r="H207" s="254"/>
      <c r="I207" s="207"/>
      <c r="J207" s="174"/>
      <c r="K207" s="174"/>
      <c r="L207" s="111"/>
      <c r="M207" s="111"/>
      <c r="N207" s="61"/>
      <c r="O207" s="61"/>
      <c r="P207" s="17">
        <f t="shared" ref="P207" si="221">SUM(N207:O207)</f>
        <v>0</v>
      </c>
      <c r="Q207" s="61"/>
      <c r="R207" s="61"/>
      <c r="S207" s="17">
        <f t="shared" ref="S207" si="222">SUM(Q207:R207)</f>
        <v>0</v>
      </c>
      <c r="T207" s="61"/>
      <c r="U207" s="61"/>
      <c r="V207" s="17">
        <f t="shared" ref="V207" si="223">SUM(T207:U207)</f>
        <v>0</v>
      </c>
      <c r="W207" s="391">
        <f t="shared" si="212"/>
        <v>0</v>
      </c>
      <c r="X207" s="17">
        <f t="shared" si="213"/>
        <v>0</v>
      </c>
      <c r="Y207" s="18">
        <f t="shared" si="214"/>
        <v>0</v>
      </c>
      <c r="Z207" s="19">
        <f t="shared" si="215"/>
        <v>0</v>
      </c>
      <c r="AA207" s="19"/>
      <c r="AB207" s="19"/>
      <c r="AC207" s="20"/>
      <c r="AE207" s="111"/>
      <c r="AF207" s="111"/>
      <c r="AG207" s="111"/>
      <c r="AH207" s="545"/>
      <c r="AI207" s="131"/>
      <c r="AJ207" s="3"/>
      <c r="AK207" s="111"/>
      <c r="AL207" s="111"/>
      <c r="AM207" s="111"/>
      <c r="AN207" s="545"/>
      <c r="AO207" s="131"/>
      <c r="AP207" s="3"/>
      <c r="AQ207" s="17"/>
      <c r="AR207" s="17"/>
      <c r="AS207" s="17"/>
      <c r="AT207" s="424">
        <f t="shared" si="216"/>
        <v>0</v>
      </c>
      <c r="AU207" s="19">
        <f t="shared" ref="AU207:AU208" si="224">IF(AT$208=0,0,AT207/AT$208)</f>
        <v>0</v>
      </c>
      <c r="AV207" s="3"/>
      <c r="AW207" s="17"/>
      <c r="AX207" s="17"/>
      <c r="AY207" s="17"/>
      <c r="AZ207" s="424">
        <f t="shared" si="218"/>
        <v>0</v>
      </c>
      <c r="BA207" s="19">
        <f t="shared" si="219"/>
        <v>0</v>
      </c>
    </row>
    <row r="208" spans="1:53" ht="17.100000000000001" customHeight="1" x14ac:dyDescent="0.25">
      <c r="A208" s="40"/>
      <c r="B208" s="40"/>
      <c r="C208" s="292"/>
      <c r="D208" s="144"/>
      <c r="E208" s="144"/>
      <c r="F208" s="145"/>
      <c r="G208" s="145"/>
      <c r="H208" s="119"/>
      <c r="I208" s="236"/>
      <c r="J208" s="64"/>
      <c r="K208" s="64"/>
      <c r="L208" s="81"/>
      <c r="M208" s="81"/>
      <c r="N208" s="81">
        <f>SUM(N199:N203)+N207</f>
        <v>2</v>
      </c>
      <c r="O208" s="81">
        <f t="shared" ref="O208:V208" si="225">SUM(O199:O203)+O207</f>
        <v>3</v>
      </c>
      <c r="P208" s="81">
        <f t="shared" si="225"/>
        <v>5</v>
      </c>
      <c r="Q208" s="81">
        <f t="shared" si="225"/>
        <v>0</v>
      </c>
      <c r="R208" s="81">
        <f t="shared" si="225"/>
        <v>0</v>
      </c>
      <c r="S208" s="81">
        <f t="shared" si="225"/>
        <v>0</v>
      </c>
      <c r="T208" s="81">
        <f t="shared" si="225"/>
        <v>0</v>
      </c>
      <c r="U208" s="81">
        <f t="shared" si="225"/>
        <v>0</v>
      </c>
      <c r="V208" s="81">
        <f t="shared" si="225"/>
        <v>0</v>
      </c>
      <c r="W208" s="82">
        <f>SUM(W199:W207)</f>
        <v>2</v>
      </c>
      <c r="X208" s="82">
        <f t="shared" ref="X208:Y208" si="226">SUM(X199:X207)</f>
        <v>3</v>
      </c>
      <c r="Y208" s="82">
        <f t="shared" si="226"/>
        <v>5</v>
      </c>
      <c r="Z208" s="66">
        <f t="shared" si="215"/>
        <v>1</v>
      </c>
      <c r="AA208" s="205"/>
      <c r="AB208" s="205"/>
      <c r="AC208" s="83"/>
      <c r="AE208" s="81"/>
      <c r="AF208" s="81"/>
      <c r="AG208" s="82"/>
      <c r="AH208" s="82"/>
      <c r="AI208" s="66"/>
      <c r="AK208" s="81"/>
      <c r="AL208" s="81"/>
      <c r="AM208" s="82"/>
      <c r="AN208" s="82"/>
      <c r="AO208" s="66"/>
      <c r="AQ208" s="81"/>
      <c r="AR208" s="81"/>
      <c r="AS208" s="82"/>
      <c r="AT208" s="81">
        <f>SUM(AT199:AT203)+AT207</f>
        <v>2</v>
      </c>
      <c r="AU208" s="66">
        <f t="shared" si="224"/>
        <v>1</v>
      </c>
      <c r="AW208" s="81"/>
      <c r="AX208" s="81"/>
      <c r="AY208" s="82"/>
      <c r="AZ208" s="81">
        <f>SUM(AZ199:AZ203)+AZ207</f>
        <v>3</v>
      </c>
      <c r="BA208" s="66">
        <f t="shared" si="219"/>
        <v>1</v>
      </c>
    </row>
    <row r="209" spans="1:53" s="117" customFormat="1" ht="17.100000000000001" customHeight="1" x14ac:dyDescent="0.25">
      <c r="A209" s="119"/>
      <c r="B209" s="119"/>
      <c r="C209" s="540"/>
      <c r="D209" s="212"/>
      <c r="E209" s="212"/>
      <c r="F209" s="212"/>
      <c r="G209" s="212"/>
      <c r="H209" s="242"/>
      <c r="I209" s="230"/>
      <c r="J209" s="17"/>
      <c r="K209" s="17"/>
      <c r="L209" s="17"/>
      <c r="M209" s="17"/>
      <c r="N209" s="17" t="str">
        <f>IF(N208=N$198,"OK","NOK")</f>
        <v>OK</v>
      </c>
      <c r="O209" s="17" t="str">
        <f>IF(O208=O$198,"OK","NOK")</f>
        <v>OK</v>
      </c>
      <c r="P209" s="17"/>
      <c r="Q209" s="17" t="str">
        <f>IF(Q208=Q$198,"OK","NOK")</f>
        <v>OK</v>
      </c>
      <c r="R209" s="17" t="str">
        <f>IF(R208=R$198,"OK","NOK")</f>
        <v>OK</v>
      </c>
      <c r="S209" s="17"/>
      <c r="T209" s="17" t="str">
        <f>IF(T208=T$198,"OK","NOK")</f>
        <v>OK</v>
      </c>
      <c r="U209" s="17" t="str">
        <f>IF(U208=U$198,"OK","NOK")</f>
        <v>OK</v>
      </c>
      <c r="V209" s="359"/>
      <c r="W209" s="382"/>
      <c r="X209" s="539"/>
      <c r="Y209" s="539"/>
      <c r="Z209" s="201"/>
      <c r="AA209" s="201"/>
      <c r="AB209" s="201"/>
      <c r="AC209" s="84"/>
      <c r="AE209" s="17"/>
      <c r="AF209" s="17"/>
      <c r="AG209" s="17"/>
      <c r="AH209" s="539"/>
      <c r="AI209" s="91"/>
      <c r="AK209" s="17"/>
      <c r="AL209" s="17"/>
      <c r="AM209" s="17"/>
      <c r="AN209" s="539"/>
      <c r="AO209" s="91"/>
      <c r="AQ209" s="17"/>
      <c r="AR209" s="17"/>
      <c r="AS209" s="17"/>
      <c r="AT209" s="539"/>
      <c r="AU209" s="91"/>
      <c r="AW209" s="17"/>
      <c r="AX209" s="17"/>
      <c r="AY209" s="17"/>
      <c r="AZ209" s="17"/>
      <c r="BA209" s="91"/>
    </row>
    <row r="210" spans="1:53" ht="17.100000000000001" customHeight="1" x14ac:dyDescent="0.25">
      <c r="A210" s="40"/>
      <c r="B210" s="41" t="s">
        <v>180</v>
      </c>
      <c r="C210" s="274" t="s">
        <v>255</v>
      </c>
      <c r="D210" s="43"/>
      <c r="E210" s="43"/>
      <c r="F210" s="43"/>
      <c r="G210" s="43"/>
      <c r="H210" s="23"/>
      <c r="I210" s="12"/>
      <c r="J210" s="73"/>
      <c r="K210" s="73"/>
      <c r="L210" s="73"/>
      <c r="M210" s="73"/>
      <c r="N210" s="73"/>
      <c r="O210" s="73"/>
      <c r="P210" s="73"/>
      <c r="Q210" s="73"/>
      <c r="R210" s="73"/>
      <c r="S210" s="73"/>
      <c r="T210" s="73"/>
      <c r="U210" s="73"/>
      <c r="V210" s="73"/>
      <c r="W210" s="73"/>
      <c r="X210" s="73"/>
      <c r="Y210" s="73"/>
      <c r="Z210" s="73"/>
      <c r="AA210" s="73"/>
      <c r="AB210" s="73"/>
      <c r="AC210" s="73"/>
      <c r="AE210" s="73"/>
      <c r="AF210" s="73"/>
      <c r="AG210" s="73"/>
      <c r="AH210" s="73"/>
      <c r="AI210" s="73"/>
      <c r="AK210" s="73"/>
      <c r="AL210" s="73"/>
      <c r="AM210" s="73"/>
      <c r="AN210" s="73"/>
      <c r="AO210" s="73"/>
      <c r="AQ210" s="73"/>
      <c r="AR210" s="73"/>
      <c r="AS210" s="73"/>
      <c r="AT210" s="73"/>
      <c r="AU210" s="73"/>
      <c r="AW210" s="73"/>
      <c r="AX210" s="73"/>
      <c r="AY210" s="73"/>
      <c r="AZ210" s="73"/>
      <c r="BA210" s="73"/>
    </row>
    <row r="211" spans="1:53" s="4" customFormat="1" ht="17.100000000000001" customHeight="1" x14ac:dyDescent="0.25">
      <c r="A211" s="40"/>
      <c r="B211" s="40"/>
      <c r="C211" s="141" t="s">
        <v>440</v>
      </c>
      <c r="D211" s="146" t="s">
        <v>113</v>
      </c>
      <c r="E211" s="75"/>
      <c r="F211" s="75"/>
      <c r="G211" s="75"/>
      <c r="H211" s="23"/>
      <c r="I211" s="12"/>
      <c r="J211" s="174"/>
      <c r="K211" s="174"/>
      <c r="L211" s="111"/>
      <c r="M211" s="111"/>
      <c r="N211" s="60"/>
      <c r="O211" s="60">
        <v>1</v>
      </c>
      <c r="P211" s="17">
        <f t="shared" ref="P211:P213" si="227">SUM(N211:O211)</f>
        <v>1</v>
      </c>
      <c r="Q211" s="60"/>
      <c r="R211" s="60"/>
      <c r="S211" s="17">
        <f t="shared" ref="S211:S213" si="228">SUM(Q211:R211)</f>
        <v>0</v>
      </c>
      <c r="T211" s="60"/>
      <c r="U211" s="60"/>
      <c r="V211" s="17">
        <f t="shared" ref="V211:V213" si="229">SUM(T211:U211)</f>
        <v>0</v>
      </c>
      <c r="W211" s="391">
        <f t="shared" ref="W211:W213" si="230">J211+K211+N211+Q211+T211</f>
        <v>0</v>
      </c>
      <c r="X211" s="17">
        <f t="shared" ref="X211:X213" si="231">L211+O211+R211+U211</f>
        <v>1</v>
      </c>
      <c r="Y211" s="18">
        <f t="shared" ref="Y211:Y213" si="232">SUM(W211:X211)</f>
        <v>1</v>
      </c>
      <c r="Z211" s="19">
        <f>IF(Y$214=0,0,Y211/Y$214)</f>
        <v>0.2</v>
      </c>
      <c r="AA211" s="19"/>
      <c r="AB211" s="19"/>
      <c r="AC211" s="20"/>
      <c r="AE211" s="111"/>
      <c r="AF211" s="111"/>
      <c r="AG211" s="111"/>
      <c r="AH211" s="545"/>
      <c r="AI211" s="131"/>
      <c r="AJ211" s="3"/>
      <c r="AK211" s="111"/>
      <c r="AL211" s="111"/>
      <c r="AM211" s="111"/>
      <c r="AN211" s="545"/>
      <c r="AO211" s="131"/>
      <c r="AP211" s="3"/>
      <c r="AQ211" s="17"/>
      <c r="AR211" s="17"/>
      <c r="AS211" s="17"/>
      <c r="AT211" s="424">
        <f>W211</f>
        <v>0</v>
      </c>
      <c r="AU211" s="19">
        <f>IF(AT$214=0,0,AT211/AT$214)</f>
        <v>0</v>
      </c>
      <c r="AV211" s="3"/>
      <c r="AW211" s="17"/>
      <c r="AX211" s="17"/>
      <c r="AY211" s="17"/>
      <c r="AZ211" s="424">
        <f>X211</f>
        <v>1</v>
      </c>
      <c r="BA211" s="19">
        <f>IF(AZ$214=0,0,AZ211/AZ$214)</f>
        <v>0.33333333333333331</v>
      </c>
    </row>
    <row r="212" spans="1:53" s="4" customFormat="1" ht="17.100000000000001" customHeight="1" x14ac:dyDescent="0.25">
      <c r="A212" s="40"/>
      <c r="B212" s="40"/>
      <c r="C212" s="141" t="s">
        <v>441</v>
      </c>
      <c r="D212" s="146" t="s">
        <v>602</v>
      </c>
      <c r="E212" s="75"/>
      <c r="F212" s="75"/>
      <c r="G212" s="75"/>
      <c r="H212" s="23"/>
      <c r="I212" s="12"/>
      <c r="J212" s="174"/>
      <c r="K212" s="174"/>
      <c r="L212" s="111"/>
      <c r="M212" s="111"/>
      <c r="N212" s="61">
        <v>2</v>
      </c>
      <c r="O212" s="61">
        <v>2</v>
      </c>
      <c r="P212" s="17">
        <f t="shared" si="227"/>
        <v>4</v>
      </c>
      <c r="Q212" s="61"/>
      <c r="R212" s="61"/>
      <c r="S212" s="17">
        <f t="shared" si="228"/>
        <v>0</v>
      </c>
      <c r="T212" s="61"/>
      <c r="U212" s="61"/>
      <c r="V212" s="17">
        <f t="shared" si="229"/>
        <v>0</v>
      </c>
      <c r="W212" s="391">
        <f t="shared" si="230"/>
        <v>2</v>
      </c>
      <c r="X212" s="17">
        <f t="shared" si="231"/>
        <v>2</v>
      </c>
      <c r="Y212" s="18">
        <f t="shared" si="232"/>
        <v>4</v>
      </c>
      <c r="Z212" s="19">
        <f t="shared" ref="Z212:Z214" si="233">IF(Y$214=0,0,Y212/Y$214)</f>
        <v>0.8</v>
      </c>
      <c r="AA212" s="19"/>
      <c r="AB212" s="19"/>
      <c r="AC212" s="20"/>
      <c r="AE212" s="111"/>
      <c r="AF212" s="111"/>
      <c r="AG212" s="111"/>
      <c r="AH212" s="545"/>
      <c r="AI212" s="131"/>
      <c r="AJ212" s="3"/>
      <c r="AK212" s="111"/>
      <c r="AL212" s="111"/>
      <c r="AM212" s="111"/>
      <c r="AN212" s="545"/>
      <c r="AO212" s="131"/>
      <c r="AP212" s="3"/>
      <c r="AQ212" s="17"/>
      <c r="AR212" s="17"/>
      <c r="AS212" s="17"/>
      <c r="AT212" s="424">
        <f t="shared" ref="AT212:AT213" si="234">W212</f>
        <v>2</v>
      </c>
      <c r="AU212" s="19">
        <f t="shared" ref="AU212:AU214" si="235">IF(AT$214=0,0,AT212/AT$214)</f>
        <v>1</v>
      </c>
      <c r="AV212" s="3"/>
      <c r="AW212" s="17"/>
      <c r="AX212" s="17"/>
      <c r="AY212" s="17"/>
      <c r="AZ212" s="424">
        <f t="shared" ref="AZ212:AZ213" si="236">X212</f>
        <v>2</v>
      </c>
      <c r="BA212" s="19">
        <f t="shared" ref="BA212:BA214" si="237">IF(AZ$214=0,0,AZ212/AZ$214)</f>
        <v>0.66666666666666663</v>
      </c>
    </row>
    <row r="213" spans="1:53" s="4" customFormat="1" ht="17.100000000000001" customHeight="1" x14ac:dyDescent="0.25">
      <c r="A213" s="40"/>
      <c r="B213" s="40"/>
      <c r="C213" s="141" t="s">
        <v>442</v>
      </c>
      <c r="D213" s="596" t="s">
        <v>598</v>
      </c>
      <c r="E213" s="542"/>
      <c r="F213" s="542"/>
      <c r="G213" s="542"/>
      <c r="H213" s="254"/>
      <c r="I213" s="207"/>
      <c r="J213" s="174"/>
      <c r="K213" s="174"/>
      <c r="L213" s="111"/>
      <c r="M213" s="111"/>
      <c r="N213" s="60"/>
      <c r="O213" s="60"/>
      <c r="P213" s="17">
        <f t="shared" si="227"/>
        <v>0</v>
      </c>
      <c r="Q213" s="60"/>
      <c r="R213" s="60"/>
      <c r="S213" s="17">
        <f t="shared" si="228"/>
        <v>0</v>
      </c>
      <c r="T213" s="60"/>
      <c r="U213" s="60"/>
      <c r="V213" s="17">
        <f t="shared" si="229"/>
        <v>0</v>
      </c>
      <c r="W213" s="391">
        <f t="shared" si="230"/>
        <v>0</v>
      </c>
      <c r="X213" s="17">
        <f t="shared" si="231"/>
        <v>0</v>
      </c>
      <c r="Y213" s="18">
        <f t="shared" si="232"/>
        <v>0</v>
      </c>
      <c r="Z213" s="19">
        <f t="shared" si="233"/>
        <v>0</v>
      </c>
      <c r="AA213" s="19"/>
      <c r="AB213" s="19"/>
      <c r="AC213" s="20"/>
      <c r="AE213" s="111"/>
      <c r="AF213" s="111"/>
      <c r="AG213" s="111"/>
      <c r="AH213" s="545"/>
      <c r="AI213" s="131"/>
      <c r="AJ213" s="3"/>
      <c r="AK213" s="111"/>
      <c r="AL213" s="111"/>
      <c r="AM213" s="111"/>
      <c r="AN213" s="545"/>
      <c r="AO213" s="131"/>
      <c r="AP213" s="3"/>
      <c r="AQ213" s="17"/>
      <c r="AR213" s="17"/>
      <c r="AS213" s="17"/>
      <c r="AT213" s="424">
        <f t="shared" si="234"/>
        <v>0</v>
      </c>
      <c r="AU213" s="19">
        <f t="shared" si="235"/>
        <v>0</v>
      </c>
      <c r="AV213" s="3"/>
      <c r="AW213" s="17"/>
      <c r="AX213" s="17"/>
      <c r="AY213" s="17"/>
      <c r="AZ213" s="424">
        <f t="shared" si="236"/>
        <v>0</v>
      </c>
      <c r="BA213" s="19">
        <f t="shared" si="237"/>
        <v>0</v>
      </c>
    </row>
    <row r="214" spans="1:53" ht="17.100000000000001" customHeight="1" x14ac:dyDescent="0.25">
      <c r="A214" s="40"/>
      <c r="B214" s="40"/>
      <c r="C214" s="292"/>
      <c r="D214" s="144"/>
      <c r="E214" s="144"/>
      <c r="F214" s="145"/>
      <c r="G214" s="145"/>
      <c r="H214" s="119"/>
      <c r="I214" s="236"/>
      <c r="J214" s="64"/>
      <c r="K214" s="64"/>
      <c r="L214" s="64"/>
      <c r="M214" s="64"/>
      <c r="N214" s="64">
        <f>SUM(N211:N213)</f>
        <v>2</v>
      </c>
      <c r="O214" s="64">
        <f t="shared" ref="O214:V214" si="238">SUM(O211:O213)</f>
        <v>3</v>
      </c>
      <c r="P214" s="64">
        <f t="shared" si="238"/>
        <v>5</v>
      </c>
      <c r="Q214" s="64">
        <f t="shared" si="238"/>
        <v>0</v>
      </c>
      <c r="R214" s="64">
        <f t="shared" si="238"/>
        <v>0</v>
      </c>
      <c r="S214" s="64">
        <f t="shared" si="238"/>
        <v>0</v>
      </c>
      <c r="T214" s="64">
        <f t="shared" si="238"/>
        <v>0</v>
      </c>
      <c r="U214" s="64">
        <f t="shared" si="238"/>
        <v>0</v>
      </c>
      <c r="V214" s="64">
        <f t="shared" si="238"/>
        <v>0</v>
      </c>
      <c r="W214" s="224">
        <f>SUM(W211:W213)</f>
        <v>2</v>
      </c>
      <c r="X214" s="224">
        <f t="shared" ref="X214:Y214" si="239">SUM(X211:X213)</f>
        <v>3</v>
      </c>
      <c r="Y214" s="224">
        <f t="shared" si="239"/>
        <v>5</v>
      </c>
      <c r="Z214" s="66">
        <f t="shared" si="233"/>
        <v>1</v>
      </c>
      <c r="AA214" s="205"/>
      <c r="AB214" s="205"/>
      <c r="AC214" s="83"/>
      <c r="AE214" s="81"/>
      <c r="AF214" s="81"/>
      <c r="AG214" s="82"/>
      <c r="AH214" s="82"/>
      <c r="AI214" s="66"/>
      <c r="AK214" s="81"/>
      <c r="AL214" s="81"/>
      <c r="AM214" s="82"/>
      <c r="AN214" s="82"/>
      <c r="AO214" s="66"/>
      <c r="AQ214" s="81"/>
      <c r="AR214" s="81"/>
      <c r="AS214" s="82"/>
      <c r="AT214" s="81">
        <f>SUM(AT211:AT213)</f>
        <v>2</v>
      </c>
      <c r="AU214" s="66">
        <f t="shared" si="235"/>
        <v>1</v>
      </c>
      <c r="AW214" s="81"/>
      <c r="AX214" s="81"/>
      <c r="AY214" s="82"/>
      <c r="AZ214" s="81">
        <f>SUM(AZ211:AZ213)</f>
        <v>3</v>
      </c>
      <c r="BA214" s="66">
        <f t="shared" si="237"/>
        <v>1</v>
      </c>
    </row>
    <row r="215" spans="1:53" s="117" customFormat="1" ht="17.100000000000001" customHeight="1" x14ac:dyDescent="0.25">
      <c r="A215" s="119"/>
      <c r="B215" s="119"/>
      <c r="C215" s="540"/>
      <c r="D215" s="212"/>
      <c r="E215" s="212"/>
      <c r="F215" s="212"/>
      <c r="G215" s="212"/>
      <c r="H215" s="242"/>
      <c r="I215" s="230"/>
      <c r="J215" s="17"/>
      <c r="K215" s="17"/>
      <c r="L215" s="17"/>
      <c r="M215" s="17"/>
      <c r="N215" s="17" t="str">
        <f>IF(N214=N$198,"OK","NOK")</f>
        <v>OK</v>
      </c>
      <c r="O215" s="17" t="str">
        <f>IF(O214=O$198,"OK","NOK")</f>
        <v>OK</v>
      </c>
      <c r="P215" s="17"/>
      <c r="Q215" s="17" t="str">
        <f>IF(Q214=Q$198,"OK","NOK")</f>
        <v>OK</v>
      </c>
      <c r="R215" s="17" t="str">
        <f>IF(R214=R$198,"OK","NOK")</f>
        <v>OK</v>
      </c>
      <c r="S215" s="17"/>
      <c r="T215" s="17" t="str">
        <f>IF(T214=T$198,"OK","NOK")</f>
        <v>OK</v>
      </c>
      <c r="U215" s="17" t="str">
        <f>IF(U214=U$198,"OK","NOK")</f>
        <v>OK</v>
      </c>
      <c r="V215" s="359"/>
      <c r="W215" s="382"/>
      <c r="X215" s="539"/>
      <c r="Y215" s="539"/>
      <c r="Z215" s="201"/>
      <c r="AA215" s="201"/>
      <c r="AB215" s="201"/>
      <c r="AC215" s="84"/>
      <c r="AE215" s="17"/>
      <c r="AF215" s="17"/>
      <c r="AG215" s="17"/>
      <c r="AH215" s="539"/>
      <c r="AI215" s="91"/>
      <c r="AK215" s="17"/>
      <c r="AL215" s="17"/>
      <c r="AM215" s="17"/>
      <c r="AN215" s="539"/>
      <c r="AO215" s="91"/>
      <c r="AQ215" s="17"/>
      <c r="AR215" s="17"/>
      <c r="AS215" s="17"/>
      <c r="AT215" s="539"/>
      <c r="AU215" s="91"/>
      <c r="AW215" s="17"/>
      <c r="AX215" s="17"/>
      <c r="AY215" s="17"/>
      <c r="AZ215" s="17"/>
      <c r="BA215" s="91"/>
    </row>
    <row r="216" spans="1:53" ht="17.100000000000001" customHeight="1" x14ac:dyDescent="0.25">
      <c r="A216" s="40"/>
      <c r="B216" s="299" t="s">
        <v>447</v>
      </c>
      <c r="C216" s="274" t="s">
        <v>606</v>
      </c>
      <c r="D216" s="300"/>
      <c r="E216" s="50"/>
      <c r="F216" s="50"/>
      <c r="G216" s="301"/>
      <c r="H216" s="119"/>
      <c r="I216" s="138"/>
      <c r="J216" s="88"/>
      <c r="K216" s="88"/>
      <c r="L216" s="71"/>
      <c r="M216" s="71"/>
      <c r="N216" s="71"/>
      <c r="O216" s="71"/>
      <c r="P216" s="71"/>
      <c r="Q216" s="71"/>
      <c r="R216" s="71"/>
      <c r="S216" s="71"/>
      <c r="T216" s="71"/>
      <c r="U216" s="71"/>
      <c r="V216" s="71"/>
      <c r="W216" s="71"/>
      <c r="X216" s="71"/>
      <c r="Y216" s="71"/>
      <c r="Z216" s="90"/>
      <c r="AA216" s="90"/>
      <c r="AB216" s="90"/>
      <c r="AC216" s="73"/>
      <c r="AE216" s="87"/>
      <c r="AF216" s="87"/>
      <c r="AG216" s="71"/>
      <c r="AH216" s="89"/>
      <c r="AI216" s="90"/>
      <c r="AJ216" s="117"/>
      <c r="AK216" s="87"/>
      <c r="AL216" s="87"/>
      <c r="AM216" s="71"/>
      <c r="AN216" s="89"/>
      <c r="AO216" s="90"/>
      <c r="AP216" s="117"/>
      <c r="AQ216" s="87"/>
      <c r="AR216" s="87"/>
      <c r="AS216" s="71"/>
      <c r="AT216" s="89"/>
      <c r="AU216" s="90"/>
      <c r="AV216" s="117"/>
      <c r="AW216" s="87"/>
      <c r="AX216" s="87"/>
      <c r="AY216" s="71"/>
      <c r="AZ216" s="89"/>
      <c r="BA216" s="90"/>
    </row>
    <row r="217" spans="1:53" ht="17.100000000000001" customHeight="1" x14ac:dyDescent="0.25">
      <c r="A217" s="40"/>
      <c r="B217" s="302"/>
      <c r="C217" s="56" t="s">
        <v>449</v>
      </c>
      <c r="D217" s="85" t="s">
        <v>173</v>
      </c>
      <c r="E217" s="167"/>
      <c r="F217" s="151"/>
      <c r="G217" s="151"/>
      <c r="H217" s="119"/>
      <c r="I217" s="138"/>
      <c r="J217" s="174"/>
      <c r="K217" s="174"/>
      <c r="L217" s="111"/>
      <c r="M217" s="111"/>
      <c r="N217" s="60"/>
      <c r="O217" s="60"/>
      <c r="P217" s="17">
        <f t="shared" ref="P217:P222" si="240">SUM(N217:O217)</f>
        <v>0</v>
      </c>
      <c r="Q217" s="60"/>
      <c r="R217" s="60"/>
      <c r="S217" s="17">
        <f t="shared" ref="S217:S222" si="241">SUM(Q217:R217)</f>
        <v>0</v>
      </c>
      <c r="T217" s="60"/>
      <c r="U217" s="60"/>
      <c r="V217" s="17">
        <f t="shared" ref="V217:V222" si="242">SUM(T217:U217)</f>
        <v>0</v>
      </c>
      <c r="W217" s="391">
        <f t="shared" ref="W217:W222" si="243">J217+K217+N217+Q217+T217</f>
        <v>0</v>
      </c>
      <c r="X217" s="17">
        <f t="shared" ref="X217:X222" si="244">L217+O217+R217+U217</f>
        <v>0</v>
      </c>
      <c r="Y217" s="18">
        <f t="shared" ref="Y217:Y222" si="245">SUM(W217:X217)</f>
        <v>0</v>
      </c>
      <c r="Z217" s="19">
        <f>IF(Y$223=0,0,Y217/Y$223)</f>
        <v>0</v>
      </c>
      <c r="AA217" s="91"/>
      <c r="AB217" s="91"/>
      <c r="AC217" s="84"/>
      <c r="AE217" s="111"/>
      <c r="AF217" s="111"/>
      <c r="AG217" s="111"/>
      <c r="AH217" s="112"/>
      <c r="AI217" s="113"/>
      <c r="AJ217" s="117"/>
      <c r="AK217" s="111"/>
      <c r="AL217" s="111"/>
      <c r="AM217" s="111"/>
      <c r="AN217" s="112"/>
      <c r="AO217" s="113"/>
      <c r="AP217" s="117"/>
      <c r="AQ217" s="17"/>
      <c r="AR217" s="17"/>
      <c r="AS217" s="17"/>
      <c r="AT217" s="18">
        <f t="shared" ref="AT217:AT218" si="246">W217</f>
        <v>0</v>
      </c>
      <c r="AU217" s="19">
        <f>IF(AT$444=0,0,AT217/AT$444)</f>
        <v>0</v>
      </c>
      <c r="AV217" s="117"/>
      <c r="AW217" s="17"/>
      <c r="AX217" s="17"/>
      <c r="AY217" s="17"/>
      <c r="AZ217" s="18">
        <f t="shared" ref="AZ217:AZ218" si="247">X217</f>
        <v>0</v>
      </c>
      <c r="BA217" s="19">
        <f>IF(AZ$444=0,0,AZ217/AZ$444)</f>
        <v>0</v>
      </c>
    </row>
    <row r="218" spans="1:53" ht="17.100000000000001" customHeight="1" x14ac:dyDescent="0.25">
      <c r="A218" s="40"/>
      <c r="B218" s="302"/>
      <c r="C218" s="56" t="s">
        <v>450</v>
      </c>
      <c r="D218" s="85" t="s">
        <v>544</v>
      </c>
      <c r="E218" s="167"/>
      <c r="F218" s="151"/>
      <c r="G218" s="151"/>
      <c r="H218" s="119"/>
      <c r="I218" s="138"/>
      <c r="J218" s="174"/>
      <c r="K218" s="174"/>
      <c r="L218" s="111"/>
      <c r="M218" s="111"/>
      <c r="N218" s="61">
        <v>2</v>
      </c>
      <c r="O218" s="61">
        <v>3</v>
      </c>
      <c r="P218" s="17">
        <f t="shared" si="240"/>
        <v>5</v>
      </c>
      <c r="Q218" s="61"/>
      <c r="R218" s="61"/>
      <c r="S218" s="17">
        <f t="shared" si="241"/>
        <v>0</v>
      </c>
      <c r="T218" s="61"/>
      <c r="U218" s="61"/>
      <c r="V218" s="17">
        <f t="shared" si="242"/>
        <v>0</v>
      </c>
      <c r="W218" s="391">
        <f t="shared" si="243"/>
        <v>2</v>
      </c>
      <c r="X218" s="17">
        <f t="shared" si="244"/>
        <v>3</v>
      </c>
      <c r="Y218" s="18">
        <f t="shared" si="245"/>
        <v>5</v>
      </c>
      <c r="Z218" s="19">
        <f t="shared" ref="Z218:Z223" si="248">IF(Y$223=0,0,Y218/Y$223)</f>
        <v>1</v>
      </c>
      <c r="AA218" s="91"/>
      <c r="AB218" s="91"/>
      <c r="AC218" s="84"/>
      <c r="AE218" s="111"/>
      <c r="AF218" s="111"/>
      <c r="AG218" s="111"/>
      <c r="AH218" s="112"/>
      <c r="AI218" s="113"/>
      <c r="AJ218" s="117"/>
      <c r="AK218" s="111"/>
      <c r="AL218" s="111"/>
      <c r="AM218" s="111"/>
      <c r="AN218" s="112"/>
      <c r="AO218" s="113"/>
      <c r="AP218" s="117"/>
      <c r="AQ218" s="17"/>
      <c r="AR218" s="17"/>
      <c r="AS218" s="17"/>
      <c r="AT218" s="18">
        <f t="shared" si="246"/>
        <v>2</v>
      </c>
      <c r="AU218" s="19">
        <f>IF(AT$444=0,0,AT218/AT$444)</f>
        <v>0</v>
      </c>
      <c r="AV218" s="117"/>
      <c r="AW218" s="17"/>
      <c r="AX218" s="17"/>
      <c r="AY218" s="17"/>
      <c r="AZ218" s="18">
        <f t="shared" si="247"/>
        <v>3</v>
      </c>
      <c r="BA218" s="19">
        <f>IF(AZ$444=0,0,AZ218/AZ$444)</f>
        <v>0</v>
      </c>
    </row>
    <row r="219" spans="1:53" ht="17.100000000000001" customHeight="1" x14ac:dyDescent="0.25">
      <c r="A219" s="40"/>
      <c r="B219" s="40"/>
      <c r="C219" s="56" t="s">
        <v>451</v>
      </c>
      <c r="D219" s="146" t="s">
        <v>484</v>
      </c>
      <c r="E219" s="149"/>
      <c r="F219" s="151"/>
      <c r="G219" s="151"/>
      <c r="H219" s="119"/>
      <c r="I219" s="236"/>
      <c r="J219" s="174"/>
      <c r="K219" s="174"/>
      <c r="L219" s="111"/>
      <c r="M219" s="111"/>
      <c r="N219" s="60">
        <v>2000000</v>
      </c>
      <c r="O219" s="60">
        <v>2000000</v>
      </c>
      <c r="P219" s="17"/>
      <c r="Q219" s="60"/>
      <c r="R219" s="60"/>
      <c r="S219" s="17"/>
      <c r="T219" s="60"/>
      <c r="U219" s="60"/>
      <c r="V219" s="17"/>
      <c r="W219" s="391">
        <f>MIN(N219,Q219,T219)</f>
        <v>2000000</v>
      </c>
      <c r="X219" s="17">
        <f>MIN(O219,R219,U219)</f>
        <v>2000000</v>
      </c>
      <c r="Y219" s="18"/>
      <c r="Z219" s="19"/>
      <c r="AA219" s="17">
        <f>MIN(N219:U219)</f>
        <v>2000000</v>
      </c>
      <c r="AB219" s="17"/>
      <c r="AC219" s="17"/>
      <c r="AE219" s="111"/>
      <c r="AF219" s="111"/>
      <c r="AG219" s="111"/>
      <c r="AH219" s="545"/>
      <c r="AI219" s="131"/>
      <c r="AJ219" s="117"/>
      <c r="AK219" s="111"/>
      <c r="AL219" s="111"/>
      <c r="AM219" s="111"/>
      <c r="AN219" s="545"/>
      <c r="AO219" s="131"/>
      <c r="AP219" s="117"/>
      <c r="AQ219" s="17">
        <f>W219</f>
        <v>2000000</v>
      </c>
      <c r="AR219" s="17"/>
      <c r="AS219" s="17"/>
      <c r="AT219" s="18"/>
      <c r="AU219" s="19"/>
      <c r="AV219" s="117"/>
      <c r="AW219" s="17">
        <f>X219</f>
        <v>2000000</v>
      </c>
      <c r="AX219" s="17"/>
      <c r="AY219" s="17"/>
      <c r="AZ219" s="18"/>
      <c r="BA219" s="19"/>
    </row>
    <row r="220" spans="1:53" ht="17.100000000000001" customHeight="1" x14ac:dyDescent="0.25">
      <c r="A220" s="40"/>
      <c r="B220" s="40"/>
      <c r="C220" s="56" t="s">
        <v>603</v>
      </c>
      <c r="D220" s="146" t="s">
        <v>485</v>
      </c>
      <c r="E220" s="149"/>
      <c r="F220" s="151"/>
      <c r="G220" s="151"/>
      <c r="H220" s="119"/>
      <c r="I220" s="236"/>
      <c r="J220" s="174"/>
      <c r="K220" s="174"/>
      <c r="L220" s="111"/>
      <c r="M220" s="111"/>
      <c r="N220" s="61">
        <v>2000000</v>
      </c>
      <c r="O220" s="61">
        <v>3500000</v>
      </c>
      <c r="P220" s="17"/>
      <c r="Q220" s="61"/>
      <c r="R220" s="61"/>
      <c r="S220" s="17"/>
      <c r="T220" s="61"/>
      <c r="U220" s="61"/>
      <c r="V220" s="17"/>
      <c r="W220" s="391">
        <f>MAX(N220,Q220,T220)</f>
        <v>2000000</v>
      </c>
      <c r="X220" s="17">
        <f>MAX(O220,R220,U220)</f>
        <v>3500000</v>
      </c>
      <c r="Y220" s="18"/>
      <c r="Z220" s="19"/>
      <c r="AA220" s="17"/>
      <c r="AB220" s="17">
        <f>MAX(N220:U220)</f>
        <v>3500000</v>
      </c>
      <c r="AC220" s="17"/>
      <c r="AE220" s="111"/>
      <c r="AF220" s="111"/>
      <c r="AG220" s="111"/>
      <c r="AH220" s="545"/>
      <c r="AI220" s="131"/>
      <c r="AJ220" s="117"/>
      <c r="AK220" s="111"/>
      <c r="AL220" s="111"/>
      <c r="AM220" s="111"/>
      <c r="AN220" s="545"/>
      <c r="AO220" s="131"/>
      <c r="AP220" s="117"/>
      <c r="AQ220" s="17"/>
      <c r="AR220" s="17">
        <f>W220</f>
        <v>2000000</v>
      </c>
      <c r="AS220" s="17"/>
      <c r="AT220" s="18"/>
      <c r="AU220" s="19"/>
      <c r="AV220" s="117"/>
      <c r="AW220" s="17"/>
      <c r="AX220" s="17">
        <f>X220</f>
        <v>3500000</v>
      </c>
      <c r="AY220" s="17"/>
      <c r="AZ220" s="18"/>
      <c r="BA220" s="19"/>
    </row>
    <row r="221" spans="1:53" ht="17.100000000000001" customHeight="1" x14ac:dyDescent="0.25">
      <c r="A221" s="40"/>
      <c r="B221" s="40"/>
      <c r="C221" s="56" t="s">
        <v>604</v>
      </c>
      <c r="D221" s="146" t="s">
        <v>543</v>
      </c>
      <c r="E221" s="149"/>
      <c r="F221" s="151"/>
      <c r="G221" s="151"/>
      <c r="H221" s="119"/>
      <c r="I221" s="236"/>
      <c r="J221" s="174"/>
      <c r="K221" s="174"/>
      <c r="L221" s="111"/>
      <c r="M221" s="111"/>
      <c r="N221" s="60">
        <v>2000000</v>
      </c>
      <c r="O221" s="60">
        <v>2500000</v>
      </c>
      <c r="P221" s="17"/>
      <c r="Q221" s="60"/>
      <c r="R221" s="60"/>
      <c r="S221" s="17"/>
      <c r="T221" s="60"/>
      <c r="U221" s="60"/>
      <c r="V221" s="17"/>
      <c r="W221" s="391">
        <f>IF(N221+Q221+T221=0,0,AVERAGE(N221,Q221,T221))</f>
        <v>2000000</v>
      </c>
      <c r="X221" s="17">
        <f>IF(O221+R221+U221=0,0,AVERAGE(O221,R221,U221))</f>
        <v>2500000</v>
      </c>
      <c r="Y221" s="18"/>
      <c r="Z221" s="19"/>
      <c r="AA221" s="17"/>
      <c r="AB221" s="17"/>
      <c r="AC221" s="17">
        <f>IF(SUM(N221:U221)=0,0,AVERAGE(N221:U221))</f>
        <v>2250000</v>
      </c>
      <c r="AE221" s="111"/>
      <c r="AF221" s="111"/>
      <c r="AG221" s="111"/>
      <c r="AH221" s="545"/>
      <c r="AI221" s="131"/>
      <c r="AJ221" s="117"/>
      <c r="AK221" s="111"/>
      <c r="AL221" s="111"/>
      <c r="AM221" s="111"/>
      <c r="AN221" s="545"/>
      <c r="AO221" s="131"/>
      <c r="AP221" s="117"/>
      <c r="AQ221" s="17"/>
      <c r="AR221" s="17"/>
      <c r="AS221" s="17">
        <f>W221</f>
        <v>2000000</v>
      </c>
      <c r="AT221" s="18"/>
      <c r="AU221" s="19"/>
      <c r="AV221" s="117"/>
      <c r="AW221" s="17"/>
      <c r="AX221" s="17"/>
      <c r="AY221" s="17">
        <f>X221</f>
        <v>2500000</v>
      </c>
      <c r="AZ221" s="18"/>
      <c r="BA221" s="19"/>
    </row>
    <row r="222" spans="1:53" ht="17.100000000000001" customHeight="1" x14ac:dyDescent="0.25">
      <c r="A222" s="40"/>
      <c r="B222" s="179"/>
      <c r="C222" s="56" t="s">
        <v>605</v>
      </c>
      <c r="D222" s="85" t="s">
        <v>129</v>
      </c>
      <c r="E222" s="167"/>
      <c r="F222" s="151"/>
      <c r="G222" s="151"/>
      <c r="H222" s="119"/>
      <c r="I222" s="138"/>
      <c r="J222" s="174"/>
      <c r="K222" s="174"/>
      <c r="L222" s="111"/>
      <c r="M222" s="111"/>
      <c r="N222" s="61"/>
      <c r="O222" s="61"/>
      <c r="P222" s="17">
        <f t="shared" si="240"/>
        <v>0</v>
      </c>
      <c r="Q222" s="61"/>
      <c r="R222" s="61"/>
      <c r="S222" s="17">
        <f t="shared" si="241"/>
        <v>0</v>
      </c>
      <c r="T222" s="61"/>
      <c r="U222" s="61"/>
      <c r="V222" s="17">
        <f t="shared" si="242"/>
        <v>0</v>
      </c>
      <c r="W222" s="391">
        <f t="shared" si="243"/>
        <v>0</v>
      </c>
      <c r="X222" s="17">
        <f t="shared" si="244"/>
        <v>0</v>
      </c>
      <c r="Y222" s="18">
        <f t="shared" si="245"/>
        <v>0</v>
      </c>
      <c r="Z222" s="19">
        <f t="shared" si="248"/>
        <v>0</v>
      </c>
      <c r="AA222" s="91"/>
      <c r="AB222" s="91"/>
      <c r="AC222" s="84"/>
      <c r="AE222" s="111"/>
      <c r="AF222" s="111"/>
      <c r="AG222" s="111"/>
      <c r="AH222" s="112"/>
      <c r="AI222" s="113"/>
      <c r="AJ222" s="117"/>
      <c r="AK222" s="111"/>
      <c r="AL222" s="111"/>
      <c r="AM222" s="111"/>
      <c r="AN222" s="112"/>
      <c r="AO222" s="113"/>
      <c r="AP222" s="117"/>
      <c r="AQ222" s="17"/>
      <c r="AR222" s="17"/>
      <c r="AS222" s="17"/>
      <c r="AT222" s="18">
        <f t="shared" ref="AT222" si="249">W222</f>
        <v>0</v>
      </c>
      <c r="AU222" s="19">
        <f>IF(AT$444=0,0,AT222/AT$444)</f>
        <v>0</v>
      </c>
      <c r="AV222" s="117"/>
      <c r="AW222" s="17"/>
      <c r="AX222" s="17"/>
      <c r="AY222" s="17"/>
      <c r="AZ222" s="18">
        <f t="shared" ref="AZ222" si="250">X222</f>
        <v>0</v>
      </c>
      <c r="BA222" s="19">
        <f>IF(AZ$444=0,0,AZ222/AZ$444)</f>
        <v>0</v>
      </c>
    </row>
    <row r="223" spans="1:53" ht="17.100000000000001" customHeight="1" x14ac:dyDescent="0.25">
      <c r="A223" s="40"/>
      <c r="B223" s="179"/>
      <c r="C223" s="292"/>
      <c r="D223" s="144"/>
      <c r="E223" s="144"/>
      <c r="F223" s="145"/>
      <c r="G223" s="145"/>
      <c r="H223" s="119"/>
      <c r="I223" s="138"/>
      <c r="J223" s="64"/>
      <c r="K223" s="64"/>
      <c r="L223" s="64"/>
      <c r="M223" s="64"/>
      <c r="N223" s="64">
        <f>N217+N218+N222</f>
        <v>2</v>
      </c>
      <c r="O223" s="64">
        <f t="shared" ref="O223:V223" si="251">O217+O218+O222</f>
        <v>3</v>
      </c>
      <c r="P223" s="64">
        <f t="shared" si="251"/>
        <v>5</v>
      </c>
      <c r="Q223" s="64">
        <f t="shared" si="251"/>
        <v>0</v>
      </c>
      <c r="R223" s="64">
        <f t="shared" si="251"/>
        <v>0</v>
      </c>
      <c r="S223" s="64">
        <f t="shared" si="251"/>
        <v>0</v>
      </c>
      <c r="T223" s="64">
        <f t="shared" si="251"/>
        <v>0</v>
      </c>
      <c r="U223" s="64">
        <f t="shared" si="251"/>
        <v>0</v>
      </c>
      <c r="V223" s="64">
        <f t="shared" si="251"/>
        <v>0</v>
      </c>
      <c r="W223" s="224">
        <f>SUM(W217:W222)</f>
        <v>6000002</v>
      </c>
      <c r="X223" s="224">
        <f t="shared" ref="X223:Y223" si="252">SUM(X217:X222)</f>
        <v>8000003</v>
      </c>
      <c r="Y223" s="224">
        <f t="shared" si="252"/>
        <v>5</v>
      </c>
      <c r="Z223" s="66">
        <f t="shared" si="248"/>
        <v>1</v>
      </c>
      <c r="AA223" s="205"/>
      <c r="AB223" s="205"/>
      <c r="AC223" s="83"/>
      <c r="AE223" s="80"/>
      <c r="AF223" s="80"/>
      <c r="AG223" s="81"/>
      <c r="AH223" s="82"/>
      <c r="AI223" s="66"/>
      <c r="AJ223" s="117"/>
      <c r="AK223" s="80"/>
      <c r="AL223" s="80"/>
      <c r="AM223" s="81"/>
      <c r="AN223" s="82"/>
      <c r="AO223" s="66"/>
      <c r="AP223" s="117"/>
      <c r="AQ223" s="80"/>
      <c r="AR223" s="80"/>
      <c r="AS223" s="81"/>
      <c r="AT223" s="82">
        <f>SUM(AT217:AT222)</f>
        <v>2</v>
      </c>
      <c r="AU223" s="66">
        <f>IF(AT$444=0,0,AT223/AT$444)</f>
        <v>0</v>
      </c>
      <c r="AV223" s="117"/>
      <c r="AW223" s="80"/>
      <c r="AX223" s="80"/>
      <c r="AY223" s="81"/>
      <c r="AZ223" s="82">
        <f>SUM(AZ217:AZ222)</f>
        <v>3</v>
      </c>
      <c r="BA223" s="66">
        <f>IF(AZ$444=0,0,AZ223/AZ$444)</f>
        <v>0</v>
      </c>
    </row>
    <row r="224" spans="1:53" s="117" customFormat="1" ht="17.100000000000001" customHeight="1" x14ac:dyDescent="0.25">
      <c r="A224" s="119"/>
      <c r="B224" s="119"/>
      <c r="C224" s="540"/>
      <c r="D224" s="212"/>
      <c r="E224" s="212"/>
      <c r="F224" s="212"/>
      <c r="G224" s="212"/>
      <c r="H224" s="242"/>
      <c r="I224" s="230"/>
      <c r="J224" s="17"/>
      <c r="K224" s="17"/>
      <c r="L224" s="17"/>
      <c r="M224" s="17"/>
      <c r="N224" s="17" t="str">
        <f>IF(N223=N$198,"OK","NOK")</f>
        <v>OK</v>
      </c>
      <c r="O224" s="17" t="str">
        <f>IF(O223=O$198,"OK","NOK")</f>
        <v>OK</v>
      </c>
      <c r="P224" s="17"/>
      <c r="Q224" s="17" t="str">
        <f>IF(Q223=Q$198,"OK","NOK")</f>
        <v>OK</v>
      </c>
      <c r="R224" s="17" t="str">
        <f>IF(R223=R$198,"OK","NOK")</f>
        <v>OK</v>
      </c>
      <c r="S224" s="17"/>
      <c r="T224" s="17" t="str">
        <f>IF(T223=T$198,"OK","NOK")</f>
        <v>OK</v>
      </c>
      <c r="U224" s="17" t="str">
        <f>IF(U223=U$198,"OK","NOK")</f>
        <v>OK</v>
      </c>
      <c r="V224" s="359"/>
      <c r="W224" s="382"/>
      <c r="X224" s="539"/>
      <c r="Y224" s="539"/>
      <c r="Z224" s="201"/>
      <c r="AA224" s="201"/>
      <c r="AB224" s="201"/>
      <c r="AC224" s="84"/>
      <c r="AE224" s="17"/>
      <c r="AF224" s="17"/>
      <c r="AG224" s="17"/>
      <c r="AH224" s="539"/>
      <c r="AI224" s="91"/>
      <c r="AK224" s="17"/>
      <c r="AL224" s="17"/>
      <c r="AM224" s="17"/>
      <c r="AN224" s="539"/>
      <c r="AO224" s="91"/>
      <c r="AQ224" s="17"/>
      <c r="AR224" s="17"/>
      <c r="AS224" s="17"/>
      <c r="AT224" s="539"/>
      <c r="AU224" s="91"/>
      <c r="AW224" s="17"/>
      <c r="AX224" s="17"/>
      <c r="AY224" s="17"/>
      <c r="AZ224" s="17"/>
      <c r="BA224" s="91"/>
    </row>
    <row r="225" spans="1:53" ht="17.100000000000001" customHeight="1" x14ac:dyDescent="0.25">
      <c r="A225" s="40"/>
      <c r="B225" s="299" t="s">
        <v>452</v>
      </c>
      <c r="C225" s="274" t="s">
        <v>1057</v>
      </c>
      <c r="D225" s="300"/>
      <c r="E225" s="50"/>
      <c r="F225" s="50"/>
      <c r="G225" s="301"/>
      <c r="H225" s="119"/>
      <c r="I225" s="138"/>
      <c r="J225" s="88"/>
      <c r="K225" s="88"/>
      <c r="L225" s="71"/>
      <c r="M225" s="71"/>
      <c r="N225" s="71"/>
      <c r="O225" s="71"/>
      <c r="P225" s="71"/>
      <c r="Q225" s="71"/>
      <c r="R225" s="71"/>
      <c r="S225" s="71"/>
      <c r="T225" s="71"/>
      <c r="U225" s="71"/>
      <c r="V225" s="71"/>
      <c r="W225" s="71"/>
      <c r="X225" s="71"/>
      <c r="Y225" s="71"/>
      <c r="Z225" s="90"/>
      <c r="AA225" s="90"/>
      <c r="AB225" s="90"/>
      <c r="AC225" s="73"/>
      <c r="AE225" s="87"/>
      <c r="AF225" s="87"/>
      <c r="AG225" s="71"/>
      <c r="AH225" s="89"/>
      <c r="AI225" s="90"/>
      <c r="AJ225" s="117"/>
      <c r="AK225" s="87"/>
      <c r="AL225" s="87"/>
      <c r="AM225" s="71"/>
      <c r="AN225" s="89"/>
      <c r="AO225" s="90"/>
      <c r="AP225" s="117"/>
      <c r="AQ225" s="87"/>
      <c r="AR225" s="87"/>
      <c r="AS225" s="71"/>
      <c r="AT225" s="89"/>
      <c r="AU225" s="90"/>
      <c r="AV225" s="117"/>
      <c r="AW225" s="87"/>
      <c r="AX225" s="87"/>
      <c r="AY225" s="71"/>
      <c r="AZ225" s="89"/>
      <c r="BA225" s="90"/>
    </row>
    <row r="226" spans="1:53" ht="17.100000000000001" customHeight="1" x14ac:dyDescent="0.25">
      <c r="A226" s="40"/>
      <c r="B226" s="302"/>
      <c r="C226" s="56" t="s">
        <v>454</v>
      </c>
      <c r="D226" s="85" t="s">
        <v>173</v>
      </c>
      <c r="E226" s="167"/>
      <c r="F226" s="151"/>
      <c r="G226" s="151"/>
      <c r="H226" s="119"/>
      <c r="I226" s="138"/>
      <c r="J226" s="174"/>
      <c r="K226" s="174"/>
      <c r="L226" s="111"/>
      <c r="M226" s="111"/>
      <c r="N226" s="60"/>
      <c r="O226" s="60"/>
      <c r="P226" s="17">
        <f t="shared" ref="P226:P227" si="253">SUM(N226:O226)</f>
        <v>0</v>
      </c>
      <c r="Q226" s="60"/>
      <c r="R226" s="60"/>
      <c r="S226" s="17">
        <f t="shared" ref="S226:S227" si="254">SUM(Q226:R226)</f>
        <v>0</v>
      </c>
      <c r="T226" s="60"/>
      <c r="U226" s="60"/>
      <c r="V226" s="17">
        <f t="shared" ref="V226:V227" si="255">SUM(T226:U226)</f>
        <v>0</v>
      </c>
      <c r="W226" s="391">
        <f t="shared" ref="W226:W227" si="256">J226+K226+N226+Q226+T226</f>
        <v>0</v>
      </c>
      <c r="X226" s="17">
        <f t="shared" ref="X226:X227" si="257">L226+O226+R226+U226</f>
        <v>0</v>
      </c>
      <c r="Y226" s="18">
        <f t="shared" ref="Y226:Y227" si="258">SUM(W226:X226)</f>
        <v>0</v>
      </c>
      <c r="Z226" s="19">
        <f>IF(Y$223=0,0,Y226/Y$223)</f>
        <v>0</v>
      </c>
      <c r="AA226" s="91"/>
      <c r="AB226" s="91"/>
      <c r="AC226" s="84"/>
      <c r="AE226" s="111"/>
      <c r="AF226" s="111"/>
      <c r="AG226" s="111"/>
      <c r="AH226" s="112"/>
      <c r="AI226" s="113"/>
      <c r="AJ226" s="117"/>
      <c r="AK226" s="111"/>
      <c r="AL226" s="111"/>
      <c r="AM226" s="111"/>
      <c r="AN226" s="112"/>
      <c r="AO226" s="113"/>
      <c r="AP226" s="117"/>
      <c r="AQ226" s="17"/>
      <c r="AR226" s="17"/>
      <c r="AS226" s="17"/>
      <c r="AT226" s="18">
        <f t="shared" ref="AT226:AT227" si="259">W226</f>
        <v>0</v>
      </c>
      <c r="AU226" s="19">
        <f>IF(AT$444=0,0,AT226/AT$444)</f>
        <v>0</v>
      </c>
      <c r="AV226" s="117"/>
      <c r="AW226" s="17"/>
      <c r="AX226" s="17"/>
      <c r="AY226" s="17"/>
      <c r="AZ226" s="18">
        <f t="shared" ref="AZ226:AZ227" si="260">X226</f>
        <v>0</v>
      </c>
      <c r="BA226" s="19">
        <f>IF(AZ$444=0,0,AZ226/AZ$444)</f>
        <v>0</v>
      </c>
    </row>
    <row r="227" spans="1:53" ht="17.100000000000001" customHeight="1" x14ac:dyDescent="0.25">
      <c r="A227" s="40"/>
      <c r="B227" s="302"/>
      <c r="C227" s="56" t="s">
        <v>455</v>
      </c>
      <c r="D227" s="85" t="s">
        <v>544</v>
      </c>
      <c r="E227" s="167"/>
      <c r="F227" s="151"/>
      <c r="G227" s="151"/>
      <c r="H227" s="119"/>
      <c r="I227" s="138"/>
      <c r="J227" s="174"/>
      <c r="K227" s="174"/>
      <c r="L227" s="111"/>
      <c r="M227" s="111"/>
      <c r="N227" s="61">
        <v>2</v>
      </c>
      <c r="O227" s="61">
        <v>3</v>
      </c>
      <c r="P227" s="17">
        <f t="shared" si="253"/>
        <v>5</v>
      </c>
      <c r="Q227" s="61"/>
      <c r="R227" s="61"/>
      <c r="S227" s="17">
        <f t="shared" si="254"/>
        <v>0</v>
      </c>
      <c r="T227" s="61"/>
      <c r="U227" s="61"/>
      <c r="V227" s="17">
        <f t="shared" si="255"/>
        <v>0</v>
      </c>
      <c r="W227" s="391">
        <f t="shared" si="256"/>
        <v>2</v>
      </c>
      <c r="X227" s="17">
        <f t="shared" si="257"/>
        <v>3</v>
      </c>
      <c r="Y227" s="18">
        <f t="shared" si="258"/>
        <v>5</v>
      </c>
      <c r="Z227" s="19">
        <f t="shared" ref="Z227" si="261">IF(Y$223=0,0,Y227/Y$223)</f>
        <v>1</v>
      </c>
      <c r="AA227" s="91"/>
      <c r="AB227" s="91"/>
      <c r="AC227" s="84"/>
      <c r="AE227" s="111"/>
      <c r="AF227" s="111"/>
      <c r="AG227" s="111"/>
      <c r="AH227" s="112"/>
      <c r="AI227" s="113"/>
      <c r="AJ227" s="117"/>
      <c r="AK227" s="111"/>
      <c r="AL227" s="111"/>
      <c r="AM227" s="111"/>
      <c r="AN227" s="112"/>
      <c r="AO227" s="113"/>
      <c r="AP227" s="117"/>
      <c r="AQ227" s="17"/>
      <c r="AR227" s="17"/>
      <c r="AS227" s="17"/>
      <c r="AT227" s="18">
        <f t="shared" si="259"/>
        <v>2</v>
      </c>
      <c r="AU227" s="19">
        <f>IF(AT$444=0,0,AT227/AT$444)</f>
        <v>0</v>
      </c>
      <c r="AV227" s="117"/>
      <c r="AW227" s="17"/>
      <c r="AX227" s="17"/>
      <c r="AY227" s="17"/>
      <c r="AZ227" s="18">
        <f t="shared" si="260"/>
        <v>3</v>
      </c>
      <c r="BA227" s="19">
        <f>IF(AZ$444=0,0,AZ227/AZ$444)</f>
        <v>0</v>
      </c>
    </row>
    <row r="228" spans="1:53" ht="17.100000000000001" customHeight="1" x14ac:dyDescent="0.25">
      <c r="A228" s="40"/>
      <c r="B228" s="40"/>
      <c r="C228" s="56" t="s">
        <v>456</v>
      </c>
      <c r="D228" s="146" t="s">
        <v>484</v>
      </c>
      <c r="E228" s="149"/>
      <c r="F228" s="151"/>
      <c r="G228" s="151"/>
      <c r="H228" s="119"/>
      <c r="I228" s="236"/>
      <c r="J228" s="174"/>
      <c r="K228" s="174"/>
      <c r="L228" s="111"/>
      <c r="M228" s="111"/>
      <c r="N228" s="60">
        <v>100000</v>
      </c>
      <c r="O228" s="60">
        <v>100000</v>
      </c>
      <c r="P228" s="17"/>
      <c r="Q228" s="60"/>
      <c r="R228" s="60"/>
      <c r="S228" s="17"/>
      <c r="T228" s="60"/>
      <c r="U228" s="60"/>
      <c r="V228" s="17"/>
      <c r="W228" s="391">
        <f>MIN(N228,Q228,T228)</f>
        <v>100000</v>
      </c>
      <c r="X228" s="17">
        <f>MIN(O228,R228,U228)</f>
        <v>100000</v>
      </c>
      <c r="Y228" s="18"/>
      <c r="Z228" s="19"/>
      <c r="AA228" s="17">
        <f>MIN(N228:U228)</f>
        <v>100000</v>
      </c>
      <c r="AB228" s="17"/>
      <c r="AC228" s="17"/>
      <c r="AE228" s="111"/>
      <c r="AF228" s="111"/>
      <c r="AG228" s="111"/>
      <c r="AH228" s="545"/>
      <c r="AI228" s="131"/>
      <c r="AJ228" s="117"/>
      <c r="AK228" s="111"/>
      <c r="AL228" s="111"/>
      <c r="AM228" s="111"/>
      <c r="AN228" s="545"/>
      <c r="AO228" s="131"/>
      <c r="AP228" s="117"/>
      <c r="AQ228" s="17">
        <f>W228</f>
        <v>100000</v>
      </c>
      <c r="AR228" s="17"/>
      <c r="AS228" s="17"/>
      <c r="AT228" s="18"/>
      <c r="AU228" s="19"/>
      <c r="AV228" s="117"/>
      <c r="AW228" s="17">
        <f>X228</f>
        <v>100000</v>
      </c>
      <c r="AX228" s="17"/>
      <c r="AY228" s="17"/>
      <c r="AZ228" s="18"/>
      <c r="BA228" s="19"/>
    </row>
    <row r="229" spans="1:53" ht="17.100000000000001" customHeight="1" x14ac:dyDescent="0.25">
      <c r="A229" s="40"/>
      <c r="B229" s="40"/>
      <c r="C229" s="56" t="s">
        <v>546</v>
      </c>
      <c r="D229" s="146" t="s">
        <v>485</v>
      </c>
      <c r="E229" s="149"/>
      <c r="F229" s="151"/>
      <c r="G229" s="151"/>
      <c r="H229" s="119"/>
      <c r="I229" s="236"/>
      <c r="J229" s="174"/>
      <c r="K229" s="174"/>
      <c r="L229" s="111"/>
      <c r="M229" s="111"/>
      <c r="N229" s="61">
        <v>100000</v>
      </c>
      <c r="O229" s="61">
        <v>200000</v>
      </c>
      <c r="P229" s="17"/>
      <c r="Q229" s="61"/>
      <c r="R229" s="61"/>
      <c r="S229" s="17"/>
      <c r="T229" s="61"/>
      <c r="U229" s="61"/>
      <c r="V229" s="17"/>
      <c r="W229" s="391">
        <f>MAX(N229,Q229,T229)</f>
        <v>100000</v>
      </c>
      <c r="X229" s="17">
        <f>MAX(O229,R229,U229)</f>
        <v>200000</v>
      </c>
      <c r="Y229" s="18"/>
      <c r="Z229" s="19"/>
      <c r="AA229" s="17"/>
      <c r="AB229" s="17">
        <f>MAX(N229:U229)</f>
        <v>200000</v>
      </c>
      <c r="AC229" s="17"/>
      <c r="AE229" s="111"/>
      <c r="AF229" s="111"/>
      <c r="AG229" s="111"/>
      <c r="AH229" s="545"/>
      <c r="AI229" s="131"/>
      <c r="AJ229" s="117"/>
      <c r="AK229" s="111"/>
      <c r="AL229" s="111"/>
      <c r="AM229" s="111"/>
      <c r="AN229" s="545"/>
      <c r="AO229" s="131"/>
      <c r="AP229" s="117"/>
      <c r="AQ229" s="17"/>
      <c r="AR229" s="17">
        <f>W229</f>
        <v>100000</v>
      </c>
      <c r="AS229" s="17"/>
      <c r="AT229" s="18"/>
      <c r="AU229" s="19"/>
      <c r="AV229" s="117"/>
      <c r="AW229" s="17"/>
      <c r="AX229" s="17">
        <f>X229</f>
        <v>200000</v>
      </c>
      <c r="AY229" s="17"/>
      <c r="AZ229" s="18"/>
      <c r="BA229" s="19"/>
    </row>
    <row r="230" spans="1:53" ht="17.100000000000001" customHeight="1" x14ac:dyDescent="0.25">
      <c r="A230" s="40"/>
      <c r="B230" s="40"/>
      <c r="C230" s="56" t="s">
        <v>547</v>
      </c>
      <c r="D230" s="146" t="s">
        <v>543</v>
      </c>
      <c r="E230" s="149"/>
      <c r="F230" s="151"/>
      <c r="G230" s="151"/>
      <c r="H230" s="119"/>
      <c r="I230" s="236"/>
      <c r="J230" s="174"/>
      <c r="K230" s="174"/>
      <c r="L230" s="111"/>
      <c r="M230" s="111"/>
      <c r="N230" s="60">
        <v>100000</v>
      </c>
      <c r="O230" s="60">
        <v>133000</v>
      </c>
      <c r="P230" s="17"/>
      <c r="Q230" s="60"/>
      <c r="R230" s="60"/>
      <c r="S230" s="17"/>
      <c r="T230" s="60"/>
      <c r="U230" s="60"/>
      <c r="V230" s="17"/>
      <c r="W230" s="391">
        <f>IF(N230+Q230+T230=0,0,AVERAGE(N230,Q230,T230))</f>
        <v>100000</v>
      </c>
      <c r="X230" s="17">
        <f>IF(O230+R230+U230=0,0,AVERAGE(O230,R230,U230))</f>
        <v>133000</v>
      </c>
      <c r="Y230" s="18"/>
      <c r="Z230" s="19"/>
      <c r="AA230" s="17"/>
      <c r="AB230" s="17"/>
      <c r="AC230" s="17">
        <f>IF(SUM(N230:U230)=0,0,AVERAGE(N230:U230))</f>
        <v>116500</v>
      </c>
      <c r="AE230" s="111"/>
      <c r="AF230" s="111"/>
      <c r="AG230" s="111"/>
      <c r="AH230" s="545"/>
      <c r="AI230" s="131"/>
      <c r="AJ230" s="117"/>
      <c r="AK230" s="111"/>
      <c r="AL230" s="111"/>
      <c r="AM230" s="111"/>
      <c r="AN230" s="545"/>
      <c r="AO230" s="131"/>
      <c r="AP230" s="117"/>
      <c r="AQ230" s="17"/>
      <c r="AR230" s="17"/>
      <c r="AS230" s="17">
        <f>W230</f>
        <v>100000</v>
      </c>
      <c r="AT230" s="18"/>
      <c r="AU230" s="19"/>
      <c r="AV230" s="117"/>
      <c r="AW230" s="17"/>
      <c r="AX230" s="17"/>
      <c r="AY230" s="17">
        <f>X230</f>
        <v>133000</v>
      </c>
      <c r="AZ230" s="18"/>
      <c r="BA230" s="19"/>
    </row>
    <row r="231" spans="1:53" ht="17.100000000000001" customHeight="1" x14ac:dyDescent="0.25">
      <c r="A231" s="40"/>
      <c r="B231" s="179"/>
      <c r="C231" s="56" t="s">
        <v>548</v>
      </c>
      <c r="D231" s="85" t="s">
        <v>129</v>
      </c>
      <c r="E231" s="167"/>
      <c r="F231" s="151"/>
      <c r="G231" s="151"/>
      <c r="H231" s="119"/>
      <c r="I231" s="138"/>
      <c r="J231" s="174"/>
      <c r="K231" s="174"/>
      <c r="L231" s="111"/>
      <c r="M231" s="111"/>
      <c r="N231" s="61"/>
      <c r="O231" s="61"/>
      <c r="P231" s="17">
        <f t="shared" ref="P231" si="262">SUM(N231:O231)</f>
        <v>0</v>
      </c>
      <c r="Q231" s="61"/>
      <c r="R231" s="61"/>
      <c r="S231" s="17">
        <f t="shared" ref="S231" si="263">SUM(Q231:R231)</f>
        <v>0</v>
      </c>
      <c r="T231" s="61"/>
      <c r="U231" s="61"/>
      <c r="V231" s="17">
        <f t="shared" ref="V231" si="264">SUM(T231:U231)</f>
        <v>0</v>
      </c>
      <c r="W231" s="391">
        <f t="shared" ref="W231" si="265">J231+K231+N231+Q231+T231</f>
        <v>0</v>
      </c>
      <c r="X231" s="17">
        <f t="shared" ref="X231" si="266">L231+O231+R231+U231</f>
        <v>0</v>
      </c>
      <c r="Y231" s="18">
        <f t="shared" ref="Y231" si="267">SUM(W231:X231)</f>
        <v>0</v>
      </c>
      <c r="Z231" s="19">
        <f t="shared" ref="Z231:Z232" si="268">IF(Y$223=0,0,Y231/Y$223)</f>
        <v>0</v>
      </c>
      <c r="AA231" s="91"/>
      <c r="AB231" s="91"/>
      <c r="AC231" s="84"/>
      <c r="AE231" s="111"/>
      <c r="AF231" s="111"/>
      <c r="AG231" s="111"/>
      <c r="AH231" s="112"/>
      <c r="AI231" s="113"/>
      <c r="AJ231" s="117"/>
      <c r="AK231" s="111"/>
      <c r="AL231" s="111"/>
      <c r="AM231" s="111"/>
      <c r="AN231" s="112"/>
      <c r="AO231" s="113"/>
      <c r="AP231" s="117"/>
      <c r="AQ231" s="17"/>
      <c r="AR231" s="17"/>
      <c r="AS231" s="17"/>
      <c r="AT231" s="18">
        <f t="shared" ref="AT231" si="269">W231</f>
        <v>0</v>
      </c>
      <c r="AU231" s="19">
        <f>IF(AT$444=0,0,AT231/AT$444)</f>
        <v>0</v>
      </c>
      <c r="AV231" s="117"/>
      <c r="AW231" s="17"/>
      <c r="AX231" s="17"/>
      <c r="AY231" s="17"/>
      <c r="AZ231" s="18">
        <f t="shared" ref="AZ231" si="270">X231</f>
        <v>0</v>
      </c>
      <c r="BA231" s="19">
        <f>IF(AZ$444=0,0,AZ231/AZ$444)</f>
        <v>0</v>
      </c>
    </row>
    <row r="232" spans="1:53" ht="17.100000000000001" customHeight="1" x14ac:dyDescent="0.25">
      <c r="A232" s="40"/>
      <c r="B232" s="179"/>
      <c r="C232" s="292"/>
      <c r="D232" s="144"/>
      <c r="E232" s="144"/>
      <c r="F232" s="145"/>
      <c r="G232" s="145"/>
      <c r="H232" s="119"/>
      <c r="I232" s="138"/>
      <c r="J232" s="64"/>
      <c r="K232" s="64"/>
      <c r="L232" s="64"/>
      <c r="M232" s="64"/>
      <c r="N232" s="64">
        <f>N226+N227+N231</f>
        <v>2</v>
      </c>
      <c r="O232" s="64">
        <f t="shared" ref="O232:V232" si="271">O226+O227+O231</f>
        <v>3</v>
      </c>
      <c r="P232" s="64">
        <f t="shared" si="271"/>
        <v>5</v>
      </c>
      <c r="Q232" s="64">
        <f t="shared" si="271"/>
        <v>0</v>
      </c>
      <c r="R232" s="64">
        <f t="shared" si="271"/>
        <v>0</v>
      </c>
      <c r="S232" s="64">
        <f t="shared" si="271"/>
        <v>0</v>
      </c>
      <c r="T232" s="64">
        <f t="shared" si="271"/>
        <v>0</v>
      </c>
      <c r="U232" s="64">
        <f t="shared" si="271"/>
        <v>0</v>
      </c>
      <c r="V232" s="64">
        <f t="shared" si="271"/>
        <v>0</v>
      </c>
      <c r="W232" s="224">
        <f>SUM(W226:W231)</f>
        <v>300002</v>
      </c>
      <c r="X232" s="224">
        <f t="shared" ref="X232:Y232" si="272">SUM(X226:X231)</f>
        <v>433003</v>
      </c>
      <c r="Y232" s="224">
        <f t="shared" si="272"/>
        <v>5</v>
      </c>
      <c r="Z232" s="66">
        <f t="shared" si="268"/>
        <v>1</v>
      </c>
      <c r="AA232" s="205"/>
      <c r="AB232" s="205"/>
      <c r="AC232" s="83"/>
      <c r="AE232" s="80"/>
      <c r="AF232" s="80"/>
      <c r="AG232" s="81"/>
      <c r="AH232" s="82"/>
      <c r="AI232" s="66"/>
      <c r="AJ232" s="117"/>
      <c r="AK232" s="80"/>
      <c r="AL232" s="80"/>
      <c r="AM232" s="81"/>
      <c r="AN232" s="82"/>
      <c r="AO232" s="66"/>
      <c r="AP232" s="117"/>
      <c r="AQ232" s="80"/>
      <c r="AR232" s="80"/>
      <c r="AS232" s="81"/>
      <c r="AT232" s="82">
        <f>SUM(AT226:AT231)</f>
        <v>2</v>
      </c>
      <c r="AU232" s="66">
        <f>IF(AT$444=0,0,AT232/AT$444)</f>
        <v>0</v>
      </c>
      <c r="AV232" s="117"/>
      <c r="AW232" s="80"/>
      <c r="AX232" s="80"/>
      <c r="AY232" s="81"/>
      <c r="AZ232" s="82">
        <f>SUM(AZ226:AZ231)</f>
        <v>3</v>
      </c>
      <c r="BA232" s="66">
        <f>IF(AZ$444=0,0,AZ232/AZ$444)</f>
        <v>0</v>
      </c>
    </row>
    <row r="233" spans="1:53" s="117" customFormat="1" ht="17.100000000000001" customHeight="1" x14ac:dyDescent="0.25">
      <c r="A233" s="119"/>
      <c r="B233" s="119"/>
      <c r="C233" s="540"/>
      <c r="D233" s="212"/>
      <c r="E233" s="212"/>
      <c r="F233" s="212"/>
      <c r="G233" s="212"/>
      <c r="H233" s="242"/>
      <c r="I233" s="230"/>
      <c r="J233" s="17"/>
      <c r="K233" s="17"/>
      <c r="L233" s="17"/>
      <c r="M233" s="17"/>
      <c r="N233" s="17" t="str">
        <f>IF(N232=N$198,"OK","NOK")</f>
        <v>OK</v>
      </c>
      <c r="O233" s="17" t="str">
        <f>IF(O232=O$198,"OK","NOK")</f>
        <v>OK</v>
      </c>
      <c r="P233" s="17"/>
      <c r="Q233" s="17" t="str">
        <f>IF(Q232=Q$198,"OK","NOK")</f>
        <v>OK</v>
      </c>
      <c r="R233" s="17" t="str">
        <f>IF(R232=R$198,"OK","NOK")</f>
        <v>OK</v>
      </c>
      <c r="S233" s="17"/>
      <c r="T233" s="17" t="str">
        <f>IF(T232=T$198,"OK","NOK")</f>
        <v>OK</v>
      </c>
      <c r="U233" s="17" t="str">
        <f>IF(U232=U$198,"OK","NOK")</f>
        <v>OK</v>
      </c>
      <c r="V233" s="359"/>
      <c r="W233" s="382"/>
      <c r="X233" s="539"/>
      <c r="Y233" s="539"/>
      <c r="Z233" s="201"/>
      <c r="AA233" s="201"/>
      <c r="AB233" s="201"/>
      <c r="AC233" s="84"/>
      <c r="AE233" s="17"/>
      <c r="AF233" s="17"/>
      <c r="AG233" s="17"/>
      <c r="AH233" s="539"/>
      <c r="AI233" s="91"/>
      <c r="AK233" s="17"/>
      <c r="AL233" s="17"/>
      <c r="AM233" s="17"/>
      <c r="AN233" s="539"/>
      <c r="AO233" s="91"/>
      <c r="AQ233" s="17"/>
      <c r="AR233" s="17"/>
      <c r="AS233" s="17"/>
      <c r="AT233" s="539"/>
      <c r="AU233" s="91"/>
      <c r="AW233" s="17"/>
      <c r="AX233" s="17"/>
      <c r="AY233" s="17"/>
      <c r="AZ233" s="17"/>
      <c r="BA233" s="91"/>
    </row>
    <row r="234" spans="1:53" ht="17.100000000000001" customHeight="1" x14ac:dyDescent="0.25">
      <c r="A234" s="40"/>
      <c r="B234" s="299" t="s">
        <v>1058</v>
      </c>
      <c r="C234" s="274" t="s">
        <v>759</v>
      </c>
      <c r="D234" s="50"/>
      <c r="E234" s="50"/>
      <c r="F234" s="50"/>
      <c r="G234" s="301"/>
      <c r="H234" s="119"/>
      <c r="I234" s="138"/>
      <c r="J234" s="88"/>
      <c r="K234" s="88"/>
      <c r="L234" s="71"/>
      <c r="M234" s="71"/>
      <c r="N234" s="71"/>
      <c r="O234" s="71"/>
      <c r="P234" s="71"/>
      <c r="Q234" s="71"/>
      <c r="R234" s="71"/>
      <c r="S234" s="71"/>
      <c r="T234" s="71"/>
      <c r="U234" s="71"/>
      <c r="V234" s="71"/>
      <c r="W234" s="71"/>
      <c r="X234" s="71"/>
      <c r="Y234" s="71"/>
      <c r="Z234" s="90"/>
      <c r="AA234" s="90"/>
      <c r="AB234" s="90"/>
      <c r="AC234" s="73"/>
      <c r="AE234" s="71"/>
      <c r="AF234" s="71"/>
      <c r="AG234" s="89"/>
      <c r="AH234" s="90"/>
      <c r="AI234" s="73"/>
      <c r="AK234" s="71"/>
      <c r="AL234" s="71"/>
      <c r="AM234" s="89"/>
      <c r="AN234" s="90"/>
      <c r="AO234" s="73"/>
      <c r="AQ234" s="71"/>
      <c r="AR234" s="71"/>
      <c r="AS234" s="89"/>
      <c r="AT234" s="90"/>
      <c r="AU234" s="73"/>
      <c r="AW234" s="71"/>
      <c r="AX234" s="71"/>
      <c r="AY234" s="89"/>
      <c r="AZ234" s="90"/>
      <c r="BA234" s="73"/>
    </row>
    <row r="235" spans="1:53" ht="17.100000000000001" customHeight="1" x14ac:dyDescent="0.25">
      <c r="A235" s="40"/>
      <c r="B235" s="55"/>
      <c r="C235" s="56" t="s">
        <v>1059</v>
      </c>
      <c r="D235" s="85" t="s">
        <v>478</v>
      </c>
      <c r="E235" s="149"/>
      <c r="F235" s="149"/>
      <c r="G235" s="151"/>
      <c r="H235" s="119"/>
      <c r="I235" s="138"/>
      <c r="J235" s="174"/>
      <c r="K235" s="174"/>
      <c r="L235" s="111"/>
      <c r="M235" s="111"/>
      <c r="N235" s="60"/>
      <c r="O235" s="60"/>
      <c r="P235" s="17">
        <f t="shared" ref="P235:P242" si="273">SUM(N235:O235)</f>
        <v>0</v>
      </c>
      <c r="Q235" s="60"/>
      <c r="R235" s="60"/>
      <c r="S235" s="17">
        <f t="shared" ref="S235:S242" si="274">SUM(Q235:R235)</f>
        <v>0</v>
      </c>
      <c r="T235" s="60"/>
      <c r="U235" s="60"/>
      <c r="V235" s="17">
        <f t="shared" ref="V235:V242" si="275">SUM(T235:U235)</f>
        <v>0</v>
      </c>
      <c r="W235" s="391">
        <f t="shared" ref="W235:W242" si="276">J235+K235+N235+Q235+T235</f>
        <v>0</v>
      </c>
      <c r="X235" s="17">
        <f t="shared" ref="X235:X242" si="277">L235+O235+R235+U235</f>
        <v>0</v>
      </c>
      <c r="Y235" s="18">
        <f t="shared" ref="Y235:Y242" si="278">SUM(W235:X235)</f>
        <v>0</v>
      </c>
      <c r="Z235" s="19">
        <f>IF(Y$243=0,0,Y235/Y$243)</f>
        <v>0</v>
      </c>
      <c r="AA235" s="19"/>
      <c r="AB235" s="19"/>
      <c r="AC235" s="84"/>
      <c r="AD235" s="117"/>
      <c r="AE235" s="111"/>
      <c r="AF235" s="111"/>
      <c r="AG235" s="111"/>
      <c r="AH235" s="545"/>
      <c r="AI235" s="131"/>
      <c r="AK235" s="111"/>
      <c r="AL235" s="111"/>
      <c r="AM235" s="111"/>
      <c r="AN235" s="545"/>
      <c r="AO235" s="131"/>
      <c r="AQ235" s="17"/>
      <c r="AR235" s="17"/>
      <c r="AS235" s="17"/>
      <c r="AT235" s="424">
        <f>W235</f>
        <v>0</v>
      </c>
      <c r="AU235" s="19">
        <f>IF(AT$243=0,0,AT235/AT$243)</f>
        <v>0</v>
      </c>
      <c r="AW235" s="17"/>
      <c r="AX235" s="17"/>
      <c r="AY235" s="17"/>
      <c r="AZ235" s="424">
        <f>X235</f>
        <v>0</v>
      </c>
      <c r="BA235" s="19">
        <f>IF(AZ$243=0,0,AZ235/AZ$243)</f>
        <v>0</v>
      </c>
    </row>
    <row r="236" spans="1:53" ht="17.100000000000001" customHeight="1" x14ac:dyDescent="0.25">
      <c r="A236" s="40"/>
      <c r="B236" s="55"/>
      <c r="C236" s="56" t="s">
        <v>1060</v>
      </c>
      <c r="D236" s="85" t="s">
        <v>165</v>
      </c>
      <c r="E236" s="149"/>
      <c r="F236" s="149"/>
      <c r="G236" s="151"/>
      <c r="H236" s="119"/>
      <c r="I236" s="138"/>
      <c r="J236" s="174"/>
      <c r="K236" s="174"/>
      <c r="L236" s="111"/>
      <c r="M236" s="111"/>
      <c r="N236" s="61">
        <v>2</v>
      </c>
      <c r="O236" s="61">
        <v>3</v>
      </c>
      <c r="P236" s="17">
        <f t="shared" si="273"/>
        <v>5</v>
      </c>
      <c r="Q236" s="61"/>
      <c r="R236" s="61"/>
      <c r="S236" s="17">
        <f t="shared" si="274"/>
        <v>0</v>
      </c>
      <c r="T236" s="61"/>
      <c r="U236" s="61"/>
      <c r="V236" s="17">
        <f t="shared" si="275"/>
        <v>0</v>
      </c>
      <c r="W236" s="391">
        <f t="shared" si="276"/>
        <v>2</v>
      </c>
      <c r="X236" s="17">
        <f t="shared" si="277"/>
        <v>3</v>
      </c>
      <c r="Y236" s="18">
        <f t="shared" si="278"/>
        <v>5</v>
      </c>
      <c r="Z236" s="19">
        <f t="shared" ref="Z236:Z243" si="279">IF(Y$243=0,0,Y236/Y$243)</f>
        <v>1</v>
      </c>
      <c r="AA236" s="19"/>
      <c r="AB236" s="19"/>
      <c r="AC236" s="84"/>
      <c r="AD236" s="117"/>
      <c r="AE236" s="111"/>
      <c r="AF236" s="111"/>
      <c r="AG236" s="111"/>
      <c r="AH236" s="545"/>
      <c r="AI236" s="131"/>
      <c r="AK236" s="111"/>
      <c r="AL236" s="111"/>
      <c r="AM236" s="111"/>
      <c r="AN236" s="545"/>
      <c r="AO236" s="131"/>
      <c r="AQ236" s="17"/>
      <c r="AR236" s="17"/>
      <c r="AS236" s="17"/>
      <c r="AT236" s="424">
        <f t="shared" ref="AT236:AT242" si="280">W236</f>
        <v>2</v>
      </c>
      <c r="AU236" s="19">
        <f t="shared" ref="AU236:AU243" si="281">IF(AT$243=0,0,AT236/AT$243)</f>
        <v>1</v>
      </c>
      <c r="AW236" s="17"/>
      <c r="AX236" s="17"/>
      <c r="AY236" s="17"/>
      <c r="AZ236" s="424">
        <f t="shared" ref="AZ236:AZ242" si="282">X236</f>
        <v>3</v>
      </c>
      <c r="BA236" s="19">
        <f t="shared" ref="BA236:BA243" si="283">IF(AZ$243=0,0,AZ236/AZ$243)</f>
        <v>1</v>
      </c>
    </row>
    <row r="237" spans="1:53" ht="17.100000000000001" customHeight="1" x14ac:dyDescent="0.25">
      <c r="A237" s="40"/>
      <c r="B237" s="55"/>
      <c r="C237" s="56" t="s">
        <v>1061</v>
      </c>
      <c r="D237" s="85" t="s">
        <v>167</v>
      </c>
      <c r="E237" s="149"/>
      <c r="F237" s="149"/>
      <c r="G237" s="151"/>
      <c r="H237" s="119"/>
      <c r="I237" s="138"/>
      <c r="J237" s="174"/>
      <c r="K237" s="174"/>
      <c r="L237" s="111"/>
      <c r="M237" s="111"/>
      <c r="N237" s="60"/>
      <c r="O237" s="60"/>
      <c r="P237" s="17">
        <f t="shared" si="273"/>
        <v>0</v>
      </c>
      <c r="Q237" s="60"/>
      <c r="R237" s="60"/>
      <c r="S237" s="17">
        <f t="shared" si="274"/>
        <v>0</v>
      </c>
      <c r="T237" s="60"/>
      <c r="U237" s="60"/>
      <c r="V237" s="17">
        <f t="shared" si="275"/>
        <v>0</v>
      </c>
      <c r="W237" s="391">
        <f t="shared" si="276"/>
        <v>0</v>
      </c>
      <c r="X237" s="17">
        <f t="shared" si="277"/>
        <v>0</v>
      </c>
      <c r="Y237" s="18">
        <f t="shared" si="278"/>
        <v>0</v>
      </c>
      <c r="Z237" s="19">
        <f t="shared" si="279"/>
        <v>0</v>
      </c>
      <c r="AA237" s="19"/>
      <c r="AB237" s="19"/>
      <c r="AC237" s="84"/>
      <c r="AD237" s="117"/>
      <c r="AE237" s="111"/>
      <c r="AF237" s="111"/>
      <c r="AG237" s="111"/>
      <c r="AH237" s="545"/>
      <c r="AI237" s="131"/>
      <c r="AK237" s="111"/>
      <c r="AL237" s="111"/>
      <c r="AM237" s="111"/>
      <c r="AN237" s="545"/>
      <c r="AO237" s="131"/>
      <c r="AQ237" s="17"/>
      <c r="AR237" s="17"/>
      <c r="AS237" s="17"/>
      <c r="AT237" s="424">
        <f t="shared" si="280"/>
        <v>0</v>
      </c>
      <c r="AU237" s="19">
        <f t="shared" si="281"/>
        <v>0</v>
      </c>
      <c r="AW237" s="17"/>
      <c r="AX237" s="17"/>
      <c r="AY237" s="17"/>
      <c r="AZ237" s="424">
        <f t="shared" si="282"/>
        <v>0</v>
      </c>
      <c r="BA237" s="19">
        <f t="shared" si="283"/>
        <v>0</v>
      </c>
    </row>
    <row r="238" spans="1:53" ht="17.100000000000001" customHeight="1" x14ac:dyDescent="0.25">
      <c r="A238" s="40"/>
      <c r="B238" s="55"/>
      <c r="C238" s="56" t="s">
        <v>1062</v>
      </c>
      <c r="D238" s="146" t="s">
        <v>991</v>
      </c>
      <c r="E238" s="149"/>
      <c r="F238" s="149"/>
      <c r="G238" s="151"/>
      <c r="H238" s="119"/>
      <c r="I238" s="138"/>
      <c r="J238" s="174"/>
      <c r="K238" s="174"/>
      <c r="L238" s="111"/>
      <c r="M238" s="111"/>
      <c r="N238" s="61"/>
      <c r="O238" s="61"/>
      <c r="P238" s="17">
        <f t="shared" si="273"/>
        <v>0</v>
      </c>
      <c r="Q238" s="61"/>
      <c r="R238" s="61"/>
      <c r="S238" s="17">
        <f t="shared" si="274"/>
        <v>0</v>
      </c>
      <c r="T238" s="61"/>
      <c r="U238" s="61"/>
      <c r="V238" s="17">
        <f t="shared" si="275"/>
        <v>0</v>
      </c>
      <c r="W238" s="391">
        <f t="shared" si="276"/>
        <v>0</v>
      </c>
      <c r="X238" s="17">
        <f t="shared" si="277"/>
        <v>0</v>
      </c>
      <c r="Y238" s="18">
        <f t="shared" si="278"/>
        <v>0</v>
      </c>
      <c r="Z238" s="19">
        <f t="shared" si="279"/>
        <v>0</v>
      </c>
      <c r="AA238" s="19"/>
      <c r="AB238" s="19"/>
      <c r="AC238" s="84"/>
      <c r="AD238" s="117"/>
      <c r="AE238" s="111"/>
      <c r="AF238" s="111"/>
      <c r="AG238" s="111"/>
      <c r="AH238" s="545"/>
      <c r="AI238" s="131"/>
      <c r="AK238" s="111"/>
      <c r="AL238" s="111"/>
      <c r="AM238" s="111"/>
      <c r="AN238" s="545"/>
      <c r="AO238" s="131"/>
      <c r="AQ238" s="17"/>
      <c r="AR238" s="17"/>
      <c r="AS238" s="17"/>
      <c r="AT238" s="424">
        <f t="shared" si="280"/>
        <v>0</v>
      </c>
      <c r="AU238" s="19">
        <f t="shared" si="281"/>
        <v>0</v>
      </c>
      <c r="AW238" s="17"/>
      <c r="AX238" s="17"/>
      <c r="AY238" s="17"/>
      <c r="AZ238" s="424">
        <f t="shared" si="282"/>
        <v>0</v>
      </c>
      <c r="BA238" s="19">
        <f t="shared" si="283"/>
        <v>0</v>
      </c>
    </row>
    <row r="239" spans="1:53" ht="17.100000000000001" customHeight="1" x14ac:dyDescent="0.25">
      <c r="A239" s="40"/>
      <c r="B239" s="55"/>
      <c r="C239" s="56" t="s">
        <v>1063</v>
      </c>
      <c r="D239" s="85" t="s">
        <v>438</v>
      </c>
      <c r="E239" s="149"/>
      <c r="F239" s="149"/>
      <c r="G239" s="151"/>
      <c r="H239" s="119"/>
      <c r="I239" s="138"/>
      <c r="J239" s="174"/>
      <c r="K239" s="174"/>
      <c r="L239" s="111"/>
      <c r="M239" s="111"/>
      <c r="N239" s="60"/>
      <c r="O239" s="60"/>
      <c r="P239" s="17">
        <f t="shared" si="273"/>
        <v>0</v>
      </c>
      <c r="Q239" s="60"/>
      <c r="R239" s="60"/>
      <c r="S239" s="17">
        <f t="shared" si="274"/>
        <v>0</v>
      </c>
      <c r="T239" s="60"/>
      <c r="U239" s="60"/>
      <c r="V239" s="17">
        <f t="shared" si="275"/>
        <v>0</v>
      </c>
      <c r="W239" s="391">
        <f t="shared" si="276"/>
        <v>0</v>
      </c>
      <c r="X239" s="17">
        <f t="shared" si="277"/>
        <v>0</v>
      </c>
      <c r="Y239" s="18">
        <f t="shared" si="278"/>
        <v>0</v>
      </c>
      <c r="Z239" s="19">
        <f t="shared" si="279"/>
        <v>0</v>
      </c>
      <c r="AA239" s="19"/>
      <c r="AB239" s="19"/>
      <c r="AC239" s="84"/>
      <c r="AD239" s="117"/>
      <c r="AE239" s="111"/>
      <c r="AF239" s="111"/>
      <c r="AG239" s="111"/>
      <c r="AH239" s="545"/>
      <c r="AI239" s="131"/>
      <c r="AK239" s="111"/>
      <c r="AL239" s="111"/>
      <c r="AM239" s="111"/>
      <c r="AN239" s="545"/>
      <c r="AO239" s="131"/>
      <c r="AQ239" s="17"/>
      <c r="AR239" s="17"/>
      <c r="AS239" s="17"/>
      <c r="AT239" s="424">
        <f t="shared" si="280"/>
        <v>0</v>
      </c>
      <c r="AU239" s="19">
        <f t="shared" si="281"/>
        <v>0</v>
      </c>
      <c r="AW239" s="17"/>
      <c r="AX239" s="17"/>
      <c r="AY239" s="17"/>
      <c r="AZ239" s="424">
        <f t="shared" si="282"/>
        <v>0</v>
      </c>
      <c r="BA239" s="19">
        <f t="shared" si="283"/>
        <v>0</v>
      </c>
    </row>
    <row r="240" spans="1:53" ht="17.100000000000001" customHeight="1" x14ac:dyDescent="0.25">
      <c r="A240" s="40"/>
      <c r="B240" s="55"/>
      <c r="C240" s="56" t="s">
        <v>1064</v>
      </c>
      <c r="D240" s="85" t="s">
        <v>439</v>
      </c>
      <c r="E240" s="149"/>
      <c r="F240" s="149"/>
      <c r="G240" s="151"/>
      <c r="H240" s="119"/>
      <c r="I240" s="138"/>
      <c r="J240" s="174"/>
      <c r="K240" s="174"/>
      <c r="L240" s="111"/>
      <c r="M240" s="111"/>
      <c r="N240" s="61"/>
      <c r="O240" s="61"/>
      <c r="P240" s="17">
        <f t="shared" si="273"/>
        <v>0</v>
      </c>
      <c r="Q240" s="61"/>
      <c r="R240" s="61"/>
      <c r="S240" s="17">
        <f t="shared" si="274"/>
        <v>0</v>
      </c>
      <c r="T240" s="61"/>
      <c r="U240" s="61"/>
      <c r="V240" s="17">
        <f t="shared" si="275"/>
        <v>0</v>
      </c>
      <c r="W240" s="391">
        <f t="shared" si="276"/>
        <v>0</v>
      </c>
      <c r="X240" s="17">
        <f t="shared" si="277"/>
        <v>0</v>
      </c>
      <c r="Y240" s="18">
        <f t="shared" si="278"/>
        <v>0</v>
      </c>
      <c r="Z240" s="19">
        <f t="shared" si="279"/>
        <v>0</v>
      </c>
      <c r="AA240" s="19"/>
      <c r="AB240" s="19"/>
      <c r="AC240" s="84"/>
      <c r="AD240" s="117"/>
      <c r="AE240" s="111"/>
      <c r="AF240" s="111"/>
      <c r="AG240" s="111"/>
      <c r="AH240" s="545"/>
      <c r="AI240" s="131"/>
      <c r="AK240" s="111"/>
      <c r="AL240" s="111"/>
      <c r="AM240" s="111"/>
      <c r="AN240" s="545"/>
      <c r="AO240" s="131"/>
      <c r="AQ240" s="17"/>
      <c r="AR240" s="17"/>
      <c r="AS240" s="17"/>
      <c r="AT240" s="424">
        <f t="shared" si="280"/>
        <v>0</v>
      </c>
      <c r="AU240" s="19">
        <f t="shared" si="281"/>
        <v>0</v>
      </c>
      <c r="AW240" s="17"/>
      <c r="AX240" s="17"/>
      <c r="AY240" s="17"/>
      <c r="AZ240" s="424">
        <f t="shared" si="282"/>
        <v>0</v>
      </c>
      <c r="BA240" s="19">
        <f t="shared" si="283"/>
        <v>0</v>
      </c>
    </row>
    <row r="241" spans="1:53" ht="17.100000000000001" customHeight="1" x14ac:dyDescent="0.25">
      <c r="A241" s="40"/>
      <c r="B241" s="55"/>
      <c r="C241" s="56" t="s">
        <v>1065</v>
      </c>
      <c r="D241" s="85" t="s">
        <v>483</v>
      </c>
      <c r="E241" s="149"/>
      <c r="F241" s="149"/>
      <c r="G241" s="151"/>
      <c r="H241" s="119"/>
      <c r="I241" s="138"/>
      <c r="J241" s="174"/>
      <c r="K241" s="174"/>
      <c r="L241" s="111"/>
      <c r="M241" s="111"/>
      <c r="N241" s="60"/>
      <c r="O241" s="60"/>
      <c r="P241" s="17">
        <f t="shared" si="273"/>
        <v>0</v>
      </c>
      <c r="Q241" s="60"/>
      <c r="R241" s="60"/>
      <c r="S241" s="17">
        <f t="shared" si="274"/>
        <v>0</v>
      </c>
      <c r="T241" s="60"/>
      <c r="U241" s="60"/>
      <c r="V241" s="17">
        <f t="shared" si="275"/>
        <v>0</v>
      </c>
      <c r="W241" s="391">
        <f t="shared" si="276"/>
        <v>0</v>
      </c>
      <c r="X241" s="17">
        <f t="shared" si="277"/>
        <v>0</v>
      </c>
      <c r="Y241" s="18">
        <f t="shared" si="278"/>
        <v>0</v>
      </c>
      <c r="Z241" s="19">
        <f t="shared" si="279"/>
        <v>0</v>
      </c>
      <c r="AA241" s="19"/>
      <c r="AB241" s="19"/>
      <c r="AC241" s="84"/>
      <c r="AD241" s="117"/>
      <c r="AE241" s="111"/>
      <c r="AF241" s="111"/>
      <c r="AG241" s="111"/>
      <c r="AH241" s="545"/>
      <c r="AI241" s="131"/>
      <c r="AK241" s="111"/>
      <c r="AL241" s="111"/>
      <c r="AM241" s="111"/>
      <c r="AN241" s="545"/>
      <c r="AO241" s="131"/>
      <c r="AQ241" s="17"/>
      <c r="AR241" s="17"/>
      <c r="AS241" s="17"/>
      <c r="AT241" s="424">
        <f t="shared" si="280"/>
        <v>0</v>
      </c>
      <c r="AU241" s="19">
        <f t="shared" si="281"/>
        <v>0</v>
      </c>
      <c r="AW241" s="17"/>
      <c r="AX241" s="17"/>
      <c r="AY241" s="17"/>
      <c r="AZ241" s="424">
        <f t="shared" si="282"/>
        <v>0</v>
      </c>
      <c r="BA241" s="19">
        <f t="shared" si="283"/>
        <v>0</v>
      </c>
    </row>
    <row r="242" spans="1:53" ht="17.100000000000001" customHeight="1" x14ac:dyDescent="0.25">
      <c r="A242" s="40"/>
      <c r="B242" s="55"/>
      <c r="C242" s="56" t="s">
        <v>1066</v>
      </c>
      <c r="D242" s="85" t="s">
        <v>129</v>
      </c>
      <c r="E242" s="149"/>
      <c r="F242" s="149"/>
      <c r="G242" s="151"/>
      <c r="H242" s="119"/>
      <c r="I242" s="138"/>
      <c r="J242" s="174"/>
      <c r="K242" s="174"/>
      <c r="L242" s="111"/>
      <c r="M242" s="111"/>
      <c r="N242" s="61"/>
      <c r="O242" s="61"/>
      <c r="P242" s="17">
        <f t="shared" si="273"/>
        <v>0</v>
      </c>
      <c r="Q242" s="61"/>
      <c r="R242" s="61"/>
      <c r="S242" s="17">
        <f t="shared" si="274"/>
        <v>0</v>
      </c>
      <c r="T242" s="61"/>
      <c r="U242" s="61"/>
      <c r="V242" s="17">
        <f t="shared" si="275"/>
        <v>0</v>
      </c>
      <c r="W242" s="391">
        <f t="shared" si="276"/>
        <v>0</v>
      </c>
      <c r="X242" s="17">
        <f t="shared" si="277"/>
        <v>0</v>
      </c>
      <c r="Y242" s="18">
        <f t="shared" si="278"/>
        <v>0</v>
      </c>
      <c r="Z242" s="19">
        <f t="shared" si="279"/>
        <v>0</v>
      </c>
      <c r="AA242" s="19"/>
      <c r="AB242" s="19"/>
      <c r="AC242" s="84"/>
      <c r="AD242" s="117"/>
      <c r="AE242" s="111"/>
      <c r="AF242" s="111"/>
      <c r="AG242" s="111"/>
      <c r="AH242" s="545"/>
      <c r="AI242" s="131"/>
      <c r="AK242" s="111"/>
      <c r="AL242" s="111"/>
      <c r="AM242" s="111"/>
      <c r="AN242" s="545"/>
      <c r="AO242" s="131"/>
      <c r="AQ242" s="17"/>
      <c r="AR242" s="17"/>
      <c r="AS242" s="17"/>
      <c r="AT242" s="424">
        <f t="shared" si="280"/>
        <v>0</v>
      </c>
      <c r="AU242" s="19">
        <f t="shared" si="281"/>
        <v>0</v>
      </c>
      <c r="AW242" s="17"/>
      <c r="AX242" s="17"/>
      <c r="AY242" s="17"/>
      <c r="AZ242" s="424">
        <f t="shared" si="282"/>
        <v>0</v>
      </c>
      <c r="BA242" s="19">
        <f t="shared" si="283"/>
        <v>0</v>
      </c>
    </row>
    <row r="243" spans="1:53" ht="17.100000000000001" customHeight="1" x14ac:dyDescent="0.25">
      <c r="A243" s="40"/>
      <c r="B243" s="40"/>
      <c r="C243" s="292"/>
      <c r="D243" s="144"/>
      <c r="E243" s="144"/>
      <c r="F243" s="145"/>
      <c r="G243" s="145"/>
      <c r="H243" s="119"/>
      <c r="I243" s="138"/>
      <c r="J243" s="64"/>
      <c r="K243" s="64"/>
      <c r="L243" s="64"/>
      <c r="M243" s="64"/>
      <c r="N243" s="64">
        <f>SUM(N235:N242)</f>
        <v>2</v>
      </c>
      <c r="O243" s="64">
        <f t="shared" ref="O243:V243" si="284">SUM(O235:O242)</f>
        <v>3</v>
      </c>
      <c r="P243" s="64">
        <f t="shared" si="284"/>
        <v>5</v>
      </c>
      <c r="Q243" s="64">
        <f t="shared" si="284"/>
        <v>0</v>
      </c>
      <c r="R243" s="64">
        <f t="shared" si="284"/>
        <v>0</v>
      </c>
      <c r="S243" s="64">
        <f t="shared" si="284"/>
        <v>0</v>
      </c>
      <c r="T243" s="64">
        <f t="shared" si="284"/>
        <v>0</v>
      </c>
      <c r="U243" s="64">
        <f t="shared" si="284"/>
        <v>0</v>
      </c>
      <c r="V243" s="64">
        <f t="shared" si="284"/>
        <v>0</v>
      </c>
      <c r="W243" s="224">
        <f>SUM(W235:W242)</f>
        <v>2</v>
      </c>
      <c r="X243" s="224">
        <f t="shared" ref="X243:Y243" si="285">SUM(X235:X242)</f>
        <v>3</v>
      </c>
      <c r="Y243" s="224">
        <f t="shared" si="285"/>
        <v>5</v>
      </c>
      <c r="Z243" s="66">
        <f t="shared" si="279"/>
        <v>1</v>
      </c>
      <c r="AA243" s="205"/>
      <c r="AB243" s="205"/>
      <c r="AC243" s="83"/>
      <c r="AE243" s="81"/>
      <c r="AF243" s="81"/>
      <c r="AG243" s="82"/>
      <c r="AH243" s="324"/>
      <c r="AI243" s="66"/>
      <c r="AK243" s="81"/>
      <c r="AL243" s="81"/>
      <c r="AM243" s="82"/>
      <c r="AN243" s="324"/>
      <c r="AO243" s="66"/>
      <c r="AQ243" s="81"/>
      <c r="AR243" s="81"/>
      <c r="AS243" s="82"/>
      <c r="AT243" s="426">
        <f>SUM(AT235:AT242)</f>
        <v>2</v>
      </c>
      <c r="AU243" s="66">
        <f t="shared" si="281"/>
        <v>1</v>
      </c>
      <c r="AW243" s="81"/>
      <c r="AX243" s="81"/>
      <c r="AY243" s="82"/>
      <c r="AZ243" s="426">
        <f>SUM(AZ235:AZ242)</f>
        <v>3</v>
      </c>
      <c r="BA243" s="66">
        <f t="shared" si="283"/>
        <v>1</v>
      </c>
    </row>
    <row r="244" spans="1:53" s="117" customFormat="1" ht="17.100000000000001" customHeight="1" x14ac:dyDescent="0.25">
      <c r="A244" s="68"/>
      <c r="B244" s="119"/>
      <c r="C244" s="540"/>
      <c r="D244" s="261"/>
      <c r="E244" s="261"/>
      <c r="F244" s="68"/>
      <c r="G244" s="68"/>
      <c r="H244" s="119"/>
      <c r="I244" s="138"/>
      <c r="J244" s="17"/>
      <c r="K244" s="17"/>
      <c r="L244" s="17"/>
      <c r="M244" s="17"/>
      <c r="N244" s="17" t="str">
        <f>IF(N243=N$450,"OK","NOK")</f>
        <v>NOK</v>
      </c>
      <c r="O244" s="17" t="str">
        <f>IF(O243=O$450,"OK","NOK")</f>
        <v>NOK</v>
      </c>
      <c r="P244" s="17"/>
      <c r="Q244" s="17" t="str">
        <f>IF(Q243=Q$450,"OK","NOK")</f>
        <v>OK</v>
      </c>
      <c r="R244" s="17" t="str">
        <f>IF(R243=R$450,"OK","NOK")</f>
        <v>OK</v>
      </c>
      <c r="S244" s="17"/>
      <c r="T244" s="17" t="str">
        <f>IF(T243=T$450,"OK","NOK")</f>
        <v>OK</v>
      </c>
      <c r="U244" s="17" t="str">
        <f>IF(U243=U$450,"OK","NOK")</f>
        <v>OK</v>
      </c>
      <c r="V244" s="359"/>
      <c r="W244" s="382"/>
      <c r="X244" s="539"/>
      <c r="Y244" s="539"/>
      <c r="Z244" s="201"/>
      <c r="AA244" s="201"/>
      <c r="AB244" s="201"/>
      <c r="AC244" s="84"/>
      <c r="AE244" s="46"/>
      <c r="AF244" s="46"/>
      <c r="AG244" s="17"/>
      <c r="AH244" s="539"/>
      <c r="AI244" s="91"/>
      <c r="AK244" s="46"/>
      <c r="AL244" s="46"/>
      <c r="AM244" s="17"/>
      <c r="AN244" s="539"/>
      <c r="AO244" s="91"/>
      <c r="AQ244" s="46"/>
      <c r="AR244" s="46"/>
      <c r="AS244" s="17"/>
      <c r="AT244" s="539"/>
      <c r="AU244" s="91"/>
      <c r="AW244" s="46"/>
      <c r="AX244" s="46"/>
      <c r="AY244" s="17"/>
      <c r="AZ244" s="539"/>
      <c r="BA244" s="91"/>
    </row>
    <row r="245" spans="1:53" s="117" customFormat="1" ht="17.100000000000001" customHeight="1" x14ac:dyDescent="0.25">
      <c r="A245" s="68"/>
      <c r="B245" s="119"/>
      <c r="C245" s="119"/>
      <c r="D245" s="56" t="s">
        <v>272</v>
      </c>
      <c r="E245" s="149" t="s">
        <v>751</v>
      </c>
      <c r="F245" s="149"/>
      <c r="G245" s="149"/>
      <c r="H245" s="182"/>
      <c r="I245" s="241"/>
      <c r="J245" s="152"/>
      <c r="K245" s="152"/>
      <c r="L245" s="111"/>
      <c r="M245" s="111"/>
      <c r="N245" s="111"/>
      <c r="O245" s="111"/>
      <c r="P245" s="111"/>
      <c r="Q245" s="111"/>
      <c r="R245" s="111"/>
      <c r="S245" s="111"/>
      <c r="T245" s="111"/>
      <c r="U245" s="111"/>
      <c r="V245" s="358"/>
      <c r="W245" s="380"/>
      <c r="X245" s="111"/>
      <c r="Y245" s="545"/>
      <c r="Z245" s="131"/>
      <c r="AA245" s="131"/>
      <c r="AB245" s="131"/>
      <c r="AC245" s="113"/>
      <c r="AE245" s="152"/>
      <c r="AF245" s="152"/>
      <c r="AG245" s="111"/>
      <c r="AH245" s="545"/>
      <c r="AI245" s="131"/>
      <c r="AK245" s="152"/>
      <c r="AL245" s="152"/>
      <c r="AM245" s="111"/>
      <c r="AN245" s="545"/>
      <c r="AO245" s="131"/>
      <c r="AQ245" s="152"/>
      <c r="AR245" s="152"/>
      <c r="AS245" s="111"/>
      <c r="AT245" s="545"/>
      <c r="AU245" s="131"/>
      <c r="AW245" s="152"/>
      <c r="AX245" s="152"/>
      <c r="AY245" s="111"/>
      <c r="AZ245" s="545"/>
      <c r="BA245" s="131"/>
    </row>
    <row r="246" spans="1:53" s="117" customFormat="1" ht="17.100000000000001" customHeight="1" x14ac:dyDescent="0.25">
      <c r="A246" s="68"/>
      <c r="B246" s="119"/>
      <c r="C246" s="55"/>
      <c r="D246" s="55"/>
      <c r="E246" s="74" t="s">
        <v>753</v>
      </c>
      <c r="F246" s="603" t="s">
        <v>752</v>
      </c>
      <c r="G246" s="603"/>
      <c r="H246" s="182"/>
      <c r="I246" s="241"/>
      <c r="J246" s="111"/>
      <c r="K246" s="152"/>
      <c r="L246" s="152"/>
      <c r="M246" s="152"/>
      <c r="N246" s="152"/>
      <c r="O246" s="111"/>
      <c r="P246" s="60"/>
      <c r="Q246" s="152"/>
      <c r="R246" s="111"/>
      <c r="S246" s="60"/>
      <c r="T246" s="152"/>
      <c r="U246" s="111"/>
      <c r="V246" s="361"/>
      <c r="W246" s="391"/>
      <c r="X246" s="17"/>
      <c r="Y246" s="18">
        <f t="shared" ref="Y246:Y248" si="286">M246+P246+S246+V246</f>
        <v>0</v>
      </c>
      <c r="Z246" s="19">
        <f>IF(Y$249=0,0,Y246/Y$249)</f>
        <v>0</v>
      </c>
      <c r="AA246" s="19"/>
      <c r="AB246" s="19"/>
      <c r="AC246" s="84"/>
      <c r="AE246" s="111"/>
      <c r="AF246" s="111"/>
      <c r="AG246" s="111"/>
      <c r="AH246" s="112"/>
      <c r="AI246" s="113"/>
      <c r="AK246" s="111"/>
      <c r="AL246" s="111"/>
      <c r="AM246" s="111"/>
      <c r="AN246" s="112"/>
      <c r="AO246" s="113"/>
      <c r="AQ246" s="111"/>
      <c r="AR246" s="111"/>
      <c r="AS246" s="111"/>
      <c r="AT246" s="545"/>
      <c r="AU246" s="131"/>
      <c r="AW246" s="111"/>
      <c r="AX246" s="111"/>
      <c r="AY246" s="111"/>
      <c r="AZ246" s="545"/>
      <c r="BA246" s="131"/>
    </row>
    <row r="247" spans="1:53" s="117" customFormat="1" ht="17.100000000000001" customHeight="1" x14ac:dyDescent="0.25">
      <c r="A247" s="68"/>
      <c r="B247" s="119"/>
      <c r="C247" s="55"/>
      <c r="D247" s="55"/>
      <c r="E247" s="74" t="s">
        <v>754</v>
      </c>
      <c r="F247" s="604"/>
      <c r="G247" s="604"/>
      <c r="H247" s="182"/>
      <c r="I247" s="241"/>
      <c r="J247" s="111"/>
      <c r="K247" s="152"/>
      <c r="L247" s="152"/>
      <c r="M247" s="152"/>
      <c r="N247" s="152"/>
      <c r="O247" s="111"/>
      <c r="P247" s="61"/>
      <c r="Q247" s="152"/>
      <c r="R247" s="111"/>
      <c r="S247" s="61"/>
      <c r="T247" s="152"/>
      <c r="U247" s="111"/>
      <c r="V247" s="362"/>
      <c r="W247" s="391"/>
      <c r="X247" s="17"/>
      <c r="Y247" s="18">
        <f t="shared" si="286"/>
        <v>0</v>
      </c>
      <c r="Z247" s="19">
        <f t="shared" ref="Z247:Z249" si="287">IF(Y$249=0,0,Y247/Y$249)</f>
        <v>0</v>
      </c>
      <c r="AA247" s="19"/>
      <c r="AB247" s="19"/>
      <c r="AC247" s="84"/>
      <c r="AE247" s="111"/>
      <c r="AF247" s="111"/>
      <c r="AG247" s="111"/>
      <c r="AH247" s="112"/>
      <c r="AI247" s="113"/>
      <c r="AK247" s="111"/>
      <c r="AL247" s="111"/>
      <c r="AM247" s="111"/>
      <c r="AN247" s="112"/>
      <c r="AO247" s="113"/>
      <c r="AQ247" s="111"/>
      <c r="AR247" s="111"/>
      <c r="AS247" s="111"/>
      <c r="AT247" s="545"/>
      <c r="AU247" s="131"/>
      <c r="AW247" s="111"/>
      <c r="AX247" s="111"/>
      <c r="AY247" s="111"/>
      <c r="AZ247" s="545"/>
      <c r="BA247" s="131"/>
    </row>
    <row r="248" spans="1:53" s="117" customFormat="1" ht="17.100000000000001" customHeight="1" x14ac:dyDescent="0.25">
      <c r="A248" s="68"/>
      <c r="B248" s="119"/>
      <c r="C248" s="55"/>
      <c r="D248" s="55"/>
      <c r="E248" s="74" t="s">
        <v>755</v>
      </c>
      <c r="F248" s="603"/>
      <c r="G248" s="603"/>
      <c r="H248" s="182"/>
      <c r="I248" s="241"/>
      <c r="J248" s="111"/>
      <c r="K248" s="152"/>
      <c r="L248" s="152"/>
      <c r="M248" s="152"/>
      <c r="N248" s="152"/>
      <c r="O248" s="111"/>
      <c r="P248" s="60"/>
      <c r="Q248" s="152"/>
      <c r="R248" s="111"/>
      <c r="S248" s="60"/>
      <c r="T248" s="152"/>
      <c r="U248" s="111"/>
      <c r="V248" s="361"/>
      <c r="W248" s="391"/>
      <c r="X248" s="17"/>
      <c r="Y248" s="18">
        <f t="shared" si="286"/>
        <v>0</v>
      </c>
      <c r="Z248" s="19">
        <f t="shared" si="287"/>
        <v>0</v>
      </c>
      <c r="AA248" s="19"/>
      <c r="AB248" s="19"/>
      <c r="AC248" s="84"/>
      <c r="AE248" s="111"/>
      <c r="AF248" s="111"/>
      <c r="AG248" s="111"/>
      <c r="AH248" s="112"/>
      <c r="AI248" s="113"/>
      <c r="AK248" s="111"/>
      <c r="AL248" s="111"/>
      <c r="AM248" s="111"/>
      <c r="AN248" s="112"/>
      <c r="AO248" s="113"/>
      <c r="AQ248" s="111"/>
      <c r="AR248" s="111"/>
      <c r="AS248" s="111"/>
      <c r="AT248" s="545"/>
      <c r="AU248" s="131"/>
      <c r="AW248" s="111"/>
      <c r="AX248" s="111"/>
      <c r="AY248" s="111"/>
      <c r="AZ248" s="545"/>
      <c r="BA248" s="131"/>
    </row>
    <row r="249" spans="1:53" s="117" customFormat="1" ht="17.100000000000001" customHeight="1" x14ac:dyDescent="0.25">
      <c r="A249" s="68"/>
      <c r="B249" s="119"/>
      <c r="C249" s="77"/>
      <c r="D249" s="134"/>
      <c r="E249" s="134"/>
      <c r="F249" s="134"/>
      <c r="G249" s="134"/>
      <c r="H249" s="540"/>
      <c r="I249" s="229"/>
      <c r="J249" s="80"/>
      <c r="K249" s="80"/>
      <c r="L249" s="81"/>
      <c r="M249" s="81"/>
      <c r="N249" s="81"/>
      <c r="O249" s="81"/>
      <c r="P249" s="81">
        <f>SUM(P246:P248)</f>
        <v>0</v>
      </c>
      <c r="Q249" s="81"/>
      <c r="R249" s="81"/>
      <c r="S249" s="81">
        <f>SUM(S246:S248)</f>
        <v>0</v>
      </c>
      <c r="T249" s="81"/>
      <c r="U249" s="81"/>
      <c r="V249" s="81">
        <f>SUM(V246:V248)</f>
        <v>0</v>
      </c>
      <c r="W249" s="381"/>
      <c r="X249" s="82"/>
      <c r="Y249" s="82">
        <f>SUM(Y246:Y248)</f>
        <v>0</v>
      </c>
      <c r="Z249" s="66">
        <f t="shared" si="287"/>
        <v>0</v>
      </c>
      <c r="AA249" s="205"/>
      <c r="AB249" s="205"/>
      <c r="AC249" s="83"/>
      <c r="AE249" s="80"/>
      <c r="AF249" s="80"/>
      <c r="AG249" s="81"/>
      <c r="AH249" s="82"/>
      <c r="AI249" s="66"/>
      <c r="AK249" s="80"/>
      <c r="AL249" s="80"/>
      <c r="AM249" s="81"/>
      <c r="AN249" s="82"/>
      <c r="AO249" s="66"/>
      <c r="AQ249" s="80"/>
      <c r="AR249" s="80"/>
      <c r="AS249" s="81"/>
      <c r="AT249" s="82"/>
      <c r="AU249" s="66"/>
      <c r="AW249" s="80"/>
      <c r="AX249" s="80"/>
      <c r="AY249" s="81"/>
      <c r="AZ249" s="82"/>
      <c r="BA249" s="66"/>
    </row>
    <row r="250" spans="1:53" s="117" customFormat="1" ht="17.100000000000001" customHeight="1" x14ac:dyDescent="0.25">
      <c r="A250" s="68"/>
      <c r="B250" s="119"/>
      <c r="C250" s="92"/>
      <c r="D250" s="93"/>
      <c r="E250" s="93"/>
      <c r="F250" s="93"/>
      <c r="G250" s="93"/>
      <c r="H250" s="540"/>
      <c r="I250" s="12"/>
      <c r="J250" s="46"/>
      <c r="K250" s="46"/>
      <c r="L250" s="17"/>
      <c r="M250" s="17"/>
      <c r="N250" s="17"/>
      <c r="O250" s="17"/>
      <c r="P250" s="17"/>
      <c r="Q250" s="17"/>
      <c r="R250" s="17"/>
      <c r="S250" s="17"/>
      <c r="T250" s="17"/>
      <c r="U250" s="17"/>
      <c r="V250" s="359"/>
      <c r="W250" s="382"/>
      <c r="X250" s="539"/>
      <c r="Y250" s="539"/>
      <c r="Z250" s="201"/>
      <c r="AA250" s="201"/>
      <c r="AB250" s="201"/>
      <c r="AC250" s="84"/>
      <c r="AE250" s="46"/>
      <c r="AF250" s="46"/>
      <c r="AG250" s="17"/>
      <c r="AH250" s="539"/>
      <c r="AI250" s="91"/>
      <c r="AK250" s="46"/>
      <c r="AL250" s="46"/>
      <c r="AM250" s="17"/>
      <c r="AN250" s="539"/>
      <c r="AO250" s="91"/>
      <c r="AQ250" s="46"/>
      <c r="AR250" s="46"/>
      <c r="AS250" s="17"/>
      <c r="AT250" s="539"/>
      <c r="AU250" s="91"/>
      <c r="AW250" s="46"/>
      <c r="AX250" s="46"/>
      <c r="AY250" s="17"/>
      <c r="AZ250" s="539"/>
      <c r="BA250" s="91"/>
    </row>
    <row r="251" spans="1:53" ht="17.100000000000001" customHeight="1" x14ac:dyDescent="0.25">
      <c r="A251" s="40"/>
      <c r="B251" s="41" t="s">
        <v>1446</v>
      </c>
      <c r="C251" s="49" t="s">
        <v>12</v>
      </c>
      <c r="D251" s="43"/>
      <c r="E251" s="43"/>
      <c r="F251" s="43"/>
      <c r="G251" s="43"/>
      <c r="H251" s="23"/>
      <c r="I251" s="12"/>
      <c r="J251" s="73"/>
      <c r="K251" s="73"/>
      <c r="L251" s="73"/>
      <c r="M251" s="73"/>
      <c r="N251" s="73"/>
      <c r="O251" s="73"/>
      <c r="P251" s="73"/>
      <c r="Q251" s="73"/>
      <c r="R251" s="73"/>
      <c r="S251" s="73"/>
      <c r="T251" s="73"/>
      <c r="U251" s="73"/>
      <c r="V251" s="970"/>
      <c r="W251" s="971"/>
      <c r="X251" s="73"/>
      <c r="Y251" s="73"/>
      <c r="Z251" s="73"/>
      <c r="AA251" s="73"/>
      <c r="AB251" s="73"/>
      <c r="AC251" s="73"/>
      <c r="AE251" s="73"/>
      <c r="AF251" s="73"/>
      <c r="AG251" s="73"/>
      <c r="AH251" s="73"/>
      <c r="AI251" s="73"/>
      <c r="AK251" s="73"/>
      <c r="AL251" s="73"/>
      <c r="AM251" s="73"/>
      <c r="AN251" s="73"/>
      <c r="AO251" s="73"/>
      <c r="AQ251" s="73"/>
      <c r="AR251" s="73"/>
      <c r="AS251" s="73"/>
      <c r="AT251" s="73"/>
      <c r="AU251" s="73"/>
      <c r="AW251" s="73"/>
      <c r="AX251" s="73"/>
      <c r="AY251" s="73"/>
      <c r="AZ251" s="73"/>
      <c r="BA251" s="73"/>
    </row>
    <row r="252" spans="1:53" s="4" customFormat="1" ht="17.100000000000001" customHeight="1" x14ac:dyDescent="0.25">
      <c r="A252" s="137"/>
      <c r="B252" s="40"/>
      <c r="C252" s="933" t="s">
        <v>1447</v>
      </c>
      <c r="D252" s="85" t="s">
        <v>1448</v>
      </c>
      <c r="E252" s="303"/>
      <c r="F252" s="303"/>
      <c r="G252" s="303"/>
      <c r="H252" s="320"/>
      <c r="I252" s="309"/>
      <c r="J252" s="174"/>
      <c r="K252" s="174"/>
      <c r="L252" s="174"/>
      <c r="M252" s="174"/>
      <c r="N252" s="174"/>
      <c r="O252" s="174"/>
      <c r="P252" s="174"/>
      <c r="Q252" s="174"/>
      <c r="R252" s="174"/>
      <c r="S252" s="174"/>
      <c r="T252" s="174"/>
      <c r="U252" s="174"/>
      <c r="V252" s="712"/>
      <c r="W252" s="972"/>
      <c r="X252" s="174"/>
      <c r="Y252" s="174"/>
      <c r="Z252" s="113"/>
      <c r="AA252" s="113"/>
      <c r="AB252" s="113"/>
      <c r="AC252" s="113"/>
      <c r="AE252" s="174"/>
      <c r="AF252" s="174"/>
      <c r="AG252" s="932"/>
      <c r="AH252" s="113"/>
      <c r="AI252" s="113"/>
      <c r="AK252" s="174"/>
      <c r="AL252" s="174"/>
      <c r="AM252" s="932"/>
      <c r="AN252" s="113"/>
      <c r="AO252" s="113"/>
      <c r="AQ252" s="174"/>
      <c r="AR252" s="174"/>
      <c r="AS252" s="932"/>
      <c r="AT252" s="113"/>
      <c r="AU252" s="113"/>
      <c r="AW252" s="174"/>
      <c r="AX252" s="174"/>
      <c r="AY252" s="932"/>
      <c r="AZ252" s="113"/>
      <c r="BA252" s="113"/>
    </row>
    <row r="253" spans="1:53" s="4" customFormat="1" ht="17.100000000000001" customHeight="1" x14ac:dyDescent="0.25">
      <c r="A253" s="137"/>
      <c r="B253" s="40"/>
      <c r="C253" s="40"/>
      <c r="D253" s="121" t="s">
        <v>129</v>
      </c>
      <c r="E253" s="304"/>
      <c r="F253" s="304"/>
      <c r="G253" s="304"/>
      <c r="H253" s="320"/>
      <c r="I253" s="309"/>
      <c r="J253" s="161"/>
      <c r="K253" s="161"/>
      <c r="L253" s="161"/>
      <c r="M253" s="161"/>
      <c r="N253" s="161">
        <f>N231</f>
        <v>0</v>
      </c>
      <c r="O253" s="161">
        <f>O231</f>
        <v>0</v>
      </c>
      <c r="P253" s="161"/>
      <c r="Q253" s="161">
        <f>Q231</f>
        <v>0</v>
      </c>
      <c r="R253" s="161">
        <f>R231</f>
        <v>0</v>
      </c>
      <c r="S253" s="161"/>
      <c r="T253" s="161">
        <f>T231</f>
        <v>0</v>
      </c>
      <c r="U253" s="161">
        <f>U231</f>
        <v>0</v>
      </c>
      <c r="V253" s="697"/>
      <c r="W253" s="973"/>
      <c r="X253" s="161"/>
      <c r="Y253" s="161"/>
      <c r="Z253" s="125"/>
      <c r="AA253" s="125"/>
      <c r="AB253" s="125"/>
      <c r="AC253" s="125"/>
      <c r="AD253" s="97"/>
      <c r="AE253" s="161"/>
      <c r="AF253" s="161"/>
      <c r="AG253" s="129"/>
      <c r="AH253" s="125"/>
      <c r="AI253" s="125"/>
      <c r="AJ253" s="97"/>
      <c r="AK253" s="161"/>
      <c r="AL253" s="161"/>
      <c r="AM253" s="129"/>
      <c r="AN253" s="125"/>
      <c r="AO253" s="125"/>
      <c r="AP253" s="97"/>
      <c r="AQ253" s="161"/>
      <c r="AR253" s="161"/>
      <c r="AS253" s="129"/>
      <c r="AT253" s="125"/>
      <c r="AU253" s="125"/>
      <c r="AV253" s="97"/>
      <c r="AW253" s="161"/>
      <c r="AX253" s="161"/>
      <c r="AY253" s="129"/>
      <c r="AZ253" s="125"/>
      <c r="BA253" s="125"/>
    </row>
    <row r="254" spans="1:53" s="4" customFormat="1" ht="17.100000000000001" customHeight="1" x14ac:dyDescent="0.25">
      <c r="A254" s="137"/>
      <c r="B254" s="40"/>
      <c r="C254" s="40"/>
      <c r="D254" s="121" t="s">
        <v>173</v>
      </c>
      <c r="E254" s="304"/>
      <c r="F254" s="304"/>
      <c r="G254" s="304"/>
      <c r="H254" s="320"/>
      <c r="I254" s="309"/>
      <c r="J254" s="161"/>
      <c r="K254" s="161"/>
      <c r="L254" s="161"/>
      <c r="M254" s="161"/>
      <c r="N254" s="161">
        <f>N226</f>
        <v>0</v>
      </c>
      <c r="O254" s="161">
        <v>2</v>
      </c>
      <c r="P254" s="161"/>
      <c r="Q254" s="161">
        <f>Q226</f>
        <v>0</v>
      </c>
      <c r="R254" s="161">
        <f>R226</f>
        <v>0</v>
      </c>
      <c r="S254" s="161"/>
      <c r="T254" s="161">
        <f>T226</f>
        <v>0</v>
      </c>
      <c r="U254" s="161">
        <f>U226</f>
        <v>0</v>
      </c>
      <c r="V254" s="697"/>
      <c r="W254" s="973"/>
      <c r="X254" s="161"/>
      <c r="Y254" s="161"/>
      <c r="Z254" s="125"/>
      <c r="AA254" s="125"/>
      <c r="AB254" s="125"/>
      <c r="AC254" s="125"/>
      <c r="AD254" s="97"/>
      <c r="AE254" s="161"/>
      <c r="AF254" s="161"/>
      <c r="AG254" s="129"/>
      <c r="AH254" s="125"/>
      <c r="AI254" s="125"/>
      <c r="AJ254" s="97"/>
      <c r="AK254" s="161"/>
      <c r="AL254" s="161"/>
      <c r="AM254" s="129"/>
      <c r="AN254" s="125"/>
      <c r="AO254" s="125"/>
      <c r="AP254" s="97"/>
      <c r="AQ254" s="161"/>
      <c r="AR254" s="161"/>
      <c r="AS254" s="129"/>
      <c r="AT254" s="125"/>
      <c r="AU254" s="125"/>
      <c r="AV254" s="97"/>
      <c r="AW254" s="161"/>
      <c r="AX254" s="161"/>
      <c r="AY254" s="129"/>
      <c r="AZ254" s="125"/>
      <c r="BA254" s="125"/>
    </row>
    <row r="255" spans="1:53" s="4" customFormat="1" ht="17.100000000000001" customHeight="1" x14ac:dyDescent="0.25">
      <c r="A255" s="137"/>
      <c r="B255" s="40"/>
      <c r="C255" s="40"/>
      <c r="D255" s="121" t="s">
        <v>544</v>
      </c>
      <c r="E255" s="304"/>
      <c r="F255" s="304"/>
      <c r="G255" s="304"/>
      <c r="H255" s="320"/>
      <c r="I255" s="309"/>
      <c r="J255" s="161"/>
      <c r="K255" s="161"/>
      <c r="L255" s="161"/>
      <c r="M255" s="161"/>
      <c r="N255" s="161">
        <f>N227</f>
        <v>2</v>
      </c>
      <c r="O255" s="161">
        <f>O227</f>
        <v>3</v>
      </c>
      <c r="P255" s="161"/>
      <c r="Q255" s="161">
        <f>Q227</f>
        <v>0</v>
      </c>
      <c r="R255" s="161">
        <f>R227</f>
        <v>0</v>
      </c>
      <c r="S255" s="161"/>
      <c r="T255" s="161">
        <f>T227</f>
        <v>0</v>
      </c>
      <c r="U255" s="161">
        <f>U227</f>
        <v>0</v>
      </c>
      <c r="V255" s="697"/>
      <c r="W255" s="973"/>
      <c r="X255" s="161"/>
      <c r="Y255" s="161"/>
      <c r="Z255" s="125"/>
      <c r="AA255" s="125"/>
      <c r="AB255" s="125"/>
      <c r="AC255" s="125"/>
      <c r="AD255" s="97"/>
      <c r="AE255" s="161"/>
      <c r="AF255" s="161"/>
      <c r="AG255" s="129"/>
      <c r="AH255" s="125"/>
      <c r="AI255" s="125"/>
      <c r="AJ255" s="97"/>
      <c r="AK255" s="161"/>
      <c r="AL255" s="161"/>
      <c r="AM255" s="129"/>
      <c r="AN255" s="125"/>
      <c r="AO255" s="125"/>
      <c r="AP255" s="97"/>
      <c r="AQ255" s="161"/>
      <c r="AR255" s="161"/>
      <c r="AS255" s="129"/>
      <c r="AT255" s="125"/>
      <c r="AU255" s="125"/>
      <c r="AV255" s="97"/>
      <c r="AW255" s="161"/>
      <c r="AX255" s="161"/>
      <c r="AY255" s="129"/>
      <c r="AZ255" s="125"/>
      <c r="BA255" s="125"/>
    </row>
    <row r="256" spans="1:53" s="4" customFormat="1" ht="17.100000000000001" customHeight="1" x14ac:dyDescent="0.25">
      <c r="A256" s="137"/>
      <c r="B256" s="40"/>
      <c r="C256" s="40"/>
      <c r="D256" s="121" t="s">
        <v>1449</v>
      </c>
      <c r="E256" s="304"/>
      <c r="F256" s="304"/>
      <c r="G256" s="304"/>
      <c r="H256" s="320"/>
      <c r="I256" s="309"/>
      <c r="J256" s="161"/>
      <c r="K256" s="161"/>
      <c r="L256" s="161"/>
      <c r="M256" s="161"/>
      <c r="N256" s="161">
        <f>N230</f>
        <v>100000</v>
      </c>
      <c r="O256" s="161">
        <f>O230</f>
        <v>133000</v>
      </c>
      <c r="P256" s="161"/>
      <c r="Q256" s="161">
        <f>Q230</f>
        <v>0</v>
      </c>
      <c r="R256" s="161">
        <f>R230</f>
        <v>0</v>
      </c>
      <c r="S256" s="161"/>
      <c r="T256" s="161">
        <f>T230</f>
        <v>0</v>
      </c>
      <c r="U256" s="161">
        <f>U230</f>
        <v>0</v>
      </c>
      <c r="V256" s="697"/>
      <c r="W256" s="973"/>
      <c r="X256" s="161"/>
      <c r="Y256" s="161"/>
      <c r="Z256" s="125"/>
      <c r="AA256" s="125"/>
      <c r="AB256" s="125"/>
      <c r="AC256" s="125"/>
      <c r="AD256" s="97"/>
      <c r="AE256" s="161"/>
      <c r="AF256" s="161"/>
      <c r="AG256" s="129"/>
      <c r="AH256" s="125"/>
      <c r="AI256" s="125"/>
      <c r="AJ256" s="97"/>
      <c r="AK256" s="161"/>
      <c r="AL256" s="161"/>
      <c r="AM256" s="129"/>
      <c r="AN256" s="125"/>
      <c r="AO256" s="125"/>
      <c r="AP256" s="97"/>
      <c r="AQ256" s="161"/>
      <c r="AR256" s="161"/>
      <c r="AS256" s="129"/>
      <c r="AT256" s="125"/>
      <c r="AU256" s="125"/>
      <c r="AV256" s="97"/>
      <c r="AW256" s="161"/>
      <c r="AX256" s="161"/>
      <c r="AY256" s="129"/>
      <c r="AZ256" s="125"/>
      <c r="BA256" s="125"/>
    </row>
    <row r="257" spans="1:53" s="4" customFormat="1" ht="17.100000000000001" customHeight="1" x14ac:dyDescent="0.25">
      <c r="A257" s="137"/>
      <c r="B257" s="40"/>
      <c r="C257" s="40"/>
      <c r="D257" s="742"/>
      <c r="E257" s="304"/>
      <c r="F257" s="304"/>
      <c r="G257" s="304"/>
      <c r="H257" s="320"/>
      <c r="I257" s="309"/>
      <c r="J257" s="161"/>
      <c r="K257" s="161"/>
      <c r="L257" s="161"/>
      <c r="M257" s="161"/>
      <c r="N257" s="161"/>
      <c r="O257" s="161"/>
      <c r="P257" s="161"/>
      <c r="Q257" s="161"/>
      <c r="R257" s="161"/>
      <c r="S257" s="161"/>
      <c r="T257" s="161"/>
      <c r="U257" s="161"/>
      <c r="V257" s="697"/>
      <c r="W257" s="973"/>
      <c r="X257" s="161"/>
      <c r="Y257" s="161"/>
      <c r="Z257" s="125"/>
      <c r="AA257" s="125"/>
      <c r="AB257" s="125"/>
      <c r="AC257" s="125"/>
      <c r="AE257" s="161"/>
      <c r="AF257" s="161"/>
      <c r="AG257" s="123"/>
      <c r="AH257" s="125"/>
      <c r="AI257" s="125"/>
      <c r="AK257" s="161"/>
      <c r="AL257" s="161"/>
      <c r="AM257" s="123"/>
      <c r="AN257" s="125"/>
      <c r="AO257" s="125"/>
      <c r="AQ257" s="161"/>
      <c r="AR257" s="161"/>
      <c r="AS257" s="123"/>
      <c r="AT257" s="125"/>
      <c r="AU257" s="125"/>
      <c r="AW257" s="161"/>
      <c r="AX257" s="161"/>
      <c r="AY257" s="123"/>
      <c r="AZ257" s="125"/>
      <c r="BA257" s="125"/>
    </row>
    <row r="258" spans="1:53" s="4" customFormat="1" ht="17.100000000000001" customHeight="1" x14ac:dyDescent="0.25">
      <c r="A258" s="137"/>
      <c r="B258" s="40"/>
      <c r="C258" s="40">
        <v>1</v>
      </c>
      <c r="D258" s="700" t="s">
        <v>1450</v>
      </c>
      <c r="E258" s="974"/>
      <c r="F258" s="974"/>
      <c r="G258" s="974"/>
      <c r="H258" s="254"/>
      <c r="I258" s="207"/>
      <c r="J258" s="161"/>
      <c r="K258" s="161"/>
      <c r="L258" s="161"/>
      <c r="M258" s="161"/>
      <c r="N258" s="161" t="str">
        <f>IF(N$254&gt;0,0,"")</f>
        <v/>
      </c>
      <c r="O258" s="161">
        <f>IF(O$254&gt;0,0,"")</f>
        <v>0</v>
      </c>
      <c r="P258" s="161"/>
      <c r="Q258" s="161" t="str">
        <f>IF(Q$254&gt;0,0,"")</f>
        <v/>
      </c>
      <c r="R258" s="161" t="str">
        <f>IF(R$254&gt;0,0,"")</f>
        <v/>
      </c>
      <c r="S258" s="161"/>
      <c r="T258" s="161" t="str">
        <f>IF(T$254&gt;0,0,"")</f>
        <v/>
      </c>
      <c r="U258" s="161" t="str">
        <f>IF(U$254&gt;0,0,"")</f>
        <v/>
      </c>
      <c r="V258" s="697"/>
      <c r="W258" s="973"/>
      <c r="X258" s="161"/>
      <c r="Y258" s="161"/>
      <c r="Z258" s="125"/>
      <c r="AA258" s="125"/>
      <c r="AB258" s="125"/>
      <c r="AC258" s="125"/>
      <c r="AD258" s="97"/>
      <c r="AE258" s="161"/>
      <c r="AF258" s="161"/>
      <c r="AG258" s="129"/>
      <c r="AH258" s="125"/>
      <c r="AI258" s="125"/>
      <c r="AJ258" s="97"/>
      <c r="AK258" s="161"/>
      <c r="AL258" s="161"/>
      <c r="AM258" s="129"/>
      <c r="AN258" s="125"/>
      <c r="AO258" s="125"/>
      <c r="AP258" s="97"/>
      <c r="AQ258" s="161"/>
      <c r="AR258" s="161"/>
      <c r="AS258" s="129"/>
      <c r="AT258" s="125"/>
      <c r="AU258" s="125"/>
      <c r="AV258" s="97"/>
      <c r="AW258" s="161"/>
      <c r="AX258" s="161"/>
      <c r="AY258" s="129"/>
      <c r="AZ258" s="125"/>
      <c r="BA258" s="125"/>
    </row>
    <row r="259" spans="1:53" s="4" customFormat="1" ht="17.100000000000001" customHeight="1" x14ac:dyDescent="0.25">
      <c r="A259" s="137"/>
      <c r="B259" s="40"/>
      <c r="C259" s="40">
        <v>2</v>
      </c>
      <c r="D259" s="700" t="s">
        <v>1450</v>
      </c>
      <c r="E259" s="974"/>
      <c r="F259" s="974"/>
      <c r="G259" s="974"/>
      <c r="H259" s="254"/>
      <c r="I259" s="207"/>
      <c r="J259" s="161"/>
      <c r="K259" s="161"/>
      <c r="L259" s="161"/>
      <c r="M259" s="161"/>
      <c r="N259" s="161" t="str">
        <f>IF(N$254&gt;1,0,"")</f>
        <v/>
      </c>
      <c r="O259" s="161">
        <f>IF(O$254&gt;1,0,"")</f>
        <v>0</v>
      </c>
      <c r="P259" s="161"/>
      <c r="Q259" s="161" t="str">
        <f>IF(Q$254&gt;1,0,"")</f>
        <v/>
      </c>
      <c r="R259" s="161" t="str">
        <f>IF(R$254&gt;1,0,"")</f>
        <v/>
      </c>
      <c r="S259" s="161"/>
      <c r="T259" s="161" t="str">
        <f>IF(T$254&gt;1,0,"")</f>
        <v/>
      </c>
      <c r="U259" s="161" t="str">
        <f>IF(U$254&gt;1,0,"")</f>
        <v/>
      </c>
      <c r="V259" s="697"/>
      <c r="W259" s="973"/>
      <c r="X259" s="161"/>
      <c r="Y259" s="161"/>
      <c r="Z259" s="125"/>
      <c r="AA259" s="125"/>
      <c r="AB259" s="125"/>
      <c r="AC259" s="125"/>
      <c r="AE259" s="161"/>
      <c r="AF259" s="161"/>
      <c r="AG259" s="129"/>
      <c r="AH259" s="125"/>
      <c r="AI259" s="125"/>
      <c r="AK259" s="161"/>
      <c r="AL259" s="161"/>
      <c r="AM259" s="129"/>
      <c r="AN259" s="125"/>
      <c r="AO259" s="125"/>
      <c r="AQ259" s="161"/>
      <c r="AR259" s="161"/>
      <c r="AS259" s="129"/>
      <c r="AT259" s="125"/>
      <c r="AU259" s="125"/>
      <c r="AW259" s="161"/>
      <c r="AX259" s="161"/>
      <c r="AY259" s="129"/>
      <c r="AZ259" s="125"/>
      <c r="BA259" s="125"/>
    </row>
    <row r="260" spans="1:53" ht="17.100000000000001" customHeight="1" x14ac:dyDescent="0.25">
      <c r="A260" s="137"/>
      <c r="B260" s="40"/>
      <c r="C260" s="40">
        <v>3</v>
      </c>
      <c r="D260" s="700" t="s">
        <v>1450</v>
      </c>
      <c r="E260" s="122"/>
      <c r="F260" s="122"/>
      <c r="G260" s="122"/>
      <c r="H260" s="23"/>
      <c r="I260" s="12"/>
      <c r="J260" s="154"/>
      <c r="K260" s="154"/>
      <c r="L260" s="154"/>
      <c r="M260" s="154"/>
      <c r="N260" s="161" t="str">
        <f>IF(N$254&gt;2,0,"")</f>
        <v/>
      </c>
      <c r="O260" s="161" t="str">
        <f>IF(O$254&gt;2,0,"")</f>
        <v/>
      </c>
      <c r="P260" s="154"/>
      <c r="Q260" s="161" t="str">
        <f>IF(Q$254&gt;2,0,"")</f>
        <v/>
      </c>
      <c r="R260" s="161" t="str">
        <f>IF(R$254&gt;2,0,"")</f>
        <v/>
      </c>
      <c r="S260" s="154"/>
      <c r="T260" s="161" t="str">
        <f>IF(T$254&gt;2,0,"")</f>
        <v/>
      </c>
      <c r="U260" s="161" t="str">
        <f>IF(U$254&gt;2,0,"")</f>
        <v/>
      </c>
      <c r="V260" s="159"/>
      <c r="W260" s="387"/>
      <c r="X260" s="154"/>
      <c r="Y260" s="154"/>
      <c r="Z260" s="130"/>
      <c r="AA260" s="130"/>
      <c r="AB260" s="130"/>
      <c r="AC260" s="125"/>
      <c r="AE260" s="154"/>
      <c r="AF260" s="154"/>
      <c r="AG260" s="129"/>
      <c r="AH260" s="130"/>
      <c r="AI260" s="125"/>
      <c r="AK260" s="154"/>
      <c r="AL260" s="154"/>
      <c r="AM260" s="129"/>
      <c r="AN260" s="130"/>
      <c r="AO260" s="125"/>
      <c r="AQ260" s="154"/>
      <c r="AR260" s="154"/>
      <c r="AS260" s="129"/>
      <c r="AT260" s="130"/>
      <c r="AU260" s="125"/>
      <c r="AW260" s="154"/>
      <c r="AX260" s="154"/>
      <c r="AY260" s="129"/>
      <c r="AZ260" s="130"/>
      <c r="BA260" s="125"/>
    </row>
    <row r="261" spans="1:53" ht="17.100000000000001" customHeight="1" x14ac:dyDescent="0.25">
      <c r="A261" s="137"/>
      <c r="B261" s="40"/>
      <c r="C261" s="40">
        <v>4</v>
      </c>
      <c r="D261" s="700" t="s">
        <v>1450</v>
      </c>
      <c r="E261" s="122"/>
      <c r="F261" s="122"/>
      <c r="G261" s="122"/>
      <c r="H261" s="23"/>
      <c r="I261" s="12"/>
      <c r="J261" s="154"/>
      <c r="K261" s="154"/>
      <c r="L261" s="123"/>
      <c r="M261" s="123"/>
      <c r="N261" s="161" t="str">
        <f>IF(N$254&gt;3,0,"")</f>
        <v/>
      </c>
      <c r="O261" s="161" t="str">
        <f>IF(O$254&gt;3,0,"")</f>
        <v/>
      </c>
      <c r="P261" s="123"/>
      <c r="Q261" s="161" t="str">
        <f>IF(Q$254&gt;3,0,"")</f>
        <v/>
      </c>
      <c r="R261" s="161" t="str">
        <f>IF(R$254&gt;3,0,"")</f>
        <v/>
      </c>
      <c r="S261" s="123"/>
      <c r="T261" s="161" t="str">
        <f>IF(T$254&gt;3,0,"")</f>
        <v/>
      </c>
      <c r="U261" s="161" t="str">
        <f>IF(U$254&gt;3,0,"")</f>
        <v/>
      </c>
      <c r="V261" s="363"/>
      <c r="W261" s="383"/>
      <c r="X261" s="123"/>
      <c r="Y261" s="123"/>
      <c r="Z261" s="949"/>
      <c r="AA261" s="949"/>
      <c r="AB261" s="949"/>
      <c r="AC261" s="125"/>
      <c r="AE261" s="123"/>
      <c r="AF261" s="123"/>
      <c r="AG261" s="129"/>
      <c r="AH261" s="949"/>
      <c r="AI261" s="125"/>
      <c r="AK261" s="123"/>
      <c r="AL261" s="123"/>
      <c r="AM261" s="129"/>
      <c r="AN261" s="949"/>
      <c r="AO261" s="125"/>
      <c r="AQ261" s="123"/>
      <c r="AR261" s="123"/>
      <c r="AS261" s="129"/>
      <c r="AT261" s="949"/>
      <c r="AU261" s="125"/>
      <c r="AW261" s="123"/>
      <c r="AX261" s="123"/>
      <c r="AY261" s="129"/>
      <c r="AZ261" s="949"/>
      <c r="BA261" s="125"/>
    </row>
    <row r="262" spans="1:53" ht="17.100000000000001" customHeight="1" x14ac:dyDescent="0.25">
      <c r="A262" s="137"/>
      <c r="B262" s="40"/>
      <c r="C262" s="40">
        <v>5</v>
      </c>
      <c r="D262" s="700" t="s">
        <v>1450</v>
      </c>
      <c r="E262" s="122"/>
      <c r="F262" s="122"/>
      <c r="G262" s="122"/>
      <c r="H262" s="23"/>
      <c r="I262" s="12"/>
      <c r="J262" s="154"/>
      <c r="K262" s="154"/>
      <c r="L262" s="154"/>
      <c r="M262" s="154"/>
      <c r="N262" s="161" t="str">
        <f>IF(N$254&gt;4,0,"")</f>
        <v/>
      </c>
      <c r="O262" s="161" t="str">
        <f>IF(O$254&gt;4,0,"")</f>
        <v/>
      </c>
      <c r="P262" s="154"/>
      <c r="Q262" s="161" t="str">
        <f>IF(Q$254&gt;4,0,"")</f>
        <v/>
      </c>
      <c r="R262" s="161" t="str">
        <f>IF(R$254&gt;4,0,"")</f>
        <v/>
      </c>
      <c r="S262" s="154"/>
      <c r="T262" s="161" t="str">
        <f>IF(T$254&gt;4,0,"")</f>
        <v/>
      </c>
      <c r="U262" s="161" t="str">
        <f>IF(U$254&gt;4,0,"")</f>
        <v/>
      </c>
      <c r="V262" s="159"/>
      <c r="W262" s="387"/>
      <c r="X262" s="154"/>
      <c r="Y262" s="154"/>
      <c r="Z262" s="130"/>
      <c r="AA262" s="130"/>
      <c r="AB262" s="130"/>
      <c r="AC262" s="125"/>
      <c r="AE262" s="154"/>
      <c r="AF262" s="154"/>
      <c r="AG262" s="129"/>
      <c r="AH262" s="130"/>
      <c r="AI262" s="125"/>
      <c r="AK262" s="154"/>
      <c r="AL262" s="154"/>
      <c r="AM262" s="129"/>
      <c r="AN262" s="130"/>
      <c r="AO262" s="125"/>
      <c r="AQ262" s="154"/>
      <c r="AR262" s="154"/>
      <c r="AS262" s="129"/>
      <c r="AT262" s="130"/>
      <c r="AU262" s="125"/>
      <c r="AW262" s="154"/>
      <c r="AX262" s="154"/>
      <c r="AY262" s="129"/>
      <c r="AZ262" s="130"/>
      <c r="BA262" s="125"/>
    </row>
    <row r="263" spans="1:53" ht="17.100000000000001" customHeight="1" x14ac:dyDescent="0.25">
      <c r="A263" s="137"/>
      <c r="B263" s="40"/>
      <c r="C263" s="40">
        <v>6</v>
      </c>
      <c r="D263" s="700" t="s">
        <v>1450</v>
      </c>
      <c r="E263" s="122"/>
      <c r="F263" s="122"/>
      <c r="G263" s="122"/>
      <c r="H263" s="23"/>
      <c r="I263" s="12"/>
      <c r="J263" s="154"/>
      <c r="K263" s="154"/>
      <c r="L263" s="154"/>
      <c r="M263" s="154"/>
      <c r="N263" s="161" t="str">
        <f>IF(N$254&gt;5,0,"")</f>
        <v/>
      </c>
      <c r="O263" s="161" t="str">
        <f>IF(O$254&gt;5,0,"")</f>
        <v/>
      </c>
      <c r="P263" s="154"/>
      <c r="Q263" s="161" t="str">
        <f>IF(Q$254&gt;5,0,"")</f>
        <v/>
      </c>
      <c r="R263" s="161" t="str">
        <f>IF(R$254&gt;5,0,"")</f>
        <v/>
      </c>
      <c r="S263" s="154"/>
      <c r="T263" s="161" t="str">
        <f>IF(T$254&gt;5,0,"")</f>
        <v/>
      </c>
      <c r="U263" s="161" t="str">
        <f>IF(U$254&gt;5,0,"")</f>
        <v/>
      </c>
      <c r="V263" s="159"/>
      <c r="W263" s="387"/>
      <c r="X263" s="154"/>
      <c r="Y263" s="154"/>
      <c r="Z263" s="130"/>
      <c r="AA263" s="130"/>
      <c r="AB263" s="130"/>
      <c r="AC263" s="125"/>
      <c r="AE263" s="154"/>
      <c r="AF263" s="154"/>
      <c r="AG263" s="129"/>
      <c r="AH263" s="130"/>
      <c r="AI263" s="125"/>
      <c r="AK263" s="154"/>
      <c r="AL263" s="154"/>
      <c r="AM263" s="129"/>
      <c r="AN263" s="130"/>
      <c r="AO263" s="125"/>
      <c r="AQ263" s="154"/>
      <c r="AR263" s="154"/>
      <c r="AS263" s="129"/>
      <c r="AT263" s="130"/>
      <c r="AU263" s="125"/>
      <c r="AW263" s="154"/>
      <c r="AX263" s="154"/>
      <c r="AY263" s="129"/>
      <c r="AZ263" s="130"/>
      <c r="BA263" s="125"/>
    </row>
    <row r="264" spans="1:53" ht="17.100000000000001" customHeight="1" x14ac:dyDescent="0.25">
      <c r="A264" s="137"/>
      <c r="B264" s="40"/>
      <c r="C264" s="40">
        <v>7</v>
      </c>
      <c r="D264" s="700" t="s">
        <v>1450</v>
      </c>
      <c r="E264" s="122"/>
      <c r="F264" s="122"/>
      <c r="G264" s="122"/>
      <c r="H264" s="23"/>
      <c r="I264" s="12"/>
      <c r="J264" s="154"/>
      <c r="K264" s="154"/>
      <c r="L264" s="154"/>
      <c r="M264" s="154"/>
      <c r="N264" s="161" t="str">
        <f>IF(N$254&gt;6,0,"")</f>
        <v/>
      </c>
      <c r="O264" s="161" t="str">
        <f>IF(O$254&gt;6,0,"")</f>
        <v/>
      </c>
      <c r="P264" s="154"/>
      <c r="Q264" s="161" t="str">
        <f>IF(Q$254&gt;6,0,"")</f>
        <v/>
      </c>
      <c r="R264" s="161" t="str">
        <f>IF(R$254&gt;6,0,"")</f>
        <v/>
      </c>
      <c r="S264" s="154"/>
      <c r="T264" s="161" t="str">
        <f>IF(T$254&gt;6,0,"")</f>
        <v/>
      </c>
      <c r="U264" s="161" t="str">
        <f>IF(U$254&gt;6,0,"")</f>
        <v/>
      </c>
      <c r="V264" s="159"/>
      <c r="W264" s="387"/>
      <c r="X264" s="154"/>
      <c r="Y264" s="154"/>
      <c r="Z264" s="130"/>
      <c r="AA264" s="130"/>
      <c r="AB264" s="130"/>
      <c r="AC264" s="125"/>
      <c r="AE264" s="154"/>
      <c r="AF264" s="154"/>
      <c r="AG264" s="129"/>
      <c r="AH264" s="130"/>
      <c r="AI264" s="125"/>
      <c r="AK264" s="154"/>
      <c r="AL264" s="154"/>
      <c r="AM264" s="129"/>
      <c r="AN264" s="130"/>
      <c r="AO264" s="125"/>
      <c r="AQ264" s="154"/>
      <c r="AR264" s="154"/>
      <c r="AS264" s="129"/>
      <c r="AT264" s="130"/>
      <c r="AU264" s="125"/>
      <c r="AW264" s="154"/>
      <c r="AX264" s="154"/>
      <c r="AY264" s="129"/>
      <c r="AZ264" s="130"/>
      <c r="BA264" s="125"/>
    </row>
    <row r="265" spans="1:53" ht="17.100000000000001" customHeight="1" x14ac:dyDescent="0.25">
      <c r="A265" s="137"/>
      <c r="B265" s="40"/>
      <c r="C265" s="40">
        <v>8</v>
      </c>
      <c r="D265" s="700" t="s">
        <v>1450</v>
      </c>
      <c r="E265" s="122"/>
      <c r="F265" s="122"/>
      <c r="G265" s="122"/>
      <c r="H265" s="23"/>
      <c r="I265" s="12"/>
      <c r="J265" s="154"/>
      <c r="K265" s="154"/>
      <c r="L265" s="154"/>
      <c r="M265" s="154"/>
      <c r="N265" s="161" t="str">
        <f>IF(N$254&gt;7,0,"")</f>
        <v/>
      </c>
      <c r="O265" s="161" t="str">
        <f>IF(O$254&gt;7,0,"")</f>
        <v/>
      </c>
      <c r="P265" s="154"/>
      <c r="Q265" s="161" t="str">
        <f>IF(Q$254&gt;7,0,"")</f>
        <v/>
      </c>
      <c r="R265" s="161" t="str">
        <f>IF(R$254&gt;7,0,"")</f>
        <v/>
      </c>
      <c r="S265" s="154"/>
      <c r="T265" s="161" t="str">
        <f>IF(T$254&gt;7,0,"")</f>
        <v/>
      </c>
      <c r="U265" s="161" t="str">
        <f>IF(U$254&gt;7,0,"")</f>
        <v/>
      </c>
      <c r="V265" s="159"/>
      <c r="W265" s="387"/>
      <c r="X265" s="154"/>
      <c r="Y265" s="154"/>
      <c r="Z265" s="130"/>
      <c r="AA265" s="130"/>
      <c r="AB265" s="130"/>
      <c r="AC265" s="125"/>
      <c r="AE265" s="154"/>
      <c r="AF265" s="154"/>
      <c r="AG265" s="129"/>
      <c r="AH265" s="130"/>
      <c r="AI265" s="125"/>
      <c r="AK265" s="154"/>
      <c r="AL265" s="154"/>
      <c r="AM265" s="129"/>
      <c r="AN265" s="130"/>
      <c r="AO265" s="125"/>
      <c r="AQ265" s="154"/>
      <c r="AR265" s="154"/>
      <c r="AS265" s="129"/>
      <c r="AT265" s="130"/>
      <c r="AU265" s="125"/>
      <c r="AW265" s="154"/>
      <c r="AX265" s="154"/>
      <c r="AY265" s="129"/>
      <c r="AZ265" s="130"/>
      <c r="BA265" s="125"/>
    </row>
    <row r="266" spans="1:53" ht="17.100000000000001" customHeight="1" x14ac:dyDescent="0.25">
      <c r="A266" s="137"/>
      <c r="B266" s="40"/>
      <c r="C266" s="40">
        <v>9</v>
      </c>
      <c r="D266" s="700" t="s">
        <v>1450</v>
      </c>
      <c r="E266" s="122"/>
      <c r="F266" s="122"/>
      <c r="G266" s="122"/>
      <c r="H266" s="23"/>
      <c r="I266" s="12"/>
      <c r="J266" s="154"/>
      <c r="K266" s="154"/>
      <c r="L266" s="154"/>
      <c r="M266" s="154"/>
      <c r="N266" s="161" t="str">
        <f>IF(N$254&gt;8,0,"")</f>
        <v/>
      </c>
      <c r="O266" s="161" t="str">
        <f>IF(O$254&gt;8,0,"")</f>
        <v/>
      </c>
      <c r="P266" s="154"/>
      <c r="Q266" s="161" t="str">
        <f>IF(Q$254&gt;8,0,"")</f>
        <v/>
      </c>
      <c r="R266" s="161" t="str">
        <f>IF(R$254&gt;8,0,"")</f>
        <v/>
      </c>
      <c r="S266" s="154"/>
      <c r="T266" s="161" t="str">
        <f>IF(T$254&gt;8,0,"")</f>
        <v/>
      </c>
      <c r="U266" s="161" t="str">
        <f>IF(U$254&gt;8,0,"")</f>
        <v/>
      </c>
      <c r="V266" s="159"/>
      <c r="W266" s="387"/>
      <c r="X266" s="154"/>
      <c r="Y266" s="154"/>
      <c r="Z266" s="130"/>
      <c r="AA266" s="130"/>
      <c r="AB266" s="130"/>
      <c r="AC266" s="125"/>
      <c r="AE266" s="154"/>
      <c r="AF266" s="154"/>
      <c r="AG266" s="129"/>
      <c r="AH266" s="130"/>
      <c r="AI266" s="125"/>
      <c r="AK266" s="154"/>
      <c r="AL266" s="154"/>
      <c r="AM266" s="129"/>
      <c r="AN266" s="130"/>
      <c r="AO266" s="125"/>
      <c r="AQ266" s="154"/>
      <c r="AR266" s="154"/>
      <c r="AS266" s="129"/>
      <c r="AT266" s="130"/>
      <c r="AU266" s="125"/>
      <c r="AW266" s="154"/>
      <c r="AX266" s="154"/>
      <c r="AY266" s="129"/>
      <c r="AZ266" s="130"/>
      <c r="BA266" s="125"/>
    </row>
    <row r="267" spans="1:53" ht="17.100000000000001" customHeight="1" x14ac:dyDescent="0.25">
      <c r="A267" s="137"/>
      <c r="B267" s="40"/>
      <c r="C267" s="40">
        <v>10</v>
      </c>
      <c r="D267" s="700" t="s">
        <v>1450</v>
      </c>
      <c r="E267" s="122"/>
      <c r="F267" s="122"/>
      <c r="G267" s="122"/>
      <c r="H267" s="23"/>
      <c r="I267" s="12"/>
      <c r="J267" s="154"/>
      <c r="K267" s="154"/>
      <c r="L267" s="154"/>
      <c r="M267" s="154"/>
      <c r="N267" s="161" t="str">
        <f>IF(N$254&gt;9,0,"")</f>
        <v/>
      </c>
      <c r="O267" s="161" t="str">
        <f>IF(O$254&gt;9,0,"")</f>
        <v/>
      </c>
      <c r="P267" s="154"/>
      <c r="Q267" s="161" t="str">
        <f>IF(Q$254&gt;9,0,"")</f>
        <v/>
      </c>
      <c r="R267" s="161" t="str">
        <f>IF(R$254&gt;9,0,"")</f>
        <v/>
      </c>
      <c r="S267" s="154"/>
      <c r="T267" s="161" t="str">
        <f>IF(T$254&gt;9,0,"")</f>
        <v/>
      </c>
      <c r="U267" s="161" t="str">
        <f>IF(U$254&gt;9,0,"")</f>
        <v/>
      </c>
      <c r="V267" s="159"/>
      <c r="W267" s="387"/>
      <c r="X267" s="154"/>
      <c r="Y267" s="154"/>
      <c r="Z267" s="130"/>
      <c r="AA267" s="130"/>
      <c r="AB267" s="130"/>
      <c r="AC267" s="125"/>
      <c r="AE267" s="154"/>
      <c r="AF267" s="154"/>
      <c r="AG267" s="129"/>
      <c r="AH267" s="130"/>
      <c r="AI267" s="125"/>
      <c r="AK267" s="154"/>
      <c r="AL267" s="154"/>
      <c r="AM267" s="129"/>
      <c r="AN267" s="130"/>
      <c r="AO267" s="125"/>
      <c r="AQ267" s="154"/>
      <c r="AR267" s="154"/>
      <c r="AS267" s="129"/>
      <c r="AT267" s="130"/>
      <c r="AU267" s="125"/>
      <c r="AW267" s="154"/>
      <c r="AX267" s="154"/>
      <c r="AY267" s="129"/>
      <c r="AZ267" s="130"/>
      <c r="BA267" s="125"/>
    </row>
    <row r="268" spans="1:53" ht="17.100000000000001" customHeight="1" x14ac:dyDescent="0.25">
      <c r="A268" s="137"/>
      <c r="B268" s="40"/>
      <c r="C268" s="40">
        <v>1</v>
      </c>
      <c r="D268" s="128" t="s">
        <v>1449</v>
      </c>
      <c r="E268" s="122"/>
      <c r="F268" s="122"/>
      <c r="G268" s="122"/>
      <c r="H268" s="23"/>
      <c r="I268" s="12"/>
      <c r="J268" s="154"/>
      <c r="K268" s="154"/>
      <c r="L268" s="154"/>
      <c r="M268" s="154"/>
      <c r="N268" s="161">
        <f>IF(N$255&gt;0,N$256,"")</f>
        <v>100000</v>
      </c>
      <c r="O268" s="161">
        <f>IF(O$255&gt;0,O$256,"")</f>
        <v>133000</v>
      </c>
      <c r="P268" s="154"/>
      <c r="Q268" s="161" t="str">
        <f>IF(Q$255&gt;0,Q$256,"")</f>
        <v/>
      </c>
      <c r="R268" s="161" t="str">
        <f>IF(R$255&gt;0,R$256,"")</f>
        <v/>
      </c>
      <c r="S268" s="154"/>
      <c r="T268" s="161" t="str">
        <f>IF(T$255&gt;0,T$256,"")</f>
        <v/>
      </c>
      <c r="U268" s="161" t="str">
        <f>IF(U$255&gt;0,U$256,"")</f>
        <v/>
      </c>
      <c r="V268" s="159"/>
      <c r="W268" s="387"/>
      <c r="X268" s="154"/>
      <c r="Y268" s="154"/>
      <c r="Z268" s="130"/>
      <c r="AA268" s="130"/>
      <c r="AB268" s="130"/>
      <c r="AC268" s="125"/>
      <c r="AE268" s="154"/>
      <c r="AF268" s="154"/>
      <c r="AG268" s="129"/>
      <c r="AH268" s="130"/>
      <c r="AI268" s="125"/>
      <c r="AK268" s="154"/>
      <c r="AL268" s="154"/>
      <c r="AM268" s="129"/>
      <c r="AN268" s="130"/>
      <c r="AO268" s="125"/>
      <c r="AQ268" s="154"/>
      <c r="AR268" s="154"/>
      <c r="AS268" s="129"/>
      <c r="AT268" s="130"/>
      <c r="AU268" s="125"/>
      <c r="AW268" s="154"/>
      <c r="AX268" s="154"/>
      <c r="AY268" s="129"/>
      <c r="AZ268" s="130"/>
      <c r="BA268" s="125"/>
    </row>
    <row r="269" spans="1:53" ht="17.100000000000001" customHeight="1" x14ac:dyDescent="0.25">
      <c r="A269" s="137"/>
      <c r="B269" s="40"/>
      <c r="C269" s="40">
        <v>2</v>
      </c>
      <c r="D269" s="128" t="s">
        <v>1449</v>
      </c>
      <c r="E269" s="122"/>
      <c r="F269" s="122"/>
      <c r="G269" s="122"/>
      <c r="H269" s="23"/>
      <c r="I269" s="12"/>
      <c r="J269" s="154"/>
      <c r="K269" s="154"/>
      <c r="L269" s="154"/>
      <c r="M269" s="154"/>
      <c r="N269" s="161">
        <f>IF(N$255&gt;1,N$256,"")</f>
        <v>100000</v>
      </c>
      <c r="O269" s="161">
        <f>IF(O$255&gt;1,O$256,"")</f>
        <v>133000</v>
      </c>
      <c r="P269" s="154"/>
      <c r="Q269" s="161" t="str">
        <f>IF(Q$255&gt;1,Q$256,"")</f>
        <v/>
      </c>
      <c r="R269" s="161" t="str">
        <f>IF(R$255&gt;1,R$256,"")</f>
        <v/>
      </c>
      <c r="S269" s="154"/>
      <c r="T269" s="161" t="str">
        <f>IF(T$255&gt;1,T$256,"")</f>
        <v/>
      </c>
      <c r="U269" s="161" t="str">
        <f>IF(U$255&gt;1,U$256,"")</f>
        <v/>
      </c>
      <c r="V269" s="159"/>
      <c r="W269" s="387"/>
      <c r="X269" s="154"/>
      <c r="Y269" s="154"/>
      <c r="Z269" s="130"/>
      <c r="AA269" s="130"/>
      <c r="AB269" s="130"/>
      <c r="AC269" s="125"/>
      <c r="AE269" s="154"/>
      <c r="AF269" s="154"/>
      <c r="AG269" s="129"/>
      <c r="AH269" s="130"/>
      <c r="AI269" s="125"/>
      <c r="AK269" s="154"/>
      <c r="AL269" s="154"/>
      <c r="AM269" s="129"/>
      <c r="AN269" s="130"/>
      <c r="AO269" s="125"/>
      <c r="AQ269" s="154"/>
      <c r="AR269" s="154"/>
      <c r="AS269" s="129"/>
      <c r="AT269" s="130"/>
      <c r="AU269" s="125"/>
      <c r="AW269" s="154"/>
      <c r="AX269" s="154"/>
      <c r="AY269" s="129"/>
      <c r="AZ269" s="130"/>
      <c r="BA269" s="125"/>
    </row>
    <row r="270" spans="1:53" ht="17.100000000000001" customHeight="1" x14ac:dyDescent="0.25">
      <c r="A270" s="137"/>
      <c r="B270" s="40"/>
      <c r="C270" s="40">
        <v>3</v>
      </c>
      <c r="D270" s="128" t="s">
        <v>1449</v>
      </c>
      <c r="E270" s="122"/>
      <c r="F270" s="122"/>
      <c r="G270" s="122"/>
      <c r="H270" s="23"/>
      <c r="I270" s="12"/>
      <c r="J270" s="154"/>
      <c r="K270" s="154"/>
      <c r="L270" s="154"/>
      <c r="M270" s="154"/>
      <c r="N270" s="161" t="str">
        <f>IF(N$255&gt;2,N$256,"")</f>
        <v/>
      </c>
      <c r="O270" s="161">
        <f>IF(O$255&gt;2,O$256,"")</f>
        <v>133000</v>
      </c>
      <c r="P270" s="154"/>
      <c r="Q270" s="161" t="str">
        <f>IF(Q$255&gt;2,Q$256,"")</f>
        <v/>
      </c>
      <c r="R270" s="161" t="str">
        <f>IF(R$255&gt;2,R$256,"")</f>
        <v/>
      </c>
      <c r="S270" s="154"/>
      <c r="T270" s="161" t="str">
        <f>IF(T$255&gt;2,T$256,"")</f>
        <v/>
      </c>
      <c r="U270" s="161" t="str">
        <f>IF(U$255&gt;2,U$256,"")</f>
        <v/>
      </c>
      <c r="V270" s="159"/>
      <c r="W270" s="387"/>
      <c r="X270" s="154"/>
      <c r="Y270" s="154"/>
      <c r="Z270" s="130"/>
      <c r="AA270" s="130"/>
      <c r="AB270" s="130"/>
      <c r="AC270" s="125"/>
      <c r="AE270" s="154"/>
      <c r="AF270" s="154"/>
      <c r="AG270" s="129"/>
      <c r="AH270" s="130"/>
      <c r="AI270" s="125"/>
      <c r="AK270" s="154"/>
      <c r="AL270" s="154"/>
      <c r="AM270" s="129"/>
      <c r="AN270" s="130"/>
      <c r="AO270" s="125"/>
      <c r="AQ270" s="154"/>
      <c r="AR270" s="154"/>
      <c r="AS270" s="129"/>
      <c r="AT270" s="130"/>
      <c r="AU270" s="125"/>
      <c r="AW270" s="154"/>
      <c r="AX270" s="154"/>
      <c r="AY270" s="129"/>
      <c r="AZ270" s="130"/>
      <c r="BA270" s="125"/>
    </row>
    <row r="271" spans="1:53" ht="17.100000000000001" customHeight="1" x14ac:dyDescent="0.25">
      <c r="A271" s="137"/>
      <c r="B271" s="40"/>
      <c r="C271" s="40">
        <v>4</v>
      </c>
      <c r="D271" s="128" t="s">
        <v>1449</v>
      </c>
      <c r="E271" s="122"/>
      <c r="F271" s="122"/>
      <c r="G271" s="122"/>
      <c r="H271" s="23"/>
      <c r="I271" s="12"/>
      <c r="J271" s="154"/>
      <c r="K271" s="154"/>
      <c r="L271" s="154"/>
      <c r="M271" s="154"/>
      <c r="N271" s="161" t="str">
        <f>IF(N$255&gt;3,N$256,"")</f>
        <v/>
      </c>
      <c r="O271" s="161" t="str">
        <f>IF(O$255&gt;3,O$256,"")</f>
        <v/>
      </c>
      <c r="P271" s="154"/>
      <c r="Q271" s="161" t="str">
        <f>IF(Q$255&gt;3,Q$256,"")</f>
        <v/>
      </c>
      <c r="R271" s="161" t="str">
        <f>IF(R$255&gt;3,R$256,"")</f>
        <v/>
      </c>
      <c r="S271" s="154"/>
      <c r="T271" s="161" t="str">
        <f>IF(T$255&gt;3,T$256,"")</f>
        <v/>
      </c>
      <c r="U271" s="161" t="str">
        <f>IF(U$255&gt;3,U$256,"")</f>
        <v/>
      </c>
      <c r="V271" s="159"/>
      <c r="W271" s="387"/>
      <c r="X271" s="154"/>
      <c r="Y271" s="154"/>
      <c r="Z271" s="130"/>
      <c r="AA271" s="130"/>
      <c r="AB271" s="130"/>
      <c r="AC271" s="125"/>
      <c r="AE271" s="154"/>
      <c r="AF271" s="154"/>
      <c r="AG271" s="129"/>
      <c r="AH271" s="130"/>
      <c r="AI271" s="125"/>
      <c r="AK271" s="154"/>
      <c r="AL271" s="154"/>
      <c r="AM271" s="129"/>
      <c r="AN271" s="130"/>
      <c r="AO271" s="125"/>
      <c r="AQ271" s="154"/>
      <c r="AR271" s="154"/>
      <c r="AS271" s="129"/>
      <c r="AT271" s="130"/>
      <c r="AU271" s="125"/>
      <c r="AW271" s="154"/>
      <c r="AX271" s="154"/>
      <c r="AY271" s="129"/>
      <c r="AZ271" s="130"/>
      <c r="BA271" s="125"/>
    </row>
    <row r="272" spans="1:53" ht="17.100000000000001" customHeight="1" x14ac:dyDescent="0.25">
      <c r="A272" s="137"/>
      <c r="B272" s="40"/>
      <c r="C272" s="40">
        <v>5</v>
      </c>
      <c r="D272" s="128" t="s">
        <v>1449</v>
      </c>
      <c r="E272" s="122"/>
      <c r="F272" s="122"/>
      <c r="G272" s="122"/>
      <c r="H272" s="23"/>
      <c r="I272" s="12"/>
      <c r="J272" s="154"/>
      <c r="K272" s="154"/>
      <c r="L272" s="154"/>
      <c r="M272" s="154"/>
      <c r="N272" s="161" t="str">
        <f>IF(N$255&gt;4,N$256,"")</f>
        <v/>
      </c>
      <c r="O272" s="161" t="str">
        <f>IF(O$255&gt;4,O$256,"")</f>
        <v/>
      </c>
      <c r="P272" s="154"/>
      <c r="Q272" s="161" t="str">
        <f>IF(Q$255&gt;4,Q$256,"")</f>
        <v/>
      </c>
      <c r="R272" s="161" t="str">
        <f>IF(R$255&gt;4,R$256,"")</f>
        <v/>
      </c>
      <c r="S272" s="154"/>
      <c r="T272" s="161" t="str">
        <f>IF(T$255&gt;4,T$256,"")</f>
        <v/>
      </c>
      <c r="U272" s="161" t="str">
        <f>IF(U$255&gt;4,U$256,"")</f>
        <v/>
      </c>
      <c r="V272" s="159"/>
      <c r="W272" s="387"/>
      <c r="X272" s="154"/>
      <c r="Y272" s="154"/>
      <c r="Z272" s="130"/>
      <c r="AA272" s="130"/>
      <c r="AB272" s="130"/>
      <c r="AC272" s="125"/>
      <c r="AE272" s="154"/>
      <c r="AF272" s="154"/>
      <c r="AG272" s="129"/>
      <c r="AH272" s="130"/>
      <c r="AI272" s="125"/>
      <c r="AK272" s="154"/>
      <c r="AL272" s="154"/>
      <c r="AM272" s="129"/>
      <c r="AN272" s="130"/>
      <c r="AO272" s="125"/>
      <c r="AQ272" s="154"/>
      <c r="AR272" s="154"/>
      <c r="AS272" s="129"/>
      <c r="AT272" s="130"/>
      <c r="AU272" s="125"/>
      <c r="AW272" s="154"/>
      <c r="AX272" s="154"/>
      <c r="AY272" s="129"/>
      <c r="AZ272" s="130"/>
      <c r="BA272" s="125"/>
    </row>
    <row r="273" spans="1:53" ht="17.100000000000001" customHeight="1" x14ac:dyDescent="0.25">
      <c r="A273" s="137"/>
      <c r="B273" s="40"/>
      <c r="C273" s="40">
        <v>6</v>
      </c>
      <c r="D273" s="128" t="s">
        <v>1449</v>
      </c>
      <c r="E273" s="122"/>
      <c r="F273" s="122"/>
      <c r="G273" s="122"/>
      <c r="H273" s="23"/>
      <c r="I273" s="12"/>
      <c r="J273" s="154"/>
      <c r="K273" s="154"/>
      <c r="L273" s="154"/>
      <c r="M273" s="154"/>
      <c r="N273" s="161" t="str">
        <f>IF(N$255&gt;5,N$256,"")</f>
        <v/>
      </c>
      <c r="O273" s="161" t="str">
        <f>IF(O$255&gt;5,O$256,"")</f>
        <v/>
      </c>
      <c r="P273" s="154"/>
      <c r="Q273" s="161" t="str">
        <f>IF(Q$255&gt;5,Q$256,"")</f>
        <v/>
      </c>
      <c r="R273" s="161" t="str">
        <f>IF(R$255&gt;5,R$256,"")</f>
        <v/>
      </c>
      <c r="S273" s="154"/>
      <c r="T273" s="161" t="str">
        <f>IF(T$255&gt;5,T$256,"")</f>
        <v/>
      </c>
      <c r="U273" s="161" t="str">
        <f>IF(U$255&gt;5,U$256,"")</f>
        <v/>
      </c>
      <c r="V273" s="159"/>
      <c r="W273" s="387"/>
      <c r="X273" s="154"/>
      <c r="Y273" s="154"/>
      <c r="Z273" s="130"/>
      <c r="AA273" s="130"/>
      <c r="AB273" s="130"/>
      <c r="AC273" s="125"/>
      <c r="AE273" s="154"/>
      <c r="AF273" s="154"/>
      <c r="AG273" s="129"/>
      <c r="AH273" s="130"/>
      <c r="AI273" s="125"/>
      <c r="AK273" s="154"/>
      <c r="AL273" s="154"/>
      <c r="AM273" s="129"/>
      <c r="AN273" s="130"/>
      <c r="AO273" s="125"/>
      <c r="AQ273" s="154"/>
      <c r="AR273" s="154"/>
      <c r="AS273" s="129"/>
      <c r="AT273" s="130"/>
      <c r="AU273" s="125"/>
      <c r="AW273" s="154"/>
      <c r="AX273" s="154"/>
      <c r="AY273" s="129"/>
      <c r="AZ273" s="130"/>
      <c r="BA273" s="125"/>
    </row>
    <row r="274" spans="1:53" ht="17.100000000000001" customHeight="1" x14ac:dyDescent="0.25">
      <c r="A274" s="137"/>
      <c r="B274" s="40"/>
      <c r="C274" s="40">
        <v>7</v>
      </c>
      <c r="D274" s="128" t="s">
        <v>1449</v>
      </c>
      <c r="E274" s="122"/>
      <c r="F274" s="122"/>
      <c r="G274" s="122"/>
      <c r="H274" s="23"/>
      <c r="I274" s="12"/>
      <c r="J274" s="154"/>
      <c r="K274" s="154"/>
      <c r="L274" s="154"/>
      <c r="M274" s="154"/>
      <c r="N274" s="161" t="str">
        <f>IF(N$255&gt;6,N$256,"")</f>
        <v/>
      </c>
      <c r="O274" s="161" t="str">
        <f>IF(O$255&gt;6,O$256,"")</f>
        <v/>
      </c>
      <c r="P274" s="154"/>
      <c r="Q274" s="161" t="str">
        <f>IF(Q$255&gt;6,Q$256,"")</f>
        <v/>
      </c>
      <c r="R274" s="161" t="str">
        <f>IF(R$255&gt;6,R$256,"")</f>
        <v/>
      </c>
      <c r="S274" s="154"/>
      <c r="T274" s="161" t="str">
        <f>IF(T$255&gt;6,T$256,"")</f>
        <v/>
      </c>
      <c r="U274" s="161" t="str">
        <f>IF(U$255&gt;6,U$256,"")</f>
        <v/>
      </c>
      <c r="V274" s="159"/>
      <c r="W274" s="387"/>
      <c r="X274" s="154"/>
      <c r="Y274" s="154"/>
      <c r="Z274" s="130"/>
      <c r="AA274" s="130"/>
      <c r="AB274" s="130"/>
      <c r="AC274" s="125"/>
      <c r="AE274" s="154"/>
      <c r="AF274" s="154"/>
      <c r="AG274" s="129"/>
      <c r="AH274" s="130"/>
      <c r="AI274" s="125"/>
      <c r="AK274" s="154"/>
      <c r="AL274" s="154"/>
      <c r="AM274" s="129"/>
      <c r="AN274" s="130"/>
      <c r="AO274" s="125"/>
      <c r="AQ274" s="154"/>
      <c r="AR274" s="154"/>
      <c r="AS274" s="129"/>
      <c r="AT274" s="130"/>
      <c r="AU274" s="125"/>
      <c r="AW274" s="154"/>
      <c r="AX274" s="154"/>
      <c r="AY274" s="129"/>
      <c r="AZ274" s="130"/>
      <c r="BA274" s="125"/>
    </row>
    <row r="275" spans="1:53" ht="17.100000000000001" customHeight="1" x14ac:dyDescent="0.25">
      <c r="A275" s="137"/>
      <c r="B275" s="40"/>
      <c r="C275" s="40">
        <v>8</v>
      </c>
      <c r="D275" s="128" t="s">
        <v>1449</v>
      </c>
      <c r="E275" s="122"/>
      <c r="F275" s="122"/>
      <c r="G275" s="122"/>
      <c r="H275" s="23"/>
      <c r="I275" s="12"/>
      <c r="J275" s="154"/>
      <c r="K275" s="154"/>
      <c r="L275" s="154"/>
      <c r="M275" s="154"/>
      <c r="N275" s="161" t="str">
        <f>IF(N$255&gt;7,N$256,"")</f>
        <v/>
      </c>
      <c r="O275" s="161" t="str">
        <f>IF(O$255&gt;7,O$256,"")</f>
        <v/>
      </c>
      <c r="P275" s="154"/>
      <c r="Q275" s="161" t="str">
        <f>IF(Q$255&gt;7,Q$256,"")</f>
        <v/>
      </c>
      <c r="R275" s="161" t="str">
        <f>IF(R$255&gt;7,R$256,"")</f>
        <v/>
      </c>
      <c r="S275" s="154"/>
      <c r="T275" s="161" t="str">
        <f>IF(T$255&gt;7,T$256,"")</f>
        <v/>
      </c>
      <c r="U275" s="161" t="str">
        <f>IF(U$255&gt;7,U$256,"")</f>
        <v/>
      </c>
      <c r="V275" s="159"/>
      <c r="W275" s="387"/>
      <c r="X275" s="154"/>
      <c r="Y275" s="154"/>
      <c r="Z275" s="130"/>
      <c r="AA275" s="130"/>
      <c r="AB275" s="130"/>
      <c r="AC275" s="125"/>
      <c r="AE275" s="154"/>
      <c r="AF275" s="154"/>
      <c r="AG275" s="129"/>
      <c r="AH275" s="130"/>
      <c r="AI275" s="125"/>
      <c r="AK275" s="154"/>
      <c r="AL275" s="154"/>
      <c r="AM275" s="129"/>
      <c r="AN275" s="130"/>
      <c r="AO275" s="125"/>
      <c r="AQ275" s="154"/>
      <c r="AR275" s="154"/>
      <c r="AS275" s="129"/>
      <c r="AT275" s="130"/>
      <c r="AU275" s="125"/>
      <c r="AW275" s="154"/>
      <c r="AX275" s="154"/>
      <c r="AY275" s="129"/>
      <c r="AZ275" s="130"/>
      <c r="BA275" s="125"/>
    </row>
    <row r="276" spans="1:53" ht="17.100000000000001" customHeight="1" x14ac:dyDescent="0.25">
      <c r="A276" s="137"/>
      <c r="B276" s="40"/>
      <c r="C276" s="40">
        <v>9</v>
      </c>
      <c r="D276" s="128" t="s">
        <v>1449</v>
      </c>
      <c r="E276" s="122"/>
      <c r="F276" s="122"/>
      <c r="G276" s="122"/>
      <c r="H276" s="23"/>
      <c r="I276" s="12"/>
      <c r="J276" s="154"/>
      <c r="K276" s="154"/>
      <c r="L276" s="154"/>
      <c r="M276" s="154"/>
      <c r="N276" s="161" t="str">
        <f>IF(N$255&gt;8,N$256,"")</f>
        <v/>
      </c>
      <c r="O276" s="161" t="str">
        <f>IF(O$255&gt;8,O$256,"")</f>
        <v/>
      </c>
      <c r="P276" s="154"/>
      <c r="Q276" s="161" t="str">
        <f>IF(Q$255&gt;8,Q$256,"")</f>
        <v/>
      </c>
      <c r="R276" s="161" t="str">
        <f>IF(R$255&gt;8,R$256,"")</f>
        <v/>
      </c>
      <c r="S276" s="154"/>
      <c r="T276" s="161" t="str">
        <f>IF(T$255&gt;8,T$256,"")</f>
        <v/>
      </c>
      <c r="U276" s="161" t="str">
        <f>IF(U$255&gt;8,U$256,"")</f>
        <v/>
      </c>
      <c r="V276" s="159"/>
      <c r="W276" s="387"/>
      <c r="X276" s="154"/>
      <c r="Y276" s="154"/>
      <c r="Z276" s="130"/>
      <c r="AA276" s="130"/>
      <c r="AB276" s="130"/>
      <c r="AC276" s="125"/>
      <c r="AE276" s="154"/>
      <c r="AF276" s="154"/>
      <c r="AG276" s="129"/>
      <c r="AH276" s="130"/>
      <c r="AI276" s="125"/>
      <c r="AK276" s="154"/>
      <c r="AL276" s="154"/>
      <c r="AM276" s="129"/>
      <c r="AN276" s="130"/>
      <c r="AO276" s="125"/>
      <c r="AQ276" s="154"/>
      <c r="AR276" s="154"/>
      <c r="AS276" s="129"/>
      <c r="AT276" s="130"/>
      <c r="AU276" s="125"/>
      <c r="AW276" s="154"/>
      <c r="AX276" s="154"/>
      <c r="AY276" s="129"/>
      <c r="AZ276" s="130"/>
      <c r="BA276" s="125"/>
    </row>
    <row r="277" spans="1:53" ht="17.100000000000001" customHeight="1" x14ac:dyDescent="0.25">
      <c r="A277" s="137"/>
      <c r="B277" s="40"/>
      <c r="C277" s="40">
        <v>10</v>
      </c>
      <c r="D277" s="128" t="s">
        <v>1449</v>
      </c>
      <c r="E277" s="122"/>
      <c r="F277" s="122"/>
      <c r="G277" s="122"/>
      <c r="H277" s="23"/>
      <c r="I277" s="12"/>
      <c r="J277" s="154"/>
      <c r="K277" s="154"/>
      <c r="L277" s="154"/>
      <c r="M277" s="154"/>
      <c r="N277" s="161" t="str">
        <f>IF(N$255&gt;9,N$256,"")</f>
        <v/>
      </c>
      <c r="O277" s="161" t="str">
        <f>IF(O$255&gt;9,O$256,"")</f>
        <v/>
      </c>
      <c r="P277" s="154"/>
      <c r="Q277" s="161" t="str">
        <f>IF(Q$255&gt;9,Q$256,"")</f>
        <v/>
      </c>
      <c r="R277" s="161" t="str">
        <f>IF(R$255&gt;9,R$256,"")</f>
        <v/>
      </c>
      <c r="S277" s="154"/>
      <c r="T277" s="161" t="str">
        <f>IF(T$255&gt;9,T$256,"")</f>
        <v/>
      </c>
      <c r="U277" s="161" t="str">
        <f>IF(U$255&gt;9,U$256,"")</f>
        <v/>
      </c>
      <c r="V277" s="159"/>
      <c r="W277" s="387"/>
      <c r="X277" s="154"/>
      <c r="Y277" s="154"/>
      <c r="Z277" s="130"/>
      <c r="AA277" s="130"/>
      <c r="AB277" s="130"/>
      <c r="AC277" s="125"/>
      <c r="AE277" s="154"/>
      <c r="AF277" s="154"/>
      <c r="AG277" s="129"/>
      <c r="AH277" s="130"/>
      <c r="AI277" s="125"/>
      <c r="AK277" s="154"/>
      <c r="AL277" s="154"/>
      <c r="AM277" s="129"/>
      <c r="AN277" s="130"/>
      <c r="AO277" s="125"/>
      <c r="AQ277" s="154"/>
      <c r="AR277" s="154"/>
      <c r="AS277" s="129"/>
      <c r="AT277" s="130"/>
      <c r="AU277" s="125"/>
      <c r="AW277" s="154"/>
      <c r="AX277" s="154"/>
      <c r="AY277" s="129"/>
      <c r="AZ277" s="130"/>
      <c r="BA277" s="125"/>
    </row>
    <row r="278" spans="1:53" s="158" customFormat="1" ht="17.100000000000001" customHeight="1" x14ac:dyDescent="0.25">
      <c r="A278" s="967"/>
      <c r="B278" s="102"/>
      <c r="C278" s="102"/>
      <c r="D278" s="122" t="s">
        <v>1451</v>
      </c>
      <c r="E278" s="122"/>
      <c r="F278" s="122"/>
      <c r="G278" s="122"/>
      <c r="H278" s="23"/>
      <c r="I278" s="12"/>
      <c r="J278" s="160"/>
      <c r="K278" s="160"/>
      <c r="L278" s="160"/>
      <c r="M278" s="160"/>
      <c r="N278" s="160">
        <f>IF(SUM(N254:N255)=0,"",AVERAGE(N258:N277))</f>
        <v>100000</v>
      </c>
      <c r="O278" s="160">
        <f>IF(SUM(O254:O255)=0,"",AVERAGE(O258:O277))</f>
        <v>79800</v>
      </c>
      <c r="P278" s="160"/>
      <c r="Q278" s="160" t="str">
        <f>IF(SUM(Q254:Q255)=0,"",AVERAGE(Q258:Q277))</f>
        <v/>
      </c>
      <c r="R278" s="160" t="str">
        <f>IF(SUM(R254:R255)=0,"",AVERAGE(R258:R277))</f>
        <v/>
      </c>
      <c r="S278" s="160"/>
      <c r="T278" s="160" t="str">
        <f>IF(SUM(T254:T255)=0,"",AVERAGE(T258:T277))</f>
        <v/>
      </c>
      <c r="U278" s="160" t="str">
        <f>IF(SUM(U254:U255)=0,"",AVERAGE(U258:U277))</f>
        <v/>
      </c>
      <c r="V278" s="947"/>
      <c r="W278" s="948"/>
      <c r="X278" s="160"/>
      <c r="Y278" s="160"/>
      <c r="Z278" s="949"/>
      <c r="AA278" s="975">
        <f>MIN(N278:U278)</f>
        <v>79800</v>
      </c>
      <c r="AB278" s="975">
        <f>MAX(N278:U278)</f>
        <v>100000</v>
      </c>
      <c r="AC278" s="124">
        <f>IF(SUM(N278:U278)=0,0,AVERAGE(N278:U278))</f>
        <v>89900</v>
      </c>
      <c r="AE278" s="160"/>
      <c r="AF278" s="160"/>
      <c r="AG278" s="129"/>
      <c r="AH278" s="949"/>
      <c r="AI278" s="904"/>
      <c r="AK278" s="160"/>
      <c r="AL278" s="160"/>
      <c r="AM278" s="129"/>
      <c r="AN278" s="949"/>
      <c r="AO278" s="904"/>
      <c r="AQ278" s="160">
        <f>MIN(N278,Q278,T278)</f>
        <v>100000</v>
      </c>
      <c r="AR278" s="160">
        <f>MAX(N278,Q278,T278)</f>
        <v>100000</v>
      </c>
      <c r="AS278" s="129">
        <f>AVERAGE(N278,Q278,T278)</f>
        <v>100000</v>
      </c>
      <c r="AT278" s="949"/>
      <c r="AU278" s="904"/>
      <c r="AW278" s="160">
        <f>MIN(O278,R278,U278)</f>
        <v>79800</v>
      </c>
      <c r="AX278" s="160">
        <f>MAX(O278,R278,U278)</f>
        <v>79800</v>
      </c>
      <c r="AY278" s="129">
        <f>AVERAGE(O278,R278,U278)</f>
        <v>79800</v>
      </c>
      <c r="AZ278" s="949"/>
      <c r="BA278" s="904"/>
    </row>
    <row r="279" spans="1:53" ht="17.100000000000001" customHeight="1" x14ac:dyDescent="0.25">
      <c r="A279" s="40"/>
      <c r="B279" s="40"/>
      <c r="C279" s="40"/>
      <c r="D279" s="128"/>
      <c r="E279" s="122"/>
      <c r="F279" s="122"/>
      <c r="G279" s="122"/>
      <c r="H279" s="23"/>
      <c r="I279" s="12"/>
      <c r="J279" s="154"/>
      <c r="K279" s="154"/>
      <c r="L279" s="154"/>
      <c r="M279" s="154"/>
      <c r="N279" s="154"/>
      <c r="O279" s="154"/>
      <c r="P279" s="154"/>
      <c r="Q279" s="154"/>
      <c r="R279" s="154"/>
      <c r="S279" s="154"/>
      <c r="T279" s="154"/>
      <c r="U279" s="154"/>
      <c r="V279" s="159"/>
      <c r="W279" s="387"/>
      <c r="X279" s="154"/>
      <c r="Y279" s="154"/>
      <c r="Z279" s="130"/>
      <c r="AA279" s="130"/>
      <c r="AB279" s="130"/>
      <c r="AC279" s="125"/>
      <c r="AE279" s="154"/>
      <c r="AF279" s="154"/>
      <c r="AG279" s="129"/>
      <c r="AH279" s="130"/>
      <c r="AI279" s="125"/>
      <c r="AK279" s="154"/>
      <c r="AL279" s="154"/>
      <c r="AM279" s="129"/>
      <c r="AN279" s="130"/>
      <c r="AO279" s="125"/>
      <c r="AQ279" s="154"/>
      <c r="AR279" s="154"/>
      <c r="AS279" s="129"/>
      <c r="AT279" s="130"/>
      <c r="AU279" s="125"/>
      <c r="AW279" s="154"/>
      <c r="AX279" s="154"/>
      <c r="AY279" s="129"/>
      <c r="AZ279" s="130"/>
      <c r="BA279" s="125"/>
    </row>
    <row r="280" spans="1:53" s="97" customFormat="1" ht="17.100000000000001" customHeight="1" x14ac:dyDescent="0.25">
      <c r="A280" s="68"/>
      <c r="B280" s="68"/>
      <c r="C280" s="92"/>
      <c r="D280" s="305"/>
      <c r="E280" s="305"/>
      <c r="F280" s="305"/>
      <c r="G280" s="305"/>
      <c r="H280" s="207"/>
      <c r="I280" s="207"/>
    </row>
    <row r="281" spans="1:53" s="32" customFormat="1" ht="16.5" thickBot="1" x14ac:dyDescent="0.3">
      <c r="A281" s="24" t="s">
        <v>287</v>
      </c>
      <c r="B281" s="25" t="s">
        <v>288</v>
      </c>
      <c r="C281" s="26"/>
      <c r="D281" s="27"/>
      <c r="E281" s="27"/>
      <c r="F281" s="27"/>
      <c r="G281" s="28"/>
      <c r="H281" s="310"/>
      <c r="I281" s="228"/>
      <c r="J281" s="140"/>
      <c r="K281" s="140"/>
      <c r="L281" s="140"/>
      <c r="M281" s="140"/>
      <c r="N281" s="140"/>
      <c r="O281" s="140"/>
      <c r="P281" s="140"/>
      <c r="Q281" s="140"/>
      <c r="R281" s="140"/>
      <c r="S281" s="140"/>
      <c r="T281" s="140"/>
      <c r="U281" s="140"/>
      <c r="V281" s="140"/>
      <c r="W281" s="140"/>
      <c r="X281" s="140"/>
      <c r="Y281" s="140"/>
      <c r="Z281" s="30" t="s">
        <v>5</v>
      </c>
      <c r="AA281" s="30"/>
      <c r="AB281" s="30"/>
      <c r="AC281" s="188"/>
      <c r="AE281" s="33" t="s">
        <v>181</v>
      </c>
      <c r="AF281" s="33" t="s">
        <v>182</v>
      </c>
      <c r="AG281" s="33" t="s">
        <v>6</v>
      </c>
      <c r="AH281" s="33" t="s">
        <v>4</v>
      </c>
      <c r="AI281" s="34" t="s">
        <v>5</v>
      </c>
      <c r="AJ281" s="35"/>
      <c r="AK281" s="36" t="s">
        <v>181</v>
      </c>
      <c r="AL281" s="36" t="s">
        <v>182</v>
      </c>
      <c r="AM281" s="36" t="s">
        <v>6</v>
      </c>
      <c r="AN281" s="36" t="s">
        <v>4</v>
      </c>
      <c r="AO281" s="37" t="s">
        <v>5</v>
      </c>
      <c r="AQ281" s="398" t="s">
        <v>181</v>
      </c>
      <c r="AR281" s="398" t="s">
        <v>182</v>
      </c>
      <c r="AS281" s="398" t="s">
        <v>6</v>
      </c>
      <c r="AT281" s="398" t="s">
        <v>4</v>
      </c>
      <c r="AU281" s="399" t="s">
        <v>5</v>
      </c>
      <c r="AW281" s="38" t="s">
        <v>181</v>
      </c>
      <c r="AX281" s="38" t="s">
        <v>182</v>
      </c>
      <c r="AY281" s="38" t="s">
        <v>6</v>
      </c>
      <c r="AZ281" s="423" t="s">
        <v>4</v>
      </c>
      <c r="BA281" s="39" t="s">
        <v>5</v>
      </c>
    </row>
    <row r="282" spans="1:53" ht="17.100000000000001" customHeight="1" x14ac:dyDescent="0.25">
      <c r="A282" s="40"/>
      <c r="B282" s="41" t="s">
        <v>289</v>
      </c>
      <c r="C282" s="69" t="s">
        <v>620</v>
      </c>
      <c r="D282" s="43"/>
      <c r="E282" s="43"/>
      <c r="F282" s="43"/>
      <c r="G282" s="44"/>
      <c r="H282" s="321"/>
      <c r="I282" s="229"/>
      <c r="J282" s="71"/>
      <c r="K282" s="71"/>
      <c r="L282" s="71"/>
      <c r="M282" s="71"/>
      <c r="N282" s="71"/>
      <c r="O282" s="71"/>
      <c r="P282" s="71"/>
      <c r="Q282" s="71"/>
      <c r="R282" s="71"/>
      <c r="S282" s="71"/>
      <c r="T282" s="71"/>
      <c r="U282" s="71"/>
      <c r="V282" s="71"/>
      <c r="W282" s="71"/>
      <c r="X282" s="71"/>
      <c r="Y282" s="71"/>
      <c r="Z282" s="73"/>
      <c r="AA282" s="73"/>
      <c r="AB282" s="73"/>
      <c r="AC282" s="73"/>
      <c r="AE282" s="71"/>
      <c r="AF282" s="71"/>
      <c r="AG282" s="273"/>
      <c r="AH282" s="73"/>
      <c r="AI282" s="73"/>
      <c r="AK282" s="71"/>
      <c r="AL282" s="71"/>
      <c r="AM282" s="273"/>
      <c r="AN282" s="73"/>
      <c r="AO282" s="73"/>
      <c r="AQ282" s="71"/>
      <c r="AR282" s="71"/>
      <c r="AS282" s="273"/>
      <c r="AT282" s="73"/>
      <c r="AU282" s="73"/>
      <c r="AW282" s="71"/>
      <c r="AX282" s="71"/>
      <c r="AY282" s="273"/>
      <c r="AZ282" s="73"/>
      <c r="BA282" s="73"/>
    </row>
    <row r="283" spans="1:53" ht="17.100000000000001" customHeight="1" x14ac:dyDescent="0.25">
      <c r="A283" s="40"/>
      <c r="B283" s="40"/>
      <c r="C283" s="74" t="s">
        <v>291</v>
      </c>
      <c r="D283" s="75" t="s">
        <v>292</v>
      </c>
      <c r="E283" s="105"/>
      <c r="F283" s="75"/>
      <c r="G283" s="76"/>
      <c r="H283" s="540"/>
      <c r="I283" s="229"/>
      <c r="J283" s="111"/>
      <c r="K283" s="111"/>
      <c r="L283" s="111"/>
      <c r="M283" s="111"/>
      <c r="N283" s="60">
        <v>1</v>
      </c>
      <c r="O283" s="60">
        <v>1</v>
      </c>
      <c r="P283" s="17">
        <f t="shared" ref="P283:P286" si="288">SUM(N283:O283)</f>
        <v>2</v>
      </c>
      <c r="Q283" s="60"/>
      <c r="R283" s="60"/>
      <c r="S283" s="17">
        <f t="shared" ref="S283:S286" si="289">SUM(Q283:R283)</f>
        <v>0</v>
      </c>
      <c r="T283" s="60"/>
      <c r="U283" s="60"/>
      <c r="V283" s="17">
        <f t="shared" ref="V283:V286" si="290">SUM(T283:U283)</f>
        <v>0</v>
      </c>
      <c r="W283" s="391">
        <f t="shared" ref="W283:W286" si="291">J283+K283+N283+Q283+T283</f>
        <v>1</v>
      </c>
      <c r="X283" s="17">
        <f t="shared" ref="X283:X286" si="292">L283+O283+R283+U283</f>
        <v>1</v>
      </c>
      <c r="Y283" s="18">
        <f t="shared" ref="Y283:Y286" si="293">SUM(W283:X283)</f>
        <v>2</v>
      </c>
      <c r="Z283" s="19">
        <f>IF(Y$287=0,0,Y283/Y$287)</f>
        <v>0.4</v>
      </c>
      <c r="AA283" s="19"/>
      <c r="AB283" s="19"/>
      <c r="AC283" s="20"/>
      <c r="AE283" s="111"/>
      <c r="AF283" s="111"/>
      <c r="AG283" s="111"/>
      <c r="AH283" s="545"/>
      <c r="AI283" s="131"/>
      <c r="AK283" s="111"/>
      <c r="AL283" s="111"/>
      <c r="AM283" s="111"/>
      <c r="AN283" s="545"/>
      <c r="AO283" s="131"/>
      <c r="AQ283" s="17"/>
      <c r="AR283" s="17"/>
      <c r="AS283" s="17"/>
      <c r="AT283" s="424">
        <f>W283</f>
        <v>1</v>
      </c>
      <c r="AU283" s="19">
        <f>IF(AT$287=0,0,AT283/AT$287)</f>
        <v>0.5</v>
      </c>
      <c r="AW283" s="17"/>
      <c r="AX283" s="17"/>
      <c r="AY283" s="17"/>
      <c r="AZ283" s="424">
        <f>X283</f>
        <v>1</v>
      </c>
      <c r="BA283" s="19">
        <f>IF(AZ$287=0,0,AZ283/AZ$287)</f>
        <v>0.33333333333333331</v>
      </c>
    </row>
    <row r="284" spans="1:53" ht="17.100000000000001" customHeight="1" x14ac:dyDescent="0.25">
      <c r="A284" s="40"/>
      <c r="B284" s="40"/>
      <c r="C284" s="74" t="s">
        <v>293</v>
      </c>
      <c r="D284" s="75" t="s">
        <v>11</v>
      </c>
      <c r="E284" s="105"/>
      <c r="F284" s="75"/>
      <c r="G284" s="75"/>
      <c r="H284" s="540"/>
      <c r="I284" s="229"/>
      <c r="J284" s="111"/>
      <c r="K284" s="111"/>
      <c r="L284" s="111"/>
      <c r="M284" s="111"/>
      <c r="N284" s="61"/>
      <c r="O284" s="61"/>
      <c r="P284" s="17">
        <f t="shared" si="288"/>
        <v>0</v>
      </c>
      <c r="Q284" s="61"/>
      <c r="R284" s="61"/>
      <c r="S284" s="17">
        <f t="shared" si="289"/>
        <v>0</v>
      </c>
      <c r="T284" s="61"/>
      <c r="U284" s="61"/>
      <c r="V284" s="17">
        <f t="shared" si="290"/>
        <v>0</v>
      </c>
      <c r="W284" s="391">
        <f t="shared" si="291"/>
        <v>0</v>
      </c>
      <c r="X284" s="17">
        <f t="shared" si="292"/>
        <v>0</v>
      </c>
      <c r="Y284" s="18">
        <f t="shared" si="293"/>
        <v>0</v>
      </c>
      <c r="Z284" s="19">
        <f t="shared" ref="Z284:Z287" si="294">IF(Y$287=0,0,Y284/Y$287)</f>
        <v>0</v>
      </c>
      <c r="AA284" s="19"/>
      <c r="AB284" s="19"/>
      <c r="AC284" s="20"/>
      <c r="AE284" s="111"/>
      <c r="AF284" s="111"/>
      <c r="AG284" s="111"/>
      <c r="AH284" s="545"/>
      <c r="AI284" s="131"/>
      <c r="AK284" s="111"/>
      <c r="AL284" s="111"/>
      <c r="AM284" s="111"/>
      <c r="AN284" s="545"/>
      <c r="AO284" s="131"/>
      <c r="AQ284" s="17"/>
      <c r="AR284" s="17"/>
      <c r="AS284" s="17"/>
      <c r="AT284" s="424">
        <f t="shared" ref="AT284:AT286" si="295">W284</f>
        <v>0</v>
      </c>
      <c r="AU284" s="19">
        <f t="shared" ref="AU284:AU287" si="296">IF(AT$287=0,0,AT284/AT$287)</f>
        <v>0</v>
      </c>
      <c r="AW284" s="17"/>
      <c r="AX284" s="17"/>
      <c r="AY284" s="17"/>
      <c r="AZ284" s="424">
        <f t="shared" ref="AZ284:AZ286" si="297">X284</f>
        <v>0</v>
      </c>
      <c r="BA284" s="19">
        <f t="shared" ref="BA284:BA287" si="298">IF(AZ$287=0,0,AZ284/AZ$287)</f>
        <v>0</v>
      </c>
    </row>
    <row r="285" spans="1:53" ht="17.100000000000001" customHeight="1" x14ac:dyDescent="0.25">
      <c r="A285" s="40"/>
      <c r="B285" s="40"/>
      <c r="C285" s="74" t="s">
        <v>294</v>
      </c>
      <c r="D285" s="75" t="s">
        <v>295</v>
      </c>
      <c r="E285" s="105"/>
      <c r="F285" s="75"/>
      <c r="G285" s="75"/>
      <c r="H285" s="23"/>
      <c r="I285" s="229"/>
      <c r="J285" s="111"/>
      <c r="K285" s="111"/>
      <c r="L285" s="111"/>
      <c r="M285" s="111"/>
      <c r="N285" s="60"/>
      <c r="O285" s="60"/>
      <c r="P285" s="17">
        <f t="shared" si="288"/>
        <v>0</v>
      </c>
      <c r="Q285" s="60"/>
      <c r="R285" s="60"/>
      <c r="S285" s="17">
        <f t="shared" si="289"/>
        <v>0</v>
      </c>
      <c r="T285" s="60"/>
      <c r="U285" s="60"/>
      <c r="V285" s="17">
        <f t="shared" si="290"/>
        <v>0</v>
      </c>
      <c r="W285" s="391">
        <f t="shared" si="291"/>
        <v>0</v>
      </c>
      <c r="X285" s="17">
        <f t="shared" si="292"/>
        <v>0</v>
      </c>
      <c r="Y285" s="18">
        <f t="shared" si="293"/>
        <v>0</v>
      </c>
      <c r="Z285" s="19">
        <f t="shared" si="294"/>
        <v>0</v>
      </c>
      <c r="AA285" s="19"/>
      <c r="AB285" s="19"/>
      <c r="AC285" s="20"/>
      <c r="AE285" s="111"/>
      <c r="AF285" s="111"/>
      <c r="AG285" s="111"/>
      <c r="AH285" s="545"/>
      <c r="AI285" s="131"/>
      <c r="AK285" s="111"/>
      <c r="AL285" s="111"/>
      <c r="AM285" s="111"/>
      <c r="AN285" s="545"/>
      <c r="AO285" s="131"/>
      <c r="AQ285" s="17"/>
      <c r="AR285" s="17"/>
      <c r="AS285" s="17"/>
      <c r="AT285" s="424">
        <f t="shared" si="295"/>
        <v>0</v>
      </c>
      <c r="AU285" s="19">
        <f t="shared" si="296"/>
        <v>0</v>
      </c>
      <c r="AW285" s="17"/>
      <c r="AX285" s="17"/>
      <c r="AY285" s="17"/>
      <c r="AZ285" s="424">
        <f t="shared" si="297"/>
        <v>0</v>
      </c>
      <c r="BA285" s="19">
        <f t="shared" si="298"/>
        <v>0</v>
      </c>
    </row>
    <row r="286" spans="1:53" ht="17.100000000000001" customHeight="1" x14ac:dyDescent="0.25">
      <c r="A286" s="40"/>
      <c r="B286" s="40"/>
      <c r="C286" s="74" t="s">
        <v>296</v>
      </c>
      <c r="D286" s="75" t="s">
        <v>9</v>
      </c>
      <c r="E286" s="105"/>
      <c r="F286" s="75"/>
      <c r="G286" s="75"/>
      <c r="H286" s="23"/>
      <c r="I286" s="229"/>
      <c r="J286" s="111"/>
      <c r="K286" s="111"/>
      <c r="L286" s="111"/>
      <c r="M286" s="111"/>
      <c r="N286" s="61">
        <v>1</v>
      </c>
      <c r="O286" s="61">
        <v>2</v>
      </c>
      <c r="P286" s="17">
        <f t="shared" si="288"/>
        <v>3</v>
      </c>
      <c r="Q286" s="61"/>
      <c r="R286" s="61"/>
      <c r="S286" s="17">
        <f t="shared" si="289"/>
        <v>0</v>
      </c>
      <c r="T286" s="61"/>
      <c r="U286" s="61"/>
      <c r="V286" s="17">
        <f t="shared" si="290"/>
        <v>0</v>
      </c>
      <c r="W286" s="391">
        <f t="shared" si="291"/>
        <v>1</v>
      </c>
      <c r="X286" s="17">
        <f t="shared" si="292"/>
        <v>2</v>
      </c>
      <c r="Y286" s="18">
        <f t="shared" si="293"/>
        <v>3</v>
      </c>
      <c r="Z286" s="19">
        <f t="shared" si="294"/>
        <v>0.6</v>
      </c>
      <c r="AA286" s="19"/>
      <c r="AB286" s="19"/>
      <c r="AC286" s="20"/>
      <c r="AE286" s="111"/>
      <c r="AF286" s="111"/>
      <c r="AG286" s="111"/>
      <c r="AH286" s="545"/>
      <c r="AI286" s="131"/>
      <c r="AK286" s="111"/>
      <c r="AL286" s="111"/>
      <c r="AM286" s="111"/>
      <c r="AN286" s="545"/>
      <c r="AO286" s="131"/>
      <c r="AQ286" s="17"/>
      <c r="AR286" s="17"/>
      <c r="AS286" s="17"/>
      <c r="AT286" s="424">
        <f t="shared" si="295"/>
        <v>1</v>
      </c>
      <c r="AU286" s="19">
        <f t="shared" si="296"/>
        <v>0.5</v>
      </c>
      <c r="AW286" s="17"/>
      <c r="AX286" s="17"/>
      <c r="AY286" s="17"/>
      <c r="AZ286" s="424">
        <f t="shared" si="297"/>
        <v>2</v>
      </c>
      <c r="BA286" s="19">
        <f t="shared" si="298"/>
        <v>0.66666666666666663</v>
      </c>
    </row>
    <row r="287" spans="1:53" ht="17.100000000000001" customHeight="1" x14ac:dyDescent="0.25">
      <c r="A287" s="40"/>
      <c r="B287" s="40"/>
      <c r="C287" s="292"/>
      <c r="D287" s="144"/>
      <c r="E287" s="144"/>
      <c r="F287" s="145"/>
      <c r="G287" s="145"/>
      <c r="H287" s="119"/>
      <c r="I287" s="236"/>
      <c r="J287" s="80"/>
      <c r="K287" s="80"/>
      <c r="L287" s="81"/>
      <c r="M287" s="81"/>
      <c r="N287" s="81">
        <f>SUM(N283:N286)</f>
        <v>2</v>
      </c>
      <c r="O287" s="81">
        <f t="shared" ref="O287:V287" si="299">SUM(O283:O286)</f>
        <v>3</v>
      </c>
      <c r="P287" s="81">
        <f t="shared" si="299"/>
        <v>5</v>
      </c>
      <c r="Q287" s="81">
        <f t="shared" si="299"/>
        <v>0</v>
      </c>
      <c r="R287" s="81">
        <f t="shared" si="299"/>
        <v>0</v>
      </c>
      <c r="S287" s="81">
        <f t="shared" si="299"/>
        <v>0</v>
      </c>
      <c r="T287" s="81">
        <f t="shared" si="299"/>
        <v>0</v>
      </c>
      <c r="U287" s="81">
        <f t="shared" si="299"/>
        <v>0</v>
      </c>
      <c r="V287" s="81">
        <f t="shared" si="299"/>
        <v>0</v>
      </c>
      <c r="W287" s="82">
        <f>SUM(W283:W286)</f>
        <v>2</v>
      </c>
      <c r="X287" s="82">
        <f t="shared" ref="X287:Y287" si="300">SUM(X283:X286)</f>
        <v>3</v>
      </c>
      <c r="Y287" s="82">
        <f t="shared" si="300"/>
        <v>5</v>
      </c>
      <c r="Z287" s="66">
        <f t="shared" si="294"/>
        <v>1</v>
      </c>
      <c r="AA287" s="205"/>
      <c r="AB287" s="205"/>
      <c r="AC287" s="83"/>
      <c r="AE287" s="81"/>
      <c r="AF287" s="81"/>
      <c r="AG287" s="82"/>
      <c r="AH287" s="82"/>
      <c r="AI287" s="66"/>
      <c r="AK287" s="81"/>
      <c r="AL287" s="81"/>
      <c r="AM287" s="82"/>
      <c r="AN287" s="82"/>
      <c r="AO287" s="66"/>
      <c r="AQ287" s="81"/>
      <c r="AR287" s="81"/>
      <c r="AS287" s="82"/>
      <c r="AT287" s="81">
        <f>SUM(AT283:AT286)</f>
        <v>2</v>
      </c>
      <c r="AU287" s="66">
        <f t="shared" si="296"/>
        <v>1</v>
      </c>
      <c r="AW287" s="81"/>
      <c r="AX287" s="81"/>
      <c r="AY287" s="82"/>
      <c r="AZ287" s="81">
        <f>SUM(AZ283:AZ286)</f>
        <v>3</v>
      </c>
      <c r="BA287" s="66">
        <f t="shared" si="298"/>
        <v>1</v>
      </c>
    </row>
    <row r="288" spans="1:53" s="117" customFormat="1" ht="17.100000000000001" customHeight="1" x14ac:dyDescent="0.25">
      <c r="A288" s="68"/>
      <c r="B288" s="119"/>
      <c r="C288" s="540"/>
      <c r="D288" s="261"/>
      <c r="E288" s="261"/>
      <c r="F288" s="68"/>
      <c r="G288" s="68"/>
      <c r="H288" s="119"/>
      <c r="I288" s="138"/>
      <c r="J288" s="17"/>
      <c r="K288" s="17"/>
      <c r="L288" s="17"/>
      <c r="M288" s="17"/>
      <c r="N288" s="17" t="str">
        <f>IF(N287=N$20,"OK","NOK")</f>
        <v>OK</v>
      </c>
      <c r="O288" s="17" t="str">
        <f>IF(O287=O$20,"OK","NOK")</f>
        <v>OK</v>
      </c>
      <c r="P288" s="17"/>
      <c r="Q288" s="17" t="str">
        <f>IF(Q287=Q$20,"OK","NOK")</f>
        <v>OK</v>
      </c>
      <c r="R288" s="17" t="str">
        <f>IF(R287=R$20,"OK","NOK")</f>
        <v>OK</v>
      </c>
      <c r="S288" s="17"/>
      <c r="T288" s="17" t="str">
        <f>IF(T287=T$20,"OK","NOK")</f>
        <v>OK</v>
      </c>
      <c r="U288" s="17" t="str">
        <f>IF(U287=U$20,"OK","NOK")</f>
        <v>OK</v>
      </c>
      <c r="V288" s="359"/>
      <c r="W288" s="382"/>
      <c r="X288" s="539"/>
      <c r="Y288" s="539"/>
      <c r="Z288" s="201"/>
      <c r="AA288" s="201"/>
      <c r="AB288" s="201"/>
      <c r="AC288" s="84"/>
      <c r="AE288" s="46"/>
      <c r="AF288" s="46"/>
      <c r="AG288" s="17"/>
      <c r="AH288" s="539"/>
      <c r="AI288" s="91"/>
      <c r="AK288" s="46"/>
      <c r="AL288" s="46"/>
      <c r="AM288" s="17"/>
      <c r="AN288" s="539"/>
      <c r="AO288" s="91"/>
      <c r="AQ288" s="46"/>
      <c r="AR288" s="46"/>
      <c r="AS288" s="17"/>
      <c r="AT288" s="539"/>
      <c r="AU288" s="91"/>
      <c r="AW288" s="46"/>
      <c r="AX288" s="46"/>
      <c r="AY288" s="17"/>
      <c r="AZ288" s="539"/>
      <c r="BA288" s="91"/>
    </row>
    <row r="289" spans="1:53" ht="17.100000000000001" customHeight="1" x14ac:dyDescent="0.25">
      <c r="A289" s="40"/>
      <c r="B289" s="41" t="s">
        <v>297</v>
      </c>
      <c r="C289" s="69" t="s">
        <v>290</v>
      </c>
      <c r="D289" s="322"/>
      <c r="E289" s="322"/>
      <c r="F289" s="301"/>
      <c r="G289" s="301"/>
      <c r="H289" s="119"/>
      <c r="I289" s="236"/>
      <c r="J289" s="87"/>
      <c r="K289" s="87"/>
      <c r="L289" s="71"/>
      <c r="M289" s="71"/>
      <c r="N289" s="71"/>
      <c r="O289" s="71"/>
      <c r="P289" s="71"/>
      <c r="Q289" s="71"/>
      <c r="R289" s="71"/>
      <c r="S289" s="71"/>
      <c r="T289" s="71"/>
      <c r="U289" s="71"/>
      <c r="V289" s="71"/>
      <c r="W289" s="89"/>
      <c r="X289" s="89"/>
      <c r="Y289" s="89"/>
      <c r="Z289" s="323"/>
      <c r="AA289" s="323"/>
      <c r="AB289" s="323"/>
      <c r="AC289" s="73"/>
      <c r="AE289" s="71"/>
      <c r="AF289" s="71"/>
      <c r="AG289" s="89"/>
      <c r="AH289" s="90"/>
      <c r="AI289" s="73"/>
      <c r="AK289" s="71"/>
      <c r="AL289" s="71"/>
      <c r="AM289" s="89"/>
      <c r="AN289" s="90"/>
      <c r="AO289" s="73"/>
      <c r="AQ289" s="71"/>
      <c r="AR289" s="71"/>
      <c r="AS289" s="89"/>
      <c r="AT289" s="90"/>
      <c r="AU289" s="73"/>
      <c r="AW289" s="71"/>
      <c r="AX289" s="71"/>
      <c r="AY289" s="89"/>
      <c r="AZ289" s="90"/>
      <c r="BA289" s="73"/>
    </row>
    <row r="290" spans="1:53" ht="17.100000000000001" customHeight="1" x14ac:dyDescent="0.25">
      <c r="A290" s="40"/>
      <c r="B290" s="40"/>
      <c r="C290" s="74" t="s">
        <v>298</v>
      </c>
      <c r="D290" s="75" t="s">
        <v>292</v>
      </c>
      <c r="E290" s="105"/>
      <c r="F290" s="75"/>
      <c r="G290" s="76"/>
      <c r="H290" s="540"/>
      <c r="I290" s="229"/>
      <c r="J290" s="111"/>
      <c r="K290" s="111"/>
      <c r="L290" s="111"/>
      <c r="M290" s="111"/>
      <c r="N290" s="60"/>
      <c r="O290" s="60"/>
      <c r="P290" s="17">
        <f t="shared" ref="P290:P293" si="301">SUM(N290:O290)</f>
        <v>0</v>
      </c>
      <c r="Q290" s="60"/>
      <c r="R290" s="60"/>
      <c r="S290" s="17">
        <f t="shared" ref="S290:S293" si="302">SUM(Q290:R290)</f>
        <v>0</v>
      </c>
      <c r="T290" s="60"/>
      <c r="U290" s="60"/>
      <c r="V290" s="17">
        <f t="shared" ref="V290:V293" si="303">SUM(T290:U290)</f>
        <v>0</v>
      </c>
      <c r="W290" s="391">
        <f t="shared" ref="W290:W293" si="304">J290+K290+N290+Q290+T290</f>
        <v>0</v>
      </c>
      <c r="X290" s="17">
        <f t="shared" ref="X290:X293" si="305">L290+O290+R290+U290</f>
        <v>0</v>
      </c>
      <c r="Y290" s="18">
        <f t="shared" ref="Y290:Y293" si="306">SUM(W290:X290)</f>
        <v>0</v>
      </c>
      <c r="Z290" s="19">
        <f>IF(Y$294=0,0,Y290/Y$294)</f>
        <v>0</v>
      </c>
      <c r="AA290" s="19"/>
      <c r="AB290" s="19"/>
      <c r="AC290" s="20"/>
      <c r="AE290" s="111"/>
      <c r="AF290" s="111"/>
      <c r="AG290" s="111"/>
      <c r="AH290" s="545"/>
      <c r="AI290" s="131"/>
      <c r="AK290" s="111"/>
      <c r="AL290" s="111"/>
      <c r="AM290" s="111"/>
      <c r="AN290" s="545"/>
      <c r="AO290" s="131"/>
      <c r="AQ290" s="17"/>
      <c r="AR290" s="17"/>
      <c r="AS290" s="17"/>
      <c r="AT290" s="424">
        <f>W290</f>
        <v>0</v>
      </c>
      <c r="AU290" s="19">
        <f>IF(AT$294=0,0,AT290/AT$294)</f>
        <v>0</v>
      </c>
      <c r="AW290" s="17"/>
      <c r="AX290" s="17"/>
      <c r="AY290" s="17"/>
      <c r="AZ290" s="424">
        <f>X290</f>
        <v>0</v>
      </c>
      <c r="BA290" s="19">
        <f>IF(AZ$294=0,0,AZ290/AZ$294)</f>
        <v>0</v>
      </c>
    </row>
    <row r="291" spans="1:53" ht="17.100000000000001" customHeight="1" x14ac:dyDescent="0.25">
      <c r="A291" s="40"/>
      <c r="B291" s="40"/>
      <c r="C291" s="74" t="s">
        <v>299</v>
      </c>
      <c r="D291" s="75" t="s">
        <v>11</v>
      </c>
      <c r="E291" s="105"/>
      <c r="F291" s="75"/>
      <c r="G291" s="75"/>
      <c r="H291" s="540"/>
      <c r="I291" s="229"/>
      <c r="J291" s="111"/>
      <c r="K291" s="111"/>
      <c r="L291" s="111"/>
      <c r="M291" s="111"/>
      <c r="N291" s="61"/>
      <c r="O291" s="61"/>
      <c r="P291" s="17">
        <f t="shared" si="301"/>
        <v>0</v>
      </c>
      <c r="Q291" s="61"/>
      <c r="R291" s="61"/>
      <c r="S291" s="17">
        <f t="shared" si="302"/>
        <v>0</v>
      </c>
      <c r="T291" s="61"/>
      <c r="U291" s="61"/>
      <c r="V291" s="17">
        <f t="shared" si="303"/>
        <v>0</v>
      </c>
      <c r="W291" s="391">
        <f t="shared" si="304"/>
        <v>0</v>
      </c>
      <c r="X291" s="17">
        <f t="shared" si="305"/>
        <v>0</v>
      </c>
      <c r="Y291" s="18">
        <f t="shared" si="306"/>
        <v>0</v>
      </c>
      <c r="Z291" s="19">
        <f t="shared" ref="Z291:Z294" si="307">IF(Y$294=0,0,Y291/Y$294)</f>
        <v>0</v>
      </c>
      <c r="AA291" s="19"/>
      <c r="AB291" s="19"/>
      <c r="AC291" s="20"/>
      <c r="AE291" s="111"/>
      <c r="AF291" s="111"/>
      <c r="AG291" s="111"/>
      <c r="AH291" s="545"/>
      <c r="AI291" s="131"/>
      <c r="AK291" s="111"/>
      <c r="AL291" s="111"/>
      <c r="AM291" s="111"/>
      <c r="AN291" s="545"/>
      <c r="AO291" s="131"/>
      <c r="AQ291" s="17"/>
      <c r="AR291" s="17"/>
      <c r="AS291" s="17"/>
      <c r="AT291" s="424">
        <f t="shared" ref="AT291:AT293" si="308">W291</f>
        <v>0</v>
      </c>
      <c r="AU291" s="19">
        <f t="shared" ref="AU291:AU294" si="309">IF(AT$294=0,0,AT291/AT$294)</f>
        <v>0</v>
      </c>
      <c r="AW291" s="17"/>
      <c r="AX291" s="17"/>
      <c r="AY291" s="17"/>
      <c r="AZ291" s="424">
        <f t="shared" ref="AZ291:AZ293" si="310">X291</f>
        <v>0</v>
      </c>
      <c r="BA291" s="19">
        <f t="shared" ref="BA291:BA294" si="311">IF(AZ$294=0,0,AZ291/AZ$294)</f>
        <v>0</v>
      </c>
    </row>
    <row r="292" spans="1:53" ht="17.100000000000001" customHeight="1" x14ac:dyDescent="0.25">
      <c r="A292" s="40"/>
      <c r="B292" s="40"/>
      <c r="C292" s="74" t="s">
        <v>301</v>
      </c>
      <c r="D292" s="75" t="s">
        <v>295</v>
      </c>
      <c r="E292" s="105"/>
      <c r="F292" s="75"/>
      <c r="G292" s="75"/>
      <c r="H292" s="23"/>
      <c r="I292" s="229"/>
      <c r="J292" s="111"/>
      <c r="K292" s="111"/>
      <c r="L292" s="111"/>
      <c r="M292" s="111"/>
      <c r="N292" s="60"/>
      <c r="O292" s="60"/>
      <c r="P292" s="17">
        <f t="shared" si="301"/>
        <v>0</v>
      </c>
      <c r="Q292" s="60"/>
      <c r="R292" s="60"/>
      <c r="S292" s="17">
        <f t="shared" si="302"/>
        <v>0</v>
      </c>
      <c r="T292" s="60"/>
      <c r="U292" s="60"/>
      <c r="V292" s="17">
        <f t="shared" si="303"/>
        <v>0</v>
      </c>
      <c r="W292" s="391">
        <f t="shared" si="304"/>
        <v>0</v>
      </c>
      <c r="X292" s="17">
        <f t="shared" si="305"/>
        <v>0</v>
      </c>
      <c r="Y292" s="18">
        <f t="shared" si="306"/>
        <v>0</v>
      </c>
      <c r="Z292" s="19">
        <f t="shared" si="307"/>
        <v>0</v>
      </c>
      <c r="AA292" s="19"/>
      <c r="AB292" s="19"/>
      <c r="AC292" s="20"/>
      <c r="AE292" s="111"/>
      <c r="AF292" s="111"/>
      <c r="AG292" s="111"/>
      <c r="AH292" s="545"/>
      <c r="AI292" s="131"/>
      <c r="AK292" s="111"/>
      <c r="AL292" s="111"/>
      <c r="AM292" s="111"/>
      <c r="AN292" s="545"/>
      <c r="AO292" s="131"/>
      <c r="AQ292" s="17"/>
      <c r="AR292" s="17"/>
      <c r="AS292" s="17"/>
      <c r="AT292" s="424">
        <f t="shared" si="308"/>
        <v>0</v>
      </c>
      <c r="AU292" s="19">
        <f t="shared" si="309"/>
        <v>0</v>
      </c>
      <c r="AW292" s="17"/>
      <c r="AX292" s="17"/>
      <c r="AY292" s="17"/>
      <c r="AZ292" s="424">
        <f t="shared" si="310"/>
        <v>0</v>
      </c>
      <c r="BA292" s="19">
        <f t="shared" si="311"/>
        <v>0</v>
      </c>
    </row>
    <row r="293" spans="1:53" ht="17.100000000000001" customHeight="1" x14ac:dyDescent="0.25">
      <c r="A293" s="40"/>
      <c r="B293" s="40"/>
      <c r="C293" s="74" t="s">
        <v>303</v>
      </c>
      <c r="D293" s="75" t="s">
        <v>9</v>
      </c>
      <c r="E293" s="105"/>
      <c r="F293" s="75"/>
      <c r="G293" s="75"/>
      <c r="H293" s="23"/>
      <c r="I293" s="229"/>
      <c r="J293" s="111"/>
      <c r="K293" s="111"/>
      <c r="L293" s="111"/>
      <c r="M293" s="111"/>
      <c r="N293" s="61">
        <v>2</v>
      </c>
      <c r="O293" s="61">
        <v>3</v>
      </c>
      <c r="P293" s="17">
        <f t="shared" si="301"/>
        <v>5</v>
      </c>
      <c r="Q293" s="61"/>
      <c r="R293" s="61"/>
      <c r="S293" s="17">
        <f t="shared" si="302"/>
        <v>0</v>
      </c>
      <c r="T293" s="61"/>
      <c r="U293" s="61"/>
      <c r="V293" s="17">
        <f t="shared" si="303"/>
        <v>0</v>
      </c>
      <c r="W293" s="391">
        <f t="shared" si="304"/>
        <v>2</v>
      </c>
      <c r="X293" s="17">
        <f t="shared" si="305"/>
        <v>3</v>
      </c>
      <c r="Y293" s="18">
        <f t="shared" si="306"/>
        <v>5</v>
      </c>
      <c r="Z293" s="19">
        <f t="shared" si="307"/>
        <v>1</v>
      </c>
      <c r="AA293" s="19"/>
      <c r="AB293" s="19"/>
      <c r="AC293" s="20"/>
      <c r="AE293" s="111"/>
      <c r="AF293" s="111"/>
      <c r="AG293" s="111"/>
      <c r="AH293" s="545"/>
      <c r="AI293" s="131"/>
      <c r="AK293" s="111"/>
      <c r="AL293" s="111"/>
      <c r="AM293" s="111"/>
      <c r="AN293" s="545"/>
      <c r="AO293" s="131"/>
      <c r="AQ293" s="17"/>
      <c r="AR293" s="17"/>
      <c r="AS293" s="17"/>
      <c r="AT293" s="424">
        <f t="shared" si="308"/>
        <v>2</v>
      </c>
      <c r="AU293" s="19">
        <f t="shared" si="309"/>
        <v>1</v>
      </c>
      <c r="AW293" s="17"/>
      <c r="AX293" s="17"/>
      <c r="AY293" s="17"/>
      <c r="AZ293" s="424">
        <f t="shared" si="310"/>
        <v>3</v>
      </c>
      <c r="BA293" s="19">
        <f t="shared" si="311"/>
        <v>1</v>
      </c>
    </row>
    <row r="294" spans="1:53" ht="17.100000000000001" customHeight="1" x14ac:dyDescent="0.25">
      <c r="A294" s="40"/>
      <c r="B294" s="40"/>
      <c r="C294" s="292"/>
      <c r="D294" s="144"/>
      <c r="E294" s="144"/>
      <c r="F294" s="145"/>
      <c r="G294" s="145"/>
      <c r="H294" s="119"/>
      <c r="I294" s="236"/>
      <c r="J294" s="80"/>
      <c r="K294" s="80"/>
      <c r="L294" s="81"/>
      <c r="M294" s="81"/>
      <c r="N294" s="81">
        <f>SUM(N290:N293)</f>
        <v>2</v>
      </c>
      <c r="O294" s="81">
        <f t="shared" ref="O294:V294" si="312">SUM(O290:O293)</f>
        <v>3</v>
      </c>
      <c r="P294" s="81">
        <f t="shared" si="312"/>
        <v>5</v>
      </c>
      <c r="Q294" s="81">
        <f t="shared" si="312"/>
        <v>0</v>
      </c>
      <c r="R294" s="81">
        <f t="shared" si="312"/>
        <v>0</v>
      </c>
      <c r="S294" s="81">
        <f t="shared" si="312"/>
        <v>0</v>
      </c>
      <c r="T294" s="81">
        <f t="shared" si="312"/>
        <v>0</v>
      </c>
      <c r="U294" s="81">
        <f t="shared" si="312"/>
        <v>0</v>
      </c>
      <c r="V294" s="81">
        <f t="shared" si="312"/>
        <v>0</v>
      </c>
      <c r="W294" s="82">
        <f>SUM(W290:W293)</f>
        <v>2</v>
      </c>
      <c r="X294" s="82">
        <f t="shared" ref="X294" si="313">SUM(X290:X293)</f>
        <v>3</v>
      </c>
      <c r="Y294" s="82">
        <f t="shared" ref="Y294" si="314">SUM(Y290:Y293)</f>
        <v>5</v>
      </c>
      <c r="Z294" s="66">
        <f t="shared" si="307"/>
        <v>1</v>
      </c>
      <c r="AA294" s="205"/>
      <c r="AB294" s="205"/>
      <c r="AC294" s="83"/>
      <c r="AE294" s="81"/>
      <c r="AF294" s="81"/>
      <c r="AG294" s="82"/>
      <c r="AH294" s="82"/>
      <c r="AI294" s="66"/>
      <c r="AK294" s="81"/>
      <c r="AL294" s="81"/>
      <c r="AM294" s="82"/>
      <c r="AN294" s="82"/>
      <c r="AO294" s="66"/>
      <c r="AQ294" s="81"/>
      <c r="AR294" s="81"/>
      <c r="AS294" s="82"/>
      <c r="AT294" s="81">
        <f>SUM(AT290:AT293)</f>
        <v>2</v>
      </c>
      <c r="AU294" s="66">
        <f t="shared" si="309"/>
        <v>1</v>
      </c>
      <c r="AW294" s="81"/>
      <c r="AX294" s="81"/>
      <c r="AY294" s="82"/>
      <c r="AZ294" s="81">
        <f>SUM(AZ290:AZ293)</f>
        <v>3</v>
      </c>
      <c r="BA294" s="66">
        <f t="shared" si="311"/>
        <v>1</v>
      </c>
    </row>
    <row r="295" spans="1:53" s="117" customFormat="1" ht="17.100000000000001" customHeight="1" x14ac:dyDescent="0.25">
      <c r="A295" s="68"/>
      <c r="B295" s="119"/>
      <c r="C295" s="540"/>
      <c r="D295" s="261"/>
      <c r="E295" s="261"/>
      <c r="F295" s="68"/>
      <c r="G295" s="68"/>
      <c r="H295" s="119"/>
      <c r="I295" s="138"/>
      <c r="J295" s="17"/>
      <c r="K295" s="17"/>
      <c r="L295" s="17"/>
      <c r="M295" s="17"/>
      <c r="N295" s="17" t="str">
        <f>IF(N294=N$20,"OK","NOK")</f>
        <v>OK</v>
      </c>
      <c r="O295" s="17" t="str">
        <f>IF(O294=O$20,"OK","NOK")</f>
        <v>OK</v>
      </c>
      <c r="P295" s="17"/>
      <c r="Q295" s="17" t="str">
        <f>IF(Q294=Q$20,"OK","NOK")</f>
        <v>OK</v>
      </c>
      <c r="R295" s="17" t="str">
        <f>IF(R294=R$20,"OK","NOK")</f>
        <v>OK</v>
      </c>
      <c r="S295" s="17"/>
      <c r="T295" s="17" t="str">
        <f>IF(T294=T$20,"OK","NOK")</f>
        <v>OK</v>
      </c>
      <c r="U295" s="17" t="str">
        <f>IF(U294=U$20,"OK","NOK")</f>
        <v>OK</v>
      </c>
      <c r="V295" s="359"/>
      <c r="W295" s="382"/>
      <c r="X295" s="539"/>
      <c r="Y295" s="539"/>
      <c r="Z295" s="201"/>
      <c r="AA295" s="201"/>
      <c r="AB295" s="201"/>
      <c r="AC295" s="84"/>
      <c r="AE295" s="46"/>
      <c r="AF295" s="46"/>
      <c r="AG295" s="17"/>
      <c r="AH295" s="539"/>
      <c r="AI295" s="91"/>
      <c r="AK295" s="46"/>
      <c r="AL295" s="46"/>
      <c r="AM295" s="17"/>
      <c r="AN295" s="539"/>
      <c r="AO295" s="91"/>
      <c r="AQ295" s="46"/>
      <c r="AR295" s="46"/>
      <c r="AS295" s="17"/>
      <c r="AT295" s="539"/>
      <c r="AU295" s="91"/>
      <c r="AW295" s="46"/>
      <c r="AX295" s="46"/>
      <c r="AY295" s="17"/>
      <c r="AZ295" s="539"/>
      <c r="BA295" s="91"/>
    </row>
    <row r="296" spans="1:53" ht="17.100000000000001" customHeight="1" x14ac:dyDescent="0.25">
      <c r="A296" s="40"/>
      <c r="B296" s="41" t="s">
        <v>306</v>
      </c>
      <c r="C296" s="274" t="s">
        <v>607</v>
      </c>
      <c r="D296" s="43"/>
      <c r="E296" s="43"/>
      <c r="F296" s="43"/>
      <c r="G296" s="43"/>
      <c r="H296" s="23"/>
      <c r="I296" s="229"/>
      <c r="J296" s="71"/>
      <c r="K296" s="71"/>
      <c r="L296" s="71"/>
      <c r="M296" s="71"/>
      <c r="N296" s="71"/>
      <c r="O296" s="71"/>
      <c r="P296" s="71"/>
      <c r="Q296" s="71"/>
      <c r="R296" s="71"/>
      <c r="S296" s="71"/>
      <c r="T296" s="71"/>
      <c r="U296" s="71"/>
      <c r="V296" s="71"/>
      <c r="W296" s="71"/>
      <c r="X296" s="71"/>
      <c r="Y296" s="71"/>
      <c r="Z296" s="73"/>
      <c r="AA296" s="73"/>
      <c r="AB296" s="73"/>
      <c r="AC296" s="73"/>
      <c r="AE296" s="71"/>
      <c r="AF296" s="71"/>
      <c r="AG296" s="273"/>
      <c r="AH296" s="73"/>
      <c r="AI296" s="73"/>
      <c r="AK296" s="71"/>
      <c r="AL296" s="71"/>
      <c r="AM296" s="273"/>
      <c r="AN296" s="73"/>
      <c r="AO296" s="73"/>
      <c r="AQ296" s="71"/>
      <c r="AR296" s="71"/>
      <c r="AS296" s="273"/>
      <c r="AT296" s="73"/>
      <c r="AU296" s="73"/>
      <c r="AW296" s="71"/>
      <c r="AX296" s="71"/>
      <c r="AY296" s="273"/>
      <c r="AZ296" s="73"/>
      <c r="BA296" s="73"/>
    </row>
    <row r="297" spans="1:53" ht="17.100000000000001" customHeight="1" x14ac:dyDescent="0.25">
      <c r="A297" s="40"/>
      <c r="B297" s="40"/>
      <c r="C297" s="74" t="s">
        <v>308</v>
      </c>
      <c r="D297" s="85" t="s">
        <v>292</v>
      </c>
      <c r="E297" s="105"/>
      <c r="F297" s="105"/>
      <c r="G297" s="105"/>
      <c r="H297" s="84"/>
      <c r="I297" s="231"/>
      <c r="J297" s="111"/>
      <c r="K297" s="111"/>
      <c r="L297" s="111"/>
      <c r="M297" s="111"/>
      <c r="N297" s="60"/>
      <c r="O297" s="60"/>
      <c r="P297" s="17">
        <f t="shared" ref="P297:P307" si="315">SUM(N297:O297)</f>
        <v>0</v>
      </c>
      <c r="Q297" s="60"/>
      <c r="R297" s="60"/>
      <c r="S297" s="17">
        <f t="shared" ref="S297:S307" si="316">SUM(Q297:R297)</f>
        <v>0</v>
      </c>
      <c r="T297" s="60"/>
      <c r="U297" s="60"/>
      <c r="V297" s="17">
        <f t="shared" ref="V297:V307" si="317">SUM(T297:U297)</f>
        <v>0</v>
      </c>
      <c r="W297" s="391">
        <f t="shared" ref="W297:W307" si="318">J297+K297+N297+Q297+T297</f>
        <v>0</v>
      </c>
      <c r="X297" s="17">
        <f t="shared" ref="X297:X307" si="319">L297+O297+R297+U297</f>
        <v>0</v>
      </c>
      <c r="Y297" s="18">
        <f t="shared" ref="Y297:Y307" si="320">SUM(W297:X297)</f>
        <v>0</v>
      </c>
      <c r="Z297" s="19">
        <f>IF(Y$312=0,0,Y297/Y$312)</f>
        <v>0</v>
      </c>
      <c r="AA297" s="19"/>
      <c r="AB297" s="19"/>
      <c r="AC297" s="20"/>
      <c r="AE297" s="111"/>
      <c r="AF297" s="111"/>
      <c r="AG297" s="111"/>
      <c r="AH297" s="545"/>
      <c r="AI297" s="131"/>
      <c r="AK297" s="111"/>
      <c r="AL297" s="111"/>
      <c r="AM297" s="111"/>
      <c r="AN297" s="545"/>
      <c r="AO297" s="131"/>
      <c r="AQ297" s="17"/>
      <c r="AR297" s="17"/>
      <c r="AS297" s="17"/>
      <c r="AT297" s="424">
        <f>W297</f>
        <v>0</v>
      </c>
      <c r="AU297" s="19">
        <f t="shared" ref="AU297:AU303" si="321">IF(AT$312=0,0,AT297/AT$312)</f>
        <v>0</v>
      </c>
      <c r="AW297" s="17"/>
      <c r="AX297" s="17"/>
      <c r="AY297" s="17"/>
      <c r="AZ297" s="424">
        <f>X297</f>
        <v>0</v>
      </c>
      <c r="BA297" s="19">
        <f t="shared" ref="BA297:BA303" si="322">IF(AZ$312=0,0,AZ297/AZ$312)</f>
        <v>0</v>
      </c>
    </row>
    <row r="298" spans="1:53" ht="17.100000000000001" customHeight="1" x14ac:dyDescent="0.25">
      <c r="A298" s="40"/>
      <c r="B298" s="40"/>
      <c r="C298" s="74" t="s">
        <v>309</v>
      </c>
      <c r="D298" s="146" t="s">
        <v>757</v>
      </c>
      <c r="E298" s="105"/>
      <c r="F298" s="105"/>
      <c r="G298" s="105"/>
      <c r="H298" s="84"/>
      <c r="I298" s="231"/>
      <c r="J298" s="111"/>
      <c r="K298" s="111"/>
      <c r="L298" s="111"/>
      <c r="M298" s="111"/>
      <c r="N298" s="61"/>
      <c r="O298" s="61"/>
      <c r="P298" s="17">
        <f t="shared" si="315"/>
        <v>0</v>
      </c>
      <c r="Q298" s="61"/>
      <c r="R298" s="61"/>
      <c r="S298" s="17">
        <f t="shared" si="316"/>
        <v>0</v>
      </c>
      <c r="T298" s="61"/>
      <c r="U298" s="61"/>
      <c r="V298" s="17">
        <f t="shared" ref="V298:V306" si="323">SUM(T298:U298)</f>
        <v>0</v>
      </c>
      <c r="W298" s="391">
        <f t="shared" ref="W298:W306" si="324">J298+K298+N298+Q298+T298</f>
        <v>0</v>
      </c>
      <c r="X298" s="17">
        <f t="shared" ref="X298:X306" si="325">L298+O298+R298+U298</f>
        <v>0</v>
      </c>
      <c r="Y298" s="18">
        <f t="shared" ref="Y298:Y306" si="326">SUM(W298:X298)</f>
        <v>0</v>
      </c>
      <c r="Z298" s="19">
        <f t="shared" ref="Z298:Z306" si="327">IF(Y$312=0,0,Y298/Y$312)</f>
        <v>0</v>
      </c>
      <c r="AA298" s="19"/>
      <c r="AB298" s="19"/>
      <c r="AC298" s="20"/>
      <c r="AE298" s="111"/>
      <c r="AF298" s="111"/>
      <c r="AG298" s="111"/>
      <c r="AH298" s="545"/>
      <c r="AI298" s="131"/>
      <c r="AK298" s="111"/>
      <c r="AL298" s="111"/>
      <c r="AM298" s="111"/>
      <c r="AN298" s="545"/>
      <c r="AO298" s="131"/>
      <c r="AQ298" s="17"/>
      <c r="AR298" s="17"/>
      <c r="AS298" s="17"/>
      <c r="AT298" s="424">
        <f t="shared" ref="AT298:AT307" si="328">W298</f>
        <v>0</v>
      </c>
      <c r="AU298" s="19">
        <f t="shared" si="321"/>
        <v>0</v>
      </c>
      <c r="AW298" s="17"/>
      <c r="AX298" s="17"/>
      <c r="AY298" s="17"/>
      <c r="AZ298" s="424">
        <f t="shared" ref="AZ298:AZ307" si="329">X298</f>
        <v>0</v>
      </c>
      <c r="BA298" s="19">
        <f t="shared" si="322"/>
        <v>0</v>
      </c>
    </row>
    <row r="299" spans="1:53" ht="17.100000000000001" customHeight="1" x14ac:dyDescent="0.25">
      <c r="A299" s="40"/>
      <c r="B299" s="40"/>
      <c r="C299" s="74" t="s">
        <v>489</v>
      </c>
      <c r="D299" s="85" t="s">
        <v>300</v>
      </c>
      <c r="E299" s="105"/>
      <c r="F299" s="105"/>
      <c r="G299" s="105"/>
      <c r="H299" s="84"/>
      <c r="I299" s="231"/>
      <c r="J299" s="111"/>
      <c r="K299" s="111"/>
      <c r="L299" s="111"/>
      <c r="M299" s="111"/>
      <c r="N299" s="60"/>
      <c r="O299" s="60"/>
      <c r="P299" s="17">
        <f t="shared" si="315"/>
        <v>0</v>
      </c>
      <c r="Q299" s="60"/>
      <c r="R299" s="60"/>
      <c r="S299" s="17">
        <f t="shared" si="316"/>
        <v>0</v>
      </c>
      <c r="T299" s="60"/>
      <c r="U299" s="60"/>
      <c r="V299" s="17">
        <f t="shared" si="323"/>
        <v>0</v>
      </c>
      <c r="W299" s="391">
        <f t="shared" si="324"/>
        <v>0</v>
      </c>
      <c r="X299" s="17">
        <f t="shared" si="325"/>
        <v>0</v>
      </c>
      <c r="Y299" s="18">
        <f t="shared" si="326"/>
        <v>0</v>
      </c>
      <c r="Z299" s="19">
        <f t="shared" si="327"/>
        <v>0</v>
      </c>
      <c r="AA299" s="19"/>
      <c r="AB299" s="19"/>
      <c r="AC299" s="20"/>
      <c r="AE299" s="111"/>
      <c r="AF299" s="111"/>
      <c r="AG299" s="111"/>
      <c r="AH299" s="545"/>
      <c r="AI299" s="131"/>
      <c r="AK299" s="111"/>
      <c r="AL299" s="111"/>
      <c r="AM299" s="111"/>
      <c r="AN299" s="545"/>
      <c r="AO299" s="131"/>
      <c r="AQ299" s="17"/>
      <c r="AR299" s="17"/>
      <c r="AS299" s="17"/>
      <c r="AT299" s="424">
        <f t="shared" si="328"/>
        <v>0</v>
      </c>
      <c r="AU299" s="19">
        <f t="shared" si="321"/>
        <v>0</v>
      </c>
      <c r="AW299" s="17"/>
      <c r="AX299" s="17"/>
      <c r="AY299" s="17"/>
      <c r="AZ299" s="424">
        <f t="shared" si="329"/>
        <v>0</v>
      </c>
      <c r="BA299" s="19">
        <f t="shared" si="322"/>
        <v>0</v>
      </c>
    </row>
    <row r="300" spans="1:53" ht="17.100000000000001" customHeight="1" x14ac:dyDescent="0.25">
      <c r="A300" s="40"/>
      <c r="B300" s="40"/>
      <c r="C300" s="74" t="s">
        <v>621</v>
      </c>
      <c r="D300" s="85" t="s">
        <v>670</v>
      </c>
      <c r="E300" s="105"/>
      <c r="F300" s="105"/>
      <c r="G300" s="105"/>
      <c r="H300" s="84"/>
      <c r="I300" s="231"/>
      <c r="J300" s="111"/>
      <c r="K300" s="111"/>
      <c r="L300" s="111"/>
      <c r="M300" s="111"/>
      <c r="N300" s="61"/>
      <c r="O300" s="61"/>
      <c r="P300" s="17">
        <f t="shared" si="315"/>
        <v>0</v>
      </c>
      <c r="Q300" s="61"/>
      <c r="R300" s="61"/>
      <c r="S300" s="17">
        <f t="shared" si="316"/>
        <v>0</v>
      </c>
      <c r="T300" s="61"/>
      <c r="U300" s="61"/>
      <c r="V300" s="17">
        <f t="shared" si="323"/>
        <v>0</v>
      </c>
      <c r="W300" s="391">
        <f t="shared" si="324"/>
        <v>0</v>
      </c>
      <c r="X300" s="17">
        <f t="shared" si="325"/>
        <v>0</v>
      </c>
      <c r="Y300" s="18">
        <f t="shared" si="326"/>
        <v>0</v>
      </c>
      <c r="Z300" s="19">
        <f t="shared" si="327"/>
        <v>0</v>
      </c>
      <c r="AA300" s="19"/>
      <c r="AB300" s="19"/>
      <c r="AC300" s="20"/>
      <c r="AE300" s="111"/>
      <c r="AF300" s="111"/>
      <c r="AG300" s="111"/>
      <c r="AH300" s="545"/>
      <c r="AI300" s="131"/>
      <c r="AK300" s="111"/>
      <c r="AL300" s="111"/>
      <c r="AM300" s="111"/>
      <c r="AN300" s="545"/>
      <c r="AO300" s="131"/>
      <c r="AQ300" s="17"/>
      <c r="AR300" s="17"/>
      <c r="AS300" s="17"/>
      <c r="AT300" s="424">
        <f t="shared" si="328"/>
        <v>0</v>
      </c>
      <c r="AU300" s="19">
        <f t="shared" si="321"/>
        <v>0</v>
      </c>
      <c r="AW300" s="17"/>
      <c r="AX300" s="17"/>
      <c r="AY300" s="17"/>
      <c r="AZ300" s="424">
        <f t="shared" si="329"/>
        <v>0</v>
      </c>
      <c r="BA300" s="19">
        <f t="shared" si="322"/>
        <v>0</v>
      </c>
    </row>
    <row r="301" spans="1:53" ht="17.100000000000001" customHeight="1" x14ac:dyDescent="0.25">
      <c r="A301" s="40"/>
      <c r="B301" s="40"/>
      <c r="C301" s="74" t="s">
        <v>622</v>
      </c>
      <c r="D301" s="85" t="s">
        <v>671</v>
      </c>
      <c r="E301" s="75"/>
      <c r="F301" s="75"/>
      <c r="G301" s="75"/>
      <c r="H301" s="23"/>
      <c r="I301" s="229"/>
      <c r="J301" s="111"/>
      <c r="K301" s="111"/>
      <c r="L301" s="111"/>
      <c r="M301" s="111"/>
      <c r="N301" s="60"/>
      <c r="O301" s="60"/>
      <c r="P301" s="17">
        <f t="shared" si="315"/>
        <v>0</v>
      </c>
      <c r="Q301" s="60"/>
      <c r="R301" s="60"/>
      <c r="S301" s="17">
        <f t="shared" si="316"/>
        <v>0</v>
      </c>
      <c r="T301" s="60"/>
      <c r="U301" s="60"/>
      <c r="V301" s="17">
        <f t="shared" si="323"/>
        <v>0</v>
      </c>
      <c r="W301" s="391">
        <f t="shared" si="324"/>
        <v>0</v>
      </c>
      <c r="X301" s="17">
        <f t="shared" si="325"/>
        <v>0</v>
      </c>
      <c r="Y301" s="18">
        <f t="shared" si="326"/>
        <v>0</v>
      </c>
      <c r="Z301" s="19">
        <f t="shared" si="327"/>
        <v>0</v>
      </c>
      <c r="AA301" s="19"/>
      <c r="AB301" s="19"/>
      <c r="AC301" s="20"/>
      <c r="AE301" s="111"/>
      <c r="AF301" s="111"/>
      <c r="AG301" s="111"/>
      <c r="AH301" s="545"/>
      <c r="AI301" s="131"/>
      <c r="AK301" s="111"/>
      <c r="AL301" s="111"/>
      <c r="AM301" s="111"/>
      <c r="AN301" s="545"/>
      <c r="AO301" s="131"/>
      <c r="AQ301" s="17"/>
      <c r="AR301" s="17"/>
      <c r="AS301" s="17"/>
      <c r="AT301" s="424">
        <f t="shared" si="328"/>
        <v>0</v>
      </c>
      <c r="AU301" s="19">
        <f t="shared" si="321"/>
        <v>0</v>
      </c>
      <c r="AW301" s="17"/>
      <c r="AX301" s="17"/>
      <c r="AY301" s="17"/>
      <c r="AZ301" s="424">
        <f t="shared" si="329"/>
        <v>0</v>
      </c>
      <c r="BA301" s="19">
        <f t="shared" si="322"/>
        <v>0</v>
      </c>
    </row>
    <row r="302" spans="1:53" ht="17.100000000000001" customHeight="1" x14ac:dyDescent="0.25">
      <c r="A302" s="40"/>
      <c r="B302" s="40"/>
      <c r="C302" s="74" t="s">
        <v>623</v>
      </c>
      <c r="D302" s="85" t="s">
        <v>302</v>
      </c>
      <c r="E302" s="542"/>
      <c r="F302" s="105"/>
      <c r="G302" s="105"/>
      <c r="H302" s="84"/>
      <c r="I302" s="231"/>
      <c r="J302" s="111"/>
      <c r="K302" s="111"/>
      <c r="L302" s="111"/>
      <c r="M302" s="111"/>
      <c r="N302" s="61">
        <v>2</v>
      </c>
      <c r="O302" s="61">
        <v>3</v>
      </c>
      <c r="P302" s="17">
        <f t="shared" si="315"/>
        <v>5</v>
      </c>
      <c r="Q302" s="61"/>
      <c r="R302" s="61"/>
      <c r="S302" s="17">
        <f t="shared" si="316"/>
        <v>0</v>
      </c>
      <c r="T302" s="61"/>
      <c r="U302" s="61"/>
      <c r="V302" s="17">
        <f t="shared" si="323"/>
        <v>0</v>
      </c>
      <c r="W302" s="391">
        <f t="shared" si="324"/>
        <v>2</v>
      </c>
      <c r="X302" s="17">
        <f t="shared" si="325"/>
        <v>3</v>
      </c>
      <c r="Y302" s="18">
        <f t="shared" si="326"/>
        <v>5</v>
      </c>
      <c r="Z302" s="19">
        <f t="shared" si="327"/>
        <v>0.55555555555555558</v>
      </c>
      <c r="AA302" s="19"/>
      <c r="AB302" s="19"/>
      <c r="AC302" s="20"/>
      <c r="AE302" s="111"/>
      <c r="AF302" s="111"/>
      <c r="AG302" s="111"/>
      <c r="AH302" s="545"/>
      <c r="AI302" s="131"/>
      <c r="AK302" s="111"/>
      <c r="AL302" s="111"/>
      <c r="AM302" s="111"/>
      <c r="AN302" s="545"/>
      <c r="AO302" s="131"/>
      <c r="AQ302" s="17"/>
      <c r="AR302" s="17"/>
      <c r="AS302" s="17"/>
      <c r="AT302" s="424">
        <f t="shared" si="328"/>
        <v>2</v>
      </c>
      <c r="AU302" s="19">
        <f t="shared" si="321"/>
        <v>0.66666666666666663</v>
      </c>
      <c r="AW302" s="17"/>
      <c r="AX302" s="17"/>
      <c r="AY302" s="17"/>
      <c r="AZ302" s="424">
        <f t="shared" si="329"/>
        <v>3</v>
      </c>
      <c r="BA302" s="19">
        <f t="shared" si="322"/>
        <v>0.5</v>
      </c>
    </row>
    <row r="303" spans="1:53" ht="17.100000000000001" customHeight="1" x14ac:dyDescent="0.25">
      <c r="A303" s="40"/>
      <c r="B303" s="40"/>
      <c r="C303" s="74" t="s">
        <v>624</v>
      </c>
      <c r="D303" s="85" t="s">
        <v>487</v>
      </c>
      <c r="E303" s="542"/>
      <c r="F303" s="105"/>
      <c r="G303" s="105"/>
      <c r="H303" s="84"/>
      <c r="I303" s="231"/>
      <c r="J303" s="111"/>
      <c r="K303" s="111"/>
      <c r="L303" s="111"/>
      <c r="M303" s="111"/>
      <c r="N303" s="60">
        <v>1</v>
      </c>
      <c r="O303" s="60">
        <v>3</v>
      </c>
      <c r="P303" s="17">
        <f t="shared" si="315"/>
        <v>4</v>
      </c>
      <c r="Q303" s="60"/>
      <c r="R303" s="60"/>
      <c r="S303" s="17">
        <f t="shared" si="316"/>
        <v>0</v>
      </c>
      <c r="T303" s="60"/>
      <c r="U303" s="60"/>
      <c r="V303" s="17">
        <f t="shared" si="323"/>
        <v>0</v>
      </c>
      <c r="W303" s="391">
        <f t="shared" si="324"/>
        <v>1</v>
      </c>
      <c r="X303" s="17">
        <f t="shared" si="325"/>
        <v>3</v>
      </c>
      <c r="Y303" s="18">
        <f t="shared" si="326"/>
        <v>4</v>
      </c>
      <c r="Z303" s="19">
        <f t="shared" si="327"/>
        <v>0.44444444444444442</v>
      </c>
      <c r="AA303" s="19"/>
      <c r="AB303" s="19"/>
      <c r="AC303" s="20"/>
      <c r="AE303" s="111"/>
      <c r="AF303" s="111"/>
      <c r="AG303" s="111"/>
      <c r="AH303" s="545"/>
      <c r="AI303" s="131"/>
      <c r="AK303" s="111"/>
      <c r="AL303" s="111"/>
      <c r="AM303" s="111"/>
      <c r="AN303" s="545"/>
      <c r="AO303" s="131"/>
      <c r="AQ303" s="17"/>
      <c r="AR303" s="17"/>
      <c r="AS303" s="17"/>
      <c r="AT303" s="424">
        <f t="shared" si="328"/>
        <v>1</v>
      </c>
      <c r="AU303" s="19">
        <f t="shared" si="321"/>
        <v>0.33333333333333331</v>
      </c>
      <c r="AW303" s="17"/>
      <c r="AX303" s="17"/>
      <c r="AY303" s="17"/>
      <c r="AZ303" s="424">
        <f t="shared" si="329"/>
        <v>3</v>
      </c>
      <c r="BA303" s="19">
        <f t="shared" si="322"/>
        <v>0.5</v>
      </c>
    </row>
    <row r="304" spans="1:53" ht="17.100000000000001" customHeight="1" x14ac:dyDescent="0.25">
      <c r="A304" s="40"/>
      <c r="B304" s="40"/>
      <c r="C304" s="74" t="s">
        <v>625</v>
      </c>
      <c r="D304" s="85" t="s">
        <v>488</v>
      </c>
      <c r="E304" s="542"/>
      <c r="F304" s="105"/>
      <c r="G304" s="105"/>
      <c r="H304" s="84"/>
      <c r="I304" s="231"/>
      <c r="J304" s="111"/>
      <c r="K304" s="111"/>
      <c r="L304" s="111"/>
      <c r="M304" s="111"/>
      <c r="N304" s="61"/>
      <c r="O304" s="61"/>
      <c r="P304" s="17">
        <f t="shared" si="315"/>
        <v>0</v>
      </c>
      <c r="Q304" s="61"/>
      <c r="R304" s="61"/>
      <c r="S304" s="17">
        <f t="shared" si="316"/>
        <v>0</v>
      </c>
      <c r="T304" s="61"/>
      <c r="U304" s="61"/>
      <c r="V304" s="17">
        <f t="shared" si="323"/>
        <v>0</v>
      </c>
      <c r="W304" s="391">
        <f t="shared" si="324"/>
        <v>0</v>
      </c>
      <c r="X304" s="17">
        <f t="shared" si="325"/>
        <v>0</v>
      </c>
      <c r="Y304" s="18">
        <f t="shared" si="326"/>
        <v>0</v>
      </c>
      <c r="Z304" s="19">
        <f t="shared" si="327"/>
        <v>0</v>
      </c>
      <c r="AA304" s="19"/>
      <c r="AB304" s="19"/>
      <c r="AC304" s="20"/>
      <c r="AE304" s="111"/>
      <c r="AF304" s="111"/>
      <c r="AG304" s="111"/>
      <c r="AH304" s="545"/>
      <c r="AI304" s="131"/>
      <c r="AK304" s="111"/>
      <c r="AL304" s="111"/>
      <c r="AM304" s="111"/>
      <c r="AN304" s="545"/>
      <c r="AO304" s="131"/>
      <c r="AQ304" s="17"/>
      <c r="AR304" s="17"/>
      <c r="AS304" s="17"/>
      <c r="AT304" s="424">
        <f t="shared" ref="AT304:AT306" si="330">W304</f>
        <v>0</v>
      </c>
      <c r="AU304" s="19">
        <f t="shared" ref="AU304:AU306" si="331">IF(AT$312=0,0,AT304/AT$312)</f>
        <v>0</v>
      </c>
      <c r="AW304" s="17"/>
      <c r="AX304" s="17"/>
      <c r="AY304" s="17"/>
      <c r="AZ304" s="424">
        <f t="shared" ref="AZ304:AZ306" si="332">X304</f>
        <v>0</v>
      </c>
      <c r="BA304" s="19">
        <f t="shared" ref="BA304:BA306" si="333">IF(AZ$312=0,0,AZ304/AZ$312)</f>
        <v>0</v>
      </c>
    </row>
    <row r="305" spans="1:53" ht="17.100000000000001" customHeight="1" x14ac:dyDescent="0.25">
      <c r="A305" s="40"/>
      <c r="B305" s="40"/>
      <c r="C305" s="74" t="s">
        <v>668</v>
      </c>
      <c r="D305" s="85" t="s">
        <v>304</v>
      </c>
      <c r="E305" s="542"/>
      <c r="F305" s="105"/>
      <c r="G305" s="105"/>
      <c r="H305" s="84"/>
      <c r="I305" s="231"/>
      <c r="J305" s="111"/>
      <c r="K305" s="111"/>
      <c r="L305" s="111"/>
      <c r="M305" s="111"/>
      <c r="N305" s="60"/>
      <c r="O305" s="60"/>
      <c r="P305" s="17">
        <f t="shared" si="315"/>
        <v>0</v>
      </c>
      <c r="Q305" s="60"/>
      <c r="R305" s="60"/>
      <c r="S305" s="17">
        <f t="shared" si="316"/>
        <v>0</v>
      </c>
      <c r="T305" s="60"/>
      <c r="U305" s="60"/>
      <c r="V305" s="17">
        <f t="shared" si="323"/>
        <v>0</v>
      </c>
      <c r="W305" s="391">
        <f t="shared" si="324"/>
        <v>0</v>
      </c>
      <c r="X305" s="17">
        <f t="shared" si="325"/>
        <v>0</v>
      </c>
      <c r="Y305" s="18">
        <f t="shared" si="326"/>
        <v>0</v>
      </c>
      <c r="Z305" s="19">
        <f t="shared" si="327"/>
        <v>0</v>
      </c>
      <c r="AA305" s="19"/>
      <c r="AB305" s="19"/>
      <c r="AC305" s="20"/>
      <c r="AE305" s="111"/>
      <c r="AF305" s="111"/>
      <c r="AG305" s="111"/>
      <c r="AH305" s="545"/>
      <c r="AI305" s="131"/>
      <c r="AK305" s="111"/>
      <c r="AL305" s="111"/>
      <c r="AM305" s="111"/>
      <c r="AN305" s="545"/>
      <c r="AO305" s="131"/>
      <c r="AQ305" s="17"/>
      <c r="AR305" s="17"/>
      <c r="AS305" s="17"/>
      <c r="AT305" s="424">
        <f t="shared" si="330"/>
        <v>0</v>
      </c>
      <c r="AU305" s="19">
        <f t="shared" si="331"/>
        <v>0</v>
      </c>
      <c r="AW305" s="17"/>
      <c r="AX305" s="17"/>
      <c r="AY305" s="17"/>
      <c r="AZ305" s="424">
        <f t="shared" si="332"/>
        <v>0</v>
      </c>
      <c r="BA305" s="19">
        <f t="shared" si="333"/>
        <v>0</v>
      </c>
    </row>
    <row r="306" spans="1:53" ht="17.100000000000001" customHeight="1" x14ac:dyDescent="0.25">
      <c r="A306" s="40"/>
      <c r="B306" s="40"/>
      <c r="C306" s="74" t="s">
        <v>669</v>
      </c>
      <c r="D306" s="85" t="s">
        <v>758</v>
      </c>
      <c r="E306" s="542"/>
      <c r="F306" s="105"/>
      <c r="G306" s="105"/>
      <c r="H306" s="84"/>
      <c r="I306" s="231"/>
      <c r="J306" s="111"/>
      <c r="K306" s="111"/>
      <c r="L306" s="111"/>
      <c r="M306" s="111"/>
      <c r="N306" s="61"/>
      <c r="O306" s="61"/>
      <c r="P306" s="17">
        <f t="shared" si="315"/>
        <v>0</v>
      </c>
      <c r="Q306" s="61"/>
      <c r="R306" s="61"/>
      <c r="S306" s="17">
        <f t="shared" si="316"/>
        <v>0</v>
      </c>
      <c r="T306" s="61"/>
      <c r="U306" s="61"/>
      <c r="V306" s="17">
        <f t="shared" si="323"/>
        <v>0</v>
      </c>
      <c r="W306" s="391">
        <f t="shared" si="324"/>
        <v>0</v>
      </c>
      <c r="X306" s="17">
        <f t="shared" si="325"/>
        <v>0</v>
      </c>
      <c r="Y306" s="18">
        <f t="shared" si="326"/>
        <v>0</v>
      </c>
      <c r="Z306" s="19">
        <f t="shared" si="327"/>
        <v>0</v>
      </c>
      <c r="AA306" s="19"/>
      <c r="AB306" s="19"/>
      <c r="AC306" s="20"/>
      <c r="AE306" s="111"/>
      <c r="AF306" s="111"/>
      <c r="AG306" s="111"/>
      <c r="AH306" s="545"/>
      <c r="AI306" s="131"/>
      <c r="AK306" s="111"/>
      <c r="AL306" s="111"/>
      <c r="AM306" s="111"/>
      <c r="AN306" s="545"/>
      <c r="AO306" s="131"/>
      <c r="AQ306" s="17"/>
      <c r="AR306" s="17"/>
      <c r="AS306" s="17"/>
      <c r="AT306" s="424">
        <f t="shared" si="330"/>
        <v>0</v>
      </c>
      <c r="AU306" s="19">
        <f t="shared" si="331"/>
        <v>0</v>
      </c>
      <c r="AW306" s="17"/>
      <c r="AX306" s="17"/>
      <c r="AY306" s="17"/>
      <c r="AZ306" s="424">
        <f t="shared" si="332"/>
        <v>0</v>
      </c>
      <c r="BA306" s="19">
        <f t="shared" si="333"/>
        <v>0</v>
      </c>
    </row>
    <row r="307" spans="1:53" ht="17.100000000000001" customHeight="1" x14ac:dyDescent="0.25">
      <c r="A307" s="40"/>
      <c r="B307" s="40"/>
      <c r="C307" s="74" t="s">
        <v>756</v>
      </c>
      <c r="D307" s="85" t="s">
        <v>305</v>
      </c>
      <c r="E307" s="542"/>
      <c r="F307" s="105"/>
      <c r="G307" s="105"/>
      <c r="H307" s="84"/>
      <c r="I307" s="231"/>
      <c r="J307" s="111"/>
      <c r="K307" s="111"/>
      <c r="L307" s="111"/>
      <c r="M307" s="111"/>
      <c r="N307" s="111">
        <f t="shared" ref="N307:U307" si="334">SUM(N308:N311)</f>
        <v>0</v>
      </c>
      <c r="O307" s="111">
        <f t="shared" si="334"/>
        <v>0</v>
      </c>
      <c r="P307" s="111">
        <f t="shared" si="315"/>
        <v>0</v>
      </c>
      <c r="Q307" s="111">
        <f t="shared" si="334"/>
        <v>0</v>
      </c>
      <c r="R307" s="111">
        <f t="shared" si="334"/>
        <v>0</v>
      </c>
      <c r="S307" s="111">
        <f t="shared" si="316"/>
        <v>0</v>
      </c>
      <c r="T307" s="111">
        <f t="shared" si="334"/>
        <v>0</v>
      </c>
      <c r="U307" s="111">
        <f t="shared" si="334"/>
        <v>0</v>
      </c>
      <c r="V307" s="358">
        <f t="shared" si="317"/>
        <v>0</v>
      </c>
      <c r="W307" s="380">
        <f t="shared" si="318"/>
        <v>0</v>
      </c>
      <c r="X307" s="111">
        <f t="shared" si="319"/>
        <v>0</v>
      </c>
      <c r="Y307" s="545">
        <f t="shared" si="320"/>
        <v>0</v>
      </c>
      <c r="Z307" s="131">
        <f>IF(Y$312=0,0,Y307/Y$312)</f>
        <v>0</v>
      </c>
      <c r="AA307" s="131"/>
      <c r="AB307" s="131"/>
      <c r="AC307" s="113"/>
      <c r="AE307" s="111"/>
      <c r="AF307" s="111"/>
      <c r="AG307" s="111"/>
      <c r="AH307" s="545"/>
      <c r="AI307" s="131"/>
      <c r="AK307" s="111"/>
      <c r="AL307" s="111"/>
      <c r="AM307" s="111"/>
      <c r="AN307" s="545"/>
      <c r="AO307" s="131"/>
      <c r="AQ307" s="111"/>
      <c r="AR307" s="111"/>
      <c r="AS307" s="111"/>
      <c r="AT307" s="111">
        <f t="shared" si="328"/>
        <v>0</v>
      </c>
      <c r="AU307" s="131">
        <f>IF(AT$312=0,0,AT307/AT$312)</f>
        <v>0</v>
      </c>
      <c r="AW307" s="111"/>
      <c r="AX307" s="111"/>
      <c r="AY307" s="111"/>
      <c r="AZ307" s="111">
        <f t="shared" si="329"/>
        <v>0</v>
      </c>
      <c r="BA307" s="131">
        <f>IF(AZ$312=0,0,AZ307/AZ$312)</f>
        <v>0</v>
      </c>
    </row>
    <row r="308" spans="1:53" ht="17.100000000000001" customHeight="1" x14ac:dyDescent="0.25">
      <c r="A308" s="40"/>
      <c r="B308" s="40"/>
      <c r="C308" s="74"/>
      <c r="D308" s="298"/>
      <c r="E308" s="295"/>
      <c r="F308" s="295"/>
      <c r="G308" s="295"/>
      <c r="H308" s="198"/>
      <c r="I308" s="642"/>
      <c r="J308" s="111"/>
      <c r="K308" s="111"/>
      <c r="L308" s="111"/>
      <c r="M308" s="111"/>
      <c r="N308" s="60"/>
      <c r="O308" s="60"/>
      <c r="P308" s="17"/>
      <c r="Q308" s="60"/>
      <c r="R308" s="60"/>
      <c r="S308" s="17"/>
      <c r="T308" s="60"/>
      <c r="U308" s="60"/>
      <c r="V308" s="359"/>
      <c r="W308" s="391"/>
      <c r="X308" s="17"/>
      <c r="Y308" s="17"/>
      <c r="Z308" s="19"/>
      <c r="AA308" s="20"/>
      <c r="AB308" s="20"/>
      <c r="AC308" s="20"/>
      <c r="AE308" s="111"/>
      <c r="AF308" s="111"/>
      <c r="AG308" s="114"/>
      <c r="AH308" s="113"/>
      <c r="AI308" s="113"/>
      <c r="AK308" s="111"/>
      <c r="AL308" s="111"/>
      <c r="AM308" s="114"/>
      <c r="AN308" s="113"/>
      <c r="AO308" s="113"/>
      <c r="AQ308" s="17"/>
      <c r="AR308" s="17"/>
      <c r="AS308" s="306"/>
      <c r="AT308" s="20"/>
      <c r="AU308" s="20"/>
      <c r="AW308" s="17"/>
      <c r="AX308" s="17"/>
      <c r="AY308" s="306"/>
      <c r="AZ308" s="20"/>
      <c r="BA308" s="20"/>
    </row>
    <row r="309" spans="1:53" ht="17.100000000000001" customHeight="1" x14ac:dyDescent="0.25">
      <c r="A309" s="40"/>
      <c r="B309" s="40"/>
      <c r="C309" s="74"/>
      <c r="D309" s="296"/>
      <c r="E309" s="297"/>
      <c r="F309" s="297"/>
      <c r="G309" s="297"/>
      <c r="H309" s="198"/>
      <c r="I309" s="642"/>
      <c r="J309" s="111"/>
      <c r="K309" s="111"/>
      <c r="L309" s="111"/>
      <c r="M309" s="111"/>
      <c r="N309" s="61"/>
      <c r="O309" s="61"/>
      <c r="P309" s="17"/>
      <c r="Q309" s="61"/>
      <c r="R309" s="61"/>
      <c r="S309" s="17"/>
      <c r="T309" s="61"/>
      <c r="U309" s="61"/>
      <c r="V309" s="359"/>
      <c r="W309" s="391"/>
      <c r="X309" s="17"/>
      <c r="Y309" s="17"/>
      <c r="Z309" s="19"/>
      <c r="AA309" s="20"/>
      <c r="AB309" s="20"/>
      <c r="AC309" s="20"/>
      <c r="AE309" s="111"/>
      <c r="AF309" s="111"/>
      <c r="AG309" s="114"/>
      <c r="AH309" s="113"/>
      <c r="AI309" s="113"/>
      <c r="AK309" s="111"/>
      <c r="AL309" s="111"/>
      <c r="AM309" s="114"/>
      <c r="AN309" s="113"/>
      <c r="AO309" s="113"/>
      <c r="AQ309" s="17"/>
      <c r="AR309" s="17"/>
      <c r="AS309" s="306"/>
      <c r="AT309" s="20"/>
      <c r="AU309" s="20"/>
      <c r="AW309" s="17"/>
      <c r="AX309" s="17"/>
      <c r="AY309" s="306"/>
      <c r="AZ309" s="20"/>
      <c r="BA309" s="20"/>
    </row>
    <row r="310" spans="1:53" ht="17.100000000000001" customHeight="1" x14ac:dyDescent="0.25">
      <c r="A310" s="40"/>
      <c r="B310" s="40"/>
      <c r="C310" s="74"/>
      <c r="D310" s="298"/>
      <c r="E310" s="295"/>
      <c r="F310" s="295"/>
      <c r="G310" s="295"/>
      <c r="H310" s="198"/>
      <c r="I310" s="642"/>
      <c r="J310" s="111"/>
      <c r="K310" s="111"/>
      <c r="L310" s="111"/>
      <c r="M310" s="111"/>
      <c r="N310" s="60"/>
      <c r="O310" s="60"/>
      <c r="P310" s="17"/>
      <c r="Q310" s="60"/>
      <c r="R310" s="60"/>
      <c r="S310" s="17"/>
      <c r="T310" s="60"/>
      <c r="U310" s="60"/>
      <c r="V310" s="359"/>
      <c r="W310" s="391"/>
      <c r="X310" s="17"/>
      <c r="Y310" s="17"/>
      <c r="Z310" s="19"/>
      <c r="AA310" s="20"/>
      <c r="AB310" s="20"/>
      <c r="AC310" s="20"/>
      <c r="AE310" s="111"/>
      <c r="AF310" s="111"/>
      <c r="AG310" s="114"/>
      <c r="AH310" s="113"/>
      <c r="AI310" s="113"/>
      <c r="AK310" s="111"/>
      <c r="AL310" s="111"/>
      <c r="AM310" s="114"/>
      <c r="AN310" s="113"/>
      <c r="AO310" s="113"/>
      <c r="AQ310" s="17"/>
      <c r="AR310" s="17"/>
      <c r="AS310" s="306"/>
      <c r="AT310" s="20"/>
      <c r="AU310" s="20"/>
      <c r="AW310" s="17"/>
      <c r="AX310" s="17"/>
      <c r="AY310" s="306"/>
      <c r="AZ310" s="20"/>
      <c r="BA310" s="20"/>
    </row>
    <row r="311" spans="1:53" ht="17.100000000000001" customHeight="1" x14ac:dyDescent="0.25">
      <c r="A311" s="40"/>
      <c r="B311" s="40"/>
      <c r="C311" s="74"/>
      <c r="D311" s="296"/>
      <c r="E311" s="297"/>
      <c r="F311" s="297"/>
      <c r="G311" s="297"/>
      <c r="H311" s="198"/>
      <c r="I311" s="642"/>
      <c r="J311" s="111"/>
      <c r="K311" s="111"/>
      <c r="L311" s="111"/>
      <c r="M311" s="111"/>
      <c r="N311" s="61"/>
      <c r="O311" s="61"/>
      <c r="P311" s="17"/>
      <c r="Q311" s="61"/>
      <c r="R311" s="61"/>
      <c r="S311" s="17"/>
      <c r="T311" s="61"/>
      <c r="U311" s="61"/>
      <c r="V311" s="359"/>
      <c r="W311" s="391"/>
      <c r="X311" s="17"/>
      <c r="Y311" s="17"/>
      <c r="Z311" s="19"/>
      <c r="AA311" s="20"/>
      <c r="AB311" s="20"/>
      <c r="AC311" s="20"/>
      <c r="AE311" s="111"/>
      <c r="AF311" s="111"/>
      <c r="AG311" s="114"/>
      <c r="AH311" s="113"/>
      <c r="AI311" s="113"/>
      <c r="AK311" s="111"/>
      <c r="AL311" s="111"/>
      <c r="AM311" s="114"/>
      <c r="AN311" s="113"/>
      <c r="AO311" s="113"/>
      <c r="AQ311" s="17"/>
      <c r="AR311" s="17"/>
      <c r="AS311" s="306"/>
      <c r="AT311" s="20"/>
      <c r="AU311" s="20"/>
      <c r="AW311" s="17"/>
      <c r="AX311" s="17"/>
      <c r="AY311" s="306"/>
      <c r="AZ311" s="20"/>
      <c r="BA311" s="20"/>
    </row>
    <row r="312" spans="1:53" ht="17.100000000000001" customHeight="1" x14ac:dyDescent="0.25">
      <c r="A312" s="40"/>
      <c r="B312" s="40"/>
      <c r="C312" s="292"/>
      <c r="D312" s="144"/>
      <c r="E312" s="144"/>
      <c r="F312" s="145"/>
      <c r="G312" s="145"/>
      <c r="H312" s="119"/>
      <c r="I312" s="236"/>
      <c r="J312" s="80"/>
      <c r="K312" s="80"/>
      <c r="L312" s="81"/>
      <c r="M312" s="81"/>
      <c r="N312" s="81">
        <f>SUM(N297:N307)</f>
        <v>3</v>
      </c>
      <c r="O312" s="81">
        <f t="shared" ref="O312:V312" si="335">SUM(O297:O307)</f>
        <v>6</v>
      </c>
      <c r="P312" s="81">
        <f t="shared" si="335"/>
        <v>9</v>
      </c>
      <c r="Q312" s="81">
        <f t="shared" si="335"/>
        <v>0</v>
      </c>
      <c r="R312" s="81">
        <f t="shared" si="335"/>
        <v>0</v>
      </c>
      <c r="S312" s="81">
        <f t="shared" si="335"/>
        <v>0</v>
      </c>
      <c r="T312" s="81">
        <f t="shared" si="335"/>
        <v>0</v>
      </c>
      <c r="U312" s="81">
        <f t="shared" si="335"/>
        <v>0</v>
      </c>
      <c r="V312" s="356">
        <f t="shared" si="335"/>
        <v>0</v>
      </c>
      <c r="W312" s="381">
        <f>SUM(W297:W307)</f>
        <v>3</v>
      </c>
      <c r="X312" s="82">
        <f t="shared" ref="X312:Y312" si="336">SUM(X297:X307)</f>
        <v>6</v>
      </c>
      <c r="Y312" s="82">
        <f t="shared" si="336"/>
        <v>9</v>
      </c>
      <c r="Z312" s="66">
        <f>IF(Y$312=0,0,Y312/Y$312)</f>
        <v>1</v>
      </c>
      <c r="AA312" s="205"/>
      <c r="AB312" s="205"/>
      <c r="AC312" s="83"/>
      <c r="AE312" s="81"/>
      <c r="AF312" s="81"/>
      <c r="AG312" s="82"/>
      <c r="AH312" s="82"/>
      <c r="AI312" s="66"/>
      <c r="AK312" s="81"/>
      <c r="AL312" s="81"/>
      <c r="AM312" s="82"/>
      <c r="AN312" s="82"/>
      <c r="AO312" s="66"/>
      <c r="AQ312" s="81"/>
      <c r="AR312" s="81"/>
      <c r="AS312" s="82"/>
      <c r="AT312" s="81">
        <f>SUM(AT297:AT307)</f>
        <v>3</v>
      </c>
      <c r="AU312" s="66">
        <f t="shared" ref="AU312" si="337">IF(AT$312=0,0,AT312/AT$312)</f>
        <v>1</v>
      </c>
      <c r="AW312" s="81"/>
      <c r="AX312" s="81"/>
      <c r="AY312" s="82"/>
      <c r="AZ312" s="81">
        <f>SUM(AZ297:AZ307)</f>
        <v>6</v>
      </c>
      <c r="BA312" s="66">
        <f t="shared" ref="BA312" si="338">IF(AZ$312=0,0,AZ312/AZ$312)</f>
        <v>1</v>
      </c>
    </row>
    <row r="313" spans="1:53" s="117" customFormat="1" ht="17.100000000000001" customHeight="1" x14ac:dyDescent="0.25">
      <c r="A313" s="68"/>
      <c r="B313" s="119"/>
      <c r="C313" s="540"/>
      <c r="D313" s="261"/>
      <c r="E313" s="261"/>
      <c r="F313" s="68"/>
      <c r="G313" s="68"/>
      <c r="H313" s="119"/>
      <c r="I313" s="138"/>
      <c r="J313" s="17"/>
      <c r="K313" s="17"/>
      <c r="L313" s="17"/>
      <c r="M313" s="17"/>
      <c r="N313" s="17" t="str">
        <f>IF(N312&gt;=N$20,"OK","NOK")</f>
        <v>OK</v>
      </c>
      <c r="O313" s="17" t="str">
        <f>IF(O312&gt;=O$20,"OK","NOK")</f>
        <v>OK</v>
      </c>
      <c r="P313" s="17"/>
      <c r="Q313" s="17" t="str">
        <f>IF(Q312&gt;=Q$20,"OK","NOK")</f>
        <v>OK</v>
      </c>
      <c r="R313" s="17" t="str">
        <f>IF(R312&gt;=R$20,"OK","NOK")</f>
        <v>OK</v>
      </c>
      <c r="S313" s="17"/>
      <c r="T313" s="17" t="str">
        <f>IF(T312&gt;=T$20,"OK","NOK")</f>
        <v>OK</v>
      </c>
      <c r="U313" s="17" t="str">
        <f>IF(U312&gt;=U$20,"OK","NOK")</f>
        <v>OK</v>
      </c>
      <c r="V313" s="359"/>
      <c r="W313" s="382"/>
      <c r="X313" s="539"/>
      <c r="Y313" s="539"/>
      <c r="Z313" s="201"/>
      <c r="AA313" s="201"/>
      <c r="AB313" s="201"/>
      <c r="AC313" s="84"/>
      <c r="AE313" s="46"/>
      <c r="AF313" s="46"/>
      <c r="AG313" s="17"/>
      <c r="AH313" s="539"/>
      <c r="AI313" s="91"/>
      <c r="AK313" s="46"/>
      <c r="AL313" s="46"/>
      <c r="AM313" s="17"/>
      <c r="AN313" s="539"/>
      <c r="AO313" s="91"/>
      <c r="AQ313" s="46"/>
      <c r="AR313" s="46"/>
      <c r="AS313" s="17"/>
      <c r="AT313" s="539"/>
      <c r="AU313" s="91"/>
      <c r="AW313" s="46"/>
      <c r="AX313" s="46"/>
      <c r="AY313" s="17"/>
      <c r="AZ313" s="539"/>
      <c r="BA313" s="91"/>
    </row>
    <row r="314" spans="1:53" ht="17.100000000000001" customHeight="1" x14ac:dyDescent="0.25">
      <c r="A314" s="40"/>
      <c r="B314" s="41" t="s">
        <v>310</v>
      </c>
      <c r="C314" s="49" t="s">
        <v>307</v>
      </c>
      <c r="D314" s="43"/>
      <c r="E314" s="43"/>
      <c r="F314" s="43"/>
      <c r="G314" s="43"/>
      <c r="H314" s="23"/>
      <c r="I314" s="229"/>
      <c r="J314" s="71"/>
      <c r="K314" s="71"/>
      <c r="L314" s="71"/>
      <c r="M314" s="71"/>
      <c r="N314" s="71"/>
      <c r="O314" s="71"/>
      <c r="P314" s="71"/>
      <c r="Q314" s="71"/>
      <c r="R314" s="71"/>
      <c r="S314" s="71"/>
      <c r="T314" s="71"/>
      <c r="U314" s="71"/>
      <c r="V314" s="71"/>
      <c r="W314" s="71"/>
      <c r="X314" s="71"/>
      <c r="Y314" s="71"/>
      <c r="Z314" s="73"/>
      <c r="AA314" s="73"/>
      <c r="AB314" s="73"/>
      <c r="AC314" s="73"/>
      <c r="AE314" s="71"/>
      <c r="AF314" s="71"/>
      <c r="AG314" s="273"/>
      <c r="AH314" s="73"/>
      <c r="AI314" s="73"/>
      <c r="AK314" s="71"/>
      <c r="AL314" s="71"/>
      <c r="AM314" s="273"/>
      <c r="AN314" s="73"/>
      <c r="AO314" s="73"/>
      <c r="AQ314" s="71"/>
      <c r="AR314" s="71"/>
      <c r="AS314" s="273"/>
      <c r="AT314" s="73"/>
      <c r="AU314" s="73"/>
      <c r="AW314" s="71"/>
      <c r="AX314" s="71"/>
      <c r="AY314" s="273"/>
      <c r="AZ314" s="73"/>
      <c r="BA314" s="73"/>
    </row>
    <row r="315" spans="1:53" ht="17.100000000000001" customHeight="1" x14ac:dyDescent="0.25">
      <c r="A315" s="119"/>
      <c r="B315" s="119"/>
      <c r="C315" s="56" t="s">
        <v>311</v>
      </c>
      <c r="D315" s="146" t="s">
        <v>9</v>
      </c>
      <c r="E315" s="105"/>
      <c r="F315" s="105"/>
      <c r="G315" s="105"/>
      <c r="H315" s="119"/>
      <c r="I315" s="231"/>
      <c r="J315" s="111"/>
      <c r="K315" s="111"/>
      <c r="L315" s="111"/>
      <c r="M315" s="111"/>
      <c r="N315" s="60">
        <v>2</v>
      </c>
      <c r="O315" s="60">
        <v>3</v>
      </c>
      <c r="P315" s="17">
        <f t="shared" ref="P315:P317" si="339">SUM(N315:O315)</f>
        <v>5</v>
      </c>
      <c r="Q315" s="60"/>
      <c r="R315" s="60"/>
      <c r="S315" s="17">
        <f t="shared" ref="S315:S317" si="340">SUM(Q315:R315)</f>
        <v>0</v>
      </c>
      <c r="T315" s="60"/>
      <c r="U315" s="60"/>
      <c r="V315" s="17">
        <f t="shared" ref="V315:V317" si="341">SUM(T315:U315)</f>
        <v>0</v>
      </c>
      <c r="W315" s="391">
        <f t="shared" ref="W315:W317" si="342">J315+K315+N315+Q315+T315</f>
        <v>2</v>
      </c>
      <c r="X315" s="17">
        <f t="shared" ref="X315:X317" si="343">L315+O315+R315+U315</f>
        <v>3</v>
      </c>
      <c r="Y315" s="18">
        <f t="shared" ref="Y315:Y317" si="344">SUM(W315:X315)</f>
        <v>5</v>
      </c>
      <c r="Z315" s="19">
        <f>IF(Y$318=0,0,Y315/Y$318)</f>
        <v>1</v>
      </c>
      <c r="AA315" s="19"/>
      <c r="AB315" s="19"/>
      <c r="AC315" s="20"/>
      <c r="AE315" s="111"/>
      <c r="AF315" s="111"/>
      <c r="AG315" s="111"/>
      <c r="AH315" s="545"/>
      <c r="AI315" s="131"/>
      <c r="AK315" s="111"/>
      <c r="AL315" s="111"/>
      <c r="AM315" s="111"/>
      <c r="AN315" s="545"/>
      <c r="AO315" s="131"/>
      <c r="AQ315" s="17"/>
      <c r="AR315" s="17"/>
      <c r="AS315" s="17"/>
      <c r="AT315" s="424">
        <f>W315</f>
        <v>2</v>
      </c>
      <c r="AU315" s="19">
        <f>IF(AT$318=0,0,AT315/AT$318)</f>
        <v>1</v>
      </c>
      <c r="AW315" s="17"/>
      <c r="AX315" s="17"/>
      <c r="AY315" s="17"/>
      <c r="AZ315" s="424">
        <f>X315</f>
        <v>3</v>
      </c>
      <c r="BA315" s="19">
        <f>IF(AZ$318=0,0,AZ315/AZ$318)</f>
        <v>1</v>
      </c>
    </row>
    <row r="316" spans="1:53" ht="17.100000000000001" customHeight="1" x14ac:dyDescent="0.25">
      <c r="A316" s="119"/>
      <c r="B316" s="119"/>
      <c r="C316" s="56" t="s">
        <v>312</v>
      </c>
      <c r="D316" s="146" t="s">
        <v>11</v>
      </c>
      <c r="E316" s="105"/>
      <c r="F316" s="105"/>
      <c r="G316" s="105"/>
      <c r="H316" s="119"/>
      <c r="I316" s="231"/>
      <c r="J316" s="111"/>
      <c r="K316" s="111"/>
      <c r="L316" s="111"/>
      <c r="M316" s="111"/>
      <c r="N316" s="61"/>
      <c r="O316" s="61"/>
      <c r="P316" s="17">
        <f t="shared" si="339"/>
        <v>0</v>
      </c>
      <c r="Q316" s="61"/>
      <c r="R316" s="61"/>
      <c r="S316" s="17">
        <f t="shared" si="340"/>
        <v>0</v>
      </c>
      <c r="T316" s="61"/>
      <c r="U316" s="61"/>
      <c r="V316" s="17">
        <f t="shared" si="341"/>
        <v>0</v>
      </c>
      <c r="W316" s="391">
        <f t="shared" si="342"/>
        <v>0</v>
      </c>
      <c r="X316" s="17">
        <f t="shared" si="343"/>
        <v>0</v>
      </c>
      <c r="Y316" s="18">
        <f t="shared" si="344"/>
        <v>0</v>
      </c>
      <c r="Z316" s="19">
        <f t="shared" ref="Z316:Z318" si="345">IF(Y$318=0,0,Y316/Y$318)</f>
        <v>0</v>
      </c>
      <c r="AA316" s="19"/>
      <c r="AB316" s="19"/>
      <c r="AC316" s="20"/>
      <c r="AE316" s="111"/>
      <c r="AF316" s="111"/>
      <c r="AG316" s="111"/>
      <c r="AH316" s="545"/>
      <c r="AI316" s="131"/>
      <c r="AK316" s="111"/>
      <c r="AL316" s="111"/>
      <c r="AM316" s="111"/>
      <c r="AN316" s="545"/>
      <c r="AO316" s="131"/>
      <c r="AQ316" s="17"/>
      <c r="AR316" s="17"/>
      <c r="AS316" s="17"/>
      <c r="AT316" s="424">
        <f t="shared" ref="AT316:AT317" si="346">W316</f>
        <v>0</v>
      </c>
      <c r="AU316" s="19">
        <f t="shared" ref="AU316:AU318" si="347">IF(AT$318=0,0,AT316/AT$318)</f>
        <v>0</v>
      </c>
      <c r="AW316" s="17"/>
      <c r="AX316" s="17"/>
      <c r="AY316" s="17"/>
      <c r="AZ316" s="424">
        <f t="shared" ref="AZ316:AZ317" si="348">X316</f>
        <v>0</v>
      </c>
      <c r="BA316" s="19">
        <f t="shared" ref="BA316:BA318" si="349">IF(AZ$318=0,0,AZ316/AZ$318)</f>
        <v>0</v>
      </c>
    </row>
    <row r="317" spans="1:53" ht="17.100000000000001" customHeight="1" x14ac:dyDescent="0.25">
      <c r="A317" s="119"/>
      <c r="B317" s="119"/>
      <c r="C317" s="56" t="s">
        <v>490</v>
      </c>
      <c r="D317" s="146" t="s">
        <v>617</v>
      </c>
      <c r="E317" s="105"/>
      <c r="F317" s="105"/>
      <c r="G317" s="105"/>
      <c r="H317" s="119"/>
      <c r="I317" s="231"/>
      <c r="J317" s="111"/>
      <c r="K317" s="111"/>
      <c r="L317" s="111"/>
      <c r="M317" s="111"/>
      <c r="N317" s="60"/>
      <c r="O317" s="60"/>
      <c r="P317" s="17">
        <f t="shared" si="339"/>
        <v>0</v>
      </c>
      <c r="Q317" s="60"/>
      <c r="R317" s="60"/>
      <c r="S317" s="17">
        <f t="shared" si="340"/>
        <v>0</v>
      </c>
      <c r="T317" s="60"/>
      <c r="U317" s="60"/>
      <c r="V317" s="17">
        <f t="shared" si="341"/>
        <v>0</v>
      </c>
      <c r="W317" s="391">
        <f t="shared" si="342"/>
        <v>0</v>
      </c>
      <c r="X317" s="17">
        <f t="shared" si="343"/>
        <v>0</v>
      </c>
      <c r="Y317" s="18">
        <f t="shared" si="344"/>
        <v>0</v>
      </c>
      <c r="Z317" s="19">
        <f t="shared" si="345"/>
        <v>0</v>
      </c>
      <c r="AA317" s="19"/>
      <c r="AB317" s="19"/>
      <c r="AC317" s="20"/>
      <c r="AE317" s="111"/>
      <c r="AF317" s="111"/>
      <c r="AG317" s="111"/>
      <c r="AH317" s="545"/>
      <c r="AI317" s="131"/>
      <c r="AK317" s="111"/>
      <c r="AL317" s="111"/>
      <c r="AM317" s="111"/>
      <c r="AN317" s="545"/>
      <c r="AO317" s="131"/>
      <c r="AQ317" s="17"/>
      <c r="AR317" s="17"/>
      <c r="AS317" s="17"/>
      <c r="AT317" s="424">
        <f t="shared" si="346"/>
        <v>0</v>
      </c>
      <c r="AU317" s="19">
        <f t="shared" si="347"/>
        <v>0</v>
      </c>
      <c r="AW317" s="17"/>
      <c r="AX317" s="17"/>
      <c r="AY317" s="17"/>
      <c r="AZ317" s="424">
        <f t="shared" si="348"/>
        <v>0</v>
      </c>
      <c r="BA317" s="19">
        <f t="shared" si="349"/>
        <v>0</v>
      </c>
    </row>
    <row r="318" spans="1:53" ht="17.100000000000001" customHeight="1" x14ac:dyDescent="0.25">
      <c r="A318" s="40"/>
      <c r="B318" s="40"/>
      <c r="C318" s="292"/>
      <c r="D318" s="144"/>
      <c r="E318" s="144"/>
      <c r="F318" s="145"/>
      <c r="G318" s="145"/>
      <c r="H318" s="119"/>
      <c r="I318" s="236"/>
      <c r="J318" s="80"/>
      <c r="K318" s="80"/>
      <c r="L318" s="81"/>
      <c r="M318" s="81"/>
      <c r="N318" s="81">
        <f>SUM(N315:N317)</f>
        <v>2</v>
      </c>
      <c r="O318" s="81">
        <f t="shared" ref="O318:V318" si="350">SUM(O315:O317)</f>
        <v>3</v>
      </c>
      <c r="P318" s="81">
        <f t="shared" si="350"/>
        <v>5</v>
      </c>
      <c r="Q318" s="81">
        <f t="shared" si="350"/>
        <v>0</v>
      </c>
      <c r="R318" s="81">
        <f t="shared" si="350"/>
        <v>0</v>
      </c>
      <c r="S318" s="81">
        <f t="shared" si="350"/>
        <v>0</v>
      </c>
      <c r="T318" s="81">
        <f t="shared" si="350"/>
        <v>0</v>
      </c>
      <c r="U318" s="81">
        <f t="shared" si="350"/>
        <v>0</v>
      </c>
      <c r="V318" s="81">
        <f t="shared" si="350"/>
        <v>0</v>
      </c>
      <c r="W318" s="82">
        <f>SUM(W315:W317)</f>
        <v>2</v>
      </c>
      <c r="X318" s="82">
        <f t="shared" ref="X318:Y318" si="351">SUM(X315:X317)</f>
        <v>3</v>
      </c>
      <c r="Y318" s="82">
        <f t="shared" si="351"/>
        <v>5</v>
      </c>
      <c r="Z318" s="66">
        <f t="shared" si="345"/>
        <v>1</v>
      </c>
      <c r="AA318" s="205"/>
      <c r="AB318" s="205"/>
      <c r="AC318" s="83"/>
      <c r="AE318" s="81"/>
      <c r="AF318" s="81"/>
      <c r="AG318" s="82"/>
      <c r="AH318" s="82"/>
      <c r="AI318" s="66"/>
      <c r="AK318" s="81"/>
      <c r="AL318" s="81"/>
      <c r="AM318" s="82"/>
      <c r="AN318" s="82"/>
      <c r="AO318" s="66"/>
      <c r="AQ318" s="81"/>
      <c r="AR318" s="81"/>
      <c r="AS318" s="82"/>
      <c r="AT318" s="81">
        <f>SUM(AT315:AT317)</f>
        <v>2</v>
      </c>
      <c r="AU318" s="66">
        <f t="shared" si="347"/>
        <v>1</v>
      </c>
      <c r="AW318" s="81"/>
      <c r="AX318" s="81"/>
      <c r="AY318" s="82"/>
      <c r="AZ318" s="81">
        <f>SUM(AZ315:AZ317)</f>
        <v>3</v>
      </c>
      <c r="BA318" s="66">
        <f t="shared" si="349"/>
        <v>1</v>
      </c>
    </row>
    <row r="319" spans="1:53" s="117" customFormat="1" ht="17.100000000000001" customHeight="1" x14ac:dyDescent="0.25">
      <c r="A319" s="68"/>
      <c r="B319" s="119"/>
      <c r="C319" s="540"/>
      <c r="D319" s="261"/>
      <c r="E319" s="261"/>
      <c r="F319" s="68"/>
      <c r="G319" s="68"/>
      <c r="H319" s="119"/>
      <c r="I319" s="138"/>
      <c r="J319" s="17"/>
      <c r="K319" s="17"/>
      <c r="L319" s="17"/>
      <c r="M319" s="17"/>
      <c r="N319" s="17" t="str">
        <f>IF(N318&gt;=N$20,"OK","NOK")</f>
        <v>OK</v>
      </c>
      <c r="O319" s="17" t="str">
        <f>IF(O318&gt;=O$20,"OK","NOK")</f>
        <v>OK</v>
      </c>
      <c r="P319" s="17"/>
      <c r="Q319" s="17" t="str">
        <f>IF(Q318&gt;=Q$20,"OK","NOK")</f>
        <v>OK</v>
      </c>
      <c r="R319" s="17" t="str">
        <f>IF(R318&gt;=R$20,"OK","NOK")</f>
        <v>OK</v>
      </c>
      <c r="S319" s="17"/>
      <c r="T319" s="17" t="str">
        <f>IF(T318&gt;=T$20,"OK","NOK")</f>
        <v>OK</v>
      </c>
      <c r="U319" s="17" t="str">
        <f>IF(U318&gt;=U$20,"OK","NOK")</f>
        <v>OK</v>
      </c>
      <c r="V319" s="359"/>
      <c r="W319" s="382"/>
      <c r="X319" s="539"/>
      <c r="Y319" s="539"/>
      <c r="Z319" s="201"/>
      <c r="AA319" s="201"/>
      <c r="AB319" s="201"/>
      <c r="AC319" s="84"/>
      <c r="AE319" s="46"/>
      <c r="AF319" s="46"/>
      <c r="AG319" s="17"/>
      <c r="AH319" s="539"/>
      <c r="AI319" s="91"/>
      <c r="AK319" s="46"/>
      <c r="AL319" s="46"/>
      <c r="AM319" s="17"/>
      <c r="AN319" s="539"/>
      <c r="AO319" s="91"/>
      <c r="AQ319" s="46"/>
      <c r="AR319" s="46"/>
      <c r="AS319" s="17"/>
      <c r="AT319" s="539"/>
      <c r="AU319" s="91"/>
      <c r="AW319" s="46"/>
      <c r="AX319" s="46"/>
      <c r="AY319" s="17"/>
      <c r="AZ319" s="539"/>
      <c r="BA319" s="91"/>
    </row>
    <row r="320" spans="1:53" s="117" customFormat="1" ht="17.100000000000001" customHeight="1" x14ac:dyDescent="0.25">
      <c r="A320" s="68"/>
      <c r="B320" s="119"/>
      <c r="C320" s="56" t="s">
        <v>672</v>
      </c>
      <c r="D320" s="146" t="s">
        <v>673</v>
      </c>
      <c r="E320" s="149"/>
      <c r="F320" s="149"/>
      <c r="G320" s="151"/>
      <c r="H320" s="119"/>
      <c r="I320" s="138"/>
      <c r="J320" s="111"/>
      <c r="K320" s="111"/>
      <c r="L320" s="111"/>
      <c r="M320" s="111"/>
      <c r="N320" s="111"/>
      <c r="O320" s="111"/>
      <c r="P320" s="336">
        <v>0.33</v>
      </c>
      <c r="Q320" s="341"/>
      <c r="R320" s="341"/>
      <c r="S320" s="336"/>
      <c r="T320" s="341"/>
      <c r="U320" s="341"/>
      <c r="V320" s="368"/>
      <c r="W320" s="382"/>
      <c r="X320" s="539"/>
      <c r="Y320" s="539"/>
      <c r="Z320" s="201"/>
      <c r="AA320" s="340">
        <f>MIN(P320,S320,V320)</f>
        <v>0.33</v>
      </c>
      <c r="AB320" s="340">
        <f>MAX(P320,S320,V320)</f>
        <v>0.33</v>
      </c>
      <c r="AC320" s="340">
        <f>IF(P320+S320+V320=0,0,AVERAGE(P320,S320,V320))</f>
        <v>0.33</v>
      </c>
      <c r="AE320" s="152"/>
      <c r="AF320" s="152"/>
      <c r="AG320" s="111"/>
      <c r="AH320" s="545"/>
      <c r="AI320" s="131"/>
      <c r="AK320" s="152"/>
      <c r="AL320" s="152"/>
      <c r="AM320" s="111"/>
      <c r="AN320" s="545"/>
      <c r="AO320" s="131"/>
      <c r="AQ320" s="152"/>
      <c r="AR320" s="152"/>
      <c r="AS320" s="111"/>
      <c r="AT320" s="545"/>
      <c r="AU320" s="131"/>
      <c r="AW320" s="152"/>
      <c r="AX320" s="152"/>
      <c r="AY320" s="111"/>
      <c r="AZ320" s="545"/>
      <c r="BA320" s="131"/>
    </row>
    <row r="321" spans="1:53" s="117" customFormat="1" ht="17.100000000000001" customHeight="1" x14ac:dyDescent="0.25">
      <c r="A321" s="68"/>
      <c r="B321" s="119"/>
      <c r="C321" s="540"/>
      <c r="D321" s="261"/>
      <c r="E321" s="261"/>
      <c r="F321" s="68"/>
      <c r="G321" s="68"/>
      <c r="H321" s="119"/>
      <c r="I321" s="138"/>
      <c r="J321" s="17"/>
      <c r="K321" s="17"/>
      <c r="L321" s="17"/>
      <c r="M321" s="17"/>
      <c r="N321" s="17"/>
      <c r="O321" s="17"/>
      <c r="P321" s="17"/>
      <c r="Q321" s="17"/>
      <c r="R321" s="17"/>
      <c r="S321" s="17"/>
      <c r="T321" s="17"/>
      <c r="U321" s="17"/>
      <c r="V321" s="359"/>
      <c r="W321" s="382"/>
      <c r="X321" s="539"/>
      <c r="Y321" s="539"/>
      <c r="Z321" s="201"/>
      <c r="AA321" s="201"/>
      <c r="AB321" s="201"/>
      <c r="AC321" s="84"/>
      <c r="AE321" s="46"/>
      <c r="AF321" s="46"/>
      <c r="AG321" s="17"/>
      <c r="AH321" s="539"/>
      <c r="AI321" s="91"/>
      <c r="AK321" s="46"/>
      <c r="AL321" s="46"/>
      <c r="AM321" s="17"/>
      <c r="AN321" s="539"/>
      <c r="AO321" s="91"/>
      <c r="AQ321" s="46"/>
      <c r="AR321" s="46"/>
      <c r="AS321" s="17"/>
      <c r="AT321" s="539"/>
      <c r="AU321" s="91"/>
      <c r="AW321" s="46"/>
      <c r="AX321" s="46"/>
      <c r="AY321" s="17"/>
      <c r="AZ321" s="539"/>
      <c r="BA321" s="91"/>
    </row>
    <row r="322" spans="1:53" ht="17.100000000000001" customHeight="1" x14ac:dyDescent="0.25">
      <c r="A322" s="68"/>
      <c r="B322" s="41" t="s">
        <v>313</v>
      </c>
      <c r="C322" s="69" t="s">
        <v>492</v>
      </c>
      <c r="D322" s="50"/>
      <c r="E322" s="70"/>
      <c r="F322" s="70"/>
      <c r="G322" s="70"/>
      <c r="H322" s="119"/>
      <c r="J322" s="71"/>
      <c r="K322" s="71"/>
      <c r="L322" s="71"/>
      <c r="M322" s="71"/>
      <c r="N322" s="71"/>
      <c r="O322" s="71"/>
      <c r="P322" s="71"/>
      <c r="Q322" s="71"/>
      <c r="R322" s="71"/>
      <c r="S322" s="71"/>
      <c r="T322" s="71"/>
      <c r="U322" s="71"/>
      <c r="V322" s="71"/>
      <c r="W322" s="71"/>
      <c r="X322" s="71"/>
      <c r="Y322" s="71"/>
      <c r="Z322" s="73"/>
      <c r="AA322" s="73"/>
      <c r="AB322" s="73"/>
      <c r="AC322" s="73"/>
      <c r="AE322" s="71"/>
      <c r="AF322" s="71"/>
      <c r="AG322" s="71"/>
      <c r="AH322" s="89"/>
      <c r="AI322" s="90"/>
      <c r="AK322" s="71"/>
      <c r="AL322" s="71"/>
      <c r="AM322" s="71"/>
      <c r="AN322" s="89"/>
      <c r="AO322" s="90"/>
      <c r="AQ322" s="71"/>
      <c r="AR322" s="71"/>
      <c r="AS322" s="71"/>
      <c r="AT322" s="71"/>
      <c r="AU322" s="90"/>
      <c r="AW322" s="71"/>
      <c r="AX322" s="71"/>
      <c r="AY322" s="71"/>
      <c r="AZ322" s="71"/>
      <c r="BA322" s="90"/>
    </row>
    <row r="323" spans="1:53" ht="17.100000000000001" customHeight="1" x14ac:dyDescent="0.25">
      <c r="A323" s="119"/>
      <c r="B323" s="119"/>
      <c r="C323" s="56" t="s">
        <v>314</v>
      </c>
      <c r="D323" s="149" t="s">
        <v>129</v>
      </c>
      <c r="E323" s="105"/>
      <c r="F323" s="105"/>
      <c r="G323" s="105"/>
      <c r="H323" s="119"/>
      <c r="J323" s="111"/>
      <c r="K323" s="111"/>
      <c r="L323" s="111"/>
      <c r="M323" s="111"/>
      <c r="N323" s="598"/>
      <c r="O323" s="598"/>
      <c r="P323" s="327"/>
      <c r="Q323" s="598"/>
      <c r="R323" s="598"/>
      <c r="S323" s="327"/>
      <c r="T323" s="598"/>
      <c r="U323" s="598"/>
      <c r="V323" s="327"/>
      <c r="W323" s="391"/>
      <c r="X323" s="17"/>
      <c r="Y323" s="18">
        <f t="shared" ref="Y323:Y325" si="352">M323+P323+S323+V323</f>
        <v>0</v>
      </c>
      <c r="Z323" s="19">
        <f>IF(Y$326=0,0,Y323/Y$326)</f>
        <v>0</v>
      </c>
      <c r="AA323" s="19"/>
      <c r="AB323" s="19"/>
      <c r="AC323" s="20"/>
      <c r="AE323" s="111"/>
      <c r="AF323" s="111"/>
      <c r="AG323" s="111"/>
      <c r="AH323" s="545"/>
      <c r="AI323" s="131"/>
      <c r="AK323" s="111"/>
      <c r="AL323" s="111"/>
      <c r="AM323" s="111"/>
      <c r="AN323" s="545"/>
      <c r="AO323" s="131"/>
      <c r="AQ323" s="111"/>
      <c r="AR323" s="111"/>
      <c r="AS323" s="111"/>
      <c r="AT323" s="545"/>
      <c r="AU323" s="131"/>
      <c r="AW323" s="111"/>
      <c r="AX323" s="111"/>
      <c r="AY323" s="111"/>
      <c r="AZ323" s="545"/>
      <c r="BA323" s="131"/>
    </row>
    <row r="324" spans="1:53" ht="17.100000000000001" customHeight="1" x14ac:dyDescent="0.25">
      <c r="A324" s="119"/>
      <c r="B324" s="119"/>
      <c r="C324" s="56" t="s">
        <v>327</v>
      </c>
      <c r="D324" s="149" t="s">
        <v>491</v>
      </c>
      <c r="E324" s="105"/>
      <c r="F324" s="105"/>
      <c r="G324" s="105"/>
      <c r="H324" s="119"/>
      <c r="J324" s="599"/>
      <c r="K324" s="599"/>
      <c r="L324" s="599"/>
      <c r="M324" s="599"/>
      <c r="N324" s="598"/>
      <c r="O324" s="598"/>
      <c r="P324" s="329"/>
      <c r="Q324" s="598"/>
      <c r="R324" s="598"/>
      <c r="S324" s="329"/>
      <c r="T324" s="598"/>
      <c r="U324" s="598"/>
      <c r="V324" s="329"/>
      <c r="W324" s="391"/>
      <c r="X324" s="17"/>
      <c r="Y324" s="18">
        <f t="shared" si="352"/>
        <v>0</v>
      </c>
      <c r="Z324" s="19">
        <f t="shared" ref="Z324:Z326" si="353">IF(Y$326=0,0,Y324/Y$326)</f>
        <v>0</v>
      </c>
      <c r="AA324" s="19"/>
      <c r="AB324" s="19"/>
      <c r="AC324" s="189"/>
      <c r="AE324" s="111"/>
      <c r="AF324" s="111"/>
      <c r="AG324" s="111"/>
      <c r="AH324" s="545"/>
      <c r="AI324" s="131"/>
      <c r="AK324" s="111"/>
      <c r="AL324" s="111"/>
      <c r="AM324" s="111"/>
      <c r="AN324" s="545"/>
      <c r="AO324" s="131"/>
      <c r="AQ324" s="111"/>
      <c r="AR324" s="111"/>
      <c r="AS324" s="111"/>
      <c r="AT324" s="545"/>
      <c r="AU324" s="131"/>
      <c r="AW324" s="111"/>
      <c r="AX324" s="111"/>
      <c r="AY324" s="111"/>
      <c r="AZ324" s="545"/>
      <c r="BA324" s="131"/>
    </row>
    <row r="325" spans="1:53" ht="17.100000000000001" customHeight="1" x14ac:dyDescent="0.25">
      <c r="A325" s="119"/>
      <c r="B325" s="119"/>
      <c r="C325" s="56" t="s">
        <v>328</v>
      </c>
      <c r="D325" s="149" t="s">
        <v>493</v>
      </c>
      <c r="E325" s="105"/>
      <c r="F325" s="105"/>
      <c r="G325" s="105"/>
      <c r="H325" s="119"/>
      <c r="J325" s="111"/>
      <c r="K325" s="111"/>
      <c r="L325" s="111"/>
      <c r="M325" s="111"/>
      <c r="N325" s="598"/>
      <c r="O325" s="598"/>
      <c r="P325" s="327">
        <v>1</v>
      </c>
      <c r="Q325" s="598"/>
      <c r="R325" s="598"/>
      <c r="S325" s="327"/>
      <c r="T325" s="598"/>
      <c r="U325" s="598"/>
      <c r="V325" s="327"/>
      <c r="W325" s="391"/>
      <c r="X325" s="17"/>
      <c r="Y325" s="18">
        <f t="shared" si="352"/>
        <v>1</v>
      </c>
      <c r="Z325" s="19">
        <f t="shared" si="353"/>
        <v>1</v>
      </c>
      <c r="AA325" s="19"/>
      <c r="AB325" s="19"/>
      <c r="AC325" s="20"/>
      <c r="AE325" s="111"/>
      <c r="AF325" s="111"/>
      <c r="AG325" s="111"/>
      <c r="AH325" s="545"/>
      <c r="AI325" s="131"/>
      <c r="AK325" s="111"/>
      <c r="AL325" s="111"/>
      <c r="AM325" s="111"/>
      <c r="AN325" s="545"/>
      <c r="AO325" s="131"/>
      <c r="AQ325" s="111"/>
      <c r="AR325" s="111"/>
      <c r="AS325" s="111"/>
      <c r="AT325" s="545"/>
      <c r="AU325" s="131"/>
      <c r="AW325" s="111"/>
      <c r="AX325" s="111"/>
      <c r="AY325" s="111"/>
      <c r="AZ325" s="545"/>
      <c r="BA325" s="131"/>
    </row>
    <row r="326" spans="1:53" ht="17.100000000000001" customHeight="1" x14ac:dyDescent="0.25">
      <c r="A326" s="119"/>
      <c r="B326" s="119"/>
      <c r="C326" s="325"/>
      <c r="D326" s="326"/>
      <c r="E326" s="184"/>
      <c r="F326" s="184"/>
      <c r="G326" s="184"/>
      <c r="H326" s="119"/>
      <c r="J326" s="600"/>
      <c r="K326" s="600"/>
      <c r="L326" s="600"/>
      <c r="M326" s="600"/>
      <c r="N326" s="600"/>
      <c r="O326" s="600"/>
      <c r="P326" s="81">
        <f>SUM(P323:P325)</f>
        <v>1</v>
      </c>
      <c r="Q326" s="600"/>
      <c r="R326" s="600"/>
      <c r="S326" s="81">
        <f>SUM(S323:S325)</f>
        <v>0</v>
      </c>
      <c r="T326" s="600"/>
      <c r="U326" s="600"/>
      <c r="V326" s="81">
        <f>SUM(V323:V325)</f>
        <v>0</v>
      </c>
      <c r="W326" s="381"/>
      <c r="X326" s="82"/>
      <c r="Y326" s="82">
        <f>SUM(Y323:Y325)</f>
        <v>1</v>
      </c>
      <c r="Z326" s="66">
        <f t="shared" si="353"/>
        <v>1</v>
      </c>
      <c r="AA326" s="205"/>
      <c r="AB326" s="205"/>
      <c r="AC326" s="204"/>
      <c r="AE326" s="81"/>
      <c r="AF326" s="81"/>
      <c r="AG326" s="81"/>
      <c r="AH326" s="82"/>
      <c r="AI326" s="66"/>
      <c r="AK326" s="81"/>
      <c r="AL326" s="81"/>
      <c r="AM326" s="81"/>
      <c r="AN326" s="82"/>
      <c r="AO326" s="66"/>
      <c r="AQ326" s="81"/>
      <c r="AR326" s="81"/>
      <c r="AS326" s="81"/>
      <c r="AT326" s="82"/>
      <c r="AU326" s="66"/>
      <c r="AW326" s="81"/>
      <c r="AX326" s="81"/>
      <c r="AY326" s="81"/>
      <c r="AZ326" s="82"/>
      <c r="BA326" s="66"/>
    </row>
    <row r="327" spans="1:53" s="117" customFormat="1" ht="17.100000000000001" customHeight="1" x14ac:dyDescent="0.25">
      <c r="A327" s="119"/>
      <c r="B327" s="119"/>
      <c r="C327" s="429"/>
      <c r="D327" s="427"/>
      <c r="E327" s="428"/>
      <c r="F327" s="428"/>
      <c r="G327" s="428"/>
      <c r="H327" s="119"/>
      <c r="I327" s="97"/>
      <c r="J327" s="643"/>
      <c r="K327" s="643"/>
      <c r="L327" s="643"/>
      <c r="M327" s="643"/>
      <c r="N327" s="643"/>
      <c r="O327" s="643"/>
      <c r="P327" s="643"/>
      <c r="Q327" s="643"/>
      <c r="R327" s="643"/>
      <c r="S327" s="643"/>
      <c r="T327" s="643"/>
      <c r="U327" s="643"/>
      <c r="V327" s="643"/>
      <c r="W327" s="539"/>
      <c r="X327" s="539"/>
      <c r="Y327" s="539"/>
      <c r="Z327" s="201"/>
      <c r="AA327" s="201"/>
      <c r="AB327" s="201"/>
      <c r="AC327" s="199"/>
      <c r="AE327" s="17"/>
      <c r="AF327" s="17"/>
      <c r="AG327" s="17"/>
      <c r="AH327" s="539"/>
      <c r="AI327" s="91"/>
      <c r="AK327" s="17"/>
      <c r="AL327" s="17"/>
      <c r="AM327" s="17"/>
      <c r="AN327" s="539"/>
      <c r="AO327" s="91"/>
      <c r="AQ327" s="17"/>
      <c r="AR327" s="17"/>
      <c r="AS327" s="17"/>
      <c r="AT327" s="17"/>
      <c r="AU327" s="91"/>
      <c r="AW327" s="17"/>
      <c r="AX327" s="17"/>
      <c r="AY327" s="17"/>
      <c r="AZ327" s="17"/>
      <c r="BA327" s="91"/>
    </row>
    <row r="328" spans="1:53" s="97" customFormat="1" ht="17.100000000000001" customHeight="1" x14ac:dyDescent="0.25">
      <c r="A328" s="119"/>
      <c r="B328" s="41" t="s">
        <v>1443</v>
      </c>
      <c r="C328" s="69" t="s">
        <v>12</v>
      </c>
      <c r="D328" s="50"/>
      <c r="E328" s="70"/>
      <c r="F328" s="70"/>
      <c r="G328" s="70"/>
      <c r="H328" s="84"/>
      <c r="J328" s="71"/>
      <c r="K328" s="71"/>
      <c r="L328" s="71"/>
      <c r="M328" s="71"/>
      <c r="N328" s="71"/>
      <c r="O328" s="71"/>
      <c r="P328" s="71"/>
      <c r="Q328" s="71"/>
      <c r="R328" s="71"/>
      <c r="S328" s="71"/>
      <c r="T328" s="71"/>
      <c r="U328" s="71"/>
      <c r="V328" s="355"/>
      <c r="W328" s="377"/>
      <c r="X328" s="71"/>
      <c r="Y328" s="71"/>
      <c r="Z328" s="73"/>
      <c r="AA328" s="73"/>
      <c r="AB328" s="73"/>
      <c r="AC328" s="73"/>
      <c r="AE328" s="71"/>
      <c r="AF328" s="71"/>
      <c r="AG328" s="273"/>
      <c r="AH328" s="73"/>
      <c r="AI328" s="73"/>
      <c r="AJ328" s="3"/>
      <c r="AK328" s="71"/>
      <c r="AL328" s="71"/>
      <c r="AM328" s="273"/>
      <c r="AN328" s="73"/>
      <c r="AO328" s="73"/>
      <c r="AP328" s="3"/>
      <c r="AQ328" s="71"/>
      <c r="AR328" s="71"/>
      <c r="AS328" s="273"/>
      <c r="AT328" s="73"/>
      <c r="AU328" s="73"/>
      <c r="AV328" s="3"/>
      <c r="AW328" s="71"/>
      <c r="AX328" s="71"/>
      <c r="AY328" s="273"/>
      <c r="AZ328" s="73"/>
      <c r="BA328" s="73"/>
    </row>
    <row r="329" spans="1:53" ht="17.100000000000001" customHeight="1" x14ac:dyDescent="0.25">
      <c r="A329" s="40"/>
      <c r="B329" s="40"/>
      <c r="C329" s="74" t="s">
        <v>1444</v>
      </c>
      <c r="D329" s="931" t="s">
        <v>315</v>
      </c>
      <c r="E329" s="75"/>
      <c r="F329" s="75"/>
      <c r="G329" s="75"/>
      <c r="H329" s="928"/>
      <c r="I329" s="12"/>
      <c r="J329" s="152"/>
      <c r="K329" s="152"/>
      <c r="L329" s="152"/>
      <c r="M329" s="152"/>
      <c r="N329" s="152">
        <f>IF(N20&gt;0,1,0)</f>
        <v>1</v>
      </c>
      <c r="O329" s="152">
        <f>IF(O20&gt;0,1,0)</f>
        <v>1</v>
      </c>
      <c r="P329" s="152"/>
      <c r="Q329" s="152">
        <f>IF(Q20&gt;0,1,0)</f>
        <v>0</v>
      </c>
      <c r="R329" s="152">
        <f>IF(R20&gt;0,1,0)</f>
        <v>0</v>
      </c>
      <c r="S329" s="152"/>
      <c r="T329" s="152">
        <f>IF(T20&gt;0,1,0)</f>
        <v>0</v>
      </c>
      <c r="U329" s="152">
        <f>IF(U20&gt;0,1,0)</f>
        <v>0</v>
      </c>
      <c r="V329" s="152"/>
      <c r="W329" s="389"/>
      <c r="X329" s="152"/>
      <c r="Y329" s="932"/>
      <c r="Z329" s="131"/>
      <c r="AA329" s="131"/>
      <c r="AB329" s="131"/>
      <c r="AC329" s="113"/>
      <c r="AE329" s="152"/>
      <c r="AF329" s="152"/>
      <c r="AG329" s="152"/>
      <c r="AH329" s="932"/>
      <c r="AI329" s="131"/>
      <c r="AJ329" s="117"/>
      <c r="AK329" s="152"/>
      <c r="AL329" s="152"/>
      <c r="AM329" s="152"/>
      <c r="AN329" s="932"/>
      <c r="AO329" s="131"/>
      <c r="AP329" s="117"/>
      <c r="AQ329" s="152"/>
      <c r="AR329" s="152"/>
      <c r="AS329" s="152"/>
      <c r="AT329" s="932"/>
      <c r="AU329" s="131"/>
      <c r="AV329" s="117"/>
      <c r="AW329" s="152"/>
      <c r="AX329" s="152"/>
      <c r="AY329" s="152"/>
      <c r="AZ329" s="932"/>
      <c r="BA329" s="131"/>
    </row>
    <row r="330" spans="1:53" ht="17.100000000000001" customHeight="1" x14ac:dyDescent="0.25">
      <c r="A330" s="137"/>
      <c r="B330" s="40"/>
      <c r="C330" s="40"/>
      <c r="D330" s="128" t="s">
        <v>1017</v>
      </c>
      <c r="E330" s="122"/>
      <c r="F330" s="122"/>
      <c r="G330" s="122"/>
      <c r="H330" s="928"/>
      <c r="I330" s="12"/>
      <c r="J330" s="190"/>
      <c r="K330" s="190"/>
      <c r="L330" s="190"/>
      <c r="M330" s="190"/>
      <c r="N330" s="570">
        <f>IF(N287=0,0,N285/N287)*0.5</f>
        <v>0</v>
      </c>
      <c r="O330" s="570">
        <f>IF(O287=0,0,O285/O287)*0.5</f>
        <v>0</v>
      </c>
      <c r="P330" s="190"/>
      <c r="Q330" s="570">
        <f>IF(Q287=0,0,Q285/Q287)*0.5</f>
        <v>0</v>
      </c>
      <c r="R330" s="570">
        <f>IF(R287=0,0,R285/R287)*0.5</f>
        <v>0</v>
      </c>
      <c r="S330" s="190"/>
      <c r="T330" s="570">
        <f>IF(T287=0,0,T285/T287)*0.5</f>
        <v>0</v>
      </c>
      <c r="U330" s="570">
        <f>IF(U287=0,0,U285/U287)*0.5</f>
        <v>0</v>
      </c>
      <c r="V330" s="371"/>
      <c r="W330" s="393"/>
      <c r="X330" s="190"/>
      <c r="Y330" s="129"/>
      <c r="Z330" s="130"/>
      <c r="AA330" s="130"/>
      <c r="AB330" s="130"/>
      <c r="AC330" s="125"/>
      <c r="AE330" s="190"/>
      <c r="AF330" s="190"/>
      <c r="AG330" s="190"/>
      <c r="AH330" s="129"/>
      <c r="AI330" s="130"/>
      <c r="AJ330" s="117"/>
      <c r="AK330" s="190"/>
      <c r="AL330" s="190"/>
      <c r="AM330" s="190"/>
      <c r="AN330" s="129"/>
      <c r="AO330" s="130"/>
      <c r="AP330" s="117"/>
      <c r="AQ330" s="190"/>
      <c r="AR330" s="190"/>
      <c r="AS330" s="190"/>
      <c r="AT330" s="129"/>
      <c r="AU330" s="130"/>
      <c r="AV330" s="117"/>
      <c r="AW330" s="190"/>
      <c r="AX330" s="190"/>
      <c r="AY330" s="190"/>
      <c r="AZ330" s="129"/>
      <c r="BA330" s="130"/>
    </row>
    <row r="331" spans="1:53" ht="17.100000000000001" customHeight="1" x14ac:dyDescent="0.25">
      <c r="A331" s="137"/>
      <c r="B331" s="40"/>
      <c r="C331" s="40"/>
      <c r="D331" s="128" t="s">
        <v>1018</v>
      </c>
      <c r="E331" s="122"/>
      <c r="F331" s="122"/>
      <c r="G331" s="122"/>
      <c r="H331" s="928"/>
      <c r="I331" s="12"/>
      <c r="J331" s="190"/>
      <c r="K331" s="190"/>
      <c r="L331" s="190"/>
      <c r="M331" s="190"/>
      <c r="N331" s="570">
        <f>IF(N287=0,0,N286/N287)*1</f>
        <v>0.5</v>
      </c>
      <c r="O331" s="570">
        <f t="shared" ref="O331:U331" si="354">IF(O287=0,0,O286/O287)*1</f>
        <v>0.66666666666666663</v>
      </c>
      <c r="P331" s="570"/>
      <c r="Q331" s="570">
        <f t="shared" si="354"/>
        <v>0</v>
      </c>
      <c r="R331" s="570">
        <f t="shared" si="354"/>
        <v>0</v>
      </c>
      <c r="S331" s="570"/>
      <c r="T331" s="570">
        <f t="shared" si="354"/>
        <v>0</v>
      </c>
      <c r="U331" s="570">
        <f t="shared" si="354"/>
        <v>0</v>
      </c>
      <c r="V331" s="371"/>
      <c r="W331" s="393"/>
      <c r="X331" s="190"/>
      <c r="Y331" s="129"/>
      <c r="Z331" s="130"/>
      <c r="AA331" s="130"/>
      <c r="AB331" s="130"/>
      <c r="AC331" s="125"/>
      <c r="AE331" s="190"/>
      <c r="AF331" s="190"/>
      <c r="AG331" s="190"/>
      <c r="AH331" s="129"/>
      <c r="AI331" s="130"/>
      <c r="AJ331" s="117"/>
      <c r="AK331" s="190"/>
      <c r="AL331" s="190"/>
      <c r="AM331" s="190"/>
      <c r="AN331" s="129"/>
      <c r="AO331" s="130"/>
      <c r="AP331" s="117"/>
      <c r="AQ331" s="190"/>
      <c r="AR331" s="190"/>
      <c r="AS331" s="190"/>
      <c r="AT331" s="129"/>
      <c r="AU331" s="130"/>
      <c r="AV331" s="117"/>
      <c r="AW331" s="190"/>
      <c r="AX331" s="190"/>
      <c r="AY331" s="190"/>
      <c r="AZ331" s="129"/>
      <c r="BA331" s="130"/>
    </row>
    <row r="332" spans="1:53" ht="17.100000000000001" customHeight="1" x14ac:dyDescent="0.25">
      <c r="A332" s="137"/>
      <c r="B332" s="40"/>
      <c r="C332" s="40"/>
      <c r="D332" s="128" t="s">
        <v>316</v>
      </c>
      <c r="E332" s="122"/>
      <c r="F332" s="122"/>
      <c r="G332" s="122"/>
      <c r="H332" s="928"/>
      <c r="I332" s="12"/>
      <c r="J332" s="190"/>
      <c r="K332" s="190"/>
      <c r="L332" s="190"/>
      <c r="M332" s="190"/>
      <c r="N332" s="570">
        <f>IF(N294=0,0,N292/N294)*0.5</f>
        <v>0</v>
      </c>
      <c r="O332" s="570">
        <f>IF(O294=0,0,O292/O294)*0.5</f>
        <v>0</v>
      </c>
      <c r="P332" s="190"/>
      <c r="Q332" s="570">
        <f>IF(Q294=0,0,Q292/Q294)*0.5</f>
        <v>0</v>
      </c>
      <c r="R332" s="570">
        <f>IF(R294=0,0,R292/R294)*0.5</f>
        <v>0</v>
      </c>
      <c r="S332" s="190"/>
      <c r="T332" s="570">
        <f>IF(T294=0,0,T292/T294)*0.5</f>
        <v>0</v>
      </c>
      <c r="U332" s="570">
        <f>IF(U294=0,0,U292/U294)*0.5</f>
        <v>0</v>
      </c>
      <c r="V332" s="371"/>
      <c r="W332" s="393"/>
      <c r="X332" s="190"/>
      <c r="Y332" s="129"/>
      <c r="Z332" s="130"/>
      <c r="AA332" s="130"/>
      <c r="AB332" s="130"/>
      <c r="AC332" s="125"/>
      <c r="AE332" s="190"/>
      <c r="AF332" s="190"/>
      <c r="AG332" s="190"/>
      <c r="AH332" s="129"/>
      <c r="AI332" s="130"/>
      <c r="AJ332" s="117"/>
      <c r="AK332" s="190"/>
      <c r="AL332" s="190"/>
      <c r="AM332" s="190"/>
      <c r="AN332" s="129"/>
      <c r="AO332" s="130"/>
      <c r="AP332" s="117"/>
      <c r="AQ332" s="190"/>
      <c r="AR332" s="190"/>
      <c r="AS332" s="190"/>
      <c r="AT332" s="129"/>
      <c r="AU332" s="130"/>
      <c r="AV332" s="117"/>
      <c r="AW332" s="190"/>
      <c r="AX332" s="190"/>
      <c r="AY332" s="190"/>
      <c r="AZ332" s="129"/>
      <c r="BA332" s="130"/>
    </row>
    <row r="333" spans="1:53" ht="17.100000000000001" customHeight="1" x14ac:dyDescent="0.25">
      <c r="A333" s="137"/>
      <c r="B333" s="40"/>
      <c r="C333" s="40"/>
      <c r="D333" s="128" t="s">
        <v>317</v>
      </c>
      <c r="E333" s="122"/>
      <c r="F333" s="122"/>
      <c r="G333" s="122"/>
      <c r="H333" s="928"/>
      <c r="I333" s="12"/>
      <c r="J333" s="190"/>
      <c r="K333" s="190"/>
      <c r="L333" s="190"/>
      <c r="M333" s="190"/>
      <c r="N333" s="570">
        <f>IF(N294=0,0,N293/N294)*1</f>
        <v>1</v>
      </c>
      <c r="O333" s="570">
        <f t="shared" ref="O333:U333" si="355">IF(O294=0,0,O293/O294)*1</f>
        <v>1</v>
      </c>
      <c r="P333" s="570"/>
      <c r="Q333" s="570">
        <f t="shared" si="355"/>
        <v>0</v>
      </c>
      <c r="R333" s="570">
        <f t="shared" si="355"/>
        <v>0</v>
      </c>
      <c r="S333" s="570"/>
      <c r="T333" s="570">
        <f t="shared" si="355"/>
        <v>0</v>
      </c>
      <c r="U333" s="570">
        <f t="shared" si="355"/>
        <v>0</v>
      </c>
      <c r="V333" s="371"/>
      <c r="W333" s="393"/>
      <c r="X333" s="190"/>
      <c r="Y333" s="129"/>
      <c r="Z333" s="130"/>
      <c r="AA333" s="130"/>
      <c r="AB333" s="130"/>
      <c r="AC333" s="125"/>
      <c r="AE333" s="190"/>
      <c r="AF333" s="190"/>
      <c r="AG333" s="190"/>
      <c r="AH333" s="129"/>
      <c r="AI333" s="130"/>
      <c r="AJ333" s="117"/>
      <c r="AK333" s="190"/>
      <c r="AL333" s="190"/>
      <c r="AM333" s="190"/>
      <c r="AN333" s="129"/>
      <c r="AO333" s="130"/>
      <c r="AP333" s="117"/>
      <c r="AQ333" s="190"/>
      <c r="AR333" s="190"/>
      <c r="AS333" s="190"/>
      <c r="AT333" s="129"/>
      <c r="AU333" s="130"/>
      <c r="AV333" s="117"/>
      <c r="AW333" s="190"/>
      <c r="AX333" s="190"/>
      <c r="AY333" s="190"/>
      <c r="AZ333" s="129"/>
      <c r="BA333" s="130"/>
    </row>
    <row r="334" spans="1:53" ht="17.100000000000001" customHeight="1" x14ac:dyDescent="0.25">
      <c r="A334" s="137"/>
      <c r="B334" s="40"/>
      <c r="C334" s="40"/>
      <c r="D334" s="128" t="s">
        <v>1019</v>
      </c>
      <c r="E334" s="122"/>
      <c r="F334" s="122"/>
      <c r="G334" s="122"/>
      <c r="H334" s="928"/>
      <c r="I334" s="12"/>
      <c r="J334" s="190"/>
      <c r="K334" s="190"/>
      <c r="L334" s="190"/>
      <c r="M334" s="190"/>
      <c r="N334" s="570"/>
      <c r="O334" s="570"/>
      <c r="P334" s="190"/>
      <c r="Q334" s="570"/>
      <c r="R334" s="570"/>
      <c r="S334" s="190"/>
      <c r="T334" s="570"/>
      <c r="U334" s="570"/>
      <c r="V334" s="371"/>
      <c r="W334" s="393"/>
      <c r="X334" s="190"/>
      <c r="Y334" s="129"/>
      <c r="Z334" s="130"/>
      <c r="AA334" s="130"/>
      <c r="AB334" s="130"/>
      <c r="AC334" s="125"/>
      <c r="AE334" s="190"/>
      <c r="AF334" s="190"/>
      <c r="AG334" s="190"/>
      <c r="AH334" s="129"/>
      <c r="AI334" s="130"/>
      <c r="AJ334" s="117"/>
      <c r="AK334" s="190"/>
      <c r="AL334" s="190"/>
      <c r="AM334" s="190"/>
      <c r="AN334" s="129"/>
      <c r="AO334" s="130"/>
      <c r="AP334" s="117"/>
      <c r="AQ334" s="190"/>
      <c r="AR334" s="190"/>
      <c r="AS334" s="190"/>
      <c r="AT334" s="129"/>
      <c r="AU334" s="130"/>
      <c r="AV334" s="117"/>
      <c r="AW334" s="190"/>
      <c r="AX334" s="190"/>
      <c r="AY334" s="190"/>
      <c r="AZ334" s="129"/>
      <c r="BA334" s="130"/>
    </row>
    <row r="335" spans="1:53" ht="17.100000000000001" customHeight="1" x14ac:dyDescent="0.25">
      <c r="A335" s="137"/>
      <c r="B335" s="40"/>
      <c r="C335" s="40"/>
      <c r="D335" s="128" t="s">
        <v>318</v>
      </c>
      <c r="E335" s="122"/>
      <c r="F335" s="122"/>
      <c r="G335" s="122"/>
      <c r="H335" s="928"/>
      <c r="I335" s="12"/>
      <c r="J335" s="190"/>
      <c r="K335" s="190"/>
      <c r="L335" s="190"/>
      <c r="M335" s="190"/>
      <c r="N335" s="570">
        <f>IF(N312=0,0,(SUM(N303:N304)+N301+N306)/N312)</f>
        <v>0.33333333333333331</v>
      </c>
      <c r="O335" s="570">
        <f>IF(O312=0,0,(SUM(O303:O304)+O301+O306)/O312)</f>
        <v>0.5</v>
      </c>
      <c r="P335" s="190"/>
      <c r="Q335" s="570">
        <f>IF(Q312=0,0,(SUM(Q303:Q304)+Q301+Q306)/Q312)</f>
        <v>0</v>
      </c>
      <c r="R335" s="570">
        <f>IF(R312=0,0,(SUM(R303:R304)+R301+R306)/R312)</f>
        <v>0</v>
      </c>
      <c r="S335" s="190"/>
      <c r="T335" s="570">
        <f>IF(T312=0,0,(SUM(T303:T304)+T301+T306)/T312)</f>
        <v>0</v>
      </c>
      <c r="U335" s="570">
        <f>IF(U312=0,0,(SUM(U303:U304)+U301+U306)/U312)</f>
        <v>0</v>
      </c>
      <c r="V335" s="371"/>
      <c r="W335" s="393"/>
      <c r="X335" s="190"/>
      <c r="Y335" s="129"/>
      <c r="Z335" s="130"/>
      <c r="AA335" s="130"/>
      <c r="AB335" s="130"/>
      <c r="AC335" s="125"/>
      <c r="AE335" s="190"/>
      <c r="AF335" s="190"/>
      <c r="AG335" s="190"/>
      <c r="AH335" s="129"/>
      <c r="AI335" s="130"/>
      <c r="AJ335" s="117"/>
      <c r="AK335" s="190"/>
      <c r="AL335" s="190"/>
      <c r="AM335" s="190"/>
      <c r="AN335" s="129"/>
      <c r="AO335" s="130"/>
      <c r="AP335" s="117"/>
      <c r="AQ335" s="190"/>
      <c r="AR335" s="190"/>
      <c r="AS335" s="190"/>
      <c r="AT335" s="129"/>
      <c r="AU335" s="130"/>
      <c r="AV335" s="117"/>
      <c r="AW335" s="190"/>
      <c r="AX335" s="190"/>
      <c r="AY335" s="190"/>
      <c r="AZ335" s="129"/>
      <c r="BA335" s="130"/>
    </row>
    <row r="336" spans="1:53" ht="17.100000000000001" customHeight="1" x14ac:dyDescent="0.25">
      <c r="A336" s="137"/>
      <c r="B336" s="40"/>
      <c r="C336" s="40"/>
      <c r="D336" s="128" t="s">
        <v>319</v>
      </c>
      <c r="E336" s="122"/>
      <c r="F336" s="122"/>
      <c r="G336" s="122"/>
      <c r="H336" s="928"/>
      <c r="I336" s="12"/>
      <c r="J336" s="190"/>
      <c r="K336" s="190"/>
      <c r="L336" s="190"/>
      <c r="M336" s="190"/>
      <c r="N336" s="570">
        <f>IF(N318=0,0,(N315/N318)*0.5)</f>
        <v>0.5</v>
      </c>
      <c r="O336" s="570">
        <f>IF(O318=0,0,(O315/O318)*0.5)</f>
        <v>0.5</v>
      </c>
      <c r="P336" s="190"/>
      <c r="Q336" s="570">
        <f>IF(Q318=0,0,(Q315/Q318)*0.5)</f>
        <v>0</v>
      </c>
      <c r="R336" s="570">
        <f>IF(R318=0,0,(R315/R318)*0.5)</f>
        <v>0</v>
      </c>
      <c r="S336" s="190"/>
      <c r="T336" s="570">
        <f>IF(T318=0,0,(T315/T318)*0.5)</f>
        <v>0</v>
      </c>
      <c r="U336" s="570">
        <f>IF(U318=0,0,(U315/U318)*0.5)</f>
        <v>0</v>
      </c>
      <c r="V336" s="371"/>
      <c r="W336" s="393"/>
      <c r="X336" s="190"/>
      <c r="Y336" s="129"/>
      <c r="Z336" s="130"/>
      <c r="AA336" s="130"/>
      <c r="AB336" s="130"/>
      <c r="AC336" s="125"/>
      <c r="AE336" s="190"/>
      <c r="AF336" s="190"/>
      <c r="AG336" s="190"/>
      <c r="AH336" s="129"/>
      <c r="AI336" s="130"/>
      <c r="AJ336" s="117"/>
      <c r="AK336" s="190"/>
      <c r="AL336" s="190"/>
      <c r="AM336" s="190"/>
      <c r="AN336" s="129"/>
      <c r="AO336" s="130"/>
      <c r="AP336" s="117"/>
      <c r="AQ336" s="190"/>
      <c r="AR336" s="190"/>
      <c r="AS336" s="190"/>
      <c r="AT336" s="129"/>
      <c r="AU336" s="130"/>
      <c r="AV336" s="117"/>
      <c r="AW336" s="190"/>
      <c r="AX336" s="190"/>
      <c r="AY336" s="190"/>
      <c r="AZ336" s="129"/>
      <c r="BA336" s="130"/>
    </row>
    <row r="337" spans="1:53" ht="17.100000000000001" customHeight="1" x14ac:dyDescent="0.25">
      <c r="A337" s="137"/>
      <c r="B337" s="40"/>
      <c r="C337" s="40"/>
      <c r="D337" s="128" t="s">
        <v>320</v>
      </c>
      <c r="E337" s="122"/>
      <c r="F337" s="122"/>
      <c r="G337" s="122"/>
      <c r="H337" s="928"/>
      <c r="I337" s="12"/>
      <c r="J337" s="190"/>
      <c r="K337" s="190"/>
      <c r="L337" s="190"/>
      <c r="M337" s="190"/>
      <c r="N337" s="570">
        <f>SUM(N330:N336)</f>
        <v>2.333333333333333</v>
      </c>
      <c r="O337" s="570">
        <f>SUM(O330:O336)</f>
        <v>2.6666666666666665</v>
      </c>
      <c r="P337" s="190"/>
      <c r="Q337" s="570">
        <f>SUM(Q330:Q336)</f>
        <v>0</v>
      </c>
      <c r="R337" s="570">
        <f>SUM(R330:R336)</f>
        <v>0</v>
      </c>
      <c r="S337" s="190"/>
      <c r="T337" s="570">
        <f>SUM(T330:T336)</f>
        <v>0</v>
      </c>
      <c r="U337" s="570">
        <f>SUM(U330:U336)</f>
        <v>0</v>
      </c>
      <c r="V337" s="371"/>
      <c r="W337" s="393"/>
      <c r="X337" s="190"/>
      <c r="Y337" s="129"/>
      <c r="Z337" s="130"/>
      <c r="AA337" s="130"/>
      <c r="AB337" s="130"/>
      <c r="AC337" s="125"/>
      <c r="AE337" s="190"/>
      <c r="AF337" s="190"/>
      <c r="AG337" s="190"/>
      <c r="AH337" s="129"/>
      <c r="AI337" s="130"/>
      <c r="AJ337" s="117"/>
      <c r="AK337" s="190"/>
      <c r="AL337" s="190"/>
      <c r="AM337" s="190"/>
      <c r="AN337" s="129"/>
      <c r="AO337" s="130"/>
      <c r="AP337" s="117"/>
      <c r="AQ337" s="190"/>
      <c r="AR337" s="190"/>
      <c r="AS337" s="190"/>
      <c r="AT337" s="129"/>
      <c r="AU337" s="130"/>
      <c r="AV337" s="117"/>
      <c r="AW337" s="190"/>
      <c r="AX337" s="190"/>
      <c r="AY337" s="190"/>
      <c r="AZ337" s="129"/>
      <c r="BA337" s="130"/>
    </row>
    <row r="338" spans="1:53" ht="17.100000000000001" customHeight="1" x14ac:dyDescent="0.25">
      <c r="A338" s="137"/>
      <c r="B338" s="40"/>
      <c r="C338" s="40"/>
      <c r="D338" s="128" t="s">
        <v>321</v>
      </c>
      <c r="E338" s="122"/>
      <c r="F338" s="122"/>
      <c r="G338" s="122"/>
      <c r="H338" s="928"/>
      <c r="I338" s="12"/>
      <c r="J338" s="190"/>
      <c r="K338" s="190"/>
      <c r="L338" s="190"/>
      <c r="M338" s="190"/>
      <c r="N338" s="190">
        <v>3.5</v>
      </c>
      <c r="O338" s="190">
        <v>3.5</v>
      </c>
      <c r="P338" s="190"/>
      <c r="Q338" s="190">
        <v>3.5</v>
      </c>
      <c r="R338" s="190">
        <v>3.5</v>
      </c>
      <c r="S338" s="190"/>
      <c r="T338" s="190">
        <v>3.5</v>
      </c>
      <c r="U338" s="190">
        <v>3.5</v>
      </c>
      <c r="V338" s="371"/>
      <c r="W338" s="393"/>
      <c r="X338" s="190"/>
      <c r="Y338" s="129"/>
      <c r="Z338" s="130"/>
      <c r="AA338" s="130"/>
      <c r="AB338" s="130"/>
      <c r="AC338" s="125"/>
      <c r="AE338" s="190"/>
      <c r="AF338" s="190"/>
      <c r="AG338" s="190"/>
      <c r="AH338" s="129"/>
      <c r="AI338" s="130"/>
      <c r="AJ338" s="117"/>
      <c r="AK338" s="190"/>
      <c r="AL338" s="190"/>
      <c r="AM338" s="190"/>
      <c r="AN338" s="129"/>
      <c r="AO338" s="130"/>
      <c r="AP338" s="117"/>
      <c r="AQ338" s="190"/>
      <c r="AR338" s="190"/>
      <c r="AS338" s="190"/>
      <c r="AT338" s="129"/>
      <c r="AU338" s="130"/>
      <c r="AV338" s="117"/>
      <c r="AW338" s="190"/>
      <c r="AX338" s="190"/>
      <c r="AY338" s="190"/>
      <c r="AZ338" s="129"/>
      <c r="BA338" s="130"/>
    </row>
    <row r="339" spans="1:53" ht="17.100000000000001" customHeight="1" x14ac:dyDescent="0.25">
      <c r="A339" s="137"/>
      <c r="B339" s="40"/>
      <c r="C339" s="40"/>
      <c r="D339" s="75" t="s">
        <v>322</v>
      </c>
      <c r="E339" s="75"/>
      <c r="F339" s="75"/>
      <c r="G339" s="75"/>
      <c r="H339" s="1322"/>
      <c r="I339" s="12"/>
      <c r="J339" s="191" t="str">
        <f>IF(J$506=0,"",J340)</f>
        <v/>
      </c>
      <c r="K339" s="191" t="str">
        <f>IF(K$506=0,"",K340)</f>
        <v/>
      </c>
      <c r="L339" s="191" t="str">
        <f>IF(L$506=0,"",L340)</f>
        <v/>
      </c>
      <c r="M339" s="191"/>
      <c r="N339" s="191">
        <f>IF(N329=0,"",IF(N340=0,0,N340))</f>
        <v>0.66666666666666663</v>
      </c>
      <c r="O339" s="191">
        <f>IF(O329=0,"",IF(O340=0,0,O340))</f>
        <v>0.76190476190476186</v>
      </c>
      <c r="P339" s="191"/>
      <c r="Q339" s="191" t="str">
        <f>IF(Q329=0,"",IF(Q340=0,0,Q340))</f>
        <v/>
      </c>
      <c r="R339" s="191" t="str">
        <f>IF(R329=0,"",IF(R340=0,0,R340))</f>
        <v/>
      </c>
      <c r="S339" s="191"/>
      <c r="T339" s="191" t="str">
        <f>IF(T329=0,"",IF(T340=0,0,T340))</f>
        <v/>
      </c>
      <c r="U339" s="191" t="str">
        <f>IF(U329=0,"",IF(U340=0,0,U340))</f>
        <v/>
      </c>
      <c r="V339" s="191"/>
      <c r="W339" s="394"/>
      <c r="X339" s="191"/>
      <c r="Y339" s="164"/>
      <c r="Z339" s="192"/>
      <c r="AA339" s="192"/>
      <c r="AB339" s="192"/>
      <c r="AC339" s="193">
        <f>IF(Y339=0,0,AVERAGE(J339:X339))</f>
        <v>0</v>
      </c>
      <c r="AE339" s="191"/>
      <c r="AF339" s="191"/>
      <c r="AG339" s="191"/>
      <c r="AH339" s="164"/>
      <c r="AI339" s="192"/>
      <c r="AJ339" s="117"/>
      <c r="AK339" s="191"/>
      <c r="AL339" s="191"/>
      <c r="AM339" s="191"/>
      <c r="AN339" s="164"/>
      <c r="AO339" s="192"/>
      <c r="AP339" s="117"/>
      <c r="AQ339" s="191"/>
      <c r="AR339" s="191"/>
      <c r="AS339" s="191"/>
      <c r="AT339" s="164"/>
      <c r="AU339" s="192"/>
      <c r="AV339" s="117"/>
      <c r="AW339" s="191"/>
      <c r="AX339" s="191"/>
      <c r="AY339" s="191"/>
      <c r="AZ339" s="164"/>
      <c r="BA339" s="192"/>
    </row>
    <row r="340" spans="1:53" ht="17.100000000000001" customHeight="1" x14ac:dyDescent="0.25">
      <c r="A340" s="137"/>
      <c r="B340" s="40"/>
      <c r="C340" s="40"/>
      <c r="D340" s="128" t="s">
        <v>323</v>
      </c>
      <c r="E340" s="122"/>
      <c r="F340" s="122"/>
      <c r="G340" s="122"/>
      <c r="H340" s="1322"/>
      <c r="I340" s="12"/>
      <c r="J340" s="194"/>
      <c r="K340" s="194"/>
      <c r="L340" s="194"/>
      <c r="M340" s="194"/>
      <c r="N340" s="194">
        <f>N337/N338</f>
        <v>0.66666666666666663</v>
      </c>
      <c r="O340" s="194">
        <f t="shared" ref="O340" si="356">O337/O338</f>
        <v>0.76190476190476186</v>
      </c>
      <c r="P340" s="194"/>
      <c r="Q340" s="194">
        <f>Q337/Q338</f>
        <v>0</v>
      </c>
      <c r="R340" s="194">
        <f t="shared" ref="R340" si="357">R337/R338</f>
        <v>0</v>
      </c>
      <c r="S340" s="194"/>
      <c r="T340" s="194">
        <f>T337/T338</f>
        <v>0</v>
      </c>
      <c r="U340" s="194">
        <f t="shared" ref="U340" si="358">U337/U338</f>
        <v>0</v>
      </c>
      <c r="V340" s="194"/>
      <c r="W340" s="969">
        <f>N340+Q340+T340</f>
        <v>0.66666666666666663</v>
      </c>
      <c r="X340" s="504">
        <f>O340+R340+U340</f>
        <v>0.76190476190476186</v>
      </c>
      <c r="Y340" s="504">
        <f>SUM(N340:U340)</f>
        <v>1.4285714285714284</v>
      </c>
      <c r="Z340" s="195"/>
      <c r="AA340" s="195"/>
      <c r="AB340" s="195"/>
      <c r="AC340" s="161"/>
      <c r="AE340" s="194"/>
      <c r="AF340" s="194"/>
      <c r="AG340" s="194"/>
      <c r="AH340" s="162"/>
      <c r="AI340" s="195"/>
      <c r="AJ340" s="117"/>
      <c r="AK340" s="194"/>
      <c r="AL340" s="194"/>
      <c r="AM340" s="194"/>
      <c r="AN340" s="162"/>
      <c r="AO340" s="195"/>
      <c r="AP340" s="117"/>
      <c r="AQ340" s="194"/>
      <c r="AR340" s="194"/>
      <c r="AS340" s="194"/>
      <c r="AT340" s="162"/>
      <c r="AU340" s="195"/>
      <c r="AV340" s="117"/>
      <c r="AW340" s="194"/>
      <c r="AX340" s="194"/>
      <c r="AY340" s="194"/>
      <c r="AZ340" s="162"/>
      <c r="BA340" s="195"/>
    </row>
    <row r="341" spans="1:53" ht="17.100000000000001" customHeight="1" x14ac:dyDescent="0.25">
      <c r="A341" s="137"/>
      <c r="B341" s="137"/>
      <c r="C341" s="40"/>
      <c r="D341" s="128"/>
      <c r="E341" s="122"/>
      <c r="F341" s="122"/>
      <c r="G341" s="122"/>
      <c r="H341" s="1322"/>
      <c r="I341" s="12"/>
      <c r="J341" s="194"/>
      <c r="K341" s="194"/>
      <c r="L341" s="194"/>
      <c r="M341" s="194"/>
      <c r="N341" s="194">
        <f>IF(N329=0,"",N340)</f>
        <v>0.66666666666666663</v>
      </c>
      <c r="O341" s="194">
        <f>IF(O329=0,"",O340)</f>
        <v>0.76190476190476186</v>
      </c>
      <c r="P341" s="194"/>
      <c r="Q341" s="194" t="str">
        <f>IF(Q329=0,"",Q340)</f>
        <v/>
      </c>
      <c r="R341" s="194" t="str">
        <f>IF(R329=0,"",R340)</f>
        <v/>
      </c>
      <c r="S341" s="194"/>
      <c r="T341" s="194" t="str">
        <f>IF(T329=0,"",T340)</f>
        <v/>
      </c>
      <c r="U341" s="194" t="str">
        <f>IF(U329=0,"",U340)</f>
        <v/>
      </c>
      <c r="V341" s="194"/>
      <c r="W341" s="969">
        <f>IF(W340=0,"",AVERAGE(N341,Q341,T341))</f>
        <v>0.66666666666666663</v>
      </c>
      <c r="X341" s="504">
        <f>IF(X340=0,"",AVERAGE(O341,R341,U341))</f>
        <v>0.76190476190476186</v>
      </c>
      <c r="Y341" s="504">
        <f>IF(Y340=0,"",AVERAGE(N341:U341))</f>
        <v>0.71428571428571419</v>
      </c>
      <c r="Z341" s="195"/>
      <c r="AA341" s="195"/>
      <c r="AB341" s="195"/>
      <c r="AC341" s="161"/>
      <c r="AE341" s="194"/>
      <c r="AF341" s="194"/>
      <c r="AG341" s="194"/>
      <c r="AH341" s="162"/>
      <c r="AI341" s="195"/>
      <c r="AJ341" s="117"/>
      <c r="AK341" s="194"/>
      <c r="AL341" s="194"/>
      <c r="AM341" s="194"/>
      <c r="AN341" s="162"/>
      <c r="AO341" s="195"/>
      <c r="AP341" s="117"/>
      <c r="AQ341" s="194"/>
      <c r="AR341" s="194"/>
      <c r="AS341" s="194"/>
      <c r="AT341" s="162"/>
      <c r="AU341" s="195"/>
      <c r="AV341" s="117"/>
      <c r="AW341" s="194"/>
      <c r="AX341" s="194"/>
      <c r="AY341" s="194"/>
      <c r="AZ341" s="162"/>
      <c r="BA341" s="195"/>
    </row>
    <row r="342" spans="1:53" s="117" customFormat="1" ht="17.100000000000001" customHeight="1" x14ac:dyDescent="0.25">
      <c r="A342" s="119"/>
      <c r="B342" s="119"/>
      <c r="C342" s="196"/>
      <c r="D342" s="75" t="s">
        <v>324</v>
      </c>
      <c r="E342" s="75"/>
      <c r="F342" s="75"/>
      <c r="G342" s="75"/>
      <c r="H342" s="1322"/>
      <c r="I342" s="12"/>
      <c r="J342" s="55" t="str">
        <f>IF(J$506=0,"",IF(J339&gt;=0.75,1,0))</f>
        <v/>
      </c>
      <c r="K342" s="55" t="str">
        <f>IF(K$506=0,"",IF(K339&gt;=0.75,1,0))</f>
        <v/>
      </c>
      <c r="L342" s="55" t="str">
        <f>IF(L$506=0,"",IF(L339&gt;=0.75,1,0))</f>
        <v/>
      </c>
      <c r="M342" s="55"/>
      <c r="N342" s="55">
        <f>IF(N$329=0,0,IF(N$339&gt;=0.75,1,0))</f>
        <v>0</v>
      </c>
      <c r="O342" s="55">
        <f t="shared" ref="O342:U342" si="359">IF(O$329=0,0,IF(O$339&gt;=0.75,1,0))</f>
        <v>1</v>
      </c>
      <c r="P342" s="55">
        <f>IF(SUM(N342:O342)=0,0,IF(SUM(N342:O342)=2,1,IF(AND(N$340=0,O342&gt;0),O342,SUM(N342:O342)/2)))</f>
        <v>0.5</v>
      </c>
      <c r="Q342" s="55">
        <f t="shared" si="359"/>
        <v>0</v>
      </c>
      <c r="R342" s="55">
        <f t="shared" si="359"/>
        <v>0</v>
      </c>
      <c r="S342" s="55">
        <f>IF(SUM(Q342:R342)=0,0,IF(SUM(Q342:R342)=2,1,IF(AND(Q$340=0,R342&gt;0),R342,SUM(Q342:R342)/2)))</f>
        <v>0</v>
      </c>
      <c r="T342" s="55">
        <f t="shared" si="359"/>
        <v>0</v>
      </c>
      <c r="U342" s="55">
        <f t="shared" si="359"/>
        <v>0</v>
      </c>
      <c r="V342" s="55">
        <f>IF(SUM(T342:U342)=0,0,IF(SUM(T342:U342)=2,1,IF(AND(T$340=0,U342&gt;0),U342,SUM(T342:U342)/2)))</f>
        <v>0</v>
      </c>
      <c r="W342" s="1324">
        <f>N342+Q342+T342</f>
        <v>0</v>
      </c>
      <c r="X342" s="1000">
        <f>O342+R342+U342</f>
        <v>1</v>
      </c>
      <c r="Y342" s="996">
        <f>P342+S342+V342</f>
        <v>0.5</v>
      </c>
      <c r="Z342" s="19">
        <f>IF(Y$569=0,0,Y342/Y$569)</f>
        <v>0</v>
      </c>
      <c r="AA342" s="197"/>
      <c r="AB342" s="197"/>
      <c r="AC342" s="198"/>
      <c r="AE342" s="55"/>
      <c r="AF342" s="55"/>
      <c r="AG342" s="55"/>
      <c r="AH342" s="164"/>
      <c r="AI342" s="197"/>
      <c r="AK342" s="55"/>
      <c r="AL342" s="55"/>
      <c r="AM342" s="55"/>
      <c r="AN342" s="164"/>
      <c r="AO342" s="197"/>
      <c r="AQ342" s="55"/>
      <c r="AR342" s="55"/>
      <c r="AS342" s="55"/>
      <c r="AT342" s="164"/>
      <c r="AU342" s="197"/>
      <c r="AW342" s="55"/>
      <c r="AX342" s="55"/>
      <c r="AY342" s="55"/>
      <c r="AZ342" s="164"/>
      <c r="BA342" s="197"/>
    </row>
    <row r="343" spans="1:53" s="117" customFormat="1" ht="17.100000000000001" customHeight="1" x14ac:dyDescent="0.25">
      <c r="A343" s="119"/>
      <c r="B343" s="119"/>
      <c r="C343" s="136"/>
      <c r="D343" s="75" t="s">
        <v>325</v>
      </c>
      <c r="E343" s="75"/>
      <c r="F343" s="75"/>
      <c r="G343" s="75"/>
      <c r="H343" s="1322"/>
      <c r="I343" s="12"/>
      <c r="J343" s="55" t="str">
        <f>IF(J$506=0,"",IF(AND(J340&gt;=0.5,J340&lt;0.75),1,0))</f>
        <v/>
      </c>
      <c r="K343" s="55" t="str">
        <f>IF(K$506=0,"",IF(AND(K340&gt;=0.5,K340&lt;0.75),1,0))</f>
        <v/>
      </c>
      <c r="L343" s="55" t="str">
        <f>IF(L$506=0,"",IF(AND(L340&gt;=0.5,L340&lt;0.75),1,0))</f>
        <v/>
      </c>
      <c r="M343" s="55"/>
      <c r="N343" s="55">
        <f>IF(N$329=0,0,IF(AND(N339&gt;=0.5,N339&lt;0.75),1,0))</f>
        <v>1</v>
      </c>
      <c r="O343" s="55">
        <f t="shared" ref="O343:U343" si="360">IF(O$329=0,0,IF(AND(O339&gt;=0.5,O339&lt;0.75),1,0))</f>
        <v>0</v>
      </c>
      <c r="P343" s="55">
        <f t="shared" ref="P343:P344" si="361">IF(SUM(N343:O343)=0,0,IF(SUM(N343:O343)=2,1,IF(AND(N$340=0,O343&gt;0),O343,SUM(N343:O343)/2)))</f>
        <v>0.5</v>
      </c>
      <c r="Q343" s="55">
        <f t="shared" si="360"/>
        <v>0</v>
      </c>
      <c r="R343" s="55">
        <f t="shared" si="360"/>
        <v>0</v>
      </c>
      <c r="S343" s="55">
        <f t="shared" ref="S343:S344" si="362">IF(SUM(Q343:R343)=0,0,IF(SUM(Q343:R343)=2,1,IF(AND(Q$340=0,R343&gt;0),R343,SUM(Q343:R343)/2)))</f>
        <v>0</v>
      </c>
      <c r="T343" s="55">
        <f t="shared" si="360"/>
        <v>0</v>
      </c>
      <c r="U343" s="55">
        <f t="shared" si="360"/>
        <v>0</v>
      </c>
      <c r="V343" s="55">
        <f t="shared" ref="V343:V344" si="363">IF(SUM(T343:U343)=0,0,IF(SUM(T343:U343)=2,1,IF(AND(T$340=0,U343&gt;0),U343,SUM(T343:U343)/2)))</f>
        <v>0</v>
      </c>
      <c r="W343" s="1324">
        <f t="shared" ref="W343:Y344" si="364">N343+Q343+T343</f>
        <v>1</v>
      </c>
      <c r="X343" s="1000">
        <f t="shared" si="364"/>
        <v>0</v>
      </c>
      <c r="Y343" s="996">
        <f t="shared" si="364"/>
        <v>0.5</v>
      </c>
      <c r="Z343" s="19">
        <f>IF(Y$569=0,0,Y343/Y$569)</f>
        <v>0</v>
      </c>
      <c r="AA343" s="197"/>
      <c r="AB343" s="197"/>
      <c r="AC343" s="198"/>
      <c r="AE343" s="55"/>
      <c r="AF343" s="55"/>
      <c r="AG343" s="55"/>
      <c r="AH343" s="164"/>
      <c r="AI343" s="197"/>
      <c r="AK343" s="55"/>
      <c r="AL343" s="55"/>
      <c r="AM343" s="55"/>
      <c r="AN343" s="164"/>
      <c r="AO343" s="197"/>
      <c r="AQ343" s="55"/>
      <c r="AR343" s="55"/>
      <c r="AS343" s="55"/>
      <c r="AT343" s="164"/>
      <c r="AU343" s="197"/>
      <c r="AW343" s="55"/>
      <c r="AX343" s="55"/>
      <c r="AY343" s="55"/>
      <c r="AZ343" s="164"/>
      <c r="BA343" s="197"/>
    </row>
    <row r="344" spans="1:53" s="97" customFormat="1" ht="17.100000000000001" customHeight="1" x14ac:dyDescent="0.25">
      <c r="A344" s="119"/>
      <c r="B344" s="119"/>
      <c r="C344" s="137"/>
      <c r="D344" s="75" t="s">
        <v>326</v>
      </c>
      <c r="E344" s="75"/>
      <c r="F344" s="75"/>
      <c r="G344" s="75"/>
      <c r="H344" s="1322"/>
      <c r="I344" s="12"/>
      <c r="J344" s="55" t="str">
        <f>IF(J$506=0,"",IF(J340&lt;0.5,1,0))</f>
        <v/>
      </c>
      <c r="K344" s="55" t="str">
        <f>IF(K$506=0,"",IF(K340&lt;0.5,1,0))</f>
        <v/>
      </c>
      <c r="L344" s="55" t="str">
        <f>IF(L$506=0,"",IF(L340&lt;0.5,1,0))</f>
        <v/>
      </c>
      <c r="M344" s="55"/>
      <c r="N344" s="55">
        <f>IF(N$329=0,0,IF(N339&lt;0.5,1,0))</f>
        <v>0</v>
      </c>
      <c r="O344" s="55">
        <f t="shared" ref="O344:U344" si="365">IF(O$329=0,0,IF(O339&lt;0.5,1,0))</f>
        <v>0</v>
      </c>
      <c r="P344" s="55">
        <f t="shared" si="361"/>
        <v>0</v>
      </c>
      <c r="Q344" s="55">
        <f t="shared" si="365"/>
        <v>0</v>
      </c>
      <c r="R344" s="55">
        <f t="shared" si="365"/>
        <v>0</v>
      </c>
      <c r="S344" s="55">
        <f t="shared" si="362"/>
        <v>0</v>
      </c>
      <c r="T344" s="55">
        <f t="shared" si="365"/>
        <v>0</v>
      </c>
      <c r="U344" s="55">
        <f t="shared" si="365"/>
        <v>0</v>
      </c>
      <c r="V344" s="55">
        <f t="shared" si="363"/>
        <v>0</v>
      </c>
      <c r="W344" s="1324">
        <f t="shared" si="364"/>
        <v>0</v>
      </c>
      <c r="X344" s="1000">
        <f t="shared" si="364"/>
        <v>0</v>
      </c>
      <c r="Y344" s="996">
        <f t="shared" si="364"/>
        <v>0</v>
      </c>
      <c r="Z344" s="19">
        <f>IF(Y$569=0,0,Y344/Y$569)</f>
        <v>0</v>
      </c>
      <c r="AA344" s="197"/>
      <c r="AB344" s="197"/>
      <c r="AC344" s="198"/>
      <c r="AE344" s="55"/>
      <c r="AF344" s="55"/>
      <c r="AG344" s="55"/>
      <c r="AH344" s="164"/>
      <c r="AI344" s="197"/>
      <c r="AK344" s="55"/>
      <c r="AL344" s="55"/>
      <c r="AM344" s="55"/>
      <c r="AN344" s="164"/>
      <c r="AO344" s="197"/>
      <c r="AQ344" s="55"/>
      <c r="AR344" s="55"/>
      <c r="AS344" s="55"/>
      <c r="AT344" s="164"/>
      <c r="AU344" s="197"/>
      <c r="AW344" s="55"/>
      <c r="AX344" s="55"/>
      <c r="AY344" s="55"/>
      <c r="AZ344" s="164"/>
      <c r="BA344" s="197"/>
    </row>
    <row r="345" spans="1:53" s="117" customFormat="1" ht="17.100000000000001" customHeight="1" x14ac:dyDescent="0.25">
      <c r="A345" s="119"/>
      <c r="B345" s="119"/>
      <c r="C345" s="119"/>
      <c r="D345" s="428"/>
      <c r="E345" s="93"/>
      <c r="F345" s="93"/>
      <c r="G345" s="93"/>
      <c r="H345" s="1322"/>
      <c r="I345" s="12"/>
      <c r="J345" s="191"/>
      <c r="K345" s="191"/>
      <c r="L345" s="191"/>
      <c r="M345" s="191"/>
      <c r="N345" s="191"/>
      <c r="O345" s="191"/>
      <c r="P345" s="191"/>
      <c r="Q345" s="191"/>
      <c r="R345" s="191"/>
      <c r="S345" s="191"/>
      <c r="T345" s="191"/>
      <c r="U345" s="191"/>
      <c r="V345" s="191"/>
      <c r="W345" s="394"/>
      <c r="X345" s="191"/>
      <c r="Y345" s="164">
        <f>SUM(Y342:Y344)</f>
        <v>1</v>
      </c>
      <c r="Z345" s="19">
        <f t="shared" ref="Z345" si="366">IF(Y$569=0,0,Y345/Y$569)</f>
        <v>0</v>
      </c>
      <c r="AA345" s="192"/>
      <c r="AB345" s="192"/>
      <c r="AC345" s="198"/>
      <c r="AE345" s="191"/>
      <c r="AF345" s="191"/>
      <c r="AG345" s="191"/>
      <c r="AH345" s="164"/>
      <c r="AI345" s="192"/>
      <c r="AK345" s="191"/>
      <c r="AL345" s="191"/>
      <c r="AM345" s="191"/>
      <c r="AN345" s="164"/>
      <c r="AO345" s="192"/>
      <c r="AQ345" s="191"/>
      <c r="AR345" s="191"/>
      <c r="AS345" s="191"/>
      <c r="AT345" s="164"/>
      <c r="AU345" s="192"/>
      <c r="AW345" s="191"/>
      <c r="AX345" s="191"/>
      <c r="AY345" s="191"/>
      <c r="AZ345" s="164"/>
      <c r="BA345" s="192"/>
    </row>
    <row r="358" spans="4:9" s="2" customFormat="1" ht="17.100000000000001" customHeight="1" x14ac:dyDescent="0.25">
      <c r="D358" s="3"/>
      <c r="E358" s="3"/>
      <c r="F358" s="4"/>
      <c r="G358" s="4"/>
      <c r="H358" s="4"/>
      <c r="I358" s="97"/>
    </row>
    <row r="359" spans="4:9" s="2" customFormat="1" ht="17.100000000000001" customHeight="1" x14ac:dyDescent="0.25">
      <c r="D359" s="3"/>
      <c r="E359" s="3"/>
      <c r="F359" s="4"/>
      <c r="G359" s="4"/>
      <c r="H359" s="4"/>
      <c r="I359" s="97"/>
    </row>
    <row r="360" spans="4:9" s="2" customFormat="1" ht="17.100000000000001" customHeight="1" x14ac:dyDescent="0.25">
      <c r="D360" s="3"/>
      <c r="E360" s="3"/>
      <c r="F360" s="4"/>
      <c r="G360" s="4"/>
      <c r="H360" s="4"/>
      <c r="I360" s="97"/>
    </row>
    <row r="361" spans="4:9" s="2" customFormat="1" ht="17.100000000000001" customHeight="1" x14ac:dyDescent="0.25">
      <c r="D361" s="3"/>
      <c r="E361" s="3"/>
      <c r="F361" s="4"/>
      <c r="G361" s="4"/>
      <c r="H361" s="4"/>
      <c r="I361" s="97"/>
    </row>
    <row r="362" spans="4:9" s="2" customFormat="1" ht="17.100000000000001" customHeight="1" x14ac:dyDescent="0.25">
      <c r="D362" s="3"/>
      <c r="E362" s="3"/>
      <c r="F362" s="4"/>
      <c r="G362" s="4"/>
      <c r="H362" s="4"/>
      <c r="I362" s="97"/>
    </row>
    <row r="363" spans="4:9" s="2" customFormat="1" ht="17.100000000000001" customHeight="1" x14ac:dyDescent="0.25">
      <c r="D363" s="3"/>
      <c r="E363" s="3"/>
      <c r="F363" s="4"/>
      <c r="G363" s="4"/>
      <c r="H363" s="4"/>
      <c r="I363" s="97"/>
    </row>
    <row r="364" spans="4:9" s="2" customFormat="1" ht="17.100000000000001" customHeight="1" x14ac:dyDescent="0.25">
      <c r="D364" s="3"/>
      <c r="E364" s="3"/>
      <c r="F364" s="4"/>
      <c r="G364" s="4"/>
      <c r="H364" s="4"/>
      <c r="I364" s="97"/>
    </row>
    <row r="365" spans="4:9" s="2" customFormat="1" ht="17.100000000000001" customHeight="1" x14ac:dyDescent="0.25">
      <c r="D365" s="3"/>
      <c r="E365" s="3"/>
      <c r="F365" s="4"/>
      <c r="G365" s="4"/>
      <c r="H365" s="4"/>
      <c r="I365" s="97"/>
    </row>
    <row r="366" spans="4:9" s="2" customFormat="1" ht="17.100000000000001" customHeight="1" x14ac:dyDescent="0.25">
      <c r="D366" s="3"/>
      <c r="E366" s="3"/>
      <c r="F366" s="4"/>
      <c r="G366" s="4"/>
      <c r="H366" s="4"/>
      <c r="I366" s="97"/>
    </row>
    <row r="367" spans="4:9" s="2" customFormat="1" ht="17.100000000000001" customHeight="1" x14ac:dyDescent="0.25">
      <c r="D367" s="3"/>
      <c r="E367" s="3"/>
      <c r="F367" s="4"/>
      <c r="G367" s="4"/>
      <c r="H367" s="4"/>
      <c r="I367" s="97"/>
    </row>
    <row r="368" spans="4:9" s="2" customFormat="1" ht="17.100000000000001" customHeight="1" x14ac:dyDescent="0.25">
      <c r="D368" s="3"/>
      <c r="E368" s="3"/>
      <c r="F368" s="4"/>
      <c r="G368" s="4"/>
      <c r="H368" s="4"/>
      <c r="I368" s="97"/>
    </row>
    <row r="369" spans="4:9" s="2" customFormat="1" ht="17.100000000000001" customHeight="1" x14ac:dyDescent="0.25">
      <c r="D369" s="3"/>
      <c r="E369" s="3"/>
      <c r="F369" s="4"/>
      <c r="G369" s="4"/>
      <c r="H369" s="4"/>
      <c r="I369" s="97"/>
    </row>
    <row r="370" spans="4:9" s="2" customFormat="1" ht="17.100000000000001" customHeight="1" x14ac:dyDescent="0.25">
      <c r="D370" s="3"/>
      <c r="E370" s="3"/>
      <c r="F370" s="4"/>
      <c r="G370" s="4"/>
      <c r="H370" s="4"/>
      <c r="I370" s="97"/>
    </row>
    <row r="371" spans="4:9" s="2" customFormat="1" ht="17.100000000000001" customHeight="1" x14ac:dyDescent="0.25">
      <c r="D371" s="3"/>
      <c r="E371" s="3"/>
      <c r="F371" s="4"/>
      <c r="G371" s="4"/>
      <c r="H371" s="4"/>
      <c r="I371" s="97"/>
    </row>
    <row r="372" spans="4:9" s="2" customFormat="1" ht="17.100000000000001" customHeight="1" x14ac:dyDescent="0.25">
      <c r="D372" s="3"/>
      <c r="E372" s="3"/>
      <c r="F372" s="4"/>
      <c r="G372" s="4"/>
      <c r="H372" s="4"/>
      <c r="I372" s="97"/>
    </row>
    <row r="373" spans="4:9" s="2" customFormat="1" ht="17.100000000000001" customHeight="1" x14ac:dyDescent="0.25">
      <c r="D373" s="3"/>
      <c r="E373" s="3"/>
      <c r="F373" s="4"/>
      <c r="G373" s="4"/>
      <c r="H373" s="4"/>
      <c r="I373" s="97"/>
    </row>
    <row r="374" spans="4:9" s="2" customFormat="1" ht="17.100000000000001" customHeight="1" x14ac:dyDescent="0.25">
      <c r="D374" s="3"/>
      <c r="E374" s="3"/>
      <c r="F374" s="4"/>
      <c r="G374" s="4"/>
      <c r="H374" s="4"/>
      <c r="I374" s="97"/>
    </row>
    <row r="375" spans="4:9" s="2" customFormat="1" ht="17.100000000000001" customHeight="1" x14ac:dyDescent="0.25">
      <c r="D375" s="3"/>
      <c r="E375" s="3"/>
      <c r="F375" s="4"/>
      <c r="G375" s="4"/>
      <c r="H375" s="4"/>
      <c r="I375" s="97"/>
    </row>
    <row r="376" spans="4:9" s="2" customFormat="1" ht="17.100000000000001" customHeight="1" x14ac:dyDescent="0.25">
      <c r="D376" s="3"/>
      <c r="E376" s="3"/>
      <c r="F376" s="4"/>
      <c r="G376" s="4"/>
      <c r="H376" s="4"/>
      <c r="I376" s="97"/>
    </row>
    <row r="377" spans="4:9" s="2" customFormat="1" ht="17.100000000000001" customHeight="1" x14ac:dyDescent="0.25">
      <c r="D377" s="3"/>
      <c r="E377" s="3"/>
      <c r="F377" s="4"/>
      <c r="G377" s="4"/>
      <c r="H377" s="4"/>
      <c r="I377" s="97"/>
    </row>
    <row r="378" spans="4:9" s="2" customFormat="1" ht="17.100000000000001" customHeight="1" x14ac:dyDescent="0.25">
      <c r="D378" s="3"/>
      <c r="E378" s="3"/>
      <c r="F378" s="4"/>
      <c r="G378" s="4"/>
      <c r="H378" s="4"/>
      <c r="I378" s="97"/>
    </row>
    <row r="379" spans="4:9" s="2" customFormat="1" ht="17.100000000000001" customHeight="1" x14ac:dyDescent="0.25">
      <c r="D379" s="3"/>
      <c r="E379" s="3"/>
      <c r="F379" s="4"/>
      <c r="G379" s="4"/>
      <c r="H379" s="4"/>
      <c r="I379" s="97"/>
    </row>
    <row r="380" spans="4:9" s="2" customFormat="1" ht="17.100000000000001" customHeight="1" x14ac:dyDescent="0.25">
      <c r="D380" s="3"/>
      <c r="E380" s="3"/>
      <c r="F380" s="4"/>
      <c r="G380" s="4"/>
      <c r="H380" s="4"/>
      <c r="I380" s="97"/>
    </row>
    <row r="381" spans="4:9" s="2" customFormat="1" ht="17.100000000000001" customHeight="1" x14ac:dyDescent="0.25">
      <c r="D381" s="3"/>
      <c r="E381" s="3"/>
      <c r="F381" s="4"/>
      <c r="G381" s="4"/>
      <c r="H381" s="4"/>
      <c r="I381" s="97"/>
    </row>
    <row r="382" spans="4:9" s="2" customFormat="1" ht="17.100000000000001" customHeight="1" x14ac:dyDescent="0.25">
      <c r="D382" s="3"/>
      <c r="E382" s="3"/>
      <c r="F382" s="4"/>
      <c r="G382" s="4"/>
      <c r="H382" s="4"/>
      <c r="I382" s="97"/>
    </row>
    <row r="383" spans="4:9" s="2" customFormat="1" ht="17.100000000000001" customHeight="1" x14ac:dyDescent="0.25">
      <c r="D383" s="3"/>
      <c r="E383" s="3"/>
      <c r="F383" s="4"/>
      <c r="G383" s="4"/>
      <c r="H383" s="4"/>
      <c r="I383" s="97"/>
    </row>
    <row r="384" spans="4:9" s="2" customFormat="1" ht="17.100000000000001" customHeight="1" x14ac:dyDescent="0.25">
      <c r="D384" s="3"/>
      <c r="E384" s="3"/>
      <c r="F384" s="4"/>
      <c r="G384" s="4"/>
      <c r="H384" s="4"/>
      <c r="I384" s="97"/>
    </row>
    <row r="385" spans="4:9" s="2" customFormat="1" ht="17.100000000000001" customHeight="1" x14ac:dyDescent="0.25">
      <c r="D385" s="3"/>
      <c r="E385" s="3"/>
      <c r="F385" s="4"/>
      <c r="G385" s="4"/>
      <c r="H385" s="4"/>
      <c r="I385" s="97"/>
    </row>
    <row r="386" spans="4:9" s="2" customFormat="1" ht="17.100000000000001" customHeight="1" x14ac:dyDescent="0.25">
      <c r="D386" s="3"/>
      <c r="E386" s="3"/>
      <c r="F386" s="4"/>
      <c r="G386" s="4"/>
      <c r="H386" s="4"/>
      <c r="I386" s="97"/>
    </row>
    <row r="387" spans="4:9" s="2" customFormat="1" ht="17.100000000000001" customHeight="1" x14ac:dyDescent="0.25">
      <c r="D387" s="3"/>
      <c r="E387" s="3"/>
      <c r="F387" s="4"/>
      <c r="G387" s="4"/>
      <c r="H387" s="4"/>
      <c r="I387" s="97"/>
    </row>
    <row r="388" spans="4:9" s="2" customFormat="1" ht="17.100000000000001" customHeight="1" x14ac:dyDescent="0.25">
      <c r="D388" s="3"/>
      <c r="E388" s="3"/>
      <c r="F388" s="4"/>
      <c r="G388" s="4"/>
      <c r="H388" s="4"/>
      <c r="I388" s="97"/>
    </row>
    <row r="389" spans="4:9" s="2" customFormat="1" ht="17.100000000000001" customHeight="1" x14ac:dyDescent="0.25">
      <c r="D389" s="3"/>
      <c r="E389" s="3"/>
      <c r="F389" s="4"/>
      <c r="G389" s="4"/>
      <c r="H389" s="4"/>
      <c r="I389" s="97"/>
    </row>
    <row r="390" spans="4:9" s="2" customFormat="1" ht="17.100000000000001" customHeight="1" x14ac:dyDescent="0.25">
      <c r="D390" s="3"/>
      <c r="E390" s="3"/>
      <c r="F390" s="4"/>
      <c r="G390" s="4"/>
      <c r="H390" s="4"/>
      <c r="I390" s="97"/>
    </row>
    <row r="391" spans="4:9" s="2" customFormat="1" ht="17.100000000000001" customHeight="1" x14ac:dyDescent="0.25">
      <c r="D391" s="3"/>
      <c r="E391" s="3"/>
      <c r="F391" s="4"/>
      <c r="G391" s="4"/>
      <c r="H391" s="4"/>
      <c r="I391" s="97"/>
    </row>
    <row r="392" spans="4:9" s="2" customFormat="1" ht="17.100000000000001" customHeight="1" x14ac:dyDescent="0.25">
      <c r="D392" s="3"/>
      <c r="E392" s="3"/>
      <c r="F392" s="4"/>
      <c r="G392" s="4"/>
      <c r="H392" s="4"/>
      <c r="I392" s="97"/>
    </row>
    <row r="393" spans="4:9" s="2" customFormat="1" ht="17.100000000000001" customHeight="1" x14ac:dyDescent="0.25">
      <c r="D393" s="3"/>
      <c r="E393" s="3"/>
      <c r="F393" s="4"/>
      <c r="G393" s="4"/>
      <c r="H393" s="4"/>
      <c r="I393" s="97"/>
    </row>
    <row r="394" spans="4:9" s="2" customFormat="1" ht="17.100000000000001" customHeight="1" x14ac:dyDescent="0.25">
      <c r="D394" s="3"/>
      <c r="E394" s="3"/>
      <c r="F394" s="4"/>
      <c r="G394" s="4"/>
      <c r="H394" s="4"/>
      <c r="I394" s="97"/>
    </row>
    <row r="395" spans="4:9" s="2" customFormat="1" ht="17.100000000000001" customHeight="1" x14ac:dyDescent="0.25">
      <c r="D395" s="3"/>
      <c r="E395" s="3"/>
      <c r="F395" s="4"/>
      <c r="G395" s="4"/>
      <c r="H395" s="4"/>
      <c r="I395" s="97"/>
    </row>
    <row r="396" spans="4:9" s="2" customFormat="1" ht="17.100000000000001" customHeight="1" x14ac:dyDescent="0.25">
      <c r="D396" s="3"/>
      <c r="E396" s="3"/>
      <c r="F396" s="4"/>
      <c r="G396" s="4"/>
      <c r="H396" s="4"/>
      <c r="I396" s="97"/>
    </row>
    <row r="397" spans="4:9" s="2" customFormat="1" ht="17.100000000000001" customHeight="1" x14ac:dyDescent="0.25">
      <c r="D397" s="3"/>
      <c r="E397" s="3"/>
      <c r="F397" s="4"/>
      <c r="G397" s="4"/>
      <c r="H397" s="4"/>
      <c r="I397" s="97"/>
    </row>
    <row r="398" spans="4:9" s="2" customFormat="1" ht="17.100000000000001" customHeight="1" x14ac:dyDescent="0.25">
      <c r="D398" s="3"/>
      <c r="E398" s="3"/>
      <c r="F398" s="4"/>
      <c r="G398" s="4"/>
      <c r="H398" s="4"/>
      <c r="I398" s="97"/>
    </row>
    <row r="399" spans="4:9" s="2" customFormat="1" ht="17.100000000000001" customHeight="1" x14ac:dyDescent="0.25">
      <c r="D399" s="3"/>
      <c r="E399" s="3"/>
      <c r="F399" s="4"/>
      <c r="G399" s="4"/>
      <c r="H399" s="4"/>
      <c r="I399" s="97"/>
    </row>
    <row r="400" spans="4:9" s="2" customFormat="1" ht="17.100000000000001" customHeight="1" x14ac:dyDescent="0.25">
      <c r="D400" s="3"/>
      <c r="E400" s="3"/>
      <c r="F400" s="4"/>
      <c r="G400" s="4"/>
      <c r="H400" s="4"/>
      <c r="I400" s="97"/>
    </row>
    <row r="401" spans="4:9" s="2" customFormat="1" ht="17.100000000000001" customHeight="1" x14ac:dyDescent="0.25">
      <c r="D401" s="3"/>
      <c r="E401" s="3"/>
      <c r="F401" s="4"/>
      <c r="G401" s="4"/>
      <c r="H401" s="4"/>
      <c r="I401" s="97"/>
    </row>
    <row r="402" spans="4:9" s="2" customFormat="1" ht="17.100000000000001" customHeight="1" x14ac:dyDescent="0.25">
      <c r="D402" s="3"/>
      <c r="E402" s="3"/>
      <c r="F402" s="4"/>
      <c r="G402" s="4"/>
      <c r="H402" s="4"/>
      <c r="I402" s="97"/>
    </row>
    <row r="403" spans="4:9" s="2" customFormat="1" ht="17.100000000000001" customHeight="1" x14ac:dyDescent="0.25">
      <c r="D403" s="3"/>
      <c r="E403" s="3"/>
      <c r="F403" s="4"/>
      <c r="G403" s="4"/>
      <c r="H403" s="4"/>
      <c r="I403" s="97"/>
    </row>
    <row r="404" spans="4:9" s="2" customFormat="1" ht="17.100000000000001" customHeight="1" x14ac:dyDescent="0.25">
      <c r="D404" s="3"/>
      <c r="E404" s="3"/>
      <c r="F404" s="4"/>
      <c r="G404" s="4"/>
      <c r="H404" s="4"/>
      <c r="I404" s="97"/>
    </row>
    <row r="405" spans="4:9" s="2" customFormat="1" ht="17.100000000000001" customHeight="1" x14ac:dyDescent="0.25">
      <c r="D405" s="3"/>
      <c r="E405" s="3"/>
      <c r="F405" s="4"/>
      <c r="G405" s="4"/>
      <c r="H405" s="4"/>
      <c r="I405" s="97"/>
    </row>
    <row r="406" spans="4:9" s="2" customFormat="1" ht="17.100000000000001" customHeight="1" x14ac:dyDescent="0.25">
      <c r="D406" s="3"/>
      <c r="E406" s="3"/>
      <c r="F406" s="4"/>
      <c r="G406" s="4"/>
      <c r="H406" s="4"/>
      <c r="I406" s="97"/>
    </row>
    <row r="407" spans="4:9" s="2" customFormat="1" ht="17.100000000000001" customHeight="1" x14ac:dyDescent="0.25">
      <c r="D407" s="3"/>
      <c r="E407" s="3"/>
      <c r="F407" s="4"/>
      <c r="G407" s="4"/>
      <c r="H407" s="4"/>
      <c r="I407" s="97"/>
    </row>
    <row r="408" spans="4:9" s="2" customFormat="1" ht="17.100000000000001" customHeight="1" x14ac:dyDescent="0.25">
      <c r="D408" s="3"/>
      <c r="E408" s="3"/>
      <c r="F408" s="4"/>
      <c r="G408" s="4"/>
      <c r="H408" s="4"/>
      <c r="I408" s="97"/>
    </row>
    <row r="409" spans="4:9" s="2" customFormat="1" ht="17.100000000000001" customHeight="1" x14ac:dyDescent="0.25">
      <c r="D409" s="3"/>
      <c r="E409" s="3"/>
      <c r="F409" s="4"/>
      <c r="G409" s="4"/>
      <c r="H409" s="4"/>
      <c r="I409" s="97"/>
    </row>
    <row r="410" spans="4:9" s="2" customFormat="1" ht="17.100000000000001" customHeight="1" x14ac:dyDescent="0.25">
      <c r="D410" s="3"/>
      <c r="E410" s="3"/>
      <c r="F410" s="4"/>
      <c r="G410" s="4"/>
      <c r="H410" s="4"/>
      <c r="I410" s="97"/>
    </row>
    <row r="411" spans="4:9" s="2" customFormat="1" ht="17.100000000000001" customHeight="1" x14ac:dyDescent="0.25">
      <c r="D411" s="3"/>
      <c r="E411" s="3"/>
      <c r="F411" s="4"/>
      <c r="G411" s="4"/>
      <c r="H411" s="4"/>
      <c r="I411" s="97"/>
    </row>
    <row r="412" spans="4:9" s="2" customFormat="1" ht="17.100000000000001" customHeight="1" x14ac:dyDescent="0.25">
      <c r="D412" s="3"/>
      <c r="E412" s="3"/>
      <c r="F412" s="4"/>
      <c r="G412" s="4"/>
      <c r="H412" s="4"/>
      <c r="I412" s="97"/>
    </row>
    <row r="413" spans="4:9" s="2" customFormat="1" ht="17.100000000000001" customHeight="1" x14ac:dyDescent="0.25">
      <c r="D413" s="3"/>
      <c r="E413" s="3"/>
      <c r="F413" s="4"/>
      <c r="G413" s="4"/>
      <c r="H413" s="4"/>
      <c r="I413" s="97"/>
    </row>
    <row r="414" spans="4:9" s="2" customFormat="1" ht="17.100000000000001" customHeight="1" x14ac:dyDescent="0.25">
      <c r="D414" s="3"/>
      <c r="E414" s="3"/>
      <c r="F414" s="4"/>
      <c r="G414" s="4"/>
      <c r="H414" s="4"/>
      <c r="I414" s="97"/>
    </row>
    <row r="415" spans="4:9" s="2" customFormat="1" ht="17.100000000000001" customHeight="1" x14ac:dyDescent="0.25">
      <c r="D415" s="3"/>
      <c r="E415" s="3"/>
      <c r="F415" s="4"/>
      <c r="G415" s="4"/>
      <c r="H415" s="4"/>
      <c r="I415" s="97"/>
    </row>
    <row r="416" spans="4:9" s="2" customFormat="1" ht="17.100000000000001" customHeight="1" x14ac:dyDescent="0.25">
      <c r="D416" s="3"/>
      <c r="E416" s="3"/>
      <c r="F416" s="4"/>
      <c r="G416" s="4"/>
      <c r="H416" s="4"/>
      <c r="I416" s="97"/>
    </row>
    <row r="417" spans="4:9" s="2" customFormat="1" ht="17.100000000000001" customHeight="1" x14ac:dyDescent="0.25">
      <c r="D417" s="3"/>
      <c r="E417" s="3"/>
      <c r="F417" s="4"/>
      <c r="G417" s="4"/>
      <c r="H417" s="4"/>
      <c r="I417" s="97"/>
    </row>
    <row r="418" spans="4:9" s="2" customFormat="1" ht="17.100000000000001" customHeight="1" x14ac:dyDescent="0.25">
      <c r="D418" s="3"/>
      <c r="E418" s="3"/>
      <c r="F418" s="4"/>
      <c r="G418" s="4"/>
      <c r="H418" s="4"/>
      <c r="I418" s="97"/>
    </row>
    <row r="419" spans="4:9" s="2" customFormat="1" ht="17.100000000000001" customHeight="1" x14ac:dyDescent="0.25">
      <c r="D419" s="3"/>
      <c r="E419" s="3"/>
      <c r="F419" s="4"/>
      <c r="G419" s="4"/>
      <c r="H419" s="4"/>
      <c r="I419" s="97"/>
    </row>
    <row r="420" spans="4:9" s="2" customFormat="1" ht="17.100000000000001" customHeight="1" x14ac:dyDescent="0.25">
      <c r="D420" s="3"/>
      <c r="E420" s="3"/>
      <c r="F420" s="4"/>
      <c r="G420" s="4"/>
      <c r="H420" s="4"/>
      <c r="I420" s="97"/>
    </row>
    <row r="421" spans="4:9" s="2" customFormat="1" ht="17.100000000000001" customHeight="1" x14ac:dyDescent="0.25">
      <c r="D421" s="3"/>
      <c r="E421" s="3"/>
      <c r="F421" s="4"/>
      <c r="G421" s="4"/>
      <c r="H421" s="4"/>
      <c r="I421" s="97"/>
    </row>
    <row r="422" spans="4:9" s="2" customFormat="1" ht="17.100000000000001" customHeight="1" x14ac:dyDescent="0.25">
      <c r="D422" s="3"/>
      <c r="E422" s="3"/>
      <c r="F422" s="4"/>
      <c r="G422" s="4"/>
      <c r="H422" s="4"/>
      <c r="I422" s="97"/>
    </row>
    <row r="423" spans="4:9" s="2" customFormat="1" ht="17.100000000000001" customHeight="1" x14ac:dyDescent="0.25">
      <c r="D423" s="3"/>
      <c r="E423" s="3"/>
      <c r="F423" s="4"/>
      <c r="G423" s="4"/>
      <c r="H423" s="4"/>
      <c r="I423" s="97"/>
    </row>
    <row r="424" spans="4:9" s="2" customFormat="1" ht="17.100000000000001" customHeight="1" x14ac:dyDescent="0.25">
      <c r="D424" s="3"/>
      <c r="E424" s="3"/>
      <c r="F424" s="4"/>
      <c r="G424" s="4"/>
      <c r="H424" s="4"/>
      <c r="I424" s="97"/>
    </row>
    <row r="425" spans="4:9" s="2" customFormat="1" ht="17.100000000000001" customHeight="1" x14ac:dyDescent="0.25">
      <c r="D425" s="3"/>
      <c r="E425" s="3"/>
      <c r="F425" s="4"/>
      <c r="G425" s="4"/>
      <c r="H425" s="4"/>
      <c r="I425" s="97"/>
    </row>
    <row r="426" spans="4:9" s="2" customFormat="1" ht="17.100000000000001" customHeight="1" x14ac:dyDescent="0.25">
      <c r="D426" s="3"/>
      <c r="E426" s="3"/>
      <c r="F426" s="4"/>
      <c r="G426" s="4"/>
      <c r="H426" s="4"/>
      <c r="I426" s="97"/>
    </row>
    <row r="427" spans="4:9" s="2" customFormat="1" ht="17.100000000000001" customHeight="1" x14ac:dyDescent="0.25">
      <c r="D427" s="3"/>
      <c r="E427" s="3"/>
      <c r="F427" s="4"/>
      <c r="G427" s="4"/>
      <c r="H427" s="4"/>
      <c r="I427" s="97"/>
    </row>
    <row r="428" spans="4:9" s="2" customFormat="1" ht="17.100000000000001" customHeight="1" x14ac:dyDescent="0.25">
      <c r="D428" s="3"/>
      <c r="E428" s="3"/>
      <c r="F428" s="4"/>
      <c r="G428" s="4"/>
      <c r="H428" s="4"/>
      <c r="I428" s="97"/>
    </row>
    <row r="429" spans="4:9" s="2" customFormat="1" ht="17.100000000000001" customHeight="1" x14ac:dyDescent="0.25">
      <c r="D429" s="3"/>
      <c r="E429" s="3"/>
      <c r="F429" s="4"/>
      <c r="G429" s="4"/>
      <c r="H429" s="4"/>
      <c r="I429" s="97"/>
    </row>
    <row r="430" spans="4:9" s="2" customFormat="1" ht="17.100000000000001" customHeight="1" x14ac:dyDescent="0.25">
      <c r="D430" s="3"/>
      <c r="E430" s="3"/>
      <c r="F430" s="4"/>
      <c r="G430" s="4"/>
      <c r="H430" s="4"/>
      <c r="I430" s="97"/>
    </row>
    <row r="431" spans="4:9" s="2" customFormat="1" ht="17.100000000000001" customHeight="1" x14ac:dyDescent="0.25">
      <c r="D431" s="3"/>
      <c r="E431" s="3"/>
      <c r="F431" s="4"/>
      <c r="G431" s="4"/>
      <c r="H431" s="4"/>
      <c r="I431" s="97"/>
    </row>
    <row r="432" spans="4:9" s="2" customFormat="1" ht="17.100000000000001" customHeight="1" x14ac:dyDescent="0.25">
      <c r="D432" s="3"/>
      <c r="E432" s="3"/>
      <c r="F432" s="4"/>
      <c r="G432" s="4"/>
      <c r="H432" s="4"/>
      <c r="I432" s="97"/>
    </row>
    <row r="433" spans="1:9" s="2" customFormat="1" ht="17.100000000000001" customHeight="1" x14ac:dyDescent="0.25">
      <c r="D433" s="3"/>
      <c r="E433" s="3"/>
      <c r="F433" s="4"/>
      <c r="G433" s="4"/>
      <c r="H433" s="4"/>
      <c r="I433" s="97"/>
    </row>
    <row r="434" spans="1:9" s="2" customFormat="1" ht="17.100000000000001" customHeight="1" x14ac:dyDescent="0.25">
      <c r="D434" s="3"/>
      <c r="E434" s="3"/>
      <c r="F434" s="4"/>
      <c r="G434" s="4"/>
      <c r="H434" s="4"/>
      <c r="I434" s="97"/>
    </row>
    <row r="435" spans="1:9" s="2" customFormat="1" ht="17.100000000000001" customHeight="1" x14ac:dyDescent="0.25">
      <c r="D435" s="3"/>
      <c r="E435" s="3"/>
      <c r="F435" s="4"/>
      <c r="G435" s="4"/>
      <c r="H435" s="4"/>
      <c r="I435" s="97"/>
    </row>
    <row r="436" spans="1:9" s="2" customFormat="1" ht="17.100000000000001" customHeight="1" x14ac:dyDescent="0.25">
      <c r="D436" s="3"/>
      <c r="E436" s="3"/>
      <c r="F436" s="4"/>
      <c r="G436" s="4"/>
      <c r="H436" s="4"/>
      <c r="I436" s="97"/>
    </row>
    <row r="437" spans="1:9" s="2" customFormat="1" ht="17.100000000000001" customHeight="1" x14ac:dyDescent="0.25">
      <c r="D437" s="3"/>
      <c r="E437" s="3"/>
      <c r="F437" s="4"/>
      <c r="G437" s="4"/>
      <c r="H437" s="4"/>
      <c r="I437" s="97"/>
    </row>
    <row r="438" spans="1:9" s="2" customFormat="1" ht="17.100000000000001" customHeight="1" x14ac:dyDescent="0.25">
      <c r="D438" s="3"/>
      <c r="E438" s="3"/>
      <c r="F438" s="4"/>
      <c r="G438" s="4"/>
      <c r="H438" s="4"/>
      <c r="I438" s="97"/>
    </row>
    <row r="439" spans="1:9" s="2" customFormat="1" ht="17.100000000000001" customHeight="1" x14ac:dyDescent="0.25">
      <c r="D439" s="3"/>
      <c r="E439" s="3"/>
      <c r="F439" s="4"/>
      <c r="G439" s="4"/>
      <c r="H439" s="4"/>
      <c r="I439" s="97"/>
    </row>
    <row r="440" spans="1:9" s="2" customFormat="1" ht="17.100000000000001" customHeight="1" x14ac:dyDescent="0.25">
      <c r="D440" s="3"/>
      <c r="E440" s="3"/>
      <c r="F440" s="4"/>
      <c r="G440" s="4"/>
      <c r="H440" s="4"/>
      <c r="I440" s="97"/>
    </row>
    <row r="441" spans="1:9" s="2" customFormat="1" ht="17.100000000000001" customHeight="1" x14ac:dyDescent="0.25">
      <c r="A441" s="2" t="s">
        <v>608</v>
      </c>
      <c r="D441" s="3"/>
      <c r="E441" s="3"/>
      <c r="F441" s="4"/>
      <c r="G441" s="4"/>
      <c r="H441" s="4"/>
      <c r="I441" s="97"/>
    </row>
    <row r="442" spans="1:9" s="2" customFormat="1" ht="17.100000000000001" customHeight="1" x14ac:dyDescent="0.25">
      <c r="D442" s="3"/>
      <c r="E442" s="3"/>
      <c r="F442" s="4"/>
      <c r="G442" s="4"/>
      <c r="H442" s="4"/>
      <c r="I442" s="97"/>
    </row>
    <row r="443" spans="1:9" s="2" customFormat="1" ht="17.100000000000001" customHeight="1" x14ac:dyDescent="0.25">
      <c r="D443" s="3"/>
      <c r="E443" s="3"/>
      <c r="F443" s="4"/>
      <c r="G443" s="4"/>
      <c r="H443" s="4"/>
      <c r="I443" s="97"/>
    </row>
    <row r="444" spans="1:9" s="2" customFormat="1" ht="17.100000000000001" customHeight="1" x14ac:dyDescent="0.25">
      <c r="D444" s="3"/>
      <c r="E444" s="3"/>
      <c r="F444" s="4"/>
      <c r="G444" s="4"/>
      <c r="H444" s="4"/>
      <c r="I444" s="97"/>
    </row>
    <row r="445" spans="1:9" s="2" customFormat="1" ht="17.100000000000001" customHeight="1" x14ac:dyDescent="0.25">
      <c r="D445" s="3"/>
      <c r="E445" s="3"/>
      <c r="F445" s="4"/>
      <c r="G445" s="4"/>
      <c r="H445" s="4"/>
      <c r="I445" s="97"/>
    </row>
    <row r="446" spans="1:9" s="2" customFormat="1" ht="17.100000000000001" customHeight="1" x14ac:dyDescent="0.25">
      <c r="D446" s="3"/>
      <c r="E446" s="3"/>
      <c r="F446" s="4"/>
      <c r="G446" s="4"/>
      <c r="H446" s="4"/>
      <c r="I446" s="97"/>
    </row>
    <row r="447" spans="1:9" s="2" customFormat="1" ht="17.100000000000001" customHeight="1" x14ac:dyDescent="0.25">
      <c r="D447" s="3"/>
      <c r="E447" s="3"/>
      <c r="F447" s="4"/>
      <c r="G447" s="4"/>
      <c r="H447" s="4"/>
      <c r="I447" s="97"/>
    </row>
    <row r="448" spans="1:9" s="2" customFormat="1" ht="17.100000000000001" customHeight="1" x14ac:dyDescent="0.25">
      <c r="D448" s="3"/>
      <c r="E448" s="3"/>
      <c r="F448" s="4"/>
      <c r="G448" s="4"/>
      <c r="H448" s="4"/>
      <c r="I448" s="97"/>
    </row>
    <row r="449" spans="4:9" s="2" customFormat="1" ht="17.100000000000001" customHeight="1" x14ac:dyDescent="0.25">
      <c r="D449" s="3"/>
      <c r="E449" s="3"/>
      <c r="F449" s="4"/>
      <c r="G449" s="4"/>
      <c r="H449" s="4"/>
      <c r="I449" s="97"/>
    </row>
    <row r="450" spans="4:9" s="2" customFormat="1" ht="17.100000000000001" customHeight="1" x14ac:dyDescent="0.25">
      <c r="D450" s="3"/>
      <c r="E450" s="3"/>
      <c r="F450" s="4"/>
      <c r="G450" s="4"/>
      <c r="H450" s="4"/>
      <c r="I450" s="97"/>
    </row>
    <row r="451" spans="4:9" s="2" customFormat="1" ht="17.100000000000001" customHeight="1" x14ac:dyDescent="0.25">
      <c r="D451" s="3"/>
      <c r="E451" s="3"/>
      <c r="F451" s="4"/>
      <c r="G451" s="4"/>
      <c r="H451" s="4"/>
      <c r="I451" s="97"/>
    </row>
    <row r="452" spans="4:9" s="2" customFormat="1" ht="17.100000000000001" customHeight="1" x14ac:dyDescent="0.25">
      <c r="D452" s="3"/>
      <c r="E452" s="3"/>
      <c r="F452" s="4"/>
      <c r="G452" s="4"/>
      <c r="H452" s="4"/>
      <c r="I452" s="97"/>
    </row>
    <row r="453" spans="4:9" s="2" customFormat="1" ht="17.100000000000001" customHeight="1" x14ac:dyDescent="0.25">
      <c r="D453" s="3"/>
      <c r="E453" s="3"/>
      <c r="F453" s="4"/>
      <c r="G453" s="4"/>
      <c r="H453" s="4"/>
      <c r="I453" s="97"/>
    </row>
    <row r="454" spans="4:9" s="2" customFormat="1" ht="17.100000000000001" customHeight="1" x14ac:dyDescent="0.25">
      <c r="D454" s="3"/>
      <c r="E454" s="3"/>
      <c r="F454" s="4"/>
      <c r="G454" s="4"/>
      <c r="H454" s="4"/>
      <c r="I454" s="97"/>
    </row>
    <row r="455" spans="4:9" s="2" customFormat="1" ht="17.100000000000001" customHeight="1" x14ac:dyDescent="0.25">
      <c r="D455" s="3"/>
      <c r="E455" s="3"/>
      <c r="F455" s="4"/>
      <c r="G455" s="4"/>
      <c r="H455" s="4"/>
      <c r="I455" s="97"/>
    </row>
    <row r="456" spans="4:9" s="2" customFormat="1" ht="17.100000000000001" customHeight="1" x14ac:dyDescent="0.25">
      <c r="D456" s="3"/>
      <c r="E456" s="3"/>
      <c r="F456" s="4"/>
      <c r="G456" s="4"/>
      <c r="H456" s="4"/>
      <c r="I456" s="97"/>
    </row>
    <row r="457" spans="4:9" s="2" customFormat="1" ht="17.100000000000001" customHeight="1" x14ac:dyDescent="0.25">
      <c r="D457" s="3"/>
      <c r="E457" s="3"/>
      <c r="F457" s="4"/>
      <c r="G457" s="4"/>
      <c r="H457" s="4"/>
      <c r="I457" s="97"/>
    </row>
    <row r="458" spans="4:9" s="2" customFormat="1" ht="17.100000000000001" customHeight="1" x14ac:dyDescent="0.25">
      <c r="D458" s="3"/>
      <c r="E458" s="3"/>
      <c r="F458" s="4"/>
      <c r="G458" s="4"/>
      <c r="H458" s="4"/>
      <c r="I458" s="97"/>
    </row>
    <row r="459" spans="4:9" s="2" customFormat="1" ht="17.100000000000001" customHeight="1" x14ac:dyDescent="0.25">
      <c r="D459" s="3"/>
      <c r="E459" s="3"/>
      <c r="F459" s="4"/>
      <c r="G459" s="4"/>
      <c r="H459" s="4"/>
      <c r="I459" s="97"/>
    </row>
    <row r="460" spans="4:9" s="2" customFormat="1" ht="17.100000000000001" customHeight="1" x14ac:dyDescent="0.25">
      <c r="D460" s="3"/>
      <c r="E460" s="3"/>
      <c r="F460" s="4"/>
      <c r="G460" s="4"/>
      <c r="H460" s="4"/>
      <c r="I460" s="97"/>
    </row>
    <row r="461" spans="4:9" s="2" customFormat="1" ht="17.100000000000001" customHeight="1" x14ac:dyDescent="0.25">
      <c r="D461" s="3"/>
      <c r="E461" s="3"/>
      <c r="F461" s="4"/>
      <c r="G461" s="4"/>
      <c r="H461" s="4"/>
      <c r="I461" s="97"/>
    </row>
    <row r="462" spans="4:9" s="2" customFormat="1" ht="17.100000000000001" customHeight="1" x14ac:dyDescent="0.25">
      <c r="D462" s="3"/>
      <c r="E462" s="3"/>
      <c r="F462" s="4"/>
      <c r="G462" s="4"/>
      <c r="H462" s="4"/>
      <c r="I462" s="97"/>
    </row>
    <row r="463" spans="4:9" s="2" customFormat="1" ht="17.100000000000001" customHeight="1" x14ac:dyDescent="0.25">
      <c r="D463" s="3"/>
      <c r="E463" s="3"/>
      <c r="F463" s="4"/>
      <c r="G463" s="4"/>
      <c r="H463" s="4"/>
      <c r="I463" s="97"/>
    </row>
    <row r="464" spans="4:9" s="2" customFormat="1" ht="17.100000000000001" customHeight="1" x14ac:dyDescent="0.25">
      <c r="D464" s="3"/>
      <c r="E464" s="3"/>
      <c r="F464" s="4"/>
      <c r="G464" s="4"/>
      <c r="H464" s="4"/>
      <c r="I464" s="97"/>
    </row>
    <row r="465" spans="4:9" s="2" customFormat="1" ht="17.100000000000001" customHeight="1" x14ac:dyDescent="0.25">
      <c r="D465" s="3"/>
      <c r="E465" s="3"/>
      <c r="F465" s="4"/>
      <c r="G465" s="4"/>
      <c r="H465" s="4"/>
      <c r="I465" s="97"/>
    </row>
    <row r="466" spans="4:9" s="2" customFormat="1" ht="17.100000000000001" customHeight="1" x14ac:dyDescent="0.25">
      <c r="D466" s="3"/>
      <c r="E466" s="3"/>
      <c r="F466" s="4"/>
      <c r="G466" s="4"/>
      <c r="H466" s="4"/>
      <c r="I466" s="97"/>
    </row>
    <row r="467" spans="4:9" s="2" customFormat="1" ht="17.100000000000001" customHeight="1" x14ac:dyDescent="0.25">
      <c r="D467" s="3"/>
      <c r="E467" s="3"/>
      <c r="F467" s="4"/>
      <c r="G467" s="4"/>
      <c r="H467" s="4"/>
      <c r="I467" s="97"/>
    </row>
    <row r="468" spans="4:9" s="2" customFormat="1" ht="17.100000000000001" customHeight="1" x14ac:dyDescent="0.25">
      <c r="D468" s="3"/>
      <c r="E468" s="3"/>
      <c r="F468" s="4"/>
      <c r="G468" s="4"/>
      <c r="H468" s="4"/>
      <c r="I468" s="97"/>
    </row>
    <row r="469" spans="4:9" s="2" customFormat="1" ht="17.100000000000001" customHeight="1" x14ac:dyDescent="0.25">
      <c r="D469" s="3"/>
      <c r="E469" s="3"/>
      <c r="F469" s="4"/>
      <c r="G469" s="4"/>
      <c r="H469" s="4"/>
      <c r="I469" s="97"/>
    </row>
    <row r="470" spans="4:9" s="2" customFormat="1" ht="17.100000000000001" customHeight="1" x14ac:dyDescent="0.25">
      <c r="D470" s="3"/>
      <c r="E470" s="3"/>
      <c r="F470" s="4"/>
      <c r="G470" s="4"/>
      <c r="H470" s="4"/>
      <c r="I470" s="97"/>
    </row>
    <row r="471" spans="4:9" s="2" customFormat="1" ht="17.100000000000001" customHeight="1" x14ac:dyDescent="0.25">
      <c r="D471" s="3"/>
      <c r="E471" s="3"/>
      <c r="F471" s="4"/>
      <c r="G471" s="4"/>
      <c r="H471" s="4"/>
      <c r="I471" s="97"/>
    </row>
    <row r="472" spans="4:9" s="2" customFormat="1" ht="17.100000000000001" customHeight="1" x14ac:dyDescent="0.25">
      <c r="D472" s="3"/>
      <c r="E472" s="3"/>
      <c r="F472" s="4"/>
      <c r="G472" s="4"/>
      <c r="H472" s="4"/>
      <c r="I472" s="97"/>
    </row>
    <row r="473" spans="4:9" s="2" customFormat="1" ht="17.100000000000001" customHeight="1" x14ac:dyDescent="0.25">
      <c r="D473" s="3"/>
      <c r="E473" s="3"/>
      <c r="F473" s="4"/>
      <c r="G473" s="4"/>
      <c r="H473" s="4"/>
      <c r="I473" s="97"/>
    </row>
    <row r="474" spans="4:9" s="2" customFormat="1" ht="17.100000000000001" customHeight="1" x14ac:dyDescent="0.25">
      <c r="D474" s="3"/>
      <c r="E474" s="3"/>
      <c r="F474" s="4"/>
      <c r="G474" s="4"/>
      <c r="H474" s="4"/>
      <c r="I474" s="97"/>
    </row>
    <row r="475" spans="4:9" s="2" customFormat="1" ht="17.100000000000001" customHeight="1" x14ac:dyDescent="0.25">
      <c r="D475" s="3"/>
      <c r="E475" s="3"/>
      <c r="F475" s="4"/>
      <c r="G475" s="4"/>
      <c r="H475" s="4"/>
      <c r="I475" s="97"/>
    </row>
    <row r="476" spans="4:9" s="2" customFormat="1" ht="17.100000000000001" customHeight="1" x14ac:dyDescent="0.25">
      <c r="D476" s="3"/>
      <c r="E476" s="3"/>
      <c r="F476" s="4"/>
      <c r="G476" s="4"/>
      <c r="H476" s="4"/>
      <c r="I476" s="97"/>
    </row>
    <row r="477" spans="4:9" s="2" customFormat="1" ht="17.100000000000001" customHeight="1" x14ac:dyDescent="0.25">
      <c r="D477" s="3"/>
      <c r="E477" s="3"/>
      <c r="F477" s="4"/>
      <c r="G477" s="4"/>
      <c r="H477" s="4"/>
      <c r="I477" s="97"/>
    </row>
    <row r="478" spans="4:9" s="2" customFormat="1" ht="17.100000000000001" customHeight="1" x14ac:dyDescent="0.25">
      <c r="D478" s="3"/>
      <c r="E478" s="3"/>
      <c r="F478" s="4"/>
      <c r="G478" s="4"/>
      <c r="H478" s="4"/>
      <c r="I478" s="97"/>
    </row>
    <row r="479" spans="4:9" s="2" customFormat="1" ht="17.100000000000001" customHeight="1" x14ac:dyDescent="0.25">
      <c r="D479" s="3"/>
      <c r="E479" s="3"/>
      <c r="F479" s="4"/>
      <c r="G479" s="4"/>
      <c r="H479" s="4"/>
      <c r="I479" s="97"/>
    </row>
    <row r="480" spans="4:9" s="2" customFormat="1" ht="17.100000000000001" customHeight="1" x14ac:dyDescent="0.25">
      <c r="D480" s="3"/>
      <c r="E480" s="3"/>
      <c r="F480" s="4"/>
      <c r="G480" s="4"/>
      <c r="H480" s="4"/>
      <c r="I480" s="97"/>
    </row>
    <row r="481" spans="4:9" s="2" customFormat="1" ht="17.100000000000001" customHeight="1" x14ac:dyDescent="0.25">
      <c r="D481" s="3"/>
      <c r="E481" s="3"/>
      <c r="F481" s="4"/>
      <c r="G481" s="4"/>
      <c r="H481" s="4"/>
      <c r="I481" s="97"/>
    </row>
    <row r="482" spans="4:9" s="2" customFormat="1" ht="17.100000000000001" customHeight="1" x14ac:dyDescent="0.25">
      <c r="D482" s="3"/>
      <c r="E482" s="3"/>
      <c r="F482" s="4"/>
      <c r="G482" s="4"/>
      <c r="H482" s="4"/>
      <c r="I482" s="97"/>
    </row>
    <row r="483" spans="4:9" s="2" customFormat="1" ht="17.100000000000001" customHeight="1" x14ac:dyDescent="0.25">
      <c r="D483" s="3"/>
      <c r="E483" s="3"/>
      <c r="F483" s="4"/>
      <c r="G483" s="4"/>
      <c r="H483" s="4"/>
      <c r="I483" s="97"/>
    </row>
    <row r="484" spans="4:9" s="2" customFormat="1" ht="17.100000000000001" customHeight="1" x14ac:dyDescent="0.25">
      <c r="D484" s="3"/>
      <c r="E484" s="3"/>
      <c r="F484" s="4"/>
      <c r="G484" s="4"/>
      <c r="H484" s="4"/>
      <c r="I484" s="97"/>
    </row>
    <row r="485" spans="4:9" s="2" customFormat="1" ht="17.100000000000001" customHeight="1" x14ac:dyDescent="0.25">
      <c r="D485" s="3"/>
      <c r="E485" s="3"/>
      <c r="F485" s="4"/>
      <c r="G485" s="4"/>
      <c r="H485" s="4"/>
      <c r="I485" s="97"/>
    </row>
    <row r="486" spans="4:9" s="2" customFormat="1" ht="17.100000000000001" customHeight="1" x14ac:dyDescent="0.25">
      <c r="D486" s="3"/>
      <c r="E486" s="3"/>
      <c r="F486" s="4"/>
      <c r="G486" s="4"/>
      <c r="H486" s="4"/>
      <c r="I486" s="97"/>
    </row>
    <row r="487" spans="4:9" s="2" customFormat="1" ht="17.100000000000001" customHeight="1" x14ac:dyDescent="0.25">
      <c r="D487" s="3"/>
      <c r="E487" s="3"/>
      <c r="F487" s="4"/>
      <c r="G487" s="4"/>
      <c r="H487" s="4"/>
      <c r="I487" s="97"/>
    </row>
    <row r="488" spans="4:9" s="2" customFormat="1" ht="17.100000000000001" customHeight="1" x14ac:dyDescent="0.25">
      <c r="D488" s="3"/>
      <c r="E488" s="3"/>
      <c r="F488" s="4"/>
      <c r="G488" s="4"/>
      <c r="H488" s="4"/>
      <c r="I488" s="97"/>
    </row>
    <row r="489" spans="4:9" s="2" customFormat="1" ht="17.100000000000001" customHeight="1" x14ac:dyDescent="0.25">
      <c r="D489" s="3"/>
      <c r="E489" s="3"/>
      <c r="F489" s="4"/>
      <c r="G489" s="4"/>
      <c r="H489" s="4"/>
      <c r="I489" s="97"/>
    </row>
    <row r="490" spans="4:9" s="2" customFormat="1" ht="17.100000000000001" customHeight="1" x14ac:dyDescent="0.25">
      <c r="D490" s="3"/>
      <c r="E490" s="3"/>
      <c r="F490" s="4"/>
      <c r="G490" s="4"/>
      <c r="H490" s="4"/>
      <c r="I490" s="97"/>
    </row>
    <row r="491" spans="4:9" s="2" customFormat="1" ht="17.100000000000001" customHeight="1" x14ac:dyDescent="0.25">
      <c r="D491" s="3"/>
      <c r="E491" s="3"/>
      <c r="F491" s="4"/>
      <c r="G491" s="4"/>
      <c r="H491" s="4"/>
      <c r="I491" s="97"/>
    </row>
    <row r="492" spans="4:9" s="2" customFormat="1" ht="17.100000000000001" customHeight="1" x14ac:dyDescent="0.25">
      <c r="D492" s="3"/>
      <c r="E492" s="3"/>
      <c r="F492" s="4"/>
      <c r="G492" s="4"/>
      <c r="H492" s="4"/>
      <c r="I492" s="97"/>
    </row>
    <row r="493" spans="4:9" s="2" customFormat="1" ht="17.100000000000001" customHeight="1" x14ac:dyDescent="0.25">
      <c r="D493" s="3"/>
      <c r="E493" s="3"/>
      <c r="F493" s="4"/>
      <c r="G493" s="4"/>
      <c r="H493" s="4"/>
      <c r="I493" s="97"/>
    </row>
    <row r="494" spans="4:9" s="2" customFormat="1" ht="17.100000000000001" customHeight="1" x14ac:dyDescent="0.25">
      <c r="D494" s="3"/>
      <c r="E494" s="3"/>
      <c r="F494" s="4"/>
      <c r="G494" s="4"/>
      <c r="H494" s="4"/>
      <c r="I494" s="97"/>
    </row>
    <row r="495" spans="4:9" s="2" customFormat="1" ht="17.100000000000001" customHeight="1" x14ac:dyDescent="0.25">
      <c r="D495" s="3"/>
      <c r="E495" s="3"/>
      <c r="F495" s="4"/>
      <c r="G495" s="4"/>
      <c r="H495" s="4"/>
      <c r="I495" s="97"/>
    </row>
    <row r="496" spans="4:9" s="2" customFormat="1" ht="17.100000000000001" customHeight="1" x14ac:dyDescent="0.25">
      <c r="D496" s="3"/>
      <c r="E496" s="3"/>
      <c r="F496" s="4"/>
      <c r="G496" s="4"/>
      <c r="H496" s="4"/>
      <c r="I496" s="97"/>
    </row>
    <row r="497" spans="4:9" s="2" customFormat="1" ht="17.100000000000001" customHeight="1" x14ac:dyDescent="0.25">
      <c r="D497" s="3"/>
      <c r="E497" s="3"/>
      <c r="F497" s="4"/>
      <c r="G497" s="4"/>
      <c r="H497" s="4"/>
      <c r="I497" s="97"/>
    </row>
    <row r="498" spans="4:9" s="2" customFormat="1" ht="17.100000000000001" customHeight="1" x14ac:dyDescent="0.25">
      <c r="D498" s="3"/>
      <c r="E498" s="3"/>
      <c r="F498" s="4"/>
      <c r="G498" s="4"/>
      <c r="H498" s="4"/>
      <c r="I498" s="97"/>
    </row>
    <row r="499" spans="4:9" s="2" customFormat="1" ht="17.100000000000001" customHeight="1" x14ac:dyDescent="0.25">
      <c r="D499" s="3"/>
      <c r="E499" s="3"/>
      <c r="F499" s="4"/>
      <c r="G499" s="4"/>
      <c r="H499" s="4"/>
      <c r="I499" s="97"/>
    </row>
    <row r="500" spans="4:9" s="2" customFormat="1" ht="17.100000000000001" customHeight="1" x14ac:dyDescent="0.25">
      <c r="D500" s="3"/>
      <c r="E500" s="3"/>
      <c r="F500" s="4"/>
      <c r="G500" s="4"/>
      <c r="H500" s="4"/>
      <c r="I500" s="97"/>
    </row>
    <row r="501" spans="4:9" s="2" customFormat="1" ht="17.100000000000001" customHeight="1" x14ac:dyDescent="0.25">
      <c r="D501" s="3"/>
      <c r="E501" s="3"/>
      <c r="F501" s="4"/>
      <c r="G501" s="4"/>
      <c r="H501" s="4"/>
      <c r="I501" s="97"/>
    </row>
    <row r="502" spans="4:9" s="2" customFormat="1" ht="17.100000000000001" customHeight="1" x14ac:dyDescent="0.25">
      <c r="D502" s="3"/>
      <c r="E502" s="3"/>
      <c r="F502" s="4"/>
      <c r="G502" s="4"/>
      <c r="H502" s="4"/>
      <c r="I502" s="97"/>
    </row>
    <row r="503" spans="4:9" s="2" customFormat="1" ht="17.100000000000001" customHeight="1" x14ac:dyDescent="0.25">
      <c r="D503" s="3"/>
      <c r="E503" s="3"/>
      <c r="F503" s="4"/>
      <c r="G503" s="4"/>
      <c r="H503" s="4"/>
      <c r="I503" s="97"/>
    </row>
    <row r="504" spans="4:9" s="2" customFormat="1" ht="17.100000000000001" customHeight="1" x14ac:dyDescent="0.25">
      <c r="D504" s="3"/>
      <c r="E504" s="3"/>
      <c r="F504" s="4"/>
      <c r="G504" s="4"/>
      <c r="H504" s="4"/>
      <c r="I504" s="97"/>
    </row>
    <row r="505" spans="4:9" s="2" customFormat="1" ht="17.100000000000001" customHeight="1" x14ac:dyDescent="0.25">
      <c r="D505" s="3"/>
      <c r="E505" s="3"/>
      <c r="F505" s="4"/>
      <c r="G505" s="4"/>
      <c r="H505" s="4"/>
      <c r="I505" s="97"/>
    </row>
    <row r="506" spans="4:9" s="2" customFormat="1" ht="17.100000000000001" customHeight="1" x14ac:dyDescent="0.25">
      <c r="D506" s="3"/>
      <c r="E506" s="3"/>
      <c r="F506" s="4"/>
      <c r="G506" s="4"/>
      <c r="H506" s="4"/>
      <c r="I506" s="97"/>
    </row>
  </sheetData>
  <mergeCells count="15">
    <mergeCell ref="L6:M6"/>
    <mergeCell ref="AE10:AI10"/>
    <mergeCell ref="AK10:AO10"/>
    <mergeCell ref="AW10:BA10"/>
    <mergeCell ref="J9:M9"/>
    <mergeCell ref="N9:P9"/>
    <mergeCell ref="W8:Y9"/>
    <mergeCell ref="J8:M8"/>
    <mergeCell ref="N8:P8"/>
    <mergeCell ref="Q8:S8"/>
    <mergeCell ref="AQ10:AU10"/>
    <mergeCell ref="AE8:AO8"/>
    <mergeCell ref="T8:V8"/>
    <mergeCell ref="Q9:S9"/>
    <mergeCell ref="T9:V9"/>
  </mergeCells>
  <pageMargins left="0.7" right="0.7" top="0.75" bottom="0.75" header="0.3" footer="0.3"/>
  <pageSetup paperSize="9" scale="70" fitToHeight="5" orientation="portrait" r:id="rId1"/>
  <headerFooter>
    <oddFooter>&amp;L&amp;10SANITATION DEMAND AND SUPPLY STUDY&amp;C&amp;10&amp;P&amp;R&amp;10HOUSEHOLDS WITHOUT TOILET</oddFooter>
  </headerFooter>
  <rowBreaks count="3" manualBreakCount="3">
    <brk id="89" max="10" man="1"/>
    <brk id="174" max="10" man="1"/>
    <brk id="281" max="10" man="1"/>
  </rowBreaks>
  <ignoredErrors>
    <ignoredError sqref="W294:Y294 M13:M14 M23:M25 J30:M32 W13:Z16 P20:Z20 W23:Z26 W30:Z33 M44:M57 W44:Z58 P61:P64 S61:S64 V61:V64 W61:Z65 W68:Z73 P68:P72 S68:S72 V68:V72 M137:M138 W137:Y137 W138:X138 P142:P144 S142:S144 V142:Y144 P148:P150 S148:S150 V148:Y150 P154:P162 S154:S162 V154:V163 S169 W154:Y163 P41:Y42 P175:P180 S175:S180 V175:V181 W175:Y181 P191:P195 S191:S195 V191:V195 W191:Y195 P199:P202 P207 S199:S202 V199:V207 S204:S207 W199:Y199 W200:X203 W207:X207 P211:P213 S211:S213 V211:V213 W212:Y213 W211:Y211 P217:P218 P222 S217:S223 V217:V223 W218:Y218 W222:Y222 W217:Y217 W219:AC221 P235:P242 S235:S243 V235:V243 W236:Y242 W235:Y235 P283:P286 S283:S286 V283:V286 W284:Y286 W283:Y283 P290:P293 S290:S293 V290:V293 W290:Y293 P297 S297 V307:V311 S308:S311 W307:Y307 W297:Y297 P315:P317 S315:S317 V315:V317 W316:Y317 W315:Y315 P326 N9:V9 P226:P231 AA228:AC230 V297 P298:P306 P18:P19 S18:S19 V18:Z19 P38:P40 S38:S40 V38:Y40 S226:S231 V226:X231 S298:S306 V298:X306 V169" unlockedFormula="1"/>
    <ignoredError sqref="P163 S163 P181 S181 P203 S203 P307 S307" formula="1" unlockedFormula="1"/>
    <ignoredError sqref="N203" formulaRange="1"/>
    <ignoredError sqref="Q342:S344 P342:P344"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BA506"/>
  <sheetViews>
    <sheetView zoomScale="80" zoomScaleNormal="80" workbookViewId="0">
      <pane xSplit="7" ySplit="11" topLeftCell="H12" activePane="bottomRight" state="frozen"/>
      <selection activeCell="V184" sqref="V184:Y186"/>
      <selection pane="topRight" activeCell="V184" sqref="V184:Y186"/>
      <selection pane="bottomLeft" activeCell="V184" sqref="V184:Y186"/>
      <selection pane="bottomRight" activeCell="O5" sqref="O5"/>
    </sheetView>
  </sheetViews>
  <sheetFormatPr defaultRowHeight="17.100000000000001" customHeight="1" x14ac:dyDescent="0.25"/>
  <cols>
    <col min="1" max="2" width="4.7109375" style="2" customWidth="1"/>
    <col min="3" max="3" width="6.7109375" style="2" customWidth="1"/>
    <col min="4" max="4" width="7.7109375" style="3" customWidth="1"/>
    <col min="5" max="5" width="4.7109375" style="3" customWidth="1"/>
    <col min="6" max="6" width="30.7109375" style="4" customWidth="1"/>
    <col min="7" max="7" width="3.7109375" style="4" customWidth="1"/>
    <col min="8" max="8" width="4.42578125" style="4" customWidth="1"/>
    <col min="9" max="9" width="3.7109375" style="97" customWidth="1"/>
    <col min="10" max="25" width="10.7109375" style="3" customWidth="1"/>
    <col min="26" max="29" width="9.7109375" style="3" customWidth="1"/>
    <col min="30" max="30" width="9.140625" style="3"/>
    <col min="31" max="35" width="9.7109375" style="3" customWidth="1"/>
    <col min="36" max="36" width="9.140625" style="3"/>
    <col min="37" max="41" width="9.7109375" style="3" customWidth="1"/>
    <col min="42" max="48" width="9.140625" style="3"/>
    <col min="49" max="53" width="9.7109375" style="3" customWidth="1"/>
    <col min="54" max="16384" width="9.140625" style="3"/>
  </cols>
  <sheetData>
    <row r="1" spans="1:53" ht="17.100000000000001" customHeight="1" x14ac:dyDescent="0.25">
      <c r="A1" s="1" t="s">
        <v>363</v>
      </c>
      <c r="J1" s="5" t="s">
        <v>883</v>
      </c>
      <c r="AE1" s="8"/>
      <c r="AF1" s="8"/>
      <c r="AG1" s="8"/>
      <c r="AH1" s="7"/>
      <c r="AK1" s="8"/>
      <c r="AL1" s="8"/>
      <c r="AM1" s="8"/>
      <c r="AN1" s="7"/>
      <c r="AW1" s="8"/>
      <c r="AX1" s="8"/>
      <c r="AY1" s="8"/>
      <c r="AZ1" s="8"/>
    </row>
    <row r="2" spans="1:53" ht="17.100000000000001" customHeight="1" x14ac:dyDescent="0.25">
      <c r="A2" s="1" t="str">
        <f>'STUDY VILLAGES'!U7</f>
        <v>KAMPOT PROVINCE</v>
      </c>
      <c r="J2" s="5"/>
      <c r="AE2" s="8"/>
      <c r="AF2" s="8"/>
      <c r="AG2" s="8"/>
      <c r="AH2" s="7"/>
      <c r="AK2" s="8"/>
      <c r="AL2" s="8"/>
      <c r="AM2" s="8"/>
      <c r="AN2" s="7"/>
      <c r="AW2" s="8"/>
      <c r="AX2" s="8"/>
      <c r="AY2" s="8"/>
      <c r="AZ2" s="8"/>
    </row>
    <row r="3" spans="1:53" ht="17.100000000000001" customHeight="1" x14ac:dyDescent="0.25">
      <c r="A3" s="1" t="str">
        <f>'STUDY VILLAGES'!U8</f>
        <v>BANTEAY MEAS DISTRICT</v>
      </c>
      <c r="J3" s="268" t="s">
        <v>555</v>
      </c>
      <c r="L3" s="267" t="str">
        <f>'STUDY VILLAGES'!B11</f>
        <v>SK KHANG LECH</v>
      </c>
      <c r="M3" s="267"/>
      <c r="N3" s="6"/>
      <c r="O3" s="6"/>
      <c r="P3" s="6"/>
      <c r="Q3" s="6"/>
      <c r="R3" s="6"/>
      <c r="S3" s="6"/>
      <c r="T3" s="6"/>
      <c r="U3" s="6"/>
      <c r="V3" s="6"/>
      <c r="W3" s="6"/>
      <c r="X3" s="6"/>
      <c r="AE3" s="8"/>
      <c r="AF3" s="8"/>
      <c r="AG3" s="8"/>
      <c r="AH3" s="7"/>
      <c r="AK3" s="8"/>
      <c r="AL3" s="8"/>
      <c r="AM3" s="8"/>
      <c r="AN3" s="7"/>
      <c r="AW3" s="8"/>
      <c r="AX3" s="8"/>
      <c r="AY3" s="8"/>
      <c r="AZ3" s="8"/>
    </row>
    <row r="4" spans="1:53" ht="12.75" x14ac:dyDescent="0.25">
      <c r="N4" s="6"/>
      <c r="O4" s="6"/>
      <c r="P4" s="6"/>
      <c r="Q4" s="6"/>
      <c r="R4" s="6"/>
      <c r="S4" s="6"/>
      <c r="T4" s="6"/>
      <c r="U4" s="6"/>
      <c r="V4" s="6"/>
      <c r="W4" s="6"/>
      <c r="X4" s="6"/>
      <c r="AE4" s="8"/>
      <c r="AF4" s="8"/>
      <c r="AG4" s="8"/>
      <c r="AH4" s="7"/>
      <c r="AK4" s="8"/>
      <c r="AL4" s="8"/>
      <c r="AM4" s="8"/>
      <c r="AN4" s="7"/>
      <c r="AW4" s="8"/>
      <c r="AX4" s="8"/>
      <c r="AY4" s="8"/>
      <c r="AZ4" s="8"/>
    </row>
    <row r="5" spans="1:53" ht="21" x14ac:dyDescent="0.25">
      <c r="A5" s="1" t="s">
        <v>743</v>
      </c>
      <c r="J5" s="9" t="s">
        <v>1</v>
      </c>
      <c r="K5" s="10"/>
      <c r="L5" s="653"/>
      <c r="M5" s="397"/>
      <c r="N5" s="6"/>
      <c r="O5" s="652" t="s">
        <v>1069</v>
      </c>
      <c r="P5" s="6"/>
      <c r="Q5" s="6"/>
      <c r="R5" s="6"/>
      <c r="S5" s="6"/>
      <c r="T5" s="6"/>
      <c r="U5" s="6"/>
      <c r="V5" s="6"/>
      <c r="W5" s="6"/>
      <c r="X5" s="6"/>
      <c r="AE5" s="8"/>
      <c r="AF5" s="8"/>
      <c r="AG5" s="8"/>
      <c r="AH5" s="7"/>
      <c r="AK5" s="8"/>
      <c r="AL5" s="8"/>
      <c r="AM5" s="8"/>
      <c r="AN5" s="7"/>
      <c r="AW5" s="8"/>
      <c r="AX5" s="8"/>
      <c r="AY5" s="8"/>
      <c r="AZ5" s="8"/>
    </row>
    <row r="6" spans="1:53" ht="21" x14ac:dyDescent="0.25">
      <c r="A6" s="444" t="s">
        <v>619</v>
      </c>
      <c r="J6" s="11" t="s">
        <v>2</v>
      </c>
      <c r="K6" s="10"/>
      <c r="L6" s="1379"/>
      <c r="M6" s="1379"/>
      <c r="AE6" s="8"/>
      <c r="AF6" s="8"/>
      <c r="AG6" s="8"/>
      <c r="AH6" s="7"/>
      <c r="AK6" s="8"/>
      <c r="AL6" s="8"/>
      <c r="AM6" s="8"/>
      <c r="AN6" s="7"/>
      <c r="AW6" s="8"/>
      <c r="AX6" s="8"/>
      <c r="AY6" s="8"/>
      <c r="AZ6" s="8"/>
    </row>
    <row r="7" spans="1:53" ht="9.9499999999999993" customHeight="1" x14ac:dyDescent="0.25">
      <c r="A7" s="12"/>
      <c r="B7" s="13"/>
      <c r="C7" s="14"/>
      <c r="D7" s="15"/>
      <c r="E7" s="16"/>
      <c r="F7" s="16"/>
      <c r="G7" s="16"/>
      <c r="H7" s="16"/>
      <c r="I7" s="16"/>
      <c r="AE7" s="8"/>
      <c r="AF7" s="8"/>
      <c r="AG7" s="8"/>
      <c r="AH7" s="7"/>
      <c r="AK7" s="8"/>
      <c r="AL7" s="8"/>
      <c r="AM7" s="8"/>
      <c r="AN7" s="7"/>
      <c r="AW7" s="8"/>
      <c r="AX7" s="8"/>
      <c r="AY7" s="8"/>
      <c r="AZ7" s="8"/>
    </row>
    <row r="8" spans="1:53" ht="17.100000000000001" customHeight="1" x14ac:dyDescent="0.25">
      <c r="D8" s="2"/>
      <c r="E8" s="2"/>
      <c r="F8" s="21"/>
      <c r="G8" s="21"/>
      <c r="H8" s="21"/>
      <c r="I8" s="138"/>
      <c r="J8" s="1384" t="s">
        <v>541</v>
      </c>
      <c r="K8" s="1385"/>
      <c r="L8" s="1385"/>
      <c r="M8" s="1386"/>
      <c r="N8" s="1384" t="s">
        <v>364</v>
      </c>
      <c r="O8" s="1385"/>
      <c r="P8" s="1386"/>
      <c r="Q8" s="1384" t="s">
        <v>365</v>
      </c>
      <c r="R8" s="1385"/>
      <c r="S8" s="1386"/>
      <c r="T8" s="1384" t="s">
        <v>366</v>
      </c>
      <c r="U8" s="1385"/>
      <c r="V8" s="1386"/>
      <c r="W8" s="1408" t="s">
        <v>4</v>
      </c>
      <c r="X8" s="1408"/>
      <c r="Y8" s="1408"/>
      <c r="AE8" s="1383" t="s">
        <v>731</v>
      </c>
      <c r="AF8" s="1383"/>
      <c r="AG8" s="1383"/>
      <c r="AH8" s="1383"/>
      <c r="AI8" s="1383"/>
      <c r="AJ8" s="1383"/>
      <c r="AK8" s="1383"/>
      <c r="AL8" s="1383"/>
      <c r="AM8" s="1383"/>
      <c r="AN8" s="1383"/>
      <c r="AO8" s="1383"/>
      <c r="AW8" s="8"/>
      <c r="AX8" s="8"/>
      <c r="AY8" s="8"/>
      <c r="AZ8" s="8"/>
    </row>
    <row r="9" spans="1:53" ht="17.100000000000001" customHeight="1" x14ac:dyDescent="0.25">
      <c r="D9" s="2"/>
      <c r="E9" s="2"/>
      <c r="F9" s="21"/>
      <c r="G9" s="21"/>
      <c r="H9" s="21"/>
      <c r="I9" s="138"/>
      <c r="J9" s="1384" t="s">
        <v>542</v>
      </c>
      <c r="K9" s="1385"/>
      <c r="L9" s="1385"/>
      <c r="M9" s="1386"/>
      <c r="N9" s="1387" t="str">
        <f>'STUDY VILLAGES'!C11</f>
        <v>Chamlang Chrey</v>
      </c>
      <c r="O9" s="1388"/>
      <c r="P9" s="1389"/>
      <c r="Q9" s="1387" t="str">
        <f>'STUDY VILLAGES'!F11</f>
        <v>Prey Ta Prit</v>
      </c>
      <c r="R9" s="1388"/>
      <c r="S9" s="1389"/>
      <c r="T9" s="1387">
        <f>'STUDY VILLAGES'!I11</f>
        <v>0</v>
      </c>
      <c r="U9" s="1388"/>
      <c r="V9" s="1389"/>
      <c r="W9" s="1408"/>
      <c r="X9" s="1408"/>
      <c r="Y9" s="1408"/>
      <c r="AE9" s="8"/>
      <c r="AF9" s="8"/>
      <c r="AG9" s="8"/>
      <c r="AH9" s="7"/>
      <c r="AK9" s="8"/>
      <c r="AL9" s="8"/>
      <c r="AM9" s="8"/>
      <c r="AN9" s="7"/>
      <c r="AW9" s="8"/>
      <c r="AX9" s="8"/>
      <c r="AY9" s="8"/>
      <c r="AZ9" s="8"/>
    </row>
    <row r="10" spans="1:53" ht="17.100000000000001" customHeight="1" x14ac:dyDescent="0.25">
      <c r="A10" s="21"/>
      <c r="B10" s="21"/>
      <c r="C10" s="21"/>
      <c r="D10" s="4"/>
      <c r="E10" s="4"/>
      <c r="G10" s="22"/>
      <c r="H10" s="22"/>
      <c r="I10" s="208"/>
      <c r="J10" s="334" t="s">
        <v>733</v>
      </c>
      <c r="K10" s="334" t="s">
        <v>734</v>
      </c>
      <c r="L10" s="334" t="s">
        <v>657</v>
      </c>
      <c r="M10" s="334" t="s">
        <v>320</v>
      </c>
      <c r="N10" s="334" t="s">
        <v>735</v>
      </c>
      <c r="O10" s="334" t="s">
        <v>657</v>
      </c>
      <c r="P10" s="334" t="s">
        <v>320</v>
      </c>
      <c r="Q10" s="334" t="s">
        <v>735</v>
      </c>
      <c r="R10" s="334" t="s">
        <v>657</v>
      </c>
      <c r="S10" s="334" t="s">
        <v>320</v>
      </c>
      <c r="T10" s="334" t="s">
        <v>735</v>
      </c>
      <c r="U10" s="334" t="s">
        <v>657</v>
      </c>
      <c r="V10" s="334" t="s">
        <v>320</v>
      </c>
      <c r="W10" s="375" t="s">
        <v>735</v>
      </c>
      <c r="X10" s="335" t="s">
        <v>657</v>
      </c>
      <c r="Y10" s="410" t="s">
        <v>4</v>
      </c>
      <c r="AE10" s="1400" t="s">
        <v>733</v>
      </c>
      <c r="AF10" s="1401"/>
      <c r="AG10" s="1401"/>
      <c r="AH10" s="1401"/>
      <c r="AI10" s="1402"/>
      <c r="AK10" s="1390" t="s">
        <v>734</v>
      </c>
      <c r="AL10" s="1391"/>
      <c r="AM10" s="1391"/>
      <c r="AN10" s="1391"/>
      <c r="AO10" s="1392"/>
      <c r="AQ10" s="1380" t="s">
        <v>732</v>
      </c>
      <c r="AR10" s="1381"/>
      <c r="AS10" s="1381"/>
      <c r="AT10" s="1381"/>
      <c r="AU10" s="1382"/>
      <c r="AW10" s="1405" t="s">
        <v>556</v>
      </c>
      <c r="AX10" s="1406"/>
      <c r="AY10" s="1406"/>
      <c r="AZ10" s="1406"/>
      <c r="BA10" s="1407"/>
    </row>
    <row r="11" spans="1:53" s="32" customFormat="1" ht="17.100000000000001" customHeight="1" thickBot="1" x14ac:dyDescent="0.3">
      <c r="A11" s="24">
        <v>0</v>
      </c>
      <c r="B11" s="25" t="s">
        <v>3</v>
      </c>
      <c r="C11" s="26"/>
      <c r="D11" s="27"/>
      <c r="E11" s="27"/>
      <c r="F11" s="27"/>
      <c r="G11" s="28"/>
      <c r="H11" s="310"/>
      <c r="I11" s="228"/>
      <c r="J11" s="29"/>
      <c r="K11" s="29"/>
      <c r="L11" s="29"/>
      <c r="M11" s="29"/>
      <c r="N11" s="29"/>
      <c r="O11" s="29"/>
      <c r="P11" s="29"/>
      <c r="Q11" s="29"/>
      <c r="R11" s="29"/>
      <c r="S11" s="29"/>
      <c r="T11" s="29"/>
      <c r="U11" s="29"/>
      <c r="V11" s="29"/>
      <c r="W11" s="29"/>
      <c r="X11" s="29"/>
      <c r="Y11" s="29"/>
      <c r="Z11" s="31" t="s">
        <v>5</v>
      </c>
      <c r="AA11" s="31" t="s">
        <v>181</v>
      </c>
      <c r="AB11" s="31" t="s">
        <v>182</v>
      </c>
      <c r="AC11" s="31" t="s">
        <v>6</v>
      </c>
      <c r="AE11" s="33" t="s">
        <v>181</v>
      </c>
      <c r="AF11" s="33" t="s">
        <v>182</v>
      </c>
      <c r="AG11" s="33" t="s">
        <v>6</v>
      </c>
      <c r="AH11" s="33" t="s">
        <v>4</v>
      </c>
      <c r="AI11" s="34" t="s">
        <v>5</v>
      </c>
      <c r="AJ11" s="35"/>
      <c r="AK11" s="36" t="s">
        <v>181</v>
      </c>
      <c r="AL11" s="36" t="s">
        <v>182</v>
      </c>
      <c r="AM11" s="36" t="s">
        <v>6</v>
      </c>
      <c r="AN11" s="36" t="s">
        <v>4</v>
      </c>
      <c r="AO11" s="37" t="s">
        <v>5</v>
      </c>
      <c r="AQ11" s="398" t="s">
        <v>181</v>
      </c>
      <c r="AR11" s="398" t="s">
        <v>182</v>
      </c>
      <c r="AS11" s="398" t="s">
        <v>6</v>
      </c>
      <c r="AT11" s="398" t="s">
        <v>4</v>
      </c>
      <c r="AU11" s="399" t="s">
        <v>5</v>
      </c>
      <c r="AW11" s="38" t="s">
        <v>181</v>
      </c>
      <c r="AX11" s="38" t="s">
        <v>182</v>
      </c>
      <c r="AY11" s="38" t="s">
        <v>6</v>
      </c>
      <c r="AZ11" s="38" t="s">
        <v>4</v>
      </c>
      <c r="BA11" s="39" t="s">
        <v>5</v>
      </c>
    </row>
    <row r="12" spans="1:53" ht="17.100000000000001" customHeight="1" x14ac:dyDescent="0.25">
      <c r="A12" s="47"/>
      <c r="B12" s="414">
        <v>0</v>
      </c>
      <c r="C12" s="42" t="s">
        <v>367</v>
      </c>
      <c r="D12" s="43"/>
      <c r="E12" s="269"/>
      <c r="F12" s="269"/>
      <c r="G12" s="270"/>
      <c r="H12" s="311">
        <v>1</v>
      </c>
      <c r="I12" s="229"/>
      <c r="J12" s="271"/>
      <c r="K12" s="271"/>
      <c r="L12" s="272"/>
      <c r="M12" s="272"/>
      <c r="N12" s="272"/>
      <c r="O12" s="272"/>
      <c r="P12" s="272"/>
      <c r="Q12" s="272"/>
      <c r="R12" s="272"/>
      <c r="S12" s="272"/>
      <c r="T12" s="272"/>
      <c r="U12" s="272"/>
      <c r="V12" s="272"/>
      <c r="W12" s="272"/>
      <c r="X12" s="272"/>
      <c r="Y12" s="272"/>
      <c r="Z12" s="51"/>
      <c r="AA12" s="51"/>
      <c r="AB12" s="51"/>
      <c r="AC12" s="51"/>
      <c r="AE12" s="52"/>
      <c r="AF12" s="52"/>
      <c r="AG12" s="53"/>
      <c r="AH12" s="54"/>
      <c r="AI12" s="51"/>
      <c r="AK12" s="52"/>
      <c r="AL12" s="52"/>
      <c r="AM12" s="53"/>
      <c r="AN12" s="54"/>
      <c r="AO12" s="51"/>
      <c r="AQ12" s="52"/>
      <c r="AR12" s="52"/>
      <c r="AS12" s="52"/>
      <c r="AT12" s="53"/>
      <c r="AU12" s="54"/>
      <c r="AW12" s="52"/>
      <c r="AX12" s="52"/>
      <c r="AY12" s="53"/>
      <c r="AZ12" s="54"/>
      <c r="BA12" s="51"/>
    </row>
    <row r="13" spans="1:53" ht="17.100000000000001" customHeight="1" x14ac:dyDescent="0.25">
      <c r="A13" s="47"/>
      <c r="B13" s="55"/>
      <c r="C13" s="56" t="s">
        <v>626</v>
      </c>
      <c r="D13" s="57" t="s">
        <v>368</v>
      </c>
      <c r="E13" s="58"/>
      <c r="F13" s="58"/>
      <c r="G13" s="59"/>
      <c r="H13" s="1318"/>
      <c r="I13" s="229"/>
      <c r="J13" s="581"/>
      <c r="K13" s="581"/>
      <c r="L13" s="582"/>
      <c r="M13" s="17">
        <f>SUM(J13:L13)</f>
        <v>0</v>
      </c>
      <c r="N13" s="111"/>
      <c r="O13" s="111"/>
      <c r="P13" s="111"/>
      <c r="Q13" s="111"/>
      <c r="R13" s="111"/>
      <c r="S13" s="111"/>
      <c r="T13" s="111"/>
      <c r="U13" s="111"/>
      <c r="V13" s="111"/>
      <c r="W13" s="391">
        <f>J13+K13+N13+Q13+T13</f>
        <v>0</v>
      </c>
      <c r="X13" s="17">
        <f>L13+O13+R13+U13</f>
        <v>0</v>
      </c>
      <c r="Y13" s="18">
        <f>SUM(W13:X13)</f>
        <v>0</v>
      </c>
      <c r="Z13" s="19">
        <f>IF(Y$15=0,0,Y13/Y$15)</f>
        <v>0</v>
      </c>
      <c r="AA13" s="411"/>
      <c r="AB13" s="411"/>
      <c r="AC13" s="45"/>
      <c r="AE13" s="17"/>
      <c r="AF13" s="17"/>
      <c r="AG13" s="17"/>
      <c r="AH13" s="18">
        <f>J13</f>
        <v>0</v>
      </c>
      <c r="AI13" s="19">
        <f>IF(AH$15=0,0,AH13/AH$15)</f>
        <v>0</v>
      </c>
      <c r="AK13" s="17"/>
      <c r="AL13" s="17"/>
      <c r="AM13" s="17"/>
      <c r="AN13" s="18">
        <f>K13</f>
        <v>0</v>
      </c>
      <c r="AO13" s="19">
        <f>IF(AN$15=0,0,AN13/AN$15)</f>
        <v>0</v>
      </c>
      <c r="AQ13" s="17"/>
      <c r="AR13" s="17"/>
      <c r="AS13" s="17"/>
      <c r="AT13" s="18">
        <f>W13</f>
        <v>0</v>
      </c>
      <c r="AU13" s="19">
        <f>IF(AT$15=0,0,AT13/AT$15)</f>
        <v>0</v>
      </c>
      <c r="AW13" s="17"/>
      <c r="AX13" s="17"/>
      <c r="AY13" s="17"/>
      <c r="AZ13" s="424">
        <f>X13</f>
        <v>0</v>
      </c>
      <c r="BA13" s="19">
        <f>IF(AZ$15=0,0,AZ13/AZ$15)</f>
        <v>0</v>
      </c>
    </row>
    <row r="14" spans="1:53" ht="17.100000000000001" customHeight="1" x14ac:dyDescent="0.25">
      <c r="A14" s="47"/>
      <c r="B14" s="55"/>
      <c r="C14" s="56" t="s">
        <v>627</v>
      </c>
      <c r="D14" s="57" t="s">
        <v>369</v>
      </c>
      <c r="E14" s="58"/>
      <c r="F14" s="58"/>
      <c r="G14" s="59"/>
      <c r="H14" s="1318"/>
      <c r="I14" s="229"/>
      <c r="J14" s="583"/>
      <c r="K14" s="583"/>
      <c r="L14" s="584"/>
      <c r="M14" s="17">
        <f>SUM(J14:L14)</f>
        <v>0</v>
      </c>
      <c r="N14" s="111"/>
      <c r="O14" s="111"/>
      <c r="P14" s="111"/>
      <c r="Q14" s="111"/>
      <c r="R14" s="111"/>
      <c r="S14" s="111"/>
      <c r="T14" s="111"/>
      <c r="U14" s="111"/>
      <c r="V14" s="111"/>
      <c r="W14" s="391">
        <f>J14+K14+N14+Q14+T14</f>
        <v>0</v>
      </c>
      <c r="X14" s="17">
        <f>L14+O14+R14+U14</f>
        <v>0</v>
      </c>
      <c r="Y14" s="18">
        <f>SUM(W14:X14)</f>
        <v>0</v>
      </c>
      <c r="Z14" s="19">
        <f>IF(Y$15=0,0,Y14/Y$15)</f>
        <v>0</v>
      </c>
      <c r="AA14" s="411"/>
      <c r="AB14" s="411"/>
      <c r="AC14" s="45"/>
      <c r="AE14" s="17"/>
      <c r="AF14" s="17"/>
      <c r="AG14" s="17"/>
      <c r="AH14" s="18">
        <f>J14</f>
        <v>0</v>
      </c>
      <c r="AI14" s="19">
        <f>IF(AH$15=0,0,AH14/AH$15)</f>
        <v>0</v>
      </c>
      <c r="AK14" s="17"/>
      <c r="AL14" s="17"/>
      <c r="AM14" s="17"/>
      <c r="AN14" s="18">
        <f>K14</f>
        <v>0</v>
      </c>
      <c r="AO14" s="19">
        <f>IF(AN$15=0,0,AN14/AN$15)</f>
        <v>0</v>
      </c>
      <c r="AQ14" s="17"/>
      <c r="AR14" s="17"/>
      <c r="AS14" s="17"/>
      <c r="AT14" s="18">
        <f>W14</f>
        <v>0</v>
      </c>
      <c r="AU14" s="19">
        <f>IF(AT$15=0,0,AT14/AT$15)</f>
        <v>0</v>
      </c>
      <c r="AW14" s="17"/>
      <c r="AX14" s="17"/>
      <c r="AY14" s="17"/>
      <c r="AZ14" s="424">
        <f>X14</f>
        <v>0</v>
      </c>
      <c r="BA14" s="19">
        <f>IF(AZ$15=0,0,AZ14/AZ$15)</f>
        <v>0</v>
      </c>
    </row>
    <row r="15" spans="1:53" ht="17.100000000000001" customHeight="1" x14ac:dyDescent="0.25">
      <c r="A15" s="47"/>
      <c r="B15" s="47"/>
      <c r="C15" s="252"/>
      <c r="D15" s="62"/>
      <c r="E15" s="62"/>
      <c r="F15" s="62"/>
      <c r="G15" s="63"/>
      <c r="H15" s="647"/>
      <c r="I15" s="229"/>
      <c r="J15" s="64">
        <f>SUM(J13:J14)</f>
        <v>0</v>
      </c>
      <c r="K15" s="64">
        <f t="shared" ref="K15:M15" si="0">SUM(K13:K14)</f>
        <v>0</v>
      </c>
      <c r="L15" s="64">
        <f t="shared" si="0"/>
        <v>0</v>
      </c>
      <c r="M15" s="64">
        <f t="shared" si="0"/>
        <v>0</v>
      </c>
      <c r="N15" s="637"/>
      <c r="O15" s="637"/>
      <c r="P15" s="637"/>
      <c r="Q15" s="637"/>
      <c r="R15" s="637"/>
      <c r="S15" s="637"/>
      <c r="T15" s="637"/>
      <c r="U15" s="637"/>
      <c r="V15" s="637"/>
      <c r="W15" s="381">
        <f>SUM(W13:W14)</f>
        <v>0</v>
      </c>
      <c r="X15" s="82">
        <f t="shared" ref="X15:Y15" si="1">SUM(X13:X14)</f>
        <v>0</v>
      </c>
      <c r="Y15" s="82">
        <f t="shared" si="1"/>
        <v>0</v>
      </c>
      <c r="Z15" s="205">
        <f>IF(Y$15=0,0,Y15/Y$15)</f>
        <v>0</v>
      </c>
      <c r="AA15" s="412"/>
      <c r="AB15" s="412"/>
      <c r="AC15" s="67"/>
      <c r="AE15" s="67"/>
      <c r="AF15" s="67"/>
      <c r="AG15" s="67"/>
      <c r="AH15" s="65">
        <f>SUM(AH13:AH14)</f>
        <v>0</v>
      </c>
      <c r="AI15" s="66">
        <f>IF(AH$15=0,0,AH15/AH$15)</f>
        <v>0</v>
      </c>
      <c r="AK15" s="67"/>
      <c r="AL15" s="67"/>
      <c r="AM15" s="67"/>
      <c r="AN15" s="65">
        <f>SUM(AN13:AN14)</f>
        <v>0</v>
      </c>
      <c r="AO15" s="66">
        <f>IF(AN$15=0,0,AN15/AN$15)</f>
        <v>0</v>
      </c>
      <c r="AQ15" s="67"/>
      <c r="AR15" s="67"/>
      <c r="AS15" s="67"/>
      <c r="AT15" s="65">
        <f>SUM(AT13:AT14)</f>
        <v>0</v>
      </c>
      <c r="AU15" s="66">
        <f>IF(AT$15=0,0,AT15/AT$15)</f>
        <v>0</v>
      </c>
      <c r="AW15" s="67"/>
      <c r="AX15" s="67"/>
      <c r="AY15" s="67"/>
      <c r="AZ15" s="65">
        <f>SUM(AZ13:AZ14)</f>
        <v>0</v>
      </c>
      <c r="BA15" s="66">
        <f>IF(AZ$15=0,0,AZ15/AZ$15)</f>
        <v>0</v>
      </c>
    </row>
    <row r="16" spans="1:53" s="117" customFormat="1" ht="17.100000000000001" customHeight="1" x14ac:dyDescent="0.25">
      <c r="A16" s="186"/>
      <c r="B16" s="253"/>
      <c r="C16" s="254"/>
      <c r="D16" s="255"/>
      <c r="E16" s="93"/>
      <c r="F16" s="93"/>
      <c r="G16" s="209"/>
      <c r="H16" s="647"/>
      <c r="I16" s="12"/>
      <c r="J16" s="198"/>
      <c r="K16" s="638"/>
      <c r="L16" s="425"/>
      <c r="M16" s="425"/>
      <c r="N16" s="425"/>
      <c r="O16" s="425"/>
      <c r="P16" s="425"/>
      <c r="Q16" s="425"/>
      <c r="R16" s="425"/>
      <c r="S16" s="425"/>
      <c r="T16" s="425"/>
      <c r="U16" s="425"/>
      <c r="V16" s="425"/>
      <c r="W16" s="395">
        <f>IF($Y$15=0,0,W15/$Y$15)</f>
        <v>0</v>
      </c>
      <c r="X16" s="91">
        <f>IF($Y$15=0,0,X15/$Y$15)</f>
        <v>0</v>
      </c>
      <c r="Y16" s="91">
        <f>IF($Y$15=0,0,Y15/$Y$15)</f>
        <v>0</v>
      </c>
      <c r="Z16" s="201"/>
      <c r="AA16" s="413"/>
      <c r="AB16" s="413"/>
      <c r="AC16" s="256"/>
      <c r="AE16" s="256"/>
      <c r="AF16" s="256"/>
      <c r="AG16" s="256"/>
      <c r="AH16" s="257"/>
      <c r="AI16" s="91"/>
      <c r="AK16" s="256"/>
      <c r="AL16" s="256"/>
      <c r="AM16" s="256"/>
      <c r="AN16" s="257"/>
      <c r="AO16" s="91"/>
      <c r="AQ16" s="256"/>
      <c r="AR16" s="256"/>
      <c r="AS16" s="256"/>
      <c r="AT16" s="257"/>
      <c r="AU16" s="91"/>
      <c r="AW16" s="256"/>
      <c r="AX16" s="256"/>
      <c r="AY16" s="256"/>
      <c r="AZ16" s="425"/>
      <c r="BA16" s="91"/>
    </row>
    <row r="17" spans="1:53" ht="17.100000000000001" customHeight="1" x14ac:dyDescent="0.25">
      <c r="A17" s="40"/>
      <c r="B17" s="41">
        <v>0.1</v>
      </c>
      <c r="C17" s="42" t="s">
        <v>628</v>
      </c>
      <c r="D17" s="43"/>
      <c r="E17" s="43"/>
      <c r="F17" s="43"/>
      <c r="G17" s="44"/>
      <c r="H17" s="219"/>
      <c r="I17" s="229"/>
      <c r="J17" s="586"/>
      <c r="K17" s="586"/>
      <c r="L17" s="71"/>
      <c r="M17" s="71"/>
      <c r="N17" s="71"/>
      <c r="O17" s="71"/>
      <c r="P17" s="71"/>
      <c r="Q17" s="71"/>
      <c r="R17" s="71"/>
      <c r="S17" s="71"/>
      <c r="T17" s="71"/>
      <c r="U17" s="71"/>
      <c r="V17" s="355"/>
      <c r="W17" s="377"/>
      <c r="X17" s="71"/>
      <c r="Y17" s="72"/>
      <c r="Z17" s="73"/>
      <c r="AA17" s="73"/>
      <c r="AB17" s="73"/>
      <c r="AC17" s="73"/>
      <c r="AE17" s="52"/>
      <c r="AF17" s="52"/>
      <c r="AG17" s="52"/>
      <c r="AH17" s="53"/>
      <c r="AI17" s="54"/>
      <c r="AJ17" s="117"/>
      <c r="AK17" s="52"/>
      <c r="AL17" s="52"/>
      <c r="AM17" s="52"/>
      <c r="AN17" s="53"/>
      <c r="AO17" s="54"/>
      <c r="AP17" s="117"/>
      <c r="AQ17" s="52"/>
      <c r="AR17" s="52"/>
      <c r="AS17" s="52"/>
      <c r="AT17" s="53"/>
      <c r="AU17" s="54"/>
      <c r="AV17" s="117"/>
      <c r="AW17" s="52"/>
      <c r="AX17" s="52"/>
      <c r="AY17" s="52"/>
      <c r="AZ17" s="272"/>
      <c r="BA17" s="54"/>
    </row>
    <row r="18" spans="1:53" ht="17.100000000000001" customHeight="1" x14ac:dyDescent="0.25">
      <c r="A18" s="47"/>
      <c r="B18" s="55"/>
      <c r="C18" s="56" t="s">
        <v>371</v>
      </c>
      <c r="D18" s="120" t="s">
        <v>629</v>
      </c>
      <c r="E18" s="58"/>
      <c r="F18" s="58"/>
      <c r="G18" s="59"/>
      <c r="H18" s="216"/>
      <c r="I18" s="229"/>
      <c r="J18" s="174"/>
      <c r="K18" s="174"/>
      <c r="L18" s="111"/>
      <c r="M18" s="111"/>
      <c r="N18" s="60">
        <v>1</v>
      </c>
      <c r="O18" s="60">
        <v>2</v>
      </c>
      <c r="P18" s="17">
        <f>SUM(N18:O18)</f>
        <v>3</v>
      </c>
      <c r="Q18" s="60"/>
      <c r="R18" s="60"/>
      <c r="S18" s="17">
        <f>SUM(Q18:R18)</f>
        <v>0</v>
      </c>
      <c r="T18" s="60"/>
      <c r="U18" s="60"/>
      <c r="V18" s="359">
        <f>SUM(T18:U18)</f>
        <v>0</v>
      </c>
      <c r="W18" s="391">
        <f t="shared" ref="W18:W19" si="2">J18+K18+N18+Q18+T18</f>
        <v>1</v>
      </c>
      <c r="X18" s="17">
        <f t="shared" ref="X18:X19" si="3">L18+O18+R18+U18</f>
        <v>2</v>
      </c>
      <c r="Y18" s="18">
        <f>SUM(W18:X18)</f>
        <v>3</v>
      </c>
      <c r="Z18" s="19">
        <f>IF(Y$20=0,0,Y18/Y$20)</f>
        <v>0.1875</v>
      </c>
      <c r="AA18" s="19"/>
      <c r="AB18" s="19"/>
      <c r="AC18" s="20"/>
      <c r="AE18" s="111"/>
      <c r="AF18" s="111"/>
      <c r="AG18" s="111"/>
      <c r="AH18" s="651"/>
      <c r="AI18" s="131"/>
      <c r="AJ18" s="117"/>
      <c r="AK18" s="111"/>
      <c r="AL18" s="111"/>
      <c r="AM18" s="111"/>
      <c r="AN18" s="651"/>
      <c r="AO18" s="131"/>
      <c r="AP18" s="117"/>
      <c r="AQ18" s="17"/>
      <c r="AR18" s="17"/>
      <c r="AS18" s="17"/>
      <c r="AT18" s="18">
        <f>W18</f>
        <v>1</v>
      </c>
      <c r="AU18" s="19">
        <f>IF(AT$20=0,0,AT18/AT$20)</f>
        <v>0.1111111111111111</v>
      </c>
      <c r="AV18" s="117"/>
      <c r="AW18" s="17"/>
      <c r="AX18" s="17"/>
      <c r="AY18" s="17"/>
      <c r="AZ18" s="424">
        <f>X18</f>
        <v>2</v>
      </c>
      <c r="BA18" s="19">
        <f>IF(AZ$20=0,0,AZ18/AZ$20)</f>
        <v>0.2857142857142857</v>
      </c>
    </row>
    <row r="19" spans="1:53" ht="17.100000000000001" customHeight="1" x14ac:dyDescent="0.25">
      <c r="A19" s="47"/>
      <c r="B19" s="55"/>
      <c r="C19" s="56" t="s">
        <v>372</v>
      </c>
      <c r="D19" s="120" t="s">
        <v>630</v>
      </c>
      <c r="E19" s="58"/>
      <c r="F19" s="58"/>
      <c r="G19" s="59"/>
      <c r="H19" s="216"/>
      <c r="I19" s="229"/>
      <c r="J19" s="174"/>
      <c r="K19" s="174"/>
      <c r="L19" s="111"/>
      <c r="M19" s="111"/>
      <c r="N19" s="61">
        <v>2</v>
      </c>
      <c r="O19" s="61">
        <v>4</v>
      </c>
      <c r="P19" s="17">
        <f>SUM(N19:O19)</f>
        <v>6</v>
      </c>
      <c r="Q19" s="61">
        <v>6</v>
      </c>
      <c r="R19" s="61">
        <v>1</v>
      </c>
      <c r="S19" s="17">
        <f>SUM(Q19:R19)</f>
        <v>7</v>
      </c>
      <c r="T19" s="61"/>
      <c r="U19" s="61"/>
      <c r="V19" s="359">
        <f>SUM(T19:U19)</f>
        <v>0</v>
      </c>
      <c r="W19" s="391">
        <f t="shared" si="2"/>
        <v>8</v>
      </c>
      <c r="X19" s="17">
        <f t="shared" si="3"/>
        <v>5</v>
      </c>
      <c r="Y19" s="18">
        <f>SUM(W19:X19)</f>
        <v>13</v>
      </c>
      <c r="Z19" s="19">
        <f t="shared" ref="Z19:Z20" si="4">IF(Y$20=0,0,Y19/Y$20)</f>
        <v>0.8125</v>
      </c>
      <c r="AA19" s="19"/>
      <c r="AB19" s="19"/>
      <c r="AC19" s="20"/>
      <c r="AE19" s="111"/>
      <c r="AF19" s="111"/>
      <c r="AG19" s="111"/>
      <c r="AH19" s="651"/>
      <c r="AI19" s="131"/>
      <c r="AJ19" s="117"/>
      <c r="AK19" s="111"/>
      <c r="AL19" s="111"/>
      <c r="AM19" s="111"/>
      <c r="AN19" s="651"/>
      <c r="AO19" s="131"/>
      <c r="AP19" s="117"/>
      <c r="AQ19" s="17"/>
      <c r="AR19" s="17"/>
      <c r="AS19" s="17"/>
      <c r="AT19" s="18">
        <f>W19</f>
        <v>8</v>
      </c>
      <c r="AU19" s="19">
        <f t="shared" ref="AU19:AU20" si="5">IF(AT$20=0,0,AT19/AT$20)</f>
        <v>0.88888888888888884</v>
      </c>
      <c r="AV19" s="117"/>
      <c r="AW19" s="17"/>
      <c r="AX19" s="17"/>
      <c r="AY19" s="17"/>
      <c r="AZ19" s="424">
        <f>X19</f>
        <v>5</v>
      </c>
      <c r="BA19" s="19">
        <f t="shared" ref="BA19:BA20" si="6">IF(AZ$20=0,0,AZ19/AZ$20)</f>
        <v>0.7142857142857143</v>
      </c>
    </row>
    <row r="20" spans="1:53" ht="17.100000000000001" customHeight="1" x14ac:dyDescent="0.25">
      <c r="A20" s="47"/>
      <c r="B20" s="47"/>
      <c r="C20" s="252"/>
      <c r="D20" s="62"/>
      <c r="E20" s="62"/>
      <c r="F20" s="62"/>
      <c r="G20" s="63"/>
      <c r="H20" s="216"/>
      <c r="I20" s="229"/>
      <c r="J20" s="64"/>
      <c r="K20" s="64"/>
      <c r="L20" s="64"/>
      <c r="M20" s="64"/>
      <c r="N20" s="64">
        <f>SUM(N18:N19)</f>
        <v>3</v>
      </c>
      <c r="O20" s="64">
        <f t="shared" ref="O20:V20" si="7">SUM(O18:O19)</f>
        <v>6</v>
      </c>
      <c r="P20" s="64">
        <f t="shared" si="7"/>
        <v>9</v>
      </c>
      <c r="Q20" s="64">
        <f t="shared" si="7"/>
        <v>6</v>
      </c>
      <c r="R20" s="64">
        <f t="shared" si="7"/>
        <v>1</v>
      </c>
      <c r="S20" s="64">
        <f t="shared" si="7"/>
        <v>7</v>
      </c>
      <c r="T20" s="64">
        <f t="shared" si="7"/>
        <v>0</v>
      </c>
      <c r="U20" s="64">
        <f t="shared" si="7"/>
        <v>0</v>
      </c>
      <c r="V20" s="64">
        <f t="shared" si="7"/>
        <v>0</v>
      </c>
      <c r="W20" s="381">
        <f>SUM(W18:W19)</f>
        <v>9</v>
      </c>
      <c r="X20" s="82">
        <f t="shared" ref="X20:Y20" si="8">SUM(X18:X19)</f>
        <v>7</v>
      </c>
      <c r="Y20" s="82">
        <f t="shared" si="8"/>
        <v>16</v>
      </c>
      <c r="Z20" s="205">
        <f t="shared" si="4"/>
        <v>1</v>
      </c>
      <c r="AA20" s="205"/>
      <c r="AB20" s="205"/>
      <c r="AC20" s="83"/>
      <c r="AE20" s="67"/>
      <c r="AF20" s="67"/>
      <c r="AG20" s="67"/>
      <c r="AH20" s="65"/>
      <c r="AI20" s="66"/>
      <c r="AJ20" s="117"/>
      <c r="AK20" s="67"/>
      <c r="AL20" s="67"/>
      <c r="AM20" s="67"/>
      <c r="AN20" s="65"/>
      <c r="AO20" s="66"/>
      <c r="AP20" s="117"/>
      <c r="AQ20" s="67"/>
      <c r="AR20" s="67"/>
      <c r="AS20" s="67"/>
      <c r="AT20" s="65">
        <f>SUM(AT18:AT19)</f>
        <v>9</v>
      </c>
      <c r="AU20" s="66">
        <f t="shared" si="5"/>
        <v>1</v>
      </c>
      <c r="AV20" s="117"/>
      <c r="AW20" s="67"/>
      <c r="AX20" s="67"/>
      <c r="AY20" s="67"/>
      <c r="AZ20" s="65">
        <f>SUM(AZ18:AZ19)</f>
        <v>7</v>
      </c>
      <c r="BA20" s="66">
        <f t="shared" si="6"/>
        <v>1</v>
      </c>
    </row>
    <row r="21" spans="1:53" s="117" customFormat="1" ht="17.100000000000001" customHeight="1" x14ac:dyDescent="0.25">
      <c r="A21" s="186"/>
      <c r="B21" s="253"/>
      <c r="C21" s="254"/>
      <c r="D21" s="93"/>
      <c r="E21" s="93"/>
      <c r="F21" s="93"/>
      <c r="G21" s="209"/>
      <c r="H21" s="647"/>
      <c r="I21" s="12"/>
      <c r="J21" s="198"/>
      <c r="K21" s="638"/>
      <c r="L21" s="425"/>
      <c r="M21" s="425"/>
      <c r="N21" s="425"/>
      <c r="O21" s="425"/>
      <c r="P21" s="425"/>
      <c r="Q21" s="425"/>
      <c r="R21" s="425"/>
      <c r="S21" s="425"/>
      <c r="T21" s="425"/>
      <c r="U21" s="425"/>
      <c r="V21" s="425"/>
      <c r="W21" s="639"/>
      <c r="X21" s="91"/>
      <c r="Y21" s="91"/>
      <c r="Z21" s="201"/>
      <c r="AA21" s="413"/>
      <c r="AB21" s="413"/>
      <c r="AC21" s="256"/>
      <c r="AE21" s="256"/>
      <c r="AF21" s="256"/>
      <c r="AG21" s="256"/>
      <c r="AH21" s="257"/>
      <c r="AI21" s="91"/>
      <c r="AK21" s="256"/>
      <c r="AL21" s="256"/>
      <c r="AM21" s="256"/>
      <c r="AN21" s="257"/>
      <c r="AO21" s="91"/>
      <c r="AQ21" s="256"/>
      <c r="AR21" s="256"/>
      <c r="AS21" s="256"/>
      <c r="AT21" s="257"/>
      <c r="AU21" s="91"/>
      <c r="AW21" s="256"/>
      <c r="AX21" s="256"/>
      <c r="AY21" s="256"/>
      <c r="AZ21" s="425"/>
      <c r="BA21" s="91"/>
    </row>
    <row r="22" spans="1:53" ht="17.100000000000001" customHeight="1" x14ac:dyDescent="0.25">
      <c r="A22" s="40"/>
      <c r="B22" s="41">
        <v>0.2</v>
      </c>
      <c r="C22" s="69" t="s">
        <v>370</v>
      </c>
      <c r="D22" s="50"/>
      <c r="E22" s="43"/>
      <c r="F22" s="43"/>
      <c r="G22" s="44"/>
      <c r="H22" s="640">
        <v>5</v>
      </c>
      <c r="I22" s="229"/>
      <c r="J22" s="71"/>
      <c r="K22" s="71"/>
      <c r="L22" s="71"/>
      <c r="M22" s="71"/>
      <c r="N22" s="71"/>
      <c r="O22" s="71"/>
      <c r="P22" s="71"/>
      <c r="Q22" s="71"/>
      <c r="R22" s="71"/>
      <c r="S22" s="71"/>
      <c r="T22" s="71"/>
      <c r="U22" s="71"/>
      <c r="V22" s="71"/>
      <c r="W22" s="71"/>
      <c r="X22" s="71"/>
      <c r="Y22" s="71"/>
      <c r="Z22" s="73"/>
      <c r="AA22" s="73"/>
      <c r="AB22" s="73"/>
      <c r="AC22" s="73"/>
      <c r="AE22" s="71"/>
      <c r="AF22" s="71"/>
      <c r="AG22" s="71"/>
      <c r="AH22" s="72"/>
      <c r="AI22" s="73"/>
      <c r="AK22" s="71"/>
      <c r="AL22" s="71"/>
      <c r="AM22" s="71"/>
      <c r="AN22" s="72"/>
      <c r="AO22" s="73"/>
      <c r="AQ22" s="71"/>
      <c r="AR22" s="71"/>
      <c r="AS22" s="71"/>
      <c r="AT22" s="72"/>
      <c r="AU22" s="73"/>
      <c r="AW22" s="71"/>
      <c r="AX22" s="71"/>
      <c r="AY22" s="71"/>
      <c r="AZ22" s="273"/>
      <c r="BA22" s="73"/>
    </row>
    <row r="23" spans="1:53" ht="17.100000000000001" customHeight="1" x14ac:dyDescent="0.25">
      <c r="A23" s="40"/>
      <c r="B23" s="40"/>
      <c r="C23" s="74" t="s">
        <v>7</v>
      </c>
      <c r="D23" s="649" t="s">
        <v>9</v>
      </c>
      <c r="E23" s="75"/>
      <c r="F23" s="75"/>
      <c r="G23" s="76"/>
      <c r="H23" s="1318"/>
      <c r="I23" s="229"/>
      <c r="J23" s="581"/>
      <c r="K23" s="581"/>
      <c r="L23" s="582"/>
      <c r="M23" s="17">
        <f t="shared" ref="M23:M25" si="9">SUM(J23:L23)</f>
        <v>0</v>
      </c>
      <c r="N23" s="111"/>
      <c r="O23" s="111"/>
      <c r="P23" s="111"/>
      <c r="Q23" s="111"/>
      <c r="R23" s="111"/>
      <c r="S23" s="111"/>
      <c r="T23" s="111"/>
      <c r="U23" s="111"/>
      <c r="V23" s="111"/>
      <c r="W23" s="391">
        <f t="shared" ref="W23:W25" si="10">J23+K23+N23+Q23+T23</f>
        <v>0</v>
      </c>
      <c r="X23" s="17">
        <f t="shared" ref="X23:X25" si="11">L23+O23+R23+U23</f>
        <v>0</v>
      </c>
      <c r="Y23" s="18">
        <f>SUM(W23:X23)</f>
        <v>0</v>
      </c>
      <c r="Z23" s="19">
        <f>IF(Y$26=0,0,Y23/Y$26)</f>
        <v>0</v>
      </c>
      <c r="AA23" s="411"/>
      <c r="AB23" s="411"/>
      <c r="AC23" s="45"/>
      <c r="AE23" s="17"/>
      <c r="AF23" s="17"/>
      <c r="AG23" s="17"/>
      <c r="AH23" s="18">
        <f>J23</f>
        <v>0</v>
      </c>
      <c r="AI23" s="19">
        <f>IF(AH$26=0,0,AH23/AH$26)</f>
        <v>0</v>
      </c>
      <c r="AK23" s="17"/>
      <c r="AL23" s="17"/>
      <c r="AM23" s="17"/>
      <c r="AN23" s="18">
        <f>K23</f>
        <v>0</v>
      </c>
      <c r="AO23" s="19">
        <f>IF(AN$26=0,0,AN23/AN$26)</f>
        <v>0</v>
      </c>
      <c r="AQ23" s="17"/>
      <c r="AR23" s="17"/>
      <c r="AS23" s="17"/>
      <c r="AT23" s="18">
        <f>W23</f>
        <v>0</v>
      </c>
      <c r="AU23" s="19">
        <f>IF(AT$26=0,0,AT23/AT$26)</f>
        <v>0</v>
      </c>
      <c r="AW23" s="17"/>
      <c r="AX23" s="17"/>
      <c r="AY23" s="17"/>
      <c r="AZ23" s="424">
        <f>X23</f>
        <v>0</v>
      </c>
      <c r="BA23" s="19">
        <f>IF(AZ$26=0,0,AZ23/AZ$26)</f>
        <v>0</v>
      </c>
    </row>
    <row r="24" spans="1:53" ht="17.100000000000001" customHeight="1" x14ac:dyDescent="0.25">
      <c r="A24" s="40"/>
      <c r="B24" s="40"/>
      <c r="C24" s="74" t="s">
        <v>8</v>
      </c>
      <c r="D24" s="649" t="s">
        <v>10</v>
      </c>
      <c r="E24" s="75"/>
      <c r="F24" s="75"/>
      <c r="G24" s="76"/>
      <c r="H24" s="647"/>
      <c r="I24" s="229"/>
      <c r="J24" s="583"/>
      <c r="K24" s="583"/>
      <c r="L24" s="584"/>
      <c r="M24" s="17">
        <f t="shared" si="9"/>
        <v>0</v>
      </c>
      <c r="N24" s="111"/>
      <c r="O24" s="111"/>
      <c r="P24" s="111"/>
      <c r="Q24" s="111"/>
      <c r="R24" s="111"/>
      <c r="S24" s="111"/>
      <c r="T24" s="111"/>
      <c r="U24" s="111"/>
      <c r="V24" s="111"/>
      <c r="W24" s="391">
        <f t="shared" si="10"/>
        <v>0</v>
      </c>
      <c r="X24" s="17">
        <f t="shared" si="11"/>
        <v>0</v>
      </c>
      <c r="Y24" s="18">
        <f>SUM(W24:X24)</f>
        <v>0</v>
      </c>
      <c r="Z24" s="19">
        <f t="shared" ref="Z24:Z25" si="12">IF(Y$26=0,0,Y24/Y$26)</f>
        <v>0</v>
      </c>
      <c r="AA24" s="411"/>
      <c r="AB24" s="411"/>
      <c r="AC24" s="45"/>
      <c r="AE24" s="17"/>
      <c r="AF24" s="17"/>
      <c r="AG24" s="17"/>
      <c r="AH24" s="18">
        <f t="shared" ref="AH24:AH25" si="13">J24</f>
        <v>0</v>
      </c>
      <c r="AI24" s="19">
        <f>IF(AH$26=0,0,AH24/AH$26)</f>
        <v>0</v>
      </c>
      <c r="AK24" s="17"/>
      <c r="AL24" s="17"/>
      <c r="AM24" s="17"/>
      <c r="AN24" s="18">
        <f t="shared" ref="AN24:AN25" si="14">K24</f>
        <v>0</v>
      </c>
      <c r="AO24" s="19">
        <f>IF(AN$26=0,0,AN24/AN$26)</f>
        <v>0</v>
      </c>
      <c r="AQ24" s="17"/>
      <c r="AR24" s="17"/>
      <c r="AS24" s="17"/>
      <c r="AT24" s="18">
        <f t="shared" ref="AT24:AT25" si="15">W24</f>
        <v>0</v>
      </c>
      <c r="AU24" s="19">
        <f t="shared" ref="AU24:AU26" si="16">IF(AT$26=0,0,AT24/AT$26)</f>
        <v>0</v>
      </c>
      <c r="AW24" s="17"/>
      <c r="AX24" s="17"/>
      <c r="AY24" s="17"/>
      <c r="AZ24" s="424">
        <f t="shared" ref="AZ24:AZ25" si="17">X24</f>
        <v>0</v>
      </c>
      <c r="BA24" s="19">
        <f>IF(AZ$26=0,0,AZ24/AZ$26)</f>
        <v>0</v>
      </c>
    </row>
    <row r="25" spans="1:53" ht="17.100000000000001" customHeight="1" x14ac:dyDescent="0.25">
      <c r="A25" s="40"/>
      <c r="B25" s="40"/>
      <c r="C25" s="74" t="s">
        <v>531</v>
      </c>
      <c r="D25" s="649" t="s">
        <v>530</v>
      </c>
      <c r="E25" s="75"/>
      <c r="F25" s="75"/>
      <c r="G25" s="76"/>
      <c r="H25" s="647"/>
      <c r="I25" s="229"/>
      <c r="J25" s="581"/>
      <c r="K25" s="581"/>
      <c r="L25" s="582"/>
      <c r="M25" s="17">
        <f t="shared" si="9"/>
        <v>0</v>
      </c>
      <c r="N25" s="111"/>
      <c r="O25" s="111"/>
      <c r="P25" s="111"/>
      <c r="Q25" s="111"/>
      <c r="R25" s="111"/>
      <c r="S25" s="111"/>
      <c r="T25" s="111"/>
      <c r="U25" s="111"/>
      <c r="V25" s="111"/>
      <c r="W25" s="391">
        <f t="shared" si="10"/>
        <v>0</v>
      </c>
      <c r="X25" s="17">
        <f t="shared" si="11"/>
        <v>0</v>
      </c>
      <c r="Y25" s="18">
        <f>SUM(W25:X25)</f>
        <v>0</v>
      </c>
      <c r="Z25" s="19">
        <f t="shared" si="12"/>
        <v>0</v>
      </c>
      <c r="AA25" s="411"/>
      <c r="AB25" s="411"/>
      <c r="AC25" s="45"/>
      <c r="AE25" s="17"/>
      <c r="AF25" s="17"/>
      <c r="AG25" s="17"/>
      <c r="AH25" s="18">
        <f t="shared" si="13"/>
        <v>0</v>
      </c>
      <c r="AI25" s="19">
        <f>IF(AH$26=0,0,AH25/AH$26)</f>
        <v>0</v>
      </c>
      <c r="AK25" s="17"/>
      <c r="AL25" s="17"/>
      <c r="AM25" s="17"/>
      <c r="AN25" s="18">
        <f t="shared" si="14"/>
        <v>0</v>
      </c>
      <c r="AO25" s="19">
        <f>IF(AN$26=0,0,AN25/AN$26)</f>
        <v>0</v>
      </c>
      <c r="AQ25" s="17"/>
      <c r="AR25" s="17"/>
      <c r="AS25" s="17"/>
      <c r="AT25" s="18">
        <f t="shared" si="15"/>
        <v>0</v>
      </c>
      <c r="AU25" s="19">
        <f t="shared" si="16"/>
        <v>0</v>
      </c>
      <c r="AW25" s="17"/>
      <c r="AX25" s="17"/>
      <c r="AY25" s="17"/>
      <c r="AZ25" s="424">
        <f t="shared" si="17"/>
        <v>0</v>
      </c>
      <c r="BA25" s="19">
        <f>IF(AZ$26=0,0,AZ25/AZ$26)</f>
        <v>0</v>
      </c>
    </row>
    <row r="26" spans="1:53" ht="17.100000000000001" customHeight="1" x14ac:dyDescent="0.25">
      <c r="A26" s="40"/>
      <c r="B26" s="40"/>
      <c r="C26" s="77"/>
      <c r="D26" s="78"/>
      <c r="E26" s="78"/>
      <c r="F26" s="78"/>
      <c r="G26" s="79"/>
      <c r="H26" s="647"/>
      <c r="I26" s="230"/>
      <c r="J26" s="80">
        <f>SUM(J23:J25)</f>
        <v>0</v>
      </c>
      <c r="K26" s="80">
        <f t="shared" ref="K26:M26" si="18">SUM(K23:K25)</f>
        <v>0</v>
      </c>
      <c r="L26" s="80">
        <f t="shared" si="18"/>
        <v>0</v>
      </c>
      <c r="M26" s="80">
        <f t="shared" si="18"/>
        <v>0</v>
      </c>
      <c r="N26" s="81"/>
      <c r="O26" s="81"/>
      <c r="P26" s="81"/>
      <c r="Q26" s="81"/>
      <c r="R26" s="81"/>
      <c r="S26" s="81"/>
      <c r="T26" s="81"/>
      <c r="U26" s="81"/>
      <c r="V26" s="81"/>
      <c r="W26" s="381">
        <f>SUM(W23:W25)</f>
        <v>0</v>
      </c>
      <c r="X26" s="82">
        <f t="shared" ref="X26:Y26" si="19">SUM(X23:X25)</f>
        <v>0</v>
      </c>
      <c r="Y26" s="82">
        <f t="shared" si="19"/>
        <v>0</v>
      </c>
      <c r="Z26" s="205">
        <f>IF(Y$26=0,0,Y26/Y$26)</f>
        <v>0</v>
      </c>
      <c r="AA26" s="205"/>
      <c r="AB26" s="205"/>
      <c r="AC26" s="83"/>
      <c r="AE26" s="81"/>
      <c r="AF26" s="81"/>
      <c r="AG26" s="81"/>
      <c r="AH26" s="82">
        <f>SUM(AH23:AH25)</f>
        <v>0</v>
      </c>
      <c r="AI26" s="66">
        <f>IF(AH$26=0,0,AH26/AH$26)</f>
        <v>0</v>
      </c>
      <c r="AK26" s="81"/>
      <c r="AL26" s="81"/>
      <c r="AM26" s="81"/>
      <c r="AN26" s="82">
        <f>SUM(AN23:AN25)</f>
        <v>0</v>
      </c>
      <c r="AO26" s="66">
        <f>IF(AN$26=0,0,AN26/AN$26)</f>
        <v>0</v>
      </c>
      <c r="AQ26" s="67"/>
      <c r="AR26" s="67"/>
      <c r="AS26" s="67"/>
      <c r="AT26" s="65">
        <f>SUM(AT23:AT25)</f>
        <v>0</v>
      </c>
      <c r="AU26" s="66">
        <f t="shared" si="16"/>
        <v>0</v>
      </c>
      <c r="AW26" s="81"/>
      <c r="AX26" s="81"/>
      <c r="AY26" s="81"/>
      <c r="AZ26" s="82">
        <f>SUM(AZ23:AZ25)</f>
        <v>0</v>
      </c>
      <c r="BA26" s="66">
        <f>IF(AZ$26=0,0,AZ26/AZ$26)</f>
        <v>0</v>
      </c>
    </row>
    <row r="27" spans="1:53" s="97" customFormat="1" ht="17.100000000000001" customHeight="1" x14ac:dyDescent="0.25">
      <c r="A27" s="68"/>
      <c r="B27" s="68"/>
      <c r="C27" s="92"/>
      <c r="D27" s="93"/>
      <c r="E27" s="93"/>
      <c r="F27" s="93"/>
      <c r="G27" s="93"/>
      <c r="H27" s="165"/>
      <c r="I27" s="12"/>
      <c r="J27" s="94" t="str">
        <f>IF(J26=J$15,"OK","NOK")</f>
        <v>OK</v>
      </c>
      <c r="K27" s="94" t="str">
        <f t="shared" ref="K27:L27" si="20">IF(K26=K$15,"OK","NOK")</f>
        <v>OK</v>
      </c>
      <c r="L27" s="94" t="str">
        <f t="shared" si="20"/>
        <v>OK</v>
      </c>
      <c r="M27" s="95"/>
      <c r="N27" s="95"/>
      <c r="O27" s="95"/>
      <c r="P27" s="95"/>
      <c r="Q27" s="95"/>
      <c r="R27" s="95"/>
      <c r="S27" s="95"/>
      <c r="T27" s="95"/>
      <c r="U27" s="95"/>
      <c r="V27" s="95"/>
      <c r="W27" s="95"/>
      <c r="X27" s="95"/>
      <c r="Y27" s="95"/>
      <c r="AQ27" s="98"/>
      <c r="AR27" s="98"/>
      <c r="AS27" s="98"/>
      <c r="AT27" s="99"/>
      <c r="AU27" s="100"/>
    </row>
    <row r="28" spans="1:53" s="32" customFormat="1" ht="16.5" thickBot="1" x14ac:dyDescent="0.3">
      <c r="A28" s="24" t="s">
        <v>13</v>
      </c>
      <c r="B28" s="25" t="s">
        <v>557</v>
      </c>
      <c r="C28" s="26"/>
      <c r="D28" s="27"/>
      <c r="E28" s="27"/>
      <c r="F28" s="27"/>
      <c r="G28" s="28"/>
      <c r="H28" s="310"/>
      <c r="I28" s="228"/>
      <c r="J28" s="101"/>
      <c r="K28" s="101"/>
      <c r="L28" s="101"/>
      <c r="M28" s="101"/>
      <c r="N28" s="101"/>
      <c r="O28" s="101"/>
      <c r="P28" s="101"/>
      <c r="Q28" s="101"/>
      <c r="R28" s="101"/>
      <c r="S28" s="101"/>
      <c r="T28" s="101"/>
      <c r="U28" s="101"/>
      <c r="V28" s="101"/>
      <c r="W28" s="101"/>
      <c r="X28" s="101"/>
      <c r="Y28" s="415" t="s">
        <v>4</v>
      </c>
      <c r="Z28" s="31" t="s">
        <v>5</v>
      </c>
      <c r="AA28" s="31" t="s">
        <v>181</v>
      </c>
      <c r="AB28" s="31" t="s">
        <v>182</v>
      </c>
      <c r="AC28" s="31" t="s">
        <v>6</v>
      </c>
      <c r="AE28" s="33" t="s">
        <v>181</v>
      </c>
      <c r="AF28" s="33" t="s">
        <v>182</v>
      </c>
      <c r="AG28" s="33" t="s">
        <v>6</v>
      </c>
      <c r="AH28" s="33" t="s">
        <v>4</v>
      </c>
      <c r="AI28" s="34" t="s">
        <v>5</v>
      </c>
      <c r="AK28" s="36" t="s">
        <v>181</v>
      </c>
      <c r="AL28" s="36" t="s">
        <v>182</v>
      </c>
      <c r="AM28" s="36" t="s">
        <v>6</v>
      </c>
      <c r="AN28" s="36" t="s">
        <v>4</v>
      </c>
      <c r="AO28" s="37" t="s">
        <v>5</v>
      </c>
      <c r="AQ28" s="398" t="s">
        <v>181</v>
      </c>
      <c r="AR28" s="398" t="s">
        <v>182</v>
      </c>
      <c r="AS28" s="398" t="s">
        <v>6</v>
      </c>
      <c r="AT28" s="398" t="s">
        <v>4</v>
      </c>
      <c r="AU28" s="399" t="s">
        <v>5</v>
      </c>
      <c r="AW28" s="38" t="s">
        <v>181</v>
      </c>
      <c r="AX28" s="38" t="s">
        <v>182</v>
      </c>
      <c r="AY28" s="38" t="s">
        <v>6</v>
      </c>
      <c r="AZ28" s="38" t="s">
        <v>4</v>
      </c>
      <c r="BA28" s="39" t="s">
        <v>5</v>
      </c>
    </row>
    <row r="29" spans="1:53" ht="17.100000000000001" customHeight="1" x14ac:dyDescent="0.25">
      <c r="A29" s="275"/>
      <c r="B29" s="41" t="s">
        <v>15</v>
      </c>
      <c r="C29" s="69" t="s">
        <v>16</v>
      </c>
      <c r="D29" s="276"/>
      <c r="E29" s="276"/>
      <c r="F29" s="276"/>
      <c r="G29" s="276"/>
      <c r="H29" s="589">
        <v>8</v>
      </c>
      <c r="I29" s="12"/>
      <c r="J29" s="277"/>
      <c r="K29" s="277"/>
      <c r="L29" s="277"/>
      <c r="M29" s="277"/>
      <c r="N29" s="277"/>
      <c r="O29" s="277"/>
      <c r="P29" s="277"/>
      <c r="Q29" s="277"/>
      <c r="R29" s="277"/>
      <c r="S29" s="277"/>
      <c r="T29" s="277"/>
      <c r="U29" s="277"/>
      <c r="V29" s="277"/>
      <c r="W29" s="277"/>
      <c r="X29" s="277"/>
      <c r="Y29" s="277"/>
      <c r="Z29" s="51"/>
      <c r="AA29" s="51"/>
      <c r="AB29" s="51"/>
      <c r="AC29" s="51"/>
      <c r="AE29" s="71"/>
      <c r="AF29" s="71"/>
      <c r="AG29" s="273"/>
      <c r="AH29" s="73"/>
      <c r="AI29" s="73"/>
      <c r="AK29" s="71"/>
      <c r="AL29" s="71"/>
      <c r="AM29" s="273"/>
      <c r="AN29" s="73"/>
      <c r="AO29" s="73"/>
      <c r="AQ29" s="71"/>
      <c r="AR29" s="71"/>
      <c r="AS29" s="71"/>
      <c r="AT29" s="72"/>
      <c r="AU29" s="73"/>
      <c r="AW29" s="71"/>
      <c r="AX29" s="71"/>
      <c r="AY29" s="273"/>
      <c r="AZ29" s="73"/>
      <c r="BA29" s="73"/>
    </row>
    <row r="30" spans="1:53" ht="17.100000000000001" customHeight="1" x14ac:dyDescent="0.25">
      <c r="A30" s="40"/>
      <c r="B30" s="40"/>
      <c r="C30" s="74" t="s">
        <v>17</v>
      </c>
      <c r="D30" s="104" t="s">
        <v>609</v>
      </c>
      <c r="E30" s="75"/>
      <c r="F30" s="75"/>
      <c r="G30" s="76"/>
      <c r="H30" s="210"/>
      <c r="I30" s="229"/>
      <c r="J30" s="46">
        <f>J15</f>
        <v>0</v>
      </c>
      <c r="K30" s="46"/>
      <c r="L30" s="17"/>
      <c r="M30" s="17">
        <f t="shared" ref="M30:M32" si="21">SUM(J30:L30)</f>
        <v>0</v>
      </c>
      <c r="N30" s="111"/>
      <c r="O30" s="111"/>
      <c r="P30" s="111"/>
      <c r="Q30" s="111"/>
      <c r="R30" s="111"/>
      <c r="S30" s="111"/>
      <c r="T30" s="111"/>
      <c r="U30" s="111"/>
      <c r="V30" s="111"/>
      <c r="W30" s="391">
        <f t="shared" ref="W30:W32" si="22">J30+K30+N30+Q30+T30</f>
        <v>0</v>
      </c>
      <c r="X30" s="17">
        <f t="shared" ref="X30:X32" si="23">L30+O30+R30+U30</f>
        <v>0</v>
      </c>
      <c r="Y30" s="18">
        <f>SUM(W30:X30)</f>
        <v>0</v>
      </c>
      <c r="Z30" s="19">
        <f>IF(Y$33=0,0,Y30/Y$33)</f>
        <v>0</v>
      </c>
      <c r="AA30" s="411"/>
      <c r="AB30" s="411"/>
      <c r="AC30" s="45"/>
      <c r="AE30" s="17"/>
      <c r="AF30" s="17"/>
      <c r="AG30" s="17"/>
      <c r="AH30" s="18">
        <f>J30</f>
        <v>0</v>
      </c>
      <c r="AI30" s="19">
        <f>IF(AH$33=0,0,AH30/AH$33)</f>
        <v>0</v>
      </c>
      <c r="AK30" s="17"/>
      <c r="AL30" s="17"/>
      <c r="AM30" s="17"/>
      <c r="AN30" s="18">
        <f>K30</f>
        <v>0</v>
      </c>
      <c r="AO30" s="19">
        <f>IF(AN$33=0,0,AN30/AN$33)</f>
        <v>0</v>
      </c>
      <c r="AQ30" s="17"/>
      <c r="AR30" s="17"/>
      <c r="AS30" s="17"/>
      <c r="AT30" s="18">
        <f t="shared" ref="AT30:AT32" si="24">W30</f>
        <v>0</v>
      </c>
      <c r="AU30" s="19">
        <f>IF(AT$33=0,0,AT30/AT$33)</f>
        <v>0</v>
      </c>
      <c r="AW30" s="17"/>
      <c r="AX30" s="17"/>
      <c r="AY30" s="17"/>
      <c r="AZ30" s="424">
        <f>X30</f>
        <v>0</v>
      </c>
      <c r="BA30" s="19">
        <f>IF(AZ$33=0,0,AZ30/AZ$33)</f>
        <v>0</v>
      </c>
    </row>
    <row r="31" spans="1:53" ht="17.100000000000001" customHeight="1" x14ac:dyDescent="0.25">
      <c r="A31" s="40"/>
      <c r="B31" s="40"/>
      <c r="C31" s="74" t="s">
        <v>18</v>
      </c>
      <c r="D31" s="104" t="s">
        <v>610</v>
      </c>
      <c r="E31" s="75"/>
      <c r="F31" s="75"/>
      <c r="G31" s="76"/>
      <c r="H31" s="210"/>
      <c r="I31" s="229"/>
      <c r="J31" s="46"/>
      <c r="K31" s="46">
        <f>K15</f>
        <v>0</v>
      </c>
      <c r="L31" s="17"/>
      <c r="M31" s="17">
        <f t="shared" si="21"/>
        <v>0</v>
      </c>
      <c r="N31" s="111"/>
      <c r="O31" s="111"/>
      <c r="P31" s="111"/>
      <c r="Q31" s="111"/>
      <c r="R31" s="111"/>
      <c r="S31" s="111"/>
      <c r="T31" s="111"/>
      <c r="U31" s="111"/>
      <c r="V31" s="111"/>
      <c r="W31" s="391">
        <f t="shared" si="22"/>
        <v>0</v>
      </c>
      <c r="X31" s="17">
        <f t="shared" si="23"/>
        <v>0</v>
      </c>
      <c r="Y31" s="18">
        <f>SUM(W31:X31)</f>
        <v>0</v>
      </c>
      <c r="Z31" s="19">
        <f t="shared" ref="Z31:Z33" si="25">IF(Y$33=0,0,Y31/Y$33)</f>
        <v>0</v>
      </c>
      <c r="AA31" s="411"/>
      <c r="AB31" s="411"/>
      <c r="AC31" s="45"/>
      <c r="AE31" s="17"/>
      <c r="AF31" s="17"/>
      <c r="AG31" s="17"/>
      <c r="AH31" s="18">
        <f t="shared" ref="AH31:AH32" si="26">J31</f>
        <v>0</v>
      </c>
      <c r="AI31" s="19">
        <f>IF(AH$33=0,0,AH31/AH$33)</f>
        <v>0</v>
      </c>
      <c r="AK31" s="17"/>
      <c r="AL31" s="17"/>
      <c r="AM31" s="17"/>
      <c r="AN31" s="18">
        <f t="shared" ref="AN31:AN32" si="27">K31</f>
        <v>0</v>
      </c>
      <c r="AO31" s="19">
        <f>IF(AN$33=0,0,AN31/AN$33)</f>
        <v>0</v>
      </c>
      <c r="AQ31" s="17"/>
      <c r="AR31" s="17"/>
      <c r="AS31" s="17"/>
      <c r="AT31" s="18">
        <f t="shared" si="24"/>
        <v>0</v>
      </c>
      <c r="AU31" s="19">
        <f>IF(AT$33=0,0,AT31/AT$33)</f>
        <v>0</v>
      </c>
      <c r="AW31" s="17"/>
      <c r="AX31" s="17"/>
      <c r="AY31" s="17"/>
      <c r="AZ31" s="424">
        <f t="shared" ref="AZ31:AZ32" si="28">X31</f>
        <v>0</v>
      </c>
      <c r="BA31" s="19">
        <f>IF(AZ$33=0,0,AZ31/AZ$33)</f>
        <v>0</v>
      </c>
    </row>
    <row r="32" spans="1:53" ht="17.100000000000001" customHeight="1" x14ac:dyDescent="0.25">
      <c r="A32" s="40"/>
      <c r="B32" s="40"/>
      <c r="C32" s="74" t="s">
        <v>19</v>
      </c>
      <c r="D32" s="104" t="s">
        <v>611</v>
      </c>
      <c r="E32" s="75"/>
      <c r="F32" s="75"/>
      <c r="G32" s="76"/>
      <c r="H32" s="210"/>
      <c r="I32" s="229"/>
      <c r="J32" s="46"/>
      <c r="K32" s="46"/>
      <c r="L32" s="17">
        <f>L15</f>
        <v>0</v>
      </c>
      <c r="M32" s="17">
        <f t="shared" si="21"/>
        <v>0</v>
      </c>
      <c r="N32" s="111"/>
      <c r="O32" s="111"/>
      <c r="P32" s="111"/>
      <c r="Q32" s="111"/>
      <c r="R32" s="111"/>
      <c r="S32" s="111"/>
      <c r="T32" s="111"/>
      <c r="U32" s="111"/>
      <c r="V32" s="111"/>
      <c r="W32" s="391">
        <f t="shared" si="22"/>
        <v>0</v>
      </c>
      <c r="X32" s="17">
        <f t="shared" si="23"/>
        <v>0</v>
      </c>
      <c r="Y32" s="18">
        <f>SUM(W32:X32)</f>
        <v>0</v>
      </c>
      <c r="Z32" s="19">
        <f t="shared" si="25"/>
        <v>0</v>
      </c>
      <c r="AA32" s="411"/>
      <c r="AB32" s="411"/>
      <c r="AC32" s="45"/>
      <c r="AE32" s="17"/>
      <c r="AF32" s="17"/>
      <c r="AG32" s="17"/>
      <c r="AH32" s="18">
        <f t="shared" si="26"/>
        <v>0</v>
      </c>
      <c r="AI32" s="19">
        <f>IF(AH$33=0,0,AH32/AH$33)</f>
        <v>0</v>
      </c>
      <c r="AK32" s="17"/>
      <c r="AL32" s="17"/>
      <c r="AM32" s="17"/>
      <c r="AN32" s="18">
        <f t="shared" si="27"/>
        <v>0</v>
      </c>
      <c r="AO32" s="19">
        <f>IF(AN$33=0,0,AN32/AN$33)</f>
        <v>0</v>
      </c>
      <c r="AQ32" s="17"/>
      <c r="AR32" s="17"/>
      <c r="AS32" s="17"/>
      <c r="AT32" s="18">
        <f t="shared" si="24"/>
        <v>0</v>
      </c>
      <c r="AU32" s="19">
        <f>IF(AT$33=0,0,AT32/AT$33)</f>
        <v>0</v>
      </c>
      <c r="AW32" s="17"/>
      <c r="AX32" s="17"/>
      <c r="AY32" s="17"/>
      <c r="AZ32" s="424">
        <f t="shared" si="28"/>
        <v>0</v>
      </c>
      <c r="BA32" s="19">
        <f>IF(AZ$33=0,0,AZ32/AZ$33)</f>
        <v>0</v>
      </c>
    </row>
    <row r="33" spans="1:53" ht="17.100000000000001" customHeight="1" x14ac:dyDescent="0.25">
      <c r="A33" s="40"/>
      <c r="B33" s="40"/>
      <c r="C33" s="77"/>
      <c r="D33" s="78"/>
      <c r="E33" s="78"/>
      <c r="F33" s="78"/>
      <c r="G33" s="79"/>
      <c r="H33" s="217"/>
      <c r="I33" s="230"/>
      <c r="J33" s="80">
        <f>SUM(J30:J32)</f>
        <v>0</v>
      </c>
      <c r="K33" s="80">
        <f t="shared" ref="K33:M33" si="29">SUM(K30:K32)</f>
        <v>0</v>
      </c>
      <c r="L33" s="80">
        <f t="shared" si="29"/>
        <v>0</v>
      </c>
      <c r="M33" s="80">
        <f t="shared" si="29"/>
        <v>0</v>
      </c>
      <c r="N33" s="81"/>
      <c r="O33" s="81"/>
      <c r="P33" s="81"/>
      <c r="Q33" s="81"/>
      <c r="R33" s="81"/>
      <c r="S33" s="81"/>
      <c r="T33" s="81"/>
      <c r="U33" s="81"/>
      <c r="V33" s="81"/>
      <c r="W33" s="381">
        <f>SUM(W30:W32)</f>
        <v>0</v>
      </c>
      <c r="X33" s="82">
        <f t="shared" ref="X33:Y33" si="30">SUM(X30:X32)</f>
        <v>0</v>
      </c>
      <c r="Y33" s="82">
        <f t="shared" si="30"/>
        <v>0</v>
      </c>
      <c r="Z33" s="205">
        <f t="shared" si="25"/>
        <v>0</v>
      </c>
      <c r="AA33" s="205"/>
      <c r="AB33" s="205"/>
      <c r="AC33" s="83"/>
      <c r="AE33" s="107"/>
      <c r="AF33" s="107"/>
      <c r="AG33" s="107"/>
      <c r="AH33" s="82">
        <f>SUM(AH30:AH32)</f>
        <v>0</v>
      </c>
      <c r="AI33" s="66">
        <f>IF(AH$33=0,0,AH33/AH$33)</f>
        <v>0</v>
      </c>
      <c r="AK33" s="107"/>
      <c r="AL33" s="107"/>
      <c r="AM33" s="107"/>
      <c r="AN33" s="82">
        <f>SUM(AN30:AN32)</f>
        <v>0</v>
      </c>
      <c r="AO33" s="66">
        <f>IF(AN$33=0,0,AN33/AN$33)</f>
        <v>0</v>
      </c>
      <c r="AQ33" s="107"/>
      <c r="AR33" s="107"/>
      <c r="AS33" s="107"/>
      <c r="AT33" s="82">
        <f>SUM(AT30:AT32)</f>
        <v>0</v>
      </c>
      <c r="AU33" s="66">
        <f>IF(AT$33=0,0,AT33/AT$33)</f>
        <v>0</v>
      </c>
      <c r="AW33" s="107"/>
      <c r="AX33" s="107"/>
      <c r="AY33" s="107"/>
      <c r="AZ33" s="82">
        <f>SUM(AZ30:AZ32)</f>
        <v>0</v>
      </c>
      <c r="BA33" s="66">
        <f>IF(AZ$33=0,0,AZ33/AZ$33)</f>
        <v>0</v>
      </c>
    </row>
    <row r="34" spans="1:53" s="97" customFormat="1" ht="17.100000000000001" customHeight="1" x14ac:dyDescent="0.25">
      <c r="A34" s="68"/>
      <c r="B34" s="68"/>
      <c r="C34" s="92"/>
      <c r="D34" s="93"/>
      <c r="E34" s="93"/>
      <c r="F34" s="93"/>
      <c r="G34" s="93"/>
      <c r="H34" s="12"/>
      <c r="I34" s="12"/>
      <c r="J34" s="109"/>
      <c r="K34" s="109"/>
      <c r="L34" s="109"/>
      <c r="M34" s="109"/>
      <c r="N34" s="109"/>
      <c r="O34" s="109"/>
      <c r="P34" s="109"/>
      <c r="Q34" s="109"/>
      <c r="R34" s="109"/>
      <c r="S34" s="109"/>
      <c r="T34" s="109"/>
      <c r="U34" s="109"/>
      <c r="V34" s="109"/>
      <c r="W34" s="109"/>
      <c r="X34" s="109"/>
      <c r="Y34" s="109"/>
      <c r="AQ34" s="109"/>
      <c r="AR34" s="109"/>
      <c r="AS34" s="109"/>
      <c r="AT34" s="96"/>
    </row>
    <row r="35" spans="1:53" s="32" customFormat="1" ht="16.5" thickBot="1" x14ac:dyDescent="0.3">
      <c r="A35" s="24" t="s">
        <v>20</v>
      </c>
      <c r="B35" s="25" t="s">
        <v>21</v>
      </c>
      <c r="C35" s="26"/>
      <c r="D35" s="27"/>
      <c r="E35" s="27"/>
      <c r="F35" s="27"/>
      <c r="G35" s="28"/>
      <c r="H35" s="28"/>
      <c r="I35" s="228"/>
      <c r="J35" s="101"/>
      <c r="K35" s="101"/>
      <c r="L35" s="101"/>
      <c r="M35" s="101"/>
      <c r="N35" s="101"/>
      <c r="O35" s="101"/>
      <c r="P35" s="101"/>
      <c r="Q35" s="101"/>
      <c r="R35" s="101"/>
      <c r="S35" s="101"/>
      <c r="T35" s="101"/>
      <c r="U35" s="101"/>
      <c r="V35" s="101"/>
      <c r="W35" s="101"/>
      <c r="X35" s="101"/>
      <c r="Y35" s="415" t="s">
        <v>4</v>
      </c>
      <c r="Z35" s="31" t="s">
        <v>5</v>
      </c>
      <c r="AA35" s="31" t="s">
        <v>181</v>
      </c>
      <c r="AB35" s="31" t="s">
        <v>182</v>
      </c>
      <c r="AC35" s="31" t="s">
        <v>6</v>
      </c>
      <c r="AE35" s="33" t="s">
        <v>181</v>
      </c>
      <c r="AF35" s="33" t="s">
        <v>182</v>
      </c>
      <c r="AG35" s="33" t="s">
        <v>6</v>
      </c>
      <c r="AH35" s="33" t="s">
        <v>4</v>
      </c>
      <c r="AI35" s="34" t="s">
        <v>5</v>
      </c>
      <c r="AK35" s="36" t="s">
        <v>181</v>
      </c>
      <c r="AL35" s="36" t="s">
        <v>182</v>
      </c>
      <c r="AM35" s="36" t="s">
        <v>6</v>
      </c>
      <c r="AN35" s="36" t="s">
        <v>4</v>
      </c>
      <c r="AO35" s="37" t="s">
        <v>5</v>
      </c>
      <c r="AQ35" s="36"/>
      <c r="AR35" s="36"/>
      <c r="AS35" s="36"/>
      <c r="AT35" s="36"/>
      <c r="AU35" s="37"/>
      <c r="AW35" s="38" t="s">
        <v>181</v>
      </c>
      <c r="AX35" s="38" t="s">
        <v>182</v>
      </c>
      <c r="AY35" s="38" t="s">
        <v>6</v>
      </c>
      <c r="AZ35" s="38" t="s">
        <v>4</v>
      </c>
      <c r="BA35" s="39" t="s">
        <v>5</v>
      </c>
    </row>
    <row r="36" spans="1:53" ht="17.100000000000001" customHeight="1" x14ac:dyDescent="0.25">
      <c r="A36" s="119"/>
      <c r="B36" s="41" t="s">
        <v>22</v>
      </c>
      <c r="C36" s="332" t="s">
        <v>23</v>
      </c>
      <c r="D36" s="50"/>
      <c r="E36" s="70"/>
      <c r="F36" s="70"/>
      <c r="G36" s="70"/>
      <c r="H36" s="589">
        <v>9</v>
      </c>
      <c r="J36" s="71"/>
      <c r="K36" s="71"/>
      <c r="L36" s="71"/>
      <c r="M36" s="71"/>
      <c r="N36" s="71"/>
      <c r="O36" s="71"/>
      <c r="P36" s="71"/>
      <c r="Q36" s="71"/>
      <c r="R36" s="71"/>
      <c r="S36" s="71"/>
      <c r="T36" s="71"/>
      <c r="U36" s="71"/>
      <c r="V36" s="355"/>
      <c r="W36" s="377"/>
      <c r="X36" s="71"/>
      <c r="Y36" s="72"/>
      <c r="Z36" s="73"/>
      <c r="AA36" s="73"/>
      <c r="AB36" s="73"/>
      <c r="AC36" s="73"/>
      <c r="AE36" s="71"/>
      <c r="AF36" s="71"/>
      <c r="AG36" s="71"/>
      <c r="AH36" s="72"/>
      <c r="AI36" s="73"/>
      <c r="AJ36" s="117"/>
      <c r="AK36" s="71"/>
      <c r="AL36" s="71"/>
      <c r="AM36" s="71"/>
      <c r="AN36" s="72"/>
      <c r="AO36" s="73"/>
      <c r="AP36" s="117"/>
      <c r="AQ36" s="71"/>
      <c r="AR36" s="71"/>
      <c r="AS36" s="71"/>
      <c r="AT36" s="72"/>
      <c r="AU36" s="73"/>
      <c r="AV36" s="117"/>
      <c r="AW36" s="71"/>
      <c r="AX36" s="71"/>
      <c r="AY36" s="71"/>
      <c r="AZ36" s="273"/>
      <c r="BA36" s="73"/>
    </row>
    <row r="37" spans="1:53" ht="17.100000000000001" customHeight="1" x14ac:dyDescent="0.25">
      <c r="A37" s="119"/>
      <c r="B37" s="647"/>
      <c r="C37" s="103" t="s">
        <v>631</v>
      </c>
      <c r="D37" s="313" t="s">
        <v>658</v>
      </c>
      <c r="E37" s="108"/>
      <c r="F37" s="108"/>
      <c r="G37" s="108"/>
      <c r="H37" s="119"/>
      <c r="J37" s="111"/>
      <c r="K37" s="111"/>
      <c r="L37" s="111"/>
      <c r="M37" s="111"/>
      <c r="N37" s="111"/>
      <c r="O37" s="111"/>
      <c r="P37" s="111"/>
      <c r="Q37" s="111"/>
      <c r="R37" s="111"/>
      <c r="S37" s="111"/>
      <c r="T37" s="111"/>
      <c r="U37" s="111"/>
      <c r="V37" s="358"/>
      <c r="W37" s="380"/>
      <c r="X37" s="111"/>
      <c r="Y37" s="112"/>
      <c r="Z37" s="113"/>
      <c r="AA37" s="113"/>
      <c r="AB37" s="113"/>
      <c r="AC37" s="113"/>
      <c r="AE37" s="111"/>
      <c r="AF37" s="111"/>
      <c r="AG37" s="111"/>
      <c r="AH37" s="112"/>
      <c r="AI37" s="113"/>
      <c r="AJ37" s="117"/>
      <c r="AK37" s="111"/>
      <c r="AL37" s="111"/>
      <c r="AM37" s="111"/>
      <c r="AN37" s="112"/>
      <c r="AO37" s="113"/>
      <c r="AP37" s="117"/>
      <c r="AQ37" s="111"/>
      <c r="AR37" s="111"/>
      <c r="AS37" s="111"/>
      <c r="AT37" s="112"/>
      <c r="AU37" s="113"/>
      <c r="AV37" s="117"/>
      <c r="AW37" s="111"/>
      <c r="AX37" s="111"/>
      <c r="AY37" s="111"/>
      <c r="AZ37" s="114"/>
      <c r="BA37" s="113"/>
    </row>
    <row r="38" spans="1:53" ht="17.100000000000001" customHeight="1" x14ac:dyDescent="0.25">
      <c r="A38" s="47"/>
      <c r="B38" s="55"/>
      <c r="C38" s="56"/>
      <c r="D38" s="120" t="s">
        <v>632</v>
      </c>
      <c r="E38" s="58" t="s">
        <v>659</v>
      </c>
      <c r="F38" s="58"/>
      <c r="G38" s="59"/>
      <c r="H38" s="216"/>
      <c r="I38" s="229"/>
      <c r="J38" s="174"/>
      <c r="K38" s="174"/>
      <c r="L38" s="111"/>
      <c r="M38" s="111"/>
      <c r="N38" s="60"/>
      <c r="O38" s="60">
        <v>1</v>
      </c>
      <c r="P38" s="17">
        <f>SUM(N38:O38)</f>
        <v>1</v>
      </c>
      <c r="Q38" s="60">
        <v>2</v>
      </c>
      <c r="R38" s="60"/>
      <c r="S38" s="17">
        <f>SUM(Q38:R38)</f>
        <v>2</v>
      </c>
      <c r="T38" s="60"/>
      <c r="U38" s="60"/>
      <c r="V38" s="17">
        <f>SUM(T38:U38)</f>
        <v>0</v>
      </c>
      <c r="W38" s="391">
        <f t="shared" ref="W38:W40" si="31">J38+K38+N38+Q38+T38</f>
        <v>2</v>
      </c>
      <c r="X38" s="17">
        <f t="shared" ref="X38:X40" si="32">L38+O38+R38+U38</f>
        <v>1</v>
      </c>
      <c r="Y38" s="18">
        <f>SUM(W38:X38)</f>
        <v>3</v>
      </c>
      <c r="Z38" s="19">
        <f>IF(Y$41=0,0,Y38/Y$41)</f>
        <v>0.1875</v>
      </c>
      <c r="AA38" s="19"/>
      <c r="AB38" s="19"/>
      <c r="AC38" s="20"/>
      <c r="AE38" s="111"/>
      <c r="AF38" s="111"/>
      <c r="AG38" s="111"/>
      <c r="AH38" s="651"/>
      <c r="AI38" s="131"/>
      <c r="AJ38" s="117"/>
      <c r="AK38" s="111"/>
      <c r="AL38" s="111"/>
      <c r="AM38" s="111"/>
      <c r="AN38" s="651"/>
      <c r="AO38" s="131"/>
      <c r="AP38" s="117"/>
      <c r="AQ38" s="17"/>
      <c r="AR38" s="17"/>
      <c r="AS38" s="17"/>
      <c r="AT38" s="18">
        <f>W38</f>
        <v>2</v>
      </c>
      <c r="AU38" s="19">
        <f>IF(AT$41=0,0,AT38/AT$41)</f>
        <v>0.22222222222222221</v>
      </c>
      <c r="AV38" s="117"/>
      <c r="AW38" s="17"/>
      <c r="AX38" s="17"/>
      <c r="AY38" s="17"/>
      <c r="AZ38" s="424">
        <f>X38</f>
        <v>1</v>
      </c>
      <c r="BA38" s="19">
        <f>IF(AZ$41=0,0,AZ38/AZ$41)</f>
        <v>0.14285714285714285</v>
      </c>
    </row>
    <row r="39" spans="1:53" ht="17.100000000000001" customHeight="1" x14ac:dyDescent="0.25">
      <c r="A39" s="47"/>
      <c r="B39" s="55"/>
      <c r="C39" s="56"/>
      <c r="D39" s="120" t="s">
        <v>633</v>
      </c>
      <c r="E39" s="58" t="s">
        <v>634</v>
      </c>
      <c r="F39" s="58"/>
      <c r="G39" s="59"/>
      <c r="H39" s="216"/>
      <c r="I39" s="229"/>
      <c r="J39" s="174"/>
      <c r="K39" s="174"/>
      <c r="L39" s="111"/>
      <c r="M39" s="111"/>
      <c r="N39" s="61">
        <v>3</v>
      </c>
      <c r="O39" s="61">
        <v>5</v>
      </c>
      <c r="P39" s="17">
        <f t="shared" ref="P39:P40" si="33">SUM(N39:O39)</f>
        <v>8</v>
      </c>
      <c r="Q39" s="61">
        <v>4</v>
      </c>
      <c r="R39" s="61">
        <v>1</v>
      </c>
      <c r="S39" s="17">
        <f t="shared" ref="S39:S40" si="34">SUM(Q39:R39)</f>
        <v>5</v>
      </c>
      <c r="T39" s="61"/>
      <c r="U39" s="61"/>
      <c r="V39" s="17">
        <f t="shared" ref="V39:V40" si="35">SUM(T39:U39)</f>
        <v>0</v>
      </c>
      <c r="W39" s="391">
        <f t="shared" si="31"/>
        <v>7</v>
      </c>
      <c r="X39" s="17">
        <f t="shared" si="32"/>
        <v>6</v>
      </c>
      <c r="Y39" s="18">
        <f>SUM(W39:X39)</f>
        <v>13</v>
      </c>
      <c r="Z39" s="19">
        <f>IF(Y$41=0,0,Y39/Y$41)</f>
        <v>0.8125</v>
      </c>
      <c r="AA39" s="19"/>
      <c r="AB39" s="19"/>
      <c r="AC39" s="20"/>
      <c r="AE39" s="111"/>
      <c r="AF39" s="111"/>
      <c r="AG39" s="111"/>
      <c r="AH39" s="651"/>
      <c r="AI39" s="131"/>
      <c r="AJ39" s="117"/>
      <c r="AK39" s="111"/>
      <c r="AL39" s="111"/>
      <c r="AM39" s="111"/>
      <c r="AN39" s="651"/>
      <c r="AO39" s="131"/>
      <c r="AP39" s="117"/>
      <c r="AQ39" s="17"/>
      <c r="AR39" s="17"/>
      <c r="AS39" s="17"/>
      <c r="AT39" s="18">
        <f>W39</f>
        <v>7</v>
      </c>
      <c r="AU39" s="19">
        <f>IF(AT$41=0,0,AT39/AT$41)</f>
        <v>0.77777777777777779</v>
      </c>
      <c r="AV39" s="117"/>
      <c r="AW39" s="17"/>
      <c r="AX39" s="17"/>
      <c r="AY39" s="17"/>
      <c r="AZ39" s="424">
        <f>X39</f>
        <v>6</v>
      </c>
      <c r="BA39" s="19">
        <f>IF(AZ$41=0,0,AZ39/AZ$41)</f>
        <v>0.8571428571428571</v>
      </c>
    </row>
    <row r="40" spans="1:53" ht="17.100000000000001" customHeight="1" x14ac:dyDescent="0.25">
      <c r="A40" s="47"/>
      <c r="B40" s="55"/>
      <c r="C40" s="56"/>
      <c r="D40" s="120" t="s">
        <v>744</v>
      </c>
      <c r="E40" s="58" t="s">
        <v>745</v>
      </c>
      <c r="F40" s="58"/>
      <c r="G40" s="59"/>
      <c r="H40" s="216"/>
      <c r="I40" s="229"/>
      <c r="J40" s="174"/>
      <c r="K40" s="174"/>
      <c r="L40" s="111"/>
      <c r="M40" s="111"/>
      <c r="N40" s="60"/>
      <c r="O40" s="60"/>
      <c r="P40" s="17">
        <f t="shared" si="33"/>
        <v>0</v>
      </c>
      <c r="Q40" s="60"/>
      <c r="R40" s="60"/>
      <c r="S40" s="17">
        <f t="shared" si="34"/>
        <v>0</v>
      </c>
      <c r="T40" s="60"/>
      <c r="U40" s="60"/>
      <c r="V40" s="17">
        <f t="shared" si="35"/>
        <v>0</v>
      </c>
      <c r="W40" s="391">
        <f t="shared" si="31"/>
        <v>0</v>
      </c>
      <c r="X40" s="17">
        <f t="shared" si="32"/>
        <v>0</v>
      </c>
      <c r="Y40" s="18">
        <f>SUM(W40:X40)</f>
        <v>0</v>
      </c>
      <c r="Z40" s="19">
        <f>IF(Y$41=0,0,Y40/Y$41)</f>
        <v>0</v>
      </c>
      <c r="AA40" s="19"/>
      <c r="AB40" s="19"/>
      <c r="AC40" s="20"/>
      <c r="AE40" s="111"/>
      <c r="AF40" s="111"/>
      <c r="AG40" s="111"/>
      <c r="AH40" s="651"/>
      <c r="AI40" s="131"/>
      <c r="AJ40" s="117"/>
      <c r="AK40" s="111"/>
      <c r="AL40" s="111"/>
      <c r="AM40" s="111"/>
      <c r="AN40" s="651"/>
      <c r="AO40" s="131"/>
      <c r="AP40" s="117"/>
      <c r="AQ40" s="17"/>
      <c r="AR40" s="17"/>
      <c r="AS40" s="17"/>
      <c r="AT40" s="18">
        <f>W40</f>
        <v>0</v>
      </c>
      <c r="AU40" s="19">
        <f>IF(AT$41=0,0,AT40/AT$41)</f>
        <v>0</v>
      </c>
      <c r="AV40" s="117"/>
      <c r="AW40" s="17"/>
      <c r="AX40" s="17"/>
      <c r="AY40" s="17"/>
      <c r="AZ40" s="424">
        <f>X40</f>
        <v>0</v>
      </c>
      <c r="BA40" s="19">
        <f>IF(AZ$41=0,0,AZ40/AZ$41)</f>
        <v>0</v>
      </c>
    </row>
    <row r="41" spans="1:53" ht="17.100000000000001" customHeight="1" x14ac:dyDescent="0.25">
      <c r="A41" s="40"/>
      <c r="B41" s="40"/>
      <c r="C41" s="77"/>
      <c r="D41" s="78"/>
      <c r="E41" s="78"/>
      <c r="F41" s="78"/>
      <c r="G41" s="78"/>
      <c r="H41" s="242"/>
      <c r="I41" s="230"/>
      <c r="J41" s="80"/>
      <c r="K41" s="80"/>
      <c r="L41" s="80"/>
      <c r="M41" s="80"/>
      <c r="N41" s="64">
        <f>SUM(N38:N40)</f>
        <v>3</v>
      </c>
      <c r="O41" s="64">
        <f t="shared" ref="O41:V41" si="36">SUM(O38:O40)</f>
        <v>6</v>
      </c>
      <c r="P41" s="64">
        <f t="shared" si="36"/>
        <v>9</v>
      </c>
      <c r="Q41" s="64">
        <f t="shared" si="36"/>
        <v>6</v>
      </c>
      <c r="R41" s="64">
        <f t="shared" si="36"/>
        <v>1</v>
      </c>
      <c r="S41" s="64">
        <f t="shared" si="36"/>
        <v>7</v>
      </c>
      <c r="T41" s="64">
        <f t="shared" si="36"/>
        <v>0</v>
      </c>
      <c r="U41" s="64">
        <f t="shared" si="36"/>
        <v>0</v>
      </c>
      <c r="V41" s="64">
        <f t="shared" si="36"/>
        <v>0</v>
      </c>
      <c r="W41" s="381">
        <f>SUM(W38:W40)</f>
        <v>9</v>
      </c>
      <c r="X41" s="82">
        <f t="shared" ref="X41:Y41" si="37">SUM(X38:X40)</f>
        <v>7</v>
      </c>
      <c r="Y41" s="82">
        <f t="shared" si="37"/>
        <v>16</v>
      </c>
      <c r="Z41" s="205">
        <f>IF(Y$41=0,0,Y41/Y$41)</f>
        <v>1</v>
      </c>
      <c r="AA41" s="205"/>
      <c r="AB41" s="205"/>
      <c r="AC41" s="83"/>
      <c r="AE41" s="81"/>
      <c r="AF41" s="81"/>
      <c r="AG41" s="81"/>
      <c r="AH41" s="82"/>
      <c r="AI41" s="66"/>
      <c r="AJ41" s="117"/>
      <c r="AK41" s="81"/>
      <c r="AL41" s="81"/>
      <c r="AM41" s="81"/>
      <c r="AN41" s="82"/>
      <c r="AO41" s="66"/>
      <c r="AP41" s="117"/>
      <c r="AQ41" s="81"/>
      <c r="AR41" s="81"/>
      <c r="AS41" s="81"/>
      <c r="AT41" s="82">
        <f>SUM(AT38:AT40)</f>
        <v>9</v>
      </c>
      <c r="AU41" s="66">
        <f>IF(AT$41=0,0,AT41/AT$41)</f>
        <v>1</v>
      </c>
      <c r="AV41" s="117"/>
      <c r="AW41" s="81"/>
      <c r="AX41" s="81"/>
      <c r="AY41" s="81"/>
      <c r="AZ41" s="82">
        <f>SUM(AZ38:AZ40)</f>
        <v>7</v>
      </c>
      <c r="BA41" s="66">
        <f>IF(AZ$41=0,0,AZ41/AZ$41)</f>
        <v>1</v>
      </c>
    </row>
    <row r="42" spans="1:53" s="117" customFormat="1" ht="17.100000000000001" customHeight="1" x14ac:dyDescent="0.25">
      <c r="A42" s="119"/>
      <c r="B42" s="119"/>
      <c r="C42" s="647"/>
      <c r="D42" s="212"/>
      <c r="E42" s="212"/>
      <c r="F42" s="212"/>
      <c r="G42" s="212"/>
      <c r="H42" s="242"/>
      <c r="I42" s="230"/>
      <c r="J42" s="17"/>
      <c r="K42" s="17"/>
      <c r="L42" s="17"/>
      <c r="M42" s="17"/>
      <c r="N42" s="17" t="str">
        <f>IF(N41=N$20,"OK","NOK")</f>
        <v>OK</v>
      </c>
      <c r="O42" s="17" t="str">
        <f>IF(O41=O$20,"OK","NOK")</f>
        <v>OK</v>
      </c>
      <c r="P42" s="17"/>
      <c r="Q42" s="17" t="str">
        <f>IF(Q41=Q$20,"OK","NOK")</f>
        <v>OK</v>
      </c>
      <c r="R42" s="17" t="str">
        <f>IF(R41=R$20,"OK","NOK")</f>
        <v>OK</v>
      </c>
      <c r="S42" s="17"/>
      <c r="T42" s="17" t="str">
        <f>IF(T41=T$20,"OK","NOK")</f>
        <v>OK</v>
      </c>
      <c r="U42" s="17" t="str">
        <f>IF(U41=U$20,"OK","NOK")</f>
        <v>OK</v>
      </c>
      <c r="V42" s="359"/>
      <c r="W42" s="395">
        <f>IF($Y$41=0,0,W41/$Y$41)</f>
        <v>0.5625</v>
      </c>
      <c r="X42" s="91">
        <f>IF($Y$41=0,0,X41/$Y$41)</f>
        <v>0.4375</v>
      </c>
      <c r="Y42" s="91">
        <f>IF($Y$41=0,0,Y41/$Y$41)</f>
        <v>1</v>
      </c>
      <c r="Z42" s="201"/>
      <c r="AA42" s="201"/>
      <c r="AB42" s="201"/>
      <c r="AC42" s="84"/>
      <c r="AE42" s="17"/>
      <c r="AF42" s="17"/>
      <c r="AG42" s="17"/>
      <c r="AH42" s="646"/>
      <c r="AI42" s="91"/>
      <c r="AK42" s="17"/>
      <c r="AL42" s="17"/>
      <c r="AM42" s="17"/>
      <c r="AN42" s="646"/>
      <c r="AO42" s="91"/>
      <c r="AQ42" s="17"/>
      <c r="AR42" s="17"/>
      <c r="AS42" s="17"/>
      <c r="AT42" s="646"/>
      <c r="AU42" s="91"/>
      <c r="AW42" s="17"/>
      <c r="AX42" s="17"/>
      <c r="AY42" s="17"/>
      <c r="AZ42" s="17"/>
      <c r="BA42" s="91"/>
    </row>
    <row r="43" spans="1:53" ht="17.100000000000001" customHeight="1" x14ac:dyDescent="0.25">
      <c r="A43" s="68"/>
      <c r="B43" s="647"/>
      <c r="C43" s="103" t="s">
        <v>24</v>
      </c>
      <c r="D43" s="110" t="s">
        <v>373</v>
      </c>
      <c r="E43" s="108"/>
      <c r="F43" s="108"/>
      <c r="G43" s="108"/>
      <c r="H43" s="119"/>
      <c r="J43" s="111"/>
      <c r="K43" s="111"/>
      <c r="L43" s="111"/>
      <c r="M43" s="111"/>
      <c r="N43" s="111"/>
      <c r="O43" s="111"/>
      <c r="P43" s="111"/>
      <c r="Q43" s="111"/>
      <c r="R43" s="111"/>
      <c r="S43" s="111"/>
      <c r="T43" s="111"/>
      <c r="U43" s="111"/>
      <c r="V43" s="111"/>
      <c r="W43" s="111"/>
      <c r="X43" s="111"/>
      <c r="Y43" s="111"/>
      <c r="Z43" s="113"/>
      <c r="AA43" s="113"/>
      <c r="AB43" s="113"/>
      <c r="AC43" s="113"/>
      <c r="AE43" s="111"/>
      <c r="AF43" s="111"/>
      <c r="AG43" s="111"/>
      <c r="AH43" s="112"/>
      <c r="AI43" s="113"/>
      <c r="AK43" s="111"/>
      <c r="AL43" s="111"/>
      <c r="AM43" s="111"/>
      <c r="AN43" s="112"/>
      <c r="AO43" s="113"/>
      <c r="AQ43" s="111"/>
      <c r="AR43" s="111"/>
      <c r="AS43" s="111"/>
      <c r="AT43" s="112"/>
      <c r="AU43" s="113"/>
      <c r="AW43" s="111"/>
      <c r="AX43" s="111"/>
      <c r="AY43" s="111"/>
      <c r="AZ43" s="114"/>
      <c r="BA43" s="113"/>
    </row>
    <row r="44" spans="1:53" ht="17.100000000000001" customHeight="1" x14ac:dyDescent="0.25">
      <c r="A44" s="68"/>
      <c r="B44" s="647"/>
      <c r="C44" s="23"/>
      <c r="D44" s="202" t="s">
        <v>25</v>
      </c>
      <c r="E44" s="85" t="s">
        <v>384</v>
      </c>
      <c r="F44" s="75"/>
      <c r="G44" s="75"/>
      <c r="H44" s="119"/>
      <c r="J44" s="581"/>
      <c r="K44" s="581"/>
      <c r="L44" s="582"/>
      <c r="M44" s="593">
        <f>SUM(J44:L44)</f>
        <v>0</v>
      </c>
      <c r="N44" s="111"/>
      <c r="O44" s="111"/>
      <c r="P44" s="111"/>
      <c r="Q44" s="111"/>
      <c r="R44" s="111"/>
      <c r="S44" s="111"/>
      <c r="T44" s="111"/>
      <c r="U44" s="111"/>
      <c r="V44" s="111"/>
      <c r="W44" s="391">
        <f t="shared" ref="W44:W57" si="38">J44+K44+N44+Q44+T44</f>
        <v>0</v>
      </c>
      <c r="X44" s="17">
        <f t="shared" ref="X44:X57" si="39">L44+O44+R44+U44</f>
        <v>0</v>
      </c>
      <c r="Y44" s="18">
        <f t="shared" ref="Y44:Y57" si="40">SUM(W44:X44)</f>
        <v>0</v>
      </c>
      <c r="Z44" s="19">
        <f>IF(Y$58=0,0,Y44/Y$58)</f>
        <v>0</v>
      </c>
      <c r="AA44" s="19"/>
      <c r="AB44" s="19"/>
      <c r="AC44" s="84"/>
      <c r="AE44" s="17"/>
      <c r="AF44" s="17"/>
      <c r="AG44" s="17"/>
      <c r="AH44" s="18">
        <f>J44</f>
        <v>0</v>
      </c>
      <c r="AI44" s="19">
        <f>IF(AH$58=0,0,AH44/AH$58)</f>
        <v>0</v>
      </c>
      <c r="AK44" s="17"/>
      <c r="AL44" s="17"/>
      <c r="AM44" s="17"/>
      <c r="AN44" s="18">
        <f>K44</f>
        <v>0</v>
      </c>
      <c r="AO44" s="19">
        <f>IF(AN$58=0,0,AN44/AN$58)</f>
        <v>0</v>
      </c>
      <c r="AQ44" s="17"/>
      <c r="AR44" s="17"/>
      <c r="AS44" s="17"/>
      <c r="AT44" s="18">
        <f t="shared" ref="AT44:AT57" si="41">W44</f>
        <v>0</v>
      </c>
      <c r="AU44" s="19">
        <f>IF(AT$58=0,0,AT44/AT$58)</f>
        <v>0</v>
      </c>
      <c r="AW44" s="17"/>
      <c r="AX44" s="17"/>
      <c r="AY44" s="17"/>
      <c r="AZ44" s="424">
        <f>X44</f>
        <v>0</v>
      </c>
      <c r="BA44" s="19">
        <f>IF(AZ$58=0,0,AZ44/AZ$58)</f>
        <v>0</v>
      </c>
    </row>
    <row r="45" spans="1:53" ht="17.100000000000001" customHeight="1" x14ac:dyDescent="0.25">
      <c r="A45" s="68"/>
      <c r="B45" s="647"/>
      <c r="C45" s="23"/>
      <c r="D45" s="202" t="s">
        <v>27</v>
      </c>
      <c r="E45" s="85" t="s">
        <v>385</v>
      </c>
      <c r="F45" s="75"/>
      <c r="G45" s="75"/>
      <c r="H45" s="119"/>
      <c r="J45" s="583"/>
      <c r="K45" s="583"/>
      <c r="L45" s="584"/>
      <c r="M45" s="593">
        <f t="shared" ref="M45:M57" si="42">SUM(J45:L45)</f>
        <v>0</v>
      </c>
      <c r="N45" s="111"/>
      <c r="O45" s="111"/>
      <c r="P45" s="111"/>
      <c r="Q45" s="111"/>
      <c r="R45" s="111"/>
      <c r="S45" s="111"/>
      <c r="T45" s="111"/>
      <c r="U45" s="111"/>
      <c r="V45" s="111"/>
      <c r="W45" s="391">
        <f t="shared" si="38"/>
        <v>0</v>
      </c>
      <c r="X45" s="17">
        <f t="shared" si="39"/>
        <v>0</v>
      </c>
      <c r="Y45" s="18">
        <f t="shared" si="40"/>
        <v>0</v>
      </c>
      <c r="Z45" s="19">
        <f t="shared" ref="Z45:Z58" si="43">IF(Y$58=0,0,Y45/Y$58)</f>
        <v>0</v>
      </c>
      <c r="AA45" s="19"/>
      <c r="AB45" s="19"/>
      <c r="AC45" s="84"/>
      <c r="AE45" s="17"/>
      <c r="AF45" s="17"/>
      <c r="AG45" s="17"/>
      <c r="AH45" s="18">
        <f t="shared" ref="AH45:AH57" si="44">J45</f>
        <v>0</v>
      </c>
      <c r="AI45" s="19">
        <f t="shared" ref="AI45:AI58" si="45">IF(AH$58=0,0,AH45/AH$58)</f>
        <v>0</v>
      </c>
      <c r="AK45" s="17"/>
      <c r="AL45" s="17"/>
      <c r="AM45" s="17"/>
      <c r="AN45" s="18">
        <f t="shared" ref="AN45:AN57" si="46">K45</f>
        <v>0</v>
      </c>
      <c r="AO45" s="19">
        <f t="shared" ref="AO45:AO58" si="47">IF(AN$58=0,0,AN45/AN$58)</f>
        <v>0</v>
      </c>
      <c r="AQ45" s="17"/>
      <c r="AR45" s="17"/>
      <c r="AS45" s="17"/>
      <c r="AT45" s="18">
        <f t="shared" si="41"/>
        <v>0</v>
      </c>
      <c r="AU45" s="19">
        <f t="shared" ref="AU45:AU58" si="48">IF(AT$58=0,0,AT45/AT$58)</f>
        <v>0</v>
      </c>
      <c r="AW45" s="17"/>
      <c r="AX45" s="17"/>
      <c r="AY45" s="17"/>
      <c r="AZ45" s="424">
        <f t="shared" ref="AZ45:AZ57" si="49">X45</f>
        <v>0</v>
      </c>
      <c r="BA45" s="19">
        <f t="shared" ref="BA45:BA58" si="50">IF(AZ$58=0,0,AZ45/AZ$58)</f>
        <v>0</v>
      </c>
    </row>
    <row r="46" spans="1:53" ht="17.100000000000001" customHeight="1" x14ac:dyDescent="0.25">
      <c r="A46" s="68"/>
      <c r="B46" s="647"/>
      <c r="C46" s="23"/>
      <c r="D46" s="202" t="s">
        <v>29</v>
      </c>
      <c r="E46" s="85" t="s">
        <v>386</v>
      </c>
      <c r="F46" s="75"/>
      <c r="G46" s="75"/>
      <c r="H46" s="119"/>
      <c r="J46" s="581"/>
      <c r="K46" s="581"/>
      <c r="L46" s="582"/>
      <c r="M46" s="593">
        <f t="shared" si="42"/>
        <v>0</v>
      </c>
      <c r="N46" s="111"/>
      <c r="O46" s="111"/>
      <c r="P46" s="111"/>
      <c r="Q46" s="111"/>
      <c r="R46" s="111"/>
      <c r="S46" s="111"/>
      <c r="T46" s="111"/>
      <c r="U46" s="111"/>
      <c r="V46" s="111"/>
      <c r="W46" s="391">
        <f t="shared" si="38"/>
        <v>0</v>
      </c>
      <c r="X46" s="17">
        <f t="shared" si="39"/>
        <v>0</v>
      </c>
      <c r="Y46" s="18">
        <f t="shared" si="40"/>
        <v>0</v>
      </c>
      <c r="Z46" s="19">
        <f t="shared" si="43"/>
        <v>0</v>
      </c>
      <c r="AA46" s="19"/>
      <c r="AB46" s="19"/>
      <c r="AC46" s="84"/>
      <c r="AE46" s="17"/>
      <c r="AF46" s="17"/>
      <c r="AG46" s="17"/>
      <c r="AH46" s="18">
        <f t="shared" si="44"/>
        <v>0</v>
      </c>
      <c r="AI46" s="19">
        <f t="shared" si="45"/>
        <v>0</v>
      </c>
      <c r="AK46" s="17"/>
      <c r="AL46" s="17"/>
      <c r="AM46" s="17"/>
      <c r="AN46" s="18">
        <f t="shared" si="46"/>
        <v>0</v>
      </c>
      <c r="AO46" s="19">
        <f t="shared" si="47"/>
        <v>0</v>
      </c>
      <c r="AQ46" s="17"/>
      <c r="AR46" s="17"/>
      <c r="AS46" s="17"/>
      <c r="AT46" s="18">
        <f t="shared" si="41"/>
        <v>0</v>
      </c>
      <c r="AU46" s="19">
        <f t="shared" si="48"/>
        <v>0</v>
      </c>
      <c r="AW46" s="17"/>
      <c r="AX46" s="17"/>
      <c r="AY46" s="17"/>
      <c r="AZ46" s="424">
        <f t="shared" si="49"/>
        <v>0</v>
      </c>
      <c r="BA46" s="19">
        <f t="shared" si="50"/>
        <v>0</v>
      </c>
    </row>
    <row r="47" spans="1:53" ht="17.100000000000001" customHeight="1" x14ac:dyDescent="0.25">
      <c r="A47" s="68"/>
      <c r="B47" s="647"/>
      <c r="C47" s="23"/>
      <c r="D47" s="202" t="s">
        <v>31</v>
      </c>
      <c r="E47" s="85" t="s">
        <v>533</v>
      </c>
      <c r="F47" s="75"/>
      <c r="G47" s="75"/>
      <c r="H47" s="119"/>
      <c r="J47" s="583"/>
      <c r="K47" s="583"/>
      <c r="L47" s="584"/>
      <c r="M47" s="593">
        <f t="shared" si="42"/>
        <v>0</v>
      </c>
      <c r="N47" s="111"/>
      <c r="O47" s="111"/>
      <c r="P47" s="111"/>
      <c r="Q47" s="111"/>
      <c r="R47" s="111"/>
      <c r="S47" s="111"/>
      <c r="T47" s="111"/>
      <c r="U47" s="111"/>
      <c r="V47" s="111"/>
      <c r="W47" s="391">
        <f t="shared" si="38"/>
        <v>0</v>
      </c>
      <c r="X47" s="17">
        <f t="shared" si="39"/>
        <v>0</v>
      </c>
      <c r="Y47" s="18">
        <f t="shared" si="40"/>
        <v>0</v>
      </c>
      <c r="Z47" s="19">
        <f t="shared" si="43"/>
        <v>0</v>
      </c>
      <c r="AA47" s="19"/>
      <c r="AB47" s="19"/>
      <c r="AC47" s="84"/>
      <c r="AE47" s="17"/>
      <c r="AF47" s="17"/>
      <c r="AG47" s="17"/>
      <c r="AH47" s="18">
        <f t="shared" si="44"/>
        <v>0</v>
      </c>
      <c r="AI47" s="19">
        <f t="shared" si="45"/>
        <v>0</v>
      </c>
      <c r="AK47" s="17"/>
      <c r="AL47" s="17"/>
      <c r="AM47" s="17"/>
      <c r="AN47" s="18">
        <f t="shared" si="46"/>
        <v>0</v>
      </c>
      <c r="AO47" s="19">
        <f t="shared" si="47"/>
        <v>0</v>
      </c>
      <c r="AQ47" s="17"/>
      <c r="AR47" s="17"/>
      <c r="AS47" s="17"/>
      <c r="AT47" s="18">
        <f t="shared" si="41"/>
        <v>0</v>
      </c>
      <c r="AU47" s="19">
        <f t="shared" si="48"/>
        <v>0</v>
      </c>
      <c r="AW47" s="17"/>
      <c r="AX47" s="17"/>
      <c r="AY47" s="17"/>
      <c r="AZ47" s="424">
        <f t="shared" si="49"/>
        <v>0</v>
      </c>
      <c r="BA47" s="19">
        <f t="shared" si="50"/>
        <v>0</v>
      </c>
    </row>
    <row r="48" spans="1:53" ht="17.100000000000001" customHeight="1" x14ac:dyDescent="0.25">
      <c r="A48" s="68"/>
      <c r="B48" s="647"/>
      <c r="C48" s="93"/>
      <c r="D48" s="202" t="s">
        <v>374</v>
      </c>
      <c r="E48" s="85" t="s">
        <v>534</v>
      </c>
      <c r="F48" s="75"/>
      <c r="G48" s="75"/>
      <c r="H48" s="119"/>
      <c r="J48" s="581"/>
      <c r="K48" s="581"/>
      <c r="L48" s="582"/>
      <c r="M48" s="593">
        <f t="shared" si="42"/>
        <v>0</v>
      </c>
      <c r="N48" s="111"/>
      <c r="O48" s="111"/>
      <c r="P48" s="111"/>
      <c r="Q48" s="111"/>
      <c r="R48" s="111"/>
      <c r="S48" s="111"/>
      <c r="T48" s="111"/>
      <c r="U48" s="111"/>
      <c r="V48" s="111"/>
      <c r="W48" s="391">
        <f t="shared" si="38"/>
        <v>0</v>
      </c>
      <c r="X48" s="17">
        <f t="shared" si="39"/>
        <v>0</v>
      </c>
      <c r="Y48" s="18">
        <f t="shared" si="40"/>
        <v>0</v>
      </c>
      <c r="Z48" s="19">
        <f t="shared" si="43"/>
        <v>0</v>
      </c>
      <c r="AA48" s="19"/>
      <c r="AB48" s="19"/>
      <c r="AC48" s="84"/>
      <c r="AE48" s="17"/>
      <c r="AF48" s="17"/>
      <c r="AG48" s="17"/>
      <c r="AH48" s="18">
        <f t="shared" si="44"/>
        <v>0</v>
      </c>
      <c r="AI48" s="19">
        <f t="shared" si="45"/>
        <v>0</v>
      </c>
      <c r="AK48" s="17"/>
      <c r="AL48" s="17"/>
      <c r="AM48" s="17"/>
      <c r="AN48" s="18">
        <f t="shared" si="46"/>
        <v>0</v>
      </c>
      <c r="AO48" s="19">
        <f t="shared" si="47"/>
        <v>0</v>
      </c>
      <c r="AQ48" s="17"/>
      <c r="AR48" s="17"/>
      <c r="AS48" s="17"/>
      <c r="AT48" s="18">
        <f t="shared" si="41"/>
        <v>0</v>
      </c>
      <c r="AU48" s="19">
        <f t="shared" si="48"/>
        <v>0</v>
      </c>
      <c r="AW48" s="17"/>
      <c r="AX48" s="17"/>
      <c r="AY48" s="17"/>
      <c r="AZ48" s="424">
        <f t="shared" si="49"/>
        <v>0</v>
      </c>
      <c r="BA48" s="19">
        <f t="shared" si="50"/>
        <v>0</v>
      </c>
    </row>
    <row r="49" spans="1:53" ht="17.100000000000001" customHeight="1" x14ac:dyDescent="0.25">
      <c r="A49" s="68"/>
      <c r="B49" s="647"/>
      <c r="C49" s="93"/>
      <c r="D49" s="202" t="s">
        <v>375</v>
      </c>
      <c r="E49" s="85" t="s">
        <v>535</v>
      </c>
      <c r="F49" s="75"/>
      <c r="G49" s="75"/>
      <c r="H49" s="119"/>
      <c r="J49" s="583"/>
      <c r="K49" s="583"/>
      <c r="L49" s="584"/>
      <c r="M49" s="593">
        <f t="shared" si="42"/>
        <v>0</v>
      </c>
      <c r="N49" s="111"/>
      <c r="O49" s="111"/>
      <c r="P49" s="111"/>
      <c r="Q49" s="111"/>
      <c r="R49" s="111"/>
      <c r="S49" s="111"/>
      <c r="T49" s="111"/>
      <c r="U49" s="111"/>
      <c r="V49" s="111"/>
      <c r="W49" s="391">
        <f t="shared" si="38"/>
        <v>0</v>
      </c>
      <c r="X49" s="17">
        <f t="shared" si="39"/>
        <v>0</v>
      </c>
      <c r="Y49" s="18">
        <f t="shared" si="40"/>
        <v>0</v>
      </c>
      <c r="Z49" s="19">
        <f t="shared" si="43"/>
        <v>0</v>
      </c>
      <c r="AA49" s="19"/>
      <c r="AB49" s="19"/>
      <c r="AC49" s="84"/>
      <c r="AE49" s="17"/>
      <c r="AF49" s="17"/>
      <c r="AG49" s="17"/>
      <c r="AH49" s="18">
        <f t="shared" si="44"/>
        <v>0</v>
      </c>
      <c r="AI49" s="19">
        <f t="shared" si="45"/>
        <v>0</v>
      </c>
      <c r="AK49" s="17"/>
      <c r="AL49" s="17"/>
      <c r="AM49" s="17"/>
      <c r="AN49" s="18">
        <f t="shared" si="46"/>
        <v>0</v>
      </c>
      <c r="AO49" s="19">
        <f t="shared" si="47"/>
        <v>0</v>
      </c>
      <c r="AQ49" s="17"/>
      <c r="AR49" s="17"/>
      <c r="AS49" s="17"/>
      <c r="AT49" s="18">
        <f t="shared" si="41"/>
        <v>0</v>
      </c>
      <c r="AU49" s="19">
        <f t="shared" si="48"/>
        <v>0</v>
      </c>
      <c r="AW49" s="17"/>
      <c r="AX49" s="17"/>
      <c r="AY49" s="17"/>
      <c r="AZ49" s="424">
        <f t="shared" si="49"/>
        <v>0</v>
      </c>
      <c r="BA49" s="19">
        <f t="shared" si="50"/>
        <v>0</v>
      </c>
    </row>
    <row r="50" spans="1:53" ht="17.100000000000001" customHeight="1" x14ac:dyDescent="0.25">
      <c r="A50" s="68"/>
      <c r="B50" s="647"/>
      <c r="C50" s="93"/>
      <c r="D50" s="202" t="s">
        <v>376</v>
      </c>
      <c r="E50" s="85" t="s">
        <v>387</v>
      </c>
      <c r="F50" s="75"/>
      <c r="G50" s="75"/>
      <c r="H50" s="119"/>
      <c r="J50" s="581"/>
      <c r="K50" s="581"/>
      <c r="L50" s="582"/>
      <c r="M50" s="593">
        <f t="shared" si="42"/>
        <v>0</v>
      </c>
      <c r="N50" s="111"/>
      <c r="O50" s="111"/>
      <c r="P50" s="111"/>
      <c r="Q50" s="111"/>
      <c r="R50" s="111"/>
      <c r="S50" s="111"/>
      <c r="T50" s="111"/>
      <c r="U50" s="111"/>
      <c r="V50" s="111"/>
      <c r="W50" s="391">
        <f t="shared" si="38"/>
        <v>0</v>
      </c>
      <c r="X50" s="17">
        <f t="shared" si="39"/>
        <v>0</v>
      </c>
      <c r="Y50" s="18">
        <f t="shared" si="40"/>
        <v>0</v>
      </c>
      <c r="Z50" s="19">
        <f t="shared" si="43"/>
        <v>0</v>
      </c>
      <c r="AA50" s="19"/>
      <c r="AB50" s="19"/>
      <c r="AC50" s="84"/>
      <c r="AE50" s="17"/>
      <c r="AF50" s="17"/>
      <c r="AG50" s="17"/>
      <c r="AH50" s="18">
        <f t="shared" si="44"/>
        <v>0</v>
      </c>
      <c r="AI50" s="19">
        <f t="shared" si="45"/>
        <v>0</v>
      </c>
      <c r="AK50" s="17"/>
      <c r="AL50" s="17"/>
      <c r="AM50" s="17"/>
      <c r="AN50" s="18">
        <f t="shared" si="46"/>
        <v>0</v>
      </c>
      <c r="AO50" s="19">
        <f t="shared" si="47"/>
        <v>0</v>
      </c>
      <c r="AQ50" s="17"/>
      <c r="AR50" s="17"/>
      <c r="AS50" s="17"/>
      <c r="AT50" s="18">
        <f t="shared" si="41"/>
        <v>0</v>
      </c>
      <c r="AU50" s="19">
        <f t="shared" si="48"/>
        <v>0</v>
      </c>
      <c r="AW50" s="17"/>
      <c r="AX50" s="17"/>
      <c r="AY50" s="17"/>
      <c r="AZ50" s="424">
        <f t="shared" si="49"/>
        <v>0</v>
      </c>
      <c r="BA50" s="19">
        <f t="shared" si="50"/>
        <v>0</v>
      </c>
    </row>
    <row r="51" spans="1:53" ht="17.100000000000001" customHeight="1" x14ac:dyDescent="0.25">
      <c r="A51" s="68"/>
      <c r="B51" s="647"/>
      <c r="C51" s="93"/>
      <c r="D51" s="202" t="s">
        <v>377</v>
      </c>
      <c r="E51" s="85" t="s">
        <v>388</v>
      </c>
      <c r="F51" s="75"/>
      <c r="G51" s="75"/>
      <c r="H51" s="119"/>
      <c r="J51" s="583"/>
      <c r="K51" s="583"/>
      <c r="L51" s="584"/>
      <c r="M51" s="593">
        <f t="shared" si="42"/>
        <v>0</v>
      </c>
      <c r="N51" s="111"/>
      <c r="O51" s="111"/>
      <c r="P51" s="111"/>
      <c r="Q51" s="111"/>
      <c r="R51" s="111"/>
      <c r="S51" s="111"/>
      <c r="T51" s="111"/>
      <c r="U51" s="111"/>
      <c r="V51" s="111"/>
      <c r="W51" s="391">
        <f t="shared" si="38"/>
        <v>0</v>
      </c>
      <c r="X51" s="17">
        <f t="shared" si="39"/>
        <v>0</v>
      </c>
      <c r="Y51" s="18">
        <f t="shared" si="40"/>
        <v>0</v>
      </c>
      <c r="Z51" s="19">
        <f t="shared" si="43"/>
        <v>0</v>
      </c>
      <c r="AA51" s="19"/>
      <c r="AB51" s="19"/>
      <c r="AC51" s="84"/>
      <c r="AE51" s="17"/>
      <c r="AF51" s="17"/>
      <c r="AG51" s="17"/>
      <c r="AH51" s="18">
        <f t="shared" si="44"/>
        <v>0</v>
      </c>
      <c r="AI51" s="19">
        <f t="shared" si="45"/>
        <v>0</v>
      </c>
      <c r="AK51" s="17"/>
      <c r="AL51" s="17"/>
      <c r="AM51" s="17"/>
      <c r="AN51" s="18">
        <f t="shared" si="46"/>
        <v>0</v>
      </c>
      <c r="AO51" s="19">
        <f t="shared" si="47"/>
        <v>0</v>
      </c>
      <c r="AQ51" s="17"/>
      <c r="AR51" s="17"/>
      <c r="AS51" s="17"/>
      <c r="AT51" s="18">
        <f t="shared" si="41"/>
        <v>0</v>
      </c>
      <c r="AU51" s="19">
        <f t="shared" si="48"/>
        <v>0</v>
      </c>
      <c r="AW51" s="17"/>
      <c r="AX51" s="17"/>
      <c r="AY51" s="17"/>
      <c r="AZ51" s="424">
        <f t="shared" si="49"/>
        <v>0</v>
      </c>
      <c r="BA51" s="19">
        <f t="shared" si="50"/>
        <v>0</v>
      </c>
    </row>
    <row r="52" spans="1:53" ht="17.100000000000001" customHeight="1" x14ac:dyDescent="0.25">
      <c r="A52" s="68"/>
      <c r="B52" s="647"/>
      <c r="C52" s="93"/>
      <c r="D52" s="202" t="s">
        <v>378</v>
      </c>
      <c r="E52" s="85" t="s">
        <v>532</v>
      </c>
      <c r="F52" s="75"/>
      <c r="G52" s="75"/>
      <c r="H52" s="119"/>
      <c r="J52" s="581"/>
      <c r="K52" s="581"/>
      <c r="L52" s="582"/>
      <c r="M52" s="593">
        <f t="shared" si="42"/>
        <v>0</v>
      </c>
      <c r="N52" s="111"/>
      <c r="O52" s="111"/>
      <c r="P52" s="111"/>
      <c r="Q52" s="111"/>
      <c r="R52" s="111"/>
      <c r="S52" s="111"/>
      <c r="T52" s="111"/>
      <c r="U52" s="111"/>
      <c r="V52" s="111"/>
      <c r="W52" s="391">
        <f t="shared" si="38"/>
        <v>0</v>
      </c>
      <c r="X52" s="17">
        <f t="shared" si="39"/>
        <v>0</v>
      </c>
      <c r="Y52" s="18">
        <f t="shared" si="40"/>
        <v>0</v>
      </c>
      <c r="Z52" s="19">
        <f t="shared" si="43"/>
        <v>0</v>
      </c>
      <c r="AA52" s="19"/>
      <c r="AB52" s="19"/>
      <c r="AC52" s="84"/>
      <c r="AE52" s="17"/>
      <c r="AF52" s="17"/>
      <c r="AG52" s="17"/>
      <c r="AH52" s="18">
        <f t="shared" si="44"/>
        <v>0</v>
      </c>
      <c r="AI52" s="19">
        <f t="shared" si="45"/>
        <v>0</v>
      </c>
      <c r="AK52" s="17"/>
      <c r="AL52" s="17"/>
      <c r="AM52" s="17"/>
      <c r="AN52" s="18">
        <f t="shared" si="46"/>
        <v>0</v>
      </c>
      <c r="AO52" s="19">
        <f t="shared" si="47"/>
        <v>0</v>
      </c>
      <c r="AQ52" s="17"/>
      <c r="AR52" s="17"/>
      <c r="AS52" s="17"/>
      <c r="AT52" s="18">
        <f t="shared" si="41"/>
        <v>0</v>
      </c>
      <c r="AU52" s="19">
        <f t="shared" si="48"/>
        <v>0</v>
      </c>
      <c r="AW52" s="17"/>
      <c r="AX52" s="17"/>
      <c r="AY52" s="17"/>
      <c r="AZ52" s="424">
        <f t="shared" si="49"/>
        <v>0</v>
      </c>
      <c r="BA52" s="19">
        <f t="shared" si="50"/>
        <v>0</v>
      </c>
    </row>
    <row r="53" spans="1:53" ht="17.100000000000001" customHeight="1" x14ac:dyDescent="0.25">
      <c r="A53" s="68"/>
      <c r="B53" s="647"/>
      <c r="C53" s="93"/>
      <c r="D53" s="202" t="s">
        <v>379</v>
      </c>
      <c r="E53" s="85" t="s">
        <v>389</v>
      </c>
      <c r="F53" s="75"/>
      <c r="G53" s="105"/>
      <c r="H53" s="119"/>
      <c r="J53" s="583"/>
      <c r="K53" s="583"/>
      <c r="L53" s="584"/>
      <c r="M53" s="593">
        <f t="shared" si="42"/>
        <v>0</v>
      </c>
      <c r="N53" s="111"/>
      <c r="O53" s="111"/>
      <c r="P53" s="111"/>
      <c r="Q53" s="111"/>
      <c r="R53" s="111"/>
      <c r="S53" s="111"/>
      <c r="T53" s="111"/>
      <c r="U53" s="111"/>
      <c r="V53" s="111"/>
      <c r="W53" s="391">
        <f t="shared" si="38"/>
        <v>0</v>
      </c>
      <c r="X53" s="17">
        <f t="shared" si="39"/>
        <v>0</v>
      </c>
      <c r="Y53" s="18">
        <f t="shared" si="40"/>
        <v>0</v>
      </c>
      <c r="Z53" s="19">
        <f t="shared" si="43"/>
        <v>0</v>
      </c>
      <c r="AA53" s="19"/>
      <c r="AB53" s="19"/>
      <c r="AC53" s="84"/>
      <c r="AE53" s="17"/>
      <c r="AF53" s="17"/>
      <c r="AG53" s="17"/>
      <c r="AH53" s="18">
        <f t="shared" si="44"/>
        <v>0</v>
      </c>
      <c r="AI53" s="19">
        <f t="shared" si="45"/>
        <v>0</v>
      </c>
      <c r="AK53" s="17"/>
      <c r="AL53" s="17"/>
      <c r="AM53" s="17"/>
      <c r="AN53" s="18">
        <f t="shared" si="46"/>
        <v>0</v>
      </c>
      <c r="AO53" s="19">
        <f t="shared" si="47"/>
        <v>0</v>
      </c>
      <c r="AQ53" s="17"/>
      <c r="AR53" s="17"/>
      <c r="AS53" s="17"/>
      <c r="AT53" s="18">
        <f t="shared" si="41"/>
        <v>0</v>
      </c>
      <c r="AU53" s="19">
        <f t="shared" si="48"/>
        <v>0</v>
      </c>
      <c r="AW53" s="17"/>
      <c r="AX53" s="17"/>
      <c r="AY53" s="17"/>
      <c r="AZ53" s="424">
        <f t="shared" si="49"/>
        <v>0</v>
      </c>
      <c r="BA53" s="19">
        <f t="shared" si="50"/>
        <v>0</v>
      </c>
    </row>
    <row r="54" spans="1:53" ht="17.100000000000001" customHeight="1" x14ac:dyDescent="0.25">
      <c r="A54" s="68"/>
      <c r="B54" s="647"/>
      <c r="C54" s="93"/>
      <c r="D54" s="202" t="s">
        <v>380</v>
      </c>
      <c r="E54" s="85" t="s">
        <v>390</v>
      </c>
      <c r="F54" s="75"/>
      <c r="G54" s="105"/>
      <c r="H54" s="119"/>
      <c r="J54" s="581"/>
      <c r="K54" s="581"/>
      <c r="L54" s="582"/>
      <c r="M54" s="593">
        <f t="shared" si="42"/>
        <v>0</v>
      </c>
      <c r="N54" s="111"/>
      <c r="O54" s="111"/>
      <c r="P54" s="111"/>
      <c r="Q54" s="111"/>
      <c r="R54" s="111"/>
      <c r="S54" s="111"/>
      <c r="T54" s="111"/>
      <c r="U54" s="111"/>
      <c r="V54" s="111"/>
      <c r="W54" s="391">
        <f t="shared" si="38"/>
        <v>0</v>
      </c>
      <c r="X54" s="17">
        <f t="shared" si="39"/>
        <v>0</v>
      </c>
      <c r="Y54" s="18">
        <f t="shared" si="40"/>
        <v>0</v>
      </c>
      <c r="Z54" s="19">
        <f t="shared" si="43"/>
        <v>0</v>
      </c>
      <c r="AA54" s="19"/>
      <c r="AB54" s="19"/>
      <c r="AC54" s="84"/>
      <c r="AE54" s="17"/>
      <c r="AF54" s="17"/>
      <c r="AG54" s="17"/>
      <c r="AH54" s="18">
        <f t="shared" si="44"/>
        <v>0</v>
      </c>
      <c r="AI54" s="19">
        <f t="shared" si="45"/>
        <v>0</v>
      </c>
      <c r="AK54" s="17"/>
      <c r="AL54" s="17"/>
      <c r="AM54" s="17"/>
      <c r="AN54" s="18">
        <f t="shared" si="46"/>
        <v>0</v>
      </c>
      <c r="AO54" s="19">
        <f t="shared" si="47"/>
        <v>0</v>
      </c>
      <c r="AQ54" s="17"/>
      <c r="AR54" s="17"/>
      <c r="AS54" s="17"/>
      <c r="AT54" s="18">
        <f t="shared" si="41"/>
        <v>0</v>
      </c>
      <c r="AU54" s="19">
        <f t="shared" si="48"/>
        <v>0</v>
      </c>
      <c r="AW54" s="17"/>
      <c r="AX54" s="17"/>
      <c r="AY54" s="17"/>
      <c r="AZ54" s="424">
        <f t="shared" si="49"/>
        <v>0</v>
      </c>
      <c r="BA54" s="19">
        <f t="shared" si="50"/>
        <v>0</v>
      </c>
    </row>
    <row r="55" spans="1:53" ht="17.100000000000001" customHeight="1" x14ac:dyDescent="0.25">
      <c r="A55" s="68"/>
      <c r="B55" s="647"/>
      <c r="C55" s="93"/>
      <c r="D55" s="202" t="s">
        <v>381</v>
      </c>
      <c r="E55" s="85" t="s">
        <v>536</v>
      </c>
      <c r="F55" s="75"/>
      <c r="G55" s="105"/>
      <c r="H55" s="119"/>
      <c r="J55" s="583"/>
      <c r="K55" s="583"/>
      <c r="L55" s="584"/>
      <c r="M55" s="593">
        <f t="shared" si="42"/>
        <v>0</v>
      </c>
      <c r="N55" s="111"/>
      <c r="O55" s="111"/>
      <c r="P55" s="111"/>
      <c r="Q55" s="111"/>
      <c r="R55" s="111"/>
      <c r="S55" s="111"/>
      <c r="T55" s="111"/>
      <c r="U55" s="111"/>
      <c r="V55" s="111"/>
      <c r="W55" s="391">
        <f t="shared" si="38"/>
        <v>0</v>
      </c>
      <c r="X55" s="17">
        <f t="shared" si="39"/>
        <v>0</v>
      </c>
      <c r="Y55" s="18">
        <f t="shared" si="40"/>
        <v>0</v>
      </c>
      <c r="Z55" s="19">
        <f t="shared" si="43"/>
        <v>0</v>
      </c>
      <c r="AA55" s="19"/>
      <c r="AB55" s="19"/>
      <c r="AC55" s="84"/>
      <c r="AE55" s="17"/>
      <c r="AF55" s="17"/>
      <c r="AG55" s="17"/>
      <c r="AH55" s="18">
        <f t="shared" si="44"/>
        <v>0</v>
      </c>
      <c r="AI55" s="19">
        <f t="shared" si="45"/>
        <v>0</v>
      </c>
      <c r="AK55" s="17"/>
      <c r="AL55" s="17"/>
      <c r="AM55" s="17"/>
      <c r="AN55" s="18">
        <f t="shared" si="46"/>
        <v>0</v>
      </c>
      <c r="AO55" s="19">
        <f t="shared" si="47"/>
        <v>0</v>
      </c>
      <c r="AQ55" s="17"/>
      <c r="AR55" s="17"/>
      <c r="AS55" s="17"/>
      <c r="AT55" s="18">
        <f t="shared" si="41"/>
        <v>0</v>
      </c>
      <c r="AU55" s="19">
        <f t="shared" si="48"/>
        <v>0</v>
      </c>
      <c r="AW55" s="17"/>
      <c r="AX55" s="17"/>
      <c r="AY55" s="17"/>
      <c r="AZ55" s="424">
        <f t="shared" si="49"/>
        <v>0</v>
      </c>
      <c r="BA55" s="19">
        <f t="shared" si="50"/>
        <v>0</v>
      </c>
    </row>
    <row r="56" spans="1:53" ht="17.100000000000001" customHeight="1" x14ac:dyDescent="0.25">
      <c r="A56" s="68"/>
      <c r="B56" s="647"/>
      <c r="C56" s="93"/>
      <c r="D56" s="202" t="s">
        <v>382</v>
      </c>
      <c r="E56" s="85" t="s">
        <v>391</v>
      </c>
      <c r="F56" s="75"/>
      <c r="G56" s="105"/>
      <c r="H56" s="119"/>
      <c r="J56" s="581"/>
      <c r="K56" s="581"/>
      <c r="L56" s="582"/>
      <c r="M56" s="593">
        <f t="shared" si="42"/>
        <v>0</v>
      </c>
      <c r="N56" s="111"/>
      <c r="O56" s="111"/>
      <c r="P56" s="111"/>
      <c r="Q56" s="111"/>
      <c r="R56" s="111"/>
      <c r="S56" s="111"/>
      <c r="T56" s="111"/>
      <c r="U56" s="111"/>
      <c r="V56" s="111"/>
      <c r="W56" s="391">
        <f t="shared" si="38"/>
        <v>0</v>
      </c>
      <c r="X56" s="17">
        <f t="shared" si="39"/>
        <v>0</v>
      </c>
      <c r="Y56" s="18">
        <f t="shared" si="40"/>
        <v>0</v>
      </c>
      <c r="Z56" s="19">
        <f t="shared" si="43"/>
        <v>0</v>
      </c>
      <c r="AA56" s="19"/>
      <c r="AB56" s="19"/>
      <c r="AC56" s="84"/>
      <c r="AE56" s="17"/>
      <c r="AF56" s="17"/>
      <c r="AG56" s="17"/>
      <c r="AH56" s="18">
        <f t="shared" si="44"/>
        <v>0</v>
      </c>
      <c r="AI56" s="19">
        <f t="shared" si="45"/>
        <v>0</v>
      </c>
      <c r="AK56" s="17"/>
      <c r="AL56" s="17"/>
      <c r="AM56" s="17"/>
      <c r="AN56" s="18">
        <f t="shared" si="46"/>
        <v>0</v>
      </c>
      <c r="AO56" s="19">
        <f t="shared" si="47"/>
        <v>0</v>
      </c>
      <c r="AQ56" s="17"/>
      <c r="AR56" s="17"/>
      <c r="AS56" s="17"/>
      <c r="AT56" s="18">
        <f t="shared" si="41"/>
        <v>0</v>
      </c>
      <c r="AU56" s="19">
        <f t="shared" si="48"/>
        <v>0</v>
      </c>
      <c r="AW56" s="17"/>
      <c r="AX56" s="17"/>
      <c r="AY56" s="17"/>
      <c r="AZ56" s="424">
        <f t="shared" si="49"/>
        <v>0</v>
      </c>
      <c r="BA56" s="19">
        <f t="shared" si="50"/>
        <v>0</v>
      </c>
    </row>
    <row r="57" spans="1:53" ht="17.100000000000001" customHeight="1" x14ac:dyDescent="0.25">
      <c r="A57" s="68"/>
      <c r="B57" s="647"/>
      <c r="C57" s="93"/>
      <c r="D57" s="202" t="s">
        <v>383</v>
      </c>
      <c r="E57" s="85" t="s">
        <v>392</v>
      </c>
      <c r="F57" s="75"/>
      <c r="G57" s="105"/>
      <c r="H57" s="119"/>
      <c r="J57" s="583"/>
      <c r="K57" s="583"/>
      <c r="L57" s="584"/>
      <c r="M57" s="593">
        <f t="shared" si="42"/>
        <v>0</v>
      </c>
      <c r="N57" s="111"/>
      <c r="O57" s="111"/>
      <c r="P57" s="111"/>
      <c r="Q57" s="111"/>
      <c r="R57" s="111"/>
      <c r="S57" s="111"/>
      <c r="T57" s="111"/>
      <c r="U57" s="111"/>
      <c r="V57" s="111"/>
      <c r="W57" s="391">
        <f t="shared" si="38"/>
        <v>0</v>
      </c>
      <c r="X57" s="17">
        <f t="shared" si="39"/>
        <v>0</v>
      </c>
      <c r="Y57" s="18">
        <f t="shared" si="40"/>
        <v>0</v>
      </c>
      <c r="Z57" s="19">
        <f t="shared" si="43"/>
        <v>0</v>
      </c>
      <c r="AA57" s="19"/>
      <c r="AB57" s="19"/>
      <c r="AC57" s="84"/>
      <c r="AE57" s="17"/>
      <c r="AF57" s="17"/>
      <c r="AG57" s="17"/>
      <c r="AH57" s="18">
        <f t="shared" si="44"/>
        <v>0</v>
      </c>
      <c r="AI57" s="19">
        <f t="shared" si="45"/>
        <v>0</v>
      </c>
      <c r="AK57" s="17"/>
      <c r="AL57" s="17"/>
      <c r="AM57" s="17"/>
      <c r="AN57" s="18">
        <f t="shared" si="46"/>
        <v>0</v>
      </c>
      <c r="AO57" s="19">
        <f t="shared" si="47"/>
        <v>0</v>
      </c>
      <c r="AQ57" s="17"/>
      <c r="AR57" s="17"/>
      <c r="AS57" s="17"/>
      <c r="AT57" s="18">
        <f t="shared" si="41"/>
        <v>0</v>
      </c>
      <c r="AU57" s="19">
        <f t="shared" si="48"/>
        <v>0</v>
      </c>
      <c r="AW57" s="17"/>
      <c r="AX57" s="17"/>
      <c r="AY57" s="17"/>
      <c r="AZ57" s="424">
        <f t="shared" si="49"/>
        <v>0</v>
      </c>
      <c r="BA57" s="19">
        <f t="shared" si="50"/>
        <v>0</v>
      </c>
    </row>
    <row r="58" spans="1:53" ht="17.100000000000001" customHeight="1" x14ac:dyDescent="0.25">
      <c r="A58" s="40"/>
      <c r="B58" s="40"/>
      <c r="C58" s="77"/>
      <c r="D58" s="78"/>
      <c r="E58" s="78"/>
      <c r="F58" s="78"/>
      <c r="G58" s="78"/>
      <c r="H58" s="242"/>
      <c r="I58" s="230"/>
      <c r="J58" s="80">
        <f>SUM(J44:J57)</f>
        <v>0</v>
      </c>
      <c r="K58" s="80">
        <f t="shared" ref="K58:M58" si="51">SUM(K44:K57)</f>
        <v>0</v>
      </c>
      <c r="L58" s="80">
        <f t="shared" si="51"/>
        <v>0</v>
      </c>
      <c r="M58" s="80">
        <f t="shared" si="51"/>
        <v>0</v>
      </c>
      <c r="N58" s="80"/>
      <c r="O58" s="80"/>
      <c r="P58" s="80"/>
      <c r="Q58" s="81"/>
      <c r="R58" s="81"/>
      <c r="S58" s="81"/>
      <c r="T58" s="81"/>
      <c r="U58" s="81"/>
      <c r="V58" s="81"/>
      <c r="W58" s="381">
        <f>SUM(W44:W57)</f>
        <v>0</v>
      </c>
      <c r="X58" s="82">
        <f t="shared" ref="X58:Y58" si="52">SUM(X44:X57)</f>
        <v>0</v>
      </c>
      <c r="Y58" s="82">
        <f t="shared" si="52"/>
        <v>0</v>
      </c>
      <c r="Z58" s="205">
        <f t="shared" si="43"/>
        <v>0</v>
      </c>
      <c r="AA58" s="205"/>
      <c r="AB58" s="205"/>
      <c r="AC58" s="83"/>
      <c r="AE58" s="81"/>
      <c r="AF58" s="81"/>
      <c r="AG58" s="81"/>
      <c r="AH58" s="82">
        <f>SUM(AH44:AH57)</f>
        <v>0</v>
      </c>
      <c r="AI58" s="66">
        <f t="shared" si="45"/>
        <v>0</v>
      </c>
      <c r="AK58" s="81"/>
      <c r="AL58" s="81"/>
      <c r="AM58" s="81"/>
      <c r="AN58" s="82">
        <f>SUM(AN44:AN57)</f>
        <v>0</v>
      </c>
      <c r="AO58" s="66">
        <f t="shared" si="47"/>
        <v>0</v>
      </c>
      <c r="AQ58" s="81"/>
      <c r="AR58" s="81"/>
      <c r="AS58" s="81"/>
      <c r="AT58" s="82">
        <f>SUM(AT44:AT57)</f>
        <v>0</v>
      </c>
      <c r="AU58" s="66">
        <f t="shared" si="48"/>
        <v>0</v>
      </c>
      <c r="AW58" s="81"/>
      <c r="AX58" s="81"/>
      <c r="AY58" s="81"/>
      <c r="AZ58" s="82">
        <f>SUM(AZ44:AZ57)</f>
        <v>0</v>
      </c>
      <c r="BA58" s="66">
        <f t="shared" si="50"/>
        <v>0</v>
      </c>
    </row>
    <row r="59" spans="1:53" s="117" customFormat="1" ht="17.100000000000001" customHeight="1" x14ac:dyDescent="0.25">
      <c r="A59" s="119"/>
      <c r="B59" s="119"/>
      <c r="C59" s="647"/>
      <c r="D59" s="212"/>
      <c r="E59" s="212"/>
      <c r="F59" s="212"/>
      <c r="G59" s="212"/>
      <c r="H59" s="242"/>
      <c r="I59" s="230"/>
      <c r="J59" s="17" t="str">
        <f>IF(J58=J$15,"OK","NOK")</f>
        <v>OK</v>
      </c>
      <c r="K59" s="17" t="str">
        <f t="shared" ref="K59:L59" si="53">IF(K58=K$15,"OK","NOK")</f>
        <v>OK</v>
      </c>
      <c r="L59" s="17" t="str">
        <f t="shared" si="53"/>
        <v>OK</v>
      </c>
      <c r="M59" s="17"/>
      <c r="N59" s="17"/>
      <c r="O59" s="17"/>
      <c r="P59" s="17"/>
      <c r="Q59" s="17"/>
      <c r="R59" s="17"/>
      <c r="S59" s="17"/>
      <c r="T59" s="17"/>
      <c r="U59" s="17"/>
      <c r="V59" s="17"/>
      <c r="W59" s="646"/>
      <c r="X59" s="646"/>
      <c r="Y59" s="646"/>
      <c r="Z59" s="201"/>
      <c r="AA59" s="201"/>
      <c r="AB59" s="201"/>
      <c r="AC59" s="84"/>
      <c r="AE59" s="17"/>
      <c r="AF59" s="17"/>
      <c r="AG59" s="17"/>
      <c r="AH59" s="646"/>
      <c r="AI59" s="91"/>
      <c r="AK59" s="17"/>
      <c r="AL59" s="17"/>
      <c r="AM59" s="17"/>
      <c r="AN59" s="646"/>
      <c r="AO59" s="91"/>
      <c r="AQ59" s="17"/>
      <c r="AR59" s="17"/>
      <c r="AS59" s="17"/>
      <c r="AT59" s="646"/>
      <c r="AU59" s="91"/>
      <c r="AW59" s="17"/>
      <c r="AX59" s="17"/>
      <c r="AY59" s="17"/>
      <c r="AZ59" s="17"/>
      <c r="BA59" s="91"/>
    </row>
    <row r="60" spans="1:53" ht="17.100000000000001" customHeight="1" x14ac:dyDescent="0.25">
      <c r="A60" s="102"/>
      <c r="B60" s="102"/>
      <c r="C60" s="103" t="s">
        <v>33</v>
      </c>
      <c r="D60" s="110" t="s">
        <v>736</v>
      </c>
      <c r="E60" s="108"/>
      <c r="F60" s="108"/>
      <c r="G60" s="108"/>
      <c r="H60" s="315"/>
      <c r="I60" s="232"/>
      <c r="J60" s="111"/>
      <c r="K60" s="111"/>
      <c r="L60" s="111"/>
      <c r="M60" s="111"/>
      <c r="N60" s="111"/>
      <c r="O60" s="111"/>
      <c r="P60" s="111"/>
      <c r="Q60" s="111"/>
      <c r="R60" s="111"/>
      <c r="S60" s="111"/>
      <c r="T60" s="111"/>
      <c r="U60" s="111"/>
      <c r="V60" s="111"/>
      <c r="W60" s="111"/>
      <c r="X60" s="111"/>
      <c r="Y60" s="111"/>
      <c r="Z60" s="113"/>
      <c r="AA60" s="113"/>
      <c r="AB60" s="113"/>
      <c r="AC60" s="113"/>
      <c r="AE60" s="114"/>
      <c r="AF60" s="114"/>
      <c r="AG60" s="114"/>
      <c r="AH60" s="112"/>
      <c r="AI60" s="113"/>
      <c r="AK60" s="114"/>
      <c r="AL60" s="114"/>
      <c r="AM60" s="114"/>
      <c r="AN60" s="112"/>
      <c r="AO60" s="113"/>
      <c r="AQ60" s="114"/>
      <c r="AR60" s="114"/>
      <c r="AS60" s="114"/>
      <c r="AT60" s="112"/>
      <c r="AU60" s="113"/>
      <c r="AW60" s="114"/>
      <c r="AX60" s="114"/>
      <c r="AY60" s="114"/>
      <c r="AZ60" s="114"/>
      <c r="BA60" s="113"/>
    </row>
    <row r="61" spans="1:53" s="117" customFormat="1" ht="17.100000000000001" customHeight="1" x14ac:dyDescent="0.25">
      <c r="A61" s="647"/>
      <c r="B61" s="23"/>
      <c r="C61" s="23"/>
      <c r="D61" s="74" t="s">
        <v>34</v>
      </c>
      <c r="E61" s="75" t="s">
        <v>26</v>
      </c>
      <c r="F61" s="75"/>
      <c r="G61" s="75"/>
      <c r="H61" s="23"/>
      <c r="I61" s="229"/>
      <c r="J61" s="152"/>
      <c r="K61" s="152"/>
      <c r="L61" s="111"/>
      <c r="M61" s="111"/>
      <c r="N61" s="60"/>
      <c r="O61" s="60">
        <v>4</v>
      </c>
      <c r="P61" s="593">
        <f>SUM(N61:O61)</f>
        <v>4</v>
      </c>
      <c r="Q61" s="60">
        <v>6</v>
      </c>
      <c r="R61" s="60"/>
      <c r="S61" s="593">
        <f>SUM(Q61:R61)</f>
        <v>6</v>
      </c>
      <c r="T61" s="60"/>
      <c r="U61" s="60"/>
      <c r="V61" s="593">
        <f>SUM(T61:U61)</f>
        <v>0</v>
      </c>
      <c r="W61" s="391">
        <f t="shared" ref="W61:W64" si="54">J61+K61+N61+Q61+T61</f>
        <v>6</v>
      </c>
      <c r="X61" s="17">
        <f t="shared" ref="X61:X64" si="55">L61+O61+R61+U61</f>
        <v>4</v>
      </c>
      <c r="Y61" s="18">
        <f>SUM(W61:X61)</f>
        <v>10</v>
      </c>
      <c r="Z61" s="19">
        <f>IF(Y$65=0,0,Y61/Y$65)</f>
        <v>0.625</v>
      </c>
      <c r="AA61" s="91"/>
      <c r="AB61" s="91"/>
      <c r="AC61" s="84"/>
      <c r="AE61" s="111"/>
      <c r="AF61" s="111"/>
      <c r="AG61" s="111"/>
      <c r="AH61" s="651"/>
      <c r="AI61" s="131"/>
      <c r="AK61" s="111"/>
      <c r="AL61" s="111"/>
      <c r="AM61" s="111"/>
      <c r="AN61" s="651"/>
      <c r="AO61" s="131"/>
      <c r="AQ61" s="17"/>
      <c r="AR61" s="17"/>
      <c r="AS61" s="17"/>
      <c r="AT61" s="18">
        <f>W61</f>
        <v>6</v>
      </c>
      <c r="AU61" s="19">
        <f>IF(AT$65=0,0,AT61/AT$65)</f>
        <v>0.66666666666666663</v>
      </c>
      <c r="AW61" s="17"/>
      <c r="AX61" s="17"/>
      <c r="AY61" s="17"/>
      <c r="AZ61" s="424">
        <f>X61</f>
        <v>4</v>
      </c>
      <c r="BA61" s="91">
        <f>IF(AZ$65=0,0,AZ61/AZ$65)</f>
        <v>0.5714285714285714</v>
      </c>
    </row>
    <row r="62" spans="1:53" s="117" customFormat="1" ht="17.100000000000001" customHeight="1" x14ac:dyDescent="0.25">
      <c r="A62" s="647"/>
      <c r="B62" s="23"/>
      <c r="C62" s="23"/>
      <c r="D62" s="74" t="s">
        <v>36</v>
      </c>
      <c r="E62" s="75" t="s">
        <v>28</v>
      </c>
      <c r="F62" s="75"/>
      <c r="G62" s="75"/>
      <c r="H62" s="23"/>
      <c r="I62" s="229"/>
      <c r="J62" s="152"/>
      <c r="K62" s="152"/>
      <c r="L62" s="111"/>
      <c r="M62" s="111"/>
      <c r="N62" s="61">
        <v>1</v>
      </c>
      <c r="O62" s="61">
        <v>2</v>
      </c>
      <c r="P62" s="593">
        <f t="shared" ref="P62:P64" si="56">SUM(N62:O62)</f>
        <v>3</v>
      </c>
      <c r="Q62" s="61"/>
      <c r="R62" s="61">
        <v>1</v>
      </c>
      <c r="S62" s="593">
        <f t="shared" ref="S62:S64" si="57">SUM(Q62:R62)</f>
        <v>1</v>
      </c>
      <c r="T62" s="61"/>
      <c r="U62" s="61"/>
      <c r="V62" s="593">
        <f t="shared" ref="V62:V64" si="58">SUM(T62:U62)</f>
        <v>0</v>
      </c>
      <c r="W62" s="391">
        <f t="shared" si="54"/>
        <v>1</v>
      </c>
      <c r="X62" s="17">
        <f t="shared" si="55"/>
        <v>3</v>
      </c>
      <c r="Y62" s="18">
        <f>SUM(W62:X62)</f>
        <v>4</v>
      </c>
      <c r="Z62" s="19">
        <f t="shared" ref="Z62:Z65" si="59">IF(Y$65=0,0,Y62/Y$65)</f>
        <v>0.25</v>
      </c>
      <c r="AA62" s="91"/>
      <c r="AB62" s="91"/>
      <c r="AC62" s="84"/>
      <c r="AE62" s="111"/>
      <c r="AF62" s="111"/>
      <c r="AG62" s="111"/>
      <c r="AH62" s="651"/>
      <c r="AI62" s="131"/>
      <c r="AK62" s="111"/>
      <c r="AL62" s="111"/>
      <c r="AM62" s="111"/>
      <c r="AN62" s="651"/>
      <c r="AO62" s="131"/>
      <c r="AQ62" s="17"/>
      <c r="AR62" s="17"/>
      <c r="AS62" s="17"/>
      <c r="AT62" s="18">
        <f t="shared" ref="AT62:AT64" si="60">W62</f>
        <v>1</v>
      </c>
      <c r="AU62" s="19">
        <f t="shared" ref="AU62:AU65" si="61">IF(AT$65=0,0,AT62/AT$65)</f>
        <v>0.1111111111111111</v>
      </c>
      <c r="AW62" s="17"/>
      <c r="AX62" s="17"/>
      <c r="AY62" s="17"/>
      <c r="AZ62" s="424">
        <f t="shared" ref="AZ62:AZ64" si="62">X62</f>
        <v>3</v>
      </c>
      <c r="BA62" s="91">
        <f>IF(AZ$65=0,0,AZ62/AZ$65)</f>
        <v>0.42857142857142855</v>
      </c>
    </row>
    <row r="63" spans="1:53" s="117" customFormat="1" ht="17.100000000000001" customHeight="1" x14ac:dyDescent="0.25">
      <c r="A63" s="647"/>
      <c r="B63" s="23"/>
      <c r="C63" s="23"/>
      <c r="D63" s="74" t="s">
        <v>38</v>
      </c>
      <c r="E63" s="75" t="s">
        <v>30</v>
      </c>
      <c r="F63" s="75"/>
      <c r="G63" s="75"/>
      <c r="H63" s="23"/>
      <c r="I63" s="229"/>
      <c r="J63" s="152"/>
      <c r="K63" s="152"/>
      <c r="L63" s="111"/>
      <c r="M63" s="111"/>
      <c r="N63" s="60">
        <v>2</v>
      </c>
      <c r="O63" s="60"/>
      <c r="P63" s="593">
        <f t="shared" si="56"/>
        <v>2</v>
      </c>
      <c r="Q63" s="60"/>
      <c r="R63" s="60"/>
      <c r="S63" s="593">
        <f t="shared" si="57"/>
        <v>0</v>
      </c>
      <c r="T63" s="60"/>
      <c r="U63" s="60"/>
      <c r="V63" s="593">
        <f t="shared" si="58"/>
        <v>0</v>
      </c>
      <c r="W63" s="391">
        <f t="shared" si="54"/>
        <v>2</v>
      </c>
      <c r="X63" s="17">
        <f t="shared" si="55"/>
        <v>0</v>
      </c>
      <c r="Y63" s="18">
        <f>SUM(W63:X63)</f>
        <v>2</v>
      </c>
      <c r="Z63" s="19">
        <f t="shared" si="59"/>
        <v>0.125</v>
      </c>
      <c r="AA63" s="91"/>
      <c r="AB63" s="91"/>
      <c r="AC63" s="84"/>
      <c r="AE63" s="111"/>
      <c r="AF63" s="111"/>
      <c r="AG63" s="111"/>
      <c r="AH63" s="651"/>
      <c r="AI63" s="131"/>
      <c r="AK63" s="111"/>
      <c r="AL63" s="111"/>
      <c r="AM63" s="111"/>
      <c r="AN63" s="651"/>
      <c r="AO63" s="131"/>
      <c r="AQ63" s="17"/>
      <c r="AR63" s="17"/>
      <c r="AS63" s="17"/>
      <c r="AT63" s="18">
        <f t="shared" si="60"/>
        <v>2</v>
      </c>
      <c r="AU63" s="19">
        <f t="shared" si="61"/>
        <v>0.22222222222222221</v>
      </c>
      <c r="AW63" s="17"/>
      <c r="AX63" s="17"/>
      <c r="AY63" s="17"/>
      <c r="AZ63" s="424">
        <f t="shared" si="62"/>
        <v>0</v>
      </c>
      <c r="BA63" s="91">
        <f>IF(AZ$65=0,0,AZ63/AZ$65)</f>
        <v>0</v>
      </c>
    </row>
    <row r="64" spans="1:53" s="117" customFormat="1" ht="17.100000000000001" customHeight="1" x14ac:dyDescent="0.25">
      <c r="A64" s="647"/>
      <c r="B64" s="23"/>
      <c r="C64" s="23"/>
      <c r="D64" s="74" t="s">
        <v>40</v>
      </c>
      <c r="E64" s="75" t="s">
        <v>32</v>
      </c>
      <c r="F64" s="75"/>
      <c r="G64" s="75"/>
      <c r="H64" s="23"/>
      <c r="I64" s="229"/>
      <c r="J64" s="152"/>
      <c r="K64" s="152"/>
      <c r="L64" s="111"/>
      <c r="M64" s="111"/>
      <c r="N64" s="61"/>
      <c r="O64" s="61"/>
      <c r="P64" s="593">
        <f t="shared" si="56"/>
        <v>0</v>
      </c>
      <c r="Q64" s="61"/>
      <c r="R64" s="61"/>
      <c r="S64" s="593">
        <f t="shared" si="57"/>
        <v>0</v>
      </c>
      <c r="T64" s="61"/>
      <c r="U64" s="61"/>
      <c r="V64" s="593">
        <f t="shared" si="58"/>
        <v>0</v>
      </c>
      <c r="W64" s="391">
        <f t="shared" si="54"/>
        <v>0</v>
      </c>
      <c r="X64" s="17">
        <f t="shared" si="55"/>
        <v>0</v>
      </c>
      <c r="Y64" s="18">
        <f>SUM(W64:X64)</f>
        <v>0</v>
      </c>
      <c r="Z64" s="19">
        <f t="shared" si="59"/>
        <v>0</v>
      </c>
      <c r="AA64" s="91"/>
      <c r="AB64" s="91"/>
      <c r="AC64" s="84"/>
      <c r="AE64" s="111"/>
      <c r="AF64" s="111"/>
      <c r="AG64" s="111"/>
      <c r="AH64" s="651"/>
      <c r="AI64" s="131"/>
      <c r="AK64" s="111"/>
      <c r="AL64" s="111"/>
      <c r="AM64" s="111"/>
      <c r="AN64" s="651"/>
      <c r="AO64" s="131"/>
      <c r="AQ64" s="17"/>
      <c r="AR64" s="17"/>
      <c r="AS64" s="17"/>
      <c r="AT64" s="18">
        <f t="shared" si="60"/>
        <v>0</v>
      </c>
      <c r="AU64" s="19">
        <f t="shared" si="61"/>
        <v>0</v>
      </c>
      <c r="AW64" s="17"/>
      <c r="AX64" s="17"/>
      <c r="AY64" s="17"/>
      <c r="AZ64" s="424">
        <f t="shared" si="62"/>
        <v>0</v>
      </c>
      <c r="BA64" s="91">
        <f>IF(AZ$65=0,0,AZ64/AZ$65)</f>
        <v>0</v>
      </c>
    </row>
    <row r="65" spans="1:53" s="117" customFormat="1" ht="17.100000000000001" customHeight="1" x14ac:dyDescent="0.25">
      <c r="A65" s="40"/>
      <c r="B65" s="40"/>
      <c r="C65" s="77"/>
      <c r="D65" s="78"/>
      <c r="E65" s="78"/>
      <c r="F65" s="78"/>
      <c r="G65" s="78"/>
      <c r="H65" s="316"/>
      <c r="I65" s="230"/>
      <c r="J65" s="80"/>
      <c r="K65" s="64"/>
      <c r="L65" s="81"/>
      <c r="M65" s="81"/>
      <c r="N65" s="81">
        <f>SUM(N61:N64)</f>
        <v>3</v>
      </c>
      <c r="O65" s="81">
        <f t="shared" ref="O65:Y65" si="63">SUM(O61:O64)</f>
        <v>6</v>
      </c>
      <c r="P65" s="81">
        <f t="shared" si="63"/>
        <v>9</v>
      </c>
      <c r="Q65" s="81">
        <f t="shared" si="63"/>
        <v>6</v>
      </c>
      <c r="R65" s="81">
        <f t="shared" si="63"/>
        <v>1</v>
      </c>
      <c r="S65" s="81">
        <f t="shared" si="63"/>
        <v>7</v>
      </c>
      <c r="T65" s="81">
        <f t="shared" si="63"/>
        <v>0</v>
      </c>
      <c r="U65" s="81">
        <f t="shared" si="63"/>
        <v>0</v>
      </c>
      <c r="V65" s="81">
        <f t="shared" si="63"/>
        <v>0</v>
      </c>
      <c r="W65" s="381">
        <f t="shared" si="63"/>
        <v>9</v>
      </c>
      <c r="X65" s="82">
        <f t="shared" si="63"/>
        <v>7</v>
      </c>
      <c r="Y65" s="82">
        <f t="shared" si="63"/>
        <v>16</v>
      </c>
      <c r="Z65" s="205">
        <f t="shared" si="59"/>
        <v>1</v>
      </c>
      <c r="AA65" s="205"/>
      <c r="AB65" s="205"/>
      <c r="AC65" s="83"/>
      <c r="AE65" s="81"/>
      <c r="AF65" s="81"/>
      <c r="AG65" s="81"/>
      <c r="AH65" s="82"/>
      <c r="AI65" s="66"/>
      <c r="AJ65" s="3"/>
      <c r="AK65" s="81"/>
      <c r="AL65" s="81"/>
      <c r="AM65" s="81"/>
      <c r="AN65" s="82"/>
      <c r="AO65" s="66"/>
      <c r="AP65" s="3"/>
      <c r="AQ65" s="81"/>
      <c r="AR65" s="81"/>
      <c r="AS65" s="81"/>
      <c r="AT65" s="82">
        <f>SUM(AT61:AT64)</f>
        <v>9</v>
      </c>
      <c r="AU65" s="66">
        <f t="shared" si="61"/>
        <v>1</v>
      </c>
      <c r="AV65" s="3"/>
      <c r="AW65" s="81"/>
      <c r="AX65" s="81"/>
      <c r="AY65" s="81"/>
      <c r="AZ65" s="82">
        <f>SUM(AZ61:AZ64)</f>
        <v>7</v>
      </c>
      <c r="BA65" s="66">
        <f>IF(AZ$65=0,0,AZ65/AZ$65)</f>
        <v>1</v>
      </c>
    </row>
    <row r="66" spans="1:53" s="117" customFormat="1" ht="17.100000000000001" customHeight="1" x14ac:dyDescent="0.25">
      <c r="A66" s="119"/>
      <c r="B66" s="119"/>
      <c r="C66" s="647"/>
      <c r="D66" s="212"/>
      <c r="E66" s="212"/>
      <c r="F66" s="212"/>
      <c r="G66" s="212"/>
      <c r="H66" s="242"/>
      <c r="I66" s="230"/>
      <c r="J66" s="17"/>
      <c r="K66" s="17"/>
      <c r="L66" s="17"/>
      <c r="M66" s="17"/>
      <c r="N66" s="17" t="str">
        <f>IF(N65=N$20,"OK","NOK")</f>
        <v>OK</v>
      </c>
      <c r="O66" s="17" t="str">
        <f>IF(O65=O$20,"OK","NOK")</f>
        <v>OK</v>
      </c>
      <c r="P66" s="17"/>
      <c r="Q66" s="17" t="str">
        <f>IF(Q65=Q$20,"OK","NOK")</f>
        <v>OK</v>
      </c>
      <c r="R66" s="17" t="str">
        <f>IF(R65=R$20,"OK","NOK")</f>
        <v>OK</v>
      </c>
      <c r="S66" s="17"/>
      <c r="T66" s="17" t="str">
        <f>IF(T65=T$20,"OK","NOK")</f>
        <v>OK</v>
      </c>
      <c r="U66" s="17" t="str">
        <f>IF(U65=U$20,"OK","NOK")</f>
        <v>OK</v>
      </c>
      <c r="V66" s="359"/>
      <c r="W66" s="382"/>
      <c r="X66" s="646"/>
      <c r="Y66" s="646"/>
      <c r="Z66" s="201"/>
      <c r="AA66" s="201"/>
      <c r="AB66" s="201"/>
      <c r="AC66" s="84"/>
      <c r="AE66" s="17"/>
      <c r="AF66" s="17"/>
      <c r="AG66" s="17"/>
      <c r="AH66" s="646"/>
      <c r="AI66" s="91"/>
      <c r="AK66" s="17"/>
      <c r="AL66" s="17"/>
      <c r="AM66" s="17"/>
      <c r="AN66" s="646"/>
      <c r="AO66" s="91"/>
      <c r="AQ66" s="17"/>
      <c r="AR66" s="17"/>
      <c r="AS66" s="17"/>
      <c r="AT66" s="646"/>
      <c r="AU66" s="91"/>
      <c r="AW66" s="17"/>
      <c r="AX66" s="17"/>
      <c r="AY66" s="17"/>
      <c r="AZ66" s="17"/>
      <c r="BA66" s="91"/>
    </row>
    <row r="67" spans="1:53" ht="17.100000000000001" customHeight="1" x14ac:dyDescent="0.25">
      <c r="A67" s="102"/>
      <c r="B67" s="23"/>
      <c r="C67" s="103" t="s">
        <v>393</v>
      </c>
      <c r="D67" s="110" t="s">
        <v>737</v>
      </c>
      <c r="E67" s="313"/>
      <c r="F67" s="313"/>
      <c r="G67" s="313"/>
      <c r="H67" s="313"/>
      <c r="I67" s="313"/>
      <c r="J67" s="314"/>
      <c r="K67" s="111"/>
      <c r="L67" s="111"/>
      <c r="M67" s="111"/>
      <c r="N67" s="111"/>
      <c r="O67" s="111"/>
      <c r="P67" s="111"/>
      <c r="Q67" s="111"/>
      <c r="R67" s="111"/>
      <c r="S67" s="111"/>
      <c r="T67" s="111"/>
      <c r="U67" s="111"/>
      <c r="V67" s="111"/>
      <c r="W67" s="111"/>
      <c r="X67" s="111"/>
      <c r="Y67" s="111"/>
      <c r="Z67" s="113"/>
      <c r="AA67" s="113"/>
      <c r="AB67" s="113"/>
      <c r="AC67" s="113"/>
      <c r="AE67" s="114"/>
      <c r="AF67" s="114"/>
      <c r="AG67" s="114"/>
      <c r="AH67" s="112"/>
      <c r="AI67" s="113"/>
      <c r="AK67" s="114"/>
      <c r="AL67" s="114"/>
      <c r="AM67" s="114"/>
      <c r="AN67" s="112"/>
      <c r="AO67" s="113"/>
      <c r="AQ67" s="114"/>
      <c r="AR67" s="114"/>
      <c r="AS67" s="114"/>
      <c r="AT67" s="112"/>
      <c r="AU67" s="113"/>
      <c r="AW67" s="114"/>
      <c r="AX67" s="114"/>
      <c r="AY67" s="114"/>
      <c r="AZ67" s="114"/>
      <c r="BA67" s="113"/>
    </row>
    <row r="68" spans="1:53" ht="17.100000000000001" customHeight="1" x14ac:dyDescent="0.25">
      <c r="A68" s="102"/>
      <c r="B68" s="118"/>
      <c r="C68" s="118"/>
      <c r="D68" s="103" t="s">
        <v>394</v>
      </c>
      <c r="E68" s="108" t="s">
        <v>35</v>
      </c>
      <c r="F68" s="108"/>
      <c r="G68" s="108"/>
      <c r="H68" s="315"/>
      <c r="I68" s="232"/>
      <c r="J68" s="152"/>
      <c r="K68" s="152"/>
      <c r="L68" s="111"/>
      <c r="M68" s="111"/>
      <c r="N68" s="60">
        <v>3</v>
      </c>
      <c r="O68" s="60">
        <v>6</v>
      </c>
      <c r="P68" s="593">
        <f t="shared" ref="P68:P72" si="64">SUM(N68:O68)</f>
        <v>9</v>
      </c>
      <c r="Q68" s="60">
        <v>6</v>
      </c>
      <c r="R68" s="60">
        <v>1</v>
      </c>
      <c r="S68" s="593">
        <f t="shared" ref="S68:S72" si="65">SUM(Q68:R68)</f>
        <v>7</v>
      </c>
      <c r="T68" s="60"/>
      <c r="U68" s="60"/>
      <c r="V68" s="593">
        <f t="shared" ref="V68:V72" si="66">SUM(T68:U68)</f>
        <v>0</v>
      </c>
      <c r="W68" s="391">
        <f t="shared" ref="W68:W72" si="67">J68+K68+N68+Q68+T68</f>
        <v>9</v>
      </c>
      <c r="X68" s="17">
        <f t="shared" ref="X68:X72" si="68">L68+O68+R68+U68</f>
        <v>7</v>
      </c>
      <c r="Y68" s="18">
        <f>SUM(W68:X68)</f>
        <v>16</v>
      </c>
      <c r="Z68" s="19">
        <f>IF(Y$73=0,0,Y68/Y$73)</f>
        <v>1</v>
      </c>
      <c r="AA68" s="19"/>
      <c r="AB68" s="19"/>
      <c r="AC68" s="20"/>
      <c r="AE68" s="111"/>
      <c r="AF68" s="111"/>
      <c r="AG68" s="111"/>
      <c r="AH68" s="651"/>
      <c r="AI68" s="131"/>
      <c r="AJ68" s="117"/>
      <c r="AK68" s="111"/>
      <c r="AL68" s="111"/>
      <c r="AM68" s="111"/>
      <c r="AN68" s="651"/>
      <c r="AO68" s="131"/>
      <c r="AQ68" s="17"/>
      <c r="AR68" s="17"/>
      <c r="AS68" s="17"/>
      <c r="AT68" s="18">
        <f t="shared" ref="AT68:AT72" si="69">W68</f>
        <v>9</v>
      </c>
      <c r="AU68" s="19">
        <f>IF(AT$73=0,0,AT68/AT$73)</f>
        <v>1</v>
      </c>
      <c r="AW68" s="17"/>
      <c r="AX68" s="17"/>
      <c r="AY68" s="17"/>
      <c r="AZ68" s="424">
        <f>X68</f>
        <v>7</v>
      </c>
      <c r="BA68" s="19">
        <f t="shared" ref="BA68:BA73" si="70">IF(AZ$73=0,0,AZ68/AZ$73)</f>
        <v>1</v>
      </c>
    </row>
    <row r="69" spans="1:53" ht="17.100000000000001" customHeight="1" x14ac:dyDescent="0.25">
      <c r="A69" s="102"/>
      <c r="B69" s="118"/>
      <c r="C69" s="118"/>
      <c r="D69" s="103" t="s">
        <v>395</v>
      </c>
      <c r="E69" s="108" t="s">
        <v>37</v>
      </c>
      <c r="F69" s="108"/>
      <c r="G69" s="108"/>
      <c r="H69" s="315"/>
      <c r="I69" s="232"/>
      <c r="J69" s="152"/>
      <c r="K69" s="152"/>
      <c r="L69" s="111"/>
      <c r="M69" s="111"/>
      <c r="N69" s="61"/>
      <c r="O69" s="61"/>
      <c r="P69" s="593">
        <f t="shared" si="64"/>
        <v>0</v>
      </c>
      <c r="Q69" s="61"/>
      <c r="R69" s="61"/>
      <c r="S69" s="593">
        <f t="shared" si="65"/>
        <v>0</v>
      </c>
      <c r="T69" s="61"/>
      <c r="U69" s="61"/>
      <c r="V69" s="593">
        <f t="shared" si="66"/>
        <v>0</v>
      </c>
      <c r="W69" s="391">
        <f t="shared" si="67"/>
        <v>0</v>
      </c>
      <c r="X69" s="17">
        <f t="shared" si="68"/>
        <v>0</v>
      </c>
      <c r="Y69" s="18">
        <f>SUM(W69:X69)</f>
        <v>0</v>
      </c>
      <c r="Z69" s="19">
        <f t="shared" ref="Z69:Z73" si="71">IF(Y$73=0,0,Y69/Y$73)</f>
        <v>0</v>
      </c>
      <c r="AA69" s="19"/>
      <c r="AB69" s="19"/>
      <c r="AC69" s="20"/>
      <c r="AE69" s="111"/>
      <c r="AF69" s="111"/>
      <c r="AG69" s="111"/>
      <c r="AH69" s="651"/>
      <c r="AI69" s="131"/>
      <c r="AJ69" s="117"/>
      <c r="AK69" s="111"/>
      <c r="AL69" s="111"/>
      <c r="AM69" s="111"/>
      <c r="AN69" s="651"/>
      <c r="AO69" s="131"/>
      <c r="AQ69" s="17"/>
      <c r="AR69" s="17"/>
      <c r="AS69" s="17"/>
      <c r="AT69" s="18">
        <f t="shared" si="69"/>
        <v>0</v>
      </c>
      <c r="AU69" s="19">
        <f t="shared" ref="AU69:AU73" si="72">IF(AT$73=0,0,AT69/AT$73)</f>
        <v>0</v>
      </c>
      <c r="AW69" s="17"/>
      <c r="AX69" s="17"/>
      <c r="AY69" s="17"/>
      <c r="AZ69" s="424">
        <f t="shared" ref="AZ69:AZ72" si="73">X69</f>
        <v>0</v>
      </c>
      <c r="BA69" s="19">
        <f t="shared" si="70"/>
        <v>0</v>
      </c>
    </row>
    <row r="70" spans="1:53" ht="17.100000000000001" customHeight="1" x14ac:dyDescent="0.25">
      <c r="A70" s="102"/>
      <c r="B70" s="118"/>
      <c r="C70" s="118"/>
      <c r="D70" s="103" t="s">
        <v>396</v>
      </c>
      <c r="E70" s="108" t="s">
        <v>39</v>
      </c>
      <c r="F70" s="108"/>
      <c r="G70" s="108"/>
      <c r="H70" s="315"/>
      <c r="I70" s="232"/>
      <c r="J70" s="152"/>
      <c r="K70" s="152"/>
      <c r="L70" s="111"/>
      <c r="M70" s="111"/>
      <c r="N70" s="60"/>
      <c r="O70" s="60"/>
      <c r="P70" s="593">
        <f t="shared" si="64"/>
        <v>0</v>
      </c>
      <c r="Q70" s="60"/>
      <c r="R70" s="60"/>
      <c r="S70" s="593">
        <f t="shared" si="65"/>
        <v>0</v>
      </c>
      <c r="T70" s="60"/>
      <c r="U70" s="60"/>
      <c r="V70" s="593">
        <f t="shared" si="66"/>
        <v>0</v>
      </c>
      <c r="W70" s="391">
        <f t="shared" si="67"/>
        <v>0</v>
      </c>
      <c r="X70" s="17">
        <f t="shared" si="68"/>
        <v>0</v>
      </c>
      <c r="Y70" s="18">
        <f>SUM(W70:X70)</f>
        <v>0</v>
      </c>
      <c r="Z70" s="19">
        <f t="shared" si="71"/>
        <v>0</v>
      </c>
      <c r="AA70" s="19"/>
      <c r="AB70" s="19"/>
      <c r="AC70" s="20"/>
      <c r="AE70" s="111"/>
      <c r="AF70" s="111"/>
      <c r="AG70" s="111"/>
      <c r="AH70" s="651"/>
      <c r="AI70" s="131"/>
      <c r="AJ70" s="117"/>
      <c r="AK70" s="111"/>
      <c r="AL70" s="111"/>
      <c r="AM70" s="111"/>
      <c r="AN70" s="651"/>
      <c r="AO70" s="131"/>
      <c r="AQ70" s="17"/>
      <c r="AR70" s="17"/>
      <c r="AS70" s="17"/>
      <c r="AT70" s="18">
        <f t="shared" si="69"/>
        <v>0</v>
      </c>
      <c r="AU70" s="19">
        <f t="shared" si="72"/>
        <v>0</v>
      </c>
      <c r="AW70" s="17"/>
      <c r="AX70" s="17"/>
      <c r="AY70" s="17"/>
      <c r="AZ70" s="424">
        <f t="shared" si="73"/>
        <v>0</v>
      </c>
      <c r="BA70" s="19">
        <f t="shared" si="70"/>
        <v>0</v>
      </c>
    </row>
    <row r="71" spans="1:53" ht="17.100000000000001" customHeight="1" x14ac:dyDescent="0.25">
      <c r="A71" s="102"/>
      <c r="B71" s="118"/>
      <c r="C71" s="118"/>
      <c r="D71" s="103" t="s">
        <v>397</v>
      </c>
      <c r="E71" s="108" t="s">
        <v>41</v>
      </c>
      <c r="F71" s="108"/>
      <c r="G71" s="108"/>
      <c r="H71" s="315"/>
      <c r="I71" s="232"/>
      <c r="J71" s="152"/>
      <c r="K71" s="152"/>
      <c r="L71" s="111"/>
      <c r="M71" s="111"/>
      <c r="N71" s="61"/>
      <c r="O71" s="61"/>
      <c r="P71" s="593">
        <f t="shared" si="64"/>
        <v>0</v>
      </c>
      <c r="Q71" s="61"/>
      <c r="R71" s="61"/>
      <c r="S71" s="593">
        <f t="shared" si="65"/>
        <v>0</v>
      </c>
      <c r="T71" s="61"/>
      <c r="U71" s="61"/>
      <c r="V71" s="593">
        <f t="shared" si="66"/>
        <v>0</v>
      </c>
      <c r="W71" s="391">
        <f t="shared" si="67"/>
        <v>0</v>
      </c>
      <c r="X71" s="17">
        <f t="shared" si="68"/>
        <v>0</v>
      </c>
      <c r="Y71" s="18">
        <f>SUM(W71:X71)</f>
        <v>0</v>
      </c>
      <c r="Z71" s="19">
        <f t="shared" si="71"/>
        <v>0</v>
      </c>
      <c r="AA71" s="19"/>
      <c r="AB71" s="19"/>
      <c r="AC71" s="20"/>
      <c r="AE71" s="111"/>
      <c r="AF71" s="111"/>
      <c r="AG71" s="111"/>
      <c r="AH71" s="651"/>
      <c r="AI71" s="131"/>
      <c r="AJ71" s="117"/>
      <c r="AK71" s="111"/>
      <c r="AL71" s="111"/>
      <c r="AM71" s="111"/>
      <c r="AN71" s="651"/>
      <c r="AO71" s="131"/>
      <c r="AQ71" s="17"/>
      <c r="AR71" s="17"/>
      <c r="AS71" s="17"/>
      <c r="AT71" s="18">
        <f t="shared" si="69"/>
        <v>0</v>
      </c>
      <c r="AU71" s="19">
        <f t="shared" si="72"/>
        <v>0</v>
      </c>
      <c r="AW71" s="17"/>
      <c r="AX71" s="17"/>
      <c r="AY71" s="17"/>
      <c r="AZ71" s="424">
        <f t="shared" si="73"/>
        <v>0</v>
      </c>
      <c r="BA71" s="19">
        <f t="shared" si="70"/>
        <v>0</v>
      </c>
    </row>
    <row r="72" spans="1:53" ht="17.100000000000001" customHeight="1" x14ac:dyDescent="0.25">
      <c r="A72" s="102"/>
      <c r="B72" s="118"/>
      <c r="C72" s="118"/>
      <c r="D72" s="103" t="s">
        <v>398</v>
      </c>
      <c r="E72" s="108" t="s">
        <v>42</v>
      </c>
      <c r="F72" s="108"/>
      <c r="G72" s="108"/>
      <c r="H72" s="315"/>
      <c r="I72" s="232"/>
      <c r="J72" s="174"/>
      <c r="K72" s="174"/>
      <c r="L72" s="111"/>
      <c r="M72" s="111"/>
      <c r="N72" s="60"/>
      <c r="O72" s="60"/>
      <c r="P72" s="593">
        <f t="shared" si="64"/>
        <v>0</v>
      </c>
      <c r="Q72" s="60"/>
      <c r="R72" s="60"/>
      <c r="S72" s="593">
        <f t="shared" si="65"/>
        <v>0</v>
      </c>
      <c r="T72" s="60"/>
      <c r="U72" s="60"/>
      <c r="V72" s="593">
        <f t="shared" si="66"/>
        <v>0</v>
      </c>
      <c r="W72" s="391">
        <f t="shared" si="67"/>
        <v>0</v>
      </c>
      <c r="X72" s="17">
        <f t="shared" si="68"/>
        <v>0</v>
      </c>
      <c r="Y72" s="18">
        <f>SUM(W72:X72)</f>
        <v>0</v>
      </c>
      <c r="Z72" s="19">
        <f t="shared" si="71"/>
        <v>0</v>
      </c>
      <c r="AA72" s="19"/>
      <c r="AB72" s="19"/>
      <c r="AC72" s="20"/>
      <c r="AE72" s="111"/>
      <c r="AF72" s="111"/>
      <c r="AG72" s="111"/>
      <c r="AH72" s="651"/>
      <c r="AI72" s="131"/>
      <c r="AJ72" s="117"/>
      <c r="AK72" s="111"/>
      <c r="AL72" s="111"/>
      <c r="AM72" s="111"/>
      <c r="AN72" s="651"/>
      <c r="AO72" s="131"/>
      <c r="AQ72" s="17"/>
      <c r="AR72" s="17"/>
      <c r="AS72" s="17"/>
      <c r="AT72" s="18">
        <f t="shared" si="69"/>
        <v>0</v>
      </c>
      <c r="AU72" s="19">
        <f t="shared" si="72"/>
        <v>0</v>
      </c>
      <c r="AW72" s="17"/>
      <c r="AX72" s="17"/>
      <c r="AY72" s="17"/>
      <c r="AZ72" s="424">
        <f t="shared" si="73"/>
        <v>0</v>
      </c>
      <c r="BA72" s="19">
        <f t="shared" si="70"/>
        <v>0</v>
      </c>
    </row>
    <row r="73" spans="1:53" ht="17.100000000000001" customHeight="1" x14ac:dyDescent="0.25">
      <c r="A73" s="40"/>
      <c r="B73" s="40"/>
      <c r="C73" s="77"/>
      <c r="D73" s="78"/>
      <c r="E73" s="78"/>
      <c r="F73" s="78"/>
      <c r="G73" s="78"/>
      <c r="H73" s="316"/>
      <c r="I73" s="230"/>
      <c r="J73" s="80"/>
      <c r="K73" s="80"/>
      <c r="L73" s="80"/>
      <c r="M73" s="80"/>
      <c r="N73" s="80">
        <f>SUM(N68:N72)</f>
        <v>3</v>
      </c>
      <c r="O73" s="80">
        <f t="shared" ref="O73:X73" si="74">SUM(O68:O72)</f>
        <v>6</v>
      </c>
      <c r="P73" s="80">
        <f t="shared" si="74"/>
        <v>9</v>
      </c>
      <c r="Q73" s="80">
        <f t="shared" si="74"/>
        <v>6</v>
      </c>
      <c r="R73" s="80">
        <f t="shared" si="74"/>
        <v>1</v>
      </c>
      <c r="S73" s="80">
        <f t="shared" si="74"/>
        <v>7</v>
      </c>
      <c r="T73" s="80">
        <f t="shared" si="74"/>
        <v>0</v>
      </c>
      <c r="U73" s="80">
        <f t="shared" si="74"/>
        <v>0</v>
      </c>
      <c r="V73" s="80">
        <f t="shared" si="74"/>
        <v>0</v>
      </c>
      <c r="W73" s="381">
        <f t="shared" si="74"/>
        <v>9</v>
      </c>
      <c r="X73" s="82">
        <f t="shared" si="74"/>
        <v>7</v>
      </c>
      <c r="Y73" s="82">
        <f>SUM(Y68:Y72)</f>
        <v>16</v>
      </c>
      <c r="Z73" s="205">
        <f t="shared" si="71"/>
        <v>1</v>
      </c>
      <c r="AA73" s="205"/>
      <c r="AB73" s="205"/>
      <c r="AC73" s="83"/>
      <c r="AE73" s="81"/>
      <c r="AF73" s="81"/>
      <c r="AG73" s="81"/>
      <c r="AH73" s="82"/>
      <c r="AI73" s="66"/>
      <c r="AK73" s="81"/>
      <c r="AL73" s="81"/>
      <c r="AM73" s="81"/>
      <c r="AN73" s="82"/>
      <c r="AO73" s="66"/>
      <c r="AQ73" s="81"/>
      <c r="AR73" s="81"/>
      <c r="AS73" s="81"/>
      <c r="AT73" s="82">
        <f>SUM(AT68:AT72)</f>
        <v>9</v>
      </c>
      <c r="AU73" s="66">
        <f t="shared" si="72"/>
        <v>1</v>
      </c>
      <c r="AW73" s="81"/>
      <c r="AX73" s="81"/>
      <c r="AY73" s="81"/>
      <c r="AZ73" s="82">
        <f>SUM(AZ68:AZ72)</f>
        <v>7</v>
      </c>
      <c r="BA73" s="66">
        <f t="shared" si="70"/>
        <v>1</v>
      </c>
    </row>
    <row r="74" spans="1:53" s="117" customFormat="1" ht="17.100000000000001" customHeight="1" x14ac:dyDescent="0.25">
      <c r="A74" s="119"/>
      <c r="B74" s="119"/>
      <c r="C74" s="647"/>
      <c r="D74" s="212"/>
      <c r="E74" s="212"/>
      <c r="F74" s="212"/>
      <c r="G74" s="212"/>
      <c r="H74" s="242"/>
      <c r="I74" s="230"/>
      <c r="J74" s="17"/>
      <c r="K74" s="17"/>
      <c r="L74" s="17"/>
      <c r="M74" s="17"/>
      <c r="N74" s="17" t="str">
        <f>IF(N73=N$20,"OK","NOK")</f>
        <v>OK</v>
      </c>
      <c r="O74" s="17" t="str">
        <f>IF(O73=O$20,"OK","NOK")</f>
        <v>OK</v>
      </c>
      <c r="P74" s="17"/>
      <c r="Q74" s="17" t="str">
        <f>IF(Q73=Q$20,"OK","NOK")</f>
        <v>OK</v>
      </c>
      <c r="R74" s="17" t="str">
        <f>IF(R73=R$20,"OK","NOK")</f>
        <v>OK</v>
      </c>
      <c r="S74" s="17"/>
      <c r="T74" s="17" t="str">
        <f>IF(T73=T$20,"OK","NOK")</f>
        <v>OK</v>
      </c>
      <c r="U74" s="17" t="str">
        <f>IF(U73=U$20,"OK","NOK")</f>
        <v>OK</v>
      </c>
      <c r="V74" s="359"/>
      <c r="W74" s="382"/>
      <c r="X74" s="646"/>
      <c r="Y74" s="646"/>
      <c r="Z74" s="201"/>
      <c r="AA74" s="201"/>
      <c r="AB74" s="201"/>
      <c r="AC74" s="84"/>
      <c r="AE74" s="17"/>
      <c r="AF74" s="17"/>
      <c r="AG74" s="17"/>
      <c r="AH74" s="646"/>
      <c r="AI74" s="91"/>
      <c r="AK74" s="17"/>
      <c r="AL74" s="17"/>
      <c r="AM74" s="17"/>
      <c r="AN74" s="646"/>
      <c r="AO74" s="91"/>
      <c r="AQ74" s="17"/>
      <c r="AR74" s="17"/>
      <c r="AS74" s="17"/>
      <c r="AT74" s="646"/>
      <c r="AU74" s="91"/>
      <c r="AW74" s="17"/>
      <c r="AX74" s="17"/>
      <c r="AY74" s="17"/>
      <c r="AZ74" s="17"/>
      <c r="BA74" s="91"/>
    </row>
    <row r="75" spans="1:53" ht="17.100000000000001" customHeight="1" x14ac:dyDescent="0.25">
      <c r="A75" s="68"/>
      <c r="B75" s="41" t="s">
        <v>43</v>
      </c>
      <c r="C75" s="69" t="s">
        <v>44</v>
      </c>
      <c r="D75" s="50"/>
      <c r="E75" s="70"/>
      <c r="F75" s="70"/>
      <c r="G75" s="70"/>
      <c r="H75" s="119"/>
      <c r="J75" s="71"/>
      <c r="K75" s="71"/>
      <c r="L75" s="71"/>
      <c r="M75" s="71"/>
      <c r="N75" s="71"/>
      <c r="O75" s="71"/>
      <c r="P75" s="71"/>
      <c r="Q75" s="71"/>
      <c r="R75" s="71"/>
      <c r="S75" s="71"/>
      <c r="T75" s="71"/>
      <c r="U75" s="71"/>
      <c r="V75" s="355"/>
      <c r="W75" s="377"/>
      <c r="X75" s="71"/>
      <c r="Y75" s="72"/>
      <c r="Z75" s="73"/>
      <c r="AA75" s="73"/>
      <c r="AB75" s="73"/>
      <c r="AC75" s="73"/>
      <c r="AE75" s="71"/>
      <c r="AF75" s="71"/>
      <c r="AG75" s="71"/>
      <c r="AH75" s="72"/>
      <c r="AI75" s="73"/>
      <c r="AJ75" s="117"/>
      <c r="AK75" s="71"/>
      <c r="AL75" s="71"/>
      <c r="AM75" s="71"/>
      <c r="AN75" s="72"/>
      <c r="AO75" s="73"/>
      <c r="AP75" s="117"/>
      <c r="AQ75" s="71"/>
      <c r="AR75" s="71"/>
      <c r="AS75" s="71"/>
      <c r="AT75" s="72"/>
      <c r="AU75" s="73"/>
      <c r="AV75" s="117"/>
      <c r="AW75" s="71"/>
      <c r="AX75" s="71"/>
      <c r="AY75" s="71"/>
      <c r="AZ75" s="273"/>
      <c r="BA75" s="73"/>
    </row>
    <row r="76" spans="1:53" ht="17.100000000000001" customHeight="1" x14ac:dyDescent="0.25">
      <c r="A76" s="102"/>
      <c r="B76" s="102"/>
      <c r="C76" s="103" t="s">
        <v>45</v>
      </c>
      <c r="D76" s="108" t="s">
        <v>46</v>
      </c>
      <c r="E76" s="108"/>
      <c r="F76" s="108"/>
      <c r="G76" s="108"/>
      <c r="H76" s="258"/>
      <c r="I76" s="232"/>
      <c r="J76" s="111"/>
      <c r="K76" s="111"/>
      <c r="L76" s="111"/>
      <c r="M76" s="111"/>
      <c r="N76" s="111"/>
      <c r="O76" s="111"/>
      <c r="P76" s="111"/>
      <c r="Q76" s="111"/>
      <c r="R76" s="111"/>
      <c r="S76" s="111"/>
      <c r="T76" s="111"/>
      <c r="U76" s="111"/>
      <c r="V76" s="358"/>
      <c r="W76" s="380"/>
      <c r="X76" s="111"/>
      <c r="Y76" s="112"/>
      <c r="Z76" s="113"/>
      <c r="AA76" s="113"/>
      <c r="AB76" s="113"/>
      <c r="AC76" s="113"/>
      <c r="AE76" s="114"/>
      <c r="AF76" s="114"/>
      <c r="AG76" s="114"/>
      <c r="AH76" s="112"/>
      <c r="AI76" s="113"/>
      <c r="AJ76" s="117"/>
      <c r="AK76" s="114"/>
      <c r="AL76" s="114"/>
      <c r="AM76" s="114"/>
      <c r="AN76" s="112"/>
      <c r="AO76" s="113"/>
      <c r="AP76" s="117"/>
      <c r="AQ76" s="114"/>
      <c r="AR76" s="114"/>
      <c r="AS76" s="114"/>
      <c r="AT76" s="112"/>
      <c r="AU76" s="113"/>
      <c r="AV76" s="117"/>
      <c r="AW76" s="114"/>
      <c r="AX76" s="114"/>
      <c r="AY76" s="114"/>
      <c r="AZ76" s="114"/>
      <c r="BA76" s="113"/>
    </row>
    <row r="77" spans="1:53" ht="17.100000000000001" customHeight="1" x14ac:dyDescent="0.25">
      <c r="A77" s="102"/>
      <c r="B77" s="102"/>
      <c r="C77" s="102"/>
      <c r="D77" s="103" t="s">
        <v>47</v>
      </c>
      <c r="E77" s="108" t="s">
        <v>35</v>
      </c>
      <c r="F77" s="108"/>
      <c r="G77" s="108"/>
      <c r="H77" s="258"/>
      <c r="I77" s="232"/>
      <c r="J77" s="152"/>
      <c r="K77" s="152"/>
      <c r="L77" s="111"/>
      <c r="M77" s="111"/>
      <c r="N77" s="152"/>
      <c r="O77" s="111"/>
      <c r="P77" s="60">
        <v>1</v>
      </c>
      <c r="Q77" s="152"/>
      <c r="R77" s="111"/>
      <c r="S77" s="60">
        <v>1</v>
      </c>
      <c r="T77" s="152"/>
      <c r="U77" s="111"/>
      <c r="V77" s="361"/>
      <c r="W77" s="391"/>
      <c r="X77" s="17"/>
      <c r="Y77" s="18">
        <f>M77+P77+S77+V77</f>
        <v>2</v>
      </c>
      <c r="Z77" s="19">
        <f>IF(Y$81=0,0,Y77/Y$81)</f>
        <v>1</v>
      </c>
      <c r="AA77" s="19"/>
      <c r="AB77" s="19"/>
      <c r="AC77" s="20"/>
      <c r="AE77" s="111"/>
      <c r="AF77" s="111"/>
      <c r="AG77" s="111"/>
      <c r="AH77" s="651"/>
      <c r="AI77" s="131"/>
      <c r="AJ77" s="117"/>
      <c r="AK77" s="111"/>
      <c r="AL77" s="111"/>
      <c r="AM77" s="111"/>
      <c r="AN77" s="651"/>
      <c r="AO77" s="131"/>
      <c r="AP77" s="117"/>
      <c r="AQ77" s="111"/>
      <c r="AR77" s="111"/>
      <c r="AS77" s="111"/>
      <c r="AT77" s="651"/>
      <c r="AU77" s="131"/>
      <c r="AV77" s="117"/>
      <c r="AW77" s="111"/>
      <c r="AX77" s="111"/>
      <c r="AY77" s="111"/>
      <c r="AZ77" s="111"/>
      <c r="BA77" s="131"/>
    </row>
    <row r="78" spans="1:53" ht="17.100000000000001" customHeight="1" x14ac:dyDescent="0.25">
      <c r="A78" s="102"/>
      <c r="B78" s="102"/>
      <c r="C78" s="102"/>
      <c r="D78" s="103" t="s">
        <v>48</v>
      </c>
      <c r="E78" s="108" t="s">
        <v>49</v>
      </c>
      <c r="F78" s="108"/>
      <c r="G78" s="108"/>
      <c r="H78" s="258"/>
      <c r="I78" s="232"/>
      <c r="J78" s="152"/>
      <c r="K78" s="152"/>
      <c r="L78" s="111"/>
      <c r="M78" s="111"/>
      <c r="N78" s="152"/>
      <c r="O78" s="111"/>
      <c r="P78" s="61"/>
      <c r="Q78" s="152"/>
      <c r="R78" s="111"/>
      <c r="S78" s="61"/>
      <c r="T78" s="152"/>
      <c r="U78" s="111"/>
      <c r="V78" s="362"/>
      <c r="W78" s="391"/>
      <c r="X78" s="17"/>
      <c r="Y78" s="18">
        <f t="shared" ref="Y78:Y80" si="75">M78+P78+S78+V78</f>
        <v>0</v>
      </c>
      <c r="Z78" s="19">
        <f t="shared" ref="Z78:Z81" si="76">IF(Y$81=0,0,Y78/Y$81)</f>
        <v>0</v>
      </c>
      <c r="AA78" s="19"/>
      <c r="AB78" s="19"/>
      <c r="AC78" s="20"/>
      <c r="AE78" s="111"/>
      <c r="AF78" s="111"/>
      <c r="AG78" s="111"/>
      <c r="AH78" s="651"/>
      <c r="AI78" s="131"/>
      <c r="AJ78" s="117"/>
      <c r="AK78" s="111"/>
      <c r="AL78" s="111"/>
      <c r="AM78" s="111"/>
      <c r="AN78" s="651"/>
      <c r="AO78" s="131"/>
      <c r="AP78" s="117"/>
      <c r="AQ78" s="111"/>
      <c r="AR78" s="111"/>
      <c r="AS78" s="111"/>
      <c r="AT78" s="651"/>
      <c r="AU78" s="131"/>
      <c r="AV78" s="117"/>
      <c r="AW78" s="111"/>
      <c r="AX78" s="111"/>
      <c r="AY78" s="111"/>
      <c r="AZ78" s="111"/>
      <c r="BA78" s="131"/>
    </row>
    <row r="79" spans="1:53" ht="17.100000000000001" customHeight="1" x14ac:dyDescent="0.25">
      <c r="A79" s="102"/>
      <c r="B79" s="102"/>
      <c r="C79" s="102"/>
      <c r="D79" s="103" t="s">
        <v>50</v>
      </c>
      <c r="E79" s="108" t="s">
        <v>51</v>
      </c>
      <c r="F79" s="108"/>
      <c r="G79" s="108"/>
      <c r="H79" s="258"/>
      <c r="I79" s="232"/>
      <c r="J79" s="152"/>
      <c r="K79" s="152"/>
      <c r="L79" s="111"/>
      <c r="M79" s="111"/>
      <c r="N79" s="152"/>
      <c r="O79" s="111"/>
      <c r="P79" s="60"/>
      <c r="Q79" s="152"/>
      <c r="R79" s="111"/>
      <c r="S79" s="60"/>
      <c r="T79" s="152"/>
      <c r="U79" s="111"/>
      <c r="V79" s="361"/>
      <c r="W79" s="391"/>
      <c r="X79" s="17"/>
      <c r="Y79" s="18">
        <f t="shared" si="75"/>
        <v>0</v>
      </c>
      <c r="Z79" s="19">
        <f t="shared" si="76"/>
        <v>0</v>
      </c>
      <c r="AA79" s="19"/>
      <c r="AB79" s="19"/>
      <c r="AC79" s="20"/>
      <c r="AE79" s="111"/>
      <c r="AF79" s="111"/>
      <c r="AG79" s="111"/>
      <c r="AH79" s="651"/>
      <c r="AI79" s="131"/>
      <c r="AJ79" s="117"/>
      <c r="AK79" s="111"/>
      <c r="AL79" s="111"/>
      <c r="AM79" s="111"/>
      <c r="AN79" s="651"/>
      <c r="AO79" s="131"/>
      <c r="AP79" s="117"/>
      <c r="AQ79" s="111"/>
      <c r="AR79" s="111"/>
      <c r="AS79" s="111"/>
      <c r="AT79" s="651"/>
      <c r="AU79" s="131"/>
      <c r="AV79" s="117"/>
      <c r="AW79" s="111"/>
      <c r="AX79" s="111"/>
      <c r="AY79" s="111"/>
      <c r="AZ79" s="111"/>
      <c r="BA79" s="131"/>
    </row>
    <row r="80" spans="1:53" ht="17.100000000000001" customHeight="1" x14ac:dyDescent="0.25">
      <c r="A80" s="102"/>
      <c r="B80" s="102"/>
      <c r="C80" s="102"/>
      <c r="D80" s="103" t="s">
        <v>52</v>
      </c>
      <c r="E80" s="108" t="s">
        <v>53</v>
      </c>
      <c r="F80" s="108"/>
      <c r="G80" s="108"/>
      <c r="H80" s="258"/>
      <c r="I80" s="232"/>
      <c r="J80" s="152"/>
      <c r="K80" s="152"/>
      <c r="L80" s="111"/>
      <c r="M80" s="111"/>
      <c r="N80" s="152"/>
      <c r="O80" s="111"/>
      <c r="P80" s="61"/>
      <c r="Q80" s="152"/>
      <c r="R80" s="111"/>
      <c r="S80" s="61"/>
      <c r="T80" s="152"/>
      <c r="U80" s="111"/>
      <c r="V80" s="362"/>
      <c r="W80" s="391"/>
      <c r="X80" s="17"/>
      <c r="Y80" s="18">
        <f t="shared" si="75"/>
        <v>0</v>
      </c>
      <c r="Z80" s="19">
        <f t="shared" si="76"/>
        <v>0</v>
      </c>
      <c r="AA80" s="19"/>
      <c r="AB80" s="19"/>
      <c r="AC80" s="20"/>
      <c r="AE80" s="111"/>
      <c r="AF80" s="111"/>
      <c r="AG80" s="111"/>
      <c r="AH80" s="651"/>
      <c r="AI80" s="131"/>
      <c r="AJ80" s="117"/>
      <c r="AK80" s="111"/>
      <c r="AL80" s="111"/>
      <c r="AM80" s="111"/>
      <c r="AN80" s="651"/>
      <c r="AO80" s="131"/>
      <c r="AP80" s="117"/>
      <c r="AQ80" s="111"/>
      <c r="AR80" s="111"/>
      <c r="AS80" s="111"/>
      <c r="AT80" s="651"/>
      <c r="AU80" s="131"/>
      <c r="AV80" s="117"/>
      <c r="AW80" s="111"/>
      <c r="AX80" s="111"/>
      <c r="AY80" s="111"/>
      <c r="AZ80" s="111"/>
      <c r="BA80" s="131"/>
    </row>
    <row r="81" spans="1:53" ht="17.100000000000001" customHeight="1" x14ac:dyDescent="0.25">
      <c r="A81" s="40"/>
      <c r="B81" s="40"/>
      <c r="C81" s="77"/>
      <c r="D81" s="78"/>
      <c r="E81" s="78"/>
      <c r="F81" s="78"/>
      <c r="G81" s="78"/>
      <c r="H81" s="242"/>
      <c r="I81" s="230"/>
      <c r="J81" s="80"/>
      <c r="K81" s="80"/>
      <c r="L81" s="81"/>
      <c r="M81" s="81"/>
      <c r="N81" s="81"/>
      <c r="O81" s="81"/>
      <c r="P81" s="82">
        <f>SUM(P77:P80)</f>
        <v>1</v>
      </c>
      <c r="Q81" s="81"/>
      <c r="R81" s="81"/>
      <c r="S81" s="82">
        <f>SUM(S77:S80)</f>
        <v>1</v>
      </c>
      <c r="T81" s="81"/>
      <c r="U81" s="81"/>
      <c r="V81" s="360">
        <f>SUM(V77:V80)</f>
        <v>0</v>
      </c>
      <c r="W81" s="381"/>
      <c r="X81" s="82"/>
      <c r="Y81" s="82">
        <f t="shared" ref="Y81" si="77">SUM(Y77:Y80)</f>
        <v>2</v>
      </c>
      <c r="Z81" s="205">
        <f t="shared" si="76"/>
        <v>1</v>
      </c>
      <c r="AA81" s="205"/>
      <c r="AB81" s="205"/>
      <c r="AC81" s="83"/>
      <c r="AE81" s="81"/>
      <c r="AF81" s="81"/>
      <c r="AG81" s="81"/>
      <c r="AH81" s="82"/>
      <c r="AI81" s="66"/>
      <c r="AJ81" s="117"/>
      <c r="AK81" s="81"/>
      <c r="AL81" s="81"/>
      <c r="AM81" s="81"/>
      <c r="AN81" s="82"/>
      <c r="AO81" s="66"/>
      <c r="AP81" s="117"/>
      <c r="AQ81" s="81"/>
      <c r="AR81" s="81"/>
      <c r="AS81" s="81"/>
      <c r="AT81" s="82"/>
      <c r="AU81" s="66"/>
      <c r="AV81" s="117"/>
      <c r="AW81" s="81"/>
      <c r="AX81" s="81"/>
      <c r="AY81" s="81"/>
      <c r="AZ81" s="81"/>
      <c r="BA81" s="66"/>
    </row>
    <row r="82" spans="1:53" s="117" customFormat="1" ht="17.100000000000001" customHeight="1" x14ac:dyDescent="0.25">
      <c r="A82" s="119"/>
      <c r="B82" s="119"/>
      <c r="C82" s="647"/>
      <c r="D82" s="212"/>
      <c r="E82" s="212"/>
      <c r="F82" s="212"/>
      <c r="G82" s="212"/>
      <c r="H82" s="242"/>
      <c r="I82" s="230"/>
      <c r="J82" s="17"/>
      <c r="K82" s="17"/>
      <c r="L82" s="17"/>
      <c r="M82" s="17"/>
      <c r="N82" s="17"/>
      <c r="O82" s="17"/>
      <c r="P82" s="17" t="str">
        <f>IF(P81=1,"OK","NOK")</f>
        <v>OK</v>
      </c>
      <c r="Q82" s="17"/>
      <c r="R82" s="17"/>
      <c r="S82" s="17" t="str">
        <f>IF(S81=1,"OK","NOK")</f>
        <v>OK</v>
      </c>
      <c r="T82" s="17"/>
      <c r="U82" s="17"/>
      <c r="V82" s="359" t="str">
        <f>IF(V81=1,"OK","NOK")</f>
        <v>NOK</v>
      </c>
      <c r="W82" s="382"/>
      <c r="X82" s="646"/>
      <c r="Y82" s="646"/>
      <c r="Z82" s="201"/>
      <c r="AA82" s="201"/>
      <c r="AB82" s="201"/>
      <c r="AC82" s="84"/>
      <c r="AE82" s="17"/>
      <c r="AF82" s="17"/>
      <c r="AG82" s="17"/>
      <c r="AH82" s="646"/>
      <c r="AI82" s="91"/>
      <c r="AK82" s="17"/>
      <c r="AL82" s="17"/>
      <c r="AM82" s="17"/>
      <c r="AN82" s="646"/>
      <c r="AO82" s="91"/>
      <c r="AQ82" s="17"/>
      <c r="AR82" s="17"/>
      <c r="AS82" s="17"/>
      <c r="AT82" s="646"/>
      <c r="AU82" s="91"/>
      <c r="AW82" s="17"/>
      <c r="AX82" s="17"/>
      <c r="AY82" s="17"/>
      <c r="AZ82" s="17"/>
      <c r="BA82" s="91"/>
    </row>
    <row r="83" spans="1:53" ht="17.100000000000001" customHeight="1" x14ac:dyDescent="0.25">
      <c r="A83" s="102"/>
      <c r="B83" s="102"/>
      <c r="C83" s="103"/>
      <c r="D83" s="108"/>
      <c r="E83" s="108"/>
      <c r="F83" s="108"/>
      <c r="G83" s="108"/>
      <c r="H83" s="258"/>
      <c r="I83" s="232"/>
      <c r="J83" s="111"/>
      <c r="K83" s="111"/>
      <c r="L83" s="111"/>
      <c r="M83" s="111"/>
      <c r="N83" s="111"/>
      <c r="O83" s="111"/>
      <c r="P83" s="111"/>
      <c r="Q83" s="111"/>
      <c r="R83" s="111"/>
      <c r="S83" s="111"/>
      <c r="T83" s="111"/>
      <c r="U83" s="111"/>
      <c r="V83" s="358"/>
      <c r="W83" s="380"/>
      <c r="X83" s="111"/>
      <c r="Y83" s="112"/>
      <c r="Z83" s="113"/>
      <c r="AA83" s="113"/>
      <c r="AB83" s="113"/>
      <c r="AC83" s="113"/>
      <c r="AE83" s="114"/>
      <c r="AF83" s="114"/>
      <c r="AG83" s="114"/>
      <c r="AH83" s="112"/>
      <c r="AI83" s="113"/>
      <c r="AJ83" s="117"/>
      <c r="AK83" s="114"/>
      <c r="AL83" s="114"/>
      <c r="AM83" s="114"/>
      <c r="AN83" s="112"/>
      <c r="AO83" s="113"/>
      <c r="AP83" s="117"/>
      <c r="AQ83" s="114"/>
      <c r="AR83" s="114"/>
      <c r="AS83" s="114"/>
      <c r="AT83" s="112"/>
      <c r="AU83" s="113"/>
      <c r="AV83" s="117"/>
      <c r="AW83" s="114"/>
      <c r="AX83" s="114"/>
      <c r="AY83" s="114"/>
      <c r="AZ83" s="114"/>
      <c r="BA83" s="113"/>
    </row>
    <row r="84" spans="1:53" ht="17.100000000000001" customHeight="1" x14ac:dyDescent="0.25">
      <c r="A84" s="102"/>
      <c r="B84" s="118"/>
      <c r="C84" s="118"/>
      <c r="D84" s="103"/>
      <c r="E84" s="108"/>
      <c r="F84" s="108"/>
      <c r="G84" s="108"/>
      <c r="H84" s="258"/>
      <c r="I84" s="232"/>
      <c r="J84" s="152"/>
      <c r="K84" s="152"/>
      <c r="L84" s="111"/>
      <c r="M84" s="111"/>
      <c r="N84" s="152"/>
      <c r="O84" s="111"/>
      <c r="P84" s="587"/>
      <c r="Q84" s="152"/>
      <c r="R84" s="111"/>
      <c r="S84" s="587"/>
      <c r="T84" s="152"/>
      <c r="U84" s="111"/>
      <c r="V84" s="590"/>
      <c r="W84" s="391"/>
      <c r="X84" s="17"/>
      <c r="Y84" s="18"/>
      <c r="Z84" s="19"/>
      <c r="AA84" s="19"/>
      <c r="AB84" s="19"/>
      <c r="AC84" s="20"/>
      <c r="AE84" s="111"/>
      <c r="AF84" s="111"/>
      <c r="AG84" s="111"/>
      <c r="AH84" s="651"/>
      <c r="AI84" s="131"/>
      <c r="AJ84" s="117"/>
      <c r="AK84" s="111"/>
      <c r="AL84" s="111"/>
      <c r="AM84" s="111"/>
      <c r="AN84" s="651"/>
      <c r="AO84" s="131"/>
      <c r="AP84" s="117"/>
      <c r="AQ84" s="111"/>
      <c r="AR84" s="111"/>
      <c r="AS84" s="111"/>
      <c r="AT84" s="651"/>
      <c r="AU84" s="131"/>
      <c r="AV84" s="117"/>
      <c r="AW84" s="111"/>
      <c r="AX84" s="111"/>
      <c r="AY84" s="111"/>
      <c r="AZ84" s="111"/>
      <c r="BA84" s="131"/>
    </row>
    <row r="85" spans="1:53" ht="17.100000000000001" customHeight="1" x14ac:dyDescent="0.25">
      <c r="A85" s="102"/>
      <c r="B85" s="118"/>
      <c r="C85" s="118"/>
      <c r="D85" s="103"/>
      <c r="E85" s="108"/>
      <c r="F85" s="108"/>
      <c r="G85" s="108"/>
      <c r="H85" s="258"/>
      <c r="I85" s="232"/>
      <c r="J85" s="152"/>
      <c r="K85" s="152"/>
      <c r="L85" s="111"/>
      <c r="M85" s="111"/>
      <c r="N85" s="152"/>
      <c r="O85" s="111"/>
      <c r="P85" s="588"/>
      <c r="Q85" s="152"/>
      <c r="R85" s="111"/>
      <c r="S85" s="588"/>
      <c r="T85" s="152"/>
      <c r="U85" s="111"/>
      <c r="V85" s="591"/>
      <c r="W85" s="391"/>
      <c r="X85" s="17"/>
      <c r="Y85" s="18"/>
      <c r="Z85" s="19"/>
      <c r="AA85" s="19"/>
      <c r="AB85" s="19"/>
      <c r="AC85" s="20"/>
      <c r="AE85" s="111"/>
      <c r="AF85" s="111"/>
      <c r="AG85" s="111"/>
      <c r="AH85" s="651"/>
      <c r="AI85" s="131"/>
      <c r="AJ85" s="117"/>
      <c r="AK85" s="111"/>
      <c r="AL85" s="111"/>
      <c r="AM85" s="111"/>
      <c r="AN85" s="651"/>
      <c r="AO85" s="131"/>
      <c r="AP85" s="117"/>
      <c r="AQ85" s="111"/>
      <c r="AR85" s="111"/>
      <c r="AS85" s="111"/>
      <c r="AT85" s="651"/>
      <c r="AU85" s="131"/>
      <c r="AV85" s="117"/>
      <c r="AW85" s="111"/>
      <c r="AX85" s="111"/>
      <c r="AY85" s="111"/>
      <c r="AZ85" s="111"/>
      <c r="BA85" s="131"/>
    </row>
    <row r="86" spans="1:53" ht="17.100000000000001" customHeight="1" x14ac:dyDescent="0.25">
      <c r="A86" s="102"/>
      <c r="B86" s="118"/>
      <c r="C86" s="118"/>
      <c r="D86" s="103"/>
      <c r="E86" s="108"/>
      <c r="F86" s="108"/>
      <c r="G86" s="108"/>
      <c r="H86" s="258"/>
      <c r="I86" s="232"/>
      <c r="J86" s="152"/>
      <c r="K86" s="152"/>
      <c r="L86" s="111"/>
      <c r="M86" s="111"/>
      <c r="N86" s="152"/>
      <c r="O86" s="111"/>
      <c r="P86" s="587"/>
      <c r="Q86" s="152"/>
      <c r="R86" s="111"/>
      <c r="S86" s="587"/>
      <c r="T86" s="152"/>
      <c r="U86" s="111"/>
      <c r="V86" s="590"/>
      <c r="W86" s="391"/>
      <c r="X86" s="17"/>
      <c r="Y86" s="18"/>
      <c r="Z86" s="19"/>
      <c r="AA86" s="19"/>
      <c r="AB86" s="19"/>
      <c r="AC86" s="20"/>
      <c r="AE86" s="111"/>
      <c r="AF86" s="111"/>
      <c r="AG86" s="111"/>
      <c r="AH86" s="651"/>
      <c r="AI86" s="131"/>
      <c r="AJ86" s="117"/>
      <c r="AK86" s="111"/>
      <c r="AL86" s="111"/>
      <c r="AM86" s="111"/>
      <c r="AN86" s="651"/>
      <c r="AO86" s="131"/>
      <c r="AP86" s="117"/>
      <c r="AQ86" s="111"/>
      <c r="AR86" s="111"/>
      <c r="AS86" s="111"/>
      <c r="AT86" s="651"/>
      <c r="AU86" s="131"/>
      <c r="AV86" s="117"/>
      <c r="AW86" s="111"/>
      <c r="AX86" s="111"/>
      <c r="AY86" s="111"/>
      <c r="AZ86" s="111"/>
      <c r="BA86" s="131"/>
    </row>
    <row r="87" spans="1:53" ht="17.100000000000001" customHeight="1" x14ac:dyDescent="0.25">
      <c r="A87" s="102"/>
      <c r="B87" s="118"/>
      <c r="C87" s="118"/>
      <c r="D87" s="103"/>
      <c r="E87" s="108"/>
      <c r="F87" s="108"/>
      <c r="G87" s="108"/>
      <c r="H87" s="258"/>
      <c r="I87" s="232"/>
      <c r="J87" s="152"/>
      <c r="K87" s="152"/>
      <c r="L87" s="111"/>
      <c r="M87" s="111"/>
      <c r="N87" s="152"/>
      <c r="O87" s="111"/>
      <c r="P87" s="588"/>
      <c r="Q87" s="152"/>
      <c r="R87" s="111"/>
      <c r="S87" s="588"/>
      <c r="T87" s="152"/>
      <c r="U87" s="111"/>
      <c r="V87" s="591"/>
      <c r="W87" s="391"/>
      <c r="X87" s="17"/>
      <c r="Y87" s="18"/>
      <c r="Z87" s="19"/>
      <c r="AA87" s="19"/>
      <c r="AB87" s="19"/>
      <c r="AC87" s="20"/>
      <c r="AE87" s="111"/>
      <c r="AF87" s="111"/>
      <c r="AG87" s="111"/>
      <c r="AH87" s="651"/>
      <c r="AI87" s="131"/>
      <c r="AJ87" s="117"/>
      <c r="AK87" s="111"/>
      <c r="AL87" s="111"/>
      <c r="AM87" s="111"/>
      <c r="AN87" s="651"/>
      <c r="AO87" s="131"/>
      <c r="AP87" s="117"/>
      <c r="AQ87" s="111"/>
      <c r="AR87" s="111"/>
      <c r="AS87" s="111"/>
      <c r="AT87" s="651"/>
      <c r="AU87" s="131"/>
      <c r="AV87" s="117"/>
      <c r="AW87" s="111"/>
      <c r="AX87" s="111"/>
      <c r="AY87" s="111"/>
      <c r="AZ87" s="111"/>
      <c r="BA87" s="131"/>
    </row>
    <row r="88" spans="1:53" ht="17.100000000000001" customHeight="1" x14ac:dyDescent="0.25">
      <c r="A88" s="40"/>
      <c r="B88" s="40"/>
      <c r="C88" s="77"/>
      <c r="D88" s="78"/>
      <c r="E88" s="78"/>
      <c r="F88" s="78"/>
      <c r="G88" s="78"/>
      <c r="H88" s="242"/>
      <c r="I88" s="230"/>
      <c r="J88" s="80"/>
      <c r="K88" s="80"/>
      <c r="L88" s="81"/>
      <c r="M88" s="81"/>
      <c r="N88" s="81"/>
      <c r="O88" s="81"/>
      <c r="P88" s="82"/>
      <c r="Q88" s="81"/>
      <c r="R88" s="81"/>
      <c r="S88" s="82"/>
      <c r="T88" s="81"/>
      <c r="U88" s="81"/>
      <c r="V88" s="360"/>
      <c r="W88" s="381"/>
      <c r="X88" s="82"/>
      <c r="Y88" s="82"/>
      <c r="Z88" s="205"/>
      <c r="AA88" s="205"/>
      <c r="AB88" s="205"/>
      <c r="AC88" s="83"/>
      <c r="AE88" s="81"/>
      <c r="AF88" s="81"/>
      <c r="AG88" s="81"/>
      <c r="AH88" s="82"/>
      <c r="AI88" s="66"/>
      <c r="AJ88" s="117"/>
      <c r="AK88" s="81"/>
      <c r="AL88" s="81"/>
      <c r="AM88" s="81"/>
      <c r="AN88" s="82"/>
      <c r="AO88" s="66"/>
      <c r="AP88" s="117"/>
      <c r="AQ88" s="81"/>
      <c r="AR88" s="81"/>
      <c r="AS88" s="81"/>
      <c r="AT88" s="82"/>
      <c r="AU88" s="66"/>
      <c r="AV88" s="117"/>
      <c r="AW88" s="81"/>
      <c r="AX88" s="81"/>
      <c r="AY88" s="81"/>
      <c r="AZ88" s="81"/>
      <c r="BA88" s="66"/>
    </row>
    <row r="89" spans="1:53" s="117" customFormat="1" ht="17.100000000000001" customHeight="1" x14ac:dyDescent="0.25">
      <c r="A89" s="119"/>
      <c r="B89" s="119"/>
      <c r="C89" s="647"/>
      <c r="D89" s="212"/>
      <c r="E89" s="212"/>
      <c r="F89" s="212"/>
      <c r="G89" s="212"/>
      <c r="H89" s="242"/>
      <c r="I89" s="230"/>
      <c r="J89" s="17"/>
      <c r="K89" s="17"/>
      <c r="L89" s="17"/>
      <c r="M89" s="17"/>
      <c r="N89" s="17"/>
      <c r="O89" s="17"/>
      <c r="P89" s="17"/>
      <c r="Q89" s="17"/>
      <c r="R89" s="17"/>
      <c r="S89" s="17"/>
      <c r="T89" s="17"/>
      <c r="U89" s="17"/>
      <c r="V89" s="359"/>
      <c r="W89" s="382"/>
      <c r="X89" s="646"/>
      <c r="Y89" s="646"/>
      <c r="Z89" s="201"/>
      <c r="AA89" s="201"/>
      <c r="AB89" s="201"/>
      <c r="AC89" s="84"/>
      <c r="AE89" s="17"/>
      <c r="AF89" s="17"/>
      <c r="AG89" s="17"/>
      <c r="AH89" s="646"/>
      <c r="AI89" s="91"/>
      <c r="AK89" s="17"/>
      <c r="AL89" s="17"/>
      <c r="AM89" s="17"/>
      <c r="AN89" s="646"/>
      <c r="AO89" s="91"/>
      <c r="AQ89" s="17"/>
      <c r="AR89" s="17"/>
      <c r="AS89" s="17"/>
      <c r="AT89" s="646"/>
      <c r="AU89" s="91"/>
      <c r="AW89" s="17"/>
      <c r="AX89" s="17"/>
      <c r="AY89" s="17"/>
      <c r="AZ89" s="17"/>
      <c r="BA89" s="91"/>
    </row>
    <row r="90" spans="1:53" ht="17.100000000000001" customHeight="1" x14ac:dyDescent="0.25">
      <c r="A90" s="68"/>
      <c r="B90" s="41" t="s">
        <v>63</v>
      </c>
      <c r="C90" s="69" t="s">
        <v>64</v>
      </c>
      <c r="D90" s="50"/>
      <c r="E90" s="70"/>
      <c r="F90" s="70"/>
      <c r="G90" s="70"/>
      <c r="H90" s="84"/>
      <c r="J90" s="71"/>
      <c r="K90" s="71"/>
      <c r="L90" s="71"/>
      <c r="M90" s="71"/>
      <c r="N90" s="71"/>
      <c r="O90" s="71"/>
      <c r="P90" s="71"/>
      <c r="Q90" s="71"/>
      <c r="R90" s="71"/>
      <c r="S90" s="71"/>
      <c r="T90" s="71"/>
      <c r="U90" s="71"/>
      <c r="V90" s="71"/>
      <c r="W90" s="71"/>
      <c r="X90" s="71"/>
      <c r="Y90" s="71"/>
      <c r="Z90" s="73"/>
      <c r="AA90" s="73"/>
      <c r="AB90" s="73"/>
      <c r="AC90" s="73"/>
      <c r="AE90" s="71"/>
      <c r="AF90" s="71"/>
      <c r="AG90" s="71"/>
      <c r="AH90" s="72"/>
      <c r="AI90" s="73"/>
      <c r="AJ90" s="117"/>
      <c r="AK90" s="71"/>
      <c r="AL90" s="71"/>
      <c r="AM90" s="71"/>
      <c r="AN90" s="72"/>
      <c r="AO90" s="73"/>
      <c r="AP90" s="117"/>
      <c r="AQ90" s="71"/>
      <c r="AR90" s="71"/>
      <c r="AS90" s="71"/>
      <c r="AT90" s="72"/>
      <c r="AU90" s="73"/>
      <c r="AV90" s="117"/>
      <c r="AW90" s="71"/>
      <c r="AX90" s="71"/>
      <c r="AY90" s="71"/>
      <c r="AZ90" s="273"/>
      <c r="BA90" s="73"/>
    </row>
    <row r="91" spans="1:53" ht="17.100000000000001" customHeight="1" x14ac:dyDescent="0.25">
      <c r="A91" s="102"/>
      <c r="B91" s="102"/>
      <c r="C91" s="103" t="s">
        <v>65</v>
      </c>
      <c r="D91" s="108" t="s">
        <v>66</v>
      </c>
      <c r="E91" s="108"/>
      <c r="F91" s="108"/>
      <c r="G91" s="108"/>
      <c r="H91" s="315"/>
      <c r="I91" s="232"/>
      <c r="J91" s="111"/>
      <c r="K91" s="111"/>
      <c r="L91" s="111"/>
      <c r="M91" s="111"/>
      <c r="N91" s="111"/>
      <c r="O91" s="111"/>
      <c r="P91" s="111"/>
      <c r="Q91" s="111"/>
      <c r="R91" s="111"/>
      <c r="S91" s="111"/>
      <c r="T91" s="111"/>
      <c r="U91" s="111"/>
      <c r="V91" s="111"/>
      <c r="W91" s="111"/>
      <c r="X91" s="111"/>
      <c r="Y91" s="111"/>
      <c r="Z91" s="113"/>
      <c r="AA91" s="113"/>
      <c r="AB91" s="113"/>
      <c r="AC91" s="113"/>
      <c r="AE91" s="114"/>
      <c r="AF91" s="114"/>
      <c r="AG91" s="114"/>
      <c r="AH91" s="112"/>
      <c r="AI91" s="113"/>
      <c r="AJ91" s="117"/>
      <c r="AK91" s="114"/>
      <c r="AL91" s="114"/>
      <c r="AM91" s="114"/>
      <c r="AN91" s="112"/>
      <c r="AO91" s="113"/>
      <c r="AP91" s="117"/>
      <c r="AQ91" s="114"/>
      <c r="AR91" s="114"/>
      <c r="AS91" s="114"/>
      <c r="AT91" s="112"/>
      <c r="AU91" s="113"/>
      <c r="AV91" s="117"/>
      <c r="AW91" s="114"/>
      <c r="AX91" s="114"/>
      <c r="AY91" s="114"/>
      <c r="AZ91" s="114"/>
      <c r="BA91" s="113"/>
    </row>
    <row r="92" spans="1:53" ht="17.100000000000001" customHeight="1" x14ac:dyDescent="0.25">
      <c r="A92" s="102"/>
      <c r="B92" s="118"/>
      <c r="C92" s="118"/>
      <c r="D92" s="103" t="s">
        <v>67</v>
      </c>
      <c r="E92" s="278" t="s">
        <v>558</v>
      </c>
      <c r="F92" s="312"/>
      <c r="G92" s="312"/>
      <c r="H92" s="317"/>
      <c r="I92" s="307"/>
      <c r="J92" s="152"/>
      <c r="K92" s="152"/>
      <c r="L92" s="111"/>
      <c r="M92" s="111"/>
      <c r="N92" s="152"/>
      <c r="O92" s="111"/>
      <c r="P92" s="60">
        <v>1</v>
      </c>
      <c r="Q92" s="152"/>
      <c r="R92" s="111"/>
      <c r="S92" s="60"/>
      <c r="T92" s="152"/>
      <c r="U92" s="111"/>
      <c r="V92" s="361"/>
      <c r="W92" s="391"/>
      <c r="X92" s="17"/>
      <c r="Y92" s="18">
        <f>M92+P92+S92+V92</f>
        <v>1</v>
      </c>
      <c r="Z92" s="19">
        <f>IF(Y$96=0,0,Y92/Y$96)</f>
        <v>0.5</v>
      </c>
      <c r="AA92" s="19"/>
      <c r="AB92" s="19"/>
      <c r="AC92" s="20"/>
      <c r="AE92" s="111"/>
      <c r="AF92" s="111"/>
      <c r="AG92" s="111"/>
      <c r="AH92" s="651"/>
      <c r="AI92" s="131"/>
      <c r="AJ92" s="117"/>
      <c r="AK92" s="111"/>
      <c r="AL92" s="111"/>
      <c r="AM92" s="111"/>
      <c r="AN92" s="651"/>
      <c r="AO92" s="131"/>
      <c r="AP92" s="117"/>
      <c r="AQ92" s="111"/>
      <c r="AR92" s="111"/>
      <c r="AS92" s="111"/>
      <c r="AT92" s="651"/>
      <c r="AU92" s="131"/>
      <c r="AV92" s="117"/>
      <c r="AW92" s="111"/>
      <c r="AX92" s="111"/>
      <c r="AY92" s="111"/>
      <c r="AZ92" s="111"/>
      <c r="BA92" s="131"/>
    </row>
    <row r="93" spans="1:53" ht="17.100000000000001" customHeight="1" x14ac:dyDescent="0.25">
      <c r="A93" s="102"/>
      <c r="B93" s="118"/>
      <c r="C93" s="118"/>
      <c r="D93" s="103" t="s">
        <v>69</v>
      </c>
      <c r="E93" s="278" t="s">
        <v>559</v>
      </c>
      <c r="F93" s="108"/>
      <c r="G93" s="108"/>
      <c r="H93" s="315"/>
      <c r="I93" s="232"/>
      <c r="J93" s="152"/>
      <c r="K93" s="152"/>
      <c r="L93" s="111"/>
      <c r="M93" s="111"/>
      <c r="N93" s="152"/>
      <c r="O93" s="111"/>
      <c r="P93" s="61"/>
      <c r="Q93" s="152"/>
      <c r="R93" s="111"/>
      <c r="S93" s="61">
        <v>1</v>
      </c>
      <c r="T93" s="152"/>
      <c r="U93" s="111"/>
      <c r="V93" s="362"/>
      <c r="W93" s="391"/>
      <c r="X93" s="17"/>
      <c r="Y93" s="18">
        <f t="shared" ref="Y93:Y95" si="78">M93+P93+S93+V93</f>
        <v>1</v>
      </c>
      <c r="Z93" s="19">
        <f t="shared" ref="Z93:Z96" si="79">IF(Y$96=0,0,Y93/Y$96)</f>
        <v>0.5</v>
      </c>
      <c r="AA93" s="19"/>
      <c r="AB93" s="19"/>
      <c r="AC93" s="20"/>
      <c r="AE93" s="111"/>
      <c r="AF93" s="111"/>
      <c r="AG93" s="111"/>
      <c r="AH93" s="651"/>
      <c r="AI93" s="131"/>
      <c r="AJ93" s="117"/>
      <c r="AK93" s="111"/>
      <c r="AL93" s="111"/>
      <c r="AM93" s="111"/>
      <c r="AN93" s="651"/>
      <c r="AO93" s="131"/>
      <c r="AP93" s="117"/>
      <c r="AQ93" s="111"/>
      <c r="AR93" s="111"/>
      <c r="AS93" s="111"/>
      <c r="AT93" s="651"/>
      <c r="AU93" s="131"/>
      <c r="AV93" s="117"/>
      <c r="AW93" s="111"/>
      <c r="AX93" s="111"/>
      <c r="AY93" s="111"/>
      <c r="AZ93" s="111"/>
      <c r="BA93" s="131"/>
    </row>
    <row r="94" spans="1:53" ht="17.100000000000001" customHeight="1" x14ac:dyDescent="0.25">
      <c r="A94" s="102"/>
      <c r="B94" s="118"/>
      <c r="C94" s="118"/>
      <c r="D94" s="103" t="s">
        <v>71</v>
      </c>
      <c r="E94" s="278" t="s">
        <v>560</v>
      </c>
      <c r="F94" s="108"/>
      <c r="G94" s="108"/>
      <c r="H94" s="315"/>
      <c r="I94" s="232"/>
      <c r="J94" s="152"/>
      <c r="K94" s="152"/>
      <c r="L94" s="111"/>
      <c r="M94" s="111"/>
      <c r="N94" s="152"/>
      <c r="O94" s="111"/>
      <c r="P94" s="60"/>
      <c r="Q94" s="152"/>
      <c r="R94" s="111"/>
      <c r="S94" s="60"/>
      <c r="T94" s="152"/>
      <c r="U94" s="111"/>
      <c r="V94" s="361"/>
      <c r="W94" s="391"/>
      <c r="X94" s="17"/>
      <c r="Y94" s="18">
        <f t="shared" si="78"/>
        <v>0</v>
      </c>
      <c r="Z94" s="19">
        <f t="shared" si="79"/>
        <v>0</v>
      </c>
      <c r="AA94" s="19"/>
      <c r="AB94" s="19"/>
      <c r="AC94" s="20"/>
      <c r="AE94" s="111"/>
      <c r="AF94" s="111"/>
      <c r="AG94" s="111"/>
      <c r="AH94" s="651"/>
      <c r="AI94" s="131"/>
      <c r="AJ94" s="117"/>
      <c r="AK94" s="111"/>
      <c r="AL94" s="111"/>
      <c r="AM94" s="111"/>
      <c r="AN94" s="651"/>
      <c r="AO94" s="131"/>
      <c r="AP94" s="117"/>
      <c r="AQ94" s="111"/>
      <c r="AR94" s="111"/>
      <c r="AS94" s="111"/>
      <c r="AT94" s="651"/>
      <c r="AU94" s="131"/>
      <c r="AV94" s="117"/>
      <c r="AW94" s="111"/>
      <c r="AX94" s="111"/>
      <c r="AY94" s="111"/>
      <c r="AZ94" s="111"/>
      <c r="BA94" s="131"/>
    </row>
    <row r="95" spans="1:53" ht="17.100000000000001" customHeight="1" x14ac:dyDescent="0.25">
      <c r="A95" s="102"/>
      <c r="B95" s="118"/>
      <c r="C95" s="118"/>
      <c r="D95" s="103" t="s">
        <v>73</v>
      </c>
      <c r="E95" s="278" t="s">
        <v>561</v>
      </c>
      <c r="F95" s="312"/>
      <c r="G95" s="312"/>
      <c r="H95" s="317"/>
      <c r="I95" s="307"/>
      <c r="J95" s="152"/>
      <c r="K95" s="152"/>
      <c r="L95" s="111"/>
      <c r="M95" s="111"/>
      <c r="N95" s="152"/>
      <c r="O95" s="111"/>
      <c r="P95" s="61"/>
      <c r="Q95" s="152"/>
      <c r="R95" s="111"/>
      <c r="S95" s="61"/>
      <c r="T95" s="152"/>
      <c r="U95" s="111"/>
      <c r="V95" s="362"/>
      <c r="W95" s="391"/>
      <c r="X95" s="17"/>
      <c r="Y95" s="18">
        <f t="shared" si="78"/>
        <v>0</v>
      </c>
      <c r="Z95" s="19">
        <f t="shared" si="79"/>
        <v>0</v>
      </c>
      <c r="AA95" s="19"/>
      <c r="AB95" s="19"/>
      <c r="AC95" s="20"/>
      <c r="AE95" s="111"/>
      <c r="AF95" s="111"/>
      <c r="AG95" s="111"/>
      <c r="AH95" s="651"/>
      <c r="AI95" s="131"/>
      <c r="AJ95" s="117"/>
      <c r="AK95" s="111"/>
      <c r="AL95" s="111"/>
      <c r="AM95" s="111"/>
      <c r="AN95" s="651"/>
      <c r="AO95" s="131"/>
      <c r="AP95" s="117"/>
      <c r="AQ95" s="111"/>
      <c r="AR95" s="111"/>
      <c r="AS95" s="111"/>
      <c r="AT95" s="651"/>
      <c r="AU95" s="131"/>
      <c r="AV95" s="117"/>
      <c r="AW95" s="111"/>
      <c r="AX95" s="111"/>
      <c r="AY95" s="111"/>
      <c r="AZ95" s="111"/>
      <c r="BA95" s="131"/>
    </row>
    <row r="96" spans="1:53" ht="17.100000000000001" customHeight="1" x14ac:dyDescent="0.25">
      <c r="A96" s="40"/>
      <c r="B96" s="40"/>
      <c r="C96" s="77"/>
      <c r="D96" s="78"/>
      <c r="E96" s="78"/>
      <c r="F96" s="78"/>
      <c r="G96" s="78"/>
      <c r="H96" s="316"/>
      <c r="I96" s="230"/>
      <c r="J96" s="80"/>
      <c r="K96" s="80"/>
      <c r="L96" s="81"/>
      <c r="M96" s="81"/>
      <c r="N96" s="81"/>
      <c r="O96" s="81"/>
      <c r="P96" s="82">
        <f>SUM(P92:P95)</f>
        <v>1</v>
      </c>
      <c r="Q96" s="81"/>
      <c r="R96" s="81"/>
      <c r="S96" s="82">
        <f>SUM(S92:S95)</f>
        <v>1</v>
      </c>
      <c r="T96" s="81"/>
      <c r="U96" s="81"/>
      <c r="V96" s="360">
        <f>SUM(V92:V95)</f>
        <v>0</v>
      </c>
      <c r="W96" s="381"/>
      <c r="X96" s="82"/>
      <c r="Y96" s="82">
        <f t="shared" ref="Y96" si="80">SUM(Y92:Y95)</f>
        <v>2</v>
      </c>
      <c r="Z96" s="205">
        <f t="shared" si="79"/>
        <v>1</v>
      </c>
      <c r="AA96" s="205"/>
      <c r="AB96" s="205"/>
      <c r="AC96" s="83"/>
      <c r="AE96" s="81"/>
      <c r="AF96" s="81"/>
      <c r="AG96" s="81"/>
      <c r="AH96" s="82"/>
      <c r="AI96" s="66"/>
      <c r="AJ96" s="117"/>
      <c r="AK96" s="81"/>
      <c r="AL96" s="81"/>
      <c r="AM96" s="81"/>
      <c r="AN96" s="82"/>
      <c r="AO96" s="66"/>
      <c r="AP96" s="117"/>
      <c r="AQ96" s="81"/>
      <c r="AR96" s="81"/>
      <c r="AS96" s="81"/>
      <c r="AT96" s="82"/>
      <c r="AU96" s="66"/>
      <c r="AV96" s="117"/>
      <c r="AW96" s="81"/>
      <c r="AX96" s="81"/>
      <c r="AY96" s="81"/>
      <c r="AZ96" s="81"/>
      <c r="BA96" s="66"/>
    </row>
    <row r="97" spans="1:53" s="117" customFormat="1" ht="17.100000000000001" customHeight="1" x14ac:dyDescent="0.25">
      <c r="A97" s="119"/>
      <c r="B97" s="119"/>
      <c r="C97" s="647"/>
      <c r="D97" s="212"/>
      <c r="E97" s="212"/>
      <c r="F97" s="212"/>
      <c r="G97" s="212"/>
      <c r="H97" s="242"/>
      <c r="I97" s="230"/>
      <c r="J97" s="17"/>
      <c r="K97" s="17"/>
      <c r="L97" s="17"/>
      <c r="M97" s="17"/>
      <c r="N97" s="17"/>
      <c r="O97" s="17"/>
      <c r="P97" s="17" t="str">
        <f>IF(P96=1,"OK","NOK")</f>
        <v>OK</v>
      </c>
      <c r="Q97" s="17"/>
      <c r="R97" s="17"/>
      <c r="S97" s="17" t="str">
        <f>IF(S96=1,"OK","NOK")</f>
        <v>OK</v>
      </c>
      <c r="T97" s="17"/>
      <c r="U97" s="17"/>
      <c r="V97" s="359" t="str">
        <f>IF(V96=1,"OK","NOK")</f>
        <v>NOK</v>
      </c>
      <c r="W97" s="382"/>
      <c r="X97" s="646"/>
      <c r="Y97" s="646"/>
      <c r="Z97" s="201"/>
      <c r="AA97" s="201"/>
      <c r="AB97" s="201"/>
      <c r="AC97" s="84"/>
      <c r="AE97" s="17"/>
      <c r="AF97" s="17"/>
      <c r="AG97" s="17"/>
      <c r="AH97" s="646"/>
      <c r="AI97" s="91"/>
      <c r="AK97" s="17"/>
      <c r="AL97" s="17"/>
      <c r="AM97" s="17"/>
      <c r="AN97" s="646"/>
      <c r="AO97" s="91"/>
      <c r="AQ97" s="17"/>
      <c r="AR97" s="17"/>
      <c r="AS97" s="17"/>
      <c r="AT97" s="646"/>
      <c r="AU97" s="91"/>
      <c r="AW97" s="17"/>
      <c r="AX97" s="17"/>
      <c r="AY97" s="17"/>
      <c r="AZ97" s="17"/>
      <c r="BA97" s="91"/>
    </row>
    <row r="98" spans="1:53" s="97" customFormat="1" ht="17.100000000000001" customHeight="1" x14ac:dyDescent="0.25">
      <c r="A98" s="68"/>
      <c r="B98" s="41" t="s">
        <v>74</v>
      </c>
      <c r="C98" s="69" t="s">
        <v>12</v>
      </c>
      <c r="D98" s="50"/>
      <c r="E98" s="70"/>
      <c r="F98" s="70"/>
      <c r="G98" s="70"/>
      <c r="H98" s="84"/>
      <c r="J98" s="71"/>
      <c r="K98" s="71"/>
      <c r="L98" s="71"/>
      <c r="M98" s="71"/>
      <c r="N98" s="71"/>
      <c r="O98" s="71"/>
      <c r="P98" s="71"/>
      <c r="Q98" s="71"/>
      <c r="R98" s="71"/>
      <c r="S98" s="71"/>
      <c r="T98" s="71"/>
      <c r="U98" s="71"/>
      <c r="V98" s="355"/>
      <c r="W98" s="377"/>
      <c r="X98" s="71"/>
      <c r="Y98" s="71"/>
      <c r="Z98" s="73"/>
      <c r="AA98" s="73"/>
      <c r="AB98" s="73"/>
      <c r="AC98" s="73"/>
      <c r="AE98" s="273"/>
      <c r="AF98" s="273"/>
      <c r="AG98" s="273"/>
      <c r="AH98" s="72"/>
      <c r="AI98" s="73"/>
      <c r="AJ98" s="3"/>
      <c r="AK98" s="273"/>
      <c r="AL98" s="273"/>
      <c r="AM98" s="273"/>
      <c r="AN98" s="72"/>
      <c r="AO98" s="73"/>
      <c r="AP98" s="3"/>
      <c r="AQ98" s="71"/>
      <c r="AR98" s="71"/>
      <c r="AS98" s="71"/>
      <c r="AT98" s="89"/>
      <c r="AU98" s="421"/>
      <c r="AV98" s="3"/>
      <c r="AW98" s="71"/>
      <c r="AX98" s="71"/>
      <c r="AY98" s="71"/>
      <c r="AZ98" s="71"/>
      <c r="BA98" s="421"/>
    </row>
    <row r="99" spans="1:53" s="97" customFormat="1" ht="17.100000000000001" customHeight="1" x14ac:dyDescent="0.25">
      <c r="A99" s="119"/>
      <c r="B99" s="119"/>
      <c r="C99" s="120" t="s">
        <v>895</v>
      </c>
      <c r="D99" s="85"/>
      <c r="E99" s="75"/>
      <c r="F99" s="75"/>
      <c r="G99" s="75"/>
      <c r="H99" s="928"/>
      <c r="I99" s="229"/>
      <c r="J99" s="111"/>
      <c r="K99" s="111"/>
      <c r="L99" s="111"/>
      <c r="M99" s="111"/>
      <c r="N99" s="111"/>
      <c r="O99" s="111"/>
      <c r="P99" s="111"/>
      <c r="Q99" s="111"/>
      <c r="R99" s="111"/>
      <c r="S99" s="111"/>
      <c r="T99" s="111"/>
      <c r="U99" s="111"/>
      <c r="V99" s="358"/>
      <c r="W99" s="380"/>
      <c r="X99" s="111"/>
      <c r="Y99" s="112"/>
      <c r="Z99" s="113"/>
      <c r="AA99" s="113"/>
      <c r="AB99" s="113"/>
      <c r="AC99" s="113"/>
      <c r="AE99" s="114"/>
      <c r="AF99" s="114"/>
      <c r="AG99" s="114"/>
      <c r="AH99" s="112"/>
      <c r="AI99" s="113"/>
      <c r="AK99" s="114"/>
      <c r="AL99" s="114"/>
      <c r="AM99" s="114"/>
      <c r="AN99" s="112"/>
      <c r="AO99" s="113"/>
      <c r="AQ99" s="114"/>
      <c r="AR99" s="114"/>
      <c r="AS99" s="114"/>
      <c r="AT99" s="112"/>
      <c r="AU99" s="113"/>
      <c r="AW99" s="114"/>
      <c r="AX99" s="114"/>
      <c r="AY99" s="114"/>
      <c r="AZ99" s="112"/>
      <c r="BA99" s="113"/>
    </row>
    <row r="100" spans="1:53" s="97" customFormat="1" ht="17.100000000000001" customHeight="1" x14ac:dyDescent="0.25">
      <c r="A100" s="119"/>
      <c r="B100" s="119"/>
      <c r="C100" s="928"/>
      <c r="D100" s="121" t="s">
        <v>75</v>
      </c>
      <c r="E100" s="122"/>
      <c r="F100" s="122"/>
      <c r="G100" s="122"/>
      <c r="H100" s="928"/>
      <c r="I100" s="229"/>
      <c r="J100" s="123"/>
      <c r="K100" s="123"/>
      <c r="L100" s="123"/>
      <c r="M100" s="123"/>
      <c r="N100" s="123"/>
      <c r="O100" s="123"/>
      <c r="P100" s="123"/>
      <c r="Q100" s="123"/>
      <c r="R100" s="123"/>
      <c r="S100" s="123"/>
      <c r="T100" s="123"/>
      <c r="U100" s="123"/>
      <c r="V100" s="363"/>
      <c r="W100" s="383"/>
      <c r="X100" s="123"/>
      <c r="Y100" s="124"/>
      <c r="Z100" s="125"/>
      <c r="AA100" s="125"/>
      <c r="AB100" s="125"/>
      <c r="AC100" s="125"/>
      <c r="AE100" s="126"/>
      <c r="AF100" s="126"/>
      <c r="AG100" s="126"/>
      <c r="AH100" s="124"/>
      <c r="AI100" s="125"/>
      <c r="AK100" s="126"/>
      <c r="AL100" s="126"/>
      <c r="AM100" s="126"/>
      <c r="AN100" s="124"/>
      <c r="AO100" s="125"/>
      <c r="AQ100" s="126"/>
      <c r="AR100" s="126"/>
      <c r="AS100" s="126"/>
      <c r="AT100" s="124"/>
      <c r="AU100" s="125"/>
      <c r="AW100" s="126"/>
      <c r="AX100" s="126"/>
      <c r="AY100" s="126"/>
      <c r="AZ100" s="124"/>
      <c r="BA100" s="125"/>
    </row>
    <row r="101" spans="1:53" s="97" customFormat="1" ht="17.100000000000001" customHeight="1" x14ac:dyDescent="0.25">
      <c r="A101" s="137"/>
      <c r="B101" s="119"/>
      <c r="C101" s="928"/>
      <c r="D101" s="941" t="s">
        <v>1438</v>
      </c>
      <c r="E101" s="122"/>
      <c r="F101" s="122"/>
      <c r="G101" s="122"/>
      <c r="H101" s="928"/>
      <c r="I101" s="229"/>
      <c r="J101" s="123"/>
      <c r="K101" s="123"/>
      <c r="L101" s="123"/>
      <c r="M101" s="123"/>
      <c r="N101" s="123">
        <f>N40</f>
        <v>0</v>
      </c>
      <c r="O101" s="123">
        <f>O40</f>
        <v>0</v>
      </c>
      <c r="P101" s="942">
        <f>SUM(N101:O101)</f>
        <v>0</v>
      </c>
      <c r="Q101" s="123">
        <f>Q40</f>
        <v>0</v>
      </c>
      <c r="R101" s="123">
        <f>R40</f>
        <v>0</v>
      </c>
      <c r="S101" s="942">
        <f>SUM(Q101:R101)</f>
        <v>0</v>
      </c>
      <c r="T101" s="123">
        <f>T40</f>
        <v>0</v>
      </c>
      <c r="U101" s="123">
        <f>U40</f>
        <v>0</v>
      </c>
      <c r="V101" s="942">
        <f>SUM(T101:U101)</f>
        <v>0</v>
      </c>
      <c r="W101" s="383"/>
      <c r="X101" s="123"/>
      <c r="Y101" s="124"/>
      <c r="Z101" s="125"/>
      <c r="AA101" s="125"/>
      <c r="AB101" s="125"/>
      <c r="AC101" s="125"/>
      <c r="AE101" s="126"/>
      <c r="AF101" s="126"/>
      <c r="AG101" s="126"/>
      <c r="AH101" s="124"/>
      <c r="AI101" s="125"/>
      <c r="AK101" s="126"/>
      <c r="AL101" s="126"/>
      <c r="AM101" s="126"/>
      <c r="AN101" s="124"/>
      <c r="AO101" s="125"/>
      <c r="AQ101" s="126"/>
      <c r="AR101" s="126"/>
      <c r="AS101" s="126"/>
      <c r="AT101" s="124"/>
      <c r="AU101" s="125"/>
      <c r="AW101" s="126"/>
      <c r="AX101" s="126"/>
      <c r="AY101" s="126"/>
      <c r="AZ101" s="124"/>
      <c r="BA101" s="125"/>
    </row>
    <row r="102" spans="1:53" s="97" customFormat="1" ht="17.100000000000001" customHeight="1" x14ac:dyDescent="0.25">
      <c r="A102" s="137"/>
      <c r="B102" s="119"/>
      <c r="C102" s="928"/>
      <c r="D102" s="127" t="s">
        <v>76</v>
      </c>
      <c r="E102" s="128"/>
      <c r="F102" s="122"/>
      <c r="G102" s="122"/>
      <c r="H102" s="928"/>
      <c r="I102" s="229"/>
      <c r="J102" s="123"/>
      <c r="K102" s="123"/>
      <c r="L102" s="123"/>
      <c r="M102" s="123"/>
      <c r="N102" s="943">
        <f>N63</f>
        <v>2</v>
      </c>
      <c r="O102" s="943">
        <f>O63</f>
        <v>0</v>
      </c>
      <c r="P102" s="942">
        <f>SUM(N102:O102)</f>
        <v>2</v>
      </c>
      <c r="Q102" s="943">
        <f>Q63</f>
        <v>0</v>
      </c>
      <c r="R102" s="943">
        <f>R63</f>
        <v>0</v>
      </c>
      <c r="S102" s="942">
        <f>SUM(Q102:R102)</f>
        <v>0</v>
      </c>
      <c r="T102" s="943">
        <f>T63</f>
        <v>0</v>
      </c>
      <c r="U102" s="943">
        <f>U63</f>
        <v>0</v>
      </c>
      <c r="V102" s="942">
        <f>SUM(T102:U102)</f>
        <v>0</v>
      </c>
      <c r="W102" s="383"/>
      <c r="X102" s="123"/>
      <c r="Y102" s="129">
        <f t="shared" ref="Y102:Y105" si="81">M102+P102+S102+V102</f>
        <v>2</v>
      </c>
      <c r="Z102" s="125"/>
      <c r="AA102" s="125"/>
      <c r="AB102" s="125"/>
      <c r="AC102" s="125"/>
      <c r="AE102" s="123"/>
      <c r="AF102" s="123"/>
      <c r="AG102" s="123"/>
      <c r="AH102" s="124"/>
      <c r="AI102" s="125"/>
      <c r="AK102" s="123"/>
      <c r="AL102" s="123"/>
      <c r="AM102" s="123"/>
      <c r="AN102" s="124"/>
      <c r="AO102" s="125"/>
      <c r="AQ102" s="123"/>
      <c r="AR102" s="123"/>
      <c r="AS102" s="123"/>
      <c r="AT102" s="124"/>
      <c r="AU102" s="125"/>
      <c r="AW102" s="123"/>
      <c r="AX102" s="123"/>
      <c r="AY102" s="123"/>
      <c r="AZ102" s="124"/>
      <c r="BA102" s="125"/>
    </row>
    <row r="103" spans="1:53" s="97" customFormat="1" ht="17.100000000000001" customHeight="1" x14ac:dyDescent="0.25">
      <c r="A103" s="137"/>
      <c r="B103" s="119"/>
      <c r="C103" s="928"/>
      <c r="D103" s="127" t="s">
        <v>77</v>
      </c>
      <c r="E103" s="128"/>
      <c r="F103" s="122"/>
      <c r="G103" s="122"/>
      <c r="H103" s="928"/>
      <c r="I103" s="229"/>
      <c r="J103" s="123"/>
      <c r="K103" s="123"/>
      <c r="L103" s="123"/>
      <c r="M103" s="123"/>
      <c r="N103" s="943">
        <f>N64</f>
        <v>0</v>
      </c>
      <c r="O103" s="943">
        <f>O64</f>
        <v>0</v>
      </c>
      <c r="P103" s="942">
        <f t="shared" ref="P103:P107" si="82">SUM(N103:O103)</f>
        <v>0</v>
      </c>
      <c r="Q103" s="943">
        <f>Q64</f>
        <v>0</v>
      </c>
      <c r="R103" s="943">
        <f>R64</f>
        <v>0</v>
      </c>
      <c r="S103" s="942">
        <f t="shared" ref="S103:S107" si="83">SUM(Q103:R103)</f>
        <v>0</v>
      </c>
      <c r="T103" s="943">
        <f>T64</f>
        <v>0</v>
      </c>
      <c r="U103" s="943">
        <f>U64</f>
        <v>0</v>
      </c>
      <c r="V103" s="942">
        <f t="shared" ref="V103:V107" si="84">SUM(T103:U103)</f>
        <v>0</v>
      </c>
      <c r="W103" s="383"/>
      <c r="X103" s="123"/>
      <c r="Y103" s="129">
        <f t="shared" si="81"/>
        <v>0</v>
      </c>
      <c r="Z103" s="125"/>
      <c r="AA103" s="125"/>
      <c r="AB103" s="125"/>
      <c r="AC103" s="125"/>
      <c r="AE103" s="123"/>
      <c r="AF103" s="123"/>
      <c r="AG103" s="123"/>
      <c r="AH103" s="124"/>
      <c r="AI103" s="125"/>
      <c r="AK103" s="123"/>
      <c r="AL103" s="123"/>
      <c r="AM103" s="123"/>
      <c r="AN103" s="124"/>
      <c r="AO103" s="125"/>
      <c r="AQ103" s="123"/>
      <c r="AR103" s="123"/>
      <c r="AS103" s="123"/>
      <c r="AT103" s="124"/>
      <c r="AU103" s="125"/>
      <c r="AW103" s="123"/>
      <c r="AX103" s="123"/>
      <c r="AY103" s="123"/>
      <c r="AZ103" s="124"/>
      <c r="BA103" s="125"/>
    </row>
    <row r="104" spans="1:53" s="97" customFormat="1" ht="17.100000000000001" customHeight="1" x14ac:dyDescent="0.25">
      <c r="A104" s="137"/>
      <c r="B104" s="137"/>
      <c r="C104" s="928"/>
      <c r="D104" s="127" t="s">
        <v>78</v>
      </c>
      <c r="E104" s="128"/>
      <c r="F104" s="122"/>
      <c r="G104" s="122"/>
      <c r="H104" s="928"/>
      <c r="I104" s="229"/>
      <c r="J104" s="123"/>
      <c r="K104" s="123"/>
      <c r="L104" s="123"/>
      <c r="M104" s="123"/>
      <c r="N104" s="943">
        <f>N71</f>
        <v>0</v>
      </c>
      <c r="O104" s="943">
        <f>O71</f>
        <v>0</v>
      </c>
      <c r="P104" s="942">
        <f t="shared" si="82"/>
        <v>0</v>
      </c>
      <c r="Q104" s="943">
        <f>Q71</f>
        <v>0</v>
      </c>
      <c r="R104" s="943">
        <f>R71</f>
        <v>0</v>
      </c>
      <c r="S104" s="942">
        <f t="shared" si="83"/>
        <v>0</v>
      </c>
      <c r="T104" s="943">
        <f>T71</f>
        <v>0</v>
      </c>
      <c r="U104" s="943">
        <f>U71</f>
        <v>0</v>
      </c>
      <c r="V104" s="942">
        <f t="shared" si="84"/>
        <v>0</v>
      </c>
      <c r="W104" s="383"/>
      <c r="X104" s="123"/>
      <c r="Y104" s="129">
        <f t="shared" si="81"/>
        <v>0</v>
      </c>
      <c r="Z104" s="125"/>
      <c r="AA104" s="125"/>
      <c r="AB104" s="125"/>
      <c r="AC104" s="125"/>
      <c r="AE104" s="123"/>
      <c r="AF104" s="123"/>
      <c r="AG104" s="123"/>
      <c r="AH104" s="124"/>
      <c r="AI104" s="125"/>
      <c r="AK104" s="123"/>
      <c r="AL104" s="123"/>
      <c r="AM104" s="123"/>
      <c r="AN104" s="124"/>
      <c r="AO104" s="125"/>
      <c r="AQ104" s="123"/>
      <c r="AR104" s="123"/>
      <c r="AS104" s="123"/>
      <c r="AT104" s="124"/>
      <c r="AU104" s="125"/>
      <c r="AW104" s="123"/>
      <c r="AX104" s="123"/>
      <c r="AY104" s="123"/>
      <c r="AZ104" s="124"/>
      <c r="BA104" s="125"/>
    </row>
    <row r="105" spans="1:53" s="97" customFormat="1" ht="17.100000000000001" customHeight="1" x14ac:dyDescent="0.25">
      <c r="A105" s="137"/>
      <c r="B105" s="137"/>
      <c r="C105" s="928"/>
      <c r="D105" s="127" t="s">
        <v>79</v>
      </c>
      <c r="E105" s="122"/>
      <c r="F105" s="122"/>
      <c r="G105" s="122"/>
      <c r="H105" s="928"/>
      <c r="I105" s="229"/>
      <c r="J105" s="123"/>
      <c r="K105" s="123"/>
      <c r="L105" s="123"/>
      <c r="M105" s="123"/>
      <c r="N105" s="943">
        <f>N72</f>
        <v>0</v>
      </c>
      <c r="O105" s="943">
        <f>O72</f>
        <v>0</v>
      </c>
      <c r="P105" s="942">
        <f t="shared" si="82"/>
        <v>0</v>
      </c>
      <c r="Q105" s="943">
        <f>Q72</f>
        <v>0</v>
      </c>
      <c r="R105" s="943">
        <f>R72</f>
        <v>0</v>
      </c>
      <c r="S105" s="942">
        <f t="shared" si="83"/>
        <v>0</v>
      </c>
      <c r="T105" s="943">
        <f>T72</f>
        <v>0</v>
      </c>
      <c r="U105" s="943">
        <f>U72</f>
        <v>0</v>
      </c>
      <c r="V105" s="942">
        <f t="shared" si="84"/>
        <v>0</v>
      </c>
      <c r="W105" s="383"/>
      <c r="X105" s="123"/>
      <c r="Y105" s="129">
        <f t="shared" si="81"/>
        <v>0</v>
      </c>
      <c r="Z105" s="125"/>
      <c r="AA105" s="125"/>
      <c r="AB105" s="125"/>
      <c r="AC105" s="125"/>
      <c r="AE105" s="123"/>
      <c r="AF105" s="123"/>
      <c r="AG105" s="123"/>
      <c r="AH105" s="124"/>
      <c r="AI105" s="125"/>
      <c r="AK105" s="123"/>
      <c r="AL105" s="123"/>
      <c r="AM105" s="123"/>
      <c r="AN105" s="124"/>
      <c r="AO105" s="125"/>
      <c r="AQ105" s="123"/>
      <c r="AR105" s="123"/>
      <c r="AS105" s="123"/>
      <c r="AT105" s="124"/>
      <c r="AU105" s="125"/>
      <c r="AW105" s="123"/>
      <c r="AX105" s="123"/>
      <c r="AY105" s="123"/>
      <c r="AZ105" s="124"/>
      <c r="BA105" s="125"/>
    </row>
    <row r="106" spans="1:53" s="97" customFormat="1" ht="17.100000000000001" customHeight="1" x14ac:dyDescent="0.25">
      <c r="A106" s="137"/>
      <c r="B106" s="137"/>
      <c r="C106" s="928"/>
      <c r="D106" s="127" t="s">
        <v>81</v>
      </c>
      <c r="E106" s="122"/>
      <c r="F106" s="122"/>
      <c r="G106" s="122"/>
      <c r="H106" s="928"/>
      <c r="I106" s="229"/>
      <c r="J106" s="123"/>
      <c r="K106" s="123"/>
      <c r="L106" s="123"/>
      <c r="M106" s="123"/>
      <c r="N106" s="943">
        <f>SUM(N101:N105)</f>
        <v>2</v>
      </c>
      <c r="O106" s="943">
        <f>SUM(O101:O105)</f>
        <v>0</v>
      </c>
      <c r="P106" s="942">
        <f t="shared" si="82"/>
        <v>2</v>
      </c>
      <c r="Q106" s="943">
        <f>SUM(Q101:Q105)</f>
        <v>0</v>
      </c>
      <c r="R106" s="943">
        <f>SUM(R101:R105)</f>
        <v>0</v>
      </c>
      <c r="S106" s="942">
        <f t="shared" si="83"/>
        <v>0</v>
      </c>
      <c r="T106" s="943">
        <f>SUM(T101:T105)</f>
        <v>0</v>
      </c>
      <c r="U106" s="943">
        <f>SUM(U101:U105)</f>
        <v>0</v>
      </c>
      <c r="V106" s="942">
        <f t="shared" si="84"/>
        <v>0</v>
      </c>
      <c r="W106" s="383"/>
      <c r="X106" s="123"/>
      <c r="Y106" s="129"/>
      <c r="Z106" s="125"/>
      <c r="AA106" s="125"/>
      <c r="AB106" s="125"/>
      <c r="AC106" s="125"/>
      <c r="AE106" s="123"/>
      <c r="AF106" s="123"/>
      <c r="AG106" s="123"/>
      <c r="AH106" s="124"/>
      <c r="AI106" s="125"/>
      <c r="AK106" s="123"/>
      <c r="AL106" s="123"/>
      <c r="AM106" s="123"/>
      <c r="AN106" s="124"/>
      <c r="AO106" s="125"/>
      <c r="AQ106" s="123"/>
      <c r="AR106" s="123"/>
      <c r="AS106" s="123"/>
      <c r="AT106" s="124"/>
      <c r="AU106" s="125"/>
      <c r="AW106" s="123"/>
      <c r="AX106" s="123"/>
      <c r="AY106" s="123"/>
      <c r="AZ106" s="124"/>
      <c r="BA106" s="125"/>
    </row>
    <row r="107" spans="1:53" s="97" customFormat="1" ht="17.100000000000001" customHeight="1" x14ac:dyDescent="0.25">
      <c r="A107" s="137"/>
      <c r="B107" s="137"/>
      <c r="C107" s="928"/>
      <c r="D107" s="127" t="s">
        <v>1439</v>
      </c>
      <c r="E107" s="122"/>
      <c r="F107" s="122"/>
      <c r="G107" s="122"/>
      <c r="H107" s="928"/>
      <c r="I107" s="229"/>
      <c r="J107" s="123"/>
      <c r="K107" s="123"/>
      <c r="L107" s="123"/>
      <c r="M107" s="123"/>
      <c r="N107" s="943">
        <f>N20*3</f>
        <v>9</v>
      </c>
      <c r="O107" s="943">
        <f>O20*3</f>
        <v>18</v>
      </c>
      <c r="P107" s="942">
        <f t="shared" si="82"/>
        <v>27</v>
      </c>
      <c r="Q107" s="943">
        <f>Q20*3</f>
        <v>18</v>
      </c>
      <c r="R107" s="943">
        <f>R20*3</f>
        <v>3</v>
      </c>
      <c r="S107" s="942">
        <f t="shared" si="83"/>
        <v>21</v>
      </c>
      <c r="T107" s="943">
        <f>T20*3</f>
        <v>0</v>
      </c>
      <c r="U107" s="943">
        <f>U20*3</f>
        <v>0</v>
      </c>
      <c r="V107" s="942">
        <f t="shared" si="84"/>
        <v>0</v>
      </c>
      <c r="W107" s="383"/>
      <c r="X107" s="123"/>
      <c r="Y107" s="129"/>
      <c r="Z107" s="125"/>
      <c r="AA107" s="125"/>
      <c r="AB107" s="125"/>
      <c r="AC107" s="125"/>
      <c r="AE107" s="123"/>
      <c r="AF107" s="123"/>
      <c r="AG107" s="123"/>
      <c r="AH107" s="124"/>
      <c r="AI107" s="125"/>
      <c r="AK107" s="123"/>
      <c r="AL107" s="123"/>
      <c r="AM107" s="123"/>
      <c r="AN107" s="124"/>
      <c r="AO107" s="125"/>
      <c r="AQ107" s="123"/>
      <c r="AR107" s="123"/>
      <c r="AS107" s="123"/>
      <c r="AT107" s="124"/>
      <c r="AU107" s="125"/>
      <c r="AW107" s="123"/>
      <c r="AX107" s="123"/>
      <c r="AY107" s="123"/>
      <c r="AZ107" s="124"/>
      <c r="BA107" s="125"/>
    </row>
    <row r="108" spans="1:53" s="97" customFormat="1" ht="17.100000000000001" customHeight="1" x14ac:dyDescent="0.25">
      <c r="A108" s="137"/>
      <c r="B108" s="119"/>
      <c r="C108" s="928"/>
      <c r="D108" s="127" t="s">
        <v>1440</v>
      </c>
      <c r="E108" s="122"/>
      <c r="F108" s="122"/>
      <c r="G108" s="122"/>
      <c r="H108" s="928"/>
      <c r="I108" s="229"/>
      <c r="J108" s="123"/>
      <c r="K108" s="123"/>
      <c r="L108" s="123"/>
      <c r="M108" s="123"/>
      <c r="N108" s="130">
        <f>IF(N107=0,0,N106/N107)</f>
        <v>0.22222222222222221</v>
      </c>
      <c r="O108" s="130">
        <f t="shared" ref="O108:V108" si="85">IF(O107=0,0,O106/O107)</f>
        <v>0</v>
      </c>
      <c r="P108" s="130">
        <f t="shared" si="85"/>
        <v>7.407407407407407E-2</v>
      </c>
      <c r="Q108" s="130">
        <f t="shared" si="85"/>
        <v>0</v>
      </c>
      <c r="R108" s="130">
        <f t="shared" si="85"/>
        <v>0</v>
      </c>
      <c r="S108" s="130">
        <f t="shared" si="85"/>
        <v>0</v>
      </c>
      <c r="T108" s="130">
        <f t="shared" si="85"/>
        <v>0</v>
      </c>
      <c r="U108" s="130">
        <f t="shared" si="85"/>
        <v>0</v>
      </c>
      <c r="V108" s="130">
        <f t="shared" si="85"/>
        <v>0</v>
      </c>
      <c r="W108" s="383"/>
      <c r="X108" s="123"/>
      <c r="Y108" s="129"/>
      <c r="Z108" s="125"/>
      <c r="AA108" s="125"/>
      <c r="AB108" s="125"/>
      <c r="AC108" s="125"/>
      <c r="AE108" s="123"/>
      <c r="AF108" s="123"/>
      <c r="AG108" s="123"/>
      <c r="AH108" s="124"/>
      <c r="AI108" s="125"/>
      <c r="AK108" s="123"/>
      <c r="AL108" s="123"/>
      <c r="AM108" s="123"/>
      <c r="AN108" s="124"/>
      <c r="AO108" s="125"/>
      <c r="AQ108" s="123"/>
      <c r="AR108" s="123"/>
      <c r="AS108" s="123"/>
      <c r="AT108" s="124"/>
      <c r="AU108" s="125"/>
      <c r="AW108" s="123"/>
      <c r="AX108" s="123"/>
      <c r="AY108" s="123"/>
      <c r="AZ108" s="124"/>
      <c r="BA108" s="125"/>
    </row>
    <row r="109" spans="1:53" s="97" customFormat="1" ht="17.100000000000001" customHeight="1" x14ac:dyDescent="0.25">
      <c r="A109" s="137"/>
      <c r="B109" s="119"/>
      <c r="C109" s="103" t="s">
        <v>80</v>
      </c>
      <c r="D109" s="85" t="s">
        <v>896</v>
      </c>
      <c r="E109" s="75"/>
      <c r="F109" s="75"/>
      <c r="G109" s="75"/>
      <c r="H109" s="1310"/>
      <c r="I109" s="229"/>
      <c r="J109" s="1309"/>
      <c r="K109" s="1309"/>
      <c r="L109" s="1309"/>
      <c r="M109" s="1309"/>
      <c r="N109" s="1309"/>
      <c r="O109" s="1309"/>
      <c r="P109" s="1309">
        <f>IF(P108&gt;=0.5,1,0)</f>
        <v>0</v>
      </c>
      <c r="Q109" s="1309"/>
      <c r="R109" s="1309"/>
      <c r="S109" s="1309">
        <f>IF(S108&gt;=0.5,1,0)</f>
        <v>0</v>
      </c>
      <c r="T109" s="1309"/>
      <c r="U109" s="1309"/>
      <c r="V109" s="1309">
        <f>IF(V108&gt;=0.5,1,0)</f>
        <v>0</v>
      </c>
      <c r="W109" s="382"/>
      <c r="X109" s="1309"/>
      <c r="Y109" s="1309">
        <f t="shared" ref="Y109" si="86">M109+P109+S109+V109</f>
        <v>0</v>
      </c>
      <c r="Z109" s="91"/>
      <c r="AA109" s="91"/>
      <c r="AB109" s="91"/>
      <c r="AC109" s="84"/>
      <c r="AE109" s="1309"/>
      <c r="AF109" s="1309"/>
      <c r="AG109" s="1309"/>
      <c r="AH109" s="1309"/>
      <c r="AI109" s="91"/>
      <c r="AK109" s="1309"/>
      <c r="AL109" s="1309"/>
      <c r="AM109" s="1309"/>
      <c r="AN109" s="1309"/>
      <c r="AO109" s="91"/>
      <c r="AQ109" s="1309"/>
      <c r="AR109" s="1309"/>
      <c r="AS109" s="1309"/>
      <c r="AT109" s="1309"/>
      <c r="AU109" s="91"/>
      <c r="AW109" s="1309"/>
      <c r="AX109" s="1309"/>
      <c r="AY109" s="1309"/>
      <c r="AZ109" s="1309"/>
      <c r="BA109" s="91"/>
    </row>
    <row r="110" spans="1:53" s="97" customFormat="1" ht="17.100000000000001" customHeight="1" x14ac:dyDescent="0.25">
      <c r="A110" s="119"/>
      <c r="B110" s="119"/>
      <c r="C110" s="928"/>
      <c r="D110" s="121" t="s">
        <v>82</v>
      </c>
      <c r="E110" s="122"/>
      <c r="F110" s="122"/>
      <c r="G110" s="122"/>
      <c r="H110" s="928"/>
      <c r="I110" s="229"/>
      <c r="J110" s="123"/>
      <c r="K110" s="123"/>
      <c r="L110" s="123"/>
      <c r="M110" s="123"/>
      <c r="N110" s="123"/>
      <c r="O110" s="123"/>
      <c r="P110" s="123"/>
      <c r="Q110" s="123"/>
      <c r="R110" s="123"/>
      <c r="S110" s="123"/>
      <c r="T110" s="123"/>
      <c r="U110" s="123"/>
      <c r="V110" s="363"/>
      <c r="W110" s="383"/>
      <c r="X110" s="123"/>
      <c r="Y110" s="124"/>
      <c r="Z110" s="125"/>
      <c r="AA110" s="125"/>
      <c r="AB110" s="125"/>
      <c r="AC110" s="125"/>
      <c r="AE110" s="126"/>
      <c r="AF110" s="126"/>
      <c r="AG110" s="126"/>
      <c r="AH110" s="124"/>
      <c r="AI110" s="125"/>
      <c r="AK110" s="126"/>
      <c r="AL110" s="126"/>
      <c r="AM110" s="126"/>
      <c r="AN110" s="124"/>
      <c r="AO110" s="125"/>
      <c r="AQ110" s="126"/>
      <c r="AR110" s="126"/>
      <c r="AS110" s="126"/>
      <c r="AT110" s="124"/>
      <c r="AU110" s="125"/>
      <c r="AW110" s="126"/>
      <c r="AX110" s="126"/>
      <c r="AY110" s="126"/>
      <c r="AZ110" s="124"/>
      <c r="BA110" s="125"/>
    </row>
    <row r="111" spans="1:53" s="97" customFormat="1" ht="17.100000000000001" customHeight="1" x14ac:dyDescent="0.25">
      <c r="A111" s="119"/>
      <c r="B111" s="119"/>
      <c r="C111" s="928"/>
      <c r="D111" s="127" t="s">
        <v>910</v>
      </c>
      <c r="E111" s="122"/>
      <c r="F111" s="122"/>
      <c r="G111" s="122"/>
      <c r="H111" s="928"/>
      <c r="I111" s="229"/>
      <c r="J111" s="123"/>
      <c r="K111" s="123"/>
      <c r="L111" s="123"/>
      <c r="M111" s="123"/>
      <c r="N111" s="123"/>
      <c r="O111" s="123"/>
      <c r="P111" s="129">
        <f>P80</f>
        <v>0</v>
      </c>
      <c r="Q111" s="123"/>
      <c r="R111" s="123"/>
      <c r="S111" s="129">
        <f>S80</f>
        <v>0</v>
      </c>
      <c r="T111" s="123"/>
      <c r="U111" s="123"/>
      <c r="V111" s="129">
        <f>V80</f>
        <v>0</v>
      </c>
      <c r="W111" s="383"/>
      <c r="X111" s="123"/>
      <c r="Y111" s="124"/>
      <c r="Z111" s="125"/>
      <c r="AA111" s="125"/>
      <c r="AB111" s="125"/>
      <c r="AC111" s="125"/>
      <c r="AE111" s="126"/>
      <c r="AF111" s="126"/>
      <c r="AG111" s="126"/>
      <c r="AH111" s="124"/>
      <c r="AI111" s="125"/>
      <c r="AK111" s="126"/>
      <c r="AL111" s="126"/>
      <c r="AM111" s="126"/>
      <c r="AN111" s="124"/>
      <c r="AO111" s="125"/>
      <c r="AQ111" s="126"/>
      <c r="AR111" s="126"/>
      <c r="AS111" s="126"/>
      <c r="AT111" s="124"/>
      <c r="AU111" s="125"/>
      <c r="AW111" s="126"/>
      <c r="AX111" s="126"/>
      <c r="AY111" s="126"/>
      <c r="AZ111" s="124"/>
      <c r="BA111" s="125"/>
    </row>
    <row r="112" spans="1:53" s="97" customFormat="1" ht="17.100000000000001" customHeight="1" x14ac:dyDescent="0.25">
      <c r="A112" s="119"/>
      <c r="B112" s="119"/>
      <c r="C112" s="928"/>
      <c r="D112" s="127" t="s">
        <v>83</v>
      </c>
      <c r="E112" s="122"/>
      <c r="F112" s="122"/>
      <c r="G112" s="122"/>
      <c r="H112" s="928"/>
      <c r="I112" s="229"/>
      <c r="J112" s="123"/>
      <c r="K112" s="123"/>
      <c r="L112" s="123"/>
      <c r="M112" s="123"/>
      <c r="N112" s="123"/>
      <c r="O112" s="123"/>
      <c r="P112" s="129">
        <f>P85</f>
        <v>0</v>
      </c>
      <c r="Q112" s="123"/>
      <c r="R112" s="123"/>
      <c r="S112" s="129">
        <f>S85</f>
        <v>0</v>
      </c>
      <c r="T112" s="123"/>
      <c r="U112" s="123"/>
      <c r="V112" s="129">
        <f>V85</f>
        <v>0</v>
      </c>
      <c r="W112" s="383"/>
      <c r="X112" s="123"/>
      <c r="Y112" s="129"/>
      <c r="Z112" s="125"/>
      <c r="AA112" s="125"/>
      <c r="AB112" s="125"/>
      <c r="AC112" s="125"/>
      <c r="AE112" s="123"/>
      <c r="AF112" s="123"/>
      <c r="AG112" s="123"/>
      <c r="AH112" s="124"/>
      <c r="AI112" s="125"/>
      <c r="AK112" s="123"/>
      <c r="AL112" s="123"/>
      <c r="AM112" s="123"/>
      <c r="AN112" s="124"/>
      <c r="AO112" s="125"/>
      <c r="AQ112" s="123"/>
      <c r="AR112" s="123"/>
      <c r="AS112" s="123"/>
      <c r="AT112" s="124"/>
      <c r="AU112" s="125"/>
      <c r="AW112" s="123"/>
      <c r="AX112" s="123"/>
      <c r="AY112" s="123"/>
      <c r="AZ112" s="124"/>
      <c r="BA112" s="125"/>
    </row>
    <row r="113" spans="1:53" s="97" customFormat="1" ht="17.100000000000001" customHeight="1" x14ac:dyDescent="0.25">
      <c r="A113" s="119"/>
      <c r="B113" s="119"/>
      <c r="C113" s="928"/>
      <c r="D113" s="127" t="s">
        <v>84</v>
      </c>
      <c r="E113" s="122"/>
      <c r="F113" s="122"/>
      <c r="G113" s="122"/>
      <c r="H113" s="928"/>
      <c r="I113" s="229"/>
      <c r="J113" s="123"/>
      <c r="K113" s="123"/>
      <c r="L113" s="123"/>
      <c r="M113" s="123"/>
      <c r="N113" s="123"/>
      <c r="O113" s="123"/>
      <c r="P113" s="129">
        <f>P86</f>
        <v>0</v>
      </c>
      <c r="Q113" s="123"/>
      <c r="R113" s="123"/>
      <c r="S113" s="129">
        <f>S86</f>
        <v>0</v>
      </c>
      <c r="T113" s="123"/>
      <c r="U113" s="123"/>
      <c r="V113" s="129">
        <f>V86</f>
        <v>0</v>
      </c>
      <c r="W113" s="383"/>
      <c r="X113" s="123"/>
      <c r="Y113" s="129"/>
      <c r="Z113" s="125"/>
      <c r="AA113" s="125"/>
      <c r="AB113" s="125"/>
      <c r="AC113" s="125"/>
      <c r="AE113" s="123"/>
      <c r="AF113" s="123"/>
      <c r="AG113" s="123"/>
      <c r="AH113" s="124"/>
      <c r="AI113" s="125"/>
      <c r="AK113" s="123"/>
      <c r="AL113" s="123"/>
      <c r="AM113" s="123"/>
      <c r="AN113" s="124"/>
      <c r="AO113" s="125"/>
      <c r="AQ113" s="123"/>
      <c r="AR113" s="123"/>
      <c r="AS113" s="123"/>
      <c r="AT113" s="124"/>
      <c r="AU113" s="125"/>
      <c r="AW113" s="123"/>
      <c r="AX113" s="123"/>
      <c r="AY113" s="123"/>
      <c r="AZ113" s="124"/>
      <c r="BA113" s="125"/>
    </row>
    <row r="114" spans="1:53" s="97" customFormat="1" ht="17.100000000000001" customHeight="1" x14ac:dyDescent="0.25">
      <c r="A114" s="119"/>
      <c r="B114" s="119"/>
      <c r="C114" s="928"/>
      <c r="D114" s="127" t="s">
        <v>85</v>
      </c>
      <c r="E114" s="122"/>
      <c r="F114" s="122"/>
      <c r="G114" s="122"/>
      <c r="H114" s="928"/>
      <c r="I114" s="229"/>
      <c r="J114" s="123"/>
      <c r="K114" s="123"/>
      <c r="L114" s="123"/>
      <c r="M114" s="123"/>
      <c r="N114" s="123"/>
      <c r="O114" s="123"/>
      <c r="P114" s="129">
        <f>P87</f>
        <v>0</v>
      </c>
      <c r="Q114" s="123"/>
      <c r="R114" s="123"/>
      <c r="S114" s="129">
        <f>S87</f>
        <v>0</v>
      </c>
      <c r="T114" s="123"/>
      <c r="U114" s="123"/>
      <c r="V114" s="129">
        <f>V87</f>
        <v>0</v>
      </c>
      <c r="W114" s="383"/>
      <c r="X114" s="123"/>
      <c r="Y114" s="129"/>
      <c r="Z114" s="125"/>
      <c r="AA114" s="125"/>
      <c r="AB114" s="125"/>
      <c r="AC114" s="125"/>
      <c r="AE114" s="123"/>
      <c r="AF114" s="123"/>
      <c r="AG114" s="123"/>
      <c r="AH114" s="124"/>
      <c r="AI114" s="125"/>
      <c r="AK114" s="123"/>
      <c r="AL114" s="123"/>
      <c r="AM114" s="123"/>
      <c r="AN114" s="124"/>
      <c r="AO114" s="125"/>
      <c r="AQ114" s="123"/>
      <c r="AR114" s="123"/>
      <c r="AS114" s="123"/>
      <c r="AT114" s="124"/>
      <c r="AU114" s="125"/>
      <c r="AW114" s="123"/>
      <c r="AX114" s="123"/>
      <c r="AY114" s="123"/>
      <c r="AZ114" s="124"/>
      <c r="BA114" s="125"/>
    </row>
    <row r="115" spans="1:53" s="97" customFormat="1" ht="17.100000000000001" customHeight="1" x14ac:dyDescent="0.25">
      <c r="A115" s="119"/>
      <c r="B115" s="119"/>
      <c r="C115" s="103" t="s">
        <v>86</v>
      </c>
      <c r="D115" s="85" t="s">
        <v>907</v>
      </c>
      <c r="E115" s="75"/>
      <c r="F115" s="75"/>
      <c r="G115" s="75"/>
      <c r="H115" s="928"/>
      <c r="I115" s="229"/>
      <c r="J115" s="932"/>
      <c r="K115" s="932"/>
      <c r="L115" s="932"/>
      <c r="M115" s="932"/>
      <c r="N115" s="932"/>
      <c r="O115" s="932"/>
      <c r="P115" s="932"/>
      <c r="Q115" s="932"/>
      <c r="R115" s="932"/>
      <c r="S115" s="932"/>
      <c r="T115" s="932"/>
      <c r="U115" s="932"/>
      <c r="V115" s="932"/>
      <c r="W115" s="385"/>
      <c r="X115" s="932"/>
      <c r="Y115" s="932"/>
      <c r="Z115" s="131"/>
      <c r="AA115" s="131"/>
      <c r="AB115" s="131"/>
      <c r="AC115" s="113"/>
      <c r="AE115" s="927"/>
      <c r="AF115" s="927"/>
      <c r="AG115" s="927"/>
      <c r="AH115" s="927"/>
      <c r="AI115" s="91"/>
      <c r="AK115" s="927"/>
      <c r="AL115" s="927"/>
      <c r="AM115" s="927"/>
      <c r="AN115" s="927"/>
      <c r="AO115" s="91"/>
      <c r="AQ115" s="927"/>
      <c r="AR115" s="927"/>
      <c r="AS115" s="927"/>
      <c r="AT115" s="927"/>
      <c r="AU115" s="91"/>
      <c r="AW115" s="927"/>
      <c r="AX115" s="927"/>
      <c r="AY115" s="927"/>
      <c r="AZ115" s="927"/>
      <c r="BA115" s="91"/>
    </row>
    <row r="116" spans="1:53" s="97" customFormat="1" ht="17.100000000000001" customHeight="1" x14ac:dyDescent="0.25">
      <c r="A116" s="119"/>
      <c r="B116" s="119"/>
      <c r="C116" s="119"/>
      <c r="D116" s="74" t="s">
        <v>905</v>
      </c>
      <c r="E116" s="75" t="s">
        <v>908</v>
      </c>
      <c r="F116" s="75"/>
      <c r="G116" s="75"/>
      <c r="H116" s="928"/>
      <c r="I116" s="229"/>
      <c r="J116" s="927"/>
      <c r="K116" s="927"/>
      <c r="L116" s="927"/>
      <c r="M116" s="927"/>
      <c r="N116" s="927"/>
      <c r="O116" s="927"/>
      <c r="P116" s="927">
        <f>IF(SUM(P111:P112)&gt;=1,1,0)</f>
        <v>0</v>
      </c>
      <c r="Q116" s="927"/>
      <c r="R116" s="927"/>
      <c r="S116" s="927">
        <f>IF(SUM(S111:S112)&gt;=1,1,0)</f>
        <v>0</v>
      </c>
      <c r="T116" s="927"/>
      <c r="U116" s="927"/>
      <c r="V116" s="927">
        <f>IF(SUM(V111:V112)&gt;=1,1,0)</f>
        <v>0</v>
      </c>
      <c r="W116" s="382"/>
      <c r="X116" s="927"/>
      <c r="Y116" s="927">
        <f t="shared" ref="Y116:Y121" si="87">M116+P116+S116+V116</f>
        <v>0</v>
      </c>
      <c r="Z116" s="91"/>
      <c r="AA116" s="91"/>
      <c r="AB116" s="91"/>
      <c r="AC116" s="84"/>
      <c r="AE116" s="927"/>
      <c r="AF116" s="927"/>
      <c r="AG116" s="927"/>
      <c r="AH116" s="927"/>
      <c r="AI116" s="91"/>
      <c r="AK116" s="927"/>
      <c r="AL116" s="927"/>
      <c r="AM116" s="927"/>
      <c r="AN116" s="927"/>
      <c r="AO116" s="91"/>
      <c r="AQ116" s="927"/>
      <c r="AR116" s="927"/>
      <c r="AS116" s="927"/>
      <c r="AT116" s="927"/>
      <c r="AU116" s="91"/>
      <c r="AW116" s="927"/>
      <c r="AX116" s="927"/>
      <c r="AY116" s="927"/>
      <c r="AZ116" s="927"/>
      <c r="BA116" s="91"/>
    </row>
    <row r="117" spans="1:53" s="97" customFormat="1" ht="17.100000000000001" customHeight="1" x14ac:dyDescent="0.25">
      <c r="A117" s="119"/>
      <c r="B117" s="119"/>
      <c r="C117" s="119"/>
      <c r="D117" s="74" t="s">
        <v>906</v>
      </c>
      <c r="E117" s="75" t="s">
        <v>909</v>
      </c>
      <c r="F117" s="75"/>
      <c r="G117" s="75"/>
      <c r="H117" s="928"/>
      <c r="I117" s="229"/>
      <c r="J117" s="927"/>
      <c r="K117" s="927"/>
      <c r="L117" s="927"/>
      <c r="M117" s="927"/>
      <c r="N117" s="927"/>
      <c r="O117" s="927"/>
      <c r="P117" s="927">
        <f>IF(SUM(P113:P114)&gt;=1,1,0)</f>
        <v>0</v>
      </c>
      <c r="Q117" s="927"/>
      <c r="R117" s="927"/>
      <c r="S117" s="927">
        <f>IF(SUM(S113:S114)&gt;=1,1,0)</f>
        <v>0</v>
      </c>
      <c r="T117" s="927"/>
      <c r="U117" s="927"/>
      <c r="V117" s="927">
        <f>IF(SUM(V113:V114)&gt;=1,1,0)</f>
        <v>0</v>
      </c>
      <c r="W117" s="382"/>
      <c r="X117" s="927"/>
      <c r="Y117" s="927">
        <f t="shared" si="87"/>
        <v>0</v>
      </c>
      <c r="Z117" s="91"/>
      <c r="AA117" s="91"/>
      <c r="AB117" s="91"/>
      <c r="AC117" s="84"/>
      <c r="AE117" s="927"/>
      <c r="AF117" s="927"/>
      <c r="AG117" s="927"/>
      <c r="AH117" s="927"/>
      <c r="AI117" s="91"/>
      <c r="AK117" s="927"/>
      <c r="AL117" s="927"/>
      <c r="AM117" s="927"/>
      <c r="AN117" s="927"/>
      <c r="AO117" s="91"/>
      <c r="AQ117" s="927"/>
      <c r="AR117" s="927"/>
      <c r="AS117" s="927"/>
      <c r="AT117" s="927"/>
      <c r="AU117" s="91"/>
      <c r="AW117" s="927"/>
      <c r="AX117" s="927"/>
      <c r="AY117" s="927"/>
      <c r="AZ117" s="927"/>
      <c r="BA117" s="91"/>
    </row>
    <row r="118" spans="1:53" s="97" customFormat="1" ht="17.100000000000001" customHeight="1" x14ac:dyDescent="0.25">
      <c r="A118" s="119"/>
      <c r="B118" s="119"/>
      <c r="C118" s="928"/>
      <c r="D118" s="121" t="s">
        <v>88</v>
      </c>
      <c r="E118" s="122"/>
      <c r="F118" s="122"/>
      <c r="G118" s="122"/>
      <c r="H118" s="928"/>
      <c r="I118" s="229"/>
      <c r="J118" s="123"/>
      <c r="K118" s="123"/>
      <c r="L118" s="123"/>
      <c r="M118" s="123"/>
      <c r="N118" s="123"/>
      <c r="O118" s="123"/>
      <c r="P118" s="123"/>
      <c r="Q118" s="123"/>
      <c r="R118" s="123"/>
      <c r="S118" s="123"/>
      <c r="T118" s="123"/>
      <c r="U118" s="123"/>
      <c r="V118" s="363"/>
      <c r="W118" s="383"/>
      <c r="X118" s="123"/>
      <c r="Y118" s="124"/>
      <c r="Z118" s="125"/>
      <c r="AA118" s="125"/>
      <c r="AB118" s="125"/>
      <c r="AC118" s="125"/>
      <c r="AE118" s="126"/>
      <c r="AF118" s="126"/>
      <c r="AG118" s="126"/>
      <c r="AH118" s="124"/>
      <c r="AI118" s="125"/>
      <c r="AK118" s="126"/>
      <c r="AL118" s="126"/>
      <c r="AM118" s="126"/>
      <c r="AN118" s="124"/>
      <c r="AO118" s="125"/>
      <c r="AQ118" s="126"/>
      <c r="AR118" s="126"/>
      <c r="AS118" s="126"/>
      <c r="AT118" s="124"/>
      <c r="AU118" s="125"/>
      <c r="AW118" s="126"/>
      <c r="AX118" s="126"/>
      <c r="AY118" s="126"/>
      <c r="AZ118" s="124"/>
      <c r="BA118" s="125"/>
    </row>
    <row r="119" spans="1:53" s="97" customFormat="1" ht="17.100000000000001" customHeight="1" x14ac:dyDescent="0.25">
      <c r="A119" s="119"/>
      <c r="B119" s="119"/>
      <c r="C119" s="928"/>
      <c r="D119" s="127" t="s">
        <v>90</v>
      </c>
      <c r="E119" s="122"/>
      <c r="F119" s="122"/>
      <c r="G119" s="279"/>
      <c r="H119" s="928"/>
      <c r="I119" s="229"/>
      <c r="J119" s="123"/>
      <c r="K119" s="123"/>
      <c r="L119" s="123"/>
      <c r="M119" s="123"/>
      <c r="N119" s="123"/>
      <c r="O119" s="123"/>
      <c r="P119" s="123">
        <f>P92</f>
        <v>1</v>
      </c>
      <c r="Q119" s="123"/>
      <c r="R119" s="123"/>
      <c r="S119" s="123">
        <f>S92</f>
        <v>0</v>
      </c>
      <c r="T119" s="123"/>
      <c r="U119" s="123"/>
      <c r="V119" s="123">
        <f>V92</f>
        <v>0</v>
      </c>
      <c r="W119" s="383"/>
      <c r="X119" s="123"/>
      <c r="Y119" s="123">
        <f t="shared" si="87"/>
        <v>1</v>
      </c>
      <c r="Z119" s="125"/>
      <c r="AA119" s="125"/>
      <c r="AB119" s="125"/>
      <c r="AC119" s="125"/>
      <c r="AE119" s="123"/>
      <c r="AF119" s="123"/>
      <c r="AG119" s="123"/>
      <c r="AH119" s="124"/>
      <c r="AI119" s="125"/>
      <c r="AK119" s="123"/>
      <c r="AL119" s="123"/>
      <c r="AM119" s="123"/>
      <c r="AN119" s="124"/>
      <c r="AO119" s="125"/>
      <c r="AQ119" s="123"/>
      <c r="AR119" s="123"/>
      <c r="AS119" s="123"/>
      <c r="AT119" s="124"/>
      <c r="AU119" s="125"/>
      <c r="AW119" s="123"/>
      <c r="AX119" s="123"/>
      <c r="AY119" s="123"/>
      <c r="AZ119" s="124"/>
      <c r="BA119" s="125"/>
    </row>
    <row r="120" spans="1:53" s="97" customFormat="1" ht="17.100000000000001" customHeight="1" x14ac:dyDescent="0.25">
      <c r="A120" s="119"/>
      <c r="B120" s="119"/>
      <c r="C120" s="928"/>
      <c r="D120" s="127" t="s">
        <v>89</v>
      </c>
      <c r="E120" s="122"/>
      <c r="F120" s="128"/>
      <c r="G120" s="279"/>
      <c r="H120" s="928"/>
      <c r="I120" s="229"/>
      <c r="J120" s="123"/>
      <c r="K120" s="123"/>
      <c r="L120" s="123"/>
      <c r="M120" s="123"/>
      <c r="N120" s="123"/>
      <c r="O120" s="123"/>
      <c r="P120" s="123">
        <f>SUM(P93:P95)</f>
        <v>0</v>
      </c>
      <c r="Q120" s="123"/>
      <c r="R120" s="123"/>
      <c r="S120" s="123">
        <f>SUM(S93:S95)</f>
        <v>1</v>
      </c>
      <c r="T120" s="123"/>
      <c r="U120" s="123"/>
      <c r="V120" s="123">
        <f>SUM(V93:V95)</f>
        <v>0</v>
      </c>
      <c r="W120" s="383"/>
      <c r="X120" s="123"/>
      <c r="Y120" s="123">
        <f t="shared" si="87"/>
        <v>1</v>
      </c>
      <c r="Z120" s="125"/>
      <c r="AA120" s="125"/>
      <c r="AB120" s="125"/>
      <c r="AC120" s="125"/>
      <c r="AE120" s="123"/>
      <c r="AF120" s="123"/>
      <c r="AG120" s="123"/>
      <c r="AH120" s="124"/>
      <c r="AI120" s="125"/>
      <c r="AK120" s="123"/>
      <c r="AL120" s="123"/>
      <c r="AM120" s="123"/>
      <c r="AN120" s="124"/>
      <c r="AO120" s="125"/>
      <c r="AQ120" s="123"/>
      <c r="AR120" s="123"/>
      <c r="AS120" s="123"/>
      <c r="AT120" s="124"/>
      <c r="AU120" s="125"/>
      <c r="AW120" s="123"/>
      <c r="AX120" s="123"/>
      <c r="AY120" s="123"/>
      <c r="AZ120" s="124"/>
      <c r="BA120" s="125"/>
    </row>
    <row r="121" spans="1:53" s="97" customFormat="1" ht="17.100000000000001" customHeight="1" x14ac:dyDescent="0.25">
      <c r="A121" s="119"/>
      <c r="B121" s="119"/>
      <c r="C121" s="928"/>
      <c r="D121" s="127" t="s">
        <v>91</v>
      </c>
      <c r="E121" s="122"/>
      <c r="F121" s="122"/>
      <c r="G121" s="279"/>
      <c r="H121" s="928"/>
      <c r="I121" s="229"/>
      <c r="J121" s="129"/>
      <c r="K121" s="129"/>
      <c r="L121" s="129"/>
      <c r="M121" s="129"/>
      <c r="N121" s="129"/>
      <c r="O121" s="129"/>
      <c r="P121" s="129">
        <f t="shared" ref="P121" si="88">IF(P119=1,0,IF(P120=1,1,0))</f>
        <v>0</v>
      </c>
      <c r="Q121" s="129"/>
      <c r="R121" s="129"/>
      <c r="S121" s="129">
        <f t="shared" ref="S121" si="89">IF(S119=1,0,IF(S120=1,1,0))</f>
        <v>1</v>
      </c>
      <c r="T121" s="129"/>
      <c r="U121" s="129"/>
      <c r="V121" s="129">
        <f t="shared" ref="V121" si="90">IF(V119=1,0,IF(V120=1,1,0))</f>
        <v>0</v>
      </c>
      <c r="W121" s="384"/>
      <c r="X121" s="129"/>
      <c r="Y121" s="129">
        <f t="shared" si="87"/>
        <v>1</v>
      </c>
      <c r="Z121" s="130"/>
      <c r="AA121" s="130"/>
      <c r="AB121" s="130"/>
      <c r="AC121" s="125"/>
      <c r="AE121" s="129"/>
      <c r="AF121" s="129"/>
      <c r="AG121" s="129"/>
      <c r="AH121" s="129"/>
      <c r="AI121" s="130"/>
      <c r="AK121" s="129"/>
      <c r="AL121" s="129"/>
      <c r="AM121" s="129"/>
      <c r="AN121" s="129"/>
      <c r="AO121" s="130"/>
      <c r="AQ121" s="129"/>
      <c r="AR121" s="129"/>
      <c r="AS121" s="129"/>
      <c r="AT121" s="129"/>
      <c r="AU121" s="130"/>
      <c r="AW121" s="129"/>
      <c r="AX121" s="129"/>
      <c r="AY121" s="129"/>
      <c r="AZ121" s="129"/>
      <c r="BA121" s="130"/>
    </row>
    <row r="122" spans="1:53" s="97" customFormat="1" ht="17.100000000000001" customHeight="1" x14ac:dyDescent="0.25">
      <c r="A122" s="119"/>
      <c r="B122" s="119"/>
      <c r="C122" s="103" t="s">
        <v>92</v>
      </c>
      <c r="D122" s="85" t="s">
        <v>914</v>
      </c>
      <c r="E122" s="75"/>
      <c r="F122" s="75"/>
      <c r="G122" s="75"/>
      <c r="H122" s="928"/>
      <c r="I122" s="229"/>
      <c r="J122" s="927"/>
      <c r="K122" s="927"/>
      <c r="L122" s="927"/>
      <c r="M122" s="927"/>
      <c r="N122" s="927"/>
      <c r="O122" s="927"/>
      <c r="P122" s="927">
        <f>P121</f>
        <v>0</v>
      </c>
      <c r="Q122" s="927"/>
      <c r="R122" s="927"/>
      <c r="S122" s="927">
        <f>S121</f>
        <v>1</v>
      </c>
      <c r="T122" s="927"/>
      <c r="U122" s="927"/>
      <c r="V122" s="927">
        <f>V121</f>
        <v>0</v>
      </c>
      <c r="W122" s="382"/>
      <c r="X122" s="927"/>
      <c r="Y122" s="927">
        <f>SUM(J122:X122)</f>
        <v>1</v>
      </c>
      <c r="Z122" s="91"/>
      <c r="AA122" s="91"/>
      <c r="AB122" s="91"/>
      <c r="AC122" s="84"/>
      <c r="AE122" s="927"/>
      <c r="AF122" s="927"/>
      <c r="AG122" s="927"/>
      <c r="AH122" s="927"/>
      <c r="AI122" s="91"/>
      <c r="AK122" s="927"/>
      <c r="AL122" s="927"/>
      <c r="AM122" s="927"/>
      <c r="AN122" s="927"/>
      <c r="AO122" s="91"/>
      <c r="AQ122" s="927"/>
      <c r="AR122" s="927"/>
      <c r="AS122" s="927"/>
      <c r="AT122" s="927"/>
      <c r="AU122" s="91"/>
      <c r="AW122" s="927"/>
      <c r="AX122" s="927"/>
      <c r="AY122" s="927"/>
      <c r="AZ122" s="927"/>
      <c r="BA122" s="91"/>
    </row>
    <row r="123" spans="1:53" s="97" customFormat="1" ht="17.100000000000001" customHeight="1" x14ac:dyDescent="0.25">
      <c r="A123" s="119"/>
      <c r="B123" s="119"/>
      <c r="C123" s="103" t="s">
        <v>93</v>
      </c>
      <c r="D123" s="85" t="s">
        <v>94</v>
      </c>
      <c r="E123" s="75"/>
      <c r="F123" s="75"/>
      <c r="G123" s="75"/>
      <c r="H123" s="928"/>
      <c r="I123" s="229"/>
      <c r="J123" s="932"/>
      <c r="K123" s="932"/>
      <c r="L123" s="932"/>
      <c r="M123" s="932"/>
      <c r="N123" s="932"/>
      <c r="O123" s="932"/>
      <c r="P123" s="932"/>
      <c r="Q123" s="932"/>
      <c r="R123" s="932"/>
      <c r="S123" s="932"/>
      <c r="T123" s="932"/>
      <c r="U123" s="932"/>
      <c r="V123" s="364"/>
      <c r="W123" s="385"/>
      <c r="X123" s="932"/>
      <c r="Y123" s="932"/>
      <c r="Z123" s="131"/>
      <c r="AA123" s="131"/>
      <c r="AB123" s="131"/>
      <c r="AC123" s="113"/>
      <c r="AE123" s="114"/>
      <c r="AF123" s="114"/>
      <c r="AG123" s="114"/>
      <c r="AH123" s="112"/>
      <c r="AI123" s="113"/>
      <c r="AK123" s="114"/>
      <c r="AL123" s="114"/>
      <c r="AM123" s="114"/>
      <c r="AN123" s="112"/>
      <c r="AO123" s="113"/>
      <c r="AQ123" s="114"/>
      <c r="AR123" s="114"/>
      <c r="AS123" s="114"/>
      <c r="AT123" s="112"/>
      <c r="AU123" s="113"/>
      <c r="AW123" s="114"/>
      <c r="AX123" s="114"/>
      <c r="AY123" s="114"/>
      <c r="AZ123" s="112"/>
      <c r="BA123" s="113"/>
    </row>
    <row r="124" spans="1:53" s="97" customFormat="1" ht="17.100000000000001" customHeight="1" x14ac:dyDescent="0.25">
      <c r="A124" s="137"/>
      <c r="B124" s="119"/>
      <c r="C124" s="132"/>
      <c r="D124" s="133" t="s">
        <v>95</v>
      </c>
      <c r="E124" s="134"/>
      <c r="F124" s="134"/>
      <c r="G124" s="134"/>
      <c r="H124" s="928"/>
      <c r="I124" s="229"/>
      <c r="J124" s="82"/>
      <c r="K124" s="82"/>
      <c r="L124" s="82" t="str">
        <f>IF(SUM(L30:L32)=1,1-SUM(L125:L127),"")</f>
        <v/>
      </c>
      <c r="M124" s="82"/>
      <c r="N124" s="82"/>
      <c r="O124" s="82"/>
      <c r="P124" s="82">
        <f>IF(P20=0,0,IF(P109+P116+P117+P122=0,1,0))</f>
        <v>1</v>
      </c>
      <c r="Q124" s="82"/>
      <c r="R124" s="82"/>
      <c r="S124" s="82">
        <f>IF(S20=0,0,IF(S109+S116+S117+S122=0,1,0))</f>
        <v>0</v>
      </c>
      <c r="T124" s="82"/>
      <c r="U124" s="82"/>
      <c r="V124" s="82">
        <f>IF(V20=0,0,IF(V109+V116+V117+V122=0,1,0))</f>
        <v>0</v>
      </c>
      <c r="W124" s="381" t="str">
        <f>IF(SUM(W30:W32)=1,1-SUM(W125:W127),"")</f>
        <v/>
      </c>
      <c r="X124" s="82" t="str">
        <f>IF(SUM(X30:X32)=1,1-SUM(X125:X127),"")</f>
        <v/>
      </c>
      <c r="Y124" s="82">
        <f>P124+S124+V124</f>
        <v>1</v>
      </c>
      <c r="Z124" s="66">
        <f>IF(Y$128=0,0,Y124/Y$128)</f>
        <v>0.5</v>
      </c>
      <c r="AA124" s="66"/>
      <c r="AB124" s="66"/>
      <c r="AC124" s="83"/>
      <c r="AE124" s="82"/>
      <c r="AF124" s="82"/>
      <c r="AG124" s="82"/>
      <c r="AH124" s="82"/>
      <c r="AI124" s="66"/>
      <c r="AK124" s="82"/>
      <c r="AL124" s="82"/>
      <c r="AM124" s="82"/>
      <c r="AN124" s="82"/>
      <c r="AO124" s="66"/>
      <c r="AQ124" s="82"/>
      <c r="AR124" s="82"/>
      <c r="AS124" s="82"/>
      <c r="AT124" s="82"/>
      <c r="AU124" s="66"/>
      <c r="AW124" s="82"/>
      <c r="AX124" s="82"/>
      <c r="AY124" s="82"/>
      <c r="AZ124" s="82"/>
      <c r="BA124" s="66"/>
    </row>
    <row r="125" spans="1:53" s="97" customFormat="1" ht="17.100000000000001" customHeight="1" x14ac:dyDescent="0.25">
      <c r="A125" s="119"/>
      <c r="B125" s="119"/>
      <c r="C125" s="135"/>
      <c r="D125" s="133" t="s">
        <v>96</v>
      </c>
      <c r="E125" s="134"/>
      <c r="F125" s="134"/>
      <c r="G125" s="134"/>
      <c r="H125" s="928"/>
      <c r="I125" s="229"/>
      <c r="J125" s="82"/>
      <c r="K125" s="82"/>
      <c r="L125" s="82"/>
      <c r="M125" s="82"/>
      <c r="N125" s="82"/>
      <c r="O125" s="82"/>
      <c r="P125" s="82">
        <f>IF(P109+P116+P117+P122=1,1,0)</f>
        <v>0</v>
      </c>
      <c r="Q125" s="82"/>
      <c r="R125" s="82"/>
      <c r="S125" s="82">
        <f>IF(S109+S116+S117+S122=1,1,0)</f>
        <v>1</v>
      </c>
      <c r="T125" s="82"/>
      <c r="U125" s="82"/>
      <c r="V125" s="82">
        <f>IF(V109+V116+V117+V122=1,1,0)</f>
        <v>0</v>
      </c>
      <c r="W125" s="381"/>
      <c r="X125" s="82"/>
      <c r="Y125" s="82">
        <f t="shared" ref="Y125:Y127" si="91">P125+S125+V125</f>
        <v>1</v>
      </c>
      <c r="Z125" s="66">
        <f>IF(Y$128=0,0,Y125/Y$128)</f>
        <v>0.5</v>
      </c>
      <c r="AA125" s="66"/>
      <c r="AB125" s="66"/>
      <c r="AC125" s="83"/>
      <c r="AE125" s="82"/>
      <c r="AF125" s="82"/>
      <c r="AG125" s="82"/>
      <c r="AH125" s="82"/>
      <c r="AI125" s="66"/>
      <c r="AK125" s="82"/>
      <c r="AL125" s="82"/>
      <c r="AM125" s="82"/>
      <c r="AN125" s="82"/>
      <c r="AO125" s="66"/>
      <c r="AQ125" s="82"/>
      <c r="AR125" s="82"/>
      <c r="AS125" s="82"/>
      <c r="AT125" s="82"/>
      <c r="AU125" s="66"/>
      <c r="AW125" s="82"/>
      <c r="AX125" s="82"/>
      <c r="AY125" s="82"/>
      <c r="AZ125" s="82"/>
      <c r="BA125" s="66"/>
    </row>
    <row r="126" spans="1:53" s="97" customFormat="1" ht="17.100000000000001" customHeight="1" x14ac:dyDescent="0.25">
      <c r="A126" s="119"/>
      <c r="B126" s="119"/>
      <c r="C126" s="136"/>
      <c r="D126" s="133" t="s">
        <v>97</v>
      </c>
      <c r="E126" s="134"/>
      <c r="F126" s="134"/>
      <c r="G126" s="134"/>
      <c r="H126" s="928"/>
      <c r="I126" s="229"/>
      <c r="J126" s="82"/>
      <c r="K126" s="82"/>
      <c r="L126" s="82"/>
      <c r="M126" s="82"/>
      <c r="N126" s="82"/>
      <c r="O126" s="82"/>
      <c r="P126" s="82">
        <f>IF(P109+P116+P117+P122=2,1,0)</f>
        <v>0</v>
      </c>
      <c r="Q126" s="82"/>
      <c r="R126" s="82"/>
      <c r="S126" s="82">
        <f>IF(S109+S116+S117+S122=2,1,0)</f>
        <v>0</v>
      </c>
      <c r="T126" s="82"/>
      <c r="U126" s="82"/>
      <c r="V126" s="82">
        <f>IF(V109+V116+V117+V122=2,1,0)</f>
        <v>0</v>
      </c>
      <c r="W126" s="381"/>
      <c r="X126" s="82"/>
      <c r="Y126" s="82">
        <f t="shared" si="91"/>
        <v>0</v>
      </c>
      <c r="Z126" s="66">
        <f>IF(Y$128=0,0,Y126/Y$128)</f>
        <v>0</v>
      </c>
      <c r="AA126" s="66"/>
      <c r="AB126" s="66"/>
      <c r="AC126" s="83"/>
      <c r="AE126" s="82"/>
      <c r="AF126" s="82"/>
      <c r="AG126" s="82"/>
      <c r="AH126" s="82"/>
      <c r="AI126" s="66"/>
      <c r="AK126" s="82"/>
      <c r="AL126" s="82"/>
      <c r="AM126" s="82"/>
      <c r="AN126" s="82"/>
      <c r="AO126" s="66"/>
      <c r="AQ126" s="82"/>
      <c r="AR126" s="82"/>
      <c r="AS126" s="82"/>
      <c r="AT126" s="82"/>
      <c r="AU126" s="66"/>
      <c r="AW126" s="82"/>
      <c r="AX126" s="82"/>
      <c r="AY126" s="82"/>
      <c r="AZ126" s="82"/>
      <c r="BA126" s="66"/>
    </row>
    <row r="127" spans="1:53" s="97" customFormat="1" ht="17.100000000000001" customHeight="1" x14ac:dyDescent="0.25">
      <c r="A127" s="119"/>
      <c r="B127" s="119"/>
      <c r="C127" s="137"/>
      <c r="D127" s="133" t="s">
        <v>98</v>
      </c>
      <c r="E127" s="134"/>
      <c r="F127" s="134"/>
      <c r="G127" s="134"/>
      <c r="H127" s="928"/>
      <c r="I127" s="229"/>
      <c r="J127" s="82"/>
      <c r="K127" s="82"/>
      <c r="L127" s="82"/>
      <c r="M127" s="82"/>
      <c r="N127" s="82"/>
      <c r="O127" s="82"/>
      <c r="P127" s="82">
        <f>IF(P109+P116+P117+P122=3,1,0)</f>
        <v>0</v>
      </c>
      <c r="Q127" s="82"/>
      <c r="R127" s="82"/>
      <c r="S127" s="82">
        <f>IF(S109+S116+S117+S122=3,1,0)</f>
        <v>0</v>
      </c>
      <c r="T127" s="82"/>
      <c r="U127" s="82"/>
      <c r="V127" s="82">
        <f>IF(V109+V116+V117+V122=3,1,0)</f>
        <v>0</v>
      </c>
      <c r="W127" s="381"/>
      <c r="X127" s="82"/>
      <c r="Y127" s="82">
        <f t="shared" si="91"/>
        <v>0</v>
      </c>
      <c r="Z127" s="66">
        <f>IF(Y$128=0,0,Y127/Y$128)</f>
        <v>0</v>
      </c>
      <c r="AA127" s="66"/>
      <c r="AB127" s="66"/>
      <c r="AC127" s="83"/>
      <c r="AE127" s="82"/>
      <c r="AF127" s="82"/>
      <c r="AG127" s="82"/>
      <c r="AH127" s="82"/>
      <c r="AI127" s="66"/>
      <c r="AK127" s="82"/>
      <c r="AL127" s="82"/>
      <c r="AM127" s="82"/>
      <c r="AN127" s="82"/>
      <c r="AO127" s="66"/>
      <c r="AQ127" s="82"/>
      <c r="AR127" s="82"/>
      <c r="AS127" s="82"/>
      <c r="AT127" s="82"/>
      <c r="AU127" s="66"/>
      <c r="AW127" s="82"/>
      <c r="AX127" s="82"/>
      <c r="AY127" s="82"/>
      <c r="AZ127" s="82"/>
      <c r="BA127" s="66"/>
    </row>
    <row r="128" spans="1:53" s="97" customFormat="1" ht="17.100000000000001" customHeight="1" x14ac:dyDescent="0.25">
      <c r="A128" s="119"/>
      <c r="B128" s="119"/>
      <c r="C128" s="928"/>
      <c r="D128" s="133"/>
      <c r="E128" s="134"/>
      <c r="F128" s="134"/>
      <c r="G128" s="134"/>
      <c r="H128" s="928"/>
      <c r="I128" s="229"/>
      <c r="J128" s="82"/>
      <c r="K128" s="82"/>
      <c r="L128" s="82"/>
      <c r="M128" s="82"/>
      <c r="N128" s="82"/>
      <c r="O128" s="82"/>
      <c r="P128" s="82"/>
      <c r="Q128" s="82"/>
      <c r="R128" s="82"/>
      <c r="S128" s="82"/>
      <c r="T128" s="82"/>
      <c r="U128" s="82"/>
      <c r="V128" s="360"/>
      <c r="W128" s="381"/>
      <c r="X128" s="82"/>
      <c r="Y128" s="82">
        <f>SUM(Y124:Y127)</f>
        <v>2</v>
      </c>
      <c r="Z128" s="66">
        <f>IF(Y$128=0,0,Y128/Y$128)</f>
        <v>1</v>
      </c>
      <c r="AA128" s="66"/>
      <c r="AB128" s="66"/>
      <c r="AC128" s="83"/>
      <c r="AE128" s="82"/>
      <c r="AF128" s="82"/>
      <c r="AG128" s="82"/>
      <c r="AH128" s="82"/>
      <c r="AI128" s="66"/>
      <c r="AK128" s="82"/>
      <c r="AL128" s="82"/>
      <c r="AM128" s="82"/>
      <c r="AN128" s="82"/>
      <c r="AO128" s="66"/>
      <c r="AQ128" s="82"/>
      <c r="AR128" s="82"/>
      <c r="AS128" s="82"/>
      <c r="AT128" s="82"/>
      <c r="AU128" s="66"/>
      <c r="AW128" s="82"/>
      <c r="AX128" s="82"/>
      <c r="AY128" s="82"/>
      <c r="AZ128" s="82"/>
      <c r="BA128" s="66"/>
    </row>
    <row r="129" spans="1:53" s="97" customFormat="1" ht="17.100000000000001" customHeight="1" x14ac:dyDescent="0.25">
      <c r="A129" s="119"/>
      <c r="B129" s="119"/>
      <c r="C129" s="928"/>
      <c r="D129" s="127" t="s">
        <v>81</v>
      </c>
      <c r="E129" s="122"/>
      <c r="F129" s="122"/>
      <c r="G129" s="122"/>
      <c r="H129" s="928"/>
      <c r="I129" s="229"/>
      <c r="J129" s="123"/>
      <c r="K129" s="123"/>
      <c r="L129" s="123"/>
      <c r="M129" s="123"/>
      <c r="N129" s="123"/>
      <c r="O129" s="123"/>
      <c r="P129" s="123">
        <f t="shared" ref="P129" si="92">P109</f>
        <v>0</v>
      </c>
      <c r="Q129" s="123"/>
      <c r="R129" s="123"/>
      <c r="S129" s="123">
        <f t="shared" ref="S129" si="93">S109</f>
        <v>0</v>
      </c>
      <c r="T129" s="123"/>
      <c r="U129" s="123"/>
      <c r="V129" s="123">
        <f t="shared" ref="V129" si="94">V109</f>
        <v>0</v>
      </c>
      <c r="W129" s="383"/>
      <c r="X129" s="123"/>
      <c r="Y129" s="123">
        <f t="shared" ref="Y129" si="95">Y109</f>
        <v>0</v>
      </c>
      <c r="Z129" s="525"/>
      <c r="AA129" s="125"/>
      <c r="AB129" s="125"/>
      <c r="AC129" s="125"/>
      <c r="AE129" s="123"/>
      <c r="AF129" s="123"/>
      <c r="AG129" s="123"/>
      <c r="AH129" s="124"/>
      <c r="AI129" s="125"/>
      <c r="AK129" s="123"/>
      <c r="AL129" s="123"/>
      <c r="AM129" s="123"/>
      <c r="AN129" s="124"/>
      <c r="AO129" s="125"/>
      <c r="AQ129" s="123"/>
      <c r="AR129" s="123"/>
      <c r="AS129" s="123"/>
      <c r="AT129" s="124"/>
      <c r="AU129" s="125"/>
      <c r="AW129" s="123"/>
      <c r="AX129" s="123"/>
      <c r="AY129" s="123"/>
      <c r="AZ129" s="124"/>
      <c r="BA129" s="125"/>
    </row>
    <row r="130" spans="1:53" s="97" customFormat="1" ht="17.100000000000001" customHeight="1" x14ac:dyDescent="0.25">
      <c r="A130" s="119"/>
      <c r="B130" s="119"/>
      <c r="C130" s="1310"/>
      <c r="D130" s="127" t="s">
        <v>87</v>
      </c>
      <c r="E130" s="122"/>
      <c r="F130" s="122"/>
      <c r="G130" s="122"/>
      <c r="H130" s="1310"/>
      <c r="I130" s="229"/>
      <c r="J130" s="123"/>
      <c r="K130" s="123"/>
      <c r="L130" s="123"/>
      <c r="M130" s="123"/>
      <c r="N130" s="123"/>
      <c r="O130" s="123"/>
      <c r="P130" s="123">
        <f>P116+P117</f>
        <v>0</v>
      </c>
      <c r="Q130" s="123"/>
      <c r="R130" s="123"/>
      <c r="S130" s="123">
        <f>S116+S117</f>
        <v>0</v>
      </c>
      <c r="T130" s="123"/>
      <c r="U130" s="123"/>
      <c r="V130" s="123">
        <f>V116+V117</f>
        <v>0</v>
      </c>
      <c r="W130" s="383"/>
      <c r="X130" s="123"/>
      <c r="Y130" s="123">
        <f>Y116+Y117</f>
        <v>0</v>
      </c>
      <c r="Z130" s="525"/>
      <c r="AA130" s="125"/>
      <c r="AB130" s="125"/>
      <c r="AC130" s="125"/>
      <c r="AE130" s="123"/>
      <c r="AF130" s="123"/>
      <c r="AG130" s="123"/>
      <c r="AH130" s="124"/>
      <c r="AI130" s="125"/>
      <c r="AK130" s="123"/>
      <c r="AL130" s="123"/>
      <c r="AM130" s="123"/>
      <c r="AN130" s="124"/>
      <c r="AO130" s="125"/>
      <c r="AQ130" s="123"/>
      <c r="AR130" s="123"/>
      <c r="AS130" s="123"/>
      <c r="AT130" s="124"/>
      <c r="AU130" s="125"/>
      <c r="AW130" s="123"/>
      <c r="AX130" s="123"/>
      <c r="AY130" s="123"/>
      <c r="AZ130" s="124"/>
      <c r="BA130" s="125"/>
    </row>
    <row r="131" spans="1:53" s="97" customFormat="1" ht="17.100000000000001" customHeight="1" x14ac:dyDescent="0.25">
      <c r="A131" s="119"/>
      <c r="B131" s="119"/>
      <c r="C131" s="928"/>
      <c r="D131" s="127" t="s">
        <v>923</v>
      </c>
      <c r="E131" s="122"/>
      <c r="F131" s="122"/>
      <c r="G131" s="122"/>
      <c r="H131" s="928"/>
      <c r="I131" s="229"/>
      <c r="J131" s="123"/>
      <c r="K131" s="123"/>
      <c r="L131" s="123"/>
      <c r="M131" s="123"/>
      <c r="N131" s="123"/>
      <c r="O131" s="123"/>
      <c r="P131" s="123"/>
      <c r="Q131" s="123"/>
      <c r="R131" s="123"/>
      <c r="S131" s="123"/>
      <c r="T131" s="123"/>
      <c r="U131" s="123"/>
      <c r="V131" s="123"/>
      <c r="W131" s="383"/>
      <c r="X131" s="123"/>
      <c r="Y131" s="123"/>
      <c r="Z131" s="525"/>
      <c r="AA131" s="130"/>
      <c r="AB131" s="130"/>
      <c r="AC131" s="125"/>
      <c r="AE131" s="123"/>
      <c r="AF131" s="123"/>
      <c r="AG131" s="123"/>
      <c r="AH131" s="129"/>
      <c r="AI131" s="130"/>
      <c r="AK131" s="123"/>
      <c r="AL131" s="123"/>
      <c r="AM131" s="123"/>
      <c r="AN131" s="129"/>
      <c r="AO131" s="130"/>
      <c r="AQ131" s="123"/>
      <c r="AR131" s="123"/>
      <c r="AS131" s="123"/>
      <c r="AT131" s="129"/>
      <c r="AU131" s="130"/>
      <c r="AW131" s="123"/>
      <c r="AX131" s="123"/>
      <c r="AY131" s="123"/>
      <c r="AZ131" s="129"/>
      <c r="BA131" s="130"/>
    </row>
    <row r="132" spans="1:53" s="97" customFormat="1" ht="17.100000000000001" customHeight="1" x14ac:dyDescent="0.25">
      <c r="A132" s="119"/>
      <c r="B132" s="119"/>
      <c r="C132" s="928"/>
      <c r="D132" s="127" t="s">
        <v>922</v>
      </c>
      <c r="E132" s="122"/>
      <c r="F132" s="122"/>
      <c r="G132" s="122"/>
      <c r="H132" s="928"/>
      <c r="I132" s="229"/>
      <c r="J132" s="123"/>
      <c r="K132" s="123"/>
      <c r="L132" s="123"/>
      <c r="M132" s="123"/>
      <c r="N132" s="123"/>
      <c r="O132" s="123"/>
      <c r="P132" s="123">
        <f t="shared" ref="P132" si="96">SUM(P129:P131)</f>
        <v>0</v>
      </c>
      <c r="Q132" s="123"/>
      <c r="R132" s="123"/>
      <c r="S132" s="123">
        <f t="shared" ref="S132" si="97">SUM(S129:S131)</f>
        <v>0</v>
      </c>
      <c r="T132" s="123"/>
      <c r="U132" s="123"/>
      <c r="V132" s="123">
        <f t="shared" ref="V132" si="98">SUM(V129:V131)</f>
        <v>0</v>
      </c>
      <c r="W132" s="383"/>
      <c r="X132" s="123"/>
      <c r="Y132" s="123">
        <f t="shared" ref="Y132:Y133" si="99">SUM(Y129:Y131)</f>
        <v>0</v>
      </c>
      <c r="Z132" s="525"/>
      <c r="AA132" s="125"/>
      <c r="AB132" s="125"/>
      <c r="AC132" s="125"/>
      <c r="AE132" s="123"/>
      <c r="AF132" s="123"/>
      <c r="AG132" s="123"/>
      <c r="AH132" s="124"/>
      <c r="AI132" s="125"/>
      <c r="AK132" s="123"/>
      <c r="AL132" s="123"/>
      <c r="AM132" s="123"/>
      <c r="AN132" s="124"/>
      <c r="AO132" s="125"/>
      <c r="AQ132" s="123"/>
      <c r="AR132" s="123"/>
      <c r="AS132" s="123"/>
      <c r="AT132" s="124"/>
      <c r="AU132" s="125"/>
      <c r="AW132" s="123"/>
      <c r="AX132" s="123"/>
      <c r="AY132" s="123"/>
      <c r="AZ132" s="124"/>
      <c r="BA132" s="125"/>
    </row>
    <row r="133" spans="1:53" s="97" customFormat="1" ht="17.100000000000001" customHeight="1" x14ac:dyDescent="0.25">
      <c r="A133" s="119"/>
      <c r="B133" s="119"/>
      <c r="C133" s="103" t="s">
        <v>99</v>
      </c>
      <c r="D133" s="85" t="s">
        <v>921</v>
      </c>
      <c r="E133" s="75"/>
      <c r="F133" s="75"/>
      <c r="G133" s="75"/>
      <c r="H133" s="928"/>
      <c r="I133" s="229"/>
      <c r="J133" s="927"/>
      <c r="K133" s="927"/>
      <c r="L133" s="927"/>
      <c r="M133" s="927"/>
      <c r="N133" s="927"/>
      <c r="O133" s="927"/>
      <c r="P133" s="927">
        <f t="shared" ref="P133" si="100">IF(P132&gt;=1,1,0)</f>
        <v>0</v>
      </c>
      <c r="Q133" s="927"/>
      <c r="R133" s="927"/>
      <c r="S133" s="927">
        <f t="shared" ref="S133" si="101">IF(S132&gt;=1,1,0)</f>
        <v>0</v>
      </c>
      <c r="T133" s="927"/>
      <c r="U133" s="927"/>
      <c r="V133" s="927">
        <f t="shared" ref="V133" si="102">IF(V132&gt;=1,1,0)</f>
        <v>0</v>
      </c>
      <c r="W133" s="382"/>
      <c r="X133" s="927"/>
      <c r="Y133" s="927">
        <f t="shared" si="99"/>
        <v>0</v>
      </c>
      <c r="Z133" s="91"/>
      <c r="AA133" s="91"/>
      <c r="AB133" s="91"/>
      <c r="AC133" s="84"/>
      <c r="AE133" s="927"/>
      <c r="AF133" s="927"/>
      <c r="AG133" s="927"/>
      <c r="AH133" s="927"/>
      <c r="AI133" s="91"/>
      <c r="AK133" s="927"/>
      <c r="AL133" s="927"/>
      <c r="AM133" s="927"/>
      <c r="AN133" s="927"/>
      <c r="AO133" s="91"/>
      <c r="AQ133" s="927"/>
      <c r="AR133" s="927"/>
      <c r="AS133" s="927"/>
      <c r="AT133" s="927"/>
      <c r="AU133" s="91"/>
      <c r="AW133" s="927"/>
      <c r="AX133" s="927"/>
      <c r="AY133" s="927"/>
      <c r="AZ133" s="927"/>
      <c r="BA133" s="91"/>
    </row>
    <row r="134" spans="1:53" s="97" customFormat="1" ht="17.100000000000001" customHeight="1" x14ac:dyDescent="0.25">
      <c r="A134" s="138"/>
      <c r="B134" s="138"/>
      <c r="C134" s="139"/>
      <c r="D134" s="12"/>
      <c r="E134" s="12"/>
      <c r="F134" s="12"/>
      <c r="G134" s="12"/>
      <c r="H134" s="12"/>
      <c r="I134" s="12"/>
      <c r="J134" s="95"/>
      <c r="K134" s="95"/>
      <c r="L134" s="95"/>
      <c r="M134" s="95"/>
      <c r="N134" s="95"/>
      <c r="O134" s="95"/>
      <c r="P134" s="95"/>
      <c r="Q134" s="95"/>
      <c r="R134" s="95"/>
      <c r="S134" s="95"/>
      <c r="T134" s="95"/>
      <c r="U134" s="95"/>
      <c r="V134" s="95"/>
      <c r="W134" s="95"/>
      <c r="X134" s="95"/>
      <c r="Y134" s="95"/>
      <c r="AQ134" s="109"/>
      <c r="AR134" s="109"/>
      <c r="AS134" s="109"/>
      <c r="AT134" s="96"/>
    </row>
    <row r="135" spans="1:53" s="32" customFormat="1" ht="16.5" thickBot="1" x14ac:dyDescent="0.3">
      <c r="A135" s="24" t="s">
        <v>100</v>
      </c>
      <c r="B135" s="25" t="s">
        <v>562</v>
      </c>
      <c r="C135" s="26"/>
      <c r="D135" s="27"/>
      <c r="E135" s="27"/>
      <c r="F135" s="27"/>
      <c r="G135" s="28"/>
      <c r="H135" s="310"/>
      <c r="I135" s="228"/>
      <c r="J135" s="140"/>
      <c r="K135" s="140"/>
      <c r="L135" s="140"/>
      <c r="M135" s="140"/>
      <c r="N135" s="140"/>
      <c r="O135" s="140"/>
      <c r="P135" s="140"/>
      <c r="Q135" s="140"/>
      <c r="R135" s="140"/>
      <c r="S135" s="140"/>
      <c r="T135" s="140"/>
      <c r="U135" s="140"/>
      <c r="V135" s="140"/>
      <c r="W135" s="140"/>
      <c r="X135" s="140"/>
      <c r="Y135" s="140"/>
      <c r="Z135" s="31" t="s">
        <v>5</v>
      </c>
      <c r="AA135" s="31"/>
      <c r="AB135" s="31"/>
      <c r="AC135" s="24"/>
      <c r="AE135" s="33" t="s">
        <v>181</v>
      </c>
      <c r="AF135" s="33" t="s">
        <v>182</v>
      </c>
      <c r="AG135" s="33" t="s">
        <v>6</v>
      </c>
      <c r="AH135" s="33" t="s">
        <v>4</v>
      </c>
      <c r="AI135" s="34" t="s">
        <v>5</v>
      </c>
      <c r="AJ135" s="35"/>
      <c r="AK135" s="36" t="s">
        <v>181</v>
      </c>
      <c r="AL135" s="36" t="s">
        <v>182</v>
      </c>
      <c r="AM135" s="36" t="s">
        <v>6</v>
      </c>
      <c r="AN135" s="36" t="s">
        <v>4</v>
      </c>
      <c r="AO135" s="37" t="s">
        <v>5</v>
      </c>
      <c r="AQ135" s="36"/>
      <c r="AR135" s="36"/>
      <c r="AS135" s="36"/>
      <c r="AT135" s="36"/>
      <c r="AU135" s="37"/>
      <c r="AW135" s="38" t="s">
        <v>181</v>
      </c>
      <c r="AX135" s="38" t="s">
        <v>182</v>
      </c>
      <c r="AY135" s="38" t="s">
        <v>6</v>
      </c>
      <c r="AZ135" s="38" t="s">
        <v>4</v>
      </c>
      <c r="BA135" s="39" t="s">
        <v>5</v>
      </c>
    </row>
    <row r="136" spans="1:53" ht="17.100000000000001" customHeight="1" x14ac:dyDescent="0.25">
      <c r="A136" s="40"/>
      <c r="B136" s="41" t="s">
        <v>738</v>
      </c>
      <c r="C136" s="42" t="s">
        <v>563</v>
      </c>
      <c r="D136" s="43"/>
      <c r="E136" s="43"/>
      <c r="F136" s="43"/>
      <c r="G136" s="44"/>
      <c r="H136" s="263">
        <v>1</v>
      </c>
      <c r="I136" s="229"/>
      <c r="J136" s="71"/>
      <c r="K136" s="71"/>
      <c r="L136" s="71"/>
      <c r="M136" s="71"/>
      <c r="N136" s="71"/>
      <c r="O136" s="71"/>
      <c r="P136" s="71"/>
      <c r="Q136" s="71"/>
      <c r="R136" s="71"/>
      <c r="S136" s="71"/>
      <c r="T136" s="71"/>
      <c r="U136" s="71"/>
      <c r="V136" s="71"/>
      <c r="W136" s="71"/>
      <c r="X136" s="71"/>
      <c r="Y136" s="71"/>
      <c r="Z136" s="73"/>
      <c r="AA136" s="73"/>
      <c r="AB136" s="73"/>
      <c r="AC136" s="73"/>
      <c r="AE136" s="71"/>
      <c r="AF136" s="71"/>
      <c r="AG136" s="73"/>
      <c r="AH136" s="73"/>
      <c r="AI136" s="73"/>
      <c r="AK136" s="71"/>
      <c r="AL136" s="71"/>
      <c r="AM136" s="73"/>
      <c r="AN136" s="73"/>
      <c r="AO136" s="73"/>
      <c r="AQ136" s="71"/>
      <c r="AR136" s="71"/>
      <c r="AS136" s="71"/>
      <c r="AT136" s="72"/>
      <c r="AU136" s="73"/>
      <c r="AW136" s="71"/>
      <c r="AX136" s="71"/>
      <c r="AY136" s="73"/>
      <c r="AZ136" s="73"/>
      <c r="BA136" s="73"/>
    </row>
    <row r="137" spans="1:53" ht="17.100000000000001" customHeight="1" x14ac:dyDescent="0.25">
      <c r="A137" s="40"/>
      <c r="B137" s="40"/>
      <c r="C137" s="141" t="s">
        <v>739</v>
      </c>
      <c r="D137" s="648" t="s">
        <v>612</v>
      </c>
      <c r="E137" s="649"/>
      <c r="F137" s="649"/>
      <c r="G137" s="281"/>
      <c r="H137" s="647"/>
      <c r="I137" s="235"/>
      <c r="J137" s="581"/>
      <c r="K137" s="581"/>
      <c r="L137" s="582"/>
      <c r="M137" s="593">
        <f t="shared" ref="M137:M138" si="103">SUM(J137:L137)</f>
        <v>0</v>
      </c>
      <c r="N137" s="111"/>
      <c r="O137" s="111"/>
      <c r="P137" s="111"/>
      <c r="Q137" s="111"/>
      <c r="R137" s="111"/>
      <c r="S137" s="111"/>
      <c r="T137" s="111"/>
      <c r="U137" s="111"/>
      <c r="V137" s="111"/>
      <c r="W137" s="391">
        <f t="shared" ref="W137:W138" si="104">J137+K137+N137+Q137+T137</f>
        <v>0</v>
      </c>
      <c r="X137" s="17">
        <f t="shared" ref="X137:X138" si="105">L137+O137+R137+U137</f>
        <v>0</v>
      </c>
      <c r="Y137" s="18">
        <f t="shared" ref="Y137:Y138" si="106">SUM(W137:X137)</f>
        <v>0</v>
      </c>
      <c r="Z137" s="19">
        <f>IF(Y$139=0,0,Y137/Y$139)</f>
        <v>0</v>
      </c>
      <c r="AA137" s="19"/>
      <c r="AB137" s="19"/>
      <c r="AC137" s="20"/>
      <c r="AE137" s="17"/>
      <c r="AF137" s="17"/>
      <c r="AG137" s="17"/>
      <c r="AH137" s="18">
        <f>J137</f>
        <v>0</v>
      </c>
      <c r="AI137" s="19">
        <f>IF(AH$139=0,0,AH137/AH$139)</f>
        <v>0</v>
      </c>
      <c r="AK137" s="17"/>
      <c r="AL137" s="17"/>
      <c r="AM137" s="17"/>
      <c r="AN137" s="18">
        <f>K137</f>
        <v>0</v>
      </c>
      <c r="AO137" s="19">
        <f>IF(AN$139=0,0,AN137/AN$139)</f>
        <v>0</v>
      </c>
      <c r="AQ137" s="17"/>
      <c r="AR137" s="17"/>
      <c r="AS137" s="17"/>
      <c r="AT137" s="18">
        <f t="shared" ref="AT137:AT138" si="107">W137</f>
        <v>0</v>
      </c>
      <c r="AU137" s="19">
        <f>IF(AT$139=0,0,AT137/AT$139)</f>
        <v>0</v>
      </c>
      <c r="AW137" s="17"/>
      <c r="AX137" s="17"/>
      <c r="AY137" s="17"/>
      <c r="AZ137" s="424">
        <f>X137</f>
        <v>0</v>
      </c>
      <c r="BA137" s="19">
        <f>IF(AZ$139=0,0,AZ137/AZ$139)</f>
        <v>0</v>
      </c>
    </row>
    <row r="138" spans="1:53" ht="17.100000000000001" customHeight="1" x14ac:dyDescent="0.25">
      <c r="A138" s="40"/>
      <c r="B138" s="40"/>
      <c r="C138" s="141" t="s">
        <v>740</v>
      </c>
      <c r="D138" s="648" t="s">
        <v>564</v>
      </c>
      <c r="E138" s="649"/>
      <c r="F138" s="649"/>
      <c r="G138" s="281"/>
      <c r="H138" s="647"/>
      <c r="I138" s="235"/>
      <c r="J138" s="583"/>
      <c r="K138" s="583"/>
      <c r="L138" s="584"/>
      <c r="M138" s="593">
        <f t="shared" si="103"/>
        <v>0</v>
      </c>
      <c r="N138" s="111"/>
      <c r="O138" s="111"/>
      <c r="P138" s="111"/>
      <c r="Q138" s="111"/>
      <c r="R138" s="111"/>
      <c r="S138" s="111"/>
      <c r="T138" s="111"/>
      <c r="U138" s="111"/>
      <c r="V138" s="111"/>
      <c r="W138" s="391">
        <f t="shared" si="104"/>
        <v>0</v>
      </c>
      <c r="X138" s="17">
        <f t="shared" si="105"/>
        <v>0</v>
      </c>
      <c r="Y138" s="18">
        <f t="shared" si="106"/>
        <v>0</v>
      </c>
      <c r="Z138" s="19">
        <f t="shared" ref="Z138:Z139" si="108">IF(Y$139=0,0,Y138/Y$139)</f>
        <v>0</v>
      </c>
      <c r="AA138" s="19"/>
      <c r="AB138" s="19"/>
      <c r="AC138" s="20"/>
      <c r="AE138" s="17"/>
      <c r="AF138" s="17"/>
      <c r="AG138" s="17"/>
      <c r="AH138" s="18">
        <f>J138</f>
        <v>0</v>
      </c>
      <c r="AI138" s="19">
        <f t="shared" ref="AI138:AI139" si="109">IF(AH$139=0,0,AH138/AH$139)</f>
        <v>0</v>
      </c>
      <c r="AK138" s="17"/>
      <c r="AL138" s="17"/>
      <c r="AM138" s="17"/>
      <c r="AN138" s="18">
        <f>K138</f>
        <v>0</v>
      </c>
      <c r="AO138" s="19">
        <f t="shared" ref="AO138:AO139" si="110">IF(AN$139=0,0,AN138/AN$139)</f>
        <v>0</v>
      </c>
      <c r="AQ138" s="17"/>
      <c r="AR138" s="17"/>
      <c r="AS138" s="17"/>
      <c r="AT138" s="18">
        <f t="shared" si="107"/>
        <v>0</v>
      </c>
      <c r="AU138" s="19">
        <f t="shared" ref="AU138:AU139" si="111">IF(AT$139=0,0,AT138/AT$139)</f>
        <v>0</v>
      </c>
      <c r="AW138" s="17"/>
      <c r="AX138" s="17"/>
      <c r="AY138" s="17"/>
      <c r="AZ138" s="424">
        <f>X138</f>
        <v>0</v>
      </c>
      <c r="BA138" s="19">
        <f t="shared" ref="BA138:BA139" si="112">IF(AZ$139=0,0,AZ138/AZ$139)</f>
        <v>0</v>
      </c>
    </row>
    <row r="139" spans="1:53" ht="16.5" customHeight="1" x14ac:dyDescent="0.25">
      <c r="A139" s="40"/>
      <c r="B139" s="40"/>
      <c r="C139" s="77"/>
      <c r="D139" s="144"/>
      <c r="E139" s="144"/>
      <c r="F139" s="145"/>
      <c r="G139" s="283"/>
      <c r="H139" s="119"/>
      <c r="I139" s="236"/>
      <c r="J139" s="64">
        <f>SUM(J137:J138)</f>
        <v>0</v>
      </c>
      <c r="K139" s="64">
        <f t="shared" ref="K139:M139" si="113">SUM(K137:K138)</f>
        <v>0</v>
      </c>
      <c r="L139" s="64">
        <f t="shared" si="113"/>
        <v>0</v>
      </c>
      <c r="M139" s="64">
        <f t="shared" si="113"/>
        <v>0</v>
      </c>
      <c r="N139" s="81"/>
      <c r="O139" s="81"/>
      <c r="P139" s="81"/>
      <c r="Q139" s="81"/>
      <c r="R139" s="81"/>
      <c r="S139" s="81"/>
      <c r="T139" s="81"/>
      <c r="U139" s="81"/>
      <c r="V139" s="81"/>
      <c r="W139" s="82">
        <f>SUM(W137:W138)</f>
        <v>0</v>
      </c>
      <c r="X139" s="82">
        <f t="shared" ref="X139:Y139" si="114">SUM(X137:X138)</f>
        <v>0</v>
      </c>
      <c r="Y139" s="82">
        <f t="shared" si="114"/>
        <v>0</v>
      </c>
      <c r="Z139" s="205">
        <f t="shared" si="108"/>
        <v>0</v>
      </c>
      <c r="AA139" s="205"/>
      <c r="AB139" s="205"/>
      <c r="AC139" s="83"/>
      <c r="AE139" s="81"/>
      <c r="AF139" s="81"/>
      <c r="AG139" s="82"/>
      <c r="AH139" s="324">
        <f>SUM(AH137:AH138)</f>
        <v>0</v>
      </c>
      <c r="AI139" s="66">
        <f t="shared" si="109"/>
        <v>0</v>
      </c>
      <c r="AK139" s="81"/>
      <c r="AL139" s="81"/>
      <c r="AM139" s="82"/>
      <c r="AN139" s="324">
        <f>SUM(AN137:AN138)</f>
        <v>0</v>
      </c>
      <c r="AO139" s="66">
        <f t="shared" si="110"/>
        <v>0</v>
      </c>
      <c r="AQ139" s="81"/>
      <c r="AR139" s="81"/>
      <c r="AS139" s="82"/>
      <c r="AT139" s="324">
        <f>SUM(AT137:AT138)</f>
        <v>0</v>
      </c>
      <c r="AU139" s="66">
        <f t="shared" si="111"/>
        <v>0</v>
      </c>
      <c r="AW139" s="81"/>
      <c r="AX139" s="81"/>
      <c r="AY139" s="82"/>
      <c r="AZ139" s="324">
        <f>SUM(AZ137:AZ138)</f>
        <v>0</v>
      </c>
      <c r="BA139" s="66">
        <f t="shared" si="112"/>
        <v>0</v>
      </c>
    </row>
    <row r="140" spans="1:53" s="117" customFormat="1" ht="17.100000000000001" customHeight="1" x14ac:dyDescent="0.25">
      <c r="A140" s="119"/>
      <c r="B140" s="119"/>
      <c r="C140" s="647"/>
      <c r="D140" s="212"/>
      <c r="E140" s="212"/>
      <c r="F140" s="212"/>
      <c r="G140" s="212"/>
      <c r="H140" s="242"/>
      <c r="I140" s="230"/>
      <c r="J140" s="17" t="str">
        <f>IF(J139=J$15,"OK","NOK")</f>
        <v>OK</v>
      </c>
      <c r="K140" s="17" t="str">
        <f t="shared" ref="K140:L140" si="115">IF(K139=K$15,"OK","NOK")</f>
        <v>OK</v>
      </c>
      <c r="L140" s="17" t="str">
        <f t="shared" si="115"/>
        <v>OK</v>
      </c>
      <c r="M140" s="17"/>
      <c r="N140" s="17"/>
      <c r="O140" s="17"/>
      <c r="P140" s="17"/>
      <c r="Q140" s="17"/>
      <c r="R140" s="17"/>
      <c r="S140" s="17"/>
      <c r="T140" s="17"/>
      <c r="U140" s="17"/>
      <c r="V140" s="17"/>
      <c r="W140" s="646"/>
      <c r="X140" s="646"/>
      <c r="Y140" s="646"/>
      <c r="Z140" s="201"/>
      <c r="AA140" s="201"/>
      <c r="AB140" s="201"/>
      <c r="AC140" s="84"/>
      <c r="AE140" s="84"/>
      <c r="AF140" s="84"/>
      <c r="AG140" s="84"/>
      <c r="AH140" s="84"/>
      <c r="AI140" s="84"/>
      <c r="AK140" s="84"/>
      <c r="AL140" s="84"/>
      <c r="AM140" s="84"/>
      <c r="AN140" s="84"/>
      <c r="AO140" s="84"/>
      <c r="AW140" s="84"/>
      <c r="AX140" s="84"/>
      <c r="AY140" s="84"/>
      <c r="AZ140" s="84"/>
      <c r="BA140" s="84"/>
    </row>
    <row r="141" spans="1:53" ht="17.100000000000001" customHeight="1" x14ac:dyDescent="0.25">
      <c r="A141" s="40"/>
      <c r="B141" s="41" t="s">
        <v>102</v>
      </c>
      <c r="C141" s="42" t="s">
        <v>563</v>
      </c>
      <c r="D141" s="43"/>
      <c r="E141" s="43"/>
      <c r="F141" s="43"/>
      <c r="G141" s="44"/>
      <c r="H141" s="242"/>
      <c r="I141" s="229"/>
      <c r="J141" s="71"/>
      <c r="K141" s="71"/>
      <c r="L141" s="71"/>
      <c r="M141" s="71"/>
      <c r="N141" s="71"/>
      <c r="O141" s="71"/>
      <c r="P141" s="71"/>
      <c r="Q141" s="71"/>
      <c r="R141" s="71"/>
      <c r="S141" s="71"/>
      <c r="T141" s="71"/>
      <c r="U141" s="71"/>
      <c r="V141" s="71"/>
      <c r="W141" s="71"/>
      <c r="X141" s="71"/>
      <c r="Y141" s="71"/>
      <c r="Z141" s="73"/>
      <c r="AA141" s="73"/>
      <c r="AB141" s="73"/>
      <c r="AC141" s="73"/>
      <c r="AE141" s="71"/>
      <c r="AF141" s="71"/>
      <c r="AG141" s="73"/>
      <c r="AH141" s="73"/>
      <c r="AI141" s="73"/>
      <c r="AK141" s="71"/>
      <c r="AL141" s="71"/>
      <c r="AM141" s="73"/>
      <c r="AN141" s="73"/>
      <c r="AO141" s="73"/>
      <c r="AQ141" s="71"/>
      <c r="AR141" s="71"/>
      <c r="AS141" s="73"/>
      <c r="AT141" s="73"/>
      <c r="AU141" s="73"/>
      <c r="AW141" s="71"/>
      <c r="AX141" s="71"/>
      <c r="AY141" s="73"/>
      <c r="AZ141" s="73"/>
      <c r="BA141" s="73"/>
    </row>
    <row r="142" spans="1:53" s="117" customFormat="1" ht="17.100000000000001" customHeight="1" x14ac:dyDescent="0.25">
      <c r="A142" s="119"/>
      <c r="B142" s="40"/>
      <c r="C142" s="141" t="s">
        <v>104</v>
      </c>
      <c r="D142" s="85" t="s">
        <v>612</v>
      </c>
      <c r="E142" s="75"/>
      <c r="F142" s="75"/>
      <c r="G142" s="650"/>
      <c r="H142" s="242"/>
      <c r="I142" s="230"/>
      <c r="J142" s="111"/>
      <c r="K142" s="111"/>
      <c r="L142" s="111"/>
      <c r="M142" s="111"/>
      <c r="N142" s="60"/>
      <c r="O142" s="60">
        <v>3</v>
      </c>
      <c r="P142" s="593">
        <f t="shared" ref="P142:P144" si="116">SUM(N142:O142)</f>
        <v>3</v>
      </c>
      <c r="Q142" s="60">
        <v>1</v>
      </c>
      <c r="R142" s="60"/>
      <c r="S142" s="593">
        <f t="shared" ref="S142:S144" si="117">SUM(Q142:R142)</f>
        <v>1</v>
      </c>
      <c r="T142" s="60"/>
      <c r="U142" s="60"/>
      <c r="V142" s="593">
        <f t="shared" ref="V142:V144" si="118">SUM(T142:U142)</f>
        <v>0</v>
      </c>
      <c r="W142" s="391">
        <f t="shared" ref="W142:W144" si="119">J142+K142+N142+Q142+T142</f>
        <v>1</v>
      </c>
      <c r="X142" s="17">
        <f t="shared" ref="X142:X144" si="120">L142+O142+R142+U142</f>
        <v>3</v>
      </c>
      <c r="Y142" s="18">
        <f>SUM(W142:X142)</f>
        <v>4</v>
      </c>
      <c r="Z142" s="19">
        <f>IF(Y$145=0,0,Y142/Y$145)</f>
        <v>0.25</v>
      </c>
      <c r="AA142" s="201"/>
      <c r="AB142" s="201"/>
      <c r="AC142" s="84"/>
      <c r="AE142" s="113"/>
      <c r="AF142" s="113"/>
      <c r="AG142" s="113"/>
      <c r="AH142" s="113"/>
      <c r="AI142" s="113"/>
      <c r="AK142" s="113"/>
      <c r="AL142" s="113"/>
      <c r="AM142" s="113"/>
      <c r="AN142" s="113"/>
      <c r="AO142" s="113"/>
      <c r="AQ142" s="84"/>
      <c r="AR142" s="84"/>
      <c r="AS142" s="84"/>
      <c r="AT142" s="17">
        <f>W142</f>
        <v>1</v>
      </c>
      <c r="AU142" s="19">
        <f>IF(AT$145=0,0,AT142/AT$145)</f>
        <v>0.1111111111111111</v>
      </c>
      <c r="AW142" s="84"/>
      <c r="AX142" s="84"/>
      <c r="AY142" s="84"/>
      <c r="AZ142" s="424">
        <f t="shared" ref="AZ142:AZ144" si="121">X142</f>
        <v>3</v>
      </c>
      <c r="BA142" s="19">
        <f>IF(AZ$145=0,0,AZ142/AZ$145)</f>
        <v>0.42857142857142855</v>
      </c>
    </row>
    <row r="143" spans="1:53" s="117" customFormat="1" ht="17.100000000000001" customHeight="1" x14ac:dyDescent="0.25">
      <c r="A143" s="119"/>
      <c r="B143" s="40"/>
      <c r="C143" s="141" t="s">
        <v>105</v>
      </c>
      <c r="D143" s="85" t="s">
        <v>741</v>
      </c>
      <c r="E143" s="75"/>
      <c r="F143" s="75"/>
      <c r="G143" s="650"/>
      <c r="H143" s="242"/>
      <c r="I143" s="230"/>
      <c r="J143" s="111"/>
      <c r="K143" s="111"/>
      <c r="L143" s="111"/>
      <c r="M143" s="111"/>
      <c r="N143" s="61">
        <v>2</v>
      </c>
      <c r="O143" s="61">
        <v>2</v>
      </c>
      <c r="P143" s="593">
        <f t="shared" si="116"/>
        <v>4</v>
      </c>
      <c r="Q143" s="61">
        <v>5</v>
      </c>
      <c r="R143" s="61">
        <v>1</v>
      </c>
      <c r="S143" s="593">
        <f t="shared" si="117"/>
        <v>6</v>
      </c>
      <c r="T143" s="61"/>
      <c r="U143" s="61"/>
      <c r="V143" s="593">
        <f t="shared" si="118"/>
        <v>0</v>
      </c>
      <c r="W143" s="391">
        <f t="shared" si="119"/>
        <v>7</v>
      </c>
      <c r="X143" s="17">
        <f t="shared" si="120"/>
        <v>3</v>
      </c>
      <c r="Y143" s="18">
        <f t="shared" ref="Y143:Y144" si="122">SUM(W143:X143)</f>
        <v>10</v>
      </c>
      <c r="Z143" s="19">
        <f>IF(Y$145=0,0,Y143/Y$145)</f>
        <v>0.625</v>
      </c>
      <c r="AA143" s="201"/>
      <c r="AB143" s="201"/>
      <c r="AC143" s="84"/>
      <c r="AE143" s="113"/>
      <c r="AF143" s="113"/>
      <c r="AG143" s="113"/>
      <c r="AH143" s="113"/>
      <c r="AI143" s="113"/>
      <c r="AK143" s="113"/>
      <c r="AL143" s="113"/>
      <c r="AM143" s="113"/>
      <c r="AN143" s="113"/>
      <c r="AO143" s="113"/>
      <c r="AQ143" s="84"/>
      <c r="AR143" s="84"/>
      <c r="AS143" s="84"/>
      <c r="AT143" s="17">
        <f t="shared" ref="AT143:AT144" si="123">W143</f>
        <v>7</v>
      </c>
      <c r="AU143" s="19">
        <f>IF(AT$145=0,0,AT143/AT$145)</f>
        <v>0.77777777777777779</v>
      </c>
      <c r="AW143" s="84"/>
      <c r="AX143" s="84"/>
      <c r="AY143" s="84"/>
      <c r="AZ143" s="424">
        <f t="shared" si="121"/>
        <v>3</v>
      </c>
      <c r="BA143" s="19">
        <f>IF(AZ$145=0,0,AZ143/AZ$145)</f>
        <v>0.42857142857142855</v>
      </c>
    </row>
    <row r="144" spans="1:53" s="117" customFormat="1" ht="17.100000000000001" customHeight="1" x14ac:dyDescent="0.25">
      <c r="A144" s="119"/>
      <c r="B144" s="40"/>
      <c r="C144" s="141" t="s">
        <v>106</v>
      </c>
      <c r="D144" s="85" t="s">
        <v>742</v>
      </c>
      <c r="E144" s="75"/>
      <c r="F144" s="75"/>
      <c r="G144" s="650"/>
      <c r="H144" s="242"/>
      <c r="I144" s="230"/>
      <c r="J144" s="111"/>
      <c r="K144" s="111"/>
      <c r="L144" s="111"/>
      <c r="M144" s="111"/>
      <c r="N144" s="60">
        <v>1</v>
      </c>
      <c r="O144" s="60">
        <v>1</v>
      </c>
      <c r="P144" s="593">
        <f t="shared" si="116"/>
        <v>2</v>
      </c>
      <c r="Q144" s="60"/>
      <c r="R144" s="60"/>
      <c r="S144" s="593">
        <f t="shared" si="117"/>
        <v>0</v>
      </c>
      <c r="T144" s="60"/>
      <c r="U144" s="60"/>
      <c r="V144" s="593">
        <f t="shared" si="118"/>
        <v>0</v>
      </c>
      <c r="W144" s="391">
        <f t="shared" si="119"/>
        <v>1</v>
      </c>
      <c r="X144" s="17">
        <f t="shared" si="120"/>
        <v>1</v>
      </c>
      <c r="Y144" s="18">
        <f t="shared" si="122"/>
        <v>2</v>
      </c>
      <c r="Z144" s="19">
        <f>IF(Y$145=0,0,Y144/Y$145)</f>
        <v>0.125</v>
      </c>
      <c r="AA144" s="201"/>
      <c r="AB144" s="201"/>
      <c r="AC144" s="84"/>
      <c r="AE144" s="113"/>
      <c r="AF144" s="113"/>
      <c r="AG144" s="113"/>
      <c r="AH144" s="113"/>
      <c r="AI144" s="113"/>
      <c r="AK144" s="113"/>
      <c r="AL144" s="113"/>
      <c r="AM144" s="113"/>
      <c r="AN144" s="113"/>
      <c r="AO144" s="113"/>
      <c r="AQ144" s="84"/>
      <c r="AR144" s="84"/>
      <c r="AS144" s="84"/>
      <c r="AT144" s="17">
        <f t="shared" si="123"/>
        <v>1</v>
      </c>
      <c r="AU144" s="19">
        <f>IF(AT$145=0,0,AT144/AT$145)</f>
        <v>0.1111111111111111</v>
      </c>
      <c r="AW144" s="84"/>
      <c r="AX144" s="84"/>
      <c r="AY144" s="84"/>
      <c r="AZ144" s="424">
        <f t="shared" si="121"/>
        <v>1</v>
      </c>
      <c r="BA144" s="19">
        <f>IF(AZ$145=0,0,AZ144/AZ$145)</f>
        <v>0.14285714285714285</v>
      </c>
    </row>
    <row r="145" spans="1:53" ht="16.5" customHeight="1" x14ac:dyDescent="0.25">
      <c r="A145" s="40"/>
      <c r="B145" s="40"/>
      <c r="C145" s="77"/>
      <c r="D145" s="144"/>
      <c r="E145" s="144"/>
      <c r="F145" s="145"/>
      <c r="G145" s="283"/>
      <c r="H145" s="119"/>
      <c r="I145" s="236"/>
      <c r="J145" s="64"/>
      <c r="K145" s="64"/>
      <c r="L145" s="64"/>
      <c r="M145" s="64"/>
      <c r="N145" s="81">
        <f t="shared" ref="N145:Y145" si="124">SUM(N142:N144)</f>
        <v>3</v>
      </c>
      <c r="O145" s="81">
        <f t="shared" si="124"/>
        <v>6</v>
      </c>
      <c r="P145" s="81">
        <f t="shared" si="124"/>
        <v>9</v>
      </c>
      <c r="Q145" s="81">
        <f t="shared" si="124"/>
        <v>6</v>
      </c>
      <c r="R145" s="81">
        <f t="shared" si="124"/>
        <v>1</v>
      </c>
      <c r="S145" s="81">
        <f t="shared" si="124"/>
        <v>7</v>
      </c>
      <c r="T145" s="81">
        <f t="shared" si="124"/>
        <v>0</v>
      </c>
      <c r="U145" s="81">
        <f t="shared" si="124"/>
        <v>0</v>
      </c>
      <c r="V145" s="356">
        <f t="shared" si="124"/>
        <v>0</v>
      </c>
      <c r="W145" s="381">
        <f t="shared" si="124"/>
        <v>9</v>
      </c>
      <c r="X145" s="82">
        <f t="shared" si="124"/>
        <v>7</v>
      </c>
      <c r="Y145" s="82">
        <f t="shared" si="124"/>
        <v>16</v>
      </c>
      <c r="Z145" s="205">
        <f>IF(Y$145=0,0,Y145/Y$145)</f>
        <v>1</v>
      </c>
      <c r="AA145" s="205"/>
      <c r="AB145" s="205"/>
      <c r="AC145" s="83"/>
      <c r="AE145" s="81"/>
      <c r="AF145" s="81"/>
      <c r="AG145" s="82"/>
      <c r="AH145" s="324"/>
      <c r="AI145" s="66"/>
      <c r="AK145" s="81"/>
      <c r="AL145" s="81"/>
      <c r="AM145" s="82"/>
      <c r="AN145" s="324"/>
      <c r="AO145" s="66"/>
      <c r="AQ145" s="81"/>
      <c r="AR145" s="81"/>
      <c r="AS145" s="82"/>
      <c r="AT145" s="324">
        <f>SUM(AT142:AT144)</f>
        <v>9</v>
      </c>
      <c r="AU145" s="66">
        <f>IF(AT$145=0,0,AT145/AT$145)</f>
        <v>1</v>
      </c>
      <c r="AW145" s="81"/>
      <c r="AX145" s="81"/>
      <c r="AY145" s="82"/>
      <c r="AZ145" s="324">
        <f>SUM(AZ142:AZ144)</f>
        <v>7</v>
      </c>
      <c r="BA145" s="66">
        <f>IF(AZ$145=0,0,AZ145/AZ$145)</f>
        <v>1</v>
      </c>
    </row>
    <row r="146" spans="1:53" s="117" customFormat="1" ht="17.100000000000001" customHeight="1" x14ac:dyDescent="0.25">
      <c r="A146" s="119"/>
      <c r="B146" s="119"/>
      <c r="C146" s="647"/>
      <c r="D146" s="212"/>
      <c r="E146" s="212"/>
      <c r="F146" s="212"/>
      <c r="G146" s="212"/>
      <c r="H146" s="242"/>
      <c r="I146" s="230"/>
      <c r="J146" s="17"/>
      <c r="K146" s="17"/>
      <c r="L146" s="17"/>
      <c r="M146" s="17"/>
      <c r="N146" s="17" t="str">
        <f>IF(N145=N$20,"OK","NOK")</f>
        <v>OK</v>
      </c>
      <c r="O146" s="17" t="str">
        <f>IF(O145=O$20,"OK","NOK")</f>
        <v>OK</v>
      </c>
      <c r="P146" s="17"/>
      <c r="Q146" s="17" t="str">
        <f>IF(Q145=Q$20,"OK","NOK")</f>
        <v>OK</v>
      </c>
      <c r="R146" s="17" t="str">
        <f>IF(R145=R$20,"OK","NOK")</f>
        <v>OK</v>
      </c>
      <c r="S146" s="17"/>
      <c r="T146" s="17" t="str">
        <f>IF(T145=T$20,"OK","NOK")</f>
        <v>OK</v>
      </c>
      <c r="U146" s="17" t="str">
        <f>IF(U145=U$20,"OK","NOK")</f>
        <v>OK</v>
      </c>
      <c r="V146" s="359"/>
      <c r="W146" s="382"/>
      <c r="X146" s="646"/>
      <c r="Y146" s="646"/>
      <c r="Z146" s="201"/>
      <c r="AA146" s="201"/>
      <c r="AB146" s="201"/>
      <c r="AC146" s="84"/>
      <c r="AE146" s="17"/>
      <c r="AF146" s="17"/>
      <c r="AG146" s="17"/>
      <c r="AH146" s="646"/>
      <c r="AI146" s="91"/>
      <c r="AK146" s="17"/>
      <c r="AL146" s="17"/>
      <c r="AM146" s="17"/>
      <c r="AN146" s="646"/>
      <c r="AO146" s="91"/>
      <c r="AQ146" s="17"/>
      <c r="AR146" s="17"/>
      <c r="AS146" s="17"/>
      <c r="AT146" s="646"/>
      <c r="AU146" s="91"/>
      <c r="AW146" s="17"/>
      <c r="AX146" s="17"/>
      <c r="AY146" s="17"/>
      <c r="AZ146" s="17"/>
      <c r="BA146" s="91"/>
    </row>
    <row r="147" spans="1:53" ht="17.100000000000001" customHeight="1" x14ac:dyDescent="0.25">
      <c r="A147" s="40"/>
      <c r="B147" s="41" t="s">
        <v>110</v>
      </c>
      <c r="C147" s="42" t="s">
        <v>565</v>
      </c>
      <c r="D147" s="43"/>
      <c r="E147" s="43"/>
      <c r="F147" s="43"/>
      <c r="G147" s="44"/>
      <c r="H147" s="23"/>
      <c r="I147" s="229"/>
      <c r="J147" s="71"/>
      <c r="K147" s="71"/>
      <c r="L147" s="71"/>
      <c r="M147" s="71"/>
      <c r="N147" s="71"/>
      <c r="O147" s="71"/>
      <c r="P147" s="71"/>
      <c r="Q147" s="71"/>
      <c r="R147" s="71"/>
      <c r="S147" s="71"/>
      <c r="T147" s="71"/>
      <c r="U147" s="71"/>
      <c r="V147" s="71"/>
      <c r="W147" s="71"/>
      <c r="X147" s="71"/>
      <c r="Y147" s="71"/>
      <c r="Z147" s="73"/>
      <c r="AA147" s="73"/>
      <c r="AB147" s="73"/>
      <c r="AC147" s="73"/>
      <c r="AE147" s="71"/>
      <c r="AF147" s="71"/>
      <c r="AG147" s="73"/>
      <c r="AH147" s="73"/>
      <c r="AI147" s="73"/>
      <c r="AK147" s="71"/>
      <c r="AL147" s="71"/>
      <c r="AM147" s="73"/>
      <c r="AN147" s="73"/>
      <c r="AO147" s="73"/>
      <c r="AQ147" s="71"/>
      <c r="AR147" s="71"/>
      <c r="AS147" s="73"/>
      <c r="AT147" s="73"/>
      <c r="AU147" s="73"/>
      <c r="AW147" s="71"/>
      <c r="AX147" s="71"/>
      <c r="AY147" s="73"/>
      <c r="AZ147" s="73"/>
      <c r="BA147" s="73"/>
    </row>
    <row r="148" spans="1:53" ht="17.100000000000001" customHeight="1" x14ac:dyDescent="0.25">
      <c r="A148" s="40"/>
      <c r="B148" s="40"/>
      <c r="C148" s="141" t="s">
        <v>112</v>
      </c>
      <c r="D148" s="85" t="s">
        <v>566</v>
      </c>
      <c r="E148" s="75"/>
      <c r="F148" s="75"/>
      <c r="G148" s="76"/>
      <c r="H148" s="23"/>
      <c r="I148" s="229"/>
      <c r="J148" s="174"/>
      <c r="K148" s="174"/>
      <c r="L148" s="111"/>
      <c r="M148" s="111"/>
      <c r="N148" s="60"/>
      <c r="O148" s="60"/>
      <c r="P148" s="593">
        <f t="shared" ref="P148:P150" si="125">SUM(N148:O148)</f>
        <v>0</v>
      </c>
      <c r="Q148" s="60"/>
      <c r="R148" s="60"/>
      <c r="S148" s="593">
        <f t="shared" ref="S148:S150" si="126">SUM(Q148:R148)</f>
        <v>0</v>
      </c>
      <c r="T148" s="60"/>
      <c r="U148" s="60"/>
      <c r="V148" s="593">
        <f t="shared" ref="V148:V150" si="127">SUM(T148:U148)</f>
        <v>0</v>
      </c>
      <c r="W148" s="391">
        <f t="shared" ref="W148:W150" si="128">J148+K148+N148+Q148+T148</f>
        <v>0</v>
      </c>
      <c r="X148" s="17">
        <f t="shared" ref="X148:X150" si="129">L148+O148+R148+U148</f>
        <v>0</v>
      </c>
      <c r="Y148" s="18">
        <f t="shared" ref="Y148:Y150" si="130">SUM(W148:X148)</f>
        <v>0</v>
      </c>
      <c r="Z148" s="19">
        <f>IF(Y$151=0,0,Y148/Y$151)</f>
        <v>0</v>
      </c>
      <c r="AA148" s="19"/>
      <c r="AB148" s="19"/>
      <c r="AC148" s="20"/>
      <c r="AE148" s="111"/>
      <c r="AF148" s="111"/>
      <c r="AG148" s="111"/>
      <c r="AH148" s="651"/>
      <c r="AI148" s="131"/>
      <c r="AK148" s="111"/>
      <c r="AL148" s="111"/>
      <c r="AM148" s="111"/>
      <c r="AN148" s="651"/>
      <c r="AO148" s="131"/>
      <c r="AQ148" s="17"/>
      <c r="AR148" s="17"/>
      <c r="AS148" s="17"/>
      <c r="AT148" s="17">
        <f t="shared" ref="AT148:AT150" si="131">W148</f>
        <v>0</v>
      </c>
      <c r="AU148" s="19">
        <f>IF(AT$151=0,0,AT148/AT$151)</f>
        <v>0</v>
      </c>
      <c r="AW148" s="17"/>
      <c r="AX148" s="17"/>
      <c r="AY148" s="17"/>
      <c r="AZ148" s="424">
        <f>X148</f>
        <v>0</v>
      </c>
      <c r="BA148" s="19">
        <f>IF(AZ$151=0,0,AZ148/AZ$151)</f>
        <v>0</v>
      </c>
    </row>
    <row r="149" spans="1:53" ht="17.100000000000001" customHeight="1" x14ac:dyDescent="0.25">
      <c r="A149" s="40"/>
      <c r="B149" s="40"/>
      <c r="C149" s="141" t="s">
        <v>114</v>
      </c>
      <c r="D149" s="85" t="s">
        <v>567</v>
      </c>
      <c r="E149" s="75"/>
      <c r="F149" s="75"/>
      <c r="G149" s="76"/>
      <c r="H149" s="23"/>
      <c r="I149" s="229"/>
      <c r="J149" s="174"/>
      <c r="K149" s="174"/>
      <c r="L149" s="111"/>
      <c r="M149" s="111"/>
      <c r="N149" s="61"/>
      <c r="O149" s="61"/>
      <c r="P149" s="593">
        <f t="shared" si="125"/>
        <v>0</v>
      </c>
      <c r="Q149" s="61"/>
      <c r="R149" s="61"/>
      <c r="S149" s="593">
        <f t="shared" si="126"/>
        <v>0</v>
      </c>
      <c r="T149" s="61"/>
      <c r="U149" s="61"/>
      <c r="V149" s="593">
        <f t="shared" si="127"/>
        <v>0</v>
      </c>
      <c r="W149" s="391">
        <f t="shared" si="128"/>
        <v>0</v>
      </c>
      <c r="X149" s="17">
        <f t="shared" si="129"/>
        <v>0</v>
      </c>
      <c r="Y149" s="18">
        <f t="shared" si="130"/>
        <v>0</v>
      </c>
      <c r="Z149" s="19">
        <f t="shared" ref="Z149:Z151" si="132">IF(Y$151=0,0,Y149/Y$151)</f>
        <v>0</v>
      </c>
      <c r="AA149" s="19"/>
      <c r="AB149" s="19"/>
      <c r="AC149" s="20"/>
      <c r="AE149" s="111"/>
      <c r="AF149" s="111"/>
      <c r="AG149" s="111"/>
      <c r="AH149" s="651"/>
      <c r="AI149" s="131"/>
      <c r="AK149" s="111"/>
      <c r="AL149" s="111"/>
      <c r="AM149" s="111"/>
      <c r="AN149" s="651"/>
      <c r="AO149" s="131"/>
      <c r="AQ149" s="17"/>
      <c r="AR149" s="17"/>
      <c r="AS149" s="17"/>
      <c r="AT149" s="17">
        <f t="shared" si="131"/>
        <v>0</v>
      </c>
      <c r="AU149" s="19">
        <f t="shared" ref="AU149:AU151" si="133">IF(AT$151=0,0,AT149/AT$151)</f>
        <v>0</v>
      </c>
      <c r="AW149" s="17"/>
      <c r="AX149" s="17"/>
      <c r="AY149" s="17"/>
      <c r="AZ149" s="424">
        <f t="shared" ref="AZ149:AZ150" si="134">X149</f>
        <v>0</v>
      </c>
      <c r="BA149" s="19">
        <f t="shared" ref="BA149:BA151" si="135">IF(AZ$151=0,0,AZ149/AZ$151)</f>
        <v>0</v>
      </c>
    </row>
    <row r="150" spans="1:53" ht="17.100000000000001" customHeight="1" x14ac:dyDescent="0.25">
      <c r="A150" s="40"/>
      <c r="B150" s="40"/>
      <c r="C150" s="141" t="s">
        <v>568</v>
      </c>
      <c r="D150" s="85" t="s">
        <v>614</v>
      </c>
      <c r="E150" s="649"/>
      <c r="F150" s="649"/>
      <c r="G150" s="281"/>
      <c r="H150" s="254"/>
      <c r="I150" s="235"/>
      <c r="J150" s="111"/>
      <c r="K150" s="111"/>
      <c r="L150" s="111"/>
      <c r="M150" s="111"/>
      <c r="N150" s="60">
        <v>3</v>
      </c>
      <c r="O150" s="60">
        <v>6</v>
      </c>
      <c r="P150" s="593">
        <f t="shared" si="125"/>
        <v>9</v>
      </c>
      <c r="Q150" s="60">
        <v>6</v>
      </c>
      <c r="R150" s="60">
        <v>1</v>
      </c>
      <c r="S150" s="593">
        <f t="shared" si="126"/>
        <v>7</v>
      </c>
      <c r="T150" s="60"/>
      <c r="U150" s="60"/>
      <c r="V150" s="593">
        <f t="shared" si="127"/>
        <v>0</v>
      </c>
      <c r="W150" s="391">
        <f t="shared" si="128"/>
        <v>9</v>
      </c>
      <c r="X150" s="17">
        <f t="shared" si="129"/>
        <v>7</v>
      </c>
      <c r="Y150" s="18">
        <f t="shared" si="130"/>
        <v>16</v>
      </c>
      <c r="Z150" s="19">
        <f t="shared" si="132"/>
        <v>1</v>
      </c>
      <c r="AA150" s="91"/>
      <c r="AB150" s="91"/>
      <c r="AC150" s="84"/>
      <c r="AE150" s="111"/>
      <c r="AF150" s="111"/>
      <c r="AG150" s="111"/>
      <c r="AH150" s="651"/>
      <c r="AI150" s="131"/>
      <c r="AK150" s="111"/>
      <c r="AL150" s="111"/>
      <c r="AM150" s="111"/>
      <c r="AN150" s="651"/>
      <c r="AO150" s="131"/>
      <c r="AQ150" s="17"/>
      <c r="AR150" s="17"/>
      <c r="AS150" s="17"/>
      <c r="AT150" s="17">
        <f t="shared" si="131"/>
        <v>9</v>
      </c>
      <c r="AU150" s="19">
        <f t="shared" si="133"/>
        <v>1</v>
      </c>
      <c r="AW150" s="17"/>
      <c r="AX150" s="17"/>
      <c r="AY150" s="17"/>
      <c r="AZ150" s="424">
        <f t="shared" si="134"/>
        <v>7</v>
      </c>
      <c r="BA150" s="19">
        <f t="shared" si="135"/>
        <v>1</v>
      </c>
    </row>
    <row r="151" spans="1:53" ht="17.100000000000001" customHeight="1" x14ac:dyDescent="0.25">
      <c r="A151" s="40"/>
      <c r="B151" s="40"/>
      <c r="C151" s="77"/>
      <c r="D151" s="144"/>
      <c r="E151" s="144"/>
      <c r="F151" s="145"/>
      <c r="G151" s="283"/>
      <c r="H151" s="119"/>
      <c r="I151" s="236"/>
      <c r="J151" s="64"/>
      <c r="K151" s="64"/>
      <c r="L151" s="81"/>
      <c r="M151" s="81"/>
      <c r="N151" s="81">
        <f>SUM(N148:N150)</f>
        <v>3</v>
      </c>
      <c r="O151" s="81">
        <f t="shared" ref="O151:Y151" si="136">SUM(O148:O150)</f>
        <v>6</v>
      </c>
      <c r="P151" s="81">
        <f t="shared" si="136"/>
        <v>9</v>
      </c>
      <c r="Q151" s="81">
        <f t="shared" si="136"/>
        <v>6</v>
      </c>
      <c r="R151" s="81">
        <f t="shared" si="136"/>
        <v>1</v>
      </c>
      <c r="S151" s="81">
        <f t="shared" si="136"/>
        <v>7</v>
      </c>
      <c r="T151" s="81">
        <f t="shared" si="136"/>
        <v>0</v>
      </c>
      <c r="U151" s="81">
        <f t="shared" si="136"/>
        <v>0</v>
      </c>
      <c r="V151" s="81">
        <f t="shared" si="136"/>
        <v>0</v>
      </c>
      <c r="W151" s="82">
        <f t="shared" si="136"/>
        <v>9</v>
      </c>
      <c r="X151" s="82">
        <f t="shared" si="136"/>
        <v>7</v>
      </c>
      <c r="Y151" s="82">
        <f t="shared" si="136"/>
        <v>16</v>
      </c>
      <c r="Z151" s="205">
        <f t="shared" si="132"/>
        <v>1</v>
      </c>
      <c r="AA151" s="205"/>
      <c r="AB151" s="205"/>
      <c r="AC151" s="83"/>
      <c r="AE151" s="81"/>
      <c r="AF151" s="81"/>
      <c r="AG151" s="82"/>
      <c r="AH151" s="82"/>
      <c r="AI151" s="66"/>
      <c r="AK151" s="81"/>
      <c r="AL151" s="81"/>
      <c r="AM151" s="82"/>
      <c r="AN151" s="82"/>
      <c r="AO151" s="66"/>
      <c r="AQ151" s="81"/>
      <c r="AR151" s="81"/>
      <c r="AS151" s="82"/>
      <c r="AT151" s="82">
        <f>SUM(AT148:AT150)</f>
        <v>9</v>
      </c>
      <c r="AU151" s="66">
        <f t="shared" si="133"/>
        <v>1</v>
      </c>
      <c r="AW151" s="81"/>
      <c r="AX151" s="81"/>
      <c r="AY151" s="82"/>
      <c r="AZ151" s="82">
        <f>SUM(AZ148:AZ150)</f>
        <v>7</v>
      </c>
      <c r="BA151" s="66">
        <f t="shared" si="135"/>
        <v>1</v>
      </c>
    </row>
    <row r="152" spans="1:53" s="117" customFormat="1" ht="17.100000000000001" customHeight="1" x14ac:dyDescent="0.25">
      <c r="A152" s="119"/>
      <c r="B152" s="119"/>
      <c r="C152" s="647"/>
      <c r="D152" s="212"/>
      <c r="E152" s="212"/>
      <c r="F152" s="212"/>
      <c r="G152" s="212"/>
      <c r="H152" s="242"/>
      <c r="I152" s="230"/>
      <c r="J152" s="17"/>
      <c r="K152" s="17"/>
      <c r="L152" s="17"/>
      <c r="M152" s="17"/>
      <c r="N152" s="17" t="str">
        <f>IF(N151=N$20,"OK","NOK")</f>
        <v>OK</v>
      </c>
      <c r="O152" s="17" t="str">
        <f>IF(O151=O$20,"OK","NOK")</f>
        <v>OK</v>
      </c>
      <c r="P152" s="17"/>
      <c r="Q152" s="17" t="str">
        <f>IF(Q151=Q$20,"OK","NOK")</f>
        <v>OK</v>
      </c>
      <c r="R152" s="17" t="str">
        <f>IF(R151=R$20,"OK","NOK")</f>
        <v>OK</v>
      </c>
      <c r="S152" s="17"/>
      <c r="T152" s="17" t="str">
        <f>IF(T151=T$20,"OK","NOK")</f>
        <v>OK</v>
      </c>
      <c r="U152" s="17" t="str">
        <f>IF(U151=U$20,"OK","NOK")</f>
        <v>OK</v>
      </c>
      <c r="V152" s="359"/>
      <c r="W152" s="382"/>
      <c r="X152" s="646"/>
      <c r="Y152" s="646"/>
      <c r="Z152" s="201"/>
      <c r="AA152" s="201"/>
      <c r="AB152" s="201"/>
      <c r="AC152" s="84"/>
      <c r="AE152" s="17"/>
      <c r="AF152" s="17"/>
      <c r="AG152" s="17"/>
      <c r="AH152" s="646"/>
      <c r="AI152" s="91"/>
      <c r="AK152" s="17"/>
      <c r="AL152" s="17"/>
      <c r="AM152" s="17"/>
      <c r="AN152" s="646"/>
      <c r="AO152" s="91"/>
      <c r="AQ152" s="17"/>
      <c r="AR152" s="17"/>
      <c r="AS152" s="17"/>
      <c r="AT152" s="646"/>
      <c r="AU152" s="91"/>
      <c r="AW152" s="17"/>
      <c r="AX152" s="17"/>
      <c r="AY152" s="17"/>
      <c r="AZ152" s="17"/>
      <c r="BA152" s="91"/>
    </row>
    <row r="153" spans="1:53" ht="17.100000000000001" customHeight="1" x14ac:dyDescent="0.25">
      <c r="A153" s="40"/>
      <c r="B153" s="40"/>
      <c r="C153" s="40"/>
      <c r="D153" s="85" t="s">
        <v>613</v>
      </c>
      <c r="E153" s="150"/>
      <c r="F153" s="151"/>
      <c r="G153" s="318"/>
      <c r="H153" s="119"/>
      <c r="I153" s="236"/>
      <c r="J153" s="174"/>
      <c r="K153" s="174"/>
      <c r="L153" s="111"/>
      <c r="M153" s="111"/>
      <c r="N153" s="111"/>
      <c r="O153" s="111"/>
      <c r="P153" s="111"/>
      <c r="Q153" s="111"/>
      <c r="R153" s="111"/>
      <c r="S153" s="111"/>
      <c r="T153" s="111"/>
      <c r="U153" s="111"/>
      <c r="V153" s="111"/>
      <c r="W153" s="111"/>
      <c r="X153" s="111"/>
      <c r="Y153" s="111"/>
      <c r="Z153" s="131"/>
      <c r="AA153" s="131"/>
      <c r="AB153" s="131"/>
      <c r="AC153" s="113"/>
      <c r="AE153" s="111"/>
      <c r="AF153" s="111"/>
      <c r="AG153" s="651"/>
      <c r="AH153" s="131"/>
      <c r="AI153" s="113"/>
      <c r="AK153" s="111"/>
      <c r="AL153" s="111"/>
      <c r="AM153" s="651"/>
      <c r="AN153" s="131"/>
      <c r="AO153" s="113"/>
      <c r="AQ153" s="111"/>
      <c r="AR153" s="111"/>
      <c r="AS153" s="651"/>
      <c r="AT153" s="131"/>
      <c r="AU153" s="113"/>
      <c r="AW153" s="111"/>
      <c r="AX153" s="111"/>
      <c r="AY153" s="651"/>
      <c r="AZ153" s="131"/>
      <c r="BA153" s="113"/>
    </row>
    <row r="154" spans="1:53" ht="17.100000000000001" customHeight="1" x14ac:dyDescent="0.25">
      <c r="A154" s="40"/>
      <c r="B154" s="40"/>
      <c r="C154" s="40"/>
      <c r="D154" s="74" t="s">
        <v>569</v>
      </c>
      <c r="E154" s="85" t="s">
        <v>570</v>
      </c>
      <c r="F154" s="75"/>
      <c r="G154" s="76"/>
      <c r="H154" s="316"/>
      <c r="I154" s="230"/>
      <c r="J154" s="174"/>
      <c r="K154" s="174"/>
      <c r="L154" s="111"/>
      <c r="M154" s="111"/>
      <c r="N154" s="60">
        <v>1</v>
      </c>
      <c r="O154" s="60">
        <v>1</v>
      </c>
      <c r="P154" s="593">
        <f t="shared" ref="P154:P168" si="137">SUM(N154:O154)</f>
        <v>2</v>
      </c>
      <c r="Q154" s="60">
        <v>1</v>
      </c>
      <c r="R154" s="60"/>
      <c r="S154" s="593">
        <f t="shared" ref="S154:S163" si="138">SUM(Q154:R154)</f>
        <v>1</v>
      </c>
      <c r="T154" s="60"/>
      <c r="U154" s="60"/>
      <c r="V154" s="593">
        <f t="shared" ref="V154:V163" si="139">SUM(T154:U154)</f>
        <v>0</v>
      </c>
      <c r="W154" s="391">
        <f t="shared" ref="W154:W163" si="140">J154+K154+N154+Q154+T154</f>
        <v>2</v>
      </c>
      <c r="X154" s="17">
        <f t="shared" ref="X154:X163" si="141">L154+O154+R154+U154</f>
        <v>1</v>
      </c>
      <c r="Y154" s="18">
        <f t="shared" ref="Y154:Y163" si="142">SUM(W154:X154)</f>
        <v>3</v>
      </c>
      <c r="Z154" s="19">
        <f t="shared" ref="Z154:Z163" si="143">IF(Y$169=0,0,Y154/Y$169)</f>
        <v>0.11538461538461539</v>
      </c>
      <c r="AA154" s="19"/>
      <c r="AB154" s="19"/>
      <c r="AC154" s="20"/>
      <c r="AE154" s="111"/>
      <c r="AF154" s="111"/>
      <c r="AG154" s="111"/>
      <c r="AH154" s="651"/>
      <c r="AI154" s="131"/>
      <c r="AK154" s="111"/>
      <c r="AL154" s="111"/>
      <c r="AM154" s="111"/>
      <c r="AN154" s="651"/>
      <c r="AO154" s="131"/>
      <c r="AQ154" s="20"/>
      <c r="AR154" s="20"/>
      <c r="AS154" s="20"/>
      <c r="AT154" s="17">
        <f t="shared" ref="AT154:AT163" si="144">W154</f>
        <v>2</v>
      </c>
      <c r="AU154" s="19">
        <f t="shared" ref="AU154:AU163" si="145">IF(AT$169=0,0,AT154/AT$169)</f>
        <v>0.11764705882352941</v>
      </c>
      <c r="AW154" s="17"/>
      <c r="AX154" s="17"/>
      <c r="AY154" s="17"/>
      <c r="AZ154" s="424">
        <f>X154</f>
        <v>1</v>
      </c>
      <c r="BA154" s="19">
        <f t="shared" ref="BA154:BA163" si="146">IF(AZ$169=0,0,AZ154/AZ$169)</f>
        <v>0.1111111111111111</v>
      </c>
    </row>
    <row r="155" spans="1:53" ht="17.100000000000001" customHeight="1" x14ac:dyDescent="0.25">
      <c r="A155" s="40"/>
      <c r="B155" s="40"/>
      <c r="C155" s="40"/>
      <c r="D155" s="74" t="s">
        <v>571</v>
      </c>
      <c r="E155" s="649" t="s">
        <v>572</v>
      </c>
      <c r="F155" s="649"/>
      <c r="G155" s="281"/>
      <c r="H155" s="254"/>
      <c r="I155" s="235"/>
      <c r="J155" s="174"/>
      <c r="K155" s="174"/>
      <c r="L155" s="111"/>
      <c r="M155" s="111"/>
      <c r="N155" s="61"/>
      <c r="O155" s="61">
        <v>1</v>
      </c>
      <c r="P155" s="593">
        <f t="shared" si="137"/>
        <v>1</v>
      </c>
      <c r="Q155" s="61">
        <v>1</v>
      </c>
      <c r="R155" s="61">
        <v>1</v>
      </c>
      <c r="S155" s="593">
        <f t="shared" si="138"/>
        <v>2</v>
      </c>
      <c r="T155" s="61"/>
      <c r="U155" s="61"/>
      <c r="V155" s="593">
        <f t="shared" si="139"/>
        <v>0</v>
      </c>
      <c r="W155" s="391">
        <f t="shared" si="140"/>
        <v>1</v>
      </c>
      <c r="X155" s="17">
        <f t="shared" si="141"/>
        <v>2</v>
      </c>
      <c r="Y155" s="18">
        <f t="shared" si="142"/>
        <v>3</v>
      </c>
      <c r="Z155" s="19">
        <f t="shared" si="143"/>
        <v>0.11538461538461539</v>
      </c>
      <c r="AA155" s="19"/>
      <c r="AB155" s="19"/>
      <c r="AC155" s="20"/>
      <c r="AE155" s="111"/>
      <c r="AF155" s="111"/>
      <c r="AG155" s="111"/>
      <c r="AH155" s="651"/>
      <c r="AI155" s="131"/>
      <c r="AK155" s="111"/>
      <c r="AL155" s="111"/>
      <c r="AM155" s="111"/>
      <c r="AN155" s="651"/>
      <c r="AO155" s="131"/>
      <c r="AQ155" s="20"/>
      <c r="AR155" s="20"/>
      <c r="AS155" s="20"/>
      <c r="AT155" s="17">
        <f t="shared" si="144"/>
        <v>1</v>
      </c>
      <c r="AU155" s="19">
        <f t="shared" si="145"/>
        <v>5.8823529411764705E-2</v>
      </c>
      <c r="AW155" s="17"/>
      <c r="AX155" s="17"/>
      <c r="AY155" s="17"/>
      <c r="AZ155" s="424">
        <f t="shared" ref="AZ155:AZ163" si="147">X155</f>
        <v>2</v>
      </c>
      <c r="BA155" s="19">
        <f t="shared" si="146"/>
        <v>0.22222222222222221</v>
      </c>
    </row>
    <row r="156" spans="1:53" ht="17.100000000000001" customHeight="1" x14ac:dyDescent="0.25">
      <c r="A156" s="40"/>
      <c r="B156" s="40"/>
      <c r="C156" s="40"/>
      <c r="D156" s="74" t="s">
        <v>573</v>
      </c>
      <c r="E156" s="649" t="s">
        <v>574</v>
      </c>
      <c r="F156" s="649"/>
      <c r="G156" s="281"/>
      <c r="H156" s="254"/>
      <c r="I156" s="235"/>
      <c r="J156" s="174"/>
      <c r="K156" s="174"/>
      <c r="L156" s="111"/>
      <c r="M156" s="111"/>
      <c r="N156" s="60"/>
      <c r="O156" s="60"/>
      <c r="P156" s="593">
        <f t="shared" si="137"/>
        <v>0</v>
      </c>
      <c r="Q156" s="60"/>
      <c r="R156" s="60"/>
      <c r="S156" s="593">
        <f t="shared" si="138"/>
        <v>0</v>
      </c>
      <c r="T156" s="60"/>
      <c r="U156" s="60"/>
      <c r="V156" s="593">
        <f t="shared" si="139"/>
        <v>0</v>
      </c>
      <c r="W156" s="391">
        <f t="shared" si="140"/>
        <v>0</v>
      </c>
      <c r="X156" s="17">
        <f t="shared" si="141"/>
        <v>0</v>
      </c>
      <c r="Y156" s="18">
        <f t="shared" si="142"/>
        <v>0</v>
      </c>
      <c r="Z156" s="19">
        <f t="shared" si="143"/>
        <v>0</v>
      </c>
      <c r="AA156" s="19"/>
      <c r="AB156" s="19"/>
      <c r="AC156" s="20"/>
      <c r="AE156" s="111"/>
      <c r="AF156" s="111"/>
      <c r="AG156" s="111"/>
      <c r="AH156" s="651"/>
      <c r="AI156" s="131"/>
      <c r="AK156" s="111"/>
      <c r="AL156" s="111"/>
      <c r="AM156" s="111"/>
      <c r="AN156" s="651"/>
      <c r="AO156" s="131"/>
      <c r="AQ156" s="20"/>
      <c r="AR156" s="20"/>
      <c r="AS156" s="20"/>
      <c r="AT156" s="17">
        <f t="shared" si="144"/>
        <v>0</v>
      </c>
      <c r="AU156" s="19">
        <f t="shared" si="145"/>
        <v>0</v>
      </c>
      <c r="AW156" s="17"/>
      <c r="AX156" s="17"/>
      <c r="AY156" s="17"/>
      <c r="AZ156" s="424">
        <f t="shared" si="147"/>
        <v>0</v>
      </c>
      <c r="BA156" s="19">
        <f t="shared" si="146"/>
        <v>0</v>
      </c>
    </row>
    <row r="157" spans="1:53" ht="17.100000000000001" customHeight="1" x14ac:dyDescent="0.25">
      <c r="A157" s="40"/>
      <c r="B157" s="40"/>
      <c r="C157" s="40"/>
      <c r="D157" s="74" t="s">
        <v>575</v>
      </c>
      <c r="E157" s="649" t="s">
        <v>576</v>
      </c>
      <c r="F157" s="649"/>
      <c r="G157" s="281"/>
      <c r="H157" s="254"/>
      <c r="I157" s="235"/>
      <c r="J157" s="174"/>
      <c r="K157" s="174"/>
      <c r="L157" s="111"/>
      <c r="M157" s="111"/>
      <c r="N157" s="61"/>
      <c r="O157" s="61"/>
      <c r="P157" s="593">
        <f t="shared" si="137"/>
        <v>0</v>
      </c>
      <c r="Q157" s="61"/>
      <c r="R157" s="61"/>
      <c r="S157" s="593">
        <f t="shared" si="138"/>
        <v>0</v>
      </c>
      <c r="T157" s="61"/>
      <c r="U157" s="61"/>
      <c r="V157" s="593">
        <f t="shared" si="139"/>
        <v>0</v>
      </c>
      <c r="W157" s="391">
        <f t="shared" si="140"/>
        <v>0</v>
      </c>
      <c r="X157" s="17">
        <f t="shared" si="141"/>
        <v>0</v>
      </c>
      <c r="Y157" s="18">
        <f t="shared" si="142"/>
        <v>0</v>
      </c>
      <c r="Z157" s="19">
        <f t="shared" si="143"/>
        <v>0</v>
      </c>
      <c r="AA157" s="19"/>
      <c r="AB157" s="19"/>
      <c r="AC157" s="20"/>
      <c r="AE157" s="111"/>
      <c r="AF157" s="111"/>
      <c r="AG157" s="111"/>
      <c r="AH157" s="651"/>
      <c r="AI157" s="131"/>
      <c r="AK157" s="111"/>
      <c r="AL157" s="111"/>
      <c r="AM157" s="111"/>
      <c r="AN157" s="651"/>
      <c r="AO157" s="131"/>
      <c r="AQ157" s="20"/>
      <c r="AR157" s="20"/>
      <c r="AS157" s="20"/>
      <c r="AT157" s="17">
        <f t="shared" si="144"/>
        <v>0</v>
      </c>
      <c r="AU157" s="19">
        <f t="shared" si="145"/>
        <v>0</v>
      </c>
      <c r="AW157" s="17"/>
      <c r="AX157" s="17"/>
      <c r="AY157" s="17"/>
      <c r="AZ157" s="424">
        <f t="shared" si="147"/>
        <v>0</v>
      </c>
      <c r="BA157" s="19">
        <f t="shared" si="146"/>
        <v>0</v>
      </c>
    </row>
    <row r="158" spans="1:53" ht="17.100000000000001" customHeight="1" x14ac:dyDescent="0.25">
      <c r="A158" s="40"/>
      <c r="B158" s="40"/>
      <c r="C158" s="40"/>
      <c r="D158" s="74" t="s">
        <v>577</v>
      </c>
      <c r="E158" s="85" t="s">
        <v>578</v>
      </c>
      <c r="F158" s="75"/>
      <c r="G158" s="76"/>
      <c r="H158" s="316"/>
      <c r="I158" s="230"/>
      <c r="J158" s="174"/>
      <c r="K158" s="174"/>
      <c r="L158" s="111"/>
      <c r="M158" s="111"/>
      <c r="N158" s="60">
        <v>1</v>
      </c>
      <c r="O158" s="60"/>
      <c r="P158" s="593">
        <f t="shared" si="137"/>
        <v>1</v>
      </c>
      <c r="Q158" s="60">
        <v>4</v>
      </c>
      <c r="R158" s="60"/>
      <c r="S158" s="593">
        <f t="shared" si="138"/>
        <v>4</v>
      </c>
      <c r="T158" s="60"/>
      <c r="U158" s="60"/>
      <c r="V158" s="593">
        <f t="shared" si="139"/>
        <v>0</v>
      </c>
      <c r="W158" s="391">
        <f t="shared" si="140"/>
        <v>5</v>
      </c>
      <c r="X158" s="17">
        <f t="shared" si="141"/>
        <v>0</v>
      </c>
      <c r="Y158" s="18">
        <f t="shared" si="142"/>
        <v>5</v>
      </c>
      <c r="Z158" s="19">
        <f t="shared" si="143"/>
        <v>0.19230769230769232</v>
      </c>
      <c r="AA158" s="19"/>
      <c r="AB158" s="19"/>
      <c r="AC158" s="20"/>
      <c r="AE158" s="111"/>
      <c r="AF158" s="111"/>
      <c r="AG158" s="111"/>
      <c r="AH158" s="651"/>
      <c r="AI158" s="131"/>
      <c r="AK158" s="111"/>
      <c r="AL158" s="111"/>
      <c r="AM158" s="111"/>
      <c r="AN158" s="651"/>
      <c r="AO158" s="131"/>
      <c r="AQ158" s="20"/>
      <c r="AR158" s="20"/>
      <c r="AS158" s="20"/>
      <c r="AT158" s="17">
        <f t="shared" si="144"/>
        <v>5</v>
      </c>
      <c r="AU158" s="19">
        <f t="shared" si="145"/>
        <v>0.29411764705882354</v>
      </c>
      <c r="AW158" s="17"/>
      <c r="AX158" s="17"/>
      <c r="AY158" s="17"/>
      <c r="AZ158" s="424">
        <f t="shared" si="147"/>
        <v>0</v>
      </c>
      <c r="BA158" s="19">
        <f t="shared" si="146"/>
        <v>0</v>
      </c>
    </row>
    <row r="159" spans="1:53" ht="17.100000000000001" customHeight="1" x14ac:dyDescent="0.25">
      <c r="A159" s="40"/>
      <c r="B159" s="40"/>
      <c r="C159" s="40"/>
      <c r="D159" s="74" t="s">
        <v>579</v>
      </c>
      <c r="E159" s="85" t="s">
        <v>580</v>
      </c>
      <c r="F159" s="75"/>
      <c r="G159" s="76"/>
      <c r="H159" s="316"/>
      <c r="I159" s="230"/>
      <c r="J159" s="174"/>
      <c r="K159" s="174"/>
      <c r="L159" s="111"/>
      <c r="M159" s="111"/>
      <c r="N159" s="61">
        <v>1</v>
      </c>
      <c r="O159" s="61">
        <v>1</v>
      </c>
      <c r="P159" s="593">
        <f t="shared" si="137"/>
        <v>2</v>
      </c>
      <c r="Q159" s="61">
        <v>3</v>
      </c>
      <c r="R159" s="61">
        <v>1</v>
      </c>
      <c r="S159" s="593">
        <f t="shared" si="138"/>
        <v>4</v>
      </c>
      <c r="T159" s="61"/>
      <c r="U159" s="61"/>
      <c r="V159" s="593">
        <f t="shared" si="139"/>
        <v>0</v>
      </c>
      <c r="W159" s="391">
        <f t="shared" si="140"/>
        <v>4</v>
      </c>
      <c r="X159" s="17">
        <f t="shared" si="141"/>
        <v>2</v>
      </c>
      <c r="Y159" s="18">
        <f t="shared" si="142"/>
        <v>6</v>
      </c>
      <c r="Z159" s="19">
        <f t="shared" si="143"/>
        <v>0.23076923076923078</v>
      </c>
      <c r="AA159" s="19"/>
      <c r="AB159" s="19"/>
      <c r="AC159" s="20"/>
      <c r="AE159" s="111"/>
      <c r="AF159" s="111"/>
      <c r="AG159" s="111"/>
      <c r="AH159" s="651"/>
      <c r="AI159" s="131"/>
      <c r="AK159" s="111"/>
      <c r="AL159" s="111"/>
      <c r="AM159" s="111"/>
      <c r="AN159" s="651"/>
      <c r="AO159" s="131"/>
      <c r="AQ159" s="20"/>
      <c r="AR159" s="20"/>
      <c r="AS159" s="20"/>
      <c r="AT159" s="17">
        <f t="shared" si="144"/>
        <v>4</v>
      </c>
      <c r="AU159" s="19">
        <f t="shared" si="145"/>
        <v>0.23529411764705882</v>
      </c>
      <c r="AW159" s="17"/>
      <c r="AX159" s="17"/>
      <c r="AY159" s="17"/>
      <c r="AZ159" s="424">
        <f t="shared" si="147"/>
        <v>2</v>
      </c>
      <c r="BA159" s="19">
        <f t="shared" si="146"/>
        <v>0.22222222222222221</v>
      </c>
    </row>
    <row r="160" spans="1:53" ht="17.100000000000001" customHeight="1" x14ac:dyDescent="0.25">
      <c r="A160" s="40"/>
      <c r="B160" s="40"/>
      <c r="C160" s="40"/>
      <c r="D160" s="74" t="s">
        <v>581</v>
      </c>
      <c r="E160" s="85" t="s">
        <v>582</v>
      </c>
      <c r="F160" s="75"/>
      <c r="G160" s="76"/>
      <c r="H160" s="316"/>
      <c r="I160" s="230"/>
      <c r="J160" s="174"/>
      <c r="K160" s="174"/>
      <c r="L160" s="111"/>
      <c r="M160" s="111"/>
      <c r="N160" s="60">
        <v>1</v>
      </c>
      <c r="O160" s="60">
        <v>1</v>
      </c>
      <c r="P160" s="593">
        <f t="shared" si="137"/>
        <v>2</v>
      </c>
      <c r="Q160" s="60">
        <v>1</v>
      </c>
      <c r="R160" s="60">
        <v>1</v>
      </c>
      <c r="S160" s="593">
        <f t="shared" si="138"/>
        <v>2</v>
      </c>
      <c r="T160" s="60"/>
      <c r="U160" s="60"/>
      <c r="V160" s="593">
        <f t="shared" si="139"/>
        <v>0</v>
      </c>
      <c r="W160" s="391">
        <f t="shared" si="140"/>
        <v>2</v>
      </c>
      <c r="X160" s="17">
        <f t="shared" si="141"/>
        <v>2</v>
      </c>
      <c r="Y160" s="18">
        <f t="shared" si="142"/>
        <v>4</v>
      </c>
      <c r="Z160" s="19">
        <f t="shared" si="143"/>
        <v>0.15384615384615385</v>
      </c>
      <c r="AA160" s="19"/>
      <c r="AB160" s="19"/>
      <c r="AC160" s="20"/>
      <c r="AE160" s="111"/>
      <c r="AF160" s="111"/>
      <c r="AG160" s="111"/>
      <c r="AH160" s="651"/>
      <c r="AI160" s="131"/>
      <c r="AK160" s="111"/>
      <c r="AL160" s="111"/>
      <c r="AM160" s="111"/>
      <c r="AN160" s="651"/>
      <c r="AO160" s="131"/>
      <c r="AQ160" s="20"/>
      <c r="AR160" s="20"/>
      <c r="AS160" s="20"/>
      <c r="AT160" s="17">
        <f t="shared" si="144"/>
        <v>2</v>
      </c>
      <c r="AU160" s="19">
        <f t="shared" si="145"/>
        <v>0.11764705882352941</v>
      </c>
      <c r="AW160" s="17"/>
      <c r="AX160" s="17"/>
      <c r="AY160" s="17"/>
      <c r="AZ160" s="424">
        <f t="shared" si="147"/>
        <v>2</v>
      </c>
      <c r="BA160" s="19">
        <f t="shared" si="146"/>
        <v>0.22222222222222221</v>
      </c>
    </row>
    <row r="161" spans="1:53" ht="17.100000000000001" customHeight="1" x14ac:dyDescent="0.25">
      <c r="A161" s="40"/>
      <c r="B161" s="40"/>
      <c r="C161" s="40"/>
      <c r="D161" s="74" t="s">
        <v>583</v>
      </c>
      <c r="E161" s="85" t="s">
        <v>584</v>
      </c>
      <c r="F161" s="75"/>
      <c r="G161" s="76"/>
      <c r="H161" s="316"/>
      <c r="I161" s="230"/>
      <c r="J161" s="174"/>
      <c r="K161" s="174"/>
      <c r="L161" s="111"/>
      <c r="M161" s="111"/>
      <c r="N161" s="61"/>
      <c r="O161" s="61">
        <v>1</v>
      </c>
      <c r="P161" s="593">
        <f t="shared" si="137"/>
        <v>1</v>
      </c>
      <c r="Q161" s="61"/>
      <c r="R161" s="61"/>
      <c r="S161" s="593">
        <f t="shared" si="138"/>
        <v>0</v>
      </c>
      <c r="T161" s="61"/>
      <c r="U161" s="61"/>
      <c r="V161" s="593">
        <f t="shared" si="139"/>
        <v>0</v>
      </c>
      <c r="W161" s="391">
        <f t="shared" si="140"/>
        <v>0</v>
      </c>
      <c r="X161" s="17">
        <f t="shared" si="141"/>
        <v>1</v>
      </c>
      <c r="Y161" s="18">
        <f t="shared" si="142"/>
        <v>1</v>
      </c>
      <c r="Z161" s="19">
        <f t="shared" si="143"/>
        <v>3.8461538461538464E-2</v>
      </c>
      <c r="AA161" s="19"/>
      <c r="AB161" s="19"/>
      <c r="AC161" s="20"/>
      <c r="AE161" s="111"/>
      <c r="AF161" s="111"/>
      <c r="AG161" s="111"/>
      <c r="AH161" s="651"/>
      <c r="AI161" s="131"/>
      <c r="AK161" s="111"/>
      <c r="AL161" s="111"/>
      <c r="AM161" s="111"/>
      <c r="AN161" s="651"/>
      <c r="AO161" s="131"/>
      <c r="AQ161" s="20"/>
      <c r="AR161" s="20"/>
      <c r="AS161" s="20"/>
      <c r="AT161" s="17">
        <f t="shared" si="144"/>
        <v>0</v>
      </c>
      <c r="AU161" s="19">
        <f t="shared" si="145"/>
        <v>0</v>
      </c>
      <c r="AW161" s="17"/>
      <c r="AX161" s="17"/>
      <c r="AY161" s="17"/>
      <c r="AZ161" s="424">
        <f t="shared" si="147"/>
        <v>1</v>
      </c>
      <c r="BA161" s="19">
        <f t="shared" si="146"/>
        <v>0.1111111111111111</v>
      </c>
    </row>
    <row r="162" spans="1:53" ht="17.100000000000001" customHeight="1" x14ac:dyDescent="0.25">
      <c r="A162" s="40"/>
      <c r="B162" s="40"/>
      <c r="C162" s="40"/>
      <c r="D162" s="74" t="s">
        <v>585</v>
      </c>
      <c r="E162" s="85" t="s">
        <v>586</v>
      </c>
      <c r="F162" s="75"/>
      <c r="G162" s="76"/>
      <c r="H162" s="316"/>
      <c r="I162" s="230"/>
      <c r="J162" s="174"/>
      <c r="K162" s="174"/>
      <c r="L162" s="111"/>
      <c r="M162" s="111"/>
      <c r="N162" s="60"/>
      <c r="O162" s="60">
        <v>1</v>
      </c>
      <c r="P162" s="593">
        <f t="shared" si="137"/>
        <v>1</v>
      </c>
      <c r="Q162" s="60"/>
      <c r="R162" s="60"/>
      <c r="S162" s="593">
        <f t="shared" si="138"/>
        <v>0</v>
      </c>
      <c r="T162" s="60"/>
      <c r="U162" s="60"/>
      <c r="V162" s="593">
        <f t="shared" si="139"/>
        <v>0</v>
      </c>
      <c r="W162" s="391">
        <f t="shared" si="140"/>
        <v>0</v>
      </c>
      <c r="X162" s="17">
        <f t="shared" si="141"/>
        <v>1</v>
      </c>
      <c r="Y162" s="18">
        <f t="shared" si="142"/>
        <v>1</v>
      </c>
      <c r="Z162" s="19">
        <f t="shared" si="143"/>
        <v>3.8461538461538464E-2</v>
      </c>
      <c r="AA162" s="19"/>
      <c r="AB162" s="19"/>
      <c r="AC162" s="20"/>
      <c r="AE162" s="111"/>
      <c r="AF162" s="111"/>
      <c r="AG162" s="111"/>
      <c r="AH162" s="651"/>
      <c r="AI162" s="131"/>
      <c r="AK162" s="111"/>
      <c r="AL162" s="111"/>
      <c r="AM162" s="111"/>
      <c r="AN162" s="651"/>
      <c r="AO162" s="131"/>
      <c r="AQ162" s="20"/>
      <c r="AR162" s="20"/>
      <c r="AS162" s="20"/>
      <c r="AT162" s="17">
        <f t="shared" si="144"/>
        <v>0</v>
      </c>
      <c r="AU162" s="19">
        <f t="shared" si="145"/>
        <v>0</v>
      </c>
      <c r="AW162" s="17"/>
      <c r="AX162" s="17"/>
      <c r="AY162" s="17"/>
      <c r="AZ162" s="424">
        <f t="shared" si="147"/>
        <v>1</v>
      </c>
      <c r="BA162" s="19">
        <f t="shared" si="146"/>
        <v>0.1111111111111111</v>
      </c>
    </row>
    <row r="163" spans="1:53" ht="17.100000000000001" customHeight="1" x14ac:dyDescent="0.25">
      <c r="A163" s="40"/>
      <c r="B163" s="40"/>
      <c r="C163" s="40"/>
      <c r="D163" s="56" t="s">
        <v>587</v>
      </c>
      <c r="E163" s="75" t="s">
        <v>588</v>
      </c>
      <c r="F163" s="284"/>
      <c r="G163" s="285"/>
      <c r="H163" s="319"/>
      <c r="I163" s="308"/>
      <c r="J163" s="111"/>
      <c r="K163" s="111"/>
      <c r="L163" s="111"/>
      <c r="M163" s="111"/>
      <c r="N163" s="111">
        <f t="shared" ref="N163:U163" si="148">SUM(N164:N168)</f>
        <v>0</v>
      </c>
      <c r="O163" s="111">
        <f t="shared" si="148"/>
        <v>0</v>
      </c>
      <c r="P163" s="111">
        <f t="shared" si="137"/>
        <v>0</v>
      </c>
      <c r="Q163" s="111">
        <f t="shared" si="148"/>
        <v>3</v>
      </c>
      <c r="R163" s="111">
        <f t="shared" si="148"/>
        <v>0</v>
      </c>
      <c r="S163" s="111">
        <f t="shared" si="138"/>
        <v>3</v>
      </c>
      <c r="T163" s="111">
        <f t="shared" si="148"/>
        <v>0</v>
      </c>
      <c r="U163" s="111">
        <f t="shared" si="148"/>
        <v>0</v>
      </c>
      <c r="V163" s="111">
        <f t="shared" si="139"/>
        <v>0</v>
      </c>
      <c r="W163" s="380">
        <f t="shared" si="140"/>
        <v>3</v>
      </c>
      <c r="X163" s="111">
        <f t="shared" si="141"/>
        <v>0</v>
      </c>
      <c r="Y163" s="651">
        <f t="shared" si="142"/>
        <v>3</v>
      </c>
      <c r="Z163" s="131">
        <f t="shared" si="143"/>
        <v>0.11538461538461539</v>
      </c>
      <c r="AA163" s="131"/>
      <c r="AB163" s="131"/>
      <c r="AC163" s="113"/>
      <c r="AE163" s="111"/>
      <c r="AF163" s="111"/>
      <c r="AG163" s="111"/>
      <c r="AH163" s="651"/>
      <c r="AI163" s="131"/>
      <c r="AK163" s="111"/>
      <c r="AL163" s="111"/>
      <c r="AM163" s="111"/>
      <c r="AN163" s="651"/>
      <c r="AO163" s="131"/>
      <c r="AQ163" s="111"/>
      <c r="AR163" s="111"/>
      <c r="AS163" s="111"/>
      <c r="AT163" s="111">
        <f t="shared" si="144"/>
        <v>3</v>
      </c>
      <c r="AU163" s="131">
        <f t="shared" si="145"/>
        <v>0.17647058823529413</v>
      </c>
      <c r="AW163" s="111"/>
      <c r="AX163" s="111"/>
      <c r="AY163" s="111"/>
      <c r="AZ163" s="111">
        <f t="shared" si="147"/>
        <v>0</v>
      </c>
      <c r="BA163" s="131">
        <f t="shared" si="146"/>
        <v>0</v>
      </c>
    </row>
    <row r="164" spans="1:53" ht="17.100000000000001" customHeight="1" x14ac:dyDescent="0.25">
      <c r="A164" s="40"/>
      <c r="B164" s="40"/>
      <c r="C164" s="40"/>
      <c r="D164" s="74"/>
      <c r="E164" s="1335" t="s">
        <v>1838</v>
      </c>
      <c r="F164" s="287"/>
      <c r="G164" s="288"/>
      <c r="H164" s="46"/>
      <c r="I164" s="641"/>
      <c r="J164" s="174"/>
      <c r="K164" s="174"/>
      <c r="L164" s="111"/>
      <c r="M164" s="111"/>
      <c r="N164" s="60"/>
      <c r="O164" s="60"/>
      <c r="P164" s="593">
        <f t="shared" si="137"/>
        <v>0</v>
      </c>
      <c r="Q164" s="60">
        <v>3</v>
      </c>
      <c r="R164" s="60"/>
      <c r="S164" s="593">
        <f t="shared" ref="S164:S168" si="149">SUM(Q164:R164)</f>
        <v>3</v>
      </c>
      <c r="T164" s="60"/>
      <c r="U164" s="60"/>
      <c r="V164" s="593">
        <f t="shared" ref="V164:V168" si="150">SUM(T164:U164)</f>
        <v>0</v>
      </c>
      <c r="W164" s="391">
        <f t="shared" ref="W164:W168" si="151">J164+K164+N164+Q164+T164</f>
        <v>3</v>
      </c>
      <c r="X164" s="17">
        <f t="shared" ref="X164:X168" si="152">L164+O164+R164+U164</f>
        <v>0</v>
      </c>
      <c r="Y164" s="18">
        <f t="shared" ref="Y164:Y168" si="153">SUM(W164:X164)</f>
        <v>3</v>
      </c>
      <c r="Z164" s="19"/>
      <c r="AA164" s="19"/>
      <c r="AB164" s="19"/>
      <c r="AC164" s="20"/>
      <c r="AE164" s="111"/>
      <c r="AF164" s="111"/>
      <c r="AG164" s="113"/>
      <c r="AH164" s="131"/>
      <c r="AI164" s="113"/>
      <c r="AK164" s="111"/>
      <c r="AL164" s="111"/>
      <c r="AM164" s="113"/>
      <c r="AN164" s="131"/>
      <c r="AO164" s="113"/>
      <c r="AQ164" s="20"/>
      <c r="AR164" s="20"/>
      <c r="AS164" s="20"/>
      <c r="AT164" s="20"/>
      <c r="AU164" s="20"/>
      <c r="AW164" s="17"/>
      <c r="AX164" s="17"/>
      <c r="AY164" s="20"/>
      <c r="AZ164" s="19"/>
      <c r="BA164" s="20"/>
    </row>
    <row r="165" spans="1:53" ht="17.100000000000001" customHeight="1" x14ac:dyDescent="0.25">
      <c r="A165" s="40"/>
      <c r="B165" s="40"/>
      <c r="C165" s="40"/>
      <c r="D165" s="74"/>
      <c r="E165" s="289"/>
      <c r="F165" s="290"/>
      <c r="G165" s="291"/>
      <c r="H165" s="46"/>
      <c r="I165" s="641"/>
      <c r="J165" s="174"/>
      <c r="K165" s="174"/>
      <c r="L165" s="111"/>
      <c r="M165" s="111"/>
      <c r="N165" s="61"/>
      <c r="O165" s="61"/>
      <c r="P165" s="593">
        <f t="shared" si="137"/>
        <v>0</v>
      </c>
      <c r="Q165" s="61"/>
      <c r="R165" s="61"/>
      <c r="S165" s="593">
        <f t="shared" si="149"/>
        <v>0</v>
      </c>
      <c r="T165" s="61"/>
      <c r="U165" s="61"/>
      <c r="V165" s="593">
        <f t="shared" si="150"/>
        <v>0</v>
      </c>
      <c r="W165" s="391">
        <f t="shared" si="151"/>
        <v>0</v>
      </c>
      <c r="X165" s="17">
        <f t="shared" si="152"/>
        <v>0</v>
      </c>
      <c r="Y165" s="18">
        <f t="shared" si="153"/>
        <v>0</v>
      </c>
      <c r="Z165" s="19"/>
      <c r="AA165" s="19"/>
      <c r="AB165" s="19"/>
      <c r="AC165" s="20"/>
      <c r="AE165" s="111"/>
      <c r="AF165" s="111"/>
      <c r="AG165" s="113"/>
      <c r="AH165" s="131"/>
      <c r="AI165" s="113"/>
      <c r="AK165" s="111"/>
      <c r="AL165" s="111"/>
      <c r="AM165" s="113"/>
      <c r="AN165" s="131"/>
      <c r="AO165" s="113"/>
      <c r="AQ165" s="20"/>
      <c r="AR165" s="20"/>
      <c r="AS165" s="20"/>
      <c r="AT165" s="20"/>
      <c r="AU165" s="20"/>
      <c r="AW165" s="17"/>
      <c r="AX165" s="17"/>
      <c r="AY165" s="20"/>
      <c r="AZ165" s="19"/>
      <c r="BA165" s="20"/>
    </row>
    <row r="166" spans="1:53" ht="17.100000000000001" customHeight="1" x14ac:dyDescent="0.25">
      <c r="A166" s="40"/>
      <c r="B166" s="40"/>
      <c r="C166" s="40"/>
      <c r="D166" s="74"/>
      <c r="E166" s="286"/>
      <c r="F166" s="287"/>
      <c r="G166" s="288"/>
      <c r="H166" s="46"/>
      <c r="I166" s="641"/>
      <c r="J166" s="174"/>
      <c r="K166" s="174"/>
      <c r="L166" s="111"/>
      <c r="M166" s="111"/>
      <c r="N166" s="60"/>
      <c r="O166" s="60"/>
      <c r="P166" s="593">
        <f t="shared" si="137"/>
        <v>0</v>
      </c>
      <c r="Q166" s="60"/>
      <c r="R166" s="60"/>
      <c r="S166" s="593">
        <f t="shared" si="149"/>
        <v>0</v>
      </c>
      <c r="T166" s="60"/>
      <c r="U166" s="60"/>
      <c r="V166" s="593">
        <f t="shared" si="150"/>
        <v>0</v>
      </c>
      <c r="W166" s="391">
        <f t="shared" si="151"/>
        <v>0</v>
      </c>
      <c r="X166" s="17">
        <f t="shared" si="152"/>
        <v>0</v>
      </c>
      <c r="Y166" s="18">
        <f t="shared" si="153"/>
        <v>0</v>
      </c>
      <c r="Z166" s="19"/>
      <c r="AA166" s="19"/>
      <c r="AB166" s="19"/>
      <c r="AC166" s="20"/>
      <c r="AE166" s="111"/>
      <c r="AF166" s="111"/>
      <c r="AG166" s="113"/>
      <c r="AH166" s="131"/>
      <c r="AI166" s="113"/>
      <c r="AK166" s="111"/>
      <c r="AL166" s="111"/>
      <c r="AM166" s="113"/>
      <c r="AN166" s="131"/>
      <c r="AO166" s="113"/>
      <c r="AQ166" s="20"/>
      <c r="AR166" s="20"/>
      <c r="AS166" s="20"/>
      <c r="AT166" s="20"/>
      <c r="AU166" s="20"/>
      <c r="AW166" s="17"/>
      <c r="AX166" s="17"/>
      <c r="AY166" s="20"/>
      <c r="AZ166" s="19"/>
      <c r="BA166" s="20"/>
    </row>
    <row r="167" spans="1:53" ht="17.100000000000001" customHeight="1" x14ac:dyDescent="0.25">
      <c r="A167" s="40"/>
      <c r="B167" s="40"/>
      <c r="C167" s="40"/>
      <c r="D167" s="74"/>
      <c r="E167" s="289"/>
      <c r="F167" s="290"/>
      <c r="G167" s="291"/>
      <c r="H167" s="46"/>
      <c r="I167" s="641"/>
      <c r="J167" s="174"/>
      <c r="K167" s="174"/>
      <c r="L167" s="111"/>
      <c r="M167" s="111"/>
      <c r="N167" s="61"/>
      <c r="O167" s="61"/>
      <c r="P167" s="593">
        <f t="shared" si="137"/>
        <v>0</v>
      </c>
      <c r="Q167" s="61"/>
      <c r="R167" s="61"/>
      <c r="S167" s="593">
        <f t="shared" si="149"/>
        <v>0</v>
      </c>
      <c r="T167" s="61"/>
      <c r="U167" s="61"/>
      <c r="V167" s="593"/>
      <c r="W167" s="391"/>
      <c r="X167" s="17"/>
      <c r="Y167" s="18"/>
      <c r="Z167" s="19"/>
      <c r="AA167" s="19"/>
      <c r="AB167" s="19"/>
      <c r="AC167" s="20"/>
      <c r="AE167" s="111"/>
      <c r="AF167" s="111"/>
      <c r="AG167" s="113"/>
      <c r="AH167" s="131"/>
      <c r="AI167" s="113"/>
      <c r="AK167" s="111"/>
      <c r="AL167" s="111"/>
      <c r="AM167" s="113"/>
      <c r="AN167" s="131"/>
      <c r="AO167" s="113"/>
      <c r="AQ167" s="20"/>
      <c r="AR167" s="20"/>
      <c r="AS167" s="20"/>
      <c r="AT167" s="20"/>
      <c r="AU167" s="20"/>
      <c r="AW167" s="17"/>
      <c r="AX167" s="17"/>
      <c r="AY167" s="20"/>
      <c r="AZ167" s="19"/>
      <c r="BA167" s="20"/>
    </row>
    <row r="168" spans="1:53" ht="17.100000000000001" customHeight="1" x14ac:dyDescent="0.25">
      <c r="A168" s="40"/>
      <c r="B168" s="40"/>
      <c r="C168" s="40"/>
      <c r="D168" s="74"/>
      <c r="E168" s="286"/>
      <c r="F168" s="287"/>
      <c r="G168" s="288"/>
      <c r="H168" s="46"/>
      <c r="I168" s="641"/>
      <c r="J168" s="174"/>
      <c r="K168" s="174"/>
      <c r="L168" s="111"/>
      <c r="M168" s="111"/>
      <c r="N168" s="60"/>
      <c r="O168" s="60"/>
      <c r="P168" s="593">
        <f t="shared" si="137"/>
        <v>0</v>
      </c>
      <c r="Q168" s="60"/>
      <c r="R168" s="60"/>
      <c r="S168" s="593">
        <f t="shared" si="149"/>
        <v>0</v>
      </c>
      <c r="T168" s="60"/>
      <c r="U168" s="60"/>
      <c r="V168" s="593">
        <f t="shared" si="150"/>
        <v>0</v>
      </c>
      <c r="W168" s="391">
        <f t="shared" si="151"/>
        <v>0</v>
      </c>
      <c r="X168" s="17">
        <f t="shared" si="152"/>
        <v>0</v>
      </c>
      <c r="Y168" s="18">
        <f t="shared" si="153"/>
        <v>0</v>
      </c>
      <c r="Z168" s="19"/>
      <c r="AA168" s="19"/>
      <c r="AB168" s="19"/>
      <c r="AC168" s="20"/>
      <c r="AE168" s="111"/>
      <c r="AF168" s="111"/>
      <c r="AG168" s="113"/>
      <c r="AH168" s="131"/>
      <c r="AI168" s="113"/>
      <c r="AK168" s="111"/>
      <c r="AL168" s="111"/>
      <c r="AM168" s="113"/>
      <c r="AN168" s="131"/>
      <c r="AO168" s="113"/>
      <c r="AQ168" s="20"/>
      <c r="AR168" s="20"/>
      <c r="AS168" s="20"/>
      <c r="AT168" s="20"/>
      <c r="AU168" s="20"/>
      <c r="AW168" s="17"/>
      <c r="AX168" s="17"/>
      <c r="AY168" s="20"/>
      <c r="AZ168" s="19"/>
      <c r="BA168" s="20"/>
    </row>
    <row r="169" spans="1:53" ht="17.100000000000001" customHeight="1" x14ac:dyDescent="0.25">
      <c r="A169" s="40"/>
      <c r="B169" s="40"/>
      <c r="C169" s="292"/>
      <c r="D169" s="144"/>
      <c r="E169" s="144"/>
      <c r="F169" s="145"/>
      <c r="G169" s="283"/>
      <c r="H169" s="119"/>
      <c r="I169" s="236"/>
      <c r="J169" s="64"/>
      <c r="K169" s="64"/>
      <c r="L169" s="81"/>
      <c r="M169" s="81"/>
      <c r="N169" s="81">
        <f>SUM(N154:N163)</f>
        <v>4</v>
      </c>
      <c r="O169" s="81">
        <f t="shared" ref="O169:Y169" si="154">SUM(O154:O163)</f>
        <v>6</v>
      </c>
      <c r="P169" s="81">
        <f t="shared" si="154"/>
        <v>10</v>
      </c>
      <c r="Q169" s="81">
        <f t="shared" si="154"/>
        <v>13</v>
      </c>
      <c r="R169" s="81">
        <f t="shared" si="154"/>
        <v>3</v>
      </c>
      <c r="S169" s="81">
        <f t="shared" si="154"/>
        <v>16</v>
      </c>
      <c r="T169" s="81">
        <f t="shared" si="154"/>
        <v>0</v>
      </c>
      <c r="U169" s="81">
        <f t="shared" si="154"/>
        <v>0</v>
      </c>
      <c r="V169" s="81">
        <f t="shared" si="154"/>
        <v>0</v>
      </c>
      <c r="W169" s="82">
        <f t="shared" si="154"/>
        <v>17</v>
      </c>
      <c r="X169" s="82">
        <f t="shared" si="154"/>
        <v>9</v>
      </c>
      <c r="Y169" s="82">
        <f t="shared" si="154"/>
        <v>26</v>
      </c>
      <c r="Z169" s="205">
        <f>IF(Y$169=0,0,Y169/Y$169)</f>
        <v>1</v>
      </c>
      <c r="AA169" s="205"/>
      <c r="AB169" s="205"/>
      <c r="AC169" s="83"/>
      <c r="AE169" s="81"/>
      <c r="AF169" s="81"/>
      <c r="AG169" s="82"/>
      <c r="AH169" s="82"/>
      <c r="AI169" s="66"/>
      <c r="AK169" s="81"/>
      <c r="AL169" s="81"/>
      <c r="AM169" s="82"/>
      <c r="AN169" s="82"/>
      <c r="AO169" s="66"/>
      <c r="AQ169" s="81"/>
      <c r="AR169" s="81"/>
      <c r="AS169" s="82"/>
      <c r="AT169" s="82">
        <f>SUM(AT154:AT163)</f>
        <v>17</v>
      </c>
      <c r="AU169" s="66">
        <f t="shared" ref="AU169" si="155">IF(AT$169=0,0,AT169/AT$169)</f>
        <v>1</v>
      </c>
      <c r="AW169" s="81"/>
      <c r="AX169" s="81"/>
      <c r="AY169" s="82"/>
      <c r="AZ169" s="82">
        <f>SUM(AZ154:AZ163)</f>
        <v>9</v>
      </c>
      <c r="BA169" s="66">
        <f t="shared" ref="BA169" si="156">IF(AZ$169=0,0,AZ169/AZ$169)</f>
        <v>1</v>
      </c>
    </row>
    <row r="170" spans="1:53" s="117" customFormat="1" ht="17.100000000000001" customHeight="1" x14ac:dyDescent="0.25">
      <c r="A170" s="119"/>
      <c r="B170" s="119"/>
      <c r="C170" s="420"/>
      <c r="D170" s="261"/>
      <c r="E170" s="261"/>
      <c r="F170" s="68"/>
      <c r="G170" s="210"/>
      <c r="H170" s="119"/>
      <c r="I170" s="236"/>
      <c r="J170" s="198"/>
      <c r="K170" s="198"/>
      <c r="L170" s="17"/>
      <c r="M170" s="17"/>
      <c r="N170" s="17"/>
      <c r="O170" s="17"/>
      <c r="P170" s="17"/>
      <c r="Q170" s="17"/>
      <c r="R170" s="17"/>
      <c r="S170" s="17"/>
      <c r="T170" s="17"/>
      <c r="U170" s="17"/>
      <c r="V170" s="17"/>
      <c r="W170" s="646"/>
      <c r="X170" s="646"/>
      <c r="Y170" s="646"/>
      <c r="Z170" s="201"/>
      <c r="AA170" s="201"/>
      <c r="AB170" s="201"/>
      <c r="AC170" s="84"/>
      <c r="AE170" s="17"/>
      <c r="AF170" s="17"/>
      <c r="AG170" s="646"/>
      <c r="AH170" s="646"/>
      <c r="AI170" s="91"/>
      <c r="AK170" s="17"/>
      <c r="AL170" s="17"/>
      <c r="AM170" s="646"/>
      <c r="AN170" s="646"/>
      <c r="AO170" s="91"/>
      <c r="AQ170" s="17"/>
      <c r="AR170" s="17"/>
      <c r="AS170" s="646"/>
      <c r="AT170" s="646"/>
      <c r="AU170" s="91"/>
      <c r="AW170" s="17"/>
      <c r="AX170" s="17"/>
      <c r="AY170" s="646"/>
      <c r="AZ170" s="17"/>
      <c r="BA170" s="91"/>
    </row>
    <row r="171" spans="1:53" ht="17.100000000000001" customHeight="1" x14ac:dyDescent="0.25">
      <c r="A171" s="40"/>
      <c r="B171" s="41" t="s">
        <v>116</v>
      </c>
      <c r="C171" s="42" t="s">
        <v>12</v>
      </c>
      <c r="D171" s="43"/>
      <c r="E171" s="43"/>
      <c r="F171" s="43"/>
      <c r="G171" s="44"/>
      <c r="H171" s="23"/>
      <c r="I171" s="229"/>
      <c r="J171" s="71"/>
      <c r="K171" s="71"/>
      <c r="L171" s="71"/>
      <c r="M171" s="71"/>
      <c r="N171" s="71"/>
      <c r="O171" s="71"/>
      <c r="P171" s="71"/>
      <c r="Q171" s="71"/>
      <c r="R171" s="71"/>
      <c r="S171" s="71"/>
      <c r="T171" s="71"/>
      <c r="U171" s="71"/>
      <c r="V171" s="71"/>
      <c r="W171" s="71"/>
      <c r="X171" s="71"/>
      <c r="Y171" s="71"/>
      <c r="Z171" s="73"/>
      <c r="AA171" s="73"/>
      <c r="AB171" s="73"/>
      <c r="AC171" s="73"/>
      <c r="AE171" s="71"/>
      <c r="AF171" s="71"/>
      <c r="AG171" s="73"/>
      <c r="AH171" s="73"/>
      <c r="AI171" s="73"/>
      <c r="AK171" s="71"/>
      <c r="AL171" s="71"/>
      <c r="AM171" s="73"/>
      <c r="AN171" s="73"/>
      <c r="AO171" s="73"/>
      <c r="AQ171" s="71"/>
      <c r="AR171" s="71"/>
      <c r="AS171" s="73"/>
      <c r="AT171" s="73"/>
      <c r="AU171" s="73"/>
      <c r="AW171" s="71"/>
      <c r="AX171" s="71"/>
      <c r="AY171" s="73"/>
      <c r="AZ171" s="73"/>
      <c r="BA171" s="73"/>
    </row>
    <row r="172" spans="1:53" s="97" customFormat="1" ht="17.100000000000001" customHeight="1" x14ac:dyDescent="0.25">
      <c r="A172" s="68"/>
      <c r="B172" s="68"/>
      <c r="C172" s="92"/>
      <c r="D172" s="93"/>
      <c r="E172" s="93"/>
      <c r="F172" s="93"/>
      <c r="G172" s="93"/>
      <c r="H172" s="12"/>
      <c r="I172" s="12"/>
    </row>
    <row r="173" spans="1:53" s="32" customFormat="1" ht="16.5" thickBot="1" x14ac:dyDescent="0.3">
      <c r="A173" s="24" t="s">
        <v>150</v>
      </c>
      <c r="B173" s="25" t="s">
        <v>589</v>
      </c>
      <c r="C173" s="26"/>
      <c r="D173" s="27"/>
      <c r="E173" s="27"/>
      <c r="F173" s="27"/>
      <c r="G173" s="27"/>
      <c r="H173" s="310"/>
      <c r="I173" s="14"/>
      <c r="J173" s="140"/>
      <c r="K173" s="140"/>
      <c r="L173" s="140"/>
      <c r="M173" s="140"/>
      <c r="N173" s="140"/>
      <c r="O173" s="140"/>
      <c r="P173" s="140"/>
      <c r="Q173" s="140"/>
      <c r="R173" s="140"/>
      <c r="S173" s="140"/>
      <c r="T173" s="140"/>
      <c r="U173" s="140"/>
      <c r="V173" s="140"/>
      <c r="W173" s="140"/>
      <c r="X173" s="140"/>
      <c r="Y173" s="140"/>
      <c r="Z173" s="31" t="s">
        <v>5</v>
      </c>
      <c r="AA173" s="31"/>
      <c r="AB173" s="31"/>
      <c r="AC173" s="24"/>
      <c r="AE173" s="33" t="s">
        <v>181</v>
      </c>
      <c r="AF173" s="33" t="s">
        <v>182</v>
      </c>
      <c r="AG173" s="33" t="s">
        <v>6</v>
      </c>
      <c r="AH173" s="33" t="s">
        <v>4</v>
      </c>
      <c r="AI173" s="34" t="s">
        <v>5</v>
      </c>
      <c r="AJ173" s="35"/>
      <c r="AK173" s="36" t="s">
        <v>181</v>
      </c>
      <c r="AL173" s="36" t="s">
        <v>182</v>
      </c>
      <c r="AM173" s="36" t="s">
        <v>6</v>
      </c>
      <c r="AN173" s="36" t="s">
        <v>4</v>
      </c>
      <c r="AO173" s="37" t="s">
        <v>5</v>
      </c>
      <c r="AQ173" s="398" t="s">
        <v>181</v>
      </c>
      <c r="AR173" s="398" t="s">
        <v>182</v>
      </c>
      <c r="AS173" s="398" t="s">
        <v>6</v>
      </c>
      <c r="AT173" s="398" t="s">
        <v>4</v>
      </c>
      <c r="AU173" s="399" t="s">
        <v>5</v>
      </c>
      <c r="AW173" s="38" t="s">
        <v>181</v>
      </c>
      <c r="AX173" s="38" t="s">
        <v>182</v>
      </c>
      <c r="AY173" s="38" t="s">
        <v>6</v>
      </c>
      <c r="AZ173" s="38" t="s">
        <v>4</v>
      </c>
      <c r="BA173" s="39" t="s">
        <v>5</v>
      </c>
    </row>
    <row r="174" spans="1:53" ht="17.100000000000001" customHeight="1" x14ac:dyDescent="0.25">
      <c r="A174" s="40"/>
      <c r="B174" s="41" t="s">
        <v>152</v>
      </c>
      <c r="C174" s="274" t="s">
        <v>615</v>
      </c>
      <c r="D174" s="43"/>
      <c r="E174" s="43"/>
      <c r="F174" s="43"/>
      <c r="G174" s="43"/>
      <c r="H174" s="321"/>
      <c r="I174" s="12"/>
      <c r="J174" s="73"/>
      <c r="K174" s="73"/>
      <c r="L174" s="73"/>
      <c r="M174" s="73"/>
      <c r="N174" s="73"/>
      <c r="O174" s="73"/>
      <c r="P174" s="73"/>
      <c r="Q174" s="73"/>
      <c r="R174" s="73"/>
      <c r="S174" s="73"/>
      <c r="T174" s="73"/>
      <c r="U174" s="73"/>
      <c r="V174" s="73"/>
      <c r="W174" s="73"/>
      <c r="X174" s="73"/>
      <c r="Y174" s="73"/>
      <c r="Z174" s="73"/>
      <c r="AA174" s="73"/>
      <c r="AB174" s="73"/>
      <c r="AC174" s="73"/>
      <c r="AE174" s="73"/>
      <c r="AF174" s="73"/>
      <c r="AG174" s="73"/>
      <c r="AH174" s="73"/>
      <c r="AI174" s="73"/>
      <c r="AK174" s="73"/>
      <c r="AL174" s="73"/>
      <c r="AM174" s="73"/>
      <c r="AN174" s="73"/>
      <c r="AO174" s="73"/>
      <c r="AQ174" s="71"/>
      <c r="AR174" s="71"/>
      <c r="AS174" s="71"/>
      <c r="AT174" s="72"/>
      <c r="AU174" s="73"/>
      <c r="AW174" s="73"/>
      <c r="AX174" s="73"/>
      <c r="AY174" s="73"/>
      <c r="AZ174" s="73"/>
      <c r="BA174" s="73"/>
    </row>
    <row r="175" spans="1:53" s="4" customFormat="1" ht="17.100000000000001" customHeight="1" x14ac:dyDescent="0.25">
      <c r="A175" s="102"/>
      <c r="B175" s="102"/>
      <c r="C175" s="74" t="s">
        <v>153</v>
      </c>
      <c r="D175" s="85" t="s">
        <v>590</v>
      </c>
      <c r="E175" s="75"/>
      <c r="F175" s="75"/>
      <c r="G175" s="106"/>
      <c r="H175" s="647"/>
      <c r="I175" s="231"/>
      <c r="J175" s="174"/>
      <c r="K175" s="174"/>
      <c r="L175" s="111"/>
      <c r="M175" s="111"/>
      <c r="N175" s="60"/>
      <c r="O175" s="60"/>
      <c r="P175" s="17">
        <f t="shared" ref="P175:P187" si="157">SUM(N175:O175)</f>
        <v>0</v>
      </c>
      <c r="Q175" s="60"/>
      <c r="R175" s="60"/>
      <c r="S175" s="17">
        <f t="shared" ref="S175:S187" si="158">SUM(Q175:R175)</f>
        <v>0</v>
      </c>
      <c r="T175" s="60"/>
      <c r="U175" s="60"/>
      <c r="V175" s="17">
        <f t="shared" ref="V175:V181" si="159">SUM(T175:U175)</f>
        <v>0</v>
      </c>
      <c r="W175" s="391">
        <f t="shared" ref="W175:W181" si="160">J175+K175+N175+Q175+T175</f>
        <v>0</v>
      </c>
      <c r="X175" s="17">
        <f t="shared" ref="X175:X181" si="161">L175+O175+R175+U175</f>
        <v>0</v>
      </c>
      <c r="Y175" s="18">
        <f t="shared" ref="Y175:Y181" si="162">SUM(W175:X175)</f>
        <v>0</v>
      </c>
      <c r="Z175" s="19">
        <f t="shared" ref="Z175:Z181" si="163">IF(Y$188=0,0,Y175/Y$188)</f>
        <v>0</v>
      </c>
      <c r="AA175" s="19"/>
      <c r="AB175" s="19"/>
      <c r="AC175" s="20"/>
      <c r="AE175" s="111"/>
      <c r="AF175" s="111"/>
      <c r="AG175" s="111"/>
      <c r="AH175" s="651"/>
      <c r="AI175" s="131"/>
      <c r="AJ175" s="3"/>
      <c r="AK175" s="111"/>
      <c r="AL175" s="111"/>
      <c r="AM175" s="111"/>
      <c r="AN175" s="651"/>
      <c r="AO175" s="131"/>
      <c r="AP175" s="3"/>
      <c r="AQ175" s="20"/>
      <c r="AR175" s="20"/>
      <c r="AS175" s="20"/>
      <c r="AT175" s="17">
        <f t="shared" ref="AT175:AT181" si="164">W175</f>
        <v>0</v>
      </c>
      <c r="AU175" s="19">
        <f>IF(AT$169=0,0,AT175/AT$169)</f>
        <v>0</v>
      </c>
      <c r="AV175" s="3"/>
      <c r="AW175" s="17"/>
      <c r="AX175" s="17"/>
      <c r="AY175" s="17"/>
      <c r="AZ175" s="424">
        <f>X175</f>
        <v>0</v>
      </c>
      <c r="BA175" s="19">
        <f>IF(AZ$169=0,0,AZ175/AZ$169)</f>
        <v>0</v>
      </c>
    </row>
    <row r="176" spans="1:53" s="4" customFormat="1" ht="17.100000000000001" customHeight="1" x14ac:dyDescent="0.25">
      <c r="A176" s="102"/>
      <c r="B176" s="102"/>
      <c r="C176" s="74" t="s">
        <v>154</v>
      </c>
      <c r="D176" s="85" t="s">
        <v>591</v>
      </c>
      <c r="E176" s="75"/>
      <c r="F176" s="75"/>
      <c r="G176" s="106"/>
      <c r="H176" s="647"/>
      <c r="I176" s="231"/>
      <c r="J176" s="174"/>
      <c r="K176" s="174"/>
      <c r="L176" s="111"/>
      <c r="M176" s="111"/>
      <c r="N176" s="61"/>
      <c r="O176" s="61"/>
      <c r="P176" s="17">
        <f t="shared" si="157"/>
        <v>0</v>
      </c>
      <c r="Q176" s="61"/>
      <c r="R176" s="61"/>
      <c r="S176" s="17">
        <f t="shared" si="158"/>
        <v>0</v>
      </c>
      <c r="T176" s="61"/>
      <c r="U176" s="61"/>
      <c r="V176" s="17">
        <f t="shared" si="159"/>
        <v>0</v>
      </c>
      <c r="W176" s="391">
        <f t="shared" si="160"/>
        <v>0</v>
      </c>
      <c r="X176" s="17">
        <f t="shared" si="161"/>
        <v>0</v>
      </c>
      <c r="Y176" s="18">
        <f t="shared" si="162"/>
        <v>0</v>
      </c>
      <c r="Z176" s="19">
        <f t="shared" si="163"/>
        <v>0</v>
      </c>
      <c r="AA176" s="19"/>
      <c r="AB176" s="19"/>
      <c r="AC176" s="20"/>
      <c r="AE176" s="111"/>
      <c r="AF176" s="111"/>
      <c r="AG176" s="111"/>
      <c r="AH176" s="651"/>
      <c r="AI176" s="131"/>
      <c r="AJ176" s="3"/>
      <c r="AK176" s="111"/>
      <c r="AL176" s="111"/>
      <c r="AM176" s="111"/>
      <c r="AN176" s="651"/>
      <c r="AO176" s="131"/>
      <c r="AP176" s="3"/>
      <c r="AQ176" s="20"/>
      <c r="AR176" s="20"/>
      <c r="AS176" s="20"/>
      <c r="AT176" s="17">
        <f t="shared" si="164"/>
        <v>0</v>
      </c>
      <c r="AU176" s="19">
        <f t="shared" ref="AU176:AU181" si="165">IF(AT$188=0,0,AT176/AT$188)</f>
        <v>0</v>
      </c>
      <c r="AV176" s="3"/>
      <c r="AW176" s="17"/>
      <c r="AX176" s="17"/>
      <c r="AY176" s="17"/>
      <c r="AZ176" s="424">
        <f t="shared" ref="AZ176:AZ181" si="166">Y176</f>
        <v>0</v>
      </c>
      <c r="BA176" s="19">
        <f t="shared" ref="BA176:BA181" si="167">IF(AZ$188=0,0,AZ176/AZ$188)</f>
        <v>0</v>
      </c>
    </row>
    <row r="177" spans="1:53" s="4" customFormat="1" ht="17.100000000000001" customHeight="1" x14ac:dyDescent="0.25">
      <c r="A177" s="102"/>
      <c r="B177" s="102"/>
      <c r="C177" s="74" t="s">
        <v>155</v>
      </c>
      <c r="D177" s="85" t="s">
        <v>592</v>
      </c>
      <c r="E177" s="75"/>
      <c r="F177" s="75"/>
      <c r="G177" s="105"/>
      <c r="H177" s="119"/>
      <c r="I177" s="231"/>
      <c r="J177" s="174"/>
      <c r="K177" s="174"/>
      <c r="L177" s="111"/>
      <c r="M177" s="111"/>
      <c r="N177" s="1315">
        <f>1+1</f>
        <v>2</v>
      </c>
      <c r="O177" s="60">
        <v>5</v>
      </c>
      <c r="P177" s="17">
        <f t="shared" si="157"/>
        <v>7</v>
      </c>
      <c r="Q177" s="60">
        <v>6</v>
      </c>
      <c r="R177" s="60">
        <v>1</v>
      </c>
      <c r="S177" s="17">
        <f t="shared" si="158"/>
        <v>7</v>
      </c>
      <c r="T177" s="60"/>
      <c r="U177" s="60"/>
      <c r="V177" s="17">
        <f t="shared" si="159"/>
        <v>0</v>
      </c>
      <c r="W177" s="391">
        <f t="shared" si="160"/>
        <v>8</v>
      </c>
      <c r="X177" s="17">
        <f t="shared" si="161"/>
        <v>6</v>
      </c>
      <c r="Y177" s="18">
        <f t="shared" si="162"/>
        <v>14</v>
      </c>
      <c r="Z177" s="19">
        <f t="shared" si="163"/>
        <v>0.875</v>
      </c>
      <c r="AA177" s="19"/>
      <c r="AB177" s="19"/>
      <c r="AC177" s="20"/>
      <c r="AE177" s="111"/>
      <c r="AF177" s="111"/>
      <c r="AG177" s="111"/>
      <c r="AH177" s="651"/>
      <c r="AI177" s="131"/>
      <c r="AJ177" s="3"/>
      <c r="AK177" s="111"/>
      <c r="AL177" s="111"/>
      <c r="AM177" s="111"/>
      <c r="AN177" s="651"/>
      <c r="AO177" s="131"/>
      <c r="AP177" s="3"/>
      <c r="AQ177" s="20"/>
      <c r="AR177" s="20"/>
      <c r="AS177" s="20"/>
      <c r="AT177" s="17">
        <f t="shared" si="164"/>
        <v>8</v>
      </c>
      <c r="AU177" s="19">
        <f t="shared" si="165"/>
        <v>0.88888888888888884</v>
      </c>
      <c r="AV177" s="3"/>
      <c r="AW177" s="17"/>
      <c r="AX177" s="17"/>
      <c r="AY177" s="17"/>
      <c r="AZ177" s="424">
        <f t="shared" si="166"/>
        <v>14</v>
      </c>
      <c r="BA177" s="19">
        <f t="shared" si="167"/>
        <v>0.875</v>
      </c>
    </row>
    <row r="178" spans="1:53" s="4" customFormat="1" ht="17.100000000000001" customHeight="1" x14ac:dyDescent="0.25">
      <c r="A178" s="102"/>
      <c r="B178" s="102"/>
      <c r="C178" s="74" t="s">
        <v>156</v>
      </c>
      <c r="D178" s="85" t="s">
        <v>593</v>
      </c>
      <c r="E178" s="75"/>
      <c r="F178" s="75"/>
      <c r="G178" s="105"/>
      <c r="H178" s="84"/>
      <c r="I178" s="231"/>
      <c r="J178" s="174"/>
      <c r="K178" s="174"/>
      <c r="L178" s="111"/>
      <c r="M178" s="111"/>
      <c r="N178" s="61"/>
      <c r="O178" s="61"/>
      <c r="P178" s="17">
        <f t="shared" si="157"/>
        <v>0</v>
      </c>
      <c r="Q178" s="61"/>
      <c r="R178" s="61"/>
      <c r="S178" s="17">
        <f t="shared" si="158"/>
        <v>0</v>
      </c>
      <c r="T178" s="61"/>
      <c r="U178" s="61"/>
      <c r="V178" s="17">
        <f t="shared" si="159"/>
        <v>0</v>
      </c>
      <c r="W178" s="391">
        <f t="shared" si="160"/>
        <v>0</v>
      </c>
      <c r="X178" s="17">
        <f t="shared" si="161"/>
        <v>0</v>
      </c>
      <c r="Y178" s="18">
        <f t="shared" si="162"/>
        <v>0</v>
      </c>
      <c r="Z178" s="19">
        <f t="shared" si="163"/>
        <v>0</v>
      </c>
      <c r="AA178" s="19"/>
      <c r="AB178" s="19"/>
      <c r="AC178" s="20"/>
      <c r="AE178" s="111"/>
      <c r="AF178" s="111"/>
      <c r="AG178" s="111"/>
      <c r="AH178" s="651"/>
      <c r="AI178" s="131"/>
      <c r="AJ178" s="3"/>
      <c r="AK178" s="111"/>
      <c r="AL178" s="111"/>
      <c r="AM178" s="111"/>
      <c r="AN178" s="651"/>
      <c r="AO178" s="131"/>
      <c r="AP178" s="3"/>
      <c r="AQ178" s="20"/>
      <c r="AR178" s="20"/>
      <c r="AS178" s="20"/>
      <c r="AT178" s="17">
        <f t="shared" si="164"/>
        <v>0</v>
      </c>
      <c r="AU178" s="19">
        <f t="shared" si="165"/>
        <v>0</v>
      </c>
      <c r="AV178" s="3"/>
      <c r="AW178" s="17"/>
      <c r="AX178" s="17"/>
      <c r="AY178" s="17"/>
      <c r="AZ178" s="424">
        <f t="shared" si="166"/>
        <v>0</v>
      </c>
      <c r="BA178" s="19">
        <f t="shared" si="167"/>
        <v>0</v>
      </c>
    </row>
    <row r="179" spans="1:53" s="4" customFormat="1" ht="17.100000000000001" customHeight="1" x14ac:dyDescent="0.25">
      <c r="A179" s="102"/>
      <c r="B179" s="102"/>
      <c r="C179" s="74" t="s">
        <v>157</v>
      </c>
      <c r="D179" s="85" t="s">
        <v>594</v>
      </c>
      <c r="E179" s="75"/>
      <c r="F179" s="75"/>
      <c r="G179" s="105"/>
      <c r="H179" s="84"/>
      <c r="I179" s="231"/>
      <c r="J179" s="174"/>
      <c r="K179" s="174"/>
      <c r="L179" s="111"/>
      <c r="M179" s="111"/>
      <c r="N179" s="60"/>
      <c r="O179" s="60"/>
      <c r="P179" s="17">
        <f t="shared" si="157"/>
        <v>0</v>
      </c>
      <c r="Q179" s="60"/>
      <c r="R179" s="60"/>
      <c r="S179" s="17">
        <f t="shared" si="158"/>
        <v>0</v>
      </c>
      <c r="T179" s="60"/>
      <c r="U179" s="60"/>
      <c r="V179" s="17">
        <f t="shared" si="159"/>
        <v>0</v>
      </c>
      <c r="W179" s="391">
        <f t="shared" si="160"/>
        <v>0</v>
      </c>
      <c r="X179" s="17">
        <f t="shared" si="161"/>
        <v>0</v>
      </c>
      <c r="Y179" s="18">
        <f t="shared" si="162"/>
        <v>0</v>
      </c>
      <c r="Z179" s="19">
        <f t="shared" si="163"/>
        <v>0</v>
      </c>
      <c r="AA179" s="19"/>
      <c r="AB179" s="19"/>
      <c r="AC179" s="20"/>
      <c r="AE179" s="111"/>
      <c r="AF179" s="111"/>
      <c r="AG179" s="111"/>
      <c r="AH179" s="651"/>
      <c r="AI179" s="131"/>
      <c r="AJ179" s="3"/>
      <c r="AK179" s="111"/>
      <c r="AL179" s="111"/>
      <c r="AM179" s="111"/>
      <c r="AN179" s="651"/>
      <c r="AO179" s="131"/>
      <c r="AP179" s="3"/>
      <c r="AQ179" s="20"/>
      <c r="AR179" s="20"/>
      <c r="AS179" s="20"/>
      <c r="AT179" s="17">
        <f t="shared" si="164"/>
        <v>0</v>
      </c>
      <c r="AU179" s="19">
        <f t="shared" si="165"/>
        <v>0</v>
      </c>
      <c r="AV179" s="3"/>
      <c r="AW179" s="17"/>
      <c r="AX179" s="17"/>
      <c r="AY179" s="17"/>
      <c r="AZ179" s="424">
        <f t="shared" si="166"/>
        <v>0</v>
      </c>
      <c r="BA179" s="19">
        <f t="shared" si="167"/>
        <v>0</v>
      </c>
    </row>
    <row r="180" spans="1:53" s="4" customFormat="1" ht="17.100000000000001" customHeight="1" x14ac:dyDescent="0.25">
      <c r="A180" s="102"/>
      <c r="B180" s="102"/>
      <c r="C180" s="74" t="s">
        <v>158</v>
      </c>
      <c r="D180" s="85" t="s">
        <v>595</v>
      </c>
      <c r="E180" s="75"/>
      <c r="F180" s="75"/>
      <c r="G180" s="105"/>
      <c r="H180" s="84"/>
      <c r="I180" s="231"/>
      <c r="J180" s="174"/>
      <c r="K180" s="174"/>
      <c r="L180" s="111"/>
      <c r="M180" s="111"/>
      <c r="N180" s="61"/>
      <c r="O180" s="61"/>
      <c r="P180" s="17">
        <f t="shared" si="157"/>
        <v>0</v>
      </c>
      <c r="Q180" s="61"/>
      <c r="R180" s="61"/>
      <c r="S180" s="17">
        <f t="shared" si="158"/>
        <v>0</v>
      </c>
      <c r="T180" s="61"/>
      <c r="U180" s="61"/>
      <c r="V180" s="17">
        <f t="shared" si="159"/>
        <v>0</v>
      </c>
      <c r="W180" s="391">
        <f t="shared" si="160"/>
        <v>0</v>
      </c>
      <c r="X180" s="17">
        <f t="shared" si="161"/>
        <v>0</v>
      </c>
      <c r="Y180" s="18">
        <f t="shared" si="162"/>
        <v>0</v>
      </c>
      <c r="Z180" s="19">
        <f t="shared" si="163"/>
        <v>0</v>
      </c>
      <c r="AA180" s="19"/>
      <c r="AB180" s="19"/>
      <c r="AC180" s="20"/>
      <c r="AE180" s="111"/>
      <c r="AF180" s="111"/>
      <c r="AG180" s="111"/>
      <c r="AH180" s="651"/>
      <c r="AI180" s="131"/>
      <c r="AJ180" s="3"/>
      <c r="AK180" s="111"/>
      <c r="AL180" s="111"/>
      <c r="AM180" s="111"/>
      <c r="AN180" s="651"/>
      <c r="AO180" s="131"/>
      <c r="AP180" s="3"/>
      <c r="AQ180" s="20"/>
      <c r="AR180" s="20"/>
      <c r="AS180" s="20"/>
      <c r="AT180" s="17">
        <f t="shared" si="164"/>
        <v>0</v>
      </c>
      <c r="AU180" s="19">
        <f t="shared" si="165"/>
        <v>0</v>
      </c>
      <c r="AV180" s="3"/>
      <c r="AW180" s="17"/>
      <c r="AX180" s="17"/>
      <c r="AY180" s="17"/>
      <c r="AZ180" s="424">
        <f t="shared" si="166"/>
        <v>0</v>
      </c>
      <c r="BA180" s="19">
        <f t="shared" si="167"/>
        <v>0</v>
      </c>
    </row>
    <row r="181" spans="1:53" s="4" customFormat="1" ht="17.100000000000001" customHeight="1" x14ac:dyDescent="0.25">
      <c r="A181" s="102"/>
      <c r="B181" s="102"/>
      <c r="C181" s="74" t="s">
        <v>159</v>
      </c>
      <c r="D181" s="85" t="s">
        <v>596</v>
      </c>
      <c r="E181" s="75"/>
      <c r="F181" s="649"/>
      <c r="G181" s="246"/>
      <c r="H181" s="84"/>
      <c r="I181" s="97"/>
      <c r="J181" s="111"/>
      <c r="K181" s="111"/>
      <c r="L181" s="111"/>
      <c r="M181" s="111"/>
      <c r="N181" s="111">
        <f t="shared" ref="N181:U181" si="168">SUM(N182:N185)</f>
        <v>1</v>
      </c>
      <c r="O181" s="111">
        <f t="shared" si="168"/>
        <v>1</v>
      </c>
      <c r="P181" s="17">
        <f t="shared" si="157"/>
        <v>2</v>
      </c>
      <c r="Q181" s="111">
        <f t="shared" si="168"/>
        <v>0</v>
      </c>
      <c r="R181" s="111">
        <f t="shared" si="168"/>
        <v>0</v>
      </c>
      <c r="S181" s="17">
        <f t="shared" si="158"/>
        <v>0</v>
      </c>
      <c r="T181" s="111">
        <f t="shared" si="168"/>
        <v>0</v>
      </c>
      <c r="U181" s="111">
        <f t="shared" si="168"/>
        <v>0</v>
      </c>
      <c r="V181" s="17">
        <f t="shared" si="159"/>
        <v>0</v>
      </c>
      <c r="W181" s="380">
        <f t="shared" si="160"/>
        <v>1</v>
      </c>
      <c r="X181" s="111">
        <f t="shared" si="161"/>
        <v>1</v>
      </c>
      <c r="Y181" s="651">
        <f t="shared" si="162"/>
        <v>2</v>
      </c>
      <c r="Z181" s="131">
        <f t="shared" si="163"/>
        <v>0.125</v>
      </c>
      <c r="AA181" s="131"/>
      <c r="AB181" s="131"/>
      <c r="AC181" s="113"/>
      <c r="AE181" s="111"/>
      <c r="AF181" s="111"/>
      <c r="AG181" s="111"/>
      <c r="AH181" s="651"/>
      <c r="AI181" s="131"/>
      <c r="AJ181" s="3"/>
      <c r="AK181" s="111"/>
      <c r="AL181" s="111"/>
      <c r="AM181" s="111"/>
      <c r="AN181" s="651"/>
      <c r="AO181" s="131"/>
      <c r="AP181" s="3"/>
      <c r="AQ181" s="111"/>
      <c r="AR181" s="111"/>
      <c r="AS181" s="111"/>
      <c r="AT181" s="111">
        <f t="shared" si="164"/>
        <v>1</v>
      </c>
      <c r="AU181" s="131">
        <f t="shared" si="165"/>
        <v>0.1111111111111111</v>
      </c>
      <c r="AV181" s="3"/>
      <c r="AW181" s="111"/>
      <c r="AX181" s="111"/>
      <c r="AY181" s="111"/>
      <c r="AZ181" s="111">
        <f t="shared" si="166"/>
        <v>2</v>
      </c>
      <c r="BA181" s="131">
        <f t="shared" si="167"/>
        <v>0.125</v>
      </c>
    </row>
    <row r="182" spans="1:53" s="4" customFormat="1" ht="17.100000000000001" customHeight="1" x14ac:dyDescent="0.25">
      <c r="A182" s="102"/>
      <c r="B182" s="102"/>
      <c r="C182" s="74"/>
      <c r="D182" s="294" t="s">
        <v>1842</v>
      </c>
      <c r="E182" s="295"/>
      <c r="F182" s="295"/>
      <c r="G182" s="295"/>
      <c r="H182" s="198"/>
      <c r="I182" s="642"/>
      <c r="J182" s="174"/>
      <c r="K182" s="174"/>
      <c r="L182" s="111"/>
      <c r="M182" s="111"/>
      <c r="N182" s="60">
        <v>1</v>
      </c>
      <c r="O182" s="60">
        <v>1</v>
      </c>
      <c r="P182" s="17">
        <f t="shared" si="157"/>
        <v>2</v>
      </c>
      <c r="Q182" s="60"/>
      <c r="R182" s="60"/>
      <c r="S182" s="17">
        <f t="shared" si="158"/>
        <v>0</v>
      </c>
      <c r="T182" s="60"/>
      <c r="U182" s="60"/>
      <c r="V182" s="17">
        <f t="shared" ref="V182:V185" si="169">SUM(T182:U182)</f>
        <v>0</v>
      </c>
      <c r="W182" s="391">
        <f t="shared" ref="W182:W185" si="170">J182+K182+N182+Q182+T182</f>
        <v>1</v>
      </c>
      <c r="X182" s="17">
        <f t="shared" ref="X182:X185" si="171">L182+O182+R182+U182</f>
        <v>1</v>
      </c>
      <c r="Y182" s="18">
        <f t="shared" ref="Y182:Y185" si="172">SUM(W182:X182)</f>
        <v>2</v>
      </c>
      <c r="Z182" s="20"/>
      <c r="AA182" s="20"/>
      <c r="AB182" s="20"/>
      <c r="AC182" s="20"/>
      <c r="AE182" s="111"/>
      <c r="AF182" s="111"/>
      <c r="AG182" s="113"/>
      <c r="AH182" s="113"/>
      <c r="AI182" s="131"/>
      <c r="AK182" s="111"/>
      <c r="AL182" s="111"/>
      <c r="AM182" s="113"/>
      <c r="AN182" s="113"/>
      <c r="AO182" s="131"/>
      <c r="AQ182" s="17"/>
      <c r="AR182" s="17"/>
      <c r="AS182" s="20"/>
      <c r="AT182" s="20"/>
      <c r="AU182" s="19"/>
      <c r="AW182" s="17"/>
      <c r="AX182" s="17"/>
      <c r="AY182" s="20"/>
      <c r="AZ182" s="20"/>
      <c r="BA182" s="19"/>
    </row>
    <row r="183" spans="1:53" s="4" customFormat="1" ht="17.100000000000001" customHeight="1" x14ac:dyDescent="0.25">
      <c r="A183" s="102"/>
      <c r="B183" s="102"/>
      <c r="C183" s="74"/>
      <c r="D183" s="296" t="s">
        <v>1843</v>
      </c>
      <c r="E183" s="297"/>
      <c r="F183" s="297"/>
      <c r="G183" s="297"/>
      <c r="H183" s="198"/>
      <c r="I183" s="642"/>
      <c r="J183" s="174"/>
      <c r="K183" s="174"/>
      <c r="L183" s="111"/>
      <c r="M183" s="111"/>
      <c r="N183" s="990"/>
      <c r="O183" s="990"/>
      <c r="P183" s="17">
        <f t="shared" si="157"/>
        <v>0</v>
      </c>
      <c r="Q183" s="61"/>
      <c r="R183" s="61"/>
      <c r="S183" s="17">
        <f t="shared" si="158"/>
        <v>0</v>
      </c>
      <c r="T183" s="61"/>
      <c r="U183" s="61"/>
      <c r="V183" s="17">
        <f t="shared" si="169"/>
        <v>0</v>
      </c>
      <c r="W183" s="391">
        <f t="shared" si="170"/>
        <v>0</v>
      </c>
      <c r="X183" s="17">
        <f t="shared" si="171"/>
        <v>0</v>
      </c>
      <c r="Y183" s="18">
        <f t="shared" si="172"/>
        <v>0</v>
      </c>
      <c r="Z183" s="20"/>
      <c r="AA183" s="20"/>
      <c r="AB183" s="20"/>
      <c r="AC183" s="20"/>
      <c r="AE183" s="111"/>
      <c r="AF183" s="111"/>
      <c r="AG183" s="113"/>
      <c r="AH183" s="113"/>
      <c r="AI183" s="131"/>
      <c r="AK183" s="111"/>
      <c r="AL183" s="111"/>
      <c r="AM183" s="113"/>
      <c r="AN183" s="113"/>
      <c r="AO183" s="131"/>
      <c r="AQ183" s="17"/>
      <c r="AR183" s="17"/>
      <c r="AS183" s="20"/>
      <c r="AT183" s="20"/>
      <c r="AU183" s="19"/>
      <c r="AW183" s="17"/>
      <c r="AX183" s="17"/>
      <c r="AY183" s="20"/>
      <c r="AZ183" s="20"/>
      <c r="BA183" s="19"/>
    </row>
    <row r="184" spans="1:53" s="4" customFormat="1" ht="17.100000000000001" customHeight="1" x14ac:dyDescent="0.25">
      <c r="A184" s="102"/>
      <c r="B184" s="102"/>
      <c r="C184" s="74"/>
      <c r="D184" s="294"/>
      <c r="E184" s="295"/>
      <c r="F184" s="295"/>
      <c r="G184" s="295"/>
      <c r="H184" s="198"/>
      <c r="I184" s="642"/>
      <c r="J184" s="174"/>
      <c r="K184" s="174"/>
      <c r="L184" s="111"/>
      <c r="M184" s="111"/>
      <c r="N184" s="60"/>
      <c r="O184" s="60"/>
      <c r="P184" s="17">
        <f t="shared" si="157"/>
        <v>0</v>
      </c>
      <c r="Q184" s="60"/>
      <c r="R184" s="60"/>
      <c r="S184" s="17">
        <f t="shared" si="158"/>
        <v>0</v>
      </c>
      <c r="T184" s="60"/>
      <c r="U184" s="60"/>
      <c r="V184" s="17">
        <f t="shared" si="169"/>
        <v>0</v>
      </c>
      <c r="W184" s="391">
        <f t="shared" si="170"/>
        <v>0</v>
      </c>
      <c r="X184" s="17">
        <f t="shared" si="171"/>
        <v>0</v>
      </c>
      <c r="Y184" s="18">
        <f t="shared" si="172"/>
        <v>0</v>
      </c>
      <c r="Z184" s="20"/>
      <c r="AA184" s="20"/>
      <c r="AB184" s="20"/>
      <c r="AC184" s="20"/>
      <c r="AE184" s="111"/>
      <c r="AF184" s="111"/>
      <c r="AG184" s="113"/>
      <c r="AH184" s="113"/>
      <c r="AI184" s="131"/>
      <c r="AK184" s="111"/>
      <c r="AL184" s="111"/>
      <c r="AM184" s="113"/>
      <c r="AN184" s="113"/>
      <c r="AO184" s="131"/>
      <c r="AQ184" s="17"/>
      <c r="AR184" s="17"/>
      <c r="AS184" s="20"/>
      <c r="AT184" s="20"/>
      <c r="AU184" s="19"/>
      <c r="AW184" s="17"/>
      <c r="AX184" s="17"/>
      <c r="AY184" s="20"/>
      <c r="AZ184" s="20"/>
      <c r="BA184" s="19"/>
    </row>
    <row r="185" spans="1:53" s="4" customFormat="1" ht="17.100000000000001" customHeight="1" x14ac:dyDescent="0.25">
      <c r="A185" s="102"/>
      <c r="B185" s="102"/>
      <c r="C185" s="74"/>
      <c r="D185" s="296"/>
      <c r="E185" s="297"/>
      <c r="F185" s="297"/>
      <c r="G185" s="297"/>
      <c r="H185" s="198"/>
      <c r="I185" s="642"/>
      <c r="J185" s="174"/>
      <c r="K185" s="174"/>
      <c r="L185" s="111"/>
      <c r="M185" s="111"/>
      <c r="N185" s="61"/>
      <c r="O185" s="61"/>
      <c r="P185" s="17">
        <f t="shared" si="157"/>
        <v>0</v>
      </c>
      <c r="Q185" s="61"/>
      <c r="R185" s="61"/>
      <c r="S185" s="17">
        <f t="shared" si="158"/>
        <v>0</v>
      </c>
      <c r="T185" s="61"/>
      <c r="U185" s="61"/>
      <c r="V185" s="17">
        <f t="shared" si="169"/>
        <v>0</v>
      </c>
      <c r="W185" s="391">
        <f t="shared" si="170"/>
        <v>0</v>
      </c>
      <c r="X185" s="17">
        <f t="shared" si="171"/>
        <v>0</v>
      </c>
      <c r="Y185" s="18">
        <f t="shared" si="172"/>
        <v>0</v>
      </c>
      <c r="Z185" s="20"/>
      <c r="AA185" s="20"/>
      <c r="AB185" s="20"/>
      <c r="AC185" s="20"/>
      <c r="AE185" s="111"/>
      <c r="AF185" s="111"/>
      <c r="AG185" s="113"/>
      <c r="AH185" s="113"/>
      <c r="AI185" s="131"/>
      <c r="AK185" s="111"/>
      <c r="AL185" s="111"/>
      <c r="AM185" s="113"/>
      <c r="AN185" s="113"/>
      <c r="AO185" s="131"/>
      <c r="AQ185" s="17"/>
      <c r="AR185" s="17"/>
      <c r="AS185" s="20"/>
      <c r="AT185" s="20"/>
      <c r="AU185" s="19"/>
      <c r="AW185" s="17"/>
      <c r="AX185" s="17"/>
      <c r="AY185" s="20"/>
      <c r="AZ185" s="20"/>
      <c r="BA185" s="19"/>
    </row>
    <row r="186" spans="1:53" s="4" customFormat="1" ht="17.100000000000001" customHeight="1" x14ac:dyDescent="0.25">
      <c r="A186" s="102"/>
      <c r="B186" s="102"/>
      <c r="C186" s="74"/>
      <c r="D186" s="294"/>
      <c r="E186" s="295"/>
      <c r="F186" s="295"/>
      <c r="G186" s="295"/>
      <c r="H186" s="198"/>
      <c r="I186" s="642"/>
      <c r="J186" s="174"/>
      <c r="K186" s="174"/>
      <c r="L186" s="111"/>
      <c r="M186" s="111"/>
      <c r="N186" s="60"/>
      <c r="O186" s="60"/>
      <c r="P186" s="17">
        <f t="shared" si="157"/>
        <v>0</v>
      </c>
      <c r="Q186" s="60"/>
      <c r="R186" s="60"/>
      <c r="S186" s="17">
        <f t="shared" si="158"/>
        <v>0</v>
      </c>
      <c r="T186" s="60"/>
      <c r="U186" s="60"/>
      <c r="V186" s="17">
        <f t="shared" ref="V186:V187" si="173">SUM(T186:U186)</f>
        <v>0</v>
      </c>
      <c r="W186" s="391">
        <f t="shared" ref="W186:W187" si="174">J186+K186+N186+Q186+T186</f>
        <v>0</v>
      </c>
      <c r="X186" s="17">
        <f t="shared" ref="X186:X187" si="175">L186+O186+R186+U186</f>
        <v>0</v>
      </c>
      <c r="Y186" s="18">
        <f t="shared" ref="Y186:Y187" si="176">SUM(W186:X186)</f>
        <v>0</v>
      </c>
      <c r="Z186" s="20"/>
      <c r="AA186" s="20"/>
      <c r="AB186" s="20"/>
      <c r="AC186" s="20"/>
      <c r="AE186" s="111"/>
      <c r="AF186" s="111"/>
      <c r="AG186" s="113"/>
      <c r="AH186" s="113"/>
      <c r="AI186" s="131"/>
      <c r="AK186" s="111"/>
      <c r="AL186" s="111"/>
      <c r="AM186" s="113"/>
      <c r="AN186" s="113"/>
      <c r="AO186" s="131"/>
      <c r="AQ186" s="17"/>
      <c r="AR186" s="17"/>
      <c r="AS186" s="20"/>
      <c r="AT186" s="20"/>
      <c r="AU186" s="19"/>
      <c r="AW186" s="17"/>
      <c r="AX186" s="17"/>
      <c r="AY186" s="20"/>
      <c r="AZ186" s="20"/>
      <c r="BA186" s="19"/>
    </row>
    <row r="187" spans="1:53" s="4" customFormat="1" ht="17.100000000000001" customHeight="1" x14ac:dyDescent="0.25">
      <c r="A187" s="102"/>
      <c r="B187" s="102"/>
      <c r="C187" s="74"/>
      <c r="D187" s="1317"/>
      <c r="E187" s="297"/>
      <c r="F187" s="297"/>
      <c r="G187" s="297"/>
      <c r="H187" s="198"/>
      <c r="I187" s="642"/>
      <c r="J187" s="174"/>
      <c r="K187" s="174"/>
      <c r="L187" s="111"/>
      <c r="M187" s="111"/>
      <c r="N187" s="61"/>
      <c r="O187" s="61"/>
      <c r="P187" s="17">
        <f t="shared" si="157"/>
        <v>0</v>
      </c>
      <c r="Q187" s="61"/>
      <c r="R187" s="61"/>
      <c r="S187" s="17">
        <f t="shared" si="158"/>
        <v>0</v>
      </c>
      <c r="T187" s="61"/>
      <c r="U187" s="61"/>
      <c r="V187" s="17">
        <f t="shared" si="173"/>
        <v>0</v>
      </c>
      <c r="W187" s="391">
        <f t="shared" si="174"/>
        <v>0</v>
      </c>
      <c r="X187" s="17">
        <f t="shared" si="175"/>
        <v>0</v>
      </c>
      <c r="Y187" s="18">
        <f t="shared" si="176"/>
        <v>0</v>
      </c>
      <c r="Z187" s="20"/>
      <c r="AA187" s="20"/>
      <c r="AB187" s="20"/>
      <c r="AC187" s="20"/>
      <c r="AE187" s="111"/>
      <c r="AF187" s="111"/>
      <c r="AG187" s="113"/>
      <c r="AH187" s="113"/>
      <c r="AI187" s="131"/>
      <c r="AK187" s="111"/>
      <c r="AL187" s="111"/>
      <c r="AM187" s="113"/>
      <c r="AN187" s="113"/>
      <c r="AO187" s="131"/>
      <c r="AQ187" s="17"/>
      <c r="AR187" s="17"/>
      <c r="AS187" s="20"/>
      <c r="AT187" s="20"/>
      <c r="AU187" s="19"/>
      <c r="AW187" s="17"/>
      <c r="AX187" s="17"/>
      <c r="AY187" s="20"/>
      <c r="AZ187" s="20"/>
      <c r="BA187" s="19"/>
    </row>
    <row r="188" spans="1:53" ht="17.100000000000001" customHeight="1" x14ac:dyDescent="0.25">
      <c r="A188" s="40"/>
      <c r="B188" s="40"/>
      <c r="C188" s="292"/>
      <c r="D188" s="144"/>
      <c r="E188" s="144"/>
      <c r="F188" s="145"/>
      <c r="G188" s="145"/>
      <c r="H188" s="119"/>
      <c r="I188" s="236"/>
      <c r="J188" s="64"/>
      <c r="K188" s="64"/>
      <c r="L188" s="81"/>
      <c r="M188" s="81"/>
      <c r="N188" s="81">
        <f>SUM(N175:N181)</f>
        <v>3</v>
      </c>
      <c r="O188" s="81">
        <f t="shared" ref="O188:Y188" si="177">SUM(O175:O181)</f>
        <v>6</v>
      </c>
      <c r="P188" s="81">
        <f t="shared" si="177"/>
        <v>9</v>
      </c>
      <c r="Q188" s="81">
        <f t="shared" si="177"/>
        <v>6</v>
      </c>
      <c r="R188" s="81">
        <f t="shared" si="177"/>
        <v>1</v>
      </c>
      <c r="S188" s="81">
        <f t="shared" si="177"/>
        <v>7</v>
      </c>
      <c r="T188" s="81">
        <f t="shared" si="177"/>
        <v>0</v>
      </c>
      <c r="U188" s="81">
        <f t="shared" si="177"/>
        <v>0</v>
      </c>
      <c r="V188" s="81">
        <f t="shared" si="177"/>
        <v>0</v>
      </c>
      <c r="W188" s="82">
        <f t="shared" si="177"/>
        <v>9</v>
      </c>
      <c r="X188" s="82">
        <f t="shared" si="177"/>
        <v>7</v>
      </c>
      <c r="Y188" s="82">
        <f t="shared" si="177"/>
        <v>16</v>
      </c>
      <c r="Z188" s="66">
        <f t="shared" ref="Z188" si="178">IF(Y$188=0,0,Y188/Y$188)</f>
        <v>1</v>
      </c>
      <c r="AA188" s="205"/>
      <c r="AB188" s="205"/>
      <c r="AC188" s="83"/>
      <c r="AE188" s="81"/>
      <c r="AF188" s="81"/>
      <c r="AG188" s="82"/>
      <c r="AH188" s="82"/>
      <c r="AI188" s="66"/>
      <c r="AK188" s="81"/>
      <c r="AL188" s="81"/>
      <c r="AM188" s="82"/>
      <c r="AN188" s="82"/>
      <c r="AO188" s="66"/>
      <c r="AQ188" s="81"/>
      <c r="AR188" s="81"/>
      <c r="AS188" s="82"/>
      <c r="AT188" s="82">
        <f>SUM(AT175:AT181)</f>
        <v>9</v>
      </c>
      <c r="AU188" s="66">
        <f>IF(AT$188=0,0,AT188/AT$188)</f>
        <v>1</v>
      </c>
      <c r="AW188" s="81"/>
      <c r="AX188" s="81"/>
      <c r="AY188" s="82"/>
      <c r="AZ188" s="82">
        <f>SUM(AZ175:AZ181)</f>
        <v>16</v>
      </c>
      <c r="BA188" s="66">
        <f>IF(AZ$188=0,0,AZ188/AZ$188)</f>
        <v>1</v>
      </c>
    </row>
    <row r="189" spans="1:53" s="117" customFormat="1" ht="17.100000000000001" customHeight="1" x14ac:dyDescent="0.25">
      <c r="A189" s="119"/>
      <c r="B189" s="119"/>
      <c r="C189" s="647"/>
      <c r="D189" s="212"/>
      <c r="E189" s="212"/>
      <c r="F189" s="212"/>
      <c r="G189" s="212"/>
      <c r="H189" s="242"/>
      <c r="I189" s="230"/>
      <c r="J189" s="17"/>
      <c r="K189" s="17"/>
      <c r="L189" s="17"/>
      <c r="M189" s="17"/>
      <c r="N189" s="17" t="str">
        <f>IF(N188&gt;=N$20,"OK","NOK")</f>
        <v>OK</v>
      </c>
      <c r="O189" s="17" t="str">
        <f>IF(O188&gt;=O$20,"OK","NOK")</f>
        <v>OK</v>
      </c>
      <c r="P189" s="17"/>
      <c r="Q189" s="17" t="str">
        <f>IF(Q188&gt;=Q$20,"OK","NOK")</f>
        <v>OK</v>
      </c>
      <c r="R189" s="17" t="str">
        <f>IF(R188&gt;=R$20,"OK","NOK")</f>
        <v>OK</v>
      </c>
      <c r="S189" s="17"/>
      <c r="T189" s="17" t="str">
        <f>IF(T188&gt;=T$20,"OK","NOK")</f>
        <v>OK</v>
      </c>
      <c r="U189" s="17" t="str">
        <f>IF(U188&gt;=U$20,"OK","NOK")</f>
        <v>OK</v>
      </c>
      <c r="V189" s="359"/>
      <c r="W189" s="382"/>
      <c r="X189" s="646"/>
      <c r="Y189" s="646"/>
      <c r="Z189" s="201"/>
      <c r="AA189" s="201"/>
      <c r="AB189" s="201"/>
      <c r="AC189" s="84"/>
      <c r="AE189" s="17"/>
      <c r="AF189" s="17"/>
      <c r="AG189" s="17"/>
      <c r="AH189" s="646"/>
      <c r="AI189" s="91"/>
      <c r="AK189" s="17"/>
      <c r="AL189" s="17"/>
      <c r="AM189" s="17"/>
      <c r="AN189" s="646"/>
      <c r="AO189" s="91"/>
      <c r="AQ189" s="17"/>
      <c r="AR189" s="17"/>
      <c r="AS189" s="17"/>
      <c r="AT189" s="646"/>
      <c r="AU189" s="91"/>
      <c r="AW189" s="17"/>
      <c r="AX189" s="17"/>
      <c r="AY189" s="17"/>
      <c r="AZ189" s="17"/>
      <c r="BA189" s="91"/>
    </row>
    <row r="190" spans="1:53" ht="17.100000000000001" customHeight="1" x14ac:dyDescent="0.25">
      <c r="A190" s="40"/>
      <c r="B190" s="41" t="s">
        <v>160</v>
      </c>
      <c r="C190" s="274" t="s">
        <v>597</v>
      </c>
      <c r="D190" s="43"/>
      <c r="E190" s="43"/>
      <c r="F190" s="43"/>
      <c r="G190" s="43"/>
      <c r="H190" s="23"/>
      <c r="I190" s="12"/>
      <c r="J190" s="73"/>
      <c r="K190" s="73"/>
      <c r="L190" s="73"/>
      <c r="M190" s="73"/>
      <c r="N190" s="73"/>
      <c r="O190" s="73"/>
      <c r="P190" s="73"/>
      <c r="Q190" s="73"/>
      <c r="R190" s="73"/>
      <c r="S190" s="73"/>
      <c r="T190" s="73"/>
      <c r="U190" s="73"/>
      <c r="V190" s="73"/>
      <c r="W190" s="73"/>
      <c r="X190" s="73"/>
      <c r="Y190" s="73"/>
      <c r="Z190" s="73"/>
      <c r="AA190" s="73"/>
      <c r="AB190" s="73"/>
      <c r="AC190" s="73"/>
      <c r="AE190" s="73"/>
      <c r="AF190" s="73"/>
      <c r="AG190" s="73"/>
      <c r="AH190" s="73"/>
      <c r="AI190" s="73"/>
      <c r="AK190" s="73"/>
      <c r="AL190" s="73"/>
      <c r="AM190" s="73"/>
      <c r="AN190" s="73"/>
      <c r="AO190" s="73"/>
      <c r="AQ190" s="73"/>
      <c r="AR190" s="73"/>
      <c r="AS190" s="73"/>
      <c r="AT190" s="73"/>
      <c r="AU190" s="73"/>
      <c r="AW190" s="73"/>
      <c r="AX190" s="73"/>
      <c r="AY190" s="73"/>
      <c r="AZ190" s="73"/>
      <c r="BA190" s="73"/>
    </row>
    <row r="191" spans="1:53" s="4" customFormat="1" ht="17.100000000000001" customHeight="1" x14ac:dyDescent="0.25">
      <c r="A191" s="102"/>
      <c r="B191" s="102"/>
      <c r="C191" s="74" t="s">
        <v>161</v>
      </c>
      <c r="D191" s="85" t="s">
        <v>9</v>
      </c>
      <c r="E191" s="75"/>
      <c r="F191" s="75"/>
      <c r="G191" s="105"/>
      <c r="H191" s="84"/>
      <c r="I191" s="231"/>
      <c r="J191" s="174"/>
      <c r="K191" s="174"/>
      <c r="L191" s="111"/>
      <c r="M191" s="111"/>
      <c r="N191" s="60">
        <v>1</v>
      </c>
      <c r="O191" s="60">
        <v>4</v>
      </c>
      <c r="P191" s="17">
        <f t="shared" ref="P191:P195" si="179">SUM(N191:O191)</f>
        <v>5</v>
      </c>
      <c r="Q191" s="60">
        <v>6</v>
      </c>
      <c r="R191" s="60">
        <v>1</v>
      </c>
      <c r="S191" s="17">
        <f t="shared" ref="S191:S195" si="180">SUM(Q191:R191)</f>
        <v>7</v>
      </c>
      <c r="T191" s="60"/>
      <c r="U191" s="60"/>
      <c r="V191" s="17">
        <f t="shared" ref="V191:V195" si="181">SUM(T191:U191)</f>
        <v>0</v>
      </c>
      <c r="W191" s="391">
        <f t="shared" ref="W191:W195" si="182">J191+K191+N191+Q191+T191</f>
        <v>7</v>
      </c>
      <c r="X191" s="17">
        <f t="shared" ref="X191:X195" si="183">L191+O191+R191+U191</f>
        <v>5</v>
      </c>
      <c r="Y191" s="18">
        <f t="shared" ref="Y191:Y195" si="184">SUM(W191:X191)</f>
        <v>12</v>
      </c>
      <c r="Z191" s="19">
        <f>IF(Y$196=0,0,Y191/Y$196)</f>
        <v>0.75</v>
      </c>
      <c r="AA191" s="19"/>
      <c r="AB191" s="19"/>
      <c r="AC191" s="20"/>
      <c r="AE191" s="111"/>
      <c r="AF191" s="111"/>
      <c r="AG191" s="111"/>
      <c r="AH191" s="651"/>
      <c r="AI191" s="131"/>
      <c r="AJ191" s="3"/>
      <c r="AK191" s="111"/>
      <c r="AL191" s="111"/>
      <c r="AM191" s="111"/>
      <c r="AN191" s="651"/>
      <c r="AO191" s="131"/>
      <c r="AP191" s="3"/>
      <c r="AQ191" s="17"/>
      <c r="AR191" s="17"/>
      <c r="AS191" s="17"/>
      <c r="AT191" s="424">
        <f>W191</f>
        <v>7</v>
      </c>
      <c r="AU191" s="19">
        <f>IF(AT$196=0,0,AT191/AT$196)</f>
        <v>0.77777777777777779</v>
      </c>
      <c r="AV191" s="3"/>
      <c r="AW191" s="17"/>
      <c r="AX191" s="17"/>
      <c r="AY191" s="17"/>
      <c r="AZ191" s="424">
        <f>X191</f>
        <v>5</v>
      </c>
      <c r="BA191" s="19">
        <f>IF(AZ$196=0,0,AZ191/AZ$196)</f>
        <v>0.7142857142857143</v>
      </c>
    </row>
    <row r="192" spans="1:53" s="4" customFormat="1" ht="17.100000000000001" customHeight="1" x14ac:dyDescent="0.25">
      <c r="A192" s="102"/>
      <c r="B192" s="102"/>
      <c r="C192" s="74" t="s">
        <v>163</v>
      </c>
      <c r="D192" s="85" t="s">
        <v>11</v>
      </c>
      <c r="E192" s="75"/>
      <c r="F192" s="75"/>
      <c r="G192" s="105"/>
      <c r="H192" s="84"/>
      <c r="I192" s="231"/>
      <c r="J192" s="174"/>
      <c r="K192" s="174"/>
      <c r="L192" s="111"/>
      <c r="M192" s="111"/>
      <c r="N192" s="61"/>
      <c r="O192" s="61"/>
      <c r="P192" s="17">
        <f t="shared" si="179"/>
        <v>0</v>
      </c>
      <c r="Q192" s="61"/>
      <c r="R192" s="61"/>
      <c r="S192" s="17">
        <f t="shared" si="180"/>
        <v>0</v>
      </c>
      <c r="T192" s="61"/>
      <c r="U192" s="61"/>
      <c r="V192" s="17">
        <f t="shared" si="181"/>
        <v>0</v>
      </c>
      <c r="W192" s="391">
        <f t="shared" si="182"/>
        <v>0</v>
      </c>
      <c r="X192" s="17">
        <f t="shared" si="183"/>
        <v>0</v>
      </c>
      <c r="Y192" s="18">
        <f t="shared" si="184"/>
        <v>0</v>
      </c>
      <c r="Z192" s="19">
        <f t="shared" ref="Z192:Z196" si="185">IF(Y$196=0,0,Y192/Y$196)</f>
        <v>0</v>
      </c>
      <c r="AA192" s="19"/>
      <c r="AB192" s="19"/>
      <c r="AC192" s="20"/>
      <c r="AE192" s="111"/>
      <c r="AF192" s="111"/>
      <c r="AG192" s="111"/>
      <c r="AH192" s="651"/>
      <c r="AI192" s="131"/>
      <c r="AJ192" s="3"/>
      <c r="AK192" s="111"/>
      <c r="AL192" s="111"/>
      <c r="AM192" s="111"/>
      <c r="AN192" s="651"/>
      <c r="AO192" s="131"/>
      <c r="AP192" s="3"/>
      <c r="AQ192" s="17"/>
      <c r="AR192" s="17"/>
      <c r="AS192" s="17"/>
      <c r="AT192" s="424">
        <f t="shared" ref="AT192:AT195" si="186">W192</f>
        <v>0</v>
      </c>
      <c r="AU192" s="19">
        <f t="shared" ref="AU192:AU196" si="187">IF(AT$196=0,0,AT192/AT$196)</f>
        <v>0</v>
      </c>
      <c r="AV192" s="3"/>
      <c r="AW192" s="17"/>
      <c r="AX192" s="17"/>
      <c r="AY192" s="17"/>
      <c r="AZ192" s="424">
        <f t="shared" ref="AZ192:AZ195" si="188">X192</f>
        <v>0</v>
      </c>
      <c r="BA192" s="19">
        <f t="shared" ref="BA192:BA196" si="189">IF(AZ$196=0,0,AZ192/AZ$196)</f>
        <v>0</v>
      </c>
    </row>
    <row r="193" spans="1:53" s="4" customFormat="1" ht="17.100000000000001" customHeight="1" x14ac:dyDescent="0.25">
      <c r="A193" s="102"/>
      <c r="B193" s="102"/>
      <c r="C193" s="74" t="s">
        <v>164</v>
      </c>
      <c r="D193" s="85" t="s">
        <v>129</v>
      </c>
      <c r="E193" s="75"/>
      <c r="F193" s="75"/>
      <c r="G193" s="105"/>
      <c r="H193" s="84"/>
      <c r="I193" s="231"/>
      <c r="J193" s="174"/>
      <c r="K193" s="174"/>
      <c r="L193" s="111"/>
      <c r="M193" s="111"/>
      <c r="N193" s="60">
        <v>1</v>
      </c>
      <c r="O193" s="60"/>
      <c r="P193" s="17">
        <f t="shared" si="179"/>
        <v>1</v>
      </c>
      <c r="Q193" s="60"/>
      <c r="R193" s="60"/>
      <c r="S193" s="17">
        <f t="shared" si="180"/>
        <v>0</v>
      </c>
      <c r="T193" s="60"/>
      <c r="U193" s="60"/>
      <c r="V193" s="17">
        <f t="shared" si="181"/>
        <v>0</v>
      </c>
      <c r="W193" s="391">
        <f t="shared" si="182"/>
        <v>1</v>
      </c>
      <c r="X193" s="17">
        <f t="shared" si="183"/>
        <v>0</v>
      </c>
      <c r="Y193" s="18">
        <f t="shared" si="184"/>
        <v>1</v>
      </c>
      <c r="Z193" s="19">
        <f t="shared" si="185"/>
        <v>6.25E-2</v>
      </c>
      <c r="AA193" s="19"/>
      <c r="AB193" s="19"/>
      <c r="AC193" s="20"/>
      <c r="AE193" s="111"/>
      <c r="AF193" s="111"/>
      <c r="AG193" s="111"/>
      <c r="AH193" s="651"/>
      <c r="AI193" s="131"/>
      <c r="AJ193" s="3"/>
      <c r="AK193" s="111"/>
      <c r="AL193" s="111"/>
      <c r="AM193" s="111"/>
      <c r="AN193" s="651"/>
      <c r="AO193" s="131"/>
      <c r="AP193" s="3"/>
      <c r="AQ193" s="17"/>
      <c r="AR193" s="17"/>
      <c r="AS193" s="17"/>
      <c r="AT193" s="424">
        <f t="shared" si="186"/>
        <v>1</v>
      </c>
      <c r="AU193" s="19">
        <f t="shared" si="187"/>
        <v>0.1111111111111111</v>
      </c>
      <c r="AV193" s="3"/>
      <c r="AW193" s="17"/>
      <c r="AX193" s="17"/>
      <c r="AY193" s="17"/>
      <c r="AZ193" s="424">
        <f t="shared" si="188"/>
        <v>0</v>
      </c>
      <c r="BA193" s="19">
        <f t="shared" si="189"/>
        <v>0</v>
      </c>
    </row>
    <row r="194" spans="1:53" s="4" customFormat="1" ht="17.100000000000001" customHeight="1" x14ac:dyDescent="0.25">
      <c r="A194" s="102"/>
      <c r="B194" s="102"/>
      <c r="C194" s="74" t="s">
        <v>166</v>
      </c>
      <c r="D194" s="85" t="s">
        <v>599</v>
      </c>
      <c r="E194" s="75"/>
      <c r="F194" s="75"/>
      <c r="G194" s="105"/>
      <c r="H194" s="84"/>
      <c r="I194" s="231"/>
      <c r="J194" s="174"/>
      <c r="K194" s="174"/>
      <c r="L194" s="111"/>
      <c r="M194" s="111"/>
      <c r="N194" s="61">
        <v>1</v>
      </c>
      <c r="O194" s="61">
        <v>2</v>
      </c>
      <c r="P194" s="17">
        <f t="shared" si="179"/>
        <v>3</v>
      </c>
      <c r="Q194" s="61"/>
      <c r="R194" s="61"/>
      <c r="S194" s="17">
        <f t="shared" si="180"/>
        <v>0</v>
      </c>
      <c r="T194" s="61"/>
      <c r="U194" s="61"/>
      <c r="V194" s="17">
        <f t="shared" si="181"/>
        <v>0</v>
      </c>
      <c r="W194" s="391">
        <f t="shared" si="182"/>
        <v>1</v>
      </c>
      <c r="X194" s="17">
        <f t="shared" si="183"/>
        <v>2</v>
      </c>
      <c r="Y194" s="18">
        <f t="shared" si="184"/>
        <v>3</v>
      </c>
      <c r="Z194" s="19">
        <f t="shared" si="185"/>
        <v>0.1875</v>
      </c>
      <c r="AA194" s="19"/>
      <c r="AB194" s="19"/>
      <c r="AC194" s="20"/>
      <c r="AE194" s="111"/>
      <c r="AF194" s="111"/>
      <c r="AG194" s="111"/>
      <c r="AH194" s="651"/>
      <c r="AI194" s="131"/>
      <c r="AJ194" s="3"/>
      <c r="AK194" s="111"/>
      <c r="AL194" s="111"/>
      <c r="AM194" s="111"/>
      <c r="AN194" s="651"/>
      <c r="AO194" s="131"/>
      <c r="AP194" s="3"/>
      <c r="AQ194" s="17"/>
      <c r="AR194" s="17"/>
      <c r="AS194" s="17"/>
      <c r="AT194" s="424">
        <f t="shared" si="186"/>
        <v>1</v>
      </c>
      <c r="AU194" s="19">
        <f t="shared" si="187"/>
        <v>0.1111111111111111</v>
      </c>
      <c r="AV194" s="3"/>
      <c r="AW194" s="17"/>
      <c r="AX194" s="17"/>
      <c r="AY194" s="17"/>
      <c r="AZ194" s="424">
        <f t="shared" si="188"/>
        <v>2</v>
      </c>
      <c r="BA194" s="19">
        <f t="shared" si="189"/>
        <v>0.2857142857142857</v>
      </c>
    </row>
    <row r="195" spans="1:53" s="4" customFormat="1" ht="17.100000000000001" customHeight="1" x14ac:dyDescent="0.25">
      <c r="A195" s="102"/>
      <c r="B195" s="102"/>
      <c r="C195" s="74" t="s">
        <v>168</v>
      </c>
      <c r="D195" s="75" t="s">
        <v>600</v>
      </c>
      <c r="E195" s="75"/>
      <c r="F195" s="75"/>
      <c r="G195" s="105"/>
      <c r="H195" s="84"/>
      <c r="I195" s="231"/>
      <c r="J195" s="174"/>
      <c r="K195" s="174"/>
      <c r="L195" s="111"/>
      <c r="M195" s="111"/>
      <c r="N195" s="60"/>
      <c r="O195" s="60"/>
      <c r="P195" s="17">
        <f t="shared" si="179"/>
        <v>0</v>
      </c>
      <c r="Q195" s="60"/>
      <c r="R195" s="60"/>
      <c r="S195" s="17">
        <f t="shared" si="180"/>
        <v>0</v>
      </c>
      <c r="T195" s="60"/>
      <c r="U195" s="60"/>
      <c r="V195" s="17">
        <f t="shared" si="181"/>
        <v>0</v>
      </c>
      <c r="W195" s="391">
        <f t="shared" si="182"/>
        <v>0</v>
      </c>
      <c r="X195" s="17">
        <f t="shared" si="183"/>
        <v>0</v>
      </c>
      <c r="Y195" s="18">
        <f t="shared" si="184"/>
        <v>0</v>
      </c>
      <c r="Z195" s="19">
        <f t="shared" si="185"/>
        <v>0</v>
      </c>
      <c r="AA195" s="19"/>
      <c r="AB195" s="19"/>
      <c r="AC195" s="20"/>
      <c r="AE195" s="111"/>
      <c r="AF195" s="111"/>
      <c r="AG195" s="111"/>
      <c r="AH195" s="651"/>
      <c r="AI195" s="131"/>
      <c r="AJ195" s="3"/>
      <c r="AK195" s="111"/>
      <c r="AL195" s="111"/>
      <c r="AM195" s="111"/>
      <c r="AN195" s="651"/>
      <c r="AO195" s="131"/>
      <c r="AP195" s="3"/>
      <c r="AQ195" s="17"/>
      <c r="AR195" s="17"/>
      <c r="AS195" s="17"/>
      <c r="AT195" s="424">
        <f t="shared" si="186"/>
        <v>0</v>
      </c>
      <c r="AU195" s="19">
        <f t="shared" si="187"/>
        <v>0</v>
      </c>
      <c r="AV195" s="3"/>
      <c r="AW195" s="17"/>
      <c r="AX195" s="17"/>
      <c r="AY195" s="17"/>
      <c r="AZ195" s="424">
        <f t="shared" si="188"/>
        <v>0</v>
      </c>
      <c r="BA195" s="19">
        <f t="shared" si="189"/>
        <v>0</v>
      </c>
    </row>
    <row r="196" spans="1:53" ht="17.100000000000001" customHeight="1" x14ac:dyDescent="0.25">
      <c r="A196" s="40"/>
      <c r="B196" s="40"/>
      <c r="C196" s="292"/>
      <c r="D196" s="144"/>
      <c r="E196" s="144"/>
      <c r="F196" s="145"/>
      <c r="G196" s="145"/>
      <c r="H196" s="119"/>
      <c r="I196" s="138"/>
      <c r="J196" s="64"/>
      <c r="K196" s="64"/>
      <c r="L196" s="81"/>
      <c r="M196" s="81"/>
      <c r="N196" s="81">
        <f>SUM(N191:N195)</f>
        <v>3</v>
      </c>
      <c r="O196" s="81">
        <f t="shared" ref="O196:V196" si="190">SUM(O191:O195)</f>
        <v>6</v>
      </c>
      <c r="P196" s="81">
        <f t="shared" si="190"/>
        <v>9</v>
      </c>
      <c r="Q196" s="81">
        <f t="shared" si="190"/>
        <v>6</v>
      </c>
      <c r="R196" s="81">
        <f t="shared" si="190"/>
        <v>1</v>
      </c>
      <c r="S196" s="81">
        <f t="shared" si="190"/>
        <v>7</v>
      </c>
      <c r="T196" s="81">
        <f t="shared" si="190"/>
        <v>0</v>
      </c>
      <c r="U196" s="81">
        <f t="shared" si="190"/>
        <v>0</v>
      </c>
      <c r="V196" s="81">
        <f t="shared" si="190"/>
        <v>0</v>
      </c>
      <c r="W196" s="82">
        <f>SUM(W191:W195)</f>
        <v>9</v>
      </c>
      <c r="X196" s="82">
        <f t="shared" ref="X196:Y196" si="191">SUM(X191:X195)</f>
        <v>7</v>
      </c>
      <c r="Y196" s="82">
        <f t="shared" si="191"/>
        <v>16</v>
      </c>
      <c r="Z196" s="66">
        <f t="shared" si="185"/>
        <v>1</v>
      </c>
      <c r="AA196" s="66"/>
      <c r="AB196" s="66"/>
      <c r="AC196" s="83"/>
      <c r="AE196" s="81"/>
      <c r="AF196" s="81"/>
      <c r="AG196" s="82"/>
      <c r="AH196" s="82"/>
      <c r="AI196" s="66"/>
      <c r="AK196" s="81"/>
      <c r="AL196" s="81"/>
      <c r="AM196" s="82"/>
      <c r="AN196" s="82"/>
      <c r="AO196" s="66"/>
      <c r="AQ196" s="81"/>
      <c r="AR196" s="81"/>
      <c r="AS196" s="82"/>
      <c r="AT196" s="81">
        <f>SUM(AT191:AT195)</f>
        <v>9</v>
      </c>
      <c r="AU196" s="66">
        <f t="shared" si="187"/>
        <v>1</v>
      </c>
      <c r="AW196" s="81"/>
      <c r="AX196" s="81"/>
      <c r="AY196" s="82"/>
      <c r="AZ196" s="81">
        <f>SUM(AZ191:AZ195)</f>
        <v>7</v>
      </c>
      <c r="BA196" s="66">
        <f t="shared" si="189"/>
        <v>1</v>
      </c>
    </row>
    <row r="197" spans="1:53" s="117" customFormat="1" ht="17.100000000000001" customHeight="1" x14ac:dyDescent="0.25">
      <c r="A197" s="119"/>
      <c r="B197" s="119"/>
      <c r="C197" s="647"/>
      <c r="D197" s="212"/>
      <c r="E197" s="212"/>
      <c r="F197" s="212"/>
      <c r="G197" s="212"/>
      <c r="H197" s="242"/>
      <c r="I197" s="230"/>
      <c r="J197" s="17"/>
      <c r="K197" s="17"/>
      <c r="L197" s="17"/>
      <c r="M197" s="17"/>
      <c r="N197" s="17" t="str">
        <f>IF(N196=N$20,"OK","NOK")</f>
        <v>OK</v>
      </c>
      <c r="O197" s="17" t="str">
        <f>IF(O196=O$20,"OK","NOK")</f>
        <v>OK</v>
      </c>
      <c r="P197" s="17"/>
      <c r="Q197" s="17" t="str">
        <f>IF(Q196&gt;=Q$20,"OK","NOK")</f>
        <v>OK</v>
      </c>
      <c r="R197" s="17" t="str">
        <f>IF(R196&gt;=R$20,"OK","NOK")</f>
        <v>OK</v>
      </c>
      <c r="S197" s="17"/>
      <c r="T197" s="17" t="str">
        <f>IF(T196&gt;=T$20,"OK","NOK")</f>
        <v>OK</v>
      </c>
      <c r="U197" s="17" t="str">
        <f>IF(U196&gt;=U$20,"OK","NOK")</f>
        <v>OK</v>
      </c>
      <c r="V197" s="359"/>
      <c r="W197" s="382"/>
      <c r="X197" s="646"/>
      <c r="Y197" s="646"/>
      <c r="Z197" s="201"/>
      <c r="AA197" s="201"/>
      <c r="AB197" s="201"/>
      <c r="AC197" s="84"/>
      <c r="AE197" s="17"/>
      <c r="AF197" s="17"/>
      <c r="AG197" s="17"/>
      <c r="AH197" s="646"/>
      <c r="AI197" s="91"/>
      <c r="AK197" s="17"/>
      <c r="AL197" s="17"/>
      <c r="AM197" s="17"/>
      <c r="AN197" s="646"/>
      <c r="AO197" s="91"/>
      <c r="AQ197" s="17"/>
      <c r="AR197" s="17"/>
      <c r="AS197" s="17"/>
      <c r="AT197" s="646"/>
      <c r="AU197" s="91"/>
      <c r="AW197" s="17"/>
      <c r="AX197" s="17"/>
      <c r="AY197" s="17"/>
      <c r="AZ197" s="17"/>
      <c r="BA197" s="91"/>
    </row>
    <row r="198" spans="1:53" ht="17.100000000000001" customHeight="1" x14ac:dyDescent="0.25">
      <c r="A198" s="40"/>
      <c r="B198" s="41" t="s">
        <v>171</v>
      </c>
      <c r="C198" s="42" t="s">
        <v>601</v>
      </c>
      <c r="D198" s="43"/>
      <c r="E198" s="43"/>
      <c r="F198" s="43"/>
      <c r="G198" s="43"/>
      <c r="H198" s="23"/>
      <c r="I198" s="12"/>
      <c r="J198" s="73"/>
      <c r="K198" s="73"/>
      <c r="L198" s="73"/>
      <c r="M198" s="73"/>
      <c r="N198" s="71">
        <f>N191</f>
        <v>1</v>
      </c>
      <c r="O198" s="71">
        <f t="shared" ref="O198:U198" si="192">O191</f>
        <v>4</v>
      </c>
      <c r="P198" s="71"/>
      <c r="Q198" s="71">
        <f t="shared" si="192"/>
        <v>6</v>
      </c>
      <c r="R198" s="71">
        <f t="shared" si="192"/>
        <v>1</v>
      </c>
      <c r="S198" s="71"/>
      <c r="T198" s="71">
        <f t="shared" si="192"/>
        <v>0</v>
      </c>
      <c r="U198" s="71">
        <f t="shared" si="192"/>
        <v>0</v>
      </c>
      <c r="V198" s="71"/>
      <c r="W198" s="73"/>
      <c r="X198" s="73"/>
      <c r="Y198" s="73"/>
      <c r="Z198" s="73"/>
      <c r="AA198" s="73"/>
      <c r="AB198" s="73"/>
      <c r="AC198" s="73"/>
      <c r="AE198" s="73"/>
      <c r="AF198" s="73"/>
      <c r="AG198" s="73"/>
      <c r="AH198" s="73"/>
      <c r="AI198" s="73"/>
      <c r="AK198" s="73"/>
      <c r="AL198" s="73"/>
      <c r="AM198" s="73"/>
      <c r="AN198" s="73"/>
      <c r="AO198" s="73"/>
      <c r="AQ198" s="73"/>
      <c r="AR198" s="73"/>
      <c r="AS198" s="73"/>
      <c r="AT198" s="73"/>
      <c r="AU198" s="73"/>
      <c r="AW198" s="73"/>
      <c r="AX198" s="73"/>
      <c r="AY198" s="73"/>
      <c r="AZ198" s="73"/>
      <c r="BA198" s="73"/>
    </row>
    <row r="199" spans="1:53" s="4" customFormat="1" ht="17.100000000000001" customHeight="1" x14ac:dyDescent="0.25">
      <c r="A199" s="40"/>
      <c r="B199" s="40"/>
      <c r="C199" s="141" t="s">
        <v>172</v>
      </c>
      <c r="D199" s="648" t="s">
        <v>479</v>
      </c>
      <c r="E199" s="75"/>
      <c r="F199" s="75"/>
      <c r="G199" s="649"/>
      <c r="H199" s="254"/>
      <c r="I199" s="207"/>
      <c r="J199" s="174"/>
      <c r="K199" s="174"/>
      <c r="L199" s="111"/>
      <c r="M199" s="111"/>
      <c r="N199" s="60"/>
      <c r="O199" s="60"/>
      <c r="P199" s="17">
        <f t="shared" ref="P199:P203" si="193">SUM(N199:O199)</f>
        <v>0</v>
      </c>
      <c r="Q199" s="60"/>
      <c r="R199" s="60"/>
      <c r="S199" s="17">
        <f t="shared" ref="S199:S203" si="194">SUM(Q199:R199)</f>
        <v>0</v>
      </c>
      <c r="T199" s="60"/>
      <c r="U199" s="60"/>
      <c r="V199" s="17">
        <f t="shared" ref="V199:V203" si="195">SUM(T199:U199)</f>
        <v>0</v>
      </c>
      <c r="W199" s="391">
        <f t="shared" ref="W199:W207" si="196">J199+K199+N199+Q199+T199</f>
        <v>0</v>
      </c>
      <c r="X199" s="17">
        <f t="shared" ref="X199:X207" si="197">L199+O199+R199+U199</f>
        <v>0</v>
      </c>
      <c r="Y199" s="18">
        <f t="shared" ref="Y199:Y207" si="198">SUM(W199:X199)</f>
        <v>0</v>
      </c>
      <c r="Z199" s="19">
        <f>IF(Y$208=0,0,Y199/Y$208)</f>
        <v>0</v>
      </c>
      <c r="AA199" s="19"/>
      <c r="AB199" s="19"/>
      <c r="AC199" s="20"/>
      <c r="AE199" s="111"/>
      <c r="AF199" s="111"/>
      <c r="AG199" s="111"/>
      <c r="AH199" s="651"/>
      <c r="AI199" s="131"/>
      <c r="AJ199" s="3"/>
      <c r="AK199" s="111"/>
      <c r="AL199" s="111"/>
      <c r="AM199" s="111"/>
      <c r="AN199" s="651"/>
      <c r="AO199" s="131"/>
      <c r="AP199" s="3"/>
      <c r="AQ199" s="17"/>
      <c r="AR199" s="17"/>
      <c r="AS199" s="17"/>
      <c r="AT199" s="424">
        <f>W199</f>
        <v>0</v>
      </c>
      <c r="AU199" s="19">
        <f>IF(AT$208=0,0,AT199/AT$208)</f>
        <v>0</v>
      </c>
      <c r="AV199" s="3"/>
      <c r="AW199" s="17"/>
      <c r="AX199" s="17"/>
      <c r="AY199" s="17"/>
      <c r="AZ199" s="424">
        <f>X199</f>
        <v>0</v>
      </c>
      <c r="BA199" s="19">
        <f>IF(AZ$208=0,0,AZ199/AZ$208)</f>
        <v>0</v>
      </c>
    </row>
    <row r="200" spans="1:53" s="4" customFormat="1" ht="17.100000000000001" customHeight="1" x14ac:dyDescent="0.25">
      <c r="A200" s="40"/>
      <c r="B200" s="40"/>
      <c r="C200" s="141" t="s">
        <v>174</v>
      </c>
      <c r="D200" s="85" t="s">
        <v>405</v>
      </c>
      <c r="E200" s="75"/>
      <c r="F200" s="75"/>
      <c r="G200" s="649"/>
      <c r="H200" s="254"/>
      <c r="I200" s="207"/>
      <c r="J200" s="174"/>
      <c r="K200" s="174"/>
      <c r="L200" s="111"/>
      <c r="M200" s="111"/>
      <c r="N200" s="61"/>
      <c r="O200" s="61"/>
      <c r="P200" s="17">
        <f t="shared" si="193"/>
        <v>0</v>
      </c>
      <c r="Q200" s="61"/>
      <c r="R200" s="61"/>
      <c r="S200" s="17">
        <f t="shared" si="194"/>
        <v>0</v>
      </c>
      <c r="T200" s="61"/>
      <c r="U200" s="61"/>
      <c r="V200" s="17">
        <f t="shared" si="195"/>
        <v>0</v>
      </c>
      <c r="W200" s="391">
        <f t="shared" si="196"/>
        <v>0</v>
      </c>
      <c r="X200" s="17">
        <f t="shared" si="197"/>
        <v>0</v>
      </c>
      <c r="Y200" s="18">
        <f t="shared" si="198"/>
        <v>0</v>
      </c>
      <c r="Z200" s="19">
        <f t="shared" ref="Z200:Z208" si="199">IF(Y$208=0,0,Y200/Y$208)</f>
        <v>0</v>
      </c>
      <c r="AA200" s="19"/>
      <c r="AB200" s="19"/>
      <c r="AC200" s="20"/>
      <c r="AE200" s="111"/>
      <c r="AF200" s="111"/>
      <c r="AG200" s="111"/>
      <c r="AH200" s="651"/>
      <c r="AI200" s="131"/>
      <c r="AJ200" s="3"/>
      <c r="AK200" s="111"/>
      <c r="AL200" s="111"/>
      <c r="AM200" s="111"/>
      <c r="AN200" s="651"/>
      <c r="AO200" s="131"/>
      <c r="AP200" s="3"/>
      <c r="AQ200" s="17"/>
      <c r="AR200" s="17"/>
      <c r="AS200" s="17"/>
      <c r="AT200" s="424">
        <f t="shared" ref="AT200:AT207" si="200">W200</f>
        <v>0</v>
      </c>
      <c r="AU200" s="19">
        <f t="shared" ref="AU200:AU203" si="201">IF(AT$208=0,0,AT200/AT$208)</f>
        <v>0</v>
      </c>
      <c r="AV200" s="3"/>
      <c r="AW200" s="17"/>
      <c r="AX200" s="17"/>
      <c r="AY200" s="17"/>
      <c r="AZ200" s="424">
        <f t="shared" ref="AZ200:AZ207" si="202">X200</f>
        <v>0</v>
      </c>
      <c r="BA200" s="19">
        <f t="shared" ref="BA200:BA208" si="203">IF(AZ$208=0,0,AZ200/AZ$208)</f>
        <v>0</v>
      </c>
    </row>
    <row r="201" spans="1:53" s="4" customFormat="1" ht="17.100000000000001" customHeight="1" x14ac:dyDescent="0.25">
      <c r="A201" s="40"/>
      <c r="B201" s="40"/>
      <c r="C201" s="141" t="s">
        <v>175</v>
      </c>
      <c r="D201" s="85" t="s">
        <v>480</v>
      </c>
      <c r="E201" s="75"/>
      <c r="F201" s="75"/>
      <c r="G201" s="649"/>
      <c r="H201" s="254"/>
      <c r="I201" s="207"/>
      <c r="J201" s="174"/>
      <c r="K201" s="174"/>
      <c r="L201" s="111"/>
      <c r="M201" s="111"/>
      <c r="N201" s="60">
        <v>1</v>
      </c>
      <c r="O201" s="60">
        <v>4</v>
      </c>
      <c r="P201" s="17">
        <f t="shared" si="193"/>
        <v>5</v>
      </c>
      <c r="Q201" s="60">
        <v>6</v>
      </c>
      <c r="R201" s="60">
        <v>1</v>
      </c>
      <c r="S201" s="17">
        <f t="shared" si="194"/>
        <v>7</v>
      </c>
      <c r="T201" s="60"/>
      <c r="U201" s="60"/>
      <c r="V201" s="17">
        <f t="shared" si="195"/>
        <v>0</v>
      </c>
      <c r="W201" s="391">
        <f t="shared" si="196"/>
        <v>7</v>
      </c>
      <c r="X201" s="17">
        <f t="shared" si="197"/>
        <v>5</v>
      </c>
      <c r="Y201" s="18">
        <f t="shared" si="198"/>
        <v>12</v>
      </c>
      <c r="Z201" s="19">
        <f t="shared" si="199"/>
        <v>1</v>
      </c>
      <c r="AA201" s="19"/>
      <c r="AB201" s="19"/>
      <c r="AC201" s="20"/>
      <c r="AE201" s="111"/>
      <c r="AF201" s="111"/>
      <c r="AG201" s="111"/>
      <c r="AH201" s="651"/>
      <c r="AI201" s="131"/>
      <c r="AJ201" s="3"/>
      <c r="AK201" s="111"/>
      <c r="AL201" s="111"/>
      <c r="AM201" s="111"/>
      <c r="AN201" s="651"/>
      <c r="AO201" s="131"/>
      <c r="AP201" s="3"/>
      <c r="AQ201" s="17"/>
      <c r="AR201" s="17"/>
      <c r="AS201" s="17"/>
      <c r="AT201" s="424">
        <f t="shared" si="200"/>
        <v>7</v>
      </c>
      <c r="AU201" s="19">
        <f t="shared" si="201"/>
        <v>1</v>
      </c>
      <c r="AV201" s="3"/>
      <c r="AW201" s="17"/>
      <c r="AX201" s="17"/>
      <c r="AY201" s="17"/>
      <c r="AZ201" s="424">
        <f t="shared" si="202"/>
        <v>5</v>
      </c>
      <c r="BA201" s="19">
        <f t="shared" si="203"/>
        <v>1</v>
      </c>
    </row>
    <row r="202" spans="1:53" s="4" customFormat="1" ht="17.100000000000001" customHeight="1" x14ac:dyDescent="0.25">
      <c r="A202" s="40"/>
      <c r="B202" s="40"/>
      <c r="C202" s="141" t="s">
        <v>176</v>
      </c>
      <c r="D202" s="648" t="s">
        <v>481</v>
      </c>
      <c r="E202" s="75"/>
      <c r="F202" s="75"/>
      <c r="G202" s="649"/>
      <c r="H202" s="254"/>
      <c r="I202" s="207"/>
      <c r="J202" s="174"/>
      <c r="K202" s="174"/>
      <c r="L202" s="111"/>
      <c r="M202" s="111"/>
      <c r="N202" s="61"/>
      <c r="O202" s="61"/>
      <c r="P202" s="17">
        <f t="shared" si="193"/>
        <v>0</v>
      </c>
      <c r="Q202" s="61"/>
      <c r="R202" s="61"/>
      <c r="S202" s="17">
        <f t="shared" si="194"/>
        <v>0</v>
      </c>
      <c r="T202" s="61"/>
      <c r="U202" s="61"/>
      <c r="V202" s="17">
        <f t="shared" si="195"/>
        <v>0</v>
      </c>
      <c r="W202" s="391">
        <f t="shared" si="196"/>
        <v>0</v>
      </c>
      <c r="X202" s="17">
        <f t="shared" si="197"/>
        <v>0</v>
      </c>
      <c r="Y202" s="18">
        <f t="shared" si="198"/>
        <v>0</v>
      </c>
      <c r="Z202" s="19">
        <f t="shared" si="199"/>
        <v>0</v>
      </c>
      <c r="AA202" s="19"/>
      <c r="AB202" s="19"/>
      <c r="AC202" s="20"/>
      <c r="AE202" s="111"/>
      <c r="AF202" s="111"/>
      <c r="AG202" s="111"/>
      <c r="AH202" s="651"/>
      <c r="AI202" s="131"/>
      <c r="AJ202" s="3"/>
      <c r="AK202" s="111"/>
      <c r="AL202" s="111"/>
      <c r="AM202" s="111"/>
      <c r="AN202" s="651"/>
      <c r="AO202" s="131"/>
      <c r="AP202" s="3"/>
      <c r="AQ202" s="17"/>
      <c r="AR202" s="17"/>
      <c r="AS202" s="17"/>
      <c r="AT202" s="424">
        <f t="shared" si="200"/>
        <v>0</v>
      </c>
      <c r="AU202" s="19">
        <f t="shared" si="201"/>
        <v>0</v>
      </c>
      <c r="AV202" s="3"/>
      <c r="AW202" s="17"/>
      <c r="AX202" s="17"/>
      <c r="AY202" s="17"/>
      <c r="AZ202" s="424">
        <f t="shared" si="202"/>
        <v>0</v>
      </c>
      <c r="BA202" s="19">
        <f t="shared" si="203"/>
        <v>0</v>
      </c>
    </row>
    <row r="203" spans="1:53" s="4" customFormat="1" ht="17.100000000000001" customHeight="1" x14ac:dyDescent="0.25">
      <c r="A203" s="40"/>
      <c r="B203" s="40"/>
      <c r="C203" s="282" t="s">
        <v>177</v>
      </c>
      <c r="D203" s="648" t="s">
        <v>109</v>
      </c>
      <c r="E203" s="650"/>
      <c r="F203" s="650"/>
      <c r="G203" s="649"/>
      <c r="H203" s="254"/>
      <c r="I203" s="207"/>
      <c r="J203" s="111"/>
      <c r="K203" s="111"/>
      <c r="L203" s="111"/>
      <c r="M203" s="111"/>
      <c r="N203" s="111">
        <f>SUM(N204:N206)</f>
        <v>0</v>
      </c>
      <c r="O203" s="111">
        <f t="shared" ref="O203:U203" si="204">SUM(O204:O206)</f>
        <v>0</v>
      </c>
      <c r="P203" s="111">
        <f t="shared" si="193"/>
        <v>0</v>
      </c>
      <c r="Q203" s="111">
        <f t="shared" si="204"/>
        <v>0</v>
      </c>
      <c r="R203" s="111">
        <f t="shared" si="204"/>
        <v>0</v>
      </c>
      <c r="S203" s="111">
        <f t="shared" si="194"/>
        <v>0</v>
      </c>
      <c r="T203" s="111">
        <f t="shared" si="204"/>
        <v>0</v>
      </c>
      <c r="U203" s="111">
        <f t="shared" si="204"/>
        <v>0</v>
      </c>
      <c r="V203" s="111">
        <f t="shared" si="195"/>
        <v>0</v>
      </c>
      <c r="W203" s="380">
        <f t="shared" si="196"/>
        <v>0</v>
      </c>
      <c r="X203" s="111">
        <f t="shared" si="197"/>
        <v>0</v>
      </c>
      <c r="Y203" s="651">
        <f t="shared" si="198"/>
        <v>0</v>
      </c>
      <c r="Z203" s="131">
        <f t="shared" si="199"/>
        <v>0</v>
      </c>
      <c r="AA203" s="131"/>
      <c r="AB203" s="131"/>
      <c r="AC203" s="113"/>
      <c r="AE203" s="111"/>
      <c r="AF203" s="111"/>
      <c r="AG203" s="111"/>
      <c r="AH203" s="651"/>
      <c r="AI203" s="131"/>
      <c r="AJ203" s="3"/>
      <c r="AK203" s="111"/>
      <c r="AL203" s="111"/>
      <c r="AM203" s="111"/>
      <c r="AN203" s="651"/>
      <c r="AO203" s="131"/>
      <c r="AP203" s="3"/>
      <c r="AQ203" s="111"/>
      <c r="AR203" s="111"/>
      <c r="AS203" s="111"/>
      <c r="AT203" s="111">
        <f t="shared" si="200"/>
        <v>0</v>
      </c>
      <c r="AU203" s="131">
        <f t="shared" si="201"/>
        <v>0</v>
      </c>
      <c r="AV203" s="3"/>
      <c r="AW203" s="111"/>
      <c r="AX203" s="111"/>
      <c r="AY203" s="111"/>
      <c r="AZ203" s="111">
        <f t="shared" si="202"/>
        <v>0</v>
      </c>
      <c r="BA203" s="131">
        <f t="shared" si="203"/>
        <v>0</v>
      </c>
    </row>
    <row r="204" spans="1:53" s="4" customFormat="1" ht="16.5" customHeight="1" x14ac:dyDescent="0.25">
      <c r="A204" s="40"/>
      <c r="B204" s="40"/>
      <c r="C204" s="56"/>
      <c r="D204" s="294"/>
      <c r="E204" s="295"/>
      <c r="F204" s="295"/>
      <c r="G204" s="295"/>
      <c r="H204" s="198"/>
      <c r="I204" s="642"/>
      <c r="J204" s="174"/>
      <c r="K204" s="174"/>
      <c r="L204" s="111"/>
      <c r="M204" s="111"/>
      <c r="N204" s="60"/>
      <c r="O204" s="60"/>
      <c r="P204" s="17"/>
      <c r="Q204" s="60"/>
      <c r="R204" s="60"/>
      <c r="S204" s="17"/>
      <c r="T204" s="60"/>
      <c r="U204" s="60"/>
      <c r="V204" s="17"/>
      <c r="W204" s="391"/>
      <c r="X204" s="17"/>
      <c r="Y204" s="18"/>
      <c r="Z204" s="19"/>
      <c r="AA204" s="20"/>
      <c r="AB204" s="20"/>
      <c r="AC204" s="20"/>
      <c r="AE204" s="111"/>
      <c r="AF204" s="111"/>
      <c r="AG204" s="113"/>
      <c r="AH204" s="113"/>
      <c r="AI204" s="131"/>
      <c r="AK204" s="111"/>
      <c r="AL204" s="111"/>
      <c r="AM204" s="113"/>
      <c r="AN204" s="113"/>
      <c r="AO204" s="131"/>
      <c r="AQ204" s="17"/>
      <c r="AR204" s="17"/>
      <c r="AS204" s="20"/>
      <c r="AT204" s="424"/>
      <c r="AU204" s="19"/>
      <c r="AW204" s="17"/>
      <c r="AX204" s="17"/>
      <c r="AY204" s="20"/>
      <c r="AZ204" s="424"/>
      <c r="BA204" s="19"/>
    </row>
    <row r="205" spans="1:53" s="4" customFormat="1" ht="17.100000000000001" customHeight="1" x14ac:dyDescent="0.25">
      <c r="A205" s="40"/>
      <c r="B205" s="40"/>
      <c r="C205" s="56"/>
      <c r="D205" s="296"/>
      <c r="E205" s="297"/>
      <c r="F205" s="297"/>
      <c r="G205" s="297"/>
      <c r="H205" s="198"/>
      <c r="I205" s="642"/>
      <c r="J205" s="174"/>
      <c r="K205" s="174"/>
      <c r="L205" s="111"/>
      <c r="M205" s="111"/>
      <c r="N205" s="61"/>
      <c r="O205" s="61"/>
      <c r="P205" s="17"/>
      <c r="Q205" s="61"/>
      <c r="R205" s="61"/>
      <c r="S205" s="17"/>
      <c r="T205" s="61"/>
      <c r="U205" s="61"/>
      <c r="V205" s="17"/>
      <c r="W205" s="391"/>
      <c r="X205" s="17"/>
      <c r="Y205" s="18"/>
      <c r="Z205" s="19"/>
      <c r="AA205" s="20"/>
      <c r="AB205" s="20"/>
      <c r="AC205" s="20"/>
      <c r="AE205" s="111"/>
      <c r="AF205" s="111"/>
      <c r="AG205" s="113"/>
      <c r="AH205" s="113"/>
      <c r="AI205" s="131"/>
      <c r="AK205" s="111"/>
      <c r="AL205" s="111"/>
      <c r="AM205" s="113"/>
      <c r="AN205" s="113"/>
      <c r="AO205" s="131"/>
      <c r="AQ205" s="17"/>
      <c r="AR205" s="17"/>
      <c r="AS205" s="20"/>
      <c r="AT205" s="424"/>
      <c r="AU205" s="19"/>
      <c r="AW205" s="17"/>
      <c r="AX205" s="17"/>
      <c r="AY205" s="20"/>
      <c r="AZ205" s="424"/>
      <c r="BA205" s="19"/>
    </row>
    <row r="206" spans="1:53" s="4" customFormat="1" ht="16.5" customHeight="1" x14ac:dyDescent="0.25">
      <c r="A206" s="40"/>
      <c r="B206" s="40"/>
      <c r="C206" s="56"/>
      <c r="D206" s="294"/>
      <c r="E206" s="295"/>
      <c r="F206" s="295"/>
      <c r="G206" s="295"/>
      <c r="H206" s="198"/>
      <c r="I206" s="642"/>
      <c r="J206" s="174"/>
      <c r="K206" s="174"/>
      <c r="L206" s="111"/>
      <c r="M206" s="111"/>
      <c r="N206" s="60"/>
      <c r="O206" s="60"/>
      <c r="P206" s="17"/>
      <c r="Q206" s="60"/>
      <c r="R206" s="60"/>
      <c r="S206" s="17"/>
      <c r="T206" s="60"/>
      <c r="U206" s="60"/>
      <c r="V206" s="17"/>
      <c r="W206" s="391"/>
      <c r="X206" s="17"/>
      <c r="Y206" s="18"/>
      <c r="Z206" s="19"/>
      <c r="AA206" s="20"/>
      <c r="AB206" s="20"/>
      <c r="AC206" s="20"/>
      <c r="AE206" s="111"/>
      <c r="AF206" s="111"/>
      <c r="AG206" s="113"/>
      <c r="AH206" s="113"/>
      <c r="AI206" s="131"/>
      <c r="AK206" s="111"/>
      <c r="AL206" s="111"/>
      <c r="AM206" s="113"/>
      <c r="AN206" s="113"/>
      <c r="AO206" s="131"/>
      <c r="AQ206" s="17"/>
      <c r="AR206" s="17"/>
      <c r="AS206" s="20"/>
      <c r="AT206" s="424"/>
      <c r="AU206" s="19"/>
      <c r="AW206" s="17"/>
      <c r="AX206" s="17"/>
      <c r="AY206" s="20"/>
      <c r="AZ206" s="424"/>
      <c r="BA206" s="19"/>
    </row>
    <row r="207" spans="1:53" s="4" customFormat="1" ht="17.100000000000001" customHeight="1" x14ac:dyDescent="0.25">
      <c r="A207" s="40"/>
      <c r="B207" s="40"/>
      <c r="C207" s="56" t="s">
        <v>178</v>
      </c>
      <c r="D207" s="596" t="s">
        <v>598</v>
      </c>
      <c r="E207" s="649"/>
      <c r="F207" s="649"/>
      <c r="G207" s="649"/>
      <c r="H207" s="254"/>
      <c r="I207" s="207"/>
      <c r="J207" s="174"/>
      <c r="K207" s="174"/>
      <c r="L207" s="111"/>
      <c r="M207" s="111"/>
      <c r="N207" s="61"/>
      <c r="O207" s="61"/>
      <c r="P207" s="17">
        <f t="shared" ref="P207" si="205">SUM(N207:O207)</f>
        <v>0</v>
      </c>
      <c r="Q207" s="61"/>
      <c r="R207" s="61"/>
      <c r="S207" s="17">
        <f t="shared" ref="S207" si="206">SUM(Q207:R207)</f>
        <v>0</v>
      </c>
      <c r="T207" s="61"/>
      <c r="U207" s="61"/>
      <c r="V207" s="17">
        <f t="shared" ref="V207" si="207">SUM(T207:U207)</f>
        <v>0</v>
      </c>
      <c r="W207" s="391">
        <f t="shared" si="196"/>
        <v>0</v>
      </c>
      <c r="X207" s="17">
        <f t="shared" si="197"/>
        <v>0</v>
      </c>
      <c r="Y207" s="18">
        <f t="shared" si="198"/>
        <v>0</v>
      </c>
      <c r="Z207" s="19">
        <f t="shared" si="199"/>
        <v>0</v>
      </c>
      <c r="AA207" s="19"/>
      <c r="AB207" s="19"/>
      <c r="AC207" s="20"/>
      <c r="AE207" s="111"/>
      <c r="AF207" s="111"/>
      <c r="AG207" s="111"/>
      <c r="AH207" s="651"/>
      <c r="AI207" s="131"/>
      <c r="AJ207" s="3"/>
      <c r="AK207" s="111"/>
      <c r="AL207" s="111"/>
      <c r="AM207" s="111"/>
      <c r="AN207" s="651"/>
      <c r="AO207" s="131"/>
      <c r="AP207" s="3"/>
      <c r="AQ207" s="17"/>
      <c r="AR207" s="17"/>
      <c r="AS207" s="17"/>
      <c r="AT207" s="424">
        <f t="shared" si="200"/>
        <v>0</v>
      </c>
      <c r="AU207" s="19">
        <f t="shared" ref="AU207:AU208" si="208">IF(AT$208=0,0,AT207/AT$208)</f>
        <v>0</v>
      </c>
      <c r="AV207" s="3"/>
      <c r="AW207" s="17"/>
      <c r="AX207" s="17"/>
      <c r="AY207" s="17"/>
      <c r="AZ207" s="424">
        <f t="shared" si="202"/>
        <v>0</v>
      </c>
      <c r="BA207" s="19">
        <f t="shared" si="203"/>
        <v>0</v>
      </c>
    </row>
    <row r="208" spans="1:53" ht="17.100000000000001" customHeight="1" x14ac:dyDescent="0.25">
      <c r="A208" s="40"/>
      <c r="B208" s="40"/>
      <c r="C208" s="292"/>
      <c r="D208" s="144"/>
      <c r="E208" s="144"/>
      <c r="F208" s="145"/>
      <c r="G208" s="145"/>
      <c r="H208" s="119"/>
      <c r="I208" s="236"/>
      <c r="J208" s="64"/>
      <c r="K208" s="64"/>
      <c r="L208" s="81"/>
      <c r="M208" s="81"/>
      <c r="N208" s="81">
        <f>SUM(N199:N203)+N207</f>
        <v>1</v>
      </c>
      <c r="O208" s="81">
        <f t="shared" ref="O208:V208" si="209">SUM(O199:O203)+O207</f>
        <v>4</v>
      </c>
      <c r="P208" s="81">
        <f t="shared" si="209"/>
        <v>5</v>
      </c>
      <c r="Q208" s="81">
        <f t="shared" si="209"/>
        <v>6</v>
      </c>
      <c r="R208" s="81">
        <f t="shared" si="209"/>
        <v>1</v>
      </c>
      <c r="S208" s="81">
        <f t="shared" si="209"/>
        <v>7</v>
      </c>
      <c r="T208" s="81">
        <f t="shared" si="209"/>
        <v>0</v>
      </c>
      <c r="U208" s="81">
        <f t="shared" si="209"/>
        <v>0</v>
      </c>
      <c r="V208" s="81">
        <f t="shared" si="209"/>
        <v>0</v>
      </c>
      <c r="W208" s="82">
        <f>SUM(W199:W207)</f>
        <v>7</v>
      </c>
      <c r="X208" s="82">
        <f t="shared" ref="X208:Y208" si="210">SUM(X199:X207)</f>
        <v>5</v>
      </c>
      <c r="Y208" s="82">
        <f t="shared" si="210"/>
        <v>12</v>
      </c>
      <c r="Z208" s="66">
        <f t="shared" si="199"/>
        <v>1</v>
      </c>
      <c r="AA208" s="205"/>
      <c r="AB208" s="205"/>
      <c r="AC208" s="83"/>
      <c r="AE208" s="81"/>
      <c r="AF208" s="81"/>
      <c r="AG208" s="82"/>
      <c r="AH208" s="82"/>
      <c r="AI208" s="66"/>
      <c r="AK208" s="81"/>
      <c r="AL208" s="81"/>
      <c r="AM208" s="82"/>
      <c r="AN208" s="82"/>
      <c r="AO208" s="66"/>
      <c r="AQ208" s="81"/>
      <c r="AR208" s="81"/>
      <c r="AS208" s="82"/>
      <c r="AT208" s="81">
        <f>SUM(AT199:AT203)+AT207</f>
        <v>7</v>
      </c>
      <c r="AU208" s="66">
        <f t="shared" si="208"/>
        <v>1</v>
      </c>
      <c r="AW208" s="81"/>
      <c r="AX208" s="81"/>
      <c r="AY208" s="82"/>
      <c r="AZ208" s="81">
        <f>SUM(AZ199:AZ203)+AZ207</f>
        <v>5</v>
      </c>
      <c r="BA208" s="66">
        <f t="shared" si="203"/>
        <v>1</v>
      </c>
    </row>
    <row r="209" spans="1:53" s="117" customFormat="1" ht="17.100000000000001" customHeight="1" x14ac:dyDescent="0.25">
      <c r="A209" s="119"/>
      <c r="B209" s="119"/>
      <c r="C209" s="647"/>
      <c r="D209" s="212"/>
      <c r="E209" s="212"/>
      <c r="F209" s="212"/>
      <c r="G209" s="212"/>
      <c r="H209" s="242"/>
      <c r="I209" s="230"/>
      <c r="J209" s="17"/>
      <c r="K209" s="17"/>
      <c r="L209" s="17"/>
      <c r="M209" s="17"/>
      <c r="N209" s="17" t="str">
        <f>IF(N208=N$198,"OK","NOK")</f>
        <v>OK</v>
      </c>
      <c r="O209" s="17" t="str">
        <f>IF(O208=O$198,"OK","NOK")</f>
        <v>OK</v>
      </c>
      <c r="P209" s="17"/>
      <c r="Q209" s="17" t="str">
        <f>IF(Q208=Q$198,"OK","NOK")</f>
        <v>OK</v>
      </c>
      <c r="R209" s="17" t="str">
        <f>IF(R208=R$198,"OK","NOK")</f>
        <v>OK</v>
      </c>
      <c r="S209" s="17"/>
      <c r="T209" s="17" t="str">
        <f>IF(T208=T$198,"OK","NOK")</f>
        <v>OK</v>
      </c>
      <c r="U209" s="17" t="str">
        <f>IF(U208=U$198,"OK","NOK")</f>
        <v>OK</v>
      </c>
      <c r="V209" s="359"/>
      <c r="W209" s="382"/>
      <c r="X209" s="646"/>
      <c r="Y209" s="646"/>
      <c r="Z209" s="201"/>
      <c r="AA209" s="201"/>
      <c r="AB209" s="201"/>
      <c r="AC209" s="84"/>
      <c r="AE209" s="17"/>
      <c r="AF209" s="17"/>
      <c r="AG209" s="17"/>
      <c r="AH209" s="646"/>
      <c r="AI209" s="91"/>
      <c r="AK209" s="17"/>
      <c r="AL209" s="17"/>
      <c r="AM209" s="17"/>
      <c r="AN209" s="646"/>
      <c r="AO209" s="91"/>
      <c r="AQ209" s="17"/>
      <c r="AR209" s="17"/>
      <c r="AS209" s="17"/>
      <c r="AT209" s="646"/>
      <c r="AU209" s="91"/>
      <c r="AW209" s="17"/>
      <c r="AX209" s="17"/>
      <c r="AY209" s="17"/>
      <c r="AZ209" s="17"/>
      <c r="BA209" s="91"/>
    </row>
    <row r="210" spans="1:53" ht="17.100000000000001" customHeight="1" x14ac:dyDescent="0.25">
      <c r="A210" s="40"/>
      <c r="B210" s="41" t="s">
        <v>180</v>
      </c>
      <c r="C210" s="274" t="s">
        <v>255</v>
      </c>
      <c r="D210" s="43"/>
      <c r="E210" s="43"/>
      <c r="F210" s="43"/>
      <c r="G210" s="43"/>
      <c r="H210" s="23"/>
      <c r="I210" s="12"/>
      <c r="J210" s="73"/>
      <c r="K210" s="73"/>
      <c r="L210" s="73"/>
      <c r="M210" s="73"/>
      <c r="N210" s="73"/>
      <c r="O210" s="73"/>
      <c r="P210" s="73"/>
      <c r="Q210" s="73"/>
      <c r="R210" s="73"/>
      <c r="S210" s="73"/>
      <c r="T210" s="73"/>
      <c r="U210" s="73"/>
      <c r="V210" s="73"/>
      <c r="W210" s="73"/>
      <c r="X210" s="73"/>
      <c r="Y210" s="73"/>
      <c r="Z210" s="73"/>
      <c r="AA210" s="73"/>
      <c r="AB210" s="73"/>
      <c r="AC210" s="73"/>
      <c r="AE210" s="73"/>
      <c r="AF210" s="73"/>
      <c r="AG210" s="73"/>
      <c r="AH210" s="73"/>
      <c r="AI210" s="73"/>
      <c r="AK210" s="73"/>
      <c r="AL210" s="73"/>
      <c r="AM210" s="73"/>
      <c r="AN210" s="73"/>
      <c r="AO210" s="73"/>
      <c r="AQ210" s="73"/>
      <c r="AR210" s="73"/>
      <c r="AS210" s="73"/>
      <c r="AT210" s="73"/>
      <c r="AU210" s="73"/>
      <c r="AW210" s="73"/>
      <c r="AX210" s="73"/>
      <c r="AY210" s="73"/>
      <c r="AZ210" s="73"/>
      <c r="BA210" s="73"/>
    </row>
    <row r="211" spans="1:53" s="4" customFormat="1" ht="17.100000000000001" customHeight="1" x14ac:dyDescent="0.25">
      <c r="A211" s="40"/>
      <c r="B211" s="40"/>
      <c r="C211" s="141" t="s">
        <v>440</v>
      </c>
      <c r="D211" s="146" t="s">
        <v>113</v>
      </c>
      <c r="E211" s="75"/>
      <c r="F211" s="75"/>
      <c r="G211" s="75"/>
      <c r="H211" s="23"/>
      <c r="I211" s="12"/>
      <c r="J211" s="174"/>
      <c r="K211" s="174"/>
      <c r="L211" s="111"/>
      <c r="M211" s="111"/>
      <c r="N211" s="60"/>
      <c r="O211" s="60"/>
      <c r="P211" s="17">
        <f t="shared" ref="P211:P213" si="211">SUM(N211:O211)</f>
        <v>0</v>
      </c>
      <c r="Q211" s="60">
        <v>5</v>
      </c>
      <c r="R211" s="60">
        <v>1</v>
      </c>
      <c r="S211" s="17">
        <f t="shared" ref="S211:S213" si="212">SUM(Q211:R211)</f>
        <v>6</v>
      </c>
      <c r="T211" s="60"/>
      <c r="U211" s="60"/>
      <c r="V211" s="17">
        <f t="shared" ref="V211:V213" si="213">SUM(T211:U211)</f>
        <v>0</v>
      </c>
      <c r="W211" s="391">
        <f t="shared" ref="W211:W213" si="214">J211+K211+N211+Q211+T211</f>
        <v>5</v>
      </c>
      <c r="X211" s="17">
        <f t="shared" ref="X211:X213" si="215">L211+O211+R211+U211</f>
        <v>1</v>
      </c>
      <c r="Y211" s="18">
        <f t="shared" ref="Y211:Y213" si="216">SUM(W211:X211)</f>
        <v>6</v>
      </c>
      <c r="Z211" s="19">
        <f>IF(Y$214=0,0,Y211/Y$214)</f>
        <v>0.5</v>
      </c>
      <c r="AA211" s="19"/>
      <c r="AB211" s="19"/>
      <c r="AC211" s="20"/>
      <c r="AE211" s="111"/>
      <c r="AF211" s="111"/>
      <c r="AG211" s="111"/>
      <c r="AH211" s="651"/>
      <c r="AI211" s="131"/>
      <c r="AJ211" s="3"/>
      <c r="AK211" s="111"/>
      <c r="AL211" s="111"/>
      <c r="AM211" s="111"/>
      <c r="AN211" s="651"/>
      <c r="AO211" s="131"/>
      <c r="AP211" s="3"/>
      <c r="AQ211" s="17"/>
      <c r="AR211" s="17"/>
      <c r="AS211" s="17"/>
      <c r="AT211" s="424">
        <f>W211</f>
        <v>5</v>
      </c>
      <c r="AU211" s="19">
        <f>IF(AT$214=0,0,AT211/AT$214)</f>
        <v>0.7142857142857143</v>
      </c>
      <c r="AV211" s="3"/>
      <c r="AW211" s="17"/>
      <c r="AX211" s="17"/>
      <c r="AY211" s="17"/>
      <c r="AZ211" s="424">
        <f>X211</f>
        <v>1</v>
      </c>
      <c r="BA211" s="19">
        <f>IF(AZ$214=0,0,AZ211/AZ$214)</f>
        <v>0.2</v>
      </c>
    </row>
    <row r="212" spans="1:53" s="4" customFormat="1" ht="17.100000000000001" customHeight="1" x14ac:dyDescent="0.25">
      <c r="A212" s="40"/>
      <c r="B212" s="40"/>
      <c r="C212" s="141" t="s">
        <v>441</v>
      </c>
      <c r="D212" s="146" t="s">
        <v>602</v>
      </c>
      <c r="E212" s="75"/>
      <c r="F212" s="75"/>
      <c r="G212" s="75"/>
      <c r="H212" s="23"/>
      <c r="I212" s="12"/>
      <c r="J212" s="174"/>
      <c r="K212" s="174"/>
      <c r="L212" s="111"/>
      <c r="M212" s="111"/>
      <c r="N212" s="61">
        <v>1</v>
      </c>
      <c r="O212" s="61">
        <v>4</v>
      </c>
      <c r="P212" s="17">
        <f t="shared" si="211"/>
        <v>5</v>
      </c>
      <c r="Q212" s="61">
        <v>1</v>
      </c>
      <c r="R212" s="61"/>
      <c r="S212" s="17">
        <f t="shared" si="212"/>
        <v>1</v>
      </c>
      <c r="T212" s="61"/>
      <c r="U212" s="61"/>
      <c r="V212" s="17">
        <f t="shared" si="213"/>
        <v>0</v>
      </c>
      <c r="W212" s="391">
        <f t="shared" si="214"/>
        <v>2</v>
      </c>
      <c r="X212" s="17">
        <f t="shared" si="215"/>
        <v>4</v>
      </c>
      <c r="Y212" s="18">
        <f t="shared" si="216"/>
        <v>6</v>
      </c>
      <c r="Z212" s="19">
        <f t="shared" ref="Z212:Z214" si="217">IF(Y$214=0,0,Y212/Y$214)</f>
        <v>0.5</v>
      </c>
      <c r="AA212" s="19"/>
      <c r="AB212" s="19"/>
      <c r="AC212" s="20"/>
      <c r="AE212" s="111"/>
      <c r="AF212" s="111"/>
      <c r="AG212" s="111"/>
      <c r="AH212" s="651"/>
      <c r="AI212" s="131"/>
      <c r="AJ212" s="3"/>
      <c r="AK212" s="111"/>
      <c r="AL212" s="111"/>
      <c r="AM212" s="111"/>
      <c r="AN212" s="651"/>
      <c r="AO212" s="131"/>
      <c r="AP212" s="3"/>
      <c r="AQ212" s="17"/>
      <c r="AR212" s="17"/>
      <c r="AS212" s="17"/>
      <c r="AT212" s="424">
        <f t="shared" ref="AT212:AT213" si="218">W212</f>
        <v>2</v>
      </c>
      <c r="AU212" s="19">
        <f t="shared" ref="AU212:AU214" si="219">IF(AT$214=0,0,AT212/AT$214)</f>
        <v>0.2857142857142857</v>
      </c>
      <c r="AV212" s="3"/>
      <c r="AW212" s="17"/>
      <c r="AX212" s="17"/>
      <c r="AY212" s="17"/>
      <c r="AZ212" s="424">
        <f t="shared" ref="AZ212:AZ213" si="220">X212</f>
        <v>4</v>
      </c>
      <c r="BA212" s="19">
        <f t="shared" ref="BA212:BA214" si="221">IF(AZ$214=0,0,AZ212/AZ$214)</f>
        <v>0.8</v>
      </c>
    </row>
    <row r="213" spans="1:53" s="4" customFormat="1" ht="17.100000000000001" customHeight="1" x14ac:dyDescent="0.25">
      <c r="A213" s="40"/>
      <c r="B213" s="40"/>
      <c r="C213" s="141" t="s">
        <v>442</v>
      </c>
      <c r="D213" s="596" t="s">
        <v>598</v>
      </c>
      <c r="E213" s="649"/>
      <c r="F213" s="649"/>
      <c r="G213" s="649"/>
      <c r="H213" s="254"/>
      <c r="I213" s="207"/>
      <c r="J213" s="174"/>
      <c r="K213" s="174"/>
      <c r="L213" s="111"/>
      <c r="M213" s="111"/>
      <c r="N213" s="60"/>
      <c r="O213" s="60"/>
      <c r="P213" s="17">
        <f t="shared" si="211"/>
        <v>0</v>
      </c>
      <c r="Q213" s="60"/>
      <c r="R213" s="60"/>
      <c r="S213" s="17">
        <f t="shared" si="212"/>
        <v>0</v>
      </c>
      <c r="T213" s="60"/>
      <c r="U213" s="60"/>
      <c r="V213" s="17">
        <f t="shared" si="213"/>
        <v>0</v>
      </c>
      <c r="W213" s="391">
        <f t="shared" si="214"/>
        <v>0</v>
      </c>
      <c r="X213" s="17">
        <f t="shared" si="215"/>
        <v>0</v>
      </c>
      <c r="Y213" s="18">
        <f t="shared" si="216"/>
        <v>0</v>
      </c>
      <c r="Z213" s="19">
        <f t="shared" si="217"/>
        <v>0</v>
      </c>
      <c r="AA213" s="19"/>
      <c r="AB213" s="19"/>
      <c r="AC213" s="20"/>
      <c r="AE213" s="111"/>
      <c r="AF213" s="111"/>
      <c r="AG213" s="111"/>
      <c r="AH213" s="651"/>
      <c r="AI213" s="131"/>
      <c r="AJ213" s="3"/>
      <c r="AK213" s="111"/>
      <c r="AL213" s="111"/>
      <c r="AM213" s="111"/>
      <c r="AN213" s="651"/>
      <c r="AO213" s="131"/>
      <c r="AP213" s="3"/>
      <c r="AQ213" s="17"/>
      <c r="AR213" s="17"/>
      <c r="AS213" s="17"/>
      <c r="AT213" s="424">
        <f t="shared" si="218"/>
        <v>0</v>
      </c>
      <c r="AU213" s="19">
        <f t="shared" si="219"/>
        <v>0</v>
      </c>
      <c r="AV213" s="3"/>
      <c r="AW213" s="17"/>
      <c r="AX213" s="17"/>
      <c r="AY213" s="17"/>
      <c r="AZ213" s="424">
        <f t="shared" si="220"/>
        <v>0</v>
      </c>
      <c r="BA213" s="19">
        <f t="shared" si="221"/>
        <v>0</v>
      </c>
    </row>
    <row r="214" spans="1:53" ht="17.100000000000001" customHeight="1" x14ac:dyDescent="0.25">
      <c r="A214" s="40"/>
      <c r="B214" s="40"/>
      <c r="C214" s="292"/>
      <c r="D214" s="144"/>
      <c r="E214" s="144"/>
      <c r="F214" s="145"/>
      <c r="G214" s="145"/>
      <c r="H214" s="119"/>
      <c r="I214" s="236"/>
      <c r="J214" s="64"/>
      <c r="K214" s="64"/>
      <c r="L214" s="64"/>
      <c r="M214" s="64"/>
      <c r="N214" s="64">
        <f>SUM(N211:N213)</f>
        <v>1</v>
      </c>
      <c r="O214" s="64">
        <f t="shared" ref="O214:V214" si="222">SUM(O211:O213)</f>
        <v>4</v>
      </c>
      <c r="P214" s="64">
        <f t="shared" si="222"/>
        <v>5</v>
      </c>
      <c r="Q214" s="64">
        <f t="shared" si="222"/>
        <v>6</v>
      </c>
      <c r="R214" s="64">
        <f t="shared" si="222"/>
        <v>1</v>
      </c>
      <c r="S214" s="64">
        <f t="shared" si="222"/>
        <v>7</v>
      </c>
      <c r="T214" s="64">
        <f t="shared" si="222"/>
        <v>0</v>
      </c>
      <c r="U214" s="64">
        <f t="shared" si="222"/>
        <v>0</v>
      </c>
      <c r="V214" s="64">
        <f t="shared" si="222"/>
        <v>0</v>
      </c>
      <c r="W214" s="224">
        <f>SUM(W211:W213)</f>
        <v>7</v>
      </c>
      <c r="X214" s="224">
        <f t="shared" ref="X214:Y214" si="223">SUM(X211:X213)</f>
        <v>5</v>
      </c>
      <c r="Y214" s="224">
        <f t="shared" si="223"/>
        <v>12</v>
      </c>
      <c r="Z214" s="66">
        <f t="shared" si="217"/>
        <v>1</v>
      </c>
      <c r="AA214" s="205"/>
      <c r="AB214" s="205"/>
      <c r="AC214" s="83"/>
      <c r="AE214" s="81"/>
      <c r="AF214" s="81"/>
      <c r="AG214" s="82"/>
      <c r="AH214" s="82"/>
      <c r="AI214" s="66"/>
      <c r="AK214" s="81"/>
      <c r="AL214" s="81"/>
      <c r="AM214" s="82"/>
      <c r="AN214" s="82"/>
      <c r="AO214" s="66"/>
      <c r="AQ214" s="81"/>
      <c r="AR214" s="81"/>
      <c r="AS214" s="82"/>
      <c r="AT214" s="81">
        <f>SUM(AT211:AT213)</f>
        <v>7</v>
      </c>
      <c r="AU214" s="66">
        <f t="shared" si="219"/>
        <v>1</v>
      </c>
      <c r="AW214" s="81"/>
      <c r="AX214" s="81"/>
      <c r="AY214" s="82"/>
      <c r="AZ214" s="81">
        <f>SUM(AZ211:AZ213)</f>
        <v>5</v>
      </c>
      <c r="BA214" s="66">
        <f t="shared" si="221"/>
        <v>1</v>
      </c>
    </row>
    <row r="215" spans="1:53" s="117" customFormat="1" ht="17.100000000000001" customHeight="1" x14ac:dyDescent="0.25">
      <c r="A215" s="119"/>
      <c r="B215" s="119"/>
      <c r="C215" s="647"/>
      <c r="D215" s="212"/>
      <c r="E215" s="212"/>
      <c r="F215" s="212"/>
      <c r="G215" s="212"/>
      <c r="H215" s="242"/>
      <c r="I215" s="230"/>
      <c r="J215" s="17"/>
      <c r="K215" s="17"/>
      <c r="L215" s="17"/>
      <c r="M215" s="17"/>
      <c r="N215" s="17" t="str">
        <f>IF(N214=N$198,"OK","NOK")</f>
        <v>OK</v>
      </c>
      <c r="O215" s="17" t="str">
        <f>IF(O214=O$198,"OK","NOK")</f>
        <v>OK</v>
      </c>
      <c r="P215" s="17"/>
      <c r="Q215" s="17" t="str">
        <f>IF(Q214=Q$198,"OK","NOK")</f>
        <v>OK</v>
      </c>
      <c r="R215" s="17" t="str">
        <f>IF(R214=R$198,"OK","NOK")</f>
        <v>OK</v>
      </c>
      <c r="S215" s="17"/>
      <c r="T215" s="17" t="str">
        <f>IF(T214=T$198,"OK","NOK")</f>
        <v>OK</v>
      </c>
      <c r="U215" s="17" t="str">
        <f>IF(U214=U$198,"OK","NOK")</f>
        <v>OK</v>
      </c>
      <c r="V215" s="359"/>
      <c r="W215" s="382"/>
      <c r="X215" s="646"/>
      <c r="Y215" s="646"/>
      <c r="Z215" s="201"/>
      <c r="AA215" s="201"/>
      <c r="AB215" s="201"/>
      <c r="AC215" s="84"/>
      <c r="AE215" s="17"/>
      <c r="AF215" s="17"/>
      <c r="AG215" s="17"/>
      <c r="AH215" s="646"/>
      <c r="AI215" s="91"/>
      <c r="AK215" s="17"/>
      <c r="AL215" s="17"/>
      <c r="AM215" s="17"/>
      <c r="AN215" s="646"/>
      <c r="AO215" s="91"/>
      <c r="AQ215" s="17"/>
      <c r="AR215" s="17"/>
      <c r="AS215" s="17"/>
      <c r="AT215" s="646"/>
      <c r="AU215" s="91"/>
      <c r="AW215" s="17"/>
      <c r="AX215" s="17"/>
      <c r="AY215" s="17"/>
      <c r="AZ215" s="17"/>
      <c r="BA215" s="91"/>
    </row>
    <row r="216" spans="1:53" ht="17.100000000000001" customHeight="1" x14ac:dyDescent="0.25">
      <c r="A216" s="40"/>
      <c r="B216" s="299" t="s">
        <v>447</v>
      </c>
      <c r="C216" s="274" t="s">
        <v>606</v>
      </c>
      <c r="D216" s="300"/>
      <c r="E216" s="50"/>
      <c r="F216" s="50"/>
      <c r="G216" s="301"/>
      <c r="H216" s="119"/>
      <c r="I216" s="138"/>
      <c r="J216" s="88"/>
      <c r="K216" s="88"/>
      <c r="L216" s="71"/>
      <c r="M216" s="71"/>
      <c r="N216" s="71"/>
      <c r="O216" s="71"/>
      <c r="P216" s="71"/>
      <c r="Q216" s="71"/>
      <c r="R216" s="71"/>
      <c r="S216" s="71"/>
      <c r="T216" s="71"/>
      <c r="U216" s="71"/>
      <c r="V216" s="71"/>
      <c r="W216" s="71"/>
      <c r="X216" s="71"/>
      <c r="Y216" s="71"/>
      <c r="Z216" s="90"/>
      <c r="AA216" s="90"/>
      <c r="AB216" s="90"/>
      <c r="AC216" s="73"/>
      <c r="AE216" s="87"/>
      <c r="AF216" s="87"/>
      <c r="AG216" s="71"/>
      <c r="AH216" s="89"/>
      <c r="AI216" s="90"/>
      <c r="AJ216" s="117"/>
      <c r="AK216" s="87"/>
      <c r="AL216" s="87"/>
      <c r="AM216" s="71"/>
      <c r="AN216" s="89"/>
      <c r="AO216" s="90"/>
      <c r="AP216" s="117"/>
      <c r="AQ216" s="87"/>
      <c r="AR216" s="87"/>
      <c r="AS216" s="71"/>
      <c r="AT216" s="89"/>
      <c r="AU216" s="90"/>
      <c r="AV216" s="117"/>
      <c r="AW216" s="87"/>
      <c r="AX216" s="87"/>
      <c r="AY216" s="71"/>
      <c r="AZ216" s="89"/>
      <c r="BA216" s="90"/>
    </row>
    <row r="217" spans="1:53" ht="17.100000000000001" customHeight="1" x14ac:dyDescent="0.25">
      <c r="A217" s="40"/>
      <c r="B217" s="302"/>
      <c r="C217" s="56" t="s">
        <v>449</v>
      </c>
      <c r="D217" s="85" t="s">
        <v>173</v>
      </c>
      <c r="E217" s="167"/>
      <c r="F217" s="151"/>
      <c r="G217" s="151"/>
      <c r="H217" s="119"/>
      <c r="I217" s="138"/>
      <c r="J217" s="174"/>
      <c r="K217" s="174"/>
      <c r="L217" s="111"/>
      <c r="M217" s="111"/>
      <c r="N217" s="60"/>
      <c r="O217" s="60"/>
      <c r="P217" s="17">
        <f t="shared" ref="P217:P222" si="224">SUM(N217:O217)</f>
        <v>0</v>
      </c>
      <c r="Q217" s="60"/>
      <c r="R217" s="60"/>
      <c r="S217" s="17">
        <f t="shared" ref="S217:S222" si="225">SUM(Q217:R217)</f>
        <v>0</v>
      </c>
      <c r="T217" s="60"/>
      <c r="U217" s="60"/>
      <c r="V217" s="17">
        <f t="shared" ref="V217:V222" si="226">SUM(T217:U217)</f>
        <v>0</v>
      </c>
      <c r="W217" s="391">
        <f t="shared" ref="W217:W222" si="227">J217+K217+N217+Q217+T217</f>
        <v>0</v>
      </c>
      <c r="X217" s="17">
        <f t="shared" ref="X217:X222" si="228">L217+O217+R217+U217</f>
        <v>0</v>
      </c>
      <c r="Y217" s="18">
        <f t="shared" ref="Y217:Y222" si="229">SUM(W217:X217)</f>
        <v>0</v>
      </c>
      <c r="Z217" s="19">
        <f>IF(Y$223=0,0,Y217/Y$223)</f>
        <v>0</v>
      </c>
      <c r="AA217" s="91"/>
      <c r="AB217" s="91"/>
      <c r="AC217" s="84"/>
      <c r="AE217" s="111"/>
      <c r="AF217" s="111"/>
      <c r="AG217" s="111"/>
      <c r="AH217" s="112"/>
      <c r="AI217" s="113"/>
      <c r="AJ217" s="117"/>
      <c r="AK217" s="111"/>
      <c r="AL217" s="111"/>
      <c r="AM217" s="111"/>
      <c r="AN217" s="112"/>
      <c r="AO217" s="113"/>
      <c r="AP217" s="117"/>
      <c r="AQ217" s="17"/>
      <c r="AR217" s="17"/>
      <c r="AS217" s="17"/>
      <c r="AT217" s="18">
        <f t="shared" ref="AT217:AT218" si="230">W217</f>
        <v>0</v>
      </c>
      <c r="AU217" s="19">
        <f>IF(AT$444=0,0,AT217/AT$444)</f>
        <v>0</v>
      </c>
      <c r="AV217" s="117"/>
      <c r="AW217" s="17"/>
      <c r="AX217" s="17"/>
      <c r="AY217" s="17"/>
      <c r="AZ217" s="18">
        <f t="shared" ref="AZ217:AZ218" si="231">X217</f>
        <v>0</v>
      </c>
      <c r="BA217" s="19">
        <f>IF(AZ$444=0,0,AZ217/AZ$444)</f>
        <v>0</v>
      </c>
    </row>
    <row r="218" spans="1:53" ht="17.100000000000001" customHeight="1" x14ac:dyDescent="0.25">
      <c r="A218" s="40"/>
      <c r="B218" s="302"/>
      <c r="C218" s="56" t="s">
        <v>450</v>
      </c>
      <c r="D218" s="85" t="s">
        <v>544</v>
      </c>
      <c r="E218" s="167"/>
      <c r="F218" s="151"/>
      <c r="G218" s="151"/>
      <c r="H218" s="119"/>
      <c r="I218" s="138"/>
      <c r="J218" s="174"/>
      <c r="K218" s="174"/>
      <c r="L218" s="111"/>
      <c r="M218" s="111"/>
      <c r="N218" s="61">
        <v>1</v>
      </c>
      <c r="O218" s="61">
        <v>4</v>
      </c>
      <c r="P218" s="17">
        <f t="shared" si="224"/>
        <v>5</v>
      </c>
      <c r="Q218" s="61">
        <v>3</v>
      </c>
      <c r="R218" s="61">
        <v>1</v>
      </c>
      <c r="S218" s="17">
        <f t="shared" si="225"/>
        <v>4</v>
      </c>
      <c r="T218" s="61"/>
      <c r="U218" s="61"/>
      <c r="V218" s="17">
        <f t="shared" si="226"/>
        <v>0</v>
      </c>
      <c r="W218" s="391">
        <f t="shared" si="227"/>
        <v>4</v>
      </c>
      <c r="X218" s="17">
        <f t="shared" si="228"/>
        <v>5</v>
      </c>
      <c r="Y218" s="18">
        <f t="shared" si="229"/>
        <v>9</v>
      </c>
      <c r="Z218" s="19">
        <f t="shared" ref="Z218:Z223" si="232">IF(Y$223=0,0,Y218/Y$223)</f>
        <v>0.75</v>
      </c>
      <c r="AA218" s="91"/>
      <c r="AB218" s="91"/>
      <c r="AC218" s="84"/>
      <c r="AE218" s="111"/>
      <c r="AF218" s="111"/>
      <c r="AG218" s="111"/>
      <c r="AH218" s="112"/>
      <c r="AI218" s="113"/>
      <c r="AJ218" s="117"/>
      <c r="AK218" s="111"/>
      <c r="AL218" s="111"/>
      <c r="AM218" s="111"/>
      <c r="AN218" s="112"/>
      <c r="AO218" s="113"/>
      <c r="AP218" s="117"/>
      <c r="AQ218" s="17"/>
      <c r="AR218" s="17"/>
      <c r="AS218" s="17"/>
      <c r="AT218" s="18">
        <f t="shared" si="230"/>
        <v>4</v>
      </c>
      <c r="AU218" s="19">
        <f>IF(AT$444=0,0,AT218/AT$444)</f>
        <v>0</v>
      </c>
      <c r="AV218" s="117"/>
      <c r="AW218" s="17"/>
      <c r="AX218" s="17"/>
      <c r="AY218" s="17"/>
      <c r="AZ218" s="18">
        <f t="shared" si="231"/>
        <v>5</v>
      </c>
      <c r="BA218" s="19">
        <f>IF(AZ$444=0,0,AZ218/AZ$444)</f>
        <v>0</v>
      </c>
    </row>
    <row r="219" spans="1:53" ht="17.100000000000001" customHeight="1" x14ac:dyDescent="0.25">
      <c r="A219" s="40"/>
      <c r="B219" s="40"/>
      <c r="C219" s="56" t="s">
        <v>451</v>
      </c>
      <c r="D219" s="146" t="s">
        <v>484</v>
      </c>
      <c r="E219" s="149"/>
      <c r="F219" s="151"/>
      <c r="G219" s="151"/>
      <c r="H219" s="119"/>
      <c r="I219" s="236"/>
      <c r="J219" s="174"/>
      <c r="K219" s="174"/>
      <c r="L219" s="111"/>
      <c r="M219" s="111"/>
      <c r="N219" s="60">
        <v>2000000</v>
      </c>
      <c r="O219" s="60">
        <v>2000000</v>
      </c>
      <c r="P219" s="17"/>
      <c r="Q219" s="60">
        <v>2000000</v>
      </c>
      <c r="R219" s="60">
        <v>2000000</v>
      </c>
      <c r="S219" s="17"/>
      <c r="T219" s="60"/>
      <c r="U219" s="60"/>
      <c r="V219" s="17"/>
      <c r="W219" s="391">
        <f>MIN(N219,Q219,T219)</f>
        <v>2000000</v>
      </c>
      <c r="X219" s="17">
        <f>MIN(O219,R219,U219)</f>
        <v>2000000</v>
      </c>
      <c r="Y219" s="18"/>
      <c r="Z219" s="19"/>
      <c r="AA219" s="17">
        <f>MIN(N219:U219)</f>
        <v>2000000</v>
      </c>
      <c r="AB219" s="17"/>
      <c r="AC219" s="17"/>
      <c r="AE219" s="111"/>
      <c r="AF219" s="111"/>
      <c r="AG219" s="111"/>
      <c r="AH219" s="651"/>
      <c r="AI219" s="131"/>
      <c r="AJ219" s="117"/>
      <c r="AK219" s="111"/>
      <c r="AL219" s="111"/>
      <c r="AM219" s="111"/>
      <c r="AN219" s="651"/>
      <c r="AO219" s="131"/>
      <c r="AP219" s="117"/>
      <c r="AQ219" s="17">
        <f>W219</f>
        <v>2000000</v>
      </c>
      <c r="AR219" s="17"/>
      <c r="AS219" s="17"/>
      <c r="AT219" s="18"/>
      <c r="AU219" s="19"/>
      <c r="AV219" s="117"/>
      <c r="AW219" s="17">
        <f>X219</f>
        <v>2000000</v>
      </c>
      <c r="AX219" s="17"/>
      <c r="AY219" s="17"/>
      <c r="AZ219" s="18"/>
      <c r="BA219" s="19"/>
    </row>
    <row r="220" spans="1:53" ht="17.100000000000001" customHeight="1" x14ac:dyDescent="0.25">
      <c r="A220" s="40"/>
      <c r="B220" s="40"/>
      <c r="C220" s="56" t="s">
        <v>603</v>
      </c>
      <c r="D220" s="146" t="s">
        <v>485</v>
      </c>
      <c r="E220" s="149"/>
      <c r="F220" s="151"/>
      <c r="G220" s="151"/>
      <c r="H220" s="119"/>
      <c r="I220" s="236"/>
      <c r="J220" s="174"/>
      <c r="K220" s="174"/>
      <c r="L220" s="111"/>
      <c r="M220" s="111"/>
      <c r="N220" s="61">
        <v>2000000</v>
      </c>
      <c r="O220" s="61">
        <v>2400000</v>
      </c>
      <c r="P220" s="17"/>
      <c r="Q220" s="60">
        <v>2000000</v>
      </c>
      <c r="R220" s="60">
        <v>2000000</v>
      </c>
      <c r="S220" s="17"/>
      <c r="T220" s="61"/>
      <c r="U220" s="61"/>
      <c r="V220" s="17"/>
      <c r="W220" s="391">
        <f>MAX(N220,Q220,T220)</f>
        <v>2000000</v>
      </c>
      <c r="X220" s="17">
        <f>MAX(O220,R220,U220)</f>
        <v>2400000</v>
      </c>
      <c r="Y220" s="18"/>
      <c r="Z220" s="19"/>
      <c r="AA220" s="17"/>
      <c r="AB220" s="17">
        <f>MAX(N220:U220)</f>
        <v>2400000</v>
      </c>
      <c r="AC220" s="17"/>
      <c r="AE220" s="111"/>
      <c r="AF220" s="111"/>
      <c r="AG220" s="111"/>
      <c r="AH220" s="651"/>
      <c r="AI220" s="131"/>
      <c r="AJ220" s="117"/>
      <c r="AK220" s="111"/>
      <c r="AL220" s="111"/>
      <c r="AM220" s="111"/>
      <c r="AN220" s="651"/>
      <c r="AO220" s="131"/>
      <c r="AP220" s="117"/>
      <c r="AQ220" s="17"/>
      <c r="AR220" s="17">
        <f>W220</f>
        <v>2000000</v>
      </c>
      <c r="AS220" s="17"/>
      <c r="AT220" s="18"/>
      <c r="AU220" s="19"/>
      <c r="AV220" s="117"/>
      <c r="AW220" s="17"/>
      <c r="AX220" s="17">
        <f>X220</f>
        <v>2400000</v>
      </c>
      <c r="AY220" s="17"/>
      <c r="AZ220" s="18"/>
      <c r="BA220" s="19"/>
    </row>
    <row r="221" spans="1:53" ht="17.100000000000001" customHeight="1" x14ac:dyDescent="0.25">
      <c r="A221" s="40"/>
      <c r="B221" s="40"/>
      <c r="C221" s="56" t="s">
        <v>604</v>
      </c>
      <c r="D221" s="146" t="s">
        <v>543</v>
      </c>
      <c r="E221" s="149"/>
      <c r="F221" s="151"/>
      <c r="G221" s="151"/>
      <c r="H221" s="119"/>
      <c r="I221" s="236"/>
      <c r="J221" s="174"/>
      <c r="K221" s="174"/>
      <c r="L221" s="111"/>
      <c r="M221" s="111"/>
      <c r="N221" s="60">
        <v>2000000</v>
      </c>
      <c r="O221" s="60">
        <v>2200000</v>
      </c>
      <c r="P221" s="17"/>
      <c r="Q221" s="60">
        <v>2000000</v>
      </c>
      <c r="R221" s="60">
        <v>2000000</v>
      </c>
      <c r="S221" s="17"/>
      <c r="T221" s="60"/>
      <c r="U221" s="60"/>
      <c r="V221" s="17"/>
      <c r="W221" s="391">
        <f>IF(N221+Q221+T221=0,0,AVERAGE(N221,Q221,T221))</f>
        <v>2000000</v>
      </c>
      <c r="X221" s="17">
        <f>IF(O221+R221+U221=0,0,AVERAGE(O221,R221,U221))</f>
        <v>2100000</v>
      </c>
      <c r="Y221" s="18"/>
      <c r="Z221" s="19"/>
      <c r="AA221" s="17"/>
      <c r="AB221" s="17"/>
      <c r="AC221" s="17">
        <f>IF(SUM(N221:U221)=0,0,AVERAGE(N221:U221))</f>
        <v>2050000</v>
      </c>
      <c r="AE221" s="111"/>
      <c r="AF221" s="111"/>
      <c r="AG221" s="111"/>
      <c r="AH221" s="651"/>
      <c r="AI221" s="131"/>
      <c r="AJ221" s="117"/>
      <c r="AK221" s="111"/>
      <c r="AL221" s="111"/>
      <c r="AM221" s="111"/>
      <c r="AN221" s="651"/>
      <c r="AO221" s="131"/>
      <c r="AP221" s="117"/>
      <c r="AQ221" s="17"/>
      <c r="AR221" s="17"/>
      <c r="AS221" s="17">
        <f>W221</f>
        <v>2000000</v>
      </c>
      <c r="AT221" s="18"/>
      <c r="AU221" s="19"/>
      <c r="AV221" s="117"/>
      <c r="AW221" s="17"/>
      <c r="AX221" s="17"/>
      <c r="AY221" s="17">
        <f>X221</f>
        <v>2100000</v>
      </c>
      <c r="AZ221" s="18"/>
      <c r="BA221" s="19"/>
    </row>
    <row r="222" spans="1:53" ht="17.100000000000001" customHeight="1" x14ac:dyDescent="0.25">
      <c r="A222" s="40"/>
      <c r="B222" s="179"/>
      <c r="C222" s="56" t="s">
        <v>605</v>
      </c>
      <c r="D222" s="85" t="s">
        <v>129</v>
      </c>
      <c r="E222" s="167"/>
      <c r="F222" s="151"/>
      <c r="G222" s="151"/>
      <c r="H222" s="119"/>
      <c r="I222" s="138"/>
      <c r="J222" s="174"/>
      <c r="K222" s="174"/>
      <c r="L222" s="111"/>
      <c r="M222" s="111"/>
      <c r="N222" s="61"/>
      <c r="O222" s="61"/>
      <c r="P222" s="17">
        <f t="shared" si="224"/>
        <v>0</v>
      </c>
      <c r="Q222" s="61">
        <v>3</v>
      </c>
      <c r="R222" s="61"/>
      <c r="S222" s="17">
        <f t="shared" si="225"/>
        <v>3</v>
      </c>
      <c r="T222" s="61"/>
      <c r="U222" s="61"/>
      <c r="V222" s="17">
        <f t="shared" si="226"/>
        <v>0</v>
      </c>
      <c r="W222" s="391">
        <f t="shared" si="227"/>
        <v>3</v>
      </c>
      <c r="X222" s="17">
        <f t="shared" si="228"/>
        <v>0</v>
      </c>
      <c r="Y222" s="18">
        <f t="shared" si="229"/>
        <v>3</v>
      </c>
      <c r="Z222" s="19">
        <f t="shared" si="232"/>
        <v>0.25</v>
      </c>
      <c r="AA222" s="91"/>
      <c r="AB222" s="91"/>
      <c r="AC222" s="84"/>
      <c r="AE222" s="111"/>
      <c r="AF222" s="111"/>
      <c r="AG222" s="111"/>
      <c r="AH222" s="112"/>
      <c r="AI222" s="113"/>
      <c r="AJ222" s="117"/>
      <c r="AK222" s="111"/>
      <c r="AL222" s="111"/>
      <c r="AM222" s="111"/>
      <c r="AN222" s="112"/>
      <c r="AO222" s="113"/>
      <c r="AP222" s="117"/>
      <c r="AQ222" s="17"/>
      <c r="AR222" s="17"/>
      <c r="AS222" s="17"/>
      <c r="AT222" s="18">
        <f t="shared" ref="AT222" si="233">W222</f>
        <v>3</v>
      </c>
      <c r="AU222" s="19">
        <f>IF(AT$444=0,0,AT222/AT$444)</f>
        <v>0</v>
      </c>
      <c r="AV222" s="117"/>
      <c r="AW222" s="17"/>
      <c r="AX222" s="17"/>
      <c r="AY222" s="17"/>
      <c r="AZ222" s="18">
        <f t="shared" ref="AZ222" si="234">X222</f>
        <v>0</v>
      </c>
      <c r="BA222" s="19">
        <f>IF(AZ$444=0,0,AZ222/AZ$444)</f>
        <v>0</v>
      </c>
    </row>
    <row r="223" spans="1:53" ht="17.100000000000001" customHeight="1" x14ac:dyDescent="0.25">
      <c r="A223" s="40"/>
      <c r="B223" s="179"/>
      <c r="C223" s="292"/>
      <c r="D223" s="144"/>
      <c r="E223" s="144"/>
      <c r="F223" s="145"/>
      <c r="G223" s="145"/>
      <c r="H223" s="119"/>
      <c r="I223" s="138"/>
      <c r="J223" s="64"/>
      <c r="K223" s="64"/>
      <c r="L223" s="64"/>
      <c r="M223" s="64"/>
      <c r="N223" s="64">
        <f>N217+N218+N222</f>
        <v>1</v>
      </c>
      <c r="O223" s="64">
        <f t="shared" ref="O223:V223" si="235">O217+O218+O222</f>
        <v>4</v>
      </c>
      <c r="P223" s="64">
        <f t="shared" si="235"/>
        <v>5</v>
      </c>
      <c r="Q223" s="64">
        <f t="shared" si="235"/>
        <v>6</v>
      </c>
      <c r="R223" s="64">
        <f t="shared" si="235"/>
        <v>1</v>
      </c>
      <c r="S223" s="64">
        <f t="shared" si="235"/>
        <v>7</v>
      </c>
      <c r="T223" s="64">
        <f t="shared" si="235"/>
        <v>0</v>
      </c>
      <c r="U223" s="64">
        <f t="shared" si="235"/>
        <v>0</v>
      </c>
      <c r="V223" s="64">
        <f t="shared" si="235"/>
        <v>0</v>
      </c>
      <c r="W223" s="224">
        <f>SUM(W217:W222)</f>
        <v>6000007</v>
      </c>
      <c r="X223" s="224">
        <f t="shared" ref="X223:Y223" si="236">SUM(X217:X222)</f>
        <v>6500005</v>
      </c>
      <c r="Y223" s="224">
        <f t="shared" si="236"/>
        <v>12</v>
      </c>
      <c r="Z223" s="66">
        <f t="shared" si="232"/>
        <v>1</v>
      </c>
      <c r="AA223" s="205"/>
      <c r="AB223" s="205"/>
      <c r="AC223" s="83"/>
      <c r="AE223" s="80"/>
      <c r="AF223" s="80"/>
      <c r="AG223" s="81"/>
      <c r="AH223" s="82"/>
      <c r="AI223" s="66"/>
      <c r="AJ223" s="117"/>
      <c r="AK223" s="80"/>
      <c r="AL223" s="80"/>
      <c r="AM223" s="81"/>
      <c r="AN223" s="82"/>
      <c r="AO223" s="66"/>
      <c r="AP223" s="117"/>
      <c r="AQ223" s="80"/>
      <c r="AR223" s="80"/>
      <c r="AS223" s="81"/>
      <c r="AT223" s="82">
        <f>SUM(AT217:AT222)</f>
        <v>7</v>
      </c>
      <c r="AU223" s="66">
        <f>IF(AT$444=0,0,AT223/AT$444)</f>
        <v>0</v>
      </c>
      <c r="AV223" s="117"/>
      <c r="AW223" s="80"/>
      <c r="AX223" s="80"/>
      <c r="AY223" s="81"/>
      <c r="AZ223" s="82">
        <f>SUM(AZ217:AZ222)</f>
        <v>5</v>
      </c>
      <c r="BA223" s="66">
        <f>IF(AZ$444=0,0,AZ223/AZ$444)</f>
        <v>0</v>
      </c>
    </row>
    <row r="224" spans="1:53" s="117" customFormat="1" ht="17.100000000000001" customHeight="1" x14ac:dyDescent="0.25">
      <c r="A224" s="119"/>
      <c r="B224" s="119"/>
      <c r="C224" s="647"/>
      <c r="D224" s="212"/>
      <c r="E224" s="212"/>
      <c r="F224" s="212"/>
      <c r="G224" s="212"/>
      <c r="H224" s="242"/>
      <c r="I224" s="230"/>
      <c r="J224" s="17"/>
      <c r="K224" s="17"/>
      <c r="L224" s="17"/>
      <c r="M224" s="17"/>
      <c r="N224" s="17" t="str">
        <f>IF(N223=N$198,"OK","NOK")</f>
        <v>OK</v>
      </c>
      <c r="O224" s="17" t="str">
        <f>IF(O223=O$198,"OK","NOK")</f>
        <v>OK</v>
      </c>
      <c r="P224" s="17"/>
      <c r="Q224" s="17" t="str">
        <f>IF(Q223=Q$198,"OK","NOK")</f>
        <v>OK</v>
      </c>
      <c r="R224" s="17" t="str">
        <f>IF(R223=R$198,"OK","NOK")</f>
        <v>OK</v>
      </c>
      <c r="S224" s="17"/>
      <c r="T224" s="17" t="str">
        <f>IF(T223=T$198,"OK","NOK")</f>
        <v>OK</v>
      </c>
      <c r="U224" s="17" t="str">
        <f>IF(U223=U$198,"OK","NOK")</f>
        <v>OK</v>
      </c>
      <c r="V224" s="359"/>
      <c r="W224" s="382"/>
      <c r="X224" s="646"/>
      <c r="Y224" s="646"/>
      <c r="Z224" s="201"/>
      <c r="AA224" s="201"/>
      <c r="AB224" s="201"/>
      <c r="AC224" s="84"/>
      <c r="AE224" s="17"/>
      <c r="AF224" s="17"/>
      <c r="AG224" s="17"/>
      <c r="AH224" s="646"/>
      <c r="AI224" s="91"/>
      <c r="AK224" s="17"/>
      <c r="AL224" s="17"/>
      <c r="AM224" s="17"/>
      <c r="AN224" s="646"/>
      <c r="AO224" s="91"/>
      <c r="AQ224" s="17"/>
      <c r="AR224" s="17"/>
      <c r="AS224" s="17"/>
      <c r="AT224" s="646"/>
      <c r="AU224" s="91"/>
      <c r="AW224" s="17"/>
      <c r="AX224" s="17"/>
      <c r="AY224" s="17"/>
      <c r="AZ224" s="17"/>
      <c r="BA224" s="91"/>
    </row>
    <row r="225" spans="1:53" ht="17.100000000000001" customHeight="1" x14ac:dyDescent="0.25">
      <c r="A225" s="40"/>
      <c r="B225" s="299" t="s">
        <v>452</v>
      </c>
      <c r="C225" s="274" t="s">
        <v>1057</v>
      </c>
      <c r="D225" s="300"/>
      <c r="E225" s="50"/>
      <c r="F225" s="50"/>
      <c r="G225" s="301"/>
      <c r="H225" s="119"/>
      <c r="I225" s="138"/>
      <c r="J225" s="88"/>
      <c r="K225" s="88"/>
      <c r="L225" s="71"/>
      <c r="M225" s="71"/>
      <c r="N225" s="71"/>
      <c r="O225" s="71"/>
      <c r="P225" s="71"/>
      <c r="Q225" s="71"/>
      <c r="R225" s="71"/>
      <c r="S225" s="71"/>
      <c r="T225" s="71"/>
      <c r="U225" s="71"/>
      <c r="V225" s="71"/>
      <c r="W225" s="71"/>
      <c r="X225" s="71"/>
      <c r="Y225" s="71"/>
      <c r="Z225" s="90"/>
      <c r="AA225" s="90"/>
      <c r="AB225" s="90"/>
      <c r="AC225" s="73"/>
      <c r="AE225" s="87"/>
      <c r="AF225" s="87"/>
      <c r="AG225" s="71"/>
      <c r="AH225" s="89"/>
      <c r="AI225" s="90"/>
      <c r="AJ225" s="117"/>
      <c r="AK225" s="87"/>
      <c r="AL225" s="87"/>
      <c r="AM225" s="71"/>
      <c r="AN225" s="89"/>
      <c r="AO225" s="90"/>
      <c r="AP225" s="117"/>
      <c r="AQ225" s="87"/>
      <c r="AR225" s="87"/>
      <c r="AS225" s="71"/>
      <c r="AT225" s="89"/>
      <c r="AU225" s="90"/>
      <c r="AV225" s="117"/>
      <c r="AW225" s="87"/>
      <c r="AX225" s="87"/>
      <c r="AY225" s="71"/>
      <c r="AZ225" s="89"/>
      <c r="BA225" s="90"/>
    </row>
    <row r="226" spans="1:53" ht="17.100000000000001" customHeight="1" x14ac:dyDescent="0.25">
      <c r="A226" s="40"/>
      <c r="B226" s="302"/>
      <c r="C226" s="56" t="s">
        <v>454</v>
      </c>
      <c r="D226" s="85" t="s">
        <v>173</v>
      </c>
      <c r="E226" s="167"/>
      <c r="F226" s="151"/>
      <c r="G226" s="151"/>
      <c r="H226" s="119"/>
      <c r="I226" s="138"/>
      <c r="J226" s="174"/>
      <c r="K226" s="174"/>
      <c r="L226" s="111"/>
      <c r="M226" s="111"/>
      <c r="N226" s="60"/>
      <c r="O226" s="60"/>
      <c r="P226" s="17">
        <f t="shared" ref="P226:P227" si="237">SUM(N226:O226)</f>
        <v>0</v>
      </c>
      <c r="Q226" s="60"/>
      <c r="R226" s="60"/>
      <c r="S226" s="17">
        <f t="shared" ref="S226:S227" si="238">SUM(Q226:R226)</f>
        <v>0</v>
      </c>
      <c r="T226" s="60"/>
      <c r="U226" s="60"/>
      <c r="V226" s="17">
        <f t="shared" ref="V226:V227" si="239">SUM(T226:U226)</f>
        <v>0</v>
      </c>
      <c r="W226" s="391">
        <f t="shared" ref="W226:W227" si="240">J226+K226+N226+Q226+T226</f>
        <v>0</v>
      </c>
      <c r="X226" s="17">
        <f t="shared" ref="X226:X227" si="241">L226+O226+R226+U226</f>
        <v>0</v>
      </c>
      <c r="Y226" s="18">
        <f t="shared" ref="Y226:Y227" si="242">SUM(W226:X226)</f>
        <v>0</v>
      </c>
      <c r="Z226" s="19">
        <f>IF(Y$223=0,0,Y226/Y$223)</f>
        <v>0</v>
      </c>
      <c r="AA226" s="91"/>
      <c r="AB226" s="91"/>
      <c r="AC226" s="84"/>
      <c r="AE226" s="111"/>
      <c r="AF226" s="111"/>
      <c r="AG226" s="111"/>
      <c r="AH226" s="112"/>
      <c r="AI226" s="113"/>
      <c r="AJ226" s="117"/>
      <c r="AK226" s="111"/>
      <c r="AL226" s="111"/>
      <c r="AM226" s="111"/>
      <c r="AN226" s="112"/>
      <c r="AO226" s="113"/>
      <c r="AP226" s="117"/>
      <c r="AQ226" s="17"/>
      <c r="AR226" s="17"/>
      <c r="AS226" s="17"/>
      <c r="AT226" s="18">
        <f t="shared" ref="AT226:AT227" si="243">W226</f>
        <v>0</v>
      </c>
      <c r="AU226" s="19">
        <f>IF(AT$444=0,0,AT226/AT$444)</f>
        <v>0</v>
      </c>
      <c r="AV226" s="117"/>
      <c r="AW226" s="17"/>
      <c r="AX226" s="17"/>
      <c r="AY226" s="17"/>
      <c r="AZ226" s="18">
        <f t="shared" ref="AZ226:AZ227" si="244">X226</f>
        <v>0</v>
      </c>
      <c r="BA226" s="19">
        <f>IF(AZ$444=0,0,AZ226/AZ$444)</f>
        <v>0</v>
      </c>
    </row>
    <row r="227" spans="1:53" ht="17.100000000000001" customHeight="1" x14ac:dyDescent="0.25">
      <c r="A227" s="40"/>
      <c r="B227" s="302"/>
      <c r="C227" s="56" t="s">
        <v>455</v>
      </c>
      <c r="D227" s="85" t="s">
        <v>544</v>
      </c>
      <c r="E227" s="167"/>
      <c r="F227" s="151"/>
      <c r="G227" s="151"/>
      <c r="H227" s="119"/>
      <c r="I227" s="138"/>
      <c r="J227" s="174"/>
      <c r="K227" s="174"/>
      <c r="L227" s="111"/>
      <c r="M227" s="111"/>
      <c r="N227" s="61">
        <v>1</v>
      </c>
      <c r="O227" s="61">
        <v>4</v>
      </c>
      <c r="P227" s="17">
        <f t="shared" si="237"/>
        <v>5</v>
      </c>
      <c r="Q227" s="61">
        <v>6</v>
      </c>
      <c r="R227" s="61">
        <v>1</v>
      </c>
      <c r="S227" s="17">
        <f t="shared" si="238"/>
        <v>7</v>
      </c>
      <c r="T227" s="61"/>
      <c r="U227" s="61"/>
      <c r="V227" s="17">
        <f t="shared" si="239"/>
        <v>0</v>
      </c>
      <c r="W227" s="391">
        <f t="shared" si="240"/>
        <v>7</v>
      </c>
      <c r="X227" s="17">
        <f t="shared" si="241"/>
        <v>5</v>
      </c>
      <c r="Y227" s="18">
        <f t="shared" si="242"/>
        <v>12</v>
      </c>
      <c r="Z227" s="19">
        <f t="shared" ref="Z227" si="245">IF(Y$223=0,0,Y227/Y$223)</f>
        <v>1</v>
      </c>
      <c r="AA227" s="91"/>
      <c r="AB227" s="91"/>
      <c r="AC227" s="84"/>
      <c r="AE227" s="111"/>
      <c r="AF227" s="111"/>
      <c r="AG227" s="111"/>
      <c r="AH227" s="112"/>
      <c r="AI227" s="113"/>
      <c r="AJ227" s="117"/>
      <c r="AK227" s="111"/>
      <c r="AL227" s="111"/>
      <c r="AM227" s="111"/>
      <c r="AN227" s="112"/>
      <c r="AO227" s="113"/>
      <c r="AP227" s="117"/>
      <c r="AQ227" s="17"/>
      <c r="AR227" s="17"/>
      <c r="AS227" s="17"/>
      <c r="AT227" s="18">
        <f t="shared" si="243"/>
        <v>7</v>
      </c>
      <c r="AU227" s="19">
        <f>IF(AT$444=0,0,AT227/AT$444)</f>
        <v>0</v>
      </c>
      <c r="AV227" s="117"/>
      <c r="AW227" s="17"/>
      <c r="AX227" s="17"/>
      <c r="AY227" s="17"/>
      <c r="AZ227" s="18">
        <f t="shared" si="244"/>
        <v>5</v>
      </c>
      <c r="BA227" s="19">
        <f>IF(AZ$444=0,0,AZ227/AZ$444)</f>
        <v>0</v>
      </c>
    </row>
    <row r="228" spans="1:53" ht="17.100000000000001" customHeight="1" x14ac:dyDescent="0.25">
      <c r="A228" s="40"/>
      <c r="B228" s="40"/>
      <c r="C228" s="56" t="s">
        <v>456</v>
      </c>
      <c r="D228" s="146" t="s">
        <v>484</v>
      </c>
      <c r="E228" s="149"/>
      <c r="F228" s="151"/>
      <c r="G228" s="151"/>
      <c r="H228" s="119"/>
      <c r="I228" s="236"/>
      <c r="J228" s="174"/>
      <c r="K228" s="174"/>
      <c r="L228" s="111"/>
      <c r="M228" s="111"/>
      <c r="N228" s="60">
        <v>1000000</v>
      </c>
      <c r="O228" s="60">
        <v>1000000</v>
      </c>
      <c r="P228" s="17"/>
      <c r="Q228" s="60">
        <v>50000</v>
      </c>
      <c r="R228" s="60">
        <v>60000</v>
      </c>
      <c r="S228" s="17"/>
      <c r="T228" s="60"/>
      <c r="U228" s="60"/>
      <c r="V228" s="17"/>
      <c r="W228" s="391">
        <f>MIN(N228,Q228,T228)</f>
        <v>50000</v>
      </c>
      <c r="X228" s="17">
        <f>MIN(O228,R228,U228)</f>
        <v>60000</v>
      </c>
      <c r="Y228" s="18"/>
      <c r="Z228" s="19"/>
      <c r="AA228" s="17">
        <f>MIN(N228:U228)</f>
        <v>50000</v>
      </c>
      <c r="AB228" s="17"/>
      <c r="AC228" s="17"/>
      <c r="AE228" s="111"/>
      <c r="AF228" s="111"/>
      <c r="AG228" s="111"/>
      <c r="AH228" s="651"/>
      <c r="AI228" s="131"/>
      <c r="AJ228" s="117"/>
      <c r="AK228" s="111"/>
      <c r="AL228" s="111"/>
      <c r="AM228" s="111"/>
      <c r="AN228" s="651"/>
      <c r="AO228" s="131"/>
      <c r="AP228" s="117"/>
      <c r="AQ228" s="17">
        <f>W228</f>
        <v>50000</v>
      </c>
      <c r="AR228" s="17"/>
      <c r="AS228" s="17"/>
      <c r="AT228" s="18"/>
      <c r="AU228" s="19"/>
      <c r="AV228" s="117"/>
      <c r="AW228" s="17">
        <f>X228</f>
        <v>60000</v>
      </c>
      <c r="AX228" s="17"/>
      <c r="AY228" s="17"/>
      <c r="AZ228" s="18"/>
      <c r="BA228" s="19"/>
    </row>
    <row r="229" spans="1:53" ht="17.100000000000001" customHeight="1" x14ac:dyDescent="0.25">
      <c r="A229" s="40"/>
      <c r="B229" s="40"/>
      <c r="C229" s="56" t="s">
        <v>546</v>
      </c>
      <c r="D229" s="146" t="s">
        <v>485</v>
      </c>
      <c r="E229" s="149"/>
      <c r="F229" s="151"/>
      <c r="G229" s="151"/>
      <c r="H229" s="119"/>
      <c r="I229" s="236"/>
      <c r="J229" s="174"/>
      <c r="K229" s="174"/>
      <c r="L229" s="111"/>
      <c r="M229" s="111"/>
      <c r="N229" s="61">
        <v>1100000</v>
      </c>
      <c r="O229" s="61">
        <v>2400000</v>
      </c>
      <c r="P229" s="17"/>
      <c r="Q229" s="61">
        <v>100000</v>
      </c>
      <c r="R229" s="61">
        <v>60000</v>
      </c>
      <c r="S229" s="17"/>
      <c r="T229" s="61"/>
      <c r="U229" s="61"/>
      <c r="V229" s="17"/>
      <c r="W229" s="391">
        <f>MAX(N229,Q229,T229)</f>
        <v>1100000</v>
      </c>
      <c r="X229" s="17">
        <f>MAX(O229,R229,U229)</f>
        <v>2400000</v>
      </c>
      <c r="Y229" s="18"/>
      <c r="Z229" s="19"/>
      <c r="AA229" s="17"/>
      <c r="AB229" s="17">
        <f>MAX(N229:U229)</f>
        <v>2400000</v>
      </c>
      <c r="AC229" s="17"/>
      <c r="AE229" s="111"/>
      <c r="AF229" s="111"/>
      <c r="AG229" s="111"/>
      <c r="AH229" s="651"/>
      <c r="AI229" s="131"/>
      <c r="AJ229" s="117"/>
      <c r="AK229" s="111"/>
      <c r="AL229" s="111"/>
      <c r="AM229" s="111"/>
      <c r="AN229" s="651"/>
      <c r="AO229" s="131"/>
      <c r="AP229" s="117"/>
      <c r="AQ229" s="17"/>
      <c r="AR229" s="17">
        <f>W229</f>
        <v>1100000</v>
      </c>
      <c r="AS229" s="17"/>
      <c r="AT229" s="18"/>
      <c r="AU229" s="19"/>
      <c r="AV229" s="117"/>
      <c r="AW229" s="17"/>
      <c r="AX229" s="17">
        <f>X229</f>
        <v>2400000</v>
      </c>
      <c r="AY229" s="17"/>
      <c r="AZ229" s="18"/>
      <c r="BA229" s="19"/>
    </row>
    <row r="230" spans="1:53" ht="17.100000000000001" customHeight="1" x14ac:dyDescent="0.25">
      <c r="A230" s="40"/>
      <c r="B230" s="40"/>
      <c r="C230" s="56" t="s">
        <v>547</v>
      </c>
      <c r="D230" s="146" t="s">
        <v>543</v>
      </c>
      <c r="E230" s="149"/>
      <c r="F230" s="151"/>
      <c r="G230" s="151"/>
      <c r="H230" s="119"/>
      <c r="I230" s="236"/>
      <c r="J230" s="174"/>
      <c r="K230" s="174"/>
      <c r="L230" s="111"/>
      <c r="M230" s="111"/>
      <c r="N230" s="60">
        <v>1000000</v>
      </c>
      <c r="O230" s="60">
        <v>1700000</v>
      </c>
      <c r="P230" s="17"/>
      <c r="Q230" s="60">
        <v>61000</v>
      </c>
      <c r="R230" s="60">
        <v>60000</v>
      </c>
      <c r="S230" s="17"/>
      <c r="T230" s="60"/>
      <c r="U230" s="60"/>
      <c r="V230" s="17"/>
      <c r="W230" s="391">
        <f>IF(N230+Q230+T230=0,0,AVERAGE(N230,Q230,T230))</f>
        <v>530500</v>
      </c>
      <c r="X230" s="17">
        <f>IF(O230+R230+U230=0,0,AVERAGE(O230,R230,U230))</f>
        <v>880000</v>
      </c>
      <c r="Y230" s="18"/>
      <c r="Z230" s="19"/>
      <c r="AA230" s="17"/>
      <c r="AB230" s="17"/>
      <c r="AC230" s="17">
        <f>IF(SUM(N230:U230)=0,0,AVERAGE(N230:U230))</f>
        <v>705250</v>
      </c>
      <c r="AE230" s="111"/>
      <c r="AF230" s="111"/>
      <c r="AG230" s="111"/>
      <c r="AH230" s="651"/>
      <c r="AI230" s="131"/>
      <c r="AJ230" s="117"/>
      <c r="AK230" s="111"/>
      <c r="AL230" s="111"/>
      <c r="AM230" s="111"/>
      <c r="AN230" s="651"/>
      <c r="AO230" s="131"/>
      <c r="AP230" s="117"/>
      <c r="AQ230" s="17"/>
      <c r="AR230" s="17"/>
      <c r="AS230" s="17">
        <f>W230</f>
        <v>530500</v>
      </c>
      <c r="AT230" s="18"/>
      <c r="AU230" s="19"/>
      <c r="AV230" s="117"/>
      <c r="AW230" s="17"/>
      <c r="AX230" s="17"/>
      <c r="AY230" s="17">
        <f>X230</f>
        <v>880000</v>
      </c>
      <c r="AZ230" s="18"/>
      <c r="BA230" s="19"/>
    </row>
    <row r="231" spans="1:53" ht="17.100000000000001" customHeight="1" x14ac:dyDescent="0.25">
      <c r="A231" s="40"/>
      <c r="B231" s="179"/>
      <c r="C231" s="56" t="s">
        <v>548</v>
      </c>
      <c r="D231" s="85" t="s">
        <v>129</v>
      </c>
      <c r="E231" s="167"/>
      <c r="F231" s="151"/>
      <c r="G231" s="151"/>
      <c r="H231" s="119"/>
      <c r="I231" s="138"/>
      <c r="J231" s="174"/>
      <c r="K231" s="174"/>
      <c r="L231" s="111"/>
      <c r="M231" s="111"/>
      <c r="N231" s="61"/>
      <c r="O231" s="61"/>
      <c r="P231" s="17">
        <f t="shared" ref="P231" si="246">SUM(N231:O231)</f>
        <v>0</v>
      </c>
      <c r="Q231" s="61"/>
      <c r="R231" s="61"/>
      <c r="S231" s="17">
        <f t="shared" ref="S231" si="247">SUM(Q231:R231)</f>
        <v>0</v>
      </c>
      <c r="T231" s="61"/>
      <c r="U231" s="61"/>
      <c r="V231" s="17">
        <f t="shared" ref="V231" si="248">SUM(T231:U231)</f>
        <v>0</v>
      </c>
      <c r="W231" s="391">
        <f t="shared" ref="W231" si="249">J231+K231+N231+Q231+T231</f>
        <v>0</v>
      </c>
      <c r="X231" s="17">
        <f t="shared" ref="X231" si="250">L231+O231+R231+U231</f>
        <v>0</v>
      </c>
      <c r="Y231" s="18">
        <f t="shared" ref="Y231" si="251">SUM(W231:X231)</f>
        <v>0</v>
      </c>
      <c r="Z231" s="19">
        <f t="shared" ref="Z231:Z232" si="252">IF(Y$223=0,0,Y231/Y$223)</f>
        <v>0</v>
      </c>
      <c r="AA231" s="91"/>
      <c r="AB231" s="91"/>
      <c r="AC231" s="84"/>
      <c r="AE231" s="111"/>
      <c r="AF231" s="111"/>
      <c r="AG231" s="111"/>
      <c r="AH231" s="112"/>
      <c r="AI231" s="113"/>
      <c r="AJ231" s="117"/>
      <c r="AK231" s="111"/>
      <c r="AL231" s="111"/>
      <c r="AM231" s="111"/>
      <c r="AN231" s="112"/>
      <c r="AO231" s="113"/>
      <c r="AP231" s="117"/>
      <c r="AQ231" s="17"/>
      <c r="AR231" s="17"/>
      <c r="AS231" s="17"/>
      <c r="AT231" s="18">
        <f t="shared" ref="AT231" si="253">W231</f>
        <v>0</v>
      </c>
      <c r="AU231" s="19">
        <f>IF(AT$444=0,0,AT231/AT$444)</f>
        <v>0</v>
      </c>
      <c r="AV231" s="117"/>
      <c r="AW231" s="17"/>
      <c r="AX231" s="17"/>
      <c r="AY231" s="17"/>
      <c r="AZ231" s="18">
        <f t="shared" ref="AZ231" si="254">X231</f>
        <v>0</v>
      </c>
      <c r="BA231" s="19">
        <f>IF(AZ$444=0,0,AZ231/AZ$444)</f>
        <v>0</v>
      </c>
    </row>
    <row r="232" spans="1:53" ht="17.100000000000001" customHeight="1" x14ac:dyDescent="0.25">
      <c r="A232" s="40"/>
      <c r="B232" s="179"/>
      <c r="C232" s="292"/>
      <c r="D232" s="144"/>
      <c r="E232" s="144"/>
      <c r="F232" s="145"/>
      <c r="G232" s="145"/>
      <c r="H232" s="119"/>
      <c r="I232" s="138"/>
      <c r="J232" s="64"/>
      <c r="K232" s="64"/>
      <c r="L232" s="64"/>
      <c r="M232" s="64"/>
      <c r="N232" s="64">
        <f>N226+N227+N231</f>
        <v>1</v>
      </c>
      <c r="O232" s="64">
        <f t="shared" ref="O232:V232" si="255">O226+O227+O231</f>
        <v>4</v>
      </c>
      <c r="P232" s="64">
        <f t="shared" si="255"/>
        <v>5</v>
      </c>
      <c r="Q232" s="64">
        <f t="shared" si="255"/>
        <v>6</v>
      </c>
      <c r="R232" s="64">
        <f t="shared" si="255"/>
        <v>1</v>
      </c>
      <c r="S232" s="64">
        <f t="shared" si="255"/>
        <v>7</v>
      </c>
      <c r="T232" s="64">
        <f t="shared" si="255"/>
        <v>0</v>
      </c>
      <c r="U232" s="64">
        <f t="shared" si="255"/>
        <v>0</v>
      </c>
      <c r="V232" s="64">
        <f t="shared" si="255"/>
        <v>0</v>
      </c>
      <c r="W232" s="224">
        <f>SUM(W226:W231)</f>
        <v>1680507</v>
      </c>
      <c r="X232" s="224">
        <f t="shared" ref="X232:Y232" si="256">SUM(X226:X231)</f>
        <v>3340005</v>
      </c>
      <c r="Y232" s="224">
        <f t="shared" si="256"/>
        <v>12</v>
      </c>
      <c r="Z232" s="66">
        <f t="shared" si="252"/>
        <v>1</v>
      </c>
      <c r="AA232" s="205"/>
      <c r="AB232" s="205"/>
      <c r="AC232" s="83"/>
      <c r="AE232" s="80"/>
      <c r="AF232" s="80"/>
      <c r="AG232" s="81"/>
      <c r="AH232" s="82"/>
      <c r="AI232" s="66"/>
      <c r="AJ232" s="117"/>
      <c r="AK232" s="80"/>
      <c r="AL232" s="80"/>
      <c r="AM232" s="81"/>
      <c r="AN232" s="82"/>
      <c r="AO232" s="66"/>
      <c r="AP232" s="117"/>
      <c r="AQ232" s="80"/>
      <c r="AR232" s="80"/>
      <c r="AS232" s="81"/>
      <c r="AT232" s="82">
        <f>SUM(AT226:AT231)</f>
        <v>7</v>
      </c>
      <c r="AU232" s="66">
        <f>IF(AT$444=0,0,AT232/AT$444)</f>
        <v>0</v>
      </c>
      <c r="AV232" s="117"/>
      <c r="AW232" s="80"/>
      <c r="AX232" s="80"/>
      <c r="AY232" s="81"/>
      <c r="AZ232" s="82">
        <f>SUM(AZ226:AZ231)</f>
        <v>5</v>
      </c>
      <c r="BA232" s="66">
        <f>IF(AZ$444=0,0,AZ232/AZ$444)</f>
        <v>0</v>
      </c>
    </row>
    <row r="233" spans="1:53" s="117" customFormat="1" ht="17.100000000000001" customHeight="1" x14ac:dyDescent="0.25">
      <c r="A233" s="119"/>
      <c r="B233" s="119"/>
      <c r="C233" s="647"/>
      <c r="D233" s="212"/>
      <c r="E233" s="212"/>
      <c r="F233" s="212"/>
      <c r="G233" s="212"/>
      <c r="H233" s="242"/>
      <c r="I233" s="230"/>
      <c r="J233" s="17"/>
      <c r="K233" s="17"/>
      <c r="L233" s="17"/>
      <c r="M233" s="17"/>
      <c r="N233" s="17" t="str">
        <f>IF(N232=N$198,"OK","NOK")</f>
        <v>OK</v>
      </c>
      <c r="O233" s="17" t="str">
        <f>IF(O232=O$198,"OK","NOK")</f>
        <v>OK</v>
      </c>
      <c r="P233" s="17"/>
      <c r="Q233" s="17" t="str">
        <f>IF(Q232=Q$198,"OK","NOK")</f>
        <v>OK</v>
      </c>
      <c r="R233" s="17" t="str">
        <f>IF(R232=R$198,"OK","NOK")</f>
        <v>OK</v>
      </c>
      <c r="S233" s="17"/>
      <c r="T233" s="17" t="str">
        <f>IF(T232=T$198,"OK","NOK")</f>
        <v>OK</v>
      </c>
      <c r="U233" s="17" t="str">
        <f>IF(U232=U$198,"OK","NOK")</f>
        <v>OK</v>
      </c>
      <c r="V233" s="359"/>
      <c r="W233" s="382"/>
      <c r="X233" s="646"/>
      <c r="Y233" s="646"/>
      <c r="Z233" s="201"/>
      <c r="AA233" s="201"/>
      <c r="AB233" s="201"/>
      <c r="AC233" s="84"/>
      <c r="AE233" s="17"/>
      <c r="AF233" s="17"/>
      <c r="AG233" s="17"/>
      <c r="AH233" s="646"/>
      <c r="AI233" s="91"/>
      <c r="AK233" s="17"/>
      <c r="AL233" s="17"/>
      <c r="AM233" s="17"/>
      <c r="AN233" s="646"/>
      <c r="AO233" s="91"/>
      <c r="AQ233" s="17"/>
      <c r="AR233" s="17"/>
      <c r="AS233" s="17"/>
      <c r="AT233" s="646"/>
      <c r="AU233" s="91"/>
      <c r="AW233" s="17"/>
      <c r="AX233" s="17"/>
      <c r="AY233" s="17"/>
      <c r="AZ233" s="17"/>
      <c r="BA233" s="91"/>
    </row>
    <row r="234" spans="1:53" ht="17.100000000000001" customHeight="1" x14ac:dyDescent="0.25">
      <c r="A234" s="40"/>
      <c r="B234" s="299" t="s">
        <v>1058</v>
      </c>
      <c r="C234" s="274" t="s">
        <v>759</v>
      </c>
      <c r="D234" s="50"/>
      <c r="E234" s="50"/>
      <c r="F234" s="50"/>
      <c r="G234" s="301"/>
      <c r="H234" s="119"/>
      <c r="I234" s="138"/>
      <c r="J234" s="88"/>
      <c r="K234" s="88"/>
      <c r="L234" s="71"/>
      <c r="M234" s="71"/>
      <c r="N234" s="71"/>
      <c r="O234" s="71"/>
      <c r="P234" s="71"/>
      <c r="Q234" s="71"/>
      <c r="R234" s="71"/>
      <c r="S234" s="71"/>
      <c r="T234" s="71"/>
      <c r="U234" s="71"/>
      <c r="V234" s="71"/>
      <c r="W234" s="71"/>
      <c r="X234" s="71"/>
      <c r="Y234" s="71"/>
      <c r="Z234" s="90"/>
      <c r="AA234" s="90"/>
      <c r="AB234" s="90"/>
      <c r="AC234" s="73"/>
      <c r="AE234" s="71"/>
      <c r="AF234" s="71"/>
      <c r="AG234" s="89"/>
      <c r="AH234" s="90"/>
      <c r="AI234" s="73"/>
      <c r="AK234" s="71"/>
      <c r="AL234" s="71"/>
      <c r="AM234" s="89"/>
      <c r="AN234" s="90"/>
      <c r="AO234" s="73"/>
      <c r="AQ234" s="71"/>
      <c r="AR234" s="71"/>
      <c r="AS234" s="89"/>
      <c r="AT234" s="90"/>
      <c r="AU234" s="73"/>
      <c r="AW234" s="71"/>
      <c r="AX234" s="71"/>
      <c r="AY234" s="89"/>
      <c r="AZ234" s="90"/>
      <c r="BA234" s="73"/>
    </row>
    <row r="235" spans="1:53" ht="17.100000000000001" customHeight="1" x14ac:dyDescent="0.25">
      <c r="A235" s="40"/>
      <c r="B235" s="55"/>
      <c r="C235" s="56" t="s">
        <v>1059</v>
      </c>
      <c r="D235" s="85" t="s">
        <v>478</v>
      </c>
      <c r="E235" s="149"/>
      <c r="F235" s="149"/>
      <c r="G235" s="151"/>
      <c r="H235" s="119"/>
      <c r="I235" s="138"/>
      <c r="J235" s="174"/>
      <c r="K235" s="174"/>
      <c r="L235" s="111"/>
      <c r="M235" s="111"/>
      <c r="N235" s="60"/>
      <c r="O235" s="60"/>
      <c r="P235" s="17">
        <f t="shared" ref="P235:P242" si="257">SUM(N235:O235)</f>
        <v>0</v>
      </c>
      <c r="Q235" s="60">
        <v>2</v>
      </c>
      <c r="R235" s="60"/>
      <c r="S235" s="17">
        <f t="shared" ref="S235:S242" si="258">SUM(Q235:R235)</f>
        <v>2</v>
      </c>
      <c r="T235" s="60"/>
      <c r="U235" s="60"/>
      <c r="V235" s="17">
        <f t="shared" ref="V235:V242" si="259">SUM(T235:U235)</f>
        <v>0</v>
      </c>
      <c r="W235" s="391">
        <f t="shared" ref="W235:W242" si="260">J235+K235+N235+Q235+T235</f>
        <v>2</v>
      </c>
      <c r="X235" s="17">
        <f t="shared" ref="X235:X242" si="261">L235+O235+R235+U235</f>
        <v>0</v>
      </c>
      <c r="Y235" s="18">
        <f t="shared" ref="Y235:Y242" si="262">SUM(W235:X235)</f>
        <v>2</v>
      </c>
      <c r="Z235" s="19">
        <f>IF(Y$243=0,0,Y235/Y$243)</f>
        <v>0.16666666666666666</v>
      </c>
      <c r="AA235" s="19"/>
      <c r="AB235" s="19"/>
      <c r="AC235" s="84"/>
      <c r="AD235" s="117"/>
      <c r="AE235" s="111"/>
      <c r="AF235" s="111"/>
      <c r="AG235" s="111"/>
      <c r="AH235" s="651"/>
      <c r="AI235" s="131"/>
      <c r="AK235" s="111"/>
      <c r="AL235" s="111"/>
      <c r="AM235" s="111"/>
      <c r="AN235" s="651"/>
      <c r="AO235" s="131"/>
      <c r="AQ235" s="17"/>
      <c r="AR235" s="17"/>
      <c r="AS235" s="17"/>
      <c r="AT235" s="424">
        <f>W235</f>
        <v>2</v>
      </c>
      <c r="AU235" s="19">
        <f>IF(AT$243=0,0,AT235/AT$243)</f>
        <v>0.2857142857142857</v>
      </c>
      <c r="AW235" s="17"/>
      <c r="AX235" s="17"/>
      <c r="AY235" s="17"/>
      <c r="AZ235" s="424">
        <f>X235</f>
        <v>0</v>
      </c>
      <c r="BA235" s="19">
        <f>IF(AZ$243=0,0,AZ235/AZ$243)</f>
        <v>0</v>
      </c>
    </row>
    <row r="236" spans="1:53" ht="17.100000000000001" customHeight="1" x14ac:dyDescent="0.25">
      <c r="A236" s="40"/>
      <c r="B236" s="55"/>
      <c r="C236" s="56" t="s">
        <v>1060</v>
      </c>
      <c r="D236" s="85" t="s">
        <v>165</v>
      </c>
      <c r="E236" s="149"/>
      <c r="F236" s="149"/>
      <c r="G236" s="151"/>
      <c r="H236" s="119"/>
      <c r="I236" s="138"/>
      <c r="J236" s="174"/>
      <c r="K236" s="174"/>
      <c r="L236" s="111"/>
      <c r="M236" s="111"/>
      <c r="N236" s="61">
        <v>1</v>
      </c>
      <c r="O236" s="61">
        <v>4</v>
      </c>
      <c r="P236" s="17">
        <f t="shared" si="257"/>
        <v>5</v>
      </c>
      <c r="Q236" s="61">
        <v>4</v>
      </c>
      <c r="R236" s="61">
        <v>1</v>
      </c>
      <c r="S236" s="17">
        <f t="shared" si="258"/>
        <v>5</v>
      </c>
      <c r="T236" s="61"/>
      <c r="U236" s="61"/>
      <c r="V236" s="17">
        <f t="shared" si="259"/>
        <v>0</v>
      </c>
      <c r="W236" s="391">
        <f t="shared" si="260"/>
        <v>5</v>
      </c>
      <c r="X236" s="17">
        <f t="shared" si="261"/>
        <v>5</v>
      </c>
      <c r="Y236" s="18">
        <f t="shared" si="262"/>
        <v>10</v>
      </c>
      <c r="Z236" s="19">
        <f t="shared" ref="Z236:Z243" si="263">IF(Y$243=0,0,Y236/Y$243)</f>
        <v>0.83333333333333337</v>
      </c>
      <c r="AA236" s="19"/>
      <c r="AB236" s="19"/>
      <c r="AC236" s="84"/>
      <c r="AD236" s="117"/>
      <c r="AE236" s="111"/>
      <c r="AF236" s="111"/>
      <c r="AG236" s="111"/>
      <c r="AH236" s="651"/>
      <c r="AI236" s="131"/>
      <c r="AK236" s="111"/>
      <c r="AL236" s="111"/>
      <c r="AM236" s="111"/>
      <c r="AN236" s="651"/>
      <c r="AO236" s="131"/>
      <c r="AQ236" s="17"/>
      <c r="AR236" s="17"/>
      <c r="AS236" s="17"/>
      <c r="AT236" s="424">
        <f t="shared" ref="AT236:AT242" si="264">W236</f>
        <v>5</v>
      </c>
      <c r="AU236" s="19">
        <f t="shared" ref="AU236:AU243" si="265">IF(AT$243=0,0,AT236/AT$243)</f>
        <v>0.7142857142857143</v>
      </c>
      <c r="AW236" s="17"/>
      <c r="AX236" s="17"/>
      <c r="AY236" s="17"/>
      <c r="AZ236" s="424">
        <f t="shared" ref="AZ236:AZ242" si="266">X236</f>
        <v>5</v>
      </c>
      <c r="BA236" s="19">
        <f t="shared" ref="BA236:BA243" si="267">IF(AZ$243=0,0,AZ236/AZ$243)</f>
        <v>1</v>
      </c>
    </row>
    <row r="237" spans="1:53" ht="17.100000000000001" customHeight="1" x14ac:dyDescent="0.25">
      <c r="A237" s="40"/>
      <c r="B237" s="55"/>
      <c r="C237" s="56" t="s">
        <v>1061</v>
      </c>
      <c r="D237" s="85" t="s">
        <v>167</v>
      </c>
      <c r="E237" s="149"/>
      <c r="F237" s="149"/>
      <c r="G237" s="151"/>
      <c r="H237" s="119"/>
      <c r="I237" s="138"/>
      <c r="J237" s="174"/>
      <c r="K237" s="174"/>
      <c r="L237" s="111"/>
      <c r="M237" s="111"/>
      <c r="N237" s="60"/>
      <c r="O237" s="60"/>
      <c r="P237" s="17">
        <f t="shared" si="257"/>
        <v>0</v>
      </c>
      <c r="Q237" s="60"/>
      <c r="R237" s="60"/>
      <c r="S237" s="17">
        <f t="shared" si="258"/>
        <v>0</v>
      </c>
      <c r="T237" s="60"/>
      <c r="U237" s="60"/>
      <c r="V237" s="17">
        <f t="shared" si="259"/>
        <v>0</v>
      </c>
      <c r="W237" s="391">
        <f t="shared" si="260"/>
        <v>0</v>
      </c>
      <c r="X237" s="17">
        <f t="shared" si="261"/>
        <v>0</v>
      </c>
      <c r="Y237" s="18">
        <f t="shared" si="262"/>
        <v>0</v>
      </c>
      <c r="Z237" s="19">
        <f t="shared" si="263"/>
        <v>0</v>
      </c>
      <c r="AA237" s="19"/>
      <c r="AB237" s="19"/>
      <c r="AC237" s="84"/>
      <c r="AD237" s="117"/>
      <c r="AE237" s="111"/>
      <c r="AF237" s="111"/>
      <c r="AG237" s="111"/>
      <c r="AH237" s="651"/>
      <c r="AI237" s="131"/>
      <c r="AK237" s="111"/>
      <c r="AL237" s="111"/>
      <c r="AM237" s="111"/>
      <c r="AN237" s="651"/>
      <c r="AO237" s="131"/>
      <c r="AQ237" s="17"/>
      <c r="AR237" s="17"/>
      <c r="AS237" s="17"/>
      <c r="AT237" s="424">
        <f t="shared" si="264"/>
        <v>0</v>
      </c>
      <c r="AU237" s="19">
        <f t="shared" si="265"/>
        <v>0</v>
      </c>
      <c r="AW237" s="17"/>
      <c r="AX237" s="17"/>
      <c r="AY237" s="17"/>
      <c r="AZ237" s="424">
        <f t="shared" si="266"/>
        <v>0</v>
      </c>
      <c r="BA237" s="19">
        <f t="shared" si="267"/>
        <v>0</v>
      </c>
    </row>
    <row r="238" spans="1:53" ht="17.100000000000001" customHeight="1" x14ac:dyDescent="0.25">
      <c r="A238" s="40"/>
      <c r="B238" s="55"/>
      <c r="C238" s="56" t="s">
        <v>1062</v>
      </c>
      <c r="D238" s="146" t="s">
        <v>991</v>
      </c>
      <c r="E238" s="149"/>
      <c r="F238" s="149"/>
      <c r="G238" s="151"/>
      <c r="H238" s="119"/>
      <c r="I238" s="138"/>
      <c r="J238" s="174"/>
      <c r="K238" s="174"/>
      <c r="L238" s="111"/>
      <c r="M238" s="111"/>
      <c r="N238" s="61"/>
      <c r="O238" s="61"/>
      <c r="P238" s="17">
        <f t="shared" si="257"/>
        <v>0</v>
      </c>
      <c r="Q238" s="61"/>
      <c r="R238" s="61"/>
      <c r="S238" s="17">
        <f t="shared" si="258"/>
        <v>0</v>
      </c>
      <c r="T238" s="61"/>
      <c r="U238" s="61"/>
      <c r="V238" s="17">
        <f t="shared" si="259"/>
        <v>0</v>
      </c>
      <c r="W238" s="391">
        <f t="shared" si="260"/>
        <v>0</v>
      </c>
      <c r="X238" s="17">
        <f t="shared" si="261"/>
        <v>0</v>
      </c>
      <c r="Y238" s="18">
        <f t="shared" si="262"/>
        <v>0</v>
      </c>
      <c r="Z238" s="19">
        <f t="shared" si="263"/>
        <v>0</v>
      </c>
      <c r="AA238" s="19"/>
      <c r="AB238" s="19"/>
      <c r="AC238" s="84"/>
      <c r="AD238" s="117"/>
      <c r="AE238" s="111"/>
      <c r="AF238" s="111"/>
      <c r="AG238" s="111"/>
      <c r="AH238" s="651"/>
      <c r="AI238" s="131"/>
      <c r="AK238" s="111"/>
      <c r="AL238" s="111"/>
      <c r="AM238" s="111"/>
      <c r="AN238" s="651"/>
      <c r="AO238" s="131"/>
      <c r="AQ238" s="17"/>
      <c r="AR238" s="17"/>
      <c r="AS238" s="17"/>
      <c r="AT238" s="424">
        <f t="shared" si="264"/>
        <v>0</v>
      </c>
      <c r="AU238" s="19">
        <f t="shared" si="265"/>
        <v>0</v>
      </c>
      <c r="AW238" s="17"/>
      <c r="AX238" s="17"/>
      <c r="AY238" s="17"/>
      <c r="AZ238" s="424">
        <f t="shared" si="266"/>
        <v>0</v>
      </c>
      <c r="BA238" s="19">
        <f t="shared" si="267"/>
        <v>0</v>
      </c>
    </row>
    <row r="239" spans="1:53" ht="17.100000000000001" customHeight="1" x14ac:dyDescent="0.25">
      <c r="A239" s="40"/>
      <c r="B239" s="55"/>
      <c r="C239" s="56" t="s">
        <v>1063</v>
      </c>
      <c r="D239" s="85" t="s">
        <v>438</v>
      </c>
      <c r="E239" s="149"/>
      <c r="F239" s="149"/>
      <c r="G239" s="151"/>
      <c r="H239" s="119"/>
      <c r="I239" s="138"/>
      <c r="J239" s="174"/>
      <c r="K239" s="174"/>
      <c r="L239" s="111"/>
      <c r="M239" s="111"/>
      <c r="N239" s="60"/>
      <c r="O239" s="60"/>
      <c r="P239" s="17">
        <f t="shared" si="257"/>
        <v>0</v>
      </c>
      <c r="Q239" s="60"/>
      <c r="R239" s="60"/>
      <c r="S239" s="17">
        <f t="shared" si="258"/>
        <v>0</v>
      </c>
      <c r="T239" s="60"/>
      <c r="U239" s="60"/>
      <c r="V239" s="17">
        <f t="shared" si="259"/>
        <v>0</v>
      </c>
      <c r="W239" s="391">
        <f t="shared" si="260"/>
        <v>0</v>
      </c>
      <c r="X239" s="17">
        <f t="shared" si="261"/>
        <v>0</v>
      </c>
      <c r="Y239" s="18">
        <f t="shared" si="262"/>
        <v>0</v>
      </c>
      <c r="Z239" s="19">
        <f t="shared" si="263"/>
        <v>0</v>
      </c>
      <c r="AA239" s="19"/>
      <c r="AB239" s="19"/>
      <c r="AC239" s="84"/>
      <c r="AD239" s="117"/>
      <c r="AE239" s="111"/>
      <c r="AF239" s="111"/>
      <c r="AG239" s="111"/>
      <c r="AH239" s="651"/>
      <c r="AI239" s="131"/>
      <c r="AK239" s="111"/>
      <c r="AL239" s="111"/>
      <c r="AM239" s="111"/>
      <c r="AN239" s="651"/>
      <c r="AO239" s="131"/>
      <c r="AQ239" s="17"/>
      <c r="AR239" s="17"/>
      <c r="AS239" s="17"/>
      <c r="AT239" s="424">
        <f t="shared" si="264"/>
        <v>0</v>
      </c>
      <c r="AU239" s="19">
        <f t="shared" si="265"/>
        <v>0</v>
      </c>
      <c r="AW239" s="17"/>
      <c r="AX239" s="17"/>
      <c r="AY239" s="17"/>
      <c r="AZ239" s="424">
        <f t="shared" si="266"/>
        <v>0</v>
      </c>
      <c r="BA239" s="19">
        <f t="shared" si="267"/>
        <v>0</v>
      </c>
    </row>
    <row r="240" spans="1:53" ht="17.100000000000001" customHeight="1" x14ac:dyDescent="0.25">
      <c r="A240" s="40"/>
      <c r="B240" s="55"/>
      <c r="C240" s="56" t="s">
        <v>1064</v>
      </c>
      <c r="D240" s="85" t="s">
        <v>439</v>
      </c>
      <c r="E240" s="149"/>
      <c r="F240" s="149"/>
      <c r="G240" s="151"/>
      <c r="H240" s="119"/>
      <c r="I240" s="138"/>
      <c r="J240" s="174"/>
      <c r="K240" s="174"/>
      <c r="L240" s="111"/>
      <c r="M240" s="111"/>
      <c r="N240" s="61"/>
      <c r="O240" s="61"/>
      <c r="P240" s="17">
        <f t="shared" si="257"/>
        <v>0</v>
      </c>
      <c r="Q240" s="61"/>
      <c r="R240" s="61"/>
      <c r="S240" s="17">
        <f t="shared" si="258"/>
        <v>0</v>
      </c>
      <c r="T240" s="61"/>
      <c r="U240" s="61"/>
      <c r="V240" s="17">
        <f t="shared" si="259"/>
        <v>0</v>
      </c>
      <c r="W240" s="391">
        <f t="shared" si="260"/>
        <v>0</v>
      </c>
      <c r="X240" s="17">
        <f t="shared" si="261"/>
        <v>0</v>
      </c>
      <c r="Y240" s="18">
        <f t="shared" si="262"/>
        <v>0</v>
      </c>
      <c r="Z240" s="19">
        <f t="shared" si="263"/>
        <v>0</v>
      </c>
      <c r="AA240" s="19"/>
      <c r="AB240" s="19"/>
      <c r="AC240" s="84"/>
      <c r="AD240" s="117"/>
      <c r="AE240" s="111"/>
      <c r="AF240" s="111"/>
      <c r="AG240" s="111"/>
      <c r="AH240" s="651"/>
      <c r="AI240" s="131"/>
      <c r="AK240" s="111"/>
      <c r="AL240" s="111"/>
      <c r="AM240" s="111"/>
      <c r="AN240" s="651"/>
      <c r="AO240" s="131"/>
      <c r="AQ240" s="17"/>
      <c r="AR240" s="17"/>
      <c r="AS240" s="17"/>
      <c r="AT240" s="424">
        <f t="shared" si="264"/>
        <v>0</v>
      </c>
      <c r="AU240" s="19">
        <f t="shared" si="265"/>
        <v>0</v>
      </c>
      <c r="AW240" s="17"/>
      <c r="AX240" s="17"/>
      <c r="AY240" s="17"/>
      <c r="AZ240" s="424">
        <f t="shared" si="266"/>
        <v>0</v>
      </c>
      <c r="BA240" s="19">
        <f t="shared" si="267"/>
        <v>0</v>
      </c>
    </row>
    <row r="241" spans="1:53" ht="17.100000000000001" customHeight="1" x14ac:dyDescent="0.25">
      <c r="A241" s="40"/>
      <c r="B241" s="55"/>
      <c r="C241" s="56" t="s">
        <v>1065</v>
      </c>
      <c r="D241" s="85" t="s">
        <v>483</v>
      </c>
      <c r="E241" s="149"/>
      <c r="F241" s="149"/>
      <c r="G241" s="151"/>
      <c r="H241" s="119"/>
      <c r="I241" s="138"/>
      <c r="J241" s="174"/>
      <c r="K241" s="174"/>
      <c r="L241" s="111"/>
      <c r="M241" s="111"/>
      <c r="N241" s="60"/>
      <c r="O241" s="60"/>
      <c r="P241" s="17">
        <f t="shared" si="257"/>
        <v>0</v>
      </c>
      <c r="Q241" s="60"/>
      <c r="R241" s="60"/>
      <c r="S241" s="17">
        <f t="shared" si="258"/>
        <v>0</v>
      </c>
      <c r="T241" s="60"/>
      <c r="U241" s="60"/>
      <c r="V241" s="17">
        <f t="shared" si="259"/>
        <v>0</v>
      </c>
      <c r="W241" s="391">
        <f t="shared" si="260"/>
        <v>0</v>
      </c>
      <c r="X241" s="17">
        <f t="shared" si="261"/>
        <v>0</v>
      </c>
      <c r="Y241" s="18">
        <f t="shared" si="262"/>
        <v>0</v>
      </c>
      <c r="Z241" s="19">
        <f t="shared" si="263"/>
        <v>0</v>
      </c>
      <c r="AA241" s="19"/>
      <c r="AB241" s="19"/>
      <c r="AC241" s="84"/>
      <c r="AD241" s="117"/>
      <c r="AE241" s="111"/>
      <c r="AF241" s="111"/>
      <c r="AG241" s="111"/>
      <c r="AH241" s="651"/>
      <c r="AI241" s="131"/>
      <c r="AK241" s="111"/>
      <c r="AL241" s="111"/>
      <c r="AM241" s="111"/>
      <c r="AN241" s="651"/>
      <c r="AO241" s="131"/>
      <c r="AQ241" s="17"/>
      <c r="AR241" s="17"/>
      <c r="AS241" s="17"/>
      <c r="AT241" s="424">
        <f t="shared" si="264"/>
        <v>0</v>
      </c>
      <c r="AU241" s="19">
        <f t="shared" si="265"/>
        <v>0</v>
      </c>
      <c r="AW241" s="17"/>
      <c r="AX241" s="17"/>
      <c r="AY241" s="17"/>
      <c r="AZ241" s="424">
        <f t="shared" si="266"/>
        <v>0</v>
      </c>
      <c r="BA241" s="19">
        <f t="shared" si="267"/>
        <v>0</v>
      </c>
    </row>
    <row r="242" spans="1:53" ht="17.100000000000001" customHeight="1" x14ac:dyDescent="0.25">
      <c r="A242" s="40"/>
      <c r="B242" s="55"/>
      <c r="C242" s="56" t="s">
        <v>1066</v>
      </c>
      <c r="D242" s="85" t="s">
        <v>129</v>
      </c>
      <c r="E242" s="149"/>
      <c r="F242" s="149"/>
      <c r="G242" s="151"/>
      <c r="H242" s="119"/>
      <c r="I242" s="138"/>
      <c r="J242" s="174"/>
      <c r="K242" s="174"/>
      <c r="L242" s="111"/>
      <c r="M242" s="111"/>
      <c r="N242" s="61"/>
      <c r="O242" s="61"/>
      <c r="P242" s="17">
        <f t="shared" si="257"/>
        <v>0</v>
      </c>
      <c r="Q242" s="61"/>
      <c r="R242" s="61"/>
      <c r="S242" s="17">
        <f t="shared" si="258"/>
        <v>0</v>
      </c>
      <c r="T242" s="61"/>
      <c r="U242" s="61"/>
      <c r="V242" s="17">
        <f t="shared" si="259"/>
        <v>0</v>
      </c>
      <c r="W242" s="391">
        <f t="shared" si="260"/>
        <v>0</v>
      </c>
      <c r="X242" s="17">
        <f t="shared" si="261"/>
        <v>0</v>
      </c>
      <c r="Y242" s="18">
        <f t="shared" si="262"/>
        <v>0</v>
      </c>
      <c r="Z242" s="19">
        <f t="shared" si="263"/>
        <v>0</v>
      </c>
      <c r="AA242" s="19"/>
      <c r="AB242" s="19"/>
      <c r="AC242" s="84"/>
      <c r="AD242" s="117"/>
      <c r="AE242" s="111"/>
      <c r="AF242" s="111"/>
      <c r="AG242" s="111"/>
      <c r="AH242" s="651"/>
      <c r="AI242" s="131"/>
      <c r="AK242" s="111"/>
      <c r="AL242" s="111"/>
      <c r="AM242" s="111"/>
      <c r="AN242" s="651"/>
      <c r="AO242" s="131"/>
      <c r="AQ242" s="17"/>
      <c r="AR242" s="17"/>
      <c r="AS242" s="17"/>
      <c r="AT242" s="424">
        <f t="shared" si="264"/>
        <v>0</v>
      </c>
      <c r="AU242" s="19">
        <f t="shared" si="265"/>
        <v>0</v>
      </c>
      <c r="AW242" s="17"/>
      <c r="AX242" s="17"/>
      <c r="AY242" s="17"/>
      <c r="AZ242" s="424">
        <f t="shared" si="266"/>
        <v>0</v>
      </c>
      <c r="BA242" s="19">
        <f t="shared" si="267"/>
        <v>0</v>
      </c>
    </row>
    <row r="243" spans="1:53" ht="17.100000000000001" customHeight="1" x14ac:dyDescent="0.25">
      <c r="A243" s="40"/>
      <c r="B243" s="40"/>
      <c r="C243" s="292"/>
      <c r="D243" s="144"/>
      <c r="E243" s="144"/>
      <c r="F243" s="145"/>
      <c r="G243" s="145"/>
      <c r="H243" s="119"/>
      <c r="I243" s="138"/>
      <c r="J243" s="64"/>
      <c r="K243" s="64"/>
      <c r="L243" s="64"/>
      <c r="M243" s="64"/>
      <c r="N243" s="64">
        <f>SUM(N235:N242)</f>
        <v>1</v>
      </c>
      <c r="O243" s="64">
        <f t="shared" ref="O243:V243" si="268">SUM(O235:O242)</f>
        <v>4</v>
      </c>
      <c r="P243" s="64">
        <f t="shared" si="268"/>
        <v>5</v>
      </c>
      <c r="Q243" s="64">
        <f t="shared" si="268"/>
        <v>6</v>
      </c>
      <c r="R243" s="64">
        <f t="shared" si="268"/>
        <v>1</v>
      </c>
      <c r="S243" s="64">
        <f t="shared" si="268"/>
        <v>7</v>
      </c>
      <c r="T243" s="64">
        <f t="shared" si="268"/>
        <v>0</v>
      </c>
      <c r="U243" s="64">
        <f t="shared" si="268"/>
        <v>0</v>
      </c>
      <c r="V243" s="64">
        <f t="shared" si="268"/>
        <v>0</v>
      </c>
      <c r="W243" s="224">
        <f>SUM(W235:W242)</f>
        <v>7</v>
      </c>
      <c r="X243" s="224">
        <f t="shared" ref="X243:Y243" si="269">SUM(X235:X242)</f>
        <v>5</v>
      </c>
      <c r="Y243" s="224">
        <f t="shared" si="269"/>
        <v>12</v>
      </c>
      <c r="Z243" s="66">
        <f t="shared" si="263"/>
        <v>1</v>
      </c>
      <c r="AA243" s="205"/>
      <c r="AB243" s="205"/>
      <c r="AC243" s="83"/>
      <c r="AE243" s="81"/>
      <c r="AF243" s="81"/>
      <c r="AG243" s="82"/>
      <c r="AH243" s="324"/>
      <c r="AI243" s="66"/>
      <c r="AK243" s="81"/>
      <c r="AL243" s="81"/>
      <c r="AM243" s="82"/>
      <c r="AN243" s="324"/>
      <c r="AO243" s="66"/>
      <c r="AQ243" s="81"/>
      <c r="AR243" s="81"/>
      <c r="AS243" s="82"/>
      <c r="AT243" s="426">
        <f>SUM(AT235:AT242)</f>
        <v>7</v>
      </c>
      <c r="AU243" s="66">
        <f t="shared" si="265"/>
        <v>1</v>
      </c>
      <c r="AW243" s="81"/>
      <c r="AX243" s="81"/>
      <c r="AY243" s="82"/>
      <c r="AZ243" s="426">
        <f>SUM(AZ235:AZ242)</f>
        <v>5</v>
      </c>
      <c r="BA243" s="66">
        <f t="shared" si="267"/>
        <v>1</v>
      </c>
    </row>
    <row r="244" spans="1:53" s="117" customFormat="1" ht="17.100000000000001" customHeight="1" x14ac:dyDescent="0.25">
      <c r="A244" s="68"/>
      <c r="B244" s="119"/>
      <c r="C244" s="647"/>
      <c r="D244" s="261"/>
      <c r="E244" s="261"/>
      <c r="F244" s="68"/>
      <c r="G244" s="68"/>
      <c r="H244" s="119"/>
      <c r="I244" s="138"/>
      <c r="J244" s="17"/>
      <c r="K244" s="17"/>
      <c r="L244" s="17"/>
      <c r="M244" s="17"/>
      <c r="N244" s="17" t="str">
        <f>IF(N243=N$450,"OK","NOK")</f>
        <v>NOK</v>
      </c>
      <c r="O244" s="17" t="str">
        <f>IF(O243=O$450,"OK","NOK")</f>
        <v>NOK</v>
      </c>
      <c r="P244" s="17"/>
      <c r="Q244" s="17" t="str">
        <f>IF(Q243=Q$450,"OK","NOK")</f>
        <v>NOK</v>
      </c>
      <c r="R244" s="17" t="str">
        <f>IF(R243=R$450,"OK","NOK")</f>
        <v>NOK</v>
      </c>
      <c r="S244" s="17"/>
      <c r="T244" s="17" t="str">
        <f>IF(T243=T$450,"OK","NOK")</f>
        <v>OK</v>
      </c>
      <c r="U244" s="17" t="str">
        <f>IF(U243=U$450,"OK","NOK")</f>
        <v>OK</v>
      </c>
      <c r="V244" s="359"/>
      <c r="W244" s="382"/>
      <c r="X244" s="646"/>
      <c r="Y244" s="646"/>
      <c r="Z244" s="201"/>
      <c r="AA244" s="201"/>
      <c r="AB244" s="201"/>
      <c r="AC244" s="84"/>
      <c r="AE244" s="46"/>
      <c r="AF244" s="46"/>
      <c r="AG244" s="17"/>
      <c r="AH244" s="646"/>
      <c r="AI244" s="91"/>
      <c r="AK244" s="46"/>
      <c r="AL244" s="46"/>
      <c r="AM244" s="17"/>
      <c r="AN244" s="646"/>
      <c r="AO244" s="91"/>
      <c r="AQ244" s="46"/>
      <c r="AR244" s="46"/>
      <c r="AS244" s="17"/>
      <c r="AT244" s="646"/>
      <c r="AU244" s="91"/>
      <c r="AW244" s="46"/>
      <c r="AX244" s="46"/>
      <c r="AY244" s="17"/>
      <c r="AZ244" s="646"/>
      <c r="BA244" s="91"/>
    </row>
    <row r="245" spans="1:53" s="117" customFormat="1" ht="17.100000000000001" customHeight="1" x14ac:dyDescent="0.25">
      <c r="A245" s="68"/>
      <c r="B245" s="119"/>
      <c r="C245" s="119"/>
      <c r="D245" s="56" t="s">
        <v>272</v>
      </c>
      <c r="E245" s="149" t="s">
        <v>751</v>
      </c>
      <c r="F245" s="149"/>
      <c r="G245" s="149"/>
      <c r="H245" s="182"/>
      <c r="I245" s="241"/>
      <c r="J245" s="152"/>
      <c r="K245" s="152"/>
      <c r="L245" s="111"/>
      <c r="M245" s="111"/>
      <c r="N245" s="111"/>
      <c r="O245" s="111"/>
      <c r="P245" s="111"/>
      <c r="Q245" s="111"/>
      <c r="R245" s="111"/>
      <c r="S245" s="111"/>
      <c r="T245" s="111"/>
      <c r="U245" s="111"/>
      <c r="V245" s="358"/>
      <c r="W245" s="380"/>
      <c r="X245" s="111"/>
      <c r="Y245" s="651"/>
      <c r="Z245" s="131"/>
      <c r="AA245" s="131"/>
      <c r="AB245" s="131"/>
      <c r="AC245" s="113"/>
      <c r="AE245" s="152"/>
      <c r="AF245" s="152"/>
      <c r="AG245" s="111"/>
      <c r="AH245" s="651"/>
      <c r="AI245" s="131"/>
      <c r="AK245" s="152"/>
      <c r="AL245" s="152"/>
      <c r="AM245" s="111"/>
      <c r="AN245" s="651"/>
      <c r="AO245" s="131"/>
      <c r="AQ245" s="152"/>
      <c r="AR245" s="152"/>
      <c r="AS245" s="111"/>
      <c r="AT245" s="651"/>
      <c r="AU245" s="131"/>
      <c r="AW245" s="152"/>
      <c r="AX245" s="152"/>
      <c r="AY245" s="111"/>
      <c r="AZ245" s="651"/>
      <c r="BA245" s="131"/>
    </row>
    <row r="246" spans="1:53" s="117" customFormat="1" ht="17.100000000000001" customHeight="1" x14ac:dyDescent="0.25">
      <c r="A246" s="68"/>
      <c r="B246" s="119"/>
      <c r="C246" s="55"/>
      <c r="D246" s="55"/>
      <c r="E246" s="74" t="s">
        <v>753</v>
      </c>
      <c r="F246" s="603" t="s">
        <v>752</v>
      </c>
      <c r="G246" s="603"/>
      <c r="H246" s="182"/>
      <c r="I246" s="241"/>
      <c r="J246" s="111"/>
      <c r="K246" s="152"/>
      <c r="L246" s="152"/>
      <c r="M246" s="152"/>
      <c r="N246" s="152"/>
      <c r="O246" s="111"/>
      <c r="P246" s="60"/>
      <c r="Q246" s="152"/>
      <c r="R246" s="111"/>
      <c r="S246" s="60"/>
      <c r="T246" s="152"/>
      <c r="U246" s="111"/>
      <c r="V246" s="361"/>
      <c r="W246" s="391"/>
      <c r="X246" s="17"/>
      <c r="Y246" s="18">
        <f t="shared" ref="Y246:Y248" si="270">M246+P246+S246+V246</f>
        <v>0</v>
      </c>
      <c r="Z246" s="19">
        <f>IF(Y$249=0,0,Y246/Y$249)</f>
        <v>0</v>
      </c>
      <c r="AA246" s="19"/>
      <c r="AB246" s="19"/>
      <c r="AC246" s="84"/>
      <c r="AE246" s="111"/>
      <c r="AF246" s="111"/>
      <c r="AG246" s="111"/>
      <c r="AH246" s="112"/>
      <c r="AI246" s="113"/>
      <c r="AK246" s="111"/>
      <c r="AL246" s="111"/>
      <c r="AM246" s="111"/>
      <c r="AN246" s="112"/>
      <c r="AO246" s="113"/>
      <c r="AQ246" s="111"/>
      <c r="AR246" s="111"/>
      <c r="AS246" s="111"/>
      <c r="AT246" s="651"/>
      <c r="AU246" s="131"/>
      <c r="AW246" s="111"/>
      <c r="AX246" s="111"/>
      <c r="AY246" s="111"/>
      <c r="AZ246" s="651"/>
      <c r="BA246" s="131"/>
    </row>
    <row r="247" spans="1:53" s="117" customFormat="1" ht="17.100000000000001" customHeight="1" x14ac:dyDescent="0.25">
      <c r="A247" s="68"/>
      <c r="B247" s="119"/>
      <c r="C247" s="55"/>
      <c r="D247" s="55"/>
      <c r="E247" s="74" t="s">
        <v>754</v>
      </c>
      <c r="F247" s="604"/>
      <c r="G247" s="604"/>
      <c r="H247" s="182"/>
      <c r="I247" s="241"/>
      <c r="J247" s="111"/>
      <c r="K247" s="152"/>
      <c r="L247" s="152"/>
      <c r="M247" s="152"/>
      <c r="N247" s="152"/>
      <c r="O247" s="111"/>
      <c r="P247" s="61"/>
      <c r="Q247" s="152"/>
      <c r="R247" s="111"/>
      <c r="S247" s="61"/>
      <c r="T247" s="152"/>
      <c r="U247" s="111"/>
      <c r="V247" s="362"/>
      <c r="W247" s="391"/>
      <c r="X247" s="17"/>
      <c r="Y247" s="18">
        <f t="shared" si="270"/>
        <v>0</v>
      </c>
      <c r="Z247" s="19">
        <f t="shared" ref="Z247:Z249" si="271">IF(Y$249=0,0,Y247/Y$249)</f>
        <v>0</v>
      </c>
      <c r="AA247" s="19"/>
      <c r="AB247" s="19"/>
      <c r="AC247" s="84"/>
      <c r="AE247" s="111"/>
      <c r="AF247" s="111"/>
      <c r="AG247" s="111"/>
      <c r="AH247" s="112"/>
      <c r="AI247" s="113"/>
      <c r="AK247" s="111"/>
      <c r="AL247" s="111"/>
      <c r="AM247" s="111"/>
      <c r="AN247" s="112"/>
      <c r="AO247" s="113"/>
      <c r="AQ247" s="111"/>
      <c r="AR247" s="111"/>
      <c r="AS247" s="111"/>
      <c r="AT247" s="651"/>
      <c r="AU247" s="131"/>
      <c r="AW247" s="111"/>
      <c r="AX247" s="111"/>
      <c r="AY247" s="111"/>
      <c r="AZ247" s="651"/>
      <c r="BA247" s="131"/>
    </row>
    <row r="248" spans="1:53" s="117" customFormat="1" ht="17.100000000000001" customHeight="1" x14ac:dyDescent="0.25">
      <c r="A248" s="68"/>
      <c r="B248" s="119"/>
      <c r="C248" s="55"/>
      <c r="D248" s="55"/>
      <c r="E248" s="74" t="s">
        <v>755</v>
      </c>
      <c r="F248" s="603"/>
      <c r="G248" s="603"/>
      <c r="H248" s="182"/>
      <c r="I248" s="241"/>
      <c r="J248" s="111"/>
      <c r="K248" s="152"/>
      <c r="L248" s="152"/>
      <c r="M248" s="152"/>
      <c r="N248" s="152"/>
      <c r="O248" s="111"/>
      <c r="P248" s="60"/>
      <c r="Q248" s="152"/>
      <c r="R248" s="111"/>
      <c r="S248" s="60"/>
      <c r="T248" s="152"/>
      <c r="U248" s="111"/>
      <c r="V248" s="361"/>
      <c r="W248" s="391"/>
      <c r="X248" s="17"/>
      <c r="Y248" s="18">
        <f t="shared" si="270"/>
        <v>0</v>
      </c>
      <c r="Z248" s="19">
        <f t="shared" si="271"/>
        <v>0</v>
      </c>
      <c r="AA248" s="19"/>
      <c r="AB248" s="19"/>
      <c r="AC248" s="84"/>
      <c r="AE248" s="111"/>
      <c r="AF248" s="111"/>
      <c r="AG248" s="111"/>
      <c r="AH248" s="112"/>
      <c r="AI248" s="113"/>
      <c r="AK248" s="111"/>
      <c r="AL248" s="111"/>
      <c r="AM248" s="111"/>
      <c r="AN248" s="112"/>
      <c r="AO248" s="113"/>
      <c r="AQ248" s="111"/>
      <c r="AR248" s="111"/>
      <c r="AS248" s="111"/>
      <c r="AT248" s="651"/>
      <c r="AU248" s="131"/>
      <c r="AW248" s="111"/>
      <c r="AX248" s="111"/>
      <c r="AY248" s="111"/>
      <c r="AZ248" s="651"/>
      <c r="BA248" s="131"/>
    </row>
    <row r="249" spans="1:53" s="117" customFormat="1" ht="17.100000000000001" customHeight="1" x14ac:dyDescent="0.25">
      <c r="A249" s="68"/>
      <c r="B249" s="119"/>
      <c r="C249" s="77"/>
      <c r="D249" s="134"/>
      <c r="E249" s="134"/>
      <c r="F249" s="134"/>
      <c r="G249" s="134"/>
      <c r="H249" s="647"/>
      <c r="I249" s="229"/>
      <c r="J249" s="80"/>
      <c r="K249" s="80"/>
      <c r="L249" s="81"/>
      <c r="M249" s="81"/>
      <c r="N249" s="81"/>
      <c r="O249" s="81"/>
      <c r="P249" s="81">
        <f>SUM(P246:P248)</f>
        <v>0</v>
      </c>
      <c r="Q249" s="81"/>
      <c r="R249" s="81"/>
      <c r="S249" s="81">
        <f>SUM(S246:S248)</f>
        <v>0</v>
      </c>
      <c r="T249" s="81"/>
      <c r="U249" s="81"/>
      <c r="V249" s="81">
        <f>SUM(V246:V248)</f>
        <v>0</v>
      </c>
      <c r="W249" s="381"/>
      <c r="X249" s="82"/>
      <c r="Y249" s="82">
        <f>SUM(Y246:Y248)</f>
        <v>0</v>
      </c>
      <c r="Z249" s="66">
        <f t="shared" si="271"/>
        <v>0</v>
      </c>
      <c r="AA249" s="205"/>
      <c r="AB249" s="205"/>
      <c r="AC249" s="83"/>
      <c r="AE249" s="80"/>
      <c r="AF249" s="80"/>
      <c r="AG249" s="81"/>
      <c r="AH249" s="82"/>
      <c r="AI249" s="66"/>
      <c r="AK249" s="80"/>
      <c r="AL249" s="80"/>
      <c r="AM249" s="81"/>
      <c r="AN249" s="82"/>
      <c r="AO249" s="66"/>
      <c r="AQ249" s="80"/>
      <c r="AR249" s="80"/>
      <c r="AS249" s="81"/>
      <c r="AT249" s="82"/>
      <c r="AU249" s="66"/>
      <c r="AW249" s="80"/>
      <c r="AX249" s="80"/>
      <c r="AY249" s="81"/>
      <c r="AZ249" s="82"/>
      <c r="BA249" s="66"/>
    </row>
    <row r="250" spans="1:53" s="117" customFormat="1" ht="17.100000000000001" customHeight="1" x14ac:dyDescent="0.25">
      <c r="A250" s="68"/>
      <c r="B250" s="119"/>
      <c r="C250" s="92"/>
      <c r="D250" s="93"/>
      <c r="E250" s="93"/>
      <c r="F250" s="93"/>
      <c r="G250" s="93"/>
      <c r="H250" s="647"/>
      <c r="I250" s="12"/>
      <c r="J250" s="46"/>
      <c r="K250" s="46"/>
      <c r="L250" s="17"/>
      <c r="M250" s="17"/>
      <c r="N250" s="17"/>
      <c r="O250" s="17"/>
      <c r="P250" s="17"/>
      <c r="Q250" s="17"/>
      <c r="R250" s="17"/>
      <c r="S250" s="17"/>
      <c r="T250" s="17"/>
      <c r="U250" s="17"/>
      <c r="V250" s="359"/>
      <c r="W250" s="382"/>
      <c r="X250" s="646"/>
      <c r="Y250" s="646"/>
      <c r="Z250" s="201"/>
      <c r="AA250" s="201"/>
      <c r="AB250" s="201"/>
      <c r="AC250" s="84"/>
      <c r="AE250" s="46"/>
      <c r="AF250" s="46"/>
      <c r="AG250" s="17"/>
      <c r="AH250" s="646"/>
      <c r="AI250" s="91"/>
      <c r="AK250" s="46"/>
      <c r="AL250" s="46"/>
      <c r="AM250" s="17"/>
      <c r="AN250" s="646"/>
      <c r="AO250" s="91"/>
      <c r="AQ250" s="46"/>
      <c r="AR250" s="46"/>
      <c r="AS250" s="17"/>
      <c r="AT250" s="646"/>
      <c r="AU250" s="91"/>
      <c r="AW250" s="46"/>
      <c r="AX250" s="46"/>
      <c r="AY250" s="17"/>
      <c r="AZ250" s="646"/>
      <c r="BA250" s="91"/>
    </row>
    <row r="251" spans="1:53" ht="17.100000000000001" customHeight="1" x14ac:dyDescent="0.25">
      <c r="A251" s="40"/>
      <c r="B251" s="41" t="s">
        <v>1446</v>
      </c>
      <c r="C251" s="49" t="s">
        <v>12</v>
      </c>
      <c r="D251" s="43"/>
      <c r="E251" s="43"/>
      <c r="F251" s="43"/>
      <c r="G251" s="43"/>
      <c r="H251" s="23"/>
      <c r="I251" s="12"/>
      <c r="J251" s="73"/>
      <c r="K251" s="73"/>
      <c r="L251" s="73"/>
      <c r="M251" s="73"/>
      <c r="N251" s="73"/>
      <c r="O251" s="73"/>
      <c r="P251" s="73"/>
      <c r="Q251" s="73"/>
      <c r="R251" s="73"/>
      <c r="S251" s="73"/>
      <c r="T251" s="73"/>
      <c r="U251" s="73"/>
      <c r="V251" s="970"/>
      <c r="W251" s="971"/>
      <c r="X251" s="73"/>
      <c r="Y251" s="73"/>
      <c r="Z251" s="73"/>
      <c r="AA251" s="73"/>
      <c r="AB251" s="73"/>
      <c r="AC251" s="73"/>
      <c r="AE251" s="73"/>
      <c r="AF251" s="73"/>
      <c r="AG251" s="73"/>
      <c r="AH251" s="73"/>
      <c r="AI251" s="73"/>
      <c r="AK251" s="73"/>
      <c r="AL251" s="73"/>
      <c r="AM251" s="73"/>
      <c r="AN251" s="73"/>
      <c r="AO251" s="73"/>
      <c r="AQ251" s="73"/>
      <c r="AR251" s="73"/>
      <c r="AS251" s="73"/>
      <c r="AT251" s="73"/>
      <c r="AU251" s="73"/>
      <c r="AW251" s="73"/>
      <c r="AX251" s="73"/>
      <c r="AY251" s="73"/>
      <c r="AZ251" s="73"/>
      <c r="BA251" s="73"/>
    </row>
    <row r="252" spans="1:53" s="4" customFormat="1" ht="17.100000000000001" customHeight="1" x14ac:dyDescent="0.25">
      <c r="A252" s="137"/>
      <c r="B252" s="40"/>
      <c r="C252" s="933" t="s">
        <v>1447</v>
      </c>
      <c r="D252" s="85" t="s">
        <v>1448</v>
      </c>
      <c r="E252" s="303"/>
      <c r="F252" s="303"/>
      <c r="G252" s="303"/>
      <c r="H252" s="320"/>
      <c r="I252" s="309"/>
      <c r="J252" s="174"/>
      <c r="K252" s="174"/>
      <c r="L252" s="174"/>
      <c r="M252" s="174"/>
      <c r="N252" s="174"/>
      <c r="O252" s="174"/>
      <c r="P252" s="174"/>
      <c r="Q252" s="174"/>
      <c r="R252" s="174"/>
      <c r="S252" s="174"/>
      <c r="T252" s="174"/>
      <c r="U252" s="174"/>
      <c r="V252" s="712"/>
      <c r="W252" s="972"/>
      <c r="X252" s="174"/>
      <c r="Y252" s="174"/>
      <c r="Z252" s="113"/>
      <c r="AA252" s="113"/>
      <c r="AB252" s="113"/>
      <c r="AC252" s="113"/>
      <c r="AE252" s="174"/>
      <c r="AF252" s="174"/>
      <c r="AG252" s="932"/>
      <c r="AH252" s="113"/>
      <c r="AI252" s="113"/>
      <c r="AK252" s="174"/>
      <c r="AL252" s="174"/>
      <c r="AM252" s="932"/>
      <c r="AN252" s="113"/>
      <c r="AO252" s="113"/>
      <c r="AQ252" s="174"/>
      <c r="AR252" s="174"/>
      <c r="AS252" s="932"/>
      <c r="AT252" s="113"/>
      <c r="AU252" s="113"/>
      <c r="AW252" s="174"/>
      <c r="AX252" s="174"/>
      <c r="AY252" s="932"/>
      <c r="AZ252" s="113"/>
      <c r="BA252" s="113"/>
    </row>
    <row r="253" spans="1:53" s="4" customFormat="1" ht="17.100000000000001" customHeight="1" x14ac:dyDescent="0.25">
      <c r="A253" s="137"/>
      <c r="B253" s="40"/>
      <c r="C253" s="40"/>
      <c r="D253" s="121" t="s">
        <v>129</v>
      </c>
      <c r="E253" s="304"/>
      <c r="F253" s="304"/>
      <c r="G253" s="304"/>
      <c r="H253" s="320"/>
      <c r="I253" s="309"/>
      <c r="J253" s="161"/>
      <c r="K253" s="161"/>
      <c r="L253" s="161"/>
      <c r="M253" s="161"/>
      <c r="N253" s="161">
        <f>N231</f>
        <v>0</v>
      </c>
      <c r="O253" s="161">
        <f>O231</f>
        <v>0</v>
      </c>
      <c r="P253" s="161"/>
      <c r="Q253" s="161">
        <f>Q231</f>
        <v>0</v>
      </c>
      <c r="R253" s="161">
        <f>R231</f>
        <v>0</v>
      </c>
      <c r="S253" s="161"/>
      <c r="T253" s="161">
        <f>T231</f>
        <v>0</v>
      </c>
      <c r="U253" s="161">
        <f>U231</f>
        <v>0</v>
      </c>
      <c r="V253" s="697"/>
      <c r="W253" s="973"/>
      <c r="X253" s="161"/>
      <c r="Y253" s="161"/>
      <c r="Z253" s="125"/>
      <c r="AA253" s="125"/>
      <c r="AB253" s="125"/>
      <c r="AC253" s="125"/>
      <c r="AD253" s="97"/>
      <c r="AE253" s="161"/>
      <c r="AF253" s="161"/>
      <c r="AG253" s="129"/>
      <c r="AH253" s="125"/>
      <c r="AI253" s="125"/>
      <c r="AJ253" s="97"/>
      <c r="AK253" s="161"/>
      <c r="AL253" s="161"/>
      <c r="AM253" s="129"/>
      <c r="AN253" s="125"/>
      <c r="AO253" s="125"/>
      <c r="AP253" s="97"/>
      <c r="AQ253" s="161"/>
      <c r="AR253" s="161"/>
      <c r="AS253" s="129"/>
      <c r="AT253" s="125"/>
      <c r="AU253" s="125"/>
      <c r="AV253" s="97"/>
      <c r="AW253" s="161"/>
      <c r="AX253" s="161"/>
      <c r="AY253" s="129"/>
      <c r="AZ253" s="125"/>
      <c r="BA253" s="125"/>
    </row>
    <row r="254" spans="1:53" s="4" customFormat="1" ht="17.100000000000001" customHeight="1" x14ac:dyDescent="0.25">
      <c r="A254" s="137"/>
      <c r="B254" s="40"/>
      <c r="C254" s="40"/>
      <c r="D254" s="121" t="s">
        <v>173</v>
      </c>
      <c r="E254" s="304"/>
      <c r="F254" s="304"/>
      <c r="G254" s="304"/>
      <c r="H254" s="320"/>
      <c r="I254" s="309"/>
      <c r="J254" s="161"/>
      <c r="K254" s="161"/>
      <c r="L254" s="161"/>
      <c r="M254" s="161"/>
      <c r="N254" s="161">
        <f>N226</f>
        <v>0</v>
      </c>
      <c r="O254" s="161">
        <v>2</v>
      </c>
      <c r="P254" s="161"/>
      <c r="Q254" s="161">
        <f>Q226</f>
        <v>0</v>
      </c>
      <c r="R254" s="161">
        <f>R226</f>
        <v>0</v>
      </c>
      <c r="S254" s="161"/>
      <c r="T254" s="161">
        <f>T226</f>
        <v>0</v>
      </c>
      <c r="U254" s="161">
        <f>U226</f>
        <v>0</v>
      </c>
      <c r="V254" s="697"/>
      <c r="W254" s="973"/>
      <c r="X254" s="161"/>
      <c r="Y254" s="161"/>
      <c r="Z254" s="125"/>
      <c r="AA254" s="125"/>
      <c r="AB254" s="125"/>
      <c r="AC254" s="125"/>
      <c r="AD254" s="97"/>
      <c r="AE254" s="161"/>
      <c r="AF254" s="161"/>
      <c r="AG254" s="129"/>
      <c r="AH254" s="125"/>
      <c r="AI254" s="125"/>
      <c r="AJ254" s="97"/>
      <c r="AK254" s="161"/>
      <c r="AL254" s="161"/>
      <c r="AM254" s="129"/>
      <c r="AN254" s="125"/>
      <c r="AO254" s="125"/>
      <c r="AP254" s="97"/>
      <c r="AQ254" s="161"/>
      <c r="AR254" s="161"/>
      <c r="AS254" s="129"/>
      <c r="AT254" s="125"/>
      <c r="AU254" s="125"/>
      <c r="AV254" s="97"/>
      <c r="AW254" s="161"/>
      <c r="AX254" s="161"/>
      <c r="AY254" s="129"/>
      <c r="AZ254" s="125"/>
      <c r="BA254" s="125"/>
    </row>
    <row r="255" spans="1:53" s="4" customFormat="1" ht="17.100000000000001" customHeight="1" x14ac:dyDescent="0.25">
      <c r="A255" s="137"/>
      <c r="B255" s="40"/>
      <c r="C255" s="40"/>
      <c r="D255" s="121" t="s">
        <v>544</v>
      </c>
      <c r="E255" s="304"/>
      <c r="F255" s="304"/>
      <c r="G255" s="304"/>
      <c r="H255" s="320"/>
      <c r="I255" s="309"/>
      <c r="J255" s="161"/>
      <c r="K255" s="161"/>
      <c r="L255" s="161"/>
      <c r="M255" s="161"/>
      <c r="N255" s="161">
        <f>N227</f>
        <v>1</v>
      </c>
      <c r="O255" s="161">
        <f>O227</f>
        <v>4</v>
      </c>
      <c r="P255" s="161"/>
      <c r="Q255" s="161">
        <f>Q227</f>
        <v>6</v>
      </c>
      <c r="R255" s="161">
        <f>R227</f>
        <v>1</v>
      </c>
      <c r="S255" s="161"/>
      <c r="T255" s="161">
        <f>T227</f>
        <v>0</v>
      </c>
      <c r="U255" s="161">
        <f>U227</f>
        <v>0</v>
      </c>
      <c r="V255" s="697"/>
      <c r="W255" s="973"/>
      <c r="X255" s="161"/>
      <c r="Y255" s="161"/>
      <c r="Z255" s="125"/>
      <c r="AA255" s="125"/>
      <c r="AB255" s="125"/>
      <c r="AC255" s="125"/>
      <c r="AD255" s="97"/>
      <c r="AE255" s="161"/>
      <c r="AF255" s="161"/>
      <c r="AG255" s="129"/>
      <c r="AH255" s="125"/>
      <c r="AI255" s="125"/>
      <c r="AJ255" s="97"/>
      <c r="AK255" s="161"/>
      <c r="AL255" s="161"/>
      <c r="AM255" s="129"/>
      <c r="AN255" s="125"/>
      <c r="AO255" s="125"/>
      <c r="AP255" s="97"/>
      <c r="AQ255" s="161"/>
      <c r="AR255" s="161"/>
      <c r="AS255" s="129"/>
      <c r="AT255" s="125"/>
      <c r="AU255" s="125"/>
      <c r="AV255" s="97"/>
      <c r="AW255" s="161"/>
      <c r="AX255" s="161"/>
      <c r="AY255" s="129"/>
      <c r="AZ255" s="125"/>
      <c r="BA255" s="125"/>
    </row>
    <row r="256" spans="1:53" s="4" customFormat="1" ht="17.100000000000001" customHeight="1" x14ac:dyDescent="0.25">
      <c r="A256" s="137"/>
      <c r="B256" s="40"/>
      <c r="C256" s="40"/>
      <c r="D256" s="121" t="s">
        <v>1449</v>
      </c>
      <c r="E256" s="304"/>
      <c r="F256" s="304"/>
      <c r="G256" s="304"/>
      <c r="H256" s="320"/>
      <c r="I256" s="309"/>
      <c r="J256" s="161"/>
      <c r="K256" s="161"/>
      <c r="L256" s="161"/>
      <c r="M256" s="161"/>
      <c r="N256" s="161">
        <f>N230</f>
        <v>1000000</v>
      </c>
      <c r="O256" s="161">
        <f>O230</f>
        <v>1700000</v>
      </c>
      <c r="P256" s="161"/>
      <c r="Q256" s="161">
        <f>Q230</f>
        <v>61000</v>
      </c>
      <c r="R256" s="161">
        <f>R230</f>
        <v>60000</v>
      </c>
      <c r="S256" s="161"/>
      <c r="T256" s="161">
        <f>T230</f>
        <v>0</v>
      </c>
      <c r="U256" s="161">
        <f>U230</f>
        <v>0</v>
      </c>
      <c r="V256" s="697"/>
      <c r="W256" s="973"/>
      <c r="X256" s="161"/>
      <c r="Y256" s="161"/>
      <c r="Z256" s="125"/>
      <c r="AA256" s="125"/>
      <c r="AB256" s="125"/>
      <c r="AC256" s="125"/>
      <c r="AD256" s="97"/>
      <c r="AE256" s="161"/>
      <c r="AF256" s="161"/>
      <c r="AG256" s="129"/>
      <c r="AH256" s="125"/>
      <c r="AI256" s="125"/>
      <c r="AJ256" s="97"/>
      <c r="AK256" s="161"/>
      <c r="AL256" s="161"/>
      <c r="AM256" s="129"/>
      <c r="AN256" s="125"/>
      <c r="AO256" s="125"/>
      <c r="AP256" s="97"/>
      <c r="AQ256" s="161"/>
      <c r="AR256" s="161"/>
      <c r="AS256" s="129"/>
      <c r="AT256" s="125"/>
      <c r="AU256" s="125"/>
      <c r="AV256" s="97"/>
      <c r="AW256" s="161"/>
      <c r="AX256" s="161"/>
      <c r="AY256" s="129"/>
      <c r="AZ256" s="125"/>
      <c r="BA256" s="125"/>
    </row>
    <row r="257" spans="1:53" s="4" customFormat="1" ht="17.100000000000001" customHeight="1" x14ac:dyDescent="0.25">
      <c r="A257" s="137"/>
      <c r="B257" s="40"/>
      <c r="C257" s="40"/>
      <c r="D257" s="742"/>
      <c r="E257" s="304"/>
      <c r="F257" s="304"/>
      <c r="G257" s="304"/>
      <c r="H257" s="320"/>
      <c r="I257" s="309"/>
      <c r="J257" s="161"/>
      <c r="K257" s="161"/>
      <c r="L257" s="161"/>
      <c r="M257" s="161"/>
      <c r="N257" s="161"/>
      <c r="O257" s="161"/>
      <c r="P257" s="161"/>
      <c r="Q257" s="161"/>
      <c r="R257" s="161"/>
      <c r="S257" s="161"/>
      <c r="T257" s="161"/>
      <c r="U257" s="161"/>
      <c r="V257" s="697"/>
      <c r="W257" s="973"/>
      <c r="X257" s="161"/>
      <c r="Y257" s="161"/>
      <c r="Z257" s="125"/>
      <c r="AA257" s="125"/>
      <c r="AB257" s="125"/>
      <c r="AC257" s="125"/>
      <c r="AE257" s="161"/>
      <c r="AF257" s="161"/>
      <c r="AG257" s="123"/>
      <c r="AH257" s="125"/>
      <c r="AI257" s="125"/>
      <c r="AK257" s="161"/>
      <c r="AL257" s="161"/>
      <c r="AM257" s="123"/>
      <c r="AN257" s="125"/>
      <c r="AO257" s="125"/>
      <c r="AQ257" s="161"/>
      <c r="AR257" s="161"/>
      <c r="AS257" s="123"/>
      <c r="AT257" s="125"/>
      <c r="AU257" s="125"/>
      <c r="AW257" s="161"/>
      <c r="AX257" s="161"/>
      <c r="AY257" s="123"/>
      <c r="AZ257" s="125"/>
      <c r="BA257" s="125"/>
    </row>
    <row r="258" spans="1:53" s="4" customFormat="1" ht="17.100000000000001" customHeight="1" x14ac:dyDescent="0.25">
      <c r="A258" s="137"/>
      <c r="B258" s="40"/>
      <c r="C258" s="40">
        <v>1</v>
      </c>
      <c r="D258" s="700" t="s">
        <v>1450</v>
      </c>
      <c r="E258" s="974"/>
      <c r="F258" s="974"/>
      <c r="G258" s="974"/>
      <c r="H258" s="254"/>
      <c r="I258" s="207"/>
      <c r="J258" s="161"/>
      <c r="K258" s="161"/>
      <c r="L258" s="161"/>
      <c r="M258" s="161"/>
      <c r="N258" s="161" t="str">
        <f>IF(N$254&gt;0,0,"")</f>
        <v/>
      </c>
      <c r="O258" s="161">
        <f>IF(O$254&gt;0,0,"")</f>
        <v>0</v>
      </c>
      <c r="P258" s="161"/>
      <c r="Q258" s="161" t="str">
        <f>IF(Q$254&gt;0,0,"")</f>
        <v/>
      </c>
      <c r="R258" s="161" t="str">
        <f>IF(R$254&gt;0,0,"")</f>
        <v/>
      </c>
      <c r="S258" s="161"/>
      <c r="T258" s="161" t="str">
        <f>IF(T$254&gt;0,0,"")</f>
        <v/>
      </c>
      <c r="U258" s="161" t="str">
        <f>IF(U$254&gt;0,0,"")</f>
        <v/>
      </c>
      <c r="V258" s="697"/>
      <c r="W258" s="973"/>
      <c r="X258" s="161"/>
      <c r="Y258" s="161"/>
      <c r="Z258" s="125"/>
      <c r="AA258" s="125"/>
      <c r="AB258" s="125"/>
      <c r="AC258" s="125"/>
      <c r="AD258" s="97"/>
      <c r="AE258" s="161"/>
      <c r="AF258" s="161"/>
      <c r="AG258" s="129"/>
      <c r="AH258" s="125"/>
      <c r="AI258" s="125"/>
      <c r="AJ258" s="97"/>
      <c r="AK258" s="161"/>
      <c r="AL258" s="161"/>
      <c r="AM258" s="129"/>
      <c r="AN258" s="125"/>
      <c r="AO258" s="125"/>
      <c r="AP258" s="97"/>
      <c r="AQ258" s="161"/>
      <c r="AR258" s="161"/>
      <c r="AS258" s="129"/>
      <c r="AT258" s="125"/>
      <c r="AU258" s="125"/>
      <c r="AV258" s="97"/>
      <c r="AW258" s="161"/>
      <c r="AX258" s="161"/>
      <c r="AY258" s="129"/>
      <c r="AZ258" s="125"/>
      <c r="BA258" s="125"/>
    </row>
    <row r="259" spans="1:53" s="4" customFormat="1" ht="17.100000000000001" customHeight="1" x14ac:dyDescent="0.25">
      <c r="A259" s="137"/>
      <c r="B259" s="40"/>
      <c r="C259" s="40">
        <v>2</v>
      </c>
      <c r="D259" s="700" t="s">
        <v>1450</v>
      </c>
      <c r="E259" s="974"/>
      <c r="F259" s="974"/>
      <c r="G259" s="974"/>
      <c r="H259" s="254"/>
      <c r="I259" s="207"/>
      <c r="J259" s="161"/>
      <c r="K259" s="161"/>
      <c r="L259" s="161"/>
      <c r="M259" s="161"/>
      <c r="N259" s="161" t="str">
        <f>IF(N$254&gt;1,0,"")</f>
        <v/>
      </c>
      <c r="O259" s="161">
        <f>IF(O$254&gt;1,0,"")</f>
        <v>0</v>
      </c>
      <c r="P259" s="161"/>
      <c r="Q259" s="161" t="str">
        <f>IF(Q$254&gt;1,0,"")</f>
        <v/>
      </c>
      <c r="R259" s="161" t="str">
        <f>IF(R$254&gt;1,0,"")</f>
        <v/>
      </c>
      <c r="S259" s="161"/>
      <c r="T259" s="161" t="str">
        <f>IF(T$254&gt;1,0,"")</f>
        <v/>
      </c>
      <c r="U259" s="161" t="str">
        <f>IF(U$254&gt;1,0,"")</f>
        <v/>
      </c>
      <c r="V259" s="697"/>
      <c r="W259" s="973"/>
      <c r="X259" s="161"/>
      <c r="Y259" s="161"/>
      <c r="Z259" s="125"/>
      <c r="AA259" s="125"/>
      <c r="AB259" s="125"/>
      <c r="AC259" s="125"/>
      <c r="AE259" s="161"/>
      <c r="AF259" s="161"/>
      <c r="AG259" s="129"/>
      <c r="AH259" s="125"/>
      <c r="AI259" s="125"/>
      <c r="AK259" s="161"/>
      <c r="AL259" s="161"/>
      <c r="AM259" s="129"/>
      <c r="AN259" s="125"/>
      <c r="AO259" s="125"/>
      <c r="AQ259" s="161"/>
      <c r="AR259" s="161"/>
      <c r="AS259" s="129"/>
      <c r="AT259" s="125"/>
      <c r="AU259" s="125"/>
      <c r="AW259" s="161"/>
      <c r="AX259" s="161"/>
      <c r="AY259" s="129"/>
      <c r="AZ259" s="125"/>
      <c r="BA259" s="125"/>
    </row>
    <row r="260" spans="1:53" ht="17.100000000000001" customHeight="1" x14ac:dyDescent="0.25">
      <c r="A260" s="137"/>
      <c r="B260" s="40"/>
      <c r="C260" s="40">
        <v>3</v>
      </c>
      <c r="D260" s="700" t="s">
        <v>1450</v>
      </c>
      <c r="E260" s="122"/>
      <c r="F260" s="122"/>
      <c r="G260" s="122"/>
      <c r="H260" s="23"/>
      <c r="I260" s="12"/>
      <c r="J260" s="154"/>
      <c r="K260" s="154"/>
      <c r="L260" s="154"/>
      <c r="M260" s="154"/>
      <c r="N260" s="161" t="str">
        <f>IF(N$254&gt;2,0,"")</f>
        <v/>
      </c>
      <c r="O260" s="161" t="str">
        <f>IF(O$254&gt;2,0,"")</f>
        <v/>
      </c>
      <c r="P260" s="154"/>
      <c r="Q260" s="161" t="str">
        <f>IF(Q$254&gt;2,0,"")</f>
        <v/>
      </c>
      <c r="R260" s="161" t="str">
        <f>IF(R$254&gt;2,0,"")</f>
        <v/>
      </c>
      <c r="S260" s="154"/>
      <c r="T260" s="161" t="str">
        <f>IF(T$254&gt;2,0,"")</f>
        <v/>
      </c>
      <c r="U260" s="161" t="str">
        <f>IF(U$254&gt;2,0,"")</f>
        <v/>
      </c>
      <c r="V260" s="159"/>
      <c r="W260" s="387"/>
      <c r="X260" s="154"/>
      <c r="Y260" s="154"/>
      <c r="Z260" s="130"/>
      <c r="AA260" s="130"/>
      <c r="AB260" s="130"/>
      <c r="AC260" s="125"/>
      <c r="AE260" s="154"/>
      <c r="AF260" s="154"/>
      <c r="AG260" s="129"/>
      <c r="AH260" s="130"/>
      <c r="AI260" s="125"/>
      <c r="AK260" s="154"/>
      <c r="AL260" s="154"/>
      <c r="AM260" s="129"/>
      <c r="AN260" s="130"/>
      <c r="AO260" s="125"/>
      <c r="AQ260" s="154"/>
      <c r="AR260" s="154"/>
      <c r="AS260" s="129"/>
      <c r="AT260" s="130"/>
      <c r="AU260" s="125"/>
      <c r="AW260" s="154"/>
      <c r="AX260" s="154"/>
      <c r="AY260" s="129"/>
      <c r="AZ260" s="130"/>
      <c r="BA260" s="125"/>
    </row>
    <row r="261" spans="1:53" ht="17.100000000000001" customHeight="1" x14ac:dyDescent="0.25">
      <c r="A261" s="137"/>
      <c r="B261" s="40"/>
      <c r="C261" s="40">
        <v>4</v>
      </c>
      <c r="D261" s="700" t="s">
        <v>1450</v>
      </c>
      <c r="E261" s="122"/>
      <c r="F261" s="122"/>
      <c r="G261" s="122"/>
      <c r="H261" s="23"/>
      <c r="I261" s="12"/>
      <c r="J261" s="154"/>
      <c r="K261" s="154"/>
      <c r="L261" s="123"/>
      <c r="M261" s="123"/>
      <c r="N261" s="161" t="str">
        <f>IF(N$254&gt;3,0,"")</f>
        <v/>
      </c>
      <c r="O261" s="161" t="str">
        <f>IF(O$254&gt;3,0,"")</f>
        <v/>
      </c>
      <c r="P261" s="123"/>
      <c r="Q261" s="161" t="str">
        <f>IF(Q$254&gt;3,0,"")</f>
        <v/>
      </c>
      <c r="R261" s="161" t="str">
        <f>IF(R$254&gt;3,0,"")</f>
        <v/>
      </c>
      <c r="S261" s="123"/>
      <c r="T261" s="161" t="str">
        <f>IF(T$254&gt;3,0,"")</f>
        <v/>
      </c>
      <c r="U261" s="161" t="str">
        <f>IF(U$254&gt;3,0,"")</f>
        <v/>
      </c>
      <c r="V261" s="363"/>
      <c r="W261" s="383"/>
      <c r="X261" s="123"/>
      <c r="Y261" s="123"/>
      <c r="Z261" s="949"/>
      <c r="AA261" s="949"/>
      <c r="AB261" s="949"/>
      <c r="AC261" s="125"/>
      <c r="AE261" s="123"/>
      <c r="AF261" s="123"/>
      <c r="AG261" s="129"/>
      <c r="AH261" s="949"/>
      <c r="AI261" s="125"/>
      <c r="AK261" s="123"/>
      <c r="AL261" s="123"/>
      <c r="AM261" s="129"/>
      <c r="AN261" s="949"/>
      <c r="AO261" s="125"/>
      <c r="AQ261" s="123"/>
      <c r="AR261" s="123"/>
      <c r="AS261" s="129"/>
      <c r="AT261" s="949"/>
      <c r="AU261" s="125"/>
      <c r="AW261" s="123"/>
      <c r="AX261" s="123"/>
      <c r="AY261" s="129"/>
      <c r="AZ261" s="949"/>
      <c r="BA261" s="125"/>
    </row>
    <row r="262" spans="1:53" ht="17.100000000000001" customHeight="1" x14ac:dyDescent="0.25">
      <c r="A262" s="137"/>
      <c r="B262" s="40"/>
      <c r="C262" s="40">
        <v>5</v>
      </c>
      <c r="D262" s="700" t="s">
        <v>1450</v>
      </c>
      <c r="E262" s="122"/>
      <c r="F262" s="122"/>
      <c r="G262" s="122"/>
      <c r="H262" s="23"/>
      <c r="I262" s="12"/>
      <c r="J262" s="154"/>
      <c r="K262" s="154"/>
      <c r="L262" s="154"/>
      <c r="M262" s="154"/>
      <c r="N262" s="161" t="str">
        <f>IF(N$254&gt;4,0,"")</f>
        <v/>
      </c>
      <c r="O262" s="161" t="str">
        <f>IF(O$254&gt;4,0,"")</f>
        <v/>
      </c>
      <c r="P262" s="154"/>
      <c r="Q262" s="161" t="str">
        <f>IF(Q$254&gt;4,0,"")</f>
        <v/>
      </c>
      <c r="R262" s="161" t="str">
        <f>IF(R$254&gt;4,0,"")</f>
        <v/>
      </c>
      <c r="S262" s="154"/>
      <c r="T262" s="161" t="str">
        <f>IF(T$254&gt;4,0,"")</f>
        <v/>
      </c>
      <c r="U262" s="161" t="str">
        <f>IF(U$254&gt;4,0,"")</f>
        <v/>
      </c>
      <c r="V262" s="159"/>
      <c r="W262" s="387"/>
      <c r="X262" s="154"/>
      <c r="Y262" s="154"/>
      <c r="Z262" s="130"/>
      <c r="AA262" s="130"/>
      <c r="AB262" s="130"/>
      <c r="AC262" s="125"/>
      <c r="AE262" s="154"/>
      <c r="AF262" s="154"/>
      <c r="AG262" s="129"/>
      <c r="AH262" s="130"/>
      <c r="AI262" s="125"/>
      <c r="AK262" s="154"/>
      <c r="AL262" s="154"/>
      <c r="AM262" s="129"/>
      <c r="AN262" s="130"/>
      <c r="AO262" s="125"/>
      <c r="AQ262" s="154"/>
      <c r="AR262" s="154"/>
      <c r="AS262" s="129"/>
      <c r="AT262" s="130"/>
      <c r="AU262" s="125"/>
      <c r="AW262" s="154"/>
      <c r="AX262" s="154"/>
      <c r="AY262" s="129"/>
      <c r="AZ262" s="130"/>
      <c r="BA262" s="125"/>
    </row>
    <row r="263" spans="1:53" ht="17.100000000000001" customHeight="1" x14ac:dyDescent="0.25">
      <c r="A263" s="137"/>
      <c r="B263" s="40"/>
      <c r="C263" s="40">
        <v>6</v>
      </c>
      <c r="D263" s="700" t="s">
        <v>1450</v>
      </c>
      <c r="E263" s="122"/>
      <c r="F263" s="122"/>
      <c r="G263" s="122"/>
      <c r="H263" s="23"/>
      <c r="I263" s="12"/>
      <c r="J263" s="154"/>
      <c r="K263" s="154"/>
      <c r="L263" s="154"/>
      <c r="M263" s="154"/>
      <c r="N263" s="161" t="str">
        <f>IF(N$254&gt;5,0,"")</f>
        <v/>
      </c>
      <c r="O263" s="161" t="str">
        <f>IF(O$254&gt;5,0,"")</f>
        <v/>
      </c>
      <c r="P263" s="154"/>
      <c r="Q263" s="161" t="str">
        <f>IF(Q$254&gt;5,0,"")</f>
        <v/>
      </c>
      <c r="R263" s="161" t="str">
        <f>IF(R$254&gt;5,0,"")</f>
        <v/>
      </c>
      <c r="S263" s="154"/>
      <c r="T263" s="161" t="str">
        <f>IF(T$254&gt;5,0,"")</f>
        <v/>
      </c>
      <c r="U263" s="161" t="str">
        <f>IF(U$254&gt;5,0,"")</f>
        <v/>
      </c>
      <c r="V263" s="159"/>
      <c r="W263" s="387"/>
      <c r="X263" s="154"/>
      <c r="Y263" s="154"/>
      <c r="Z263" s="130"/>
      <c r="AA263" s="130"/>
      <c r="AB263" s="130"/>
      <c r="AC263" s="125"/>
      <c r="AE263" s="154"/>
      <c r="AF263" s="154"/>
      <c r="AG263" s="129"/>
      <c r="AH263" s="130"/>
      <c r="AI263" s="125"/>
      <c r="AK263" s="154"/>
      <c r="AL263" s="154"/>
      <c r="AM263" s="129"/>
      <c r="AN263" s="130"/>
      <c r="AO263" s="125"/>
      <c r="AQ263" s="154"/>
      <c r="AR263" s="154"/>
      <c r="AS263" s="129"/>
      <c r="AT263" s="130"/>
      <c r="AU263" s="125"/>
      <c r="AW263" s="154"/>
      <c r="AX263" s="154"/>
      <c r="AY263" s="129"/>
      <c r="AZ263" s="130"/>
      <c r="BA263" s="125"/>
    </row>
    <row r="264" spans="1:53" ht="17.100000000000001" customHeight="1" x14ac:dyDescent="0.25">
      <c r="A264" s="137"/>
      <c r="B264" s="40"/>
      <c r="C264" s="40">
        <v>7</v>
      </c>
      <c r="D264" s="700" t="s">
        <v>1450</v>
      </c>
      <c r="E264" s="122"/>
      <c r="F264" s="122"/>
      <c r="G264" s="122"/>
      <c r="H264" s="23"/>
      <c r="I264" s="12"/>
      <c r="J264" s="154"/>
      <c r="K264" s="154"/>
      <c r="L264" s="154"/>
      <c r="M264" s="154"/>
      <c r="N264" s="161" t="str">
        <f>IF(N$254&gt;6,0,"")</f>
        <v/>
      </c>
      <c r="O264" s="161" t="str">
        <f>IF(O$254&gt;6,0,"")</f>
        <v/>
      </c>
      <c r="P264" s="154"/>
      <c r="Q264" s="161" t="str">
        <f>IF(Q$254&gt;6,0,"")</f>
        <v/>
      </c>
      <c r="R264" s="161" t="str">
        <f>IF(R$254&gt;6,0,"")</f>
        <v/>
      </c>
      <c r="S264" s="154"/>
      <c r="T264" s="161" t="str">
        <f>IF(T$254&gt;6,0,"")</f>
        <v/>
      </c>
      <c r="U264" s="161" t="str">
        <f>IF(U$254&gt;6,0,"")</f>
        <v/>
      </c>
      <c r="V264" s="159"/>
      <c r="W264" s="387"/>
      <c r="X264" s="154"/>
      <c r="Y264" s="154"/>
      <c r="Z264" s="130"/>
      <c r="AA264" s="130"/>
      <c r="AB264" s="130"/>
      <c r="AC264" s="125"/>
      <c r="AE264" s="154"/>
      <c r="AF264" s="154"/>
      <c r="AG264" s="129"/>
      <c r="AH264" s="130"/>
      <c r="AI264" s="125"/>
      <c r="AK264" s="154"/>
      <c r="AL264" s="154"/>
      <c r="AM264" s="129"/>
      <c r="AN264" s="130"/>
      <c r="AO264" s="125"/>
      <c r="AQ264" s="154"/>
      <c r="AR264" s="154"/>
      <c r="AS264" s="129"/>
      <c r="AT264" s="130"/>
      <c r="AU264" s="125"/>
      <c r="AW264" s="154"/>
      <c r="AX264" s="154"/>
      <c r="AY264" s="129"/>
      <c r="AZ264" s="130"/>
      <c r="BA264" s="125"/>
    </row>
    <row r="265" spans="1:53" ht="17.100000000000001" customHeight="1" x14ac:dyDescent="0.25">
      <c r="A265" s="137"/>
      <c r="B265" s="40"/>
      <c r="C265" s="40">
        <v>8</v>
      </c>
      <c r="D265" s="700" t="s">
        <v>1450</v>
      </c>
      <c r="E265" s="122"/>
      <c r="F265" s="122"/>
      <c r="G265" s="122"/>
      <c r="H265" s="23"/>
      <c r="I265" s="12"/>
      <c r="J265" s="154"/>
      <c r="K265" s="154"/>
      <c r="L265" s="154"/>
      <c r="M265" s="154"/>
      <c r="N265" s="161" t="str">
        <f>IF(N$254&gt;7,0,"")</f>
        <v/>
      </c>
      <c r="O265" s="161" t="str">
        <f>IF(O$254&gt;7,0,"")</f>
        <v/>
      </c>
      <c r="P265" s="154"/>
      <c r="Q265" s="161" t="str">
        <f>IF(Q$254&gt;7,0,"")</f>
        <v/>
      </c>
      <c r="R265" s="161" t="str">
        <f>IF(R$254&gt;7,0,"")</f>
        <v/>
      </c>
      <c r="S265" s="154"/>
      <c r="T265" s="161" t="str">
        <f>IF(T$254&gt;7,0,"")</f>
        <v/>
      </c>
      <c r="U265" s="161" t="str">
        <f>IF(U$254&gt;7,0,"")</f>
        <v/>
      </c>
      <c r="V265" s="159"/>
      <c r="W265" s="387"/>
      <c r="X265" s="154"/>
      <c r="Y265" s="154"/>
      <c r="Z265" s="130"/>
      <c r="AA265" s="130"/>
      <c r="AB265" s="130"/>
      <c r="AC265" s="125"/>
      <c r="AE265" s="154"/>
      <c r="AF265" s="154"/>
      <c r="AG265" s="129"/>
      <c r="AH265" s="130"/>
      <c r="AI265" s="125"/>
      <c r="AK265" s="154"/>
      <c r="AL265" s="154"/>
      <c r="AM265" s="129"/>
      <c r="AN265" s="130"/>
      <c r="AO265" s="125"/>
      <c r="AQ265" s="154"/>
      <c r="AR265" s="154"/>
      <c r="AS265" s="129"/>
      <c r="AT265" s="130"/>
      <c r="AU265" s="125"/>
      <c r="AW265" s="154"/>
      <c r="AX265" s="154"/>
      <c r="AY265" s="129"/>
      <c r="AZ265" s="130"/>
      <c r="BA265" s="125"/>
    </row>
    <row r="266" spans="1:53" ht="17.100000000000001" customHeight="1" x14ac:dyDescent="0.25">
      <c r="A266" s="137"/>
      <c r="B266" s="40"/>
      <c r="C266" s="40">
        <v>9</v>
      </c>
      <c r="D266" s="700" t="s">
        <v>1450</v>
      </c>
      <c r="E266" s="122"/>
      <c r="F266" s="122"/>
      <c r="G266" s="122"/>
      <c r="H266" s="23"/>
      <c r="I266" s="12"/>
      <c r="J266" s="154"/>
      <c r="K266" s="154"/>
      <c r="L266" s="154"/>
      <c r="M266" s="154"/>
      <c r="N266" s="161" t="str">
        <f>IF(N$254&gt;8,0,"")</f>
        <v/>
      </c>
      <c r="O266" s="161" t="str">
        <f>IF(O$254&gt;8,0,"")</f>
        <v/>
      </c>
      <c r="P266" s="154"/>
      <c r="Q266" s="161" t="str">
        <f>IF(Q$254&gt;8,0,"")</f>
        <v/>
      </c>
      <c r="R266" s="161" t="str">
        <f>IF(R$254&gt;8,0,"")</f>
        <v/>
      </c>
      <c r="S266" s="154"/>
      <c r="T266" s="161" t="str">
        <f>IF(T$254&gt;8,0,"")</f>
        <v/>
      </c>
      <c r="U266" s="161" t="str">
        <f>IF(U$254&gt;8,0,"")</f>
        <v/>
      </c>
      <c r="V266" s="159"/>
      <c r="W266" s="387"/>
      <c r="X266" s="154"/>
      <c r="Y266" s="154"/>
      <c r="Z266" s="130"/>
      <c r="AA266" s="130"/>
      <c r="AB266" s="130"/>
      <c r="AC266" s="125"/>
      <c r="AE266" s="154"/>
      <c r="AF266" s="154"/>
      <c r="AG266" s="129"/>
      <c r="AH266" s="130"/>
      <c r="AI266" s="125"/>
      <c r="AK266" s="154"/>
      <c r="AL266" s="154"/>
      <c r="AM266" s="129"/>
      <c r="AN266" s="130"/>
      <c r="AO266" s="125"/>
      <c r="AQ266" s="154"/>
      <c r="AR266" s="154"/>
      <c r="AS266" s="129"/>
      <c r="AT266" s="130"/>
      <c r="AU266" s="125"/>
      <c r="AW266" s="154"/>
      <c r="AX266" s="154"/>
      <c r="AY266" s="129"/>
      <c r="AZ266" s="130"/>
      <c r="BA266" s="125"/>
    </row>
    <row r="267" spans="1:53" ht="17.100000000000001" customHeight="1" x14ac:dyDescent="0.25">
      <c r="A267" s="137"/>
      <c r="B267" s="40"/>
      <c r="C267" s="40">
        <v>10</v>
      </c>
      <c r="D267" s="700" t="s">
        <v>1450</v>
      </c>
      <c r="E267" s="122"/>
      <c r="F267" s="122"/>
      <c r="G267" s="122"/>
      <c r="H267" s="23"/>
      <c r="I267" s="12"/>
      <c r="J267" s="154"/>
      <c r="K267" s="154"/>
      <c r="L267" s="154"/>
      <c r="M267" s="154"/>
      <c r="N267" s="161" t="str">
        <f>IF(N$254&gt;9,0,"")</f>
        <v/>
      </c>
      <c r="O267" s="161" t="str">
        <f>IF(O$254&gt;9,0,"")</f>
        <v/>
      </c>
      <c r="P267" s="154"/>
      <c r="Q267" s="161" t="str">
        <f>IF(Q$254&gt;9,0,"")</f>
        <v/>
      </c>
      <c r="R267" s="161" t="str">
        <f>IF(R$254&gt;9,0,"")</f>
        <v/>
      </c>
      <c r="S267" s="154"/>
      <c r="T267" s="161" t="str">
        <f>IF(T$254&gt;9,0,"")</f>
        <v/>
      </c>
      <c r="U267" s="161" t="str">
        <f>IF(U$254&gt;9,0,"")</f>
        <v/>
      </c>
      <c r="V267" s="159"/>
      <c r="W267" s="387"/>
      <c r="X267" s="154"/>
      <c r="Y267" s="154"/>
      <c r="Z267" s="130"/>
      <c r="AA267" s="130"/>
      <c r="AB267" s="130"/>
      <c r="AC267" s="125"/>
      <c r="AE267" s="154"/>
      <c r="AF267" s="154"/>
      <c r="AG267" s="129"/>
      <c r="AH267" s="130"/>
      <c r="AI267" s="125"/>
      <c r="AK267" s="154"/>
      <c r="AL267" s="154"/>
      <c r="AM267" s="129"/>
      <c r="AN267" s="130"/>
      <c r="AO267" s="125"/>
      <c r="AQ267" s="154"/>
      <c r="AR267" s="154"/>
      <c r="AS267" s="129"/>
      <c r="AT267" s="130"/>
      <c r="AU267" s="125"/>
      <c r="AW267" s="154"/>
      <c r="AX267" s="154"/>
      <c r="AY267" s="129"/>
      <c r="AZ267" s="130"/>
      <c r="BA267" s="125"/>
    </row>
    <row r="268" spans="1:53" ht="17.100000000000001" customHeight="1" x14ac:dyDescent="0.25">
      <c r="A268" s="137"/>
      <c r="B268" s="40"/>
      <c r="C268" s="40">
        <v>1</v>
      </c>
      <c r="D268" s="128" t="s">
        <v>1449</v>
      </c>
      <c r="E268" s="122"/>
      <c r="F268" s="122"/>
      <c r="G268" s="122"/>
      <c r="H268" s="23"/>
      <c r="I268" s="12"/>
      <c r="J268" s="154"/>
      <c r="K268" s="154"/>
      <c r="L268" s="154"/>
      <c r="M268" s="154"/>
      <c r="N268" s="161">
        <f>IF(N$255&gt;0,N$256,"")</f>
        <v>1000000</v>
      </c>
      <c r="O268" s="161">
        <f>IF(O$255&gt;0,O$256,"")</f>
        <v>1700000</v>
      </c>
      <c r="P268" s="154"/>
      <c r="Q268" s="161">
        <f>IF(Q$255&gt;0,Q$256,"")</f>
        <v>61000</v>
      </c>
      <c r="R268" s="161">
        <f>IF(R$255&gt;0,R$256,"")</f>
        <v>60000</v>
      </c>
      <c r="S268" s="154"/>
      <c r="T268" s="161" t="str">
        <f>IF(T$255&gt;0,T$256,"")</f>
        <v/>
      </c>
      <c r="U268" s="161" t="str">
        <f>IF(U$255&gt;0,U$256,"")</f>
        <v/>
      </c>
      <c r="V268" s="159"/>
      <c r="W268" s="387"/>
      <c r="X268" s="154"/>
      <c r="Y268" s="154"/>
      <c r="Z268" s="130"/>
      <c r="AA268" s="130"/>
      <c r="AB268" s="130"/>
      <c r="AC268" s="125"/>
      <c r="AE268" s="154"/>
      <c r="AF268" s="154"/>
      <c r="AG268" s="129"/>
      <c r="AH268" s="130"/>
      <c r="AI268" s="125"/>
      <c r="AK268" s="154"/>
      <c r="AL268" s="154"/>
      <c r="AM268" s="129"/>
      <c r="AN268" s="130"/>
      <c r="AO268" s="125"/>
      <c r="AQ268" s="154"/>
      <c r="AR268" s="154"/>
      <c r="AS268" s="129"/>
      <c r="AT268" s="130"/>
      <c r="AU268" s="125"/>
      <c r="AW268" s="154"/>
      <c r="AX268" s="154"/>
      <c r="AY268" s="129"/>
      <c r="AZ268" s="130"/>
      <c r="BA268" s="125"/>
    </row>
    <row r="269" spans="1:53" ht="17.100000000000001" customHeight="1" x14ac:dyDescent="0.25">
      <c r="A269" s="137"/>
      <c r="B269" s="40"/>
      <c r="C269" s="40">
        <v>2</v>
      </c>
      <c r="D269" s="128" t="s">
        <v>1449</v>
      </c>
      <c r="E269" s="122"/>
      <c r="F269" s="122"/>
      <c r="G269" s="122"/>
      <c r="H269" s="23"/>
      <c r="I269" s="12"/>
      <c r="J269" s="154"/>
      <c r="K269" s="154"/>
      <c r="L269" s="154"/>
      <c r="M269" s="154"/>
      <c r="N269" s="161" t="str">
        <f>IF(N$255&gt;1,N$256,"")</f>
        <v/>
      </c>
      <c r="O269" s="161">
        <f>IF(O$255&gt;1,O$256,"")</f>
        <v>1700000</v>
      </c>
      <c r="P269" s="154"/>
      <c r="Q269" s="161">
        <f>IF(Q$255&gt;1,Q$256,"")</f>
        <v>61000</v>
      </c>
      <c r="R269" s="161" t="str">
        <f>IF(R$255&gt;1,R$256,"")</f>
        <v/>
      </c>
      <c r="S269" s="154"/>
      <c r="T269" s="161" t="str">
        <f>IF(T$255&gt;1,T$256,"")</f>
        <v/>
      </c>
      <c r="U269" s="161" t="str">
        <f>IF(U$255&gt;1,U$256,"")</f>
        <v/>
      </c>
      <c r="V269" s="159"/>
      <c r="W269" s="387"/>
      <c r="X269" s="154"/>
      <c r="Y269" s="154"/>
      <c r="Z269" s="130"/>
      <c r="AA269" s="130"/>
      <c r="AB269" s="130"/>
      <c r="AC269" s="125"/>
      <c r="AE269" s="154"/>
      <c r="AF269" s="154"/>
      <c r="AG269" s="129"/>
      <c r="AH269" s="130"/>
      <c r="AI269" s="125"/>
      <c r="AK269" s="154"/>
      <c r="AL269" s="154"/>
      <c r="AM269" s="129"/>
      <c r="AN269" s="130"/>
      <c r="AO269" s="125"/>
      <c r="AQ269" s="154"/>
      <c r="AR269" s="154"/>
      <c r="AS269" s="129"/>
      <c r="AT269" s="130"/>
      <c r="AU269" s="125"/>
      <c r="AW269" s="154"/>
      <c r="AX269" s="154"/>
      <c r="AY269" s="129"/>
      <c r="AZ269" s="130"/>
      <c r="BA269" s="125"/>
    </row>
    <row r="270" spans="1:53" ht="17.100000000000001" customHeight="1" x14ac:dyDescent="0.25">
      <c r="A270" s="137"/>
      <c r="B270" s="40"/>
      <c r="C270" s="40">
        <v>3</v>
      </c>
      <c r="D270" s="128" t="s">
        <v>1449</v>
      </c>
      <c r="E270" s="122"/>
      <c r="F270" s="122"/>
      <c r="G270" s="122"/>
      <c r="H270" s="23"/>
      <c r="I270" s="12"/>
      <c r="J270" s="154"/>
      <c r="K270" s="154"/>
      <c r="L270" s="154"/>
      <c r="M270" s="154"/>
      <c r="N270" s="161" t="str">
        <f>IF(N$255&gt;2,N$256,"")</f>
        <v/>
      </c>
      <c r="O270" s="161">
        <f>IF(O$255&gt;2,O$256,"")</f>
        <v>1700000</v>
      </c>
      <c r="P270" s="154"/>
      <c r="Q270" s="161">
        <f>IF(Q$255&gt;2,Q$256,"")</f>
        <v>61000</v>
      </c>
      <c r="R270" s="161" t="str">
        <f>IF(R$255&gt;2,R$256,"")</f>
        <v/>
      </c>
      <c r="S270" s="154"/>
      <c r="T270" s="161" t="str">
        <f>IF(T$255&gt;2,T$256,"")</f>
        <v/>
      </c>
      <c r="U270" s="161" t="str">
        <f>IF(U$255&gt;2,U$256,"")</f>
        <v/>
      </c>
      <c r="V270" s="159"/>
      <c r="W270" s="387"/>
      <c r="X270" s="154"/>
      <c r="Y270" s="154"/>
      <c r="Z270" s="130"/>
      <c r="AA270" s="130"/>
      <c r="AB270" s="130"/>
      <c r="AC270" s="125"/>
      <c r="AE270" s="154"/>
      <c r="AF270" s="154"/>
      <c r="AG270" s="129"/>
      <c r="AH270" s="130"/>
      <c r="AI270" s="125"/>
      <c r="AK270" s="154"/>
      <c r="AL270" s="154"/>
      <c r="AM270" s="129"/>
      <c r="AN270" s="130"/>
      <c r="AO270" s="125"/>
      <c r="AQ270" s="154"/>
      <c r="AR270" s="154"/>
      <c r="AS270" s="129"/>
      <c r="AT270" s="130"/>
      <c r="AU270" s="125"/>
      <c r="AW270" s="154"/>
      <c r="AX270" s="154"/>
      <c r="AY270" s="129"/>
      <c r="AZ270" s="130"/>
      <c r="BA270" s="125"/>
    </row>
    <row r="271" spans="1:53" ht="17.100000000000001" customHeight="1" x14ac:dyDescent="0.25">
      <c r="A271" s="137"/>
      <c r="B271" s="40"/>
      <c r="C271" s="40">
        <v>4</v>
      </c>
      <c r="D271" s="128" t="s">
        <v>1449</v>
      </c>
      <c r="E271" s="122"/>
      <c r="F271" s="122"/>
      <c r="G271" s="122"/>
      <c r="H271" s="23"/>
      <c r="I271" s="12"/>
      <c r="J271" s="154"/>
      <c r="K271" s="154"/>
      <c r="L271" s="154"/>
      <c r="M271" s="154"/>
      <c r="N271" s="161" t="str">
        <f>IF(N$255&gt;3,N$256,"")</f>
        <v/>
      </c>
      <c r="O271" s="161">
        <f>IF(O$255&gt;3,O$256,"")</f>
        <v>1700000</v>
      </c>
      <c r="P271" s="154"/>
      <c r="Q271" s="161">
        <f>IF(Q$255&gt;3,Q$256,"")</f>
        <v>61000</v>
      </c>
      <c r="R271" s="161" t="str">
        <f>IF(R$255&gt;3,R$256,"")</f>
        <v/>
      </c>
      <c r="S271" s="154"/>
      <c r="T271" s="161" t="str">
        <f>IF(T$255&gt;3,T$256,"")</f>
        <v/>
      </c>
      <c r="U271" s="161" t="str">
        <f>IF(U$255&gt;3,U$256,"")</f>
        <v/>
      </c>
      <c r="V271" s="159"/>
      <c r="W271" s="387"/>
      <c r="X271" s="154"/>
      <c r="Y271" s="154"/>
      <c r="Z271" s="130"/>
      <c r="AA271" s="130"/>
      <c r="AB271" s="130"/>
      <c r="AC271" s="125"/>
      <c r="AE271" s="154"/>
      <c r="AF271" s="154"/>
      <c r="AG271" s="129"/>
      <c r="AH271" s="130"/>
      <c r="AI271" s="125"/>
      <c r="AK271" s="154"/>
      <c r="AL271" s="154"/>
      <c r="AM271" s="129"/>
      <c r="AN271" s="130"/>
      <c r="AO271" s="125"/>
      <c r="AQ271" s="154"/>
      <c r="AR271" s="154"/>
      <c r="AS271" s="129"/>
      <c r="AT271" s="130"/>
      <c r="AU271" s="125"/>
      <c r="AW271" s="154"/>
      <c r="AX271" s="154"/>
      <c r="AY271" s="129"/>
      <c r="AZ271" s="130"/>
      <c r="BA271" s="125"/>
    </row>
    <row r="272" spans="1:53" ht="17.100000000000001" customHeight="1" x14ac:dyDescent="0.25">
      <c r="A272" s="137"/>
      <c r="B272" s="40"/>
      <c r="C272" s="40">
        <v>5</v>
      </c>
      <c r="D272" s="128" t="s">
        <v>1449</v>
      </c>
      <c r="E272" s="122"/>
      <c r="F272" s="122"/>
      <c r="G272" s="122"/>
      <c r="H272" s="23"/>
      <c r="I272" s="12"/>
      <c r="J272" s="154"/>
      <c r="K272" s="154"/>
      <c r="L272" s="154"/>
      <c r="M272" s="154"/>
      <c r="N272" s="161" t="str">
        <f>IF(N$255&gt;4,N$256,"")</f>
        <v/>
      </c>
      <c r="O272" s="161" t="str">
        <f>IF(O$255&gt;4,O$256,"")</f>
        <v/>
      </c>
      <c r="P272" s="154"/>
      <c r="Q272" s="161">
        <f>IF(Q$255&gt;4,Q$256,"")</f>
        <v>61000</v>
      </c>
      <c r="R272" s="161" t="str">
        <f>IF(R$255&gt;4,R$256,"")</f>
        <v/>
      </c>
      <c r="S272" s="154"/>
      <c r="T272" s="161" t="str">
        <f>IF(T$255&gt;4,T$256,"")</f>
        <v/>
      </c>
      <c r="U272" s="161" t="str">
        <f>IF(U$255&gt;4,U$256,"")</f>
        <v/>
      </c>
      <c r="V272" s="159"/>
      <c r="W272" s="387"/>
      <c r="X272" s="154"/>
      <c r="Y272" s="154"/>
      <c r="Z272" s="130"/>
      <c r="AA272" s="130"/>
      <c r="AB272" s="130"/>
      <c r="AC272" s="125"/>
      <c r="AE272" s="154"/>
      <c r="AF272" s="154"/>
      <c r="AG272" s="129"/>
      <c r="AH272" s="130"/>
      <c r="AI272" s="125"/>
      <c r="AK272" s="154"/>
      <c r="AL272" s="154"/>
      <c r="AM272" s="129"/>
      <c r="AN272" s="130"/>
      <c r="AO272" s="125"/>
      <c r="AQ272" s="154"/>
      <c r="AR272" s="154"/>
      <c r="AS272" s="129"/>
      <c r="AT272" s="130"/>
      <c r="AU272" s="125"/>
      <c r="AW272" s="154"/>
      <c r="AX272" s="154"/>
      <c r="AY272" s="129"/>
      <c r="AZ272" s="130"/>
      <c r="BA272" s="125"/>
    </row>
    <row r="273" spans="1:53" ht="17.100000000000001" customHeight="1" x14ac:dyDescent="0.25">
      <c r="A273" s="137"/>
      <c r="B273" s="40"/>
      <c r="C273" s="40">
        <v>6</v>
      </c>
      <c r="D273" s="128" t="s">
        <v>1449</v>
      </c>
      <c r="E273" s="122"/>
      <c r="F273" s="122"/>
      <c r="G273" s="122"/>
      <c r="H273" s="23"/>
      <c r="I273" s="12"/>
      <c r="J273" s="154"/>
      <c r="K273" s="154"/>
      <c r="L273" s="154"/>
      <c r="M273" s="154"/>
      <c r="N273" s="161" t="str">
        <f>IF(N$255&gt;5,N$256,"")</f>
        <v/>
      </c>
      <c r="O273" s="161" t="str">
        <f>IF(O$255&gt;5,O$256,"")</f>
        <v/>
      </c>
      <c r="P273" s="154"/>
      <c r="Q273" s="161">
        <f>IF(Q$255&gt;5,Q$256,"")</f>
        <v>61000</v>
      </c>
      <c r="R273" s="161" t="str">
        <f>IF(R$255&gt;5,R$256,"")</f>
        <v/>
      </c>
      <c r="S273" s="154"/>
      <c r="T273" s="161" t="str">
        <f>IF(T$255&gt;5,T$256,"")</f>
        <v/>
      </c>
      <c r="U273" s="161" t="str">
        <f>IF(U$255&gt;5,U$256,"")</f>
        <v/>
      </c>
      <c r="V273" s="159"/>
      <c r="W273" s="387"/>
      <c r="X273" s="154"/>
      <c r="Y273" s="154"/>
      <c r="Z273" s="130"/>
      <c r="AA273" s="130"/>
      <c r="AB273" s="130"/>
      <c r="AC273" s="125"/>
      <c r="AE273" s="154"/>
      <c r="AF273" s="154"/>
      <c r="AG273" s="129"/>
      <c r="AH273" s="130"/>
      <c r="AI273" s="125"/>
      <c r="AK273" s="154"/>
      <c r="AL273" s="154"/>
      <c r="AM273" s="129"/>
      <c r="AN273" s="130"/>
      <c r="AO273" s="125"/>
      <c r="AQ273" s="154"/>
      <c r="AR273" s="154"/>
      <c r="AS273" s="129"/>
      <c r="AT273" s="130"/>
      <c r="AU273" s="125"/>
      <c r="AW273" s="154"/>
      <c r="AX273" s="154"/>
      <c r="AY273" s="129"/>
      <c r="AZ273" s="130"/>
      <c r="BA273" s="125"/>
    </row>
    <row r="274" spans="1:53" ht="17.100000000000001" customHeight="1" x14ac:dyDescent="0.25">
      <c r="A274" s="137"/>
      <c r="B274" s="40"/>
      <c r="C274" s="40">
        <v>7</v>
      </c>
      <c r="D274" s="128" t="s">
        <v>1449</v>
      </c>
      <c r="E274" s="122"/>
      <c r="F274" s="122"/>
      <c r="G274" s="122"/>
      <c r="H274" s="23"/>
      <c r="I274" s="12"/>
      <c r="J274" s="154"/>
      <c r="K274" s="154"/>
      <c r="L274" s="154"/>
      <c r="M274" s="154"/>
      <c r="N274" s="161" t="str">
        <f>IF(N$255&gt;6,N$256,"")</f>
        <v/>
      </c>
      <c r="O274" s="161" t="str">
        <f>IF(O$255&gt;6,O$256,"")</f>
        <v/>
      </c>
      <c r="P274" s="154"/>
      <c r="Q274" s="161" t="str">
        <f>IF(Q$255&gt;6,Q$256,"")</f>
        <v/>
      </c>
      <c r="R274" s="161" t="str">
        <f>IF(R$255&gt;6,R$256,"")</f>
        <v/>
      </c>
      <c r="S274" s="154"/>
      <c r="T274" s="161" t="str">
        <f>IF(T$255&gt;6,T$256,"")</f>
        <v/>
      </c>
      <c r="U274" s="161" t="str">
        <f>IF(U$255&gt;6,U$256,"")</f>
        <v/>
      </c>
      <c r="V274" s="159"/>
      <c r="W274" s="387"/>
      <c r="X274" s="154"/>
      <c r="Y274" s="154"/>
      <c r="Z274" s="130"/>
      <c r="AA274" s="130"/>
      <c r="AB274" s="130"/>
      <c r="AC274" s="125"/>
      <c r="AE274" s="154"/>
      <c r="AF274" s="154"/>
      <c r="AG274" s="129"/>
      <c r="AH274" s="130"/>
      <c r="AI274" s="125"/>
      <c r="AK274" s="154"/>
      <c r="AL274" s="154"/>
      <c r="AM274" s="129"/>
      <c r="AN274" s="130"/>
      <c r="AO274" s="125"/>
      <c r="AQ274" s="154"/>
      <c r="AR274" s="154"/>
      <c r="AS274" s="129"/>
      <c r="AT274" s="130"/>
      <c r="AU274" s="125"/>
      <c r="AW274" s="154"/>
      <c r="AX274" s="154"/>
      <c r="AY274" s="129"/>
      <c r="AZ274" s="130"/>
      <c r="BA274" s="125"/>
    </row>
    <row r="275" spans="1:53" ht="17.100000000000001" customHeight="1" x14ac:dyDescent="0.25">
      <c r="A275" s="137"/>
      <c r="B275" s="40"/>
      <c r="C275" s="40">
        <v>8</v>
      </c>
      <c r="D275" s="128" t="s">
        <v>1449</v>
      </c>
      <c r="E275" s="122"/>
      <c r="F275" s="122"/>
      <c r="G275" s="122"/>
      <c r="H275" s="23"/>
      <c r="I275" s="12"/>
      <c r="J275" s="154"/>
      <c r="K275" s="154"/>
      <c r="L275" s="154"/>
      <c r="M275" s="154"/>
      <c r="N275" s="161" t="str">
        <f>IF(N$255&gt;7,N$256,"")</f>
        <v/>
      </c>
      <c r="O275" s="161" t="str">
        <f>IF(O$255&gt;7,O$256,"")</f>
        <v/>
      </c>
      <c r="P275" s="154"/>
      <c r="Q275" s="161" t="str">
        <f>IF(Q$255&gt;7,Q$256,"")</f>
        <v/>
      </c>
      <c r="R275" s="161" t="str">
        <f>IF(R$255&gt;7,R$256,"")</f>
        <v/>
      </c>
      <c r="S275" s="154"/>
      <c r="T275" s="161" t="str">
        <f>IF(T$255&gt;7,T$256,"")</f>
        <v/>
      </c>
      <c r="U275" s="161" t="str">
        <f>IF(U$255&gt;7,U$256,"")</f>
        <v/>
      </c>
      <c r="V275" s="159"/>
      <c r="W275" s="387"/>
      <c r="X275" s="154"/>
      <c r="Y275" s="154"/>
      <c r="Z275" s="130"/>
      <c r="AA275" s="130"/>
      <c r="AB275" s="130"/>
      <c r="AC275" s="125"/>
      <c r="AE275" s="154"/>
      <c r="AF275" s="154"/>
      <c r="AG275" s="129"/>
      <c r="AH275" s="130"/>
      <c r="AI275" s="125"/>
      <c r="AK275" s="154"/>
      <c r="AL275" s="154"/>
      <c r="AM275" s="129"/>
      <c r="AN275" s="130"/>
      <c r="AO275" s="125"/>
      <c r="AQ275" s="154"/>
      <c r="AR275" s="154"/>
      <c r="AS275" s="129"/>
      <c r="AT275" s="130"/>
      <c r="AU275" s="125"/>
      <c r="AW275" s="154"/>
      <c r="AX275" s="154"/>
      <c r="AY275" s="129"/>
      <c r="AZ275" s="130"/>
      <c r="BA275" s="125"/>
    </row>
    <row r="276" spans="1:53" ht="17.100000000000001" customHeight="1" x14ac:dyDescent="0.25">
      <c r="A276" s="137"/>
      <c r="B276" s="40"/>
      <c r="C276" s="40">
        <v>9</v>
      </c>
      <c r="D276" s="128" t="s">
        <v>1449</v>
      </c>
      <c r="E276" s="122"/>
      <c r="F276" s="122"/>
      <c r="G276" s="122"/>
      <c r="H276" s="23"/>
      <c r="I276" s="12"/>
      <c r="J276" s="154"/>
      <c r="K276" s="154"/>
      <c r="L276" s="154"/>
      <c r="M276" s="154"/>
      <c r="N276" s="161" t="str">
        <f>IF(N$255&gt;8,N$256,"")</f>
        <v/>
      </c>
      <c r="O276" s="161" t="str">
        <f>IF(O$255&gt;8,O$256,"")</f>
        <v/>
      </c>
      <c r="P276" s="154"/>
      <c r="Q276" s="161" t="str">
        <f>IF(Q$255&gt;8,Q$256,"")</f>
        <v/>
      </c>
      <c r="R276" s="161" t="str">
        <f>IF(R$255&gt;8,R$256,"")</f>
        <v/>
      </c>
      <c r="S276" s="154"/>
      <c r="T276" s="161" t="str">
        <f>IF(T$255&gt;8,T$256,"")</f>
        <v/>
      </c>
      <c r="U276" s="161" t="str">
        <f>IF(U$255&gt;8,U$256,"")</f>
        <v/>
      </c>
      <c r="V276" s="159"/>
      <c r="W276" s="387"/>
      <c r="X276" s="154"/>
      <c r="Y276" s="154"/>
      <c r="Z276" s="130"/>
      <c r="AA276" s="130"/>
      <c r="AB276" s="130"/>
      <c r="AC276" s="125"/>
      <c r="AE276" s="154"/>
      <c r="AF276" s="154"/>
      <c r="AG276" s="129"/>
      <c r="AH276" s="130"/>
      <c r="AI276" s="125"/>
      <c r="AK276" s="154"/>
      <c r="AL276" s="154"/>
      <c r="AM276" s="129"/>
      <c r="AN276" s="130"/>
      <c r="AO276" s="125"/>
      <c r="AQ276" s="154"/>
      <c r="AR276" s="154"/>
      <c r="AS276" s="129"/>
      <c r="AT276" s="130"/>
      <c r="AU276" s="125"/>
      <c r="AW276" s="154"/>
      <c r="AX276" s="154"/>
      <c r="AY276" s="129"/>
      <c r="AZ276" s="130"/>
      <c r="BA276" s="125"/>
    </row>
    <row r="277" spans="1:53" ht="17.100000000000001" customHeight="1" x14ac:dyDescent="0.25">
      <c r="A277" s="137"/>
      <c r="B277" s="40"/>
      <c r="C277" s="40">
        <v>10</v>
      </c>
      <c r="D277" s="128" t="s">
        <v>1449</v>
      </c>
      <c r="E277" s="122"/>
      <c r="F277" s="122"/>
      <c r="G277" s="122"/>
      <c r="H277" s="23"/>
      <c r="I277" s="12"/>
      <c r="J277" s="154"/>
      <c r="K277" s="154"/>
      <c r="L277" s="154"/>
      <c r="M277" s="154"/>
      <c r="N277" s="161" t="str">
        <f>IF(N$255&gt;9,N$256,"")</f>
        <v/>
      </c>
      <c r="O277" s="161" t="str">
        <f>IF(O$255&gt;9,O$256,"")</f>
        <v/>
      </c>
      <c r="P277" s="154"/>
      <c r="Q277" s="161" t="str">
        <f>IF(Q$255&gt;9,Q$256,"")</f>
        <v/>
      </c>
      <c r="R277" s="161" t="str">
        <f>IF(R$255&gt;9,R$256,"")</f>
        <v/>
      </c>
      <c r="S277" s="154"/>
      <c r="T277" s="161" t="str">
        <f>IF(T$255&gt;9,T$256,"")</f>
        <v/>
      </c>
      <c r="U277" s="161" t="str">
        <f>IF(U$255&gt;9,U$256,"")</f>
        <v/>
      </c>
      <c r="V277" s="159"/>
      <c r="W277" s="387"/>
      <c r="X277" s="154"/>
      <c r="Y277" s="154"/>
      <c r="Z277" s="130"/>
      <c r="AA277" s="130"/>
      <c r="AB277" s="130"/>
      <c r="AC277" s="125"/>
      <c r="AE277" s="154"/>
      <c r="AF277" s="154"/>
      <c r="AG277" s="129"/>
      <c r="AH277" s="130"/>
      <c r="AI277" s="125"/>
      <c r="AK277" s="154"/>
      <c r="AL277" s="154"/>
      <c r="AM277" s="129"/>
      <c r="AN277" s="130"/>
      <c r="AO277" s="125"/>
      <c r="AQ277" s="154"/>
      <c r="AR277" s="154"/>
      <c r="AS277" s="129"/>
      <c r="AT277" s="130"/>
      <c r="AU277" s="125"/>
      <c r="AW277" s="154"/>
      <c r="AX277" s="154"/>
      <c r="AY277" s="129"/>
      <c r="AZ277" s="130"/>
      <c r="BA277" s="125"/>
    </row>
    <row r="278" spans="1:53" s="158" customFormat="1" ht="17.100000000000001" customHeight="1" x14ac:dyDescent="0.25">
      <c r="A278" s="967"/>
      <c r="B278" s="102"/>
      <c r="C278" s="102"/>
      <c r="D278" s="122" t="s">
        <v>1451</v>
      </c>
      <c r="E278" s="122"/>
      <c r="F278" s="122"/>
      <c r="G278" s="122"/>
      <c r="H278" s="23"/>
      <c r="I278" s="12"/>
      <c r="J278" s="160"/>
      <c r="K278" s="160"/>
      <c r="L278" s="160"/>
      <c r="M278" s="160"/>
      <c r="N278" s="160">
        <f>IF(SUM(N254:N255)=0,"",AVERAGE(N258:N277))</f>
        <v>1000000</v>
      </c>
      <c r="O278" s="160">
        <f>IF(SUM(O254:O255)=0,"",AVERAGE(O258:O277))</f>
        <v>1133333.3333333333</v>
      </c>
      <c r="P278" s="160"/>
      <c r="Q278" s="160">
        <f>IF(SUM(Q254:Q255)=0,"",AVERAGE(Q258:Q277))</f>
        <v>61000</v>
      </c>
      <c r="R278" s="160">
        <f>IF(SUM(R254:R255)=0,"",AVERAGE(R258:R277))</f>
        <v>60000</v>
      </c>
      <c r="S278" s="160"/>
      <c r="T278" s="160" t="str">
        <f>IF(SUM(T254:T255)=0,"",AVERAGE(T258:T277))</f>
        <v/>
      </c>
      <c r="U278" s="160" t="str">
        <f>IF(SUM(U254:U255)=0,"",AVERAGE(U258:U277))</f>
        <v/>
      </c>
      <c r="V278" s="947"/>
      <c r="W278" s="948"/>
      <c r="X278" s="160"/>
      <c r="Y278" s="160"/>
      <c r="Z278" s="949"/>
      <c r="AA278" s="975">
        <f>MIN(N278:U278)</f>
        <v>60000</v>
      </c>
      <c r="AB278" s="975">
        <f>MAX(N278:U278)</f>
        <v>1133333.3333333333</v>
      </c>
      <c r="AC278" s="124">
        <f>IF(SUM(N278:U278)=0,0,AVERAGE(N278:U278))</f>
        <v>563583.33333333326</v>
      </c>
      <c r="AE278" s="160"/>
      <c r="AF278" s="160"/>
      <c r="AG278" s="129"/>
      <c r="AH278" s="949"/>
      <c r="AI278" s="904"/>
      <c r="AK278" s="160"/>
      <c r="AL278" s="160"/>
      <c r="AM278" s="129"/>
      <c r="AN278" s="949"/>
      <c r="AO278" s="904"/>
      <c r="AQ278" s="160">
        <f>MIN(N278,Q278,T278)</f>
        <v>61000</v>
      </c>
      <c r="AR278" s="160">
        <f>MAX(N278,Q278,T278)</f>
        <v>1000000</v>
      </c>
      <c r="AS278" s="129">
        <f>AVERAGE(N278,Q278,T278)</f>
        <v>530500</v>
      </c>
      <c r="AT278" s="949"/>
      <c r="AU278" s="904"/>
      <c r="AW278" s="160">
        <f>MIN(O278,R278,U278)</f>
        <v>60000</v>
      </c>
      <c r="AX278" s="160">
        <f>MAX(O278,R278,U278)</f>
        <v>1133333.3333333333</v>
      </c>
      <c r="AY278" s="129">
        <f>AVERAGE(O278,R278,U278)</f>
        <v>596666.66666666663</v>
      </c>
      <c r="AZ278" s="949"/>
      <c r="BA278" s="904"/>
    </row>
    <row r="279" spans="1:53" ht="17.100000000000001" customHeight="1" x14ac:dyDescent="0.25">
      <c r="A279" s="40"/>
      <c r="B279" s="40"/>
      <c r="C279" s="40"/>
      <c r="D279" s="128"/>
      <c r="E279" s="122"/>
      <c r="F279" s="122"/>
      <c r="G279" s="122"/>
      <c r="H279" s="23"/>
      <c r="I279" s="12"/>
      <c r="J279" s="154"/>
      <c r="K279" s="154"/>
      <c r="L279" s="154"/>
      <c r="M279" s="154"/>
      <c r="N279" s="154"/>
      <c r="O279" s="154"/>
      <c r="P279" s="154"/>
      <c r="Q279" s="154"/>
      <c r="R279" s="154"/>
      <c r="S279" s="154"/>
      <c r="T279" s="154"/>
      <c r="U279" s="154"/>
      <c r="V279" s="159"/>
      <c r="W279" s="387"/>
      <c r="X279" s="154"/>
      <c r="Y279" s="154"/>
      <c r="Z279" s="130"/>
      <c r="AA279" s="130"/>
      <c r="AB279" s="130"/>
      <c r="AC279" s="125"/>
      <c r="AE279" s="154"/>
      <c r="AF279" s="154"/>
      <c r="AG279" s="129"/>
      <c r="AH279" s="130"/>
      <c r="AI279" s="125"/>
      <c r="AK279" s="154"/>
      <c r="AL279" s="154"/>
      <c r="AM279" s="129"/>
      <c r="AN279" s="130"/>
      <c r="AO279" s="125"/>
      <c r="AQ279" s="154"/>
      <c r="AR279" s="154"/>
      <c r="AS279" s="129"/>
      <c r="AT279" s="130"/>
      <c r="AU279" s="125"/>
      <c r="AW279" s="154"/>
      <c r="AX279" s="154"/>
      <c r="AY279" s="129"/>
      <c r="AZ279" s="130"/>
      <c r="BA279" s="125"/>
    </row>
    <row r="280" spans="1:53" s="97" customFormat="1" ht="17.100000000000001" customHeight="1" x14ac:dyDescent="0.25">
      <c r="A280" s="68"/>
      <c r="B280" s="68"/>
      <c r="C280" s="92"/>
      <c r="D280" s="305"/>
      <c r="E280" s="305"/>
      <c r="F280" s="305"/>
      <c r="G280" s="305"/>
      <c r="H280" s="207"/>
      <c r="I280" s="207"/>
    </row>
    <row r="281" spans="1:53" s="32" customFormat="1" ht="16.5" thickBot="1" x14ac:dyDescent="0.3">
      <c r="A281" s="24" t="s">
        <v>287</v>
      </c>
      <c r="B281" s="25" t="s">
        <v>288</v>
      </c>
      <c r="C281" s="26"/>
      <c r="D281" s="27"/>
      <c r="E281" s="27"/>
      <c r="F281" s="27"/>
      <c r="G281" s="28"/>
      <c r="H281" s="310"/>
      <c r="I281" s="228"/>
      <c r="J281" s="140"/>
      <c r="K281" s="140"/>
      <c r="L281" s="140"/>
      <c r="M281" s="140"/>
      <c r="N281" s="140"/>
      <c r="O281" s="140"/>
      <c r="P281" s="140"/>
      <c r="Q281" s="140"/>
      <c r="R281" s="140"/>
      <c r="S281" s="140"/>
      <c r="T281" s="140"/>
      <c r="U281" s="140"/>
      <c r="V281" s="140"/>
      <c r="W281" s="140"/>
      <c r="X281" s="140"/>
      <c r="Y281" s="140"/>
      <c r="Z281" s="30" t="s">
        <v>5</v>
      </c>
      <c r="AA281" s="30"/>
      <c r="AB281" s="30"/>
      <c r="AC281" s="188"/>
      <c r="AE281" s="33" t="s">
        <v>181</v>
      </c>
      <c r="AF281" s="33" t="s">
        <v>182</v>
      </c>
      <c r="AG281" s="33" t="s">
        <v>6</v>
      </c>
      <c r="AH281" s="33" t="s">
        <v>4</v>
      </c>
      <c r="AI281" s="34" t="s">
        <v>5</v>
      </c>
      <c r="AJ281" s="35"/>
      <c r="AK281" s="36" t="s">
        <v>181</v>
      </c>
      <c r="AL281" s="36" t="s">
        <v>182</v>
      </c>
      <c r="AM281" s="36" t="s">
        <v>6</v>
      </c>
      <c r="AN281" s="36" t="s">
        <v>4</v>
      </c>
      <c r="AO281" s="37" t="s">
        <v>5</v>
      </c>
      <c r="AQ281" s="398" t="s">
        <v>181</v>
      </c>
      <c r="AR281" s="398" t="s">
        <v>182</v>
      </c>
      <c r="AS281" s="398" t="s">
        <v>6</v>
      </c>
      <c r="AT281" s="398" t="s">
        <v>4</v>
      </c>
      <c r="AU281" s="399" t="s">
        <v>5</v>
      </c>
      <c r="AW281" s="38" t="s">
        <v>181</v>
      </c>
      <c r="AX281" s="38" t="s">
        <v>182</v>
      </c>
      <c r="AY281" s="38" t="s">
        <v>6</v>
      </c>
      <c r="AZ281" s="423" t="s">
        <v>4</v>
      </c>
      <c r="BA281" s="39" t="s">
        <v>5</v>
      </c>
    </row>
    <row r="282" spans="1:53" ht="17.100000000000001" customHeight="1" x14ac:dyDescent="0.25">
      <c r="A282" s="40"/>
      <c r="B282" s="41" t="s">
        <v>289</v>
      </c>
      <c r="C282" s="69" t="s">
        <v>620</v>
      </c>
      <c r="D282" s="43"/>
      <c r="E282" s="43"/>
      <c r="F282" s="43"/>
      <c r="G282" s="44"/>
      <c r="H282" s="321"/>
      <c r="I282" s="229"/>
      <c r="J282" s="71"/>
      <c r="K282" s="71"/>
      <c r="L282" s="71"/>
      <c r="M282" s="71"/>
      <c r="N282" s="71"/>
      <c r="O282" s="71"/>
      <c r="P282" s="71"/>
      <c r="Q282" s="71"/>
      <c r="R282" s="71"/>
      <c r="S282" s="71"/>
      <c r="T282" s="71"/>
      <c r="U282" s="71"/>
      <c r="V282" s="71"/>
      <c r="W282" s="71"/>
      <c r="X282" s="71"/>
      <c r="Y282" s="71"/>
      <c r="Z282" s="73"/>
      <c r="AA282" s="73"/>
      <c r="AB282" s="73"/>
      <c r="AC282" s="73"/>
      <c r="AE282" s="71"/>
      <c r="AF282" s="71"/>
      <c r="AG282" s="273"/>
      <c r="AH282" s="73"/>
      <c r="AI282" s="73"/>
      <c r="AK282" s="71"/>
      <c r="AL282" s="71"/>
      <c r="AM282" s="273"/>
      <c r="AN282" s="73"/>
      <c r="AO282" s="73"/>
      <c r="AQ282" s="71"/>
      <c r="AR282" s="71"/>
      <c r="AS282" s="273"/>
      <c r="AT282" s="73"/>
      <c r="AU282" s="73"/>
      <c r="AW282" s="71"/>
      <c r="AX282" s="71"/>
      <c r="AY282" s="273"/>
      <c r="AZ282" s="73"/>
      <c r="BA282" s="73"/>
    </row>
    <row r="283" spans="1:53" ht="17.100000000000001" customHeight="1" x14ac:dyDescent="0.25">
      <c r="A283" s="40"/>
      <c r="B283" s="40"/>
      <c r="C283" s="74" t="s">
        <v>291</v>
      </c>
      <c r="D283" s="75" t="s">
        <v>292</v>
      </c>
      <c r="E283" s="105"/>
      <c r="F283" s="75"/>
      <c r="G283" s="76"/>
      <c r="H283" s="647"/>
      <c r="I283" s="229"/>
      <c r="J283" s="111"/>
      <c r="K283" s="111"/>
      <c r="L283" s="111"/>
      <c r="M283" s="111"/>
      <c r="N283" s="60"/>
      <c r="O283" s="60"/>
      <c r="P283" s="17">
        <f t="shared" ref="P283:P286" si="272">SUM(N283:O283)</f>
        <v>0</v>
      </c>
      <c r="Q283" s="60"/>
      <c r="R283" s="60"/>
      <c r="S283" s="17">
        <f t="shared" ref="S283:S286" si="273">SUM(Q283:R283)</f>
        <v>0</v>
      </c>
      <c r="T283" s="60"/>
      <c r="U283" s="60"/>
      <c r="V283" s="17">
        <f t="shared" ref="V283:V286" si="274">SUM(T283:U283)</f>
        <v>0</v>
      </c>
      <c r="W283" s="391">
        <f t="shared" ref="W283:W286" si="275">J283+K283+N283+Q283+T283</f>
        <v>0</v>
      </c>
      <c r="X283" s="17">
        <f t="shared" ref="X283:X286" si="276">L283+O283+R283+U283</f>
        <v>0</v>
      </c>
      <c r="Y283" s="18">
        <f t="shared" ref="Y283:Y286" si="277">SUM(W283:X283)</f>
        <v>0</v>
      </c>
      <c r="Z283" s="19">
        <f>IF(Y$287=0,0,Y283/Y$287)</f>
        <v>0</v>
      </c>
      <c r="AA283" s="19"/>
      <c r="AB283" s="19"/>
      <c r="AC283" s="20"/>
      <c r="AE283" s="111"/>
      <c r="AF283" s="111"/>
      <c r="AG283" s="111"/>
      <c r="AH283" s="651"/>
      <c r="AI283" s="131"/>
      <c r="AK283" s="111"/>
      <c r="AL283" s="111"/>
      <c r="AM283" s="111"/>
      <c r="AN283" s="651"/>
      <c r="AO283" s="131"/>
      <c r="AQ283" s="17"/>
      <c r="AR283" s="17"/>
      <c r="AS283" s="17"/>
      <c r="AT283" s="424">
        <f>W283</f>
        <v>0</v>
      </c>
      <c r="AU283" s="19">
        <f>IF(AT$287=0,0,AT283/AT$287)</f>
        <v>0</v>
      </c>
      <c r="AW283" s="17"/>
      <c r="AX283" s="17"/>
      <c r="AY283" s="17"/>
      <c r="AZ283" s="424">
        <f>X283</f>
        <v>0</v>
      </c>
      <c r="BA283" s="19">
        <f>IF(AZ$287=0,0,AZ283/AZ$287)</f>
        <v>0</v>
      </c>
    </row>
    <row r="284" spans="1:53" ht="17.100000000000001" customHeight="1" x14ac:dyDescent="0.25">
      <c r="A284" s="40"/>
      <c r="B284" s="40"/>
      <c r="C284" s="74" t="s">
        <v>293</v>
      </c>
      <c r="D284" s="75" t="s">
        <v>11</v>
      </c>
      <c r="E284" s="105"/>
      <c r="F284" s="75"/>
      <c r="G284" s="75"/>
      <c r="H284" s="647"/>
      <c r="I284" s="229"/>
      <c r="J284" s="111"/>
      <c r="K284" s="111"/>
      <c r="L284" s="111"/>
      <c r="M284" s="111"/>
      <c r="N284" s="61"/>
      <c r="O284" s="61"/>
      <c r="P284" s="17">
        <f t="shared" si="272"/>
        <v>0</v>
      </c>
      <c r="Q284" s="61">
        <v>3</v>
      </c>
      <c r="R284" s="61"/>
      <c r="S284" s="17">
        <f t="shared" si="273"/>
        <v>3</v>
      </c>
      <c r="T284" s="61"/>
      <c r="U284" s="61"/>
      <c r="V284" s="17">
        <f t="shared" si="274"/>
        <v>0</v>
      </c>
      <c r="W284" s="391">
        <f t="shared" si="275"/>
        <v>3</v>
      </c>
      <c r="X284" s="17">
        <f t="shared" si="276"/>
        <v>0</v>
      </c>
      <c r="Y284" s="18">
        <f t="shared" si="277"/>
        <v>3</v>
      </c>
      <c r="Z284" s="19">
        <f t="shared" ref="Z284:Z287" si="278">IF(Y$287=0,0,Y284/Y$287)</f>
        <v>0.1875</v>
      </c>
      <c r="AA284" s="19"/>
      <c r="AB284" s="19"/>
      <c r="AC284" s="20"/>
      <c r="AE284" s="111"/>
      <c r="AF284" s="111"/>
      <c r="AG284" s="111"/>
      <c r="AH284" s="651"/>
      <c r="AI284" s="131"/>
      <c r="AK284" s="111"/>
      <c r="AL284" s="111"/>
      <c r="AM284" s="111"/>
      <c r="AN284" s="651"/>
      <c r="AO284" s="131"/>
      <c r="AQ284" s="17"/>
      <c r="AR284" s="17"/>
      <c r="AS284" s="17"/>
      <c r="AT284" s="424">
        <f t="shared" ref="AT284:AT286" si="279">W284</f>
        <v>3</v>
      </c>
      <c r="AU284" s="19">
        <f t="shared" ref="AU284:AU287" si="280">IF(AT$287=0,0,AT284/AT$287)</f>
        <v>0.33333333333333331</v>
      </c>
      <c r="AW284" s="17"/>
      <c r="AX284" s="17"/>
      <c r="AY284" s="17"/>
      <c r="AZ284" s="424">
        <f t="shared" ref="AZ284:AZ286" si="281">X284</f>
        <v>0</v>
      </c>
      <c r="BA284" s="19">
        <f t="shared" ref="BA284:BA287" si="282">IF(AZ$287=0,0,AZ284/AZ$287)</f>
        <v>0</v>
      </c>
    </row>
    <row r="285" spans="1:53" ht="17.100000000000001" customHeight="1" x14ac:dyDescent="0.25">
      <c r="A285" s="40"/>
      <c r="B285" s="40"/>
      <c r="C285" s="74" t="s">
        <v>294</v>
      </c>
      <c r="D285" s="75" t="s">
        <v>295</v>
      </c>
      <c r="E285" s="105"/>
      <c r="F285" s="75"/>
      <c r="G285" s="75"/>
      <c r="H285" s="23"/>
      <c r="I285" s="229"/>
      <c r="J285" s="111"/>
      <c r="K285" s="111"/>
      <c r="L285" s="111"/>
      <c r="M285" s="111"/>
      <c r="N285" s="60"/>
      <c r="O285" s="60"/>
      <c r="P285" s="17">
        <f t="shared" si="272"/>
        <v>0</v>
      </c>
      <c r="Q285" s="60">
        <v>2</v>
      </c>
      <c r="R285" s="60"/>
      <c r="S285" s="17">
        <f t="shared" si="273"/>
        <v>2</v>
      </c>
      <c r="T285" s="60"/>
      <c r="U285" s="60"/>
      <c r="V285" s="17">
        <f t="shared" si="274"/>
        <v>0</v>
      </c>
      <c r="W285" s="391">
        <f t="shared" si="275"/>
        <v>2</v>
      </c>
      <c r="X285" s="17">
        <f t="shared" si="276"/>
        <v>0</v>
      </c>
      <c r="Y285" s="18">
        <f t="shared" si="277"/>
        <v>2</v>
      </c>
      <c r="Z285" s="19">
        <f t="shared" si="278"/>
        <v>0.125</v>
      </c>
      <c r="AA285" s="19"/>
      <c r="AB285" s="19"/>
      <c r="AC285" s="20"/>
      <c r="AE285" s="111"/>
      <c r="AF285" s="111"/>
      <c r="AG285" s="111"/>
      <c r="AH285" s="651"/>
      <c r="AI285" s="131"/>
      <c r="AK285" s="111"/>
      <c r="AL285" s="111"/>
      <c r="AM285" s="111"/>
      <c r="AN285" s="651"/>
      <c r="AO285" s="131"/>
      <c r="AQ285" s="17"/>
      <c r="AR285" s="17"/>
      <c r="AS285" s="17"/>
      <c r="AT285" s="424">
        <f t="shared" si="279"/>
        <v>2</v>
      </c>
      <c r="AU285" s="19">
        <f t="shared" si="280"/>
        <v>0.22222222222222221</v>
      </c>
      <c r="AW285" s="17"/>
      <c r="AX285" s="17"/>
      <c r="AY285" s="17"/>
      <c r="AZ285" s="424">
        <f t="shared" si="281"/>
        <v>0</v>
      </c>
      <c r="BA285" s="19">
        <f t="shared" si="282"/>
        <v>0</v>
      </c>
    </row>
    <row r="286" spans="1:53" ht="17.100000000000001" customHeight="1" x14ac:dyDescent="0.25">
      <c r="A286" s="40"/>
      <c r="B286" s="40"/>
      <c r="C286" s="74" t="s">
        <v>296</v>
      </c>
      <c r="D286" s="75" t="s">
        <v>9</v>
      </c>
      <c r="E286" s="105"/>
      <c r="F286" s="75"/>
      <c r="G286" s="75"/>
      <c r="H286" s="23"/>
      <c r="I286" s="229"/>
      <c r="J286" s="111"/>
      <c r="K286" s="111"/>
      <c r="L286" s="111"/>
      <c r="M286" s="111"/>
      <c r="N286" s="61">
        <v>3</v>
      </c>
      <c r="O286" s="61">
        <v>6</v>
      </c>
      <c r="P286" s="17">
        <f t="shared" si="272"/>
        <v>9</v>
      </c>
      <c r="Q286" s="61">
        <v>1</v>
      </c>
      <c r="R286" s="61">
        <v>1</v>
      </c>
      <c r="S286" s="17">
        <f t="shared" si="273"/>
        <v>2</v>
      </c>
      <c r="T286" s="61"/>
      <c r="U286" s="61"/>
      <c r="V286" s="17">
        <f t="shared" si="274"/>
        <v>0</v>
      </c>
      <c r="W286" s="391">
        <f t="shared" si="275"/>
        <v>4</v>
      </c>
      <c r="X286" s="17">
        <f t="shared" si="276"/>
        <v>7</v>
      </c>
      <c r="Y286" s="18">
        <f t="shared" si="277"/>
        <v>11</v>
      </c>
      <c r="Z286" s="19">
        <f t="shared" si="278"/>
        <v>0.6875</v>
      </c>
      <c r="AA286" s="19"/>
      <c r="AB286" s="19"/>
      <c r="AC286" s="20"/>
      <c r="AE286" s="111"/>
      <c r="AF286" s="111"/>
      <c r="AG286" s="111"/>
      <c r="AH286" s="651"/>
      <c r="AI286" s="131"/>
      <c r="AK286" s="111"/>
      <c r="AL286" s="111"/>
      <c r="AM286" s="111"/>
      <c r="AN286" s="651"/>
      <c r="AO286" s="131"/>
      <c r="AQ286" s="17"/>
      <c r="AR286" s="17"/>
      <c r="AS286" s="17"/>
      <c r="AT286" s="424">
        <f t="shared" si="279"/>
        <v>4</v>
      </c>
      <c r="AU286" s="19">
        <f t="shared" si="280"/>
        <v>0.44444444444444442</v>
      </c>
      <c r="AW286" s="17"/>
      <c r="AX286" s="17"/>
      <c r="AY286" s="17"/>
      <c r="AZ286" s="424">
        <f t="shared" si="281"/>
        <v>7</v>
      </c>
      <c r="BA286" s="19">
        <f t="shared" si="282"/>
        <v>1</v>
      </c>
    </row>
    <row r="287" spans="1:53" ht="17.100000000000001" customHeight="1" x14ac:dyDescent="0.25">
      <c r="A287" s="40"/>
      <c r="B287" s="40"/>
      <c r="C287" s="292"/>
      <c r="D287" s="144"/>
      <c r="E287" s="144"/>
      <c r="F287" s="145"/>
      <c r="G287" s="145"/>
      <c r="H287" s="119"/>
      <c r="I287" s="236"/>
      <c r="J287" s="80"/>
      <c r="K287" s="80"/>
      <c r="L287" s="81"/>
      <c r="M287" s="81"/>
      <c r="N287" s="81">
        <f>SUM(N283:N286)</f>
        <v>3</v>
      </c>
      <c r="O287" s="81">
        <f t="shared" ref="O287:V287" si="283">SUM(O283:O286)</f>
        <v>6</v>
      </c>
      <c r="P287" s="81">
        <f t="shared" si="283"/>
        <v>9</v>
      </c>
      <c r="Q287" s="81">
        <f t="shared" si="283"/>
        <v>6</v>
      </c>
      <c r="R287" s="81">
        <f t="shared" si="283"/>
        <v>1</v>
      </c>
      <c r="S287" s="81">
        <f t="shared" si="283"/>
        <v>7</v>
      </c>
      <c r="T287" s="81">
        <f t="shared" si="283"/>
        <v>0</v>
      </c>
      <c r="U287" s="81">
        <f t="shared" si="283"/>
        <v>0</v>
      </c>
      <c r="V287" s="81">
        <f t="shared" si="283"/>
        <v>0</v>
      </c>
      <c r="W287" s="82">
        <f>SUM(W283:W286)</f>
        <v>9</v>
      </c>
      <c r="X287" s="82">
        <f t="shared" ref="X287:Y287" si="284">SUM(X283:X286)</f>
        <v>7</v>
      </c>
      <c r="Y287" s="82">
        <f t="shared" si="284"/>
        <v>16</v>
      </c>
      <c r="Z287" s="66">
        <f t="shared" si="278"/>
        <v>1</v>
      </c>
      <c r="AA287" s="205"/>
      <c r="AB287" s="205"/>
      <c r="AC287" s="83"/>
      <c r="AE287" s="81"/>
      <c r="AF287" s="81"/>
      <c r="AG287" s="82"/>
      <c r="AH287" s="82"/>
      <c r="AI287" s="66"/>
      <c r="AK287" s="81"/>
      <c r="AL287" s="81"/>
      <c r="AM287" s="82"/>
      <c r="AN287" s="82"/>
      <c r="AO287" s="66"/>
      <c r="AQ287" s="81"/>
      <c r="AR287" s="81"/>
      <c r="AS287" s="82"/>
      <c r="AT287" s="81">
        <f>SUM(AT283:AT286)</f>
        <v>9</v>
      </c>
      <c r="AU287" s="66">
        <f t="shared" si="280"/>
        <v>1</v>
      </c>
      <c r="AW287" s="81"/>
      <c r="AX287" s="81"/>
      <c r="AY287" s="82"/>
      <c r="AZ287" s="81">
        <f>SUM(AZ283:AZ286)</f>
        <v>7</v>
      </c>
      <c r="BA287" s="66">
        <f t="shared" si="282"/>
        <v>1</v>
      </c>
    </row>
    <row r="288" spans="1:53" s="117" customFormat="1" ht="17.100000000000001" customHeight="1" x14ac:dyDescent="0.25">
      <c r="A288" s="68"/>
      <c r="B288" s="119"/>
      <c r="C288" s="647"/>
      <c r="D288" s="261"/>
      <c r="E288" s="261"/>
      <c r="F288" s="68"/>
      <c r="G288" s="68"/>
      <c r="H288" s="119"/>
      <c r="I288" s="138"/>
      <c r="J288" s="17"/>
      <c r="K288" s="17"/>
      <c r="L288" s="17"/>
      <c r="M288" s="17"/>
      <c r="N288" s="17" t="str">
        <f>IF(N287=N$20,"OK","NOK")</f>
        <v>OK</v>
      </c>
      <c r="O288" s="17" t="str">
        <f>IF(O287=O$20,"OK","NOK")</f>
        <v>OK</v>
      </c>
      <c r="P288" s="17"/>
      <c r="Q288" s="17" t="str">
        <f>IF(Q287=Q$20,"OK","NOK")</f>
        <v>OK</v>
      </c>
      <c r="R288" s="17" t="str">
        <f>IF(R287=R$20,"OK","NOK")</f>
        <v>OK</v>
      </c>
      <c r="S288" s="17"/>
      <c r="T288" s="17" t="str">
        <f>IF(T287=T$20,"OK","NOK")</f>
        <v>OK</v>
      </c>
      <c r="U288" s="17" t="str">
        <f>IF(U287=U$20,"OK","NOK")</f>
        <v>OK</v>
      </c>
      <c r="V288" s="359"/>
      <c r="W288" s="382"/>
      <c r="X288" s="646"/>
      <c r="Y288" s="646"/>
      <c r="Z288" s="201"/>
      <c r="AA288" s="201"/>
      <c r="AB288" s="201"/>
      <c r="AC288" s="84"/>
      <c r="AE288" s="46"/>
      <c r="AF288" s="46"/>
      <c r="AG288" s="17"/>
      <c r="AH288" s="646"/>
      <c r="AI288" s="91"/>
      <c r="AK288" s="46"/>
      <c r="AL288" s="46"/>
      <c r="AM288" s="17"/>
      <c r="AN288" s="646"/>
      <c r="AO288" s="91"/>
      <c r="AQ288" s="46"/>
      <c r="AR288" s="46"/>
      <c r="AS288" s="17"/>
      <c r="AT288" s="646"/>
      <c r="AU288" s="91"/>
      <c r="AW288" s="46"/>
      <c r="AX288" s="46"/>
      <c r="AY288" s="17"/>
      <c r="AZ288" s="646"/>
      <c r="BA288" s="91"/>
    </row>
    <row r="289" spans="1:53" ht="17.100000000000001" customHeight="1" x14ac:dyDescent="0.25">
      <c r="A289" s="40"/>
      <c r="B289" s="41" t="s">
        <v>297</v>
      </c>
      <c r="C289" s="69" t="s">
        <v>290</v>
      </c>
      <c r="D289" s="322"/>
      <c r="E289" s="322"/>
      <c r="F289" s="301"/>
      <c r="G289" s="301"/>
      <c r="H289" s="119"/>
      <c r="I289" s="236"/>
      <c r="J289" s="87"/>
      <c r="K289" s="87"/>
      <c r="L289" s="71"/>
      <c r="M289" s="71"/>
      <c r="N289" s="71"/>
      <c r="O289" s="71"/>
      <c r="P289" s="71"/>
      <c r="Q289" s="71"/>
      <c r="R289" s="71"/>
      <c r="S289" s="71"/>
      <c r="T289" s="71"/>
      <c r="U289" s="71"/>
      <c r="V289" s="71"/>
      <c r="W289" s="89"/>
      <c r="X289" s="89"/>
      <c r="Y289" s="89"/>
      <c r="Z289" s="323"/>
      <c r="AA289" s="323"/>
      <c r="AB289" s="323"/>
      <c r="AC289" s="73"/>
      <c r="AE289" s="71"/>
      <c r="AF289" s="71"/>
      <c r="AG289" s="89"/>
      <c r="AH289" s="90"/>
      <c r="AI289" s="73"/>
      <c r="AK289" s="71"/>
      <c r="AL289" s="71"/>
      <c r="AM289" s="89"/>
      <c r="AN289" s="90"/>
      <c r="AO289" s="73"/>
      <c r="AQ289" s="71"/>
      <c r="AR289" s="71"/>
      <c r="AS289" s="89"/>
      <c r="AT289" s="90"/>
      <c r="AU289" s="73"/>
      <c r="AW289" s="71"/>
      <c r="AX289" s="71"/>
      <c r="AY289" s="89"/>
      <c r="AZ289" s="90"/>
      <c r="BA289" s="73"/>
    </row>
    <row r="290" spans="1:53" ht="17.100000000000001" customHeight="1" x14ac:dyDescent="0.25">
      <c r="A290" s="40"/>
      <c r="B290" s="40"/>
      <c r="C290" s="74" t="s">
        <v>298</v>
      </c>
      <c r="D290" s="75" t="s">
        <v>292</v>
      </c>
      <c r="E290" s="105"/>
      <c r="F290" s="75"/>
      <c r="G290" s="76"/>
      <c r="H290" s="647"/>
      <c r="I290" s="229"/>
      <c r="J290" s="111"/>
      <c r="K290" s="111"/>
      <c r="L290" s="111"/>
      <c r="M290" s="111"/>
      <c r="N290" s="60"/>
      <c r="O290" s="60"/>
      <c r="P290" s="17">
        <f t="shared" ref="P290:P293" si="285">SUM(N290:O290)</f>
        <v>0</v>
      </c>
      <c r="Q290" s="60"/>
      <c r="R290" s="60"/>
      <c r="S290" s="17">
        <f t="shared" ref="S290:S293" si="286">SUM(Q290:R290)</f>
        <v>0</v>
      </c>
      <c r="T290" s="60"/>
      <c r="U290" s="60"/>
      <c r="V290" s="17">
        <f t="shared" ref="V290:V293" si="287">SUM(T290:U290)</f>
        <v>0</v>
      </c>
      <c r="W290" s="391">
        <f t="shared" ref="W290:W293" si="288">J290+K290+N290+Q290+T290</f>
        <v>0</v>
      </c>
      <c r="X290" s="17">
        <f t="shared" ref="X290:X293" si="289">L290+O290+R290+U290</f>
        <v>0</v>
      </c>
      <c r="Y290" s="18">
        <f t="shared" ref="Y290:Y293" si="290">SUM(W290:X290)</f>
        <v>0</v>
      </c>
      <c r="Z290" s="19">
        <f>IF(Y$294=0,0,Y290/Y$294)</f>
        <v>0</v>
      </c>
      <c r="AA290" s="19"/>
      <c r="AB290" s="19"/>
      <c r="AC290" s="20"/>
      <c r="AE290" s="111"/>
      <c r="AF290" s="111"/>
      <c r="AG290" s="111"/>
      <c r="AH290" s="651"/>
      <c r="AI290" s="131"/>
      <c r="AK290" s="111"/>
      <c r="AL290" s="111"/>
      <c r="AM290" s="111"/>
      <c r="AN290" s="651"/>
      <c r="AO290" s="131"/>
      <c r="AQ290" s="17"/>
      <c r="AR290" s="17"/>
      <c r="AS290" s="17"/>
      <c r="AT290" s="424">
        <f>W290</f>
        <v>0</v>
      </c>
      <c r="AU290" s="19">
        <f>IF(AT$294=0,0,AT290/AT$294)</f>
        <v>0</v>
      </c>
      <c r="AW290" s="17"/>
      <c r="AX290" s="17"/>
      <c r="AY290" s="17"/>
      <c r="AZ290" s="424">
        <f>X290</f>
        <v>0</v>
      </c>
      <c r="BA290" s="19">
        <f>IF(AZ$294=0,0,AZ290/AZ$294)</f>
        <v>0</v>
      </c>
    </row>
    <row r="291" spans="1:53" ht="17.100000000000001" customHeight="1" x14ac:dyDescent="0.25">
      <c r="A291" s="40"/>
      <c r="B291" s="40"/>
      <c r="C291" s="74" t="s">
        <v>299</v>
      </c>
      <c r="D291" s="75" t="s">
        <v>11</v>
      </c>
      <c r="E291" s="105"/>
      <c r="F291" s="75"/>
      <c r="G291" s="75"/>
      <c r="H291" s="647"/>
      <c r="I291" s="229"/>
      <c r="J291" s="111"/>
      <c r="K291" s="111"/>
      <c r="L291" s="111"/>
      <c r="M291" s="111"/>
      <c r="N291" s="61"/>
      <c r="O291" s="61"/>
      <c r="P291" s="17">
        <f t="shared" si="285"/>
        <v>0</v>
      </c>
      <c r="Q291" s="61">
        <v>6</v>
      </c>
      <c r="R291" s="61">
        <v>1</v>
      </c>
      <c r="S291" s="17">
        <f t="shared" si="286"/>
        <v>7</v>
      </c>
      <c r="T291" s="61"/>
      <c r="U291" s="61"/>
      <c r="V291" s="17">
        <f t="shared" si="287"/>
        <v>0</v>
      </c>
      <c r="W291" s="391">
        <f t="shared" si="288"/>
        <v>6</v>
      </c>
      <c r="X291" s="17">
        <f t="shared" si="289"/>
        <v>1</v>
      </c>
      <c r="Y291" s="18">
        <f t="shared" si="290"/>
        <v>7</v>
      </c>
      <c r="Z291" s="19">
        <f t="shared" ref="Z291:Z294" si="291">IF(Y$294=0,0,Y291/Y$294)</f>
        <v>0.4375</v>
      </c>
      <c r="AA291" s="19"/>
      <c r="AB291" s="19"/>
      <c r="AC291" s="20"/>
      <c r="AE291" s="111"/>
      <c r="AF291" s="111"/>
      <c r="AG291" s="111"/>
      <c r="AH291" s="651"/>
      <c r="AI291" s="131"/>
      <c r="AK291" s="111"/>
      <c r="AL291" s="111"/>
      <c r="AM291" s="111"/>
      <c r="AN291" s="651"/>
      <c r="AO291" s="131"/>
      <c r="AQ291" s="17"/>
      <c r="AR291" s="17"/>
      <c r="AS291" s="17"/>
      <c r="AT291" s="424">
        <f t="shared" ref="AT291:AT293" si="292">W291</f>
        <v>6</v>
      </c>
      <c r="AU291" s="19">
        <f t="shared" ref="AU291:AU294" si="293">IF(AT$294=0,0,AT291/AT$294)</f>
        <v>0.66666666666666663</v>
      </c>
      <c r="AW291" s="17"/>
      <c r="AX291" s="17"/>
      <c r="AY291" s="17"/>
      <c r="AZ291" s="424">
        <f t="shared" ref="AZ291:AZ293" si="294">X291</f>
        <v>1</v>
      </c>
      <c r="BA291" s="19">
        <f t="shared" ref="BA291:BA294" si="295">IF(AZ$294=0,0,AZ291/AZ$294)</f>
        <v>0.14285714285714285</v>
      </c>
    </row>
    <row r="292" spans="1:53" ht="17.100000000000001" customHeight="1" x14ac:dyDescent="0.25">
      <c r="A292" s="40"/>
      <c r="B292" s="40"/>
      <c r="C292" s="74" t="s">
        <v>301</v>
      </c>
      <c r="D292" s="75" t="s">
        <v>295</v>
      </c>
      <c r="E292" s="105"/>
      <c r="F292" s="75"/>
      <c r="G292" s="75"/>
      <c r="H292" s="23"/>
      <c r="I292" s="229"/>
      <c r="J292" s="111"/>
      <c r="K292" s="111"/>
      <c r="L292" s="111"/>
      <c r="M292" s="111"/>
      <c r="N292" s="60">
        <v>3</v>
      </c>
      <c r="O292" s="60">
        <v>6</v>
      </c>
      <c r="P292" s="17">
        <f t="shared" si="285"/>
        <v>9</v>
      </c>
      <c r="Q292" s="60"/>
      <c r="R292" s="60"/>
      <c r="S292" s="17">
        <f t="shared" si="286"/>
        <v>0</v>
      </c>
      <c r="T292" s="60"/>
      <c r="U292" s="60"/>
      <c r="V292" s="17">
        <f t="shared" si="287"/>
        <v>0</v>
      </c>
      <c r="W292" s="391">
        <f t="shared" si="288"/>
        <v>3</v>
      </c>
      <c r="X292" s="17">
        <f t="shared" si="289"/>
        <v>6</v>
      </c>
      <c r="Y292" s="18">
        <f t="shared" si="290"/>
        <v>9</v>
      </c>
      <c r="Z292" s="19">
        <f t="shared" si="291"/>
        <v>0.5625</v>
      </c>
      <c r="AA292" s="19"/>
      <c r="AB292" s="19"/>
      <c r="AC292" s="20"/>
      <c r="AE292" s="111"/>
      <c r="AF292" s="111"/>
      <c r="AG292" s="111"/>
      <c r="AH292" s="651"/>
      <c r="AI292" s="131"/>
      <c r="AK292" s="111"/>
      <c r="AL292" s="111"/>
      <c r="AM292" s="111"/>
      <c r="AN292" s="651"/>
      <c r="AO292" s="131"/>
      <c r="AQ292" s="17"/>
      <c r="AR292" s="17"/>
      <c r="AS292" s="17"/>
      <c r="AT292" s="424">
        <f t="shared" si="292"/>
        <v>3</v>
      </c>
      <c r="AU292" s="19">
        <f t="shared" si="293"/>
        <v>0.33333333333333331</v>
      </c>
      <c r="AW292" s="17"/>
      <c r="AX292" s="17"/>
      <c r="AY292" s="17"/>
      <c r="AZ292" s="424">
        <f t="shared" si="294"/>
        <v>6</v>
      </c>
      <c r="BA292" s="19">
        <f t="shared" si="295"/>
        <v>0.8571428571428571</v>
      </c>
    </row>
    <row r="293" spans="1:53" ht="17.100000000000001" customHeight="1" x14ac:dyDescent="0.25">
      <c r="A293" s="40"/>
      <c r="B293" s="40"/>
      <c r="C293" s="74" t="s">
        <v>303</v>
      </c>
      <c r="D293" s="75" t="s">
        <v>9</v>
      </c>
      <c r="E293" s="105"/>
      <c r="F293" s="75"/>
      <c r="G293" s="75"/>
      <c r="H293" s="23"/>
      <c r="I293" s="229"/>
      <c r="J293" s="111"/>
      <c r="K293" s="111"/>
      <c r="L293" s="111"/>
      <c r="M293" s="111"/>
      <c r="N293" s="61"/>
      <c r="O293" s="61"/>
      <c r="P293" s="17">
        <f t="shared" si="285"/>
        <v>0</v>
      </c>
      <c r="Q293" s="61"/>
      <c r="R293" s="61"/>
      <c r="S293" s="17">
        <f t="shared" si="286"/>
        <v>0</v>
      </c>
      <c r="T293" s="61"/>
      <c r="U293" s="61"/>
      <c r="V293" s="17">
        <f t="shared" si="287"/>
        <v>0</v>
      </c>
      <c r="W293" s="391">
        <f t="shared" si="288"/>
        <v>0</v>
      </c>
      <c r="X293" s="17">
        <f t="shared" si="289"/>
        <v>0</v>
      </c>
      <c r="Y293" s="18">
        <f t="shared" si="290"/>
        <v>0</v>
      </c>
      <c r="Z293" s="19">
        <f t="shared" si="291"/>
        <v>0</v>
      </c>
      <c r="AA293" s="19"/>
      <c r="AB293" s="19"/>
      <c r="AC293" s="20"/>
      <c r="AE293" s="111"/>
      <c r="AF293" s="111"/>
      <c r="AG293" s="111"/>
      <c r="AH293" s="651"/>
      <c r="AI293" s="131"/>
      <c r="AK293" s="111"/>
      <c r="AL293" s="111"/>
      <c r="AM293" s="111"/>
      <c r="AN293" s="651"/>
      <c r="AO293" s="131"/>
      <c r="AQ293" s="17"/>
      <c r="AR293" s="17"/>
      <c r="AS293" s="17"/>
      <c r="AT293" s="424">
        <f t="shared" si="292"/>
        <v>0</v>
      </c>
      <c r="AU293" s="19">
        <f t="shared" si="293"/>
        <v>0</v>
      </c>
      <c r="AW293" s="17"/>
      <c r="AX293" s="17"/>
      <c r="AY293" s="17"/>
      <c r="AZ293" s="424">
        <f t="shared" si="294"/>
        <v>0</v>
      </c>
      <c r="BA293" s="19">
        <f t="shared" si="295"/>
        <v>0</v>
      </c>
    </row>
    <row r="294" spans="1:53" ht="17.100000000000001" customHeight="1" x14ac:dyDescent="0.25">
      <c r="A294" s="40"/>
      <c r="B294" s="40"/>
      <c r="C294" s="292"/>
      <c r="D294" s="144"/>
      <c r="E294" s="144"/>
      <c r="F294" s="145"/>
      <c r="G294" s="145"/>
      <c r="H294" s="119"/>
      <c r="I294" s="236"/>
      <c r="J294" s="80"/>
      <c r="K294" s="80"/>
      <c r="L294" s="81"/>
      <c r="M294" s="81"/>
      <c r="N294" s="81">
        <f>SUM(N290:N293)</f>
        <v>3</v>
      </c>
      <c r="O294" s="81">
        <f t="shared" ref="O294:V294" si="296">SUM(O290:O293)</f>
        <v>6</v>
      </c>
      <c r="P294" s="81">
        <f t="shared" si="296"/>
        <v>9</v>
      </c>
      <c r="Q294" s="81">
        <f t="shared" si="296"/>
        <v>6</v>
      </c>
      <c r="R294" s="81">
        <f t="shared" si="296"/>
        <v>1</v>
      </c>
      <c r="S294" s="81">
        <f t="shared" si="296"/>
        <v>7</v>
      </c>
      <c r="T294" s="81">
        <f t="shared" si="296"/>
        <v>0</v>
      </c>
      <c r="U294" s="81">
        <f t="shared" si="296"/>
        <v>0</v>
      </c>
      <c r="V294" s="81">
        <f t="shared" si="296"/>
        <v>0</v>
      </c>
      <c r="W294" s="82">
        <f>SUM(W290:W293)</f>
        <v>9</v>
      </c>
      <c r="X294" s="82">
        <f t="shared" ref="X294:Y294" si="297">SUM(X290:X293)</f>
        <v>7</v>
      </c>
      <c r="Y294" s="82">
        <f t="shared" si="297"/>
        <v>16</v>
      </c>
      <c r="Z294" s="66">
        <f t="shared" si="291"/>
        <v>1</v>
      </c>
      <c r="AA294" s="205"/>
      <c r="AB294" s="205"/>
      <c r="AC294" s="83"/>
      <c r="AE294" s="81"/>
      <c r="AF294" s="81"/>
      <c r="AG294" s="82"/>
      <c r="AH294" s="82"/>
      <c r="AI294" s="66"/>
      <c r="AK294" s="81"/>
      <c r="AL294" s="81"/>
      <c r="AM294" s="82"/>
      <c r="AN294" s="82"/>
      <c r="AO294" s="66"/>
      <c r="AQ294" s="81"/>
      <c r="AR294" s="81"/>
      <c r="AS294" s="82"/>
      <c r="AT294" s="81">
        <f>SUM(AT290:AT293)</f>
        <v>9</v>
      </c>
      <c r="AU294" s="66">
        <f t="shared" si="293"/>
        <v>1</v>
      </c>
      <c r="AW294" s="81"/>
      <c r="AX294" s="81"/>
      <c r="AY294" s="82"/>
      <c r="AZ294" s="81">
        <f>SUM(AZ290:AZ293)</f>
        <v>7</v>
      </c>
      <c r="BA294" s="66">
        <f t="shared" si="295"/>
        <v>1</v>
      </c>
    </row>
    <row r="295" spans="1:53" s="117" customFormat="1" ht="17.100000000000001" customHeight="1" x14ac:dyDescent="0.25">
      <c r="A295" s="68"/>
      <c r="B295" s="119"/>
      <c r="C295" s="647"/>
      <c r="D295" s="261"/>
      <c r="E295" s="261"/>
      <c r="F295" s="68"/>
      <c r="G295" s="68"/>
      <c r="H295" s="119"/>
      <c r="I295" s="138"/>
      <c r="J295" s="17"/>
      <c r="K295" s="17"/>
      <c r="L295" s="17"/>
      <c r="M295" s="17"/>
      <c r="N295" s="17" t="str">
        <f>IF(N294=N$20,"OK","NOK")</f>
        <v>OK</v>
      </c>
      <c r="O295" s="17" t="str">
        <f>IF(O294=O$20,"OK","NOK")</f>
        <v>OK</v>
      </c>
      <c r="P295" s="17"/>
      <c r="Q295" s="17" t="str">
        <f>IF(Q294=Q$20,"OK","NOK")</f>
        <v>OK</v>
      </c>
      <c r="R295" s="17" t="str">
        <f>IF(R294=R$20,"OK","NOK")</f>
        <v>OK</v>
      </c>
      <c r="S295" s="17"/>
      <c r="T295" s="17" t="str">
        <f>IF(T294=T$20,"OK","NOK")</f>
        <v>OK</v>
      </c>
      <c r="U295" s="17" t="str">
        <f>IF(U294=U$20,"OK","NOK")</f>
        <v>OK</v>
      </c>
      <c r="V295" s="359"/>
      <c r="W295" s="382"/>
      <c r="X295" s="646"/>
      <c r="Y295" s="646"/>
      <c r="Z295" s="201"/>
      <c r="AA295" s="201"/>
      <c r="AB295" s="201"/>
      <c r="AC295" s="84"/>
      <c r="AE295" s="46"/>
      <c r="AF295" s="46"/>
      <c r="AG295" s="17"/>
      <c r="AH295" s="646"/>
      <c r="AI295" s="91"/>
      <c r="AK295" s="46"/>
      <c r="AL295" s="46"/>
      <c r="AM295" s="17"/>
      <c r="AN295" s="646"/>
      <c r="AO295" s="91"/>
      <c r="AQ295" s="46"/>
      <c r="AR295" s="46"/>
      <c r="AS295" s="17"/>
      <c r="AT295" s="646"/>
      <c r="AU295" s="91"/>
      <c r="AW295" s="46"/>
      <c r="AX295" s="46"/>
      <c r="AY295" s="17"/>
      <c r="AZ295" s="646"/>
      <c r="BA295" s="91"/>
    </row>
    <row r="296" spans="1:53" ht="17.100000000000001" customHeight="1" x14ac:dyDescent="0.25">
      <c r="A296" s="40"/>
      <c r="B296" s="41" t="s">
        <v>306</v>
      </c>
      <c r="C296" s="274" t="s">
        <v>607</v>
      </c>
      <c r="D296" s="43"/>
      <c r="E296" s="43"/>
      <c r="F296" s="43"/>
      <c r="G296" s="43"/>
      <c r="H296" s="23"/>
      <c r="I296" s="229"/>
      <c r="J296" s="71"/>
      <c r="K296" s="71"/>
      <c r="L296" s="71"/>
      <c r="M296" s="71"/>
      <c r="N296" s="71"/>
      <c r="O296" s="71"/>
      <c r="P296" s="71"/>
      <c r="Q296" s="71"/>
      <c r="R296" s="71"/>
      <c r="S296" s="71"/>
      <c r="T296" s="71"/>
      <c r="U296" s="71"/>
      <c r="V296" s="71"/>
      <c r="W296" s="71"/>
      <c r="X296" s="71"/>
      <c r="Y296" s="71"/>
      <c r="Z296" s="73"/>
      <c r="AA296" s="73"/>
      <c r="AB296" s="73"/>
      <c r="AC296" s="73"/>
      <c r="AE296" s="71"/>
      <c r="AF296" s="71"/>
      <c r="AG296" s="273"/>
      <c r="AH296" s="73"/>
      <c r="AI296" s="73"/>
      <c r="AK296" s="71"/>
      <c r="AL296" s="71"/>
      <c r="AM296" s="273"/>
      <c r="AN296" s="73"/>
      <c r="AO296" s="73"/>
      <c r="AQ296" s="71"/>
      <c r="AR296" s="71"/>
      <c r="AS296" s="273"/>
      <c r="AT296" s="73"/>
      <c r="AU296" s="73"/>
      <c r="AW296" s="71"/>
      <c r="AX296" s="71"/>
      <c r="AY296" s="273"/>
      <c r="AZ296" s="73"/>
      <c r="BA296" s="73"/>
    </row>
    <row r="297" spans="1:53" ht="17.100000000000001" customHeight="1" x14ac:dyDescent="0.25">
      <c r="A297" s="40"/>
      <c r="B297" s="40"/>
      <c r="C297" s="74" t="s">
        <v>308</v>
      </c>
      <c r="D297" s="85" t="s">
        <v>292</v>
      </c>
      <c r="E297" s="105"/>
      <c r="F297" s="105"/>
      <c r="G297" s="105"/>
      <c r="H297" s="84"/>
      <c r="I297" s="231"/>
      <c r="J297" s="111"/>
      <c r="K297" s="111"/>
      <c r="L297" s="111"/>
      <c r="M297" s="111"/>
      <c r="N297" s="60"/>
      <c r="O297" s="60"/>
      <c r="P297" s="17">
        <f t="shared" ref="P297:P307" si="298">SUM(N297:O297)</f>
        <v>0</v>
      </c>
      <c r="Q297" s="60">
        <v>6</v>
      </c>
      <c r="R297" s="60">
        <v>1</v>
      </c>
      <c r="S297" s="17">
        <f t="shared" ref="S297:S307" si="299">SUM(Q297:R297)</f>
        <v>7</v>
      </c>
      <c r="T297" s="60"/>
      <c r="U297" s="60"/>
      <c r="V297" s="17">
        <f t="shared" ref="V297:V307" si="300">SUM(T297:U297)</f>
        <v>0</v>
      </c>
      <c r="W297" s="391">
        <f t="shared" ref="W297:W307" si="301">J297+K297+N297+Q297+T297</f>
        <v>6</v>
      </c>
      <c r="X297" s="17">
        <f t="shared" ref="X297:X307" si="302">L297+O297+R297+U297</f>
        <v>1</v>
      </c>
      <c r="Y297" s="18">
        <f t="shared" ref="Y297:Y307" si="303">SUM(W297:X297)</f>
        <v>7</v>
      </c>
      <c r="Z297" s="19">
        <f>IF(Y$312=0,0,Y297/Y$312)</f>
        <v>0.4375</v>
      </c>
      <c r="AA297" s="19"/>
      <c r="AB297" s="19"/>
      <c r="AC297" s="20"/>
      <c r="AE297" s="111"/>
      <c r="AF297" s="111"/>
      <c r="AG297" s="111"/>
      <c r="AH297" s="651"/>
      <c r="AI297" s="131"/>
      <c r="AK297" s="111"/>
      <c r="AL297" s="111"/>
      <c r="AM297" s="111"/>
      <c r="AN297" s="651"/>
      <c r="AO297" s="131"/>
      <c r="AQ297" s="17"/>
      <c r="AR297" s="17"/>
      <c r="AS297" s="17"/>
      <c r="AT297" s="424">
        <f>W297</f>
        <v>6</v>
      </c>
      <c r="AU297" s="19">
        <f t="shared" ref="AU297:AU306" si="304">IF(AT$312=0,0,AT297/AT$312)</f>
        <v>0.66666666666666663</v>
      </c>
      <c r="AW297" s="17"/>
      <c r="AX297" s="17"/>
      <c r="AY297" s="17"/>
      <c r="AZ297" s="424">
        <f>X297</f>
        <v>1</v>
      </c>
      <c r="BA297" s="19">
        <f t="shared" ref="BA297:BA306" si="305">IF(AZ$312=0,0,AZ297/AZ$312)</f>
        <v>0.14285714285714285</v>
      </c>
    </row>
    <row r="298" spans="1:53" ht="17.100000000000001" customHeight="1" x14ac:dyDescent="0.25">
      <c r="A298" s="40"/>
      <c r="B298" s="40"/>
      <c r="C298" s="74" t="s">
        <v>309</v>
      </c>
      <c r="D298" s="146" t="s">
        <v>757</v>
      </c>
      <c r="E298" s="105"/>
      <c r="F298" s="105"/>
      <c r="G298" s="105"/>
      <c r="H298" s="84"/>
      <c r="I298" s="231"/>
      <c r="J298" s="111"/>
      <c r="K298" s="111"/>
      <c r="L298" s="111"/>
      <c r="M298" s="111"/>
      <c r="N298" s="61"/>
      <c r="O298" s="61"/>
      <c r="P298" s="17">
        <f t="shared" si="298"/>
        <v>0</v>
      </c>
      <c r="Q298" s="61"/>
      <c r="R298" s="61"/>
      <c r="S298" s="17">
        <f t="shared" si="299"/>
        <v>0</v>
      </c>
      <c r="T298" s="61"/>
      <c r="U298" s="61"/>
      <c r="V298" s="17">
        <f t="shared" ref="V298:V306" si="306">SUM(T298:U298)</f>
        <v>0</v>
      </c>
      <c r="W298" s="391">
        <f t="shared" si="301"/>
        <v>0</v>
      </c>
      <c r="X298" s="17">
        <f t="shared" si="302"/>
        <v>0</v>
      </c>
      <c r="Y298" s="18">
        <f t="shared" si="303"/>
        <v>0</v>
      </c>
      <c r="Z298" s="19">
        <f t="shared" ref="Z298:Z306" si="307">IF(Y$312=0,0,Y298/Y$312)</f>
        <v>0</v>
      </c>
      <c r="AA298" s="19"/>
      <c r="AB298" s="19"/>
      <c r="AC298" s="20"/>
      <c r="AE298" s="111"/>
      <c r="AF298" s="111"/>
      <c r="AG298" s="111"/>
      <c r="AH298" s="651"/>
      <c r="AI298" s="131"/>
      <c r="AK298" s="111"/>
      <c r="AL298" s="111"/>
      <c r="AM298" s="111"/>
      <c r="AN298" s="651"/>
      <c r="AO298" s="131"/>
      <c r="AQ298" s="17"/>
      <c r="AR298" s="17"/>
      <c r="AS298" s="17"/>
      <c r="AT298" s="424">
        <f t="shared" ref="AT298:AT307" si="308">W298</f>
        <v>0</v>
      </c>
      <c r="AU298" s="19">
        <f t="shared" si="304"/>
        <v>0</v>
      </c>
      <c r="AW298" s="17"/>
      <c r="AX298" s="17"/>
      <c r="AY298" s="17"/>
      <c r="AZ298" s="424">
        <f t="shared" ref="AZ298:AZ307" si="309">X298</f>
        <v>0</v>
      </c>
      <c r="BA298" s="19">
        <f t="shared" si="305"/>
        <v>0</v>
      </c>
    </row>
    <row r="299" spans="1:53" ht="17.100000000000001" customHeight="1" x14ac:dyDescent="0.25">
      <c r="A299" s="40"/>
      <c r="B299" s="40"/>
      <c r="C299" s="74" t="s">
        <v>489</v>
      </c>
      <c r="D299" s="85" t="s">
        <v>300</v>
      </c>
      <c r="E299" s="105"/>
      <c r="F299" s="105"/>
      <c r="G299" s="105"/>
      <c r="H299" s="84"/>
      <c r="I299" s="231"/>
      <c r="J299" s="111"/>
      <c r="K299" s="111"/>
      <c r="L299" s="111"/>
      <c r="M299" s="111"/>
      <c r="N299" s="60">
        <v>3</v>
      </c>
      <c r="O299" s="60">
        <v>1</v>
      </c>
      <c r="P299" s="17">
        <f t="shared" si="298"/>
        <v>4</v>
      </c>
      <c r="Q299" s="60"/>
      <c r="R299" s="60"/>
      <c r="S299" s="17">
        <f t="shared" si="299"/>
        <v>0</v>
      </c>
      <c r="T299" s="60"/>
      <c r="U299" s="60"/>
      <c r="V299" s="17">
        <f t="shared" si="306"/>
        <v>0</v>
      </c>
      <c r="W299" s="391">
        <f t="shared" si="301"/>
        <v>3</v>
      </c>
      <c r="X299" s="17">
        <f t="shared" si="302"/>
        <v>1</v>
      </c>
      <c r="Y299" s="18">
        <f t="shared" si="303"/>
        <v>4</v>
      </c>
      <c r="Z299" s="19">
        <f t="shared" si="307"/>
        <v>0.25</v>
      </c>
      <c r="AA299" s="19"/>
      <c r="AB299" s="19"/>
      <c r="AC299" s="20"/>
      <c r="AE299" s="111"/>
      <c r="AF299" s="111"/>
      <c r="AG299" s="111"/>
      <c r="AH299" s="651"/>
      <c r="AI299" s="131"/>
      <c r="AK299" s="111"/>
      <c r="AL299" s="111"/>
      <c r="AM299" s="111"/>
      <c r="AN299" s="651"/>
      <c r="AO299" s="131"/>
      <c r="AQ299" s="17"/>
      <c r="AR299" s="17"/>
      <c r="AS299" s="17"/>
      <c r="AT299" s="424">
        <f t="shared" si="308"/>
        <v>3</v>
      </c>
      <c r="AU299" s="19">
        <f t="shared" si="304"/>
        <v>0.33333333333333331</v>
      </c>
      <c r="AW299" s="17"/>
      <c r="AX299" s="17"/>
      <c r="AY299" s="17"/>
      <c r="AZ299" s="424">
        <f t="shared" si="309"/>
        <v>1</v>
      </c>
      <c r="BA299" s="19">
        <f t="shared" si="305"/>
        <v>0.14285714285714285</v>
      </c>
    </row>
    <row r="300" spans="1:53" ht="17.100000000000001" customHeight="1" x14ac:dyDescent="0.25">
      <c r="A300" s="40"/>
      <c r="B300" s="40"/>
      <c r="C300" s="74" t="s">
        <v>621</v>
      </c>
      <c r="D300" s="85" t="s">
        <v>670</v>
      </c>
      <c r="E300" s="105"/>
      <c r="F300" s="105"/>
      <c r="G300" s="105"/>
      <c r="H300" s="84"/>
      <c r="I300" s="231"/>
      <c r="J300" s="111"/>
      <c r="K300" s="111"/>
      <c r="L300" s="111"/>
      <c r="M300" s="111"/>
      <c r="N300" s="61"/>
      <c r="O300" s="61"/>
      <c r="P300" s="17">
        <f t="shared" si="298"/>
        <v>0</v>
      </c>
      <c r="Q300" s="61"/>
      <c r="R300" s="61"/>
      <c r="S300" s="17">
        <f t="shared" si="299"/>
        <v>0</v>
      </c>
      <c r="T300" s="61"/>
      <c r="U300" s="61"/>
      <c r="V300" s="17">
        <f t="shared" si="306"/>
        <v>0</v>
      </c>
      <c r="W300" s="391">
        <f t="shared" si="301"/>
        <v>0</v>
      </c>
      <c r="X300" s="17">
        <f t="shared" si="302"/>
        <v>0</v>
      </c>
      <c r="Y300" s="18">
        <f t="shared" si="303"/>
        <v>0</v>
      </c>
      <c r="Z300" s="19">
        <f t="shared" si="307"/>
        <v>0</v>
      </c>
      <c r="AA300" s="19"/>
      <c r="AB300" s="19"/>
      <c r="AC300" s="20"/>
      <c r="AE300" s="111"/>
      <c r="AF300" s="111"/>
      <c r="AG300" s="111"/>
      <c r="AH300" s="651"/>
      <c r="AI300" s="131"/>
      <c r="AK300" s="111"/>
      <c r="AL300" s="111"/>
      <c r="AM300" s="111"/>
      <c r="AN300" s="651"/>
      <c r="AO300" s="131"/>
      <c r="AQ300" s="17"/>
      <c r="AR300" s="17"/>
      <c r="AS300" s="17"/>
      <c r="AT300" s="424">
        <f t="shared" si="308"/>
        <v>0</v>
      </c>
      <c r="AU300" s="19">
        <f t="shared" si="304"/>
        <v>0</v>
      </c>
      <c r="AW300" s="17"/>
      <c r="AX300" s="17"/>
      <c r="AY300" s="17"/>
      <c r="AZ300" s="424">
        <f t="shared" si="309"/>
        <v>0</v>
      </c>
      <c r="BA300" s="19">
        <f t="shared" si="305"/>
        <v>0</v>
      </c>
    </row>
    <row r="301" spans="1:53" ht="17.100000000000001" customHeight="1" x14ac:dyDescent="0.25">
      <c r="A301" s="40"/>
      <c r="B301" s="40"/>
      <c r="C301" s="74" t="s">
        <v>622</v>
      </c>
      <c r="D301" s="85" t="s">
        <v>671</v>
      </c>
      <c r="E301" s="75"/>
      <c r="F301" s="75"/>
      <c r="G301" s="75"/>
      <c r="H301" s="23"/>
      <c r="I301" s="229"/>
      <c r="J301" s="111"/>
      <c r="K301" s="111"/>
      <c r="L301" s="111"/>
      <c r="M301" s="111"/>
      <c r="N301" s="60"/>
      <c r="O301" s="60"/>
      <c r="P301" s="17">
        <f t="shared" si="298"/>
        <v>0</v>
      </c>
      <c r="Q301" s="60"/>
      <c r="R301" s="60"/>
      <c r="S301" s="17">
        <f t="shared" si="299"/>
        <v>0</v>
      </c>
      <c r="T301" s="60"/>
      <c r="U301" s="60"/>
      <c r="V301" s="17">
        <f t="shared" si="306"/>
        <v>0</v>
      </c>
      <c r="W301" s="391">
        <f t="shared" si="301"/>
        <v>0</v>
      </c>
      <c r="X301" s="17">
        <f t="shared" si="302"/>
        <v>0</v>
      </c>
      <c r="Y301" s="18">
        <f t="shared" si="303"/>
        <v>0</v>
      </c>
      <c r="Z301" s="19">
        <f t="shared" si="307"/>
        <v>0</v>
      </c>
      <c r="AA301" s="19"/>
      <c r="AB301" s="19"/>
      <c r="AC301" s="20"/>
      <c r="AE301" s="111"/>
      <c r="AF301" s="111"/>
      <c r="AG301" s="111"/>
      <c r="AH301" s="651"/>
      <c r="AI301" s="131"/>
      <c r="AK301" s="111"/>
      <c r="AL301" s="111"/>
      <c r="AM301" s="111"/>
      <c r="AN301" s="651"/>
      <c r="AO301" s="131"/>
      <c r="AQ301" s="17"/>
      <c r="AR301" s="17"/>
      <c r="AS301" s="17"/>
      <c r="AT301" s="424">
        <f t="shared" si="308"/>
        <v>0</v>
      </c>
      <c r="AU301" s="19">
        <f t="shared" si="304"/>
        <v>0</v>
      </c>
      <c r="AW301" s="17"/>
      <c r="AX301" s="17"/>
      <c r="AY301" s="17"/>
      <c r="AZ301" s="424">
        <f t="shared" si="309"/>
        <v>0</v>
      </c>
      <c r="BA301" s="19">
        <f t="shared" si="305"/>
        <v>0</v>
      </c>
    </row>
    <row r="302" spans="1:53" ht="17.100000000000001" customHeight="1" x14ac:dyDescent="0.25">
      <c r="A302" s="40"/>
      <c r="B302" s="40"/>
      <c r="C302" s="74" t="s">
        <v>623</v>
      </c>
      <c r="D302" s="85" t="s">
        <v>302</v>
      </c>
      <c r="E302" s="649"/>
      <c r="F302" s="105"/>
      <c r="G302" s="105"/>
      <c r="H302" s="84"/>
      <c r="I302" s="231"/>
      <c r="J302" s="111"/>
      <c r="K302" s="111"/>
      <c r="L302" s="111"/>
      <c r="M302" s="111"/>
      <c r="N302" s="61"/>
      <c r="O302" s="61"/>
      <c r="P302" s="17">
        <f t="shared" si="298"/>
        <v>0</v>
      </c>
      <c r="Q302" s="61"/>
      <c r="R302" s="61"/>
      <c r="S302" s="17">
        <f t="shared" si="299"/>
        <v>0</v>
      </c>
      <c r="T302" s="61"/>
      <c r="U302" s="61"/>
      <c r="V302" s="17">
        <f t="shared" si="306"/>
        <v>0</v>
      </c>
      <c r="W302" s="391">
        <f t="shared" si="301"/>
        <v>0</v>
      </c>
      <c r="X302" s="17">
        <f t="shared" si="302"/>
        <v>0</v>
      </c>
      <c r="Y302" s="18">
        <f t="shared" si="303"/>
        <v>0</v>
      </c>
      <c r="Z302" s="19">
        <f t="shared" si="307"/>
        <v>0</v>
      </c>
      <c r="AA302" s="19"/>
      <c r="AB302" s="19"/>
      <c r="AC302" s="20"/>
      <c r="AE302" s="111"/>
      <c r="AF302" s="111"/>
      <c r="AG302" s="111"/>
      <c r="AH302" s="651"/>
      <c r="AI302" s="131"/>
      <c r="AK302" s="111"/>
      <c r="AL302" s="111"/>
      <c r="AM302" s="111"/>
      <c r="AN302" s="651"/>
      <c r="AO302" s="131"/>
      <c r="AQ302" s="17"/>
      <c r="AR302" s="17"/>
      <c r="AS302" s="17"/>
      <c r="AT302" s="424">
        <f t="shared" si="308"/>
        <v>0</v>
      </c>
      <c r="AU302" s="19">
        <f t="shared" si="304"/>
        <v>0</v>
      </c>
      <c r="AW302" s="17"/>
      <c r="AX302" s="17"/>
      <c r="AY302" s="17"/>
      <c r="AZ302" s="424">
        <f t="shared" si="309"/>
        <v>0</v>
      </c>
      <c r="BA302" s="19">
        <f t="shared" si="305"/>
        <v>0</v>
      </c>
    </row>
    <row r="303" spans="1:53" ht="17.100000000000001" customHeight="1" x14ac:dyDescent="0.25">
      <c r="A303" s="40"/>
      <c r="B303" s="40"/>
      <c r="C303" s="74" t="s">
        <v>624</v>
      </c>
      <c r="D303" s="85" t="s">
        <v>487</v>
      </c>
      <c r="E303" s="649"/>
      <c r="F303" s="105"/>
      <c r="G303" s="105"/>
      <c r="H303" s="84"/>
      <c r="I303" s="231"/>
      <c r="J303" s="111"/>
      <c r="K303" s="111"/>
      <c r="L303" s="111"/>
      <c r="M303" s="111"/>
      <c r="N303" s="60"/>
      <c r="O303" s="60">
        <v>5</v>
      </c>
      <c r="P303" s="17">
        <f t="shared" si="298"/>
        <v>5</v>
      </c>
      <c r="Q303" s="60"/>
      <c r="R303" s="60"/>
      <c r="S303" s="17">
        <f t="shared" si="299"/>
        <v>0</v>
      </c>
      <c r="T303" s="60"/>
      <c r="U303" s="60"/>
      <c r="V303" s="17">
        <f t="shared" si="306"/>
        <v>0</v>
      </c>
      <c r="W303" s="391">
        <f t="shared" si="301"/>
        <v>0</v>
      </c>
      <c r="X303" s="17">
        <f t="shared" si="302"/>
        <v>5</v>
      </c>
      <c r="Y303" s="18">
        <f t="shared" si="303"/>
        <v>5</v>
      </c>
      <c r="Z303" s="19">
        <f t="shared" si="307"/>
        <v>0.3125</v>
      </c>
      <c r="AA303" s="19"/>
      <c r="AB303" s="19"/>
      <c r="AC303" s="20"/>
      <c r="AE303" s="111"/>
      <c r="AF303" s="111"/>
      <c r="AG303" s="111"/>
      <c r="AH303" s="651"/>
      <c r="AI303" s="131"/>
      <c r="AK303" s="111"/>
      <c r="AL303" s="111"/>
      <c r="AM303" s="111"/>
      <c r="AN303" s="651"/>
      <c r="AO303" s="131"/>
      <c r="AQ303" s="17"/>
      <c r="AR303" s="17"/>
      <c r="AS303" s="17"/>
      <c r="AT303" s="424">
        <f t="shared" si="308"/>
        <v>0</v>
      </c>
      <c r="AU303" s="19">
        <f t="shared" si="304"/>
        <v>0</v>
      </c>
      <c r="AW303" s="17"/>
      <c r="AX303" s="17"/>
      <c r="AY303" s="17"/>
      <c r="AZ303" s="424">
        <f t="shared" si="309"/>
        <v>5</v>
      </c>
      <c r="BA303" s="19">
        <f t="shared" si="305"/>
        <v>0.7142857142857143</v>
      </c>
    </row>
    <row r="304" spans="1:53" ht="17.100000000000001" customHeight="1" x14ac:dyDescent="0.25">
      <c r="A304" s="40"/>
      <c r="B304" s="40"/>
      <c r="C304" s="74" t="s">
        <v>625</v>
      </c>
      <c r="D304" s="85" t="s">
        <v>488</v>
      </c>
      <c r="E304" s="649"/>
      <c r="F304" s="105"/>
      <c r="G304" s="105"/>
      <c r="H304" s="84"/>
      <c r="I304" s="231"/>
      <c r="J304" s="111"/>
      <c r="K304" s="111"/>
      <c r="L304" s="111"/>
      <c r="M304" s="111"/>
      <c r="N304" s="61"/>
      <c r="O304" s="61"/>
      <c r="P304" s="17">
        <f t="shared" si="298"/>
        <v>0</v>
      </c>
      <c r="Q304" s="61"/>
      <c r="R304" s="61"/>
      <c r="S304" s="17">
        <f t="shared" si="299"/>
        <v>0</v>
      </c>
      <c r="T304" s="61"/>
      <c r="U304" s="61"/>
      <c r="V304" s="17">
        <f t="shared" si="306"/>
        <v>0</v>
      </c>
      <c r="W304" s="391">
        <f t="shared" si="301"/>
        <v>0</v>
      </c>
      <c r="X304" s="17">
        <f t="shared" si="302"/>
        <v>0</v>
      </c>
      <c r="Y304" s="18">
        <f t="shared" si="303"/>
        <v>0</v>
      </c>
      <c r="Z304" s="19">
        <f t="shared" si="307"/>
        <v>0</v>
      </c>
      <c r="AA304" s="19"/>
      <c r="AB304" s="19"/>
      <c r="AC304" s="20"/>
      <c r="AE304" s="111"/>
      <c r="AF304" s="111"/>
      <c r="AG304" s="111"/>
      <c r="AH304" s="651"/>
      <c r="AI304" s="131"/>
      <c r="AK304" s="111"/>
      <c r="AL304" s="111"/>
      <c r="AM304" s="111"/>
      <c r="AN304" s="651"/>
      <c r="AO304" s="131"/>
      <c r="AQ304" s="17"/>
      <c r="AR304" s="17"/>
      <c r="AS304" s="17"/>
      <c r="AT304" s="424">
        <f t="shared" si="308"/>
        <v>0</v>
      </c>
      <c r="AU304" s="19">
        <f t="shared" si="304"/>
        <v>0</v>
      </c>
      <c r="AW304" s="17"/>
      <c r="AX304" s="17"/>
      <c r="AY304" s="17"/>
      <c r="AZ304" s="424">
        <f t="shared" si="309"/>
        <v>0</v>
      </c>
      <c r="BA304" s="19">
        <f t="shared" si="305"/>
        <v>0</v>
      </c>
    </row>
    <row r="305" spans="1:53" ht="17.100000000000001" customHeight="1" x14ac:dyDescent="0.25">
      <c r="A305" s="40"/>
      <c r="B305" s="40"/>
      <c r="C305" s="74" t="s">
        <v>668</v>
      </c>
      <c r="D305" s="85" t="s">
        <v>304</v>
      </c>
      <c r="E305" s="649"/>
      <c r="F305" s="105"/>
      <c r="G305" s="105"/>
      <c r="H305" s="84"/>
      <c r="I305" s="231"/>
      <c r="J305" s="111"/>
      <c r="K305" s="111"/>
      <c r="L305" s="111"/>
      <c r="M305" s="111"/>
      <c r="N305" s="60"/>
      <c r="O305" s="60"/>
      <c r="P305" s="17">
        <f t="shared" si="298"/>
        <v>0</v>
      </c>
      <c r="Q305" s="60"/>
      <c r="R305" s="60"/>
      <c r="S305" s="17">
        <f t="shared" si="299"/>
        <v>0</v>
      </c>
      <c r="T305" s="60"/>
      <c r="U305" s="60"/>
      <c r="V305" s="17">
        <f t="shared" si="306"/>
        <v>0</v>
      </c>
      <c r="W305" s="391">
        <f t="shared" si="301"/>
        <v>0</v>
      </c>
      <c r="X305" s="17">
        <f t="shared" si="302"/>
        <v>0</v>
      </c>
      <c r="Y305" s="18">
        <f t="shared" si="303"/>
        <v>0</v>
      </c>
      <c r="Z305" s="19">
        <f t="shared" si="307"/>
        <v>0</v>
      </c>
      <c r="AA305" s="19"/>
      <c r="AB305" s="19"/>
      <c r="AC305" s="20"/>
      <c r="AE305" s="111"/>
      <c r="AF305" s="111"/>
      <c r="AG305" s="111"/>
      <c r="AH305" s="651"/>
      <c r="AI305" s="131"/>
      <c r="AK305" s="111"/>
      <c r="AL305" s="111"/>
      <c r="AM305" s="111"/>
      <c r="AN305" s="651"/>
      <c r="AO305" s="131"/>
      <c r="AQ305" s="17"/>
      <c r="AR305" s="17"/>
      <c r="AS305" s="17"/>
      <c r="AT305" s="424">
        <f t="shared" si="308"/>
        <v>0</v>
      </c>
      <c r="AU305" s="19">
        <f t="shared" si="304"/>
        <v>0</v>
      </c>
      <c r="AW305" s="17"/>
      <c r="AX305" s="17"/>
      <c r="AY305" s="17"/>
      <c r="AZ305" s="424">
        <f t="shared" si="309"/>
        <v>0</v>
      </c>
      <c r="BA305" s="19">
        <f t="shared" si="305"/>
        <v>0</v>
      </c>
    </row>
    <row r="306" spans="1:53" ht="17.100000000000001" customHeight="1" x14ac:dyDescent="0.25">
      <c r="A306" s="40"/>
      <c r="B306" s="40"/>
      <c r="C306" s="74" t="s">
        <v>669</v>
      </c>
      <c r="D306" s="85" t="s">
        <v>758</v>
      </c>
      <c r="E306" s="649"/>
      <c r="F306" s="105"/>
      <c r="G306" s="105"/>
      <c r="H306" s="84"/>
      <c r="I306" s="231"/>
      <c r="J306" s="111"/>
      <c r="K306" s="111"/>
      <c r="L306" s="111"/>
      <c r="M306" s="111"/>
      <c r="N306" s="61"/>
      <c r="O306" s="61"/>
      <c r="P306" s="17">
        <f t="shared" si="298"/>
        <v>0</v>
      </c>
      <c r="Q306" s="61"/>
      <c r="R306" s="61"/>
      <c r="S306" s="17">
        <f t="shared" si="299"/>
        <v>0</v>
      </c>
      <c r="T306" s="61"/>
      <c r="U306" s="61"/>
      <c r="V306" s="17">
        <f t="shared" si="306"/>
        <v>0</v>
      </c>
      <c r="W306" s="391">
        <f t="shared" si="301"/>
        <v>0</v>
      </c>
      <c r="X306" s="17">
        <f t="shared" si="302"/>
        <v>0</v>
      </c>
      <c r="Y306" s="18">
        <f t="shared" si="303"/>
        <v>0</v>
      </c>
      <c r="Z306" s="19">
        <f t="shared" si="307"/>
        <v>0</v>
      </c>
      <c r="AA306" s="19"/>
      <c r="AB306" s="19"/>
      <c r="AC306" s="20"/>
      <c r="AE306" s="111"/>
      <c r="AF306" s="111"/>
      <c r="AG306" s="111"/>
      <c r="AH306" s="651"/>
      <c r="AI306" s="131"/>
      <c r="AK306" s="111"/>
      <c r="AL306" s="111"/>
      <c r="AM306" s="111"/>
      <c r="AN306" s="651"/>
      <c r="AO306" s="131"/>
      <c r="AQ306" s="17"/>
      <c r="AR306" s="17"/>
      <c r="AS306" s="17"/>
      <c r="AT306" s="424">
        <f t="shared" si="308"/>
        <v>0</v>
      </c>
      <c r="AU306" s="19">
        <f t="shared" si="304"/>
        <v>0</v>
      </c>
      <c r="AW306" s="17"/>
      <c r="AX306" s="17"/>
      <c r="AY306" s="17"/>
      <c r="AZ306" s="424">
        <f t="shared" si="309"/>
        <v>0</v>
      </c>
      <c r="BA306" s="19">
        <f t="shared" si="305"/>
        <v>0</v>
      </c>
    </row>
    <row r="307" spans="1:53" ht="17.100000000000001" customHeight="1" x14ac:dyDescent="0.25">
      <c r="A307" s="40"/>
      <c r="B307" s="40"/>
      <c r="C307" s="74" t="s">
        <v>756</v>
      </c>
      <c r="D307" s="85" t="s">
        <v>305</v>
      </c>
      <c r="E307" s="649"/>
      <c r="F307" s="105"/>
      <c r="G307" s="105"/>
      <c r="H307" s="84"/>
      <c r="I307" s="231"/>
      <c r="J307" s="111"/>
      <c r="K307" s="111"/>
      <c r="L307" s="111"/>
      <c r="M307" s="111"/>
      <c r="N307" s="111">
        <f t="shared" ref="N307:U307" si="310">SUM(N308:N311)</f>
        <v>0</v>
      </c>
      <c r="O307" s="111">
        <f t="shared" si="310"/>
        <v>0</v>
      </c>
      <c r="P307" s="111">
        <f t="shared" si="298"/>
        <v>0</v>
      </c>
      <c r="Q307" s="111">
        <f t="shared" si="310"/>
        <v>0</v>
      </c>
      <c r="R307" s="111">
        <f t="shared" si="310"/>
        <v>0</v>
      </c>
      <c r="S307" s="111">
        <f t="shared" si="299"/>
        <v>0</v>
      </c>
      <c r="T307" s="111">
        <f t="shared" si="310"/>
        <v>0</v>
      </c>
      <c r="U307" s="111">
        <f t="shared" si="310"/>
        <v>0</v>
      </c>
      <c r="V307" s="358">
        <f t="shared" si="300"/>
        <v>0</v>
      </c>
      <c r="W307" s="380">
        <f t="shared" si="301"/>
        <v>0</v>
      </c>
      <c r="X307" s="111">
        <f t="shared" si="302"/>
        <v>0</v>
      </c>
      <c r="Y307" s="651">
        <f t="shared" si="303"/>
        <v>0</v>
      </c>
      <c r="Z307" s="131">
        <f>IF(Y$312=0,0,Y307/Y$312)</f>
        <v>0</v>
      </c>
      <c r="AA307" s="131"/>
      <c r="AB307" s="131"/>
      <c r="AC307" s="113"/>
      <c r="AE307" s="111"/>
      <c r="AF307" s="111"/>
      <c r="AG307" s="111"/>
      <c r="AH307" s="651"/>
      <c r="AI307" s="131"/>
      <c r="AK307" s="111"/>
      <c r="AL307" s="111"/>
      <c r="AM307" s="111"/>
      <c r="AN307" s="651"/>
      <c r="AO307" s="131"/>
      <c r="AQ307" s="111"/>
      <c r="AR307" s="111"/>
      <c r="AS307" s="111"/>
      <c r="AT307" s="111">
        <f t="shared" si="308"/>
        <v>0</v>
      </c>
      <c r="AU307" s="131">
        <f>IF(AT$312=0,0,AT307/AT$312)</f>
        <v>0</v>
      </c>
      <c r="AW307" s="111"/>
      <c r="AX307" s="111"/>
      <c r="AY307" s="111"/>
      <c r="AZ307" s="111">
        <f t="shared" si="309"/>
        <v>0</v>
      </c>
      <c r="BA307" s="131">
        <f>IF(AZ$312=0,0,AZ307/AZ$312)</f>
        <v>0</v>
      </c>
    </row>
    <row r="308" spans="1:53" ht="17.100000000000001" customHeight="1" x14ac:dyDescent="0.25">
      <c r="A308" s="40"/>
      <c r="B308" s="40"/>
      <c r="C308" s="74"/>
      <c r="D308" s="298"/>
      <c r="E308" s="295"/>
      <c r="F308" s="295"/>
      <c r="G308" s="295"/>
      <c r="H308" s="198"/>
      <c r="I308" s="642"/>
      <c r="J308" s="111"/>
      <c r="K308" s="111"/>
      <c r="L308" s="111"/>
      <c r="M308" s="111"/>
      <c r="N308" s="60"/>
      <c r="O308" s="60"/>
      <c r="P308" s="17"/>
      <c r="Q308" s="60"/>
      <c r="R308" s="60"/>
      <c r="S308" s="17"/>
      <c r="T308" s="60"/>
      <c r="U308" s="60"/>
      <c r="V308" s="359"/>
      <c r="W308" s="391"/>
      <c r="X308" s="17"/>
      <c r="Y308" s="17"/>
      <c r="Z308" s="19"/>
      <c r="AA308" s="20"/>
      <c r="AB308" s="20"/>
      <c r="AC308" s="20"/>
      <c r="AE308" s="111"/>
      <c r="AF308" s="111"/>
      <c r="AG308" s="114"/>
      <c r="AH308" s="113"/>
      <c r="AI308" s="113"/>
      <c r="AK308" s="111"/>
      <c r="AL308" s="111"/>
      <c r="AM308" s="114"/>
      <c r="AN308" s="113"/>
      <c r="AO308" s="113"/>
      <c r="AQ308" s="17"/>
      <c r="AR308" s="17"/>
      <c r="AS308" s="306"/>
      <c r="AT308" s="20"/>
      <c r="AU308" s="20"/>
      <c r="AW308" s="17"/>
      <c r="AX308" s="17"/>
      <c r="AY308" s="306"/>
      <c r="AZ308" s="20"/>
      <c r="BA308" s="20"/>
    </row>
    <row r="309" spans="1:53" ht="17.100000000000001" customHeight="1" x14ac:dyDescent="0.25">
      <c r="A309" s="40"/>
      <c r="B309" s="40"/>
      <c r="C309" s="74"/>
      <c r="D309" s="296"/>
      <c r="E309" s="297"/>
      <c r="F309" s="297"/>
      <c r="G309" s="297"/>
      <c r="H309" s="198"/>
      <c r="I309" s="642"/>
      <c r="J309" s="111"/>
      <c r="K309" s="111"/>
      <c r="L309" s="111"/>
      <c r="M309" s="111"/>
      <c r="N309" s="61"/>
      <c r="O309" s="61"/>
      <c r="P309" s="17"/>
      <c r="Q309" s="61"/>
      <c r="R309" s="61"/>
      <c r="S309" s="17"/>
      <c r="T309" s="61"/>
      <c r="U309" s="61"/>
      <c r="V309" s="359"/>
      <c r="W309" s="391"/>
      <c r="X309" s="17"/>
      <c r="Y309" s="17"/>
      <c r="Z309" s="19"/>
      <c r="AA309" s="20"/>
      <c r="AB309" s="20"/>
      <c r="AC309" s="20"/>
      <c r="AE309" s="111"/>
      <c r="AF309" s="111"/>
      <c r="AG309" s="114"/>
      <c r="AH309" s="113"/>
      <c r="AI309" s="113"/>
      <c r="AK309" s="111"/>
      <c r="AL309" s="111"/>
      <c r="AM309" s="114"/>
      <c r="AN309" s="113"/>
      <c r="AO309" s="113"/>
      <c r="AQ309" s="17"/>
      <c r="AR309" s="17"/>
      <c r="AS309" s="306"/>
      <c r="AT309" s="20"/>
      <c r="AU309" s="20"/>
      <c r="AW309" s="17"/>
      <c r="AX309" s="17"/>
      <c r="AY309" s="306"/>
      <c r="AZ309" s="20"/>
      <c r="BA309" s="20"/>
    </row>
    <row r="310" spans="1:53" ht="17.100000000000001" customHeight="1" x14ac:dyDescent="0.25">
      <c r="A310" s="40"/>
      <c r="B310" s="40"/>
      <c r="C310" s="74"/>
      <c r="D310" s="298"/>
      <c r="E310" s="295"/>
      <c r="F310" s="295"/>
      <c r="G310" s="295"/>
      <c r="H310" s="198"/>
      <c r="I310" s="642"/>
      <c r="J310" s="111"/>
      <c r="K310" s="111"/>
      <c r="L310" s="111"/>
      <c r="M310" s="111"/>
      <c r="N310" s="60"/>
      <c r="O310" s="60"/>
      <c r="P310" s="17"/>
      <c r="Q310" s="60"/>
      <c r="R310" s="60"/>
      <c r="S310" s="17"/>
      <c r="T310" s="60"/>
      <c r="U310" s="60"/>
      <c r="V310" s="359"/>
      <c r="W310" s="391"/>
      <c r="X310" s="17"/>
      <c r="Y310" s="17"/>
      <c r="Z310" s="19"/>
      <c r="AA310" s="20"/>
      <c r="AB310" s="20"/>
      <c r="AC310" s="20"/>
      <c r="AE310" s="111"/>
      <c r="AF310" s="111"/>
      <c r="AG310" s="114"/>
      <c r="AH310" s="113"/>
      <c r="AI310" s="113"/>
      <c r="AK310" s="111"/>
      <c r="AL310" s="111"/>
      <c r="AM310" s="114"/>
      <c r="AN310" s="113"/>
      <c r="AO310" s="113"/>
      <c r="AQ310" s="17"/>
      <c r="AR310" s="17"/>
      <c r="AS310" s="306"/>
      <c r="AT310" s="20"/>
      <c r="AU310" s="20"/>
      <c r="AW310" s="17"/>
      <c r="AX310" s="17"/>
      <c r="AY310" s="306"/>
      <c r="AZ310" s="20"/>
      <c r="BA310" s="20"/>
    </row>
    <row r="311" spans="1:53" ht="17.100000000000001" customHeight="1" x14ac:dyDescent="0.25">
      <c r="A311" s="40"/>
      <c r="B311" s="40"/>
      <c r="C311" s="74"/>
      <c r="D311" s="296"/>
      <c r="E311" s="297"/>
      <c r="F311" s="297"/>
      <c r="G311" s="297"/>
      <c r="H311" s="198"/>
      <c r="I311" s="642"/>
      <c r="J311" s="111"/>
      <c r="K311" s="111"/>
      <c r="L311" s="111"/>
      <c r="M311" s="111"/>
      <c r="N311" s="61"/>
      <c r="O311" s="61"/>
      <c r="P311" s="17"/>
      <c r="Q311" s="61"/>
      <c r="R311" s="61"/>
      <c r="S311" s="17"/>
      <c r="T311" s="61"/>
      <c r="U311" s="61"/>
      <c r="V311" s="359"/>
      <c r="W311" s="391"/>
      <c r="X311" s="17"/>
      <c r="Y311" s="17"/>
      <c r="Z311" s="19"/>
      <c r="AA311" s="20"/>
      <c r="AB311" s="20"/>
      <c r="AC311" s="20"/>
      <c r="AE311" s="111"/>
      <c r="AF311" s="111"/>
      <c r="AG311" s="114"/>
      <c r="AH311" s="113"/>
      <c r="AI311" s="113"/>
      <c r="AK311" s="111"/>
      <c r="AL311" s="111"/>
      <c r="AM311" s="114"/>
      <c r="AN311" s="113"/>
      <c r="AO311" s="113"/>
      <c r="AQ311" s="17"/>
      <c r="AR311" s="17"/>
      <c r="AS311" s="306"/>
      <c r="AT311" s="20"/>
      <c r="AU311" s="20"/>
      <c r="AW311" s="17"/>
      <c r="AX311" s="17"/>
      <c r="AY311" s="306"/>
      <c r="AZ311" s="20"/>
      <c r="BA311" s="20"/>
    </row>
    <row r="312" spans="1:53" ht="17.100000000000001" customHeight="1" x14ac:dyDescent="0.25">
      <c r="A312" s="40"/>
      <c r="B312" s="40"/>
      <c r="C312" s="292"/>
      <c r="D312" s="144"/>
      <c r="E312" s="144"/>
      <c r="F312" s="145"/>
      <c r="G312" s="145"/>
      <c r="H312" s="119"/>
      <c r="I312" s="236"/>
      <c r="J312" s="80"/>
      <c r="K312" s="80"/>
      <c r="L312" s="81"/>
      <c r="M312" s="81"/>
      <c r="N312" s="81">
        <f>SUM(N297:N307)</f>
        <v>3</v>
      </c>
      <c r="O312" s="81">
        <f t="shared" ref="O312:V312" si="311">SUM(O297:O307)</f>
        <v>6</v>
      </c>
      <c r="P312" s="81">
        <f t="shared" si="311"/>
        <v>9</v>
      </c>
      <c r="Q312" s="81">
        <f t="shared" si="311"/>
        <v>6</v>
      </c>
      <c r="R312" s="81">
        <f t="shared" si="311"/>
        <v>1</v>
      </c>
      <c r="S312" s="81">
        <f t="shared" si="311"/>
        <v>7</v>
      </c>
      <c r="T312" s="81">
        <f t="shared" si="311"/>
        <v>0</v>
      </c>
      <c r="U312" s="81">
        <f t="shared" si="311"/>
        <v>0</v>
      </c>
      <c r="V312" s="356">
        <f t="shared" si="311"/>
        <v>0</v>
      </c>
      <c r="W312" s="381">
        <f>SUM(W297:W307)</f>
        <v>9</v>
      </c>
      <c r="X312" s="82">
        <f t="shared" ref="X312:Y312" si="312">SUM(X297:X307)</f>
        <v>7</v>
      </c>
      <c r="Y312" s="82">
        <f t="shared" si="312"/>
        <v>16</v>
      </c>
      <c r="Z312" s="66">
        <f>IF(Y$312=0,0,Y312/Y$312)</f>
        <v>1</v>
      </c>
      <c r="AA312" s="205"/>
      <c r="AB312" s="205"/>
      <c r="AC312" s="83"/>
      <c r="AE312" s="81"/>
      <c r="AF312" s="81"/>
      <c r="AG312" s="82"/>
      <c r="AH312" s="82"/>
      <c r="AI312" s="66"/>
      <c r="AK312" s="81"/>
      <c r="AL312" s="81"/>
      <c r="AM312" s="82"/>
      <c r="AN312" s="82"/>
      <c r="AO312" s="66"/>
      <c r="AQ312" s="81"/>
      <c r="AR312" s="81"/>
      <c r="AS312" s="82"/>
      <c r="AT312" s="81">
        <f>SUM(AT297:AT307)</f>
        <v>9</v>
      </c>
      <c r="AU312" s="66">
        <f t="shared" ref="AU312" si="313">IF(AT$312=0,0,AT312/AT$312)</f>
        <v>1</v>
      </c>
      <c r="AW312" s="81"/>
      <c r="AX312" s="81"/>
      <c r="AY312" s="82"/>
      <c r="AZ312" s="81">
        <f>SUM(AZ297:AZ307)</f>
        <v>7</v>
      </c>
      <c r="BA312" s="66">
        <f t="shared" ref="BA312" si="314">IF(AZ$312=0,0,AZ312/AZ$312)</f>
        <v>1</v>
      </c>
    </row>
    <row r="313" spans="1:53" s="117" customFormat="1" ht="17.100000000000001" customHeight="1" x14ac:dyDescent="0.25">
      <c r="A313" s="68"/>
      <c r="B313" s="119"/>
      <c r="C313" s="647"/>
      <c r="D313" s="261"/>
      <c r="E313" s="261"/>
      <c r="F313" s="68"/>
      <c r="G313" s="68"/>
      <c r="H313" s="119"/>
      <c r="I313" s="138"/>
      <c r="J313" s="17"/>
      <c r="K313" s="17"/>
      <c r="L313" s="17"/>
      <c r="M313" s="17"/>
      <c r="N313" s="17" t="str">
        <f>IF(N312&gt;=N$20,"OK","NOK")</f>
        <v>OK</v>
      </c>
      <c r="O313" s="17" t="str">
        <f>IF(O312&gt;=O$20,"OK","NOK")</f>
        <v>OK</v>
      </c>
      <c r="P313" s="17"/>
      <c r="Q313" s="17" t="str">
        <f>IF(Q312&gt;=Q$20,"OK","NOK")</f>
        <v>OK</v>
      </c>
      <c r="R313" s="17" t="str">
        <f>IF(R312&gt;=R$20,"OK","NOK")</f>
        <v>OK</v>
      </c>
      <c r="S313" s="17"/>
      <c r="T313" s="17" t="str">
        <f>IF(T312&gt;=T$20,"OK","NOK")</f>
        <v>OK</v>
      </c>
      <c r="U313" s="17" t="str">
        <f>IF(U312&gt;=U$20,"OK","NOK")</f>
        <v>OK</v>
      </c>
      <c r="V313" s="359"/>
      <c r="W313" s="382"/>
      <c r="X313" s="646"/>
      <c r="Y313" s="646"/>
      <c r="Z313" s="201"/>
      <c r="AA313" s="201"/>
      <c r="AB313" s="201"/>
      <c r="AC313" s="84"/>
      <c r="AE313" s="46"/>
      <c r="AF313" s="46"/>
      <c r="AG313" s="17"/>
      <c r="AH313" s="646"/>
      <c r="AI313" s="91"/>
      <c r="AK313" s="46"/>
      <c r="AL313" s="46"/>
      <c r="AM313" s="17"/>
      <c r="AN313" s="646"/>
      <c r="AO313" s="91"/>
      <c r="AQ313" s="46"/>
      <c r="AR313" s="46"/>
      <c r="AS313" s="17"/>
      <c r="AT313" s="646"/>
      <c r="AU313" s="91"/>
      <c r="AW313" s="46"/>
      <c r="AX313" s="46"/>
      <c r="AY313" s="17"/>
      <c r="AZ313" s="646"/>
      <c r="BA313" s="91"/>
    </row>
    <row r="314" spans="1:53" ht="17.100000000000001" customHeight="1" x14ac:dyDescent="0.25">
      <c r="A314" s="40"/>
      <c r="B314" s="41" t="s">
        <v>310</v>
      </c>
      <c r="C314" s="49" t="s">
        <v>307</v>
      </c>
      <c r="D314" s="43"/>
      <c r="E314" s="43"/>
      <c r="F314" s="43"/>
      <c r="G314" s="43"/>
      <c r="H314" s="23"/>
      <c r="I314" s="229"/>
      <c r="J314" s="71"/>
      <c r="K314" s="71"/>
      <c r="L314" s="71"/>
      <c r="M314" s="71"/>
      <c r="N314" s="71"/>
      <c r="O314" s="71"/>
      <c r="P314" s="71"/>
      <c r="Q314" s="71"/>
      <c r="R314" s="71"/>
      <c r="S314" s="71"/>
      <c r="T314" s="71"/>
      <c r="U314" s="71"/>
      <c r="V314" s="71"/>
      <c r="W314" s="71"/>
      <c r="X314" s="71"/>
      <c r="Y314" s="71"/>
      <c r="Z314" s="73"/>
      <c r="AA314" s="73"/>
      <c r="AB314" s="73"/>
      <c r="AC314" s="73"/>
      <c r="AE314" s="71"/>
      <c r="AF314" s="71"/>
      <c r="AG314" s="273"/>
      <c r="AH314" s="73"/>
      <c r="AI314" s="73"/>
      <c r="AK314" s="71"/>
      <c r="AL314" s="71"/>
      <c r="AM314" s="273"/>
      <c r="AN314" s="73"/>
      <c r="AO314" s="73"/>
      <c r="AQ314" s="71"/>
      <c r="AR314" s="71"/>
      <c r="AS314" s="273"/>
      <c r="AT314" s="73"/>
      <c r="AU314" s="73"/>
      <c r="AW314" s="71"/>
      <c r="AX314" s="71"/>
      <c r="AY314" s="273"/>
      <c r="AZ314" s="73"/>
      <c r="BA314" s="73"/>
    </row>
    <row r="315" spans="1:53" ht="17.100000000000001" customHeight="1" x14ac:dyDescent="0.25">
      <c r="A315" s="119"/>
      <c r="B315" s="119"/>
      <c r="C315" s="56" t="s">
        <v>311</v>
      </c>
      <c r="D315" s="146" t="s">
        <v>9</v>
      </c>
      <c r="E315" s="105"/>
      <c r="F315" s="105"/>
      <c r="G315" s="105"/>
      <c r="H315" s="119"/>
      <c r="I315" s="231"/>
      <c r="J315" s="111"/>
      <c r="K315" s="111"/>
      <c r="L315" s="111"/>
      <c r="M315" s="111"/>
      <c r="N315" s="60">
        <v>3</v>
      </c>
      <c r="O315" s="60">
        <v>6</v>
      </c>
      <c r="P315" s="17">
        <f t="shared" ref="P315:P317" si="315">SUM(N315:O315)</f>
        <v>9</v>
      </c>
      <c r="Q315" s="60">
        <v>6</v>
      </c>
      <c r="R315" s="60">
        <v>1</v>
      </c>
      <c r="S315" s="17">
        <f t="shared" ref="S315:S317" si="316">SUM(Q315:R315)</f>
        <v>7</v>
      </c>
      <c r="T315" s="60"/>
      <c r="U315" s="60"/>
      <c r="V315" s="17">
        <f t="shared" ref="V315:V317" si="317">SUM(T315:U315)</f>
        <v>0</v>
      </c>
      <c r="W315" s="391">
        <f t="shared" ref="W315:W317" si="318">J315+K315+N315+Q315+T315</f>
        <v>9</v>
      </c>
      <c r="X315" s="17">
        <f t="shared" ref="X315:X317" si="319">L315+O315+R315+U315</f>
        <v>7</v>
      </c>
      <c r="Y315" s="18">
        <f t="shared" ref="Y315:Y317" si="320">SUM(W315:X315)</f>
        <v>16</v>
      </c>
      <c r="Z315" s="19">
        <f>IF(Y$318=0,0,Y315/Y$318)</f>
        <v>1</v>
      </c>
      <c r="AA315" s="19"/>
      <c r="AB315" s="19"/>
      <c r="AC315" s="20"/>
      <c r="AE315" s="111"/>
      <c r="AF315" s="111"/>
      <c r="AG315" s="111"/>
      <c r="AH315" s="651"/>
      <c r="AI315" s="131"/>
      <c r="AK315" s="111"/>
      <c r="AL315" s="111"/>
      <c r="AM315" s="111"/>
      <c r="AN315" s="651"/>
      <c r="AO315" s="131"/>
      <c r="AQ315" s="17"/>
      <c r="AR315" s="17"/>
      <c r="AS315" s="17"/>
      <c r="AT315" s="424">
        <f>W315</f>
        <v>9</v>
      </c>
      <c r="AU315" s="19">
        <f>IF(AT$318=0,0,AT315/AT$318)</f>
        <v>1</v>
      </c>
      <c r="AW315" s="17"/>
      <c r="AX315" s="17"/>
      <c r="AY315" s="17"/>
      <c r="AZ315" s="424">
        <f>X315</f>
        <v>7</v>
      </c>
      <c r="BA315" s="19">
        <f>IF(AZ$318=0,0,AZ315/AZ$318)</f>
        <v>1</v>
      </c>
    </row>
    <row r="316" spans="1:53" ht="17.100000000000001" customHeight="1" x14ac:dyDescent="0.25">
      <c r="A316" s="119"/>
      <c r="B316" s="119"/>
      <c r="C316" s="56" t="s">
        <v>312</v>
      </c>
      <c r="D316" s="146" t="s">
        <v>11</v>
      </c>
      <c r="E316" s="105"/>
      <c r="F316" s="105"/>
      <c r="G316" s="105"/>
      <c r="H316" s="119"/>
      <c r="I316" s="231"/>
      <c r="J316" s="111"/>
      <c r="K316" s="111"/>
      <c r="L316" s="111"/>
      <c r="M316" s="111"/>
      <c r="N316" s="61"/>
      <c r="O316" s="61"/>
      <c r="P316" s="17">
        <f t="shared" si="315"/>
        <v>0</v>
      </c>
      <c r="Q316" s="61"/>
      <c r="R316" s="61"/>
      <c r="S316" s="17">
        <f t="shared" si="316"/>
        <v>0</v>
      </c>
      <c r="T316" s="61"/>
      <c r="U316" s="61"/>
      <c r="V316" s="17">
        <f t="shared" si="317"/>
        <v>0</v>
      </c>
      <c r="W316" s="391">
        <f t="shared" si="318"/>
        <v>0</v>
      </c>
      <c r="X316" s="17">
        <f t="shared" si="319"/>
        <v>0</v>
      </c>
      <c r="Y316" s="18">
        <f t="shared" si="320"/>
        <v>0</v>
      </c>
      <c r="Z316" s="19">
        <f t="shared" ref="Z316:Z318" si="321">IF(Y$318=0,0,Y316/Y$318)</f>
        <v>0</v>
      </c>
      <c r="AA316" s="19"/>
      <c r="AB316" s="19"/>
      <c r="AC316" s="20"/>
      <c r="AE316" s="111"/>
      <c r="AF316" s="111"/>
      <c r="AG316" s="111"/>
      <c r="AH316" s="651"/>
      <c r="AI316" s="131"/>
      <c r="AK316" s="111"/>
      <c r="AL316" s="111"/>
      <c r="AM316" s="111"/>
      <c r="AN316" s="651"/>
      <c r="AO316" s="131"/>
      <c r="AQ316" s="17"/>
      <c r="AR316" s="17"/>
      <c r="AS316" s="17"/>
      <c r="AT316" s="424">
        <f t="shared" ref="AT316:AT317" si="322">W316</f>
        <v>0</v>
      </c>
      <c r="AU316" s="19">
        <f t="shared" ref="AU316:AU318" si="323">IF(AT$318=0,0,AT316/AT$318)</f>
        <v>0</v>
      </c>
      <c r="AW316" s="17"/>
      <c r="AX316" s="17"/>
      <c r="AY316" s="17"/>
      <c r="AZ316" s="424">
        <f t="shared" ref="AZ316:AZ317" si="324">X316</f>
        <v>0</v>
      </c>
      <c r="BA316" s="19">
        <f t="shared" ref="BA316:BA318" si="325">IF(AZ$318=0,0,AZ316/AZ$318)</f>
        <v>0</v>
      </c>
    </row>
    <row r="317" spans="1:53" ht="17.100000000000001" customHeight="1" x14ac:dyDescent="0.25">
      <c r="A317" s="119"/>
      <c r="B317" s="119"/>
      <c r="C317" s="56" t="s">
        <v>490</v>
      </c>
      <c r="D317" s="146" t="s">
        <v>617</v>
      </c>
      <c r="E317" s="105"/>
      <c r="F317" s="105"/>
      <c r="G317" s="105"/>
      <c r="H317" s="119"/>
      <c r="I317" s="231"/>
      <c r="J317" s="111"/>
      <c r="K317" s="111"/>
      <c r="L317" s="111"/>
      <c r="M317" s="111"/>
      <c r="N317" s="60"/>
      <c r="O317" s="60"/>
      <c r="P317" s="17">
        <f t="shared" si="315"/>
        <v>0</v>
      </c>
      <c r="Q317" s="60"/>
      <c r="R317" s="60"/>
      <c r="S317" s="17">
        <f t="shared" si="316"/>
        <v>0</v>
      </c>
      <c r="T317" s="60"/>
      <c r="U317" s="60"/>
      <c r="V317" s="17">
        <f t="shared" si="317"/>
        <v>0</v>
      </c>
      <c r="W317" s="391">
        <f t="shared" si="318"/>
        <v>0</v>
      </c>
      <c r="X317" s="17">
        <f t="shared" si="319"/>
        <v>0</v>
      </c>
      <c r="Y317" s="18">
        <f t="shared" si="320"/>
        <v>0</v>
      </c>
      <c r="Z317" s="19">
        <f t="shared" si="321"/>
        <v>0</v>
      </c>
      <c r="AA317" s="19"/>
      <c r="AB317" s="19"/>
      <c r="AC317" s="20"/>
      <c r="AE317" s="111"/>
      <c r="AF317" s="111"/>
      <c r="AG317" s="111"/>
      <c r="AH317" s="651"/>
      <c r="AI317" s="131"/>
      <c r="AK317" s="111"/>
      <c r="AL317" s="111"/>
      <c r="AM317" s="111"/>
      <c r="AN317" s="651"/>
      <c r="AO317" s="131"/>
      <c r="AQ317" s="17"/>
      <c r="AR317" s="17"/>
      <c r="AS317" s="17"/>
      <c r="AT317" s="424">
        <f t="shared" si="322"/>
        <v>0</v>
      </c>
      <c r="AU317" s="19">
        <f t="shared" si="323"/>
        <v>0</v>
      </c>
      <c r="AW317" s="17"/>
      <c r="AX317" s="17"/>
      <c r="AY317" s="17"/>
      <c r="AZ317" s="424">
        <f t="shared" si="324"/>
        <v>0</v>
      </c>
      <c r="BA317" s="19">
        <f t="shared" si="325"/>
        <v>0</v>
      </c>
    </row>
    <row r="318" spans="1:53" ht="17.100000000000001" customHeight="1" x14ac:dyDescent="0.25">
      <c r="A318" s="40"/>
      <c r="B318" s="40"/>
      <c r="C318" s="292"/>
      <c r="D318" s="144"/>
      <c r="E318" s="144"/>
      <c r="F318" s="145"/>
      <c r="G318" s="145"/>
      <c r="H318" s="119"/>
      <c r="I318" s="236"/>
      <c r="J318" s="80"/>
      <c r="K318" s="80"/>
      <c r="L318" s="81"/>
      <c r="M318" s="81"/>
      <c r="N318" s="81">
        <f>SUM(N315:N317)</f>
        <v>3</v>
      </c>
      <c r="O318" s="81">
        <f t="shared" ref="O318:V318" si="326">SUM(O315:O317)</f>
        <v>6</v>
      </c>
      <c r="P318" s="81">
        <f t="shared" si="326"/>
        <v>9</v>
      </c>
      <c r="Q318" s="81">
        <f t="shared" si="326"/>
        <v>6</v>
      </c>
      <c r="R318" s="81">
        <f t="shared" si="326"/>
        <v>1</v>
      </c>
      <c r="S318" s="81">
        <f t="shared" si="326"/>
        <v>7</v>
      </c>
      <c r="T318" s="81">
        <f t="shared" si="326"/>
        <v>0</v>
      </c>
      <c r="U318" s="81">
        <f t="shared" si="326"/>
        <v>0</v>
      </c>
      <c r="V318" s="81">
        <f t="shared" si="326"/>
        <v>0</v>
      </c>
      <c r="W318" s="82">
        <f>SUM(W315:W317)</f>
        <v>9</v>
      </c>
      <c r="X318" s="82">
        <f t="shared" ref="X318:Y318" si="327">SUM(X315:X317)</f>
        <v>7</v>
      </c>
      <c r="Y318" s="82">
        <f t="shared" si="327"/>
        <v>16</v>
      </c>
      <c r="Z318" s="66">
        <f t="shared" si="321"/>
        <v>1</v>
      </c>
      <c r="AA318" s="205"/>
      <c r="AB318" s="205"/>
      <c r="AC318" s="83"/>
      <c r="AE318" s="81"/>
      <c r="AF318" s="81"/>
      <c r="AG318" s="82"/>
      <c r="AH318" s="82"/>
      <c r="AI318" s="66"/>
      <c r="AK318" s="81"/>
      <c r="AL318" s="81"/>
      <c r="AM318" s="82"/>
      <c r="AN318" s="82"/>
      <c r="AO318" s="66"/>
      <c r="AQ318" s="81"/>
      <c r="AR318" s="81"/>
      <c r="AS318" s="82"/>
      <c r="AT318" s="81">
        <f>SUM(AT315:AT317)</f>
        <v>9</v>
      </c>
      <c r="AU318" s="66">
        <f t="shared" si="323"/>
        <v>1</v>
      </c>
      <c r="AW318" s="81"/>
      <c r="AX318" s="81"/>
      <c r="AY318" s="82"/>
      <c r="AZ318" s="81">
        <f>SUM(AZ315:AZ317)</f>
        <v>7</v>
      </c>
      <c r="BA318" s="66">
        <f t="shared" si="325"/>
        <v>1</v>
      </c>
    </row>
    <row r="319" spans="1:53" s="117" customFormat="1" ht="17.100000000000001" customHeight="1" x14ac:dyDescent="0.25">
      <c r="A319" s="68"/>
      <c r="B319" s="119"/>
      <c r="C319" s="647"/>
      <c r="D319" s="261"/>
      <c r="E319" s="261"/>
      <c r="F319" s="68"/>
      <c r="G319" s="68"/>
      <c r="H319" s="119"/>
      <c r="I319" s="138"/>
      <c r="J319" s="17"/>
      <c r="K319" s="17"/>
      <c r="L319" s="17"/>
      <c r="M319" s="17"/>
      <c r="N319" s="17" t="str">
        <f>IF(N318&gt;=N$20,"OK","NOK")</f>
        <v>OK</v>
      </c>
      <c r="O319" s="17" t="str">
        <f>IF(O318&gt;=O$20,"OK","NOK")</f>
        <v>OK</v>
      </c>
      <c r="P319" s="17"/>
      <c r="Q319" s="17" t="str">
        <f>IF(Q318&gt;=Q$20,"OK","NOK")</f>
        <v>OK</v>
      </c>
      <c r="R319" s="17" t="str">
        <f>IF(R318&gt;=R$20,"OK","NOK")</f>
        <v>OK</v>
      </c>
      <c r="S319" s="17"/>
      <c r="T319" s="17" t="str">
        <f>IF(T318&gt;=T$20,"OK","NOK")</f>
        <v>OK</v>
      </c>
      <c r="U319" s="17" t="str">
        <f>IF(U318&gt;=U$20,"OK","NOK")</f>
        <v>OK</v>
      </c>
      <c r="V319" s="359"/>
      <c r="W319" s="382"/>
      <c r="X319" s="646"/>
      <c r="Y319" s="646"/>
      <c r="Z319" s="201"/>
      <c r="AA319" s="201"/>
      <c r="AB319" s="201"/>
      <c r="AC319" s="84"/>
      <c r="AE319" s="46"/>
      <c r="AF319" s="46"/>
      <c r="AG319" s="17"/>
      <c r="AH319" s="646"/>
      <c r="AI319" s="91"/>
      <c r="AK319" s="46"/>
      <c r="AL319" s="46"/>
      <c r="AM319" s="17"/>
      <c r="AN319" s="646"/>
      <c r="AO319" s="91"/>
      <c r="AQ319" s="46"/>
      <c r="AR319" s="46"/>
      <c r="AS319" s="17"/>
      <c r="AT319" s="646"/>
      <c r="AU319" s="91"/>
      <c r="AW319" s="46"/>
      <c r="AX319" s="46"/>
      <c r="AY319" s="17"/>
      <c r="AZ319" s="646"/>
      <c r="BA319" s="91"/>
    </row>
    <row r="320" spans="1:53" s="117" customFormat="1" ht="17.100000000000001" customHeight="1" x14ac:dyDescent="0.25">
      <c r="A320" s="68"/>
      <c r="B320" s="119"/>
      <c r="C320" s="56" t="s">
        <v>672</v>
      </c>
      <c r="D320" s="146" t="s">
        <v>673</v>
      </c>
      <c r="E320" s="149"/>
      <c r="F320" s="149"/>
      <c r="G320" s="151"/>
      <c r="H320" s="119"/>
      <c r="I320" s="138"/>
      <c r="J320" s="111"/>
      <c r="K320" s="111"/>
      <c r="L320" s="111"/>
      <c r="M320" s="111"/>
      <c r="N320" s="111"/>
      <c r="O320" s="111"/>
      <c r="P320" s="336">
        <v>1</v>
      </c>
      <c r="Q320" s="341"/>
      <c r="R320" s="341"/>
      <c r="S320" s="336">
        <v>0.5</v>
      </c>
      <c r="T320" s="341"/>
      <c r="U320" s="341"/>
      <c r="V320" s="368"/>
      <c r="W320" s="382"/>
      <c r="X320" s="646"/>
      <c r="Y320" s="646"/>
      <c r="Z320" s="201"/>
      <c r="AA320" s="340">
        <f>MIN(P320,S320,V320)</f>
        <v>0.5</v>
      </c>
      <c r="AB320" s="340">
        <f>MAX(P320,S320,V320)</f>
        <v>1</v>
      </c>
      <c r="AC320" s="340">
        <f>IF(P320+S320+V320=0,0,AVERAGE(P320,S320,V320))</f>
        <v>0.75</v>
      </c>
      <c r="AE320" s="152"/>
      <c r="AF320" s="152"/>
      <c r="AG320" s="111"/>
      <c r="AH320" s="651"/>
      <c r="AI320" s="131"/>
      <c r="AK320" s="152"/>
      <c r="AL320" s="152"/>
      <c r="AM320" s="111"/>
      <c r="AN320" s="651"/>
      <c r="AO320" s="131"/>
      <c r="AQ320" s="152"/>
      <c r="AR320" s="152"/>
      <c r="AS320" s="111"/>
      <c r="AT320" s="651"/>
      <c r="AU320" s="131"/>
      <c r="AW320" s="152"/>
      <c r="AX320" s="152"/>
      <c r="AY320" s="111"/>
      <c r="AZ320" s="651"/>
      <c r="BA320" s="131"/>
    </row>
    <row r="321" spans="1:53" s="117" customFormat="1" ht="17.100000000000001" customHeight="1" x14ac:dyDescent="0.25">
      <c r="A321" s="68"/>
      <c r="B321" s="119"/>
      <c r="C321" s="647"/>
      <c r="D321" s="261"/>
      <c r="E321" s="261"/>
      <c r="F321" s="68"/>
      <c r="G321" s="68"/>
      <c r="H321" s="119"/>
      <c r="I321" s="138"/>
      <c r="J321" s="17"/>
      <c r="K321" s="17"/>
      <c r="L321" s="17"/>
      <c r="M321" s="17"/>
      <c r="N321" s="17"/>
      <c r="O321" s="17"/>
      <c r="P321" s="17"/>
      <c r="Q321" s="17"/>
      <c r="R321" s="17"/>
      <c r="S321" s="17"/>
      <c r="T321" s="17"/>
      <c r="U321" s="17"/>
      <c r="V321" s="359"/>
      <c r="W321" s="382"/>
      <c r="X321" s="646"/>
      <c r="Y321" s="646"/>
      <c r="Z321" s="201"/>
      <c r="AA321" s="201"/>
      <c r="AB321" s="201"/>
      <c r="AC321" s="84"/>
      <c r="AE321" s="46"/>
      <c r="AF321" s="46"/>
      <c r="AG321" s="17"/>
      <c r="AH321" s="646"/>
      <c r="AI321" s="91"/>
      <c r="AK321" s="46"/>
      <c r="AL321" s="46"/>
      <c r="AM321" s="17"/>
      <c r="AN321" s="646"/>
      <c r="AO321" s="91"/>
      <c r="AQ321" s="46"/>
      <c r="AR321" s="46"/>
      <c r="AS321" s="17"/>
      <c r="AT321" s="646"/>
      <c r="AU321" s="91"/>
      <c r="AW321" s="46"/>
      <c r="AX321" s="46"/>
      <c r="AY321" s="17"/>
      <c r="AZ321" s="646"/>
      <c r="BA321" s="91"/>
    </row>
    <row r="322" spans="1:53" ht="17.100000000000001" customHeight="1" x14ac:dyDescent="0.25">
      <c r="A322" s="68"/>
      <c r="B322" s="41" t="s">
        <v>313</v>
      </c>
      <c r="C322" s="69" t="s">
        <v>492</v>
      </c>
      <c r="D322" s="50"/>
      <c r="E322" s="70"/>
      <c r="F322" s="70"/>
      <c r="G322" s="70"/>
      <c r="H322" s="119"/>
      <c r="J322" s="71"/>
      <c r="K322" s="71"/>
      <c r="L322" s="71"/>
      <c r="M322" s="71"/>
      <c r="N322" s="71"/>
      <c r="O322" s="71"/>
      <c r="P322" s="71"/>
      <c r="Q322" s="71"/>
      <c r="R322" s="71"/>
      <c r="S322" s="71"/>
      <c r="T322" s="71"/>
      <c r="U322" s="71"/>
      <c r="V322" s="71"/>
      <c r="W322" s="71"/>
      <c r="X322" s="71"/>
      <c r="Y322" s="71"/>
      <c r="Z322" s="73"/>
      <c r="AA322" s="73"/>
      <c r="AB322" s="73"/>
      <c r="AC322" s="73"/>
      <c r="AE322" s="71"/>
      <c r="AF322" s="71"/>
      <c r="AG322" s="71"/>
      <c r="AH322" s="89"/>
      <c r="AI322" s="90"/>
      <c r="AK322" s="71"/>
      <c r="AL322" s="71"/>
      <c r="AM322" s="71"/>
      <c r="AN322" s="89"/>
      <c r="AO322" s="90"/>
      <c r="AQ322" s="71"/>
      <c r="AR322" s="71"/>
      <c r="AS322" s="71"/>
      <c r="AT322" s="71"/>
      <c r="AU322" s="90"/>
      <c r="AW322" s="71"/>
      <c r="AX322" s="71"/>
      <c r="AY322" s="71"/>
      <c r="AZ322" s="71"/>
      <c r="BA322" s="90"/>
    </row>
    <row r="323" spans="1:53" ht="17.100000000000001" customHeight="1" x14ac:dyDescent="0.25">
      <c r="A323" s="119"/>
      <c r="B323" s="119"/>
      <c r="C323" s="56" t="s">
        <v>314</v>
      </c>
      <c r="D323" s="149" t="s">
        <v>129</v>
      </c>
      <c r="E323" s="105"/>
      <c r="F323" s="105"/>
      <c r="G323" s="105"/>
      <c r="H323" s="119"/>
      <c r="J323" s="111"/>
      <c r="K323" s="111"/>
      <c r="L323" s="111"/>
      <c r="M323" s="111"/>
      <c r="N323" s="598"/>
      <c r="O323" s="598"/>
      <c r="P323" s="327"/>
      <c r="Q323" s="598"/>
      <c r="R323" s="598"/>
      <c r="S323" s="327"/>
      <c r="T323" s="598"/>
      <c r="U323" s="598"/>
      <c r="V323" s="327"/>
      <c r="W323" s="391"/>
      <c r="X323" s="17"/>
      <c r="Y323" s="18">
        <f t="shared" ref="Y323:Y325" si="328">M323+P323+S323+V323</f>
        <v>0</v>
      </c>
      <c r="Z323" s="19">
        <f>IF(Y$326=0,0,Y323/Y$326)</f>
        <v>0</v>
      </c>
      <c r="AA323" s="19"/>
      <c r="AB323" s="19"/>
      <c r="AC323" s="20"/>
      <c r="AE323" s="111"/>
      <c r="AF323" s="111"/>
      <c r="AG323" s="111"/>
      <c r="AH323" s="651"/>
      <c r="AI323" s="131"/>
      <c r="AK323" s="111"/>
      <c r="AL323" s="111"/>
      <c r="AM323" s="111"/>
      <c r="AN323" s="651"/>
      <c r="AO323" s="131"/>
      <c r="AQ323" s="111"/>
      <c r="AR323" s="111"/>
      <c r="AS323" s="111"/>
      <c r="AT323" s="651"/>
      <c r="AU323" s="131"/>
      <c r="AW323" s="111"/>
      <c r="AX323" s="111"/>
      <c r="AY323" s="111"/>
      <c r="AZ323" s="651"/>
      <c r="BA323" s="131"/>
    </row>
    <row r="324" spans="1:53" ht="17.100000000000001" customHeight="1" x14ac:dyDescent="0.25">
      <c r="A324" s="119"/>
      <c r="B324" s="119"/>
      <c r="C324" s="56" t="s">
        <v>327</v>
      </c>
      <c r="D324" s="149" t="s">
        <v>491</v>
      </c>
      <c r="E324" s="105"/>
      <c r="F324" s="105"/>
      <c r="G324" s="105"/>
      <c r="H324" s="119"/>
      <c r="J324" s="599"/>
      <c r="K324" s="599"/>
      <c r="L324" s="599"/>
      <c r="M324" s="599"/>
      <c r="N324" s="598"/>
      <c r="O324" s="598"/>
      <c r="P324" s="329"/>
      <c r="Q324" s="598"/>
      <c r="R324" s="598"/>
      <c r="S324" s="329">
        <v>1</v>
      </c>
      <c r="T324" s="598"/>
      <c r="U324" s="598"/>
      <c r="V324" s="329"/>
      <c r="W324" s="391"/>
      <c r="X324" s="17"/>
      <c r="Y324" s="18">
        <f t="shared" si="328"/>
        <v>1</v>
      </c>
      <c r="Z324" s="19">
        <f t="shared" ref="Z324:Z326" si="329">IF(Y$326=0,0,Y324/Y$326)</f>
        <v>0.5</v>
      </c>
      <c r="AA324" s="19"/>
      <c r="AB324" s="19"/>
      <c r="AC324" s="189"/>
      <c r="AE324" s="111"/>
      <c r="AF324" s="111"/>
      <c r="AG324" s="111"/>
      <c r="AH324" s="651"/>
      <c r="AI324" s="131"/>
      <c r="AK324" s="111"/>
      <c r="AL324" s="111"/>
      <c r="AM324" s="111"/>
      <c r="AN324" s="651"/>
      <c r="AO324" s="131"/>
      <c r="AQ324" s="111"/>
      <c r="AR324" s="111"/>
      <c r="AS324" s="111"/>
      <c r="AT324" s="651"/>
      <c r="AU324" s="131"/>
      <c r="AW324" s="111"/>
      <c r="AX324" s="111"/>
      <c r="AY324" s="111"/>
      <c r="AZ324" s="651"/>
      <c r="BA324" s="131"/>
    </row>
    <row r="325" spans="1:53" ht="17.100000000000001" customHeight="1" x14ac:dyDescent="0.25">
      <c r="A325" s="119"/>
      <c r="B325" s="119"/>
      <c r="C325" s="56" t="s">
        <v>328</v>
      </c>
      <c r="D325" s="149" t="s">
        <v>493</v>
      </c>
      <c r="E325" s="105"/>
      <c r="F325" s="105"/>
      <c r="G325" s="105"/>
      <c r="H325" s="119"/>
      <c r="J325" s="111"/>
      <c r="K325" s="111"/>
      <c r="L325" s="111"/>
      <c r="M325" s="111"/>
      <c r="N325" s="598"/>
      <c r="O325" s="598"/>
      <c r="P325" s="327">
        <v>1</v>
      </c>
      <c r="Q325" s="598"/>
      <c r="R325" s="598"/>
      <c r="S325" s="327"/>
      <c r="T325" s="598"/>
      <c r="U325" s="598"/>
      <c r="V325" s="327"/>
      <c r="W325" s="391"/>
      <c r="X325" s="17"/>
      <c r="Y325" s="18">
        <f t="shared" si="328"/>
        <v>1</v>
      </c>
      <c r="Z325" s="19">
        <f t="shared" si="329"/>
        <v>0.5</v>
      </c>
      <c r="AA325" s="19"/>
      <c r="AB325" s="19"/>
      <c r="AC325" s="20"/>
      <c r="AE325" s="111"/>
      <c r="AF325" s="111"/>
      <c r="AG325" s="111"/>
      <c r="AH325" s="651"/>
      <c r="AI325" s="131"/>
      <c r="AK325" s="111"/>
      <c r="AL325" s="111"/>
      <c r="AM325" s="111"/>
      <c r="AN325" s="651"/>
      <c r="AO325" s="131"/>
      <c r="AQ325" s="111"/>
      <c r="AR325" s="111"/>
      <c r="AS325" s="111"/>
      <c r="AT325" s="651"/>
      <c r="AU325" s="131"/>
      <c r="AW325" s="111"/>
      <c r="AX325" s="111"/>
      <c r="AY325" s="111"/>
      <c r="AZ325" s="651"/>
      <c r="BA325" s="131"/>
    </row>
    <row r="326" spans="1:53" ht="17.100000000000001" customHeight="1" x14ac:dyDescent="0.25">
      <c r="A326" s="119"/>
      <c r="B326" s="119"/>
      <c r="C326" s="325"/>
      <c r="D326" s="326"/>
      <c r="E326" s="184"/>
      <c r="F326" s="184"/>
      <c r="G326" s="184"/>
      <c r="H326" s="119"/>
      <c r="J326" s="600"/>
      <c r="K326" s="600"/>
      <c r="L326" s="600"/>
      <c r="M326" s="600"/>
      <c r="N326" s="600"/>
      <c r="O326" s="600"/>
      <c r="P326" s="81">
        <f>SUM(P323:P325)</f>
        <v>1</v>
      </c>
      <c r="Q326" s="600"/>
      <c r="R326" s="600"/>
      <c r="S326" s="81">
        <f>SUM(S323:S325)</f>
        <v>1</v>
      </c>
      <c r="T326" s="600"/>
      <c r="U326" s="600"/>
      <c r="V326" s="81">
        <f>SUM(V323:V325)</f>
        <v>0</v>
      </c>
      <c r="W326" s="381"/>
      <c r="X326" s="82"/>
      <c r="Y326" s="82">
        <f>SUM(Y323:Y325)</f>
        <v>2</v>
      </c>
      <c r="Z326" s="66">
        <f t="shared" si="329"/>
        <v>1</v>
      </c>
      <c r="AA326" s="205"/>
      <c r="AB326" s="205"/>
      <c r="AC326" s="204"/>
      <c r="AE326" s="81"/>
      <c r="AF326" s="81"/>
      <c r="AG326" s="81"/>
      <c r="AH326" s="82"/>
      <c r="AI326" s="66"/>
      <c r="AK326" s="81"/>
      <c r="AL326" s="81"/>
      <c r="AM326" s="81"/>
      <c r="AN326" s="82"/>
      <c r="AO326" s="66"/>
      <c r="AQ326" s="81"/>
      <c r="AR326" s="81"/>
      <c r="AS326" s="81"/>
      <c r="AT326" s="82"/>
      <c r="AU326" s="66"/>
      <c r="AW326" s="81"/>
      <c r="AX326" s="81"/>
      <c r="AY326" s="81"/>
      <c r="AZ326" s="82"/>
      <c r="BA326" s="66"/>
    </row>
    <row r="327" spans="1:53" s="117" customFormat="1" ht="17.100000000000001" customHeight="1" x14ac:dyDescent="0.25">
      <c r="A327" s="119"/>
      <c r="B327" s="119"/>
      <c r="C327" s="429"/>
      <c r="D327" s="427"/>
      <c r="E327" s="428"/>
      <c r="F327" s="428"/>
      <c r="G327" s="428"/>
      <c r="H327" s="119"/>
      <c r="I327" s="97"/>
      <c r="J327" s="643"/>
      <c r="K327" s="643"/>
      <c r="L327" s="643"/>
      <c r="M327" s="643"/>
      <c r="N327" s="643"/>
      <c r="O327" s="643"/>
      <c r="P327" s="643"/>
      <c r="Q327" s="643"/>
      <c r="R327" s="643"/>
      <c r="S327" s="643"/>
      <c r="T327" s="643"/>
      <c r="U327" s="643"/>
      <c r="V327" s="643"/>
      <c r="W327" s="646"/>
      <c r="X327" s="646"/>
      <c r="Y327" s="646"/>
      <c r="Z327" s="201"/>
      <c r="AA327" s="201"/>
      <c r="AB327" s="201"/>
      <c r="AC327" s="199"/>
      <c r="AE327" s="17"/>
      <c r="AF327" s="17"/>
      <c r="AG327" s="17"/>
      <c r="AH327" s="646"/>
      <c r="AI327" s="91"/>
      <c r="AK327" s="17"/>
      <c r="AL327" s="17"/>
      <c r="AM327" s="17"/>
      <c r="AN327" s="646"/>
      <c r="AO327" s="91"/>
      <c r="AQ327" s="17"/>
      <c r="AR327" s="17"/>
      <c r="AS327" s="17"/>
      <c r="AT327" s="17"/>
      <c r="AU327" s="91"/>
      <c r="AW327" s="17"/>
      <c r="AX327" s="17"/>
      <c r="AY327" s="17"/>
      <c r="AZ327" s="17"/>
      <c r="BA327" s="91"/>
    </row>
    <row r="328" spans="1:53" s="97" customFormat="1" ht="17.100000000000001" customHeight="1" x14ac:dyDescent="0.25">
      <c r="A328" s="119"/>
      <c r="B328" s="41" t="s">
        <v>1443</v>
      </c>
      <c r="C328" s="69" t="s">
        <v>12</v>
      </c>
      <c r="D328" s="50"/>
      <c r="E328" s="70"/>
      <c r="F328" s="70"/>
      <c r="G328" s="70"/>
      <c r="H328" s="84"/>
      <c r="J328" s="71"/>
      <c r="K328" s="71"/>
      <c r="L328" s="71"/>
      <c r="M328" s="71"/>
      <c r="N328" s="71"/>
      <c r="O328" s="71"/>
      <c r="P328" s="71"/>
      <c r="Q328" s="71"/>
      <c r="R328" s="71"/>
      <c r="S328" s="71"/>
      <c r="T328" s="71"/>
      <c r="U328" s="71"/>
      <c r="V328" s="355"/>
      <c r="W328" s="377"/>
      <c r="X328" s="71"/>
      <c r="Y328" s="71"/>
      <c r="Z328" s="73"/>
      <c r="AA328" s="73"/>
      <c r="AB328" s="73"/>
      <c r="AC328" s="73"/>
      <c r="AE328" s="71"/>
      <c r="AF328" s="71"/>
      <c r="AG328" s="273"/>
      <c r="AH328" s="73"/>
      <c r="AI328" s="73"/>
      <c r="AJ328" s="3"/>
      <c r="AK328" s="71"/>
      <c r="AL328" s="71"/>
      <c r="AM328" s="273"/>
      <c r="AN328" s="73"/>
      <c r="AO328" s="73"/>
      <c r="AP328" s="3"/>
      <c r="AQ328" s="71"/>
      <c r="AR328" s="71"/>
      <c r="AS328" s="273"/>
      <c r="AT328" s="73"/>
      <c r="AU328" s="73"/>
      <c r="AV328" s="3"/>
      <c r="AW328" s="71"/>
      <c r="AX328" s="71"/>
      <c r="AY328" s="273"/>
      <c r="AZ328" s="73"/>
      <c r="BA328" s="73"/>
    </row>
    <row r="329" spans="1:53" ht="17.100000000000001" customHeight="1" x14ac:dyDescent="0.25">
      <c r="A329" s="40"/>
      <c r="B329" s="40"/>
      <c r="C329" s="74" t="s">
        <v>1444</v>
      </c>
      <c r="D329" s="931" t="s">
        <v>315</v>
      </c>
      <c r="E329" s="75"/>
      <c r="F329" s="75"/>
      <c r="G329" s="75"/>
      <c r="H329" s="928"/>
      <c r="I329" s="12"/>
      <c r="J329" s="152"/>
      <c r="K329" s="152"/>
      <c r="L329" s="152"/>
      <c r="M329" s="152"/>
      <c r="N329" s="152">
        <f>IF(N20&gt;0,1,0)</f>
        <v>1</v>
      </c>
      <c r="O329" s="152">
        <f>IF(O20&gt;0,1,0)</f>
        <v>1</v>
      </c>
      <c r="P329" s="152"/>
      <c r="Q329" s="152">
        <f>IF(Q20&gt;0,1,0)</f>
        <v>1</v>
      </c>
      <c r="R329" s="152">
        <f>IF(R20&gt;0,1,0)</f>
        <v>1</v>
      </c>
      <c r="S329" s="152"/>
      <c r="T329" s="152">
        <f>IF(T20&gt;0,1,0)</f>
        <v>0</v>
      </c>
      <c r="U329" s="152">
        <f>IF(U20&gt;0,1,0)</f>
        <v>0</v>
      </c>
      <c r="V329" s="152"/>
      <c r="W329" s="389"/>
      <c r="X329" s="152"/>
      <c r="Y329" s="932"/>
      <c r="Z329" s="131"/>
      <c r="AA329" s="131"/>
      <c r="AB329" s="131"/>
      <c r="AC329" s="113"/>
      <c r="AE329" s="152"/>
      <c r="AF329" s="152"/>
      <c r="AG329" s="152"/>
      <c r="AH329" s="932"/>
      <c r="AI329" s="131"/>
      <c r="AJ329" s="117"/>
      <c r="AK329" s="152"/>
      <c r="AL329" s="152"/>
      <c r="AM329" s="152"/>
      <c r="AN329" s="932"/>
      <c r="AO329" s="131"/>
      <c r="AP329" s="117"/>
      <c r="AQ329" s="152"/>
      <c r="AR329" s="152"/>
      <c r="AS329" s="152"/>
      <c r="AT329" s="932"/>
      <c r="AU329" s="131"/>
      <c r="AV329" s="117"/>
      <c r="AW329" s="152"/>
      <c r="AX329" s="152"/>
      <c r="AY329" s="152"/>
      <c r="AZ329" s="932"/>
      <c r="BA329" s="131"/>
    </row>
    <row r="330" spans="1:53" ht="17.100000000000001" customHeight="1" x14ac:dyDescent="0.25">
      <c r="A330" s="137"/>
      <c r="B330" s="40"/>
      <c r="C330" s="40"/>
      <c r="D330" s="128" t="s">
        <v>1017</v>
      </c>
      <c r="E330" s="122"/>
      <c r="F330" s="122"/>
      <c r="G330" s="122"/>
      <c r="H330" s="928"/>
      <c r="I330" s="12"/>
      <c r="J330" s="190"/>
      <c r="K330" s="190"/>
      <c r="L330" s="190"/>
      <c r="M330" s="190"/>
      <c r="N330" s="570">
        <f>IF(N287=0,0,N285/N287)*0.5</f>
        <v>0</v>
      </c>
      <c r="O330" s="570">
        <f>IF(O287=0,0,O285/O287)*0.5</f>
        <v>0</v>
      </c>
      <c r="P330" s="190"/>
      <c r="Q330" s="570">
        <f>IF(Q287=0,0,Q285/Q287)*0.5</f>
        <v>0.16666666666666666</v>
      </c>
      <c r="R330" s="570">
        <f>IF(R287=0,0,R285/R287)*0.5</f>
        <v>0</v>
      </c>
      <c r="S330" s="190"/>
      <c r="T330" s="570">
        <f>IF(T287=0,0,T285/T287)*0.5</f>
        <v>0</v>
      </c>
      <c r="U330" s="570">
        <f>IF(U287=0,0,U285/U287)*0.5</f>
        <v>0</v>
      </c>
      <c r="V330" s="371"/>
      <c r="W330" s="393"/>
      <c r="X330" s="190"/>
      <c r="Y330" s="129"/>
      <c r="Z330" s="130"/>
      <c r="AA330" s="130"/>
      <c r="AB330" s="130"/>
      <c r="AC330" s="125"/>
      <c r="AE330" s="190"/>
      <c r="AF330" s="190"/>
      <c r="AG330" s="190"/>
      <c r="AH330" s="129"/>
      <c r="AI330" s="130"/>
      <c r="AJ330" s="117"/>
      <c r="AK330" s="190"/>
      <c r="AL330" s="190"/>
      <c r="AM330" s="190"/>
      <c r="AN330" s="129"/>
      <c r="AO330" s="130"/>
      <c r="AP330" s="117"/>
      <c r="AQ330" s="190"/>
      <c r="AR330" s="190"/>
      <c r="AS330" s="190"/>
      <c r="AT330" s="129"/>
      <c r="AU330" s="130"/>
      <c r="AV330" s="117"/>
      <c r="AW330" s="190"/>
      <c r="AX330" s="190"/>
      <c r="AY330" s="190"/>
      <c r="AZ330" s="129"/>
      <c r="BA330" s="130"/>
    </row>
    <row r="331" spans="1:53" ht="17.100000000000001" customHeight="1" x14ac:dyDescent="0.25">
      <c r="A331" s="137"/>
      <c r="B331" s="40"/>
      <c r="C331" s="40"/>
      <c r="D331" s="128" t="s">
        <v>1018</v>
      </c>
      <c r="E331" s="122"/>
      <c r="F331" s="122"/>
      <c r="G331" s="122"/>
      <c r="H331" s="928"/>
      <c r="I331" s="12"/>
      <c r="J331" s="190"/>
      <c r="K331" s="190"/>
      <c r="L331" s="190"/>
      <c r="M331" s="190"/>
      <c r="N331" s="570">
        <f>IF(N287=0,0,N286/N287)*1</f>
        <v>1</v>
      </c>
      <c r="O331" s="570">
        <f t="shared" ref="O331:U331" si="330">IF(O287=0,0,O286/O287)*1</f>
        <v>1</v>
      </c>
      <c r="P331" s="570"/>
      <c r="Q331" s="570">
        <f t="shared" si="330"/>
        <v>0.16666666666666666</v>
      </c>
      <c r="R331" s="570">
        <f t="shared" si="330"/>
        <v>1</v>
      </c>
      <c r="S331" s="570"/>
      <c r="T331" s="570">
        <f t="shared" si="330"/>
        <v>0</v>
      </c>
      <c r="U331" s="570">
        <f t="shared" si="330"/>
        <v>0</v>
      </c>
      <c r="V331" s="371"/>
      <c r="W331" s="393"/>
      <c r="X331" s="190"/>
      <c r="Y331" s="129"/>
      <c r="Z331" s="130"/>
      <c r="AA331" s="130"/>
      <c r="AB331" s="130"/>
      <c r="AC331" s="125"/>
      <c r="AE331" s="190"/>
      <c r="AF331" s="190"/>
      <c r="AG331" s="190"/>
      <c r="AH331" s="129"/>
      <c r="AI331" s="130"/>
      <c r="AJ331" s="117"/>
      <c r="AK331" s="190"/>
      <c r="AL331" s="190"/>
      <c r="AM331" s="190"/>
      <c r="AN331" s="129"/>
      <c r="AO331" s="130"/>
      <c r="AP331" s="117"/>
      <c r="AQ331" s="190"/>
      <c r="AR331" s="190"/>
      <c r="AS331" s="190"/>
      <c r="AT331" s="129"/>
      <c r="AU331" s="130"/>
      <c r="AV331" s="117"/>
      <c r="AW331" s="190"/>
      <c r="AX331" s="190"/>
      <c r="AY331" s="190"/>
      <c r="AZ331" s="129"/>
      <c r="BA331" s="130"/>
    </row>
    <row r="332" spans="1:53" ht="17.100000000000001" customHeight="1" x14ac:dyDescent="0.25">
      <c r="A332" s="137"/>
      <c r="B332" s="40"/>
      <c r="C332" s="40"/>
      <c r="D332" s="128" t="s">
        <v>316</v>
      </c>
      <c r="E332" s="122"/>
      <c r="F332" s="122"/>
      <c r="G332" s="122"/>
      <c r="H332" s="928"/>
      <c r="I332" s="12"/>
      <c r="J332" s="190"/>
      <c r="K332" s="190"/>
      <c r="L332" s="190"/>
      <c r="M332" s="190"/>
      <c r="N332" s="570">
        <f>IF(N294=0,0,N292/N294)*0.5</f>
        <v>0.5</v>
      </c>
      <c r="O332" s="570">
        <f>IF(O294=0,0,O292/O294)*0.5</f>
        <v>0.5</v>
      </c>
      <c r="P332" s="190"/>
      <c r="Q332" s="570">
        <f>IF(Q294=0,0,Q292/Q294)*0.5</f>
        <v>0</v>
      </c>
      <c r="R332" s="570">
        <f>IF(R294=0,0,R292/R294)*0.5</f>
        <v>0</v>
      </c>
      <c r="S332" s="190"/>
      <c r="T332" s="570">
        <f>IF(T294=0,0,T292/T294)*0.5</f>
        <v>0</v>
      </c>
      <c r="U332" s="570">
        <f>IF(U294=0,0,U292/U294)*0.5</f>
        <v>0</v>
      </c>
      <c r="V332" s="371"/>
      <c r="W332" s="393"/>
      <c r="X332" s="190"/>
      <c r="Y332" s="129"/>
      <c r="Z332" s="130"/>
      <c r="AA332" s="130"/>
      <c r="AB332" s="130"/>
      <c r="AC332" s="125"/>
      <c r="AE332" s="190"/>
      <c r="AF332" s="190"/>
      <c r="AG332" s="190"/>
      <c r="AH332" s="129"/>
      <c r="AI332" s="130"/>
      <c r="AJ332" s="117"/>
      <c r="AK332" s="190"/>
      <c r="AL332" s="190"/>
      <c r="AM332" s="190"/>
      <c r="AN332" s="129"/>
      <c r="AO332" s="130"/>
      <c r="AP332" s="117"/>
      <c r="AQ332" s="190"/>
      <c r="AR332" s="190"/>
      <c r="AS332" s="190"/>
      <c r="AT332" s="129"/>
      <c r="AU332" s="130"/>
      <c r="AV332" s="117"/>
      <c r="AW332" s="190"/>
      <c r="AX332" s="190"/>
      <c r="AY332" s="190"/>
      <c r="AZ332" s="129"/>
      <c r="BA332" s="130"/>
    </row>
    <row r="333" spans="1:53" ht="17.100000000000001" customHeight="1" x14ac:dyDescent="0.25">
      <c r="A333" s="137"/>
      <c r="B333" s="40"/>
      <c r="C333" s="40"/>
      <c r="D333" s="128" t="s">
        <v>317</v>
      </c>
      <c r="E333" s="122"/>
      <c r="F333" s="122"/>
      <c r="G333" s="122"/>
      <c r="H333" s="928"/>
      <c r="I333" s="12"/>
      <c r="J333" s="190"/>
      <c r="K333" s="190"/>
      <c r="L333" s="190"/>
      <c r="M333" s="190"/>
      <c r="N333" s="570">
        <f>IF(N294=0,0,N293/N294)*1</f>
        <v>0</v>
      </c>
      <c r="O333" s="570">
        <f t="shared" ref="O333:U333" si="331">IF(O294=0,0,O293/O294)*1</f>
        <v>0</v>
      </c>
      <c r="P333" s="570"/>
      <c r="Q333" s="570">
        <f t="shared" si="331"/>
        <v>0</v>
      </c>
      <c r="R333" s="570">
        <f t="shared" si="331"/>
        <v>0</v>
      </c>
      <c r="S333" s="570"/>
      <c r="T333" s="570">
        <f t="shared" si="331"/>
        <v>0</v>
      </c>
      <c r="U333" s="570">
        <f t="shared" si="331"/>
        <v>0</v>
      </c>
      <c r="V333" s="371"/>
      <c r="W333" s="393"/>
      <c r="X333" s="190"/>
      <c r="Y333" s="129"/>
      <c r="Z333" s="130"/>
      <c r="AA333" s="130"/>
      <c r="AB333" s="130"/>
      <c r="AC333" s="125"/>
      <c r="AE333" s="190"/>
      <c r="AF333" s="190"/>
      <c r="AG333" s="190"/>
      <c r="AH333" s="129"/>
      <c r="AI333" s="130"/>
      <c r="AJ333" s="117"/>
      <c r="AK333" s="190"/>
      <c r="AL333" s="190"/>
      <c r="AM333" s="190"/>
      <c r="AN333" s="129"/>
      <c r="AO333" s="130"/>
      <c r="AP333" s="117"/>
      <c r="AQ333" s="190"/>
      <c r="AR333" s="190"/>
      <c r="AS333" s="190"/>
      <c r="AT333" s="129"/>
      <c r="AU333" s="130"/>
      <c r="AV333" s="117"/>
      <c r="AW333" s="190"/>
      <c r="AX333" s="190"/>
      <c r="AY333" s="190"/>
      <c r="AZ333" s="129"/>
      <c r="BA333" s="130"/>
    </row>
    <row r="334" spans="1:53" ht="17.100000000000001" customHeight="1" x14ac:dyDescent="0.25">
      <c r="A334" s="137"/>
      <c r="B334" s="40"/>
      <c r="C334" s="40"/>
      <c r="D334" s="128" t="s">
        <v>1019</v>
      </c>
      <c r="E334" s="122"/>
      <c r="F334" s="122"/>
      <c r="G334" s="122"/>
      <c r="H334" s="928"/>
      <c r="I334" s="12"/>
      <c r="J334" s="190"/>
      <c r="K334" s="190"/>
      <c r="L334" s="190"/>
      <c r="M334" s="190"/>
      <c r="N334" s="570"/>
      <c r="O334" s="570"/>
      <c r="P334" s="190"/>
      <c r="Q334" s="570"/>
      <c r="R334" s="570"/>
      <c r="S334" s="190"/>
      <c r="T334" s="570"/>
      <c r="U334" s="570"/>
      <c r="V334" s="371"/>
      <c r="W334" s="393"/>
      <c r="X334" s="190"/>
      <c r="Y334" s="129"/>
      <c r="Z334" s="130"/>
      <c r="AA334" s="130"/>
      <c r="AB334" s="130"/>
      <c r="AC334" s="125"/>
      <c r="AE334" s="190"/>
      <c r="AF334" s="190"/>
      <c r="AG334" s="190"/>
      <c r="AH334" s="129"/>
      <c r="AI334" s="130"/>
      <c r="AJ334" s="117"/>
      <c r="AK334" s="190"/>
      <c r="AL334" s="190"/>
      <c r="AM334" s="190"/>
      <c r="AN334" s="129"/>
      <c r="AO334" s="130"/>
      <c r="AP334" s="117"/>
      <c r="AQ334" s="190"/>
      <c r="AR334" s="190"/>
      <c r="AS334" s="190"/>
      <c r="AT334" s="129"/>
      <c r="AU334" s="130"/>
      <c r="AV334" s="117"/>
      <c r="AW334" s="190"/>
      <c r="AX334" s="190"/>
      <c r="AY334" s="190"/>
      <c r="AZ334" s="129"/>
      <c r="BA334" s="130"/>
    </row>
    <row r="335" spans="1:53" ht="17.100000000000001" customHeight="1" x14ac:dyDescent="0.25">
      <c r="A335" s="137"/>
      <c r="B335" s="40"/>
      <c r="C335" s="40"/>
      <c r="D335" s="128" t="s">
        <v>318</v>
      </c>
      <c r="E335" s="122"/>
      <c r="F335" s="122"/>
      <c r="G335" s="122"/>
      <c r="H335" s="928"/>
      <c r="I335" s="12"/>
      <c r="J335" s="190"/>
      <c r="K335" s="190"/>
      <c r="L335" s="190"/>
      <c r="M335" s="190"/>
      <c r="N335" s="570">
        <f>IF(N312=0,0,(SUM(N303:N304)+N301+N306)/N312)</f>
        <v>0</v>
      </c>
      <c r="O335" s="570">
        <f>IF(O312=0,0,(SUM(O303:O304)+O301+O306)/O312)</f>
        <v>0.83333333333333337</v>
      </c>
      <c r="P335" s="190"/>
      <c r="Q335" s="570">
        <f>IF(Q312=0,0,(SUM(Q303:Q304)+Q301+Q306)/Q312)</f>
        <v>0</v>
      </c>
      <c r="R335" s="570">
        <f>IF(R312=0,0,(SUM(R303:R304)+R301+R306)/R312)</f>
        <v>0</v>
      </c>
      <c r="S335" s="190"/>
      <c r="T335" s="570">
        <f>IF(T312=0,0,(SUM(T303:T304)+T301+T306)/T312)</f>
        <v>0</v>
      </c>
      <c r="U335" s="570">
        <f>IF(U312=0,0,(SUM(U303:U304)+U301+U306)/U312)</f>
        <v>0</v>
      </c>
      <c r="V335" s="371"/>
      <c r="W335" s="393"/>
      <c r="X335" s="190"/>
      <c r="Y335" s="129"/>
      <c r="Z335" s="130"/>
      <c r="AA335" s="130"/>
      <c r="AB335" s="130"/>
      <c r="AC335" s="125"/>
      <c r="AE335" s="190"/>
      <c r="AF335" s="190"/>
      <c r="AG335" s="190"/>
      <c r="AH335" s="129"/>
      <c r="AI335" s="130"/>
      <c r="AJ335" s="117"/>
      <c r="AK335" s="190"/>
      <c r="AL335" s="190"/>
      <c r="AM335" s="190"/>
      <c r="AN335" s="129"/>
      <c r="AO335" s="130"/>
      <c r="AP335" s="117"/>
      <c r="AQ335" s="190"/>
      <c r="AR335" s="190"/>
      <c r="AS335" s="190"/>
      <c r="AT335" s="129"/>
      <c r="AU335" s="130"/>
      <c r="AV335" s="117"/>
      <c r="AW335" s="190"/>
      <c r="AX335" s="190"/>
      <c r="AY335" s="190"/>
      <c r="AZ335" s="129"/>
      <c r="BA335" s="130"/>
    </row>
    <row r="336" spans="1:53" ht="17.100000000000001" customHeight="1" x14ac:dyDescent="0.25">
      <c r="A336" s="137"/>
      <c r="B336" s="40"/>
      <c r="C336" s="40"/>
      <c r="D336" s="128" t="s">
        <v>319</v>
      </c>
      <c r="E336" s="122"/>
      <c r="F336" s="122"/>
      <c r="G336" s="122"/>
      <c r="H336" s="928"/>
      <c r="I336" s="12"/>
      <c r="J336" s="190"/>
      <c r="K336" s="190"/>
      <c r="L336" s="190"/>
      <c r="M336" s="190"/>
      <c r="N336" s="570">
        <f>IF(N318=0,0,(N315/N318)*0.5)</f>
        <v>0.5</v>
      </c>
      <c r="O336" s="570">
        <f>IF(O318=0,0,(O315/O318)*0.5)</f>
        <v>0.5</v>
      </c>
      <c r="P336" s="190"/>
      <c r="Q336" s="570">
        <f>IF(Q318=0,0,(Q315/Q318)*0.5)</f>
        <v>0.5</v>
      </c>
      <c r="R336" s="570">
        <f>IF(R318=0,0,(R315/R318)*0.5)</f>
        <v>0.5</v>
      </c>
      <c r="S336" s="190"/>
      <c r="T336" s="570">
        <f>IF(T318=0,0,(T315/T318)*0.5)</f>
        <v>0</v>
      </c>
      <c r="U336" s="570">
        <f>IF(U318=0,0,(U315/U318)*0.5)</f>
        <v>0</v>
      </c>
      <c r="V336" s="371"/>
      <c r="W336" s="393"/>
      <c r="X336" s="190"/>
      <c r="Y336" s="129"/>
      <c r="Z336" s="130"/>
      <c r="AA336" s="130"/>
      <c r="AB336" s="130"/>
      <c r="AC336" s="125"/>
      <c r="AE336" s="190"/>
      <c r="AF336" s="190"/>
      <c r="AG336" s="190"/>
      <c r="AH336" s="129"/>
      <c r="AI336" s="130"/>
      <c r="AJ336" s="117"/>
      <c r="AK336" s="190"/>
      <c r="AL336" s="190"/>
      <c r="AM336" s="190"/>
      <c r="AN336" s="129"/>
      <c r="AO336" s="130"/>
      <c r="AP336" s="117"/>
      <c r="AQ336" s="190"/>
      <c r="AR336" s="190"/>
      <c r="AS336" s="190"/>
      <c r="AT336" s="129"/>
      <c r="AU336" s="130"/>
      <c r="AV336" s="117"/>
      <c r="AW336" s="190"/>
      <c r="AX336" s="190"/>
      <c r="AY336" s="190"/>
      <c r="AZ336" s="129"/>
      <c r="BA336" s="130"/>
    </row>
    <row r="337" spans="1:53" ht="17.100000000000001" customHeight="1" x14ac:dyDescent="0.25">
      <c r="A337" s="137"/>
      <c r="B337" s="40"/>
      <c r="C337" s="40"/>
      <c r="D337" s="128" t="s">
        <v>320</v>
      </c>
      <c r="E337" s="122"/>
      <c r="F337" s="122"/>
      <c r="G337" s="122"/>
      <c r="H337" s="928"/>
      <c r="I337" s="12"/>
      <c r="J337" s="190"/>
      <c r="K337" s="190"/>
      <c r="L337" s="190"/>
      <c r="M337" s="190"/>
      <c r="N337" s="570">
        <f>SUM(N330:N336)</f>
        <v>2</v>
      </c>
      <c r="O337" s="570">
        <f>SUM(O330:O336)</f>
        <v>2.8333333333333335</v>
      </c>
      <c r="P337" s="190"/>
      <c r="Q337" s="570">
        <f>SUM(Q330:Q336)</f>
        <v>0.83333333333333326</v>
      </c>
      <c r="R337" s="570">
        <f>SUM(R330:R336)</f>
        <v>1.5</v>
      </c>
      <c r="S337" s="190"/>
      <c r="T337" s="570">
        <f>SUM(T330:T336)</f>
        <v>0</v>
      </c>
      <c r="U337" s="570">
        <f>SUM(U330:U336)</f>
        <v>0</v>
      </c>
      <c r="V337" s="371"/>
      <c r="W337" s="393"/>
      <c r="X337" s="190"/>
      <c r="Y337" s="129"/>
      <c r="Z337" s="130"/>
      <c r="AA337" s="130"/>
      <c r="AB337" s="130"/>
      <c r="AC337" s="125"/>
      <c r="AE337" s="190"/>
      <c r="AF337" s="190"/>
      <c r="AG337" s="190"/>
      <c r="AH337" s="129"/>
      <c r="AI337" s="130"/>
      <c r="AJ337" s="117"/>
      <c r="AK337" s="190"/>
      <c r="AL337" s="190"/>
      <c r="AM337" s="190"/>
      <c r="AN337" s="129"/>
      <c r="AO337" s="130"/>
      <c r="AP337" s="117"/>
      <c r="AQ337" s="190"/>
      <c r="AR337" s="190"/>
      <c r="AS337" s="190"/>
      <c r="AT337" s="129"/>
      <c r="AU337" s="130"/>
      <c r="AV337" s="117"/>
      <c r="AW337" s="190"/>
      <c r="AX337" s="190"/>
      <c r="AY337" s="190"/>
      <c r="AZ337" s="129"/>
      <c r="BA337" s="130"/>
    </row>
    <row r="338" spans="1:53" ht="17.100000000000001" customHeight="1" x14ac:dyDescent="0.25">
      <c r="A338" s="137"/>
      <c r="B338" s="40"/>
      <c r="C338" s="40"/>
      <c r="D338" s="128" t="s">
        <v>321</v>
      </c>
      <c r="E338" s="122"/>
      <c r="F338" s="122"/>
      <c r="G338" s="122"/>
      <c r="H338" s="928"/>
      <c r="I338" s="12"/>
      <c r="J338" s="190"/>
      <c r="K338" s="190"/>
      <c r="L338" s="190"/>
      <c r="M338" s="190"/>
      <c r="N338" s="190">
        <v>3.5</v>
      </c>
      <c r="O338" s="190">
        <v>3.5</v>
      </c>
      <c r="P338" s="190"/>
      <c r="Q338" s="190">
        <v>3.5</v>
      </c>
      <c r="R338" s="190">
        <v>3.5</v>
      </c>
      <c r="S338" s="190"/>
      <c r="T338" s="190">
        <v>3.5</v>
      </c>
      <c r="U338" s="190">
        <v>3.5</v>
      </c>
      <c r="V338" s="371"/>
      <c r="W338" s="393"/>
      <c r="X338" s="190"/>
      <c r="Y338" s="129"/>
      <c r="Z338" s="130"/>
      <c r="AA338" s="130"/>
      <c r="AB338" s="130"/>
      <c r="AC338" s="125"/>
      <c r="AE338" s="190"/>
      <c r="AF338" s="190"/>
      <c r="AG338" s="190"/>
      <c r="AH338" s="129"/>
      <c r="AI338" s="130"/>
      <c r="AJ338" s="117"/>
      <c r="AK338" s="190"/>
      <c r="AL338" s="190"/>
      <c r="AM338" s="190"/>
      <c r="AN338" s="129"/>
      <c r="AO338" s="130"/>
      <c r="AP338" s="117"/>
      <c r="AQ338" s="190"/>
      <c r="AR338" s="190"/>
      <c r="AS338" s="190"/>
      <c r="AT338" s="129"/>
      <c r="AU338" s="130"/>
      <c r="AV338" s="117"/>
      <c r="AW338" s="190"/>
      <c r="AX338" s="190"/>
      <c r="AY338" s="190"/>
      <c r="AZ338" s="129"/>
      <c r="BA338" s="130"/>
    </row>
    <row r="339" spans="1:53" ht="17.100000000000001" customHeight="1" x14ac:dyDescent="0.25">
      <c r="A339" s="137"/>
      <c r="B339" s="40"/>
      <c r="C339" s="40"/>
      <c r="D339" s="75" t="s">
        <v>322</v>
      </c>
      <c r="E339" s="75"/>
      <c r="F339" s="75"/>
      <c r="G339" s="75"/>
      <c r="H339" s="1322"/>
      <c r="I339" s="12"/>
      <c r="J339" s="191" t="str">
        <f>IF(J$506=0,"",J340)</f>
        <v/>
      </c>
      <c r="K339" s="191" t="str">
        <f>IF(K$506=0,"",K340)</f>
        <v/>
      </c>
      <c r="L339" s="191" t="str">
        <f>IF(L$506=0,"",L340)</f>
        <v/>
      </c>
      <c r="M339" s="191"/>
      <c r="N339" s="191">
        <f>IF(N329=0,"",IF(N340=0,0,N340))</f>
        <v>0.5714285714285714</v>
      </c>
      <c r="O339" s="191">
        <f>IF(O329=0,"",IF(O340=0,0,O340))</f>
        <v>0.80952380952380953</v>
      </c>
      <c r="P339" s="191"/>
      <c r="Q339" s="191">
        <f>IF(Q329=0,"",IF(Q340=0,0,Q340))</f>
        <v>0.23809523809523808</v>
      </c>
      <c r="R339" s="191">
        <f>IF(R329=0,"",IF(R340=0,0,R340))</f>
        <v>0.42857142857142855</v>
      </c>
      <c r="S339" s="191"/>
      <c r="T339" s="191" t="str">
        <f>IF(T329=0,"",IF(T340=0,0,T340))</f>
        <v/>
      </c>
      <c r="U339" s="191" t="str">
        <f>IF(U329=0,"",IF(U340=0,0,U340))</f>
        <v/>
      </c>
      <c r="V339" s="191"/>
      <c r="W339" s="394"/>
      <c r="X339" s="191"/>
      <c r="Y339" s="164"/>
      <c r="Z339" s="192"/>
      <c r="AA339" s="192"/>
      <c r="AB339" s="192"/>
      <c r="AC339" s="193">
        <f>IF(Y339=0,0,AVERAGE(J339:X339))</f>
        <v>0</v>
      </c>
      <c r="AE339" s="191"/>
      <c r="AF339" s="191"/>
      <c r="AG339" s="191"/>
      <c r="AH339" s="164"/>
      <c r="AI339" s="192"/>
      <c r="AJ339" s="117"/>
      <c r="AK339" s="191"/>
      <c r="AL339" s="191"/>
      <c r="AM339" s="191"/>
      <c r="AN339" s="164"/>
      <c r="AO339" s="192"/>
      <c r="AP339" s="117"/>
      <c r="AQ339" s="191"/>
      <c r="AR339" s="191"/>
      <c r="AS339" s="191"/>
      <c r="AT339" s="164"/>
      <c r="AU339" s="192"/>
      <c r="AV339" s="117"/>
      <c r="AW339" s="191"/>
      <c r="AX339" s="191"/>
      <c r="AY339" s="191"/>
      <c r="AZ339" s="164"/>
      <c r="BA339" s="192"/>
    </row>
    <row r="340" spans="1:53" ht="17.100000000000001" customHeight="1" x14ac:dyDescent="0.25">
      <c r="A340" s="137"/>
      <c r="B340" s="40"/>
      <c r="C340" s="40"/>
      <c r="D340" s="128" t="s">
        <v>323</v>
      </c>
      <c r="E340" s="122"/>
      <c r="F340" s="122"/>
      <c r="G340" s="122"/>
      <c r="H340" s="1322"/>
      <c r="I340" s="12"/>
      <c r="J340" s="194"/>
      <c r="K340" s="194"/>
      <c r="L340" s="194"/>
      <c r="M340" s="194"/>
      <c r="N340" s="194">
        <f>N337/N338</f>
        <v>0.5714285714285714</v>
      </c>
      <c r="O340" s="194">
        <f t="shared" ref="O340" si="332">O337/O338</f>
        <v>0.80952380952380953</v>
      </c>
      <c r="P340" s="194"/>
      <c r="Q340" s="194">
        <f>Q337/Q338</f>
        <v>0.23809523809523808</v>
      </c>
      <c r="R340" s="194">
        <f t="shared" ref="R340" si="333">R337/R338</f>
        <v>0.42857142857142855</v>
      </c>
      <c r="S340" s="194"/>
      <c r="T340" s="194">
        <f>T337/T338</f>
        <v>0</v>
      </c>
      <c r="U340" s="194">
        <f t="shared" ref="U340" si="334">U337/U338</f>
        <v>0</v>
      </c>
      <c r="V340" s="194"/>
      <c r="W340" s="969">
        <f>N340+Q340+T340</f>
        <v>0.80952380952380953</v>
      </c>
      <c r="X340" s="504">
        <f>O340+R340+U340</f>
        <v>1.2380952380952381</v>
      </c>
      <c r="Y340" s="504">
        <f>SUM(N340:U340)</f>
        <v>2.0476190476190474</v>
      </c>
      <c r="Z340" s="195"/>
      <c r="AA340" s="195"/>
      <c r="AB340" s="195"/>
      <c r="AC340" s="161"/>
      <c r="AE340" s="194"/>
      <c r="AF340" s="194"/>
      <c r="AG340" s="194"/>
      <c r="AH340" s="162"/>
      <c r="AI340" s="195"/>
      <c r="AJ340" s="117"/>
      <c r="AK340" s="194"/>
      <c r="AL340" s="194"/>
      <c r="AM340" s="194"/>
      <c r="AN340" s="162"/>
      <c r="AO340" s="195"/>
      <c r="AP340" s="117"/>
      <c r="AQ340" s="194"/>
      <c r="AR340" s="194"/>
      <c r="AS340" s="194"/>
      <c r="AT340" s="162"/>
      <c r="AU340" s="195"/>
      <c r="AV340" s="117"/>
      <c r="AW340" s="194"/>
      <c r="AX340" s="194"/>
      <c r="AY340" s="194"/>
      <c r="AZ340" s="162"/>
      <c r="BA340" s="195"/>
    </row>
    <row r="341" spans="1:53" ht="17.100000000000001" customHeight="1" x14ac:dyDescent="0.25">
      <c r="A341" s="137"/>
      <c r="B341" s="137"/>
      <c r="C341" s="40"/>
      <c r="D341" s="128"/>
      <c r="E341" s="122"/>
      <c r="F341" s="122"/>
      <c r="G341" s="122"/>
      <c r="H341" s="1322"/>
      <c r="I341" s="12"/>
      <c r="J341" s="194"/>
      <c r="K341" s="194"/>
      <c r="L341" s="194"/>
      <c r="M341" s="194"/>
      <c r="N341" s="194">
        <f>IF(N329=0,"",N340)</f>
        <v>0.5714285714285714</v>
      </c>
      <c r="O341" s="194">
        <f>IF(O329=0,"",O340)</f>
        <v>0.80952380952380953</v>
      </c>
      <c r="P341" s="194"/>
      <c r="Q341" s="194">
        <f>IF(Q329=0,"",Q340)</f>
        <v>0.23809523809523808</v>
      </c>
      <c r="R341" s="194">
        <f>IF(R329=0,"",R340)</f>
        <v>0.42857142857142855</v>
      </c>
      <c r="S341" s="194"/>
      <c r="T341" s="194" t="str">
        <f>IF(T329=0,"",T340)</f>
        <v/>
      </c>
      <c r="U341" s="194" t="str">
        <f>IF(U329=0,"",U340)</f>
        <v/>
      </c>
      <c r="V341" s="194"/>
      <c r="W341" s="969">
        <f>IF(W340=0,"",AVERAGE(N341,Q341,T341))</f>
        <v>0.40476190476190477</v>
      </c>
      <c r="X341" s="504">
        <f>IF(X340=0,"",AVERAGE(O341,R341,U341))</f>
        <v>0.61904761904761907</v>
      </c>
      <c r="Y341" s="504">
        <f>IF(Y340=0,"",AVERAGE(N341:U341))</f>
        <v>0.51190476190476186</v>
      </c>
      <c r="Z341" s="195"/>
      <c r="AA341" s="195"/>
      <c r="AB341" s="195"/>
      <c r="AC341" s="161"/>
      <c r="AE341" s="194"/>
      <c r="AF341" s="194"/>
      <c r="AG341" s="194"/>
      <c r="AH341" s="162"/>
      <c r="AI341" s="195"/>
      <c r="AJ341" s="117"/>
      <c r="AK341" s="194"/>
      <c r="AL341" s="194"/>
      <c r="AM341" s="194"/>
      <c r="AN341" s="162"/>
      <c r="AO341" s="195"/>
      <c r="AP341" s="117"/>
      <c r="AQ341" s="194"/>
      <c r="AR341" s="194"/>
      <c r="AS341" s="194"/>
      <c r="AT341" s="162"/>
      <c r="AU341" s="195"/>
      <c r="AV341" s="117"/>
      <c r="AW341" s="194"/>
      <c r="AX341" s="194"/>
      <c r="AY341" s="194"/>
      <c r="AZ341" s="162"/>
      <c r="BA341" s="195"/>
    </row>
    <row r="342" spans="1:53" s="117" customFormat="1" ht="17.100000000000001" customHeight="1" x14ac:dyDescent="0.25">
      <c r="A342" s="119"/>
      <c r="B342" s="119"/>
      <c r="C342" s="196"/>
      <c r="D342" s="75" t="s">
        <v>324</v>
      </c>
      <c r="E342" s="75"/>
      <c r="F342" s="75"/>
      <c r="G342" s="75"/>
      <c r="H342" s="1322"/>
      <c r="I342" s="12"/>
      <c r="J342" s="55" t="str">
        <f>IF(J$506=0,"",IF(J339&gt;=0.75,1,0))</f>
        <v/>
      </c>
      <c r="K342" s="55" t="str">
        <f>IF(K$506=0,"",IF(K339&gt;=0.75,1,0))</f>
        <v/>
      </c>
      <c r="L342" s="55" t="str">
        <f>IF(L$506=0,"",IF(L339&gt;=0.75,1,0))</f>
        <v/>
      </c>
      <c r="M342" s="55"/>
      <c r="N342" s="55">
        <f>IF(N$329=0,0,IF(N$339&gt;=0.75,1,0))</f>
        <v>0</v>
      </c>
      <c r="O342" s="55">
        <f t="shared" ref="O342:U342" si="335">IF(O$329=0,0,IF(O$339&gt;=0.75,1,0))</f>
        <v>1</v>
      </c>
      <c r="P342" s="55">
        <f>IF(SUM(N342:O342)=0,0,IF(SUM(N342:O342)=2,1,IF(AND(N$340=0,O342&gt;0),O342,SUM(N342:O342)/2)))</f>
        <v>0.5</v>
      </c>
      <c r="Q342" s="55">
        <f t="shared" si="335"/>
        <v>0</v>
      </c>
      <c r="R342" s="55">
        <f t="shared" si="335"/>
        <v>0</v>
      </c>
      <c r="S342" s="55">
        <f>IF(SUM(Q342:R342)=0,0,IF(SUM(Q342:R342)=2,1,IF(AND(Q$340=0,R342&gt;0),R342,SUM(Q342:R342)/2)))</f>
        <v>0</v>
      </c>
      <c r="T342" s="55">
        <f t="shared" si="335"/>
        <v>0</v>
      </c>
      <c r="U342" s="55">
        <f t="shared" si="335"/>
        <v>0</v>
      </c>
      <c r="V342" s="55">
        <f>IF(SUM(T342:U342)=0,0,IF(SUM(T342:U342)=2,1,IF(AND(T$340=0,U342&gt;0),U342,SUM(T342:U342)/2)))</f>
        <v>0</v>
      </c>
      <c r="W342" s="1324">
        <f>N342+Q342+T342</f>
        <v>0</v>
      </c>
      <c r="X342" s="1000">
        <f>O342+R342+U342</f>
        <v>1</v>
      </c>
      <c r="Y342" s="996">
        <f>P342+S342+V342</f>
        <v>0.5</v>
      </c>
      <c r="Z342" s="19">
        <f>IF(Y$569=0,0,Y342/Y$569)</f>
        <v>0</v>
      </c>
      <c r="AA342" s="197"/>
      <c r="AB342" s="197"/>
      <c r="AC342" s="198"/>
      <c r="AE342" s="55"/>
      <c r="AF342" s="55"/>
      <c r="AG342" s="55"/>
      <c r="AH342" s="164"/>
      <c r="AI342" s="197"/>
      <c r="AK342" s="55"/>
      <c r="AL342" s="55"/>
      <c r="AM342" s="55"/>
      <c r="AN342" s="164"/>
      <c r="AO342" s="197"/>
      <c r="AQ342" s="55"/>
      <c r="AR342" s="55"/>
      <c r="AS342" s="55"/>
      <c r="AT342" s="164"/>
      <c r="AU342" s="197"/>
      <c r="AW342" s="55"/>
      <c r="AX342" s="55"/>
      <c r="AY342" s="55"/>
      <c r="AZ342" s="164"/>
      <c r="BA342" s="197"/>
    </row>
    <row r="343" spans="1:53" s="117" customFormat="1" ht="17.100000000000001" customHeight="1" x14ac:dyDescent="0.25">
      <c r="A343" s="119"/>
      <c r="B343" s="119"/>
      <c r="C343" s="136"/>
      <c r="D343" s="75" t="s">
        <v>325</v>
      </c>
      <c r="E343" s="75"/>
      <c r="F343" s="75"/>
      <c r="G343" s="75"/>
      <c r="H343" s="1322"/>
      <c r="I343" s="12"/>
      <c r="J343" s="55" t="str">
        <f>IF(J$506=0,"",IF(AND(J340&gt;=0.5,J340&lt;0.75),1,0))</f>
        <v/>
      </c>
      <c r="K343" s="55" t="str">
        <f>IF(K$506=0,"",IF(AND(K340&gt;=0.5,K340&lt;0.75),1,0))</f>
        <v/>
      </c>
      <c r="L343" s="55" t="str">
        <f>IF(L$506=0,"",IF(AND(L340&gt;=0.5,L340&lt;0.75),1,0))</f>
        <v/>
      </c>
      <c r="M343" s="55"/>
      <c r="N343" s="55">
        <f>IF(N$329=0,0,IF(AND(N339&gt;=0.5,N339&lt;0.75),1,0))</f>
        <v>1</v>
      </c>
      <c r="O343" s="55">
        <f t="shared" ref="O343:U343" si="336">IF(O$329=0,0,IF(AND(O339&gt;=0.5,O339&lt;0.75),1,0))</f>
        <v>0</v>
      </c>
      <c r="P343" s="55">
        <f t="shared" ref="P343:P344" si="337">IF(SUM(N343:O343)=0,0,IF(SUM(N343:O343)=2,1,IF(AND(N$340=0,O343&gt;0),O343,SUM(N343:O343)/2)))</f>
        <v>0.5</v>
      </c>
      <c r="Q343" s="55">
        <f t="shared" si="336"/>
        <v>0</v>
      </c>
      <c r="R343" s="55">
        <f t="shared" si="336"/>
        <v>0</v>
      </c>
      <c r="S343" s="55">
        <f t="shared" ref="S343:S344" si="338">IF(SUM(Q343:R343)=0,0,IF(SUM(Q343:R343)=2,1,IF(AND(Q$340=0,R343&gt;0),R343,SUM(Q343:R343)/2)))</f>
        <v>0</v>
      </c>
      <c r="T343" s="55">
        <f t="shared" si="336"/>
        <v>0</v>
      </c>
      <c r="U343" s="55">
        <f t="shared" si="336"/>
        <v>0</v>
      </c>
      <c r="V343" s="55">
        <f t="shared" ref="V343:V344" si="339">IF(SUM(T343:U343)=0,0,IF(SUM(T343:U343)=2,1,IF(AND(T$340=0,U343&gt;0),U343,SUM(T343:U343)/2)))</f>
        <v>0</v>
      </c>
      <c r="W343" s="1324">
        <f t="shared" ref="W343:Y344" si="340">N343+Q343+T343</f>
        <v>1</v>
      </c>
      <c r="X343" s="1000">
        <f t="shared" si="340"/>
        <v>0</v>
      </c>
      <c r="Y343" s="996">
        <f t="shared" si="340"/>
        <v>0.5</v>
      </c>
      <c r="Z343" s="19">
        <f>IF(Y$569=0,0,Y343/Y$569)</f>
        <v>0</v>
      </c>
      <c r="AA343" s="197"/>
      <c r="AB343" s="197"/>
      <c r="AC343" s="198"/>
      <c r="AE343" s="55"/>
      <c r="AF343" s="55"/>
      <c r="AG343" s="55"/>
      <c r="AH343" s="164"/>
      <c r="AI343" s="197"/>
      <c r="AK343" s="55"/>
      <c r="AL343" s="55"/>
      <c r="AM343" s="55"/>
      <c r="AN343" s="164"/>
      <c r="AO343" s="197"/>
      <c r="AQ343" s="55"/>
      <c r="AR343" s="55"/>
      <c r="AS343" s="55"/>
      <c r="AT343" s="164"/>
      <c r="AU343" s="197"/>
      <c r="AW343" s="55"/>
      <c r="AX343" s="55"/>
      <c r="AY343" s="55"/>
      <c r="AZ343" s="164"/>
      <c r="BA343" s="197"/>
    </row>
    <row r="344" spans="1:53" s="97" customFormat="1" ht="17.100000000000001" customHeight="1" x14ac:dyDescent="0.25">
      <c r="A344" s="119"/>
      <c r="B344" s="119"/>
      <c r="C344" s="137"/>
      <c r="D344" s="75" t="s">
        <v>326</v>
      </c>
      <c r="E344" s="75"/>
      <c r="F344" s="75"/>
      <c r="G344" s="75"/>
      <c r="H344" s="1322"/>
      <c r="I344" s="12"/>
      <c r="J344" s="55" t="str">
        <f>IF(J$506=0,"",IF(J340&lt;0.5,1,0))</f>
        <v/>
      </c>
      <c r="K344" s="55" t="str">
        <f>IF(K$506=0,"",IF(K340&lt;0.5,1,0))</f>
        <v/>
      </c>
      <c r="L344" s="55" t="str">
        <f>IF(L$506=0,"",IF(L340&lt;0.5,1,0))</f>
        <v/>
      </c>
      <c r="M344" s="55"/>
      <c r="N344" s="55">
        <f>IF(N$329=0,0,IF(N339&lt;0.5,1,0))</f>
        <v>0</v>
      </c>
      <c r="O344" s="55">
        <f t="shared" ref="O344:U344" si="341">IF(O$329=0,0,IF(O339&lt;0.5,1,0))</f>
        <v>0</v>
      </c>
      <c r="P344" s="55">
        <f t="shared" si="337"/>
        <v>0</v>
      </c>
      <c r="Q344" s="55">
        <f t="shared" si="341"/>
        <v>1</v>
      </c>
      <c r="R344" s="55">
        <f t="shared" si="341"/>
        <v>1</v>
      </c>
      <c r="S344" s="55">
        <f t="shared" si="338"/>
        <v>1</v>
      </c>
      <c r="T344" s="55">
        <f t="shared" si="341"/>
        <v>0</v>
      </c>
      <c r="U344" s="55">
        <f t="shared" si="341"/>
        <v>0</v>
      </c>
      <c r="V344" s="55">
        <f t="shared" si="339"/>
        <v>0</v>
      </c>
      <c r="W344" s="1324">
        <f t="shared" si="340"/>
        <v>1</v>
      </c>
      <c r="X344" s="1000">
        <f t="shared" si="340"/>
        <v>1</v>
      </c>
      <c r="Y344" s="996">
        <f t="shared" si="340"/>
        <v>1</v>
      </c>
      <c r="Z344" s="19">
        <f>IF(Y$569=0,0,Y344/Y$569)</f>
        <v>0</v>
      </c>
      <c r="AA344" s="197"/>
      <c r="AB344" s="197"/>
      <c r="AC344" s="198"/>
      <c r="AE344" s="55"/>
      <c r="AF344" s="55"/>
      <c r="AG344" s="55"/>
      <c r="AH344" s="164"/>
      <c r="AI344" s="197"/>
      <c r="AK344" s="55"/>
      <c r="AL344" s="55"/>
      <c r="AM344" s="55"/>
      <c r="AN344" s="164"/>
      <c r="AO344" s="197"/>
      <c r="AQ344" s="55"/>
      <c r="AR344" s="55"/>
      <c r="AS344" s="55"/>
      <c r="AT344" s="164"/>
      <c r="AU344" s="197"/>
      <c r="AW344" s="55"/>
      <c r="AX344" s="55"/>
      <c r="AY344" s="55"/>
      <c r="AZ344" s="164"/>
      <c r="BA344" s="197"/>
    </row>
    <row r="345" spans="1:53" s="117" customFormat="1" ht="17.100000000000001" customHeight="1" x14ac:dyDescent="0.25">
      <c r="A345" s="119"/>
      <c r="B345" s="119"/>
      <c r="C345" s="119"/>
      <c r="D345" s="428"/>
      <c r="E345" s="93"/>
      <c r="F345" s="93"/>
      <c r="G345" s="93"/>
      <c r="H345" s="1322"/>
      <c r="I345" s="12"/>
      <c r="J345" s="191"/>
      <c r="K345" s="191"/>
      <c r="L345" s="191"/>
      <c r="M345" s="191"/>
      <c r="N345" s="191"/>
      <c r="O345" s="191"/>
      <c r="P345" s="191"/>
      <c r="Q345" s="191"/>
      <c r="R345" s="191"/>
      <c r="S345" s="191"/>
      <c r="T345" s="191"/>
      <c r="U345" s="191"/>
      <c r="V345" s="191"/>
      <c r="W345" s="394"/>
      <c r="X345" s="191"/>
      <c r="Y345" s="164">
        <f>SUM(Y342:Y344)</f>
        <v>2</v>
      </c>
      <c r="Z345" s="19">
        <f t="shared" ref="Z345" si="342">IF(Y$569=0,0,Y345/Y$569)</f>
        <v>0</v>
      </c>
      <c r="AA345" s="192"/>
      <c r="AB345" s="192"/>
      <c r="AC345" s="198"/>
      <c r="AE345" s="191"/>
      <c r="AF345" s="191"/>
      <c r="AG345" s="191"/>
      <c r="AH345" s="164"/>
      <c r="AI345" s="192"/>
      <c r="AK345" s="191"/>
      <c r="AL345" s="191"/>
      <c r="AM345" s="191"/>
      <c r="AN345" s="164"/>
      <c r="AO345" s="192"/>
      <c r="AQ345" s="191"/>
      <c r="AR345" s="191"/>
      <c r="AS345" s="191"/>
      <c r="AT345" s="164"/>
      <c r="AU345" s="192"/>
      <c r="AW345" s="191"/>
      <c r="AX345" s="191"/>
      <c r="AY345" s="191"/>
      <c r="AZ345" s="164"/>
      <c r="BA345" s="192"/>
    </row>
    <row r="358" spans="4:9" s="2" customFormat="1" ht="17.100000000000001" customHeight="1" x14ac:dyDescent="0.25">
      <c r="D358" s="3"/>
      <c r="E358" s="3"/>
      <c r="F358" s="4"/>
      <c r="G358" s="4"/>
      <c r="H358" s="4"/>
      <c r="I358" s="97"/>
    </row>
    <row r="359" spans="4:9" s="2" customFormat="1" ht="17.100000000000001" customHeight="1" x14ac:dyDescent="0.25">
      <c r="D359" s="3"/>
      <c r="E359" s="3"/>
      <c r="F359" s="4"/>
      <c r="G359" s="4"/>
      <c r="H359" s="4"/>
      <c r="I359" s="97"/>
    </row>
    <row r="360" spans="4:9" s="2" customFormat="1" ht="17.100000000000001" customHeight="1" x14ac:dyDescent="0.25">
      <c r="D360" s="3"/>
      <c r="E360" s="3"/>
      <c r="F360" s="4"/>
      <c r="G360" s="4"/>
      <c r="H360" s="4"/>
      <c r="I360" s="97"/>
    </row>
    <row r="361" spans="4:9" s="2" customFormat="1" ht="17.100000000000001" customHeight="1" x14ac:dyDescent="0.25">
      <c r="D361" s="3"/>
      <c r="E361" s="3"/>
      <c r="F361" s="4"/>
      <c r="G361" s="4"/>
      <c r="H361" s="4"/>
      <c r="I361" s="97"/>
    </row>
    <row r="362" spans="4:9" s="2" customFormat="1" ht="17.100000000000001" customHeight="1" x14ac:dyDescent="0.25">
      <c r="D362" s="3"/>
      <c r="E362" s="3"/>
      <c r="F362" s="4"/>
      <c r="G362" s="4"/>
      <c r="H362" s="4"/>
      <c r="I362" s="97"/>
    </row>
    <row r="363" spans="4:9" s="2" customFormat="1" ht="17.100000000000001" customHeight="1" x14ac:dyDescent="0.25">
      <c r="D363" s="3"/>
      <c r="E363" s="3"/>
      <c r="F363" s="4"/>
      <c r="G363" s="4"/>
      <c r="H363" s="4"/>
      <c r="I363" s="97"/>
    </row>
    <row r="364" spans="4:9" s="2" customFormat="1" ht="17.100000000000001" customHeight="1" x14ac:dyDescent="0.25">
      <c r="D364" s="3"/>
      <c r="E364" s="3"/>
      <c r="F364" s="4"/>
      <c r="G364" s="4"/>
      <c r="H364" s="4"/>
      <c r="I364" s="97"/>
    </row>
    <row r="365" spans="4:9" s="2" customFormat="1" ht="17.100000000000001" customHeight="1" x14ac:dyDescent="0.25">
      <c r="D365" s="3"/>
      <c r="E365" s="3"/>
      <c r="F365" s="4"/>
      <c r="G365" s="4"/>
      <c r="H365" s="4"/>
      <c r="I365" s="97"/>
    </row>
    <row r="366" spans="4:9" s="2" customFormat="1" ht="17.100000000000001" customHeight="1" x14ac:dyDescent="0.25">
      <c r="D366" s="3"/>
      <c r="E366" s="3"/>
      <c r="F366" s="4"/>
      <c r="G366" s="4"/>
      <c r="H366" s="4"/>
      <c r="I366" s="97"/>
    </row>
    <row r="367" spans="4:9" s="2" customFormat="1" ht="17.100000000000001" customHeight="1" x14ac:dyDescent="0.25">
      <c r="D367" s="3"/>
      <c r="E367" s="3"/>
      <c r="F367" s="4"/>
      <c r="G367" s="4"/>
      <c r="H367" s="4"/>
      <c r="I367" s="97"/>
    </row>
    <row r="368" spans="4:9" s="2" customFormat="1" ht="17.100000000000001" customHeight="1" x14ac:dyDescent="0.25">
      <c r="D368" s="3"/>
      <c r="E368" s="3"/>
      <c r="F368" s="4"/>
      <c r="G368" s="4"/>
      <c r="H368" s="4"/>
      <c r="I368" s="97"/>
    </row>
    <row r="369" spans="4:9" s="2" customFormat="1" ht="17.100000000000001" customHeight="1" x14ac:dyDescent="0.25">
      <c r="D369" s="3"/>
      <c r="E369" s="3"/>
      <c r="F369" s="4"/>
      <c r="G369" s="4"/>
      <c r="H369" s="4"/>
      <c r="I369" s="97"/>
    </row>
    <row r="370" spans="4:9" s="2" customFormat="1" ht="17.100000000000001" customHeight="1" x14ac:dyDescent="0.25">
      <c r="D370" s="3"/>
      <c r="E370" s="3"/>
      <c r="F370" s="4"/>
      <c r="G370" s="4"/>
      <c r="H370" s="4"/>
      <c r="I370" s="97"/>
    </row>
    <row r="371" spans="4:9" s="2" customFormat="1" ht="17.100000000000001" customHeight="1" x14ac:dyDescent="0.25">
      <c r="D371" s="3"/>
      <c r="E371" s="3"/>
      <c r="F371" s="4"/>
      <c r="G371" s="4"/>
      <c r="H371" s="4"/>
      <c r="I371" s="97"/>
    </row>
    <row r="372" spans="4:9" s="2" customFormat="1" ht="17.100000000000001" customHeight="1" x14ac:dyDescent="0.25">
      <c r="D372" s="3"/>
      <c r="E372" s="3"/>
      <c r="F372" s="4"/>
      <c r="G372" s="4"/>
      <c r="H372" s="4"/>
      <c r="I372" s="97"/>
    </row>
    <row r="373" spans="4:9" s="2" customFormat="1" ht="17.100000000000001" customHeight="1" x14ac:dyDescent="0.25">
      <c r="D373" s="3"/>
      <c r="E373" s="3"/>
      <c r="F373" s="4"/>
      <c r="G373" s="4"/>
      <c r="H373" s="4"/>
      <c r="I373" s="97"/>
    </row>
    <row r="374" spans="4:9" s="2" customFormat="1" ht="17.100000000000001" customHeight="1" x14ac:dyDescent="0.25">
      <c r="D374" s="3"/>
      <c r="E374" s="3"/>
      <c r="F374" s="4"/>
      <c r="G374" s="4"/>
      <c r="H374" s="4"/>
      <c r="I374" s="97"/>
    </row>
    <row r="375" spans="4:9" s="2" customFormat="1" ht="17.100000000000001" customHeight="1" x14ac:dyDescent="0.25">
      <c r="D375" s="3"/>
      <c r="E375" s="3"/>
      <c r="F375" s="4"/>
      <c r="G375" s="4"/>
      <c r="H375" s="4"/>
      <c r="I375" s="97"/>
    </row>
    <row r="376" spans="4:9" s="2" customFormat="1" ht="17.100000000000001" customHeight="1" x14ac:dyDescent="0.25">
      <c r="D376" s="3"/>
      <c r="E376" s="3"/>
      <c r="F376" s="4"/>
      <c r="G376" s="4"/>
      <c r="H376" s="4"/>
      <c r="I376" s="97"/>
    </row>
    <row r="377" spans="4:9" s="2" customFormat="1" ht="17.100000000000001" customHeight="1" x14ac:dyDescent="0.25">
      <c r="D377" s="3"/>
      <c r="E377" s="3"/>
      <c r="F377" s="4"/>
      <c r="G377" s="4"/>
      <c r="H377" s="4"/>
      <c r="I377" s="97"/>
    </row>
    <row r="378" spans="4:9" s="2" customFormat="1" ht="17.100000000000001" customHeight="1" x14ac:dyDescent="0.25">
      <c r="D378" s="3"/>
      <c r="E378" s="3"/>
      <c r="F378" s="4"/>
      <c r="G378" s="4"/>
      <c r="H378" s="4"/>
      <c r="I378" s="97"/>
    </row>
    <row r="379" spans="4:9" s="2" customFormat="1" ht="17.100000000000001" customHeight="1" x14ac:dyDescent="0.25">
      <c r="D379" s="3"/>
      <c r="E379" s="3"/>
      <c r="F379" s="4"/>
      <c r="G379" s="4"/>
      <c r="H379" s="4"/>
      <c r="I379" s="97"/>
    </row>
    <row r="380" spans="4:9" s="2" customFormat="1" ht="17.100000000000001" customHeight="1" x14ac:dyDescent="0.25">
      <c r="D380" s="3"/>
      <c r="E380" s="3"/>
      <c r="F380" s="4"/>
      <c r="G380" s="4"/>
      <c r="H380" s="4"/>
      <c r="I380" s="97"/>
    </row>
    <row r="381" spans="4:9" s="2" customFormat="1" ht="17.100000000000001" customHeight="1" x14ac:dyDescent="0.25">
      <c r="D381" s="3"/>
      <c r="E381" s="3"/>
      <c r="F381" s="4"/>
      <c r="G381" s="4"/>
      <c r="H381" s="4"/>
      <c r="I381" s="97"/>
    </row>
    <row r="382" spans="4:9" s="2" customFormat="1" ht="17.100000000000001" customHeight="1" x14ac:dyDescent="0.25">
      <c r="D382" s="3"/>
      <c r="E382" s="3"/>
      <c r="F382" s="4"/>
      <c r="G382" s="4"/>
      <c r="H382" s="4"/>
      <c r="I382" s="97"/>
    </row>
    <row r="383" spans="4:9" s="2" customFormat="1" ht="17.100000000000001" customHeight="1" x14ac:dyDescent="0.25">
      <c r="D383" s="3"/>
      <c r="E383" s="3"/>
      <c r="F383" s="4"/>
      <c r="G383" s="4"/>
      <c r="H383" s="4"/>
      <c r="I383" s="97"/>
    </row>
    <row r="384" spans="4:9" s="2" customFormat="1" ht="17.100000000000001" customHeight="1" x14ac:dyDescent="0.25">
      <c r="D384" s="3"/>
      <c r="E384" s="3"/>
      <c r="F384" s="4"/>
      <c r="G384" s="4"/>
      <c r="H384" s="4"/>
      <c r="I384" s="97"/>
    </row>
    <row r="385" spans="4:9" s="2" customFormat="1" ht="17.100000000000001" customHeight="1" x14ac:dyDescent="0.25">
      <c r="D385" s="3"/>
      <c r="E385" s="3"/>
      <c r="F385" s="4"/>
      <c r="G385" s="4"/>
      <c r="H385" s="4"/>
      <c r="I385" s="97"/>
    </row>
    <row r="386" spans="4:9" s="2" customFormat="1" ht="17.100000000000001" customHeight="1" x14ac:dyDescent="0.25">
      <c r="D386" s="3"/>
      <c r="E386" s="3"/>
      <c r="F386" s="4"/>
      <c r="G386" s="4"/>
      <c r="H386" s="4"/>
      <c r="I386" s="97"/>
    </row>
    <row r="387" spans="4:9" s="2" customFormat="1" ht="17.100000000000001" customHeight="1" x14ac:dyDescent="0.25">
      <c r="D387" s="3"/>
      <c r="E387" s="3"/>
      <c r="F387" s="4"/>
      <c r="G387" s="4"/>
      <c r="H387" s="4"/>
      <c r="I387" s="97"/>
    </row>
    <row r="388" spans="4:9" s="2" customFormat="1" ht="17.100000000000001" customHeight="1" x14ac:dyDescent="0.25">
      <c r="D388" s="3"/>
      <c r="E388" s="3"/>
      <c r="F388" s="4"/>
      <c r="G388" s="4"/>
      <c r="H388" s="4"/>
      <c r="I388" s="97"/>
    </row>
    <row r="389" spans="4:9" s="2" customFormat="1" ht="17.100000000000001" customHeight="1" x14ac:dyDescent="0.25">
      <c r="D389" s="3"/>
      <c r="E389" s="3"/>
      <c r="F389" s="4"/>
      <c r="G389" s="4"/>
      <c r="H389" s="4"/>
      <c r="I389" s="97"/>
    </row>
    <row r="390" spans="4:9" s="2" customFormat="1" ht="17.100000000000001" customHeight="1" x14ac:dyDescent="0.25">
      <c r="D390" s="3"/>
      <c r="E390" s="3"/>
      <c r="F390" s="4"/>
      <c r="G390" s="4"/>
      <c r="H390" s="4"/>
      <c r="I390" s="97"/>
    </row>
    <row r="391" spans="4:9" s="2" customFormat="1" ht="17.100000000000001" customHeight="1" x14ac:dyDescent="0.25">
      <c r="D391" s="3"/>
      <c r="E391" s="3"/>
      <c r="F391" s="4"/>
      <c r="G391" s="4"/>
      <c r="H391" s="4"/>
      <c r="I391" s="97"/>
    </row>
    <row r="392" spans="4:9" s="2" customFormat="1" ht="17.100000000000001" customHeight="1" x14ac:dyDescent="0.25">
      <c r="D392" s="3"/>
      <c r="E392" s="3"/>
      <c r="F392" s="4"/>
      <c r="G392" s="4"/>
      <c r="H392" s="4"/>
      <c r="I392" s="97"/>
    </row>
    <row r="393" spans="4:9" s="2" customFormat="1" ht="17.100000000000001" customHeight="1" x14ac:dyDescent="0.25">
      <c r="D393" s="3"/>
      <c r="E393" s="3"/>
      <c r="F393" s="4"/>
      <c r="G393" s="4"/>
      <c r="H393" s="4"/>
      <c r="I393" s="97"/>
    </row>
    <row r="394" spans="4:9" s="2" customFormat="1" ht="17.100000000000001" customHeight="1" x14ac:dyDescent="0.25">
      <c r="D394" s="3"/>
      <c r="E394" s="3"/>
      <c r="F394" s="4"/>
      <c r="G394" s="4"/>
      <c r="H394" s="4"/>
      <c r="I394" s="97"/>
    </row>
    <row r="395" spans="4:9" s="2" customFormat="1" ht="17.100000000000001" customHeight="1" x14ac:dyDescent="0.25">
      <c r="D395" s="3"/>
      <c r="E395" s="3"/>
      <c r="F395" s="4"/>
      <c r="G395" s="4"/>
      <c r="H395" s="4"/>
      <c r="I395" s="97"/>
    </row>
    <row r="396" spans="4:9" s="2" customFormat="1" ht="17.100000000000001" customHeight="1" x14ac:dyDescent="0.25">
      <c r="D396" s="3"/>
      <c r="E396" s="3"/>
      <c r="F396" s="4"/>
      <c r="G396" s="4"/>
      <c r="H396" s="4"/>
      <c r="I396" s="97"/>
    </row>
    <row r="397" spans="4:9" s="2" customFormat="1" ht="17.100000000000001" customHeight="1" x14ac:dyDescent="0.25">
      <c r="D397" s="3"/>
      <c r="E397" s="3"/>
      <c r="F397" s="4"/>
      <c r="G397" s="4"/>
      <c r="H397" s="4"/>
      <c r="I397" s="97"/>
    </row>
    <row r="398" spans="4:9" s="2" customFormat="1" ht="17.100000000000001" customHeight="1" x14ac:dyDescent="0.25">
      <c r="D398" s="3"/>
      <c r="E398" s="3"/>
      <c r="F398" s="4"/>
      <c r="G398" s="4"/>
      <c r="H398" s="4"/>
      <c r="I398" s="97"/>
    </row>
    <row r="399" spans="4:9" s="2" customFormat="1" ht="17.100000000000001" customHeight="1" x14ac:dyDescent="0.25">
      <c r="D399" s="3"/>
      <c r="E399" s="3"/>
      <c r="F399" s="4"/>
      <c r="G399" s="4"/>
      <c r="H399" s="4"/>
      <c r="I399" s="97"/>
    </row>
    <row r="400" spans="4:9" s="2" customFormat="1" ht="17.100000000000001" customHeight="1" x14ac:dyDescent="0.25">
      <c r="D400" s="3"/>
      <c r="E400" s="3"/>
      <c r="F400" s="4"/>
      <c r="G400" s="4"/>
      <c r="H400" s="4"/>
      <c r="I400" s="97"/>
    </row>
    <row r="401" spans="4:9" s="2" customFormat="1" ht="17.100000000000001" customHeight="1" x14ac:dyDescent="0.25">
      <c r="D401" s="3"/>
      <c r="E401" s="3"/>
      <c r="F401" s="4"/>
      <c r="G401" s="4"/>
      <c r="H401" s="4"/>
      <c r="I401" s="97"/>
    </row>
    <row r="402" spans="4:9" s="2" customFormat="1" ht="17.100000000000001" customHeight="1" x14ac:dyDescent="0.25">
      <c r="D402" s="3"/>
      <c r="E402" s="3"/>
      <c r="F402" s="4"/>
      <c r="G402" s="4"/>
      <c r="H402" s="4"/>
      <c r="I402" s="97"/>
    </row>
    <row r="403" spans="4:9" s="2" customFormat="1" ht="17.100000000000001" customHeight="1" x14ac:dyDescent="0.25">
      <c r="D403" s="3"/>
      <c r="E403" s="3"/>
      <c r="F403" s="4"/>
      <c r="G403" s="4"/>
      <c r="H403" s="4"/>
      <c r="I403" s="97"/>
    </row>
    <row r="404" spans="4:9" s="2" customFormat="1" ht="17.100000000000001" customHeight="1" x14ac:dyDescent="0.25">
      <c r="D404" s="3"/>
      <c r="E404" s="3"/>
      <c r="F404" s="4"/>
      <c r="G404" s="4"/>
      <c r="H404" s="4"/>
      <c r="I404" s="97"/>
    </row>
    <row r="405" spans="4:9" s="2" customFormat="1" ht="17.100000000000001" customHeight="1" x14ac:dyDescent="0.25">
      <c r="D405" s="3"/>
      <c r="E405" s="3"/>
      <c r="F405" s="4"/>
      <c r="G405" s="4"/>
      <c r="H405" s="4"/>
      <c r="I405" s="97"/>
    </row>
    <row r="406" spans="4:9" s="2" customFormat="1" ht="17.100000000000001" customHeight="1" x14ac:dyDescent="0.25">
      <c r="D406" s="3"/>
      <c r="E406" s="3"/>
      <c r="F406" s="4"/>
      <c r="G406" s="4"/>
      <c r="H406" s="4"/>
      <c r="I406" s="97"/>
    </row>
    <row r="407" spans="4:9" s="2" customFormat="1" ht="17.100000000000001" customHeight="1" x14ac:dyDescent="0.25">
      <c r="D407" s="3"/>
      <c r="E407" s="3"/>
      <c r="F407" s="4"/>
      <c r="G407" s="4"/>
      <c r="H407" s="4"/>
      <c r="I407" s="97"/>
    </row>
    <row r="408" spans="4:9" s="2" customFormat="1" ht="17.100000000000001" customHeight="1" x14ac:dyDescent="0.25">
      <c r="D408" s="3"/>
      <c r="E408" s="3"/>
      <c r="F408" s="4"/>
      <c r="G408" s="4"/>
      <c r="H408" s="4"/>
      <c r="I408" s="97"/>
    </row>
    <row r="409" spans="4:9" s="2" customFormat="1" ht="17.100000000000001" customHeight="1" x14ac:dyDescent="0.25">
      <c r="D409" s="3"/>
      <c r="E409" s="3"/>
      <c r="F409" s="4"/>
      <c r="G409" s="4"/>
      <c r="H409" s="4"/>
      <c r="I409" s="97"/>
    </row>
    <row r="410" spans="4:9" s="2" customFormat="1" ht="17.100000000000001" customHeight="1" x14ac:dyDescent="0.25">
      <c r="D410" s="3"/>
      <c r="E410" s="3"/>
      <c r="F410" s="4"/>
      <c r="G410" s="4"/>
      <c r="H410" s="4"/>
      <c r="I410" s="97"/>
    </row>
    <row r="411" spans="4:9" s="2" customFormat="1" ht="17.100000000000001" customHeight="1" x14ac:dyDescent="0.25">
      <c r="D411" s="3"/>
      <c r="E411" s="3"/>
      <c r="F411" s="4"/>
      <c r="G411" s="4"/>
      <c r="H411" s="4"/>
      <c r="I411" s="97"/>
    </row>
    <row r="412" spans="4:9" s="2" customFormat="1" ht="17.100000000000001" customHeight="1" x14ac:dyDescent="0.25">
      <c r="D412" s="3"/>
      <c r="E412" s="3"/>
      <c r="F412" s="4"/>
      <c r="G412" s="4"/>
      <c r="H412" s="4"/>
      <c r="I412" s="97"/>
    </row>
    <row r="413" spans="4:9" s="2" customFormat="1" ht="17.100000000000001" customHeight="1" x14ac:dyDescent="0.25">
      <c r="D413" s="3"/>
      <c r="E413" s="3"/>
      <c r="F413" s="4"/>
      <c r="G413" s="4"/>
      <c r="H413" s="4"/>
      <c r="I413" s="97"/>
    </row>
    <row r="414" spans="4:9" s="2" customFormat="1" ht="17.100000000000001" customHeight="1" x14ac:dyDescent="0.25">
      <c r="D414" s="3"/>
      <c r="E414" s="3"/>
      <c r="F414" s="4"/>
      <c r="G414" s="4"/>
      <c r="H414" s="4"/>
      <c r="I414" s="97"/>
    </row>
    <row r="415" spans="4:9" s="2" customFormat="1" ht="17.100000000000001" customHeight="1" x14ac:dyDescent="0.25">
      <c r="D415" s="3"/>
      <c r="E415" s="3"/>
      <c r="F415" s="4"/>
      <c r="G415" s="4"/>
      <c r="H415" s="4"/>
      <c r="I415" s="97"/>
    </row>
    <row r="416" spans="4:9" s="2" customFormat="1" ht="17.100000000000001" customHeight="1" x14ac:dyDescent="0.25">
      <c r="D416" s="3"/>
      <c r="E416" s="3"/>
      <c r="F416" s="4"/>
      <c r="G416" s="4"/>
      <c r="H416" s="4"/>
      <c r="I416" s="97"/>
    </row>
    <row r="417" spans="4:9" s="2" customFormat="1" ht="17.100000000000001" customHeight="1" x14ac:dyDescent="0.25">
      <c r="D417" s="3"/>
      <c r="E417" s="3"/>
      <c r="F417" s="4"/>
      <c r="G417" s="4"/>
      <c r="H417" s="4"/>
      <c r="I417" s="97"/>
    </row>
    <row r="418" spans="4:9" s="2" customFormat="1" ht="17.100000000000001" customHeight="1" x14ac:dyDescent="0.25">
      <c r="D418" s="3"/>
      <c r="E418" s="3"/>
      <c r="F418" s="4"/>
      <c r="G418" s="4"/>
      <c r="H418" s="4"/>
      <c r="I418" s="97"/>
    </row>
    <row r="419" spans="4:9" s="2" customFormat="1" ht="17.100000000000001" customHeight="1" x14ac:dyDescent="0.25">
      <c r="D419" s="3"/>
      <c r="E419" s="3"/>
      <c r="F419" s="4"/>
      <c r="G419" s="4"/>
      <c r="H419" s="4"/>
      <c r="I419" s="97"/>
    </row>
    <row r="420" spans="4:9" s="2" customFormat="1" ht="17.100000000000001" customHeight="1" x14ac:dyDescent="0.25">
      <c r="D420" s="3"/>
      <c r="E420" s="3"/>
      <c r="F420" s="4"/>
      <c r="G420" s="4"/>
      <c r="H420" s="4"/>
      <c r="I420" s="97"/>
    </row>
    <row r="421" spans="4:9" s="2" customFormat="1" ht="17.100000000000001" customHeight="1" x14ac:dyDescent="0.25">
      <c r="D421" s="3"/>
      <c r="E421" s="3"/>
      <c r="F421" s="4"/>
      <c r="G421" s="4"/>
      <c r="H421" s="4"/>
      <c r="I421" s="97"/>
    </row>
    <row r="422" spans="4:9" s="2" customFormat="1" ht="17.100000000000001" customHeight="1" x14ac:dyDescent="0.25">
      <c r="D422" s="3"/>
      <c r="E422" s="3"/>
      <c r="F422" s="4"/>
      <c r="G422" s="4"/>
      <c r="H422" s="4"/>
      <c r="I422" s="97"/>
    </row>
    <row r="423" spans="4:9" s="2" customFormat="1" ht="17.100000000000001" customHeight="1" x14ac:dyDescent="0.25">
      <c r="D423" s="3"/>
      <c r="E423" s="3"/>
      <c r="F423" s="4"/>
      <c r="G423" s="4"/>
      <c r="H423" s="4"/>
      <c r="I423" s="97"/>
    </row>
    <row r="424" spans="4:9" s="2" customFormat="1" ht="17.100000000000001" customHeight="1" x14ac:dyDescent="0.25">
      <c r="D424" s="3"/>
      <c r="E424" s="3"/>
      <c r="F424" s="4"/>
      <c r="G424" s="4"/>
      <c r="H424" s="4"/>
      <c r="I424" s="97"/>
    </row>
    <row r="425" spans="4:9" s="2" customFormat="1" ht="17.100000000000001" customHeight="1" x14ac:dyDescent="0.25">
      <c r="D425" s="3"/>
      <c r="E425" s="3"/>
      <c r="F425" s="4"/>
      <c r="G425" s="4"/>
      <c r="H425" s="4"/>
      <c r="I425" s="97"/>
    </row>
    <row r="426" spans="4:9" s="2" customFormat="1" ht="17.100000000000001" customHeight="1" x14ac:dyDescent="0.25">
      <c r="D426" s="3"/>
      <c r="E426" s="3"/>
      <c r="F426" s="4"/>
      <c r="G426" s="4"/>
      <c r="H426" s="4"/>
      <c r="I426" s="97"/>
    </row>
    <row r="427" spans="4:9" s="2" customFormat="1" ht="17.100000000000001" customHeight="1" x14ac:dyDescent="0.25">
      <c r="D427" s="3"/>
      <c r="E427" s="3"/>
      <c r="F427" s="4"/>
      <c r="G427" s="4"/>
      <c r="H427" s="4"/>
      <c r="I427" s="97"/>
    </row>
    <row r="428" spans="4:9" s="2" customFormat="1" ht="17.100000000000001" customHeight="1" x14ac:dyDescent="0.25">
      <c r="D428" s="3"/>
      <c r="E428" s="3"/>
      <c r="F428" s="4"/>
      <c r="G428" s="4"/>
      <c r="H428" s="4"/>
      <c r="I428" s="97"/>
    </row>
    <row r="429" spans="4:9" s="2" customFormat="1" ht="17.100000000000001" customHeight="1" x14ac:dyDescent="0.25">
      <c r="D429" s="3"/>
      <c r="E429" s="3"/>
      <c r="F429" s="4"/>
      <c r="G429" s="4"/>
      <c r="H429" s="4"/>
      <c r="I429" s="97"/>
    </row>
    <row r="430" spans="4:9" s="2" customFormat="1" ht="17.100000000000001" customHeight="1" x14ac:dyDescent="0.25">
      <c r="D430" s="3"/>
      <c r="E430" s="3"/>
      <c r="F430" s="4"/>
      <c r="G430" s="4"/>
      <c r="H430" s="4"/>
      <c r="I430" s="97"/>
    </row>
    <row r="431" spans="4:9" s="2" customFormat="1" ht="17.100000000000001" customHeight="1" x14ac:dyDescent="0.25">
      <c r="D431" s="3"/>
      <c r="E431" s="3"/>
      <c r="F431" s="4"/>
      <c r="G431" s="4"/>
      <c r="H431" s="4"/>
      <c r="I431" s="97"/>
    </row>
    <row r="432" spans="4:9" s="2" customFormat="1" ht="17.100000000000001" customHeight="1" x14ac:dyDescent="0.25">
      <c r="D432" s="3"/>
      <c r="E432" s="3"/>
      <c r="F432" s="4"/>
      <c r="G432" s="4"/>
      <c r="H432" s="4"/>
      <c r="I432" s="97"/>
    </row>
    <row r="433" spans="1:9" s="2" customFormat="1" ht="17.100000000000001" customHeight="1" x14ac:dyDescent="0.25">
      <c r="D433" s="3"/>
      <c r="E433" s="3"/>
      <c r="F433" s="4"/>
      <c r="G433" s="4"/>
      <c r="H433" s="4"/>
      <c r="I433" s="97"/>
    </row>
    <row r="434" spans="1:9" s="2" customFormat="1" ht="17.100000000000001" customHeight="1" x14ac:dyDescent="0.25">
      <c r="D434" s="3"/>
      <c r="E434" s="3"/>
      <c r="F434" s="4"/>
      <c r="G434" s="4"/>
      <c r="H434" s="4"/>
      <c r="I434" s="97"/>
    </row>
    <row r="435" spans="1:9" s="2" customFormat="1" ht="17.100000000000001" customHeight="1" x14ac:dyDescent="0.25">
      <c r="D435" s="3"/>
      <c r="E435" s="3"/>
      <c r="F435" s="4"/>
      <c r="G435" s="4"/>
      <c r="H435" s="4"/>
      <c r="I435" s="97"/>
    </row>
    <row r="436" spans="1:9" s="2" customFormat="1" ht="17.100000000000001" customHeight="1" x14ac:dyDescent="0.25">
      <c r="D436" s="3"/>
      <c r="E436" s="3"/>
      <c r="F436" s="4"/>
      <c r="G436" s="4"/>
      <c r="H436" s="4"/>
      <c r="I436" s="97"/>
    </row>
    <row r="437" spans="1:9" s="2" customFormat="1" ht="17.100000000000001" customHeight="1" x14ac:dyDescent="0.25">
      <c r="D437" s="3"/>
      <c r="E437" s="3"/>
      <c r="F437" s="4"/>
      <c r="G437" s="4"/>
      <c r="H437" s="4"/>
      <c r="I437" s="97"/>
    </row>
    <row r="438" spans="1:9" s="2" customFormat="1" ht="17.100000000000001" customHeight="1" x14ac:dyDescent="0.25">
      <c r="D438" s="3"/>
      <c r="E438" s="3"/>
      <c r="F438" s="4"/>
      <c r="G438" s="4"/>
      <c r="H438" s="4"/>
      <c r="I438" s="97"/>
    </row>
    <row r="439" spans="1:9" s="2" customFormat="1" ht="17.100000000000001" customHeight="1" x14ac:dyDescent="0.25">
      <c r="D439" s="3"/>
      <c r="E439" s="3"/>
      <c r="F439" s="4"/>
      <c r="G439" s="4"/>
      <c r="H439" s="4"/>
      <c r="I439" s="97"/>
    </row>
    <row r="440" spans="1:9" s="2" customFormat="1" ht="17.100000000000001" customHeight="1" x14ac:dyDescent="0.25">
      <c r="D440" s="3"/>
      <c r="E440" s="3"/>
      <c r="F440" s="4"/>
      <c r="G440" s="4"/>
      <c r="H440" s="4"/>
      <c r="I440" s="97"/>
    </row>
    <row r="441" spans="1:9" s="2" customFormat="1" ht="17.100000000000001" customHeight="1" x14ac:dyDescent="0.25">
      <c r="A441" s="2" t="s">
        <v>608</v>
      </c>
      <c r="D441" s="3"/>
      <c r="E441" s="3"/>
      <c r="F441" s="4"/>
      <c r="G441" s="4"/>
      <c r="H441" s="4"/>
      <c r="I441" s="97"/>
    </row>
    <row r="442" spans="1:9" s="2" customFormat="1" ht="17.100000000000001" customHeight="1" x14ac:dyDescent="0.25">
      <c r="D442" s="3"/>
      <c r="E442" s="3"/>
      <c r="F442" s="4"/>
      <c r="G442" s="4"/>
      <c r="H442" s="4"/>
      <c r="I442" s="97"/>
    </row>
    <row r="443" spans="1:9" s="2" customFormat="1" ht="17.100000000000001" customHeight="1" x14ac:dyDescent="0.25">
      <c r="D443" s="3"/>
      <c r="E443" s="3"/>
      <c r="F443" s="4"/>
      <c r="G443" s="4"/>
      <c r="H443" s="4"/>
      <c r="I443" s="97"/>
    </row>
    <row r="444" spans="1:9" s="2" customFormat="1" ht="17.100000000000001" customHeight="1" x14ac:dyDescent="0.25">
      <c r="D444" s="3"/>
      <c r="E444" s="3"/>
      <c r="F444" s="4"/>
      <c r="G444" s="4"/>
      <c r="H444" s="4"/>
      <c r="I444" s="97"/>
    </row>
    <row r="445" spans="1:9" s="2" customFormat="1" ht="17.100000000000001" customHeight="1" x14ac:dyDescent="0.25">
      <c r="D445" s="3"/>
      <c r="E445" s="3"/>
      <c r="F445" s="4"/>
      <c r="G445" s="4"/>
      <c r="H445" s="4"/>
      <c r="I445" s="97"/>
    </row>
    <row r="446" spans="1:9" s="2" customFormat="1" ht="17.100000000000001" customHeight="1" x14ac:dyDescent="0.25">
      <c r="D446" s="3"/>
      <c r="E446" s="3"/>
      <c r="F446" s="4"/>
      <c r="G446" s="4"/>
      <c r="H446" s="4"/>
      <c r="I446" s="97"/>
    </row>
    <row r="447" spans="1:9" s="2" customFormat="1" ht="17.100000000000001" customHeight="1" x14ac:dyDescent="0.25">
      <c r="D447" s="3"/>
      <c r="E447" s="3"/>
      <c r="F447" s="4"/>
      <c r="G447" s="4"/>
      <c r="H447" s="4"/>
      <c r="I447" s="97"/>
    </row>
    <row r="448" spans="1:9" s="2" customFormat="1" ht="17.100000000000001" customHeight="1" x14ac:dyDescent="0.25">
      <c r="D448" s="3"/>
      <c r="E448" s="3"/>
      <c r="F448" s="4"/>
      <c r="G448" s="4"/>
      <c r="H448" s="4"/>
      <c r="I448" s="97"/>
    </row>
    <row r="449" spans="4:9" s="2" customFormat="1" ht="17.100000000000001" customHeight="1" x14ac:dyDescent="0.25">
      <c r="D449" s="3"/>
      <c r="E449" s="3"/>
      <c r="F449" s="4"/>
      <c r="G449" s="4"/>
      <c r="H449" s="4"/>
      <c r="I449" s="97"/>
    </row>
    <row r="450" spans="4:9" s="2" customFormat="1" ht="17.100000000000001" customHeight="1" x14ac:dyDescent="0.25">
      <c r="D450" s="3"/>
      <c r="E450" s="3"/>
      <c r="F450" s="4"/>
      <c r="G450" s="4"/>
      <c r="H450" s="4"/>
      <c r="I450" s="97"/>
    </row>
    <row r="451" spans="4:9" s="2" customFormat="1" ht="17.100000000000001" customHeight="1" x14ac:dyDescent="0.25">
      <c r="D451" s="3"/>
      <c r="E451" s="3"/>
      <c r="F451" s="4"/>
      <c r="G451" s="4"/>
      <c r="H451" s="4"/>
      <c r="I451" s="97"/>
    </row>
    <row r="452" spans="4:9" s="2" customFormat="1" ht="17.100000000000001" customHeight="1" x14ac:dyDescent="0.25">
      <c r="D452" s="3"/>
      <c r="E452" s="3"/>
      <c r="F452" s="4"/>
      <c r="G452" s="4"/>
      <c r="H452" s="4"/>
      <c r="I452" s="97"/>
    </row>
    <row r="453" spans="4:9" s="2" customFormat="1" ht="17.100000000000001" customHeight="1" x14ac:dyDescent="0.25">
      <c r="D453" s="3"/>
      <c r="E453" s="3"/>
      <c r="F453" s="4"/>
      <c r="G453" s="4"/>
      <c r="H453" s="4"/>
      <c r="I453" s="97"/>
    </row>
    <row r="454" spans="4:9" s="2" customFormat="1" ht="17.100000000000001" customHeight="1" x14ac:dyDescent="0.25">
      <c r="D454" s="3"/>
      <c r="E454" s="3"/>
      <c r="F454" s="4"/>
      <c r="G454" s="4"/>
      <c r="H454" s="4"/>
      <c r="I454" s="97"/>
    </row>
    <row r="455" spans="4:9" s="2" customFormat="1" ht="17.100000000000001" customHeight="1" x14ac:dyDescent="0.25">
      <c r="D455" s="3"/>
      <c r="E455" s="3"/>
      <c r="F455" s="4"/>
      <c r="G455" s="4"/>
      <c r="H455" s="4"/>
      <c r="I455" s="97"/>
    </row>
    <row r="456" spans="4:9" s="2" customFormat="1" ht="17.100000000000001" customHeight="1" x14ac:dyDescent="0.25">
      <c r="D456" s="3"/>
      <c r="E456" s="3"/>
      <c r="F456" s="4"/>
      <c r="G456" s="4"/>
      <c r="H456" s="4"/>
      <c r="I456" s="97"/>
    </row>
    <row r="457" spans="4:9" s="2" customFormat="1" ht="17.100000000000001" customHeight="1" x14ac:dyDescent="0.25">
      <c r="D457" s="3"/>
      <c r="E457" s="3"/>
      <c r="F457" s="4"/>
      <c r="G457" s="4"/>
      <c r="H457" s="4"/>
      <c r="I457" s="97"/>
    </row>
    <row r="458" spans="4:9" s="2" customFormat="1" ht="17.100000000000001" customHeight="1" x14ac:dyDescent="0.25">
      <c r="D458" s="3"/>
      <c r="E458" s="3"/>
      <c r="F458" s="4"/>
      <c r="G458" s="4"/>
      <c r="H458" s="4"/>
      <c r="I458" s="97"/>
    </row>
    <row r="459" spans="4:9" s="2" customFormat="1" ht="17.100000000000001" customHeight="1" x14ac:dyDescent="0.25">
      <c r="D459" s="3"/>
      <c r="E459" s="3"/>
      <c r="F459" s="4"/>
      <c r="G459" s="4"/>
      <c r="H459" s="4"/>
      <c r="I459" s="97"/>
    </row>
    <row r="460" spans="4:9" s="2" customFormat="1" ht="17.100000000000001" customHeight="1" x14ac:dyDescent="0.25">
      <c r="D460" s="3"/>
      <c r="E460" s="3"/>
      <c r="F460" s="4"/>
      <c r="G460" s="4"/>
      <c r="H460" s="4"/>
      <c r="I460" s="97"/>
    </row>
    <row r="461" spans="4:9" s="2" customFormat="1" ht="17.100000000000001" customHeight="1" x14ac:dyDescent="0.25">
      <c r="D461" s="3"/>
      <c r="E461" s="3"/>
      <c r="F461" s="4"/>
      <c r="G461" s="4"/>
      <c r="H461" s="4"/>
      <c r="I461" s="97"/>
    </row>
    <row r="462" spans="4:9" s="2" customFormat="1" ht="17.100000000000001" customHeight="1" x14ac:dyDescent="0.25">
      <c r="D462" s="3"/>
      <c r="E462" s="3"/>
      <c r="F462" s="4"/>
      <c r="G462" s="4"/>
      <c r="H462" s="4"/>
      <c r="I462" s="97"/>
    </row>
    <row r="463" spans="4:9" s="2" customFormat="1" ht="17.100000000000001" customHeight="1" x14ac:dyDescent="0.25">
      <c r="D463" s="3"/>
      <c r="E463" s="3"/>
      <c r="F463" s="4"/>
      <c r="G463" s="4"/>
      <c r="H463" s="4"/>
      <c r="I463" s="97"/>
    </row>
    <row r="464" spans="4:9" s="2" customFormat="1" ht="17.100000000000001" customHeight="1" x14ac:dyDescent="0.25">
      <c r="D464" s="3"/>
      <c r="E464" s="3"/>
      <c r="F464" s="4"/>
      <c r="G464" s="4"/>
      <c r="H464" s="4"/>
      <c r="I464" s="97"/>
    </row>
    <row r="465" spans="4:9" s="2" customFormat="1" ht="17.100000000000001" customHeight="1" x14ac:dyDescent="0.25">
      <c r="D465" s="3"/>
      <c r="E465" s="3"/>
      <c r="F465" s="4"/>
      <c r="G465" s="4"/>
      <c r="H465" s="4"/>
      <c r="I465" s="97"/>
    </row>
    <row r="466" spans="4:9" s="2" customFormat="1" ht="17.100000000000001" customHeight="1" x14ac:dyDescent="0.25">
      <c r="D466" s="3"/>
      <c r="E466" s="3"/>
      <c r="F466" s="4"/>
      <c r="G466" s="4"/>
      <c r="H466" s="4"/>
      <c r="I466" s="97"/>
    </row>
    <row r="467" spans="4:9" s="2" customFormat="1" ht="17.100000000000001" customHeight="1" x14ac:dyDescent="0.25">
      <c r="D467" s="3"/>
      <c r="E467" s="3"/>
      <c r="F467" s="4"/>
      <c r="G467" s="4"/>
      <c r="H467" s="4"/>
      <c r="I467" s="97"/>
    </row>
    <row r="468" spans="4:9" s="2" customFormat="1" ht="17.100000000000001" customHeight="1" x14ac:dyDescent="0.25">
      <c r="D468" s="3"/>
      <c r="E468" s="3"/>
      <c r="F468" s="4"/>
      <c r="G468" s="4"/>
      <c r="H468" s="4"/>
      <c r="I468" s="97"/>
    </row>
    <row r="469" spans="4:9" s="2" customFormat="1" ht="17.100000000000001" customHeight="1" x14ac:dyDescent="0.25">
      <c r="D469" s="3"/>
      <c r="E469" s="3"/>
      <c r="F469" s="4"/>
      <c r="G469" s="4"/>
      <c r="H469" s="4"/>
      <c r="I469" s="97"/>
    </row>
    <row r="470" spans="4:9" s="2" customFormat="1" ht="17.100000000000001" customHeight="1" x14ac:dyDescent="0.25">
      <c r="D470" s="3"/>
      <c r="E470" s="3"/>
      <c r="F470" s="4"/>
      <c r="G470" s="4"/>
      <c r="H470" s="4"/>
      <c r="I470" s="97"/>
    </row>
    <row r="471" spans="4:9" s="2" customFormat="1" ht="17.100000000000001" customHeight="1" x14ac:dyDescent="0.25">
      <c r="D471" s="3"/>
      <c r="E471" s="3"/>
      <c r="F471" s="4"/>
      <c r="G471" s="4"/>
      <c r="H471" s="4"/>
      <c r="I471" s="97"/>
    </row>
    <row r="472" spans="4:9" s="2" customFormat="1" ht="17.100000000000001" customHeight="1" x14ac:dyDescent="0.25">
      <c r="D472" s="3"/>
      <c r="E472" s="3"/>
      <c r="F472" s="4"/>
      <c r="G472" s="4"/>
      <c r="H472" s="4"/>
      <c r="I472" s="97"/>
    </row>
    <row r="473" spans="4:9" s="2" customFormat="1" ht="17.100000000000001" customHeight="1" x14ac:dyDescent="0.25">
      <c r="D473" s="3"/>
      <c r="E473" s="3"/>
      <c r="F473" s="4"/>
      <c r="G473" s="4"/>
      <c r="H473" s="4"/>
      <c r="I473" s="97"/>
    </row>
    <row r="474" spans="4:9" s="2" customFormat="1" ht="17.100000000000001" customHeight="1" x14ac:dyDescent="0.25">
      <c r="D474" s="3"/>
      <c r="E474" s="3"/>
      <c r="F474" s="4"/>
      <c r="G474" s="4"/>
      <c r="H474" s="4"/>
      <c r="I474" s="97"/>
    </row>
    <row r="475" spans="4:9" s="2" customFormat="1" ht="17.100000000000001" customHeight="1" x14ac:dyDescent="0.25">
      <c r="D475" s="3"/>
      <c r="E475" s="3"/>
      <c r="F475" s="4"/>
      <c r="G475" s="4"/>
      <c r="H475" s="4"/>
      <c r="I475" s="97"/>
    </row>
    <row r="476" spans="4:9" s="2" customFormat="1" ht="17.100000000000001" customHeight="1" x14ac:dyDescent="0.25">
      <c r="D476" s="3"/>
      <c r="E476" s="3"/>
      <c r="F476" s="4"/>
      <c r="G476" s="4"/>
      <c r="H476" s="4"/>
      <c r="I476" s="97"/>
    </row>
    <row r="477" spans="4:9" s="2" customFormat="1" ht="17.100000000000001" customHeight="1" x14ac:dyDescent="0.25">
      <c r="D477" s="3"/>
      <c r="E477" s="3"/>
      <c r="F477" s="4"/>
      <c r="G477" s="4"/>
      <c r="H477" s="4"/>
      <c r="I477" s="97"/>
    </row>
    <row r="478" spans="4:9" s="2" customFormat="1" ht="17.100000000000001" customHeight="1" x14ac:dyDescent="0.25">
      <c r="D478" s="3"/>
      <c r="E478" s="3"/>
      <c r="F478" s="4"/>
      <c r="G478" s="4"/>
      <c r="H478" s="4"/>
      <c r="I478" s="97"/>
    </row>
    <row r="479" spans="4:9" s="2" customFormat="1" ht="17.100000000000001" customHeight="1" x14ac:dyDescent="0.25">
      <c r="D479" s="3"/>
      <c r="E479" s="3"/>
      <c r="F479" s="4"/>
      <c r="G479" s="4"/>
      <c r="H479" s="4"/>
      <c r="I479" s="97"/>
    </row>
    <row r="480" spans="4:9" s="2" customFormat="1" ht="17.100000000000001" customHeight="1" x14ac:dyDescent="0.25">
      <c r="D480" s="3"/>
      <c r="E480" s="3"/>
      <c r="F480" s="4"/>
      <c r="G480" s="4"/>
      <c r="H480" s="4"/>
      <c r="I480" s="97"/>
    </row>
    <row r="481" spans="4:9" s="2" customFormat="1" ht="17.100000000000001" customHeight="1" x14ac:dyDescent="0.25">
      <c r="D481" s="3"/>
      <c r="E481" s="3"/>
      <c r="F481" s="4"/>
      <c r="G481" s="4"/>
      <c r="H481" s="4"/>
      <c r="I481" s="97"/>
    </row>
    <row r="482" spans="4:9" s="2" customFormat="1" ht="17.100000000000001" customHeight="1" x14ac:dyDescent="0.25">
      <c r="D482" s="3"/>
      <c r="E482" s="3"/>
      <c r="F482" s="4"/>
      <c r="G482" s="4"/>
      <c r="H482" s="4"/>
      <c r="I482" s="97"/>
    </row>
    <row r="483" spans="4:9" s="2" customFormat="1" ht="17.100000000000001" customHeight="1" x14ac:dyDescent="0.25">
      <c r="D483" s="3"/>
      <c r="E483" s="3"/>
      <c r="F483" s="4"/>
      <c r="G483" s="4"/>
      <c r="H483" s="4"/>
      <c r="I483" s="97"/>
    </row>
    <row r="484" spans="4:9" s="2" customFormat="1" ht="17.100000000000001" customHeight="1" x14ac:dyDescent="0.25">
      <c r="D484" s="3"/>
      <c r="E484" s="3"/>
      <c r="F484" s="4"/>
      <c r="G484" s="4"/>
      <c r="H484" s="4"/>
      <c r="I484" s="97"/>
    </row>
    <row r="485" spans="4:9" s="2" customFormat="1" ht="17.100000000000001" customHeight="1" x14ac:dyDescent="0.25">
      <c r="D485" s="3"/>
      <c r="E485" s="3"/>
      <c r="F485" s="4"/>
      <c r="G485" s="4"/>
      <c r="H485" s="4"/>
      <c r="I485" s="97"/>
    </row>
    <row r="486" spans="4:9" s="2" customFormat="1" ht="17.100000000000001" customHeight="1" x14ac:dyDescent="0.25">
      <c r="D486" s="3"/>
      <c r="E486" s="3"/>
      <c r="F486" s="4"/>
      <c r="G486" s="4"/>
      <c r="H486" s="4"/>
      <c r="I486" s="97"/>
    </row>
    <row r="487" spans="4:9" s="2" customFormat="1" ht="17.100000000000001" customHeight="1" x14ac:dyDescent="0.25">
      <c r="D487" s="3"/>
      <c r="E487" s="3"/>
      <c r="F487" s="4"/>
      <c r="G487" s="4"/>
      <c r="H487" s="4"/>
      <c r="I487" s="97"/>
    </row>
    <row r="488" spans="4:9" s="2" customFormat="1" ht="17.100000000000001" customHeight="1" x14ac:dyDescent="0.25">
      <c r="D488" s="3"/>
      <c r="E488" s="3"/>
      <c r="F488" s="4"/>
      <c r="G488" s="4"/>
      <c r="H488" s="4"/>
      <c r="I488" s="97"/>
    </row>
    <row r="489" spans="4:9" s="2" customFormat="1" ht="17.100000000000001" customHeight="1" x14ac:dyDescent="0.25">
      <c r="D489" s="3"/>
      <c r="E489" s="3"/>
      <c r="F489" s="4"/>
      <c r="G489" s="4"/>
      <c r="H489" s="4"/>
      <c r="I489" s="97"/>
    </row>
    <row r="490" spans="4:9" s="2" customFormat="1" ht="17.100000000000001" customHeight="1" x14ac:dyDescent="0.25">
      <c r="D490" s="3"/>
      <c r="E490" s="3"/>
      <c r="F490" s="4"/>
      <c r="G490" s="4"/>
      <c r="H490" s="4"/>
      <c r="I490" s="97"/>
    </row>
    <row r="491" spans="4:9" s="2" customFormat="1" ht="17.100000000000001" customHeight="1" x14ac:dyDescent="0.25">
      <c r="D491" s="3"/>
      <c r="E491" s="3"/>
      <c r="F491" s="4"/>
      <c r="G491" s="4"/>
      <c r="H491" s="4"/>
      <c r="I491" s="97"/>
    </row>
    <row r="492" spans="4:9" s="2" customFormat="1" ht="17.100000000000001" customHeight="1" x14ac:dyDescent="0.25">
      <c r="D492" s="3"/>
      <c r="E492" s="3"/>
      <c r="F492" s="4"/>
      <c r="G492" s="4"/>
      <c r="H492" s="4"/>
      <c r="I492" s="97"/>
    </row>
    <row r="493" spans="4:9" s="2" customFormat="1" ht="17.100000000000001" customHeight="1" x14ac:dyDescent="0.25">
      <c r="D493" s="3"/>
      <c r="E493" s="3"/>
      <c r="F493" s="4"/>
      <c r="G493" s="4"/>
      <c r="H493" s="4"/>
      <c r="I493" s="97"/>
    </row>
    <row r="494" spans="4:9" s="2" customFormat="1" ht="17.100000000000001" customHeight="1" x14ac:dyDescent="0.25">
      <c r="D494" s="3"/>
      <c r="E494" s="3"/>
      <c r="F494" s="4"/>
      <c r="G494" s="4"/>
      <c r="H494" s="4"/>
      <c r="I494" s="97"/>
    </row>
    <row r="495" spans="4:9" s="2" customFormat="1" ht="17.100000000000001" customHeight="1" x14ac:dyDescent="0.25">
      <c r="D495" s="3"/>
      <c r="E495" s="3"/>
      <c r="F495" s="4"/>
      <c r="G495" s="4"/>
      <c r="H495" s="4"/>
      <c r="I495" s="97"/>
    </row>
    <row r="496" spans="4:9" s="2" customFormat="1" ht="17.100000000000001" customHeight="1" x14ac:dyDescent="0.25">
      <c r="D496" s="3"/>
      <c r="E496" s="3"/>
      <c r="F496" s="4"/>
      <c r="G496" s="4"/>
      <c r="H496" s="4"/>
      <c r="I496" s="97"/>
    </row>
    <row r="497" spans="4:9" s="2" customFormat="1" ht="17.100000000000001" customHeight="1" x14ac:dyDescent="0.25">
      <c r="D497" s="3"/>
      <c r="E497" s="3"/>
      <c r="F497" s="4"/>
      <c r="G497" s="4"/>
      <c r="H497" s="4"/>
      <c r="I497" s="97"/>
    </row>
    <row r="498" spans="4:9" s="2" customFormat="1" ht="17.100000000000001" customHeight="1" x14ac:dyDescent="0.25">
      <c r="D498" s="3"/>
      <c r="E498" s="3"/>
      <c r="F498" s="4"/>
      <c r="G498" s="4"/>
      <c r="H498" s="4"/>
      <c r="I498" s="97"/>
    </row>
    <row r="499" spans="4:9" s="2" customFormat="1" ht="17.100000000000001" customHeight="1" x14ac:dyDescent="0.25">
      <c r="D499" s="3"/>
      <c r="E499" s="3"/>
      <c r="F499" s="4"/>
      <c r="G499" s="4"/>
      <c r="H499" s="4"/>
      <c r="I499" s="97"/>
    </row>
    <row r="500" spans="4:9" s="2" customFormat="1" ht="17.100000000000001" customHeight="1" x14ac:dyDescent="0.25">
      <c r="D500" s="3"/>
      <c r="E500" s="3"/>
      <c r="F500" s="4"/>
      <c r="G500" s="4"/>
      <c r="H500" s="4"/>
      <c r="I500" s="97"/>
    </row>
    <row r="501" spans="4:9" s="2" customFormat="1" ht="17.100000000000001" customHeight="1" x14ac:dyDescent="0.25">
      <c r="D501" s="3"/>
      <c r="E501" s="3"/>
      <c r="F501" s="4"/>
      <c r="G501" s="4"/>
      <c r="H501" s="4"/>
      <c r="I501" s="97"/>
    </row>
    <row r="502" spans="4:9" s="2" customFormat="1" ht="17.100000000000001" customHeight="1" x14ac:dyDescent="0.25">
      <c r="D502" s="3"/>
      <c r="E502" s="3"/>
      <c r="F502" s="4"/>
      <c r="G502" s="4"/>
      <c r="H502" s="4"/>
      <c r="I502" s="97"/>
    </row>
    <row r="503" spans="4:9" s="2" customFormat="1" ht="17.100000000000001" customHeight="1" x14ac:dyDescent="0.25">
      <c r="D503" s="3"/>
      <c r="E503" s="3"/>
      <c r="F503" s="4"/>
      <c r="G503" s="4"/>
      <c r="H503" s="4"/>
      <c r="I503" s="97"/>
    </row>
    <row r="504" spans="4:9" s="2" customFormat="1" ht="17.100000000000001" customHeight="1" x14ac:dyDescent="0.25">
      <c r="D504" s="3"/>
      <c r="E504" s="3"/>
      <c r="F504" s="4"/>
      <c r="G504" s="4"/>
      <c r="H504" s="4"/>
      <c r="I504" s="97"/>
    </row>
    <row r="505" spans="4:9" s="2" customFormat="1" ht="17.100000000000001" customHeight="1" x14ac:dyDescent="0.25">
      <c r="D505" s="3"/>
      <c r="E505" s="3"/>
      <c r="F505" s="4"/>
      <c r="G505" s="4"/>
      <c r="H505" s="4"/>
      <c r="I505" s="97"/>
    </row>
    <row r="506" spans="4:9" s="2" customFormat="1" ht="17.100000000000001" customHeight="1" x14ac:dyDescent="0.25">
      <c r="D506" s="3"/>
      <c r="E506" s="3"/>
      <c r="F506" s="4"/>
      <c r="G506" s="4"/>
      <c r="H506" s="4"/>
      <c r="I506" s="97"/>
    </row>
  </sheetData>
  <mergeCells count="15">
    <mergeCell ref="AQ10:AU10"/>
    <mergeCell ref="AW10:BA10"/>
    <mergeCell ref="AE8:AO8"/>
    <mergeCell ref="J9:M9"/>
    <mergeCell ref="N9:P9"/>
    <mergeCell ref="Q9:S9"/>
    <mergeCell ref="T9:V9"/>
    <mergeCell ref="AE10:AI10"/>
    <mergeCell ref="AK10:AO10"/>
    <mergeCell ref="W8:Y9"/>
    <mergeCell ref="L6:M6"/>
    <mergeCell ref="J8:M8"/>
    <mergeCell ref="N8:P8"/>
    <mergeCell ref="Q8:S8"/>
    <mergeCell ref="T8:V8"/>
  </mergeCells>
  <pageMargins left="0.7" right="0.7" top="0.75" bottom="0.75" header="0.3" footer="0.3"/>
  <pageSetup paperSize="9" scale="70" fitToHeight="5" orientation="portrait" r:id="rId1"/>
  <headerFooter>
    <oddFooter>&amp;L&amp;10SANITATION DEMAND AND SUPPLY STUDY&amp;C&amp;10&amp;P&amp;R&amp;10HOUSEHOLDS WITHOUT TOILET</oddFooter>
  </headerFooter>
  <rowBreaks count="3" manualBreakCount="3">
    <brk id="89" max="10" man="1"/>
    <brk id="174" max="10" man="1"/>
    <brk id="281" max="10" man="1"/>
  </rowBreaks>
  <ignoredErrors>
    <ignoredError sqref="N177"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BA506"/>
  <sheetViews>
    <sheetView zoomScale="80" zoomScaleNormal="80" workbookViewId="0">
      <pane xSplit="7" ySplit="11" topLeftCell="H12" activePane="bottomRight" state="frozen"/>
      <selection activeCell="V164" sqref="V164:Y168"/>
      <selection pane="topRight" activeCell="V164" sqref="V164:Y168"/>
      <selection pane="bottomLeft" activeCell="V164" sqref="V164:Y168"/>
      <selection pane="bottomRight" activeCell="O5" sqref="O5"/>
    </sheetView>
  </sheetViews>
  <sheetFormatPr defaultRowHeight="17.100000000000001" customHeight="1" x14ac:dyDescent="0.25"/>
  <cols>
    <col min="1" max="2" width="4.7109375" style="2" customWidth="1"/>
    <col min="3" max="3" width="6.7109375" style="2" customWidth="1"/>
    <col min="4" max="4" width="7.7109375" style="3" customWidth="1"/>
    <col min="5" max="5" width="4.7109375" style="3" customWidth="1"/>
    <col min="6" max="6" width="30.7109375" style="4" customWidth="1"/>
    <col min="7" max="7" width="3.7109375" style="4" customWidth="1"/>
    <col min="8" max="8" width="4.42578125" style="4" customWidth="1"/>
    <col min="9" max="9" width="3.7109375" style="97" customWidth="1"/>
    <col min="10" max="25" width="10.7109375" style="3" customWidth="1"/>
    <col min="26" max="29" width="9.7109375" style="3" customWidth="1"/>
    <col min="30" max="30" width="9.140625" style="3"/>
    <col min="31" max="35" width="9.7109375" style="3" customWidth="1"/>
    <col min="36" max="36" width="9.140625" style="3"/>
    <col min="37" max="41" width="9.7109375" style="3" customWidth="1"/>
    <col min="42" max="48" width="9.140625" style="3"/>
    <col min="49" max="53" width="9.7109375" style="3" customWidth="1"/>
    <col min="54" max="16384" width="9.140625" style="3"/>
  </cols>
  <sheetData>
    <row r="1" spans="1:53" ht="17.100000000000001" customHeight="1" x14ac:dyDescent="0.25">
      <c r="A1" s="1" t="s">
        <v>363</v>
      </c>
      <c r="J1" s="5" t="s">
        <v>883</v>
      </c>
      <c r="AE1" s="8"/>
      <c r="AF1" s="8"/>
      <c r="AG1" s="8"/>
      <c r="AH1" s="7"/>
      <c r="AK1" s="8"/>
      <c r="AL1" s="8"/>
      <c r="AM1" s="8"/>
      <c r="AN1" s="7"/>
      <c r="AW1" s="8"/>
      <c r="AX1" s="8"/>
      <c r="AY1" s="8"/>
      <c r="AZ1" s="8"/>
    </row>
    <row r="2" spans="1:53" ht="17.100000000000001" customHeight="1" x14ac:dyDescent="0.25">
      <c r="A2" s="1" t="str">
        <f>'STUDY VILLAGES'!U7</f>
        <v>KAMPOT PROVINCE</v>
      </c>
      <c r="J2" s="5"/>
      <c r="AE2" s="8"/>
      <c r="AF2" s="8"/>
      <c r="AG2" s="8"/>
      <c r="AH2" s="7"/>
      <c r="AK2" s="8"/>
      <c r="AL2" s="8"/>
      <c r="AM2" s="8"/>
      <c r="AN2" s="7"/>
      <c r="AW2" s="8"/>
      <c r="AX2" s="8"/>
      <c r="AY2" s="8"/>
      <c r="AZ2" s="8"/>
    </row>
    <row r="3" spans="1:53" ht="17.100000000000001" customHeight="1" x14ac:dyDescent="0.25">
      <c r="A3" s="1" t="str">
        <f>'STUDY VILLAGES'!U8</f>
        <v>BANTEAY MEAS DISTRICT</v>
      </c>
      <c r="J3" s="268" t="s">
        <v>555</v>
      </c>
      <c r="L3" s="267" t="str">
        <f>'STUDY VILLAGES'!B12</f>
        <v>SK KHANG TBOUNG</v>
      </c>
      <c r="M3" s="267"/>
      <c r="N3" s="6"/>
      <c r="O3" s="6"/>
      <c r="P3" s="6"/>
      <c r="Q3" s="6"/>
      <c r="R3" s="6"/>
      <c r="S3" s="6"/>
      <c r="T3" s="6"/>
      <c r="U3" s="6"/>
      <c r="V3" s="6"/>
      <c r="W3" s="6"/>
      <c r="X3" s="6"/>
      <c r="AE3" s="8"/>
      <c r="AF3" s="8"/>
      <c r="AG3" s="8"/>
      <c r="AH3" s="7"/>
      <c r="AK3" s="8"/>
      <c r="AL3" s="8"/>
      <c r="AM3" s="8"/>
      <c r="AN3" s="7"/>
      <c r="AW3" s="8"/>
      <c r="AX3" s="8"/>
      <c r="AY3" s="8"/>
      <c r="AZ3" s="8"/>
    </row>
    <row r="4" spans="1:53" ht="12.75" x14ac:dyDescent="0.25">
      <c r="N4" s="6"/>
      <c r="O4" s="6"/>
      <c r="P4" s="6"/>
      <c r="Q4" s="6"/>
      <c r="R4" s="6"/>
      <c r="S4" s="6"/>
      <c r="T4" s="6"/>
      <c r="U4" s="6"/>
      <c r="V4" s="6"/>
      <c r="W4" s="6"/>
      <c r="X4" s="6"/>
      <c r="AE4" s="8"/>
      <c r="AF4" s="8"/>
      <c r="AG4" s="8"/>
      <c r="AH4" s="7"/>
      <c r="AK4" s="8"/>
      <c r="AL4" s="8"/>
      <c r="AM4" s="8"/>
      <c r="AN4" s="7"/>
      <c r="AW4" s="8"/>
      <c r="AX4" s="8"/>
      <c r="AY4" s="8"/>
      <c r="AZ4" s="8"/>
    </row>
    <row r="5" spans="1:53" ht="21" x14ac:dyDescent="0.25">
      <c r="A5" s="1" t="s">
        <v>743</v>
      </c>
      <c r="J5" s="9" t="s">
        <v>1</v>
      </c>
      <c r="K5" s="10"/>
      <c r="L5" s="653"/>
      <c r="M5" s="397"/>
      <c r="N5" s="6"/>
      <c r="O5" s="652" t="s">
        <v>1070</v>
      </c>
      <c r="P5" s="6"/>
      <c r="Q5" s="6"/>
      <c r="R5" s="6"/>
      <c r="S5" s="6"/>
      <c r="T5" s="6"/>
      <c r="U5" s="6"/>
      <c r="V5" s="6"/>
      <c r="W5" s="6"/>
      <c r="X5" s="6"/>
      <c r="AE5" s="8"/>
      <c r="AF5" s="8"/>
      <c r="AG5" s="8"/>
      <c r="AH5" s="7"/>
      <c r="AK5" s="8"/>
      <c r="AL5" s="8"/>
      <c r="AM5" s="8"/>
      <c r="AN5" s="7"/>
      <c r="AW5" s="8"/>
      <c r="AX5" s="8"/>
      <c r="AY5" s="8"/>
      <c r="AZ5" s="8"/>
    </row>
    <row r="6" spans="1:53" ht="21" x14ac:dyDescent="0.25">
      <c r="A6" s="444" t="s">
        <v>619</v>
      </c>
      <c r="J6" s="11" t="s">
        <v>2</v>
      </c>
      <c r="K6" s="10"/>
      <c r="L6" s="1379"/>
      <c r="M6" s="1379"/>
      <c r="AE6" s="8"/>
      <c r="AF6" s="8"/>
      <c r="AG6" s="8"/>
      <c r="AH6" s="7"/>
      <c r="AK6" s="8"/>
      <c r="AL6" s="8"/>
      <c r="AM6" s="8"/>
      <c r="AN6" s="7"/>
      <c r="AW6" s="8"/>
      <c r="AX6" s="8"/>
      <c r="AY6" s="8"/>
      <c r="AZ6" s="8"/>
    </row>
    <row r="7" spans="1:53" ht="9.9499999999999993" customHeight="1" x14ac:dyDescent="0.25">
      <c r="A7" s="12"/>
      <c r="B7" s="13"/>
      <c r="C7" s="14"/>
      <c r="D7" s="15"/>
      <c r="E7" s="16"/>
      <c r="F7" s="16"/>
      <c r="G7" s="16"/>
      <c r="H7" s="16"/>
      <c r="I7" s="16"/>
      <c r="AE7" s="8"/>
      <c r="AF7" s="8"/>
      <c r="AG7" s="8"/>
      <c r="AH7" s="7"/>
      <c r="AK7" s="8"/>
      <c r="AL7" s="8"/>
      <c r="AM7" s="8"/>
      <c r="AN7" s="7"/>
      <c r="AW7" s="8"/>
      <c r="AX7" s="8"/>
      <c r="AY7" s="8"/>
      <c r="AZ7" s="8"/>
    </row>
    <row r="8" spans="1:53" ht="17.100000000000001" customHeight="1" x14ac:dyDescent="0.25">
      <c r="D8" s="2"/>
      <c r="E8" s="2"/>
      <c r="F8" s="21"/>
      <c r="G8" s="21"/>
      <c r="H8" s="21"/>
      <c r="I8" s="138"/>
      <c r="J8" s="1384" t="s">
        <v>541</v>
      </c>
      <c r="K8" s="1385"/>
      <c r="L8" s="1385"/>
      <c r="M8" s="1386"/>
      <c r="N8" s="1384" t="s">
        <v>364</v>
      </c>
      <c r="O8" s="1385"/>
      <c r="P8" s="1386"/>
      <c r="Q8" s="1384" t="s">
        <v>365</v>
      </c>
      <c r="R8" s="1385"/>
      <c r="S8" s="1386"/>
      <c r="T8" s="1384" t="s">
        <v>366</v>
      </c>
      <c r="U8" s="1385"/>
      <c r="V8" s="1386"/>
      <c r="W8" s="1408" t="s">
        <v>4</v>
      </c>
      <c r="X8" s="1408"/>
      <c r="Y8" s="1408"/>
      <c r="AE8" s="1383" t="s">
        <v>731</v>
      </c>
      <c r="AF8" s="1383"/>
      <c r="AG8" s="1383"/>
      <c r="AH8" s="1383"/>
      <c r="AI8" s="1383"/>
      <c r="AJ8" s="1383"/>
      <c r="AK8" s="1383"/>
      <c r="AL8" s="1383"/>
      <c r="AM8" s="1383"/>
      <c r="AN8" s="1383"/>
      <c r="AO8" s="1383"/>
      <c r="AW8" s="8"/>
      <c r="AX8" s="8"/>
      <c r="AY8" s="8"/>
      <c r="AZ8" s="8"/>
    </row>
    <row r="9" spans="1:53" ht="17.100000000000001" customHeight="1" x14ac:dyDescent="0.25">
      <c r="D9" s="2"/>
      <c r="E9" s="2"/>
      <c r="F9" s="21"/>
      <c r="G9" s="21"/>
      <c r="H9" s="21"/>
      <c r="I9" s="138"/>
      <c r="J9" s="1384" t="s">
        <v>542</v>
      </c>
      <c r="K9" s="1385"/>
      <c r="L9" s="1385"/>
      <c r="M9" s="1386"/>
      <c r="N9" s="1387" t="str">
        <f>'STUDY VILLAGES'!C12</f>
        <v>Phnum Touch</v>
      </c>
      <c r="O9" s="1388"/>
      <c r="P9" s="1389"/>
      <c r="Q9" s="1387">
        <f>'STUDY VILLAGES'!F12</f>
        <v>0</v>
      </c>
      <c r="R9" s="1388"/>
      <c r="S9" s="1389"/>
      <c r="T9" s="1387">
        <f>'STUDY VILLAGES'!I12</f>
        <v>0</v>
      </c>
      <c r="U9" s="1388"/>
      <c r="V9" s="1389"/>
      <c r="W9" s="1408"/>
      <c r="X9" s="1408"/>
      <c r="Y9" s="1408"/>
      <c r="AE9" s="8"/>
      <c r="AF9" s="8"/>
      <c r="AG9" s="8"/>
      <c r="AH9" s="7"/>
      <c r="AK9" s="8"/>
      <c r="AL9" s="8"/>
      <c r="AM9" s="8"/>
      <c r="AN9" s="7"/>
      <c r="AW9" s="8"/>
      <c r="AX9" s="8"/>
      <c r="AY9" s="8"/>
      <c r="AZ9" s="8"/>
    </row>
    <row r="10" spans="1:53" ht="17.100000000000001" customHeight="1" x14ac:dyDescent="0.25">
      <c r="A10" s="21"/>
      <c r="B10" s="21"/>
      <c r="C10" s="21"/>
      <c r="D10" s="4"/>
      <c r="E10" s="4"/>
      <c r="G10" s="22"/>
      <c r="H10" s="22"/>
      <c r="I10" s="208"/>
      <c r="J10" s="334" t="s">
        <v>733</v>
      </c>
      <c r="K10" s="334" t="s">
        <v>734</v>
      </c>
      <c r="L10" s="334" t="s">
        <v>657</v>
      </c>
      <c r="M10" s="334" t="s">
        <v>320</v>
      </c>
      <c r="N10" s="334" t="s">
        <v>735</v>
      </c>
      <c r="O10" s="334" t="s">
        <v>657</v>
      </c>
      <c r="P10" s="334" t="s">
        <v>320</v>
      </c>
      <c r="Q10" s="334" t="s">
        <v>735</v>
      </c>
      <c r="R10" s="334" t="s">
        <v>657</v>
      </c>
      <c r="S10" s="334" t="s">
        <v>320</v>
      </c>
      <c r="T10" s="334" t="s">
        <v>735</v>
      </c>
      <c r="U10" s="334" t="s">
        <v>657</v>
      </c>
      <c r="V10" s="334" t="s">
        <v>320</v>
      </c>
      <c r="W10" s="375" t="s">
        <v>735</v>
      </c>
      <c r="X10" s="335" t="s">
        <v>657</v>
      </c>
      <c r="Y10" s="410" t="s">
        <v>4</v>
      </c>
      <c r="AE10" s="1400" t="s">
        <v>733</v>
      </c>
      <c r="AF10" s="1401"/>
      <c r="AG10" s="1401"/>
      <c r="AH10" s="1401"/>
      <c r="AI10" s="1402"/>
      <c r="AK10" s="1390" t="s">
        <v>734</v>
      </c>
      <c r="AL10" s="1391"/>
      <c r="AM10" s="1391"/>
      <c r="AN10" s="1391"/>
      <c r="AO10" s="1392"/>
      <c r="AQ10" s="1380" t="s">
        <v>732</v>
      </c>
      <c r="AR10" s="1381"/>
      <c r="AS10" s="1381"/>
      <c r="AT10" s="1381"/>
      <c r="AU10" s="1382"/>
      <c r="AW10" s="1405" t="s">
        <v>556</v>
      </c>
      <c r="AX10" s="1406"/>
      <c r="AY10" s="1406"/>
      <c r="AZ10" s="1406"/>
      <c r="BA10" s="1407"/>
    </row>
    <row r="11" spans="1:53" s="32" customFormat="1" ht="17.100000000000001" customHeight="1" thickBot="1" x14ac:dyDescent="0.3">
      <c r="A11" s="24">
        <v>0</v>
      </c>
      <c r="B11" s="25" t="s">
        <v>3</v>
      </c>
      <c r="C11" s="26"/>
      <c r="D11" s="27"/>
      <c r="E11" s="27"/>
      <c r="F11" s="27"/>
      <c r="G11" s="28"/>
      <c r="H11" s="310"/>
      <c r="I11" s="228"/>
      <c r="J11" s="29"/>
      <c r="K11" s="29"/>
      <c r="L11" s="29"/>
      <c r="M11" s="29"/>
      <c r="N11" s="29"/>
      <c r="O11" s="29"/>
      <c r="P11" s="29"/>
      <c r="Q11" s="29"/>
      <c r="R11" s="29"/>
      <c r="S11" s="29"/>
      <c r="T11" s="29"/>
      <c r="U11" s="29"/>
      <c r="V11" s="29"/>
      <c r="W11" s="29"/>
      <c r="X11" s="29"/>
      <c r="Y11" s="29"/>
      <c r="Z11" s="31" t="s">
        <v>5</v>
      </c>
      <c r="AA11" s="31" t="s">
        <v>181</v>
      </c>
      <c r="AB11" s="31" t="s">
        <v>182</v>
      </c>
      <c r="AC11" s="31" t="s">
        <v>6</v>
      </c>
      <c r="AE11" s="33" t="s">
        <v>181</v>
      </c>
      <c r="AF11" s="33" t="s">
        <v>182</v>
      </c>
      <c r="AG11" s="33" t="s">
        <v>6</v>
      </c>
      <c r="AH11" s="33" t="s">
        <v>4</v>
      </c>
      <c r="AI11" s="34" t="s">
        <v>5</v>
      </c>
      <c r="AJ11" s="35"/>
      <c r="AK11" s="36" t="s">
        <v>181</v>
      </c>
      <c r="AL11" s="36" t="s">
        <v>182</v>
      </c>
      <c r="AM11" s="36" t="s">
        <v>6</v>
      </c>
      <c r="AN11" s="36" t="s">
        <v>4</v>
      </c>
      <c r="AO11" s="37" t="s">
        <v>5</v>
      </c>
      <c r="AQ11" s="398" t="s">
        <v>181</v>
      </c>
      <c r="AR11" s="398" t="s">
        <v>182</v>
      </c>
      <c r="AS11" s="398" t="s">
        <v>6</v>
      </c>
      <c r="AT11" s="398" t="s">
        <v>4</v>
      </c>
      <c r="AU11" s="399" t="s">
        <v>5</v>
      </c>
      <c r="AW11" s="38" t="s">
        <v>181</v>
      </c>
      <c r="AX11" s="38" t="s">
        <v>182</v>
      </c>
      <c r="AY11" s="38" t="s">
        <v>6</v>
      </c>
      <c r="AZ11" s="38" t="s">
        <v>4</v>
      </c>
      <c r="BA11" s="39" t="s">
        <v>5</v>
      </c>
    </row>
    <row r="12" spans="1:53" ht="17.100000000000001" customHeight="1" x14ac:dyDescent="0.25">
      <c r="A12" s="47"/>
      <c r="B12" s="414">
        <v>0</v>
      </c>
      <c r="C12" s="42" t="s">
        <v>367</v>
      </c>
      <c r="D12" s="43"/>
      <c r="E12" s="269"/>
      <c r="F12" s="269"/>
      <c r="G12" s="270"/>
      <c r="H12" s="311">
        <v>1</v>
      </c>
      <c r="I12" s="229"/>
      <c r="J12" s="271"/>
      <c r="K12" s="271"/>
      <c r="L12" s="272"/>
      <c r="M12" s="272"/>
      <c r="N12" s="272"/>
      <c r="O12" s="272"/>
      <c r="P12" s="272"/>
      <c r="Q12" s="272"/>
      <c r="R12" s="272"/>
      <c r="S12" s="272"/>
      <c r="T12" s="272"/>
      <c r="U12" s="272"/>
      <c r="V12" s="272"/>
      <c r="W12" s="272"/>
      <c r="X12" s="272"/>
      <c r="Y12" s="272"/>
      <c r="Z12" s="51"/>
      <c r="AA12" s="51"/>
      <c r="AB12" s="51"/>
      <c r="AC12" s="51"/>
      <c r="AE12" s="52"/>
      <c r="AF12" s="52"/>
      <c r="AG12" s="53"/>
      <c r="AH12" s="54"/>
      <c r="AI12" s="51"/>
      <c r="AK12" s="52"/>
      <c r="AL12" s="52"/>
      <c r="AM12" s="53"/>
      <c r="AN12" s="54"/>
      <c r="AO12" s="51"/>
      <c r="AQ12" s="52"/>
      <c r="AR12" s="52"/>
      <c r="AS12" s="52"/>
      <c r="AT12" s="53"/>
      <c r="AU12" s="54"/>
      <c r="AW12" s="52"/>
      <c r="AX12" s="52"/>
      <c r="AY12" s="53"/>
      <c r="AZ12" s="54"/>
      <c r="BA12" s="51"/>
    </row>
    <row r="13" spans="1:53" ht="17.100000000000001" customHeight="1" x14ac:dyDescent="0.25">
      <c r="A13" s="47"/>
      <c r="B13" s="55"/>
      <c r="C13" s="56" t="s">
        <v>626</v>
      </c>
      <c r="D13" s="57" t="s">
        <v>368</v>
      </c>
      <c r="E13" s="58"/>
      <c r="F13" s="58"/>
      <c r="G13" s="59"/>
      <c r="H13" s="1318"/>
      <c r="I13" s="229"/>
      <c r="J13" s="581"/>
      <c r="K13" s="581"/>
      <c r="L13" s="582"/>
      <c r="M13" s="17">
        <f>SUM(J13:L13)</f>
        <v>0</v>
      </c>
      <c r="N13" s="111"/>
      <c r="O13" s="111"/>
      <c r="P13" s="111"/>
      <c r="Q13" s="111"/>
      <c r="R13" s="111"/>
      <c r="S13" s="111"/>
      <c r="T13" s="111"/>
      <c r="U13" s="111"/>
      <c r="V13" s="111"/>
      <c r="W13" s="391">
        <f>J13+K13+N13+Q13+T13</f>
        <v>0</v>
      </c>
      <c r="X13" s="17">
        <f>L13+O13+R13+U13</f>
        <v>0</v>
      </c>
      <c r="Y13" s="18">
        <f>SUM(W13:X13)</f>
        <v>0</v>
      </c>
      <c r="Z13" s="19">
        <f>IF(Y$15=0,0,Y13/Y$15)</f>
        <v>0</v>
      </c>
      <c r="AA13" s="411"/>
      <c r="AB13" s="411"/>
      <c r="AC13" s="45"/>
      <c r="AE13" s="17"/>
      <c r="AF13" s="17"/>
      <c r="AG13" s="17"/>
      <c r="AH13" s="18">
        <f>J13</f>
        <v>0</v>
      </c>
      <c r="AI13" s="19">
        <f>IF(AH$15=0,0,AH13/AH$15)</f>
        <v>0</v>
      </c>
      <c r="AK13" s="17"/>
      <c r="AL13" s="17"/>
      <c r="AM13" s="17"/>
      <c r="AN13" s="18">
        <f>K13</f>
        <v>0</v>
      </c>
      <c r="AO13" s="19">
        <f>IF(AN$15=0,0,AN13/AN$15)</f>
        <v>0</v>
      </c>
      <c r="AQ13" s="17"/>
      <c r="AR13" s="17"/>
      <c r="AS13" s="17"/>
      <c r="AT13" s="18">
        <f>W13</f>
        <v>0</v>
      </c>
      <c r="AU13" s="19">
        <f>IF(AT$15=0,0,AT13/AT$15)</f>
        <v>0</v>
      </c>
      <c r="AW13" s="17"/>
      <c r="AX13" s="17"/>
      <c r="AY13" s="17"/>
      <c r="AZ13" s="424">
        <f>X13</f>
        <v>0</v>
      </c>
      <c r="BA13" s="19">
        <f>IF(AZ$15=0,0,AZ13/AZ$15)</f>
        <v>0</v>
      </c>
    </row>
    <row r="14" spans="1:53" ht="17.100000000000001" customHeight="1" x14ac:dyDescent="0.25">
      <c r="A14" s="47"/>
      <c r="B14" s="55"/>
      <c r="C14" s="56" t="s">
        <v>627</v>
      </c>
      <c r="D14" s="57" t="s">
        <v>369</v>
      </c>
      <c r="E14" s="58"/>
      <c r="F14" s="58"/>
      <c r="G14" s="59"/>
      <c r="H14" s="1318"/>
      <c r="I14" s="229"/>
      <c r="J14" s="583"/>
      <c r="K14" s="583"/>
      <c r="L14" s="584"/>
      <c r="M14" s="17">
        <f>SUM(J14:L14)</f>
        <v>0</v>
      </c>
      <c r="N14" s="111"/>
      <c r="O14" s="111"/>
      <c r="P14" s="111"/>
      <c r="Q14" s="111"/>
      <c r="R14" s="111"/>
      <c r="S14" s="111"/>
      <c r="T14" s="111"/>
      <c r="U14" s="111"/>
      <c r="V14" s="111"/>
      <c r="W14" s="391">
        <f>J14+K14+N14+Q14+T14</f>
        <v>0</v>
      </c>
      <c r="X14" s="17">
        <f>L14+O14+R14+U14</f>
        <v>0</v>
      </c>
      <c r="Y14" s="18">
        <f>SUM(W14:X14)</f>
        <v>0</v>
      </c>
      <c r="Z14" s="19">
        <f>IF(Y$15=0,0,Y14/Y$15)</f>
        <v>0</v>
      </c>
      <c r="AA14" s="411"/>
      <c r="AB14" s="411"/>
      <c r="AC14" s="45"/>
      <c r="AE14" s="17"/>
      <c r="AF14" s="17"/>
      <c r="AG14" s="17"/>
      <c r="AH14" s="18">
        <f>J14</f>
        <v>0</v>
      </c>
      <c r="AI14" s="19">
        <f>IF(AH$15=0,0,AH14/AH$15)</f>
        <v>0</v>
      </c>
      <c r="AK14" s="17"/>
      <c r="AL14" s="17"/>
      <c r="AM14" s="17"/>
      <c r="AN14" s="18">
        <f>K14</f>
        <v>0</v>
      </c>
      <c r="AO14" s="19">
        <f>IF(AN$15=0,0,AN14/AN$15)</f>
        <v>0</v>
      </c>
      <c r="AQ14" s="17"/>
      <c r="AR14" s="17"/>
      <c r="AS14" s="17"/>
      <c r="AT14" s="18">
        <f>W14</f>
        <v>0</v>
      </c>
      <c r="AU14" s="19">
        <f>IF(AT$15=0,0,AT14/AT$15)</f>
        <v>0</v>
      </c>
      <c r="AW14" s="17"/>
      <c r="AX14" s="17"/>
      <c r="AY14" s="17"/>
      <c r="AZ14" s="424">
        <f>X14</f>
        <v>0</v>
      </c>
      <c r="BA14" s="19">
        <f>IF(AZ$15=0,0,AZ14/AZ$15)</f>
        <v>0</v>
      </c>
    </row>
    <row r="15" spans="1:53" ht="17.100000000000001" customHeight="1" x14ac:dyDescent="0.25">
      <c r="A15" s="47"/>
      <c r="B15" s="47"/>
      <c r="C15" s="252"/>
      <c r="D15" s="62"/>
      <c r="E15" s="62"/>
      <c r="F15" s="62"/>
      <c r="G15" s="63"/>
      <c r="H15" s="647"/>
      <c r="I15" s="229"/>
      <c r="J15" s="64">
        <f>SUM(J13:J14)</f>
        <v>0</v>
      </c>
      <c r="K15" s="64">
        <f t="shared" ref="K15:M15" si="0">SUM(K13:K14)</f>
        <v>0</v>
      </c>
      <c r="L15" s="64">
        <f t="shared" si="0"/>
        <v>0</v>
      </c>
      <c r="M15" s="64">
        <f t="shared" si="0"/>
        <v>0</v>
      </c>
      <c r="N15" s="637"/>
      <c r="O15" s="637"/>
      <c r="P15" s="637"/>
      <c r="Q15" s="637"/>
      <c r="R15" s="637"/>
      <c r="S15" s="637"/>
      <c r="T15" s="637"/>
      <c r="U15" s="637"/>
      <c r="V15" s="637"/>
      <c r="W15" s="381">
        <f>SUM(W13:W14)</f>
        <v>0</v>
      </c>
      <c r="X15" s="82">
        <f t="shared" ref="X15:Y15" si="1">SUM(X13:X14)</f>
        <v>0</v>
      </c>
      <c r="Y15" s="82">
        <f t="shared" si="1"/>
        <v>0</v>
      </c>
      <c r="Z15" s="205">
        <f>IF(Y$15=0,0,Y15/Y$15)</f>
        <v>0</v>
      </c>
      <c r="AA15" s="412"/>
      <c r="AB15" s="412"/>
      <c r="AC15" s="67"/>
      <c r="AE15" s="67"/>
      <c r="AF15" s="67"/>
      <c r="AG15" s="67"/>
      <c r="AH15" s="65">
        <f>SUM(AH13:AH14)</f>
        <v>0</v>
      </c>
      <c r="AI15" s="66">
        <f>IF(AH$15=0,0,AH15/AH$15)</f>
        <v>0</v>
      </c>
      <c r="AK15" s="67"/>
      <c r="AL15" s="67"/>
      <c r="AM15" s="67"/>
      <c r="AN15" s="65">
        <f>SUM(AN13:AN14)</f>
        <v>0</v>
      </c>
      <c r="AO15" s="66">
        <f>IF(AN$15=0,0,AN15/AN$15)</f>
        <v>0</v>
      </c>
      <c r="AQ15" s="67"/>
      <c r="AR15" s="67"/>
      <c r="AS15" s="67"/>
      <c r="AT15" s="65">
        <f>SUM(AT13:AT14)</f>
        <v>0</v>
      </c>
      <c r="AU15" s="66">
        <f>IF(AT$15=0,0,AT15/AT$15)</f>
        <v>0</v>
      </c>
      <c r="AW15" s="67"/>
      <c r="AX15" s="67"/>
      <c r="AY15" s="67"/>
      <c r="AZ15" s="65">
        <f>SUM(AZ13:AZ14)</f>
        <v>0</v>
      </c>
      <c r="BA15" s="66">
        <f>IF(AZ$15=0,0,AZ15/AZ$15)</f>
        <v>0</v>
      </c>
    </row>
    <row r="16" spans="1:53" s="117" customFormat="1" ht="17.100000000000001" customHeight="1" x14ac:dyDescent="0.25">
      <c r="A16" s="186"/>
      <c r="B16" s="253"/>
      <c r="C16" s="254"/>
      <c r="D16" s="255"/>
      <c r="E16" s="93"/>
      <c r="F16" s="93"/>
      <c r="G16" s="209"/>
      <c r="H16" s="647"/>
      <c r="I16" s="12"/>
      <c r="J16" s="198"/>
      <c r="K16" s="638"/>
      <c r="L16" s="425"/>
      <c r="M16" s="425"/>
      <c r="N16" s="425"/>
      <c r="O16" s="425"/>
      <c r="P16" s="425"/>
      <c r="Q16" s="425"/>
      <c r="R16" s="425"/>
      <c r="S16" s="425"/>
      <c r="T16" s="425"/>
      <c r="U16" s="425"/>
      <c r="V16" s="425"/>
      <c r="W16" s="395">
        <f>IF($Y$15=0,0,W15/$Y$15)</f>
        <v>0</v>
      </c>
      <c r="X16" s="91">
        <f>IF($Y$15=0,0,X15/$Y$15)</f>
        <v>0</v>
      </c>
      <c r="Y16" s="91">
        <f>IF($Y$15=0,0,Y15/$Y$15)</f>
        <v>0</v>
      </c>
      <c r="Z16" s="201"/>
      <c r="AA16" s="413"/>
      <c r="AB16" s="413"/>
      <c r="AC16" s="256"/>
      <c r="AE16" s="256"/>
      <c r="AF16" s="256"/>
      <c r="AG16" s="256"/>
      <c r="AH16" s="257"/>
      <c r="AI16" s="91"/>
      <c r="AK16" s="256"/>
      <c r="AL16" s="256"/>
      <c r="AM16" s="256"/>
      <c r="AN16" s="257"/>
      <c r="AO16" s="91"/>
      <c r="AQ16" s="256"/>
      <c r="AR16" s="256"/>
      <c r="AS16" s="256"/>
      <c r="AT16" s="257"/>
      <c r="AU16" s="91"/>
      <c r="AW16" s="256"/>
      <c r="AX16" s="256"/>
      <c r="AY16" s="256"/>
      <c r="AZ16" s="425"/>
      <c r="BA16" s="91"/>
    </row>
    <row r="17" spans="1:53" ht="17.100000000000001" customHeight="1" x14ac:dyDescent="0.25">
      <c r="A17" s="40"/>
      <c r="B17" s="41">
        <v>0.1</v>
      </c>
      <c r="C17" s="42" t="s">
        <v>628</v>
      </c>
      <c r="D17" s="43"/>
      <c r="E17" s="43"/>
      <c r="F17" s="43"/>
      <c r="G17" s="44"/>
      <c r="H17" s="219"/>
      <c r="I17" s="229"/>
      <c r="J17" s="586"/>
      <c r="K17" s="586"/>
      <c r="L17" s="71"/>
      <c r="M17" s="71"/>
      <c r="N17" s="71"/>
      <c r="O17" s="71"/>
      <c r="P17" s="71"/>
      <c r="Q17" s="71"/>
      <c r="R17" s="71"/>
      <c r="S17" s="71"/>
      <c r="T17" s="71"/>
      <c r="U17" s="71"/>
      <c r="V17" s="355"/>
      <c r="W17" s="377"/>
      <c r="X17" s="71"/>
      <c r="Y17" s="72"/>
      <c r="Z17" s="73"/>
      <c r="AA17" s="73"/>
      <c r="AB17" s="73"/>
      <c r="AC17" s="73"/>
      <c r="AE17" s="52"/>
      <c r="AF17" s="52"/>
      <c r="AG17" s="52"/>
      <c r="AH17" s="53"/>
      <c r="AI17" s="54"/>
      <c r="AJ17" s="117"/>
      <c r="AK17" s="52"/>
      <c r="AL17" s="52"/>
      <c r="AM17" s="52"/>
      <c r="AN17" s="53"/>
      <c r="AO17" s="54"/>
      <c r="AP17" s="117"/>
      <c r="AQ17" s="52"/>
      <c r="AR17" s="52"/>
      <c r="AS17" s="52"/>
      <c r="AT17" s="53"/>
      <c r="AU17" s="54"/>
      <c r="AV17" s="117"/>
      <c r="AW17" s="52"/>
      <c r="AX17" s="52"/>
      <c r="AY17" s="52"/>
      <c r="AZ17" s="272"/>
      <c r="BA17" s="54"/>
    </row>
    <row r="18" spans="1:53" ht="17.100000000000001" customHeight="1" x14ac:dyDescent="0.25">
      <c r="A18" s="47"/>
      <c r="B18" s="55"/>
      <c r="C18" s="56" t="s">
        <v>371</v>
      </c>
      <c r="D18" s="120" t="s">
        <v>629</v>
      </c>
      <c r="E18" s="58"/>
      <c r="F18" s="58"/>
      <c r="G18" s="59"/>
      <c r="H18" s="216"/>
      <c r="I18" s="229"/>
      <c r="J18" s="174"/>
      <c r="K18" s="174"/>
      <c r="L18" s="111"/>
      <c r="M18" s="111"/>
      <c r="N18" s="60">
        <v>1</v>
      </c>
      <c r="O18" s="60">
        <v>3</v>
      </c>
      <c r="P18" s="17">
        <f>SUM(N18:O18)</f>
        <v>4</v>
      </c>
      <c r="Q18" s="60"/>
      <c r="R18" s="60"/>
      <c r="S18" s="17">
        <f>SUM(Q18:R18)</f>
        <v>0</v>
      </c>
      <c r="T18" s="60"/>
      <c r="U18" s="60"/>
      <c r="V18" s="359">
        <f>SUM(T18:U18)</f>
        <v>0</v>
      </c>
      <c r="W18" s="391">
        <f t="shared" ref="W18:W19" si="2">J18+K18+N18+Q18+T18</f>
        <v>1</v>
      </c>
      <c r="X18" s="17">
        <f t="shared" ref="X18:X19" si="3">L18+O18+R18+U18</f>
        <v>3</v>
      </c>
      <c r="Y18" s="18">
        <f>SUM(W18:X18)</f>
        <v>4</v>
      </c>
      <c r="Z18" s="19">
        <f>IF(Y$20=0,0,Y18/Y$20)</f>
        <v>0.36363636363636365</v>
      </c>
      <c r="AA18" s="19"/>
      <c r="AB18" s="19"/>
      <c r="AC18" s="20"/>
      <c r="AE18" s="111"/>
      <c r="AF18" s="111"/>
      <c r="AG18" s="111"/>
      <c r="AH18" s="651"/>
      <c r="AI18" s="131"/>
      <c r="AJ18" s="117"/>
      <c r="AK18" s="111"/>
      <c r="AL18" s="111"/>
      <c r="AM18" s="111"/>
      <c r="AN18" s="651"/>
      <c r="AO18" s="131"/>
      <c r="AP18" s="117"/>
      <c r="AQ18" s="17"/>
      <c r="AR18" s="17"/>
      <c r="AS18" s="17"/>
      <c r="AT18" s="18">
        <f>W18</f>
        <v>1</v>
      </c>
      <c r="AU18" s="19">
        <f>IF(AT$20=0,0,AT18/AT$20)</f>
        <v>0.25</v>
      </c>
      <c r="AV18" s="117"/>
      <c r="AW18" s="17"/>
      <c r="AX18" s="17"/>
      <c r="AY18" s="17"/>
      <c r="AZ18" s="424">
        <f>X18</f>
        <v>3</v>
      </c>
      <c r="BA18" s="19">
        <f>IF(AZ$20=0,0,AZ18/AZ$20)</f>
        <v>0.42857142857142855</v>
      </c>
    </row>
    <row r="19" spans="1:53" ht="17.100000000000001" customHeight="1" x14ac:dyDescent="0.25">
      <c r="A19" s="47"/>
      <c r="B19" s="55"/>
      <c r="C19" s="56" t="s">
        <v>372</v>
      </c>
      <c r="D19" s="120" t="s">
        <v>630</v>
      </c>
      <c r="E19" s="58"/>
      <c r="F19" s="58"/>
      <c r="G19" s="59"/>
      <c r="H19" s="216"/>
      <c r="I19" s="229"/>
      <c r="J19" s="174"/>
      <c r="K19" s="174"/>
      <c r="L19" s="111"/>
      <c r="M19" s="111"/>
      <c r="N19" s="61">
        <v>3</v>
      </c>
      <c r="O19" s="61">
        <v>4</v>
      </c>
      <c r="P19" s="17">
        <f>SUM(N19:O19)</f>
        <v>7</v>
      </c>
      <c r="Q19" s="61"/>
      <c r="R19" s="61"/>
      <c r="S19" s="17">
        <f>SUM(Q19:R19)</f>
        <v>0</v>
      </c>
      <c r="T19" s="61"/>
      <c r="U19" s="61"/>
      <c r="V19" s="359">
        <f>SUM(T19:U19)</f>
        <v>0</v>
      </c>
      <c r="W19" s="391">
        <f t="shared" si="2"/>
        <v>3</v>
      </c>
      <c r="X19" s="17">
        <f t="shared" si="3"/>
        <v>4</v>
      </c>
      <c r="Y19" s="18">
        <f>SUM(W19:X19)</f>
        <v>7</v>
      </c>
      <c r="Z19" s="19">
        <f t="shared" ref="Z19:Z20" si="4">IF(Y$20=0,0,Y19/Y$20)</f>
        <v>0.63636363636363635</v>
      </c>
      <c r="AA19" s="19"/>
      <c r="AB19" s="19"/>
      <c r="AC19" s="20"/>
      <c r="AE19" s="111"/>
      <c r="AF19" s="111"/>
      <c r="AG19" s="111"/>
      <c r="AH19" s="651"/>
      <c r="AI19" s="131"/>
      <c r="AJ19" s="117"/>
      <c r="AK19" s="111"/>
      <c r="AL19" s="111"/>
      <c r="AM19" s="111"/>
      <c r="AN19" s="651"/>
      <c r="AO19" s="131"/>
      <c r="AP19" s="117"/>
      <c r="AQ19" s="17"/>
      <c r="AR19" s="17"/>
      <c r="AS19" s="17"/>
      <c r="AT19" s="18">
        <f>W19</f>
        <v>3</v>
      </c>
      <c r="AU19" s="19">
        <f t="shared" ref="AU19:AU20" si="5">IF(AT$20=0,0,AT19/AT$20)</f>
        <v>0.75</v>
      </c>
      <c r="AV19" s="117"/>
      <c r="AW19" s="17"/>
      <c r="AX19" s="17"/>
      <c r="AY19" s="17"/>
      <c r="AZ19" s="424">
        <f>X19</f>
        <v>4</v>
      </c>
      <c r="BA19" s="19">
        <f t="shared" ref="BA19:BA20" si="6">IF(AZ$20=0,0,AZ19/AZ$20)</f>
        <v>0.5714285714285714</v>
      </c>
    </row>
    <row r="20" spans="1:53" ht="17.100000000000001" customHeight="1" x14ac:dyDescent="0.25">
      <c r="A20" s="47"/>
      <c r="B20" s="47"/>
      <c r="C20" s="252"/>
      <c r="D20" s="62"/>
      <c r="E20" s="62"/>
      <c r="F20" s="62"/>
      <c r="G20" s="63"/>
      <c r="H20" s="216"/>
      <c r="I20" s="229"/>
      <c r="J20" s="64"/>
      <c r="K20" s="64"/>
      <c r="L20" s="64"/>
      <c r="M20" s="64"/>
      <c r="N20" s="64">
        <f>SUM(N18:N19)</f>
        <v>4</v>
      </c>
      <c r="O20" s="64">
        <f t="shared" ref="O20:V20" si="7">SUM(O18:O19)</f>
        <v>7</v>
      </c>
      <c r="P20" s="64">
        <f t="shared" si="7"/>
        <v>11</v>
      </c>
      <c r="Q20" s="64">
        <f t="shared" si="7"/>
        <v>0</v>
      </c>
      <c r="R20" s="64">
        <f t="shared" si="7"/>
        <v>0</v>
      </c>
      <c r="S20" s="64">
        <f t="shared" si="7"/>
        <v>0</v>
      </c>
      <c r="T20" s="64">
        <f t="shared" si="7"/>
        <v>0</v>
      </c>
      <c r="U20" s="64">
        <f t="shared" si="7"/>
        <v>0</v>
      </c>
      <c r="V20" s="64">
        <f t="shared" si="7"/>
        <v>0</v>
      </c>
      <c r="W20" s="381">
        <f>SUM(W18:W19)</f>
        <v>4</v>
      </c>
      <c r="X20" s="82">
        <f t="shared" ref="X20:Y20" si="8">SUM(X18:X19)</f>
        <v>7</v>
      </c>
      <c r="Y20" s="82">
        <f t="shared" si="8"/>
        <v>11</v>
      </c>
      <c r="Z20" s="205">
        <f t="shared" si="4"/>
        <v>1</v>
      </c>
      <c r="AA20" s="205"/>
      <c r="AB20" s="205"/>
      <c r="AC20" s="83"/>
      <c r="AE20" s="67"/>
      <c r="AF20" s="67"/>
      <c r="AG20" s="67"/>
      <c r="AH20" s="65"/>
      <c r="AI20" s="66"/>
      <c r="AJ20" s="117"/>
      <c r="AK20" s="67"/>
      <c r="AL20" s="67"/>
      <c r="AM20" s="67"/>
      <c r="AN20" s="65"/>
      <c r="AO20" s="66"/>
      <c r="AP20" s="117"/>
      <c r="AQ20" s="67"/>
      <c r="AR20" s="67"/>
      <c r="AS20" s="67"/>
      <c r="AT20" s="65">
        <f>SUM(AT18:AT19)</f>
        <v>4</v>
      </c>
      <c r="AU20" s="66">
        <f t="shared" si="5"/>
        <v>1</v>
      </c>
      <c r="AV20" s="117"/>
      <c r="AW20" s="67"/>
      <c r="AX20" s="67"/>
      <c r="AY20" s="67"/>
      <c r="AZ20" s="65">
        <f>SUM(AZ18:AZ19)</f>
        <v>7</v>
      </c>
      <c r="BA20" s="66">
        <f t="shared" si="6"/>
        <v>1</v>
      </c>
    </row>
    <row r="21" spans="1:53" s="117" customFormat="1" ht="17.100000000000001" customHeight="1" x14ac:dyDescent="0.25">
      <c r="A21" s="186"/>
      <c r="B21" s="253"/>
      <c r="C21" s="254"/>
      <c r="D21" s="93"/>
      <c r="E21" s="93"/>
      <c r="F21" s="93"/>
      <c r="G21" s="209"/>
      <c r="H21" s="647"/>
      <c r="I21" s="12"/>
      <c r="J21" s="198"/>
      <c r="K21" s="638"/>
      <c r="L21" s="425"/>
      <c r="M21" s="425"/>
      <c r="N21" s="425"/>
      <c r="O21" s="425"/>
      <c r="P21" s="425"/>
      <c r="Q21" s="425"/>
      <c r="R21" s="425"/>
      <c r="S21" s="425"/>
      <c r="T21" s="425"/>
      <c r="U21" s="425"/>
      <c r="V21" s="425"/>
      <c r="W21" s="639"/>
      <c r="X21" s="91"/>
      <c r="Y21" s="91"/>
      <c r="Z21" s="201"/>
      <c r="AA21" s="413"/>
      <c r="AB21" s="413"/>
      <c r="AC21" s="256"/>
      <c r="AE21" s="256"/>
      <c r="AF21" s="256"/>
      <c r="AG21" s="256"/>
      <c r="AH21" s="257"/>
      <c r="AI21" s="91"/>
      <c r="AK21" s="256"/>
      <c r="AL21" s="256"/>
      <c r="AM21" s="256"/>
      <c r="AN21" s="257"/>
      <c r="AO21" s="91"/>
      <c r="AQ21" s="256"/>
      <c r="AR21" s="256"/>
      <c r="AS21" s="256"/>
      <c r="AT21" s="257"/>
      <c r="AU21" s="91"/>
      <c r="AW21" s="256"/>
      <c r="AX21" s="256"/>
      <c r="AY21" s="256"/>
      <c r="AZ21" s="425"/>
      <c r="BA21" s="91"/>
    </row>
    <row r="22" spans="1:53" ht="17.100000000000001" customHeight="1" x14ac:dyDescent="0.25">
      <c r="A22" s="40"/>
      <c r="B22" s="41">
        <v>0.2</v>
      </c>
      <c r="C22" s="69" t="s">
        <v>370</v>
      </c>
      <c r="D22" s="50"/>
      <c r="E22" s="43"/>
      <c r="F22" s="43"/>
      <c r="G22" s="44"/>
      <c r="H22" s="640">
        <v>5</v>
      </c>
      <c r="I22" s="229"/>
      <c r="J22" s="71"/>
      <c r="K22" s="71"/>
      <c r="L22" s="71"/>
      <c r="M22" s="71"/>
      <c r="N22" s="71"/>
      <c r="O22" s="71"/>
      <c r="P22" s="71"/>
      <c r="Q22" s="71"/>
      <c r="R22" s="71"/>
      <c r="S22" s="71"/>
      <c r="T22" s="71"/>
      <c r="U22" s="71"/>
      <c r="V22" s="71"/>
      <c r="W22" s="71"/>
      <c r="X22" s="71"/>
      <c r="Y22" s="71"/>
      <c r="Z22" s="73"/>
      <c r="AA22" s="73"/>
      <c r="AB22" s="73"/>
      <c r="AC22" s="73"/>
      <c r="AE22" s="71"/>
      <c r="AF22" s="71"/>
      <c r="AG22" s="71"/>
      <c r="AH22" s="72"/>
      <c r="AI22" s="73"/>
      <c r="AK22" s="71"/>
      <c r="AL22" s="71"/>
      <c r="AM22" s="71"/>
      <c r="AN22" s="72"/>
      <c r="AO22" s="73"/>
      <c r="AQ22" s="71"/>
      <c r="AR22" s="71"/>
      <c r="AS22" s="71"/>
      <c r="AT22" s="72"/>
      <c r="AU22" s="73"/>
      <c r="AW22" s="71"/>
      <c r="AX22" s="71"/>
      <c r="AY22" s="71"/>
      <c r="AZ22" s="273"/>
      <c r="BA22" s="73"/>
    </row>
    <row r="23" spans="1:53" ht="17.100000000000001" customHeight="1" x14ac:dyDescent="0.25">
      <c r="A23" s="40"/>
      <c r="B23" s="40"/>
      <c r="C23" s="74" t="s">
        <v>7</v>
      </c>
      <c r="D23" s="649" t="s">
        <v>9</v>
      </c>
      <c r="E23" s="75"/>
      <c r="F23" s="75"/>
      <c r="G23" s="76"/>
      <c r="H23" s="1318"/>
      <c r="I23" s="229"/>
      <c r="J23" s="581"/>
      <c r="K23" s="581"/>
      <c r="L23" s="582"/>
      <c r="M23" s="17">
        <f t="shared" ref="M23:M25" si="9">SUM(J23:L23)</f>
        <v>0</v>
      </c>
      <c r="N23" s="111"/>
      <c r="O23" s="111"/>
      <c r="P23" s="111"/>
      <c r="Q23" s="111"/>
      <c r="R23" s="111"/>
      <c r="S23" s="111"/>
      <c r="T23" s="111"/>
      <c r="U23" s="111"/>
      <c r="V23" s="111"/>
      <c r="W23" s="391">
        <f t="shared" ref="W23:W25" si="10">J23+K23+N23+Q23+T23</f>
        <v>0</v>
      </c>
      <c r="X23" s="17">
        <f t="shared" ref="X23:X25" si="11">L23+O23+R23+U23</f>
        <v>0</v>
      </c>
      <c r="Y23" s="18">
        <f>SUM(W23:X23)</f>
        <v>0</v>
      </c>
      <c r="Z23" s="19">
        <f>IF(Y$26=0,0,Y23/Y$26)</f>
        <v>0</v>
      </c>
      <c r="AA23" s="411"/>
      <c r="AB23" s="411"/>
      <c r="AC23" s="45"/>
      <c r="AE23" s="17"/>
      <c r="AF23" s="17"/>
      <c r="AG23" s="17"/>
      <c r="AH23" s="18">
        <f>J23</f>
        <v>0</v>
      </c>
      <c r="AI23" s="19">
        <f>IF(AH$26=0,0,AH23/AH$26)</f>
        <v>0</v>
      </c>
      <c r="AK23" s="17"/>
      <c r="AL23" s="17"/>
      <c r="AM23" s="17"/>
      <c r="AN23" s="18">
        <f>K23</f>
        <v>0</v>
      </c>
      <c r="AO23" s="19">
        <f>IF(AN$26=0,0,AN23/AN$26)</f>
        <v>0</v>
      </c>
      <c r="AQ23" s="17"/>
      <c r="AR23" s="17"/>
      <c r="AS23" s="17"/>
      <c r="AT23" s="18">
        <f>W23</f>
        <v>0</v>
      </c>
      <c r="AU23" s="19">
        <f>IF(AT$26=0,0,AT23/AT$26)</f>
        <v>0</v>
      </c>
      <c r="AW23" s="17"/>
      <c r="AX23" s="17"/>
      <c r="AY23" s="17"/>
      <c r="AZ23" s="424">
        <f>X23</f>
        <v>0</v>
      </c>
      <c r="BA23" s="19">
        <f>IF(AZ$26=0,0,AZ23/AZ$26)</f>
        <v>0</v>
      </c>
    </row>
    <row r="24" spans="1:53" ht="17.100000000000001" customHeight="1" x14ac:dyDescent="0.25">
      <c r="A24" s="40"/>
      <c r="B24" s="40"/>
      <c r="C24" s="74" t="s">
        <v>8</v>
      </c>
      <c r="D24" s="649" t="s">
        <v>10</v>
      </c>
      <c r="E24" s="75"/>
      <c r="F24" s="75"/>
      <c r="G24" s="76"/>
      <c r="H24" s="647"/>
      <c r="I24" s="229"/>
      <c r="J24" s="583"/>
      <c r="K24" s="583"/>
      <c r="L24" s="584"/>
      <c r="M24" s="17">
        <f t="shared" si="9"/>
        <v>0</v>
      </c>
      <c r="N24" s="111"/>
      <c r="O24" s="111"/>
      <c r="P24" s="111"/>
      <c r="Q24" s="111"/>
      <c r="R24" s="111"/>
      <c r="S24" s="111"/>
      <c r="T24" s="111"/>
      <c r="U24" s="111"/>
      <c r="V24" s="111"/>
      <c r="W24" s="391">
        <f t="shared" si="10"/>
        <v>0</v>
      </c>
      <c r="X24" s="17">
        <f t="shared" si="11"/>
        <v>0</v>
      </c>
      <c r="Y24" s="18">
        <f>SUM(W24:X24)</f>
        <v>0</v>
      </c>
      <c r="Z24" s="19">
        <f t="shared" ref="Z24:Z25" si="12">IF(Y$26=0,0,Y24/Y$26)</f>
        <v>0</v>
      </c>
      <c r="AA24" s="411"/>
      <c r="AB24" s="411"/>
      <c r="AC24" s="45"/>
      <c r="AE24" s="17"/>
      <c r="AF24" s="17"/>
      <c r="AG24" s="17"/>
      <c r="AH24" s="18">
        <f t="shared" ref="AH24:AH25" si="13">J24</f>
        <v>0</v>
      </c>
      <c r="AI24" s="19">
        <f>IF(AH$26=0,0,AH24/AH$26)</f>
        <v>0</v>
      </c>
      <c r="AK24" s="17"/>
      <c r="AL24" s="17"/>
      <c r="AM24" s="17"/>
      <c r="AN24" s="18">
        <f t="shared" ref="AN24:AN25" si="14">K24</f>
        <v>0</v>
      </c>
      <c r="AO24" s="19">
        <f>IF(AN$26=0,0,AN24/AN$26)</f>
        <v>0</v>
      </c>
      <c r="AQ24" s="17"/>
      <c r="AR24" s="17"/>
      <c r="AS24" s="17"/>
      <c r="AT24" s="18">
        <f t="shared" ref="AT24:AT25" si="15">W24</f>
        <v>0</v>
      </c>
      <c r="AU24" s="19">
        <f t="shared" ref="AU24:AU26" si="16">IF(AT$26=0,0,AT24/AT$26)</f>
        <v>0</v>
      </c>
      <c r="AW24" s="17"/>
      <c r="AX24" s="17"/>
      <c r="AY24" s="17"/>
      <c r="AZ24" s="424">
        <f t="shared" ref="AZ24:AZ25" si="17">X24</f>
        <v>0</v>
      </c>
      <c r="BA24" s="19">
        <f>IF(AZ$26=0,0,AZ24/AZ$26)</f>
        <v>0</v>
      </c>
    </row>
    <row r="25" spans="1:53" ht="17.100000000000001" customHeight="1" x14ac:dyDescent="0.25">
      <c r="A25" s="40"/>
      <c r="B25" s="40"/>
      <c r="C25" s="74" t="s">
        <v>531</v>
      </c>
      <c r="D25" s="649" t="s">
        <v>530</v>
      </c>
      <c r="E25" s="75"/>
      <c r="F25" s="75"/>
      <c r="G25" s="76"/>
      <c r="H25" s="647"/>
      <c r="I25" s="229"/>
      <c r="J25" s="581"/>
      <c r="K25" s="581"/>
      <c r="L25" s="582"/>
      <c r="M25" s="17">
        <f t="shared" si="9"/>
        <v>0</v>
      </c>
      <c r="N25" s="111"/>
      <c r="O25" s="111"/>
      <c r="P25" s="111"/>
      <c r="Q25" s="111"/>
      <c r="R25" s="111"/>
      <c r="S25" s="111"/>
      <c r="T25" s="111"/>
      <c r="U25" s="111"/>
      <c r="V25" s="111"/>
      <c r="W25" s="391">
        <f t="shared" si="10"/>
        <v>0</v>
      </c>
      <c r="X25" s="17">
        <f t="shared" si="11"/>
        <v>0</v>
      </c>
      <c r="Y25" s="18">
        <f>SUM(W25:X25)</f>
        <v>0</v>
      </c>
      <c r="Z25" s="19">
        <f t="shared" si="12"/>
        <v>0</v>
      </c>
      <c r="AA25" s="411"/>
      <c r="AB25" s="411"/>
      <c r="AC25" s="45"/>
      <c r="AE25" s="17"/>
      <c r="AF25" s="17"/>
      <c r="AG25" s="17"/>
      <c r="AH25" s="18">
        <f t="shared" si="13"/>
        <v>0</v>
      </c>
      <c r="AI25" s="19">
        <f>IF(AH$26=0,0,AH25/AH$26)</f>
        <v>0</v>
      </c>
      <c r="AK25" s="17"/>
      <c r="AL25" s="17"/>
      <c r="AM25" s="17"/>
      <c r="AN25" s="18">
        <f t="shared" si="14"/>
        <v>0</v>
      </c>
      <c r="AO25" s="19">
        <f>IF(AN$26=0,0,AN25/AN$26)</f>
        <v>0</v>
      </c>
      <c r="AQ25" s="17"/>
      <c r="AR25" s="17"/>
      <c r="AS25" s="17"/>
      <c r="AT25" s="18">
        <f t="shared" si="15"/>
        <v>0</v>
      </c>
      <c r="AU25" s="19">
        <f t="shared" si="16"/>
        <v>0</v>
      </c>
      <c r="AW25" s="17"/>
      <c r="AX25" s="17"/>
      <c r="AY25" s="17"/>
      <c r="AZ25" s="424">
        <f t="shared" si="17"/>
        <v>0</v>
      </c>
      <c r="BA25" s="19">
        <f>IF(AZ$26=0,0,AZ25/AZ$26)</f>
        <v>0</v>
      </c>
    </row>
    <row r="26" spans="1:53" ht="17.100000000000001" customHeight="1" x14ac:dyDescent="0.25">
      <c r="A26" s="40"/>
      <c r="B26" s="40"/>
      <c r="C26" s="77"/>
      <c r="D26" s="78"/>
      <c r="E26" s="78"/>
      <c r="F26" s="78"/>
      <c r="G26" s="79"/>
      <c r="H26" s="647"/>
      <c r="I26" s="230"/>
      <c r="J26" s="80">
        <f>SUM(J23:J25)</f>
        <v>0</v>
      </c>
      <c r="K26" s="80">
        <f t="shared" ref="K26:M26" si="18">SUM(K23:K25)</f>
        <v>0</v>
      </c>
      <c r="L26" s="80">
        <f t="shared" si="18"/>
        <v>0</v>
      </c>
      <c r="M26" s="80">
        <f t="shared" si="18"/>
        <v>0</v>
      </c>
      <c r="N26" s="81"/>
      <c r="O26" s="81"/>
      <c r="P26" s="81"/>
      <c r="Q26" s="81"/>
      <c r="R26" s="81"/>
      <c r="S26" s="81"/>
      <c r="T26" s="81"/>
      <c r="U26" s="81"/>
      <c r="V26" s="81"/>
      <c r="W26" s="381">
        <f>SUM(W23:W25)</f>
        <v>0</v>
      </c>
      <c r="X26" s="82">
        <f t="shared" ref="X26:Y26" si="19">SUM(X23:X25)</f>
        <v>0</v>
      </c>
      <c r="Y26" s="82">
        <f t="shared" si="19"/>
        <v>0</v>
      </c>
      <c r="Z26" s="205">
        <f>IF(Y$26=0,0,Y26/Y$26)</f>
        <v>0</v>
      </c>
      <c r="AA26" s="205"/>
      <c r="AB26" s="205"/>
      <c r="AC26" s="83"/>
      <c r="AE26" s="81"/>
      <c r="AF26" s="81"/>
      <c r="AG26" s="81"/>
      <c r="AH26" s="82">
        <f>SUM(AH23:AH25)</f>
        <v>0</v>
      </c>
      <c r="AI26" s="66">
        <f>IF(AH$26=0,0,AH26/AH$26)</f>
        <v>0</v>
      </c>
      <c r="AK26" s="81"/>
      <c r="AL26" s="81"/>
      <c r="AM26" s="81"/>
      <c r="AN26" s="82">
        <f>SUM(AN23:AN25)</f>
        <v>0</v>
      </c>
      <c r="AO26" s="66">
        <f>IF(AN$26=0,0,AN26/AN$26)</f>
        <v>0</v>
      </c>
      <c r="AQ26" s="67"/>
      <c r="AR26" s="67"/>
      <c r="AS26" s="67"/>
      <c r="AT26" s="65">
        <f>SUM(AT23:AT25)</f>
        <v>0</v>
      </c>
      <c r="AU26" s="66">
        <f t="shared" si="16"/>
        <v>0</v>
      </c>
      <c r="AW26" s="81"/>
      <c r="AX26" s="81"/>
      <c r="AY26" s="81"/>
      <c r="AZ26" s="82">
        <f>SUM(AZ23:AZ25)</f>
        <v>0</v>
      </c>
      <c r="BA26" s="66">
        <f>IF(AZ$26=0,0,AZ26/AZ$26)</f>
        <v>0</v>
      </c>
    </row>
    <row r="27" spans="1:53" s="97" customFormat="1" ht="17.100000000000001" customHeight="1" x14ac:dyDescent="0.25">
      <c r="A27" s="68"/>
      <c r="B27" s="68"/>
      <c r="C27" s="92"/>
      <c r="D27" s="93"/>
      <c r="E27" s="93"/>
      <c r="F27" s="93"/>
      <c r="G27" s="93"/>
      <c r="H27" s="165"/>
      <c r="I27" s="12"/>
      <c r="J27" s="94" t="str">
        <f>IF(J26=J$15,"OK","NOK")</f>
        <v>OK</v>
      </c>
      <c r="K27" s="94" t="str">
        <f t="shared" ref="K27:L27" si="20">IF(K26=K$15,"OK","NOK")</f>
        <v>OK</v>
      </c>
      <c r="L27" s="94" t="str">
        <f t="shared" si="20"/>
        <v>OK</v>
      </c>
      <c r="M27" s="95"/>
      <c r="N27" s="95"/>
      <c r="O27" s="95"/>
      <c r="P27" s="95"/>
      <c r="Q27" s="95"/>
      <c r="R27" s="95"/>
      <c r="S27" s="95"/>
      <c r="T27" s="95"/>
      <c r="U27" s="95"/>
      <c r="V27" s="95"/>
      <c r="W27" s="95"/>
      <c r="X27" s="95"/>
      <c r="Y27" s="95"/>
      <c r="AQ27" s="98"/>
      <c r="AR27" s="98"/>
      <c r="AS27" s="98"/>
      <c r="AT27" s="99"/>
      <c r="AU27" s="100"/>
    </row>
    <row r="28" spans="1:53" s="32" customFormat="1" ht="16.5" thickBot="1" x14ac:dyDescent="0.3">
      <c r="A28" s="24" t="s">
        <v>13</v>
      </c>
      <c r="B28" s="25" t="s">
        <v>557</v>
      </c>
      <c r="C28" s="26"/>
      <c r="D28" s="27"/>
      <c r="E28" s="27"/>
      <c r="F28" s="27"/>
      <c r="G28" s="28"/>
      <c r="H28" s="310"/>
      <c r="I28" s="228"/>
      <c r="J28" s="101"/>
      <c r="K28" s="101"/>
      <c r="L28" s="101"/>
      <c r="M28" s="101"/>
      <c r="N28" s="101"/>
      <c r="O28" s="101"/>
      <c r="P28" s="101"/>
      <c r="Q28" s="101"/>
      <c r="R28" s="101"/>
      <c r="S28" s="101"/>
      <c r="T28" s="101"/>
      <c r="U28" s="101"/>
      <c r="V28" s="101"/>
      <c r="W28" s="101"/>
      <c r="X28" s="101"/>
      <c r="Y28" s="415" t="s">
        <v>4</v>
      </c>
      <c r="Z28" s="31" t="s">
        <v>5</v>
      </c>
      <c r="AA28" s="31" t="s">
        <v>181</v>
      </c>
      <c r="AB28" s="31" t="s">
        <v>182</v>
      </c>
      <c r="AC28" s="31" t="s">
        <v>6</v>
      </c>
      <c r="AE28" s="33" t="s">
        <v>181</v>
      </c>
      <c r="AF28" s="33" t="s">
        <v>182</v>
      </c>
      <c r="AG28" s="33" t="s">
        <v>6</v>
      </c>
      <c r="AH28" s="33" t="s">
        <v>4</v>
      </c>
      <c r="AI28" s="34" t="s">
        <v>5</v>
      </c>
      <c r="AK28" s="36" t="s">
        <v>181</v>
      </c>
      <c r="AL28" s="36" t="s">
        <v>182</v>
      </c>
      <c r="AM28" s="36" t="s">
        <v>6</v>
      </c>
      <c r="AN28" s="36" t="s">
        <v>4</v>
      </c>
      <c r="AO28" s="37" t="s">
        <v>5</v>
      </c>
      <c r="AQ28" s="398" t="s">
        <v>181</v>
      </c>
      <c r="AR28" s="398" t="s">
        <v>182</v>
      </c>
      <c r="AS28" s="398" t="s">
        <v>6</v>
      </c>
      <c r="AT28" s="398" t="s">
        <v>4</v>
      </c>
      <c r="AU28" s="399" t="s">
        <v>5</v>
      </c>
      <c r="AW28" s="38" t="s">
        <v>181</v>
      </c>
      <c r="AX28" s="38" t="s">
        <v>182</v>
      </c>
      <c r="AY28" s="38" t="s">
        <v>6</v>
      </c>
      <c r="AZ28" s="38" t="s">
        <v>4</v>
      </c>
      <c r="BA28" s="39" t="s">
        <v>5</v>
      </c>
    </row>
    <row r="29" spans="1:53" ht="17.100000000000001" customHeight="1" x14ac:dyDescent="0.25">
      <c r="A29" s="275"/>
      <c r="B29" s="41" t="s">
        <v>15</v>
      </c>
      <c r="C29" s="69" t="s">
        <v>16</v>
      </c>
      <c r="D29" s="276"/>
      <c r="E29" s="276"/>
      <c r="F29" s="276"/>
      <c r="G29" s="276"/>
      <c r="H29" s="589">
        <v>8</v>
      </c>
      <c r="I29" s="12"/>
      <c r="J29" s="277"/>
      <c r="K29" s="277"/>
      <c r="L29" s="277"/>
      <c r="M29" s="277"/>
      <c r="N29" s="277"/>
      <c r="O29" s="277"/>
      <c r="P29" s="277"/>
      <c r="Q29" s="277"/>
      <c r="R29" s="277"/>
      <c r="S29" s="277"/>
      <c r="T29" s="277"/>
      <c r="U29" s="277"/>
      <c r="V29" s="277"/>
      <c r="W29" s="277"/>
      <c r="X29" s="277"/>
      <c r="Y29" s="277"/>
      <c r="Z29" s="51"/>
      <c r="AA29" s="51"/>
      <c r="AB29" s="51"/>
      <c r="AC29" s="51"/>
      <c r="AE29" s="71"/>
      <c r="AF29" s="71"/>
      <c r="AG29" s="273"/>
      <c r="AH29" s="73"/>
      <c r="AI29" s="73"/>
      <c r="AK29" s="71"/>
      <c r="AL29" s="71"/>
      <c r="AM29" s="273"/>
      <c r="AN29" s="73"/>
      <c r="AO29" s="73"/>
      <c r="AQ29" s="71"/>
      <c r="AR29" s="71"/>
      <c r="AS29" s="71"/>
      <c r="AT29" s="72"/>
      <c r="AU29" s="73"/>
      <c r="AW29" s="71"/>
      <c r="AX29" s="71"/>
      <c r="AY29" s="273"/>
      <c r="AZ29" s="73"/>
      <c r="BA29" s="73"/>
    </row>
    <row r="30" spans="1:53" ht="17.100000000000001" customHeight="1" x14ac:dyDescent="0.25">
      <c r="A30" s="40"/>
      <c r="B30" s="40"/>
      <c r="C30" s="74" t="s">
        <v>17</v>
      </c>
      <c r="D30" s="104" t="s">
        <v>609</v>
      </c>
      <c r="E30" s="75"/>
      <c r="F30" s="75"/>
      <c r="G30" s="76"/>
      <c r="H30" s="210"/>
      <c r="I30" s="229"/>
      <c r="J30" s="46">
        <f>J15</f>
        <v>0</v>
      </c>
      <c r="K30" s="46"/>
      <c r="L30" s="17"/>
      <c r="M30" s="17">
        <f t="shared" ref="M30:M32" si="21">SUM(J30:L30)</f>
        <v>0</v>
      </c>
      <c r="N30" s="111"/>
      <c r="O30" s="111"/>
      <c r="P30" s="111"/>
      <c r="Q30" s="111"/>
      <c r="R30" s="111"/>
      <c r="S30" s="111"/>
      <c r="T30" s="111"/>
      <c r="U30" s="111"/>
      <c r="V30" s="111"/>
      <c r="W30" s="391">
        <f t="shared" ref="W30:W32" si="22">J30+K30+N30+Q30+T30</f>
        <v>0</v>
      </c>
      <c r="X30" s="17">
        <f t="shared" ref="X30:X32" si="23">L30+O30+R30+U30</f>
        <v>0</v>
      </c>
      <c r="Y30" s="18">
        <f>SUM(W30:X30)</f>
        <v>0</v>
      </c>
      <c r="Z30" s="19">
        <f>IF(Y$33=0,0,Y30/Y$33)</f>
        <v>0</v>
      </c>
      <c r="AA30" s="411"/>
      <c r="AB30" s="411"/>
      <c r="AC30" s="45"/>
      <c r="AE30" s="17"/>
      <c r="AF30" s="17"/>
      <c r="AG30" s="17"/>
      <c r="AH30" s="18">
        <f>J30</f>
        <v>0</v>
      </c>
      <c r="AI30" s="19">
        <f>IF(AH$33=0,0,AH30/AH$33)</f>
        <v>0</v>
      </c>
      <c r="AK30" s="17"/>
      <c r="AL30" s="17"/>
      <c r="AM30" s="17"/>
      <c r="AN30" s="18">
        <f>K30</f>
        <v>0</v>
      </c>
      <c r="AO30" s="19">
        <f>IF(AN$33=0,0,AN30/AN$33)</f>
        <v>0</v>
      </c>
      <c r="AQ30" s="17"/>
      <c r="AR30" s="17"/>
      <c r="AS30" s="17"/>
      <c r="AT30" s="18">
        <f t="shared" ref="AT30:AT32" si="24">W30</f>
        <v>0</v>
      </c>
      <c r="AU30" s="19">
        <f>IF(AT$33=0,0,AT30/AT$33)</f>
        <v>0</v>
      </c>
      <c r="AW30" s="17"/>
      <c r="AX30" s="17"/>
      <c r="AY30" s="17"/>
      <c r="AZ30" s="424">
        <f>X30</f>
        <v>0</v>
      </c>
      <c r="BA30" s="19">
        <f>IF(AZ$33=0,0,AZ30/AZ$33)</f>
        <v>0</v>
      </c>
    </row>
    <row r="31" spans="1:53" ht="17.100000000000001" customHeight="1" x14ac:dyDescent="0.25">
      <c r="A31" s="40"/>
      <c r="B31" s="40"/>
      <c r="C31" s="74" t="s">
        <v>18</v>
      </c>
      <c r="D31" s="104" t="s">
        <v>610</v>
      </c>
      <c r="E31" s="75"/>
      <c r="F31" s="75"/>
      <c r="G31" s="76"/>
      <c r="H31" s="210"/>
      <c r="I31" s="229"/>
      <c r="J31" s="46"/>
      <c r="K31" s="46">
        <f>K15</f>
        <v>0</v>
      </c>
      <c r="L31" s="17"/>
      <c r="M31" s="17">
        <f t="shared" si="21"/>
        <v>0</v>
      </c>
      <c r="N31" s="111"/>
      <c r="O31" s="111"/>
      <c r="P31" s="111"/>
      <c r="Q31" s="111"/>
      <c r="R31" s="111"/>
      <c r="S31" s="111"/>
      <c r="T31" s="111"/>
      <c r="U31" s="111"/>
      <c r="V31" s="111"/>
      <c r="W31" s="391">
        <f t="shared" si="22"/>
        <v>0</v>
      </c>
      <c r="X31" s="17">
        <f t="shared" si="23"/>
        <v>0</v>
      </c>
      <c r="Y31" s="18">
        <f>SUM(W31:X31)</f>
        <v>0</v>
      </c>
      <c r="Z31" s="19">
        <f t="shared" ref="Z31:Z33" si="25">IF(Y$33=0,0,Y31/Y$33)</f>
        <v>0</v>
      </c>
      <c r="AA31" s="411"/>
      <c r="AB31" s="411"/>
      <c r="AC31" s="45"/>
      <c r="AE31" s="17"/>
      <c r="AF31" s="17"/>
      <c r="AG31" s="17"/>
      <c r="AH31" s="18">
        <f t="shared" ref="AH31:AH32" si="26">J31</f>
        <v>0</v>
      </c>
      <c r="AI31" s="19">
        <f>IF(AH$33=0,0,AH31/AH$33)</f>
        <v>0</v>
      </c>
      <c r="AK31" s="17"/>
      <c r="AL31" s="17"/>
      <c r="AM31" s="17"/>
      <c r="AN31" s="18">
        <f t="shared" ref="AN31:AN32" si="27">K31</f>
        <v>0</v>
      </c>
      <c r="AO31" s="19">
        <f>IF(AN$33=0,0,AN31/AN$33)</f>
        <v>0</v>
      </c>
      <c r="AQ31" s="17"/>
      <c r="AR31" s="17"/>
      <c r="AS31" s="17"/>
      <c r="AT31" s="18">
        <f t="shared" si="24"/>
        <v>0</v>
      </c>
      <c r="AU31" s="19">
        <f>IF(AT$33=0,0,AT31/AT$33)</f>
        <v>0</v>
      </c>
      <c r="AW31" s="17"/>
      <c r="AX31" s="17"/>
      <c r="AY31" s="17"/>
      <c r="AZ31" s="424">
        <f t="shared" ref="AZ31:AZ32" si="28">X31</f>
        <v>0</v>
      </c>
      <c r="BA31" s="19">
        <f>IF(AZ$33=0,0,AZ31/AZ$33)</f>
        <v>0</v>
      </c>
    </row>
    <row r="32" spans="1:53" ht="17.100000000000001" customHeight="1" x14ac:dyDescent="0.25">
      <c r="A32" s="40"/>
      <c r="B32" s="40"/>
      <c r="C32" s="74" t="s">
        <v>19</v>
      </c>
      <c r="D32" s="104" t="s">
        <v>611</v>
      </c>
      <c r="E32" s="75"/>
      <c r="F32" s="75"/>
      <c r="G32" s="76"/>
      <c r="H32" s="210"/>
      <c r="I32" s="229"/>
      <c r="J32" s="46"/>
      <c r="K32" s="46"/>
      <c r="L32" s="17">
        <f>L15</f>
        <v>0</v>
      </c>
      <c r="M32" s="17">
        <f t="shared" si="21"/>
        <v>0</v>
      </c>
      <c r="N32" s="111"/>
      <c r="O32" s="111"/>
      <c r="P32" s="111"/>
      <c r="Q32" s="111"/>
      <c r="R32" s="111"/>
      <c r="S32" s="111"/>
      <c r="T32" s="111"/>
      <c r="U32" s="111"/>
      <c r="V32" s="111"/>
      <c r="W32" s="391">
        <f t="shared" si="22"/>
        <v>0</v>
      </c>
      <c r="X32" s="17">
        <f t="shared" si="23"/>
        <v>0</v>
      </c>
      <c r="Y32" s="18">
        <f>SUM(W32:X32)</f>
        <v>0</v>
      </c>
      <c r="Z32" s="19">
        <f t="shared" si="25"/>
        <v>0</v>
      </c>
      <c r="AA32" s="411"/>
      <c r="AB32" s="411"/>
      <c r="AC32" s="45"/>
      <c r="AE32" s="17"/>
      <c r="AF32" s="17"/>
      <c r="AG32" s="17"/>
      <c r="AH32" s="18">
        <f t="shared" si="26"/>
        <v>0</v>
      </c>
      <c r="AI32" s="19">
        <f>IF(AH$33=0,0,AH32/AH$33)</f>
        <v>0</v>
      </c>
      <c r="AK32" s="17"/>
      <c r="AL32" s="17"/>
      <c r="AM32" s="17"/>
      <c r="AN32" s="18">
        <f t="shared" si="27"/>
        <v>0</v>
      </c>
      <c r="AO32" s="19">
        <f>IF(AN$33=0,0,AN32/AN$33)</f>
        <v>0</v>
      </c>
      <c r="AQ32" s="17"/>
      <c r="AR32" s="17"/>
      <c r="AS32" s="17"/>
      <c r="AT32" s="18">
        <f t="shared" si="24"/>
        <v>0</v>
      </c>
      <c r="AU32" s="19">
        <f>IF(AT$33=0,0,AT32/AT$33)</f>
        <v>0</v>
      </c>
      <c r="AW32" s="17"/>
      <c r="AX32" s="17"/>
      <c r="AY32" s="17"/>
      <c r="AZ32" s="424">
        <f t="shared" si="28"/>
        <v>0</v>
      </c>
      <c r="BA32" s="19">
        <f>IF(AZ$33=0,0,AZ32/AZ$33)</f>
        <v>0</v>
      </c>
    </row>
    <row r="33" spans="1:53" ht="17.100000000000001" customHeight="1" x14ac:dyDescent="0.25">
      <c r="A33" s="40"/>
      <c r="B33" s="40"/>
      <c r="C33" s="77"/>
      <c r="D33" s="78"/>
      <c r="E33" s="78"/>
      <c r="F33" s="78"/>
      <c r="G33" s="79"/>
      <c r="H33" s="217"/>
      <c r="I33" s="230"/>
      <c r="J33" s="80">
        <f>SUM(J30:J32)</f>
        <v>0</v>
      </c>
      <c r="K33" s="80">
        <f t="shared" ref="K33:M33" si="29">SUM(K30:K32)</f>
        <v>0</v>
      </c>
      <c r="L33" s="80">
        <f t="shared" si="29"/>
        <v>0</v>
      </c>
      <c r="M33" s="80">
        <f t="shared" si="29"/>
        <v>0</v>
      </c>
      <c r="N33" s="81"/>
      <c r="O33" s="81"/>
      <c r="P33" s="81"/>
      <c r="Q33" s="81"/>
      <c r="R33" s="81"/>
      <c r="S33" s="81"/>
      <c r="T33" s="81"/>
      <c r="U33" s="81"/>
      <c r="V33" s="81"/>
      <c r="W33" s="381">
        <f>SUM(W30:W32)</f>
        <v>0</v>
      </c>
      <c r="X33" s="82">
        <f t="shared" ref="X33:Y33" si="30">SUM(X30:X32)</f>
        <v>0</v>
      </c>
      <c r="Y33" s="82">
        <f t="shared" si="30"/>
        <v>0</v>
      </c>
      <c r="Z33" s="205">
        <f t="shared" si="25"/>
        <v>0</v>
      </c>
      <c r="AA33" s="205"/>
      <c r="AB33" s="205"/>
      <c r="AC33" s="83"/>
      <c r="AE33" s="107"/>
      <c r="AF33" s="107"/>
      <c r="AG33" s="107"/>
      <c r="AH33" s="82">
        <f>SUM(AH30:AH32)</f>
        <v>0</v>
      </c>
      <c r="AI33" s="66">
        <f>IF(AH$33=0,0,AH33/AH$33)</f>
        <v>0</v>
      </c>
      <c r="AK33" s="107"/>
      <c r="AL33" s="107"/>
      <c r="AM33" s="107"/>
      <c r="AN33" s="82">
        <f>SUM(AN30:AN32)</f>
        <v>0</v>
      </c>
      <c r="AO33" s="66">
        <f>IF(AN$33=0,0,AN33/AN$33)</f>
        <v>0</v>
      </c>
      <c r="AQ33" s="107"/>
      <c r="AR33" s="107"/>
      <c r="AS33" s="107"/>
      <c r="AT33" s="82">
        <f>SUM(AT30:AT32)</f>
        <v>0</v>
      </c>
      <c r="AU33" s="66">
        <f>IF(AT$33=0,0,AT33/AT$33)</f>
        <v>0</v>
      </c>
      <c r="AW33" s="107"/>
      <c r="AX33" s="107"/>
      <c r="AY33" s="107"/>
      <c r="AZ33" s="82">
        <f>SUM(AZ30:AZ32)</f>
        <v>0</v>
      </c>
      <c r="BA33" s="66">
        <f>IF(AZ$33=0,0,AZ33/AZ$33)</f>
        <v>0</v>
      </c>
    </row>
    <row r="34" spans="1:53" s="97" customFormat="1" ht="17.100000000000001" customHeight="1" x14ac:dyDescent="0.25">
      <c r="A34" s="68"/>
      <c r="B34" s="68"/>
      <c r="C34" s="92"/>
      <c r="D34" s="93"/>
      <c r="E34" s="93"/>
      <c r="F34" s="93"/>
      <c r="G34" s="93"/>
      <c r="H34" s="12"/>
      <c r="I34" s="12"/>
      <c r="J34" s="109"/>
      <c r="K34" s="109"/>
      <c r="L34" s="109"/>
      <c r="M34" s="109"/>
      <c r="N34" s="109"/>
      <c r="O34" s="109"/>
      <c r="P34" s="109"/>
      <c r="Q34" s="109"/>
      <c r="R34" s="109"/>
      <c r="S34" s="109"/>
      <c r="T34" s="109"/>
      <c r="U34" s="109"/>
      <c r="V34" s="109"/>
      <c r="W34" s="109"/>
      <c r="X34" s="109"/>
      <c r="Y34" s="109"/>
      <c r="AQ34" s="109"/>
      <c r="AR34" s="109"/>
      <c r="AS34" s="109"/>
      <c r="AT34" s="96"/>
    </row>
    <row r="35" spans="1:53" s="32" customFormat="1" ht="16.5" thickBot="1" x14ac:dyDescent="0.3">
      <c r="A35" s="24" t="s">
        <v>20</v>
      </c>
      <c r="B35" s="25" t="s">
        <v>21</v>
      </c>
      <c r="C35" s="26"/>
      <c r="D35" s="27"/>
      <c r="E35" s="27"/>
      <c r="F35" s="27"/>
      <c r="G35" s="28"/>
      <c r="H35" s="28"/>
      <c r="I35" s="228"/>
      <c r="J35" s="101"/>
      <c r="K35" s="101"/>
      <c r="L35" s="101"/>
      <c r="M35" s="101"/>
      <c r="N35" s="101"/>
      <c r="O35" s="101"/>
      <c r="P35" s="101"/>
      <c r="Q35" s="101"/>
      <c r="R35" s="101"/>
      <c r="S35" s="101"/>
      <c r="T35" s="101"/>
      <c r="U35" s="101"/>
      <c r="V35" s="101"/>
      <c r="W35" s="101"/>
      <c r="X35" s="101"/>
      <c r="Y35" s="415" t="s">
        <v>4</v>
      </c>
      <c r="Z35" s="31" t="s">
        <v>5</v>
      </c>
      <c r="AA35" s="31" t="s">
        <v>181</v>
      </c>
      <c r="AB35" s="31" t="s">
        <v>182</v>
      </c>
      <c r="AC35" s="31" t="s">
        <v>6</v>
      </c>
      <c r="AE35" s="33" t="s">
        <v>181</v>
      </c>
      <c r="AF35" s="33" t="s">
        <v>182</v>
      </c>
      <c r="AG35" s="33" t="s">
        <v>6</v>
      </c>
      <c r="AH35" s="33" t="s">
        <v>4</v>
      </c>
      <c r="AI35" s="34" t="s">
        <v>5</v>
      </c>
      <c r="AK35" s="36" t="s">
        <v>181</v>
      </c>
      <c r="AL35" s="36" t="s">
        <v>182</v>
      </c>
      <c r="AM35" s="36" t="s">
        <v>6</v>
      </c>
      <c r="AN35" s="36" t="s">
        <v>4</v>
      </c>
      <c r="AO35" s="37" t="s">
        <v>5</v>
      </c>
      <c r="AQ35" s="36"/>
      <c r="AR35" s="36"/>
      <c r="AS35" s="36"/>
      <c r="AT35" s="36"/>
      <c r="AU35" s="37"/>
      <c r="AW35" s="38" t="s">
        <v>181</v>
      </c>
      <c r="AX35" s="38" t="s">
        <v>182</v>
      </c>
      <c r="AY35" s="38" t="s">
        <v>6</v>
      </c>
      <c r="AZ35" s="38" t="s">
        <v>4</v>
      </c>
      <c r="BA35" s="39" t="s">
        <v>5</v>
      </c>
    </row>
    <row r="36" spans="1:53" ht="17.100000000000001" customHeight="1" x14ac:dyDescent="0.25">
      <c r="A36" s="119"/>
      <c r="B36" s="41" t="s">
        <v>22</v>
      </c>
      <c r="C36" s="332" t="s">
        <v>23</v>
      </c>
      <c r="D36" s="50"/>
      <c r="E36" s="70"/>
      <c r="F36" s="70"/>
      <c r="G36" s="70"/>
      <c r="H36" s="589">
        <v>9</v>
      </c>
      <c r="J36" s="71"/>
      <c r="K36" s="71"/>
      <c r="L36" s="71"/>
      <c r="M36" s="71"/>
      <c r="N36" s="71"/>
      <c r="O36" s="71"/>
      <c r="P36" s="71"/>
      <c r="Q36" s="71"/>
      <c r="R36" s="71"/>
      <c r="S36" s="71"/>
      <c r="T36" s="71"/>
      <c r="U36" s="71"/>
      <c r="V36" s="355"/>
      <c r="W36" s="377"/>
      <c r="X36" s="71"/>
      <c r="Y36" s="72"/>
      <c r="Z36" s="73"/>
      <c r="AA36" s="73"/>
      <c r="AB36" s="73"/>
      <c r="AC36" s="73"/>
      <c r="AE36" s="71"/>
      <c r="AF36" s="71"/>
      <c r="AG36" s="71"/>
      <c r="AH36" s="72"/>
      <c r="AI36" s="73"/>
      <c r="AJ36" s="117"/>
      <c r="AK36" s="71"/>
      <c r="AL36" s="71"/>
      <c r="AM36" s="71"/>
      <c r="AN36" s="72"/>
      <c r="AO36" s="73"/>
      <c r="AP36" s="117"/>
      <c r="AQ36" s="71"/>
      <c r="AR36" s="71"/>
      <c r="AS36" s="71"/>
      <c r="AT36" s="72"/>
      <c r="AU36" s="73"/>
      <c r="AV36" s="117"/>
      <c r="AW36" s="71"/>
      <c r="AX36" s="71"/>
      <c r="AY36" s="71"/>
      <c r="AZ36" s="273"/>
      <c r="BA36" s="73"/>
    </row>
    <row r="37" spans="1:53" ht="17.100000000000001" customHeight="1" x14ac:dyDescent="0.25">
      <c r="A37" s="119"/>
      <c r="B37" s="647"/>
      <c r="C37" s="103" t="s">
        <v>631</v>
      </c>
      <c r="D37" s="313" t="s">
        <v>658</v>
      </c>
      <c r="E37" s="108"/>
      <c r="F37" s="108"/>
      <c r="G37" s="108"/>
      <c r="H37" s="119"/>
      <c r="J37" s="111"/>
      <c r="K37" s="111"/>
      <c r="L37" s="111"/>
      <c r="M37" s="111"/>
      <c r="N37" s="111"/>
      <c r="O37" s="111"/>
      <c r="P37" s="111"/>
      <c r="Q37" s="111"/>
      <c r="R37" s="111"/>
      <c r="S37" s="111"/>
      <c r="T37" s="111"/>
      <c r="U37" s="111"/>
      <c r="V37" s="358"/>
      <c r="W37" s="380"/>
      <c r="X37" s="111"/>
      <c r="Y37" s="112"/>
      <c r="Z37" s="113"/>
      <c r="AA37" s="113"/>
      <c r="AB37" s="113"/>
      <c r="AC37" s="113"/>
      <c r="AE37" s="111"/>
      <c r="AF37" s="111"/>
      <c r="AG37" s="111"/>
      <c r="AH37" s="112"/>
      <c r="AI37" s="113"/>
      <c r="AJ37" s="117"/>
      <c r="AK37" s="111"/>
      <c r="AL37" s="111"/>
      <c r="AM37" s="111"/>
      <c r="AN37" s="112"/>
      <c r="AO37" s="113"/>
      <c r="AP37" s="117"/>
      <c r="AQ37" s="111"/>
      <c r="AR37" s="111"/>
      <c r="AS37" s="111"/>
      <c r="AT37" s="112"/>
      <c r="AU37" s="113"/>
      <c r="AV37" s="117"/>
      <c r="AW37" s="111"/>
      <c r="AX37" s="111"/>
      <c r="AY37" s="111"/>
      <c r="AZ37" s="114"/>
      <c r="BA37" s="113"/>
    </row>
    <row r="38" spans="1:53" ht="17.100000000000001" customHeight="1" x14ac:dyDescent="0.25">
      <c r="A38" s="47"/>
      <c r="B38" s="55"/>
      <c r="C38" s="56"/>
      <c r="D38" s="120" t="s">
        <v>632</v>
      </c>
      <c r="E38" s="58" t="s">
        <v>659</v>
      </c>
      <c r="F38" s="58"/>
      <c r="G38" s="59"/>
      <c r="H38" s="216"/>
      <c r="I38" s="229"/>
      <c r="J38" s="174"/>
      <c r="K38" s="174"/>
      <c r="L38" s="111"/>
      <c r="M38" s="111"/>
      <c r="N38" s="60"/>
      <c r="O38" s="60">
        <v>1</v>
      </c>
      <c r="P38" s="17">
        <f>SUM(N38:O38)</f>
        <v>1</v>
      </c>
      <c r="Q38" s="60"/>
      <c r="R38" s="60"/>
      <c r="S38" s="17">
        <f>SUM(Q38:R38)</f>
        <v>0</v>
      </c>
      <c r="T38" s="60"/>
      <c r="U38" s="60"/>
      <c r="V38" s="17">
        <f>SUM(T38:U38)</f>
        <v>0</v>
      </c>
      <c r="W38" s="391">
        <f t="shared" ref="W38:W40" si="31">J38+K38+N38+Q38+T38</f>
        <v>0</v>
      </c>
      <c r="X38" s="17">
        <f t="shared" ref="X38:X40" si="32">L38+O38+R38+U38</f>
        <v>1</v>
      </c>
      <c r="Y38" s="18">
        <f>SUM(W38:X38)</f>
        <v>1</v>
      </c>
      <c r="Z38" s="19">
        <f>IF(Y$41=0,0,Y38/Y$41)</f>
        <v>9.0909090909090912E-2</v>
      </c>
      <c r="AA38" s="19"/>
      <c r="AB38" s="19"/>
      <c r="AC38" s="20"/>
      <c r="AE38" s="111"/>
      <c r="AF38" s="111"/>
      <c r="AG38" s="111"/>
      <c r="AH38" s="651"/>
      <c r="AI38" s="131"/>
      <c r="AJ38" s="117"/>
      <c r="AK38" s="111"/>
      <c r="AL38" s="111"/>
      <c r="AM38" s="111"/>
      <c r="AN38" s="651"/>
      <c r="AO38" s="131"/>
      <c r="AP38" s="117"/>
      <c r="AQ38" s="17"/>
      <c r="AR38" s="17"/>
      <c r="AS38" s="17"/>
      <c r="AT38" s="18">
        <f>W38</f>
        <v>0</v>
      </c>
      <c r="AU38" s="19">
        <f>IF(AT$41=0,0,AT38/AT$41)</f>
        <v>0</v>
      </c>
      <c r="AV38" s="117"/>
      <c r="AW38" s="17"/>
      <c r="AX38" s="17"/>
      <c r="AY38" s="17"/>
      <c r="AZ38" s="424">
        <f>X38</f>
        <v>1</v>
      </c>
      <c r="BA38" s="19">
        <f>IF(AZ$41=0,0,AZ38/AZ$41)</f>
        <v>0.14285714285714285</v>
      </c>
    </row>
    <row r="39" spans="1:53" ht="17.100000000000001" customHeight="1" x14ac:dyDescent="0.25">
      <c r="A39" s="47"/>
      <c r="B39" s="55"/>
      <c r="C39" s="56"/>
      <c r="D39" s="120" t="s">
        <v>633</v>
      </c>
      <c r="E39" s="58" t="s">
        <v>634</v>
      </c>
      <c r="F39" s="58"/>
      <c r="G39" s="59"/>
      <c r="H39" s="216"/>
      <c r="I39" s="229"/>
      <c r="J39" s="174"/>
      <c r="K39" s="174"/>
      <c r="L39" s="111"/>
      <c r="M39" s="111"/>
      <c r="N39" s="61"/>
      <c r="O39" s="61"/>
      <c r="P39" s="17">
        <f t="shared" ref="P39:P40" si="33">SUM(N39:O39)</f>
        <v>0</v>
      </c>
      <c r="Q39" s="61"/>
      <c r="R39" s="61"/>
      <c r="S39" s="17">
        <f t="shared" ref="S39:S40" si="34">SUM(Q39:R39)</f>
        <v>0</v>
      </c>
      <c r="T39" s="61"/>
      <c r="U39" s="61"/>
      <c r="V39" s="17">
        <f t="shared" ref="V39:V40" si="35">SUM(T39:U39)</f>
        <v>0</v>
      </c>
      <c r="W39" s="391">
        <f t="shared" si="31"/>
        <v>0</v>
      </c>
      <c r="X39" s="17">
        <f t="shared" si="32"/>
        <v>0</v>
      </c>
      <c r="Y39" s="18">
        <f>SUM(W39:X39)</f>
        <v>0</v>
      </c>
      <c r="Z39" s="19">
        <f>IF(Y$41=0,0,Y39/Y$41)</f>
        <v>0</v>
      </c>
      <c r="AA39" s="19"/>
      <c r="AB39" s="19"/>
      <c r="AC39" s="20"/>
      <c r="AE39" s="111"/>
      <c r="AF39" s="111"/>
      <c r="AG39" s="111"/>
      <c r="AH39" s="651"/>
      <c r="AI39" s="131"/>
      <c r="AJ39" s="117"/>
      <c r="AK39" s="111"/>
      <c r="AL39" s="111"/>
      <c r="AM39" s="111"/>
      <c r="AN39" s="651"/>
      <c r="AO39" s="131"/>
      <c r="AP39" s="117"/>
      <c r="AQ39" s="17"/>
      <c r="AR39" s="17"/>
      <c r="AS39" s="17"/>
      <c r="AT39" s="18">
        <f>W39</f>
        <v>0</v>
      </c>
      <c r="AU39" s="19">
        <f>IF(AT$41=0,0,AT39/AT$41)</f>
        <v>0</v>
      </c>
      <c r="AV39" s="117"/>
      <c r="AW39" s="17"/>
      <c r="AX39" s="17"/>
      <c r="AY39" s="17"/>
      <c r="AZ39" s="424">
        <f>X39</f>
        <v>0</v>
      </c>
      <c r="BA39" s="19">
        <f>IF(AZ$41=0,0,AZ39/AZ$41)</f>
        <v>0</v>
      </c>
    </row>
    <row r="40" spans="1:53" ht="17.100000000000001" customHeight="1" x14ac:dyDescent="0.25">
      <c r="A40" s="47"/>
      <c r="B40" s="55"/>
      <c r="C40" s="56"/>
      <c r="D40" s="120" t="s">
        <v>744</v>
      </c>
      <c r="E40" s="58" t="s">
        <v>745</v>
      </c>
      <c r="F40" s="58"/>
      <c r="G40" s="59"/>
      <c r="H40" s="216"/>
      <c r="I40" s="229"/>
      <c r="J40" s="174"/>
      <c r="K40" s="174"/>
      <c r="L40" s="111"/>
      <c r="M40" s="111"/>
      <c r="N40" s="60">
        <v>4</v>
      </c>
      <c r="O40" s="60">
        <v>6</v>
      </c>
      <c r="P40" s="17">
        <f t="shared" si="33"/>
        <v>10</v>
      </c>
      <c r="Q40" s="60"/>
      <c r="R40" s="60"/>
      <c r="S40" s="17">
        <f t="shared" si="34"/>
        <v>0</v>
      </c>
      <c r="T40" s="60"/>
      <c r="U40" s="60"/>
      <c r="V40" s="17">
        <f t="shared" si="35"/>
        <v>0</v>
      </c>
      <c r="W40" s="391">
        <f t="shared" si="31"/>
        <v>4</v>
      </c>
      <c r="X40" s="17">
        <f t="shared" si="32"/>
        <v>6</v>
      </c>
      <c r="Y40" s="18">
        <f>SUM(W40:X40)</f>
        <v>10</v>
      </c>
      <c r="Z40" s="19">
        <f>IF(Y$41=0,0,Y40/Y$41)</f>
        <v>0.90909090909090906</v>
      </c>
      <c r="AA40" s="19"/>
      <c r="AB40" s="19"/>
      <c r="AC40" s="20"/>
      <c r="AE40" s="111"/>
      <c r="AF40" s="111"/>
      <c r="AG40" s="111"/>
      <c r="AH40" s="651"/>
      <c r="AI40" s="131"/>
      <c r="AJ40" s="117"/>
      <c r="AK40" s="111"/>
      <c r="AL40" s="111"/>
      <c r="AM40" s="111"/>
      <c r="AN40" s="651"/>
      <c r="AO40" s="131"/>
      <c r="AP40" s="117"/>
      <c r="AQ40" s="17"/>
      <c r="AR40" s="17"/>
      <c r="AS40" s="17"/>
      <c r="AT40" s="18">
        <f>W40</f>
        <v>4</v>
      </c>
      <c r="AU40" s="19">
        <f>IF(AT$41=0,0,AT40/AT$41)</f>
        <v>1</v>
      </c>
      <c r="AV40" s="117"/>
      <c r="AW40" s="17"/>
      <c r="AX40" s="17"/>
      <c r="AY40" s="17"/>
      <c r="AZ40" s="424">
        <f>X40</f>
        <v>6</v>
      </c>
      <c r="BA40" s="19">
        <f>IF(AZ$41=0,0,AZ40/AZ$41)</f>
        <v>0.8571428571428571</v>
      </c>
    </row>
    <row r="41" spans="1:53" ht="17.100000000000001" customHeight="1" x14ac:dyDescent="0.25">
      <c r="A41" s="40"/>
      <c r="B41" s="40"/>
      <c r="C41" s="77"/>
      <c r="D41" s="78"/>
      <c r="E41" s="78"/>
      <c r="F41" s="78"/>
      <c r="G41" s="78"/>
      <c r="H41" s="242"/>
      <c r="I41" s="230"/>
      <c r="J41" s="80"/>
      <c r="K41" s="80"/>
      <c r="L41" s="80"/>
      <c r="M41" s="80"/>
      <c r="N41" s="64">
        <f>SUM(N38:N40)</f>
        <v>4</v>
      </c>
      <c r="O41" s="64">
        <f t="shared" ref="O41:V41" si="36">SUM(O38:O40)</f>
        <v>7</v>
      </c>
      <c r="P41" s="64">
        <f t="shared" si="36"/>
        <v>11</v>
      </c>
      <c r="Q41" s="64">
        <f t="shared" si="36"/>
        <v>0</v>
      </c>
      <c r="R41" s="64">
        <f t="shared" si="36"/>
        <v>0</v>
      </c>
      <c r="S41" s="64">
        <f t="shared" si="36"/>
        <v>0</v>
      </c>
      <c r="T41" s="64">
        <f t="shared" si="36"/>
        <v>0</v>
      </c>
      <c r="U41" s="64">
        <f t="shared" si="36"/>
        <v>0</v>
      </c>
      <c r="V41" s="64">
        <f t="shared" si="36"/>
        <v>0</v>
      </c>
      <c r="W41" s="381">
        <f>SUM(W38:W40)</f>
        <v>4</v>
      </c>
      <c r="X41" s="82">
        <f t="shared" ref="X41:Y41" si="37">SUM(X38:X40)</f>
        <v>7</v>
      </c>
      <c r="Y41" s="82">
        <f t="shared" si="37"/>
        <v>11</v>
      </c>
      <c r="Z41" s="205">
        <f>IF(Y$41=0,0,Y41/Y$41)</f>
        <v>1</v>
      </c>
      <c r="AA41" s="205"/>
      <c r="AB41" s="205"/>
      <c r="AC41" s="83"/>
      <c r="AE41" s="81"/>
      <c r="AF41" s="81"/>
      <c r="AG41" s="81"/>
      <c r="AH41" s="82"/>
      <c r="AI41" s="66"/>
      <c r="AJ41" s="117"/>
      <c r="AK41" s="81"/>
      <c r="AL41" s="81"/>
      <c r="AM41" s="81"/>
      <c r="AN41" s="82"/>
      <c r="AO41" s="66"/>
      <c r="AP41" s="117"/>
      <c r="AQ41" s="81"/>
      <c r="AR41" s="81"/>
      <c r="AS41" s="81"/>
      <c r="AT41" s="82">
        <f>SUM(AT38:AT40)</f>
        <v>4</v>
      </c>
      <c r="AU41" s="66">
        <f>IF(AT$41=0,0,AT41/AT$41)</f>
        <v>1</v>
      </c>
      <c r="AV41" s="117"/>
      <c r="AW41" s="81"/>
      <c r="AX41" s="81"/>
      <c r="AY41" s="81"/>
      <c r="AZ41" s="82">
        <f>SUM(AZ38:AZ40)</f>
        <v>7</v>
      </c>
      <c r="BA41" s="66">
        <f>IF(AZ$41=0,0,AZ41/AZ$41)</f>
        <v>1</v>
      </c>
    </row>
    <row r="42" spans="1:53" s="117" customFormat="1" ht="17.100000000000001" customHeight="1" x14ac:dyDescent="0.25">
      <c r="A42" s="119"/>
      <c r="B42" s="119"/>
      <c r="C42" s="647"/>
      <c r="D42" s="212"/>
      <c r="E42" s="212"/>
      <c r="F42" s="212"/>
      <c r="G42" s="212"/>
      <c r="H42" s="242"/>
      <c r="I42" s="230"/>
      <c r="J42" s="17"/>
      <c r="K42" s="17"/>
      <c r="L42" s="17"/>
      <c r="M42" s="17"/>
      <c r="N42" s="17" t="str">
        <f>IF(N41=N$20,"OK","NOK")</f>
        <v>OK</v>
      </c>
      <c r="O42" s="17" t="str">
        <f>IF(O41=O$20,"OK","NOK")</f>
        <v>OK</v>
      </c>
      <c r="P42" s="17"/>
      <c r="Q42" s="17" t="str">
        <f>IF(Q41=Q$20,"OK","NOK")</f>
        <v>OK</v>
      </c>
      <c r="R42" s="17" t="str">
        <f>IF(R41=R$20,"OK","NOK")</f>
        <v>OK</v>
      </c>
      <c r="S42" s="17"/>
      <c r="T42" s="17" t="str">
        <f>IF(T41=T$20,"OK","NOK")</f>
        <v>OK</v>
      </c>
      <c r="U42" s="17" t="str">
        <f>IF(U41=U$20,"OK","NOK")</f>
        <v>OK</v>
      </c>
      <c r="V42" s="359"/>
      <c r="W42" s="395">
        <f>IF($Y$41=0,0,W41/$Y$41)</f>
        <v>0.36363636363636365</v>
      </c>
      <c r="X42" s="91">
        <f>IF($Y$41=0,0,X41/$Y$41)</f>
        <v>0.63636363636363635</v>
      </c>
      <c r="Y42" s="91">
        <f>IF($Y$41=0,0,Y41/$Y$41)</f>
        <v>1</v>
      </c>
      <c r="Z42" s="201"/>
      <c r="AA42" s="201"/>
      <c r="AB42" s="201"/>
      <c r="AC42" s="84"/>
      <c r="AE42" s="17"/>
      <c r="AF42" s="17"/>
      <c r="AG42" s="17"/>
      <c r="AH42" s="646"/>
      <c r="AI42" s="91"/>
      <c r="AK42" s="17"/>
      <c r="AL42" s="17"/>
      <c r="AM42" s="17"/>
      <c r="AN42" s="646"/>
      <c r="AO42" s="91"/>
      <c r="AQ42" s="17"/>
      <c r="AR42" s="17"/>
      <c r="AS42" s="17"/>
      <c r="AT42" s="646"/>
      <c r="AU42" s="91"/>
      <c r="AW42" s="17"/>
      <c r="AX42" s="17"/>
      <c r="AY42" s="17"/>
      <c r="AZ42" s="17"/>
      <c r="BA42" s="91"/>
    </row>
    <row r="43" spans="1:53" ht="17.100000000000001" customHeight="1" x14ac:dyDescent="0.25">
      <c r="A43" s="68"/>
      <c r="B43" s="647"/>
      <c r="C43" s="103" t="s">
        <v>24</v>
      </c>
      <c r="D43" s="110" t="s">
        <v>373</v>
      </c>
      <c r="E43" s="108"/>
      <c r="F43" s="108"/>
      <c r="G43" s="108"/>
      <c r="H43" s="119"/>
      <c r="J43" s="111"/>
      <c r="K43" s="111"/>
      <c r="L43" s="111"/>
      <c r="M43" s="111"/>
      <c r="N43" s="111"/>
      <c r="O43" s="111"/>
      <c r="P43" s="111"/>
      <c r="Q43" s="111"/>
      <c r="R43" s="111"/>
      <c r="S43" s="111"/>
      <c r="T43" s="111"/>
      <c r="U43" s="111"/>
      <c r="V43" s="111"/>
      <c r="W43" s="111"/>
      <c r="X43" s="111"/>
      <c r="Y43" s="111"/>
      <c r="Z43" s="113"/>
      <c r="AA43" s="113"/>
      <c r="AB43" s="113"/>
      <c r="AC43" s="113"/>
      <c r="AE43" s="111"/>
      <c r="AF43" s="111"/>
      <c r="AG43" s="111"/>
      <c r="AH43" s="112"/>
      <c r="AI43" s="113"/>
      <c r="AK43" s="111"/>
      <c r="AL43" s="111"/>
      <c r="AM43" s="111"/>
      <c r="AN43" s="112"/>
      <c r="AO43" s="113"/>
      <c r="AQ43" s="111"/>
      <c r="AR43" s="111"/>
      <c r="AS43" s="111"/>
      <c r="AT43" s="112"/>
      <c r="AU43" s="113"/>
      <c r="AW43" s="111"/>
      <c r="AX43" s="111"/>
      <c r="AY43" s="111"/>
      <c r="AZ43" s="114"/>
      <c r="BA43" s="113"/>
    </row>
    <row r="44" spans="1:53" ht="17.100000000000001" customHeight="1" x14ac:dyDescent="0.25">
      <c r="A44" s="68"/>
      <c r="B44" s="647"/>
      <c r="C44" s="23"/>
      <c r="D44" s="202" t="s">
        <v>25</v>
      </c>
      <c r="E44" s="85" t="s">
        <v>384</v>
      </c>
      <c r="F44" s="75"/>
      <c r="G44" s="75"/>
      <c r="H44" s="119"/>
      <c r="J44" s="581"/>
      <c r="K44" s="581"/>
      <c r="L44" s="582"/>
      <c r="M44" s="593">
        <f>SUM(J44:L44)</f>
        <v>0</v>
      </c>
      <c r="N44" s="111"/>
      <c r="O44" s="111"/>
      <c r="P44" s="111"/>
      <c r="Q44" s="111"/>
      <c r="R44" s="111"/>
      <c r="S44" s="111"/>
      <c r="T44" s="111"/>
      <c r="U44" s="111"/>
      <c r="V44" s="111"/>
      <c r="W44" s="391">
        <f t="shared" ref="W44:W57" si="38">J44+K44+N44+Q44+T44</f>
        <v>0</v>
      </c>
      <c r="X44" s="17">
        <f t="shared" ref="X44:X57" si="39">L44+O44+R44+U44</f>
        <v>0</v>
      </c>
      <c r="Y44" s="18">
        <f t="shared" ref="Y44:Y57" si="40">SUM(W44:X44)</f>
        <v>0</v>
      </c>
      <c r="Z44" s="19">
        <f>IF(Y$58=0,0,Y44/Y$58)</f>
        <v>0</v>
      </c>
      <c r="AA44" s="19"/>
      <c r="AB44" s="19"/>
      <c r="AC44" s="84"/>
      <c r="AE44" s="17"/>
      <c r="AF44" s="17"/>
      <c r="AG44" s="17"/>
      <c r="AH44" s="18">
        <f>J44</f>
        <v>0</v>
      </c>
      <c r="AI44" s="19">
        <f>IF(AH$58=0,0,AH44/AH$58)</f>
        <v>0</v>
      </c>
      <c r="AK44" s="17"/>
      <c r="AL44" s="17"/>
      <c r="AM44" s="17"/>
      <c r="AN44" s="18">
        <f>K44</f>
        <v>0</v>
      </c>
      <c r="AO44" s="19">
        <f>IF(AN$58=0,0,AN44/AN$58)</f>
        <v>0</v>
      </c>
      <c r="AQ44" s="17"/>
      <c r="AR44" s="17"/>
      <c r="AS44" s="17"/>
      <c r="AT44" s="18">
        <f t="shared" ref="AT44:AT57" si="41">W44</f>
        <v>0</v>
      </c>
      <c r="AU44" s="19">
        <f>IF(AT$58=0,0,AT44/AT$58)</f>
        <v>0</v>
      </c>
      <c r="AW44" s="17"/>
      <c r="AX44" s="17"/>
      <c r="AY44" s="17"/>
      <c r="AZ44" s="424">
        <f>X44</f>
        <v>0</v>
      </c>
      <c r="BA44" s="19">
        <f>IF(AZ$58=0,0,AZ44/AZ$58)</f>
        <v>0</v>
      </c>
    </row>
    <row r="45" spans="1:53" ht="17.100000000000001" customHeight="1" x14ac:dyDescent="0.25">
      <c r="A45" s="68"/>
      <c r="B45" s="647"/>
      <c r="C45" s="23"/>
      <c r="D45" s="202" t="s">
        <v>27</v>
      </c>
      <c r="E45" s="85" t="s">
        <v>385</v>
      </c>
      <c r="F45" s="75"/>
      <c r="G45" s="75"/>
      <c r="H45" s="119"/>
      <c r="J45" s="583"/>
      <c r="K45" s="583"/>
      <c r="L45" s="584"/>
      <c r="M45" s="593">
        <f t="shared" ref="M45:M57" si="42">SUM(J45:L45)</f>
        <v>0</v>
      </c>
      <c r="N45" s="111"/>
      <c r="O45" s="111"/>
      <c r="P45" s="111"/>
      <c r="Q45" s="111"/>
      <c r="R45" s="111"/>
      <c r="S45" s="111"/>
      <c r="T45" s="111"/>
      <c r="U45" s="111"/>
      <c r="V45" s="111"/>
      <c r="W45" s="391">
        <f t="shared" si="38"/>
        <v>0</v>
      </c>
      <c r="X45" s="17">
        <f t="shared" si="39"/>
        <v>0</v>
      </c>
      <c r="Y45" s="18">
        <f t="shared" si="40"/>
        <v>0</v>
      </c>
      <c r="Z45" s="19">
        <f t="shared" ref="Z45:Z58" si="43">IF(Y$58=0,0,Y45/Y$58)</f>
        <v>0</v>
      </c>
      <c r="AA45" s="19"/>
      <c r="AB45" s="19"/>
      <c r="AC45" s="84"/>
      <c r="AE45" s="17"/>
      <c r="AF45" s="17"/>
      <c r="AG45" s="17"/>
      <c r="AH45" s="18">
        <f t="shared" ref="AH45:AH57" si="44">J45</f>
        <v>0</v>
      </c>
      <c r="AI45" s="19">
        <f t="shared" ref="AI45:AI58" si="45">IF(AH$58=0,0,AH45/AH$58)</f>
        <v>0</v>
      </c>
      <c r="AK45" s="17"/>
      <c r="AL45" s="17"/>
      <c r="AM45" s="17"/>
      <c r="AN45" s="18">
        <f t="shared" ref="AN45:AN57" si="46">K45</f>
        <v>0</v>
      </c>
      <c r="AO45" s="19">
        <f t="shared" ref="AO45:AO58" si="47">IF(AN$58=0,0,AN45/AN$58)</f>
        <v>0</v>
      </c>
      <c r="AQ45" s="17"/>
      <c r="AR45" s="17"/>
      <c r="AS45" s="17"/>
      <c r="AT45" s="18">
        <f t="shared" si="41"/>
        <v>0</v>
      </c>
      <c r="AU45" s="19">
        <f t="shared" ref="AU45:AU58" si="48">IF(AT$58=0,0,AT45/AT$58)</f>
        <v>0</v>
      </c>
      <c r="AW45" s="17"/>
      <c r="AX45" s="17"/>
      <c r="AY45" s="17"/>
      <c r="AZ45" s="424">
        <f t="shared" ref="AZ45:AZ57" si="49">X45</f>
        <v>0</v>
      </c>
      <c r="BA45" s="19">
        <f t="shared" ref="BA45:BA58" si="50">IF(AZ$58=0,0,AZ45/AZ$58)</f>
        <v>0</v>
      </c>
    </row>
    <row r="46" spans="1:53" ht="17.100000000000001" customHeight="1" x14ac:dyDescent="0.25">
      <c r="A46" s="68"/>
      <c r="B46" s="647"/>
      <c r="C46" s="23"/>
      <c r="D46" s="202" t="s">
        <v>29</v>
      </c>
      <c r="E46" s="85" t="s">
        <v>386</v>
      </c>
      <c r="F46" s="75"/>
      <c r="G46" s="75"/>
      <c r="H46" s="119"/>
      <c r="J46" s="581"/>
      <c r="K46" s="581"/>
      <c r="L46" s="582"/>
      <c r="M46" s="593">
        <f t="shared" si="42"/>
        <v>0</v>
      </c>
      <c r="N46" s="111"/>
      <c r="O46" s="111"/>
      <c r="P46" s="111"/>
      <c r="Q46" s="111"/>
      <c r="R46" s="111"/>
      <c r="S46" s="111"/>
      <c r="T46" s="111"/>
      <c r="U46" s="111"/>
      <c r="V46" s="111"/>
      <c r="W46" s="391">
        <f t="shared" si="38"/>
        <v>0</v>
      </c>
      <c r="X46" s="17">
        <f t="shared" si="39"/>
        <v>0</v>
      </c>
      <c r="Y46" s="18">
        <f t="shared" si="40"/>
        <v>0</v>
      </c>
      <c r="Z46" s="19">
        <f t="shared" si="43"/>
        <v>0</v>
      </c>
      <c r="AA46" s="19"/>
      <c r="AB46" s="19"/>
      <c r="AC46" s="84"/>
      <c r="AE46" s="17"/>
      <c r="AF46" s="17"/>
      <c r="AG46" s="17"/>
      <c r="AH46" s="18">
        <f t="shared" si="44"/>
        <v>0</v>
      </c>
      <c r="AI46" s="19">
        <f t="shared" si="45"/>
        <v>0</v>
      </c>
      <c r="AK46" s="17"/>
      <c r="AL46" s="17"/>
      <c r="AM46" s="17"/>
      <c r="AN46" s="18">
        <f t="shared" si="46"/>
        <v>0</v>
      </c>
      <c r="AO46" s="19">
        <f t="shared" si="47"/>
        <v>0</v>
      </c>
      <c r="AQ46" s="17"/>
      <c r="AR46" s="17"/>
      <c r="AS46" s="17"/>
      <c r="AT46" s="18">
        <f t="shared" si="41"/>
        <v>0</v>
      </c>
      <c r="AU46" s="19">
        <f t="shared" si="48"/>
        <v>0</v>
      </c>
      <c r="AW46" s="17"/>
      <c r="AX46" s="17"/>
      <c r="AY46" s="17"/>
      <c r="AZ46" s="424">
        <f t="shared" si="49"/>
        <v>0</v>
      </c>
      <c r="BA46" s="19">
        <f t="shared" si="50"/>
        <v>0</v>
      </c>
    </row>
    <row r="47" spans="1:53" ht="17.100000000000001" customHeight="1" x14ac:dyDescent="0.25">
      <c r="A47" s="68"/>
      <c r="B47" s="647"/>
      <c r="C47" s="23"/>
      <c r="D47" s="202" t="s">
        <v>31</v>
      </c>
      <c r="E47" s="85" t="s">
        <v>533</v>
      </c>
      <c r="F47" s="75"/>
      <c r="G47" s="75"/>
      <c r="H47" s="119"/>
      <c r="J47" s="583"/>
      <c r="K47" s="583"/>
      <c r="L47" s="584"/>
      <c r="M47" s="593">
        <f t="shared" si="42"/>
        <v>0</v>
      </c>
      <c r="N47" s="111"/>
      <c r="O47" s="111"/>
      <c r="P47" s="111"/>
      <c r="Q47" s="111"/>
      <c r="R47" s="111"/>
      <c r="S47" s="111"/>
      <c r="T47" s="111"/>
      <c r="U47" s="111"/>
      <c r="V47" s="111"/>
      <c r="W47" s="391">
        <f t="shared" si="38"/>
        <v>0</v>
      </c>
      <c r="X47" s="17">
        <f t="shared" si="39"/>
        <v>0</v>
      </c>
      <c r="Y47" s="18">
        <f t="shared" si="40"/>
        <v>0</v>
      </c>
      <c r="Z47" s="19">
        <f t="shared" si="43"/>
        <v>0</v>
      </c>
      <c r="AA47" s="19"/>
      <c r="AB47" s="19"/>
      <c r="AC47" s="84"/>
      <c r="AE47" s="17"/>
      <c r="AF47" s="17"/>
      <c r="AG47" s="17"/>
      <c r="AH47" s="18">
        <f t="shared" si="44"/>
        <v>0</v>
      </c>
      <c r="AI47" s="19">
        <f t="shared" si="45"/>
        <v>0</v>
      </c>
      <c r="AK47" s="17"/>
      <c r="AL47" s="17"/>
      <c r="AM47" s="17"/>
      <c r="AN47" s="18">
        <f t="shared" si="46"/>
        <v>0</v>
      </c>
      <c r="AO47" s="19">
        <f t="shared" si="47"/>
        <v>0</v>
      </c>
      <c r="AQ47" s="17"/>
      <c r="AR47" s="17"/>
      <c r="AS47" s="17"/>
      <c r="AT47" s="18">
        <f t="shared" si="41"/>
        <v>0</v>
      </c>
      <c r="AU47" s="19">
        <f t="shared" si="48"/>
        <v>0</v>
      </c>
      <c r="AW47" s="17"/>
      <c r="AX47" s="17"/>
      <c r="AY47" s="17"/>
      <c r="AZ47" s="424">
        <f t="shared" si="49"/>
        <v>0</v>
      </c>
      <c r="BA47" s="19">
        <f t="shared" si="50"/>
        <v>0</v>
      </c>
    </row>
    <row r="48" spans="1:53" ht="17.100000000000001" customHeight="1" x14ac:dyDescent="0.25">
      <c r="A48" s="68"/>
      <c r="B48" s="647"/>
      <c r="C48" s="93"/>
      <c r="D48" s="202" t="s">
        <v>374</v>
      </c>
      <c r="E48" s="85" t="s">
        <v>534</v>
      </c>
      <c r="F48" s="75"/>
      <c r="G48" s="75"/>
      <c r="H48" s="119"/>
      <c r="J48" s="581"/>
      <c r="K48" s="581"/>
      <c r="L48" s="582"/>
      <c r="M48" s="593">
        <f t="shared" si="42"/>
        <v>0</v>
      </c>
      <c r="N48" s="111"/>
      <c r="O48" s="111"/>
      <c r="P48" s="111"/>
      <c r="Q48" s="111"/>
      <c r="R48" s="111"/>
      <c r="S48" s="111"/>
      <c r="T48" s="111"/>
      <c r="U48" s="111"/>
      <c r="V48" s="111"/>
      <c r="W48" s="391">
        <f t="shared" si="38"/>
        <v>0</v>
      </c>
      <c r="X48" s="17">
        <f t="shared" si="39"/>
        <v>0</v>
      </c>
      <c r="Y48" s="18">
        <f t="shared" si="40"/>
        <v>0</v>
      </c>
      <c r="Z48" s="19">
        <f t="shared" si="43"/>
        <v>0</v>
      </c>
      <c r="AA48" s="19"/>
      <c r="AB48" s="19"/>
      <c r="AC48" s="84"/>
      <c r="AE48" s="17"/>
      <c r="AF48" s="17"/>
      <c r="AG48" s="17"/>
      <c r="AH48" s="18">
        <f t="shared" si="44"/>
        <v>0</v>
      </c>
      <c r="AI48" s="19">
        <f t="shared" si="45"/>
        <v>0</v>
      </c>
      <c r="AK48" s="17"/>
      <c r="AL48" s="17"/>
      <c r="AM48" s="17"/>
      <c r="AN48" s="18">
        <f t="shared" si="46"/>
        <v>0</v>
      </c>
      <c r="AO48" s="19">
        <f t="shared" si="47"/>
        <v>0</v>
      </c>
      <c r="AQ48" s="17"/>
      <c r="AR48" s="17"/>
      <c r="AS48" s="17"/>
      <c r="AT48" s="18">
        <f t="shared" si="41"/>
        <v>0</v>
      </c>
      <c r="AU48" s="19">
        <f t="shared" si="48"/>
        <v>0</v>
      </c>
      <c r="AW48" s="17"/>
      <c r="AX48" s="17"/>
      <c r="AY48" s="17"/>
      <c r="AZ48" s="424">
        <f t="shared" si="49"/>
        <v>0</v>
      </c>
      <c r="BA48" s="19">
        <f t="shared" si="50"/>
        <v>0</v>
      </c>
    </row>
    <row r="49" spans="1:53" ht="17.100000000000001" customHeight="1" x14ac:dyDescent="0.25">
      <c r="A49" s="68"/>
      <c r="B49" s="647"/>
      <c r="C49" s="93"/>
      <c r="D49" s="202" t="s">
        <v>375</v>
      </c>
      <c r="E49" s="85" t="s">
        <v>535</v>
      </c>
      <c r="F49" s="75"/>
      <c r="G49" s="75"/>
      <c r="H49" s="119"/>
      <c r="J49" s="583"/>
      <c r="K49" s="583"/>
      <c r="L49" s="584"/>
      <c r="M49" s="593">
        <f t="shared" si="42"/>
        <v>0</v>
      </c>
      <c r="N49" s="111"/>
      <c r="O49" s="111"/>
      <c r="P49" s="111"/>
      <c r="Q49" s="111"/>
      <c r="R49" s="111"/>
      <c r="S49" s="111"/>
      <c r="T49" s="111"/>
      <c r="U49" s="111"/>
      <c r="V49" s="111"/>
      <c r="W49" s="391">
        <f t="shared" si="38"/>
        <v>0</v>
      </c>
      <c r="X49" s="17">
        <f t="shared" si="39"/>
        <v>0</v>
      </c>
      <c r="Y49" s="18">
        <f t="shared" si="40"/>
        <v>0</v>
      </c>
      <c r="Z49" s="19">
        <f t="shared" si="43"/>
        <v>0</v>
      </c>
      <c r="AA49" s="19"/>
      <c r="AB49" s="19"/>
      <c r="AC49" s="84"/>
      <c r="AE49" s="17"/>
      <c r="AF49" s="17"/>
      <c r="AG49" s="17"/>
      <c r="AH49" s="18">
        <f t="shared" si="44"/>
        <v>0</v>
      </c>
      <c r="AI49" s="19">
        <f t="shared" si="45"/>
        <v>0</v>
      </c>
      <c r="AK49" s="17"/>
      <c r="AL49" s="17"/>
      <c r="AM49" s="17"/>
      <c r="AN49" s="18">
        <f t="shared" si="46"/>
        <v>0</v>
      </c>
      <c r="AO49" s="19">
        <f t="shared" si="47"/>
        <v>0</v>
      </c>
      <c r="AQ49" s="17"/>
      <c r="AR49" s="17"/>
      <c r="AS49" s="17"/>
      <c r="AT49" s="18">
        <f t="shared" si="41"/>
        <v>0</v>
      </c>
      <c r="AU49" s="19">
        <f t="shared" si="48"/>
        <v>0</v>
      </c>
      <c r="AW49" s="17"/>
      <c r="AX49" s="17"/>
      <c r="AY49" s="17"/>
      <c r="AZ49" s="424">
        <f t="shared" si="49"/>
        <v>0</v>
      </c>
      <c r="BA49" s="19">
        <f t="shared" si="50"/>
        <v>0</v>
      </c>
    </row>
    <row r="50" spans="1:53" ht="17.100000000000001" customHeight="1" x14ac:dyDescent="0.25">
      <c r="A50" s="68"/>
      <c r="B50" s="647"/>
      <c r="C50" s="93"/>
      <c r="D50" s="202" t="s">
        <v>376</v>
      </c>
      <c r="E50" s="85" t="s">
        <v>387</v>
      </c>
      <c r="F50" s="75"/>
      <c r="G50" s="75"/>
      <c r="H50" s="119"/>
      <c r="J50" s="581"/>
      <c r="K50" s="581"/>
      <c r="L50" s="582"/>
      <c r="M50" s="593">
        <f t="shared" si="42"/>
        <v>0</v>
      </c>
      <c r="N50" s="111"/>
      <c r="O50" s="111"/>
      <c r="P50" s="111"/>
      <c r="Q50" s="111"/>
      <c r="R50" s="111"/>
      <c r="S50" s="111"/>
      <c r="T50" s="111"/>
      <c r="U50" s="111"/>
      <c r="V50" s="111"/>
      <c r="W50" s="391">
        <f t="shared" si="38"/>
        <v>0</v>
      </c>
      <c r="X50" s="17">
        <f t="shared" si="39"/>
        <v>0</v>
      </c>
      <c r="Y50" s="18">
        <f t="shared" si="40"/>
        <v>0</v>
      </c>
      <c r="Z50" s="19">
        <f t="shared" si="43"/>
        <v>0</v>
      </c>
      <c r="AA50" s="19"/>
      <c r="AB50" s="19"/>
      <c r="AC50" s="84"/>
      <c r="AE50" s="17"/>
      <c r="AF50" s="17"/>
      <c r="AG50" s="17"/>
      <c r="AH50" s="18">
        <f t="shared" si="44"/>
        <v>0</v>
      </c>
      <c r="AI50" s="19">
        <f t="shared" si="45"/>
        <v>0</v>
      </c>
      <c r="AK50" s="17"/>
      <c r="AL50" s="17"/>
      <c r="AM50" s="17"/>
      <c r="AN50" s="18">
        <f t="shared" si="46"/>
        <v>0</v>
      </c>
      <c r="AO50" s="19">
        <f t="shared" si="47"/>
        <v>0</v>
      </c>
      <c r="AQ50" s="17"/>
      <c r="AR50" s="17"/>
      <c r="AS50" s="17"/>
      <c r="AT50" s="18">
        <f t="shared" si="41"/>
        <v>0</v>
      </c>
      <c r="AU50" s="19">
        <f t="shared" si="48"/>
        <v>0</v>
      </c>
      <c r="AW50" s="17"/>
      <c r="AX50" s="17"/>
      <c r="AY50" s="17"/>
      <c r="AZ50" s="424">
        <f t="shared" si="49"/>
        <v>0</v>
      </c>
      <c r="BA50" s="19">
        <f t="shared" si="50"/>
        <v>0</v>
      </c>
    </row>
    <row r="51" spans="1:53" ht="17.100000000000001" customHeight="1" x14ac:dyDescent="0.25">
      <c r="A51" s="68"/>
      <c r="B51" s="647"/>
      <c r="C51" s="93"/>
      <c r="D51" s="202" t="s">
        <v>377</v>
      </c>
      <c r="E51" s="85" t="s">
        <v>388</v>
      </c>
      <c r="F51" s="75"/>
      <c r="G51" s="75"/>
      <c r="H51" s="119"/>
      <c r="J51" s="583"/>
      <c r="K51" s="583"/>
      <c r="L51" s="584"/>
      <c r="M51" s="593">
        <f t="shared" si="42"/>
        <v>0</v>
      </c>
      <c r="N51" s="111"/>
      <c r="O51" s="111"/>
      <c r="P51" s="111"/>
      <c r="Q51" s="111"/>
      <c r="R51" s="111"/>
      <c r="S51" s="111"/>
      <c r="T51" s="111"/>
      <c r="U51" s="111"/>
      <c r="V51" s="111"/>
      <c r="W51" s="391">
        <f t="shared" si="38"/>
        <v>0</v>
      </c>
      <c r="X51" s="17">
        <f t="shared" si="39"/>
        <v>0</v>
      </c>
      <c r="Y51" s="18">
        <f t="shared" si="40"/>
        <v>0</v>
      </c>
      <c r="Z51" s="19">
        <f t="shared" si="43"/>
        <v>0</v>
      </c>
      <c r="AA51" s="19"/>
      <c r="AB51" s="19"/>
      <c r="AC51" s="84"/>
      <c r="AE51" s="17"/>
      <c r="AF51" s="17"/>
      <c r="AG51" s="17"/>
      <c r="AH51" s="18">
        <f t="shared" si="44"/>
        <v>0</v>
      </c>
      <c r="AI51" s="19">
        <f t="shared" si="45"/>
        <v>0</v>
      </c>
      <c r="AK51" s="17"/>
      <c r="AL51" s="17"/>
      <c r="AM51" s="17"/>
      <c r="AN51" s="18">
        <f t="shared" si="46"/>
        <v>0</v>
      </c>
      <c r="AO51" s="19">
        <f t="shared" si="47"/>
        <v>0</v>
      </c>
      <c r="AQ51" s="17"/>
      <c r="AR51" s="17"/>
      <c r="AS51" s="17"/>
      <c r="AT51" s="18">
        <f t="shared" si="41"/>
        <v>0</v>
      </c>
      <c r="AU51" s="19">
        <f t="shared" si="48"/>
        <v>0</v>
      </c>
      <c r="AW51" s="17"/>
      <c r="AX51" s="17"/>
      <c r="AY51" s="17"/>
      <c r="AZ51" s="424">
        <f t="shared" si="49"/>
        <v>0</v>
      </c>
      <c r="BA51" s="19">
        <f t="shared" si="50"/>
        <v>0</v>
      </c>
    </row>
    <row r="52" spans="1:53" ht="17.100000000000001" customHeight="1" x14ac:dyDescent="0.25">
      <c r="A52" s="68"/>
      <c r="B52" s="647"/>
      <c r="C52" s="93"/>
      <c r="D52" s="202" t="s">
        <v>378</v>
      </c>
      <c r="E52" s="85" t="s">
        <v>532</v>
      </c>
      <c r="F52" s="75"/>
      <c r="G52" s="75"/>
      <c r="H52" s="119"/>
      <c r="J52" s="581"/>
      <c r="K52" s="581"/>
      <c r="L52" s="582"/>
      <c r="M52" s="593">
        <f t="shared" si="42"/>
        <v>0</v>
      </c>
      <c r="N52" s="111"/>
      <c r="O52" s="111"/>
      <c r="P52" s="111"/>
      <c r="Q52" s="111"/>
      <c r="R52" s="111"/>
      <c r="S52" s="111"/>
      <c r="T52" s="111"/>
      <c r="U52" s="111"/>
      <c r="V52" s="111"/>
      <c r="W52" s="391">
        <f t="shared" si="38"/>
        <v>0</v>
      </c>
      <c r="X52" s="17">
        <f t="shared" si="39"/>
        <v>0</v>
      </c>
      <c r="Y52" s="18">
        <f t="shared" si="40"/>
        <v>0</v>
      </c>
      <c r="Z52" s="19">
        <f t="shared" si="43"/>
        <v>0</v>
      </c>
      <c r="AA52" s="19"/>
      <c r="AB52" s="19"/>
      <c r="AC52" s="84"/>
      <c r="AE52" s="17"/>
      <c r="AF52" s="17"/>
      <c r="AG52" s="17"/>
      <c r="AH52" s="18">
        <f t="shared" si="44"/>
        <v>0</v>
      </c>
      <c r="AI52" s="19">
        <f t="shared" si="45"/>
        <v>0</v>
      </c>
      <c r="AK52" s="17"/>
      <c r="AL52" s="17"/>
      <c r="AM52" s="17"/>
      <c r="AN52" s="18">
        <f t="shared" si="46"/>
        <v>0</v>
      </c>
      <c r="AO52" s="19">
        <f t="shared" si="47"/>
        <v>0</v>
      </c>
      <c r="AQ52" s="17"/>
      <c r="AR52" s="17"/>
      <c r="AS52" s="17"/>
      <c r="AT52" s="18">
        <f t="shared" si="41"/>
        <v>0</v>
      </c>
      <c r="AU52" s="19">
        <f t="shared" si="48"/>
        <v>0</v>
      </c>
      <c r="AW52" s="17"/>
      <c r="AX52" s="17"/>
      <c r="AY52" s="17"/>
      <c r="AZ52" s="424">
        <f t="shared" si="49"/>
        <v>0</v>
      </c>
      <c r="BA52" s="19">
        <f t="shared" si="50"/>
        <v>0</v>
      </c>
    </row>
    <row r="53" spans="1:53" ht="17.100000000000001" customHeight="1" x14ac:dyDescent="0.25">
      <c r="A53" s="68"/>
      <c r="B53" s="647"/>
      <c r="C53" s="93"/>
      <c r="D53" s="202" t="s">
        <v>379</v>
      </c>
      <c r="E53" s="85" t="s">
        <v>389</v>
      </c>
      <c r="F53" s="75"/>
      <c r="G53" s="105"/>
      <c r="H53" s="119"/>
      <c r="J53" s="583"/>
      <c r="K53" s="583"/>
      <c r="L53" s="584"/>
      <c r="M53" s="593">
        <f t="shared" si="42"/>
        <v>0</v>
      </c>
      <c r="N53" s="111"/>
      <c r="O53" s="111"/>
      <c r="P53" s="111"/>
      <c r="Q53" s="111"/>
      <c r="R53" s="111"/>
      <c r="S53" s="111"/>
      <c r="T53" s="111"/>
      <c r="U53" s="111"/>
      <c r="V53" s="111"/>
      <c r="W53" s="391">
        <f t="shared" si="38"/>
        <v>0</v>
      </c>
      <c r="X53" s="17">
        <f t="shared" si="39"/>
        <v>0</v>
      </c>
      <c r="Y53" s="18">
        <f t="shared" si="40"/>
        <v>0</v>
      </c>
      <c r="Z53" s="19">
        <f t="shared" si="43"/>
        <v>0</v>
      </c>
      <c r="AA53" s="19"/>
      <c r="AB53" s="19"/>
      <c r="AC53" s="84"/>
      <c r="AE53" s="17"/>
      <c r="AF53" s="17"/>
      <c r="AG53" s="17"/>
      <c r="AH53" s="18">
        <f t="shared" si="44"/>
        <v>0</v>
      </c>
      <c r="AI53" s="19">
        <f t="shared" si="45"/>
        <v>0</v>
      </c>
      <c r="AK53" s="17"/>
      <c r="AL53" s="17"/>
      <c r="AM53" s="17"/>
      <c r="AN53" s="18">
        <f t="shared" si="46"/>
        <v>0</v>
      </c>
      <c r="AO53" s="19">
        <f t="shared" si="47"/>
        <v>0</v>
      </c>
      <c r="AQ53" s="17"/>
      <c r="AR53" s="17"/>
      <c r="AS53" s="17"/>
      <c r="AT53" s="18">
        <f t="shared" si="41"/>
        <v>0</v>
      </c>
      <c r="AU53" s="19">
        <f t="shared" si="48"/>
        <v>0</v>
      </c>
      <c r="AW53" s="17"/>
      <c r="AX53" s="17"/>
      <c r="AY53" s="17"/>
      <c r="AZ53" s="424">
        <f t="shared" si="49"/>
        <v>0</v>
      </c>
      <c r="BA53" s="19">
        <f t="shared" si="50"/>
        <v>0</v>
      </c>
    </row>
    <row r="54" spans="1:53" ht="17.100000000000001" customHeight="1" x14ac:dyDescent="0.25">
      <c r="A54" s="68"/>
      <c r="B54" s="647"/>
      <c r="C54" s="93"/>
      <c r="D54" s="202" t="s">
        <v>380</v>
      </c>
      <c r="E54" s="85" t="s">
        <v>390</v>
      </c>
      <c r="F54" s="75"/>
      <c r="G54" s="105"/>
      <c r="H54" s="119"/>
      <c r="J54" s="581"/>
      <c r="K54" s="581"/>
      <c r="L54" s="582"/>
      <c r="M54" s="593">
        <f t="shared" si="42"/>
        <v>0</v>
      </c>
      <c r="N54" s="111"/>
      <c r="O54" s="111"/>
      <c r="P54" s="111"/>
      <c r="Q54" s="111"/>
      <c r="R54" s="111"/>
      <c r="S54" s="111"/>
      <c r="T54" s="111"/>
      <c r="U54" s="111"/>
      <c r="V54" s="111"/>
      <c r="W54" s="391">
        <f t="shared" si="38"/>
        <v>0</v>
      </c>
      <c r="X54" s="17">
        <f t="shared" si="39"/>
        <v>0</v>
      </c>
      <c r="Y54" s="18">
        <f t="shared" si="40"/>
        <v>0</v>
      </c>
      <c r="Z54" s="19">
        <f t="shared" si="43"/>
        <v>0</v>
      </c>
      <c r="AA54" s="19"/>
      <c r="AB54" s="19"/>
      <c r="AC54" s="84"/>
      <c r="AE54" s="17"/>
      <c r="AF54" s="17"/>
      <c r="AG54" s="17"/>
      <c r="AH54" s="18">
        <f t="shared" si="44"/>
        <v>0</v>
      </c>
      <c r="AI54" s="19">
        <f t="shared" si="45"/>
        <v>0</v>
      </c>
      <c r="AK54" s="17"/>
      <c r="AL54" s="17"/>
      <c r="AM54" s="17"/>
      <c r="AN54" s="18">
        <f t="shared" si="46"/>
        <v>0</v>
      </c>
      <c r="AO54" s="19">
        <f t="shared" si="47"/>
        <v>0</v>
      </c>
      <c r="AQ54" s="17"/>
      <c r="AR54" s="17"/>
      <c r="AS54" s="17"/>
      <c r="AT54" s="18">
        <f t="shared" si="41"/>
        <v>0</v>
      </c>
      <c r="AU54" s="19">
        <f t="shared" si="48"/>
        <v>0</v>
      </c>
      <c r="AW54" s="17"/>
      <c r="AX54" s="17"/>
      <c r="AY54" s="17"/>
      <c r="AZ54" s="424">
        <f t="shared" si="49"/>
        <v>0</v>
      </c>
      <c r="BA54" s="19">
        <f t="shared" si="50"/>
        <v>0</v>
      </c>
    </row>
    <row r="55" spans="1:53" ht="17.100000000000001" customHeight="1" x14ac:dyDescent="0.25">
      <c r="A55" s="68"/>
      <c r="B55" s="647"/>
      <c r="C55" s="93"/>
      <c r="D55" s="202" t="s">
        <v>381</v>
      </c>
      <c r="E55" s="85" t="s">
        <v>536</v>
      </c>
      <c r="F55" s="75"/>
      <c r="G55" s="105"/>
      <c r="H55" s="119"/>
      <c r="J55" s="583"/>
      <c r="K55" s="583"/>
      <c r="L55" s="584"/>
      <c r="M55" s="593">
        <f t="shared" si="42"/>
        <v>0</v>
      </c>
      <c r="N55" s="111"/>
      <c r="O55" s="111"/>
      <c r="P55" s="111"/>
      <c r="Q55" s="111"/>
      <c r="R55" s="111"/>
      <c r="S55" s="111"/>
      <c r="T55" s="111"/>
      <c r="U55" s="111"/>
      <c r="V55" s="111"/>
      <c r="W55" s="391">
        <f t="shared" si="38"/>
        <v>0</v>
      </c>
      <c r="X55" s="17">
        <f t="shared" si="39"/>
        <v>0</v>
      </c>
      <c r="Y55" s="18">
        <f t="shared" si="40"/>
        <v>0</v>
      </c>
      <c r="Z55" s="19">
        <f t="shared" si="43"/>
        <v>0</v>
      </c>
      <c r="AA55" s="19"/>
      <c r="AB55" s="19"/>
      <c r="AC55" s="84"/>
      <c r="AE55" s="17"/>
      <c r="AF55" s="17"/>
      <c r="AG55" s="17"/>
      <c r="AH55" s="18">
        <f t="shared" si="44"/>
        <v>0</v>
      </c>
      <c r="AI55" s="19">
        <f t="shared" si="45"/>
        <v>0</v>
      </c>
      <c r="AK55" s="17"/>
      <c r="AL55" s="17"/>
      <c r="AM55" s="17"/>
      <c r="AN55" s="18">
        <f t="shared" si="46"/>
        <v>0</v>
      </c>
      <c r="AO55" s="19">
        <f t="shared" si="47"/>
        <v>0</v>
      </c>
      <c r="AQ55" s="17"/>
      <c r="AR55" s="17"/>
      <c r="AS55" s="17"/>
      <c r="AT55" s="18">
        <f t="shared" si="41"/>
        <v>0</v>
      </c>
      <c r="AU55" s="19">
        <f t="shared" si="48"/>
        <v>0</v>
      </c>
      <c r="AW55" s="17"/>
      <c r="AX55" s="17"/>
      <c r="AY55" s="17"/>
      <c r="AZ55" s="424">
        <f t="shared" si="49"/>
        <v>0</v>
      </c>
      <c r="BA55" s="19">
        <f t="shared" si="50"/>
        <v>0</v>
      </c>
    </row>
    <row r="56" spans="1:53" ht="17.100000000000001" customHeight="1" x14ac:dyDescent="0.25">
      <c r="A56" s="68"/>
      <c r="B56" s="647"/>
      <c r="C56" s="93"/>
      <c r="D56" s="202" t="s">
        <v>382</v>
      </c>
      <c r="E56" s="85" t="s">
        <v>391</v>
      </c>
      <c r="F56" s="75"/>
      <c r="G56" s="105"/>
      <c r="H56" s="119"/>
      <c r="J56" s="581"/>
      <c r="K56" s="581"/>
      <c r="L56" s="582"/>
      <c r="M56" s="593">
        <f t="shared" si="42"/>
        <v>0</v>
      </c>
      <c r="N56" s="111"/>
      <c r="O56" s="111"/>
      <c r="P56" s="111"/>
      <c r="Q56" s="111"/>
      <c r="R56" s="111"/>
      <c r="S56" s="111"/>
      <c r="T56" s="111"/>
      <c r="U56" s="111"/>
      <c r="V56" s="111"/>
      <c r="W56" s="391">
        <f t="shared" si="38"/>
        <v>0</v>
      </c>
      <c r="X56" s="17">
        <f t="shared" si="39"/>
        <v>0</v>
      </c>
      <c r="Y56" s="18">
        <f t="shared" si="40"/>
        <v>0</v>
      </c>
      <c r="Z56" s="19">
        <f t="shared" si="43"/>
        <v>0</v>
      </c>
      <c r="AA56" s="19"/>
      <c r="AB56" s="19"/>
      <c r="AC56" s="84"/>
      <c r="AE56" s="17"/>
      <c r="AF56" s="17"/>
      <c r="AG56" s="17"/>
      <c r="AH56" s="18">
        <f t="shared" si="44"/>
        <v>0</v>
      </c>
      <c r="AI56" s="19">
        <f t="shared" si="45"/>
        <v>0</v>
      </c>
      <c r="AK56" s="17"/>
      <c r="AL56" s="17"/>
      <c r="AM56" s="17"/>
      <c r="AN56" s="18">
        <f t="shared" si="46"/>
        <v>0</v>
      </c>
      <c r="AO56" s="19">
        <f t="shared" si="47"/>
        <v>0</v>
      </c>
      <c r="AQ56" s="17"/>
      <c r="AR56" s="17"/>
      <c r="AS56" s="17"/>
      <c r="AT56" s="18">
        <f t="shared" si="41"/>
        <v>0</v>
      </c>
      <c r="AU56" s="19">
        <f t="shared" si="48"/>
        <v>0</v>
      </c>
      <c r="AW56" s="17"/>
      <c r="AX56" s="17"/>
      <c r="AY56" s="17"/>
      <c r="AZ56" s="424">
        <f t="shared" si="49"/>
        <v>0</v>
      </c>
      <c r="BA56" s="19">
        <f t="shared" si="50"/>
        <v>0</v>
      </c>
    </row>
    <row r="57" spans="1:53" ht="17.100000000000001" customHeight="1" x14ac:dyDescent="0.25">
      <c r="A57" s="68"/>
      <c r="B57" s="647"/>
      <c r="C57" s="93"/>
      <c r="D57" s="202" t="s">
        <v>383</v>
      </c>
      <c r="E57" s="85" t="s">
        <v>392</v>
      </c>
      <c r="F57" s="75"/>
      <c r="G57" s="105"/>
      <c r="H57" s="119"/>
      <c r="J57" s="583"/>
      <c r="K57" s="583"/>
      <c r="L57" s="584"/>
      <c r="M57" s="593">
        <f t="shared" si="42"/>
        <v>0</v>
      </c>
      <c r="N57" s="111"/>
      <c r="O57" s="111"/>
      <c r="P57" s="111"/>
      <c r="Q57" s="111"/>
      <c r="R57" s="111"/>
      <c r="S57" s="111"/>
      <c r="T57" s="111"/>
      <c r="U57" s="111"/>
      <c r="V57" s="111"/>
      <c r="W57" s="391">
        <f t="shared" si="38"/>
        <v>0</v>
      </c>
      <c r="X57" s="17">
        <f t="shared" si="39"/>
        <v>0</v>
      </c>
      <c r="Y57" s="18">
        <f t="shared" si="40"/>
        <v>0</v>
      </c>
      <c r="Z57" s="19">
        <f t="shared" si="43"/>
        <v>0</v>
      </c>
      <c r="AA57" s="19"/>
      <c r="AB57" s="19"/>
      <c r="AC57" s="84"/>
      <c r="AE57" s="17"/>
      <c r="AF57" s="17"/>
      <c r="AG57" s="17"/>
      <c r="AH57" s="18">
        <f t="shared" si="44"/>
        <v>0</v>
      </c>
      <c r="AI57" s="19">
        <f t="shared" si="45"/>
        <v>0</v>
      </c>
      <c r="AK57" s="17"/>
      <c r="AL57" s="17"/>
      <c r="AM57" s="17"/>
      <c r="AN57" s="18">
        <f t="shared" si="46"/>
        <v>0</v>
      </c>
      <c r="AO57" s="19">
        <f t="shared" si="47"/>
        <v>0</v>
      </c>
      <c r="AQ57" s="17"/>
      <c r="AR57" s="17"/>
      <c r="AS57" s="17"/>
      <c r="AT57" s="18">
        <f t="shared" si="41"/>
        <v>0</v>
      </c>
      <c r="AU57" s="19">
        <f t="shared" si="48"/>
        <v>0</v>
      </c>
      <c r="AW57" s="17"/>
      <c r="AX57" s="17"/>
      <c r="AY57" s="17"/>
      <c r="AZ57" s="424">
        <f t="shared" si="49"/>
        <v>0</v>
      </c>
      <c r="BA57" s="19">
        <f t="shared" si="50"/>
        <v>0</v>
      </c>
    </row>
    <row r="58" spans="1:53" ht="17.100000000000001" customHeight="1" x14ac:dyDescent="0.25">
      <c r="A58" s="40"/>
      <c r="B58" s="40"/>
      <c r="C58" s="77"/>
      <c r="D58" s="78"/>
      <c r="E58" s="78"/>
      <c r="F58" s="78"/>
      <c r="G58" s="78"/>
      <c r="H58" s="242"/>
      <c r="I58" s="230"/>
      <c r="J58" s="80">
        <f>SUM(J44:J57)</f>
        <v>0</v>
      </c>
      <c r="K58" s="80">
        <f t="shared" ref="K58:M58" si="51">SUM(K44:K57)</f>
        <v>0</v>
      </c>
      <c r="L58" s="80">
        <f t="shared" si="51"/>
        <v>0</v>
      </c>
      <c r="M58" s="80">
        <f t="shared" si="51"/>
        <v>0</v>
      </c>
      <c r="N58" s="80"/>
      <c r="O58" s="80"/>
      <c r="P58" s="80"/>
      <c r="Q58" s="81"/>
      <c r="R58" s="81"/>
      <c r="S58" s="81"/>
      <c r="T58" s="81"/>
      <c r="U58" s="81"/>
      <c r="V58" s="81"/>
      <c r="W58" s="381">
        <f>SUM(W44:W57)</f>
        <v>0</v>
      </c>
      <c r="X58" s="82">
        <f t="shared" ref="X58:Y58" si="52">SUM(X44:X57)</f>
        <v>0</v>
      </c>
      <c r="Y58" s="82">
        <f t="shared" si="52"/>
        <v>0</v>
      </c>
      <c r="Z58" s="205">
        <f t="shared" si="43"/>
        <v>0</v>
      </c>
      <c r="AA58" s="205"/>
      <c r="AB58" s="205"/>
      <c r="AC58" s="83"/>
      <c r="AE58" s="81"/>
      <c r="AF58" s="81"/>
      <c r="AG58" s="81"/>
      <c r="AH58" s="82">
        <f>SUM(AH44:AH57)</f>
        <v>0</v>
      </c>
      <c r="AI58" s="66">
        <f t="shared" si="45"/>
        <v>0</v>
      </c>
      <c r="AK58" s="81"/>
      <c r="AL58" s="81"/>
      <c r="AM58" s="81"/>
      <c r="AN58" s="82">
        <f>SUM(AN44:AN57)</f>
        <v>0</v>
      </c>
      <c r="AO58" s="66">
        <f t="shared" si="47"/>
        <v>0</v>
      </c>
      <c r="AQ58" s="81"/>
      <c r="AR58" s="81"/>
      <c r="AS58" s="81"/>
      <c r="AT58" s="82">
        <f>SUM(AT44:AT57)</f>
        <v>0</v>
      </c>
      <c r="AU58" s="66">
        <f t="shared" si="48"/>
        <v>0</v>
      </c>
      <c r="AW58" s="81"/>
      <c r="AX58" s="81"/>
      <c r="AY58" s="81"/>
      <c r="AZ58" s="82">
        <f>SUM(AZ44:AZ57)</f>
        <v>0</v>
      </c>
      <c r="BA58" s="66">
        <f t="shared" si="50"/>
        <v>0</v>
      </c>
    </row>
    <row r="59" spans="1:53" s="117" customFormat="1" ht="17.100000000000001" customHeight="1" x14ac:dyDescent="0.25">
      <c r="A59" s="119"/>
      <c r="B59" s="119"/>
      <c r="C59" s="647"/>
      <c r="D59" s="212"/>
      <c r="E59" s="212"/>
      <c r="F59" s="212"/>
      <c r="G59" s="212"/>
      <c r="H59" s="242"/>
      <c r="I59" s="230"/>
      <c r="J59" s="17" t="str">
        <f>IF(J58=J$15,"OK","NOK")</f>
        <v>OK</v>
      </c>
      <c r="K59" s="17" t="str">
        <f t="shared" ref="K59:L59" si="53">IF(K58=K$15,"OK","NOK")</f>
        <v>OK</v>
      </c>
      <c r="L59" s="17" t="str">
        <f t="shared" si="53"/>
        <v>OK</v>
      </c>
      <c r="M59" s="17"/>
      <c r="N59" s="17"/>
      <c r="O59" s="17"/>
      <c r="P59" s="17"/>
      <c r="Q59" s="17"/>
      <c r="R59" s="17"/>
      <c r="S59" s="17"/>
      <c r="T59" s="17"/>
      <c r="U59" s="17"/>
      <c r="V59" s="17"/>
      <c r="W59" s="646"/>
      <c r="X59" s="646"/>
      <c r="Y59" s="646"/>
      <c r="Z59" s="201"/>
      <c r="AA59" s="201"/>
      <c r="AB59" s="201"/>
      <c r="AC59" s="84"/>
      <c r="AE59" s="17"/>
      <c r="AF59" s="17"/>
      <c r="AG59" s="17"/>
      <c r="AH59" s="646"/>
      <c r="AI59" s="91"/>
      <c r="AK59" s="17"/>
      <c r="AL59" s="17"/>
      <c r="AM59" s="17"/>
      <c r="AN59" s="646"/>
      <c r="AO59" s="91"/>
      <c r="AQ59" s="17"/>
      <c r="AR59" s="17"/>
      <c r="AS59" s="17"/>
      <c r="AT59" s="646"/>
      <c r="AU59" s="91"/>
      <c r="AW59" s="17"/>
      <c r="AX59" s="17"/>
      <c r="AY59" s="17"/>
      <c r="AZ59" s="17"/>
      <c r="BA59" s="91"/>
    </row>
    <row r="60" spans="1:53" ht="17.100000000000001" customHeight="1" x14ac:dyDescent="0.25">
      <c r="A60" s="102"/>
      <c r="B60" s="102"/>
      <c r="C60" s="103" t="s">
        <v>33</v>
      </c>
      <c r="D60" s="110" t="s">
        <v>736</v>
      </c>
      <c r="E60" s="108"/>
      <c r="F60" s="108"/>
      <c r="G60" s="108"/>
      <c r="H60" s="315"/>
      <c r="I60" s="232"/>
      <c r="J60" s="111"/>
      <c r="K60" s="111"/>
      <c r="L60" s="111"/>
      <c r="M60" s="111"/>
      <c r="N60" s="111"/>
      <c r="O60" s="111"/>
      <c r="P60" s="111"/>
      <c r="Q60" s="111"/>
      <c r="R60" s="111"/>
      <c r="S60" s="111"/>
      <c r="T60" s="111"/>
      <c r="U60" s="111"/>
      <c r="V60" s="111"/>
      <c r="W60" s="111"/>
      <c r="X60" s="111"/>
      <c r="Y60" s="111"/>
      <c r="Z60" s="113"/>
      <c r="AA60" s="113"/>
      <c r="AB60" s="113"/>
      <c r="AC60" s="113"/>
      <c r="AE60" s="114"/>
      <c r="AF60" s="114"/>
      <c r="AG60" s="114"/>
      <c r="AH60" s="112"/>
      <c r="AI60" s="113"/>
      <c r="AK60" s="114"/>
      <c r="AL60" s="114"/>
      <c r="AM60" s="114"/>
      <c r="AN60" s="112"/>
      <c r="AO60" s="113"/>
      <c r="AQ60" s="114"/>
      <c r="AR60" s="114"/>
      <c r="AS60" s="114"/>
      <c r="AT60" s="112"/>
      <c r="AU60" s="113"/>
      <c r="AW60" s="114"/>
      <c r="AX60" s="114"/>
      <c r="AY60" s="114"/>
      <c r="AZ60" s="114"/>
      <c r="BA60" s="113"/>
    </row>
    <row r="61" spans="1:53" s="117" customFormat="1" ht="17.100000000000001" customHeight="1" x14ac:dyDescent="0.25">
      <c r="A61" s="647"/>
      <c r="B61" s="23"/>
      <c r="C61" s="23"/>
      <c r="D61" s="74" t="s">
        <v>34</v>
      </c>
      <c r="E61" s="75" t="s">
        <v>26</v>
      </c>
      <c r="F61" s="75"/>
      <c r="G61" s="75"/>
      <c r="H61" s="23"/>
      <c r="I61" s="229"/>
      <c r="J61" s="152"/>
      <c r="K61" s="152"/>
      <c r="L61" s="111"/>
      <c r="M61" s="111"/>
      <c r="N61" s="60">
        <v>4</v>
      </c>
      <c r="O61" s="60">
        <v>7</v>
      </c>
      <c r="P61" s="593">
        <f>SUM(N61:O61)</f>
        <v>11</v>
      </c>
      <c r="Q61" s="60"/>
      <c r="R61" s="60"/>
      <c r="S61" s="593">
        <f>SUM(Q61:R61)</f>
        <v>0</v>
      </c>
      <c r="T61" s="60"/>
      <c r="U61" s="60"/>
      <c r="V61" s="593">
        <f>SUM(T61:U61)</f>
        <v>0</v>
      </c>
      <c r="W61" s="391">
        <f t="shared" ref="W61:W64" si="54">J61+K61+N61+Q61+T61</f>
        <v>4</v>
      </c>
      <c r="X61" s="17">
        <f t="shared" ref="X61:X64" si="55">L61+O61+R61+U61</f>
        <v>7</v>
      </c>
      <c r="Y61" s="18">
        <f>SUM(W61:X61)</f>
        <v>11</v>
      </c>
      <c r="Z61" s="19">
        <f>IF(Y$65=0,0,Y61/Y$65)</f>
        <v>1</v>
      </c>
      <c r="AA61" s="91"/>
      <c r="AB61" s="91"/>
      <c r="AC61" s="84"/>
      <c r="AE61" s="111"/>
      <c r="AF61" s="111"/>
      <c r="AG61" s="111"/>
      <c r="AH61" s="651"/>
      <c r="AI61" s="131"/>
      <c r="AK61" s="111"/>
      <c r="AL61" s="111"/>
      <c r="AM61" s="111"/>
      <c r="AN61" s="651"/>
      <c r="AO61" s="131"/>
      <c r="AQ61" s="17"/>
      <c r="AR61" s="17"/>
      <c r="AS61" s="17"/>
      <c r="AT61" s="18">
        <f>W61</f>
        <v>4</v>
      </c>
      <c r="AU61" s="19">
        <f>IF(AT$65=0,0,AT61/AT$65)</f>
        <v>1</v>
      </c>
      <c r="AW61" s="17"/>
      <c r="AX61" s="17"/>
      <c r="AY61" s="17"/>
      <c r="AZ61" s="424">
        <f>X61</f>
        <v>7</v>
      </c>
      <c r="BA61" s="91">
        <f>IF(AZ$65=0,0,AZ61/AZ$65)</f>
        <v>1</v>
      </c>
    </row>
    <row r="62" spans="1:53" s="117" customFormat="1" ht="17.100000000000001" customHeight="1" x14ac:dyDescent="0.25">
      <c r="A62" s="647"/>
      <c r="B62" s="23"/>
      <c r="C62" s="23"/>
      <c r="D62" s="74" t="s">
        <v>36</v>
      </c>
      <c r="E62" s="75" t="s">
        <v>28</v>
      </c>
      <c r="F62" s="75"/>
      <c r="G62" s="75"/>
      <c r="H62" s="23"/>
      <c r="I62" s="229"/>
      <c r="J62" s="152"/>
      <c r="K62" s="152"/>
      <c r="L62" s="111"/>
      <c r="M62" s="111"/>
      <c r="N62" s="61"/>
      <c r="O62" s="61"/>
      <c r="P62" s="593">
        <f t="shared" ref="P62:P64" si="56">SUM(N62:O62)</f>
        <v>0</v>
      </c>
      <c r="Q62" s="61"/>
      <c r="R62" s="61"/>
      <c r="S62" s="593">
        <f t="shared" ref="S62:S64" si="57">SUM(Q62:R62)</f>
        <v>0</v>
      </c>
      <c r="T62" s="61"/>
      <c r="U62" s="61"/>
      <c r="V62" s="593">
        <f t="shared" ref="V62:V64" si="58">SUM(T62:U62)</f>
        <v>0</v>
      </c>
      <c r="W62" s="391">
        <f t="shared" si="54"/>
        <v>0</v>
      </c>
      <c r="X62" s="17">
        <f t="shared" si="55"/>
        <v>0</v>
      </c>
      <c r="Y62" s="18">
        <f>SUM(W62:X62)</f>
        <v>0</v>
      </c>
      <c r="Z62" s="19">
        <f t="shared" ref="Z62:Z65" si="59">IF(Y$65=0,0,Y62/Y$65)</f>
        <v>0</v>
      </c>
      <c r="AA62" s="91"/>
      <c r="AB62" s="91"/>
      <c r="AC62" s="84"/>
      <c r="AE62" s="111"/>
      <c r="AF62" s="111"/>
      <c r="AG62" s="111"/>
      <c r="AH62" s="651"/>
      <c r="AI62" s="131"/>
      <c r="AK62" s="111"/>
      <c r="AL62" s="111"/>
      <c r="AM62" s="111"/>
      <c r="AN62" s="651"/>
      <c r="AO62" s="131"/>
      <c r="AQ62" s="17"/>
      <c r="AR62" s="17"/>
      <c r="AS62" s="17"/>
      <c r="AT62" s="18">
        <f t="shared" ref="AT62:AT64" si="60">W62</f>
        <v>0</v>
      </c>
      <c r="AU62" s="19">
        <f t="shared" ref="AU62:AU65" si="61">IF(AT$65=0,0,AT62/AT$65)</f>
        <v>0</v>
      </c>
      <c r="AW62" s="17"/>
      <c r="AX62" s="17"/>
      <c r="AY62" s="17"/>
      <c r="AZ62" s="424">
        <f t="shared" ref="AZ62:AZ64" si="62">X62</f>
        <v>0</v>
      </c>
      <c r="BA62" s="91">
        <f>IF(AZ$65=0,0,AZ62/AZ$65)</f>
        <v>0</v>
      </c>
    </row>
    <row r="63" spans="1:53" s="117" customFormat="1" ht="17.100000000000001" customHeight="1" x14ac:dyDescent="0.25">
      <c r="A63" s="647"/>
      <c r="B63" s="23"/>
      <c r="C63" s="23"/>
      <c r="D63" s="74" t="s">
        <v>38</v>
      </c>
      <c r="E63" s="75" t="s">
        <v>30</v>
      </c>
      <c r="F63" s="75"/>
      <c r="G63" s="75"/>
      <c r="H63" s="23"/>
      <c r="I63" s="229"/>
      <c r="J63" s="152"/>
      <c r="K63" s="152"/>
      <c r="L63" s="111"/>
      <c r="M63" s="111"/>
      <c r="N63" s="60"/>
      <c r="O63" s="60"/>
      <c r="P63" s="593">
        <f t="shared" si="56"/>
        <v>0</v>
      </c>
      <c r="Q63" s="60"/>
      <c r="R63" s="60"/>
      <c r="S63" s="593">
        <f t="shared" si="57"/>
        <v>0</v>
      </c>
      <c r="T63" s="60"/>
      <c r="U63" s="60"/>
      <c r="V63" s="593">
        <f t="shared" si="58"/>
        <v>0</v>
      </c>
      <c r="W63" s="391">
        <f t="shared" si="54"/>
        <v>0</v>
      </c>
      <c r="X63" s="17">
        <f t="shared" si="55"/>
        <v>0</v>
      </c>
      <c r="Y63" s="18">
        <f>SUM(W63:X63)</f>
        <v>0</v>
      </c>
      <c r="Z63" s="19">
        <f t="shared" si="59"/>
        <v>0</v>
      </c>
      <c r="AA63" s="91"/>
      <c r="AB63" s="91"/>
      <c r="AC63" s="84"/>
      <c r="AE63" s="111"/>
      <c r="AF63" s="111"/>
      <c r="AG63" s="111"/>
      <c r="AH63" s="651"/>
      <c r="AI63" s="131"/>
      <c r="AK63" s="111"/>
      <c r="AL63" s="111"/>
      <c r="AM63" s="111"/>
      <c r="AN63" s="651"/>
      <c r="AO63" s="131"/>
      <c r="AQ63" s="17"/>
      <c r="AR63" s="17"/>
      <c r="AS63" s="17"/>
      <c r="AT63" s="18">
        <f t="shared" si="60"/>
        <v>0</v>
      </c>
      <c r="AU63" s="19">
        <f t="shared" si="61"/>
        <v>0</v>
      </c>
      <c r="AW63" s="17"/>
      <c r="AX63" s="17"/>
      <c r="AY63" s="17"/>
      <c r="AZ63" s="424">
        <f t="shared" si="62"/>
        <v>0</v>
      </c>
      <c r="BA63" s="91">
        <f>IF(AZ$65=0,0,AZ63/AZ$65)</f>
        <v>0</v>
      </c>
    </row>
    <row r="64" spans="1:53" s="117" customFormat="1" ht="17.100000000000001" customHeight="1" x14ac:dyDescent="0.25">
      <c r="A64" s="647"/>
      <c r="B64" s="23"/>
      <c r="C64" s="23"/>
      <c r="D64" s="74" t="s">
        <v>40</v>
      </c>
      <c r="E64" s="75" t="s">
        <v>32</v>
      </c>
      <c r="F64" s="75"/>
      <c r="G64" s="75"/>
      <c r="H64" s="23"/>
      <c r="I64" s="229"/>
      <c r="J64" s="152"/>
      <c r="K64" s="152"/>
      <c r="L64" s="111"/>
      <c r="M64" s="111"/>
      <c r="N64" s="61"/>
      <c r="O64" s="61"/>
      <c r="P64" s="593">
        <f t="shared" si="56"/>
        <v>0</v>
      </c>
      <c r="Q64" s="61"/>
      <c r="R64" s="61"/>
      <c r="S64" s="593">
        <f t="shared" si="57"/>
        <v>0</v>
      </c>
      <c r="T64" s="61"/>
      <c r="U64" s="61"/>
      <c r="V64" s="593">
        <f t="shared" si="58"/>
        <v>0</v>
      </c>
      <c r="W64" s="391">
        <f t="shared" si="54"/>
        <v>0</v>
      </c>
      <c r="X64" s="17">
        <f t="shared" si="55"/>
        <v>0</v>
      </c>
      <c r="Y64" s="18">
        <f>SUM(W64:X64)</f>
        <v>0</v>
      </c>
      <c r="Z64" s="19">
        <f t="shared" si="59"/>
        <v>0</v>
      </c>
      <c r="AA64" s="91"/>
      <c r="AB64" s="91"/>
      <c r="AC64" s="84"/>
      <c r="AE64" s="111"/>
      <c r="AF64" s="111"/>
      <c r="AG64" s="111"/>
      <c r="AH64" s="651"/>
      <c r="AI64" s="131"/>
      <c r="AK64" s="111"/>
      <c r="AL64" s="111"/>
      <c r="AM64" s="111"/>
      <c r="AN64" s="651"/>
      <c r="AO64" s="131"/>
      <c r="AQ64" s="17"/>
      <c r="AR64" s="17"/>
      <c r="AS64" s="17"/>
      <c r="AT64" s="18">
        <f t="shared" si="60"/>
        <v>0</v>
      </c>
      <c r="AU64" s="19">
        <f t="shared" si="61"/>
        <v>0</v>
      </c>
      <c r="AW64" s="17"/>
      <c r="AX64" s="17"/>
      <c r="AY64" s="17"/>
      <c r="AZ64" s="424">
        <f t="shared" si="62"/>
        <v>0</v>
      </c>
      <c r="BA64" s="91">
        <f>IF(AZ$65=0,0,AZ64/AZ$65)</f>
        <v>0</v>
      </c>
    </row>
    <row r="65" spans="1:53" s="117" customFormat="1" ht="17.100000000000001" customHeight="1" x14ac:dyDescent="0.25">
      <c r="A65" s="40"/>
      <c r="B65" s="40"/>
      <c r="C65" s="77"/>
      <c r="D65" s="78"/>
      <c r="E65" s="78"/>
      <c r="F65" s="78"/>
      <c r="G65" s="78"/>
      <c r="H65" s="316"/>
      <c r="I65" s="230"/>
      <c r="J65" s="80"/>
      <c r="K65" s="64"/>
      <c r="L65" s="81"/>
      <c r="M65" s="81"/>
      <c r="N65" s="81">
        <f>SUM(N61:N64)</f>
        <v>4</v>
      </c>
      <c r="O65" s="81">
        <f t="shared" ref="O65:Y65" si="63">SUM(O61:O64)</f>
        <v>7</v>
      </c>
      <c r="P65" s="81">
        <f t="shared" si="63"/>
        <v>11</v>
      </c>
      <c r="Q65" s="81">
        <f t="shared" si="63"/>
        <v>0</v>
      </c>
      <c r="R65" s="81">
        <f t="shared" si="63"/>
        <v>0</v>
      </c>
      <c r="S65" s="81">
        <f t="shared" si="63"/>
        <v>0</v>
      </c>
      <c r="T65" s="81">
        <f t="shared" si="63"/>
        <v>0</v>
      </c>
      <c r="U65" s="81">
        <f t="shared" si="63"/>
        <v>0</v>
      </c>
      <c r="V65" s="81">
        <f t="shared" si="63"/>
        <v>0</v>
      </c>
      <c r="W65" s="381">
        <f t="shared" si="63"/>
        <v>4</v>
      </c>
      <c r="X65" s="82">
        <f t="shared" si="63"/>
        <v>7</v>
      </c>
      <c r="Y65" s="82">
        <f t="shared" si="63"/>
        <v>11</v>
      </c>
      <c r="Z65" s="205">
        <f t="shared" si="59"/>
        <v>1</v>
      </c>
      <c r="AA65" s="205"/>
      <c r="AB65" s="205"/>
      <c r="AC65" s="83"/>
      <c r="AE65" s="81"/>
      <c r="AF65" s="81"/>
      <c r="AG65" s="81"/>
      <c r="AH65" s="82"/>
      <c r="AI65" s="66"/>
      <c r="AJ65" s="3"/>
      <c r="AK65" s="81"/>
      <c r="AL65" s="81"/>
      <c r="AM65" s="81"/>
      <c r="AN65" s="82"/>
      <c r="AO65" s="66"/>
      <c r="AP65" s="3"/>
      <c r="AQ65" s="81"/>
      <c r="AR65" s="81"/>
      <c r="AS65" s="81"/>
      <c r="AT65" s="82">
        <f>SUM(AT61:AT64)</f>
        <v>4</v>
      </c>
      <c r="AU65" s="66">
        <f t="shared" si="61"/>
        <v>1</v>
      </c>
      <c r="AV65" s="3"/>
      <c r="AW65" s="81"/>
      <c r="AX65" s="81"/>
      <c r="AY65" s="81"/>
      <c r="AZ65" s="82">
        <f>SUM(AZ61:AZ64)</f>
        <v>7</v>
      </c>
      <c r="BA65" s="66">
        <f>IF(AZ$65=0,0,AZ65/AZ$65)</f>
        <v>1</v>
      </c>
    </row>
    <row r="66" spans="1:53" s="117" customFormat="1" ht="17.100000000000001" customHeight="1" x14ac:dyDescent="0.25">
      <c r="A66" s="119"/>
      <c r="B66" s="119"/>
      <c r="C66" s="647"/>
      <c r="D66" s="212"/>
      <c r="E66" s="212"/>
      <c r="F66" s="212"/>
      <c r="G66" s="212"/>
      <c r="H66" s="242"/>
      <c r="I66" s="230"/>
      <c r="J66" s="17"/>
      <c r="K66" s="17"/>
      <c r="L66" s="17"/>
      <c r="M66" s="17"/>
      <c r="N66" s="17" t="str">
        <f>IF(N65=N$20,"OK","NOK")</f>
        <v>OK</v>
      </c>
      <c r="O66" s="17" t="str">
        <f>IF(O65=O$20,"OK","NOK")</f>
        <v>OK</v>
      </c>
      <c r="P66" s="17"/>
      <c r="Q66" s="17" t="str">
        <f>IF(Q65=Q$20,"OK","NOK")</f>
        <v>OK</v>
      </c>
      <c r="R66" s="17" t="str">
        <f>IF(R65=R$20,"OK","NOK")</f>
        <v>OK</v>
      </c>
      <c r="S66" s="17"/>
      <c r="T66" s="17" t="str">
        <f>IF(T65=T$20,"OK","NOK")</f>
        <v>OK</v>
      </c>
      <c r="U66" s="17" t="str">
        <f>IF(U65=U$20,"OK","NOK")</f>
        <v>OK</v>
      </c>
      <c r="V66" s="359"/>
      <c r="W66" s="382"/>
      <c r="X66" s="646"/>
      <c r="Y66" s="646"/>
      <c r="Z66" s="201"/>
      <c r="AA66" s="201"/>
      <c r="AB66" s="201"/>
      <c r="AC66" s="84"/>
      <c r="AE66" s="17"/>
      <c r="AF66" s="17"/>
      <c r="AG66" s="17"/>
      <c r="AH66" s="646"/>
      <c r="AI66" s="91"/>
      <c r="AK66" s="17"/>
      <c r="AL66" s="17"/>
      <c r="AM66" s="17"/>
      <c r="AN66" s="646"/>
      <c r="AO66" s="91"/>
      <c r="AQ66" s="17"/>
      <c r="AR66" s="17"/>
      <c r="AS66" s="17"/>
      <c r="AT66" s="646"/>
      <c r="AU66" s="91"/>
      <c r="AW66" s="17"/>
      <c r="AX66" s="17"/>
      <c r="AY66" s="17"/>
      <c r="AZ66" s="17"/>
      <c r="BA66" s="91"/>
    </row>
    <row r="67" spans="1:53" ht="17.100000000000001" customHeight="1" x14ac:dyDescent="0.25">
      <c r="A67" s="102"/>
      <c r="B67" s="23"/>
      <c r="C67" s="103" t="s">
        <v>393</v>
      </c>
      <c r="D67" s="110" t="s">
        <v>737</v>
      </c>
      <c r="E67" s="313"/>
      <c r="F67" s="313"/>
      <c r="G67" s="313"/>
      <c r="H67" s="313"/>
      <c r="I67" s="313"/>
      <c r="J67" s="314"/>
      <c r="K67" s="111"/>
      <c r="L67" s="111"/>
      <c r="M67" s="111"/>
      <c r="N67" s="111"/>
      <c r="O67" s="111"/>
      <c r="P67" s="111"/>
      <c r="Q67" s="111"/>
      <c r="R67" s="111"/>
      <c r="S67" s="111"/>
      <c r="T67" s="111"/>
      <c r="U67" s="111"/>
      <c r="V67" s="111"/>
      <c r="W67" s="111"/>
      <c r="X67" s="111"/>
      <c r="Y67" s="111"/>
      <c r="Z67" s="113"/>
      <c r="AA67" s="113"/>
      <c r="AB67" s="113"/>
      <c r="AC67" s="113"/>
      <c r="AE67" s="114"/>
      <c r="AF67" s="114"/>
      <c r="AG67" s="114"/>
      <c r="AH67" s="112"/>
      <c r="AI67" s="113"/>
      <c r="AK67" s="114"/>
      <c r="AL67" s="114"/>
      <c r="AM67" s="114"/>
      <c r="AN67" s="112"/>
      <c r="AO67" s="113"/>
      <c r="AQ67" s="114"/>
      <c r="AR67" s="114"/>
      <c r="AS67" s="114"/>
      <c r="AT67" s="112"/>
      <c r="AU67" s="113"/>
      <c r="AW67" s="114"/>
      <c r="AX67" s="114"/>
      <c r="AY67" s="114"/>
      <c r="AZ67" s="114"/>
      <c r="BA67" s="113"/>
    </row>
    <row r="68" spans="1:53" ht="17.100000000000001" customHeight="1" x14ac:dyDescent="0.25">
      <c r="A68" s="102"/>
      <c r="B68" s="118"/>
      <c r="C68" s="118"/>
      <c r="D68" s="103" t="s">
        <v>394</v>
      </c>
      <c r="E68" s="108" t="s">
        <v>35</v>
      </c>
      <c r="F68" s="108"/>
      <c r="G68" s="108"/>
      <c r="H68" s="315"/>
      <c r="I68" s="232"/>
      <c r="J68" s="152"/>
      <c r="K68" s="152"/>
      <c r="L68" s="111"/>
      <c r="M68" s="111"/>
      <c r="N68" s="60">
        <v>4</v>
      </c>
      <c r="O68" s="60">
        <v>7</v>
      </c>
      <c r="P68" s="593">
        <f t="shared" ref="P68:P72" si="64">SUM(N68:O68)</f>
        <v>11</v>
      </c>
      <c r="Q68" s="60"/>
      <c r="R68" s="60"/>
      <c r="S68" s="593">
        <f t="shared" ref="S68:S72" si="65">SUM(Q68:R68)</f>
        <v>0</v>
      </c>
      <c r="T68" s="60"/>
      <c r="U68" s="60"/>
      <c r="V68" s="593">
        <f t="shared" ref="V68:V72" si="66">SUM(T68:U68)</f>
        <v>0</v>
      </c>
      <c r="W68" s="391">
        <f t="shared" ref="W68:W72" si="67">J68+K68+N68+Q68+T68</f>
        <v>4</v>
      </c>
      <c r="X68" s="17">
        <f t="shared" ref="X68:X72" si="68">L68+O68+R68+U68</f>
        <v>7</v>
      </c>
      <c r="Y68" s="18">
        <f>SUM(W68:X68)</f>
        <v>11</v>
      </c>
      <c r="Z68" s="19">
        <f>IF(Y$73=0,0,Y68/Y$73)</f>
        <v>1</v>
      </c>
      <c r="AA68" s="19"/>
      <c r="AB68" s="19"/>
      <c r="AC68" s="20"/>
      <c r="AE68" s="111"/>
      <c r="AF68" s="111"/>
      <c r="AG68" s="111"/>
      <c r="AH68" s="651"/>
      <c r="AI68" s="131"/>
      <c r="AJ68" s="117"/>
      <c r="AK68" s="111"/>
      <c r="AL68" s="111"/>
      <c r="AM68" s="111"/>
      <c r="AN68" s="651"/>
      <c r="AO68" s="131"/>
      <c r="AQ68" s="17"/>
      <c r="AR68" s="17"/>
      <c r="AS68" s="17"/>
      <c r="AT68" s="18">
        <f t="shared" ref="AT68:AT72" si="69">W68</f>
        <v>4</v>
      </c>
      <c r="AU68" s="19">
        <f>IF(AT$73=0,0,AT68/AT$73)</f>
        <v>1</v>
      </c>
      <c r="AW68" s="17"/>
      <c r="AX68" s="17"/>
      <c r="AY68" s="17"/>
      <c r="AZ68" s="424">
        <f>X68</f>
        <v>7</v>
      </c>
      <c r="BA68" s="19">
        <f t="shared" ref="BA68:BA73" si="70">IF(AZ$73=0,0,AZ68/AZ$73)</f>
        <v>1</v>
      </c>
    </row>
    <row r="69" spans="1:53" ht="17.100000000000001" customHeight="1" x14ac:dyDescent="0.25">
      <c r="A69" s="102"/>
      <c r="B69" s="118"/>
      <c r="C69" s="118"/>
      <c r="D69" s="103" t="s">
        <v>395</v>
      </c>
      <c r="E69" s="108" t="s">
        <v>37</v>
      </c>
      <c r="F69" s="108"/>
      <c r="G69" s="108"/>
      <c r="H69" s="315"/>
      <c r="I69" s="232"/>
      <c r="J69" s="152"/>
      <c r="K69" s="152"/>
      <c r="L69" s="111"/>
      <c r="M69" s="111"/>
      <c r="N69" s="61"/>
      <c r="O69" s="61"/>
      <c r="P69" s="593">
        <f t="shared" si="64"/>
        <v>0</v>
      </c>
      <c r="Q69" s="61"/>
      <c r="R69" s="61"/>
      <c r="S69" s="593">
        <f t="shared" si="65"/>
        <v>0</v>
      </c>
      <c r="T69" s="61"/>
      <c r="U69" s="61"/>
      <c r="V69" s="593">
        <f t="shared" si="66"/>
        <v>0</v>
      </c>
      <c r="W69" s="391">
        <f t="shared" si="67"/>
        <v>0</v>
      </c>
      <c r="X69" s="17">
        <f t="shared" si="68"/>
        <v>0</v>
      </c>
      <c r="Y69" s="18">
        <f>SUM(W69:X69)</f>
        <v>0</v>
      </c>
      <c r="Z69" s="19">
        <f t="shared" ref="Z69:Z73" si="71">IF(Y$73=0,0,Y69/Y$73)</f>
        <v>0</v>
      </c>
      <c r="AA69" s="19"/>
      <c r="AB69" s="19"/>
      <c r="AC69" s="20"/>
      <c r="AE69" s="111"/>
      <c r="AF69" s="111"/>
      <c r="AG69" s="111"/>
      <c r="AH69" s="651"/>
      <c r="AI69" s="131"/>
      <c r="AJ69" s="117"/>
      <c r="AK69" s="111"/>
      <c r="AL69" s="111"/>
      <c r="AM69" s="111"/>
      <c r="AN69" s="651"/>
      <c r="AO69" s="131"/>
      <c r="AQ69" s="17"/>
      <c r="AR69" s="17"/>
      <c r="AS69" s="17"/>
      <c r="AT69" s="18">
        <f t="shared" si="69"/>
        <v>0</v>
      </c>
      <c r="AU69" s="19">
        <f t="shared" ref="AU69:AU73" si="72">IF(AT$73=0,0,AT69/AT$73)</f>
        <v>0</v>
      </c>
      <c r="AW69" s="17"/>
      <c r="AX69" s="17"/>
      <c r="AY69" s="17"/>
      <c r="AZ69" s="424">
        <f t="shared" ref="AZ69:AZ72" si="73">X69</f>
        <v>0</v>
      </c>
      <c r="BA69" s="19">
        <f t="shared" si="70"/>
        <v>0</v>
      </c>
    </row>
    <row r="70" spans="1:53" ht="17.100000000000001" customHeight="1" x14ac:dyDescent="0.25">
      <c r="A70" s="102"/>
      <c r="B70" s="118"/>
      <c r="C70" s="118"/>
      <c r="D70" s="103" t="s">
        <v>396</v>
      </c>
      <c r="E70" s="108" t="s">
        <v>39</v>
      </c>
      <c r="F70" s="108"/>
      <c r="G70" s="108"/>
      <c r="H70" s="315"/>
      <c r="I70" s="232"/>
      <c r="J70" s="152"/>
      <c r="K70" s="152"/>
      <c r="L70" s="111"/>
      <c r="M70" s="111"/>
      <c r="N70" s="60"/>
      <c r="O70" s="60"/>
      <c r="P70" s="593">
        <f t="shared" si="64"/>
        <v>0</v>
      </c>
      <c r="Q70" s="60"/>
      <c r="R70" s="60"/>
      <c r="S70" s="593">
        <f t="shared" si="65"/>
        <v>0</v>
      </c>
      <c r="T70" s="60"/>
      <c r="U70" s="60"/>
      <c r="V70" s="593">
        <f t="shared" si="66"/>
        <v>0</v>
      </c>
      <c r="W70" s="391">
        <f t="shared" si="67"/>
        <v>0</v>
      </c>
      <c r="X70" s="17">
        <f t="shared" si="68"/>
        <v>0</v>
      </c>
      <c r="Y70" s="18">
        <f>SUM(W70:X70)</f>
        <v>0</v>
      </c>
      <c r="Z70" s="19">
        <f t="shared" si="71"/>
        <v>0</v>
      </c>
      <c r="AA70" s="19"/>
      <c r="AB70" s="19"/>
      <c r="AC70" s="20"/>
      <c r="AE70" s="111"/>
      <c r="AF70" s="111"/>
      <c r="AG70" s="111"/>
      <c r="AH70" s="651"/>
      <c r="AI70" s="131"/>
      <c r="AJ70" s="117"/>
      <c r="AK70" s="111"/>
      <c r="AL70" s="111"/>
      <c r="AM70" s="111"/>
      <c r="AN70" s="651"/>
      <c r="AO70" s="131"/>
      <c r="AQ70" s="17"/>
      <c r="AR70" s="17"/>
      <c r="AS70" s="17"/>
      <c r="AT70" s="18">
        <f t="shared" si="69"/>
        <v>0</v>
      </c>
      <c r="AU70" s="19">
        <f t="shared" si="72"/>
        <v>0</v>
      </c>
      <c r="AW70" s="17"/>
      <c r="AX70" s="17"/>
      <c r="AY70" s="17"/>
      <c r="AZ70" s="424">
        <f t="shared" si="73"/>
        <v>0</v>
      </c>
      <c r="BA70" s="19">
        <f t="shared" si="70"/>
        <v>0</v>
      </c>
    </row>
    <row r="71" spans="1:53" ht="17.100000000000001" customHeight="1" x14ac:dyDescent="0.25">
      <c r="A71" s="102"/>
      <c r="B71" s="118"/>
      <c r="C71" s="118"/>
      <c r="D71" s="103" t="s">
        <v>397</v>
      </c>
      <c r="E71" s="108" t="s">
        <v>41</v>
      </c>
      <c r="F71" s="108"/>
      <c r="G71" s="108"/>
      <c r="H71" s="315"/>
      <c r="I71" s="232"/>
      <c r="J71" s="152"/>
      <c r="K71" s="152"/>
      <c r="L71" s="111"/>
      <c r="M71" s="111"/>
      <c r="N71" s="61"/>
      <c r="O71" s="61"/>
      <c r="P71" s="593">
        <f t="shared" si="64"/>
        <v>0</v>
      </c>
      <c r="Q71" s="61"/>
      <c r="R71" s="61"/>
      <c r="S71" s="593">
        <f t="shared" si="65"/>
        <v>0</v>
      </c>
      <c r="T71" s="61"/>
      <c r="U71" s="61"/>
      <c r="V71" s="593">
        <f t="shared" si="66"/>
        <v>0</v>
      </c>
      <c r="W71" s="391">
        <f t="shared" si="67"/>
        <v>0</v>
      </c>
      <c r="X71" s="17">
        <f t="shared" si="68"/>
        <v>0</v>
      </c>
      <c r="Y71" s="18">
        <f>SUM(W71:X71)</f>
        <v>0</v>
      </c>
      <c r="Z71" s="19">
        <f t="shared" si="71"/>
        <v>0</v>
      </c>
      <c r="AA71" s="19"/>
      <c r="AB71" s="19"/>
      <c r="AC71" s="20"/>
      <c r="AE71" s="111"/>
      <c r="AF71" s="111"/>
      <c r="AG71" s="111"/>
      <c r="AH71" s="651"/>
      <c r="AI71" s="131"/>
      <c r="AJ71" s="117"/>
      <c r="AK71" s="111"/>
      <c r="AL71" s="111"/>
      <c r="AM71" s="111"/>
      <c r="AN71" s="651"/>
      <c r="AO71" s="131"/>
      <c r="AQ71" s="17"/>
      <c r="AR71" s="17"/>
      <c r="AS71" s="17"/>
      <c r="AT71" s="18">
        <f t="shared" si="69"/>
        <v>0</v>
      </c>
      <c r="AU71" s="19">
        <f t="shared" si="72"/>
        <v>0</v>
      </c>
      <c r="AW71" s="17"/>
      <c r="AX71" s="17"/>
      <c r="AY71" s="17"/>
      <c r="AZ71" s="424">
        <f t="shared" si="73"/>
        <v>0</v>
      </c>
      <c r="BA71" s="19">
        <f t="shared" si="70"/>
        <v>0</v>
      </c>
    </row>
    <row r="72" spans="1:53" ht="17.100000000000001" customHeight="1" x14ac:dyDescent="0.25">
      <c r="A72" s="102"/>
      <c r="B72" s="118"/>
      <c r="C72" s="118"/>
      <c r="D72" s="103" t="s">
        <v>398</v>
      </c>
      <c r="E72" s="108" t="s">
        <v>42</v>
      </c>
      <c r="F72" s="108"/>
      <c r="G72" s="108"/>
      <c r="H72" s="315"/>
      <c r="I72" s="232"/>
      <c r="J72" s="174"/>
      <c r="K72" s="174"/>
      <c r="L72" s="111"/>
      <c r="M72" s="111"/>
      <c r="N72" s="60"/>
      <c r="O72" s="60"/>
      <c r="P72" s="593">
        <f t="shared" si="64"/>
        <v>0</v>
      </c>
      <c r="Q72" s="60"/>
      <c r="R72" s="60"/>
      <c r="S72" s="593">
        <f t="shared" si="65"/>
        <v>0</v>
      </c>
      <c r="T72" s="60"/>
      <c r="U72" s="60"/>
      <c r="V72" s="593">
        <f t="shared" si="66"/>
        <v>0</v>
      </c>
      <c r="W72" s="391">
        <f t="shared" si="67"/>
        <v>0</v>
      </c>
      <c r="X72" s="17">
        <f t="shared" si="68"/>
        <v>0</v>
      </c>
      <c r="Y72" s="18">
        <f>SUM(W72:X72)</f>
        <v>0</v>
      </c>
      <c r="Z72" s="19">
        <f t="shared" si="71"/>
        <v>0</v>
      </c>
      <c r="AA72" s="19"/>
      <c r="AB72" s="19"/>
      <c r="AC72" s="20"/>
      <c r="AE72" s="111"/>
      <c r="AF72" s="111"/>
      <c r="AG72" s="111"/>
      <c r="AH72" s="651"/>
      <c r="AI72" s="131"/>
      <c r="AJ72" s="117"/>
      <c r="AK72" s="111"/>
      <c r="AL72" s="111"/>
      <c r="AM72" s="111"/>
      <c r="AN72" s="651"/>
      <c r="AO72" s="131"/>
      <c r="AQ72" s="17"/>
      <c r="AR72" s="17"/>
      <c r="AS72" s="17"/>
      <c r="AT72" s="18">
        <f t="shared" si="69"/>
        <v>0</v>
      </c>
      <c r="AU72" s="19">
        <f t="shared" si="72"/>
        <v>0</v>
      </c>
      <c r="AW72" s="17"/>
      <c r="AX72" s="17"/>
      <c r="AY72" s="17"/>
      <c r="AZ72" s="424">
        <f t="shared" si="73"/>
        <v>0</v>
      </c>
      <c r="BA72" s="19">
        <f t="shared" si="70"/>
        <v>0</v>
      </c>
    </row>
    <row r="73" spans="1:53" ht="17.100000000000001" customHeight="1" x14ac:dyDescent="0.25">
      <c r="A73" s="40"/>
      <c r="B73" s="40"/>
      <c r="C73" s="77"/>
      <c r="D73" s="78"/>
      <c r="E73" s="78"/>
      <c r="F73" s="78"/>
      <c r="G73" s="78"/>
      <c r="H73" s="316"/>
      <c r="I73" s="230"/>
      <c r="J73" s="80"/>
      <c r="K73" s="80"/>
      <c r="L73" s="80"/>
      <c r="M73" s="80"/>
      <c r="N73" s="80">
        <f>SUM(N68:N72)</f>
        <v>4</v>
      </c>
      <c r="O73" s="80">
        <f t="shared" ref="O73:X73" si="74">SUM(O68:O72)</f>
        <v>7</v>
      </c>
      <c r="P73" s="80">
        <f t="shared" si="74"/>
        <v>11</v>
      </c>
      <c r="Q73" s="80">
        <f t="shared" si="74"/>
        <v>0</v>
      </c>
      <c r="R73" s="80">
        <f t="shared" si="74"/>
        <v>0</v>
      </c>
      <c r="S73" s="80">
        <f t="shared" si="74"/>
        <v>0</v>
      </c>
      <c r="T73" s="80">
        <f t="shared" si="74"/>
        <v>0</v>
      </c>
      <c r="U73" s="80">
        <f t="shared" si="74"/>
        <v>0</v>
      </c>
      <c r="V73" s="80">
        <f t="shared" si="74"/>
        <v>0</v>
      </c>
      <c r="W73" s="381">
        <f t="shared" si="74"/>
        <v>4</v>
      </c>
      <c r="X73" s="82">
        <f t="shared" si="74"/>
        <v>7</v>
      </c>
      <c r="Y73" s="82">
        <f>SUM(Y68:Y72)</f>
        <v>11</v>
      </c>
      <c r="Z73" s="205">
        <f t="shared" si="71"/>
        <v>1</v>
      </c>
      <c r="AA73" s="205"/>
      <c r="AB73" s="205"/>
      <c r="AC73" s="83"/>
      <c r="AE73" s="81"/>
      <c r="AF73" s="81"/>
      <c r="AG73" s="81"/>
      <c r="AH73" s="82"/>
      <c r="AI73" s="66"/>
      <c r="AK73" s="81"/>
      <c r="AL73" s="81"/>
      <c r="AM73" s="81"/>
      <c r="AN73" s="82"/>
      <c r="AO73" s="66"/>
      <c r="AQ73" s="81"/>
      <c r="AR73" s="81"/>
      <c r="AS73" s="81"/>
      <c r="AT73" s="82">
        <f>SUM(AT68:AT72)</f>
        <v>4</v>
      </c>
      <c r="AU73" s="66">
        <f t="shared" si="72"/>
        <v>1</v>
      </c>
      <c r="AW73" s="81"/>
      <c r="AX73" s="81"/>
      <c r="AY73" s="81"/>
      <c r="AZ73" s="82">
        <f>SUM(AZ68:AZ72)</f>
        <v>7</v>
      </c>
      <c r="BA73" s="66">
        <f t="shared" si="70"/>
        <v>1</v>
      </c>
    </row>
    <row r="74" spans="1:53" s="117" customFormat="1" ht="17.100000000000001" customHeight="1" x14ac:dyDescent="0.25">
      <c r="A74" s="119"/>
      <c r="B74" s="119"/>
      <c r="C74" s="647"/>
      <c r="D74" s="212"/>
      <c r="E74" s="212"/>
      <c r="F74" s="212"/>
      <c r="G74" s="212"/>
      <c r="H74" s="242"/>
      <c r="I74" s="230"/>
      <c r="J74" s="17"/>
      <c r="K74" s="17"/>
      <c r="L74" s="17"/>
      <c r="M74" s="17"/>
      <c r="N74" s="17" t="str">
        <f>IF(N73=N$20,"OK","NOK")</f>
        <v>OK</v>
      </c>
      <c r="O74" s="17" t="str">
        <f>IF(O73=O$20,"OK","NOK")</f>
        <v>OK</v>
      </c>
      <c r="P74" s="17"/>
      <c r="Q74" s="17" t="str">
        <f>IF(Q73=Q$20,"OK","NOK")</f>
        <v>OK</v>
      </c>
      <c r="R74" s="17" t="str">
        <f>IF(R73=R$20,"OK","NOK")</f>
        <v>OK</v>
      </c>
      <c r="S74" s="17"/>
      <c r="T74" s="17" t="str">
        <f>IF(T73=T$20,"OK","NOK")</f>
        <v>OK</v>
      </c>
      <c r="U74" s="17" t="str">
        <f>IF(U73=U$20,"OK","NOK")</f>
        <v>OK</v>
      </c>
      <c r="V74" s="359"/>
      <c r="W74" s="382"/>
      <c r="X74" s="646"/>
      <c r="Y74" s="646"/>
      <c r="Z74" s="201"/>
      <c r="AA74" s="201"/>
      <c r="AB74" s="201"/>
      <c r="AC74" s="84"/>
      <c r="AE74" s="17"/>
      <c r="AF74" s="17"/>
      <c r="AG74" s="17"/>
      <c r="AH74" s="646"/>
      <c r="AI74" s="91"/>
      <c r="AK74" s="17"/>
      <c r="AL74" s="17"/>
      <c r="AM74" s="17"/>
      <c r="AN74" s="646"/>
      <c r="AO74" s="91"/>
      <c r="AQ74" s="17"/>
      <c r="AR74" s="17"/>
      <c r="AS74" s="17"/>
      <c r="AT74" s="646"/>
      <c r="AU74" s="91"/>
      <c r="AW74" s="17"/>
      <c r="AX74" s="17"/>
      <c r="AY74" s="17"/>
      <c r="AZ74" s="17"/>
      <c r="BA74" s="91"/>
    </row>
    <row r="75" spans="1:53" ht="17.100000000000001" customHeight="1" x14ac:dyDescent="0.25">
      <c r="A75" s="68"/>
      <c r="B75" s="41" t="s">
        <v>43</v>
      </c>
      <c r="C75" s="69" t="s">
        <v>44</v>
      </c>
      <c r="D75" s="50"/>
      <c r="E75" s="70"/>
      <c r="F75" s="70"/>
      <c r="G75" s="70"/>
      <c r="H75" s="119"/>
      <c r="J75" s="71"/>
      <c r="K75" s="71"/>
      <c r="L75" s="71"/>
      <c r="M75" s="71"/>
      <c r="N75" s="71"/>
      <c r="O75" s="71"/>
      <c r="P75" s="71"/>
      <c r="Q75" s="71"/>
      <c r="R75" s="71"/>
      <c r="S75" s="71"/>
      <c r="T75" s="71"/>
      <c r="U75" s="71"/>
      <c r="V75" s="355"/>
      <c r="W75" s="377"/>
      <c r="X75" s="71"/>
      <c r="Y75" s="72"/>
      <c r="Z75" s="73"/>
      <c r="AA75" s="73"/>
      <c r="AB75" s="73"/>
      <c r="AC75" s="73"/>
      <c r="AE75" s="71"/>
      <c r="AF75" s="71"/>
      <c r="AG75" s="71"/>
      <c r="AH75" s="72"/>
      <c r="AI75" s="73"/>
      <c r="AJ75" s="117"/>
      <c r="AK75" s="71"/>
      <c r="AL75" s="71"/>
      <c r="AM75" s="71"/>
      <c r="AN75" s="72"/>
      <c r="AO75" s="73"/>
      <c r="AP75" s="117"/>
      <c r="AQ75" s="71"/>
      <c r="AR75" s="71"/>
      <c r="AS75" s="71"/>
      <c r="AT75" s="72"/>
      <c r="AU75" s="73"/>
      <c r="AV75" s="117"/>
      <c r="AW75" s="71"/>
      <c r="AX75" s="71"/>
      <c r="AY75" s="71"/>
      <c r="AZ75" s="273"/>
      <c r="BA75" s="73"/>
    </row>
    <row r="76" spans="1:53" ht="17.100000000000001" customHeight="1" x14ac:dyDescent="0.25">
      <c r="A76" s="102"/>
      <c r="B76" s="102"/>
      <c r="C76" s="103" t="s">
        <v>45</v>
      </c>
      <c r="D76" s="108" t="s">
        <v>46</v>
      </c>
      <c r="E76" s="108"/>
      <c r="F76" s="108"/>
      <c r="G76" s="108"/>
      <c r="H76" s="258"/>
      <c r="I76" s="232"/>
      <c r="J76" s="111"/>
      <c r="K76" s="111"/>
      <c r="L76" s="111"/>
      <c r="M76" s="111"/>
      <c r="N76" s="111"/>
      <c r="O76" s="111"/>
      <c r="P76" s="111"/>
      <c r="Q76" s="111"/>
      <c r="R76" s="111"/>
      <c r="S76" s="111"/>
      <c r="T76" s="111"/>
      <c r="U76" s="111"/>
      <c r="V76" s="358"/>
      <c r="W76" s="380"/>
      <c r="X76" s="111"/>
      <c r="Y76" s="112"/>
      <c r="Z76" s="113"/>
      <c r="AA76" s="113"/>
      <c r="AB76" s="113"/>
      <c r="AC76" s="113"/>
      <c r="AE76" s="114"/>
      <c r="AF76" s="114"/>
      <c r="AG76" s="114"/>
      <c r="AH76" s="112"/>
      <c r="AI76" s="113"/>
      <c r="AJ76" s="117"/>
      <c r="AK76" s="114"/>
      <c r="AL76" s="114"/>
      <c r="AM76" s="114"/>
      <c r="AN76" s="112"/>
      <c r="AO76" s="113"/>
      <c r="AP76" s="117"/>
      <c r="AQ76" s="114"/>
      <c r="AR76" s="114"/>
      <c r="AS76" s="114"/>
      <c r="AT76" s="112"/>
      <c r="AU76" s="113"/>
      <c r="AV76" s="117"/>
      <c r="AW76" s="114"/>
      <c r="AX76" s="114"/>
      <c r="AY76" s="114"/>
      <c r="AZ76" s="114"/>
      <c r="BA76" s="113"/>
    </row>
    <row r="77" spans="1:53" ht="17.100000000000001" customHeight="1" x14ac:dyDescent="0.25">
      <c r="A77" s="102"/>
      <c r="B77" s="102"/>
      <c r="C77" s="102"/>
      <c r="D77" s="103" t="s">
        <v>47</v>
      </c>
      <c r="E77" s="108" t="s">
        <v>35</v>
      </c>
      <c r="F77" s="108"/>
      <c r="G77" s="108"/>
      <c r="H77" s="258"/>
      <c r="I77" s="232"/>
      <c r="J77" s="152"/>
      <c r="K77" s="152"/>
      <c r="L77" s="111"/>
      <c r="M77" s="111"/>
      <c r="N77" s="152"/>
      <c r="O77" s="111"/>
      <c r="P77" s="60">
        <v>1</v>
      </c>
      <c r="Q77" s="152"/>
      <c r="R77" s="111"/>
      <c r="S77" s="60"/>
      <c r="T77" s="152"/>
      <c r="U77" s="111"/>
      <c r="V77" s="361"/>
      <c r="W77" s="391"/>
      <c r="X77" s="17"/>
      <c r="Y77" s="18">
        <f>M77+P77+S77+V77</f>
        <v>1</v>
      </c>
      <c r="Z77" s="19">
        <f>IF(Y$81=0,0,Y77/Y$81)</f>
        <v>1</v>
      </c>
      <c r="AA77" s="19"/>
      <c r="AB77" s="19"/>
      <c r="AC77" s="20"/>
      <c r="AE77" s="111"/>
      <c r="AF77" s="111"/>
      <c r="AG77" s="111"/>
      <c r="AH77" s="651"/>
      <c r="AI77" s="131"/>
      <c r="AJ77" s="117"/>
      <c r="AK77" s="111"/>
      <c r="AL77" s="111"/>
      <c r="AM77" s="111"/>
      <c r="AN77" s="651"/>
      <c r="AO77" s="131"/>
      <c r="AP77" s="117"/>
      <c r="AQ77" s="111"/>
      <c r="AR77" s="111"/>
      <c r="AS77" s="111"/>
      <c r="AT77" s="651"/>
      <c r="AU77" s="131"/>
      <c r="AV77" s="117"/>
      <c r="AW77" s="111"/>
      <c r="AX77" s="111"/>
      <c r="AY77" s="111"/>
      <c r="AZ77" s="111"/>
      <c r="BA77" s="131"/>
    </row>
    <row r="78" spans="1:53" ht="17.100000000000001" customHeight="1" x14ac:dyDescent="0.25">
      <c r="A78" s="102"/>
      <c r="B78" s="102"/>
      <c r="C78" s="102"/>
      <c r="D78" s="103" t="s">
        <v>48</v>
      </c>
      <c r="E78" s="108" t="s">
        <v>49</v>
      </c>
      <c r="F78" s="108"/>
      <c r="G78" s="108"/>
      <c r="H78" s="258"/>
      <c r="I78" s="232"/>
      <c r="J78" s="152"/>
      <c r="K78" s="152"/>
      <c r="L78" s="111"/>
      <c r="M78" s="111"/>
      <c r="N78" s="152"/>
      <c r="O78" s="111"/>
      <c r="P78" s="61"/>
      <c r="Q78" s="152"/>
      <c r="R78" s="111"/>
      <c r="S78" s="61"/>
      <c r="T78" s="152"/>
      <c r="U78" s="111"/>
      <c r="V78" s="362"/>
      <c r="W78" s="391"/>
      <c r="X78" s="17"/>
      <c r="Y78" s="18">
        <f t="shared" ref="Y78:Y80" si="75">M78+P78+S78+V78</f>
        <v>0</v>
      </c>
      <c r="Z78" s="19">
        <f t="shared" ref="Z78:Z81" si="76">IF(Y$81=0,0,Y78/Y$81)</f>
        <v>0</v>
      </c>
      <c r="AA78" s="19"/>
      <c r="AB78" s="19"/>
      <c r="AC78" s="20"/>
      <c r="AE78" s="111"/>
      <c r="AF78" s="111"/>
      <c r="AG78" s="111"/>
      <c r="AH78" s="651"/>
      <c r="AI78" s="131"/>
      <c r="AJ78" s="117"/>
      <c r="AK78" s="111"/>
      <c r="AL78" s="111"/>
      <c r="AM78" s="111"/>
      <c r="AN78" s="651"/>
      <c r="AO78" s="131"/>
      <c r="AP78" s="117"/>
      <c r="AQ78" s="111"/>
      <c r="AR78" s="111"/>
      <c r="AS78" s="111"/>
      <c r="AT78" s="651"/>
      <c r="AU78" s="131"/>
      <c r="AV78" s="117"/>
      <c r="AW78" s="111"/>
      <c r="AX78" s="111"/>
      <c r="AY78" s="111"/>
      <c r="AZ78" s="111"/>
      <c r="BA78" s="131"/>
    </row>
    <row r="79" spans="1:53" ht="17.100000000000001" customHeight="1" x14ac:dyDescent="0.25">
      <c r="A79" s="102"/>
      <c r="B79" s="102"/>
      <c r="C79" s="102"/>
      <c r="D79" s="103" t="s">
        <v>50</v>
      </c>
      <c r="E79" s="108" t="s">
        <v>51</v>
      </c>
      <c r="F79" s="108"/>
      <c r="G79" s="108"/>
      <c r="H79" s="258"/>
      <c r="I79" s="232"/>
      <c r="J79" s="152"/>
      <c r="K79" s="152"/>
      <c r="L79" s="111"/>
      <c r="M79" s="111"/>
      <c r="N79" s="152"/>
      <c r="O79" s="111"/>
      <c r="P79" s="60"/>
      <c r="Q79" s="152"/>
      <c r="R79" s="111"/>
      <c r="S79" s="60"/>
      <c r="T79" s="152"/>
      <c r="U79" s="111"/>
      <c r="V79" s="361"/>
      <c r="W79" s="391"/>
      <c r="X79" s="17"/>
      <c r="Y79" s="18">
        <f t="shared" si="75"/>
        <v>0</v>
      </c>
      <c r="Z79" s="19">
        <f t="shared" si="76"/>
        <v>0</v>
      </c>
      <c r="AA79" s="19"/>
      <c r="AB79" s="19"/>
      <c r="AC79" s="20"/>
      <c r="AE79" s="111"/>
      <c r="AF79" s="111"/>
      <c r="AG79" s="111"/>
      <c r="AH79" s="651"/>
      <c r="AI79" s="131"/>
      <c r="AJ79" s="117"/>
      <c r="AK79" s="111"/>
      <c r="AL79" s="111"/>
      <c r="AM79" s="111"/>
      <c r="AN79" s="651"/>
      <c r="AO79" s="131"/>
      <c r="AP79" s="117"/>
      <c r="AQ79" s="111"/>
      <c r="AR79" s="111"/>
      <c r="AS79" s="111"/>
      <c r="AT79" s="651"/>
      <c r="AU79" s="131"/>
      <c r="AV79" s="117"/>
      <c r="AW79" s="111"/>
      <c r="AX79" s="111"/>
      <c r="AY79" s="111"/>
      <c r="AZ79" s="111"/>
      <c r="BA79" s="131"/>
    </row>
    <row r="80" spans="1:53" ht="17.100000000000001" customHeight="1" x14ac:dyDescent="0.25">
      <c r="A80" s="102"/>
      <c r="B80" s="102"/>
      <c r="C80" s="102"/>
      <c r="D80" s="103" t="s">
        <v>52</v>
      </c>
      <c r="E80" s="108" t="s">
        <v>53</v>
      </c>
      <c r="F80" s="108"/>
      <c r="G80" s="108"/>
      <c r="H80" s="258"/>
      <c r="I80" s="232"/>
      <c r="J80" s="152"/>
      <c r="K80" s="152"/>
      <c r="L80" s="111"/>
      <c r="M80" s="111"/>
      <c r="N80" s="152"/>
      <c r="O80" s="111"/>
      <c r="P80" s="61"/>
      <c r="Q80" s="152"/>
      <c r="R80" s="111"/>
      <c r="S80" s="61"/>
      <c r="T80" s="152"/>
      <c r="U80" s="111"/>
      <c r="V80" s="362"/>
      <c r="W80" s="391"/>
      <c r="X80" s="17"/>
      <c r="Y80" s="18">
        <f t="shared" si="75"/>
        <v>0</v>
      </c>
      <c r="Z80" s="19">
        <f t="shared" si="76"/>
        <v>0</v>
      </c>
      <c r="AA80" s="19"/>
      <c r="AB80" s="19"/>
      <c r="AC80" s="20"/>
      <c r="AE80" s="111"/>
      <c r="AF80" s="111"/>
      <c r="AG80" s="111"/>
      <c r="AH80" s="651"/>
      <c r="AI80" s="131"/>
      <c r="AJ80" s="117"/>
      <c r="AK80" s="111"/>
      <c r="AL80" s="111"/>
      <c r="AM80" s="111"/>
      <c r="AN80" s="651"/>
      <c r="AO80" s="131"/>
      <c r="AP80" s="117"/>
      <c r="AQ80" s="111"/>
      <c r="AR80" s="111"/>
      <c r="AS80" s="111"/>
      <c r="AT80" s="651"/>
      <c r="AU80" s="131"/>
      <c r="AV80" s="117"/>
      <c r="AW80" s="111"/>
      <c r="AX80" s="111"/>
      <c r="AY80" s="111"/>
      <c r="AZ80" s="111"/>
      <c r="BA80" s="131"/>
    </row>
    <row r="81" spans="1:53" ht="17.100000000000001" customHeight="1" x14ac:dyDescent="0.25">
      <c r="A81" s="40"/>
      <c r="B81" s="40"/>
      <c r="C81" s="77"/>
      <c r="D81" s="78"/>
      <c r="E81" s="78"/>
      <c r="F81" s="78"/>
      <c r="G81" s="78"/>
      <c r="H81" s="242"/>
      <c r="I81" s="230"/>
      <c r="J81" s="80"/>
      <c r="K81" s="80"/>
      <c r="L81" s="81"/>
      <c r="M81" s="81"/>
      <c r="N81" s="81"/>
      <c r="O81" s="81"/>
      <c r="P81" s="82">
        <f>SUM(P77:P80)</f>
        <v>1</v>
      </c>
      <c r="Q81" s="81"/>
      <c r="R81" s="81"/>
      <c r="S81" s="82">
        <f>SUM(S77:S80)</f>
        <v>0</v>
      </c>
      <c r="T81" s="81"/>
      <c r="U81" s="81"/>
      <c r="V81" s="360">
        <f>SUM(V77:V80)</f>
        <v>0</v>
      </c>
      <c r="W81" s="381"/>
      <c r="X81" s="82"/>
      <c r="Y81" s="82">
        <f t="shared" ref="Y81" si="77">SUM(Y77:Y80)</f>
        <v>1</v>
      </c>
      <c r="Z81" s="205">
        <f t="shared" si="76"/>
        <v>1</v>
      </c>
      <c r="AA81" s="205"/>
      <c r="AB81" s="205"/>
      <c r="AC81" s="83"/>
      <c r="AE81" s="81"/>
      <c r="AF81" s="81"/>
      <c r="AG81" s="81"/>
      <c r="AH81" s="82"/>
      <c r="AI81" s="66"/>
      <c r="AJ81" s="117"/>
      <c r="AK81" s="81"/>
      <c r="AL81" s="81"/>
      <c r="AM81" s="81"/>
      <c r="AN81" s="82"/>
      <c r="AO81" s="66"/>
      <c r="AP81" s="117"/>
      <c r="AQ81" s="81"/>
      <c r="AR81" s="81"/>
      <c r="AS81" s="81"/>
      <c r="AT81" s="82"/>
      <c r="AU81" s="66"/>
      <c r="AV81" s="117"/>
      <c r="AW81" s="81"/>
      <c r="AX81" s="81"/>
      <c r="AY81" s="81"/>
      <c r="AZ81" s="81"/>
      <c r="BA81" s="66"/>
    </row>
    <row r="82" spans="1:53" s="117" customFormat="1" ht="17.100000000000001" customHeight="1" x14ac:dyDescent="0.25">
      <c r="A82" s="119"/>
      <c r="B82" s="119"/>
      <c r="C82" s="647"/>
      <c r="D82" s="212"/>
      <c r="E82" s="212"/>
      <c r="F82" s="212"/>
      <c r="G82" s="212"/>
      <c r="H82" s="242"/>
      <c r="I82" s="230"/>
      <c r="J82" s="17"/>
      <c r="K82" s="17"/>
      <c r="L82" s="17"/>
      <c r="M82" s="17"/>
      <c r="N82" s="17"/>
      <c r="O82" s="17"/>
      <c r="P82" s="17" t="str">
        <f>IF(P81=1,"OK","NOK")</f>
        <v>OK</v>
      </c>
      <c r="Q82" s="17"/>
      <c r="R82" s="17"/>
      <c r="S82" s="17" t="str">
        <f>IF(S81=1,"OK","NOK")</f>
        <v>NOK</v>
      </c>
      <c r="T82" s="17"/>
      <c r="U82" s="17"/>
      <c r="V82" s="359" t="str">
        <f>IF(V81=1,"OK","NOK")</f>
        <v>NOK</v>
      </c>
      <c r="W82" s="382"/>
      <c r="X82" s="646"/>
      <c r="Y82" s="646"/>
      <c r="Z82" s="201"/>
      <c r="AA82" s="201"/>
      <c r="AB82" s="201"/>
      <c r="AC82" s="84"/>
      <c r="AE82" s="17"/>
      <c r="AF82" s="17"/>
      <c r="AG82" s="17"/>
      <c r="AH82" s="646"/>
      <c r="AI82" s="91"/>
      <c r="AK82" s="17"/>
      <c r="AL82" s="17"/>
      <c r="AM82" s="17"/>
      <c r="AN82" s="646"/>
      <c r="AO82" s="91"/>
      <c r="AQ82" s="17"/>
      <c r="AR82" s="17"/>
      <c r="AS82" s="17"/>
      <c r="AT82" s="646"/>
      <c r="AU82" s="91"/>
      <c r="AW82" s="17"/>
      <c r="AX82" s="17"/>
      <c r="AY82" s="17"/>
      <c r="AZ82" s="17"/>
      <c r="BA82" s="91"/>
    </row>
    <row r="83" spans="1:53" ht="17.100000000000001" customHeight="1" x14ac:dyDescent="0.25">
      <c r="A83" s="102"/>
      <c r="B83" s="102"/>
      <c r="C83" s="103"/>
      <c r="D83" s="108"/>
      <c r="E83" s="108"/>
      <c r="F83" s="108"/>
      <c r="G83" s="108"/>
      <c r="H83" s="258"/>
      <c r="I83" s="232"/>
      <c r="J83" s="111"/>
      <c r="K83" s="111"/>
      <c r="L83" s="111"/>
      <c r="M83" s="111"/>
      <c r="N83" s="111"/>
      <c r="O83" s="111"/>
      <c r="P83" s="111"/>
      <c r="Q83" s="111"/>
      <c r="R83" s="111"/>
      <c r="S83" s="111"/>
      <c r="T83" s="111"/>
      <c r="U83" s="111"/>
      <c r="V83" s="358"/>
      <c r="W83" s="380"/>
      <c r="X83" s="111"/>
      <c r="Y83" s="112"/>
      <c r="Z83" s="113"/>
      <c r="AA83" s="113"/>
      <c r="AB83" s="113"/>
      <c r="AC83" s="113"/>
      <c r="AE83" s="114"/>
      <c r="AF83" s="114"/>
      <c r="AG83" s="114"/>
      <c r="AH83" s="112"/>
      <c r="AI83" s="113"/>
      <c r="AJ83" s="117"/>
      <c r="AK83" s="114"/>
      <c r="AL83" s="114"/>
      <c r="AM83" s="114"/>
      <c r="AN83" s="112"/>
      <c r="AO83" s="113"/>
      <c r="AP83" s="117"/>
      <c r="AQ83" s="114"/>
      <c r="AR83" s="114"/>
      <c r="AS83" s="114"/>
      <c r="AT83" s="112"/>
      <c r="AU83" s="113"/>
      <c r="AV83" s="117"/>
      <c r="AW83" s="114"/>
      <c r="AX83" s="114"/>
      <c r="AY83" s="114"/>
      <c r="AZ83" s="114"/>
      <c r="BA83" s="113"/>
    </row>
    <row r="84" spans="1:53" ht="17.100000000000001" customHeight="1" x14ac:dyDescent="0.25">
      <c r="A84" s="102"/>
      <c r="B84" s="118"/>
      <c r="C84" s="118"/>
      <c r="D84" s="103"/>
      <c r="E84" s="108"/>
      <c r="F84" s="108"/>
      <c r="G84" s="108"/>
      <c r="H84" s="258"/>
      <c r="I84" s="232"/>
      <c r="J84" s="152"/>
      <c r="K84" s="152"/>
      <c r="L84" s="111"/>
      <c r="M84" s="111"/>
      <c r="N84" s="152"/>
      <c r="O84" s="111"/>
      <c r="P84" s="587"/>
      <c r="Q84" s="152"/>
      <c r="R84" s="111"/>
      <c r="S84" s="587"/>
      <c r="T84" s="152"/>
      <c r="U84" s="111"/>
      <c r="V84" s="590"/>
      <c r="W84" s="391"/>
      <c r="X84" s="17"/>
      <c r="Y84" s="18"/>
      <c r="Z84" s="19"/>
      <c r="AA84" s="19"/>
      <c r="AB84" s="19"/>
      <c r="AC84" s="20"/>
      <c r="AE84" s="111"/>
      <c r="AF84" s="111"/>
      <c r="AG84" s="111"/>
      <c r="AH84" s="651"/>
      <c r="AI84" s="131"/>
      <c r="AJ84" s="117"/>
      <c r="AK84" s="111"/>
      <c r="AL84" s="111"/>
      <c r="AM84" s="111"/>
      <c r="AN84" s="651"/>
      <c r="AO84" s="131"/>
      <c r="AP84" s="117"/>
      <c r="AQ84" s="111"/>
      <c r="AR84" s="111"/>
      <c r="AS84" s="111"/>
      <c r="AT84" s="651"/>
      <c r="AU84" s="131"/>
      <c r="AV84" s="117"/>
      <c r="AW84" s="111"/>
      <c r="AX84" s="111"/>
      <c r="AY84" s="111"/>
      <c r="AZ84" s="111"/>
      <c r="BA84" s="131"/>
    </row>
    <row r="85" spans="1:53" ht="17.100000000000001" customHeight="1" x14ac:dyDescent="0.25">
      <c r="A85" s="102"/>
      <c r="B85" s="118"/>
      <c r="C85" s="118"/>
      <c r="D85" s="103"/>
      <c r="E85" s="108"/>
      <c r="F85" s="108"/>
      <c r="G85" s="108"/>
      <c r="H85" s="258"/>
      <c r="I85" s="232"/>
      <c r="J85" s="152"/>
      <c r="K85" s="152"/>
      <c r="L85" s="111"/>
      <c r="M85" s="111"/>
      <c r="N85" s="152"/>
      <c r="O85" s="111"/>
      <c r="P85" s="588"/>
      <c r="Q85" s="152"/>
      <c r="R85" s="111"/>
      <c r="S85" s="588"/>
      <c r="T85" s="152"/>
      <c r="U85" s="111"/>
      <c r="V85" s="591"/>
      <c r="W85" s="391"/>
      <c r="X85" s="17"/>
      <c r="Y85" s="18"/>
      <c r="Z85" s="19"/>
      <c r="AA85" s="19"/>
      <c r="AB85" s="19"/>
      <c r="AC85" s="20"/>
      <c r="AE85" s="111"/>
      <c r="AF85" s="111"/>
      <c r="AG85" s="111"/>
      <c r="AH85" s="651"/>
      <c r="AI85" s="131"/>
      <c r="AJ85" s="117"/>
      <c r="AK85" s="111"/>
      <c r="AL85" s="111"/>
      <c r="AM85" s="111"/>
      <c r="AN85" s="651"/>
      <c r="AO85" s="131"/>
      <c r="AP85" s="117"/>
      <c r="AQ85" s="111"/>
      <c r="AR85" s="111"/>
      <c r="AS85" s="111"/>
      <c r="AT85" s="651"/>
      <c r="AU85" s="131"/>
      <c r="AV85" s="117"/>
      <c r="AW85" s="111"/>
      <c r="AX85" s="111"/>
      <c r="AY85" s="111"/>
      <c r="AZ85" s="111"/>
      <c r="BA85" s="131"/>
    </row>
    <row r="86" spans="1:53" ht="17.100000000000001" customHeight="1" x14ac:dyDescent="0.25">
      <c r="A86" s="102"/>
      <c r="B86" s="118"/>
      <c r="C86" s="118"/>
      <c r="D86" s="103"/>
      <c r="E86" s="108"/>
      <c r="F86" s="108"/>
      <c r="G86" s="108"/>
      <c r="H86" s="258"/>
      <c r="I86" s="232"/>
      <c r="J86" s="152"/>
      <c r="K86" s="152"/>
      <c r="L86" s="111"/>
      <c r="M86" s="111"/>
      <c r="N86" s="152"/>
      <c r="O86" s="111"/>
      <c r="P86" s="587"/>
      <c r="Q86" s="152"/>
      <c r="R86" s="111"/>
      <c r="S86" s="587"/>
      <c r="T86" s="152"/>
      <c r="U86" s="111"/>
      <c r="V86" s="590"/>
      <c r="W86" s="391"/>
      <c r="X86" s="17"/>
      <c r="Y86" s="18"/>
      <c r="Z86" s="19"/>
      <c r="AA86" s="19"/>
      <c r="AB86" s="19"/>
      <c r="AC86" s="20"/>
      <c r="AE86" s="111"/>
      <c r="AF86" s="111"/>
      <c r="AG86" s="111"/>
      <c r="AH86" s="651"/>
      <c r="AI86" s="131"/>
      <c r="AJ86" s="117"/>
      <c r="AK86" s="111"/>
      <c r="AL86" s="111"/>
      <c r="AM86" s="111"/>
      <c r="AN86" s="651"/>
      <c r="AO86" s="131"/>
      <c r="AP86" s="117"/>
      <c r="AQ86" s="111"/>
      <c r="AR86" s="111"/>
      <c r="AS86" s="111"/>
      <c r="AT86" s="651"/>
      <c r="AU86" s="131"/>
      <c r="AV86" s="117"/>
      <c r="AW86" s="111"/>
      <c r="AX86" s="111"/>
      <c r="AY86" s="111"/>
      <c r="AZ86" s="111"/>
      <c r="BA86" s="131"/>
    </row>
    <row r="87" spans="1:53" ht="17.100000000000001" customHeight="1" x14ac:dyDescent="0.25">
      <c r="A87" s="102"/>
      <c r="B87" s="118"/>
      <c r="C87" s="118"/>
      <c r="D87" s="103"/>
      <c r="E87" s="108"/>
      <c r="F87" s="108"/>
      <c r="G87" s="108"/>
      <c r="H87" s="258"/>
      <c r="I87" s="232"/>
      <c r="J87" s="152"/>
      <c r="K87" s="152"/>
      <c r="L87" s="111"/>
      <c r="M87" s="111"/>
      <c r="N87" s="152"/>
      <c r="O87" s="111"/>
      <c r="P87" s="588"/>
      <c r="Q87" s="152"/>
      <c r="R87" s="111"/>
      <c r="S87" s="588"/>
      <c r="T87" s="152"/>
      <c r="U87" s="111"/>
      <c r="V87" s="591"/>
      <c r="W87" s="391"/>
      <c r="X87" s="17"/>
      <c r="Y87" s="18"/>
      <c r="Z87" s="19"/>
      <c r="AA87" s="19"/>
      <c r="AB87" s="19"/>
      <c r="AC87" s="20"/>
      <c r="AE87" s="111"/>
      <c r="AF87" s="111"/>
      <c r="AG87" s="111"/>
      <c r="AH87" s="651"/>
      <c r="AI87" s="131"/>
      <c r="AJ87" s="117"/>
      <c r="AK87" s="111"/>
      <c r="AL87" s="111"/>
      <c r="AM87" s="111"/>
      <c r="AN87" s="651"/>
      <c r="AO87" s="131"/>
      <c r="AP87" s="117"/>
      <c r="AQ87" s="111"/>
      <c r="AR87" s="111"/>
      <c r="AS87" s="111"/>
      <c r="AT87" s="651"/>
      <c r="AU87" s="131"/>
      <c r="AV87" s="117"/>
      <c r="AW87" s="111"/>
      <c r="AX87" s="111"/>
      <c r="AY87" s="111"/>
      <c r="AZ87" s="111"/>
      <c r="BA87" s="131"/>
    </row>
    <row r="88" spans="1:53" ht="17.100000000000001" customHeight="1" x14ac:dyDescent="0.25">
      <c r="A88" s="40"/>
      <c r="B88" s="40"/>
      <c r="C88" s="77"/>
      <c r="D88" s="78"/>
      <c r="E88" s="78"/>
      <c r="F88" s="78"/>
      <c r="G88" s="78"/>
      <c r="H88" s="242"/>
      <c r="I88" s="230"/>
      <c r="J88" s="80"/>
      <c r="K88" s="80"/>
      <c r="L88" s="81"/>
      <c r="M88" s="81"/>
      <c r="N88" s="81"/>
      <c r="O88" s="81"/>
      <c r="P88" s="82"/>
      <c r="Q88" s="81"/>
      <c r="R88" s="81"/>
      <c r="S88" s="82"/>
      <c r="T88" s="81"/>
      <c r="U88" s="81"/>
      <c r="V88" s="360"/>
      <c r="W88" s="381"/>
      <c r="X88" s="82"/>
      <c r="Y88" s="82"/>
      <c r="Z88" s="205"/>
      <c r="AA88" s="205"/>
      <c r="AB88" s="205"/>
      <c r="AC88" s="83"/>
      <c r="AE88" s="81"/>
      <c r="AF88" s="81"/>
      <c r="AG88" s="81"/>
      <c r="AH88" s="82"/>
      <c r="AI88" s="66"/>
      <c r="AJ88" s="117"/>
      <c r="AK88" s="81"/>
      <c r="AL88" s="81"/>
      <c r="AM88" s="81"/>
      <c r="AN88" s="82"/>
      <c r="AO88" s="66"/>
      <c r="AP88" s="117"/>
      <c r="AQ88" s="81"/>
      <c r="AR88" s="81"/>
      <c r="AS88" s="81"/>
      <c r="AT88" s="82"/>
      <c r="AU88" s="66"/>
      <c r="AV88" s="117"/>
      <c r="AW88" s="81"/>
      <c r="AX88" s="81"/>
      <c r="AY88" s="81"/>
      <c r="AZ88" s="81"/>
      <c r="BA88" s="66"/>
    </row>
    <row r="89" spans="1:53" s="117" customFormat="1" ht="17.100000000000001" customHeight="1" x14ac:dyDescent="0.25">
      <c r="A89" s="119"/>
      <c r="B89" s="119"/>
      <c r="C89" s="647"/>
      <c r="D89" s="212"/>
      <c r="E89" s="212"/>
      <c r="F89" s="212"/>
      <c r="G89" s="212"/>
      <c r="H89" s="242"/>
      <c r="I89" s="230"/>
      <c r="J89" s="17"/>
      <c r="K89" s="17"/>
      <c r="L89" s="17"/>
      <c r="M89" s="17"/>
      <c r="N89" s="17"/>
      <c r="O89" s="17"/>
      <c r="P89" s="17"/>
      <c r="Q89" s="17"/>
      <c r="R89" s="17"/>
      <c r="S89" s="17"/>
      <c r="T89" s="17"/>
      <c r="U89" s="17"/>
      <c r="V89" s="359"/>
      <c r="W89" s="382"/>
      <c r="X89" s="646"/>
      <c r="Y89" s="646"/>
      <c r="Z89" s="201"/>
      <c r="AA89" s="201"/>
      <c r="AB89" s="201"/>
      <c r="AC89" s="84"/>
      <c r="AE89" s="17"/>
      <c r="AF89" s="17"/>
      <c r="AG89" s="17"/>
      <c r="AH89" s="646"/>
      <c r="AI89" s="91"/>
      <c r="AK89" s="17"/>
      <c r="AL89" s="17"/>
      <c r="AM89" s="17"/>
      <c r="AN89" s="646"/>
      <c r="AO89" s="91"/>
      <c r="AQ89" s="17"/>
      <c r="AR89" s="17"/>
      <c r="AS89" s="17"/>
      <c r="AT89" s="646"/>
      <c r="AU89" s="91"/>
      <c r="AW89" s="17"/>
      <c r="AX89" s="17"/>
      <c r="AY89" s="17"/>
      <c r="AZ89" s="17"/>
      <c r="BA89" s="91"/>
    </row>
    <row r="90" spans="1:53" ht="17.100000000000001" customHeight="1" x14ac:dyDescent="0.25">
      <c r="A90" s="68"/>
      <c r="B90" s="41" t="s">
        <v>63</v>
      </c>
      <c r="C90" s="69" t="s">
        <v>64</v>
      </c>
      <c r="D90" s="50"/>
      <c r="E90" s="70"/>
      <c r="F90" s="70"/>
      <c r="G90" s="70"/>
      <c r="H90" s="84"/>
      <c r="J90" s="71"/>
      <c r="K90" s="71"/>
      <c r="L90" s="71"/>
      <c r="M90" s="71"/>
      <c r="N90" s="71"/>
      <c r="O90" s="71"/>
      <c r="P90" s="71"/>
      <c r="Q90" s="71"/>
      <c r="R90" s="71"/>
      <c r="S90" s="71"/>
      <c r="T90" s="71"/>
      <c r="U90" s="71"/>
      <c r="V90" s="71"/>
      <c r="W90" s="71"/>
      <c r="X90" s="71"/>
      <c r="Y90" s="71"/>
      <c r="Z90" s="73"/>
      <c r="AA90" s="73"/>
      <c r="AB90" s="73"/>
      <c r="AC90" s="73"/>
      <c r="AE90" s="71"/>
      <c r="AF90" s="71"/>
      <c r="AG90" s="71"/>
      <c r="AH90" s="72"/>
      <c r="AI90" s="73"/>
      <c r="AJ90" s="117"/>
      <c r="AK90" s="71"/>
      <c r="AL90" s="71"/>
      <c r="AM90" s="71"/>
      <c r="AN90" s="72"/>
      <c r="AO90" s="73"/>
      <c r="AP90" s="117"/>
      <c r="AQ90" s="71"/>
      <c r="AR90" s="71"/>
      <c r="AS90" s="71"/>
      <c r="AT90" s="72"/>
      <c r="AU90" s="73"/>
      <c r="AV90" s="117"/>
      <c r="AW90" s="71"/>
      <c r="AX90" s="71"/>
      <c r="AY90" s="71"/>
      <c r="AZ90" s="273"/>
      <c r="BA90" s="73"/>
    </row>
    <row r="91" spans="1:53" ht="17.100000000000001" customHeight="1" x14ac:dyDescent="0.25">
      <c r="A91" s="102"/>
      <c r="B91" s="102"/>
      <c r="C91" s="103" t="s">
        <v>65</v>
      </c>
      <c r="D91" s="108" t="s">
        <v>66</v>
      </c>
      <c r="E91" s="108"/>
      <c r="F91" s="108"/>
      <c r="G91" s="108"/>
      <c r="H91" s="315"/>
      <c r="I91" s="232"/>
      <c r="J91" s="111"/>
      <c r="K91" s="111"/>
      <c r="L91" s="111"/>
      <c r="M91" s="111"/>
      <c r="N91" s="111"/>
      <c r="O91" s="111"/>
      <c r="P91" s="111"/>
      <c r="Q91" s="111"/>
      <c r="R91" s="111"/>
      <c r="S91" s="111"/>
      <c r="T91" s="111"/>
      <c r="U91" s="111"/>
      <c r="V91" s="111"/>
      <c r="W91" s="111"/>
      <c r="X91" s="111"/>
      <c r="Y91" s="111"/>
      <c r="Z91" s="113"/>
      <c r="AA91" s="113"/>
      <c r="AB91" s="113"/>
      <c r="AC91" s="113"/>
      <c r="AE91" s="114"/>
      <c r="AF91" s="114"/>
      <c r="AG91" s="114"/>
      <c r="AH91" s="112"/>
      <c r="AI91" s="113"/>
      <c r="AJ91" s="117"/>
      <c r="AK91" s="114"/>
      <c r="AL91" s="114"/>
      <c r="AM91" s="114"/>
      <c r="AN91" s="112"/>
      <c r="AO91" s="113"/>
      <c r="AP91" s="117"/>
      <c r="AQ91" s="114"/>
      <c r="AR91" s="114"/>
      <c r="AS91" s="114"/>
      <c r="AT91" s="112"/>
      <c r="AU91" s="113"/>
      <c r="AV91" s="117"/>
      <c r="AW91" s="114"/>
      <c r="AX91" s="114"/>
      <c r="AY91" s="114"/>
      <c r="AZ91" s="114"/>
      <c r="BA91" s="113"/>
    </row>
    <row r="92" spans="1:53" ht="17.100000000000001" customHeight="1" x14ac:dyDescent="0.25">
      <c r="A92" s="102"/>
      <c r="B92" s="118"/>
      <c r="C92" s="118"/>
      <c r="D92" s="103" t="s">
        <v>67</v>
      </c>
      <c r="E92" s="278" t="s">
        <v>558</v>
      </c>
      <c r="F92" s="312"/>
      <c r="G92" s="312"/>
      <c r="H92" s="317"/>
      <c r="I92" s="307"/>
      <c r="J92" s="152"/>
      <c r="K92" s="152"/>
      <c r="L92" s="111"/>
      <c r="M92" s="111"/>
      <c r="N92" s="152"/>
      <c r="O92" s="111"/>
      <c r="P92" s="60"/>
      <c r="Q92" s="152"/>
      <c r="R92" s="111"/>
      <c r="S92" s="60"/>
      <c r="T92" s="152"/>
      <c r="U92" s="111"/>
      <c r="V92" s="361"/>
      <c r="W92" s="391"/>
      <c r="X92" s="17"/>
      <c r="Y92" s="18">
        <f>M92+P92+S92+V92</f>
        <v>0</v>
      </c>
      <c r="Z92" s="19">
        <f>IF(Y$96=0,0,Y92/Y$96)</f>
        <v>0</v>
      </c>
      <c r="AA92" s="19"/>
      <c r="AB92" s="19"/>
      <c r="AC92" s="20"/>
      <c r="AE92" s="111"/>
      <c r="AF92" s="111"/>
      <c r="AG92" s="111"/>
      <c r="AH92" s="651"/>
      <c r="AI92" s="131"/>
      <c r="AJ92" s="117"/>
      <c r="AK92" s="111"/>
      <c r="AL92" s="111"/>
      <c r="AM92" s="111"/>
      <c r="AN92" s="651"/>
      <c r="AO92" s="131"/>
      <c r="AP92" s="117"/>
      <c r="AQ92" s="111"/>
      <c r="AR92" s="111"/>
      <c r="AS92" s="111"/>
      <c r="AT92" s="651"/>
      <c r="AU92" s="131"/>
      <c r="AV92" s="117"/>
      <c r="AW92" s="111"/>
      <c r="AX92" s="111"/>
      <c r="AY92" s="111"/>
      <c r="AZ92" s="111"/>
      <c r="BA92" s="131"/>
    </row>
    <row r="93" spans="1:53" ht="17.100000000000001" customHeight="1" x14ac:dyDescent="0.25">
      <c r="A93" s="102"/>
      <c r="B93" s="118"/>
      <c r="C93" s="118"/>
      <c r="D93" s="103" t="s">
        <v>69</v>
      </c>
      <c r="E93" s="278" t="s">
        <v>559</v>
      </c>
      <c r="F93" s="108"/>
      <c r="G93" s="108"/>
      <c r="H93" s="315"/>
      <c r="I93" s="232"/>
      <c r="J93" s="152"/>
      <c r="K93" s="152"/>
      <c r="L93" s="111"/>
      <c r="M93" s="111"/>
      <c r="N93" s="152"/>
      <c r="O93" s="111"/>
      <c r="P93" s="61">
        <v>1</v>
      </c>
      <c r="Q93" s="152"/>
      <c r="R93" s="111"/>
      <c r="S93" s="61"/>
      <c r="T93" s="152"/>
      <c r="U93" s="111"/>
      <c r="V93" s="362"/>
      <c r="W93" s="391"/>
      <c r="X93" s="17"/>
      <c r="Y93" s="18">
        <f t="shared" ref="Y93:Y95" si="78">M93+P93+S93+V93</f>
        <v>1</v>
      </c>
      <c r="Z93" s="19">
        <f t="shared" ref="Z93:Z96" si="79">IF(Y$96=0,0,Y93/Y$96)</f>
        <v>1</v>
      </c>
      <c r="AA93" s="19"/>
      <c r="AB93" s="19"/>
      <c r="AC93" s="20"/>
      <c r="AE93" s="111"/>
      <c r="AF93" s="111"/>
      <c r="AG93" s="111"/>
      <c r="AH93" s="651"/>
      <c r="AI93" s="131"/>
      <c r="AJ93" s="117"/>
      <c r="AK93" s="111"/>
      <c r="AL93" s="111"/>
      <c r="AM93" s="111"/>
      <c r="AN93" s="651"/>
      <c r="AO93" s="131"/>
      <c r="AP93" s="117"/>
      <c r="AQ93" s="111"/>
      <c r="AR93" s="111"/>
      <c r="AS93" s="111"/>
      <c r="AT93" s="651"/>
      <c r="AU93" s="131"/>
      <c r="AV93" s="117"/>
      <c r="AW93" s="111"/>
      <c r="AX93" s="111"/>
      <c r="AY93" s="111"/>
      <c r="AZ93" s="111"/>
      <c r="BA93" s="131"/>
    </row>
    <row r="94" spans="1:53" ht="17.100000000000001" customHeight="1" x14ac:dyDescent="0.25">
      <c r="A94" s="102"/>
      <c r="B94" s="118"/>
      <c r="C94" s="118"/>
      <c r="D94" s="103" t="s">
        <v>71</v>
      </c>
      <c r="E94" s="278" t="s">
        <v>560</v>
      </c>
      <c r="F94" s="108"/>
      <c r="G94" s="108"/>
      <c r="H94" s="315"/>
      <c r="I94" s="232"/>
      <c r="J94" s="152"/>
      <c r="K94" s="152"/>
      <c r="L94" s="111"/>
      <c r="M94" s="111"/>
      <c r="N94" s="152"/>
      <c r="O94" s="111"/>
      <c r="P94" s="60"/>
      <c r="Q94" s="152"/>
      <c r="R94" s="111"/>
      <c r="S94" s="60"/>
      <c r="T94" s="152"/>
      <c r="U94" s="111"/>
      <c r="V94" s="361"/>
      <c r="W94" s="391"/>
      <c r="X94" s="17"/>
      <c r="Y94" s="18">
        <f t="shared" si="78"/>
        <v>0</v>
      </c>
      <c r="Z94" s="19">
        <f t="shared" si="79"/>
        <v>0</v>
      </c>
      <c r="AA94" s="19"/>
      <c r="AB94" s="19"/>
      <c r="AC94" s="20"/>
      <c r="AE94" s="111"/>
      <c r="AF94" s="111"/>
      <c r="AG94" s="111"/>
      <c r="AH94" s="651"/>
      <c r="AI94" s="131"/>
      <c r="AJ94" s="117"/>
      <c r="AK94" s="111"/>
      <c r="AL94" s="111"/>
      <c r="AM94" s="111"/>
      <c r="AN94" s="651"/>
      <c r="AO94" s="131"/>
      <c r="AP94" s="117"/>
      <c r="AQ94" s="111"/>
      <c r="AR94" s="111"/>
      <c r="AS94" s="111"/>
      <c r="AT94" s="651"/>
      <c r="AU94" s="131"/>
      <c r="AV94" s="117"/>
      <c r="AW94" s="111"/>
      <c r="AX94" s="111"/>
      <c r="AY94" s="111"/>
      <c r="AZ94" s="111"/>
      <c r="BA94" s="131"/>
    </row>
    <row r="95" spans="1:53" ht="17.100000000000001" customHeight="1" x14ac:dyDescent="0.25">
      <c r="A95" s="102"/>
      <c r="B95" s="118"/>
      <c r="C95" s="118"/>
      <c r="D95" s="103" t="s">
        <v>73</v>
      </c>
      <c r="E95" s="278" t="s">
        <v>561</v>
      </c>
      <c r="F95" s="312"/>
      <c r="G95" s="312"/>
      <c r="H95" s="317"/>
      <c r="I95" s="307"/>
      <c r="J95" s="152"/>
      <c r="K95" s="152"/>
      <c r="L95" s="111"/>
      <c r="M95" s="111"/>
      <c r="N95" s="152"/>
      <c r="O95" s="111"/>
      <c r="P95" s="61"/>
      <c r="Q95" s="152"/>
      <c r="R95" s="111"/>
      <c r="S95" s="61"/>
      <c r="T95" s="152"/>
      <c r="U95" s="111"/>
      <c r="V95" s="362"/>
      <c r="W95" s="391"/>
      <c r="X95" s="17"/>
      <c r="Y95" s="18">
        <f t="shared" si="78"/>
        <v>0</v>
      </c>
      <c r="Z95" s="19">
        <f t="shared" si="79"/>
        <v>0</v>
      </c>
      <c r="AA95" s="19"/>
      <c r="AB95" s="19"/>
      <c r="AC95" s="20"/>
      <c r="AE95" s="111"/>
      <c r="AF95" s="111"/>
      <c r="AG95" s="111"/>
      <c r="AH95" s="651"/>
      <c r="AI95" s="131"/>
      <c r="AJ95" s="117"/>
      <c r="AK95" s="111"/>
      <c r="AL95" s="111"/>
      <c r="AM95" s="111"/>
      <c r="AN95" s="651"/>
      <c r="AO95" s="131"/>
      <c r="AP95" s="117"/>
      <c r="AQ95" s="111"/>
      <c r="AR95" s="111"/>
      <c r="AS95" s="111"/>
      <c r="AT95" s="651"/>
      <c r="AU95" s="131"/>
      <c r="AV95" s="117"/>
      <c r="AW95" s="111"/>
      <c r="AX95" s="111"/>
      <c r="AY95" s="111"/>
      <c r="AZ95" s="111"/>
      <c r="BA95" s="131"/>
    </row>
    <row r="96" spans="1:53" ht="17.100000000000001" customHeight="1" x14ac:dyDescent="0.25">
      <c r="A96" s="40"/>
      <c r="B96" s="40"/>
      <c r="C96" s="77"/>
      <c r="D96" s="78"/>
      <c r="E96" s="78"/>
      <c r="F96" s="78"/>
      <c r="G96" s="78"/>
      <c r="H96" s="316"/>
      <c r="I96" s="230"/>
      <c r="J96" s="80"/>
      <c r="K96" s="80"/>
      <c r="L96" s="81"/>
      <c r="M96" s="81"/>
      <c r="N96" s="81"/>
      <c r="O96" s="81"/>
      <c r="P96" s="82">
        <f>SUM(P92:P95)</f>
        <v>1</v>
      </c>
      <c r="Q96" s="81"/>
      <c r="R96" s="81"/>
      <c r="S96" s="82">
        <f>SUM(S92:S95)</f>
        <v>0</v>
      </c>
      <c r="T96" s="81"/>
      <c r="U96" s="81"/>
      <c r="V96" s="360">
        <f>SUM(V92:V95)</f>
        <v>0</v>
      </c>
      <c r="W96" s="381"/>
      <c r="X96" s="82"/>
      <c r="Y96" s="82">
        <f t="shared" ref="Y96" si="80">SUM(Y92:Y95)</f>
        <v>1</v>
      </c>
      <c r="Z96" s="205">
        <f t="shared" si="79"/>
        <v>1</v>
      </c>
      <c r="AA96" s="205"/>
      <c r="AB96" s="205"/>
      <c r="AC96" s="83"/>
      <c r="AE96" s="81"/>
      <c r="AF96" s="81"/>
      <c r="AG96" s="81"/>
      <c r="AH96" s="82"/>
      <c r="AI96" s="66"/>
      <c r="AJ96" s="117"/>
      <c r="AK96" s="81"/>
      <c r="AL96" s="81"/>
      <c r="AM96" s="81"/>
      <c r="AN96" s="82"/>
      <c r="AO96" s="66"/>
      <c r="AP96" s="117"/>
      <c r="AQ96" s="81"/>
      <c r="AR96" s="81"/>
      <c r="AS96" s="81"/>
      <c r="AT96" s="82"/>
      <c r="AU96" s="66"/>
      <c r="AV96" s="117"/>
      <c r="AW96" s="81"/>
      <c r="AX96" s="81"/>
      <c r="AY96" s="81"/>
      <c r="AZ96" s="81"/>
      <c r="BA96" s="66"/>
    </row>
    <row r="97" spans="1:53" s="117" customFormat="1" ht="17.100000000000001" customHeight="1" x14ac:dyDescent="0.25">
      <c r="A97" s="119"/>
      <c r="B97" s="119"/>
      <c r="C97" s="647"/>
      <c r="D97" s="212"/>
      <c r="E97" s="212"/>
      <c r="F97" s="212"/>
      <c r="G97" s="212"/>
      <c r="H97" s="242"/>
      <c r="I97" s="230"/>
      <c r="J97" s="17"/>
      <c r="K97" s="17"/>
      <c r="L97" s="17"/>
      <c r="M97" s="17"/>
      <c r="N97" s="17"/>
      <c r="O97" s="17"/>
      <c r="P97" s="17" t="str">
        <f>IF(P96=1,"OK","NOK")</f>
        <v>OK</v>
      </c>
      <c r="Q97" s="17"/>
      <c r="R97" s="17"/>
      <c r="S97" s="17" t="str">
        <f>IF(S96=1,"OK","NOK")</f>
        <v>NOK</v>
      </c>
      <c r="T97" s="17"/>
      <c r="U97" s="17"/>
      <c r="V97" s="359" t="str">
        <f>IF(V96=1,"OK","NOK")</f>
        <v>NOK</v>
      </c>
      <c r="W97" s="382"/>
      <c r="X97" s="646"/>
      <c r="Y97" s="646"/>
      <c r="Z97" s="201"/>
      <c r="AA97" s="201"/>
      <c r="AB97" s="201"/>
      <c r="AC97" s="84"/>
      <c r="AE97" s="17"/>
      <c r="AF97" s="17"/>
      <c r="AG97" s="17"/>
      <c r="AH97" s="646"/>
      <c r="AI97" s="91"/>
      <c r="AK97" s="17"/>
      <c r="AL97" s="17"/>
      <c r="AM97" s="17"/>
      <c r="AN97" s="646"/>
      <c r="AO97" s="91"/>
      <c r="AQ97" s="17"/>
      <c r="AR97" s="17"/>
      <c r="AS97" s="17"/>
      <c r="AT97" s="646"/>
      <c r="AU97" s="91"/>
      <c r="AW97" s="17"/>
      <c r="AX97" s="17"/>
      <c r="AY97" s="17"/>
      <c r="AZ97" s="17"/>
      <c r="BA97" s="91"/>
    </row>
    <row r="98" spans="1:53" s="97" customFormat="1" ht="17.100000000000001" customHeight="1" x14ac:dyDescent="0.25">
      <c r="A98" s="68"/>
      <c r="B98" s="41" t="s">
        <v>74</v>
      </c>
      <c r="C98" s="69" t="s">
        <v>12</v>
      </c>
      <c r="D98" s="50"/>
      <c r="E98" s="70"/>
      <c r="F98" s="70"/>
      <c r="G98" s="70"/>
      <c r="H98" s="84"/>
      <c r="J98" s="71"/>
      <c r="K98" s="71"/>
      <c r="L98" s="71"/>
      <c r="M98" s="71"/>
      <c r="N98" s="71"/>
      <c r="O98" s="71"/>
      <c r="P98" s="71"/>
      <c r="Q98" s="71"/>
      <c r="R98" s="71"/>
      <c r="S98" s="71"/>
      <c r="T98" s="71"/>
      <c r="U98" s="71"/>
      <c r="V98" s="355"/>
      <c r="W98" s="377"/>
      <c r="X98" s="71"/>
      <c r="Y98" s="71"/>
      <c r="Z98" s="73"/>
      <c r="AA98" s="73"/>
      <c r="AB98" s="73"/>
      <c r="AC98" s="73"/>
      <c r="AE98" s="273"/>
      <c r="AF98" s="273"/>
      <c r="AG98" s="273"/>
      <c r="AH98" s="72"/>
      <c r="AI98" s="73"/>
      <c r="AJ98" s="3"/>
      <c r="AK98" s="273"/>
      <c r="AL98" s="273"/>
      <c r="AM98" s="273"/>
      <c r="AN98" s="72"/>
      <c r="AO98" s="73"/>
      <c r="AP98" s="3"/>
      <c r="AQ98" s="71"/>
      <c r="AR98" s="71"/>
      <c r="AS98" s="71"/>
      <c r="AT98" s="89"/>
      <c r="AU98" s="421"/>
      <c r="AV98" s="3"/>
      <c r="AW98" s="71"/>
      <c r="AX98" s="71"/>
      <c r="AY98" s="71"/>
      <c r="AZ98" s="71"/>
      <c r="BA98" s="421"/>
    </row>
    <row r="99" spans="1:53" s="97" customFormat="1" ht="17.100000000000001" customHeight="1" x14ac:dyDescent="0.25">
      <c r="A99" s="119"/>
      <c r="B99" s="119"/>
      <c r="C99" s="120" t="s">
        <v>895</v>
      </c>
      <c r="D99" s="85"/>
      <c r="E99" s="75"/>
      <c r="F99" s="75"/>
      <c r="G99" s="75"/>
      <c r="H99" s="928"/>
      <c r="I99" s="229"/>
      <c r="J99" s="111"/>
      <c r="K99" s="111"/>
      <c r="L99" s="111"/>
      <c r="M99" s="111"/>
      <c r="N99" s="111"/>
      <c r="O99" s="111"/>
      <c r="P99" s="111"/>
      <c r="Q99" s="111"/>
      <c r="R99" s="111"/>
      <c r="S99" s="111"/>
      <c r="T99" s="111"/>
      <c r="U99" s="111"/>
      <c r="V99" s="358"/>
      <c r="W99" s="380"/>
      <c r="X99" s="111"/>
      <c r="Y99" s="112"/>
      <c r="Z99" s="113"/>
      <c r="AA99" s="113"/>
      <c r="AB99" s="113"/>
      <c r="AC99" s="113"/>
      <c r="AE99" s="114"/>
      <c r="AF99" s="114"/>
      <c r="AG99" s="114"/>
      <c r="AH99" s="112"/>
      <c r="AI99" s="113"/>
      <c r="AK99" s="114"/>
      <c r="AL99" s="114"/>
      <c r="AM99" s="114"/>
      <c r="AN99" s="112"/>
      <c r="AO99" s="113"/>
      <c r="AQ99" s="114"/>
      <c r="AR99" s="114"/>
      <c r="AS99" s="114"/>
      <c r="AT99" s="112"/>
      <c r="AU99" s="113"/>
      <c r="AW99" s="114"/>
      <c r="AX99" s="114"/>
      <c r="AY99" s="114"/>
      <c r="AZ99" s="112"/>
      <c r="BA99" s="113"/>
    </row>
    <row r="100" spans="1:53" s="97" customFormat="1" ht="17.100000000000001" customHeight="1" x14ac:dyDescent="0.25">
      <c r="A100" s="119"/>
      <c r="B100" s="119"/>
      <c r="C100" s="928"/>
      <c r="D100" s="121" t="s">
        <v>75</v>
      </c>
      <c r="E100" s="122"/>
      <c r="F100" s="122"/>
      <c r="G100" s="122"/>
      <c r="H100" s="928"/>
      <c r="I100" s="229"/>
      <c r="J100" s="123"/>
      <c r="K100" s="123"/>
      <c r="L100" s="123"/>
      <c r="M100" s="123"/>
      <c r="N100" s="123"/>
      <c r="O100" s="123"/>
      <c r="P100" s="123"/>
      <c r="Q100" s="123"/>
      <c r="R100" s="123"/>
      <c r="S100" s="123"/>
      <c r="T100" s="123"/>
      <c r="U100" s="123"/>
      <c r="V100" s="363"/>
      <c r="W100" s="383"/>
      <c r="X100" s="123"/>
      <c r="Y100" s="124"/>
      <c r="Z100" s="125"/>
      <c r="AA100" s="125"/>
      <c r="AB100" s="125"/>
      <c r="AC100" s="125"/>
      <c r="AE100" s="126"/>
      <c r="AF100" s="126"/>
      <c r="AG100" s="126"/>
      <c r="AH100" s="124"/>
      <c r="AI100" s="125"/>
      <c r="AK100" s="126"/>
      <c r="AL100" s="126"/>
      <c r="AM100" s="126"/>
      <c r="AN100" s="124"/>
      <c r="AO100" s="125"/>
      <c r="AQ100" s="126"/>
      <c r="AR100" s="126"/>
      <c r="AS100" s="126"/>
      <c r="AT100" s="124"/>
      <c r="AU100" s="125"/>
      <c r="AW100" s="126"/>
      <c r="AX100" s="126"/>
      <c r="AY100" s="126"/>
      <c r="AZ100" s="124"/>
      <c r="BA100" s="125"/>
    </row>
    <row r="101" spans="1:53" s="97" customFormat="1" ht="17.100000000000001" customHeight="1" x14ac:dyDescent="0.25">
      <c r="A101" s="137"/>
      <c r="B101" s="119"/>
      <c r="C101" s="928"/>
      <c r="D101" s="941" t="s">
        <v>1438</v>
      </c>
      <c r="E101" s="122"/>
      <c r="F101" s="122"/>
      <c r="G101" s="122"/>
      <c r="H101" s="928"/>
      <c r="I101" s="229"/>
      <c r="J101" s="123"/>
      <c r="K101" s="123"/>
      <c r="L101" s="123"/>
      <c r="M101" s="123"/>
      <c r="N101" s="123">
        <f>N40</f>
        <v>4</v>
      </c>
      <c r="O101" s="123">
        <f>O40</f>
        <v>6</v>
      </c>
      <c r="P101" s="942">
        <f>SUM(N101:O101)</f>
        <v>10</v>
      </c>
      <c r="Q101" s="123">
        <f>Q40</f>
        <v>0</v>
      </c>
      <c r="R101" s="123">
        <f>R40</f>
        <v>0</v>
      </c>
      <c r="S101" s="942">
        <f>SUM(Q101:R101)</f>
        <v>0</v>
      </c>
      <c r="T101" s="123">
        <f>T40</f>
        <v>0</v>
      </c>
      <c r="U101" s="123">
        <f>U40</f>
        <v>0</v>
      </c>
      <c r="V101" s="942">
        <f>SUM(T101:U101)</f>
        <v>0</v>
      </c>
      <c r="W101" s="383"/>
      <c r="X101" s="123"/>
      <c r="Y101" s="124"/>
      <c r="Z101" s="125"/>
      <c r="AA101" s="125"/>
      <c r="AB101" s="125"/>
      <c r="AC101" s="125"/>
      <c r="AE101" s="126"/>
      <c r="AF101" s="126"/>
      <c r="AG101" s="126"/>
      <c r="AH101" s="124"/>
      <c r="AI101" s="125"/>
      <c r="AK101" s="126"/>
      <c r="AL101" s="126"/>
      <c r="AM101" s="126"/>
      <c r="AN101" s="124"/>
      <c r="AO101" s="125"/>
      <c r="AQ101" s="126"/>
      <c r="AR101" s="126"/>
      <c r="AS101" s="126"/>
      <c r="AT101" s="124"/>
      <c r="AU101" s="125"/>
      <c r="AW101" s="126"/>
      <c r="AX101" s="126"/>
      <c r="AY101" s="126"/>
      <c r="AZ101" s="124"/>
      <c r="BA101" s="125"/>
    </row>
    <row r="102" spans="1:53" s="97" customFormat="1" ht="17.100000000000001" customHeight="1" x14ac:dyDescent="0.25">
      <c r="A102" s="137"/>
      <c r="B102" s="119"/>
      <c r="C102" s="928"/>
      <c r="D102" s="127" t="s">
        <v>76</v>
      </c>
      <c r="E102" s="128"/>
      <c r="F102" s="122"/>
      <c r="G102" s="122"/>
      <c r="H102" s="928"/>
      <c r="I102" s="229"/>
      <c r="J102" s="123"/>
      <c r="K102" s="123"/>
      <c r="L102" s="123"/>
      <c r="M102" s="123"/>
      <c r="N102" s="943">
        <f>N63</f>
        <v>0</v>
      </c>
      <c r="O102" s="943">
        <f>O63</f>
        <v>0</v>
      </c>
      <c r="P102" s="942">
        <f>SUM(N102:O102)</f>
        <v>0</v>
      </c>
      <c r="Q102" s="943">
        <f>Q63</f>
        <v>0</v>
      </c>
      <c r="R102" s="943">
        <f>R63</f>
        <v>0</v>
      </c>
      <c r="S102" s="942">
        <f>SUM(Q102:R102)</f>
        <v>0</v>
      </c>
      <c r="T102" s="943">
        <f>T63</f>
        <v>0</v>
      </c>
      <c r="U102" s="943">
        <f>U63</f>
        <v>0</v>
      </c>
      <c r="V102" s="942">
        <f>SUM(T102:U102)</f>
        <v>0</v>
      </c>
      <c r="W102" s="383"/>
      <c r="X102" s="123"/>
      <c r="Y102" s="129">
        <f t="shared" ref="Y102:Y105" si="81">M102+P102+S102+V102</f>
        <v>0</v>
      </c>
      <c r="Z102" s="125"/>
      <c r="AA102" s="125"/>
      <c r="AB102" s="125"/>
      <c r="AC102" s="125"/>
      <c r="AE102" s="123"/>
      <c r="AF102" s="123"/>
      <c r="AG102" s="123"/>
      <c r="AH102" s="124"/>
      <c r="AI102" s="125"/>
      <c r="AK102" s="123"/>
      <c r="AL102" s="123"/>
      <c r="AM102" s="123"/>
      <c r="AN102" s="124"/>
      <c r="AO102" s="125"/>
      <c r="AQ102" s="123"/>
      <c r="AR102" s="123"/>
      <c r="AS102" s="123"/>
      <c r="AT102" s="124"/>
      <c r="AU102" s="125"/>
      <c r="AW102" s="123"/>
      <c r="AX102" s="123"/>
      <c r="AY102" s="123"/>
      <c r="AZ102" s="124"/>
      <c r="BA102" s="125"/>
    </row>
    <row r="103" spans="1:53" s="97" customFormat="1" ht="17.100000000000001" customHeight="1" x14ac:dyDescent="0.25">
      <c r="A103" s="137"/>
      <c r="B103" s="119"/>
      <c r="C103" s="928"/>
      <c r="D103" s="127" t="s">
        <v>77</v>
      </c>
      <c r="E103" s="128"/>
      <c r="F103" s="122"/>
      <c r="G103" s="122"/>
      <c r="H103" s="928"/>
      <c r="I103" s="229"/>
      <c r="J103" s="123"/>
      <c r="K103" s="123"/>
      <c r="L103" s="123"/>
      <c r="M103" s="123"/>
      <c r="N103" s="943">
        <f>N64</f>
        <v>0</v>
      </c>
      <c r="O103" s="943">
        <f>O64</f>
        <v>0</v>
      </c>
      <c r="P103" s="942">
        <f t="shared" ref="P103:P107" si="82">SUM(N103:O103)</f>
        <v>0</v>
      </c>
      <c r="Q103" s="943">
        <f>Q64</f>
        <v>0</v>
      </c>
      <c r="R103" s="943">
        <f>R64</f>
        <v>0</v>
      </c>
      <c r="S103" s="942">
        <f t="shared" ref="S103:S107" si="83">SUM(Q103:R103)</f>
        <v>0</v>
      </c>
      <c r="T103" s="943">
        <f>T64</f>
        <v>0</v>
      </c>
      <c r="U103" s="943">
        <f>U64</f>
        <v>0</v>
      </c>
      <c r="V103" s="942">
        <f t="shared" ref="V103:V107" si="84">SUM(T103:U103)</f>
        <v>0</v>
      </c>
      <c r="W103" s="383"/>
      <c r="X103" s="123"/>
      <c r="Y103" s="129">
        <f t="shared" si="81"/>
        <v>0</v>
      </c>
      <c r="Z103" s="125"/>
      <c r="AA103" s="125"/>
      <c r="AB103" s="125"/>
      <c r="AC103" s="125"/>
      <c r="AE103" s="123"/>
      <c r="AF103" s="123"/>
      <c r="AG103" s="123"/>
      <c r="AH103" s="124"/>
      <c r="AI103" s="125"/>
      <c r="AK103" s="123"/>
      <c r="AL103" s="123"/>
      <c r="AM103" s="123"/>
      <c r="AN103" s="124"/>
      <c r="AO103" s="125"/>
      <c r="AQ103" s="123"/>
      <c r="AR103" s="123"/>
      <c r="AS103" s="123"/>
      <c r="AT103" s="124"/>
      <c r="AU103" s="125"/>
      <c r="AW103" s="123"/>
      <c r="AX103" s="123"/>
      <c r="AY103" s="123"/>
      <c r="AZ103" s="124"/>
      <c r="BA103" s="125"/>
    </row>
    <row r="104" spans="1:53" s="97" customFormat="1" ht="17.100000000000001" customHeight="1" x14ac:dyDescent="0.25">
      <c r="A104" s="137"/>
      <c r="B104" s="137"/>
      <c r="C104" s="928"/>
      <c r="D104" s="127" t="s">
        <v>78</v>
      </c>
      <c r="E104" s="128"/>
      <c r="F104" s="122"/>
      <c r="G104" s="122"/>
      <c r="H104" s="928"/>
      <c r="I104" s="229"/>
      <c r="J104" s="123"/>
      <c r="K104" s="123"/>
      <c r="L104" s="123"/>
      <c r="M104" s="123"/>
      <c r="N104" s="943">
        <f>N71</f>
        <v>0</v>
      </c>
      <c r="O104" s="943">
        <f>O71</f>
        <v>0</v>
      </c>
      <c r="P104" s="942">
        <f t="shared" si="82"/>
        <v>0</v>
      </c>
      <c r="Q104" s="943">
        <f>Q71</f>
        <v>0</v>
      </c>
      <c r="R104" s="943">
        <f>R71</f>
        <v>0</v>
      </c>
      <c r="S104" s="942">
        <f t="shared" si="83"/>
        <v>0</v>
      </c>
      <c r="T104" s="943">
        <f>T71</f>
        <v>0</v>
      </c>
      <c r="U104" s="943">
        <f>U71</f>
        <v>0</v>
      </c>
      <c r="V104" s="942">
        <f t="shared" si="84"/>
        <v>0</v>
      </c>
      <c r="W104" s="383"/>
      <c r="X104" s="123"/>
      <c r="Y104" s="129">
        <f t="shared" si="81"/>
        <v>0</v>
      </c>
      <c r="Z104" s="125"/>
      <c r="AA104" s="125"/>
      <c r="AB104" s="125"/>
      <c r="AC104" s="125"/>
      <c r="AE104" s="123"/>
      <c r="AF104" s="123"/>
      <c r="AG104" s="123"/>
      <c r="AH104" s="124"/>
      <c r="AI104" s="125"/>
      <c r="AK104" s="123"/>
      <c r="AL104" s="123"/>
      <c r="AM104" s="123"/>
      <c r="AN104" s="124"/>
      <c r="AO104" s="125"/>
      <c r="AQ104" s="123"/>
      <c r="AR104" s="123"/>
      <c r="AS104" s="123"/>
      <c r="AT104" s="124"/>
      <c r="AU104" s="125"/>
      <c r="AW104" s="123"/>
      <c r="AX104" s="123"/>
      <c r="AY104" s="123"/>
      <c r="AZ104" s="124"/>
      <c r="BA104" s="125"/>
    </row>
    <row r="105" spans="1:53" s="97" customFormat="1" ht="17.100000000000001" customHeight="1" x14ac:dyDescent="0.25">
      <c r="A105" s="137"/>
      <c r="B105" s="137"/>
      <c r="C105" s="928"/>
      <c r="D105" s="127" t="s">
        <v>79</v>
      </c>
      <c r="E105" s="122"/>
      <c r="F105" s="122"/>
      <c r="G105" s="122"/>
      <c r="H105" s="928"/>
      <c r="I105" s="229"/>
      <c r="J105" s="123"/>
      <c r="K105" s="123"/>
      <c r="L105" s="123"/>
      <c r="M105" s="123"/>
      <c r="N105" s="943">
        <f>N72</f>
        <v>0</v>
      </c>
      <c r="O105" s="943">
        <f>O72</f>
        <v>0</v>
      </c>
      <c r="P105" s="942">
        <f t="shared" si="82"/>
        <v>0</v>
      </c>
      <c r="Q105" s="943">
        <f>Q72</f>
        <v>0</v>
      </c>
      <c r="R105" s="943">
        <f>R72</f>
        <v>0</v>
      </c>
      <c r="S105" s="942">
        <f t="shared" si="83"/>
        <v>0</v>
      </c>
      <c r="T105" s="943">
        <f>T72</f>
        <v>0</v>
      </c>
      <c r="U105" s="943">
        <f>U72</f>
        <v>0</v>
      </c>
      <c r="V105" s="942">
        <f t="shared" si="84"/>
        <v>0</v>
      </c>
      <c r="W105" s="383"/>
      <c r="X105" s="123"/>
      <c r="Y105" s="129">
        <f t="shared" si="81"/>
        <v>0</v>
      </c>
      <c r="Z105" s="125"/>
      <c r="AA105" s="125"/>
      <c r="AB105" s="125"/>
      <c r="AC105" s="125"/>
      <c r="AE105" s="123"/>
      <c r="AF105" s="123"/>
      <c r="AG105" s="123"/>
      <c r="AH105" s="124"/>
      <c r="AI105" s="125"/>
      <c r="AK105" s="123"/>
      <c r="AL105" s="123"/>
      <c r="AM105" s="123"/>
      <c r="AN105" s="124"/>
      <c r="AO105" s="125"/>
      <c r="AQ105" s="123"/>
      <c r="AR105" s="123"/>
      <c r="AS105" s="123"/>
      <c r="AT105" s="124"/>
      <c r="AU105" s="125"/>
      <c r="AW105" s="123"/>
      <c r="AX105" s="123"/>
      <c r="AY105" s="123"/>
      <c r="AZ105" s="124"/>
      <c r="BA105" s="125"/>
    </row>
    <row r="106" spans="1:53" s="97" customFormat="1" ht="17.100000000000001" customHeight="1" x14ac:dyDescent="0.25">
      <c r="A106" s="137"/>
      <c r="B106" s="137"/>
      <c r="C106" s="928"/>
      <c r="D106" s="127" t="s">
        <v>81</v>
      </c>
      <c r="E106" s="122"/>
      <c r="F106" s="122"/>
      <c r="G106" s="122"/>
      <c r="H106" s="928"/>
      <c r="I106" s="229"/>
      <c r="J106" s="123"/>
      <c r="K106" s="123"/>
      <c r="L106" s="123"/>
      <c r="M106" s="123"/>
      <c r="N106" s="943">
        <f>SUM(N101:N105)</f>
        <v>4</v>
      </c>
      <c r="O106" s="943">
        <f>SUM(O101:O105)</f>
        <v>6</v>
      </c>
      <c r="P106" s="942">
        <f t="shared" si="82"/>
        <v>10</v>
      </c>
      <c r="Q106" s="943">
        <f>SUM(Q101:Q105)</f>
        <v>0</v>
      </c>
      <c r="R106" s="943">
        <f>SUM(R101:R105)</f>
        <v>0</v>
      </c>
      <c r="S106" s="942">
        <f t="shared" si="83"/>
        <v>0</v>
      </c>
      <c r="T106" s="943">
        <f>SUM(T101:T105)</f>
        <v>0</v>
      </c>
      <c r="U106" s="943">
        <f>SUM(U101:U105)</f>
        <v>0</v>
      </c>
      <c r="V106" s="942">
        <f t="shared" si="84"/>
        <v>0</v>
      </c>
      <c r="W106" s="383"/>
      <c r="X106" s="123"/>
      <c r="Y106" s="129"/>
      <c r="Z106" s="125"/>
      <c r="AA106" s="125"/>
      <c r="AB106" s="125"/>
      <c r="AC106" s="125"/>
      <c r="AE106" s="123"/>
      <c r="AF106" s="123"/>
      <c r="AG106" s="123"/>
      <c r="AH106" s="124"/>
      <c r="AI106" s="125"/>
      <c r="AK106" s="123"/>
      <c r="AL106" s="123"/>
      <c r="AM106" s="123"/>
      <c r="AN106" s="124"/>
      <c r="AO106" s="125"/>
      <c r="AQ106" s="123"/>
      <c r="AR106" s="123"/>
      <c r="AS106" s="123"/>
      <c r="AT106" s="124"/>
      <c r="AU106" s="125"/>
      <c r="AW106" s="123"/>
      <c r="AX106" s="123"/>
      <c r="AY106" s="123"/>
      <c r="AZ106" s="124"/>
      <c r="BA106" s="125"/>
    </row>
    <row r="107" spans="1:53" s="97" customFormat="1" ht="17.100000000000001" customHeight="1" x14ac:dyDescent="0.25">
      <c r="A107" s="137"/>
      <c r="B107" s="137"/>
      <c r="C107" s="928"/>
      <c r="D107" s="127" t="s">
        <v>1439</v>
      </c>
      <c r="E107" s="122"/>
      <c r="F107" s="122"/>
      <c r="G107" s="122"/>
      <c r="H107" s="928"/>
      <c r="I107" s="229"/>
      <c r="J107" s="123"/>
      <c r="K107" s="123"/>
      <c r="L107" s="123"/>
      <c r="M107" s="123"/>
      <c r="N107" s="943">
        <f>N20*3</f>
        <v>12</v>
      </c>
      <c r="O107" s="943">
        <f>O20*3</f>
        <v>21</v>
      </c>
      <c r="P107" s="942">
        <f t="shared" si="82"/>
        <v>33</v>
      </c>
      <c r="Q107" s="943">
        <f>Q20*3</f>
        <v>0</v>
      </c>
      <c r="R107" s="943">
        <f>R20*3</f>
        <v>0</v>
      </c>
      <c r="S107" s="942">
        <f t="shared" si="83"/>
        <v>0</v>
      </c>
      <c r="T107" s="943">
        <f>T20*3</f>
        <v>0</v>
      </c>
      <c r="U107" s="943">
        <f>U20*3</f>
        <v>0</v>
      </c>
      <c r="V107" s="942">
        <f t="shared" si="84"/>
        <v>0</v>
      </c>
      <c r="W107" s="383"/>
      <c r="X107" s="123"/>
      <c r="Y107" s="129"/>
      <c r="Z107" s="125"/>
      <c r="AA107" s="125"/>
      <c r="AB107" s="125"/>
      <c r="AC107" s="125"/>
      <c r="AE107" s="123"/>
      <c r="AF107" s="123"/>
      <c r="AG107" s="123"/>
      <c r="AH107" s="124"/>
      <c r="AI107" s="125"/>
      <c r="AK107" s="123"/>
      <c r="AL107" s="123"/>
      <c r="AM107" s="123"/>
      <c r="AN107" s="124"/>
      <c r="AO107" s="125"/>
      <c r="AQ107" s="123"/>
      <c r="AR107" s="123"/>
      <c r="AS107" s="123"/>
      <c r="AT107" s="124"/>
      <c r="AU107" s="125"/>
      <c r="AW107" s="123"/>
      <c r="AX107" s="123"/>
      <c r="AY107" s="123"/>
      <c r="AZ107" s="124"/>
      <c r="BA107" s="125"/>
    </row>
    <row r="108" spans="1:53" s="97" customFormat="1" ht="17.100000000000001" customHeight="1" x14ac:dyDescent="0.25">
      <c r="A108" s="137"/>
      <c r="B108" s="119"/>
      <c r="C108" s="928"/>
      <c r="D108" s="127" t="s">
        <v>1440</v>
      </c>
      <c r="E108" s="122"/>
      <c r="F108" s="122"/>
      <c r="G108" s="122"/>
      <c r="H108" s="928"/>
      <c r="I108" s="229"/>
      <c r="J108" s="123"/>
      <c r="K108" s="123"/>
      <c r="L108" s="123"/>
      <c r="M108" s="123"/>
      <c r="N108" s="130">
        <f>IF(N107=0,0,N106/N107)</f>
        <v>0.33333333333333331</v>
      </c>
      <c r="O108" s="130">
        <f t="shared" ref="O108:V108" si="85">IF(O107=0,0,O106/O107)</f>
        <v>0.2857142857142857</v>
      </c>
      <c r="P108" s="130">
        <f t="shared" si="85"/>
        <v>0.30303030303030304</v>
      </c>
      <c r="Q108" s="130">
        <f t="shared" si="85"/>
        <v>0</v>
      </c>
      <c r="R108" s="130">
        <f t="shared" si="85"/>
        <v>0</v>
      </c>
      <c r="S108" s="130">
        <f t="shared" si="85"/>
        <v>0</v>
      </c>
      <c r="T108" s="130">
        <f t="shared" si="85"/>
        <v>0</v>
      </c>
      <c r="U108" s="130">
        <f t="shared" si="85"/>
        <v>0</v>
      </c>
      <c r="V108" s="130">
        <f t="shared" si="85"/>
        <v>0</v>
      </c>
      <c r="W108" s="383"/>
      <c r="X108" s="123"/>
      <c r="Y108" s="129"/>
      <c r="Z108" s="125"/>
      <c r="AA108" s="125"/>
      <c r="AB108" s="125"/>
      <c r="AC108" s="125"/>
      <c r="AE108" s="123"/>
      <c r="AF108" s="123"/>
      <c r="AG108" s="123"/>
      <c r="AH108" s="124"/>
      <c r="AI108" s="125"/>
      <c r="AK108" s="123"/>
      <c r="AL108" s="123"/>
      <c r="AM108" s="123"/>
      <c r="AN108" s="124"/>
      <c r="AO108" s="125"/>
      <c r="AQ108" s="123"/>
      <c r="AR108" s="123"/>
      <c r="AS108" s="123"/>
      <c r="AT108" s="124"/>
      <c r="AU108" s="125"/>
      <c r="AW108" s="123"/>
      <c r="AX108" s="123"/>
      <c r="AY108" s="123"/>
      <c r="AZ108" s="124"/>
      <c r="BA108" s="125"/>
    </row>
    <row r="109" spans="1:53" s="97" customFormat="1" ht="17.100000000000001" customHeight="1" x14ac:dyDescent="0.25">
      <c r="A109" s="137"/>
      <c r="B109" s="119"/>
      <c r="C109" s="103" t="s">
        <v>80</v>
      </c>
      <c r="D109" s="85" t="s">
        <v>896</v>
      </c>
      <c r="E109" s="75"/>
      <c r="F109" s="75"/>
      <c r="G109" s="75"/>
      <c r="H109" s="1310"/>
      <c r="I109" s="229"/>
      <c r="J109" s="1309"/>
      <c r="K109" s="1309"/>
      <c r="L109" s="1309"/>
      <c r="M109" s="1309"/>
      <c r="N109" s="1309"/>
      <c r="O109" s="1309"/>
      <c r="P109" s="1309">
        <f>IF(P108&gt;=0.5,1,0)</f>
        <v>0</v>
      </c>
      <c r="Q109" s="1309"/>
      <c r="R109" s="1309"/>
      <c r="S109" s="1309">
        <f>IF(S108&gt;=0.5,1,0)</f>
        <v>0</v>
      </c>
      <c r="T109" s="1309"/>
      <c r="U109" s="1309"/>
      <c r="V109" s="1309">
        <f>IF(V108&gt;=0.5,1,0)</f>
        <v>0</v>
      </c>
      <c r="W109" s="382"/>
      <c r="X109" s="1309"/>
      <c r="Y109" s="1309">
        <f t="shared" ref="Y109" si="86">M109+P109+S109+V109</f>
        <v>0</v>
      </c>
      <c r="Z109" s="91"/>
      <c r="AA109" s="91"/>
      <c r="AB109" s="91"/>
      <c r="AC109" s="84"/>
      <c r="AE109" s="1309"/>
      <c r="AF109" s="1309"/>
      <c r="AG109" s="1309"/>
      <c r="AH109" s="1309"/>
      <c r="AI109" s="91"/>
      <c r="AK109" s="1309"/>
      <c r="AL109" s="1309"/>
      <c r="AM109" s="1309"/>
      <c r="AN109" s="1309"/>
      <c r="AO109" s="91"/>
      <c r="AQ109" s="1309"/>
      <c r="AR109" s="1309"/>
      <c r="AS109" s="1309"/>
      <c r="AT109" s="1309"/>
      <c r="AU109" s="91"/>
      <c r="AW109" s="1309"/>
      <c r="AX109" s="1309"/>
      <c r="AY109" s="1309"/>
      <c r="AZ109" s="1309"/>
      <c r="BA109" s="91"/>
    </row>
    <row r="110" spans="1:53" s="97" customFormat="1" ht="17.100000000000001" customHeight="1" x14ac:dyDescent="0.25">
      <c r="A110" s="119"/>
      <c r="B110" s="119"/>
      <c r="C110" s="928"/>
      <c r="D110" s="121" t="s">
        <v>82</v>
      </c>
      <c r="E110" s="122"/>
      <c r="F110" s="122"/>
      <c r="G110" s="122"/>
      <c r="H110" s="928"/>
      <c r="I110" s="229"/>
      <c r="J110" s="123"/>
      <c r="K110" s="123"/>
      <c r="L110" s="123"/>
      <c r="M110" s="123"/>
      <c r="N110" s="123"/>
      <c r="O110" s="123"/>
      <c r="P110" s="123"/>
      <c r="Q110" s="123"/>
      <c r="R110" s="123"/>
      <c r="S110" s="123"/>
      <c r="T110" s="123"/>
      <c r="U110" s="123"/>
      <c r="V110" s="363"/>
      <c r="W110" s="383"/>
      <c r="X110" s="123"/>
      <c r="Y110" s="124"/>
      <c r="Z110" s="125"/>
      <c r="AA110" s="125"/>
      <c r="AB110" s="125"/>
      <c r="AC110" s="125"/>
      <c r="AE110" s="126"/>
      <c r="AF110" s="126"/>
      <c r="AG110" s="126"/>
      <c r="AH110" s="124"/>
      <c r="AI110" s="125"/>
      <c r="AK110" s="126"/>
      <c r="AL110" s="126"/>
      <c r="AM110" s="126"/>
      <c r="AN110" s="124"/>
      <c r="AO110" s="125"/>
      <c r="AQ110" s="126"/>
      <c r="AR110" s="126"/>
      <c r="AS110" s="126"/>
      <c r="AT110" s="124"/>
      <c r="AU110" s="125"/>
      <c r="AW110" s="126"/>
      <c r="AX110" s="126"/>
      <c r="AY110" s="126"/>
      <c r="AZ110" s="124"/>
      <c r="BA110" s="125"/>
    </row>
    <row r="111" spans="1:53" s="97" customFormat="1" ht="17.100000000000001" customHeight="1" x14ac:dyDescent="0.25">
      <c r="A111" s="119"/>
      <c r="B111" s="119"/>
      <c r="C111" s="928"/>
      <c r="D111" s="127" t="s">
        <v>910</v>
      </c>
      <c r="E111" s="122"/>
      <c r="F111" s="122"/>
      <c r="G111" s="122"/>
      <c r="H111" s="928"/>
      <c r="I111" s="229"/>
      <c r="J111" s="123"/>
      <c r="K111" s="123"/>
      <c r="L111" s="123"/>
      <c r="M111" s="123"/>
      <c r="N111" s="123"/>
      <c r="O111" s="123"/>
      <c r="P111" s="129">
        <f>P80</f>
        <v>0</v>
      </c>
      <c r="Q111" s="123"/>
      <c r="R111" s="123"/>
      <c r="S111" s="129">
        <f>S80</f>
        <v>0</v>
      </c>
      <c r="T111" s="123"/>
      <c r="U111" s="123"/>
      <c r="V111" s="129">
        <f>V80</f>
        <v>0</v>
      </c>
      <c r="W111" s="383"/>
      <c r="X111" s="123"/>
      <c r="Y111" s="124"/>
      <c r="Z111" s="125"/>
      <c r="AA111" s="125"/>
      <c r="AB111" s="125"/>
      <c r="AC111" s="125"/>
      <c r="AE111" s="126"/>
      <c r="AF111" s="126"/>
      <c r="AG111" s="126"/>
      <c r="AH111" s="124"/>
      <c r="AI111" s="125"/>
      <c r="AK111" s="126"/>
      <c r="AL111" s="126"/>
      <c r="AM111" s="126"/>
      <c r="AN111" s="124"/>
      <c r="AO111" s="125"/>
      <c r="AQ111" s="126"/>
      <c r="AR111" s="126"/>
      <c r="AS111" s="126"/>
      <c r="AT111" s="124"/>
      <c r="AU111" s="125"/>
      <c r="AW111" s="126"/>
      <c r="AX111" s="126"/>
      <c r="AY111" s="126"/>
      <c r="AZ111" s="124"/>
      <c r="BA111" s="125"/>
    </row>
    <row r="112" spans="1:53" s="97" customFormat="1" ht="17.100000000000001" customHeight="1" x14ac:dyDescent="0.25">
      <c r="A112" s="119"/>
      <c r="B112" s="119"/>
      <c r="C112" s="928"/>
      <c r="D112" s="127" t="s">
        <v>83</v>
      </c>
      <c r="E112" s="122"/>
      <c r="F112" s="122"/>
      <c r="G112" s="122"/>
      <c r="H112" s="928"/>
      <c r="I112" s="229"/>
      <c r="J112" s="123"/>
      <c r="K112" s="123"/>
      <c r="L112" s="123"/>
      <c r="M112" s="123"/>
      <c r="N112" s="123"/>
      <c r="O112" s="123"/>
      <c r="P112" s="129">
        <f>P85</f>
        <v>0</v>
      </c>
      <c r="Q112" s="123"/>
      <c r="R112" s="123"/>
      <c r="S112" s="129">
        <f>S85</f>
        <v>0</v>
      </c>
      <c r="T112" s="123"/>
      <c r="U112" s="123"/>
      <c r="V112" s="129">
        <f>V85</f>
        <v>0</v>
      </c>
      <c r="W112" s="383"/>
      <c r="X112" s="123"/>
      <c r="Y112" s="129"/>
      <c r="Z112" s="125"/>
      <c r="AA112" s="125"/>
      <c r="AB112" s="125"/>
      <c r="AC112" s="125"/>
      <c r="AE112" s="123"/>
      <c r="AF112" s="123"/>
      <c r="AG112" s="123"/>
      <c r="AH112" s="124"/>
      <c r="AI112" s="125"/>
      <c r="AK112" s="123"/>
      <c r="AL112" s="123"/>
      <c r="AM112" s="123"/>
      <c r="AN112" s="124"/>
      <c r="AO112" s="125"/>
      <c r="AQ112" s="123"/>
      <c r="AR112" s="123"/>
      <c r="AS112" s="123"/>
      <c r="AT112" s="124"/>
      <c r="AU112" s="125"/>
      <c r="AW112" s="123"/>
      <c r="AX112" s="123"/>
      <c r="AY112" s="123"/>
      <c r="AZ112" s="124"/>
      <c r="BA112" s="125"/>
    </row>
    <row r="113" spans="1:53" s="97" customFormat="1" ht="17.100000000000001" customHeight="1" x14ac:dyDescent="0.25">
      <c r="A113" s="119"/>
      <c r="B113" s="119"/>
      <c r="C113" s="928"/>
      <c r="D113" s="127" t="s">
        <v>84</v>
      </c>
      <c r="E113" s="122"/>
      <c r="F113" s="122"/>
      <c r="G113" s="122"/>
      <c r="H113" s="928"/>
      <c r="I113" s="229"/>
      <c r="J113" s="123"/>
      <c r="K113" s="123"/>
      <c r="L113" s="123"/>
      <c r="M113" s="123"/>
      <c r="N113" s="123"/>
      <c r="O113" s="123"/>
      <c r="P113" s="129">
        <f>P86</f>
        <v>0</v>
      </c>
      <c r="Q113" s="123"/>
      <c r="R113" s="123"/>
      <c r="S113" s="129">
        <f>S86</f>
        <v>0</v>
      </c>
      <c r="T113" s="123"/>
      <c r="U113" s="123"/>
      <c r="V113" s="129">
        <f>V86</f>
        <v>0</v>
      </c>
      <c r="W113" s="383"/>
      <c r="X113" s="123"/>
      <c r="Y113" s="129"/>
      <c r="Z113" s="125"/>
      <c r="AA113" s="125"/>
      <c r="AB113" s="125"/>
      <c r="AC113" s="125"/>
      <c r="AE113" s="123"/>
      <c r="AF113" s="123"/>
      <c r="AG113" s="123"/>
      <c r="AH113" s="124"/>
      <c r="AI113" s="125"/>
      <c r="AK113" s="123"/>
      <c r="AL113" s="123"/>
      <c r="AM113" s="123"/>
      <c r="AN113" s="124"/>
      <c r="AO113" s="125"/>
      <c r="AQ113" s="123"/>
      <c r="AR113" s="123"/>
      <c r="AS113" s="123"/>
      <c r="AT113" s="124"/>
      <c r="AU113" s="125"/>
      <c r="AW113" s="123"/>
      <c r="AX113" s="123"/>
      <c r="AY113" s="123"/>
      <c r="AZ113" s="124"/>
      <c r="BA113" s="125"/>
    </row>
    <row r="114" spans="1:53" s="97" customFormat="1" ht="17.100000000000001" customHeight="1" x14ac:dyDescent="0.25">
      <c r="A114" s="119"/>
      <c r="B114" s="119"/>
      <c r="C114" s="928"/>
      <c r="D114" s="127" t="s">
        <v>85</v>
      </c>
      <c r="E114" s="122"/>
      <c r="F114" s="122"/>
      <c r="G114" s="122"/>
      <c r="H114" s="928"/>
      <c r="I114" s="229"/>
      <c r="J114" s="123"/>
      <c r="K114" s="123"/>
      <c r="L114" s="123"/>
      <c r="M114" s="123"/>
      <c r="N114" s="123"/>
      <c r="O114" s="123"/>
      <c r="P114" s="129">
        <f>P87</f>
        <v>0</v>
      </c>
      <c r="Q114" s="123"/>
      <c r="R114" s="123"/>
      <c r="S114" s="129">
        <f>S87</f>
        <v>0</v>
      </c>
      <c r="T114" s="123"/>
      <c r="U114" s="123"/>
      <c r="V114" s="129">
        <f>V87</f>
        <v>0</v>
      </c>
      <c r="W114" s="383"/>
      <c r="X114" s="123"/>
      <c r="Y114" s="129"/>
      <c r="Z114" s="125"/>
      <c r="AA114" s="125"/>
      <c r="AB114" s="125"/>
      <c r="AC114" s="125"/>
      <c r="AE114" s="123"/>
      <c r="AF114" s="123"/>
      <c r="AG114" s="123"/>
      <c r="AH114" s="124"/>
      <c r="AI114" s="125"/>
      <c r="AK114" s="123"/>
      <c r="AL114" s="123"/>
      <c r="AM114" s="123"/>
      <c r="AN114" s="124"/>
      <c r="AO114" s="125"/>
      <c r="AQ114" s="123"/>
      <c r="AR114" s="123"/>
      <c r="AS114" s="123"/>
      <c r="AT114" s="124"/>
      <c r="AU114" s="125"/>
      <c r="AW114" s="123"/>
      <c r="AX114" s="123"/>
      <c r="AY114" s="123"/>
      <c r="AZ114" s="124"/>
      <c r="BA114" s="125"/>
    </row>
    <row r="115" spans="1:53" s="97" customFormat="1" ht="17.100000000000001" customHeight="1" x14ac:dyDescent="0.25">
      <c r="A115" s="119"/>
      <c r="B115" s="119"/>
      <c r="C115" s="103" t="s">
        <v>86</v>
      </c>
      <c r="D115" s="85" t="s">
        <v>907</v>
      </c>
      <c r="E115" s="75"/>
      <c r="F115" s="75"/>
      <c r="G115" s="75"/>
      <c r="H115" s="928"/>
      <c r="I115" s="229"/>
      <c r="J115" s="932"/>
      <c r="K115" s="932"/>
      <c r="L115" s="932"/>
      <c r="M115" s="932"/>
      <c r="N115" s="932"/>
      <c r="O115" s="932"/>
      <c r="P115" s="932"/>
      <c r="Q115" s="932"/>
      <c r="R115" s="932"/>
      <c r="S115" s="932"/>
      <c r="T115" s="932"/>
      <c r="U115" s="932"/>
      <c r="V115" s="932"/>
      <c r="W115" s="385"/>
      <c r="X115" s="932"/>
      <c r="Y115" s="932"/>
      <c r="Z115" s="131"/>
      <c r="AA115" s="131"/>
      <c r="AB115" s="131"/>
      <c r="AC115" s="113"/>
      <c r="AE115" s="927"/>
      <c r="AF115" s="927"/>
      <c r="AG115" s="927"/>
      <c r="AH115" s="927"/>
      <c r="AI115" s="91"/>
      <c r="AK115" s="927"/>
      <c r="AL115" s="927"/>
      <c r="AM115" s="927"/>
      <c r="AN115" s="927"/>
      <c r="AO115" s="91"/>
      <c r="AQ115" s="927"/>
      <c r="AR115" s="927"/>
      <c r="AS115" s="927"/>
      <c r="AT115" s="927"/>
      <c r="AU115" s="91"/>
      <c r="AW115" s="927"/>
      <c r="AX115" s="927"/>
      <c r="AY115" s="927"/>
      <c r="AZ115" s="927"/>
      <c r="BA115" s="91"/>
    </row>
    <row r="116" spans="1:53" s="97" customFormat="1" ht="17.100000000000001" customHeight="1" x14ac:dyDescent="0.25">
      <c r="A116" s="119"/>
      <c r="B116" s="119"/>
      <c r="C116" s="119"/>
      <c r="D116" s="74" t="s">
        <v>905</v>
      </c>
      <c r="E116" s="75" t="s">
        <v>908</v>
      </c>
      <c r="F116" s="75"/>
      <c r="G116" s="75"/>
      <c r="H116" s="928"/>
      <c r="I116" s="229"/>
      <c r="J116" s="927"/>
      <c r="K116" s="927"/>
      <c r="L116" s="927"/>
      <c r="M116" s="927"/>
      <c r="N116" s="927"/>
      <c r="O116" s="927"/>
      <c r="P116" s="927">
        <f>IF(SUM(P111:P112)&gt;=1,1,0)</f>
        <v>0</v>
      </c>
      <c r="Q116" s="927"/>
      <c r="R116" s="927"/>
      <c r="S116" s="927">
        <f>IF(SUM(S111:S112)&gt;=1,1,0)</f>
        <v>0</v>
      </c>
      <c r="T116" s="927"/>
      <c r="U116" s="927"/>
      <c r="V116" s="927">
        <f>IF(SUM(V111:V112)&gt;=1,1,0)</f>
        <v>0</v>
      </c>
      <c r="W116" s="382"/>
      <c r="X116" s="927"/>
      <c r="Y116" s="927">
        <f t="shared" ref="Y116:Y121" si="87">M116+P116+S116+V116</f>
        <v>0</v>
      </c>
      <c r="Z116" s="91"/>
      <c r="AA116" s="91"/>
      <c r="AB116" s="91"/>
      <c r="AC116" s="84"/>
      <c r="AE116" s="927"/>
      <c r="AF116" s="927"/>
      <c r="AG116" s="927"/>
      <c r="AH116" s="927"/>
      <c r="AI116" s="91"/>
      <c r="AK116" s="927"/>
      <c r="AL116" s="927"/>
      <c r="AM116" s="927"/>
      <c r="AN116" s="927"/>
      <c r="AO116" s="91"/>
      <c r="AQ116" s="927"/>
      <c r="AR116" s="927"/>
      <c r="AS116" s="927"/>
      <c r="AT116" s="927"/>
      <c r="AU116" s="91"/>
      <c r="AW116" s="927"/>
      <c r="AX116" s="927"/>
      <c r="AY116" s="927"/>
      <c r="AZ116" s="927"/>
      <c r="BA116" s="91"/>
    </row>
    <row r="117" spans="1:53" s="97" customFormat="1" ht="17.100000000000001" customHeight="1" x14ac:dyDescent="0.25">
      <c r="A117" s="119"/>
      <c r="B117" s="119"/>
      <c r="C117" s="119"/>
      <c r="D117" s="74" t="s">
        <v>906</v>
      </c>
      <c r="E117" s="75" t="s">
        <v>909</v>
      </c>
      <c r="F117" s="75"/>
      <c r="G117" s="75"/>
      <c r="H117" s="928"/>
      <c r="I117" s="229"/>
      <c r="J117" s="927"/>
      <c r="K117" s="927"/>
      <c r="L117" s="927"/>
      <c r="M117" s="927"/>
      <c r="N117" s="927"/>
      <c r="O117" s="927"/>
      <c r="P117" s="927">
        <f>IF(SUM(P113:P114)&gt;=1,1,0)</f>
        <v>0</v>
      </c>
      <c r="Q117" s="927"/>
      <c r="R117" s="927"/>
      <c r="S117" s="927">
        <f>IF(SUM(S113:S114)&gt;=1,1,0)</f>
        <v>0</v>
      </c>
      <c r="T117" s="927"/>
      <c r="U117" s="927"/>
      <c r="V117" s="927">
        <f>IF(SUM(V113:V114)&gt;=1,1,0)</f>
        <v>0</v>
      </c>
      <c r="W117" s="382"/>
      <c r="X117" s="927"/>
      <c r="Y117" s="927">
        <f t="shared" si="87"/>
        <v>0</v>
      </c>
      <c r="Z117" s="91"/>
      <c r="AA117" s="91"/>
      <c r="AB117" s="91"/>
      <c r="AC117" s="84"/>
      <c r="AE117" s="927"/>
      <c r="AF117" s="927"/>
      <c r="AG117" s="927"/>
      <c r="AH117" s="927"/>
      <c r="AI117" s="91"/>
      <c r="AK117" s="927"/>
      <c r="AL117" s="927"/>
      <c r="AM117" s="927"/>
      <c r="AN117" s="927"/>
      <c r="AO117" s="91"/>
      <c r="AQ117" s="927"/>
      <c r="AR117" s="927"/>
      <c r="AS117" s="927"/>
      <c r="AT117" s="927"/>
      <c r="AU117" s="91"/>
      <c r="AW117" s="927"/>
      <c r="AX117" s="927"/>
      <c r="AY117" s="927"/>
      <c r="AZ117" s="927"/>
      <c r="BA117" s="91"/>
    </row>
    <row r="118" spans="1:53" s="97" customFormat="1" ht="17.100000000000001" customHeight="1" x14ac:dyDescent="0.25">
      <c r="A118" s="119"/>
      <c r="B118" s="119"/>
      <c r="C118" s="928"/>
      <c r="D118" s="121" t="s">
        <v>88</v>
      </c>
      <c r="E118" s="122"/>
      <c r="F118" s="122"/>
      <c r="G118" s="122"/>
      <c r="H118" s="928"/>
      <c r="I118" s="229"/>
      <c r="J118" s="123"/>
      <c r="K118" s="123"/>
      <c r="L118" s="123"/>
      <c r="M118" s="123"/>
      <c r="N118" s="123"/>
      <c r="O118" s="123"/>
      <c r="P118" s="123"/>
      <c r="Q118" s="123"/>
      <c r="R118" s="123"/>
      <c r="S118" s="123"/>
      <c r="T118" s="123"/>
      <c r="U118" s="123"/>
      <c r="V118" s="363"/>
      <c r="W118" s="383"/>
      <c r="X118" s="123"/>
      <c r="Y118" s="124"/>
      <c r="Z118" s="125"/>
      <c r="AA118" s="125"/>
      <c r="AB118" s="125"/>
      <c r="AC118" s="125"/>
      <c r="AE118" s="126"/>
      <c r="AF118" s="126"/>
      <c r="AG118" s="126"/>
      <c r="AH118" s="124"/>
      <c r="AI118" s="125"/>
      <c r="AK118" s="126"/>
      <c r="AL118" s="126"/>
      <c r="AM118" s="126"/>
      <c r="AN118" s="124"/>
      <c r="AO118" s="125"/>
      <c r="AQ118" s="126"/>
      <c r="AR118" s="126"/>
      <c r="AS118" s="126"/>
      <c r="AT118" s="124"/>
      <c r="AU118" s="125"/>
      <c r="AW118" s="126"/>
      <c r="AX118" s="126"/>
      <c r="AY118" s="126"/>
      <c r="AZ118" s="124"/>
      <c r="BA118" s="125"/>
    </row>
    <row r="119" spans="1:53" s="97" customFormat="1" ht="17.100000000000001" customHeight="1" x14ac:dyDescent="0.25">
      <c r="A119" s="119"/>
      <c r="B119" s="119"/>
      <c r="C119" s="928"/>
      <c r="D119" s="127" t="s">
        <v>90</v>
      </c>
      <c r="E119" s="122"/>
      <c r="F119" s="122"/>
      <c r="G119" s="279"/>
      <c r="H119" s="928"/>
      <c r="I119" s="229"/>
      <c r="J119" s="123"/>
      <c r="K119" s="123"/>
      <c r="L119" s="123"/>
      <c r="M119" s="123"/>
      <c r="N119" s="123"/>
      <c r="O119" s="123"/>
      <c r="P119" s="123">
        <f>P92</f>
        <v>0</v>
      </c>
      <c r="Q119" s="123"/>
      <c r="R119" s="123"/>
      <c r="S119" s="123">
        <f>S92</f>
        <v>0</v>
      </c>
      <c r="T119" s="123"/>
      <c r="U119" s="123"/>
      <c r="V119" s="123">
        <f>V92</f>
        <v>0</v>
      </c>
      <c r="W119" s="383"/>
      <c r="X119" s="123"/>
      <c r="Y119" s="123">
        <f t="shared" si="87"/>
        <v>0</v>
      </c>
      <c r="Z119" s="125"/>
      <c r="AA119" s="125"/>
      <c r="AB119" s="125"/>
      <c r="AC119" s="125"/>
      <c r="AE119" s="123"/>
      <c r="AF119" s="123"/>
      <c r="AG119" s="123"/>
      <c r="AH119" s="124"/>
      <c r="AI119" s="125"/>
      <c r="AK119" s="123"/>
      <c r="AL119" s="123"/>
      <c r="AM119" s="123"/>
      <c r="AN119" s="124"/>
      <c r="AO119" s="125"/>
      <c r="AQ119" s="123"/>
      <c r="AR119" s="123"/>
      <c r="AS119" s="123"/>
      <c r="AT119" s="124"/>
      <c r="AU119" s="125"/>
      <c r="AW119" s="123"/>
      <c r="AX119" s="123"/>
      <c r="AY119" s="123"/>
      <c r="AZ119" s="124"/>
      <c r="BA119" s="125"/>
    </row>
    <row r="120" spans="1:53" s="97" customFormat="1" ht="17.100000000000001" customHeight="1" x14ac:dyDescent="0.25">
      <c r="A120" s="119"/>
      <c r="B120" s="119"/>
      <c r="C120" s="928"/>
      <c r="D120" s="127" t="s">
        <v>89</v>
      </c>
      <c r="E120" s="122"/>
      <c r="F120" s="128"/>
      <c r="G120" s="279"/>
      <c r="H120" s="928"/>
      <c r="I120" s="229"/>
      <c r="J120" s="123"/>
      <c r="K120" s="123"/>
      <c r="L120" s="123"/>
      <c r="M120" s="123"/>
      <c r="N120" s="123"/>
      <c r="O120" s="123"/>
      <c r="P120" s="123">
        <f>SUM(P93:P95)</f>
        <v>1</v>
      </c>
      <c r="Q120" s="123"/>
      <c r="R120" s="123"/>
      <c r="S120" s="123">
        <f>SUM(S93:S95)</f>
        <v>0</v>
      </c>
      <c r="T120" s="123"/>
      <c r="U120" s="123"/>
      <c r="V120" s="123">
        <f>SUM(V93:V95)</f>
        <v>0</v>
      </c>
      <c r="W120" s="383"/>
      <c r="X120" s="123"/>
      <c r="Y120" s="123">
        <f t="shared" si="87"/>
        <v>1</v>
      </c>
      <c r="Z120" s="125"/>
      <c r="AA120" s="125"/>
      <c r="AB120" s="125"/>
      <c r="AC120" s="125"/>
      <c r="AE120" s="123"/>
      <c r="AF120" s="123"/>
      <c r="AG120" s="123"/>
      <c r="AH120" s="124"/>
      <c r="AI120" s="125"/>
      <c r="AK120" s="123"/>
      <c r="AL120" s="123"/>
      <c r="AM120" s="123"/>
      <c r="AN120" s="124"/>
      <c r="AO120" s="125"/>
      <c r="AQ120" s="123"/>
      <c r="AR120" s="123"/>
      <c r="AS120" s="123"/>
      <c r="AT120" s="124"/>
      <c r="AU120" s="125"/>
      <c r="AW120" s="123"/>
      <c r="AX120" s="123"/>
      <c r="AY120" s="123"/>
      <c r="AZ120" s="124"/>
      <c r="BA120" s="125"/>
    </row>
    <row r="121" spans="1:53" s="97" customFormat="1" ht="17.100000000000001" customHeight="1" x14ac:dyDescent="0.25">
      <c r="A121" s="119"/>
      <c r="B121" s="119"/>
      <c r="C121" s="928"/>
      <c r="D121" s="127" t="s">
        <v>91</v>
      </c>
      <c r="E121" s="122"/>
      <c r="F121" s="122"/>
      <c r="G121" s="279"/>
      <c r="H121" s="928"/>
      <c r="I121" s="229"/>
      <c r="J121" s="129"/>
      <c r="K121" s="129"/>
      <c r="L121" s="129"/>
      <c r="M121" s="129"/>
      <c r="N121" s="129"/>
      <c r="O121" s="129"/>
      <c r="P121" s="129">
        <f t="shared" ref="P121" si="88">IF(P119=1,0,IF(P120=1,1,0))</f>
        <v>1</v>
      </c>
      <c r="Q121" s="129"/>
      <c r="R121" s="129"/>
      <c r="S121" s="129">
        <f t="shared" ref="S121" si="89">IF(S119=1,0,IF(S120=1,1,0))</f>
        <v>0</v>
      </c>
      <c r="T121" s="129"/>
      <c r="U121" s="129"/>
      <c r="V121" s="129">
        <f t="shared" ref="V121" si="90">IF(V119=1,0,IF(V120=1,1,0))</f>
        <v>0</v>
      </c>
      <c r="W121" s="384"/>
      <c r="X121" s="129"/>
      <c r="Y121" s="129">
        <f t="shared" si="87"/>
        <v>1</v>
      </c>
      <c r="Z121" s="130"/>
      <c r="AA121" s="130"/>
      <c r="AB121" s="130"/>
      <c r="AC121" s="125"/>
      <c r="AE121" s="129"/>
      <c r="AF121" s="129"/>
      <c r="AG121" s="129"/>
      <c r="AH121" s="129"/>
      <c r="AI121" s="130"/>
      <c r="AK121" s="129"/>
      <c r="AL121" s="129"/>
      <c r="AM121" s="129"/>
      <c r="AN121" s="129"/>
      <c r="AO121" s="130"/>
      <c r="AQ121" s="129"/>
      <c r="AR121" s="129"/>
      <c r="AS121" s="129"/>
      <c r="AT121" s="129"/>
      <c r="AU121" s="130"/>
      <c r="AW121" s="129"/>
      <c r="AX121" s="129"/>
      <c r="AY121" s="129"/>
      <c r="AZ121" s="129"/>
      <c r="BA121" s="130"/>
    </row>
    <row r="122" spans="1:53" s="97" customFormat="1" ht="17.100000000000001" customHeight="1" x14ac:dyDescent="0.25">
      <c r="A122" s="119"/>
      <c r="B122" s="119"/>
      <c r="C122" s="103" t="s">
        <v>92</v>
      </c>
      <c r="D122" s="85" t="s">
        <v>914</v>
      </c>
      <c r="E122" s="75"/>
      <c r="F122" s="75"/>
      <c r="G122" s="75"/>
      <c r="H122" s="928"/>
      <c r="I122" s="229"/>
      <c r="J122" s="927"/>
      <c r="K122" s="927"/>
      <c r="L122" s="927"/>
      <c r="M122" s="927"/>
      <c r="N122" s="927"/>
      <c r="O122" s="927"/>
      <c r="P122" s="927">
        <f>P121</f>
        <v>1</v>
      </c>
      <c r="Q122" s="927"/>
      <c r="R122" s="927"/>
      <c r="S122" s="927">
        <f>S121</f>
        <v>0</v>
      </c>
      <c r="T122" s="927"/>
      <c r="U122" s="927"/>
      <c r="V122" s="927">
        <f>V121</f>
        <v>0</v>
      </c>
      <c r="W122" s="382"/>
      <c r="X122" s="927"/>
      <c r="Y122" s="927">
        <f>SUM(J122:X122)</f>
        <v>1</v>
      </c>
      <c r="Z122" s="91"/>
      <c r="AA122" s="91"/>
      <c r="AB122" s="91"/>
      <c r="AC122" s="84"/>
      <c r="AE122" s="927"/>
      <c r="AF122" s="927"/>
      <c r="AG122" s="927"/>
      <c r="AH122" s="927"/>
      <c r="AI122" s="91"/>
      <c r="AK122" s="927"/>
      <c r="AL122" s="927"/>
      <c r="AM122" s="927"/>
      <c r="AN122" s="927"/>
      <c r="AO122" s="91"/>
      <c r="AQ122" s="927"/>
      <c r="AR122" s="927"/>
      <c r="AS122" s="927"/>
      <c r="AT122" s="927"/>
      <c r="AU122" s="91"/>
      <c r="AW122" s="927"/>
      <c r="AX122" s="927"/>
      <c r="AY122" s="927"/>
      <c r="AZ122" s="927"/>
      <c r="BA122" s="91"/>
    </row>
    <row r="123" spans="1:53" s="97" customFormat="1" ht="17.100000000000001" customHeight="1" x14ac:dyDescent="0.25">
      <c r="A123" s="119"/>
      <c r="B123" s="119"/>
      <c r="C123" s="103" t="s">
        <v>93</v>
      </c>
      <c r="D123" s="85" t="s">
        <v>94</v>
      </c>
      <c r="E123" s="75"/>
      <c r="F123" s="75"/>
      <c r="G123" s="75"/>
      <c r="H123" s="928"/>
      <c r="I123" s="229"/>
      <c r="J123" s="932"/>
      <c r="K123" s="932"/>
      <c r="L123" s="932"/>
      <c r="M123" s="932"/>
      <c r="N123" s="932"/>
      <c r="O123" s="932"/>
      <c r="P123" s="932"/>
      <c r="Q123" s="932"/>
      <c r="R123" s="932"/>
      <c r="S123" s="932"/>
      <c r="T123" s="932"/>
      <c r="U123" s="932"/>
      <c r="V123" s="364"/>
      <c r="W123" s="385"/>
      <c r="X123" s="932"/>
      <c r="Y123" s="932"/>
      <c r="Z123" s="131"/>
      <c r="AA123" s="131"/>
      <c r="AB123" s="131"/>
      <c r="AC123" s="113"/>
      <c r="AE123" s="114"/>
      <c r="AF123" s="114"/>
      <c r="AG123" s="114"/>
      <c r="AH123" s="112"/>
      <c r="AI123" s="113"/>
      <c r="AK123" s="114"/>
      <c r="AL123" s="114"/>
      <c r="AM123" s="114"/>
      <c r="AN123" s="112"/>
      <c r="AO123" s="113"/>
      <c r="AQ123" s="114"/>
      <c r="AR123" s="114"/>
      <c r="AS123" s="114"/>
      <c r="AT123" s="112"/>
      <c r="AU123" s="113"/>
      <c r="AW123" s="114"/>
      <c r="AX123" s="114"/>
      <c r="AY123" s="114"/>
      <c r="AZ123" s="112"/>
      <c r="BA123" s="113"/>
    </row>
    <row r="124" spans="1:53" s="97" customFormat="1" ht="17.100000000000001" customHeight="1" x14ac:dyDescent="0.25">
      <c r="A124" s="137"/>
      <c r="B124" s="119"/>
      <c r="C124" s="132"/>
      <c r="D124" s="133" t="s">
        <v>95</v>
      </c>
      <c r="E124" s="134"/>
      <c r="F124" s="134"/>
      <c r="G124" s="134"/>
      <c r="H124" s="928"/>
      <c r="I124" s="229"/>
      <c r="J124" s="82"/>
      <c r="K124" s="82"/>
      <c r="L124" s="82" t="str">
        <f>IF(SUM(L30:L32)=1,1-SUM(L125:L127),"")</f>
        <v/>
      </c>
      <c r="M124" s="82"/>
      <c r="N124" s="82"/>
      <c r="O124" s="82"/>
      <c r="P124" s="82">
        <f>IF(P20=0,0,IF(P109+P116+P117+P122=0,1,0))</f>
        <v>0</v>
      </c>
      <c r="Q124" s="82"/>
      <c r="R124" s="82"/>
      <c r="S124" s="82">
        <f>IF(S20=0,0,IF(S109+S116+S117+S122=0,1,0))</f>
        <v>0</v>
      </c>
      <c r="T124" s="82"/>
      <c r="U124" s="82"/>
      <c r="V124" s="82">
        <f>IF(V20=0,0,IF(V109+V116+V117+V122=0,1,0))</f>
        <v>0</v>
      </c>
      <c r="W124" s="381" t="str">
        <f>IF(SUM(W30:W32)=1,1-SUM(W125:W127),"")</f>
        <v/>
      </c>
      <c r="X124" s="82" t="str">
        <f>IF(SUM(X30:X32)=1,1-SUM(X125:X127),"")</f>
        <v/>
      </c>
      <c r="Y124" s="82">
        <f>P124+S124+V124</f>
        <v>0</v>
      </c>
      <c r="Z124" s="66">
        <f>IF(Y$128=0,0,Y124/Y$128)</f>
        <v>0</v>
      </c>
      <c r="AA124" s="66"/>
      <c r="AB124" s="66"/>
      <c r="AC124" s="83"/>
      <c r="AE124" s="82"/>
      <c r="AF124" s="82"/>
      <c r="AG124" s="82"/>
      <c r="AH124" s="82"/>
      <c r="AI124" s="66"/>
      <c r="AK124" s="82"/>
      <c r="AL124" s="82"/>
      <c r="AM124" s="82"/>
      <c r="AN124" s="82"/>
      <c r="AO124" s="66"/>
      <c r="AQ124" s="82"/>
      <c r="AR124" s="82"/>
      <c r="AS124" s="82"/>
      <c r="AT124" s="82"/>
      <c r="AU124" s="66"/>
      <c r="AW124" s="82"/>
      <c r="AX124" s="82"/>
      <c r="AY124" s="82"/>
      <c r="AZ124" s="82"/>
      <c r="BA124" s="66"/>
    </row>
    <row r="125" spans="1:53" s="97" customFormat="1" ht="17.100000000000001" customHeight="1" x14ac:dyDescent="0.25">
      <c r="A125" s="119"/>
      <c r="B125" s="119"/>
      <c r="C125" s="135"/>
      <c r="D125" s="133" t="s">
        <v>96</v>
      </c>
      <c r="E125" s="134"/>
      <c r="F125" s="134"/>
      <c r="G125" s="134"/>
      <c r="H125" s="928"/>
      <c r="I125" s="229"/>
      <c r="J125" s="82"/>
      <c r="K125" s="82"/>
      <c r="L125" s="82"/>
      <c r="M125" s="82"/>
      <c r="N125" s="82"/>
      <c r="O125" s="82"/>
      <c r="P125" s="82">
        <f>IF(P109+P116+P117+P122=1,1,0)</f>
        <v>1</v>
      </c>
      <c r="Q125" s="82"/>
      <c r="R125" s="82"/>
      <c r="S125" s="82">
        <f>IF(S109+S116+S117+S122=1,1,0)</f>
        <v>0</v>
      </c>
      <c r="T125" s="82"/>
      <c r="U125" s="82"/>
      <c r="V125" s="82">
        <f>IF(V109+V116+V117+V122=1,1,0)</f>
        <v>0</v>
      </c>
      <c r="W125" s="381"/>
      <c r="X125" s="82"/>
      <c r="Y125" s="82">
        <f t="shared" ref="Y125:Y127" si="91">P125+S125+V125</f>
        <v>1</v>
      </c>
      <c r="Z125" s="66">
        <f>IF(Y$128=0,0,Y125/Y$128)</f>
        <v>1</v>
      </c>
      <c r="AA125" s="66"/>
      <c r="AB125" s="66"/>
      <c r="AC125" s="83"/>
      <c r="AE125" s="82"/>
      <c r="AF125" s="82"/>
      <c r="AG125" s="82"/>
      <c r="AH125" s="82"/>
      <c r="AI125" s="66"/>
      <c r="AK125" s="82"/>
      <c r="AL125" s="82"/>
      <c r="AM125" s="82"/>
      <c r="AN125" s="82"/>
      <c r="AO125" s="66"/>
      <c r="AQ125" s="82"/>
      <c r="AR125" s="82"/>
      <c r="AS125" s="82"/>
      <c r="AT125" s="82"/>
      <c r="AU125" s="66"/>
      <c r="AW125" s="82"/>
      <c r="AX125" s="82"/>
      <c r="AY125" s="82"/>
      <c r="AZ125" s="82"/>
      <c r="BA125" s="66"/>
    </row>
    <row r="126" spans="1:53" s="97" customFormat="1" ht="17.100000000000001" customHeight="1" x14ac:dyDescent="0.25">
      <c r="A126" s="119"/>
      <c r="B126" s="119"/>
      <c r="C126" s="136"/>
      <c r="D126" s="133" t="s">
        <v>97</v>
      </c>
      <c r="E126" s="134"/>
      <c r="F126" s="134"/>
      <c r="G126" s="134"/>
      <c r="H126" s="928"/>
      <c r="I126" s="229"/>
      <c r="J126" s="82"/>
      <c r="K126" s="82"/>
      <c r="L126" s="82"/>
      <c r="M126" s="82"/>
      <c r="N126" s="82"/>
      <c r="O126" s="82"/>
      <c r="P126" s="82">
        <f>IF(P109+P116+P117+P122=2,1,0)</f>
        <v>0</v>
      </c>
      <c r="Q126" s="82"/>
      <c r="R126" s="82"/>
      <c r="S126" s="82">
        <f>IF(S109+S116+S117+S122=2,1,0)</f>
        <v>0</v>
      </c>
      <c r="T126" s="82"/>
      <c r="U126" s="82"/>
      <c r="V126" s="82">
        <f>IF(V109+V116+V117+V122=2,1,0)</f>
        <v>0</v>
      </c>
      <c r="W126" s="381"/>
      <c r="X126" s="82"/>
      <c r="Y126" s="82">
        <f t="shared" si="91"/>
        <v>0</v>
      </c>
      <c r="Z126" s="66">
        <f>IF(Y$128=0,0,Y126/Y$128)</f>
        <v>0</v>
      </c>
      <c r="AA126" s="66"/>
      <c r="AB126" s="66"/>
      <c r="AC126" s="83"/>
      <c r="AE126" s="82"/>
      <c r="AF126" s="82"/>
      <c r="AG126" s="82"/>
      <c r="AH126" s="82"/>
      <c r="AI126" s="66"/>
      <c r="AK126" s="82"/>
      <c r="AL126" s="82"/>
      <c r="AM126" s="82"/>
      <c r="AN126" s="82"/>
      <c r="AO126" s="66"/>
      <c r="AQ126" s="82"/>
      <c r="AR126" s="82"/>
      <c r="AS126" s="82"/>
      <c r="AT126" s="82"/>
      <c r="AU126" s="66"/>
      <c r="AW126" s="82"/>
      <c r="AX126" s="82"/>
      <c r="AY126" s="82"/>
      <c r="AZ126" s="82"/>
      <c r="BA126" s="66"/>
    </row>
    <row r="127" spans="1:53" s="97" customFormat="1" ht="17.100000000000001" customHeight="1" x14ac:dyDescent="0.25">
      <c r="A127" s="119"/>
      <c r="B127" s="119"/>
      <c r="C127" s="137"/>
      <c r="D127" s="133" t="s">
        <v>98</v>
      </c>
      <c r="E127" s="134"/>
      <c r="F127" s="134"/>
      <c r="G127" s="134"/>
      <c r="H127" s="928"/>
      <c r="I127" s="229"/>
      <c r="J127" s="82"/>
      <c r="K127" s="82"/>
      <c r="L127" s="82"/>
      <c r="M127" s="82"/>
      <c r="N127" s="82"/>
      <c r="O127" s="82"/>
      <c r="P127" s="82">
        <f>IF(P109+P116+P117+P122=3,1,0)</f>
        <v>0</v>
      </c>
      <c r="Q127" s="82"/>
      <c r="R127" s="82"/>
      <c r="S127" s="82">
        <f>IF(S109+S116+S117+S122=3,1,0)</f>
        <v>0</v>
      </c>
      <c r="T127" s="82"/>
      <c r="U127" s="82"/>
      <c r="V127" s="82">
        <f>IF(V109+V116+V117+V122=3,1,0)</f>
        <v>0</v>
      </c>
      <c r="W127" s="381"/>
      <c r="X127" s="82"/>
      <c r="Y127" s="82">
        <f t="shared" si="91"/>
        <v>0</v>
      </c>
      <c r="Z127" s="66">
        <f>IF(Y$128=0,0,Y127/Y$128)</f>
        <v>0</v>
      </c>
      <c r="AA127" s="66"/>
      <c r="AB127" s="66"/>
      <c r="AC127" s="83"/>
      <c r="AE127" s="82"/>
      <c r="AF127" s="82"/>
      <c r="AG127" s="82"/>
      <c r="AH127" s="82"/>
      <c r="AI127" s="66"/>
      <c r="AK127" s="82"/>
      <c r="AL127" s="82"/>
      <c r="AM127" s="82"/>
      <c r="AN127" s="82"/>
      <c r="AO127" s="66"/>
      <c r="AQ127" s="82"/>
      <c r="AR127" s="82"/>
      <c r="AS127" s="82"/>
      <c r="AT127" s="82"/>
      <c r="AU127" s="66"/>
      <c r="AW127" s="82"/>
      <c r="AX127" s="82"/>
      <c r="AY127" s="82"/>
      <c r="AZ127" s="82"/>
      <c r="BA127" s="66"/>
    </row>
    <row r="128" spans="1:53" s="97" customFormat="1" ht="17.100000000000001" customHeight="1" x14ac:dyDescent="0.25">
      <c r="A128" s="119"/>
      <c r="B128" s="119"/>
      <c r="C128" s="928"/>
      <c r="D128" s="133"/>
      <c r="E128" s="134"/>
      <c r="F128" s="134"/>
      <c r="G128" s="134"/>
      <c r="H128" s="928"/>
      <c r="I128" s="229"/>
      <c r="J128" s="82"/>
      <c r="K128" s="82"/>
      <c r="L128" s="82"/>
      <c r="M128" s="82"/>
      <c r="N128" s="82"/>
      <c r="O128" s="82"/>
      <c r="P128" s="82"/>
      <c r="Q128" s="82"/>
      <c r="R128" s="82"/>
      <c r="S128" s="82"/>
      <c r="T128" s="82"/>
      <c r="U128" s="82"/>
      <c r="V128" s="360"/>
      <c r="W128" s="381"/>
      <c r="X128" s="82"/>
      <c r="Y128" s="82">
        <f>SUM(Y124:Y127)</f>
        <v>1</v>
      </c>
      <c r="Z128" s="66">
        <f>IF(Y$128=0,0,Y128/Y$128)</f>
        <v>1</v>
      </c>
      <c r="AA128" s="66"/>
      <c r="AB128" s="66"/>
      <c r="AC128" s="83"/>
      <c r="AE128" s="82"/>
      <c r="AF128" s="82"/>
      <c r="AG128" s="82"/>
      <c r="AH128" s="82"/>
      <c r="AI128" s="66"/>
      <c r="AK128" s="82"/>
      <c r="AL128" s="82"/>
      <c r="AM128" s="82"/>
      <c r="AN128" s="82"/>
      <c r="AO128" s="66"/>
      <c r="AQ128" s="82"/>
      <c r="AR128" s="82"/>
      <c r="AS128" s="82"/>
      <c r="AT128" s="82"/>
      <c r="AU128" s="66"/>
      <c r="AW128" s="82"/>
      <c r="AX128" s="82"/>
      <c r="AY128" s="82"/>
      <c r="AZ128" s="82"/>
      <c r="BA128" s="66"/>
    </row>
    <row r="129" spans="1:53" s="97" customFormat="1" ht="17.100000000000001" customHeight="1" x14ac:dyDescent="0.25">
      <c r="A129" s="119"/>
      <c r="B129" s="119"/>
      <c r="C129" s="928"/>
      <c r="D129" s="127" t="s">
        <v>81</v>
      </c>
      <c r="E129" s="122"/>
      <c r="F129" s="122"/>
      <c r="G129" s="122"/>
      <c r="H129" s="928"/>
      <c r="I129" s="229"/>
      <c r="J129" s="123"/>
      <c r="K129" s="123"/>
      <c r="L129" s="123"/>
      <c r="M129" s="123"/>
      <c r="N129" s="123"/>
      <c r="O129" s="123"/>
      <c r="P129" s="123">
        <f t="shared" ref="P129" si="92">P109</f>
        <v>0</v>
      </c>
      <c r="Q129" s="123"/>
      <c r="R129" s="123"/>
      <c r="S129" s="123">
        <f t="shared" ref="S129" si="93">S109</f>
        <v>0</v>
      </c>
      <c r="T129" s="123"/>
      <c r="U129" s="123"/>
      <c r="V129" s="123">
        <f t="shared" ref="V129" si="94">V109</f>
        <v>0</v>
      </c>
      <c r="W129" s="383"/>
      <c r="X129" s="123"/>
      <c r="Y129" s="123">
        <f t="shared" ref="Y129" si="95">Y109</f>
        <v>0</v>
      </c>
      <c r="Z129" s="525"/>
      <c r="AA129" s="125"/>
      <c r="AB129" s="125"/>
      <c r="AC129" s="125"/>
      <c r="AE129" s="123"/>
      <c r="AF129" s="123"/>
      <c r="AG129" s="123"/>
      <c r="AH129" s="124"/>
      <c r="AI129" s="125"/>
      <c r="AK129" s="123"/>
      <c r="AL129" s="123"/>
      <c r="AM129" s="123"/>
      <c r="AN129" s="124"/>
      <c r="AO129" s="125"/>
      <c r="AQ129" s="123"/>
      <c r="AR129" s="123"/>
      <c r="AS129" s="123"/>
      <c r="AT129" s="124"/>
      <c r="AU129" s="125"/>
      <c r="AW129" s="123"/>
      <c r="AX129" s="123"/>
      <c r="AY129" s="123"/>
      <c r="AZ129" s="124"/>
      <c r="BA129" s="125"/>
    </row>
    <row r="130" spans="1:53" s="97" customFormat="1" ht="17.100000000000001" customHeight="1" x14ac:dyDescent="0.25">
      <c r="A130" s="119"/>
      <c r="B130" s="119"/>
      <c r="C130" s="1310"/>
      <c r="D130" s="127" t="s">
        <v>87</v>
      </c>
      <c r="E130" s="122"/>
      <c r="F130" s="122"/>
      <c r="G130" s="122"/>
      <c r="H130" s="1310"/>
      <c r="I130" s="229"/>
      <c r="J130" s="123"/>
      <c r="K130" s="123"/>
      <c r="L130" s="123"/>
      <c r="M130" s="123"/>
      <c r="N130" s="123"/>
      <c r="O130" s="123"/>
      <c r="P130" s="123">
        <f>P116+P117</f>
        <v>0</v>
      </c>
      <c r="Q130" s="123"/>
      <c r="R130" s="123"/>
      <c r="S130" s="123">
        <f>S116+S117</f>
        <v>0</v>
      </c>
      <c r="T130" s="123"/>
      <c r="U130" s="123"/>
      <c r="V130" s="123">
        <f>V116+V117</f>
        <v>0</v>
      </c>
      <c r="W130" s="383"/>
      <c r="X130" s="123"/>
      <c r="Y130" s="123">
        <f>Y116+Y117</f>
        <v>0</v>
      </c>
      <c r="Z130" s="525"/>
      <c r="AA130" s="125"/>
      <c r="AB130" s="125"/>
      <c r="AC130" s="125"/>
      <c r="AE130" s="123"/>
      <c r="AF130" s="123"/>
      <c r="AG130" s="123"/>
      <c r="AH130" s="124"/>
      <c r="AI130" s="125"/>
      <c r="AK130" s="123"/>
      <c r="AL130" s="123"/>
      <c r="AM130" s="123"/>
      <c r="AN130" s="124"/>
      <c r="AO130" s="125"/>
      <c r="AQ130" s="123"/>
      <c r="AR130" s="123"/>
      <c r="AS130" s="123"/>
      <c r="AT130" s="124"/>
      <c r="AU130" s="125"/>
      <c r="AW130" s="123"/>
      <c r="AX130" s="123"/>
      <c r="AY130" s="123"/>
      <c r="AZ130" s="124"/>
      <c r="BA130" s="125"/>
    </row>
    <row r="131" spans="1:53" s="97" customFormat="1" ht="17.100000000000001" customHeight="1" x14ac:dyDescent="0.25">
      <c r="A131" s="119"/>
      <c r="B131" s="119"/>
      <c r="C131" s="928"/>
      <c r="D131" s="127" t="s">
        <v>923</v>
      </c>
      <c r="E131" s="122"/>
      <c r="F131" s="122"/>
      <c r="G131" s="122"/>
      <c r="H131" s="928"/>
      <c r="I131" s="229"/>
      <c r="J131" s="123"/>
      <c r="K131" s="123"/>
      <c r="L131" s="123"/>
      <c r="M131" s="123"/>
      <c r="N131" s="123"/>
      <c r="O131" s="123"/>
      <c r="P131" s="123"/>
      <c r="Q131" s="123"/>
      <c r="R131" s="123"/>
      <c r="S131" s="123"/>
      <c r="T131" s="123"/>
      <c r="U131" s="123"/>
      <c r="V131" s="123"/>
      <c r="W131" s="383"/>
      <c r="X131" s="123"/>
      <c r="Y131" s="123"/>
      <c r="Z131" s="525"/>
      <c r="AA131" s="130"/>
      <c r="AB131" s="130"/>
      <c r="AC131" s="125"/>
      <c r="AE131" s="123"/>
      <c r="AF131" s="123"/>
      <c r="AG131" s="123"/>
      <c r="AH131" s="129"/>
      <c r="AI131" s="130"/>
      <c r="AK131" s="123"/>
      <c r="AL131" s="123"/>
      <c r="AM131" s="123"/>
      <c r="AN131" s="129"/>
      <c r="AO131" s="130"/>
      <c r="AQ131" s="123"/>
      <c r="AR131" s="123"/>
      <c r="AS131" s="123"/>
      <c r="AT131" s="129"/>
      <c r="AU131" s="130"/>
      <c r="AW131" s="123"/>
      <c r="AX131" s="123"/>
      <c r="AY131" s="123"/>
      <c r="AZ131" s="129"/>
      <c r="BA131" s="130"/>
    </row>
    <row r="132" spans="1:53" s="97" customFormat="1" ht="17.100000000000001" customHeight="1" x14ac:dyDescent="0.25">
      <c r="A132" s="119"/>
      <c r="B132" s="119"/>
      <c r="C132" s="928"/>
      <c r="D132" s="127" t="s">
        <v>922</v>
      </c>
      <c r="E132" s="122"/>
      <c r="F132" s="122"/>
      <c r="G132" s="122"/>
      <c r="H132" s="928"/>
      <c r="I132" s="229"/>
      <c r="J132" s="123"/>
      <c r="K132" s="123"/>
      <c r="L132" s="123"/>
      <c r="M132" s="123"/>
      <c r="N132" s="123"/>
      <c r="O132" s="123"/>
      <c r="P132" s="123">
        <f t="shared" ref="P132" si="96">SUM(P129:P131)</f>
        <v>0</v>
      </c>
      <c r="Q132" s="123"/>
      <c r="R132" s="123"/>
      <c r="S132" s="123">
        <f t="shared" ref="S132" si="97">SUM(S129:S131)</f>
        <v>0</v>
      </c>
      <c r="T132" s="123"/>
      <c r="U132" s="123"/>
      <c r="V132" s="123">
        <f t="shared" ref="V132" si="98">SUM(V129:V131)</f>
        <v>0</v>
      </c>
      <c r="W132" s="383"/>
      <c r="X132" s="123"/>
      <c r="Y132" s="123">
        <f t="shared" ref="Y132:Y133" si="99">SUM(Y129:Y131)</f>
        <v>0</v>
      </c>
      <c r="Z132" s="525"/>
      <c r="AA132" s="125"/>
      <c r="AB132" s="125"/>
      <c r="AC132" s="125"/>
      <c r="AE132" s="123"/>
      <c r="AF132" s="123"/>
      <c r="AG132" s="123"/>
      <c r="AH132" s="124"/>
      <c r="AI132" s="125"/>
      <c r="AK132" s="123"/>
      <c r="AL132" s="123"/>
      <c r="AM132" s="123"/>
      <c r="AN132" s="124"/>
      <c r="AO132" s="125"/>
      <c r="AQ132" s="123"/>
      <c r="AR132" s="123"/>
      <c r="AS132" s="123"/>
      <c r="AT132" s="124"/>
      <c r="AU132" s="125"/>
      <c r="AW132" s="123"/>
      <c r="AX132" s="123"/>
      <c r="AY132" s="123"/>
      <c r="AZ132" s="124"/>
      <c r="BA132" s="125"/>
    </row>
    <row r="133" spans="1:53" s="97" customFormat="1" ht="17.100000000000001" customHeight="1" x14ac:dyDescent="0.25">
      <c r="A133" s="119"/>
      <c r="B133" s="119"/>
      <c r="C133" s="103" t="s">
        <v>99</v>
      </c>
      <c r="D133" s="85" t="s">
        <v>921</v>
      </c>
      <c r="E133" s="75"/>
      <c r="F133" s="75"/>
      <c r="G133" s="75"/>
      <c r="H133" s="928"/>
      <c r="I133" s="229"/>
      <c r="J133" s="927"/>
      <c r="K133" s="927"/>
      <c r="L133" s="927"/>
      <c r="M133" s="927"/>
      <c r="N133" s="927"/>
      <c r="O133" s="927"/>
      <c r="P133" s="927">
        <f t="shared" ref="P133" si="100">IF(P132&gt;=1,1,0)</f>
        <v>0</v>
      </c>
      <c r="Q133" s="927"/>
      <c r="R133" s="927"/>
      <c r="S133" s="927">
        <f t="shared" ref="S133" si="101">IF(S132&gt;=1,1,0)</f>
        <v>0</v>
      </c>
      <c r="T133" s="927"/>
      <c r="U133" s="927"/>
      <c r="V133" s="927">
        <f t="shared" ref="V133" si="102">IF(V132&gt;=1,1,0)</f>
        <v>0</v>
      </c>
      <c r="W133" s="382"/>
      <c r="X133" s="927"/>
      <c r="Y133" s="927">
        <f t="shared" si="99"/>
        <v>0</v>
      </c>
      <c r="Z133" s="91"/>
      <c r="AA133" s="91"/>
      <c r="AB133" s="91"/>
      <c r="AC133" s="84"/>
      <c r="AE133" s="927"/>
      <c r="AF133" s="927"/>
      <c r="AG133" s="927"/>
      <c r="AH133" s="927"/>
      <c r="AI133" s="91"/>
      <c r="AK133" s="927"/>
      <c r="AL133" s="927"/>
      <c r="AM133" s="927"/>
      <c r="AN133" s="927"/>
      <c r="AO133" s="91"/>
      <c r="AQ133" s="927"/>
      <c r="AR133" s="927"/>
      <c r="AS133" s="927"/>
      <c r="AT133" s="927"/>
      <c r="AU133" s="91"/>
      <c r="AW133" s="927"/>
      <c r="AX133" s="927"/>
      <c r="AY133" s="927"/>
      <c r="AZ133" s="927"/>
      <c r="BA133" s="91"/>
    </row>
    <row r="134" spans="1:53" s="97" customFormat="1" ht="17.100000000000001" customHeight="1" x14ac:dyDescent="0.25">
      <c r="A134" s="138"/>
      <c r="B134" s="138"/>
      <c r="C134" s="139"/>
      <c r="D134" s="12"/>
      <c r="E134" s="12"/>
      <c r="F134" s="12"/>
      <c r="G134" s="12"/>
      <c r="H134" s="12"/>
      <c r="I134" s="12"/>
      <c r="J134" s="95"/>
      <c r="K134" s="95"/>
      <c r="L134" s="95"/>
      <c r="M134" s="95"/>
      <c r="N134" s="95"/>
      <c r="O134" s="95"/>
      <c r="P134" s="95"/>
      <c r="Q134" s="95"/>
      <c r="R134" s="95"/>
      <c r="S134" s="95"/>
      <c r="T134" s="95"/>
      <c r="U134" s="95"/>
      <c r="V134" s="95"/>
      <c r="W134" s="95"/>
      <c r="X134" s="95"/>
      <c r="Y134" s="95"/>
      <c r="AQ134" s="109"/>
      <c r="AR134" s="109"/>
      <c r="AS134" s="109"/>
      <c r="AT134" s="96"/>
    </row>
    <row r="135" spans="1:53" s="32" customFormat="1" ht="16.5" thickBot="1" x14ac:dyDescent="0.3">
      <c r="A135" s="24" t="s">
        <v>100</v>
      </c>
      <c r="B135" s="25" t="s">
        <v>562</v>
      </c>
      <c r="C135" s="26"/>
      <c r="D135" s="27"/>
      <c r="E135" s="27"/>
      <c r="F135" s="27"/>
      <c r="G135" s="28"/>
      <c r="H135" s="310"/>
      <c r="I135" s="228"/>
      <c r="J135" s="140"/>
      <c r="K135" s="140"/>
      <c r="L135" s="140"/>
      <c r="M135" s="140"/>
      <c r="N135" s="140"/>
      <c r="O135" s="140"/>
      <c r="P135" s="140"/>
      <c r="Q135" s="140"/>
      <c r="R135" s="140"/>
      <c r="S135" s="140"/>
      <c r="T135" s="140"/>
      <c r="U135" s="140"/>
      <c r="V135" s="140"/>
      <c r="W135" s="140"/>
      <c r="X135" s="140"/>
      <c r="Y135" s="140"/>
      <c r="Z135" s="31" t="s">
        <v>5</v>
      </c>
      <c r="AA135" s="31"/>
      <c r="AB135" s="31"/>
      <c r="AC135" s="24"/>
      <c r="AE135" s="33" t="s">
        <v>181</v>
      </c>
      <c r="AF135" s="33" t="s">
        <v>182</v>
      </c>
      <c r="AG135" s="33" t="s">
        <v>6</v>
      </c>
      <c r="AH135" s="33" t="s">
        <v>4</v>
      </c>
      <c r="AI135" s="34" t="s">
        <v>5</v>
      </c>
      <c r="AJ135" s="35"/>
      <c r="AK135" s="36" t="s">
        <v>181</v>
      </c>
      <c r="AL135" s="36" t="s">
        <v>182</v>
      </c>
      <c r="AM135" s="36" t="s">
        <v>6</v>
      </c>
      <c r="AN135" s="36" t="s">
        <v>4</v>
      </c>
      <c r="AO135" s="37" t="s">
        <v>5</v>
      </c>
      <c r="AQ135" s="36"/>
      <c r="AR135" s="36"/>
      <c r="AS135" s="36"/>
      <c r="AT135" s="36"/>
      <c r="AU135" s="37"/>
      <c r="AW135" s="38" t="s">
        <v>181</v>
      </c>
      <c r="AX135" s="38" t="s">
        <v>182</v>
      </c>
      <c r="AY135" s="38" t="s">
        <v>6</v>
      </c>
      <c r="AZ135" s="38" t="s">
        <v>4</v>
      </c>
      <c r="BA135" s="39" t="s">
        <v>5</v>
      </c>
    </row>
    <row r="136" spans="1:53" ht="17.100000000000001" customHeight="1" x14ac:dyDescent="0.25">
      <c r="A136" s="40"/>
      <c r="B136" s="41" t="s">
        <v>738</v>
      </c>
      <c r="C136" s="42" t="s">
        <v>563</v>
      </c>
      <c r="D136" s="43"/>
      <c r="E136" s="43"/>
      <c r="F136" s="43"/>
      <c r="G136" s="44"/>
      <c r="H136" s="263">
        <v>1</v>
      </c>
      <c r="I136" s="229"/>
      <c r="J136" s="71"/>
      <c r="K136" s="71"/>
      <c r="L136" s="71"/>
      <c r="M136" s="71"/>
      <c r="N136" s="71"/>
      <c r="O136" s="71"/>
      <c r="P136" s="71"/>
      <c r="Q136" s="71"/>
      <c r="R136" s="71"/>
      <c r="S136" s="71"/>
      <c r="T136" s="71"/>
      <c r="U136" s="71"/>
      <c r="V136" s="71"/>
      <c r="W136" s="71"/>
      <c r="X136" s="71"/>
      <c r="Y136" s="71"/>
      <c r="Z136" s="73"/>
      <c r="AA136" s="73"/>
      <c r="AB136" s="73"/>
      <c r="AC136" s="73"/>
      <c r="AE136" s="71"/>
      <c r="AF136" s="71"/>
      <c r="AG136" s="73"/>
      <c r="AH136" s="73"/>
      <c r="AI136" s="73"/>
      <c r="AK136" s="71"/>
      <c r="AL136" s="71"/>
      <c r="AM136" s="73"/>
      <c r="AN136" s="73"/>
      <c r="AO136" s="73"/>
      <c r="AQ136" s="71"/>
      <c r="AR136" s="71"/>
      <c r="AS136" s="71"/>
      <c r="AT136" s="72"/>
      <c r="AU136" s="73"/>
      <c r="AW136" s="71"/>
      <c r="AX136" s="71"/>
      <c r="AY136" s="73"/>
      <c r="AZ136" s="73"/>
      <c r="BA136" s="73"/>
    </row>
    <row r="137" spans="1:53" ht="17.100000000000001" customHeight="1" x14ac:dyDescent="0.25">
      <c r="A137" s="40"/>
      <c r="B137" s="40"/>
      <c r="C137" s="141" t="s">
        <v>739</v>
      </c>
      <c r="D137" s="648" t="s">
        <v>612</v>
      </c>
      <c r="E137" s="649"/>
      <c r="F137" s="649"/>
      <c r="G137" s="281"/>
      <c r="H137" s="647"/>
      <c r="I137" s="235"/>
      <c r="J137" s="581"/>
      <c r="K137" s="581"/>
      <c r="L137" s="582"/>
      <c r="M137" s="593">
        <f t="shared" ref="M137:M138" si="103">SUM(J137:L137)</f>
        <v>0</v>
      </c>
      <c r="N137" s="111"/>
      <c r="O137" s="111"/>
      <c r="P137" s="111"/>
      <c r="Q137" s="111"/>
      <c r="R137" s="111"/>
      <c r="S137" s="111"/>
      <c r="T137" s="111"/>
      <c r="U137" s="111"/>
      <c r="V137" s="111"/>
      <c r="W137" s="391">
        <f t="shared" ref="W137:W138" si="104">J137+K137+N137+Q137+T137</f>
        <v>0</v>
      </c>
      <c r="X137" s="17">
        <f t="shared" ref="X137:X138" si="105">L137+O137+R137+U137</f>
        <v>0</v>
      </c>
      <c r="Y137" s="18">
        <f t="shared" ref="Y137:Y138" si="106">SUM(W137:X137)</f>
        <v>0</v>
      </c>
      <c r="Z137" s="19">
        <f>IF(Y$139=0,0,Y137/Y$139)</f>
        <v>0</v>
      </c>
      <c r="AA137" s="19"/>
      <c r="AB137" s="19"/>
      <c r="AC137" s="20"/>
      <c r="AE137" s="17"/>
      <c r="AF137" s="17"/>
      <c r="AG137" s="17"/>
      <c r="AH137" s="18">
        <f>J137</f>
        <v>0</v>
      </c>
      <c r="AI137" s="19">
        <f>IF(AH$139=0,0,AH137/AH$139)</f>
        <v>0</v>
      </c>
      <c r="AK137" s="17"/>
      <c r="AL137" s="17"/>
      <c r="AM137" s="17"/>
      <c r="AN137" s="18">
        <f>K137</f>
        <v>0</v>
      </c>
      <c r="AO137" s="19">
        <f>IF(AN$139=0,0,AN137/AN$139)</f>
        <v>0</v>
      </c>
      <c r="AQ137" s="17"/>
      <c r="AR137" s="17"/>
      <c r="AS137" s="17"/>
      <c r="AT137" s="18">
        <f t="shared" ref="AT137:AT138" si="107">W137</f>
        <v>0</v>
      </c>
      <c r="AU137" s="19">
        <f>IF(AT$139=0,0,AT137/AT$139)</f>
        <v>0</v>
      </c>
      <c r="AW137" s="17"/>
      <c r="AX137" s="17"/>
      <c r="AY137" s="17"/>
      <c r="AZ137" s="424">
        <f>X137</f>
        <v>0</v>
      </c>
      <c r="BA137" s="19">
        <f>IF(AZ$139=0,0,AZ137/AZ$139)</f>
        <v>0</v>
      </c>
    </row>
    <row r="138" spans="1:53" ht="17.100000000000001" customHeight="1" x14ac:dyDescent="0.25">
      <c r="A138" s="40"/>
      <c r="B138" s="40"/>
      <c r="C138" s="141" t="s">
        <v>740</v>
      </c>
      <c r="D138" s="648" t="s">
        <v>564</v>
      </c>
      <c r="E138" s="649"/>
      <c r="F138" s="649"/>
      <c r="G138" s="281"/>
      <c r="H138" s="647"/>
      <c r="I138" s="235"/>
      <c r="J138" s="583"/>
      <c r="K138" s="583"/>
      <c r="L138" s="584"/>
      <c r="M138" s="593">
        <f t="shared" si="103"/>
        <v>0</v>
      </c>
      <c r="N138" s="111"/>
      <c r="O138" s="111"/>
      <c r="P138" s="111"/>
      <c r="Q138" s="111"/>
      <c r="R138" s="111"/>
      <c r="S138" s="111"/>
      <c r="T138" s="111"/>
      <c r="U138" s="111"/>
      <c r="V138" s="111"/>
      <c r="W138" s="391">
        <f t="shared" si="104"/>
        <v>0</v>
      </c>
      <c r="X138" s="17">
        <f t="shared" si="105"/>
        <v>0</v>
      </c>
      <c r="Y138" s="18">
        <f t="shared" si="106"/>
        <v>0</v>
      </c>
      <c r="Z138" s="19">
        <f t="shared" ref="Z138:Z139" si="108">IF(Y$139=0,0,Y138/Y$139)</f>
        <v>0</v>
      </c>
      <c r="AA138" s="19"/>
      <c r="AB138" s="19"/>
      <c r="AC138" s="20"/>
      <c r="AE138" s="17"/>
      <c r="AF138" s="17"/>
      <c r="AG138" s="17"/>
      <c r="AH138" s="18">
        <f>J138</f>
        <v>0</v>
      </c>
      <c r="AI138" s="19">
        <f t="shared" ref="AI138:AI139" si="109">IF(AH$139=0,0,AH138/AH$139)</f>
        <v>0</v>
      </c>
      <c r="AK138" s="17"/>
      <c r="AL138" s="17"/>
      <c r="AM138" s="17"/>
      <c r="AN138" s="18">
        <f>K138</f>
        <v>0</v>
      </c>
      <c r="AO138" s="19">
        <f t="shared" ref="AO138:AO139" si="110">IF(AN$139=0,0,AN138/AN$139)</f>
        <v>0</v>
      </c>
      <c r="AQ138" s="17"/>
      <c r="AR138" s="17"/>
      <c r="AS138" s="17"/>
      <c r="AT138" s="18">
        <f t="shared" si="107"/>
        <v>0</v>
      </c>
      <c r="AU138" s="19">
        <f t="shared" ref="AU138:AU139" si="111">IF(AT$139=0,0,AT138/AT$139)</f>
        <v>0</v>
      </c>
      <c r="AW138" s="17"/>
      <c r="AX138" s="17"/>
      <c r="AY138" s="17"/>
      <c r="AZ138" s="424">
        <f>X138</f>
        <v>0</v>
      </c>
      <c r="BA138" s="19">
        <f t="shared" ref="BA138:BA139" si="112">IF(AZ$139=0,0,AZ138/AZ$139)</f>
        <v>0</v>
      </c>
    </row>
    <row r="139" spans="1:53" ht="16.5" customHeight="1" x14ac:dyDescent="0.25">
      <c r="A139" s="40"/>
      <c r="B139" s="40"/>
      <c r="C139" s="77"/>
      <c r="D139" s="144"/>
      <c r="E139" s="144"/>
      <c r="F139" s="145"/>
      <c r="G139" s="283"/>
      <c r="H139" s="119"/>
      <c r="I139" s="236"/>
      <c r="J139" s="64">
        <f>SUM(J137:J138)</f>
        <v>0</v>
      </c>
      <c r="K139" s="64">
        <f t="shared" ref="K139:M139" si="113">SUM(K137:K138)</f>
        <v>0</v>
      </c>
      <c r="L139" s="64">
        <f t="shared" si="113"/>
        <v>0</v>
      </c>
      <c r="M139" s="64">
        <f t="shared" si="113"/>
        <v>0</v>
      </c>
      <c r="N139" s="81"/>
      <c r="O139" s="81"/>
      <c r="P139" s="81"/>
      <c r="Q139" s="81"/>
      <c r="R139" s="81"/>
      <c r="S139" s="81"/>
      <c r="T139" s="81"/>
      <c r="U139" s="81"/>
      <c r="V139" s="81"/>
      <c r="W139" s="82">
        <f>SUM(W137:W138)</f>
        <v>0</v>
      </c>
      <c r="X139" s="82">
        <f t="shared" ref="X139:Y139" si="114">SUM(X137:X138)</f>
        <v>0</v>
      </c>
      <c r="Y139" s="82">
        <f t="shared" si="114"/>
        <v>0</v>
      </c>
      <c r="Z139" s="205">
        <f t="shared" si="108"/>
        <v>0</v>
      </c>
      <c r="AA139" s="205"/>
      <c r="AB139" s="205"/>
      <c r="AC139" s="83"/>
      <c r="AE139" s="81"/>
      <c r="AF139" s="81"/>
      <c r="AG139" s="82"/>
      <c r="AH139" s="324">
        <f>SUM(AH137:AH138)</f>
        <v>0</v>
      </c>
      <c r="AI139" s="66">
        <f t="shared" si="109"/>
        <v>0</v>
      </c>
      <c r="AK139" s="81"/>
      <c r="AL139" s="81"/>
      <c r="AM139" s="82"/>
      <c r="AN139" s="324">
        <f>SUM(AN137:AN138)</f>
        <v>0</v>
      </c>
      <c r="AO139" s="66">
        <f t="shared" si="110"/>
        <v>0</v>
      </c>
      <c r="AQ139" s="81"/>
      <c r="AR139" s="81"/>
      <c r="AS139" s="82"/>
      <c r="AT139" s="324">
        <f>SUM(AT137:AT138)</f>
        <v>0</v>
      </c>
      <c r="AU139" s="66">
        <f t="shared" si="111"/>
        <v>0</v>
      </c>
      <c r="AW139" s="81"/>
      <c r="AX139" s="81"/>
      <c r="AY139" s="82"/>
      <c r="AZ139" s="324">
        <f>SUM(AZ137:AZ138)</f>
        <v>0</v>
      </c>
      <c r="BA139" s="66">
        <f t="shared" si="112"/>
        <v>0</v>
      </c>
    </row>
    <row r="140" spans="1:53" s="117" customFormat="1" ht="17.100000000000001" customHeight="1" x14ac:dyDescent="0.25">
      <c r="A140" s="119"/>
      <c r="B140" s="119"/>
      <c r="C140" s="647"/>
      <c r="D140" s="212"/>
      <c r="E140" s="212"/>
      <c r="F140" s="212"/>
      <c r="G140" s="212"/>
      <c r="H140" s="242"/>
      <c r="I140" s="230"/>
      <c r="J140" s="17" t="str">
        <f>IF(J139=J$15,"OK","NOK")</f>
        <v>OK</v>
      </c>
      <c r="K140" s="17" t="str">
        <f t="shared" ref="K140:L140" si="115">IF(K139=K$15,"OK","NOK")</f>
        <v>OK</v>
      </c>
      <c r="L140" s="17" t="str">
        <f t="shared" si="115"/>
        <v>OK</v>
      </c>
      <c r="M140" s="17"/>
      <c r="N140" s="17"/>
      <c r="O140" s="17"/>
      <c r="P140" s="17"/>
      <c r="Q140" s="17"/>
      <c r="R140" s="17"/>
      <c r="S140" s="17"/>
      <c r="T140" s="17"/>
      <c r="U140" s="17"/>
      <c r="V140" s="17"/>
      <c r="W140" s="646"/>
      <c r="X140" s="646"/>
      <c r="Y140" s="646"/>
      <c r="Z140" s="201"/>
      <c r="AA140" s="201"/>
      <c r="AB140" s="201"/>
      <c r="AC140" s="84"/>
      <c r="AE140" s="84"/>
      <c r="AF140" s="84"/>
      <c r="AG140" s="84"/>
      <c r="AH140" s="84"/>
      <c r="AI140" s="84"/>
      <c r="AK140" s="84"/>
      <c r="AL140" s="84"/>
      <c r="AM140" s="84"/>
      <c r="AN140" s="84"/>
      <c r="AO140" s="84"/>
      <c r="AW140" s="84"/>
      <c r="AX140" s="84"/>
      <c r="AY140" s="84"/>
      <c r="AZ140" s="84"/>
      <c r="BA140" s="84"/>
    </row>
    <row r="141" spans="1:53" ht="17.100000000000001" customHeight="1" x14ac:dyDescent="0.25">
      <c r="A141" s="40"/>
      <c r="B141" s="41" t="s">
        <v>102</v>
      </c>
      <c r="C141" s="42" t="s">
        <v>563</v>
      </c>
      <c r="D141" s="43"/>
      <c r="E141" s="43"/>
      <c r="F141" s="43"/>
      <c r="G141" s="44"/>
      <c r="H141" s="242"/>
      <c r="I141" s="229"/>
      <c r="J141" s="71"/>
      <c r="K141" s="71"/>
      <c r="L141" s="71"/>
      <c r="M141" s="71"/>
      <c r="N141" s="71"/>
      <c r="O141" s="71"/>
      <c r="P141" s="71"/>
      <c r="Q141" s="71"/>
      <c r="R141" s="71"/>
      <c r="S141" s="71"/>
      <c r="T141" s="71"/>
      <c r="U141" s="71"/>
      <c r="V141" s="71"/>
      <c r="W141" s="71"/>
      <c r="X141" s="71"/>
      <c r="Y141" s="71"/>
      <c r="Z141" s="73"/>
      <c r="AA141" s="73"/>
      <c r="AB141" s="73"/>
      <c r="AC141" s="73"/>
      <c r="AE141" s="71"/>
      <c r="AF141" s="71"/>
      <c r="AG141" s="73"/>
      <c r="AH141" s="73"/>
      <c r="AI141" s="73"/>
      <c r="AK141" s="71"/>
      <c r="AL141" s="71"/>
      <c r="AM141" s="73"/>
      <c r="AN141" s="73"/>
      <c r="AO141" s="73"/>
      <c r="AQ141" s="71"/>
      <c r="AR141" s="71"/>
      <c r="AS141" s="73"/>
      <c r="AT141" s="73"/>
      <c r="AU141" s="73"/>
      <c r="AW141" s="71"/>
      <c r="AX141" s="71"/>
      <c r="AY141" s="73"/>
      <c r="AZ141" s="73"/>
      <c r="BA141" s="73"/>
    </row>
    <row r="142" spans="1:53" s="117" customFormat="1" ht="17.100000000000001" customHeight="1" x14ac:dyDescent="0.25">
      <c r="A142" s="119"/>
      <c r="B142" s="40"/>
      <c r="C142" s="141" t="s">
        <v>104</v>
      </c>
      <c r="D142" s="85" t="s">
        <v>612</v>
      </c>
      <c r="E142" s="75"/>
      <c r="F142" s="75"/>
      <c r="G142" s="650"/>
      <c r="H142" s="242"/>
      <c r="I142" s="230"/>
      <c r="J142" s="111"/>
      <c r="K142" s="111"/>
      <c r="L142" s="111"/>
      <c r="M142" s="111"/>
      <c r="N142" s="60"/>
      <c r="O142" s="60"/>
      <c r="P142" s="593">
        <f t="shared" ref="P142:P144" si="116">SUM(N142:O142)</f>
        <v>0</v>
      </c>
      <c r="Q142" s="60"/>
      <c r="R142" s="60"/>
      <c r="S142" s="593">
        <f t="shared" ref="S142:S144" si="117">SUM(Q142:R142)</f>
        <v>0</v>
      </c>
      <c r="T142" s="60"/>
      <c r="U142" s="60"/>
      <c r="V142" s="593">
        <f t="shared" ref="V142:V144" si="118">SUM(T142:U142)</f>
        <v>0</v>
      </c>
      <c r="W142" s="391">
        <f t="shared" ref="W142:W144" si="119">J142+K142+N142+Q142+T142</f>
        <v>0</v>
      </c>
      <c r="X142" s="17">
        <f t="shared" ref="X142:X144" si="120">L142+O142+R142+U142</f>
        <v>0</v>
      </c>
      <c r="Y142" s="18">
        <f>SUM(W142:X142)</f>
        <v>0</v>
      </c>
      <c r="Z142" s="19">
        <f>IF(Y$145=0,0,Y142/Y$145)</f>
        <v>0</v>
      </c>
      <c r="AA142" s="201"/>
      <c r="AB142" s="201"/>
      <c r="AC142" s="84"/>
      <c r="AE142" s="113"/>
      <c r="AF142" s="113"/>
      <c r="AG142" s="113"/>
      <c r="AH142" s="113"/>
      <c r="AI142" s="113"/>
      <c r="AK142" s="113"/>
      <c r="AL142" s="113"/>
      <c r="AM142" s="113"/>
      <c r="AN142" s="113"/>
      <c r="AO142" s="113"/>
      <c r="AQ142" s="84"/>
      <c r="AR142" s="84"/>
      <c r="AS142" s="84"/>
      <c r="AT142" s="17">
        <f>W142</f>
        <v>0</v>
      </c>
      <c r="AU142" s="19">
        <f>IF(AT$145=0,0,AT142/AT$145)</f>
        <v>0</v>
      </c>
      <c r="AW142" s="84"/>
      <c r="AX142" s="84"/>
      <c r="AY142" s="84"/>
      <c r="AZ142" s="424">
        <f t="shared" ref="AZ142:AZ144" si="121">X142</f>
        <v>0</v>
      </c>
      <c r="BA142" s="19">
        <f>IF(AZ$145=0,0,AZ142/AZ$145)</f>
        <v>0</v>
      </c>
    </row>
    <row r="143" spans="1:53" s="117" customFormat="1" ht="17.100000000000001" customHeight="1" x14ac:dyDescent="0.25">
      <c r="A143" s="119"/>
      <c r="B143" s="40"/>
      <c r="C143" s="141" t="s">
        <v>105</v>
      </c>
      <c r="D143" s="85" t="s">
        <v>741</v>
      </c>
      <c r="E143" s="75"/>
      <c r="F143" s="75"/>
      <c r="G143" s="650"/>
      <c r="H143" s="242"/>
      <c r="I143" s="230"/>
      <c r="J143" s="111"/>
      <c r="K143" s="111"/>
      <c r="L143" s="111"/>
      <c r="M143" s="111"/>
      <c r="N143" s="61">
        <v>4</v>
      </c>
      <c r="O143" s="61">
        <v>7</v>
      </c>
      <c r="P143" s="593">
        <f t="shared" si="116"/>
        <v>11</v>
      </c>
      <c r="Q143" s="61"/>
      <c r="R143" s="61"/>
      <c r="S143" s="593">
        <f t="shared" si="117"/>
        <v>0</v>
      </c>
      <c r="T143" s="61"/>
      <c r="U143" s="61"/>
      <c r="V143" s="593">
        <f t="shared" si="118"/>
        <v>0</v>
      </c>
      <c r="W143" s="391">
        <f t="shared" si="119"/>
        <v>4</v>
      </c>
      <c r="X143" s="17">
        <f t="shared" si="120"/>
        <v>7</v>
      </c>
      <c r="Y143" s="18">
        <f t="shared" ref="Y143:Y144" si="122">SUM(W143:X143)</f>
        <v>11</v>
      </c>
      <c r="Z143" s="19">
        <f>IF(Y$145=0,0,Y143/Y$145)</f>
        <v>1</v>
      </c>
      <c r="AA143" s="201"/>
      <c r="AB143" s="201"/>
      <c r="AC143" s="84"/>
      <c r="AE143" s="113"/>
      <c r="AF143" s="113"/>
      <c r="AG143" s="113"/>
      <c r="AH143" s="113"/>
      <c r="AI143" s="113"/>
      <c r="AK143" s="113"/>
      <c r="AL143" s="113"/>
      <c r="AM143" s="113"/>
      <c r="AN143" s="113"/>
      <c r="AO143" s="113"/>
      <c r="AQ143" s="84"/>
      <c r="AR143" s="84"/>
      <c r="AS143" s="84"/>
      <c r="AT143" s="17">
        <f t="shared" ref="AT143:AT144" si="123">W143</f>
        <v>4</v>
      </c>
      <c r="AU143" s="19">
        <f>IF(AT$145=0,0,AT143/AT$145)</f>
        <v>1</v>
      </c>
      <c r="AW143" s="84"/>
      <c r="AX143" s="84"/>
      <c r="AY143" s="84"/>
      <c r="AZ143" s="424">
        <f t="shared" si="121"/>
        <v>7</v>
      </c>
      <c r="BA143" s="19">
        <f>IF(AZ$145=0,0,AZ143/AZ$145)</f>
        <v>1</v>
      </c>
    </row>
    <row r="144" spans="1:53" s="117" customFormat="1" ht="17.100000000000001" customHeight="1" x14ac:dyDescent="0.25">
      <c r="A144" s="119"/>
      <c r="B144" s="40"/>
      <c r="C144" s="141" t="s">
        <v>106</v>
      </c>
      <c r="D144" s="85" t="s">
        <v>742</v>
      </c>
      <c r="E144" s="75"/>
      <c r="F144" s="75"/>
      <c r="G144" s="650"/>
      <c r="H144" s="242"/>
      <c r="I144" s="230"/>
      <c r="J144" s="111"/>
      <c r="K144" s="111"/>
      <c r="L144" s="111"/>
      <c r="M144" s="111"/>
      <c r="N144" s="60"/>
      <c r="O144" s="60"/>
      <c r="P144" s="593">
        <f t="shared" si="116"/>
        <v>0</v>
      </c>
      <c r="Q144" s="60"/>
      <c r="R144" s="60"/>
      <c r="S144" s="593">
        <f t="shared" si="117"/>
        <v>0</v>
      </c>
      <c r="T144" s="60"/>
      <c r="U144" s="60"/>
      <c r="V144" s="593">
        <f t="shared" si="118"/>
        <v>0</v>
      </c>
      <c r="W144" s="391">
        <f t="shared" si="119"/>
        <v>0</v>
      </c>
      <c r="X144" s="17">
        <f t="shared" si="120"/>
        <v>0</v>
      </c>
      <c r="Y144" s="18">
        <f t="shared" si="122"/>
        <v>0</v>
      </c>
      <c r="Z144" s="19">
        <f>IF(Y$145=0,0,Y144/Y$145)</f>
        <v>0</v>
      </c>
      <c r="AA144" s="201"/>
      <c r="AB144" s="201"/>
      <c r="AC144" s="84"/>
      <c r="AE144" s="113"/>
      <c r="AF144" s="113"/>
      <c r="AG144" s="113"/>
      <c r="AH144" s="113"/>
      <c r="AI144" s="113"/>
      <c r="AK144" s="113"/>
      <c r="AL144" s="113"/>
      <c r="AM144" s="113"/>
      <c r="AN144" s="113"/>
      <c r="AO144" s="113"/>
      <c r="AQ144" s="84"/>
      <c r="AR144" s="84"/>
      <c r="AS144" s="84"/>
      <c r="AT144" s="17">
        <f t="shared" si="123"/>
        <v>0</v>
      </c>
      <c r="AU144" s="19">
        <f>IF(AT$145=0,0,AT144/AT$145)</f>
        <v>0</v>
      </c>
      <c r="AW144" s="84"/>
      <c r="AX144" s="84"/>
      <c r="AY144" s="84"/>
      <c r="AZ144" s="424">
        <f t="shared" si="121"/>
        <v>0</v>
      </c>
      <c r="BA144" s="19">
        <f>IF(AZ$145=0,0,AZ144/AZ$145)</f>
        <v>0</v>
      </c>
    </row>
    <row r="145" spans="1:53" ht="16.5" customHeight="1" x14ac:dyDescent="0.25">
      <c r="A145" s="40"/>
      <c r="B145" s="40"/>
      <c r="C145" s="77"/>
      <c r="D145" s="144"/>
      <c r="E145" s="144"/>
      <c r="F145" s="145"/>
      <c r="G145" s="283"/>
      <c r="H145" s="119"/>
      <c r="I145" s="236"/>
      <c r="J145" s="64"/>
      <c r="K145" s="64"/>
      <c r="L145" s="64"/>
      <c r="M145" s="64"/>
      <c r="N145" s="81">
        <f t="shared" ref="N145:Y145" si="124">SUM(N142:N144)</f>
        <v>4</v>
      </c>
      <c r="O145" s="81">
        <f t="shared" si="124"/>
        <v>7</v>
      </c>
      <c r="P145" s="81">
        <f t="shared" si="124"/>
        <v>11</v>
      </c>
      <c r="Q145" s="81">
        <f t="shared" si="124"/>
        <v>0</v>
      </c>
      <c r="R145" s="81">
        <f t="shared" si="124"/>
        <v>0</v>
      </c>
      <c r="S145" s="81">
        <f t="shared" si="124"/>
        <v>0</v>
      </c>
      <c r="T145" s="81">
        <f t="shared" si="124"/>
        <v>0</v>
      </c>
      <c r="U145" s="81">
        <f t="shared" si="124"/>
        <v>0</v>
      </c>
      <c r="V145" s="356">
        <f t="shared" si="124"/>
        <v>0</v>
      </c>
      <c r="W145" s="381">
        <f t="shared" si="124"/>
        <v>4</v>
      </c>
      <c r="X145" s="82">
        <f t="shared" si="124"/>
        <v>7</v>
      </c>
      <c r="Y145" s="82">
        <f t="shared" si="124"/>
        <v>11</v>
      </c>
      <c r="Z145" s="205">
        <f>IF(Y$145=0,0,Y145/Y$145)</f>
        <v>1</v>
      </c>
      <c r="AA145" s="205"/>
      <c r="AB145" s="205"/>
      <c r="AC145" s="83"/>
      <c r="AE145" s="81"/>
      <c r="AF145" s="81"/>
      <c r="AG145" s="82"/>
      <c r="AH145" s="324"/>
      <c r="AI145" s="66"/>
      <c r="AK145" s="81"/>
      <c r="AL145" s="81"/>
      <c r="AM145" s="82"/>
      <c r="AN145" s="324"/>
      <c r="AO145" s="66"/>
      <c r="AQ145" s="81"/>
      <c r="AR145" s="81"/>
      <c r="AS145" s="82"/>
      <c r="AT145" s="324">
        <f>SUM(AT142:AT144)</f>
        <v>4</v>
      </c>
      <c r="AU145" s="66">
        <f>IF(AT$145=0,0,AT145/AT$145)</f>
        <v>1</v>
      </c>
      <c r="AW145" s="81"/>
      <c r="AX145" s="81"/>
      <c r="AY145" s="82"/>
      <c r="AZ145" s="324">
        <f>SUM(AZ142:AZ144)</f>
        <v>7</v>
      </c>
      <c r="BA145" s="66">
        <f>IF(AZ$145=0,0,AZ145/AZ$145)</f>
        <v>1</v>
      </c>
    </row>
    <row r="146" spans="1:53" s="117" customFormat="1" ht="17.100000000000001" customHeight="1" x14ac:dyDescent="0.25">
      <c r="A146" s="119"/>
      <c r="B146" s="119"/>
      <c r="C146" s="647"/>
      <c r="D146" s="212"/>
      <c r="E146" s="212"/>
      <c r="F146" s="212"/>
      <c r="G146" s="212"/>
      <c r="H146" s="242"/>
      <c r="I146" s="230"/>
      <c r="J146" s="17"/>
      <c r="K146" s="17"/>
      <c r="L146" s="17"/>
      <c r="M146" s="17"/>
      <c r="N146" s="17" t="str">
        <f>IF(N145=N$20,"OK","NOK")</f>
        <v>OK</v>
      </c>
      <c r="O146" s="17" t="str">
        <f>IF(O145=O$20,"OK","NOK")</f>
        <v>OK</v>
      </c>
      <c r="P146" s="17"/>
      <c r="Q146" s="17" t="str">
        <f>IF(Q145=Q$20,"OK","NOK")</f>
        <v>OK</v>
      </c>
      <c r="R146" s="17" t="str">
        <f>IF(R145=R$20,"OK","NOK")</f>
        <v>OK</v>
      </c>
      <c r="S146" s="17"/>
      <c r="T146" s="17" t="str">
        <f>IF(T145=T$20,"OK","NOK")</f>
        <v>OK</v>
      </c>
      <c r="U146" s="17" t="str">
        <f>IF(U145=U$20,"OK","NOK")</f>
        <v>OK</v>
      </c>
      <c r="V146" s="359"/>
      <c r="W146" s="382"/>
      <c r="X146" s="646"/>
      <c r="Y146" s="646"/>
      <c r="Z146" s="201"/>
      <c r="AA146" s="201"/>
      <c r="AB146" s="201"/>
      <c r="AC146" s="84"/>
      <c r="AE146" s="17"/>
      <c r="AF146" s="17"/>
      <c r="AG146" s="17"/>
      <c r="AH146" s="646"/>
      <c r="AI146" s="91"/>
      <c r="AK146" s="17"/>
      <c r="AL146" s="17"/>
      <c r="AM146" s="17"/>
      <c r="AN146" s="646"/>
      <c r="AO146" s="91"/>
      <c r="AQ146" s="17"/>
      <c r="AR146" s="17"/>
      <c r="AS146" s="17"/>
      <c r="AT146" s="646"/>
      <c r="AU146" s="91"/>
      <c r="AW146" s="17"/>
      <c r="AX146" s="17"/>
      <c r="AY146" s="17"/>
      <c r="AZ146" s="17"/>
      <c r="BA146" s="91"/>
    </row>
    <row r="147" spans="1:53" ht="17.100000000000001" customHeight="1" x14ac:dyDescent="0.25">
      <c r="A147" s="40"/>
      <c r="B147" s="41" t="s">
        <v>110</v>
      </c>
      <c r="C147" s="42" t="s">
        <v>565</v>
      </c>
      <c r="D147" s="43"/>
      <c r="E147" s="43"/>
      <c r="F147" s="43"/>
      <c r="G147" s="44"/>
      <c r="H147" s="23"/>
      <c r="I147" s="229"/>
      <c r="J147" s="71"/>
      <c r="K147" s="71"/>
      <c r="L147" s="71"/>
      <c r="M147" s="71"/>
      <c r="N147" s="71"/>
      <c r="O147" s="71"/>
      <c r="P147" s="71"/>
      <c r="Q147" s="71"/>
      <c r="R147" s="71"/>
      <c r="S147" s="71"/>
      <c r="T147" s="71"/>
      <c r="U147" s="71"/>
      <c r="V147" s="71"/>
      <c r="W147" s="71"/>
      <c r="X147" s="71"/>
      <c r="Y147" s="71"/>
      <c r="Z147" s="73"/>
      <c r="AA147" s="73"/>
      <c r="AB147" s="73"/>
      <c r="AC147" s="73"/>
      <c r="AE147" s="71"/>
      <c r="AF147" s="71"/>
      <c r="AG147" s="73"/>
      <c r="AH147" s="73"/>
      <c r="AI147" s="73"/>
      <c r="AK147" s="71"/>
      <c r="AL147" s="71"/>
      <c r="AM147" s="73"/>
      <c r="AN147" s="73"/>
      <c r="AO147" s="73"/>
      <c r="AQ147" s="71"/>
      <c r="AR147" s="71"/>
      <c r="AS147" s="73"/>
      <c r="AT147" s="73"/>
      <c r="AU147" s="73"/>
      <c r="AW147" s="71"/>
      <c r="AX147" s="71"/>
      <c r="AY147" s="73"/>
      <c r="AZ147" s="73"/>
      <c r="BA147" s="73"/>
    </row>
    <row r="148" spans="1:53" ht="17.100000000000001" customHeight="1" x14ac:dyDescent="0.25">
      <c r="A148" s="40"/>
      <c r="B148" s="40"/>
      <c r="C148" s="141" t="s">
        <v>112</v>
      </c>
      <c r="D148" s="85" t="s">
        <v>566</v>
      </c>
      <c r="E148" s="75"/>
      <c r="F148" s="75"/>
      <c r="G148" s="76"/>
      <c r="H148" s="23"/>
      <c r="I148" s="229"/>
      <c r="J148" s="174"/>
      <c r="K148" s="174"/>
      <c r="L148" s="111"/>
      <c r="M148" s="111"/>
      <c r="N148" s="60"/>
      <c r="O148" s="60"/>
      <c r="P148" s="593">
        <f t="shared" ref="P148:P150" si="125">SUM(N148:O148)</f>
        <v>0</v>
      </c>
      <c r="Q148" s="60"/>
      <c r="R148" s="60"/>
      <c r="S148" s="593">
        <f t="shared" ref="S148:S150" si="126">SUM(Q148:R148)</f>
        <v>0</v>
      </c>
      <c r="T148" s="60"/>
      <c r="U148" s="60"/>
      <c r="V148" s="593">
        <f t="shared" ref="V148:V150" si="127">SUM(T148:U148)</f>
        <v>0</v>
      </c>
      <c r="W148" s="391">
        <f t="shared" ref="W148:W150" si="128">J148+K148+N148+Q148+T148</f>
        <v>0</v>
      </c>
      <c r="X148" s="17">
        <f t="shared" ref="X148:X150" si="129">L148+O148+R148+U148</f>
        <v>0</v>
      </c>
      <c r="Y148" s="18">
        <f t="shared" ref="Y148:Y150" si="130">SUM(W148:X148)</f>
        <v>0</v>
      </c>
      <c r="Z148" s="19">
        <f>IF(Y$151=0,0,Y148/Y$151)</f>
        <v>0</v>
      </c>
      <c r="AA148" s="19"/>
      <c r="AB148" s="19"/>
      <c r="AC148" s="20"/>
      <c r="AE148" s="111"/>
      <c r="AF148" s="111"/>
      <c r="AG148" s="111"/>
      <c r="AH148" s="651"/>
      <c r="AI148" s="131"/>
      <c r="AK148" s="111"/>
      <c r="AL148" s="111"/>
      <c r="AM148" s="111"/>
      <c r="AN148" s="651"/>
      <c r="AO148" s="131"/>
      <c r="AQ148" s="17"/>
      <c r="AR148" s="17"/>
      <c r="AS148" s="17"/>
      <c r="AT148" s="17">
        <f t="shared" ref="AT148:AT150" si="131">W148</f>
        <v>0</v>
      </c>
      <c r="AU148" s="19">
        <f>IF(AT$151=0,0,AT148/AT$151)</f>
        <v>0</v>
      </c>
      <c r="AW148" s="17"/>
      <c r="AX148" s="17"/>
      <c r="AY148" s="17"/>
      <c r="AZ148" s="424">
        <f>X148</f>
        <v>0</v>
      </c>
      <c r="BA148" s="19">
        <f>IF(AZ$151=0,0,AZ148/AZ$151)</f>
        <v>0</v>
      </c>
    </row>
    <row r="149" spans="1:53" ht="17.100000000000001" customHeight="1" x14ac:dyDescent="0.25">
      <c r="A149" s="40"/>
      <c r="B149" s="40"/>
      <c r="C149" s="141" t="s">
        <v>114</v>
      </c>
      <c r="D149" s="85" t="s">
        <v>567</v>
      </c>
      <c r="E149" s="75"/>
      <c r="F149" s="75"/>
      <c r="G149" s="76"/>
      <c r="H149" s="23"/>
      <c r="I149" s="229"/>
      <c r="J149" s="174"/>
      <c r="K149" s="174"/>
      <c r="L149" s="111"/>
      <c r="M149" s="111"/>
      <c r="N149" s="61"/>
      <c r="O149" s="61"/>
      <c r="P149" s="593">
        <f t="shared" si="125"/>
        <v>0</v>
      </c>
      <c r="Q149" s="61"/>
      <c r="R149" s="61"/>
      <c r="S149" s="593">
        <f t="shared" si="126"/>
        <v>0</v>
      </c>
      <c r="T149" s="61"/>
      <c r="U149" s="61"/>
      <c r="V149" s="593">
        <f t="shared" si="127"/>
        <v>0</v>
      </c>
      <c r="W149" s="391">
        <f t="shared" si="128"/>
        <v>0</v>
      </c>
      <c r="X149" s="17">
        <f t="shared" si="129"/>
        <v>0</v>
      </c>
      <c r="Y149" s="18">
        <f t="shared" si="130"/>
        <v>0</v>
      </c>
      <c r="Z149" s="19">
        <f t="shared" ref="Z149:Z151" si="132">IF(Y$151=0,0,Y149/Y$151)</f>
        <v>0</v>
      </c>
      <c r="AA149" s="19"/>
      <c r="AB149" s="19"/>
      <c r="AC149" s="20"/>
      <c r="AE149" s="111"/>
      <c r="AF149" s="111"/>
      <c r="AG149" s="111"/>
      <c r="AH149" s="651"/>
      <c r="AI149" s="131"/>
      <c r="AK149" s="111"/>
      <c r="AL149" s="111"/>
      <c r="AM149" s="111"/>
      <c r="AN149" s="651"/>
      <c r="AO149" s="131"/>
      <c r="AQ149" s="17"/>
      <c r="AR149" s="17"/>
      <c r="AS149" s="17"/>
      <c r="AT149" s="17">
        <f t="shared" si="131"/>
        <v>0</v>
      </c>
      <c r="AU149" s="19">
        <f t="shared" ref="AU149:AU151" si="133">IF(AT$151=0,0,AT149/AT$151)</f>
        <v>0</v>
      </c>
      <c r="AW149" s="17"/>
      <c r="AX149" s="17"/>
      <c r="AY149" s="17"/>
      <c r="AZ149" s="424">
        <f t="shared" ref="AZ149:AZ150" si="134">X149</f>
        <v>0</v>
      </c>
      <c r="BA149" s="19">
        <f t="shared" ref="BA149:BA151" si="135">IF(AZ$151=0,0,AZ149/AZ$151)</f>
        <v>0</v>
      </c>
    </row>
    <row r="150" spans="1:53" ht="17.100000000000001" customHeight="1" x14ac:dyDescent="0.25">
      <c r="A150" s="40"/>
      <c r="B150" s="40"/>
      <c r="C150" s="141" t="s">
        <v>568</v>
      </c>
      <c r="D150" s="85" t="s">
        <v>614</v>
      </c>
      <c r="E150" s="649"/>
      <c r="F150" s="649"/>
      <c r="G150" s="281"/>
      <c r="H150" s="254"/>
      <c r="I150" s="235"/>
      <c r="J150" s="111"/>
      <c r="K150" s="111"/>
      <c r="L150" s="111"/>
      <c r="M150" s="111"/>
      <c r="N150" s="60">
        <v>4</v>
      </c>
      <c r="O150" s="60">
        <v>7</v>
      </c>
      <c r="P150" s="593">
        <f t="shared" si="125"/>
        <v>11</v>
      </c>
      <c r="Q150" s="60"/>
      <c r="R150" s="60"/>
      <c r="S150" s="593">
        <f t="shared" si="126"/>
        <v>0</v>
      </c>
      <c r="T150" s="60"/>
      <c r="U150" s="60"/>
      <c r="V150" s="593">
        <f t="shared" si="127"/>
        <v>0</v>
      </c>
      <c r="W150" s="391">
        <f t="shared" si="128"/>
        <v>4</v>
      </c>
      <c r="X150" s="17">
        <f t="shared" si="129"/>
        <v>7</v>
      </c>
      <c r="Y150" s="18">
        <f t="shared" si="130"/>
        <v>11</v>
      </c>
      <c r="Z150" s="19">
        <f t="shared" si="132"/>
        <v>1</v>
      </c>
      <c r="AA150" s="91"/>
      <c r="AB150" s="91"/>
      <c r="AC150" s="84"/>
      <c r="AE150" s="111"/>
      <c r="AF150" s="111"/>
      <c r="AG150" s="111"/>
      <c r="AH150" s="651"/>
      <c r="AI150" s="131"/>
      <c r="AK150" s="111"/>
      <c r="AL150" s="111"/>
      <c r="AM150" s="111"/>
      <c r="AN150" s="651"/>
      <c r="AO150" s="131"/>
      <c r="AQ150" s="17"/>
      <c r="AR150" s="17"/>
      <c r="AS150" s="17"/>
      <c r="AT150" s="17">
        <f t="shared" si="131"/>
        <v>4</v>
      </c>
      <c r="AU150" s="19">
        <f t="shared" si="133"/>
        <v>1</v>
      </c>
      <c r="AW150" s="17"/>
      <c r="AX150" s="17"/>
      <c r="AY150" s="17"/>
      <c r="AZ150" s="424">
        <f t="shared" si="134"/>
        <v>7</v>
      </c>
      <c r="BA150" s="19">
        <f t="shared" si="135"/>
        <v>1</v>
      </c>
    </row>
    <row r="151" spans="1:53" ht="17.100000000000001" customHeight="1" x14ac:dyDescent="0.25">
      <c r="A151" s="40"/>
      <c r="B151" s="40"/>
      <c r="C151" s="77"/>
      <c r="D151" s="144"/>
      <c r="E151" s="144"/>
      <c r="F151" s="145"/>
      <c r="G151" s="283"/>
      <c r="H151" s="119"/>
      <c r="I151" s="236"/>
      <c r="J151" s="64"/>
      <c r="K151" s="64"/>
      <c r="L151" s="81"/>
      <c r="M151" s="81"/>
      <c r="N151" s="81">
        <f>SUM(N148:N150)</f>
        <v>4</v>
      </c>
      <c r="O151" s="81">
        <f t="shared" ref="O151:Y151" si="136">SUM(O148:O150)</f>
        <v>7</v>
      </c>
      <c r="P151" s="81">
        <f t="shared" si="136"/>
        <v>11</v>
      </c>
      <c r="Q151" s="81">
        <f t="shared" si="136"/>
        <v>0</v>
      </c>
      <c r="R151" s="81">
        <f t="shared" si="136"/>
        <v>0</v>
      </c>
      <c r="S151" s="81">
        <f t="shared" si="136"/>
        <v>0</v>
      </c>
      <c r="T151" s="81">
        <f t="shared" si="136"/>
        <v>0</v>
      </c>
      <c r="U151" s="81">
        <f t="shared" si="136"/>
        <v>0</v>
      </c>
      <c r="V151" s="81">
        <f t="shared" si="136"/>
        <v>0</v>
      </c>
      <c r="W151" s="82">
        <f t="shared" si="136"/>
        <v>4</v>
      </c>
      <c r="X151" s="82">
        <f t="shared" si="136"/>
        <v>7</v>
      </c>
      <c r="Y151" s="82">
        <f t="shared" si="136"/>
        <v>11</v>
      </c>
      <c r="Z151" s="205">
        <f t="shared" si="132"/>
        <v>1</v>
      </c>
      <c r="AA151" s="205"/>
      <c r="AB151" s="205"/>
      <c r="AC151" s="83"/>
      <c r="AE151" s="81"/>
      <c r="AF151" s="81"/>
      <c r="AG151" s="82"/>
      <c r="AH151" s="82"/>
      <c r="AI151" s="66"/>
      <c r="AK151" s="81"/>
      <c r="AL151" s="81"/>
      <c r="AM151" s="82"/>
      <c r="AN151" s="82"/>
      <c r="AO151" s="66"/>
      <c r="AQ151" s="81"/>
      <c r="AR151" s="81"/>
      <c r="AS151" s="82"/>
      <c r="AT151" s="82">
        <f>SUM(AT148:AT150)</f>
        <v>4</v>
      </c>
      <c r="AU151" s="66">
        <f t="shared" si="133"/>
        <v>1</v>
      </c>
      <c r="AW151" s="81"/>
      <c r="AX151" s="81"/>
      <c r="AY151" s="82"/>
      <c r="AZ151" s="82">
        <f>SUM(AZ148:AZ150)</f>
        <v>7</v>
      </c>
      <c r="BA151" s="66">
        <f t="shared" si="135"/>
        <v>1</v>
      </c>
    </row>
    <row r="152" spans="1:53" s="117" customFormat="1" ht="17.100000000000001" customHeight="1" x14ac:dyDescent="0.25">
      <c r="A152" s="119"/>
      <c r="B152" s="119"/>
      <c r="C152" s="647"/>
      <c r="D152" s="212"/>
      <c r="E152" s="212"/>
      <c r="F152" s="212"/>
      <c r="G152" s="212"/>
      <c r="H152" s="242"/>
      <c r="I152" s="230"/>
      <c r="J152" s="17"/>
      <c r="K152" s="17"/>
      <c r="L152" s="17"/>
      <c r="M152" s="17"/>
      <c r="N152" s="17" t="str">
        <f>IF(N151=N$20,"OK","NOK")</f>
        <v>OK</v>
      </c>
      <c r="O152" s="17" t="str">
        <f>IF(O151=O$20,"OK","NOK")</f>
        <v>OK</v>
      </c>
      <c r="P152" s="17"/>
      <c r="Q152" s="17" t="str">
        <f>IF(Q151=Q$20,"OK","NOK")</f>
        <v>OK</v>
      </c>
      <c r="R152" s="17" t="str">
        <f>IF(R151=R$20,"OK","NOK")</f>
        <v>OK</v>
      </c>
      <c r="S152" s="17"/>
      <c r="T152" s="17" t="str">
        <f>IF(T151=T$20,"OK","NOK")</f>
        <v>OK</v>
      </c>
      <c r="U152" s="17" t="str">
        <f>IF(U151=U$20,"OK","NOK")</f>
        <v>OK</v>
      </c>
      <c r="V152" s="359"/>
      <c r="W152" s="382"/>
      <c r="X152" s="646"/>
      <c r="Y152" s="646"/>
      <c r="Z152" s="201"/>
      <c r="AA152" s="201"/>
      <c r="AB152" s="201"/>
      <c r="AC152" s="84"/>
      <c r="AE152" s="17"/>
      <c r="AF152" s="17"/>
      <c r="AG152" s="17"/>
      <c r="AH152" s="646"/>
      <c r="AI152" s="91"/>
      <c r="AK152" s="17"/>
      <c r="AL152" s="17"/>
      <c r="AM152" s="17"/>
      <c r="AN152" s="646"/>
      <c r="AO152" s="91"/>
      <c r="AQ152" s="17"/>
      <c r="AR152" s="17"/>
      <c r="AS152" s="17"/>
      <c r="AT152" s="646"/>
      <c r="AU152" s="91"/>
      <c r="AW152" s="17"/>
      <c r="AX152" s="17"/>
      <c r="AY152" s="17"/>
      <c r="AZ152" s="17"/>
      <c r="BA152" s="91"/>
    </row>
    <row r="153" spans="1:53" ht="17.100000000000001" customHeight="1" x14ac:dyDescent="0.25">
      <c r="A153" s="40"/>
      <c r="B153" s="40"/>
      <c r="C153" s="40"/>
      <c r="D153" s="85" t="s">
        <v>613</v>
      </c>
      <c r="E153" s="150"/>
      <c r="F153" s="151"/>
      <c r="G153" s="318"/>
      <c r="H153" s="119"/>
      <c r="I153" s="236"/>
      <c r="J153" s="174"/>
      <c r="K153" s="174"/>
      <c r="L153" s="111"/>
      <c r="M153" s="111"/>
      <c r="N153" s="111"/>
      <c r="O153" s="111"/>
      <c r="P153" s="111"/>
      <c r="Q153" s="111"/>
      <c r="R153" s="111"/>
      <c r="S153" s="111"/>
      <c r="T153" s="111"/>
      <c r="U153" s="111"/>
      <c r="V153" s="111"/>
      <c r="W153" s="111"/>
      <c r="X153" s="111"/>
      <c r="Y153" s="111"/>
      <c r="Z153" s="131"/>
      <c r="AA153" s="131"/>
      <c r="AB153" s="131"/>
      <c r="AC153" s="113"/>
      <c r="AE153" s="111"/>
      <c r="AF153" s="111"/>
      <c r="AG153" s="651"/>
      <c r="AH153" s="131"/>
      <c r="AI153" s="113"/>
      <c r="AK153" s="111"/>
      <c r="AL153" s="111"/>
      <c r="AM153" s="651"/>
      <c r="AN153" s="131"/>
      <c r="AO153" s="113"/>
      <c r="AQ153" s="111"/>
      <c r="AR153" s="111"/>
      <c r="AS153" s="651"/>
      <c r="AT153" s="131"/>
      <c r="AU153" s="113"/>
      <c r="AW153" s="111"/>
      <c r="AX153" s="111"/>
      <c r="AY153" s="651"/>
      <c r="AZ153" s="131"/>
      <c r="BA153" s="113"/>
    </row>
    <row r="154" spans="1:53" ht="17.100000000000001" customHeight="1" x14ac:dyDescent="0.25">
      <c r="A154" s="40"/>
      <c r="B154" s="40"/>
      <c r="C154" s="40"/>
      <c r="D154" s="74" t="s">
        <v>569</v>
      </c>
      <c r="E154" s="85" t="s">
        <v>570</v>
      </c>
      <c r="F154" s="75"/>
      <c r="G154" s="76"/>
      <c r="H154" s="316"/>
      <c r="I154" s="230"/>
      <c r="J154" s="174"/>
      <c r="K154" s="174"/>
      <c r="L154" s="111"/>
      <c r="M154" s="111"/>
      <c r="N154" s="60"/>
      <c r="O154" s="60"/>
      <c r="P154" s="593">
        <f t="shared" ref="P154:P168" si="137">SUM(N154:O154)</f>
        <v>0</v>
      </c>
      <c r="Q154" s="60"/>
      <c r="R154" s="60"/>
      <c r="S154" s="593">
        <f t="shared" ref="S154:S163" si="138">SUM(Q154:R154)</f>
        <v>0</v>
      </c>
      <c r="T154" s="60"/>
      <c r="U154" s="60"/>
      <c r="V154" s="593">
        <f t="shared" ref="V154:V163" si="139">SUM(T154:U154)</f>
        <v>0</v>
      </c>
      <c r="W154" s="391">
        <f t="shared" ref="W154:W163" si="140">J154+K154+N154+Q154+T154</f>
        <v>0</v>
      </c>
      <c r="X154" s="17">
        <f t="shared" ref="X154:X163" si="141">L154+O154+R154+U154</f>
        <v>0</v>
      </c>
      <c r="Y154" s="18">
        <f t="shared" ref="Y154:Y163" si="142">SUM(W154:X154)</f>
        <v>0</v>
      </c>
      <c r="Z154" s="19">
        <f t="shared" ref="Z154:Z163" si="143">IF(Y$169=0,0,Y154/Y$169)</f>
        <v>0</v>
      </c>
      <c r="AA154" s="19"/>
      <c r="AB154" s="19"/>
      <c r="AC154" s="20"/>
      <c r="AE154" s="111"/>
      <c r="AF154" s="111"/>
      <c r="AG154" s="111"/>
      <c r="AH154" s="651"/>
      <c r="AI154" s="131"/>
      <c r="AK154" s="111"/>
      <c r="AL154" s="111"/>
      <c r="AM154" s="111"/>
      <c r="AN154" s="651"/>
      <c r="AO154" s="131"/>
      <c r="AQ154" s="20"/>
      <c r="AR154" s="20"/>
      <c r="AS154" s="20"/>
      <c r="AT154" s="17">
        <f t="shared" ref="AT154:AT163" si="144">W154</f>
        <v>0</v>
      </c>
      <c r="AU154" s="19">
        <f t="shared" ref="AU154:AU163" si="145">IF(AT$169=0,0,AT154/AT$169)</f>
        <v>0</v>
      </c>
      <c r="AW154" s="17"/>
      <c r="AX154" s="17"/>
      <c r="AY154" s="17"/>
      <c r="AZ154" s="424">
        <f>X154</f>
        <v>0</v>
      </c>
      <c r="BA154" s="19">
        <f t="shared" ref="BA154:BA163" si="146">IF(AZ$169=0,0,AZ154/AZ$169)</f>
        <v>0</v>
      </c>
    </row>
    <row r="155" spans="1:53" ht="17.100000000000001" customHeight="1" x14ac:dyDescent="0.25">
      <c r="A155" s="40"/>
      <c r="B155" s="40"/>
      <c r="C155" s="40"/>
      <c r="D155" s="74" t="s">
        <v>571</v>
      </c>
      <c r="E155" s="649" t="s">
        <v>572</v>
      </c>
      <c r="F155" s="649"/>
      <c r="G155" s="281"/>
      <c r="H155" s="254"/>
      <c r="I155" s="235"/>
      <c r="J155" s="174"/>
      <c r="K155" s="174"/>
      <c r="L155" s="111"/>
      <c r="M155" s="111"/>
      <c r="N155" s="61">
        <v>4</v>
      </c>
      <c r="O155" s="61">
        <v>7</v>
      </c>
      <c r="P155" s="593">
        <f t="shared" si="137"/>
        <v>11</v>
      </c>
      <c r="Q155" s="61"/>
      <c r="R155" s="61"/>
      <c r="S155" s="593">
        <f t="shared" si="138"/>
        <v>0</v>
      </c>
      <c r="T155" s="61"/>
      <c r="U155" s="61"/>
      <c r="V155" s="593">
        <f t="shared" si="139"/>
        <v>0</v>
      </c>
      <c r="W155" s="391">
        <f t="shared" si="140"/>
        <v>4</v>
      </c>
      <c r="X155" s="17">
        <f t="shared" si="141"/>
        <v>7</v>
      </c>
      <c r="Y155" s="18">
        <f t="shared" si="142"/>
        <v>11</v>
      </c>
      <c r="Z155" s="19">
        <f t="shared" si="143"/>
        <v>0.37931034482758619</v>
      </c>
      <c r="AA155" s="19"/>
      <c r="AB155" s="19"/>
      <c r="AC155" s="20"/>
      <c r="AE155" s="111"/>
      <c r="AF155" s="111"/>
      <c r="AG155" s="111"/>
      <c r="AH155" s="651"/>
      <c r="AI155" s="131"/>
      <c r="AK155" s="111"/>
      <c r="AL155" s="111"/>
      <c r="AM155" s="111"/>
      <c r="AN155" s="651"/>
      <c r="AO155" s="131"/>
      <c r="AQ155" s="20"/>
      <c r="AR155" s="20"/>
      <c r="AS155" s="20"/>
      <c r="AT155" s="17">
        <f t="shared" si="144"/>
        <v>4</v>
      </c>
      <c r="AU155" s="19">
        <f t="shared" si="145"/>
        <v>0.4</v>
      </c>
      <c r="AW155" s="17"/>
      <c r="AX155" s="17"/>
      <c r="AY155" s="17"/>
      <c r="AZ155" s="424">
        <f t="shared" ref="AZ155:AZ163" si="147">X155</f>
        <v>7</v>
      </c>
      <c r="BA155" s="19">
        <f t="shared" si="146"/>
        <v>0.36842105263157893</v>
      </c>
    </row>
    <row r="156" spans="1:53" ht="17.100000000000001" customHeight="1" x14ac:dyDescent="0.25">
      <c r="A156" s="40"/>
      <c r="B156" s="40"/>
      <c r="C156" s="40"/>
      <c r="D156" s="74" t="s">
        <v>573</v>
      </c>
      <c r="E156" s="649" t="s">
        <v>574</v>
      </c>
      <c r="F156" s="649"/>
      <c r="G156" s="281"/>
      <c r="H156" s="254"/>
      <c r="I156" s="235"/>
      <c r="J156" s="174"/>
      <c r="K156" s="174"/>
      <c r="L156" s="111"/>
      <c r="M156" s="111"/>
      <c r="N156" s="60"/>
      <c r="O156" s="60"/>
      <c r="P156" s="593">
        <f t="shared" si="137"/>
        <v>0</v>
      </c>
      <c r="Q156" s="60"/>
      <c r="R156" s="60"/>
      <c r="S156" s="593">
        <f t="shared" si="138"/>
        <v>0</v>
      </c>
      <c r="T156" s="60"/>
      <c r="U156" s="60"/>
      <c r="V156" s="593">
        <f t="shared" si="139"/>
        <v>0</v>
      </c>
      <c r="W156" s="391">
        <f t="shared" si="140"/>
        <v>0</v>
      </c>
      <c r="X156" s="17">
        <f t="shared" si="141"/>
        <v>0</v>
      </c>
      <c r="Y156" s="18">
        <f t="shared" si="142"/>
        <v>0</v>
      </c>
      <c r="Z156" s="19">
        <f t="shared" si="143"/>
        <v>0</v>
      </c>
      <c r="AA156" s="19"/>
      <c r="AB156" s="19"/>
      <c r="AC156" s="20"/>
      <c r="AE156" s="111"/>
      <c r="AF156" s="111"/>
      <c r="AG156" s="111"/>
      <c r="AH156" s="651"/>
      <c r="AI156" s="131"/>
      <c r="AK156" s="111"/>
      <c r="AL156" s="111"/>
      <c r="AM156" s="111"/>
      <c r="AN156" s="651"/>
      <c r="AO156" s="131"/>
      <c r="AQ156" s="20"/>
      <c r="AR156" s="20"/>
      <c r="AS156" s="20"/>
      <c r="AT156" s="17">
        <f t="shared" si="144"/>
        <v>0</v>
      </c>
      <c r="AU156" s="19">
        <f t="shared" si="145"/>
        <v>0</v>
      </c>
      <c r="AW156" s="17"/>
      <c r="AX156" s="17"/>
      <c r="AY156" s="17"/>
      <c r="AZ156" s="424">
        <f t="shared" si="147"/>
        <v>0</v>
      </c>
      <c r="BA156" s="19">
        <f t="shared" si="146"/>
        <v>0</v>
      </c>
    </row>
    <row r="157" spans="1:53" ht="17.100000000000001" customHeight="1" x14ac:dyDescent="0.25">
      <c r="A157" s="40"/>
      <c r="B157" s="40"/>
      <c r="C157" s="40"/>
      <c r="D157" s="74" t="s">
        <v>575</v>
      </c>
      <c r="E157" s="649" t="s">
        <v>576</v>
      </c>
      <c r="F157" s="649"/>
      <c r="G157" s="281"/>
      <c r="H157" s="254"/>
      <c r="I157" s="235"/>
      <c r="J157" s="174"/>
      <c r="K157" s="174"/>
      <c r="L157" s="111"/>
      <c r="M157" s="111"/>
      <c r="N157" s="61"/>
      <c r="O157" s="61"/>
      <c r="P157" s="593">
        <f t="shared" si="137"/>
        <v>0</v>
      </c>
      <c r="Q157" s="61"/>
      <c r="R157" s="61"/>
      <c r="S157" s="593">
        <f t="shared" si="138"/>
        <v>0</v>
      </c>
      <c r="T157" s="61"/>
      <c r="U157" s="61"/>
      <c r="V157" s="593">
        <f t="shared" si="139"/>
        <v>0</v>
      </c>
      <c r="W157" s="391">
        <f t="shared" si="140"/>
        <v>0</v>
      </c>
      <c r="X157" s="17">
        <f t="shared" si="141"/>
        <v>0</v>
      </c>
      <c r="Y157" s="18">
        <f t="shared" si="142"/>
        <v>0</v>
      </c>
      <c r="Z157" s="19">
        <f t="shared" si="143"/>
        <v>0</v>
      </c>
      <c r="AA157" s="19"/>
      <c r="AB157" s="19"/>
      <c r="AC157" s="20"/>
      <c r="AE157" s="111"/>
      <c r="AF157" s="111"/>
      <c r="AG157" s="111"/>
      <c r="AH157" s="651"/>
      <c r="AI157" s="131"/>
      <c r="AK157" s="111"/>
      <c r="AL157" s="111"/>
      <c r="AM157" s="111"/>
      <c r="AN157" s="651"/>
      <c r="AO157" s="131"/>
      <c r="AQ157" s="20"/>
      <c r="AR157" s="20"/>
      <c r="AS157" s="20"/>
      <c r="AT157" s="17">
        <f t="shared" si="144"/>
        <v>0</v>
      </c>
      <c r="AU157" s="19">
        <f t="shared" si="145"/>
        <v>0</v>
      </c>
      <c r="AW157" s="17"/>
      <c r="AX157" s="17"/>
      <c r="AY157" s="17"/>
      <c r="AZ157" s="424">
        <f t="shared" si="147"/>
        <v>0</v>
      </c>
      <c r="BA157" s="19">
        <f t="shared" si="146"/>
        <v>0</v>
      </c>
    </row>
    <row r="158" spans="1:53" ht="17.100000000000001" customHeight="1" x14ac:dyDescent="0.25">
      <c r="A158" s="40"/>
      <c r="B158" s="40"/>
      <c r="C158" s="40"/>
      <c r="D158" s="74" t="s">
        <v>577</v>
      </c>
      <c r="E158" s="85" t="s">
        <v>578</v>
      </c>
      <c r="F158" s="75"/>
      <c r="G158" s="76"/>
      <c r="H158" s="316"/>
      <c r="I158" s="230"/>
      <c r="J158" s="174"/>
      <c r="K158" s="174"/>
      <c r="L158" s="111"/>
      <c r="M158" s="111"/>
      <c r="N158" s="60"/>
      <c r="O158" s="60"/>
      <c r="P158" s="593">
        <f t="shared" si="137"/>
        <v>0</v>
      </c>
      <c r="Q158" s="60"/>
      <c r="R158" s="60"/>
      <c r="S158" s="593">
        <f t="shared" si="138"/>
        <v>0</v>
      </c>
      <c r="T158" s="60"/>
      <c r="U158" s="60"/>
      <c r="V158" s="593">
        <f t="shared" si="139"/>
        <v>0</v>
      </c>
      <c r="W158" s="391">
        <f t="shared" si="140"/>
        <v>0</v>
      </c>
      <c r="X158" s="17">
        <f t="shared" si="141"/>
        <v>0</v>
      </c>
      <c r="Y158" s="18">
        <f t="shared" si="142"/>
        <v>0</v>
      </c>
      <c r="Z158" s="19">
        <f t="shared" si="143"/>
        <v>0</v>
      </c>
      <c r="AA158" s="19"/>
      <c r="AB158" s="19"/>
      <c r="AC158" s="20"/>
      <c r="AE158" s="111"/>
      <c r="AF158" s="111"/>
      <c r="AG158" s="111"/>
      <c r="AH158" s="651"/>
      <c r="AI158" s="131"/>
      <c r="AK158" s="111"/>
      <c r="AL158" s="111"/>
      <c r="AM158" s="111"/>
      <c r="AN158" s="651"/>
      <c r="AO158" s="131"/>
      <c r="AQ158" s="20"/>
      <c r="AR158" s="20"/>
      <c r="AS158" s="20"/>
      <c r="AT158" s="17">
        <f t="shared" si="144"/>
        <v>0</v>
      </c>
      <c r="AU158" s="19">
        <f t="shared" si="145"/>
        <v>0</v>
      </c>
      <c r="AW158" s="17"/>
      <c r="AX158" s="17"/>
      <c r="AY158" s="17"/>
      <c r="AZ158" s="424">
        <f t="shared" si="147"/>
        <v>0</v>
      </c>
      <c r="BA158" s="19">
        <f t="shared" si="146"/>
        <v>0</v>
      </c>
    </row>
    <row r="159" spans="1:53" ht="17.100000000000001" customHeight="1" x14ac:dyDescent="0.25">
      <c r="A159" s="40"/>
      <c r="B159" s="40"/>
      <c r="C159" s="40"/>
      <c r="D159" s="74" t="s">
        <v>579</v>
      </c>
      <c r="E159" s="85" t="s">
        <v>580</v>
      </c>
      <c r="F159" s="75"/>
      <c r="G159" s="76"/>
      <c r="H159" s="316"/>
      <c r="I159" s="230"/>
      <c r="J159" s="174"/>
      <c r="K159" s="174"/>
      <c r="L159" s="111"/>
      <c r="M159" s="111"/>
      <c r="N159" s="61">
        <v>2</v>
      </c>
      <c r="O159" s="61">
        <v>5</v>
      </c>
      <c r="P159" s="593">
        <f t="shared" si="137"/>
        <v>7</v>
      </c>
      <c r="Q159" s="61"/>
      <c r="R159" s="61"/>
      <c r="S159" s="593">
        <f t="shared" si="138"/>
        <v>0</v>
      </c>
      <c r="T159" s="61"/>
      <c r="U159" s="61"/>
      <c r="V159" s="593">
        <f t="shared" si="139"/>
        <v>0</v>
      </c>
      <c r="W159" s="391">
        <f t="shared" si="140"/>
        <v>2</v>
      </c>
      <c r="X159" s="17">
        <f t="shared" si="141"/>
        <v>5</v>
      </c>
      <c r="Y159" s="18">
        <f t="shared" si="142"/>
        <v>7</v>
      </c>
      <c r="Z159" s="19">
        <f t="shared" si="143"/>
        <v>0.2413793103448276</v>
      </c>
      <c r="AA159" s="19"/>
      <c r="AB159" s="19"/>
      <c r="AC159" s="20"/>
      <c r="AE159" s="111"/>
      <c r="AF159" s="111"/>
      <c r="AG159" s="111"/>
      <c r="AH159" s="651"/>
      <c r="AI159" s="131"/>
      <c r="AK159" s="111"/>
      <c r="AL159" s="111"/>
      <c r="AM159" s="111"/>
      <c r="AN159" s="651"/>
      <c r="AO159" s="131"/>
      <c r="AQ159" s="20"/>
      <c r="AR159" s="20"/>
      <c r="AS159" s="20"/>
      <c r="AT159" s="17">
        <f t="shared" si="144"/>
        <v>2</v>
      </c>
      <c r="AU159" s="19">
        <f t="shared" si="145"/>
        <v>0.2</v>
      </c>
      <c r="AW159" s="17"/>
      <c r="AX159" s="17"/>
      <c r="AY159" s="17"/>
      <c r="AZ159" s="424">
        <f t="shared" si="147"/>
        <v>5</v>
      </c>
      <c r="BA159" s="19">
        <f t="shared" si="146"/>
        <v>0.26315789473684209</v>
      </c>
    </row>
    <row r="160" spans="1:53" ht="17.100000000000001" customHeight="1" x14ac:dyDescent="0.25">
      <c r="A160" s="40"/>
      <c r="B160" s="40"/>
      <c r="C160" s="40"/>
      <c r="D160" s="74" t="s">
        <v>581</v>
      </c>
      <c r="E160" s="85" t="s">
        <v>582</v>
      </c>
      <c r="F160" s="75"/>
      <c r="G160" s="76"/>
      <c r="H160" s="316"/>
      <c r="I160" s="230"/>
      <c r="J160" s="174"/>
      <c r="K160" s="174"/>
      <c r="L160" s="111"/>
      <c r="M160" s="111"/>
      <c r="N160" s="60"/>
      <c r="O160" s="60"/>
      <c r="P160" s="593">
        <f t="shared" si="137"/>
        <v>0</v>
      </c>
      <c r="Q160" s="60"/>
      <c r="R160" s="60"/>
      <c r="S160" s="593">
        <f t="shared" si="138"/>
        <v>0</v>
      </c>
      <c r="T160" s="60"/>
      <c r="U160" s="60"/>
      <c r="V160" s="593">
        <f t="shared" si="139"/>
        <v>0</v>
      </c>
      <c r="W160" s="391">
        <f t="shared" si="140"/>
        <v>0</v>
      </c>
      <c r="X160" s="17">
        <f t="shared" si="141"/>
        <v>0</v>
      </c>
      <c r="Y160" s="18">
        <f t="shared" si="142"/>
        <v>0</v>
      </c>
      <c r="Z160" s="19">
        <f t="shared" si="143"/>
        <v>0</v>
      </c>
      <c r="AA160" s="19"/>
      <c r="AB160" s="19"/>
      <c r="AC160" s="20"/>
      <c r="AE160" s="111"/>
      <c r="AF160" s="111"/>
      <c r="AG160" s="111"/>
      <c r="AH160" s="651"/>
      <c r="AI160" s="131"/>
      <c r="AK160" s="111"/>
      <c r="AL160" s="111"/>
      <c r="AM160" s="111"/>
      <c r="AN160" s="651"/>
      <c r="AO160" s="131"/>
      <c r="AQ160" s="20"/>
      <c r="AR160" s="20"/>
      <c r="AS160" s="20"/>
      <c r="AT160" s="17">
        <f t="shared" si="144"/>
        <v>0</v>
      </c>
      <c r="AU160" s="19">
        <f t="shared" si="145"/>
        <v>0</v>
      </c>
      <c r="AW160" s="17"/>
      <c r="AX160" s="17"/>
      <c r="AY160" s="17"/>
      <c r="AZ160" s="424">
        <f t="shared" si="147"/>
        <v>0</v>
      </c>
      <c r="BA160" s="19">
        <f t="shared" si="146"/>
        <v>0</v>
      </c>
    </row>
    <row r="161" spans="1:53" ht="17.100000000000001" customHeight="1" x14ac:dyDescent="0.25">
      <c r="A161" s="40"/>
      <c r="B161" s="40"/>
      <c r="C161" s="40"/>
      <c r="D161" s="74" t="s">
        <v>583</v>
      </c>
      <c r="E161" s="85" t="s">
        <v>584</v>
      </c>
      <c r="F161" s="75"/>
      <c r="G161" s="76"/>
      <c r="H161" s="316"/>
      <c r="I161" s="230"/>
      <c r="J161" s="174"/>
      <c r="K161" s="174"/>
      <c r="L161" s="111"/>
      <c r="M161" s="111"/>
      <c r="N161" s="61"/>
      <c r="O161" s="61"/>
      <c r="P161" s="593">
        <f t="shared" si="137"/>
        <v>0</v>
      </c>
      <c r="Q161" s="61"/>
      <c r="R161" s="61"/>
      <c r="S161" s="593">
        <f t="shared" si="138"/>
        <v>0</v>
      </c>
      <c r="T161" s="61"/>
      <c r="U161" s="61"/>
      <c r="V161" s="593">
        <f t="shared" si="139"/>
        <v>0</v>
      </c>
      <c r="W161" s="391">
        <f t="shared" si="140"/>
        <v>0</v>
      </c>
      <c r="X161" s="17">
        <f t="shared" si="141"/>
        <v>0</v>
      </c>
      <c r="Y161" s="18">
        <f t="shared" si="142"/>
        <v>0</v>
      </c>
      <c r="Z161" s="19">
        <f t="shared" si="143"/>
        <v>0</v>
      </c>
      <c r="AA161" s="19"/>
      <c r="AB161" s="19"/>
      <c r="AC161" s="20"/>
      <c r="AE161" s="111"/>
      <c r="AF161" s="111"/>
      <c r="AG161" s="111"/>
      <c r="AH161" s="651"/>
      <c r="AI161" s="131"/>
      <c r="AK161" s="111"/>
      <c r="AL161" s="111"/>
      <c r="AM161" s="111"/>
      <c r="AN161" s="651"/>
      <c r="AO161" s="131"/>
      <c r="AQ161" s="20"/>
      <c r="AR161" s="20"/>
      <c r="AS161" s="20"/>
      <c r="AT161" s="17">
        <f t="shared" si="144"/>
        <v>0</v>
      </c>
      <c r="AU161" s="19">
        <f t="shared" si="145"/>
        <v>0</v>
      </c>
      <c r="AW161" s="17"/>
      <c r="AX161" s="17"/>
      <c r="AY161" s="17"/>
      <c r="AZ161" s="424">
        <f t="shared" si="147"/>
        <v>0</v>
      </c>
      <c r="BA161" s="19">
        <f t="shared" si="146"/>
        <v>0</v>
      </c>
    </row>
    <row r="162" spans="1:53" ht="17.100000000000001" customHeight="1" x14ac:dyDescent="0.25">
      <c r="A162" s="40"/>
      <c r="B162" s="40"/>
      <c r="C162" s="40"/>
      <c r="D162" s="74" t="s">
        <v>585</v>
      </c>
      <c r="E162" s="85" t="s">
        <v>586</v>
      </c>
      <c r="F162" s="75"/>
      <c r="G162" s="76"/>
      <c r="H162" s="316"/>
      <c r="I162" s="230"/>
      <c r="J162" s="174"/>
      <c r="K162" s="174"/>
      <c r="L162" s="111"/>
      <c r="M162" s="111"/>
      <c r="N162" s="60"/>
      <c r="O162" s="60"/>
      <c r="P162" s="593">
        <f t="shared" si="137"/>
        <v>0</v>
      </c>
      <c r="Q162" s="60"/>
      <c r="R162" s="60"/>
      <c r="S162" s="593">
        <f t="shared" si="138"/>
        <v>0</v>
      </c>
      <c r="T162" s="60"/>
      <c r="U162" s="60"/>
      <c r="V162" s="593">
        <f t="shared" si="139"/>
        <v>0</v>
      </c>
      <c r="W162" s="391">
        <f t="shared" si="140"/>
        <v>0</v>
      </c>
      <c r="X162" s="17">
        <f t="shared" si="141"/>
        <v>0</v>
      </c>
      <c r="Y162" s="18">
        <f t="shared" si="142"/>
        <v>0</v>
      </c>
      <c r="Z162" s="19">
        <f t="shared" si="143"/>
        <v>0</v>
      </c>
      <c r="AA162" s="19"/>
      <c r="AB162" s="19"/>
      <c r="AC162" s="20"/>
      <c r="AE162" s="111"/>
      <c r="AF162" s="111"/>
      <c r="AG162" s="111"/>
      <c r="AH162" s="651"/>
      <c r="AI162" s="131"/>
      <c r="AK162" s="111"/>
      <c r="AL162" s="111"/>
      <c r="AM162" s="111"/>
      <c r="AN162" s="651"/>
      <c r="AO162" s="131"/>
      <c r="AQ162" s="20"/>
      <c r="AR162" s="20"/>
      <c r="AS162" s="20"/>
      <c r="AT162" s="17">
        <f t="shared" si="144"/>
        <v>0</v>
      </c>
      <c r="AU162" s="19">
        <f t="shared" si="145"/>
        <v>0</v>
      </c>
      <c r="AW162" s="17"/>
      <c r="AX162" s="17"/>
      <c r="AY162" s="17"/>
      <c r="AZ162" s="424">
        <f t="shared" si="147"/>
        <v>0</v>
      </c>
      <c r="BA162" s="19">
        <f t="shared" si="146"/>
        <v>0</v>
      </c>
    </row>
    <row r="163" spans="1:53" ht="17.100000000000001" customHeight="1" x14ac:dyDescent="0.25">
      <c r="A163" s="40"/>
      <c r="B163" s="40"/>
      <c r="C163" s="40"/>
      <c r="D163" s="56" t="s">
        <v>587</v>
      </c>
      <c r="E163" s="75" t="s">
        <v>588</v>
      </c>
      <c r="F163" s="284"/>
      <c r="G163" s="285"/>
      <c r="H163" s="319"/>
      <c r="I163" s="308"/>
      <c r="J163" s="111"/>
      <c r="K163" s="111"/>
      <c r="L163" s="111"/>
      <c r="M163" s="111"/>
      <c r="N163" s="111">
        <f t="shared" ref="N163:U163" si="148">SUM(N164:N168)</f>
        <v>4</v>
      </c>
      <c r="O163" s="111">
        <f t="shared" si="148"/>
        <v>7</v>
      </c>
      <c r="P163" s="111">
        <f t="shared" si="137"/>
        <v>11</v>
      </c>
      <c r="Q163" s="111">
        <f t="shared" si="148"/>
        <v>0</v>
      </c>
      <c r="R163" s="111">
        <f t="shared" si="148"/>
        <v>0</v>
      </c>
      <c r="S163" s="111">
        <f t="shared" si="138"/>
        <v>0</v>
      </c>
      <c r="T163" s="111">
        <f t="shared" si="148"/>
        <v>0</v>
      </c>
      <c r="U163" s="111">
        <f t="shared" si="148"/>
        <v>0</v>
      </c>
      <c r="V163" s="111">
        <f t="shared" si="139"/>
        <v>0</v>
      </c>
      <c r="W163" s="380">
        <f t="shared" si="140"/>
        <v>4</v>
      </c>
      <c r="X163" s="111">
        <f t="shared" si="141"/>
        <v>7</v>
      </c>
      <c r="Y163" s="651">
        <f t="shared" si="142"/>
        <v>11</v>
      </c>
      <c r="Z163" s="131">
        <f t="shared" si="143"/>
        <v>0.37931034482758619</v>
      </c>
      <c r="AA163" s="131"/>
      <c r="AB163" s="131"/>
      <c r="AC163" s="113"/>
      <c r="AE163" s="111"/>
      <c r="AF163" s="111"/>
      <c r="AG163" s="111"/>
      <c r="AH163" s="651"/>
      <c r="AI163" s="131"/>
      <c r="AK163" s="111"/>
      <c r="AL163" s="111"/>
      <c r="AM163" s="111"/>
      <c r="AN163" s="651"/>
      <c r="AO163" s="131"/>
      <c r="AQ163" s="111"/>
      <c r="AR163" s="111"/>
      <c r="AS163" s="111"/>
      <c r="AT163" s="111">
        <f t="shared" si="144"/>
        <v>4</v>
      </c>
      <c r="AU163" s="131">
        <f t="shared" si="145"/>
        <v>0.4</v>
      </c>
      <c r="AW163" s="111"/>
      <c r="AX163" s="111"/>
      <c r="AY163" s="111"/>
      <c r="AZ163" s="111">
        <f t="shared" si="147"/>
        <v>7</v>
      </c>
      <c r="BA163" s="131">
        <f t="shared" si="146"/>
        <v>0.36842105263157893</v>
      </c>
    </row>
    <row r="164" spans="1:53" ht="17.100000000000001" customHeight="1" x14ac:dyDescent="0.25">
      <c r="A164" s="40"/>
      <c r="B164" s="40"/>
      <c r="C164" s="40"/>
      <c r="D164" s="74"/>
      <c r="E164" s="1335" t="s">
        <v>1838</v>
      </c>
      <c r="F164" s="287"/>
      <c r="G164" s="288"/>
      <c r="H164" s="46"/>
      <c r="I164" s="641"/>
      <c r="J164" s="174"/>
      <c r="K164" s="174"/>
      <c r="L164" s="111"/>
      <c r="M164" s="111"/>
      <c r="N164" s="60">
        <v>4</v>
      </c>
      <c r="O164" s="60">
        <v>7</v>
      </c>
      <c r="P164" s="593">
        <f t="shared" si="137"/>
        <v>11</v>
      </c>
      <c r="Q164" s="60"/>
      <c r="R164" s="60"/>
      <c r="S164" s="593">
        <f t="shared" ref="S164:S168" si="149">SUM(Q164:R164)</f>
        <v>0</v>
      </c>
      <c r="T164" s="60"/>
      <c r="U164" s="60"/>
      <c r="V164" s="593">
        <f t="shared" ref="V164:V168" si="150">SUM(T164:U164)</f>
        <v>0</v>
      </c>
      <c r="W164" s="391">
        <f t="shared" ref="W164:W168" si="151">J164+K164+N164+Q164+T164</f>
        <v>4</v>
      </c>
      <c r="X164" s="17">
        <f t="shared" ref="X164:X168" si="152">L164+O164+R164+U164</f>
        <v>7</v>
      </c>
      <c r="Y164" s="18">
        <f t="shared" ref="Y164:Y168" si="153">SUM(W164:X164)</f>
        <v>11</v>
      </c>
      <c r="Z164" s="19"/>
      <c r="AA164" s="19"/>
      <c r="AB164" s="19"/>
      <c r="AC164" s="20"/>
      <c r="AE164" s="111"/>
      <c r="AF164" s="111"/>
      <c r="AG164" s="113"/>
      <c r="AH164" s="131"/>
      <c r="AI164" s="113"/>
      <c r="AK164" s="111"/>
      <c r="AL164" s="111"/>
      <c r="AM164" s="113"/>
      <c r="AN164" s="131"/>
      <c r="AO164" s="113"/>
      <c r="AQ164" s="20"/>
      <c r="AR164" s="20"/>
      <c r="AS164" s="20"/>
      <c r="AT164" s="20"/>
      <c r="AU164" s="20"/>
      <c r="AW164" s="17"/>
      <c r="AX164" s="17"/>
      <c r="AY164" s="20"/>
      <c r="AZ164" s="19"/>
      <c r="BA164" s="20"/>
    </row>
    <row r="165" spans="1:53" ht="17.100000000000001" customHeight="1" x14ac:dyDescent="0.25">
      <c r="A165" s="40"/>
      <c r="B165" s="40"/>
      <c r="C165" s="40"/>
      <c r="D165" s="74"/>
      <c r="E165" s="289"/>
      <c r="F165" s="290"/>
      <c r="G165" s="291"/>
      <c r="H165" s="46"/>
      <c r="I165" s="641"/>
      <c r="J165" s="174"/>
      <c r="K165" s="174"/>
      <c r="L165" s="111"/>
      <c r="M165" s="111"/>
      <c r="N165" s="61"/>
      <c r="O165" s="61"/>
      <c r="P165" s="593">
        <f t="shared" si="137"/>
        <v>0</v>
      </c>
      <c r="Q165" s="61"/>
      <c r="R165" s="61"/>
      <c r="S165" s="593">
        <f t="shared" si="149"/>
        <v>0</v>
      </c>
      <c r="T165" s="61"/>
      <c r="U165" s="61"/>
      <c r="V165" s="593">
        <f t="shared" si="150"/>
        <v>0</v>
      </c>
      <c r="W165" s="391">
        <f t="shared" si="151"/>
        <v>0</v>
      </c>
      <c r="X165" s="17">
        <f t="shared" si="152"/>
        <v>0</v>
      </c>
      <c r="Y165" s="18">
        <f t="shared" si="153"/>
        <v>0</v>
      </c>
      <c r="Z165" s="19"/>
      <c r="AA165" s="19"/>
      <c r="AB165" s="19"/>
      <c r="AC165" s="20"/>
      <c r="AE165" s="111"/>
      <c r="AF165" s="111"/>
      <c r="AG165" s="113"/>
      <c r="AH165" s="131"/>
      <c r="AI165" s="113"/>
      <c r="AK165" s="111"/>
      <c r="AL165" s="111"/>
      <c r="AM165" s="113"/>
      <c r="AN165" s="131"/>
      <c r="AO165" s="113"/>
      <c r="AQ165" s="20"/>
      <c r="AR165" s="20"/>
      <c r="AS165" s="20"/>
      <c r="AT165" s="20"/>
      <c r="AU165" s="20"/>
      <c r="AW165" s="17"/>
      <c r="AX165" s="17"/>
      <c r="AY165" s="20"/>
      <c r="AZ165" s="19"/>
      <c r="BA165" s="20"/>
    </row>
    <row r="166" spans="1:53" ht="17.100000000000001" customHeight="1" x14ac:dyDescent="0.25">
      <c r="A166" s="40"/>
      <c r="B166" s="40"/>
      <c r="C166" s="40"/>
      <c r="D166" s="74"/>
      <c r="E166" s="286"/>
      <c r="F166" s="287"/>
      <c r="G166" s="288"/>
      <c r="H166" s="46"/>
      <c r="I166" s="641"/>
      <c r="J166" s="174"/>
      <c r="K166" s="174"/>
      <c r="L166" s="111"/>
      <c r="M166" s="111"/>
      <c r="N166" s="60"/>
      <c r="O166" s="60"/>
      <c r="P166" s="593">
        <f t="shared" si="137"/>
        <v>0</v>
      </c>
      <c r="Q166" s="60"/>
      <c r="R166" s="60"/>
      <c r="S166" s="593">
        <f t="shared" si="149"/>
        <v>0</v>
      </c>
      <c r="T166" s="60"/>
      <c r="U166" s="60"/>
      <c r="V166" s="593">
        <f t="shared" si="150"/>
        <v>0</v>
      </c>
      <c r="W166" s="391">
        <f t="shared" si="151"/>
        <v>0</v>
      </c>
      <c r="X166" s="17">
        <f t="shared" si="152"/>
        <v>0</v>
      </c>
      <c r="Y166" s="18">
        <f t="shared" si="153"/>
        <v>0</v>
      </c>
      <c r="Z166" s="19"/>
      <c r="AA166" s="19"/>
      <c r="AB166" s="19"/>
      <c r="AC166" s="20"/>
      <c r="AE166" s="111"/>
      <c r="AF166" s="111"/>
      <c r="AG166" s="113"/>
      <c r="AH166" s="131"/>
      <c r="AI166" s="113"/>
      <c r="AK166" s="111"/>
      <c r="AL166" s="111"/>
      <c r="AM166" s="113"/>
      <c r="AN166" s="131"/>
      <c r="AO166" s="113"/>
      <c r="AQ166" s="20"/>
      <c r="AR166" s="20"/>
      <c r="AS166" s="20"/>
      <c r="AT166" s="20"/>
      <c r="AU166" s="20"/>
      <c r="AW166" s="17"/>
      <c r="AX166" s="17"/>
      <c r="AY166" s="20"/>
      <c r="AZ166" s="19"/>
      <c r="BA166" s="20"/>
    </row>
    <row r="167" spans="1:53" ht="17.100000000000001" customHeight="1" x14ac:dyDescent="0.25">
      <c r="A167" s="40"/>
      <c r="B167" s="40"/>
      <c r="C167" s="40"/>
      <c r="D167" s="74"/>
      <c r="E167" s="289"/>
      <c r="F167" s="290"/>
      <c r="G167" s="291"/>
      <c r="H167" s="46"/>
      <c r="I167" s="641"/>
      <c r="J167" s="174"/>
      <c r="K167" s="174"/>
      <c r="L167" s="111"/>
      <c r="M167" s="111"/>
      <c r="N167" s="61"/>
      <c r="O167" s="61"/>
      <c r="P167" s="593">
        <f t="shared" si="137"/>
        <v>0</v>
      </c>
      <c r="Q167" s="61"/>
      <c r="R167" s="61"/>
      <c r="S167" s="593">
        <f t="shared" si="149"/>
        <v>0</v>
      </c>
      <c r="T167" s="61"/>
      <c r="U167" s="61"/>
      <c r="V167" s="593"/>
      <c r="W167" s="391"/>
      <c r="X167" s="17"/>
      <c r="Y167" s="18"/>
      <c r="Z167" s="19"/>
      <c r="AA167" s="19"/>
      <c r="AB167" s="19"/>
      <c r="AC167" s="20"/>
      <c r="AE167" s="111"/>
      <c r="AF167" s="111"/>
      <c r="AG167" s="113"/>
      <c r="AH167" s="131"/>
      <c r="AI167" s="113"/>
      <c r="AK167" s="111"/>
      <c r="AL167" s="111"/>
      <c r="AM167" s="113"/>
      <c r="AN167" s="131"/>
      <c r="AO167" s="113"/>
      <c r="AQ167" s="20"/>
      <c r="AR167" s="20"/>
      <c r="AS167" s="20"/>
      <c r="AT167" s="20"/>
      <c r="AU167" s="20"/>
      <c r="AW167" s="17"/>
      <c r="AX167" s="17"/>
      <c r="AY167" s="20"/>
      <c r="AZ167" s="19"/>
      <c r="BA167" s="20"/>
    </row>
    <row r="168" spans="1:53" ht="17.100000000000001" customHeight="1" x14ac:dyDescent="0.25">
      <c r="A168" s="40"/>
      <c r="B168" s="40"/>
      <c r="C168" s="40"/>
      <c r="D168" s="74"/>
      <c r="E168" s="286"/>
      <c r="F168" s="287"/>
      <c r="G168" s="288"/>
      <c r="H168" s="46"/>
      <c r="I168" s="641"/>
      <c r="J168" s="174"/>
      <c r="K168" s="174"/>
      <c r="L168" s="111"/>
      <c r="M168" s="111"/>
      <c r="N168" s="60"/>
      <c r="O168" s="60"/>
      <c r="P168" s="593">
        <f t="shared" si="137"/>
        <v>0</v>
      </c>
      <c r="Q168" s="60"/>
      <c r="R168" s="60"/>
      <c r="S168" s="593">
        <f t="shared" si="149"/>
        <v>0</v>
      </c>
      <c r="T168" s="60"/>
      <c r="U168" s="60"/>
      <c r="V168" s="593">
        <f t="shared" si="150"/>
        <v>0</v>
      </c>
      <c r="W168" s="391">
        <f t="shared" si="151"/>
        <v>0</v>
      </c>
      <c r="X168" s="17">
        <f t="shared" si="152"/>
        <v>0</v>
      </c>
      <c r="Y168" s="18">
        <f t="shared" si="153"/>
        <v>0</v>
      </c>
      <c r="Z168" s="19"/>
      <c r="AA168" s="19"/>
      <c r="AB168" s="19"/>
      <c r="AC168" s="20"/>
      <c r="AE168" s="111"/>
      <c r="AF168" s="111"/>
      <c r="AG168" s="113"/>
      <c r="AH168" s="131"/>
      <c r="AI168" s="113"/>
      <c r="AK168" s="111"/>
      <c r="AL168" s="111"/>
      <c r="AM168" s="113"/>
      <c r="AN168" s="131"/>
      <c r="AO168" s="113"/>
      <c r="AQ168" s="20"/>
      <c r="AR168" s="20"/>
      <c r="AS168" s="20"/>
      <c r="AT168" s="20"/>
      <c r="AU168" s="20"/>
      <c r="AW168" s="17"/>
      <c r="AX168" s="17"/>
      <c r="AY168" s="20"/>
      <c r="AZ168" s="19"/>
      <c r="BA168" s="20"/>
    </row>
    <row r="169" spans="1:53" ht="17.100000000000001" customHeight="1" x14ac:dyDescent="0.25">
      <c r="A169" s="40"/>
      <c r="B169" s="40"/>
      <c r="C169" s="292"/>
      <c r="D169" s="144"/>
      <c r="E169" s="144"/>
      <c r="F169" s="145"/>
      <c r="G169" s="283"/>
      <c r="H169" s="119"/>
      <c r="I169" s="236"/>
      <c r="J169" s="64"/>
      <c r="K169" s="64"/>
      <c r="L169" s="81"/>
      <c r="M169" s="81"/>
      <c r="N169" s="81">
        <f>SUM(N154:N163)</f>
        <v>10</v>
      </c>
      <c r="O169" s="81">
        <f t="shared" ref="O169:Y169" si="154">SUM(O154:O163)</f>
        <v>19</v>
      </c>
      <c r="P169" s="81">
        <f t="shared" si="154"/>
        <v>29</v>
      </c>
      <c r="Q169" s="81">
        <f t="shared" si="154"/>
        <v>0</v>
      </c>
      <c r="R169" s="81">
        <f t="shared" si="154"/>
        <v>0</v>
      </c>
      <c r="S169" s="81">
        <f t="shared" si="154"/>
        <v>0</v>
      </c>
      <c r="T169" s="81">
        <f t="shared" si="154"/>
        <v>0</v>
      </c>
      <c r="U169" s="81">
        <f t="shared" si="154"/>
        <v>0</v>
      </c>
      <c r="V169" s="81">
        <f t="shared" si="154"/>
        <v>0</v>
      </c>
      <c r="W169" s="82">
        <f t="shared" si="154"/>
        <v>10</v>
      </c>
      <c r="X169" s="82">
        <f t="shared" si="154"/>
        <v>19</v>
      </c>
      <c r="Y169" s="82">
        <f t="shared" si="154"/>
        <v>29</v>
      </c>
      <c r="Z169" s="205">
        <f>IF(Y$169=0,0,Y169/Y$169)</f>
        <v>1</v>
      </c>
      <c r="AA169" s="205"/>
      <c r="AB169" s="205"/>
      <c r="AC169" s="83"/>
      <c r="AE169" s="81"/>
      <c r="AF169" s="81"/>
      <c r="AG169" s="82"/>
      <c r="AH169" s="82"/>
      <c r="AI169" s="66"/>
      <c r="AK169" s="81"/>
      <c r="AL169" s="81"/>
      <c r="AM169" s="82"/>
      <c r="AN169" s="82"/>
      <c r="AO169" s="66"/>
      <c r="AQ169" s="81"/>
      <c r="AR169" s="81"/>
      <c r="AS169" s="82"/>
      <c r="AT169" s="82">
        <f>SUM(AT154:AT163)</f>
        <v>10</v>
      </c>
      <c r="AU169" s="66">
        <f t="shared" ref="AU169" si="155">IF(AT$169=0,0,AT169/AT$169)</f>
        <v>1</v>
      </c>
      <c r="AW169" s="81"/>
      <c r="AX169" s="81"/>
      <c r="AY169" s="82"/>
      <c r="AZ169" s="82">
        <f>SUM(AZ154:AZ163)</f>
        <v>19</v>
      </c>
      <c r="BA169" s="66">
        <f t="shared" ref="BA169" si="156">IF(AZ$169=0,0,AZ169/AZ$169)</f>
        <v>1</v>
      </c>
    </row>
    <row r="170" spans="1:53" s="117" customFormat="1" ht="17.100000000000001" customHeight="1" x14ac:dyDescent="0.25">
      <c r="A170" s="119"/>
      <c r="B170" s="119"/>
      <c r="C170" s="420"/>
      <c r="D170" s="261"/>
      <c r="E170" s="261"/>
      <c r="F170" s="68"/>
      <c r="G170" s="210"/>
      <c r="H170" s="119"/>
      <c r="I170" s="236"/>
      <c r="J170" s="198"/>
      <c r="K170" s="198"/>
      <c r="L170" s="17"/>
      <c r="M170" s="17"/>
      <c r="N170" s="17"/>
      <c r="O170" s="17"/>
      <c r="P170" s="17"/>
      <c r="Q170" s="17"/>
      <c r="R170" s="17"/>
      <c r="S170" s="17"/>
      <c r="T170" s="17"/>
      <c r="U170" s="17"/>
      <c r="V170" s="17"/>
      <c r="W170" s="646"/>
      <c r="X170" s="646"/>
      <c r="Y170" s="646"/>
      <c r="Z170" s="201"/>
      <c r="AA170" s="201"/>
      <c r="AB170" s="201"/>
      <c r="AC170" s="84"/>
      <c r="AE170" s="17"/>
      <c r="AF170" s="17"/>
      <c r="AG170" s="646"/>
      <c r="AH170" s="646"/>
      <c r="AI170" s="91"/>
      <c r="AK170" s="17"/>
      <c r="AL170" s="17"/>
      <c r="AM170" s="646"/>
      <c r="AN170" s="646"/>
      <c r="AO170" s="91"/>
      <c r="AQ170" s="17"/>
      <c r="AR170" s="17"/>
      <c r="AS170" s="646"/>
      <c r="AT170" s="646"/>
      <c r="AU170" s="91"/>
      <c r="AW170" s="17"/>
      <c r="AX170" s="17"/>
      <c r="AY170" s="646"/>
      <c r="AZ170" s="17"/>
      <c r="BA170" s="91"/>
    </row>
    <row r="171" spans="1:53" ht="17.100000000000001" customHeight="1" x14ac:dyDescent="0.25">
      <c r="A171" s="40"/>
      <c r="B171" s="41" t="s">
        <v>116</v>
      </c>
      <c r="C171" s="42" t="s">
        <v>12</v>
      </c>
      <c r="D171" s="43"/>
      <c r="E171" s="43"/>
      <c r="F171" s="43"/>
      <c r="G171" s="44"/>
      <c r="H171" s="23"/>
      <c r="I171" s="229"/>
      <c r="J171" s="71"/>
      <c r="K171" s="71"/>
      <c r="L171" s="71"/>
      <c r="M171" s="71"/>
      <c r="N171" s="71"/>
      <c r="O171" s="71"/>
      <c r="P171" s="71"/>
      <c r="Q171" s="71"/>
      <c r="R171" s="71"/>
      <c r="S171" s="71"/>
      <c r="T171" s="71"/>
      <c r="U171" s="71"/>
      <c r="V171" s="71"/>
      <c r="W171" s="71"/>
      <c r="X171" s="71"/>
      <c r="Y171" s="71"/>
      <c r="Z171" s="73"/>
      <c r="AA171" s="73"/>
      <c r="AB171" s="73"/>
      <c r="AC171" s="73"/>
      <c r="AE171" s="71"/>
      <c r="AF171" s="71"/>
      <c r="AG171" s="73"/>
      <c r="AH171" s="73"/>
      <c r="AI171" s="73"/>
      <c r="AK171" s="71"/>
      <c r="AL171" s="71"/>
      <c r="AM171" s="73"/>
      <c r="AN171" s="73"/>
      <c r="AO171" s="73"/>
      <c r="AQ171" s="71"/>
      <c r="AR171" s="71"/>
      <c r="AS171" s="73"/>
      <c r="AT171" s="73"/>
      <c r="AU171" s="73"/>
      <c r="AW171" s="71"/>
      <c r="AX171" s="71"/>
      <c r="AY171" s="73"/>
      <c r="AZ171" s="73"/>
      <c r="BA171" s="73"/>
    </row>
    <row r="172" spans="1:53" s="97" customFormat="1" ht="17.100000000000001" customHeight="1" x14ac:dyDescent="0.25">
      <c r="A172" s="68"/>
      <c r="B172" s="68"/>
      <c r="C172" s="92"/>
      <c r="D172" s="93"/>
      <c r="E172" s="93"/>
      <c r="F172" s="93"/>
      <c r="G172" s="93"/>
      <c r="H172" s="12"/>
      <c r="I172" s="12"/>
    </row>
    <row r="173" spans="1:53" s="32" customFormat="1" ht="16.5" thickBot="1" x14ac:dyDescent="0.3">
      <c r="A173" s="24" t="s">
        <v>150</v>
      </c>
      <c r="B173" s="25" t="s">
        <v>589</v>
      </c>
      <c r="C173" s="26"/>
      <c r="D173" s="27"/>
      <c r="E173" s="27"/>
      <c r="F173" s="27"/>
      <c r="G173" s="27"/>
      <c r="H173" s="310"/>
      <c r="I173" s="14"/>
      <c r="J173" s="140"/>
      <c r="K173" s="140"/>
      <c r="L173" s="140"/>
      <c r="M173" s="140"/>
      <c r="N173" s="140"/>
      <c r="O173" s="140"/>
      <c r="P173" s="140"/>
      <c r="Q173" s="140"/>
      <c r="R173" s="140"/>
      <c r="S173" s="140"/>
      <c r="T173" s="140"/>
      <c r="U173" s="140"/>
      <c r="V173" s="140"/>
      <c r="W173" s="140"/>
      <c r="X173" s="140"/>
      <c r="Y173" s="140"/>
      <c r="Z173" s="31" t="s">
        <v>5</v>
      </c>
      <c r="AA173" s="31"/>
      <c r="AB173" s="31"/>
      <c r="AC173" s="24"/>
      <c r="AE173" s="33" t="s">
        <v>181</v>
      </c>
      <c r="AF173" s="33" t="s">
        <v>182</v>
      </c>
      <c r="AG173" s="33" t="s">
        <v>6</v>
      </c>
      <c r="AH173" s="33" t="s">
        <v>4</v>
      </c>
      <c r="AI173" s="34" t="s">
        <v>5</v>
      </c>
      <c r="AJ173" s="35"/>
      <c r="AK173" s="36" t="s">
        <v>181</v>
      </c>
      <c r="AL173" s="36" t="s">
        <v>182</v>
      </c>
      <c r="AM173" s="36" t="s">
        <v>6</v>
      </c>
      <c r="AN173" s="36" t="s">
        <v>4</v>
      </c>
      <c r="AO173" s="37" t="s">
        <v>5</v>
      </c>
      <c r="AQ173" s="398" t="s">
        <v>181</v>
      </c>
      <c r="AR173" s="398" t="s">
        <v>182</v>
      </c>
      <c r="AS173" s="398" t="s">
        <v>6</v>
      </c>
      <c r="AT173" s="398" t="s">
        <v>4</v>
      </c>
      <c r="AU173" s="399" t="s">
        <v>5</v>
      </c>
      <c r="AW173" s="38" t="s">
        <v>181</v>
      </c>
      <c r="AX173" s="38" t="s">
        <v>182</v>
      </c>
      <c r="AY173" s="38" t="s">
        <v>6</v>
      </c>
      <c r="AZ173" s="38" t="s">
        <v>4</v>
      </c>
      <c r="BA173" s="39" t="s">
        <v>5</v>
      </c>
    </row>
    <row r="174" spans="1:53" ht="17.100000000000001" customHeight="1" x14ac:dyDescent="0.25">
      <c r="A174" s="40"/>
      <c r="B174" s="41" t="s">
        <v>152</v>
      </c>
      <c r="C174" s="274" t="s">
        <v>615</v>
      </c>
      <c r="D174" s="43"/>
      <c r="E174" s="43"/>
      <c r="F174" s="43"/>
      <c r="G174" s="43"/>
      <c r="H174" s="321"/>
      <c r="I174" s="12"/>
      <c r="J174" s="73"/>
      <c r="K174" s="73"/>
      <c r="L174" s="73"/>
      <c r="M174" s="73"/>
      <c r="N174" s="73"/>
      <c r="O174" s="73"/>
      <c r="P174" s="73"/>
      <c r="Q174" s="73"/>
      <c r="R174" s="73"/>
      <c r="S174" s="73"/>
      <c r="T174" s="73"/>
      <c r="U174" s="73"/>
      <c r="V174" s="73"/>
      <c r="W174" s="73"/>
      <c r="X174" s="73"/>
      <c r="Y174" s="73"/>
      <c r="Z174" s="73"/>
      <c r="AA174" s="73"/>
      <c r="AB174" s="73"/>
      <c r="AC174" s="73"/>
      <c r="AE174" s="73"/>
      <c r="AF174" s="73"/>
      <c r="AG174" s="73"/>
      <c r="AH174" s="73"/>
      <c r="AI174" s="73"/>
      <c r="AK174" s="73"/>
      <c r="AL174" s="73"/>
      <c r="AM174" s="73"/>
      <c r="AN174" s="73"/>
      <c r="AO174" s="73"/>
      <c r="AQ174" s="71"/>
      <c r="AR174" s="71"/>
      <c r="AS174" s="71"/>
      <c r="AT174" s="72"/>
      <c r="AU174" s="73"/>
      <c r="AW174" s="73"/>
      <c r="AX174" s="73"/>
      <c r="AY174" s="73"/>
      <c r="AZ174" s="73"/>
      <c r="BA174" s="73"/>
    </row>
    <row r="175" spans="1:53" s="4" customFormat="1" ht="17.100000000000001" customHeight="1" x14ac:dyDescent="0.25">
      <c r="A175" s="102"/>
      <c r="B175" s="102"/>
      <c r="C175" s="74" t="s">
        <v>153</v>
      </c>
      <c r="D175" s="85" t="s">
        <v>590</v>
      </c>
      <c r="E175" s="75"/>
      <c r="F175" s="75"/>
      <c r="G175" s="106"/>
      <c r="H175" s="647"/>
      <c r="I175" s="231"/>
      <c r="J175" s="174"/>
      <c r="K175" s="174"/>
      <c r="L175" s="111"/>
      <c r="M175" s="111"/>
      <c r="N175" s="60"/>
      <c r="O175" s="60"/>
      <c r="P175" s="17">
        <f t="shared" ref="P175:P187" si="157">SUM(N175:O175)</f>
        <v>0</v>
      </c>
      <c r="Q175" s="60"/>
      <c r="R175" s="60"/>
      <c r="S175" s="17">
        <f t="shared" ref="S175:S187" si="158">SUM(Q175:R175)</f>
        <v>0</v>
      </c>
      <c r="T175" s="60"/>
      <c r="U175" s="60"/>
      <c r="V175" s="17">
        <f t="shared" ref="V175:V181" si="159">SUM(T175:U175)</f>
        <v>0</v>
      </c>
      <c r="W175" s="391">
        <f t="shared" ref="W175:W181" si="160">J175+K175+N175+Q175+T175</f>
        <v>0</v>
      </c>
      <c r="X175" s="17">
        <f t="shared" ref="X175:X181" si="161">L175+O175+R175+U175</f>
        <v>0</v>
      </c>
      <c r="Y175" s="18">
        <f t="shared" ref="Y175:Y181" si="162">SUM(W175:X175)</f>
        <v>0</v>
      </c>
      <c r="Z175" s="19">
        <f t="shared" ref="Z175:Z181" si="163">IF(Y$188=0,0,Y175/Y$188)</f>
        <v>0</v>
      </c>
      <c r="AA175" s="19"/>
      <c r="AB175" s="19"/>
      <c r="AC175" s="20"/>
      <c r="AE175" s="111"/>
      <c r="AF175" s="111"/>
      <c r="AG175" s="111"/>
      <c r="AH175" s="651"/>
      <c r="AI175" s="131"/>
      <c r="AJ175" s="3"/>
      <c r="AK175" s="111"/>
      <c r="AL175" s="111"/>
      <c r="AM175" s="111"/>
      <c r="AN175" s="651"/>
      <c r="AO175" s="131"/>
      <c r="AP175" s="3"/>
      <c r="AQ175" s="20"/>
      <c r="AR175" s="20"/>
      <c r="AS175" s="20"/>
      <c r="AT175" s="17">
        <f t="shared" ref="AT175:AT181" si="164">W175</f>
        <v>0</v>
      </c>
      <c r="AU175" s="19">
        <f>IF(AT$169=0,0,AT175/AT$169)</f>
        <v>0</v>
      </c>
      <c r="AV175" s="3"/>
      <c r="AW175" s="17"/>
      <c r="AX175" s="17"/>
      <c r="AY175" s="17"/>
      <c r="AZ175" s="424">
        <f>X175</f>
        <v>0</v>
      </c>
      <c r="BA175" s="19">
        <f>IF(AZ$169=0,0,AZ175/AZ$169)</f>
        <v>0</v>
      </c>
    </row>
    <row r="176" spans="1:53" s="4" customFormat="1" ht="17.100000000000001" customHeight="1" x14ac:dyDescent="0.25">
      <c r="A176" s="102"/>
      <c r="B176" s="102"/>
      <c r="C176" s="74" t="s">
        <v>154</v>
      </c>
      <c r="D176" s="85" t="s">
        <v>591</v>
      </c>
      <c r="E176" s="75"/>
      <c r="F176" s="75"/>
      <c r="G176" s="106"/>
      <c r="H176" s="647"/>
      <c r="I176" s="231"/>
      <c r="J176" s="174"/>
      <c r="K176" s="174"/>
      <c r="L176" s="111"/>
      <c r="M176" s="111"/>
      <c r="N176" s="61"/>
      <c r="O176" s="61"/>
      <c r="P176" s="17">
        <f t="shared" si="157"/>
        <v>0</v>
      </c>
      <c r="Q176" s="61"/>
      <c r="R176" s="61"/>
      <c r="S176" s="17">
        <f t="shared" si="158"/>
        <v>0</v>
      </c>
      <c r="T176" s="61"/>
      <c r="U176" s="61"/>
      <c r="V176" s="17">
        <f t="shared" si="159"/>
        <v>0</v>
      </c>
      <c r="W176" s="391">
        <f t="shared" si="160"/>
        <v>0</v>
      </c>
      <c r="X176" s="17">
        <f t="shared" si="161"/>
        <v>0</v>
      </c>
      <c r="Y176" s="18">
        <f t="shared" si="162"/>
        <v>0</v>
      </c>
      <c r="Z176" s="19">
        <f t="shared" si="163"/>
        <v>0</v>
      </c>
      <c r="AA176" s="19"/>
      <c r="AB176" s="19"/>
      <c r="AC176" s="20"/>
      <c r="AE176" s="111"/>
      <c r="AF176" s="111"/>
      <c r="AG176" s="111"/>
      <c r="AH176" s="651"/>
      <c r="AI176" s="131"/>
      <c r="AJ176" s="3"/>
      <c r="AK176" s="111"/>
      <c r="AL176" s="111"/>
      <c r="AM176" s="111"/>
      <c r="AN176" s="651"/>
      <c r="AO176" s="131"/>
      <c r="AP176" s="3"/>
      <c r="AQ176" s="20"/>
      <c r="AR176" s="20"/>
      <c r="AS176" s="20"/>
      <c r="AT176" s="17">
        <f t="shared" si="164"/>
        <v>0</v>
      </c>
      <c r="AU176" s="19">
        <f t="shared" ref="AU176:AU181" si="165">IF(AT$188=0,0,AT176/AT$188)</f>
        <v>0</v>
      </c>
      <c r="AV176" s="3"/>
      <c r="AW176" s="17"/>
      <c r="AX176" s="17"/>
      <c r="AY176" s="17"/>
      <c r="AZ176" s="424">
        <f t="shared" ref="AZ176:AZ181" si="166">Y176</f>
        <v>0</v>
      </c>
      <c r="BA176" s="19">
        <f t="shared" ref="BA176:BA181" si="167">IF(AZ$188=0,0,AZ176/AZ$188)</f>
        <v>0</v>
      </c>
    </row>
    <row r="177" spans="1:53" s="4" customFormat="1" ht="17.100000000000001" customHeight="1" x14ac:dyDescent="0.25">
      <c r="A177" s="102"/>
      <c r="B177" s="102"/>
      <c r="C177" s="74" t="s">
        <v>155</v>
      </c>
      <c r="D177" s="85" t="s">
        <v>592</v>
      </c>
      <c r="E177" s="75"/>
      <c r="F177" s="75"/>
      <c r="G177" s="105"/>
      <c r="H177" s="119"/>
      <c r="I177" s="231"/>
      <c r="J177" s="174"/>
      <c r="K177" s="174"/>
      <c r="L177" s="111"/>
      <c r="M177" s="111"/>
      <c r="N177" s="60">
        <v>4</v>
      </c>
      <c r="O177" s="60">
        <v>7</v>
      </c>
      <c r="P177" s="17">
        <f t="shared" si="157"/>
        <v>11</v>
      </c>
      <c r="Q177" s="60"/>
      <c r="R177" s="60"/>
      <c r="S177" s="17">
        <f t="shared" si="158"/>
        <v>0</v>
      </c>
      <c r="T177" s="60"/>
      <c r="U177" s="60"/>
      <c r="V177" s="17">
        <f t="shared" si="159"/>
        <v>0</v>
      </c>
      <c r="W177" s="391">
        <f t="shared" si="160"/>
        <v>4</v>
      </c>
      <c r="X177" s="17">
        <f t="shared" si="161"/>
        <v>7</v>
      </c>
      <c r="Y177" s="18">
        <f t="shared" si="162"/>
        <v>11</v>
      </c>
      <c r="Z177" s="19">
        <f t="shared" si="163"/>
        <v>1</v>
      </c>
      <c r="AA177" s="19"/>
      <c r="AB177" s="19"/>
      <c r="AC177" s="20"/>
      <c r="AE177" s="111"/>
      <c r="AF177" s="111"/>
      <c r="AG177" s="111"/>
      <c r="AH177" s="651"/>
      <c r="AI177" s="131"/>
      <c r="AJ177" s="3"/>
      <c r="AK177" s="111"/>
      <c r="AL177" s="111"/>
      <c r="AM177" s="111"/>
      <c r="AN177" s="651"/>
      <c r="AO177" s="131"/>
      <c r="AP177" s="3"/>
      <c r="AQ177" s="20"/>
      <c r="AR177" s="20"/>
      <c r="AS177" s="20"/>
      <c r="AT177" s="17">
        <f t="shared" si="164"/>
        <v>4</v>
      </c>
      <c r="AU177" s="19">
        <f t="shared" si="165"/>
        <v>1</v>
      </c>
      <c r="AV177" s="3"/>
      <c r="AW177" s="17"/>
      <c r="AX177" s="17"/>
      <c r="AY177" s="17"/>
      <c r="AZ177" s="424">
        <f t="shared" si="166"/>
        <v>11</v>
      </c>
      <c r="BA177" s="19">
        <f t="shared" si="167"/>
        <v>1</v>
      </c>
    </row>
    <row r="178" spans="1:53" s="4" customFormat="1" ht="17.100000000000001" customHeight="1" x14ac:dyDescent="0.25">
      <c r="A178" s="102"/>
      <c r="B178" s="102"/>
      <c r="C178" s="74" t="s">
        <v>156</v>
      </c>
      <c r="D178" s="85" t="s">
        <v>593</v>
      </c>
      <c r="E178" s="75"/>
      <c r="F178" s="75"/>
      <c r="G178" s="105"/>
      <c r="H178" s="84"/>
      <c r="I178" s="231"/>
      <c r="J178" s="174"/>
      <c r="K178" s="174"/>
      <c r="L178" s="111"/>
      <c r="M178" s="111"/>
      <c r="N178" s="61"/>
      <c r="O178" s="61"/>
      <c r="P178" s="17">
        <f t="shared" si="157"/>
        <v>0</v>
      </c>
      <c r="Q178" s="61"/>
      <c r="R178" s="61"/>
      <c r="S178" s="17">
        <f t="shared" si="158"/>
        <v>0</v>
      </c>
      <c r="T178" s="61"/>
      <c r="U178" s="61"/>
      <c r="V178" s="17">
        <f t="shared" si="159"/>
        <v>0</v>
      </c>
      <c r="W178" s="391">
        <f t="shared" si="160"/>
        <v>0</v>
      </c>
      <c r="X178" s="17">
        <f t="shared" si="161"/>
        <v>0</v>
      </c>
      <c r="Y178" s="18">
        <f t="shared" si="162"/>
        <v>0</v>
      </c>
      <c r="Z178" s="19">
        <f t="shared" si="163"/>
        <v>0</v>
      </c>
      <c r="AA178" s="19"/>
      <c r="AB178" s="19"/>
      <c r="AC178" s="20"/>
      <c r="AE178" s="111"/>
      <c r="AF178" s="111"/>
      <c r="AG178" s="111"/>
      <c r="AH178" s="651"/>
      <c r="AI178" s="131"/>
      <c r="AJ178" s="3"/>
      <c r="AK178" s="111"/>
      <c r="AL178" s="111"/>
      <c r="AM178" s="111"/>
      <c r="AN178" s="651"/>
      <c r="AO178" s="131"/>
      <c r="AP178" s="3"/>
      <c r="AQ178" s="20"/>
      <c r="AR178" s="20"/>
      <c r="AS178" s="20"/>
      <c r="AT178" s="17">
        <f t="shared" si="164"/>
        <v>0</v>
      </c>
      <c r="AU178" s="19">
        <f t="shared" si="165"/>
        <v>0</v>
      </c>
      <c r="AV178" s="3"/>
      <c r="AW178" s="17"/>
      <c r="AX178" s="17"/>
      <c r="AY178" s="17"/>
      <c r="AZ178" s="424">
        <f t="shared" si="166"/>
        <v>0</v>
      </c>
      <c r="BA178" s="19">
        <f t="shared" si="167"/>
        <v>0</v>
      </c>
    </row>
    <row r="179" spans="1:53" s="4" customFormat="1" ht="17.100000000000001" customHeight="1" x14ac:dyDescent="0.25">
      <c r="A179" s="102"/>
      <c r="B179" s="102"/>
      <c r="C179" s="74" t="s">
        <v>157</v>
      </c>
      <c r="D179" s="85" t="s">
        <v>594</v>
      </c>
      <c r="E179" s="75"/>
      <c r="F179" s="75"/>
      <c r="G179" s="105"/>
      <c r="H179" s="84"/>
      <c r="I179" s="231"/>
      <c r="J179" s="174"/>
      <c r="K179" s="174"/>
      <c r="L179" s="111"/>
      <c r="M179" s="111"/>
      <c r="N179" s="60"/>
      <c r="O179" s="60"/>
      <c r="P179" s="17">
        <f t="shared" si="157"/>
        <v>0</v>
      </c>
      <c r="Q179" s="60"/>
      <c r="R179" s="60"/>
      <c r="S179" s="17">
        <f t="shared" si="158"/>
        <v>0</v>
      </c>
      <c r="T179" s="60"/>
      <c r="U179" s="60"/>
      <c r="V179" s="17">
        <f t="shared" si="159"/>
        <v>0</v>
      </c>
      <c r="W179" s="391">
        <f t="shared" si="160"/>
        <v>0</v>
      </c>
      <c r="X179" s="17">
        <f t="shared" si="161"/>
        <v>0</v>
      </c>
      <c r="Y179" s="18">
        <f t="shared" si="162"/>
        <v>0</v>
      </c>
      <c r="Z179" s="19">
        <f t="shared" si="163"/>
        <v>0</v>
      </c>
      <c r="AA179" s="19"/>
      <c r="AB179" s="19"/>
      <c r="AC179" s="20"/>
      <c r="AE179" s="111"/>
      <c r="AF179" s="111"/>
      <c r="AG179" s="111"/>
      <c r="AH179" s="651"/>
      <c r="AI179" s="131"/>
      <c r="AJ179" s="3"/>
      <c r="AK179" s="111"/>
      <c r="AL179" s="111"/>
      <c r="AM179" s="111"/>
      <c r="AN179" s="651"/>
      <c r="AO179" s="131"/>
      <c r="AP179" s="3"/>
      <c r="AQ179" s="20"/>
      <c r="AR179" s="20"/>
      <c r="AS179" s="20"/>
      <c r="AT179" s="17">
        <f t="shared" si="164"/>
        <v>0</v>
      </c>
      <c r="AU179" s="19">
        <f t="shared" si="165"/>
        <v>0</v>
      </c>
      <c r="AV179" s="3"/>
      <c r="AW179" s="17"/>
      <c r="AX179" s="17"/>
      <c r="AY179" s="17"/>
      <c r="AZ179" s="424">
        <f t="shared" si="166"/>
        <v>0</v>
      </c>
      <c r="BA179" s="19">
        <f t="shared" si="167"/>
        <v>0</v>
      </c>
    </row>
    <row r="180" spans="1:53" s="4" customFormat="1" ht="17.100000000000001" customHeight="1" x14ac:dyDescent="0.25">
      <c r="A180" s="102"/>
      <c r="B180" s="102"/>
      <c r="C180" s="74" t="s">
        <v>158</v>
      </c>
      <c r="D180" s="85" t="s">
        <v>595</v>
      </c>
      <c r="E180" s="75"/>
      <c r="F180" s="75"/>
      <c r="G180" s="105"/>
      <c r="H180" s="84"/>
      <c r="I180" s="231"/>
      <c r="J180" s="174"/>
      <c r="K180" s="174"/>
      <c r="L180" s="111"/>
      <c r="M180" s="111"/>
      <c r="N180" s="61"/>
      <c r="O180" s="61"/>
      <c r="P180" s="17">
        <f t="shared" si="157"/>
        <v>0</v>
      </c>
      <c r="Q180" s="61"/>
      <c r="R180" s="61"/>
      <c r="S180" s="17">
        <f t="shared" si="158"/>
        <v>0</v>
      </c>
      <c r="T180" s="61"/>
      <c r="U180" s="61"/>
      <c r="V180" s="17">
        <f t="shared" si="159"/>
        <v>0</v>
      </c>
      <c r="W180" s="391">
        <f t="shared" si="160"/>
        <v>0</v>
      </c>
      <c r="X180" s="17">
        <f t="shared" si="161"/>
        <v>0</v>
      </c>
      <c r="Y180" s="18">
        <f t="shared" si="162"/>
        <v>0</v>
      </c>
      <c r="Z180" s="19">
        <f t="shared" si="163"/>
        <v>0</v>
      </c>
      <c r="AA180" s="19"/>
      <c r="AB180" s="19"/>
      <c r="AC180" s="20"/>
      <c r="AE180" s="111"/>
      <c r="AF180" s="111"/>
      <c r="AG180" s="111"/>
      <c r="AH180" s="651"/>
      <c r="AI180" s="131"/>
      <c r="AJ180" s="3"/>
      <c r="AK180" s="111"/>
      <c r="AL180" s="111"/>
      <c r="AM180" s="111"/>
      <c r="AN180" s="651"/>
      <c r="AO180" s="131"/>
      <c r="AP180" s="3"/>
      <c r="AQ180" s="20"/>
      <c r="AR180" s="20"/>
      <c r="AS180" s="20"/>
      <c r="AT180" s="17">
        <f t="shared" si="164"/>
        <v>0</v>
      </c>
      <c r="AU180" s="19">
        <f t="shared" si="165"/>
        <v>0</v>
      </c>
      <c r="AV180" s="3"/>
      <c r="AW180" s="17"/>
      <c r="AX180" s="17"/>
      <c r="AY180" s="17"/>
      <c r="AZ180" s="424">
        <f t="shared" si="166"/>
        <v>0</v>
      </c>
      <c r="BA180" s="19">
        <f t="shared" si="167"/>
        <v>0</v>
      </c>
    </row>
    <row r="181" spans="1:53" s="4" customFormat="1" ht="17.100000000000001" customHeight="1" x14ac:dyDescent="0.25">
      <c r="A181" s="102"/>
      <c r="B181" s="102"/>
      <c r="C181" s="74" t="s">
        <v>159</v>
      </c>
      <c r="D181" s="85" t="s">
        <v>596</v>
      </c>
      <c r="E181" s="75"/>
      <c r="F181" s="649"/>
      <c r="G181" s="246"/>
      <c r="H181" s="84"/>
      <c r="I181" s="97"/>
      <c r="J181" s="111"/>
      <c r="K181" s="111"/>
      <c r="L181" s="111"/>
      <c r="M181" s="111"/>
      <c r="N181" s="111">
        <f t="shared" ref="N181:U181" si="168">SUM(N182:N185)</f>
        <v>0</v>
      </c>
      <c r="O181" s="111">
        <f t="shared" si="168"/>
        <v>0</v>
      </c>
      <c r="P181" s="17">
        <f t="shared" si="157"/>
        <v>0</v>
      </c>
      <c r="Q181" s="111">
        <f t="shared" si="168"/>
        <v>0</v>
      </c>
      <c r="R181" s="111">
        <f t="shared" si="168"/>
        <v>0</v>
      </c>
      <c r="S181" s="17">
        <f t="shared" si="158"/>
        <v>0</v>
      </c>
      <c r="T181" s="111">
        <f t="shared" si="168"/>
        <v>0</v>
      </c>
      <c r="U181" s="111">
        <f t="shared" si="168"/>
        <v>0</v>
      </c>
      <c r="V181" s="17">
        <f t="shared" si="159"/>
        <v>0</v>
      </c>
      <c r="W181" s="380">
        <f t="shared" si="160"/>
        <v>0</v>
      </c>
      <c r="X181" s="111">
        <f t="shared" si="161"/>
        <v>0</v>
      </c>
      <c r="Y181" s="651">
        <f t="shared" si="162"/>
        <v>0</v>
      </c>
      <c r="Z181" s="131">
        <f t="shared" si="163"/>
        <v>0</v>
      </c>
      <c r="AA181" s="131"/>
      <c r="AB181" s="131"/>
      <c r="AC181" s="113"/>
      <c r="AE181" s="111"/>
      <c r="AF181" s="111"/>
      <c r="AG181" s="111"/>
      <c r="AH181" s="651"/>
      <c r="AI181" s="131"/>
      <c r="AJ181" s="3"/>
      <c r="AK181" s="111"/>
      <c r="AL181" s="111"/>
      <c r="AM181" s="111"/>
      <c r="AN181" s="651"/>
      <c r="AO181" s="131"/>
      <c r="AP181" s="3"/>
      <c r="AQ181" s="111"/>
      <c r="AR181" s="111"/>
      <c r="AS181" s="111"/>
      <c r="AT181" s="111">
        <f t="shared" si="164"/>
        <v>0</v>
      </c>
      <c r="AU181" s="131">
        <f t="shared" si="165"/>
        <v>0</v>
      </c>
      <c r="AV181" s="3"/>
      <c r="AW181" s="111"/>
      <c r="AX181" s="111"/>
      <c r="AY181" s="111"/>
      <c r="AZ181" s="111">
        <f t="shared" si="166"/>
        <v>0</v>
      </c>
      <c r="BA181" s="131">
        <f t="shared" si="167"/>
        <v>0</v>
      </c>
    </row>
    <row r="182" spans="1:53" s="4" customFormat="1" ht="17.100000000000001" customHeight="1" x14ac:dyDescent="0.25">
      <c r="A182" s="102"/>
      <c r="B182" s="102"/>
      <c r="C182" s="74"/>
      <c r="D182" s="294"/>
      <c r="E182" s="295"/>
      <c r="F182" s="295"/>
      <c r="G182" s="295"/>
      <c r="H182" s="198"/>
      <c r="I182" s="642"/>
      <c r="J182" s="174"/>
      <c r="K182" s="174"/>
      <c r="L182" s="111"/>
      <c r="M182" s="111"/>
      <c r="N182" s="60"/>
      <c r="O182" s="60"/>
      <c r="P182" s="17">
        <f t="shared" si="157"/>
        <v>0</v>
      </c>
      <c r="Q182" s="60"/>
      <c r="R182" s="60"/>
      <c r="S182" s="17">
        <f t="shared" si="158"/>
        <v>0</v>
      </c>
      <c r="T182" s="60"/>
      <c r="U182" s="60"/>
      <c r="V182" s="17">
        <f t="shared" ref="V182:V185" si="169">SUM(T182:U182)</f>
        <v>0</v>
      </c>
      <c r="W182" s="391">
        <f t="shared" ref="W182:W185" si="170">J182+K182+N182+Q182+T182</f>
        <v>0</v>
      </c>
      <c r="X182" s="17">
        <f t="shared" ref="X182:X185" si="171">L182+O182+R182+U182</f>
        <v>0</v>
      </c>
      <c r="Y182" s="18">
        <f t="shared" ref="Y182:Y185" si="172">SUM(W182:X182)</f>
        <v>0</v>
      </c>
      <c r="Z182" s="20"/>
      <c r="AA182" s="20"/>
      <c r="AB182" s="20"/>
      <c r="AC182" s="20"/>
      <c r="AE182" s="111"/>
      <c r="AF182" s="111"/>
      <c r="AG182" s="113"/>
      <c r="AH182" s="113"/>
      <c r="AI182" s="131"/>
      <c r="AK182" s="111"/>
      <c r="AL182" s="111"/>
      <c r="AM182" s="113"/>
      <c r="AN182" s="113"/>
      <c r="AO182" s="131"/>
      <c r="AQ182" s="17"/>
      <c r="AR182" s="17"/>
      <c r="AS182" s="20"/>
      <c r="AT182" s="20"/>
      <c r="AU182" s="19"/>
      <c r="AW182" s="17"/>
      <c r="AX182" s="17"/>
      <c r="AY182" s="20"/>
      <c r="AZ182" s="20"/>
      <c r="BA182" s="19"/>
    </row>
    <row r="183" spans="1:53" s="4" customFormat="1" ht="17.100000000000001" customHeight="1" x14ac:dyDescent="0.25">
      <c r="A183" s="102"/>
      <c r="B183" s="102"/>
      <c r="C183" s="74"/>
      <c r="D183" s="296"/>
      <c r="E183" s="297"/>
      <c r="F183" s="297"/>
      <c r="G183" s="297"/>
      <c r="H183" s="198"/>
      <c r="I183" s="642"/>
      <c r="J183" s="174"/>
      <c r="K183" s="174"/>
      <c r="L183" s="111"/>
      <c r="M183" s="111"/>
      <c r="N183" s="61"/>
      <c r="O183" s="61"/>
      <c r="P183" s="17">
        <f t="shared" si="157"/>
        <v>0</v>
      </c>
      <c r="Q183" s="61"/>
      <c r="R183" s="61"/>
      <c r="S183" s="17">
        <f t="shared" si="158"/>
        <v>0</v>
      </c>
      <c r="T183" s="61"/>
      <c r="U183" s="61"/>
      <c r="V183" s="17">
        <f t="shared" si="169"/>
        <v>0</v>
      </c>
      <c r="W183" s="391">
        <f t="shared" si="170"/>
        <v>0</v>
      </c>
      <c r="X183" s="17">
        <f t="shared" si="171"/>
        <v>0</v>
      </c>
      <c r="Y183" s="18">
        <f t="shared" si="172"/>
        <v>0</v>
      </c>
      <c r="Z183" s="20"/>
      <c r="AA183" s="20"/>
      <c r="AB183" s="20"/>
      <c r="AC183" s="20"/>
      <c r="AE183" s="111"/>
      <c r="AF183" s="111"/>
      <c r="AG183" s="113"/>
      <c r="AH183" s="113"/>
      <c r="AI183" s="131"/>
      <c r="AK183" s="111"/>
      <c r="AL183" s="111"/>
      <c r="AM183" s="113"/>
      <c r="AN183" s="113"/>
      <c r="AO183" s="131"/>
      <c r="AQ183" s="17"/>
      <c r="AR183" s="17"/>
      <c r="AS183" s="20"/>
      <c r="AT183" s="20"/>
      <c r="AU183" s="19"/>
      <c r="AW183" s="17"/>
      <c r="AX183" s="17"/>
      <c r="AY183" s="20"/>
      <c r="AZ183" s="20"/>
      <c r="BA183" s="19"/>
    </row>
    <row r="184" spans="1:53" s="4" customFormat="1" ht="17.100000000000001" customHeight="1" x14ac:dyDescent="0.25">
      <c r="A184" s="102"/>
      <c r="B184" s="102"/>
      <c r="C184" s="74"/>
      <c r="D184" s="294"/>
      <c r="E184" s="295"/>
      <c r="F184" s="295"/>
      <c r="G184" s="295"/>
      <c r="H184" s="198"/>
      <c r="I184" s="642"/>
      <c r="J184" s="174"/>
      <c r="K184" s="174"/>
      <c r="L184" s="111"/>
      <c r="M184" s="111"/>
      <c r="N184" s="60"/>
      <c r="O184" s="60"/>
      <c r="P184" s="17">
        <f t="shared" si="157"/>
        <v>0</v>
      </c>
      <c r="Q184" s="60"/>
      <c r="R184" s="60"/>
      <c r="S184" s="17">
        <f t="shared" si="158"/>
        <v>0</v>
      </c>
      <c r="T184" s="60"/>
      <c r="U184" s="60"/>
      <c r="V184" s="17">
        <f t="shared" si="169"/>
        <v>0</v>
      </c>
      <c r="W184" s="391">
        <f t="shared" si="170"/>
        <v>0</v>
      </c>
      <c r="X184" s="17">
        <f t="shared" si="171"/>
        <v>0</v>
      </c>
      <c r="Y184" s="18">
        <f t="shared" si="172"/>
        <v>0</v>
      </c>
      <c r="Z184" s="20"/>
      <c r="AA184" s="20"/>
      <c r="AB184" s="20"/>
      <c r="AC184" s="20"/>
      <c r="AE184" s="111"/>
      <c r="AF184" s="111"/>
      <c r="AG184" s="113"/>
      <c r="AH184" s="113"/>
      <c r="AI184" s="131"/>
      <c r="AK184" s="111"/>
      <c r="AL184" s="111"/>
      <c r="AM184" s="113"/>
      <c r="AN184" s="113"/>
      <c r="AO184" s="131"/>
      <c r="AQ184" s="17"/>
      <c r="AR184" s="17"/>
      <c r="AS184" s="20"/>
      <c r="AT184" s="20"/>
      <c r="AU184" s="19"/>
      <c r="AW184" s="17"/>
      <c r="AX184" s="17"/>
      <c r="AY184" s="20"/>
      <c r="AZ184" s="20"/>
      <c r="BA184" s="19"/>
    </row>
    <row r="185" spans="1:53" s="4" customFormat="1" ht="17.100000000000001" customHeight="1" x14ac:dyDescent="0.25">
      <c r="A185" s="102"/>
      <c r="B185" s="102"/>
      <c r="C185" s="74"/>
      <c r="D185" s="296"/>
      <c r="E185" s="297"/>
      <c r="F185" s="297"/>
      <c r="G185" s="297"/>
      <c r="H185" s="198"/>
      <c r="I185" s="642"/>
      <c r="J185" s="174"/>
      <c r="K185" s="174"/>
      <c r="L185" s="111"/>
      <c r="M185" s="111"/>
      <c r="N185" s="61"/>
      <c r="O185" s="61"/>
      <c r="P185" s="17">
        <f t="shared" si="157"/>
        <v>0</v>
      </c>
      <c r="Q185" s="61"/>
      <c r="R185" s="61"/>
      <c r="S185" s="17">
        <f t="shared" si="158"/>
        <v>0</v>
      </c>
      <c r="T185" s="61"/>
      <c r="U185" s="61"/>
      <c r="V185" s="17">
        <f t="shared" si="169"/>
        <v>0</v>
      </c>
      <c r="W185" s="391">
        <f t="shared" si="170"/>
        <v>0</v>
      </c>
      <c r="X185" s="17">
        <f t="shared" si="171"/>
        <v>0</v>
      </c>
      <c r="Y185" s="18">
        <f t="shared" si="172"/>
        <v>0</v>
      </c>
      <c r="Z185" s="20"/>
      <c r="AA185" s="20"/>
      <c r="AB185" s="20"/>
      <c r="AC185" s="20"/>
      <c r="AE185" s="111"/>
      <c r="AF185" s="111"/>
      <c r="AG185" s="113"/>
      <c r="AH185" s="113"/>
      <c r="AI185" s="131"/>
      <c r="AK185" s="111"/>
      <c r="AL185" s="111"/>
      <c r="AM185" s="113"/>
      <c r="AN185" s="113"/>
      <c r="AO185" s="131"/>
      <c r="AQ185" s="17"/>
      <c r="AR185" s="17"/>
      <c r="AS185" s="20"/>
      <c r="AT185" s="20"/>
      <c r="AU185" s="19"/>
      <c r="AW185" s="17"/>
      <c r="AX185" s="17"/>
      <c r="AY185" s="20"/>
      <c r="AZ185" s="20"/>
      <c r="BA185" s="19"/>
    </row>
    <row r="186" spans="1:53" s="4" customFormat="1" ht="17.100000000000001" customHeight="1" x14ac:dyDescent="0.25">
      <c r="A186" s="102"/>
      <c r="B186" s="102"/>
      <c r="C186" s="74"/>
      <c r="D186" s="294"/>
      <c r="E186" s="295"/>
      <c r="F186" s="295"/>
      <c r="G186" s="295"/>
      <c r="H186" s="198"/>
      <c r="I186" s="642"/>
      <c r="J186" s="174"/>
      <c r="K186" s="174"/>
      <c r="L186" s="111"/>
      <c r="M186" s="111"/>
      <c r="N186" s="60"/>
      <c r="O186" s="60"/>
      <c r="P186" s="17">
        <f t="shared" si="157"/>
        <v>0</v>
      </c>
      <c r="Q186" s="60"/>
      <c r="R186" s="60"/>
      <c r="S186" s="17">
        <f t="shared" si="158"/>
        <v>0</v>
      </c>
      <c r="T186" s="60"/>
      <c r="U186" s="60"/>
      <c r="V186" s="17">
        <f t="shared" ref="V186:V187" si="173">SUM(T186:U186)</f>
        <v>0</v>
      </c>
      <c r="W186" s="391">
        <f t="shared" ref="W186:W187" si="174">J186+K186+N186+Q186+T186</f>
        <v>0</v>
      </c>
      <c r="X186" s="17">
        <f t="shared" ref="X186:X187" si="175">L186+O186+R186+U186</f>
        <v>0</v>
      </c>
      <c r="Y186" s="18">
        <f t="shared" ref="Y186:Y187" si="176">SUM(W186:X186)</f>
        <v>0</v>
      </c>
      <c r="Z186" s="20"/>
      <c r="AA186" s="20"/>
      <c r="AB186" s="20"/>
      <c r="AC186" s="20"/>
      <c r="AE186" s="111"/>
      <c r="AF186" s="111"/>
      <c r="AG186" s="113"/>
      <c r="AH186" s="113"/>
      <c r="AI186" s="131"/>
      <c r="AK186" s="111"/>
      <c r="AL186" s="111"/>
      <c r="AM186" s="113"/>
      <c r="AN186" s="113"/>
      <c r="AO186" s="131"/>
      <c r="AQ186" s="17"/>
      <c r="AR186" s="17"/>
      <c r="AS186" s="20"/>
      <c r="AT186" s="20"/>
      <c r="AU186" s="19"/>
      <c r="AW186" s="17"/>
      <c r="AX186" s="17"/>
      <c r="AY186" s="20"/>
      <c r="AZ186" s="20"/>
      <c r="BA186" s="19"/>
    </row>
    <row r="187" spans="1:53" s="4" customFormat="1" ht="17.100000000000001" customHeight="1" x14ac:dyDescent="0.25">
      <c r="A187" s="102"/>
      <c r="B187" s="102"/>
      <c r="C187" s="74"/>
      <c r="D187" s="1317"/>
      <c r="E187" s="297"/>
      <c r="F187" s="297"/>
      <c r="G187" s="297"/>
      <c r="H187" s="198"/>
      <c r="I187" s="642"/>
      <c r="J187" s="174"/>
      <c r="K187" s="174"/>
      <c r="L187" s="111"/>
      <c r="M187" s="111"/>
      <c r="N187" s="61"/>
      <c r="O187" s="61"/>
      <c r="P187" s="17">
        <f t="shared" si="157"/>
        <v>0</v>
      </c>
      <c r="Q187" s="61"/>
      <c r="R187" s="61"/>
      <c r="S187" s="17">
        <f t="shared" si="158"/>
        <v>0</v>
      </c>
      <c r="T187" s="61"/>
      <c r="U187" s="61"/>
      <c r="V187" s="17">
        <f t="shared" si="173"/>
        <v>0</v>
      </c>
      <c r="W187" s="391">
        <f t="shared" si="174"/>
        <v>0</v>
      </c>
      <c r="X187" s="17">
        <f t="shared" si="175"/>
        <v>0</v>
      </c>
      <c r="Y187" s="18">
        <f t="shared" si="176"/>
        <v>0</v>
      </c>
      <c r="Z187" s="20"/>
      <c r="AA187" s="20"/>
      <c r="AB187" s="20"/>
      <c r="AC187" s="20"/>
      <c r="AE187" s="111"/>
      <c r="AF187" s="111"/>
      <c r="AG187" s="113"/>
      <c r="AH187" s="113"/>
      <c r="AI187" s="131"/>
      <c r="AK187" s="111"/>
      <c r="AL187" s="111"/>
      <c r="AM187" s="113"/>
      <c r="AN187" s="113"/>
      <c r="AO187" s="131"/>
      <c r="AQ187" s="17"/>
      <c r="AR187" s="17"/>
      <c r="AS187" s="20"/>
      <c r="AT187" s="20"/>
      <c r="AU187" s="19"/>
      <c r="AW187" s="17"/>
      <c r="AX187" s="17"/>
      <c r="AY187" s="20"/>
      <c r="AZ187" s="20"/>
      <c r="BA187" s="19"/>
    </row>
    <row r="188" spans="1:53" ht="17.100000000000001" customHeight="1" x14ac:dyDescent="0.25">
      <c r="A188" s="40"/>
      <c r="B188" s="40"/>
      <c r="C188" s="292"/>
      <c r="D188" s="144"/>
      <c r="E188" s="144"/>
      <c r="F188" s="145"/>
      <c r="G188" s="145"/>
      <c r="H188" s="119"/>
      <c r="I188" s="236"/>
      <c r="J188" s="64"/>
      <c r="K188" s="64"/>
      <c r="L188" s="81"/>
      <c r="M188" s="81"/>
      <c r="N188" s="81">
        <f>SUM(N175:N181)</f>
        <v>4</v>
      </c>
      <c r="O188" s="81">
        <f t="shared" ref="O188:Y188" si="177">SUM(O175:O181)</f>
        <v>7</v>
      </c>
      <c r="P188" s="81">
        <f t="shared" si="177"/>
        <v>11</v>
      </c>
      <c r="Q188" s="81">
        <f t="shared" si="177"/>
        <v>0</v>
      </c>
      <c r="R188" s="81">
        <f t="shared" si="177"/>
        <v>0</v>
      </c>
      <c r="S188" s="81">
        <f t="shared" si="177"/>
        <v>0</v>
      </c>
      <c r="T188" s="81">
        <f t="shared" si="177"/>
        <v>0</v>
      </c>
      <c r="U188" s="81">
        <f t="shared" si="177"/>
        <v>0</v>
      </c>
      <c r="V188" s="81">
        <f t="shared" si="177"/>
        <v>0</v>
      </c>
      <c r="W188" s="82">
        <f t="shared" si="177"/>
        <v>4</v>
      </c>
      <c r="X188" s="82">
        <f t="shared" si="177"/>
        <v>7</v>
      </c>
      <c r="Y188" s="82">
        <f t="shared" si="177"/>
        <v>11</v>
      </c>
      <c r="Z188" s="66">
        <f t="shared" ref="Z188" si="178">IF(Y$188=0,0,Y188/Y$188)</f>
        <v>1</v>
      </c>
      <c r="AA188" s="205"/>
      <c r="AB188" s="205"/>
      <c r="AC188" s="83"/>
      <c r="AE188" s="81"/>
      <c r="AF188" s="81"/>
      <c r="AG188" s="82"/>
      <c r="AH188" s="82"/>
      <c r="AI188" s="66"/>
      <c r="AK188" s="81"/>
      <c r="AL188" s="81"/>
      <c r="AM188" s="82"/>
      <c r="AN188" s="82"/>
      <c r="AO188" s="66"/>
      <c r="AQ188" s="81"/>
      <c r="AR188" s="81"/>
      <c r="AS188" s="82"/>
      <c r="AT188" s="82">
        <f>SUM(AT175:AT181)</f>
        <v>4</v>
      </c>
      <c r="AU188" s="66">
        <f>IF(AT$188=0,0,AT188/AT$188)</f>
        <v>1</v>
      </c>
      <c r="AW188" s="81"/>
      <c r="AX188" s="81"/>
      <c r="AY188" s="82"/>
      <c r="AZ188" s="82">
        <f>SUM(AZ175:AZ181)</f>
        <v>11</v>
      </c>
      <c r="BA188" s="66">
        <f>IF(AZ$188=0,0,AZ188/AZ$188)</f>
        <v>1</v>
      </c>
    </row>
    <row r="189" spans="1:53" s="117" customFormat="1" ht="17.100000000000001" customHeight="1" x14ac:dyDescent="0.25">
      <c r="A189" s="119"/>
      <c r="B189" s="119"/>
      <c r="C189" s="647"/>
      <c r="D189" s="212"/>
      <c r="E189" s="212"/>
      <c r="F189" s="212"/>
      <c r="G189" s="212"/>
      <c r="H189" s="242"/>
      <c r="I189" s="230"/>
      <c r="J189" s="17"/>
      <c r="K189" s="17"/>
      <c r="L189" s="17"/>
      <c r="M189" s="17"/>
      <c r="N189" s="17" t="str">
        <f>IF(N188&gt;=N$20,"OK","NOK")</f>
        <v>OK</v>
      </c>
      <c r="O189" s="17" t="str">
        <f>IF(O188&gt;=O$20,"OK","NOK")</f>
        <v>OK</v>
      </c>
      <c r="P189" s="17"/>
      <c r="Q189" s="17" t="str">
        <f>IF(Q188&gt;=Q$20,"OK","NOK")</f>
        <v>OK</v>
      </c>
      <c r="R189" s="17" t="str">
        <f>IF(R188&gt;=R$20,"OK","NOK")</f>
        <v>OK</v>
      </c>
      <c r="S189" s="17"/>
      <c r="T189" s="17" t="str">
        <f>IF(T188&gt;=T$20,"OK","NOK")</f>
        <v>OK</v>
      </c>
      <c r="U189" s="17" t="str">
        <f>IF(U188&gt;=U$20,"OK","NOK")</f>
        <v>OK</v>
      </c>
      <c r="V189" s="359"/>
      <c r="W189" s="382"/>
      <c r="X189" s="646"/>
      <c r="Y189" s="646"/>
      <c r="Z189" s="201"/>
      <c r="AA189" s="201"/>
      <c r="AB189" s="201"/>
      <c r="AC189" s="84"/>
      <c r="AE189" s="17"/>
      <c r="AF189" s="17"/>
      <c r="AG189" s="17"/>
      <c r="AH189" s="646"/>
      <c r="AI189" s="91"/>
      <c r="AK189" s="17"/>
      <c r="AL189" s="17"/>
      <c r="AM189" s="17"/>
      <c r="AN189" s="646"/>
      <c r="AO189" s="91"/>
      <c r="AQ189" s="17"/>
      <c r="AR189" s="17"/>
      <c r="AS189" s="17"/>
      <c r="AT189" s="646"/>
      <c r="AU189" s="91"/>
      <c r="AW189" s="17"/>
      <c r="AX189" s="17"/>
      <c r="AY189" s="17"/>
      <c r="AZ189" s="17"/>
      <c r="BA189" s="91"/>
    </row>
    <row r="190" spans="1:53" ht="17.100000000000001" customHeight="1" x14ac:dyDescent="0.25">
      <c r="A190" s="40"/>
      <c r="B190" s="41" t="s">
        <v>160</v>
      </c>
      <c r="C190" s="274" t="s">
        <v>597</v>
      </c>
      <c r="D190" s="43"/>
      <c r="E190" s="43"/>
      <c r="F190" s="43"/>
      <c r="G190" s="43"/>
      <c r="H190" s="23"/>
      <c r="I190" s="12"/>
      <c r="J190" s="73"/>
      <c r="K190" s="73"/>
      <c r="L190" s="73"/>
      <c r="M190" s="73"/>
      <c r="N190" s="73"/>
      <c r="O190" s="73"/>
      <c r="P190" s="73"/>
      <c r="Q190" s="73"/>
      <c r="R190" s="73"/>
      <c r="S190" s="73"/>
      <c r="T190" s="73"/>
      <c r="U190" s="73"/>
      <c r="V190" s="73"/>
      <c r="W190" s="73"/>
      <c r="X190" s="73"/>
      <c r="Y190" s="73"/>
      <c r="Z190" s="73"/>
      <c r="AA190" s="73"/>
      <c r="AB190" s="73"/>
      <c r="AC190" s="73"/>
      <c r="AE190" s="73"/>
      <c r="AF190" s="73"/>
      <c r="AG190" s="73"/>
      <c r="AH190" s="73"/>
      <c r="AI190" s="73"/>
      <c r="AK190" s="73"/>
      <c r="AL190" s="73"/>
      <c r="AM190" s="73"/>
      <c r="AN190" s="73"/>
      <c r="AO190" s="73"/>
      <c r="AQ190" s="73"/>
      <c r="AR190" s="73"/>
      <c r="AS190" s="73"/>
      <c r="AT190" s="73"/>
      <c r="AU190" s="73"/>
      <c r="AW190" s="73"/>
      <c r="AX190" s="73"/>
      <c r="AY190" s="73"/>
      <c r="AZ190" s="73"/>
      <c r="BA190" s="73"/>
    </row>
    <row r="191" spans="1:53" s="4" customFormat="1" ht="17.100000000000001" customHeight="1" x14ac:dyDescent="0.25">
      <c r="A191" s="102"/>
      <c r="B191" s="102"/>
      <c r="C191" s="74" t="s">
        <v>161</v>
      </c>
      <c r="D191" s="85" t="s">
        <v>9</v>
      </c>
      <c r="E191" s="75"/>
      <c r="F191" s="75"/>
      <c r="G191" s="105"/>
      <c r="H191" s="84"/>
      <c r="I191" s="231"/>
      <c r="J191" s="174"/>
      <c r="K191" s="174"/>
      <c r="L191" s="111"/>
      <c r="M191" s="111"/>
      <c r="N191" s="60">
        <v>4</v>
      </c>
      <c r="O191" s="60">
        <v>7</v>
      </c>
      <c r="P191" s="17">
        <f t="shared" ref="P191:P195" si="179">SUM(N191:O191)</f>
        <v>11</v>
      </c>
      <c r="Q191" s="60"/>
      <c r="R191" s="60"/>
      <c r="S191" s="17">
        <f t="shared" ref="S191:S195" si="180">SUM(Q191:R191)</f>
        <v>0</v>
      </c>
      <c r="T191" s="60"/>
      <c r="U191" s="60"/>
      <c r="V191" s="17">
        <f t="shared" ref="V191:V195" si="181">SUM(T191:U191)</f>
        <v>0</v>
      </c>
      <c r="W191" s="391">
        <f t="shared" ref="W191:W195" si="182">J191+K191+N191+Q191+T191</f>
        <v>4</v>
      </c>
      <c r="X191" s="17">
        <f t="shared" ref="X191:X195" si="183">L191+O191+R191+U191</f>
        <v>7</v>
      </c>
      <c r="Y191" s="18">
        <f t="shared" ref="Y191:Y195" si="184">SUM(W191:X191)</f>
        <v>11</v>
      </c>
      <c r="Z191" s="19">
        <f>IF(Y$196=0,0,Y191/Y$196)</f>
        <v>1</v>
      </c>
      <c r="AA191" s="19"/>
      <c r="AB191" s="19"/>
      <c r="AC191" s="20"/>
      <c r="AE191" s="111"/>
      <c r="AF191" s="111"/>
      <c r="AG191" s="111"/>
      <c r="AH191" s="651"/>
      <c r="AI191" s="131"/>
      <c r="AJ191" s="3"/>
      <c r="AK191" s="111"/>
      <c r="AL191" s="111"/>
      <c r="AM191" s="111"/>
      <c r="AN191" s="651"/>
      <c r="AO191" s="131"/>
      <c r="AP191" s="3"/>
      <c r="AQ191" s="17"/>
      <c r="AR191" s="17"/>
      <c r="AS191" s="17"/>
      <c r="AT191" s="424">
        <f>W191</f>
        <v>4</v>
      </c>
      <c r="AU191" s="19">
        <f>IF(AT$196=0,0,AT191/AT$196)</f>
        <v>1</v>
      </c>
      <c r="AV191" s="3"/>
      <c r="AW191" s="17"/>
      <c r="AX191" s="17"/>
      <c r="AY191" s="17"/>
      <c r="AZ191" s="424">
        <f>X191</f>
        <v>7</v>
      </c>
      <c r="BA191" s="19">
        <f>IF(AZ$196=0,0,AZ191/AZ$196)</f>
        <v>1</v>
      </c>
    </row>
    <row r="192" spans="1:53" s="4" customFormat="1" ht="17.100000000000001" customHeight="1" x14ac:dyDescent="0.25">
      <c r="A192" s="102"/>
      <c r="B192" s="102"/>
      <c r="C192" s="74" t="s">
        <v>163</v>
      </c>
      <c r="D192" s="85" t="s">
        <v>11</v>
      </c>
      <c r="E192" s="75"/>
      <c r="F192" s="75"/>
      <c r="G192" s="105"/>
      <c r="H192" s="84"/>
      <c r="I192" s="231"/>
      <c r="J192" s="174"/>
      <c r="K192" s="174"/>
      <c r="L192" s="111"/>
      <c r="M192" s="111"/>
      <c r="N192" s="61"/>
      <c r="O192" s="61"/>
      <c r="P192" s="17">
        <f t="shared" si="179"/>
        <v>0</v>
      </c>
      <c r="Q192" s="61"/>
      <c r="R192" s="61"/>
      <c r="S192" s="17">
        <f t="shared" si="180"/>
        <v>0</v>
      </c>
      <c r="T192" s="61"/>
      <c r="U192" s="61"/>
      <c r="V192" s="17">
        <f t="shared" si="181"/>
        <v>0</v>
      </c>
      <c r="W192" s="391">
        <f t="shared" si="182"/>
        <v>0</v>
      </c>
      <c r="X192" s="17">
        <f t="shared" si="183"/>
        <v>0</v>
      </c>
      <c r="Y192" s="18">
        <f t="shared" si="184"/>
        <v>0</v>
      </c>
      <c r="Z192" s="19">
        <f t="shared" ref="Z192:Z196" si="185">IF(Y$196=0,0,Y192/Y$196)</f>
        <v>0</v>
      </c>
      <c r="AA192" s="19"/>
      <c r="AB192" s="19"/>
      <c r="AC192" s="20"/>
      <c r="AE192" s="111"/>
      <c r="AF192" s="111"/>
      <c r="AG192" s="111"/>
      <c r="AH192" s="651"/>
      <c r="AI192" s="131"/>
      <c r="AJ192" s="3"/>
      <c r="AK192" s="111"/>
      <c r="AL192" s="111"/>
      <c r="AM192" s="111"/>
      <c r="AN192" s="651"/>
      <c r="AO192" s="131"/>
      <c r="AP192" s="3"/>
      <c r="AQ192" s="17"/>
      <c r="AR192" s="17"/>
      <c r="AS192" s="17"/>
      <c r="AT192" s="424">
        <f t="shared" ref="AT192:AT195" si="186">W192</f>
        <v>0</v>
      </c>
      <c r="AU192" s="19">
        <f t="shared" ref="AU192:AU196" si="187">IF(AT$196=0,0,AT192/AT$196)</f>
        <v>0</v>
      </c>
      <c r="AV192" s="3"/>
      <c r="AW192" s="17"/>
      <c r="AX192" s="17"/>
      <c r="AY192" s="17"/>
      <c r="AZ192" s="424">
        <f t="shared" ref="AZ192:AZ195" si="188">X192</f>
        <v>0</v>
      </c>
      <c r="BA192" s="19">
        <f t="shared" ref="BA192:BA196" si="189">IF(AZ$196=0,0,AZ192/AZ$196)</f>
        <v>0</v>
      </c>
    </row>
    <row r="193" spans="1:53" s="4" customFormat="1" ht="17.100000000000001" customHeight="1" x14ac:dyDescent="0.25">
      <c r="A193" s="102"/>
      <c r="B193" s="102"/>
      <c r="C193" s="74" t="s">
        <v>164</v>
      </c>
      <c r="D193" s="85" t="s">
        <v>129</v>
      </c>
      <c r="E193" s="75"/>
      <c r="F193" s="75"/>
      <c r="G193" s="105"/>
      <c r="H193" s="84"/>
      <c r="I193" s="231"/>
      <c r="J193" s="174"/>
      <c r="K193" s="174"/>
      <c r="L193" s="111"/>
      <c r="M193" s="111"/>
      <c r="N193" s="60"/>
      <c r="O193" s="60"/>
      <c r="P193" s="17">
        <f t="shared" si="179"/>
        <v>0</v>
      </c>
      <c r="Q193" s="60"/>
      <c r="R193" s="60"/>
      <c r="S193" s="17">
        <f t="shared" si="180"/>
        <v>0</v>
      </c>
      <c r="T193" s="60"/>
      <c r="U193" s="60"/>
      <c r="V193" s="17">
        <f t="shared" si="181"/>
        <v>0</v>
      </c>
      <c r="W193" s="391">
        <f t="shared" si="182"/>
        <v>0</v>
      </c>
      <c r="X193" s="17">
        <f t="shared" si="183"/>
        <v>0</v>
      </c>
      <c r="Y193" s="18">
        <f t="shared" si="184"/>
        <v>0</v>
      </c>
      <c r="Z193" s="19">
        <f t="shared" si="185"/>
        <v>0</v>
      </c>
      <c r="AA193" s="19"/>
      <c r="AB193" s="19"/>
      <c r="AC193" s="20"/>
      <c r="AE193" s="111"/>
      <c r="AF193" s="111"/>
      <c r="AG193" s="111"/>
      <c r="AH193" s="651"/>
      <c r="AI193" s="131"/>
      <c r="AJ193" s="3"/>
      <c r="AK193" s="111"/>
      <c r="AL193" s="111"/>
      <c r="AM193" s="111"/>
      <c r="AN193" s="651"/>
      <c r="AO193" s="131"/>
      <c r="AP193" s="3"/>
      <c r="AQ193" s="17"/>
      <c r="AR193" s="17"/>
      <c r="AS193" s="17"/>
      <c r="AT193" s="424">
        <f t="shared" si="186"/>
        <v>0</v>
      </c>
      <c r="AU193" s="19">
        <f t="shared" si="187"/>
        <v>0</v>
      </c>
      <c r="AV193" s="3"/>
      <c r="AW193" s="17"/>
      <c r="AX193" s="17"/>
      <c r="AY193" s="17"/>
      <c r="AZ193" s="424">
        <f t="shared" si="188"/>
        <v>0</v>
      </c>
      <c r="BA193" s="19">
        <f t="shared" si="189"/>
        <v>0</v>
      </c>
    </row>
    <row r="194" spans="1:53" s="4" customFormat="1" ht="17.100000000000001" customHeight="1" x14ac:dyDescent="0.25">
      <c r="A194" s="102"/>
      <c r="B194" s="102"/>
      <c r="C194" s="74" t="s">
        <v>166</v>
      </c>
      <c r="D194" s="85" t="s">
        <v>599</v>
      </c>
      <c r="E194" s="75"/>
      <c r="F194" s="75"/>
      <c r="G194" s="105"/>
      <c r="H194" s="84"/>
      <c r="I194" s="231"/>
      <c r="J194" s="174"/>
      <c r="K194" s="174"/>
      <c r="L194" s="111"/>
      <c r="M194" s="111"/>
      <c r="N194" s="61"/>
      <c r="O194" s="61"/>
      <c r="P194" s="17">
        <f t="shared" si="179"/>
        <v>0</v>
      </c>
      <c r="Q194" s="61"/>
      <c r="R194" s="61"/>
      <c r="S194" s="17">
        <f t="shared" si="180"/>
        <v>0</v>
      </c>
      <c r="T194" s="61"/>
      <c r="U194" s="61"/>
      <c r="V194" s="17">
        <f t="shared" si="181"/>
        <v>0</v>
      </c>
      <c r="W194" s="391">
        <f t="shared" si="182"/>
        <v>0</v>
      </c>
      <c r="X194" s="17">
        <f t="shared" si="183"/>
        <v>0</v>
      </c>
      <c r="Y194" s="18">
        <f t="shared" si="184"/>
        <v>0</v>
      </c>
      <c r="Z194" s="19">
        <f t="shared" si="185"/>
        <v>0</v>
      </c>
      <c r="AA194" s="19"/>
      <c r="AB194" s="19"/>
      <c r="AC194" s="20"/>
      <c r="AE194" s="111"/>
      <c r="AF194" s="111"/>
      <c r="AG194" s="111"/>
      <c r="AH194" s="651"/>
      <c r="AI194" s="131"/>
      <c r="AJ194" s="3"/>
      <c r="AK194" s="111"/>
      <c r="AL194" s="111"/>
      <c r="AM194" s="111"/>
      <c r="AN194" s="651"/>
      <c r="AO194" s="131"/>
      <c r="AP194" s="3"/>
      <c r="AQ194" s="17"/>
      <c r="AR194" s="17"/>
      <c r="AS194" s="17"/>
      <c r="AT194" s="424">
        <f t="shared" si="186"/>
        <v>0</v>
      </c>
      <c r="AU194" s="19">
        <f t="shared" si="187"/>
        <v>0</v>
      </c>
      <c r="AV194" s="3"/>
      <c r="AW194" s="17"/>
      <c r="AX194" s="17"/>
      <c r="AY194" s="17"/>
      <c r="AZ194" s="424">
        <f t="shared" si="188"/>
        <v>0</v>
      </c>
      <c r="BA194" s="19">
        <f t="shared" si="189"/>
        <v>0</v>
      </c>
    </row>
    <row r="195" spans="1:53" s="4" customFormat="1" ht="17.100000000000001" customHeight="1" x14ac:dyDescent="0.25">
      <c r="A195" s="102"/>
      <c r="B195" s="102"/>
      <c r="C195" s="74" t="s">
        <v>168</v>
      </c>
      <c r="D195" s="75" t="s">
        <v>600</v>
      </c>
      <c r="E195" s="75"/>
      <c r="F195" s="75"/>
      <c r="G195" s="105"/>
      <c r="H195" s="84"/>
      <c r="I195" s="231"/>
      <c r="J195" s="174"/>
      <c r="K195" s="174"/>
      <c r="L195" s="111"/>
      <c r="M195" s="111"/>
      <c r="N195" s="60"/>
      <c r="O195" s="60"/>
      <c r="P195" s="17">
        <f t="shared" si="179"/>
        <v>0</v>
      </c>
      <c r="Q195" s="60"/>
      <c r="R195" s="60"/>
      <c r="S195" s="17">
        <f t="shared" si="180"/>
        <v>0</v>
      </c>
      <c r="T195" s="60"/>
      <c r="U195" s="60"/>
      <c r="V195" s="17">
        <f t="shared" si="181"/>
        <v>0</v>
      </c>
      <c r="W195" s="391">
        <f t="shared" si="182"/>
        <v>0</v>
      </c>
      <c r="X195" s="17">
        <f t="shared" si="183"/>
        <v>0</v>
      </c>
      <c r="Y195" s="18">
        <f t="shared" si="184"/>
        <v>0</v>
      </c>
      <c r="Z195" s="19">
        <f t="shared" si="185"/>
        <v>0</v>
      </c>
      <c r="AA195" s="19"/>
      <c r="AB195" s="19"/>
      <c r="AC195" s="20"/>
      <c r="AE195" s="111"/>
      <c r="AF195" s="111"/>
      <c r="AG195" s="111"/>
      <c r="AH195" s="651"/>
      <c r="AI195" s="131"/>
      <c r="AJ195" s="3"/>
      <c r="AK195" s="111"/>
      <c r="AL195" s="111"/>
      <c r="AM195" s="111"/>
      <c r="AN195" s="651"/>
      <c r="AO195" s="131"/>
      <c r="AP195" s="3"/>
      <c r="AQ195" s="17"/>
      <c r="AR195" s="17"/>
      <c r="AS195" s="17"/>
      <c r="AT195" s="424">
        <f t="shared" si="186"/>
        <v>0</v>
      </c>
      <c r="AU195" s="19">
        <f t="shared" si="187"/>
        <v>0</v>
      </c>
      <c r="AV195" s="3"/>
      <c r="AW195" s="17"/>
      <c r="AX195" s="17"/>
      <c r="AY195" s="17"/>
      <c r="AZ195" s="424">
        <f t="shared" si="188"/>
        <v>0</v>
      </c>
      <c r="BA195" s="19">
        <f t="shared" si="189"/>
        <v>0</v>
      </c>
    </row>
    <row r="196" spans="1:53" ht="17.100000000000001" customHeight="1" x14ac:dyDescent="0.25">
      <c r="A196" s="40"/>
      <c r="B196" s="40"/>
      <c r="C196" s="292"/>
      <c r="D196" s="144"/>
      <c r="E196" s="144"/>
      <c r="F196" s="145"/>
      <c r="G196" s="145"/>
      <c r="H196" s="119"/>
      <c r="I196" s="138"/>
      <c r="J196" s="64"/>
      <c r="K196" s="64"/>
      <c r="L196" s="81"/>
      <c r="M196" s="81"/>
      <c r="N196" s="81">
        <f>SUM(N191:N195)</f>
        <v>4</v>
      </c>
      <c r="O196" s="81">
        <f t="shared" ref="O196:V196" si="190">SUM(O191:O195)</f>
        <v>7</v>
      </c>
      <c r="P196" s="81">
        <f t="shared" si="190"/>
        <v>11</v>
      </c>
      <c r="Q196" s="81">
        <f t="shared" si="190"/>
        <v>0</v>
      </c>
      <c r="R196" s="81">
        <f t="shared" si="190"/>
        <v>0</v>
      </c>
      <c r="S196" s="81">
        <f t="shared" si="190"/>
        <v>0</v>
      </c>
      <c r="T196" s="81">
        <f t="shared" si="190"/>
        <v>0</v>
      </c>
      <c r="U196" s="81">
        <f t="shared" si="190"/>
        <v>0</v>
      </c>
      <c r="V196" s="81">
        <f t="shared" si="190"/>
        <v>0</v>
      </c>
      <c r="W196" s="82">
        <f>SUM(W191:W195)</f>
        <v>4</v>
      </c>
      <c r="X196" s="82">
        <f t="shared" ref="X196:Y196" si="191">SUM(X191:X195)</f>
        <v>7</v>
      </c>
      <c r="Y196" s="82">
        <f t="shared" si="191"/>
        <v>11</v>
      </c>
      <c r="Z196" s="66">
        <f t="shared" si="185"/>
        <v>1</v>
      </c>
      <c r="AA196" s="66"/>
      <c r="AB196" s="66"/>
      <c r="AC196" s="83"/>
      <c r="AE196" s="81"/>
      <c r="AF196" s="81"/>
      <c r="AG196" s="82"/>
      <c r="AH196" s="82"/>
      <c r="AI196" s="66"/>
      <c r="AK196" s="81"/>
      <c r="AL196" s="81"/>
      <c r="AM196" s="82"/>
      <c r="AN196" s="82"/>
      <c r="AO196" s="66"/>
      <c r="AQ196" s="81"/>
      <c r="AR196" s="81"/>
      <c r="AS196" s="82"/>
      <c r="AT196" s="81">
        <f>SUM(AT191:AT195)</f>
        <v>4</v>
      </c>
      <c r="AU196" s="66">
        <f t="shared" si="187"/>
        <v>1</v>
      </c>
      <c r="AW196" s="81"/>
      <c r="AX196" s="81"/>
      <c r="AY196" s="82"/>
      <c r="AZ196" s="81">
        <f>SUM(AZ191:AZ195)</f>
        <v>7</v>
      </c>
      <c r="BA196" s="66">
        <f t="shared" si="189"/>
        <v>1</v>
      </c>
    </row>
    <row r="197" spans="1:53" s="117" customFormat="1" ht="17.100000000000001" customHeight="1" x14ac:dyDescent="0.25">
      <c r="A197" s="119"/>
      <c r="B197" s="119"/>
      <c r="C197" s="647"/>
      <c r="D197" s="212"/>
      <c r="E197" s="212"/>
      <c r="F197" s="212"/>
      <c r="G197" s="212"/>
      <c r="H197" s="242"/>
      <c r="I197" s="230"/>
      <c r="J197" s="17"/>
      <c r="K197" s="17"/>
      <c r="L197" s="17"/>
      <c r="M197" s="17"/>
      <c r="N197" s="17" t="str">
        <f>IF(N196=N$20,"OK","NOK")</f>
        <v>OK</v>
      </c>
      <c r="O197" s="17" t="str">
        <f>IF(O196=O$20,"OK","NOK")</f>
        <v>OK</v>
      </c>
      <c r="P197" s="17"/>
      <c r="Q197" s="17" t="str">
        <f>IF(Q196&gt;=Q$20,"OK","NOK")</f>
        <v>OK</v>
      </c>
      <c r="R197" s="17" t="str">
        <f>IF(R196&gt;=R$20,"OK","NOK")</f>
        <v>OK</v>
      </c>
      <c r="S197" s="17"/>
      <c r="T197" s="17" t="str">
        <f>IF(T196&gt;=T$20,"OK","NOK")</f>
        <v>OK</v>
      </c>
      <c r="U197" s="17" t="str">
        <f>IF(U196&gt;=U$20,"OK","NOK")</f>
        <v>OK</v>
      </c>
      <c r="V197" s="359"/>
      <c r="W197" s="382"/>
      <c r="X197" s="646"/>
      <c r="Y197" s="646"/>
      <c r="Z197" s="201"/>
      <c r="AA197" s="201"/>
      <c r="AB197" s="201"/>
      <c r="AC197" s="84"/>
      <c r="AE197" s="17"/>
      <c r="AF197" s="17"/>
      <c r="AG197" s="17"/>
      <c r="AH197" s="646"/>
      <c r="AI197" s="91"/>
      <c r="AK197" s="17"/>
      <c r="AL197" s="17"/>
      <c r="AM197" s="17"/>
      <c r="AN197" s="646"/>
      <c r="AO197" s="91"/>
      <c r="AQ197" s="17"/>
      <c r="AR197" s="17"/>
      <c r="AS197" s="17"/>
      <c r="AT197" s="646"/>
      <c r="AU197" s="91"/>
      <c r="AW197" s="17"/>
      <c r="AX197" s="17"/>
      <c r="AY197" s="17"/>
      <c r="AZ197" s="17"/>
      <c r="BA197" s="91"/>
    </row>
    <row r="198" spans="1:53" ht="17.100000000000001" customHeight="1" x14ac:dyDescent="0.25">
      <c r="A198" s="40"/>
      <c r="B198" s="41" t="s">
        <v>171</v>
      </c>
      <c r="C198" s="42" t="s">
        <v>601</v>
      </c>
      <c r="D198" s="43"/>
      <c r="E198" s="43"/>
      <c r="F198" s="43"/>
      <c r="G198" s="43"/>
      <c r="H198" s="23"/>
      <c r="I198" s="12"/>
      <c r="J198" s="73"/>
      <c r="K198" s="73"/>
      <c r="L198" s="73"/>
      <c r="M198" s="73"/>
      <c r="N198" s="71">
        <f>N191</f>
        <v>4</v>
      </c>
      <c r="O198" s="71">
        <f t="shared" ref="O198:U198" si="192">O191</f>
        <v>7</v>
      </c>
      <c r="P198" s="71"/>
      <c r="Q198" s="71">
        <f t="shared" si="192"/>
        <v>0</v>
      </c>
      <c r="R198" s="71">
        <f t="shared" si="192"/>
        <v>0</v>
      </c>
      <c r="S198" s="71"/>
      <c r="T198" s="71">
        <f t="shared" si="192"/>
        <v>0</v>
      </c>
      <c r="U198" s="71">
        <f t="shared" si="192"/>
        <v>0</v>
      </c>
      <c r="V198" s="71"/>
      <c r="W198" s="73"/>
      <c r="X198" s="73"/>
      <c r="Y198" s="73"/>
      <c r="Z198" s="73"/>
      <c r="AA198" s="73"/>
      <c r="AB198" s="73"/>
      <c r="AC198" s="73"/>
      <c r="AE198" s="73"/>
      <c r="AF198" s="73"/>
      <c r="AG198" s="73"/>
      <c r="AH198" s="73"/>
      <c r="AI198" s="73"/>
      <c r="AK198" s="73"/>
      <c r="AL198" s="73"/>
      <c r="AM198" s="73"/>
      <c r="AN198" s="73"/>
      <c r="AO198" s="73"/>
      <c r="AQ198" s="73"/>
      <c r="AR198" s="73"/>
      <c r="AS198" s="73"/>
      <c r="AT198" s="73"/>
      <c r="AU198" s="73"/>
      <c r="AW198" s="73"/>
      <c r="AX198" s="73"/>
      <c r="AY198" s="73"/>
      <c r="AZ198" s="73"/>
      <c r="BA198" s="73"/>
    </row>
    <row r="199" spans="1:53" s="4" customFormat="1" ht="17.100000000000001" customHeight="1" x14ac:dyDescent="0.25">
      <c r="A199" s="40"/>
      <c r="B199" s="40"/>
      <c r="C199" s="141" t="s">
        <v>172</v>
      </c>
      <c r="D199" s="648" t="s">
        <v>479</v>
      </c>
      <c r="E199" s="75"/>
      <c r="F199" s="75"/>
      <c r="G199" s="649"/>
      <c r="H199" s="254"/>
      <c r="I199" s="207"/>
      <c r="J199" s="174"/>
      <c r="K199" s="174"/>
      <c r="L199" s="111"/>
      <c r="M199" s="111"/>
      <c r="N199" s="60"/>
      <c r="O199" s="60"/>
      <c r="P199" s="17">
        <f t="shared" ref="P199:P203" si="193">SUM(N199:O199)</f>
        <v>0</v>
      </c>
      <c r="Q199" s="60"/>
      <c r="R199" s="60"/>
      <c r="S199" s="17">
        <f t="shared" ref="S199:S203" si="194">SUM(Q199:R199)</f>
        <v>0</v>
      </c>
      <c r="T199" s="60"/>
      <c r="U199" s="60"/>
      <c r="V199" s="17">
        <f t="shared" ref="V199:V203" si="195">SUM(T199:U199)</f>
        <v>0</v>
      </c>
      <c r="W199" s="391">
        <f t="shared" ref="W199:W207" si="196">J199+K199+N199+Q199+T199</f>
        <v>0</v>
      </c>
      <c r="X199" s="17">
        <f t="shared" ref="X199:X207" si="197">L199+O199+R199+U199</f>
        <v>0</v>
      </c>
      <c r="Y199" s="18">
        <f t="shared" ref="Y199:Y207" si="198">SUM(W199:X199)</f>
        <v>0</v>
      </c>
      <c r="Z199" s="19">
        <f>IF(Y$208=0,0,Y199/Y$208)</f>
        <v>0</v>
      </c>
      <c r="AA199" s="19"/>
      <c r="AB199" s="19"/>
      <c r="AC199" s="20"/>
      <c r="AE199" s="111"/>
      <c r="AF199" s="111"/>
      <c r="AG199" s="111"/>
      <c r="AH199" s="651"/>
      <c r="AI199" s="131"/>
      <c r="AJ199" s="3"/>
      <c r="AK199" s="111"/>
      <c r="AL199" s="111"/>
      <c r="AM199" s="111"/>
      <c r="AN199" s="651"/>
      <c r="AO199" s="131"/>
      <c r="AP199" s="3"/>
      <c r="AQ199" s="17"/>
      <c r="AR199" s="17"/>
      <c r="AS199" s="17"/>
      <c r="AT199" s="424">
        <f>W199</f>
        <v>0</v>
      </c>
      <c r="AU199" s="19">
        <f>IF(AT$208=0,0,AT199/AT$208)</f>
        <v>0</v>
      </c>
      <c r="AV199" s="3"/>
      <c r="AW199" s="17"/>
      <c r="AX199" s="17"/>
      <c r="AY199" s="17"/>
      <c r="AZ199" s="424">
        <f>X199</f>
        <v>0</v>
      </c>
      <c r="BA199" s="19">
        <f>IF(AZ$208=0,0,AZ199/AZ$208)</f>
        <v>0</v>
      </c>
    </row>
    <row r="200" spans="1:53" s="4" customFormat="1" ht="17.100000000000001" customHeight="1" x14ac:dyDescent="0.25">
      <c r="A200" s="40"/>
      <c r="B200" s="40"/>
      <c r="C200" s="141" t="s">
        <v>174</v>
      </c>
      <c r="D200" s="85" t="s">
        <v>405</v>
      </c>
      <c r="E200" s="75"/>
      <c r="F200" s="75"/>
      <c r="G200" s="649"/>
      <c r="H200" s="254"/>
      <c r="I200" s="207"/>
      <c r="J200" s="174"/>
      <c r="K200" s="174"/>
      <c r="L200" s="111"/>
      <c r="M200" s="111"/>
      <c r="N200" s="61"/>
      <c r="O200" s="61"/>
      <c r="P200" s="17">
        <f t="shared" si="193"/>
        <v>0</v>
      </c>
      <c r="Q200" s="61"/>
      <c r="R200" s="61"/>
      <c r="S200" s="17">
        <f t="shared" si="194"/>
        <v>0</v>
      </c>
      <c r="T200" s="61"/>
      <c r="U200" s="61"/>
      <c r="V200" s="17">
        <f t="shared" si="195"/>
        <v>0</v>
      </c>
      <c r="W200" s="391">
        <f t="shared" si="196"/>
        <v>0</v>
      </c>
      <c r="X200" s="17">
        <f t="shared" si="197"/>
        <v>0</v>
      </c>
      <c r="Y200" s="18">
        <f t="shared" si="198"/>
        <v>0</v>
      </c>
      <c r="Z200" s="19">
        <f t="shared" ref="Z200:Z208" si="199">IF(Y$208=0,0,Y200/Y$208)</f>
        <v>0</v>
      </c>
      <c r="AA200" s="19"/>
      <c r="AB200" s="19"/>
      <c r="AC200" s="20"/>
      <c r="AE200" s="111"/>
      <c r="AF200" s="111"/>
      <c r="AG200" s="111"/>
      <c r="AH200" s="651"/>
      <c r="AI200" s="131"/>
      <c r="AJ200" s="3"/>
      <c r="AK200" s="111"/>
      <c r="AL200" s="111"/>
      <c r="AM200" s="111"/>
      <c r="AN200" s="651"/>
      <c r="AO200" s="131"/>
      <c r="AP200" s="3"/>
      <c r="AQ200" s="17"/>
      <c r="AR200" s="17"/>
      <c r="AS200" s="17"/>
      <c r="AT200" s="424">
        <f t="shared" ref="AT200:AT207" si="200">W200</f>
        <v>0</v>
      </c>
      <c r="AU200" s="19">
        <f t="shared" ref="AU200:AU203" si="201">IF(AT$208=0,0,AT200/AT$208)</f>
        <v>0</v>
      </c>
      <c r="AV200" s="3"/>
      <c r="AW200" s="17"/>
      <c r="AX200" s="17"/>
      <c r="AY200" s="17"/>
      <c r="AZ200" s="424">
        <f t="shared" ref="AZ200:AZ207" si="202">X200</f>
        <v>0</v>
      </c>
      <c r="BA200" s="19">
        <f t="shared" ref="BA200:BA208" si="203">IF(AZ$208=0,0,AZ200/AZ$208)</f>
        <v>0</v>
      </c>
    </row>
    <row r="201" spans="1:53" s="4" customFormat="1" ht="17.100000000000001" customHeight="1" x14ac:dyDescent="0.25">
      <c r="A201" s="40"/>
      <c r="B201" s="40"/>
      <c r="C201" s="141" t="s">
        <v>175</v>
      </c>
      <c r="D201" s="85" t="s">
        <v>480</v>
      </c>
      <c r="E201" s="75"/>
      <c r="F201" s="75"/>
      <c r="G201" s="649"/>
      <c r="H201" s="254"/>
      <c r="I201" s="207"/>
      <c r="J201" s="174"/>
      <c r="K201" s="174"/>
      <c r="L201" s="111"/>
      <c r="M201" s="111"/>
      <c r="N201" s="60">
        <v>4</v>
      </c>
      <c r="O201" s="60">
        <v>7</v>
      </c>
      <c r="P201" s="17">
        <f t="shared" si="193"/>
        <v>11</v>
      </c>
      <c r="Q201" s="60"/>
      <c r="R201" s="60"/>
      <c r="S201" s="17">
        <f t="shared" si="194"/>
        <v>0</v>
      </c>
      <c r="T201" s="60"/>
      <c r="U201" s="60"/>
      <c r="V201" s="17">
        <f t="shared" si="195"/>
        <v>0</v>
      </c>
      <c r="W201" s="391">
        <f t="shared" si="196"/>
        <v>4</v>
      </c>
      <c r="X201" s="17">
        <f t="shared" si="197"/>
        <v>7</v>
      </c>
      <c r="Y201" s="18">
        <f t="shared" si="198"/>
        <v>11</v>
      </c>
      <c r="Z201" s="19">
        <f t="shared" si="199"/>
        <v>1</v>
      </c>
      <c r="AA201" s="19"/>
      <c r="AB201" s="19"/>
      <c r="AC201" s="20"/>
      <c r="AE201" s="111"/>
      <c r="AF201" s="111"/>
      <c r="AG201" s="111"/>
      <c r="AH201" s="651"/>
      <c r="AI201" s="131"/>
      <c r="AJ201" s="3"/>
      <c r="AK201" s="111"/>
      <c r="AL201" s="111"/>
      <c r="AM201" s="111"/>
      <c r="AN201" s="651"/>
      <c r="AO201" s="131"/>
      <c r="AP201" s="3"/>
      <c r="AQ201" s="17"/>
      <c r="AR201" s="17"/>
      <c r="AS201" s="17"/>
      <c r="AT201" s="424">
        <f t="shared" si="200"/>
        <v>4</v>
      </c>
      <c r="AU201" s="19">
        <f t="shared" si="201"/>
        <v>1</v>
      </c>
      <c r="AV201" s="3"/>
      <c r="AW201" s="17"/>
      <c r="AX201" s="17"/>
      <c r="AY201" s="17"/>
      <c r="AZ201" s="424">
        <f t="shared" si="202"/>
        <v>7</v>
      </c>
      <c r="BA201" s="19">
        <f t="shared" si="203"/>
        <v>1</v>
      </c>
    </row>
    <row r="202" spans="1:53" s="4" customFormat="1" ht="17.100000000000001" customHeight="1" x14ac:dyDescent="0.25">
      <c r="A202" s="40"/>
      <c r="B202" s="40"/>
      <c r="C202" s="141" t="s">
        <v>176</v>
      </c>
      <c r="D202" s="648" t="s">
        <v>481</v>
      </c>
      <c r="E202" s="75"/>
      <c r="F202" s="75"/>
      <c r="G202" s="649"/>
      <c r="H202" s="254"/>
      <c r="I202" s="207"/>
      <c r="J202" s="174"/>
      <c r="K202" s="174"/>
      <c r="L202" s="111"/>
      <c r="M202" s="111"/>
      <c r="N202" s="61"/>
      <c r="O202" s="61"/>
      <c r="P202" s="17">
        <f t="shared" si="193"/>
        <v>0</v>
      </c>
      <c r="Q202" s="61"/>
      <c r="R202" s="61"/>
      <c r="S202" s="17">
        <f t="shared" si="194"/>
        <v>0</v>
      </c>
      <c r="T202" s="61"/>
      <c r="U202" s="61"/>
      <c r="V202" s="17">
        <f t="shared" si="195"/>
        <v>0</v>
      </c>
      <c r="W202" s="391">
        <f t="shared" si="196"/>
        <v>0</v>
      </c>
      <c r="X202" s="17">
        <f t="shared" si="197"/>
        <v>0</v>
      </c>
      <c r="Y202" s="18">
        <f t="shared" si="198"/>
        <v>0</v>
      </c>
      <c r="Z202" s="19">
        <f t="shared" si="199"/>
        <v>0</v>
      </c>
      <c r="AA202" s="19"/>
      <c r="AB202" s="19"/>
      <c r="AC202" s="20"/>
      <c r="AE202" s="111"/>
      <c r="AF202" s="111"/>
      <c r="AG202" s="111"/>
      <c r="AH202" s="651"/>
      <c r="AI202" s="131"/>
      <c r="AJ202" s="3"/>
      <c r="AK202" s="111"/>
      <c r="AL202" s="111"/>
      <c r="AM202" s="111"/>
      <c r="AN202" s="651"/>
      <c r="AO202" s="131"/>
      <c r="AP202" s="3"/>
      <c r="AQ202" s="17"/>
      <c r="AR202" s="17"/>
      <c r="AS202" s="17"/>
      <c r="AT202" s="424">
        <f t="shared" si="200"/>
        <v>0</v>
      </c>
      <c r="AU202" s="19">
        <f t="shared" si="201"/>
        <v>0</v>
      </c>
      <c r="AV202" s="3"/>
      <c r="AW202" s="17"/>
      <c r="AX202" s="17"/>
      <c r="AY202" s="17"/>
      <c r="AZ202" s="424">
        <f t="shared" si="202"/>
        <v>0</v>
      </c>
      <c r="BA202" s="19">
        <f t="shared" si="203"/>
        <v>0</v>
      </c>
    </row>
    <row r="203" spans="1:53" s="4" customFormat="1" ht="17.100000000000001" customHeight="1" x14ac:dyDescent="0.25">
      <c r="A203" s="40"/>
      <c r="B203" s="40"/>
      <c r="C203" s="282" t="s">
        <v>177</v>
      </c>
      <c r="D203" s="648" t="s">
        <v>109</v>
      </c>
      <c r="E203" s="650"/>
      <c r="F203" s="650"/>
      <c r="G203" s="649"/>
      <c r="H203" s="254"/>
      <c r="I203" s="207"/>
      <c r="J203" s="111"/>
      <c r="K203" s="111"/>
      <c r="L203" s="111"/>
      <c r="M203" s="111"/>
      <c r="N203" s="111">
        <f>SUM(N204:N206)</f>
        <v>0</v>
      </c>
      <c r="O203" s="111">
        <f t="shared" ref="O203:U203" si="204">SUM(O204:O206)</f>
        <v>0</v>
      </c>
      <c r="P203" s="111">
        <f t="shared" si="193"/>
        <v>0</v>
      </c>
      <c r="Q203" s="111">
        <f t="shared" si="204"/>
        <v>0</v>
      </c>
      <c r="R203" s="111">
        <f t="shared" si="204"/>
        <v>0</v>
      </c>
      <c r="S203" s="111">
        <f t="shared" si="194"/>
        <v>0</v>
      </c>
      <c r="T203" s="111">
        <f t="shared" si="204"/>
        <v>0</v>
      </c>
      <c r="U203" s="111">
        <f t="shared" si="204"/>
        <v>0</v>
      </c>
      <c r="V203" s="111">
        <f t="shared" si="195"/>
        <v>0</v>
      </c>
      <c r="W203" s="380">
        <f t="shared" si="196"/>
        <v>0</v>
      </c>
      <c r="X203" s="111">
        <f t="shared" si="197"/>
        <v>0</v>
      </c>
      <c r="Y203" s="651">
        <f t="shared" si="198"/>
        <v>0</v>
      </c>
      <c r="Z203" s="131">
        <f t="shared" si="199"/>
        <v>0</v>
      </c>
      <c r="AA203" s="131"/>
      <c r="AB203" s="131"/>
      <c r="AC203" s="113"/>
      <c r="AE203" s="111"/>
      <c r="AF203" s="111"/>
      <c r="AG203" s="111"/>
      <c r="AH203" s="651"/>
      <c r="AI203" s="131"/>
      <c r="AJ203" s="3"/>
      <c r="AK203" s="111"/>
      <c r="AL203" s="111"/>
      <c r="AM203" s="111"/>
      <c r="AN203" s="651"/>
      <c r="AO203" s="131"/>
      <c r="AP203" s="3"/>
      <c r="AQ203" s="111"/>
      <c r="AR203" s="111"/>
      <c r="AS203" s="111"/>
      <c r="AT203" s="111">
        <f t="shared" si="200"/>
        <v>0</v>
      </c>
      <c r="AU203" s="131">
        <f t="shared" si="201"/>
        <v>0</v>
      </c>
      <c r="AV203" s="3"/>
      <c r="AW203" s="111"/>
      <c r="AX203" s="111"/>
      <c r="AY203" s="111"/>
      <c r="AZ203" s="111">
        <f t="shared" si="202"/>
        <v>0</v>
      </c>
      <c r="BA203" s="131">
        <f t="shared" si="203"/>
        <v>0</v>
      </c>
    </row>
    <row r="204" spans="1:53" s="4" customFormat="1" ht="16.5" customHeight="1" x14ac:dyDescent="0.25">
      <c r="A204" s="40"/>
      <c r="B204" s="40"/>
      <c r="C204" s="56"/>
      <c r="D204" s="294"/>
      <c r="E204" s="295"/>
      <c r="F204" s="295"/>
      <c r="G204" s="295"/>
      <c r="H204" s="198"/>
      <c r="I204" s="642"/>
      <c r="J204" s="174"/>
      <c r="K204" s="174"/>
      <c r="L204" s="111"/>
      <c r="M204" s="111"/>
      <c r="N204" s="60"/>
      <c r="O204" s="60"/>
      <c r="P204" s="17"/>
      <c r="Q204" s="60"/>
      <c r="R204" s="60"/>
      <c r="S204" s="17"/>
      <c r="T204" s="60"/>
      <c r="U204" s="60"/>
      <c r="V204" s="17"/>
      <c r="W204" s="391"/>
      <c r="X204" s="17"/>
      <c r="Y204" s="18"/>
      <c r="Z204" s="19"/>
      <c r="AA204" s="20"/>
      <c r="AB204" s="20"/>
      <c r="AC204" s="20"/>
      <c r="AE204" s="111"/>
      <c r="AF204" s="111"/>
      <c r="AG204" s="113"/>
      <c r="AH204" s="113"/>
      <c r="AI204" s="131"/>
      <c r="AK204" s="111"/>
      <c r="AL204" s="111"/>
      <c r="AM204" s="113"/>
      <c r="AN204" s="113"/>
      <c r="AO204" s="131"/>
      <c r="AQ204" s="17"/>
      <c r="AR204" s="17"/>
      <c r="AS204" s="20"/>
      <c r="AT204" s="424"/>
      <c r="AU204" s="19"/>
      <c r="AW204" s="17"/>
      <c r="AX204" s="17"/>
      <c r="AY204" s="20"/>
      <c r="AZ204" s="424"/>
      <c r="BA204" s="19"/>
    </row>
    <row r="205" spans="1:53" s="4" customFormat="1" ht="17.100000000000001" customHeight="1" x14ac:dyDescent="0.25">
      <c r="A205" s="40"/>
      <c r="B205" s="40"/>
      <c r="C205" s="56"/>
      <c r="D205" s="296"/>
      <c r="E205" s="297"/>
      <c r="F205" s="297"/>
      <c r="G205" s="297"/>
      <c r="H205" s="198"/>
      <c r="I205" s="642"/>
      <c r="J205" s="174"/>
      <c r="K205" s="174"/>
      <c r="L205" s="111"/>
      <c r="M205" s="111"/>
      <c r="N205" s="61"/>
      <c r="O205" s="61"/>
      <c r="P205" s="17"/>
      <c r="Q205" s="61"/>
      <c r="R205" s="61"/>
      <c r="S205" s="17"/>
      <c r="T205" s="61"/>
      <c r="U205" s="61"/>
      <c r="V205" s="17"/>
      <c r="W205" s="391"/>
      <c r="X205" s="17"/>
      <c r="Y205" s="18"/>
      <c r="Z205" s="19"/>
      <c r="AA205" s="20"/>
      <c r="AB205" s="20"/>
      <c r="AC205" s="20"/>
      <c r="AE205" s="111"/>
      <c r="AF205" s="111"/>
      <c r="AG205" s="113"/>
      <c r="AH205" s="113"/>
      <c r="AI205" s="131"/>
      <c r="AK205" s="111"/>
      <c r="AL205" s="111"/>
      <c r="AM205" s="113"/>
      <c r="AN205" s="113"/>
      <c r="AO205" s="131"/>
      <c r="AQ205" s="17"/>
      <c r="AR205" s="17"/>
      <c r="AS205" s="20"/>
      <c r="AT205" s="424"/>
      <c r="AU205" s="19"/>
      <c r="AW205" s="17"/>
      <c r="AX205" s="17"/>
      <c r="AY205" s="20"/>
      <c r="AZ205" s="424"/>
      <c r="BA205" s="19"/>
    </row>
    <row r="206" spans="1:53" s="4" customFormat="1" ht="16.5" customHeight="1" x14ac:dyDescent="0.25">
      <c r="A206" s="40"/>
      <c r="B206" s="40"/>
      <c r="C206" s="56"/>
      <c r="D206" s="294"/>
      <c r="E206" s="295"/>
      <c r="F206" s="295"/>
      <c r="G206" s="295"/>
      <c r="H206" s="198"/>
      <c r="I206" s="642"/>
      <c r="J206" s="174"/>
      <c r="K206" s="174"/>
      <c r="L206" s="111"/>
      <c r="M206" s="111"/>
      <c r="N206" s="60"/>
      <c r="O206" s="60"/>
      <c r="P206" s="17"/>
      <c r="Q206" s="60"/>
      <c r="R206" s="60"/>
      <c r="S206" s="17"/>
      <c r="T206" s="60"/>
      <c r="U206" s="60"/>
      <c r="V206" s="17"/>
      <c r="W206" s="391"/>
      <c r="X206" s="17"/>
      <c r="Y206" s="18"/>
      <c r="Z206" s="19"/>
      <c r="AA206" s="20"/>
      <c r="AB206" s="20"/>
      <c r="AC206" s="20"/>
      <c r="AE206" s="111"/>
      <c r="AF206" s="111"/>
      <c r="AG206" s="113"/>
      <c r="AH206" s="113"/>
      <c r="AI206" s="131"/>
      <c r="AK206" s="111"/>
      <c r="AL206" s="111"/>
      <c r="AM206" s="113"/>
      <c r="AN206" s="113"/>
      <c r="AO206" s="131"/>
      <c r="AQ206" s="17"/>
      <c r="AR206" s="17"/>
      <c r="AS206" s="20"/>
      <c r="AT206" s="424"/>
      <c r="AU206" s="19"/>
      <c r="AW206" s="17"/>
      <c r="AX206" s="17"/>
      <c r="AY206" s="20"/>
      <c r="AZ206" s="424"/>
      <c r="BA206" s="19"/>
    </row>
    <row r="207" spans="1:53" s="4" customFormat="1" ht="17.100000000000001" customHeight="1" x14ac:dyDescent="0.25">
      <c r="A207" s="40"/>
      <c r="B207" s="40"/>
      <c r="C207" s="56" t="s">
        <v>178</v>
      </c>
      <c r="D207" s="596" t="s">
        <v>598</v>
      </c>
      <c r="E207" s="649"/>
      <c r="F207" s="649"/>
      <c r="G207" s="649"/>
      <c r="H207" s="254"/>
      <c r="I207" s="207"/>
      <c r="J207" s="174"/>
      <c r="K207" s="174"/>
      <c r="L207" s="111"/>
      <c r="M207" s="111"/>
      <c r="N207" s="61"/>
      <c r="O207" s="61"/>
      <c r="P207" s="17">
        <f t="shared" ref="P207" si="205">SUM(N207:O207)</f>
        <v>0</v>
      </c>
      <c r="Q207" s="61"/>
      <c r="R207" s="61"/>
      <c r="S207" s="17">
        <f t="shared" ref="S207" si="206">SUM(Q207:R207)</f>
        <v>0</v>
      </c>
      <c r="T207" s="61"/>
      <c r="U207" s="61"/>
      <c r="V207" s="17">
        <f t="shared" ref="V207" si="207">SUM(T207:U207)</f>
        <v>0</v>
      </c>
      <c r="W207" s="391">
        <f t="shared" si="196"/>
        <v>0</v>
      </c>
      <c r="X207" s="17">
        <f t="shared" si="197"/>
        <v>0</v>
      </c>
      <c r="Y207" s="18">
        <f t="shared" si="198"/>
        <v>0</v>
      </c>
      <c r="Z207" s="19">
        <f t="shared" si="199"/>
        <v>0</v>
      </c>
      <c r="AA207" s="19"/>
      <c r="AB207" s="19"/>
      <c r="AC207" s="20"/>
      <c r="AE207" s="111"/>
      <c r="AF207" s="111"/>
      <c r="AG207" s="111"/>
      <c r="AH207" s="651"/>
      <c r="AI207" s="131"/>
      <c r="AJ207" s="3"/>
      <c r="AK207" s="111"/>
      <c r="AL207" s="111"/>
      <c r="AM207" s="111"/>
      <c r="AN207" s="651"/>
      <c r="AO207" s="131"/>
      <c r="AP207" s="3"/>
      <c r="AQ207" s="17"/>
      <c r="AR207" s="17"/>
      <c r="AS207" s="17"/>
      <c r="AT207" s="424">
        <f t="shared" si="200"/>
        <v>0</v>
      </c>
      <c r="AU207" s="19">
        <f t="shared" ref="AU207:AU208" si="208">IF(AT$208=0,0,AT207/AT$208)</f>
        <v>0</v>
      </c>
      <c r="AV207" s="3"/>
      <c r="AW207" s="17"/>
      <c r="AX207" s="17"/>
      <c r="AY207" s="17"/>
      <c r="AZ207" s="424">
        <f t="shared" si="202"/>
        <v>0</v>
      </c>
      <c r="BA207" s="19">
        <f t="shared" si="203"/>
        <v>0</v>
      </c>
    </row>
    <row r="208" spans="1:53" ht="17.100000000000001" customHeight="1" x14ac:dyDescent="0.25">
      <c r="A208" s="40"/>
      <c r="B208" s="40"/>
      <c r="C208" s="292"/>
      <c r="D208" s="144"/>
      <c r="E208" s="144"/>
      <c r="F208" s="145"/>
      <c r="G208" s="145"/>
      <c r="H208" s="119"/>
      <c r="I208" s="236"/>
      <c r="J208" s="64"/>
      <c r="K208" s="64"/>
      <c r="L208" s="81"/>
      <c r="M208" s="81"/>
      <c r="N208" s="81">
        <f>SUM(N199:N203)+N207</f>
        <v>4</v>
      </c>
      <c r="O208" s="81">
        <f t="shared" ref="O208:V208" si="209">SUM(O199:O203)+O207</f>
        <v>7</v>
      </c>
      <c r="P208" s="81">
        <f t="shared" si="209"/>
        <v>11</v>
      </c>
      <c r="Q208" s="81">
        <f t="shared" si="209"/>
        <v>0</v>
      </c>
      <c r="R208" s="81">
        <f t="shared" si="209"/>
        <v>0</v>
      </c>
      <c r="S208" s="81">
        <f t="shared" si="209"/>
        <v>0</v>
      </c>
      <c r="T208" s="81">
        <f t="shared" si="209"/>
        <v>0</v>
      </c>
      <c r="U208" s="81">
        <f t="shared" si="209"/>
        <v>0</v>
      </c>
      <c r="V208" s="81">
        <f t="shared" si="209"/>
        <v>0</v>
      </c>
      <c r="W208" s="82">
        <f>SUM(W199:W207)</f>
        <v>4</v>
      </c>
      <c r="X208" s="82">
        <f t="shared" ref="X208:Y208" si="210">SUM(X199:X207)</f>
        <v>7</v>
      </c>
      <c r="Y208" s="82">
        <f t="shared" si="210"/>
        <v>11</v>
      </c>
      <c r="Z208" s="66">
        <f t="shared" si="199"/>
        <v>1</v>
      </c>
      <c r="AA208" s="205"/>
      <c r="AB208" s="205"/>
      <c r="AC208" s="83"/>
      <c r="AE208" s="81"/>
      <c r="AF208" s="81"/>
      <c r="AG208" s="82"/>
      <c r="AH208" s="82"/>
      <c r="AI208" s="66"/>
      <c r="AK208" s="81"/>
      <c r="AL208" s="81"/>
      <c r="AM208" s="82"/>
      <c r="AN208" s="82"/>
      <c r="AO208" s="66"/>
      <c r="AQ208" s="81"/>
      <c r="AR208" s="81"/>
      <c r="AS208" s="82"/>
      <c r="AT208" s="81">
        <f>SUM(AT199:AT203)+AT207</f>
        <v>4</v>
      </c>
      <c r="AU208" s="66">
        <f t="shared" si="208"/>
        <v>1</v>
      </c>
      <c r="AW208" s="81"/>
      <c r="AX208" s="81"/>
      <c r="AY208" s="82"/>
      <c r="AZ208" s="81">
        <f>SUM(AZ199:AZ203)+AZ207</f>
        <v>7</v>
      </c>
      <c r="BA208" s="66">
        <f t="shared" si="203"/>
        <v>1</v>
      </c>
    </row>
    <row r="209" spans="1:53" s="117" customFormat="1" ht="17.100000000000001" customHeight="1" x14ac:dyDescent="0.25">
      <c r="A209" s="119"/>
      <c r="B209" s="119"/>
      <c r="C209" s="647"/>
      <c r="D209" s="212"/>
      <c r="E209" s="212"/>
      <c r="F209" s="212"/>
      <c r="G209" s="212"/>
      <c r="H209" s="242"/>
      <c r="I209" s="230"/>
      <c r="J209" s="17"/>
      <c r="K209" s="17"/>
      <c r="L209" s="17"/>
      <c r="M209" s="17"/>
      <c r="N209" s="17" t="str">
        <f>IF(N208=N$198,"OK","NOK")</f>
        <v>OK</v>
      </c>
      <c r="O209" s="17" t="str">
        <f>IF(O208=O$198,"OK","NOK")</f>
        <v>OK</v>
      </c>
      <c r="P209" s="17"/>
      <c r="Q209" s="17" t="str">
        <f>IF(Q208=Q$198,"OK","NOK")</f>
        <v>OK</v>
      </c>
      <c r="R209" s="17" t="str">
        <f>IF(R208=R$198,"OK","NOK")</f>
        <v>OK</v>
      </c>
      <c r="S209" s="17"/>
      <c r="T209" s="17" t="str">
        <f>IF(T208=T$198,"OK","NOK")</f>
        <v>OK</v>
      </c>
      <c r="U209" s="17" t="str">
        <f>IF(U208=U$198,"OK","NOK")</f>
        <v>OK</v>
      </c>
      <c r="V209" s="359"/>
      <c r="W209" s="382"/>
      <c r="X209" s="646"/>
      <c r="Y209" s="646"/>
      <c r="Z209" s="201"/>
      <c r="AA209" s="201"/>
      <c r="AB209" s="201"/>
      <c r="AC209" s="84"/>
      <c r="AE209" s="17"/>
      <c r="AF209" s="17"/>
      <c r="AG209" s="17"/>
      <c r="AH209" s="646"/>
      <c r="AI209" s="91"/>
      <c r="AK209" s="17"/>
      <c r="AL209" s="17"/>
      <c r="AM209" s="17"/>
      <c r="AN209" s="646"/>
      <c r="AO209" s="91"/>
      <c r="AQ209" s="17"/>
      <c r="AR209" s="17"/>
      <c r="AS209" s="17"/>
      <c r="AT209" s="646"/>
      <c r="AU209" s="91"/>
      <c r="AW209" s="17"/>
      <c r="AX209" s="17"/>
      <c r="AY209" s="17"/>
      <c r="AZ209" s="17"/>
      <c r="BA209" s="91"/>
    </row>
    <row r="210" spans="1:53" ht="17.100000000000001" customHeight="1" x14ac:dyDescent="0.25">
      <c r="A210" s="40"/>
      <c r="B210" s="41" t="s">
        <v>180</v>
      </c>
      <c r="C210" s="274" t="s">
        <v>255</v>
      </c>
      <c r="D210" s="43"/>
      <c r="E210" s="43"/>
      <c r="F210" s="43"/>
      <c r="G210" s="43"/>
      <c r="H210" s="23"/>
      <c r="I210" s="12"/>
      <c r="J210" s="73"/>
      <c r="K210" s="73"/>
      <c r="L210" s="73"/>
      <c r="M210" s="73"/>
      <c r="N210" s="73"/>
      <c r="O210" s="73"/>
      <c r="P210" s="73"/>
      <c r="Q210" s="73"/>
      <c r="R210" s="73"/>
      <c r="S210" s="73"/>
      <c r="T210" s="73"/>
      <c r="U210" s="73"/>
      <c r="V210" s="73"/>
      <c r="W210" s="73"/>
      <c r="X210" s="73"/>
      <c r="Y210" s="73"/>
      <c r="Z210" s="73"/>
      <c r="AA210" s="73"/>
      <c r="AB210" s="73"/>
      <c r="AC210" s="73"/>
      <c r="AE210" s="73"/>
      <c r="AF210" s="73"/>
      <c r="AG210" s="73"/>
      <c r="AH210" s="73"/>
      <c r="AI210" s="73"/>
      <c r="AK210" s="73"/>
      <c r="AL210" s="73"/>
      <c r="AM210" s="73"/>
      <c r="AN210" s="73"/>
      <c r="AO210" s="73"/>
      <c r="AQ210" s="73"/>
      <c r="AR210" s="73"/>
      <c r="AS210" s="73"/>
      <c r="AT210" s="73"/>
      <c r="AU210" s="73"/>
      <c r="AW210" s="73"/>
      <c r="AX210" s="73"/>
      <c r="AY210" s="73"/>
      <c r="AZ210" s="73"/>
      <c r="BA210" s="73"/>
    </row>
    <row r="211" spans="1:53" s="4" customFormat="1" ht="17.100000000000001" customHeight="1" x14ac:dyDescent="0.25">
      <c r="A211" s="40"/>
      <c r="B211" s="40"/>
      <c r="C211" s="141" t="s">
        <v>440</v>
      </c>
      <c r="D211" s="146" t="s">
        <v>113</v>
      </c>
      <c r="E211" s="75"/>
      <c r="F211" s="75"/>
      <c r="G211" s="75"/>
      <c r="H211" s="23"/>
      <c r="I211" s="12"/>
      <c r="J211" s="174"/>
      <c r="K211" s="174"/>
      <c r="L211" s="111"/>
      <c r="M211" s="111"/>
      <c r="N211" s="60"/>
      <c r="O211" s="60"/>
      <c r="P211" s="17">
        <f t="shared" ref="P211:P213" si="211">SUM(N211:O211)</f>
        <v>0</v>
      </c>
      <c r="Q211" s="60"/>
      <c r="R211" s="60"/>
      <c r="S211" s="17">
        <f t="shared" ref="S211:S213" si="212">SUM(Q211:R211)</f>
        <v>0</v>
      </c>
      <c r="T211" s="60"/>
      <c r="U211" s="60"/>
      <c r="V211" s="17">
        <f t="shared" ref="V211:V213" si="213">SUM(T211:U211)</f>
        <v>0</v>
      </c>
      <c r="W211" s="391">
        <f t="shared" ref="W211:W213" si="214">J211+K211+N211+Q211+T211</f>
        <v>0</v>
      </c>
      <c r="X211" s="17">
        <f t="shared" ref="X211:X213" si="215">L211+O211+R211+U211</f>
        <v>0</v>
      </c>
      <c r="Y211" s="18">
        <f t="shared" ref="Y211:Y213" si="216">SUM(W211:X211)</f>
        <v>0</v>
      </c>
      <c r="Z211" s="19">
        <f>IF(Y$214=0,0,Y211/Y$214)</f>
        <v>0</v>
      </c>
      <c r="AA211" s="19"/>
      <c r="AB211" s="19"/>
      <c r="AC211" s="20"/>
      <c r="AE211" s="111"/>
      <c r="AF211" s="111"/>
      <c r="AG211" s="111"/>
      <c r="AH211" s="651"/>
      <c r="AI211" s="131"/>
      <c r="AJ211" s="3"/>
      <c r="AK211" s="111"/>
      <c r="AL211" s="111"/>
      <c r="AM211" s="111"/>
      <c r="AN211" s="651"/>
      <c r="AO211" s="131"/>
      <c r="AP211" s="3"/>
      <c r="AQ211" s="17"/>
      <c r="AR211" s="17"/>
      <c r="AS211" s="17"/>
      <c r="AT211" s="424">
        <f>W211</f>
        <v>0</v>
      </c>
      <c r="AU211" s="19">
        <f>IF(AT$214=0,0,AT211/AT$214)</f>
        <v>0</v>
      </c>
      <c r="AV211" s="3"/>
      <c r="AW211" s="17"/>
      <c r="AX211" s="17"/>
      <c r="AY211" s="17"/>
      <c r="AZ211" s="424">
        <f>X211</f>
        <v>0</v>
      </c>
      <c r="BA211" s="19">
        <f>IF(AZ$214=0,0,AZ211/AZ$214)</f>
        <v>0</v>
      </c>
    </row>
    <row r="212" spans="1:53" s="4" customFormat="1" ht="17.100000000000001" customHeight="1" x14ac:dyDescent="0.25">
      <c r="A212" s="40"/>
      <c r="B212" s="40"/>
      <c r="C212" s="141" t="s">
        <v>441</v>
      </c>
      <c r="D212" s="146" t="s">
        <v>602</v>
      </c>
      <c r="E212" s="75"/>
      <c r="F212" s="75"/>
      <c r="G212" s="75"/>
      <c r="H212" s="23"/>
      <c r="I212" s="12"/>
      <c r="J212" s="174"/>
      <c r="K212" s="174"/>
      <c r="L212" s="111"/>
      <c r="M212" s="111"/>
      <c r="N212" s="61">
        <v>4</v>
      </c>
      <c r="O212" s="61">
        <v>7</v>
      </c>
      <c r="P212" s="17">
        <f t="shared" si="211"/>
        <v>11</v>
      </c>
      <c r="Q212" s="61"/>
      <c r="R212" s="61"/>
      <c r="S212" s="17">
        <f t="shared" si="212"/>
        <v>0</v>
      </c>
      <c r="T212" s="61"/>
      <c r="U212" s="61"/>
      <c r="V212" s="17">
        <f t="shared" si="213"/>
        <v>0</v>
      </c>
      <c r="W212" s="391">
        <f t="shared" si="214"/>
        <v>4</v>
      </c>
      <c r="X212" s="17">
        <f t="shared" si="215"/>
        <v>7</v>
      </c>
      <c r="Y212" s="18">
        <f t="shared" si="216"/>
        <v>11</v>
      </c>
      <c r="Z212" s="19">
        <f t="shared" ref="Z212:Z214" si="217">IF(Y$214=0,0,Y212/Y$214)</f>
        <v>1</v>
      </c>
      <c r="AA212" s="19"/>
      <c r="AB212" s="19"/>
      <c r="AC212" s="20"/>
      <c r="AE212" s="111"/>
      <c r="AF212" s="111"/>
      <c r="AG212" s="111"/>
      <c r="AH212" s="651"/>
      <c r="AI212" s="131"/>
      <c r="AJ212" s="3"/>
      <c r="AK212" s="111"/>
      <c r="AL212" s="111"/>
      <c r="AM212" s="111"/>
      <c r="AN212" s="651"/>
      <c r="AO212" s="131"/>
      <c r="AP212" s="3"/>
      <c r="AQ212" s="17"/>
      <c r="AR212" s="17"/>
      <c r="AS212" s="17"/>
      <c r="AT212" s="424">
        <f t="shared" ref="AT212:AT213" si="218">W212</f>
        <v>4</v>
      </c>
      <c r="AU212" s="19">
        <f t="shared" ref="AU212:AU214" si="219">IF(AT$214=0,0,AT212/AT$214)</f>
        <v>1</v>
      </c>
      <c r="AV212" s="3"/>
      <c r="AW212" s="17"/>
      <c r="AX212" s="17"/>
      <c r="AY212" s="17"/>
      <c r="AZ212" s="424">
        <f t="shared" ref="AZ212:AZ213" si="220">X212</f>
        <v>7</v>
      </c>
      <c r="BA212" s="19">
        <f t="shared" ref="BA212:BA214" si="221">IF(AZ$214=0,0,AZ212/AZ$214)</f>
        <v>1</v>
      </c>
    </row>
    <row r="213" spans="1:53" s="4" customFormat="1" ht="17.100000000000001" customHeight="1" x14ac:dyDescent="0.25">
      <c r="A213" s="40"/>
      <c r="B213" s="40"/>
      <c r="C213" s="141" t="s">
        <v>442</v>
      </c>
      <c r="D213" s="596" t="s">
        <v>598</v>
      </c>
      <c r="E213" s="649"/>
      <c r="F213" s="649"/>
      <c r="G213" s="649"/>
      <c r="H213" s="254"/>
      <c r="I213" s="207"/>
      <c r="J213" s="174"/>
      <c r="K213" s="174"/>
      <c r="L213" s="111"/>
      <c r="M213" s="111"/>
      <c r="N213" s="60"/>
      <c r="O213" s="60"/>
      <c r="P213" s="17">
        <f t="shared" si="211"/>
        <v>0</v>
      </c>
      <c r="Q213" s="60"/>
      <c r="R213" s="60"/>
      <c r="S213" s="17">
        <f t="shared" si="212"/>
        <v>0</v>
      </c>
      <c r="T213" s="60"/>
      <c r="U213" s="60"/>
      <c r="V213" s="17">
        <f t="shared" si="213"/>
        <v>0</v>
      </c>
      <c r="W213" s="391">
        <f t="shared" si="214"/>
        <v>0</v>
      </c>
      <c r="X213" s="17">
        <f t="shared" si="215"/>
        <v>0</v>
      </c>
      <c r="Y213" s="18">
        <f t="shared" si="216"/>
        <v>0</v>
      </c>
      <c r="Z213" s="19">
        <f t="shared" si="217"/>
        <v>0</v>
      </c>
      <c r="AA213" s="19"/>
      <c r="AB213" s="19"/>
      <c r="AC213" s="20"/>
      <c r="AE213" s="111"/>
      <c r="AF213" s="111"/>
      <c r="AG213" s="111"/>
      <c r="AH213" s="651"/>
      <c r="AI213" s="131"/>
      <c r="AJ213" s="3"/>
      <c r="AK213" s="111"/>
      <c r="AL213" s="111"/>
      <c r="AM213" s="111"/>
      <c r="AN213" s="651"/>
      <c r="AO213" s="131"/>
      <c r="AP213" s="3"/>
      <c r="AQ213" s="17"/>
      <c r="AR213" s="17"/>
      <c r="AS213" s="17"/>
      <c r="AT213" s="424">
        <f t="shared" si="218"/>
        <v>0</v>
      </c>
      <c r="AU213" s="19">
        <f t="shared" si="219"/>
        <v>0</v>
      </c>
      <c r="AV213" s="3"/>
      <c r="AW213" s="17"/>
      <c r="AX213" s="17"/>
      <c r="AY213" s="17"/>
      <c r="AZ213" s="424">
        <f t="shared" si="220"/>
        <v>0</v>
      </c>
      <c r="BA213" s="19">
        <f t="shared" si="221"/>
        <v>0</v>
      </c>
    </row>
    <row r="214" spans="1:53" ht="17.100000000000001" customHeight="1" x14ac:dyDescent="0.25">
      <c r="A214" s="40"/>
      <c r="B214" s="40"/>
      <c r="C214" s="292"/>
      <c r="D214" s="144"/>
      <c r="E214" s="144"/>
      <c r="F214" s="145"/>
      <c r="G214" s="145"/>
      <c r="H214" s="119"/>
      <c r="I214" s="236"/>
      <c r="J214" s="64"/>
      <c r="K214" s="64"/>
      <c r="L214" s="64"/>
      <c r="M214" s="64"/>
      <c r="N214" s="64">
        <f>SUM(N211:N213)</f>
        <v>4</v>
      </c>
      <c r="O214" s="64">
        <f t="shared" ref="O214:V214" si="222">SUM(O211:O213)</f>
        <v>7</v>
      </c>
      <c r="P214" s="64">
        <f t="shared" si="222"/>
        <v>11</v>
      </c>
      <c r="Q214" s="64">
        <f t="shared" si="222"/>
        <v>0</v>
      </c>
      <c r="R214" s="64">
        <f t="shared" si="222"/>
        <v>0</v>
      </c>
      <c r="S214" s="64">
        <f t="shared" si="222"/>
        <v>0</v>
      </c>
      <c r="T214" s="64">
        <f t="shared" si="222"/>
        <v>0</v>
      </c>
      <c r="U214" s="64">
        <f t="shared" si="222"/>
        <v>0</v>
      </c>
      <c r="V214" s="64">
        <f t="shared" si="222"/>
        <v>0</v>
      </c>
      <c r="W214" s="224">
        <f>SUM(W211:W213)</f>
        <v>4</v>
      </c>
      <c r="X214" s="224">
        <f t="shared" ref="X214:Y214" si="223">SUM(X211:X213)</f>
        <v>7</v>
      </c>
      <c r="Y214" s="224">
        <f t="shared" si="223"/>
        <v>11</v>
      </c>
      <c r="Z214" s="66">
        <f t="shared" si="217"/>
        <v>1</v>
      </c>
      <c r="AA214" s="205"/>
      <c r="AB214" s="205"/>
      <c r="AC214" s="83"/>
      <c r="AE214" s="81"/>
      <c r="AF214" s="81"/>
      <c r="AG214" s="82"/>
      <c r="AH214" s="82"/>
      <c r="AI214" s="66"/>
      <c r="AK214" s="81"/>
      <c r="AL214" s="81"/>
      <c r="AM214" s="82"/>
      <c r="AN214" s="82"/>
      <c r="AO214" s="66"/>
      <c r="AQ214" s="81"/>
      <c r="AR214" s="81"/>
      <c r="AS214" s="82"/>
      <c r="AT214" s="81">
        <f>SUM(AT211:AT213)</f>
        <v>4</v>
      </c>
      <c r="AU214" s="66">
        <f t="shared" si="219"/>
        <v>1</v>
      </c>
      <c r="AW214" s="81"/>
      <c r="AX214" s="81"/>
      <c r="AY214" s="82"/>
      <c r="AZ214" s="81">
        <f>SUM(AZ211:AZ213)</f>
        <v>7</v>
      </c>
      <c r="BA214" s="66">
        <f t="shared" si="221"/>
        <v>1</v>
      </c>
    </row>
    <row r="215" spans="1:53" s="117" customFormat="1" ht="17.100000000000001" customHeight="1" x14ac:dyDescent="0.25">
      <c r="A215" s="119"/>
      <c r="B215" s="119"/>
      <c r="C215" s="647"/>
      <c r="D215" s="212"/>
      <c r="E215" s="212"/>
      <c r="F215" s="212"/>
      <c r="G215" s="212"/>
      <c r="H215" s="242"/>
      <c r="I215" s="230"/>
      <c r="J215" s="17"/>
      <c r="K215" s="17"/>
      <c r="L215" s="17"/>
      <c r="M215" s="17"/>
      <c r="N215" s="17" t="str">
        <f>IF(N214=N$198,"OK","NOK")</f>
        <v>OK</v>
      </c>
      <c r="O215" s="17" t="str">
        <f>IF(O214=O$198,"OK","NOK")</f>
        <v>OK</v>
      </c>
      <c r="P215" s="17"/>
      <c r="Q215" s="17" t="str">
        <f>IF(Q214=Q$198,"OK","NOK")</f>
        <v>OK</v>
      </c>
      <c r="R215" s="17" t="str">
        <f>IF(R214=R$198,"OK","NOK")</f>
        <v>OK</v>
      </c>
      <c r="S215" s="17"/>
      <c r="T215" s="17" t="str">
        <f>IF(T214=T$198,"OK","NOK")</f>
        <v>OK</v>
      </c>
      <c r="U215" s="17" t="str">
        <f>IF(U214=U$198,"OK","NOK")</f>
        <v>OK</v>
      </c>
      <c r="V215" s="359"/>
      <c r="W215" s="382"/>
      <c r="X215" s="646"/>
      <c r="Y215" s="646"/>
      <c r="Z215" s="201"/>
      <c r="AA215" s="201"/>
      <c r="AB215" s="201"/>
      <c r="AC215" s="84"/>
      <c r="AE215" s="17"/>
      <c r="AF215" s="17"/>
      <c r="AG215" s="17"/>
      <c r="AH215" s="646"/>
      <c r="AI215" s="91"/>
      <c r="AK215" s="17"/>
      <c r="AL215" s="17"/>
      <c r="AM215" s="17"/>
      <c r="AN215" s="646"/>
      <c r="AO215" s="91"/>
      <c r="AQ215" s="17"/>
      <c r="AR215" s="17"/>
      <c r="AS215" s="17"/>
      <c r="AT215" s="646"/>
      <c r="AU215" s="91"/>
      <c r="AW215" s="17"/>
      <c r="AX215" s="17"/>
      <c r="AY215" s="17"/>
      <c r="AZ215" s="17"/>
      <c r="BA215" s="91"/>
    </row>
    <row r="216" spans="1:53" ht="17.100000000000001" customHeight="1" x14ac:dyDescent="0.25">
      <c r="A216" s="40"/>
      <c r="B216" s="299" t="s">
        <v>447</v>
      </c>
      <c r="C216" s="274" t="s">
        <v>606</v>
      </c>
      <c r="D216" s="300"/>
      <c r="E216" s="50"/>
      <c r="F216" s="50"/>
      <c r="G216" s="301"/>
      <c r="H216" s="119"/>
      <c r="I216" s="138"/>
      <c r="J216" s="88"/>
      <c r="K216" s="88"/>
      <c r="L216" s="71"/>
      <c r="M216" s="71"/>
      <c r="N216" s="71"/>
      <c r="O216" s="71"/>
      <c r="P216" s="71"/>
      <c r="Q216" s="71"/>
      <c r="R216" s="71"/>
      <c r="S216" s="71"/>
      <c r="T216" s="71"/>
      <c r="U216" s="71"/>
      <c r="V216" s="71"/>
      <c r="W216" s="71"/>
      <c r="X216" s="71"/>
      <c r="Y216" s="71"/>
      <c r="Z216" s="90"/>
      <c r="AA216" s="90"/>
      <c r="AB216" s="90"/>
      <c r="AC216" s="73"/>
      <c r="AE216" s="87"/>
      <c r="AF216" s="87"/>
      <c r="AG216" s="71"/>
      <c r="AH216" s="89"/>
      <c r="AI216" s="90"/>
      <c r="AJ216" s="117"/>
      <c r="AK216" s="87"/>
      <c r="AL216" s="87"/>
      <c r="AM216" s="71"/>
      <c r="AN216" s="89"/>
      <c r="AO216" s="90"/>
      <c r="AP216" s="117"/>
      <c r="AQ216" s="87"/>
      <c r="AR216" s="87"/>
      <c r="AS216" s="71"/>
      <c r="AT216" s="89"/>
      <c r="AU216" s="90"/>
      <c r="AV216" s="117"/>
      <c r="AW216" s="87"/>
      <c r="AX216" s="87"/>
      <c r="AY216" s="71"/>
      <c r="AZ216" s="89"/>
      <c r="BA216" s="90"/>
    </row>
    <row r="217" spans="1:53" ht="17.100000000000001" customHeight="1" x14ac:dyDescent="0.25">
      <c r="A217" s="40"/>
      <c r="B217" s="302"/>
      <c r="C217" s="56" t="s">
        <v>449</v>
      </c>
      <c r="D217" s="85" t="s">
        <v>173</v>
      </c>
      <c r="E217" s="167"/>
      <c r="F217" s="151"/>
      <c r="G217" s="151"/>
      <c r="H217" s="119"/>
      <c r="I217" s="138"/>
      <c r="J217" s="174"/>
      <c r="K217" s="174"/>
      <c r="L217" s="111"/>
      <c r="M217" s="111"/>
      <c r="N217" s="60"/>
      <c r="O217" s="60"/>
      <c r="P217" s="17">
        <f t="shared" ref="P217:P222" si="224">SUM(N217:O217)</f>
        <v>0</v>
      </c>
      <c r="Q217" s="60"/>
      <c r="R217" s="60"/>
      <c r="S217" s="17">
        <f t="shared" ref="S217:S222" si="225">SUM(Q217:R217)</f>
        <v>0</v>
      </c>
      <c r="T217" s="60"/>
      <c r="U217" s="60"/>
      <c r="V217" s="17">
        <f t="shared" ref="V217:V222" si="226">SUM(T217:U217)</f>
        <v>0</v>
      </c>
      <c r="W217" s="391">
        <f t="shared" ref="W217:W222" si="227">J217+K217+N217+Q217+T217</f>
        <v>0</v>
      </c>
      <c r="X217" s="17">
        <f t="shared" ref="X217:X222" si="228">L217+O217+R217+U217</f>
        <v>0</v>
      </c>
      <c r="Y217" s="18">
        <f t="shared" ref="Y217:Y222" si="229">SUM(W217:X217)</f>
        <v>0</v>
      </c>
      <c r="Z217" s="19">
        <f>IF(Y$223=0,0,Y217/Y$223)</f>
        <v>0</v>
      </c>
      <c r="AA217" s="91"/>
      <c r="AB217" s="91"/>
      <c r="AC217" s="84"/>
      <c r="AE217" s="111"/>
      <c r="AF217" s="111"/>
      <c r="AG217" s="111"/>
      <c r="AH217" s="112"/>
      <c r="AI217" s="113"/>
      <c r="AJ217" s="117"/>
      <c r="AK217" s="111"/>
      <c r="AL217" s="111"/>
      <c r="AM217" s="111"/>
      <c r="AN217" s="112"/>
      <c r="AO217" s="113"/>
      <c r="AP217" s="117"/>
      <c r="AQ217" s="17"/>
      <c r="AR217" s="17"/>
      <c r="AS217" s="17"/>
      <c r="AT217" s="18">
        <f t="shared" ref="AT217:AT218" si="230">W217</f>
        <v>0</v>
      </c>
      <c r="AU217" s="19">
        <f>IF(AT$444=0,0,AT217/AT$444)</f>
        <v>0</v>
      </c>
      <c r="AV217" s="117"/>
      <c r="AW217" s="17"/>
      <c r="AX217" s="17"/>
      <c r="AY217" s="17"/>
      <c r="AZ217" s="18">
        <f t="shared" ref="AZ217:AZ218" si="231">X217</f>
        <v>0</v>
      </c>
      <c r="BA217" s="19">
        <f>IF(AZ$444=0,0,AZ217/AZ$444)</f>
        <v>0</v>
      </c>
    </row>
    <row r="218" spans="1:53" ht="17.100000000000001" customHeight="1" x14ac:dyDescent="0.25">
      <c r="A218" s="40"/>
      <c r="B218" s="302"/>
      <c r="C218" s="56" t="s">
        <v>450</v>
      </c>
      <c r="D218" s="85" t="s">
        <v>544</v>
      </c>
      <c r="E218" s="167"/>
      <c r="F218" s="151"/>
      <c r="G218" s="151"/>
      <c r="H218" s="119"/>
      <c r="I218" s="138"/>
      <c r="J218" s="174"/>
      <c r="K218" s="174"/>
      <c r="L218" s="111"/>
      <c r="M218" s="111"/>
      <c r="N218" s="61">
        <v>4</v>
      </c>
      <c r="O218" s="61">
        <v>7</v>
      </c>
      <c r="P218" s="17">
        <f t="shared" si="224"/>
        <v>11</v>
      </c>
      <c r="Q218" s="61"/>
      <c r="R218" s="61"/>
      <c r="S218" s="17">
        <f t="shared" si="225"/>
        <v>0</v>
      </c>
      <c r="T218" s="61"/>
      <c r="U218" s="61"/>
      <c r="V218" s="17">
        <f t="shared" si="226"/>
        <v>0</v>
      </c>
      <c r="W218" s="391">
        <f t="shared" si="227"/>
        <v>4</v>
      </c>
      <c r="X218" s="17">
        <f t="shared" si="228"/>
        <v>7</v>
      </c>
      <c r="Y218" s="18">
        <f t="shared" si="229"/>
        <v>11</v>
      </c>
      <c r="Z218" s="19">
        <f t="shared" ref="Z218:Z223" si="232">IF(Y$223=0,0,Y218/Y$223)</f>
        <v>1</v>
      </c>
      <c r="AA218" s="91"/>
      <c r="AB218" s="91"/>
      <c r="AC218" s="84"/>
      <c r="AE218" s="111"/>
      <c r="AF218" s="111"/>
      <c r="AG218" s="111"/>
      <c r="AH218" s="112"/>
      <c r="AI218" s="113"/>
      <c r="AJ218" s="117"/>
      <c r="AK218" s="111"/>
      <c r="AL218" s="111"/>
      <c r="AM218" s="111"/>
      <c r="AN218" s="112"/>
      <c r="AO218" s="113"/>
      <c r="AP218" s="117"/>
      <c r="AQ218" s="17"/>
      <c r="AR218" s="17"/>
      <c r="AS218" s="17"/>
      <c r="AT218" s="18">
        <f t="shared" si="230"/>
        <v>4</v>
      </c>
      <c r="AU218" s="19">
        <f>IF(AT$444=0,0,AT218/AT$444)</f>
        <v>0</v>
      </c>
      <c r="AV218" s="117"/>
      <c r="AW218" s="17"/>
      <c r="AX218" s="17"/>
      <c r="AY218" s="17"/>
      <c r="AZ218" s="18">
        <f t="shared" si="231"/>
        <v>7</v>
      </c>
      <c r="BA218" s="19">
        <f>IF(AZ$444=0,0,AZ218/AZ$444)</f>
        <v>0</v>
      </c>
    </row>
    <row r="219" spans="1:53" ht="17.100000000000001" customHeight="1" x14ac:dyDescent="0.25">
      <c r="A219" s="40"/>
      <c r="B219" s="40"/>
      <c r="C219" s="56" t="s">
        <v>451</v>
      </c>
      <c r="D219" s="146" t="s">
        <v>484</v>
      </c>
      <c r="E219" s="149"/>
      <c r="F219" s="151"/>
      <c r="G219" s="151"/>
      <c r="H219" s="119"/>
      <c r="I219" s="236"/>
      <c r="J219" s="174"/>
      <c r="K219" s="174"/>
      <c r="L219" s="111"/>
      <c r="M219" s="111"/>
      <c r="N219" s="60">
        <v>1100000</v>
      </c>
      <c r="O219" s="60">
        <v>1200000</v>
      </c>
      <c r="P219" s="17"/>
      <c r="Q219" s="60"/>
      <c r="R219" s="60"/>
      <c r="S219" s="17"/>
      <c r="T219" s="60"/>
      <c r="U219" s="60"/>
      <c r="V219" s="17"/>
      <c r="W219" s="391">
        <f>MIN(N219,Q219,T219)</f>
        <v>1100000</v>
      </c>
      <c r="X219" s="17">
        <f>MIN(O219,R219,U219)</f>
        <v>1200000</v>
      </c>
      <c r="Y219" s="18"/>
      <c r="Z219" s="19"/>
      <c r="AA219" s="17">
        <f>MIN(N219:U219)</f>
        <v>1100000</v>
      </c>
      <c r="AB219" s="17"/>
      <c r="AC219" s="17"/>
      <c r="AE219" s="111"/>
      <c r="AF219" s="111"/>
      <c r="AG219" s="111"/>
      <c r="AH219" s="651"/>
      <c r="AI219" s="131"/>
      <c r="AJ219" s="117"/>
      <c r="AK219" s="111"/>
      <c r="AL219" s="111"/>
      <c r="AM219" s="111"/>
      <c r="AN219" s="651"/>
      <c r="AO219" s="131"/>
      <c r="AP219" s="117"/>
      <c r="AQ219" s="17">
        <f>W219</f>
        <v>1100000</v>
      </c>
      <c r="AR219" s="17"/>
      <c r="AS219" s="17"/>
      <c r="AT219" s="18"/>
      <c r="AU219" s="19"/>
      <c r="AV219" s="117"/>
      <c r="AW219" s="17">
        <f>X219</f>
        <v>1200000</v>
      </c>
      <c r="AX219" s="17"/>
      <c r="AY219" s="17"/>
      <c r="AZ219" s="18"/>
      <c r="BA219" s="19"/>
    </row>
    <row r="220" spans="1:53" ht="17.100000000000001" customHeight="1" x14ac:dyDescent="0.25">
      <c r="A220" s="40"/>
      <c r="B220" s="40"/>
      <c r="C220" s="56" t="s">
        <v>603</v>
      </c>
      <c r="D220" s="146" t="s">
        <v>485</v>
      </c>
      <c r="E220" s="149"/>
      <c r="F220" s="151"/>
      <c r="G220" s="151"/>
      <c r="H220" s="119"/>
      <c r="I220" s="236"/>
      <c r="J220" s="174"/>
      <c r="K220" s="174"/>
      <c r="L220" s="111"/>
      <c r="M220" s="111"/>
      <c r="N220" s="61">
        <v>2000000</v>
      </c>
      <c r="O220" s="61">
        <v>2000000</v>
      </c>
      <c r="P220" s="17"/>
      <c r="Q220" s="61"/>
      <c r="R220" s="61"/>
      <c r="S220" s="17"/>
      <c r="T220" s="61"/>
      <c r="U220" s="61"/>
      <c r="V220" s="17"/>
      <c r="W220" s="391">
        <f>MAX(N220,Q220,T220)</f>
        <v>2000000</v>
      </c>
      <c r="X220" s="17">
        <f>MAX(O220,R220,U220)</f>
        <v>2000000</v>
      </c>
      <c r="Y220" s="18"/>
      <c r="Z220" s="19"/>
      <c r="AA220" s="17"/>
      <c r="AB220" s="17">
        <f>MAX(N220:U220)</f>
        <v>2000000</v>
      </c>
      <c r="AC220" s="17"/>
      <c r="AE220" s="111"/>
      <c r="AF220" s="111"/>
      <c r="AG220" s="111"/>
      <c r="AH220" s="651"/>
      <c r="AI220" s="131"/>
      <c r="AJ220" s="117"/>
      <c r="AK220" s="111"/>
      <c r="AL220" s="111"/>
      <c r="AM220" s="111"/>
      <c r="AN220" s="651"/>
      <c r="AO220" s="131"/>
      <c r="AP220" s="117"/>
      <c r="AQ220" s="17"/>
      <c r="AR220" s="17">
        <f>W220</f>
        <v>2000000</v>
      </c>
      <c r="AS220" s="17"/>
      <c r="AT220" s="18"/>
      <c r="AU220" s="19"/>
      <c r="AV220" s="117"/>
      <c r="AW220" s="17"/>
      <c r="AX220" s="17">
        <f>X220</f>
        <v>2000000</v>
      </c>
      <c r="AY220" s="17"/>
      <c r="AZ220" s="18"/>
      <c r="BA220" s="19"/>
    </row>
    <row r="221" spans="1:53" ht="17.100000000000001" customHeight="1" x14ac:dyDescent="0.25">
      <c r="A221" s="40"/>
      <c r="B221" s="40"/>
      <c r="C221" s="56" t="s">
        <v>604</v>
      </c>
      <c r="D221" s="146" t="s">
        <v>543</v>
      </c>
      <c r="E221" s="149"/>
      <c r="F221" s="151"/>
      <c r="G221" s="151"/>
      <c r="H221" s="119"/>
      <c r="I221" s="236"/>
      <c r="J221" s="174"/>
      <c r="K221" s="174"/>
      <c r="L221" s="111"/>
      <c r="M221" s="111"/>
      <c r="N221" s="60">
        <v>1375000</v>
      </c>
      <c r="O221" s="60">
        <v>1814000</v>
      </c>
      <c r="P221" s="17"/>
      <c r="Q221" s="60"/>
      <c r="R221" s="60"/>
      <c r="S221" s="17"/>
      <c r="T221" s="60"/>
      <c r="U221" s="60"/>
      <c r="V221" s="17"/>
      <c r="W221" s="391">
        <f>IF(N221+Q221+T221=0,0,AVERAGE(N221,Q221,T221))</f>
        <v>1375000</v>
      </c>
      <c r="X221" s="17">
        <f>IF(O221+R221+U221=0,0,AVERAGE(O221,R221,U221))</f>
        <v>1814000</v>
      </c>
      <c r="Y221" s="18"/>
      <c r="Z221" s="19"/>
      <c r="AA221" s="17"/>
      <c r="AB221" s="17"/>
      <c r="AC221" s="17">
        <f>IF(SUM(N221:U221)=0,0,AVERAGE(N221:U221))</f>
        <v>1594500</v>
      </c>
      <c r="AE221" s="111"/>
      <c r="AF221" s="111"/>
      <c r="AG221" s="111"/>
      <c r="AH221" s="651"/>
      <c r="AI221" s="131"/>
      <c r="AJ221" s="117"/>
      <c r="AK221" s="111"/>
      <c r="AL221" s="111"/>
      <c r="AM221" s="111"/>
      <c r="AN221" s="651"/>
      <c r="AO221" s="131"/>
      <c r="AP221" s="117"/>
      <c r="AQ221" s="17"/>
      <c r="AR221" s="17"/>
      <c r="AS221" s="17">
        <f>W221</f>
        <v>1375000</v>
      </c>
      <c r="AT221" s="18"/>
      <c r="AU221" s="19"/>
      <c r="AV221" s="117"/>
      <c r="AW221" s="17"/>
      <c r="AX221" s="17"/>
      <c r="AY221" s="17">
        <f>X221</f>
        <v>1814000</v>
      </c>
      <c r="AZ221" s="18"/>
      <c r="BA221" s="19"/>
    </row>
    <row r="222" spans="1:53" ht="17.100000000000001" customHeight="1" x14ac:dyDescent="0.25">
      <c r="A222" s="40"/>
      <c r="B222" s="179"/>
      <c r="C222" s="56" t="s">
        <v>605</v>
      </c>
      <c r="D222" s="85" t="s">
        <v>129</v>
      </c>
      <c r="E222" s="167"/>
      <c r="F222" s="151"/>
      <c r="G222" s="151"/>
      <c r="H222" s="119"/>
      <c r="I222" s="138"/>
      <c r="J222" s="174"/>
      <c r="K222" s="174"/>
      <c r="L222" s="111"/>
      <c r="M222" s="111"/>
      <c r="N222" s="61"/>
      <c r="O222" s="61"/>
      <c r="P222" s="17">
        <f t="shared" si="224"/>
        <v>0</v>
      </c>
      <c r="Q222" s="61"/>
      <c r="R222" s="61"/>
      <c r="S222" s="17">
        <f t="shared" si="225"/>
        <v>0</v>
      </c>
      <c r="T222" s="61"/>
      <c r="U222" s="61"/>
      <c r="V222" s="17">
        <f t="shared" si="226"/>
        <v>0</v>
      </c>
      <c r="W222" s="391">
        <f t="shared" si="227"/>
        <v>0</v>
      </c>
      <c r="X222" s="17">
        <f t="shared" si="228"/>
        <v>0</v>
      </c>
      <c r="Y222" s="18">
        <f t="shared" si="229"/>
        <v>0</v>
      </c>
      <c r="Z222" s="19">
        <f t="shared" si="232"/>
        <v>0</v>
      </c>
      <c r="AA222" s="91"/>
      <c r="AB222" s="91"/>
      <c r="AC222" s="84"/>
      <c r="AE222" s="111"/>
      <c r="AF222" s="111"/>
      <c r="AG222" s="111"/>
      <c r="AH222" s="112"/>
      <c r="AI222" s="113"/>
      <c r="AJ222" s="117"/>
      <c r="AK222" s="111"/>
      <c r="AL222" s="111"/>
      <c r="AM222" s="111"/>
      <c r="AN222" s="112"/>
      <c r="AO222" s="113"/>
      <c r="AP222" s="117"/>
      <c r="AQ222" s="17"/>
      <c r="AR222" s="17"/>
      <c r="AS222" s="17"/>
      <c r="AT222" s="18">
        <f t="shared" ref="AT222" si="233">W222</f>
        <v>0</v>
      </c>
      <c r="AU222" s="19">
        <f>IF(AT$444=0,0,AT222/AT$444)</f>
        <v>0</v>
      </c>
      <c r="AV222" s="117"/>
      <c r="AW222" s="17"/>
      <c r="AX222" s="17"/>
      <c r="AY222" s="17"/>
      <c r="AZ222" s="18">
        <f t="shared" ref="AZ222" si="234">X222</f>
        <v>0</v>
      </c>
      <c r="BA222" s="19">
        <f>IF(AZ$444=0,0,AZ222/AZ$444)</f>
        <v>0</v>
      </c>
    </row>
    <row r="223" spans="1:53" ht="17.100000000000001" customHeight="1" x14ac:dyDescent="0.25">
      <c r="A223" s="40"/>
      <c r="B223" s="179"/>
      <c r="C223" s="292"/>
      <c r="D223" s="144"/>
      <c r="E223" s="144"/>
      <c r="F223" s="145"/>
      <c r="G223" s="145"/>
      <c r="H223" s="119"/>
      <c r="I223" s="138"/>
      <c r="J223" s="64"/>
      <c r="K223" s="64"/>
      <c r="L223" s="64"/>
      <c r="M223" s="64"/>
      <c r="N223" s="64">
        <f>N217+N218+N222</f>
        <v>4</v>
      </c>
      <c r="O223" s="64">
        <f t="shared" ref="O223:V223" si="235">O217+O218+O222</f>
        <v>7</v>
      </c>
      <c r="P223" s="64">
        <f t="shared" si="235"/>
        <v>11</v>
      </c>
      <c r="Q223" s="64">
        <f t="shared" si="235"/>
        <v>0</v>
      </c>
      <c r="R223" s="64">
        <f t="shared" si="235"/>
        <v>0</v>
      </c>
      <c r="S223" s="64">
        <f t="shared" si="235"/>
        <v>0</v>
      </c>
      <c r="T223" s="64">
        <f t="shared" si="235"/>
        <v>0</v>
      </c>
      <c r="U223" s="64">
        <f t="shared" si="235"/>
        <v>0</v>
      </c>
      <c r="V223" s="64">
        <f t="shared" si="235"/>
        <v>0</v>
      </c>
      <c r="W223" s="224">
        <f>SUM(W217:W222)</f>
        <v>4475004</v>
      </c>
      <c r="X223" s="224">
        <f t="shared" ref="X223:Y223" si="236">SUM(X217:X222)</f>
        <v>5014007</v>
      </c>
      <c r="Y223" s="224">
        <f t="shared" si="236"/>
        <v>11</v>
      </c>
      <c r="Z223" s="66">
        <f t="shared" si="232"/>
        <v>1</v>
      </c>
      <c r="AA223" s="205"/>
      <c r="AB223" s="205"/>
      <c r="AC223" s="83"/>
      <c r="AE223" s="80"/>
      <c r="AF223" s="80"/>
      <c r="AG223" s="81"/>
      <c r="AH223" s="82"/>
      <c r="AI223" s="66"/>
      <c r="AJ223" s="117"/>
      <c r="AK223" s="80"/>
      <c r="AL223" s="80"/>
      <c r="AM223" s="81"/>
      <c r="AN223" s="82"/>
      <c r="AO223" s="66"/>
      <c r="AP223" s="117"/>
      <c r="AQ223" s="80"/>
      <c r="AR223" s="80"/>
      <c r="AS223" s="81"/>
      <c r="AT223" s="82">
        <f>SUM(AT217:AT222)</f>
        <v>4</v>
      </c>
      <c r="AU223" s="66">
        <f>IF(AT$444=0,0,AT223/AT$444)</f>
        <v>0</v>
      </c>
      <c r="AV223" s="117"/>
      <c r="AW223" s="80"/>
      <c r="AX223" s="80"/>
      <c r="AY223" s="81"/>
      <c r="AZ223" s="82">
        <f>SUM(AZ217:AZ222)</f>
        <v>7</v>
      </c>
      <c r="BA223" s="66">
        <f>IF(AZ$444=0,0,AZ223/AZ$444)</f>
        <v>0</v>
      </c>
    </row>
    <row r="224" spans="1:53" s="117" customFormat="1" ht="17.100000000000001" customHeight="1" x14ac:dyDescent="0.25">
      <c r="A224" s="119"/>
      <c r="B224" s="119"/>
      <c r="C224" s="647"/>
      <c r="D224" s="212"/>
      <c r="E224" s="212"/>
      <c r="F224" s="212"/>
      <c r="G224" s="212"/>
      <c r="H224" s="242"/>
      <c r="I224" s="230"/>
      <c r="J224" s="17"/>
      <c r="K224" s="17"/>
      <c r="L224" s="17"/>
      <c r="M224" s="17"/>
      <c r="N224" s="17" t="str">
        <f>IF(N223=N$198,"OK","NOK")</f>
        <v>OK</v>
      </c>
      <c r="O224" s="17" t="str">
        <f>IF(O223=O$198,"OK","NOK")</f>
        <v>OK</v>
      </c>
      <c r="P224" s="17"/>
      <c r="Q224" s="17" t="str">
        <f>IF(Q223=Q$198,"OK","NOK")</f>
        <v>OK</v>
      </c>
      <c r="R224" s="17" t="str">
        <f>IF(R223=R$198,"OK","NOK")</f>
        <v>OK</v>
      </c>
      <c r="S224" s="17"/>
      <c r="T224" s="17" t="str">
        <f>IF(T223=T$198,"OK","NOK")</f>
        <v>OK</v>
      </c>
      <c r="U224" s="17" t="str">
        <f>IF(U223=U$198,"OK","NOK")</f>
        <v>OK</v>
      </c>
      <c r="V224" s="359"/>
      <c r="W224" s="382"/>
      <c r="X224" s="646"/>
      <c r="Y224" s="646"/>
      <c r="Z224" s="201"/>
      <c r="AA224" s="201"/>
      <c r="AB224" s="201"/>
      <c r="AC224" s="84"/>
      <c r="AE224" s="17"/>
      <c r="AF224" s="17"/>
      <c r="AG224" s="17"/>
      <c r="AH224" s="646"/>
      <c r="AI224" s="91"/>
      <c r="AK224" s="17"/>
      <c r="AL224" s="17"/>
      <c r="AM224" s="17"/>
      <c r="AN224" s="646"/>
      <c r="AO224" s="91"/>
      <c r="AQ224" s="17"/>
      <c r="AR224" s="17"/>
      <c r="AS224" s="17"/>
      <c r="AT224" s="646"/>
      <c r="AU224" s="91"/>
      <c r="AW224" s="17"/>
      <c r="AX224" s="17"/>
      <c r="AY224" s="17"/>
      <c r="AZ224" s="17"/>
      <c r="BA224" s="91"/>
    </row>
    <row r="225" spans="1:53" ht="17.100000000000001" customHeight="1" x14ac:dyDescent="0.25">
      <c r="A225" s="40"/>
      <c r="B225" s="299" t="s">
        <v>452</v>
      </c>
      <c r="C225" s="274" t="s">
        <v>1057</v>
      </c>
      <c r="D225" s="300"/>
      <c r="E225" s="50"/>
      <c r="F225" s="50"/>
      <c r="G225" s="301"/>
      <c r="H225" s="119"/>
      <c r="I225" s="138"/>
      <c r="J225" s="88"/>
      <c r="K225" s="88"/>
      <c r="L225" s="71"/>
      <c r="M225" s="71"/>
      <c r="N225" s="71"/>
      <c r="O225" s="71"/>
      <c r="P225" s="71"/>
      <c r="Q225" s="71"/>
      <c r="R225" s="71"/>
      <c r="S225" s="71"/>
      <c r="T225" s="71"/>
      <c r="U225" s="71"/>
      <c r="V225" s="71"/>
      <c r="W225" s="71"/>
      <c r="X225" s="71"/>
      <c r="Y225" s="71"/>
      <c r="Z225" s="90"/>
      <c r="AA225" s="90"/>
      <c r="AB225" s="90"/>
      <c r="AC225" s="73"/>
      <c r="AE225" s="87"/>
      <c r="AF225" s="87"/>
      <c r="AG225" s="71"/>
      <c r="AH225" s="89"/>
      <c r="AI225" s="90"/>
      <c r="AJ225" s="117"/>
      <c r="AK225" s="87"/>
      <c r="AL225" s="87"/>
      <c r="AM225" s="71"/>
      <c r="AN225" s="89"/>
      <c r="AO225" s="90"/>
      <c r="AP225" s="117"/>
      <c r="AQ225" s="87"/>
      <c r="AR225" s="87"/>
      <c r="AS225" s="71"/>
      <c r="AT225" s="89"/>
      <c r="AU225" s="90"/>
      <c r="AV225" s="117"/>
      <c r="AW225" s="87"/>
      <c r="AX225" s="87"/>
      <c r="AY225" s="71"/>
      <c r="AZ225" s="89"/>
      <c r="BA225" s="90"/>
    </row>
    <row r="226" spans="1:53" ht="17.100000000000001" customHeight="1" x14ac:dyDescent="0.25">
      <c r="A226" s="40"/>
      <c r="B226" s="302"/>
      <c r="C226" s="56" t="s">
        <v>454</v>
      </c>
      <c r="D226" s="85" t="s">
        <v>173</v>
      </c>
      <c r="E226" s="167"/>
      <c r="F226" s="151"/>
      <c r="G226" s="151"/>
      <c r="H226" s="119"/>
      <c r="I226" s="138"/>
      <c r="J226" s="174"/>
      <c r="K226" s="174"/>
      <c r="L226" s="111"/>
      <c r="M226" s="111"/>
      <c r="N226" s="60"/>
      <c r="O226" s="60"/>
      <c r="P226" s="17">
        <f t="shared" ref="P226:P227" si="237">SUM(N226:O226)</f>
        <v>0</v>
      </c>
      <c r="Q226" s="60"/>
      <c r="R226" s="60"/>
      <c r="S226" s="17">
        <f t="shared" ref="S226:S227" si="238">SUM(Q226:R226)</f>
        <v>0</v>
      </c>
      <c r="T226" s="60"/>
      <c r="U226" s="60"/>
      <c r="V226" s="17">
        <f t="shared" ref="V226:V227" si="239">SUM(T226:U226)</f>
        <v>0</v>
      </c>
      <c r="W226" s="391">
        <f t="shared" ref="W226:W227" si="240">J226+K226+N226+Q226+T226</f>
        <v>0</v>
      </c>
      <c r="X226" s="17">
        <f t="shared" ref="X226:X227" si="241">L226+O226+R226+U226</f>
        <v>0</v>
      </c>
      <c r="Y226" s="18">
        <f t="shared" ref="Y226:Y227" si="242">SUM(W226:X226)</f>
        <v>0</v>
      </c>
      <c r="Z226" s="19">
        <f>IF(Y$223=0,0,Y226/Y$223)</f>
        <v>0</v>
      </c>
      <c r="AA226" s="91"/>
      <c r="AB226" s="91"/>
      <c r="AC226" s="84"/>
      <c r="AE226" s="111"/>
      <c r="AF226" s="111"/>
      <c r="AG226" s="111"/>
      <c r="AH226" s="112"/>
      <c r="AI226" s="113"/>
      <c r="AJ226" s="117"/>
      <c r="AK226" s="111"/>
      <c r="AL226" s="111"/>
      <c r="AM226" s="111"/>
      <c r="AN226" s="112"/>
      <c r="AO226" s="113"/>
      <c r="AP226" s="117"/>
      <c r="AQ226" s="17"/>
      <c r="AR226" s="17"/>
      <c r="AS226" s="17"/>
      <c r="AT226" s="18">
        <f t="shared" ref="AT226:AT227" si="243">W226</f>
        <v>0</v>
      </c>
      <c r="AU226" s="19">
        <f>IF(AT$444=0,0,AT226/AT$444)</f>
        <v>0</v>
      </c>
      <c r="AV226" s="117"/>
      <c r="AW226" s="17"/>
      <c r="AX226" s="17"/>
      <c r="AY226" s="17"/>
      <c r="AZ226" s="18">
        <f t="shared" ref="AZ226:AZ227" si="244">X226</f>
        <v>0</v>
      </c>
      <c r="BA226" s="19">
        <f>IF(AZ$444=0,0,AZ226/AZ$444)</f>
        <v>0</v>
      </c>
    </row>
    <row r="227" spans="1:53" ht="17.100000000000001" customHeight="1" x14ac:dyDescent="0.25">
      <c r="A227" s="40"/>
      <c r="B227" s="302"/>
      <c r="C227" s="56" t="s">
        <v>455</v>
      </c>
      <c r="D227" s="85" t="s">
        <v>544</v>
      </c>
      <c r="E227" s="167"/>
      <c r="F227" s="151"/>
      <c r="G227" s="151"/>
      <c r="H227" s="119"/>
      <c r="I227" s="138"/>
      <c r="J227" s="174"/>
      <c r="K227" s="174"/>
      <c r="L227" s="111"/>
      <c r="M227" s="111"/>
      <c r="N227" s="61">
        <v>4</v>
      </c>
      <c r="O227" s="61">
        <v>7</v>
      </c>
      <c r="P227" s="17">
        <f t="shared" si="237"/>
        <v>11</v>
      </c>
      <c r="Q227" s="61"/>
      <c r="R227" s="61"/>
      <c r="S227" s="17">
        <f t="shared" si="238"/>
        <v>0</v>
      </c>
      <c r="T227" s="61"/>
      <c r="U227" s="61"/>
      <c r="V227" s="17">
        <f t="shared" si="239"/>
        <v>0</v>
      </c>
      <c r="W227" s="391">
        <f t="shared" si="240"/>
        <v>4</v>
      </c>
      <c r="X227" s="17">
        <f t="shared" si="241"/>
        <v>7</v>
      </c>
      <c r="Y227" s="18">
        <f t="shared" si="242"/>
        <v>11</v>
      </c>
      <c r="Z227" s="19">
        <f t="shared" ref="Z227" si="245">IF(Y$223=0,0,Y227/Y$223)</f>
        <v>1</v>
      </c>
      <c r="AA227" s="91"/>
      <c r="AB227" s="91"/>
      <c r="AC227" s="84"/>
      <c r="AE227" s="111"/>
      <c r="AF227" s="111"/>
      <c r="AG227" s="111"/>
      <c r="AH227" s="112"/>
      <c r="AI227" s="113"/>
      <c r="AJ227" s="117"/>
      <c r="AK227" s="111"/>
      <c r="AL227" s="111"/>
      <c r="AM227" s="111"/>
      <c r="AN227" s="112"/>
      <c r="AO227" s="113"/>
      <c r="AP227" s="117"/>
      <c r="AQ227" s="17"/>
      <c r="AR227" s="17"/>
      <c r="AS227" s="17"/>
      <c r="AT227" s="18">
        <f t="shared" si="243"/>
        <v>4</v>
      </c>
      <c r="AU227" s="19">
        <f>IF(AT$444=0,0,AT227/AT$444)</f>
        <v>0</v>
      </c>
      <c r="AV227" s="117"/>
      <c r="AW227" s="17"/>
      <c r="AX227" s="17"/>
      <c r="AY227" s="17"/>
      <c r="AZ227" s="18">
        <f t="shared" si="244"/>
        <v>7</v>
      </c>
      <c r="BA227" s="19">
        <f>IF(AZ$444=0,0,AZ227/AZ$444)</f>
        <v>0</v>
      </c>
    </row>
    <row r="228" spans="1:53" ht="17.100000000000001" customHeight="1" x14ac:dyDescent="0.25">
      <c r="A228" s="40"/>
      <c r="B228" s="40"/>
      <c r="C228" s="56" t="s">
        <v>456</v>
      </c>
      <c r="D228" s="146" t="s">
        <v>484</v>
      </c>
      <c r="E228" s="149"/>
      <c r="F228" s="151"/>
      <c r="G228" s="151"/>
      <c r="H228" s="119"/>
      <c r="I228" s="236"/>
      <c r="J228" s="174"/>
      <c r="K228" s="174"/>
      <c r="L228" s="111"/>
      <c r="M228" s="111"/>
      <c r="N228" s="60">
        <v>200000</v>
      </c>
      <c r="O228" s="60">
        <v>100000</v>
      </c>
      <c r="P228" s="17"/>
      <c r="Q228" s="60"/>
      <c r="R228" s="60"/>
      <c r="S228" s="17"/>
      <c r="T228" s="60"/>
      <c r="U228" s="60"/>
      <c r="V228" s="17"/>
      <c r="W228" s="391">
        <f>MIN(N228,Q228,T228)</f>
        <v>200000</v>
      </c>
      <c r="X228" s="17">
        <f>MIN(O228,R228,U228)</f>
        <v>100000</v>
      </c>
      <c r="Y228" s="18"/>
      <c r="Z228" s="19"/>
      <c r="AA228" s="17">
        <f>MIN(N228:U228)</f>
        <v>100000</v>
      </c>
      <c r="AB228" s="17"/>
      <c r="AC228" s="17"/>
      <c r="AE228" s="111"/>
      <c r="AF228" s="111"/>
      <c r="AG228" s="111"/>
      <c r="AH228" s="651"/>
      <c r="AI228" s="131"/>
      <c r="AJ228" s="117"/>
      <c r="AK228" s="111"/>
      <c r="AL228" s="111"/>
      <c r="AM228" s="111"/>
      <c r="AN228" s="651"/>
      <c r="AO228" s="131"/>
      <c r="AP228" s="117"/>
      <c r="AQ228" s="17">
        <f>W228</f>
        <v>200000</v>
      </c>
      <c r="AR228" s="17"/>
      <c r="AS228" s="17"/>
      <c r="AT228" s="18"/>
      <c r="AU228" s="19"/>
      <c r="AV228" s="117"/>
      <c r="AW228" s="17">
        <f>X228</f>
        <v>100000</v>
      </c>
      <c r="AX228" s="17"/>
      <c r="AY228" s="17"/>
      <c r="AZ228" s="18"/>
      <c r="BA228" s="19"/>
    </row>
    <row r="229" spans="1:53" ht="17.100000000000001" customHeight="1" x14ac:dyDescent="0.25">
      <c r="A229" s="40"/>
      <c r="B229" s="40"/>
      <c r="C229" s="56" t="s">
        <v>546</v>
      </c>
      <c r="D229" s="146" t="s">
        <v>485</v>
      </c>
      <c r="E229" s="149"/>
      <c r="F229" s="151"/>
      <c r="G229" s="151"/>
      <c r="H229" s="119"/>
      <c r="I229" s="236"/>
      <c r="J229" s="174"/>
      <c r="K229" s="174"/>
      <c r="L229" s="111"/>
      <c r="M229" s="111"/>
      <c r="N229" s="61">
        <v>500000</v>
      </c>
      <c r="O229" s="61">
        <v>400000</v>
      </c>
      <c r="P229" s="17"/>
      <c r="Q229" s="61"/>
      <c r="R229" s="61"/>
      <c r="S229" s="17"/>
      <c r="T229" s="61"/>
      <c r="U229" s="61"/>
      <c r="V229" s="17"/>
      <c r="W229" s="391">
        <f>MAX(N229,Q229,T229)</f>
        <v>500000</v>
      </c>
      <c r="X229" s="17">
        <f>MAX(O229,R229,U229)</f>
        <v>400000</v>
      </c>
      <c r="Y229" s="18"/>
      <c r="Z229" s="19"/>
      <c r="AA229" s="17"/>
      <c r="AB229" s="17">
        <f>MAX(N229:U229)</f>
        <v>500000</v>
      </c>
      <c r="AC229" s="17"/>
      <c r="AE229" s="111"/>
      <c r="AF229" s="111"/>
      <c r="AG229" s="111"/>
      <c r="AH229" s="651"/>
      <c r="AI229" s="131"/>
      <c r="AJ229" s="117"/>
      <c r="AK229" s="111"/>
      <c r="AL229" s="111"/>
      <c r="AM229" s="111"/>
      <c r="AN229" s="651"/>
      <c r="AO229" s="131"/>
      <c r="AP229" s="117"/>
      <c r="AQ229" s="17"/>
      <c r="AR229" s="17">
        <f>W229</f>
        <v>500000</v>
      </c>
      <c r="AS229" s="17"/>
      <c r="AT229" s="18"/>
      <c r="AU229" s="19"/>
      <c r="AV229" s="117"/>
      <c r="AW229" s="17"/>
      <c r="AX229" s="17">
        <f>X229</f>
        <v>400000</v>
      </c>
      <c r="AY229" s="17"/>
      <c r="AZ229" s="18"/>
      <c r="BA229" s="19"/>
    </row>
    <row r="230" spans="1:53" ht="17.100000000000001" customHeight="1" x14ac:dyDescent="0.25">
      <c r="A230" s="40"/>
      <c r="B230" s="40"/>
      <c r="C230" s="56" t="s">
        <v>547</v>
      </c>
      <c r="D230" s="146" t="s">
        <v>543</v>
      </c>
      <c r="E230" s="149"/>
      <c r="F230" s="151"/>
      <c r="G230" s="151"/>
      <c r="H230" s="119"/>
      <c r="I230" s="236"/>
      <c r="J230" s="174"/>
      <c r="K230" s="174"/>
      <c r="L230" s="111"/>
      <c r="M230" s="111"/>
      <c r="N230" s="60">
        <v>275000</v>
      </c>
      <c r="O230" s="60">
        <v>242000</v>
      </c>
      <c r="P230" s="17"/>
      <c r="Q230" s="60"/>
      <c r="R230" s="60"/>
      <c r="S230" s="17"/>
      <c r="T230" s="60"/>
      <c r="U230" s="60"/>
      <c r="V230" s="17"/>
      <c r="W230" s="391">
        <f>IF(N230+Q230+T230=0,0,AVERAGE(N230,Q230,T230))</f>
        <v>275000</v>
      </c>
      <c r="X230" s="17">
        <f>IF(O230+R230+U230=0,0,AVERAGE(O230,R230,U230))</f>
        <v>242000</v>
      </c>
      <c r="Y230" s="18"/>
      <c r="Z230" s="19"/>
      <c r="AA230" s="17"/>
      <c r="AB230" s="17"/>
      <c r="AC230" s="17">
        <f>IF(SUM(N230:U230)=0,0,AVERAGE(N230:U230))</f>
        <v>258500</v>
      </c>
      <c r="AE230" s="111"/>
      <c r="AF230" s="111"/>
      <c r="AG230" s="111"/>
      <c r="AH230" s="651"/>
      <c r="AI230" s="131"/>
      <c r="AJ230" s="117"/>
      <c r="AK230" s="111"/>
      <c r="AL230" s="111"/>
      <c r="AM230" s="111"/>
      <c r="AN230" s="651"/>
      <c r="AO230" s="131"/>
      <c r="AP230" s="117"/>
      <c r="AQ230" s="17"/>
      <c r="AR230" s="17"/>
      <c r="AS230" s="17">
        <f>W230</f>
        <v>275000</v>
      </c>
      <c r="AT230" s="18"/>
      <c r="AU230" s="19"/>
      <c r="AV230" s="117"/>
      <c r="AW230" s="17"/>
      <c r="AX230" s="17"/>
      <c r="AY230" s="17">
        <f>X230</f>
        <v>242000</v>
      </c>
      <c r="AZ230" s="18"/>
      <c r="BA230" s="19"/>
    </row>
    <row r="231" spans="1:53" ht="17.100000000000001" customHeight="1" x14ac:dyDescent="0.25">
      <c r="A231" s="40"/>
      <c r="B231" s="179"/>
      <c r="C231" s="56" t="s">
        <v>548</v>
      </c>
      <c r="D231" s="85" t="s">
        <v>129</v>
      </c>
      <c r="E231" s="167"/>
      <c r="F231" s="151"/>
      <c r="G231" s="151"/>
      <c r="H231" s="119"/>
      <c r="I231" s="138"/>
      <c r="J231" s="174"/>
      <c r="K231" s="174"/>
      <c r="L231" s="111"/>
      <c r="M231" s="111"/>
      <c r="N231" s="61"/>
      <c r="O231" s="61"/>
      <c r="P231" s="17">
        <f t="shared" ref="P231" si="246">SUM(N231:O231)</f>
        <v>0</v>
      </c>
      <c r="Q231" s="61"/>
      <c r="R231" s="61"/>
      <c r="S231" s="17">
        <f t="shared" ref="S231" si="247">SUM(Q231:R231)</f>
        <v>0</v>
      </c>
      <c r="T231" s="61"/>
      <c r="U231" s="61"/>
      <c r="V231" s="17">
        <f t="shared" ref="V231" si="248">SUM(T231:U231)</f>
        <v>0</v>
      </c>
      <c r="W231" s="391">
        <f t="shared" ref="W231" si="249">J231+K231+N231+Q231+T231</f>
        <v>0</v>
      </c>
      <c r="X231" s="17">
        <f t="shared" ref="X231" si="250">L231+O231+R231+U231</f>
        <v>0</v>
      </c>
      <c r="Y231" s="18">
        <f t="shared" ref="Y231" si="251">SUM(W231:X231)</f>
        <v>0</v>
      </c>
      <c r="Z231" s="19">
        <f t="shared" ref="Z231:Z232" si="252">IF(Y$223=0,0,Y231/Y$223)</f>
        <v>0</v>
      </c>
      <c r="AA231" s="91"/>
      <c r="AB231" s="91"/>
      <c r="AC231" s="84"/>
      <c r="AE231" s="111"/>
      <c r="AF231" s="111"/>
      <c r="AG231" s="111"/>
      <c r="AH231" s="112"/>
      <c r="AI231" s="113"/>
      <c r="AJ231" s="117"/>
      <c r="AK231" s="111"/>
      <c r="AL231" s="111"/>
      <c r="AM231" s="111"/>
      <c r="AN231" s="112"/>
      <c r="AO231" s="113"/>
      <c r="AP231" s="117"/>
      <c r="AQ231" s="17"/>
      <c r="AR231" s="17"/>
      <c r="AS231" s="17"/>
      <c r="AT231" s="18">
        <f t="shared" ref="AT231" si="253">W231</f>
        <v>0</v>
      </c>
      <c r="AU231" s="19">
        <f>IF(AT$444=0,0,AT231/AT$444)</f>
        <v>0</v>
      </c>
      <c r="AV231" s="117"/>
      <c r="AW231" s="17"/>
      <c r="AX231" s="17"/>
      <c r="AY231" s="17"/>
      <c r="AZ231" s="18">
        <f t="shared" ref="AZ231" si="254">X231</f>
        <v>0</v>
      </c>
      <c r="BA231" s="19">
        <f>IF(AZ$444=0,0,AZ231/AZ$444)</f>
        <v>0</v>
      </c>
    </row>
    <row r="232" spans="1:53" ht="17.100000000000001" customHeight="1" x14ac:dyDescent="0.25">
      <c r="A232" s="40"/>
      <c r="B232" s="179"/>
      <c r="C232" s="292"/>
      <c r="D232" s="144"/>
      <c r="E232" s="144"/>
      <c r="F232" s="145"/>
      <c r="G232" s="145"/>
      <c r="H232" s="119"/>
      <c r="I232" s="138"/>
      <c r="J232" s="64"/>
      <c r="K232" s="64"/>
      <c r="L232" s="64"/>
      <c r="M232" s="64"/>
      <c r="N232" s="64">
        <f>N226+N227+N231</f>
        <v>4</v>
      </c>
      <c r="O232" s="64">
        <f t="shared" ref="O232:V232" si="255">O226+O227+O231</f>
        <v>7</v>
      </c>
      <c r="P232" s="64">
        <f t="shared" si="255"/>
        <v>11</v>
      </c>
      <c r="Q232" s="64">
        <f t="shared" si="255"/>
        <v>0</v>
      </c>
      <c r="R232" s="64">
        <f t="shared" si="255"/>
        <v>0</v>
      </c>
      <c r="S232" s="64">
        <f t="shared" si="255"/>
        <v>0</v>
      </c>
      <c r="T232" s="64">
        <f t="shared" si="255"/>
        <v>0</v>
      </c>
      <c r="U232" s="64">
        <f t="shared" si="255"/>
        <v>0</v>
      </c>
      <c r="V232" s="64">
        <f t="shared" si="255"/>
        <v>0</v>
      </c>
      <c r="W232" s="224">
        <f>SUM(W226:W231)</f>
        <v>975004</v>
      </c>
      <c r="X232" s="224">
        <f t="shared" ref="X232:Y232" si="256">SUM(X226:X231)</f>
        <v>742007</v>
      </c>
      <c r="Y232" s="224">
        <f t="shared" si="256"/>
        <v>11</v>
      </c>
      <c r="Z232" s="66">
        <f t="shared" si="252"/>
        <v>1</v>
      </c>
      <c r="AA232" s="205"/>
      <c r="AB232" s="205"/>
      <c r="AC232" s="83"/>
      <c r="AE232" s="80"/>
      <c r="AF232" s="80"/>
      <c r="AG232" s="81"/>
      <c r="AH232" s="82"/>
      <c r="AI232" s="66"/>
      <c r="AJ232" s="117"/>
      <c r="AK232" s="80"/>
      <c r="AL232" s="80"/>
      <c r="AM232" s="81"/>
      <c r="AN232" s="82"/>
      <c r="AO232" s="66"/>
      <c r="AP232" s="117"/>
      <c r="AQ232" s="80"/>
      <c r="AR232" s="80"/>
      <c r="AS232" s="81"/>
      <c r="AT232" s="82">
        <f>SUM(AT226:AT231)</f>
        <v>4</v>
      </c>
      <c r="AU232" s="66">
        <f>IF(AT$444=0,0,AT232/AT$444)</f>
        <v>0</v>
      </c>
      <c r="AV232" s="117"/>
      <c r="AW232" s="80"/>
      <c r="AX232" s="80"/>
      <c r="AY232" s="81"/>
      <c r="AZ232" s="82">
        <f>SUM(AZ226:AZ231)</f>
        <v>7</v>
      </c>
      <c r="BA232" s="66">
        <f>IF(AZ$444=0,0,AZ232/AZ$444)</f>
        <v>0</v>
      </c>
    </row>
    <row r="233" spans="1:53" s="117" customFormat="1" ht="17.100000000000001" customHeight="1" x14ac:dyDescent="0.25">
      <c r="A233" s="119"/>
      <c r="B233" s="119"/>
      <c r="C233" s="647"/>
      <c r="D233" s="212"/>
      <c r="E233" s="212"/>
      <c r="F233" s="212"/>
      <c r="G233" s="212"/>
      <c r="H233" s="242"/>
      <c r="I233" s="230"/>
      <c r="J233" s="17"/>
      <c r="K233" s="17"/>
      <c r="L233" s="17"/>
      <c r="M233" s="17"/>
      <c r="N233" s="17" t="str">
        <f>IF(N232=N$198,"OK","NOK")</f>
        <v>OK</v>
      </c>
      <c r="O233" s="17" t="str">
        <f>IF(O232=O$198,"OK","NOK")</f>
        <v>OK</v>
      </c>
      <c r="P233" s="17"/>
      <c r="Q233" s="17" t="str">
        <f>IF(Q232=Q$198,"OK","NOK")</f>
        <v>OK</v>
      </c>
      <c r="R233" s="17" t="str">
        <f>IF(R232=R$198,"OK","NOK")</f>
        <v>OK</v>
      </c>
      <c r="S233" s="17"/>
      <c r="T233" s="17" t="str">
        <f>IF(T232=T$198,"OK","NOK")</f>
        <v>OK</v>
      </c>
      <c r="U233" s="17" t="str">
        <f>IF(U232=U$198,"OK","NOK")</f>
        <v>OK</v>
      </c>
      <c r="V233" s="359"/>
      <c r="W233" s="382"/>
      <c r="X233" s="646"/>
      <c r="Y233" s="646"/>
      <c r="Z233" s="201"/>
      <c r="AA233" s="201"/>
      <c r="AB233" s="201"/>
      <c r="AC233" s="84"/>
      <c r="AE233" s="17"/>
      <c r="AF233" s="17"/>
      <c r="AG233" s="17"/>
      <c r="AH233" s="646"/>
      <c r="AI233" s="91"/>
      <c r="AK233" s="17"/>
      <c r="AL233" s="17"/>
      <c r="AM233" s="17"/>
      <c r="AN233" s="646"/>
      <c r="AO233" s="91"/>
      <c r="AQ233" s="17"/>
      <c r="AR233" s="17"/>
      <c r="AS233" s="17"/>
      <c r="AT233" s="646"/>
      <c r="AU233" s="91"/>
      <c r="AW233" s="17"/>
      <c r="AX233" s="17"/>
      <c r="AY233" s="17"/>
      <c r="AZ233" s="17"/>
      <c r="BA233" s="91"/>
    </row>
    <row r="234" spans="1:53" ht="17.100000000000001" customHeight="1" x14ac:dyDescent="0.25">
      <c r="A234" s="40"/>
      <c r="B234" s="299" t="s">
        <v>1058</v>
      </c>
      <c r="C234" s="274" t="s">
        <v>759</v>
      </c>
      <c r="D234" s="50"/>
      <c r="E234" s="50"/>
      <c r="F234" s="50"/>
      <c r="G234" s="301"/>
      <c r="H234" s="119"/>
      <c r="I234" s="138"/>
      <c r="J234" s="88"/>
      <c r="K234" s="88"/>
      <c r="L234" s="71"/>
      <c r="M234" s="71"/>
      <c r="N234" s="71"/>
      <c r="O234" s="71"/>
      <c r="P234" s="71"/>
      <c r="Q234" s="71"/>
      <c r="R234" s="71"/>
      <c r="S234" s="71"/>
      <c r="T234" s="71"/>
      <c r="U234" s="71"/>
      <c r="V234" s="71"/>
      <c r="W234" s="71"/>
      <c r="X234" s="71"/>
      <c r="Y234" s="71"/>
      <c r="Z234" s="90"/>
      <c r="AA234" s="90"/>
      <c r="AB234" s="90"/>
      <c r="AC234" s="73"/>
      <c r="AE234" s="71"/>
      <c r="AF234" s="71"/>
      <c r="AG234" s="89"/>
      <c r="AH234" s="90"/>
      <c r="AI234" s="73"/>
      <c r="AK234" s="71"/>
      <c r="AL234" s="71"/>
      <c r="AM234" s="89"/>
      <c r="AN234" s="90"/>
      <c r="AO234" s="73"/>
      <c r="AQ234" s="71"/>
      <c r="AR234" s="71"/>
      <c r="AS234" s="89"/>
      <c r="AT234" s="90"/>
      <c r="AU234" s="73"/>
      <c r="AW234" s="71"/>
      <c r="AX234" s="71"/>
      <c r="AY234" s="89"/>
      <c r="AZ234" s="90"/>
      <c r="BA234" s="73"/>
    </row>
    <row r="235" spans="1:53" ht="17.100000000000001" customHeight="1" x14ac:dyDescent="0.25">
      <c r="A235" s="40"/>
      <c r="B235" s="55"/>
      <c r="C235" s="56" t="s">
        <v>1059</v>
      </c>
      <c r="D235" s="85" t="s">
        <v>478</v>
      </c>
      <c r="E235" s="149"/>
      <c r="F235" s="149"/>
      <c r="G235" s="151"/>
      <c r="H235" s="119"/>
      <c r="I235" s="138"/>
      <c r="J235" s="174"/>
      <c r="K235" s="174"/>
      <c r="L235" s="111"/>
      <c r="M235" s="111"/>
      <c r="N235" s="60"/>
      <c r="O235" s="60"/>
      <c r="P235" s="17">
        <f t="shared" ref="P235:P242" si="257">SUM(N235:O235)</f>
        <v>0</v>
      </c>
      <c r="Q235" s="60"/>
      <c r="R235" s="60"/>
      <c r="S235" s="17">
        <f t="shared" ref="S235:S242" si="258">SUM(Q235:R235)</f>
        <v>0</v>
      </c>
      <c r="T235" s="60"/>
      <c r="U235" s="60"/>
      <c r="V235" s="17">
        <f t="shared" ref="V235:V242" si="259">SUM(T235:U235)</f>
        <v>0</v>
      </c>
      <c r="W235" s="391">
        <f t="shared" ref="W235:W242" si="260">J235+K235+N235+Q235+T235</f>
        <v>0</v>
      </c>
      <c r="X235" s="17">
        <f t="shared" ref="X235:X242" si="261">L235+O235+R235+U235</f>
        <v>0</v>
      </c>
      <c r="Y235" s="18">
        <f t="shared" ref="Y235:Y242" si="262">SUM(W235:X235)</f>
        <v>0</v>
      </c>
      <c r="Z235" s="19">
        <f>IF(Y$243=0,0,Y235/Y$243)</f>
        <v>0</v>
      </c>
      <c r="AA235" s="19"/>
      <c r="AB235" s="19"/>
      <c r="AC235" s="84"/>
      <c r="AD235" s="117"/>
      <c r="AE235" s="111"/>
      <c r="AF235" s="111"/>
      <c r="AG235" s="111"/>
      <c r="AH235" s="651"/>
      <c r="AI235" s="131"/>
      <c r="AK235" s="111"/>
      <c r="AL235" s="111"/>
      <c r="AM235" s="111"/>
      <c r="AN235" s="651"/>
      <c r="AO235" s="131"/>
      <c r="AQ235" s="17"/>
      <c r="AR235" s="17"/>
      <c r="AS235" s="17"/>
      <c r="AT235" s="424">
        <f>W235</f>
        <v>0</v>
      </c>
      <c r="AU235" s="19">
        <f>IF(AT$243=0,0,AT235/AT$243)</f>
        <v>0</v>
      </c>
      <c r="AW235" s="17"/>
      <c r="AX235" s="17"/>
      <c r="AY235" s="17"/>
      <c r="AZ235" s="424">
        <f>X235</f>
        <v>0</v>
      </c>
      <c r="BA235" s="19">
        <f>IF(AZ$243=0,0,AZ235/AZ$243)</f>
        <v>0</v>
      </c>
    </row>
    <row r="236" spans="1:53" ht="17.100000000000001" customHeight="1" x14ac:dyDescent="0.25">
      <c r="A236" s="40"/>
      <c r="B236" s="55"/>
      <c r="C236" s="56" t="s">
        <v>1060</v>
      </c>
      <c r="D236" s="85" t="s">
        <v>165</v>
      </c>
      <c r="E236" s="149"/>
      <c r="F236" s="149"/>
      <c r="G236" s="151"/>
      <c r="H236" s="119"/>
      <c r="I236" s="138"/>
      <c r="J236" s="174"/>
      <c r="K236" s="174"/>
      <c r="L236" s="111"/>
      <c r="M236" s="111"/>
      <c r="N236" s="61">
        <v>4</v>
      </c>
      <c r="O236" s="61">
        <v>6</v>
      </c>
      <c r="P236" s="17">
        <f t="shared" si="257"/>
        <v>10</v>
      </c>
      <c r="Q236" s="61"/>
      <c r="R236" s="61"/>
      <c r="S236" s="17">
        <f t="shared" si="258"/>
        <v>0</v>
      </c>
      <c r="T236" s="61"/>
      <c r="U236" s="61"/>
      <c r="V236" s="17">
        <f t="shared" si="259"/>
        <v>0</v>
      </c>
      <c r="W236" s="391">
        <f t="shared" si="260"/>
        <v>4</v>
      </c>
      <c r="X236" s="17">
        <f t="shared" si="261"/>
        <v>6</v>
      </c>
      <c r="Y236" s="18">
        <f t="shared" si="262"/>
        <v>10</v>
      </c>
      <c r="Z236" s="19">
        <f t="shared" ref="Z236:Z243" si="263">IF(Y$243=0,0,Y236/Y$243)</f>
        <v>0.90909090909090906</v>
      </c>
      <c r="AA236" s="19"/>
      <c r="AB236" s="19"/>
      <c r="AC236" s="84"/>
      <c r="AD236" s="117"/>
      <c r="AE236" s="111"/>
      <c r="AF236" s="111"/>
      <c r="AG236" s="111"/>
      <c r="AH236" s="651"/>
      <c r="AI236" s="131"/>
      <c r="AK236" s="111"/>
      <c r="AL236" s="111"/>
      <c r="AM236" s="111"/>
      <c r="AN236" s="651"/>
      <c r="AO236" s="131"/>
      <c r="AQ236" s="17"/>
      <c r="AR236" s="17"/>
      <c r="AS236" s="17"/>
      <c r="AT236" s="424">
        <f t="shared" ref="AT236:AT242" si="264">W236</f>
        <v>4</v>
      </c>
      <c r="AU236" s="19">
        <f t="shared" ref="AU236:AU243" si="265">IF(AT$243=0,0,AT236/AT$243)</f>
        <v>1</v>
      </c>
      <c r="AW236" s="17"/>
      <c r="AX236" s="17"/>
      <c r="AY236" s="17"/>
      <c r="AZ236" s="424">
        <f t="shared" ref="AZ236:AZ242" si="266">X236</f>
        <v>6</v>
      </c>
      <c r="BA236" s="19">
        <f t="shared" ref="BA236:BA243" si="267">IF(AZ$243=0,0,AZ236/AZ$243)</f>
        <v>0.8571428571428571</v>
      </c>
    </row>
    <row r="237" spans="1:53" ht="17.100000000000001" customHeight="1" x14ac:dyDescent="0.25">
      <c r="A237" s="40"/>
      <c r="B237" s="55"/>
      <c r="C237" s="56" t="s">
        <v>1061</v>
      </c>
      <c r="D237" s="85" t="s">
        <v>167</v>
      </c>
      <c r="E237" s="149"/>
      <c r="F237" s="149"/>
      <c r="G237" s="151"/>
      <c r="H237" s="119"/>
      <c r="I237" s="138"/>
      <c r="J237" s="174"/>
      <c r="K237" s="174"/>
      <c r="L237" s="111"/>
      <c r="M237" s="111"/>
      <c r="N237" s="60"/>
      <c r="O237" s="60"/>
      <c r="P237" s="17">
        <f t="shared" si="257"/>
        <v>0</v>
      </c>
      <c r="Q237" s="60"/>
      <c r="R237" s="60"/>
      <c r="S237" s="17">
        <f t="shared" si="258"/>
        <v>0</v>
      </c>
      <c r="T237" s="60"/>
      <c r="U237" s="60"/>
      <c r="V237" s="17">
        <f t="shared" si="259"/>
        <v>0</v>
      </c>
      <c r="W237" s="391">
        <f t="shared" si="260"/>
        <v>0</v>
      </c>
      <c r="X237" s="17">
        <f t="shared" si="261"/>
        <v>0</v>
      </c>
      <c r="Y237" s="18">
        <f t="shared" si="262"/>
        <v>0</v>
      </c>
      <c r="Z237" s="19">
        <f t="shared" si="263"/>
        <v>0</v>
      </c>
      <c r="AA237" s="19"/>
      <c r="AB237" s="19"/>
      <c r="AC237" s="84"/>
      <c r="AD237" s="117"/>
      <c r="AE237" s="111"/>
      <c r="AF237" s="111"/>
      <c r="AG237" s="111"/>
      <c r="AH237" s="651"/>
      <c r="AI237" s="131"/>
      <c r="AK237" s="111"/>
      <c r="AL237" s="111"/>
      <c r="AM237" s="111"/>
      <c r="AN237" s="651"/>
      <c r="AO237" s="131"/>
      <c r="AQ237" s="17"/>
      <c r="AR237" s="17"/>
      <c r="AS237" s="17"/>
      <c r="AT237" s="424">
        <f t="shared" si="264"/>
        <v>0</v>
      </c>
      <c r="AU237" s="19">
        <f t="shared" si="265"/>
        <v>0</v>
      </c>
      <c r="AW237" s="17"/>
      <c r="AX237" s="17"/>
      <c r="AY237" s="17"/>
      <c r="AZ237" s="424">
        <f t="shared" si="266"/>
        <v>0</v>
      </c>
      <c r="BA237" s="19">
        <f t="shared" si="267"/>
        <v>0</v>
      </c>
    </row>
    <row r="238" spans="1:53" ht="17.100000000000001" customHeight="1" x14ac:dyDescent="0.25">
      <c r="A238" s="40"/>
      <c r="B238" s="55"/>
      <c r="C238" s="56" t="s">
        <v>1062</v>
      </c>
      <c r="D238" s="146" t="s">
        <v>991</v>
      </c>
      <c r="E238" s="149"/>
      <c r="F238" s="149"/>
      <c r="G238" s="151"/>
      <c r="H238" s="119"/>
      <c r="I238" s="138"/>
      <c r="J238" s="174"/>
      <c r="K238" s="174"/>
      <c r="L238" s="111"/>
      <c r="M238" s="111"/>
      <c r="N238" s="61"/>
      <c r="O238" s="61"/>
      <c r="P238" s="17">
        <f t="shared" si="257"/>
        <v>0</v>
      </c>
      <c r="Q238" s="61"/>
      <c r="R238" s="61"/>
      <c r="S238" s="17">
        <f t="shared" si="258"/>
        <v>0</v>
      </c>
      <c r="T238" s="61"/>
      <c r="U238" s="61"/>
      <c r="V238" s="17">
        <f t="shared" si="259"/>
        <v>0</v>
      </c>
      <c r="W238" s="391">
        <f t="shared" si="260"/>
        <v>0</v>
      </c>
      <c r="X238" s="17">
        <f t="shared" si="261"/>
        <v>0</v>
      </c>
      <c r="Y238" s="18">
        <f t="shared" si="262"/>
        <v>0</v>
      </c>
      <c r="Z238" s="19">
        <f t="shared" si="263"/>
        <v>0</v>
      </c>
      <c r="AA238" s="19"/>
      <c r="AB238" s="19"/>
      <c r="AC238" s="84"/>
      <c r="AD238" s="117"/>
      <c r="AE238" s="111"/>
      <c r="AF238" s="111"/>
      <c r="AG238" s="111"/>
      <c r="AH238" s="651"/>
      <c r="AI238" s="131"/>
      <c r="AK238" s="111"/>
      <c r="AL238" s="111"/>
      <c r="AM238" s="111"/>
      <c r="AN238" s="651"/>
      <c r="AO238" s="131"/>
      <c r="AQ238" s="17"/>
      <c r="AR238" s="17"/>
      <c r="AS238" s="17"/>
      <c r="AT238" s="424">
        <f t="shared" si="264"/>
        <v>0</v>
      </c>
      <c r="AU238" s="19">
        <f t="shared" si="265"/>
        <v>0</v>
      </c>
      <c r="AW238" s="17"/>
      <c r="AX238" s="17"/>
      <c r="AY238" s="17"/>
      <c r="AZ238" s="424">
        <f t="shared" si="266"/>
        <v>0</v>
      </c>
      <c r="BA238" s="19">
        <f t="shared" si="267"/>
        <v>0</v>
      </c>
    </row>
    <row r="239" spans="1:53" ht="17.100000000000001" customHeight="1" x14ac:dyDescent="0.25">
      <c r="A239" s="40"/>
      <c r="B239" s="55"/>
      <c r="C239" s="56" t="s">
        <v>1063</v>
      </c>
      <c r="D239" s="85" t="s">
        <v>438</v>
      </c>
      <c r="E239" s="149"/>
      <c r="F239" s="149"/>
      <c r="G239" s="151"/>
      <c r="H239" s="119"/>
      <c r="I239" s="138"/>
      <c r="J239" s="174"/>
      <c r="K239" s="174"/>
      <c r="L239" s="111"/>
      <c r="M239" s="111"/>
      <c r="N239" s="60"/>
      <c r="O239" s="60">
        <v>1</v>
      </c>
      <c r="P239" s="17">
        <f t="shared" si="257"/>
        <v>1</v>
      </c>
      <c r="Q239" s="60"/>
      <c r="R239" s="60"/>
      <c r="S239" s="17">
        <f t="shared" si="258"/>
        <v>0</v>
      </c>
      <c r="T239" s="60"/>
      <c r="U239" s="60"/>
      <c r="V239" s="17">
        <f t="shared" si="259"/>
        <v>0</v>
      </c>
      <c r="W239" s="391">
        <f t="shared" si="260"/>
        <v>0</v>
      </c>
      <c r="X239" s="17">
        <f t="shared" si="261"/>
        <v>1</v>
      </c>
      <c r="Y239" s="18">
        <f t="shared" si="262"/>
        <v>1</v>
      </c>
      <c r="Z239" s="19">
        <f t="shared" si="263"/>
        <v>9.0909090909090912E-2</v>
      </c>
      <c r="AA239" s="19"/>
      <c r="AB239" s="19"/>
      <c r="AC239" s="84"/>
      <c r="AD239" s="117"/>
      <c r="AE239" s="111"/>
      <c r="AF239" s="111"/>
      <c r="AG239" s="111"/>
      <c r="AH239" s="651"/>
      <c r="AI239" s="131"/>
      <c r="AK239" s="111"/>
      <c r="AL239" s="111"/>
      <c r="AM239" s="111"/>
      <c r="AN239" s="651"/>
      <c r="AO239" s="131"/>
      <c r="AQ239" s="17"/>
      <c r="AR239" s="17"/>
      <c r="AS239" s="17"/>
      <c r="AT239" s="424">
        <f t="shared" si="264"/>
        <v>0</v>
      </c>
      <c r="AU239" s="19">
        <f t="shared" si="265"/>
        <v>0</v>
      </c>
      <c r="AW239" s="17"/>
      <c r="AX239" s="17"/>
      <c r="AY239" s="17"/>
      <c r="AZ239" s="424">
        <f t="shared" si="266"/>
        <v>1</v>
      </c>
      <c r="BA239" s="19">
        <f t="shared" si="267"/>
        <v>0.14285714285714285</v>
      </c>
    </row>
    <row r="240" spans="1:53" ht="17.100000000000001" customHeight="1" x14ac:dyDescent="0.25">
      <c r="A240" s="40"/>
      <c r="B240" s="55"/>
      <c r="C240" s="56" t="s">
        <v>1064</v>
      </c>
      <c r="D240" s="85" t="s">
        <v>439</v>
      </c>
      <c r="E240" s="149"/>
      <c r="F240" s="149"/>
      <c r="G240" s="151"/>
      <c r="H240" s="119"/>
      <c r="I240" s="138"/>
      <c r="J240" s="174"/>
      <c r="K240" s="174"/>
      <c r="L240" s="111"/>
      <c r="M240" s="111"/>
      <c r="N240" s="61"/>
      <c r="O240" s="61"/>
      <c r="P240" s="17">
        <f t="shared" si="257"/>
        <v>0</v>
      </c>
      <c r="Q240" s="61"/>
      <c r="R240" s="61"/>
      <c r="S240" s="17">
        <f t="shared" si="258"/>
        <v>0</v>
      </c>
      <c r="T240" s="61"/>
      <c r="U240" s="61"/>
      <c r="V240" s="17">
        <f t="shared" si="259"/>
        <v>0</v>
      </c>
      <c r="W240" s="391">
        <f t="shared" si="260"/>
        <v>0</v>
      </c>
      <c r="X240" s="17">
        <f t="shared" si="261"/>
        <v>0</v>
      </c>
      <c r="Y240" s="18">
        <f t="shared" si="262"/>
        <v>0</v>
      </c>
      <c r="Z240" s="19">
        <f t="shared" si="263"/>
        <v>0</v>
      </c>
      <c r="AA240" s="19"/>
      <c r="AB240" s="19"/>
      <c r="AC240" s="84"/>
      <c r="AD240" s="117"/>
      <c r="AE240" s="111"/>
      <c r="AF240" s="111"/>
      <c r="AG240" s="111"/>
      <c r="AH240" s="651"/>
      <c r="AI240" s="131"/>
      <c r="AK240" s="111"/>
      <c r="AL240" s="111"/>
      <c r="AM240" s="111"/>
      <c r="AN240" s="651"/>
      <c r="AO240" s="131"/>
      <c r="AQ240" s="17"/>
      <c r="AR240" s="17"/>
      <c r="AS240" s="17"/>
      <c r="AT240" s="424">
        <f t="shared" si="264"/>
        <v>0</v>
      </c>
      <c r="AU240" s="19">
        <f t="shared" si="265"/>
        <v>0</v>
      </c>
      <c r="AW240" s="17"/>
      <c r="AX240" s="17"/>
      <c r="AY240" s="17"/>
      <c r="AZ240" s="424">
        <f t="shared" si="266"/>
        <v>0</v>
      </c>
      <c r="BA240" s="19">
        <f t="shared" si="267"/>
        <v>0</v>
      </c>
    </row>
    <row r="241" spans="1:53" ht="17.100000000000001" customHeight="1" x14ac:dyDescent="0.25">
      <c r="A241" s="40"/>
      <c r="B241" s="55"/>
      <c r="C241" s="56" t="s">
        <v>1065</v>
      </c>
      <c r="D241" s="85" t="s">
        <v>483</v>
      </c>
      <c r="E241" s="149"/>
      <c r="F241" s="149"/>
      <c r="G241" s="151"/>
      <c r="H241" s="119"/>
      <c r="I241" s="138"/>
      <c r="J241" s="174"/>
      <c r="K241" s="174"/>
      <c r="L241" s="111"/>
      <c r="M241" s="111"/>
      <c r="N241" s="60"/>
      <c r="O241" s="60"/>
      <c r="P241" s="17">
        <f t="shared" si="257"/>
        <v>0</v>
      </c>
      <c r="Q241" s="60"/>
      <c r="R241" s="60"/>
      <c r="S241" s="17">
        <f t="shared" si="258"/>
        <v>0</v>
      </c>
      <c r="T241" s="60"/>
      <c r="U241" s="60"/>
      <c r="V241" s="17">
        <f t="shared" si="259"/>
        <v>0</v>
      </c>
      <c r="W241" s="391">
        <f t="shared" si="260"/>
        <v>0</v>
      </c>
      <c r="X241" s="17">
        <f t="shared" si="261"/>
        <v>0</v>
      </c>
      <c r="Y241" s="18">
        <f t="shared" si="262"/>
        <v>0</v>
      </c>
      <c r="Z241" s="19">
        <f t="shared" si="263"/>
        <v>0</v>
      </c>
      <c r="AA241" s="19"/>
      <c r="AB241" s="19"/>
      <c r="AC241" s="84"/>
      <c r="AD241" s="117"/>
      <c r="AE241" s="111"/>
      <c r="AF241" s="111"/>
      <c r="AG241" s="111"/>
      <c r="AH241" s="651"/>
      <c r="AI241" s="131"/>
      <c r="AK241" s="111"/>
      <c r="AL241" s="111"/>
      <c r="AM241" s="111"/>
      <c r="AN241" s="651"/>
      <c r="AO241" s="131"/>
      <c r="AQ241" s="17"/>
      <c r="AR241" s="17"/>
      <c r="AS241" s="17"/>
      <c r="AT241" s="424">
        <f t="shared" si="264"/>
        <v>0</v>
      </c>
      <c r="AU241" s="19">
        <f t="shared" si="265"/>
        <v>0</v>
      </c>
      <c r="AW241" s="17"/>
      <c r="AX241" s="17"/>
      <c r="AY241" s="17"/>
      <c r="AZ241" s="424">
        <f t="shared" si="266"/>
        <v>0</v>
      </c>
      <c r="BA241" s="19">
        <f t="shared" si="267"/>
        <v>0</v>
      </c>
    </row>
    <row r="242" spans="1:53" ht="17.100000000000001" customHeight="1" x14ac:dyDescent="0.25">
      <c r="A242" s="40"/>
      <c r="B242" s="55"/>
      <c r="C242" s="56" t="s">
        <v>1066</v>
      </c>
      <c r="D242" s="85" t="s">
        <v>129</v>
      </c>
      <c r="E242" s="149"/>
      <c r="F242" s="149"/>
      <c r="G242" s="151"/>
      <c r="H242" s="119"/>
      <c r="I242" s="138"/>
      <c r="J242" s="174"/>
      <c r="K242" s="174"/>
      <c r="L242" s="111"/>
      <c r="M242" s="111"/>
      <c r="N242" s="61"/>
      <c r="O242" s="61"/>
      <c r="P242" s="17">
        <f t="shared" si="257"/>
        <v>0</v>
      </c>
      <c r="Q242" s="61"/>
      <c r="R242" s="61"/>
      <c r="S242" s="17">
        <f t="shared" si="258"/>
        <v>0</v>
      </c>
      <c r="T242" s="61"/>
      <c r="U242" s="61"/>
      <c r="V242" s="17">
        <f t="shared" si="259"/>
        <v>0</v>
      </c>
      <c r="W242" s="391">
        <f t="shared" si="260"/>
        <v>0</v>
      </c>
      <c r="X242" s="17">
        <f t="shared" si="261"/>
        <v>0</v>
      </c>
      <c r="Y242" s="18">
        <f t="shared" si="262"/>
        <v>0</v>
      </c>
      <c r="Z242" s="19">
        <f t="shared" si="263"/>
        <v>0</v>
      </c>
      <c r="AA242" s="19"/>
      <c r="AB242" s="19"/>
      <c r="AC242" s="84"/>
      <c r="AD242" s="117"/>
      <c r="AE242" s="111"/>
      <c r="AF242" s="111"/>
      <c r="AG242" s="111"/>
      <c r="AH242" s="651"/>
      <c r="AI242" s="131"/>
      <c r="AK242" s="111"/>
      <c r="AL242" s="111"/>
      <c r="AM242" s="111"/>
      <c r="AN242" s="651"/>
      <c r="AO242" s="131"/>
      <c r="AQ242" s="17"/>
      <c r="AR242" s="17"/>
      <c r="AS242" s="17"/>
      <c r="AT242" s="424">
        <f t="shared" si="264"/>
        <v>0</v>
      </c>
      <c r="AU242" s="19">
        <f t="shared" si="265"/>
        <v>0</v>
      </c>
      <c r="AW242" s="17"/>
      <c r="AX242" s="17"/>
      <c r="AY242" s="17"/>
      <c r="AZ242" s="424">
        <f t="shared" si="266"/>
        <v>0</v>
      </c>
      <c r="BA242" s="19">
        <f t="shared" si="267"/>
        <v>0</v>
      </c>
    </row>
    <row r="243" spans="1:53" ht="17.100000000000001" customHeight="1" x14ac:dyDescent="0.25">
      <c r="A243" s="40"/>
      <c r="B243" s="40"/>
      <c r="C243" s="292"/>
      <c r="D243" s="144"/>
      <c r="E243" s="144"/>
      <c r="F243" s="145"/>
      <c r="G243" s="145"/>
      <c r="H243" s="119"/>
      <c r="I243" s="138"/>
      <c r="J243" s="64"/>
      <c r="K243" s="64"/>
      <c r="L243" s="64"/>
      <c r="M243" s="64"/>
      <c r="N243" s="64">
        <f>SUM(N235:N242)</f>
        <v>4</v>
      </c>
      <c r="O243" s="64">
        <f t="shared" ref="O243:V243" si="268">SUM(O235:O242)</f>
        <v>7</v>
      </c>
      <c r="P243" s="64">
        <f t="shared" si="268"/>
        <v>11</v>
      </c>
      <c r="Q243" s="64">
        <f t="shared" si="268"/>
        <v>0</v>
      </c>
      <c r="R243" s="64">
        <f t="shared" si="268"/>
        <v>0</v>
      </c>
      <c r="S243" s="64">
        <f t="shared" si="268"/>
        <v>0</v>
      </c>
      <c r="T243" s="64">
        <f t="shared" si="268"/>
        <v>0</v>
      </c>
      <c r="U243" s="64">
        <f t="shared" si="268"/>
        <v>0</v>
      </c>
      <c r="V243" s="64">
        <f t="shared" si="268"/>
        <v>0</v>
      </c>
      <c r="W243" s="224">
        <f>SUM(W235:W242)</f>
        <v>4</v>
      </c>
      <c r="X243" s="224">
        <f t="shared" ref="X243:Y243" si="269">SUM(X235:X242)</f>
        <v>7</v>
      </c>
      <c r="Y243" s="224">
        <f t="shared" si="269"/>
        <v>11</v>
      </c>
      <c r="Z243" s="66">
        <f t="shared" si="263"/>
        <v>1</v>
      </c>
      <c r="AA243" s="205"/>
      <c r="AB243" s="205"/>
      <c r="AC243" s="83"/>
      <c r="AE243" s="81"/>
      <c r="AF243" s="81"/>
      <c r="AG243" s="82"/>
      <c r="AH243" s="324"/>
      <c r="AI243" s="66"/>
      <c r="AK243" s="81"/>
      <c r="AL243" s="81"/>
      <c r="AM243" s="82"/>
      <c r="AN243" s="324"/>
      <c r="AO243" s="66"/>
      <c r="AQ243" s="81"/>
      <c r="AR243" s="81"/>
      <c r="AS243" s="82"/>
      <c r="AT243" s="426">
        <f>SUM(AT235:AT242)</f>
        <v>4</v>
      </c>
      <c r="AU243" s="66">
        <f t="shared" si="265"/>
        <v>1</v>
      </c>
      <c r="AW243" s="81"/>
      <c r="AX243" s="81"/>
      <c r="AY243" s="82"/>
      <c r="AZ243" s="426">
        <f>SUM(AZ235:AZ242)</f>
        <v>7</v>
      </c>
      <c r="BA243" s="66">
        <f t="shared" si="267"/>
        <v>1</v>
      </c>
    </row>
    <row r="244" spans="1:53" s="117" customFormat="1" ht="17.100000000000001" customHeight="1" x14ac:dyDescent="0.25">
      <c r="A244" s="68"/>
      <c r="B244" s="119"/>
      <c r="C244" s="647"/>
      <c r="D244" s="261"/>
      <c r="E244" s="261"/>
      <c r="F244" s="68"/>
      <c r="G244" s="68"/>
      <c r="H244" s="119"/>
      <c r="I244" s="138"/>
      <c r="J244" s="17"/>
      <c r="K244" s="17"/>
      <c r="L244" s="17"/>
      <c r="M244" s="17"/>
      <c r="N244" s="17" t="str">
        <f>IF(N243=N$450,"OK","NOK")</f>
        <v>NOK</v>
      </c>
      <c r="O244" s="17" t="str">
        <f>IF(O243=O$450,"OK","NOK")</f>
        <v>NOK</v>
      </c>
      <c r="P244" s="17"/>
      <c r="Q244" s="17" t="str">
        <f>IF(Q243=Q$450,"OK","NOK")</f>
        <v>OK</v>
      </c>
      <c r="R244" s="17" t="str">
        <f>IF(R243=R$450,"OK","NOK")</f>
        <v>OK</v>
      </c>
      <c r="S244" s="17"/>
      <c r="T244" s="17" t="str">
        <f>IF(T243=T$450,"OK","NOK")</f>
        <v>OK</v>
      </c>
      <c r="U244" s="17" t="str">
        <f>IF(U243=U$450,"OK","NOK")</f>
        <v>OK</v>
      </c>
      <c r="V244" s="359"/>
      <c r="W244" s="382"/>
      <c r="X244" s="646"/>
      <c r="Y244" s="646"/>
      <c r="Z244" s="201"/>
      <c r="AA244" s="201"/>
      <c r="AB244" s="201"/>
      <c r="AC244" s="84"/>
      <c r="AE244" s="46"/>
      <c r="AF244" s="46"/>
      <c r="AG244" s="17"/>
      <c r="AH244" s="646"/>
      <c r="AI244" s="91"/>
      <c r="AK244" s="46"/>
      <c r="AL244" s="46"/>
      <c r="AM244" s="17"/>
      <c r="AN244" s="646"/>
      <c r="AO244" s="91"/>
      <c r="AQ244" s="46"/>
      <c r="AR244" s="46"/>
      <c r="AS244" s="17"/>
      <c r="AT244" s="646"/>
      <c r="AU244" s="91"/>
      <c r="AW244" s="46"/>
      <c r="AX244" s="46"/>
      <c r="AY244" s="17"/>
      <c r="AZ244" s="646"/>
      <c r="BA244" s="91"/>
    </row>
    <row r="245" spans="1:53" s="117" customFormat="1" ht="17.100000000000001" customHeight="1" x14ac:dyDescent="0.25">
      <c r="A245" s="68"/>
      <c r="B245" s="119"/>
      <c r="C245" s="119"/>
      <c r="D245" s="56" t="s">
        <v>272</v>
      </c>
      <c r="E245" s="149" t="s">
        <v>751</v>
      </c>
      <c r="F245" s="149"/>
      <c r="G245" s="149"/>
      <c r="H245" s="182"/>
      <c r="I245" s="241"/>
      <c r="J245" s="152"/>
      <c r="K245" s="152"/>
      <c r="L245" s="111"/>
      <c r="M245" s="111"/>
      <c r="N245" s="111"/>
      <c r="O245" s="111"/>
      <c r="P245" s="111"/>
      <c r="Q245" s="111"/>
      <c r="R245" s="111"/>
      <c r="S245" s="111"/>
      <c r="T245" s="111"/>
      <c r="U245" s="111"/>
      <c r="V245" s="358"/>
      <c r="W245" s="380"/>
      <c r="X245" s="111"/>
      <c r="Y245" s="651"/>
      <c r="Z245" s="131"/>
      <c r="AA245" s="131"/>
      <c r="AB245" s="131"/>
      <c r="AC245" s="113"/>
      <c r="AE245" s="152"/>
      <c r="AF245" s="152"/>
      <c r="AG245" s="111"/>
      <c r="AH245" s="651"/>
      <c r="AI245" s="131"/>
      <c r="AK245" s="152"/>
      <c r="AL245" s="152"/>
      <c r="AM245" s="111"/>
      <c r="AN245" s="651"/>
      <c r="AO245" s="131"/>
      <c r="AQ245" s="152"/>
      <c r="AR245" s="152"/>
      <c r="AS245" s="111"/>
      <c r="AT245" s="651"/>
      <c r="AU245" s="131"/>
      <c r="AW245" s="152"/>
      <c r="AX245" s="152"/>
      <c r="AY245" s="111"/>
      <c r="AZ245" s="651"/>
      <c r="BA245" s="131"/>
    </row>
    <row r="246" spans="1:53" s="117" customFormat="1" ht="17.100000000000001" customHeight="1" x14ac:dyDescent="0.25">
      <c r="A246" s="68"/>
      <c r="B246" s="119"/>
      <c r="C246" s="55"/>
      <c r="D246" s="55"/>
      <c r="E246" s="74" t="s">
        <v>753</v>
      </c>
      <c r="F246" s="603" t="s">
        <v>752</v>
      </c>
      <c r="G246" s="603"/>
      <c r="H246" s="182"/>
      <c r="I246" s="241"/>
      <c r="J246" s="111"/>
      <c r="K246" s="152"/>
      <c r="L246" s="152"/>
      <c r="M246" s="152"/>
      <c r="N246" s="152"/>
      <c r="O246" s="111"/>
      <c r="P246" s="60">
        <v>1</v>
      </c>
      <c r="Q246" s="152"/>
      <c r="R246" s="111"/>
      <c r="S246" s="60"/>
      <c r="T246" s="152"/>
      <c r="U246" s="111"/>
      <c r="V246" s="361"/>
      <c r="W246" s="391"/>
      <c r="X246" s="17"/>
      <c r="Y246" s="18">
        <f t="shared" ref="Y246:Y248" si="270">M246+P246+S246+V246</f>
        <v>1</v>
      </c>
      <c r="Z246" s="19">
        <f>IF(Y$249=0,0,Y246/Y$249)</f>
        <v>1</v>
      </c>
      <c r="AA246" s="19"/>
      <c r="AB246" s="19"/>
      <c r="AC246" s="84"/>
      <c r="AE246" s="111"/>
      <c r="AF246" s="111"/>
      <c r="AG246" s="111"/>
      <c r="AH246" s="112"/>
      <c r="AI246" s="113"/>
      <c r="AK246" s="111"/>
      <c r="AL246" s="111"/>
      <c r="AM246" s="111"/>
      <c r="AN246" s="112"/>
      <c r="AO246" s="113"/>
      <c r="AQ246" s="111"/>
      <c r="AR246" s="111"/>
      <c r="AS246" s="111"/>
      <c r="AT246" s="651"/>
      <c r="AU246" s="131"/>
      <c r="AW246" s="111"/>
      <c r="AX246" s="111"/>
      <c r="AY246" s="111"/>
      <c r="AZ246" s="651"/>
      <c r="BA246" s="131"/>
    </row>
    <row r="247" spans="1:53" s="117" customFormat="1" ht="17.100000000000001" customHeight="1" x14ac:dyDescent="0.25">
      <c r="A247" s="68"/>
      <c r="B247" s="119"/>
      <c r="C247" s="55"/>
      <c r="D247" s="55"/>
      <c r="E247" s="74" t="s">
        <v>754</v>
      </c>
      <c r="F247" s="604"/>
      <c r="G247" s="604"/>
      <c r="H247" s="182"/>
      <c r="I247" s="241"/>
      <c r="J247" s="111"/>
      <c r="K247" s="152"/>
      <c r="L247" s="152"/>
      <c r="M247" s="152"/>
      <c r="N247" s="152"/>
      <c r="O247" s="111"/>
      <c r="P247" s="61"/>
      <c r="Q247" s="152"/>
      <c r="R247" s="111"/>
      <c r="S247" s="61"/>
      <c r="T247" s="152"/>
      <c r="U247" s="111"/>
      <c r="V247" s="362"/>
      <c r="W247" s="391"/>
      <c r="X247" s="17"/>
      <c r="Y247" s="18">
        <f t="shared" si="270"/>
        <v>0</v>
      </c>
      <c r="Z247" s="19">
        <f t="shared" ref="Z247:Z249" si="271">IF(Y$249=0,0,Y247/Y$249)</f>
        <v>0</v>
      </c>
      <c r="AA247" s="19"/>
      <c r="AB247" s="19"/>
      <c r="AC247" s="84"/>
      <c r="AE247" s="111"/>
      <c r="AF247" s="111"/>
      <c r="AG247" s="111"/>
      <c r="AH247" s="112"/>
      <c r="AI247" s="113"/>
      <c r="AK247" s="111"/>
      <c r="AL247" s="111"/>
      <c r="AM247" s="111"/>
      <c r="AN247" s="112"/>
      <c r="AO247" s="113"/>
      <c r="AQ247" s="111"/>
      <c r="AR247" s="111"/>
      <c r="AS247" s="111"/>
      <c r="AT247" s="651"/>
      <c r="AU247" s="131"/>
      <c r="AW247" s="111"/>
      <c r="AX247" s="111"/>
      <c r="AY247" s="111"/>
      <c r="AZ247" s="651"/>
      <c r="BA247" s="131"/>
    </row>
    <row r="248" spans="1:53" s="117" customFormat="1" ht="17.100000000000001" customHeight="1" x14ac:dyDescent="0.25">
      <c r="A248" s="68"/>
      <c r="B248" s="119"/>
      <c r="C248" s="55"/>
      <c r="D248" s="55"/>
      <c r="E248" s="74" t="s">
        <v>755</v>
      </c>
      <c r="F248" s="603"/>
      <c r="G248" s="603"/>
      <c r="H248" s="182"/>
      <c r="I248" s="241"/>
      <c r="J248" s="111"/>
      <c r="K248" s="152"/>
      <c r="L248" s="152"/>
      <c r="M248" s="152"/>
      <c r="N248" s="152"/>
      <c r="O248" s="111"/>
      <c r="P248" s="60"/>
      <c r="Q248" s="152"/>
      <c r="R248" s="111"/>
      <c r="S248" s="60"/>
      <c r="T248" s="152"/>
      <c r="U248" s="111"/>
      <c r="V248" s="361"/>
      <c r="W248" s="391"/>
      <c r="X248" s="17"/>
      <c r="Y248" s="18">
        <f t="shared" si="270"/>
        <v>0</v>
      </c>
      <c r="Z248" s="19">
        <f t="shared" si="271"/>
        <v>0</v>
      </c>
      <c r="AA248" s="19"/>
      <c r="AB248" s="19"/>
      <c r="AC248" s="84"/>
      <c r="AE248" s="111"/>
      <c r="AF248" s="111"/>
      <c r="AG248" s="111"/>
      <c r="AH248" s="112"/>
      <c r="AI248" s="113"/>
      <c r="AK248" s="111"/>
      <c r="AL248" s="111"/>
      <c r="AM248" s="111"/>
      <c r="AN248" s="112"/>
      <c r="AO248" s="113"/>
      <c r="AQ248" s="111"/>
      <c r="AR248" s="111"/>
      <c r="AS248" s="111"/>
      <c r="AT248" s="651"/>
      <c r="AU248" s="131"/>
      <c r="AW248" s="111"/>
      <c r="AX248" s="111"/>
      <c r="AY248" s="111"/>
      <c r="AZ248" s="651"/>
      <c r="BA248" s="131"/>
    </row>
    <row r="249" spans="1:53" s="117" customFormat="1" ht="17.100000000000001" customHeight="1" x14ac:dyDescent="0.25">
      <c r="A249" s="68"/>
      <c r="B249" s="119"/>
      <c r="C249" s="77"/>
      <c r="D249" s="134"/>
      <c r="E249" s="134"/>
      <c r="F249" s="134"/>
      <c r="G249" s="134"/>
      <c r="H249" s="647"/>
      <c r="I249" s="229"/>
      <c r="J249" s="80"/>
      <c r="K249" s="80"/>
      <c r="L249" s="81"/>
      <c r="M249" s="81"/>
      <c r="N249" s="81"/>
      <c r="O249" s="81"/>
      <c r="P249" s="81">
        <f>SUM(P246:P248)</f>
        <v>1</v>
      </c>
      <c r="Q249" s="81"/>
      <c r="R249" s="81"/>
      <c r="S249" s="81">
        <f>SUM(S246:S248)</f>
        <v>0</v>
      </c>
      <c r="T249" s="81"/>
      <c r="U249" s="81"/>
      <c r="V249" s="81">
        <f>SUM(V246:V248)</f>
        <v>0</v>
      </c>
      <c r="W249" s="381"/>
      <c r="X249" s="82"/>
      <c r="Y249" s="82">
        <f>SUM(Y246:Y248)</f>
        <v>1</v>
      </c>
      <c r="Z249" s="66">
        <f t="shared" si="271"/>
        <v>1</v>
      </c>
      <c r="AA249" s="205"/>
      <c r="AB249" s="205"/>
      <c r="AC249" s="83"/>
      <c r="AE249" s="80"/>
      <c r="AF249" s="80"/>
      <c r="AG249" s="81"/>
      <c r="AH249" s="82"/>
      <c r="AI249" s="66"/>
      <c r="AK249" s="80"/>
      <c r="AL249" s="80"/>
      <c r="AM249" s="81"/>
      <c r="AN249" s="82"/>
      <c r="AO249" s="66"/>
      <c r="AQ249" s="80"/>
      <c r="AR249" s="80"/>
      <c r="AS249" s="81"/>
      <c r="AT249" s="82"/>
      <c r="AU249" s="66"/>
      <c r="AW249" s="80"/>
      <c r="AX249" s="80"/>
      <c r="AY249" s="81"/>
      <c r="AZ249" s="82"/>
      <c r="BA249" s="66"/>
    </row>
    <row r="250" spans="1:53" s="117" customFormat="1" ht="17.100000000000001" customHeight="1" x14ac:dyDescent="0.25">
      <c r="A250" s="68"/>
      <c r="B250" s="119"/>
      <c r="C250" s="92"/>
      <c r="D250" s="93"/>
      <c r="E250" s="93"/>
      <c r="F250" s="93"/>
      <c r="G250" s="93"/>
      <c r="H250" s="647"/>
      <c r="I250" s="12"/>
      <c r="J250" s="46"/>
      <c r="K250" s="46"/>
      <c r="L250" s="17"/>
      <c r="M250" s="17"/>
      <c r="N250" s="17"/>
      <c r="O250" s="17"/>
      <c r="P250" s="17"/>
      <c r="Q250" s="17"/>
      <c r="R250" s="17"/>
      <c r="S250" s="17"/>
      <c r="T250" s="17"/>
      <c r="U250" s="17"/>
      <c r="V250" s="359"/>
      <c r="W250" s="382"/>
      <c r="X250" s="646"/>
      <c r="Y250" s="646"/>
      <c r="Z250" s="201"/>
      <c r="AA250" s="201"/>
      <c r="AB250" s="201"/>
      <c r="AC250" s="84"/>
      <c r="AE250" s="46"/>
      <c r="AF250" s="46"/>
      <c r="AG250" s="17"/>
      <c r="AH250" s="646"/>
      <c r="AI250" s="91"/>
      <c r="AK250" s="46"/>
      <c r="AL250" s="46"/>
      <c r="AM250" s="17"/>
      <c r="AN250" s="646"/>
      <c r="AO250" s="91"/>
      <c r="AQ250" s="46"/>
      <c r="AR250" s="46"/>
      <c r="AS250" s="17"/>
      <c r="AT250" s="646"/>
      <c r="AU250" s="91"/>
      <c r="AW250" s="46"/>
      <c r="AX250" s="46"/>
      <c r="AY250" s="17"/>
      <c r="AZ250" s="646"/>
      <c r="BA250" s="91"/>
    </row>
    <row r="251" spans="1:53" ht="17.100000000000001" customHeight="1" x14ac:dyDescent="0.25">
      <c r="A251" s="40"/>
      <c r="B251" s="41" t="s">
        <v>1446</v>
      </c>
      <c r="C251" s="49" t="s">
        <v>12</v>
      </c>
      <c r="D251" s="43"/>
      <c r="E251" s="43"/>
      <c r="F251" s="43"/>
      <c r="G251" s="43"/>
      <c r="H251" s="23"/>
      <c r="I251" s="12"/>
      <c r="J251" s="73"/>
      <c r="K251" s="73"/>
      <c r="L251" s="73"/>
      <c r="M251" s="73"/>
      <c r="N251" s="73"/>
      <c r="O251" s="73"/>
      <c r="P251" s="73"/>
      <c r="Q251" s="73"/>
      <c r="R251" s="73"/>
      <c r="S251" s="73"/>
      <c r="T251" s="73"/>
      <c r="U251" s="73"/>
      <c r="V251" s="970"/>
      <c r="W251" s="971"/>
      <c r="X251" s="73"/>
      <c r="Y251" s="73"/>
      <c r="Z251" s="73"/>
      <c r="AA251" s="73"/>
      <c r="AB251" s="73"/>
      <c r="AC251" s="73"/>
      <c r="AE251" s="73"/>
      <c r="AF251" s="73"/>
      <c r="AG251" s="73"/>
      <c r="AH251" s="73"/>
      <c r="AI251" s="73"/>
      <c r="AK251" s="73"/>
      <c r="AL251" s="73"/>
      <c r="AM251" s="73"/>
      <c r="AN251" s="73"/>
      <c r="AO251" s="73"/>
      <c r="AQ251" s="73"/>
      <c r="AR251" s="73"/>
      <c r="AS251" s="73"/>
      <c r="AT251" s="73"/>
      <c r="AU251" s="73"/>
      <c r="AW251" s="73"/>
      <c r="AX251" s="73"/>
      <c r="AY251" s="73"/>
      <c r="AZ251" s="73"/>
      <c r="BA251" s="73"/>
    </row>
    <row r="252" spans="1:53" s="4" customFormat="1" ht="17.100000000000001" customHeight="1" x14ac:dyDescent="0.25">
      <c r="A252" s="137"/>
      <c r="B252" s="40"/>
      <c r="C252" s="933" t="s">
        <v>1447</v>
      </c>
      <c r="D252" s="85" t="s">
        <v>1448</v>
      </c>
      <c r="E252" s="303"/>
      <c r="F252" s="303"/>
      <c r="G252" s="303"/>
      <c r="H252" s="320"/>
      <c r="I252" s="309"/>
      <c r="J252" s="174"/>
      <c r="K252" s="174"/>
      <c r="L252" s="174"/>
      <c r="M252" s="174"/>
      <c r="N252" s="174"/>
      <c r="O252" s="174"/>
      <c r="P252" s="174"/>
      <c r="Q252" s="174"/>
      <c r="R252" s="174"/>
      <c r="S252" s="174"/>
      <c r="T252" s="174"/>
      <c r="U252" s="174"/>
      <c r="V252" s="712"/>
      <c r="W252" s="972"/>
      <c r="X252" s="174"/>
      <c r="Y252" s="174"/>
      <c r="Z252" s="113"/>
      <c r="AA252" s="113"/>
      <c r="AB252" s="113"/>
      <c r="AC252" s="113"/>
      <c r="AE252" s="174"/>
      <c r="AF252" s="174"/>
      <c r="AG252" s="932"/>
      <c r="AH252" s="113"/>
      <c r="AI252" s="113"/>
      <c r="AK252" s="174"/>
      <c r="AL252" s="174"/>
      <c r="AM252" s="932"/>
      <c r="AN252" s="113"/>
      <c r="AO252" s="113"/>
      <c r="AQ252" s="174"/>
      <c r="AR252" s="174"/>
      <c r="AS252" s="932"/>
      <c r="AT252" s="113"/>
      <c r="AU252" s="113"/>
      <c r="AW252" s="174"/>
      <c r="AX252" s="174"/>
      <c r="AY252" s="932"/>
      <c r="AZ252" s="113"/>
      <c r="BA252" s="113"/>
    </row>
    <row r="253" spans="1:53" s="4" customFormat="1" ht="17.100000000000001" customHeight="1" x14ac:dyDescent="0.25">
      <c r="A253" s="137"/>
      <c r="B253" s="40"/>
      <c r="C253" s="40"/>
      <c r="D253" s="121" t="s">
        <v>129</v>
      </c>
      <c r="E253" s="304"/>
      <c r="F253" s="304"/>
      <c r="G253" s="304"/>
      <c r="H253" s="320"/>
      <c r="I253" s="309"/>
      <c r="J253" s="161"/>
      <c r="K253" s="161"/>
      <c r="L253" s="161"/>
      <c r="M253" s="161"/>
      <c r="N253" s="161">
        <f>N231</f>
        <v>0</v>
      </c>
      <c r="O253" s="161">
        <f>O231</f>
        <v>0</v>
      </c>
      <c r="P253" s="161"/>
      <c r="Q253" s="161">
        <f>Q231</f>
        <v>0</v>
      </c>
      <c r="R253" s="161">
        <f>R231</f>
        <v>0</v>
      </c>
      <c r="S253" s="161"/>
      <c r="T253" s="161">
        <f>T231</f>
        <v>0</v>
      </c>
      <c r="U253" s="161">
        <f>U231</f>
        <v>0</v>
      </c>
      <c r="V253" s="697"/>
      <c r="W253" s="973"/>
      <c r="X253" s="161"/>
      <c r="Y253" s="161"/>
      <c r="Z253" s="125"/>
      <c r="AA253" s="125"/>
      <c r="AB253" s="125"/>
      <c r="AC253" s="125"/>
      <c r="AD253" s="97"/>
      <c r="AE253" s="161"/>
      <c r="AF253" s="161"/>
      <c r="AG253" s="129"/>
      <c r="AH253" s="125"/>
      <c r="AI253" s="125"/>
      <c r="AJ253" s="97"/>
      <c r="AK253" s="161"/>
      <c r="AL253" s="161"/>
      <c r="AM253" s="129"/>
      <c r="AN253" s="125"/>
      <c r="AO253" s="125"/>
      <c r="AP253" s="97"/>
      <c r="AQ253" s="161"/>
      <c r="AR253" s="161"/>
      <c r="AS253" s="129"/>
      <c r="AT253" s="125"/>
      <c r="AU253" s="125"/>
      <c r="AV253" s="97"/>
      <c r="AW253" s="161"/>
      <c r="AX253" s="161"/>
      <c r="AY253" s="129"/>
      <c r="AZ253" s="125"/>
      <c r="BA253" s="125"/>
    </row>
    <row r="254" spans="1:53" s="4" customFormat="1" ht="17.100000000000001" customHeight="1" x14ac:dyDescent="0.25">
      <c r="A254" s="137"/>
      <c r="B254" s="40"/>
      <c r="C254" s="40"/>
      <c r="D254" s="121" t="s">
        <v>173</v>
      </c>
      <c r="E254" s="304"/>
      <c r="F254" s="304"/>
      <c r="G254" s="304"/>
      <c r="H254" s="320"/>
      <c r="I254" s="309"/>
      <c r="J254" s="161"/>
      <c r="K254" s="161"/>
      <c r="L254" s="161"/>
      <c r="M254" s="161"/>
      <c r="N254" s="161">
        <f>N226</f>
        <v>0</v>
      </c>
      <c r="O254" s="161">
        <v>2</v>
      </c>
      <c r="P254" s="161"/>
      <c r="Q254" s="161">
        <f>Q226</f>
        <v>0</v>
      </c>
      <c r="R254" s="161">
        <f>R226</f>
        <v>0</v>
      </c>
      <c r="S254" s="161"/>
      <c r="T254" s="161">
        <f>T226</f>
        <v>0</v>
      </c>
      <c r="U254" s="161">
        <f>U226</f>
        <v>0</v>
      </c>
      <c r="V254" s="697"/>
      <c r="W254" s="973"/>
      <c r="X254" s="161"/>
      <c r="Y254" s="161"/>
      <c r="Z254" s="125"/>
      <c r="AA254" s="125"/>
      <c r="AB254" s="125"/>
      <c r="AC254" s="125"/>
      <c r="AD254" s="97"/>
      <c r="AE254" s="161"/>
      <c r="AF254" s="161"/>
      <c r="AG254" s="129"/>
      <c r="AH254" s="125"/>
      <c r="AI254" s="125"/>
      <c r="AJ254" s="97"/>
      <c r="AK254" s="161"/>
      <c r="AL254" s="161"/>
      <c r="AM254" s="129"/>
      <c r="AN254" s="125"/>
      <c r="AO254" s="125"/>
      <c r="AP254" s="97"/>
      <c r="AQ254" s="161"/>
      <c r="AR254" s="161"/>
      <c r="AS254" s="129"/>
      <c r="AT254" s="125"/>
      <c r="AU254" s="125"/>
      <c r="AV254" s="97"/>
      <c r="AW254" s="161"/>
      <c r="AX254" s="161"/>
      <c r="AY254" s="129"/>
      <c r="AZ254" s="125"/>
      <c r="BA254" s="125"/>
    </row>
    <row r="255" spans="1:53" s="4" customFormat="1" ht="17.100000000000001" customHeight="1" x14ac:dyDescent="0.25">
      <c r="A255" s="137"/>
      <c r="B255" s="40"/>
      <c r="C255" s="40"/>
      <c r="D255" s="121" t="s">
        <v>544</v>
      </c>
      <c r="E255" s="304"/>
      <c r="F255" s="304"/>
      <c r="G255" s="304"/>
      <c r="H255" s="320"/>
      <c r="I255" s="309"/>
      <c r="J255" s="161"/>
      <c r="K255" s="161"/>
      <c r="L255" s="161"/>
      <c r="M255" s="161"/>
      <c r="N255" s="161">
        <f>N227</f>
        <v>4</v>
      </c>
      <c r="O255" s="161">
        <f>O227</f>
        <v>7</v>
      </c>
      <c r="P255" s="161"/>
      <c r="Q255" s="161">
        <f>Q227</f>
        <v>0</v>
      </c>
      <c r="R255" s="161">
        <f>R227</f>
        <v>0</v>
      </c>
      <c r="S255" s="161"/>
      <c r="T255" s="161">
        <f>T227</f>
        <v>0</v>
      </c>
      <c r="U255" s="161">
        <f>U227</f>
        <v>0</v>
      </c>
      <c r="V255" s="697"/>
      <c r="W255" s="973"/>
      <c r="X255" s="161"/>
      <c r="Y255" s="161"/>
      <c r="Z255" s="125"/>
      <c r="AA255" s="125"/>
      <c r="AB255" s="125"/>
      <c r="AC255" s="125"/>
      <c r="AD255" s="97"/>
      <c r="AE255" s="161"/>
      <c r="AF255" s="161"/>
      <c r="AG255" s="129"/>
      <c r="AH255" s="125"/>
      <c r="AI255" s="125"/>
      <c r="AJ255" s="97"/>
      <c r="AK255" s="161"/>
      <c r="AL255" s="161"/>
      <c r="AM255" s="129"/>
      <c r="AN255" s="125"/>
      <c r="AO255" s="125"/>
      <c r="AP255" s="97"/>
      <c r="AQ255" s="161"/>
      <c r="AR255" s="161"/>
      <c r="AS255" s="129"/>
      <c r="AT255" s="125"/>
      <c r="AU255" s="125"/>
      <c r="AV255" s="97"/>
      <c r="AW255" s="161"/>
      <c r="AX255" s="161"/>
      <c r="AY255" s="129"/>
      <c r="AZ255" s="125"/>
      <c r="BA255" s="125"/>
    </row>
    <row r="256" spans="1:53" s="4" customFormat="1" ht="17.100000000000001" customHeight="1" x14ac:dyDescent="0.25">
      <c r="A256" s="137"/>
      <c r="B256" s="40"/>
      <c r="C256" s="40"/>
      <c r="D256" s="121" t="s">
        <v>1449</v>
      </c>
      <c r="E256" s="304"/>
      <c r="F256" s="304"/>
      <c r="G256" s="304"/>
      <c r="H256" s="320"/>
      <c r="I256" s="309"/>
      <c r="J256" s="161"/>
      <c r="K256" s="161"/>
      <c r="L256" s="161"/>
      <c r="M256" s="161"/>
      <c r="N256" s="161">
        <f>N230</f>
        <v>275000</v>
      </c>
      <c r="O256" s="161">
        <f>O230</f>
        <v>242000</v>
      </c>
      <c r="P256" s="161"/>
      <c r="Q256" s="161">
        <f>Q230</f>
        <v>0</v>
      </c>
      <c r="R256" s="161">
        <f>R230</f>
        <v>0</v>
      </c>
      <c r="S256" s="161"/>
      <c r="T256" s="161">
        <f>T230</f>
        <v>0</v>
      </c>
      <c r="U256" s="161">
        <f>U230</f>
        <v>0</v>
      </c>
      <c r="V256" s="697"/>
      <c r="W256" s="973"/>
      <c r="X256" s="161"/>
      <c r="Y256" s="161"/>
      <c r="Z256" s="125"/>
      <c r="AA256" s="125"/>
      <c r="AB256" s="125"/>
      <c r="AC256" s="125"/>
      <c r="AD256" s="97"/>
      <c r="AE256" s="161"/>
      <c r="AF256" s="161"/>
      <c r="AG256" s="129"/>
      <c r="AH256" s="125"/>
      <c r="AI256" s="125"/>
      <c r="AJ256" s="97"/>
      <c r="AK256" s="161"/>
      <c r="AL256" s="161"/>
      <c r="AM256" s="129"/>
      <c r="AN256" s="125"/>
      <c r="AO256" s="125"/>
      <c r="AP256" s="97"/>
      <c r="AQ256" s="161"/>
      <c r="AR256" s="161"/>
      <c r="AS256" s="129"/>
      <c r="AT256" s="125"/>
      <c r="AU256" s="125"/>
      <c r="AV256" s="97"/>
      <c r="AW256" s="161"/>
      <c r="AX256" s="161"/>
      <c r="AY256" s="129"/>
      <c r="AZ256" s="125"/>
      <c r="BA256" s="125"/>
    </row>
    <row r="257" spans="1:53" s="4" customFormat="1" ht="17.100000000000001" customHeight="1" x14ac:dyDescent="0.25">
      <c r="A257" s="137"/>
      <c r="B257" s="40"/>
      <c r="C257" s="40"/>
      <c r="D257" s="742"/>
      <c r="E257" s="304"/>
      <c r="F257" s="304"/>
      <c r="G257" s="304"/>
      <c r="H257" s="320"/>
      <c r="I257" s="309"/>
      <c r="J257" s="161"/>
      <c r="K257" s="161"/>
      <c r="L257" s="161"/>
      <c r="M257" s="161"/>
      <c r="N257" s="161"/>
      <c r="O257" s="161"/>
      <c r="P257" s="161"/>
      <c r="Q257" s="161"/>
      <c r="R257" s="161"/>
      <c r="S257" s="161"/>
      <c r="T257" s="161"/>
      <c r="U257" s="161"/>
      <c r="V257" s="697"/>
      <c r="W257" s="973"/>
      <c r="X257" s="161"/>
      <c r="Y257" s="161"/>
      <c r="Z257" s="125"/>
      <c r="AA257" s="125"/>
      <c r="AB257" s="125"/>
      <c r="AC257" s="125"/>
      <c r="AE257" s="161"/>
      <c r="AF257" s="161"/>
      <c r="AG257" s="123"/>
      <c r="AH257" s="125"/>
      <c r="AI257" s="125"/>
      <c r="AK257" s="161"/>
      <c r="AL257" s="161"/>
      <c r="AM257" s="123"/>
      <c r="AN257" s="125"/>
      <c r="AO257" s="125"/>
      <c r="AQ257" s="161"/>
      <c r="AR257" s="161"/>
      <c r="AS257" s="123"/>
      <c r="AT257" s="125"/>
      <c r="AU257" s="125"/>
      <c r="AW257" s="161"/>
      <c r="AX257" s="161"/>
      <c r="AY257" s="123"/>
      <c r="AZ257" s="125"/>
      <c r="BA257" s="125"/>
    </row>
    <row r="258" spans="1:53" s="4" customFormat="1" ht="17.100000000000001" customHeight="1" x14ac:dyDescent="0.25">
      <c r="A258" s="137"/>
      <c r="B258" s="40"/>
      <c r="C258" s="40">
        <v>1</v>
      </c>
      <c r="D258" s="700" t="s">
        <v>1450</v>
      </c>
      <c r="E258" s="974"/>
      <c r="F258" s="974"/>
      <c r="G258" s="974"/>
      <c r="H258" s="254"/>
      <c r="I258" s="207"/>
      <c r="J258" s="161"/>
      <c r="K258" s="161"/>
      <c r="L258" s="161"/>
      <c r="M258" s="161"/>
      <c r="N258" s="161" t="str">
        <f>IF(N$254&gt;0,0,"")</f>
        <v/>
      </c>
      <c r="O258" s="161">
        <f>IF(O$254&gt;0,0,"")</f>
        <v>0</v>
      </c>
      <c r="P258" s="161"/>
      <c r="Q258" s="161" t="str">
        <f>IF(Q$254&gt;0,0,"")</f>
        <v/>
      </c>
      <c r="R258" s="161" t="str">
        <f>IF(R$254&gt;0,0,"")</f>
        <v/>
      </c>
      <c r="S258" s="161"/>
      <c r="T258" s="161" t="str">
        <f>IF(T$254&gt;0,0,"")</f>
        <v/>
      </c>
      <c r="U258" s="161" t="str">
        <f>IF(U$254&gt;0,0,"")</f>
        <v/>
      </c>
      <c r="V258" s="697"/>
      <c r="W258" s="973"/>
      <c r="X258" s="161"/>
      <c r="Y258" s="161"/>
      <c r="Z258" s="125"/>
      <c r="AA258" s="125"/>
      <c r="AB258" s="125"/>
      <c r="AC258" s="125"/>
      <c r="AD258" s="97"/>
      <c r="AE258" s="161"/>
      <c r="AF258" s="161"/>
      <c r="AG258" s="129"/>
      <c r="AH258" s="125"/>
      <c r="AI258" s="125"/>
      <c r="AJ258" s="97"/>
      <c r="AK258" s="161"/>
      <c r="AL258" s="161"/>
      <c r="AM258" s="129"/>
      <c r="AN258" s="125"/>
      <c r="AO258" s="125"/>
      <c r="AP258" s="97"/>
      <c r="AQ258" s="161"/>
      <c r="AR258" s="161"/>
      <c r="AS258" s="129"/>
      <c r="AT258" s="125"/>
      <c r="AU258" s="125"/>
      <c r="AV258" s="97"/>
      <c r="AW258" s="161"/>
      <c r="AX258" s="161"/>
      <c r="AY258" s="129"/>
      <c r="AZ258" s="125"/>
      <c r="BA258" s="125"/>
    </row>
    <row r="259" spans="1:53" s="4" customFormat="1" ht="17.100000000000001" customHeight="1" x14ac:dyDescent="0.25">
      <c r="A259" s="137"/>
      <c r="B259" s="40"/>
      <c r="C259" s="40">
        <v>2</v>
      </c>
      <c r="D259" s="700" t="s">
        <v>1450</v>
      </c>
      <c r="E259" s="974"/>
      <c r="F259" s="974"/>
      <c r="G259" s="974"/>
      <c r="H259" s="254"/>
      <c r="I259" s="207"/>
      <c r="J259" s="161"/>
      <c r="K259" s="161"/>
      <c r="L259" s="161"/>
      <c r="M259" s="161"/>
      <c r="N259" s="161" t="str">
        <f>IF(N$254&gt;1,0,"")</f>
        <v/>
      </c>
      <c r="O259" s="161">
        <f>IF(O$254&gt;1,0,"")</f>
        <v>0</v>
      </c>
      <c r="P259" s="161"/>
      <c r="Q259" s="161" t="str">
        <f>IF(Q$254&gt;1,0,"")</f>
        <v/>
      </c>
      <c r="R259" s="161" t="str">
        <f>IF(R$254&gt;1,0,"")</f>
        <v/>
      </c>
      <c r="S259" s="161"/>
      <c r="T259" s="161" t="str">
        <f>IF(T$254&gt;1,0,"")</f>
        <v/>
      </c>
      <c r="U259" s="161" t="str">
        <f>IF(U$254&gt;1,0,"")</f>
        <v/>
      </c>
      <c r="V259" s="697"/>
      <c r="W259" s="973"/>
      <c r="X259" s="161"/>
      <c r="Y259" s="161"/>
      <c r="Z259" s="125"/>
      <c r="AA259" s="125"/>
      <c r="AB259" s="125"/>
      <c r="AC259" s="125"/>
      <c r="AE259" s="161"/>
      <c r="AF259" s="161"/>
      <c r="AG259" s="129"/>
      <c r="AH259" s="125"/>
      <c r="AI259" s="125"/>
      <c r="AK259" s="161"/>
      <c r="AL259" s="161"/>
      <c r="AM259" s="129"/>
      <c r="AN259" s="125"/>
      <c r="AO259" s="125"/>
      <c r="AQ259" s="161"/>
      <c r="AR259" s="161"/>
      <c r="AS259" s="129"/>
      <c r="AT259" s="125"/>
      <c r="AU259" s="125"/>
      <c r="AW259" s="161"/>
      <c r="AX259" s="161"/>
      <c r="AY259" s="129"/>
      <c r="AZ259" s="125"/>
      <c r="BA259" s="125"/>
    </row>
    <row r="260" spans="1:53" ht="17.100000000000001" customHeight="1" x14ac:dyDescent="0.25">
      <c r="A260" s="137"/>
      <c r="B260" s="40"/>
      <c r="C260" s="40">
        <v>3</v>
      </c>
      <c r="D260" s="700" t="s">
        <v>1450</v>
      </c>
      <c r="E260" s="122"/>
      <c r="F260" s="122"/>
      <c r="G260" s="122"/>
      <c r="H260" s="23"/>
      <c r="I260" s="12"/>
      <c r="J260" s="154"/>
      <c r="K260" s="154"/>
      <c r="L260" s="154"/>
      <c r="M260" s="154"/>
      <c r="N260" s="161" t="str">
        <f>IF(N$254&gt;2,0,"")</f>
        <v/>
      </c>
      <c r="O260" s="161" t="str">
        <f>IF(O$254&gt;2,0,"")</f>
        <v/>
      </c>
      <c r="P260" s="154"/>
      <c r="Q260" s="161" t="str">
        <f>IF(Q$254&gt;2,0,"")</f>
        <v/>
      </c>
      <c r="R260" s="161" t="str">
        <f>IF(R$254&gt;2,0,"")</f>
        <v/>
      </c>
      <c r="S260" s="154"/>
      <c r="T260" s="161" t="str">
        <f>IF(T$254&gt;2,0,"")</f>
        <v/>
      </c>
      <c r="U260" s="161" t="str">
        <f>IF(U$254&gt;2,0,"")</f>
        <v/>
      </c>
      <c r="V260" s="159"/>
      <c r="W260" s="387"/>
      <c r="X260" s="154"/>
      <c r="Y260" s="154"/>
      <c r="Z260" s="130"/>
      <c r="AA260" s="130"/>
      <c r="AB260" s="130"/>
      <c r="AC260" s="125"/>
      <c r="AE260" s="154"/>
      <c r="AF260" s="154"/>
      <c r="AG260" s="129"/>
      <c r="AH260" s="130"/>
      <c r="AI260" s="125"/>
      <c r="AK260" s="154"/>
      <c r="AL260" s="154"/>
      <c r="AM260" s="129"/>
      <c r="AN260" s="130"/>
      <c r="AO260" s="125"/>
      <c r="AQ260" s="154"/>
      <c r="AR260" s="154"/>
      <c r="AS260" s="129"/>
      <c r="AT260" s="130"/>
      <c r="AU260" s="125"/>
      <c r="AW260" s="154"/>
      <c r="AX260" s="154"/>
      <c r="AY260" s="129"/>
      <c r="AZ260" s="130"/>
      <c r="BA260" s="125"/>
    </row>
    <row r="261" spans="1:53" ht="17.100000000000001" customHeight="1" x14ac:dyDescent="0.25">
      <c r="A261" s="137"/>
      <c r="B261" s="40"/>
      <c r="C261" s="40">
        <v>4</v>
      </c>
      <c r="D261" s="700" t="s">
        <v>1450</v>
      </c>
      <c r="E261" s="122"/>
      <c r="F261" s="122"/>
      <c r="G261" s="122"/>
      <c r="H261" s="23"/>
      <c r="I261" s="12"/>
      <c r="J261" s="154"/>
      <c r="K261" s="154"/>
      <c r="L261" s="123"/>
      <c r="M261" s="123"/>
      <c r="N261" s="161" t="str">
        <f>IF(N$254&gt;3,0,"")</f>
        <v/>
      </c>
      <c r="O261" s="161" t="str">
        <f>IF(O$254&gt;3,0,"")</f>
        <v/>
      </c>
      <c r="P261" s="123"/>
      <c r="Q261" s="161" t="str">
        <f>IF(Q$254&gt;3,0,"")</f>
        <v/>
      </c>
      <c r="R261" s="161" t="str">
        <f>IF(R$254&gt;3,0,"")</f>
        <v/>
      </c>
      <c r="S261" s="123"/>
      <c r="T261" s="161" t="str">
        <f>IF(T$254&gt;3,0,"")</f>
        <v/>
      </c>
      <c r="U261" s="161" t="str">
        <f>IF(U$254&gt;3,0,"")</f>
        <v/>
      </c>
      <c r="V261" s="363"/>
      <c r="W261" s="383"/>
      <c r="X261" s="123"/>
      <c r="Y261" s="123"/>
      <c r="Z261" s="949"/>
      <c r="AA261" s="949"/>
      <c r="AB261" s="949"/>
      <c r="AC261" s="125"/>
      <c r="AE261" s="123"/>
      <c r="AF261" s="123"/>
      <c r="AG261" s="129"/>
      <c r="AH261" s="949"/>
      <c r="AI261" s="125"/>
      <c r="AK261" s="123"/>
      <c r="AL261" s="123"/>
      <c r="AM261" s="129"/>
      <c r="AN261" s="949"/>
      <c r="AO261" s="125"/>
      <c r="AQ261" s="123"/>
      <c r="AR261" s="123"/>
      <c r="AS261" s="129"/>
      <c r="AT261" s="949"/>
      <c r="AU261" s="125"/>
      <c r="AW261" s="123"/>
      <c r="AX261" s="123"/>
      <c r="AY261" s="129"/>
      <c r="AZ261" s="949"/>
      <c r="BA261" s="125"/>
    </row>
    <row r="262" spans="1:53" ht="17.100000000000001" customHeight="1" x14ac:dyDescent="0.25">
      <c r="A262" s="137"/>
      <c r="B262" s="40"/>
      <c r="C262" s="40">
        <v>5</v>
      </c>
      <c r="D262" s="700" t="s">
        <v>1450</v>
      </c>
      <c r="E262" s="122"/>
      <c r="F262" s="122"/>
      <c r="G262" s="122"/>
      <c r="H262" s="23"/>
      <c r="I262" s="12"/>
      <c r="J262" s="154"/>
      <c r="K262" s="154"/>
      <c r="L262" s="154"/>
      <c r="M262" s="154"/>
      <c r="N262" s="161" t="str">
        <f>IF(N$254&gt;4,0,"")</f>
        <v/>
      </c>
      <c r="O262" s="161" t="str">
        <f>IF(O$254&gt;4,0,"")</f>
        <v/>
      </c>
      <c r="P262" s="154"/>
      <c r="Q262" s="161" t="str">
        <f>IF(Q$254&gt;4,0,"")</f>
        <v/>
      </c>
      <c r="R262" s="161" t="str">
        <f>IF(R$254&gt;4,0,"")</f>
        <v/>
      </c>
      <c r="S262" s="154"/>
      <c r="T262" s="161" t="str">
        <f>IF(T$254&gt;4,0,"")</f>
        <v/>
      </c>
      <c r="U262" s="161" t="str">
        <f>IF(U$254&gt;4,0,"")</f>
        <v/>
      </c>
      <c r="V262" s="159"/>
      <c r="W262" s="387"/>
      <c r="X262" s="154"/>
      <c r="Y262" s="154"/>
      <c r="Z262" s="130"/>
      <c r="AA262" s="130"/>
      <c r="AB262" s="130"/>
      <c r="AC262" s="125"/>
      <c r="AE262" s="154"/>
      <c r="AF262" s="154"/>
      <c r="AG262" s="129"/>
      <c r="AH262" s="130"/>
      <c r="AI262" s="125"/>
      <c r="AK262" s="154"/>
      <c r="AL262" s="154"/>
      <c r="AM262" s="129"/>
      <c r="AN262" s="130"/>
      <c r="AO262" s="125"/>
      <c r="AQ262" s="154"/>
      <c r="AR262" s="154"/>
      <c r="AS262" s="129"/>
      <c r="AT262" s="130"/>
      <c r="AU262" s="125"/>
      <c r="AW262" s="154"/>
      <c r="AX262" s="154"/>
      <c r="AY262" s="129"/>
      <c r="AZ262" s="130"/>
      <c r="BA262" s="125"/>
    </row>
    <row r="263" spans="1:53" ht="17.100000000000001" customHeight="1" x14ac:dyDescent="0.25">
      <c r="A263" s="137"/>
      <c r="B263" s="40"/>
      <c r="C263" s="40">
        <v>6</v>
      </c>
      <c r="D263" s="700" t="s">
        <v>1450</v>
      </c>
      <c r="E263" s="122"/>
      <c r="F263" s="122"/>
      <c r="G263" s="122"/>
      <c r="H263" s="23"/>
      <c r="I263" s="12"/>
      <c r="J263" s="154"/>
      <c r="K263" s="154"/>
      <c r="L263" s="154"/>
      <c r="M263" s="154"/>
      <c r="N263" s="161" t="str">
        <f>IF(N$254&gt;5,0,"")</f>
        <v/>
      </c>
      <c r="O263" s="161" t="str">
        <f>IF(O$254&gt;5,0,"")</f>
        <v/>
      </c>
      <c r="P263" s="154"/>
      <c r="Q263" s="161" t="str">
        <f>IF(Q$254&gt;5,0,"")</f>
        <v/>
      </c>
      <c r="R263" s="161" t="str">
        <f>IF(R$254&gt;5,0,"")</f>
        <v/>
      </c>
      <c r="S263" s="154"/>
      <c r="T263" s="161" t="str">
        <f>IF(T$254&gt;5,0,"")</f>
        <v/>
      </c>
      <c r="U263" s="161" t="str">
        <f>IF(U$254&gt;5,0,"")</f>
        <v/>
      </c>
      <c r="V263" s="159"/>
      <c r="W263" s="387"/>
      <c r="X263" s="154"/>
      <c r="Y263" s="154"/>
      <c r="Z263" s="130"/>
      <c r="AA263" s="130"/>
      <c r="AB263" s="130"/>
      <c r="AC263" s="125"/>
      <c r="AE263" s="154"/>
      <c r="AF263" s="154"/>
      <c r="AG263" s="129"/>
      <c r="AH263" s="130"/>
      <c r="AI263" s="125"/>
      <c r="AK263" s="154"/>
      <c r="AL263" s="154"/>
      <c r="AM263" s="129"/>
      <c r="AN263" s="130"/>
      <c r="AO263" s="125"/>
      <c r="AQ263" s="154"/>
      <c r="AR263" s="154"/>
      <c r="AS263" s="129"/>
      <c r="AT263" s="130"/>
      <c r="AU263" s="125"/>
      <c r="AW263" s="154"/>
      <c r="AX263" s="154"/>
      <c r="AY263" s="129"/>
      <c r="AZ263" s="130"/>
      <c r="BA263" s="125"/>
    </row>
    <row r="264" spans="1:53" ht="17.100000000000001" customHeight="1" x14ac:dyDescent="0.25">
      <c r="A264" s="137"/>
      <c r="B264" s="40"/>
      <c r="C264" s="40">
        <v>7</v>
      </c>
      <c r="D264" s="700" t="s">
        <v>1450</v>
      </c>
      <c r="E264" s="122"/>
      <c r="F264" s="122"/>
      <c r="G264" s="122"/>
      <c r="H264" s="23"/>
      <c r="I264" s="12"/>
      <c r="J264" s="154"/>
      <c r="K264" s="154"/>
      <c r="L264" s="154"/>
      <c r="M264" s="154"/>
      <c r="N264" s="161" t="str">
        <f>IF(N$254&gt;6,0,"")</f>
        <v/>
      </c>
      <c r="O264" s="161" t="str">
        <f>IF(O$254&gt;6,0,"")</f>
        <v/>
      </c>
      <c r="P264" s="154"/>
      <c r="Q264" s="161" t="str">
        <f>IF(Q$254&gt;6,0,"")</f>
        <v/>
      </c>
      <c r="R264" s="161" t="str">
        <f>IF(R$254&gt;6,0,"")</f>
        <v/>
      </c>
      <c r="S264" s="154"/>
      <c r="T264" s="161" t="str">
        <f>IF(T$254&gt;6,0,"")</f>
        <v/>
      </c>
      <c r="U264" s="161" t="str">
        <f>IF(U$254&gt;6,0,"")</f>
        <v/>
      </c>
      <c r="V264" s="159"/>
      <c r="W264" s="387"/>
      <c r="X264" s="154"/>
      <c r="Y264" s="154"/>
      <c r="Z264" s="130"/>
      <c r="AA264" s="130"/>
      <c r="AB264" s="130"/>
      <c r="AC264" s="125"/>
      <c r="AE264" s="154"/>
      <c r="AF264" s="154"/>
      <c r="AG264" s="129"/>
      <c r="AH264" s="130"/>
      <c r="AI264" s="125"/>
      <c r="AK264" s="154"/>
      <c r="AL264" s="154"/>
      <c r="AM264" s="129"/>
      <c r="AN264" s="130"/>
      <c r="AO264" s="125"/>
      <c r="AQ264" s="154"/>
      <c r="AR264" s="154"/>
      <c r="AS264" s="129"/>
      <c r="AT264" s="130"/>
      <c r="AU264" s="125"/>
      <c r="AW264" s="154"/>
      <c r="AX264" s="154"/>
      <c r="AY264" s="129"/>
      <c r="AZ264" s="130"/>
      <c r="BA264" s="125"/>
    </row>
    <row r="265" spans="1:53" ht="17.100000000000001" customHeight="1" x14ac:dyDescent="0.25">
      <c r="A265" s="137"/>
      <c r="B265" s="40"/>
      <c r="C265" s="40">
        <v>8</v>
      </c>
      <c r="D265" s="700" t="s">
        <v>1450</v>
      </c>
      <c r="E265" s="122"/>
      <c r="F265" s="122"/>
      <c r="G265" s="122"/>
      <c r="H265" s="23"/>
      <c r="I265" s="12"/>
      <c r="J265" s="154"/>
      <c r="K265" s="154"/>
      <c r="L265" s="154"/>
      <c r="M265" s="154"/>
      <c r="N265" s="161" t="str">
        <f>IF(N$254&gt;7,0,"")</f>
        <v/>
      </c>
      <c r="O265" s="161" t="str">
        <f>IF(O$254&gt;7,0,"")</f>
        <v/>
      </c>
      <c r="P265" s="154"/>
      <c r="Q265" s="161" t="str">
        <f>IF(Q$254&gt;7,0,"")</f>
        <v/>
      </c>
      <c r="R265" s="161" t="str">
        <f>IF(R$254&gt;7,0,"")</f>
        <v/>
      </c>
      <c r="S265" s="154"/>
      <c r="T265" s="161" t="str">
        <f>IF(T$254&gt;7,0,"")</f>
        <v/>
      </c>
      <c r="U265" s="161" t="str">
        <f>IF(U$254&gt;7,0,"")</f>
        <v/>
      </c>
      <c r="V265" s="159"/>
      <c r="W265" s="387"/>
      <c r="X265" s="154"/>
      <c r="Y265" s="154"/>
      <c r="Z265" s="130"/>
      <c r="AA265" s="130"/>
      <c r="AB265" s="130"/>
      <c r="AC265" s="125"/>
      <c r="AE265" s="154"/>
      <c r="AF265" s="154"/>
      <c r="AG265" s="129"/>
      <c r="AH265" s="130"/>
      <c r="AI265" s="125"/>
      <c r="AK265" s="154"/>
      <c r="AL265" s="154"/>
      <c r="AM265" s="129"/>
      <c r="AN265" s="130"/>
      <c r="AO265" s="125"/>
      <c r="AQ265" s="154"/>
      <c r="AR265" s="154"/>
      <c r="AS265" s="129"/>
      <c r="AT265" s="130"/>
      <c r="AU265" s="125"/>
      <c r="AW265" s="154"/>
      <c r="AX265" s="154"/>
      <c r="AY265" s="129"/>
      <c r="AZ265" s="130"/>
      <c r="BA265" s="125"/>
    </row>
    <row r="266" spans="1:53" ht="17.100000000000001" customHeight="1" x14ac:dyDescent="0.25">
      <c r="A266" s="137"/>
      <c r="B266" s="40"/>
      <c r="C266" s="40">
        <v>9</v>
      </c>
      <c r="D266" s="700" t="s">
        <v>1450</v>
      </c>
      <c r="E266" s="122"/>
      <c r="F266" s="122"/>
      <c r="G266" s="122"/>
      <c r="H266" s="23"/>
      <c r="I266" s="12"/>
      <c r="J266" s="154"/>
      <c r="K266" s="154"/>
      <c r="L266" s="154"/>
      <c r="M266" s="154"/>
      <c r="N266" s="161" t="str">
        <f>IF(N$254&gt;8,0,"")</f>
        <v/>
      </c>
      <c r="O266" s="161" t="str">
        <f>IF(O$254&gt;8,0,"")</f>
        <v/>
      </c>
      <c r="P266" s="154"/>
      <c r="Q266" s="161" t="str">
        <f>IF(Q$254&gt;8,0,"")</f>
        <v/>
      </c>
      <c r="R266" s="161" t="str">
        <f>IF(R$254&gt;8,0,"")</f>
        <v/>
      </c>
      <c r="S266" s="154"/>
      <c r="T266" s="161" t="str">
        <f>IF(T$254&gt;8,0,"")</f>
        <v/>
      </c>
      <c r="U266" s="161" t="str">
        <f>IF(U$254&gt;8,0,"")</f>
        <v/>
      </c>
      <c r="V266" s="159"/>
      <c r="W266" s="387"/>
      <c r="X266" s="154"/>
      <c r="Y266" s="154"/>
      <c r="Z266" s="130"/>
      <c r="AA266" s="130"/>
      <c r="AB266" s="130"/>
      <c r="AC266" s="125"/>
      <c r="AE266" s="154"/>
      <c r="AF266" s="154"/>
      <c r="AG266" s="129"/>
      <c r="AH266" s="130"/>
      <c r="AI266" s="125"/>
      <c r="AK266" s="154"/>
      <c r="AL266" s="154"/>
      <c r="AM266" s="129"/>
      <c r="AN266" s="130"/>
      <c r="AO266" s="125"/>
      <c r="AQ266" s="154"/>
      <c r="AR266" s="154"/>
      <c r="AS266" s="129"/>
      <c r="AT266" s="130"/>
      <c r="AU266" s="125"/>
      <c r="AW266" s="154"/>
      <c r="AX266" s="154"/>
      <c r="AY266" s="129"/>
      <c r="AZ266" s="130"/>
      <c r="BA266" s="125"/>
    </row>
    <row r="267" spans="1:53" ht="17.100000000000001" customHeight="1" x14ac:dyDescent="0.25">
      <c r="A267" s="137"/>
      <c r="B267" s="40"/>
      <c r="C267" s="40">
        <v>10</v>
      </c>
      <c r="D267" s="700" t="s">
        <v>1450</v>
      </c>
      <c r="E267" s="122"/>
      <c r="F267" s="122"/>
      <c r="G267" s="122"/>
      <c r="H267" s="23"/>
      <c r="I267" s="12"/>
      <c r="J267" s="154"/>
      <c r="K267" s="154"/>
      <c r="L267" s="154"/>
      <c r="M267" s="154"/>
      <c r="N267" s="161" t="str">
        <f>IF(N$254&gt;9,0,"")</f>
        <v/>
      </c>
      <c r="O267" s="161" t="str">
        <f>IF(O$254&gt;9,0,"")</f>
        <v/>
      </c>
      <c r="P267" s="154"/>
      <c r="Q267" s="161" t="str">
        <f>IF(Q$254&gt;9,0,"")</f>
        <v/>
      </c>
      <c r="R267" s="161" t="str">
        <f>IF(R$254&gt;9,0,"")</f>
        <v/>
      </c>
      <c r="S267" s="154"/>
      <c r="T267" s="161" t="str">
        <f>IF(T$254&gt;9,0,"")</f>
        <v/>
      </c>
      <c r="U267" s="161" t="str">
        <f>IF(U$254&gt;9,0,"")</f>
        <v/>
      </c>
      <c r="V267" s="159"/>
      <c r="W267" s="387"/>
      <c r="X267" s="154"/>
      <c r="Y267" s="154"/>
      <c r="Z267" s="130"/>
      <c r="AA267" s="130"/>
      <c r="AB267" s="130"/>
      <c r="AC267" s="125"/>
      <c r="AE267" s="154"/>
      <c r="AF267" s="154"/>
      <c r="AG267" s="129"/>
      <c r="AH267" s="130"/>
      <c r="AI267" s="125"/>
      <c r="AK267" s="154"/>
      <c r="AL267" s="154"/>
      <c r="AM267" s="129"/>
      <c r="AN267" s="130"/>
      <c r="AO267" s="125"/>
      <c r="AQ267" s="154"/>
      <c r="AR267" s="154"/>
      <c r="AS267" s="129"/>
      <c r="AT267" s="130"/>
      <c r="AU267" s="125"/>
      <c r="AW267" s="154"/>
      <c r="AX267" s="154"/>
      <c r="AY267" s="129"/>
      <c r="AZ267" s="130"/>
      <c r="BA267" s="125"/>
    </row>
    <row r="268" spans="1:53" ht="17.100000000000001" customHeight="1" x14ac:dyDescent="0.25">
      <c r="A268" s="137"/>
      <c r="B268" s="40"/>
      <c r="C268" s="40">
        <v>1</v>
      </c>
      <c r="D268" s="128" t="s">
        <v>1449</v>
      </c>
      <c r="E268" s="122"/>
      <c r="F268" s="122"/>
      <c r="G268" s="122"/>
      <c r="H268" s="23"/>
      <c r="I268" s="12"/>
      <c r="J268" s="154"/>
      <c r="K268" s="154"/>
      <c r="L268" s="154"/>
      <c r="M268" s="154"/>
      <c r="N268" s="161">
        <f>IF(N$255&gt;0,N$256,"")</f>
        <v>275000</v>
      </c>
      <c r="O268" s="161">
        <f>IF(O$255&gt;0,O$256,"")</f>
        <v>242000</v>
      </c>
      <c r="P268" s="154"/>
      <c r="Q268" s="161" t="str">
        <f>IF(Q$255&gt;0,Q$256,"")</f>
        <v/>
      </c>
      <c r="R268" s="161" t="str">
        <f>IF(R$255&gt;0,R$256,"")</f>
        <v/>
      </c>
      <c r="S268" s="154"/>
      <c r="T268" s="161" t="str">
        <f>IF(T$255&gt;0,T$256,"")</f>
        <v/>
      </c>
      <c r="U268" s="161" t="str">
        <f>IF(U$255&gt;0,U$256,"")</f>
        <v/>
      </c>
      <c r="V268" s="159"/>
      <c r="W268" s="387"/>
      <c r="X268" s="154"/>
      <c r="Y268" s="154"/>
      <c r="Z268" s="130"/>
      <c r="AA268" s="130"/>
      <c r="AB268" s="130"/>
      <c r="AC268" s="125"/>
      <c r="AE268" s="154"/>
      <c r="AF268" s="154"/>
      <c r="AG268" s="129"/>
      <c r="AH268" s="130"/>
      <c r="AI268" s="125"/>
      <c r="AK268" s="154"/>
      <c r="AL268" s="154"/>
      <c r="AM268" s="129"/>
      <c r="AN268" s="130"/>
      <c r="AO268" s="125"/>
      <c r="AQ268" s="154"/>
      <c r="AR268" s="154"/>
      <c r="AS268" s="129"/>
      <c r="AT268" s="130"/>
      <c r="AU268" s="125"/>
      <c r="AW268" s="154"/>
      <c r="AX268" s="154"/>
      <c r="AY268" s="129"/>
      <c r="AZ268" s="130"/>
      <c r="BA268" s="125"/>
    </row>
    <row r="269" spans="1:53" ht="17.100000000000001" customHeight="1" x14ac:dyDescent="0.25">
      <c r="A269" s="137"/>
      <c r="B269" s="40"/>
      <c r="C269" s="40">
        <v>2</v>
      </c>
      <c r="D269" s="128" t="s">
        <v>1449</v>
      </c>
      <c r="E269" s="122"/>
      <c r="F269" s="122"/>
      <c r="G269" s="122"/>
      <c r="H269" s="23"/>
      <c r="I269" s="12"/>
      <c r="J269" s="154"/>
      <c r="K269" s="154"/>
      <c r="L269" s="154"/>
      <c r="M269" s="154"/>
      <c r="N269" s="161">
        <f>IF(N$255&gt;1,N$256,"")</f>
        <v>275000</v>
      </c>
      <c r="O269" s="161">
        <f>IF(O$255&gt;1,O$256,"")</f>
        <v>242000</v>
      </c>
      <c r="P269" s="154"/>
      <c r="Q269" s="161" t="str">
        <f>IF(Q$255&gt;1,Q$256,"")</f>
        <v/>
      </c>
      <c r="R269" s="161" t="str">
        <f>IF(R$255&gt;1,R$256,"")</f>
        <v/>
      </c>
      <c r="S269" s="154"/>
      <c r="T269" s="161" t="str">
        <f>IF(T$255&gt;1,T$256,"")</f>
        <v/>
      </c>
      <c r="U269" s="161" t="str">
        <f>IF(U$255&gt;1,U$256,"")</f>
        <v/>
      </c>
      <c r="V269" s="159"/>
      <c r="W269" s="387"/>
      <c r="X269" s="154"/>
      <c r="Y269" s="154"/>
      <c r="Z269" s="130"/>
      <c r="AA269" s="130"/>
      <c r="AB269" s="130"/>
      <c r="AC269" s="125"/>
      <c r="AE269" s="154"/>
      <c r="AF269" s="154"/>
      <c r="AG269" s="129"/>
      <c r="AH269" s="130"/>
      <c r="AI269" s="125"/>
      <c r="AK269" s="154"/>
      <c r="AL269" s="154"/>
      <c r="AM269" s="129"/>
      <c r="AN269" s="130"/>
      <c r="AO269" s="125"/>
      <c r="AQ269" s="154"/>
      <c r="AR269" s="154"/>
      <c r="AS269" s="129"/>
      <c r="AT269" s="130"/>
      <c r="AU269" s="125"/>
      <c r="AW269" s="154"/>
      <c r="AX269" s="154"/>
      <c r="AY269" s="129"/>
      <c r="AZ269" s="130"/>
      <c r="BA269" s="125"/>
    </row>
    <row r="270" spans="1:53" ht="17.100000000000001" customHeight="1" x14ac:dyDescent="0.25">
      <c r="A270" s="137"/>
      <c r="B270" s="40"/>
      <c r="C270" s="40">
        <v>3</v>
      </c>
      <c r="D270" s="128" t="s">
        <v>1449</v>
      </c>
      <c r="E270" s="122"/>
      <c r="F270" s="122"/>
      <c r="G270" s="122"/>
      <c r="H270" s="23"/>
      <c r="I270" s="12"/>
      <c r="J270" s="154"/>
      <c r="K270" s="154"/>
      <c r="L270" s="154"/>
      <c r="M270" s="154"/>
      <c r="N270" s="161">
        <f>IF(N$255&gt;2,N$256,"")</f>
        <v>275000</v>
      </c>
      <c r="O270" s="161">
        <f>IF(O$255&gt;2,O$256,"")</f>
        <v>242000</v>
      </c>
      <c r="P270" s="154"/>
      <c r="Q270" s="161" t="str">
        <f>IF(Q$255&gt;2,Q$256,"")</f>
        <v/>
      </c>
      <c r="R270" s="161" t="str">
        <f>IF(R$255&gt;2,R$256,"")</f>
        <v/>
      </c>
      <c r="S270" s="154"/>
      <c r="T270" s="161" t="str">
        <f>IF(T$255&gt;2,T$256,"")</f>
        <v/>
      </c>
      <c r="U270" s="161" t="str">
        <f>IF(U$255&gt;2,U$256,"")</f>
        <v/>
      </c>
      <c r="V270" s="159"/>
      <c r="W270" s="387"/>
      <c r="X270" s="154"/>
      <c r="Y270" s="154"/>
      <c r="Z270" s="130"/>
      <c r="AA270" s="130"/>
      <c r="AB270" s="130"/>
      <c r="AC270" s="125"/>
      <c r="AE270" s="154"/>
      <c r="AF270" s="154"/>
      <c r="AG270" s="129"/>
      <c r="AH270" s="130"/>
      <c r="AI270" s="125"/>
      <c r="AK270" s="154"/>
      <c r="AL270" s="154"/>
      <c r="AM270" s="129"/>
      <c r="AN270" s="130"/>
      <c r="AO270" s="125"/>
      <c r="AQ270" s="154"/>
      <c r="AR270" s="154"/>
      <c r="AS270" s="129"/>
      <c r="AT270" s="130"/>
      <c r="AU270" s="125"/>
      <c r="AW270" s="154"/>
      <c r="AX270" s="154"/>
      <c r="AY270" s="129"/>
      <c r="AZ270" s="130"/>
      <c r="BA270" s="125"/>
    </row>
    <row r="271" spans="1:53" ht="17.100000000000001" customHeight="1" x14ac:dyDescent="0.25">
      <c r="A271" s="137"/>
      <c r="B271" s="40"/>
      <c r="C271" s="40">
        <v>4</v>
      </c>
      <c r="D271" s="128" t="s">
        <v>1449</v>
      </c>
      <c r="E271" s="122"/>
      <c r="F271" s="122"/>
      <c r="G271" s="122"/>
      <c r="H271" s="23"/>
      <c r="I271" s="12"/>
      <c r="J271" s="154"/>
      <c r="K271" s="154"/>
      <c r="L271" s="154"/>
      <c r="M271" s="154"/>
      <c r="N271" s="161">
        <f>IF(N$255&gt;3,N$256,"")</f>
        <v>275000</v>
      </c>
      <c r="O271" s="161">
        <f>IF(O$255&gt;3,O$256,"")</f>
        <v>242000</v>
      </c>
      <c r="P271" s="154"/>
      <c r="Q271" s="161" t="str">
        <f>IF(Q$255&gt;3,Q$256,"")</f>
        <v/>
      </c>
      <c r="R271" s="161" t="str">
        <f>IF(R$255&gt;3,R$256,"")</f>
        <v/>
      </c>
      <c r="S271" s="154"/>
      <c r="T271" s="161" t="str">
        <f>IF(T$255&gt;3,T$256,"")</f>
        <v/>
      </c>
      <c r="U271" s="161" t="str">
        <f>IF(U$255&gt;3,U$256,"")</f>
        <v/>
      </c>
      <c r="V271" s="159"/>
      <c r="W271" s="387"/>
      <c r="X271" s="154"/>
      <c r="Y271" s="154"/>
      <c r="Z271" s="130"/>
      <c r="AA271" s="130"/>
      <c r="AB271" s="130"/>
      <c r="AC271" s="125"/>
      <c r="AE271" s="154"/>
      <c r="AF271" s="154"/>
      <c r="AG271" s="129"/>
      <c r="AH271" s="130"/>
      <c r="AI271" s="125"/>
      <c r="AK271" s="154"/>
      <c r="AL271" s="154"/>
      <c r="AM271" s="129"/>
      <c r="AN271" s="130"/>
      <c r="AO271" s="125"/>
      <c r="AQ271" s="154"/>
      <c r="AR271" s="154"/>
      <c r="AS271" s="129"/>
      <c r="AT271" s="130"/>
      <c r="AU271" s="125"/>
      <c r="AW271" s="154"/>
      <c r="AX271" s="154"/>
      <c r="AY271" s="129"/>
      <c r="AZ271" s="130"/>
      <c r="BA271" s="125"/>
    </row>
    <row r="272" spans="1:53" ht="17.100000000000001" customHeight="1" x14ac:dyDescent="0.25">
      <c r="A272" s="137"/>
      <c r="B272" s="40"/>
      <c r="C272" s="40">
        <v>5</v>
      </c>
      <c r="D272" s="128" t="s">
        <v>1449</v>
      </c>
      <c r="E272" s="122"/>
      <c r="F272" s="122"/>
      <c r="G272" s="122"/>
      <c r="H272" s="23"/>
      <c r="I272" s="12"/>
      <c r="J272" s="154"/>
      <c r="K272" s="154"/>
      <c r="L272" s="154"/>
      <c r="M272" s="154"/>
      <c r="N272" s="161" t="str">
        <f>IF(N$255&gt;4,N$256,"")</f>
        <v/>
      </c>
      <c r="O272" s="161">
        <f>IF(O$255&gt;4,O$256,"")</f>
        <v>242000</v>
      </c>
      <c r="P272" s="154"/>
      <c r="Q272" s="161" t="str">
        <f>IF(Q$255&gt;4,Q$256,"")</f>
        <v/>
      </c>
      <c r="R272" s="161" t="str">
        <f>IF(R$255&gt;4,R$256,"")</f>
        <v/>
      </c>
      <c r="S272" s="154"/>
      <c r="T272" s="161" t="str">
        <f>IF(T$255&gt;4,T$256,"")</f>
        <v/>
      </c>
      <c r="U272" s="161" t="str">
        <f>IF(U$255&gt;4,U$256,"")</f>
        <v/>
      </c>
      <c r="V272" s="159"/>
      <c r="W272" s="387"/>
      <c r="X272" s="154"/>
      <c r="Y272" s="154"/>
      <c r="Z272" s="130"/>
      <c r="AA272" s="130"/>
      <c r="AB272" s="130"/>
      <c r="AC272" s="125"/>
      <c r="AE272" s="154"/>
      <c r="AF272" s="154"/>
      <c r="AG272" s="129"/>
      <c r="AH272" s="130"/>
      <c r="AI272" s="125"/>
      <c r="AK272" s="154"/>
      <c r="AL272" s="154"/>
      <c r="AM272" s="129"/>
      <c r="AN272" s="130"/>
      <c r="AO272" s="125"/>
      <c r="AQ272" s="154"/>
      <c r="AR272" s="154"/>
      <c r="AS272" s="129"/>
      <c r="AT272" s="130"/>
      <c r="AU272" s="125"/>
      <c r="AW272" s="154"/>
      <c r="AX272" s="154"/>
      <c r="AY272" s="129"/>
      <c r="AZ272" s="130"/>
      <c r="BA272" s="125"/>
    </row>
    <row r="273" spans="1:53" ht="17.100000000000001" customHeight="1" x14ac:dyDescent="0.25">
      <c r="A273" s="137"/>
      <c r="B273" s="40"/>
      <c r="C273" s="40">
        <v>6</v>
      </c>
      <c r="D273" s="128" t="s">
        <v>1449</v>
      </c>
      <c r="E273" s="122"/>
      <c r="F273" s="122"/>
      <c r="G273" s="122"/>
      <c r="H273" s="23"/>
      <c r="I273" s="12"/>
      <c r="J273" s="154"/>
      <c r="K273" s="154"/>
      <c r="L273" s="154"/>
      <c r="M273" s="154"/>
      <c r="N273" s="161" t="str">
        <f>IF(N$255&gt;5,N$256,"")</f>
        <v/>
      </c>
      <c r="O273" s="161">
        <f>IF(O$255&gt;5,O$256,"")</f>
        <v>242000</v>
      </c>
      <c r="P273" s="154"/>
      <c r="Q273" s="161" t="str">
        <f>IF(Q$255&gt;5,Q$256,"")</f>
        <v/>
      </c>
      <c r="R273" s="161" t="str">
        <f>IF(R$255&gt;5,R$256,"")</f>
        <v/>
      </c>
      <c r="S273" s="154"/>
      <c r="T273" s="161" t="str">
        <f>IF(T$255&gt;5,T$256,"")</f>
        <v/>
      </c>
      <c r="U273" s="161" t="str">
        <f>IF(U$255&gt;5,U$256,"")</f>
        <v/>
      </c>
      <c r="V273" s="159"/>
      <c r="W273" s="387"/>
      <c r="X273" s="154"/>
      <c r="Y273" s="154"/>
      <c r="Z273" s="130"/>
      <c r="AA273" s="130"/>
      <c r="AB273" s="130"/>
      <c r="AC273" s="125"/>
      <c r="AE273" s="154"/>
      <c r="AF273" s="154"/>
      <c r="AG273" s="129"/>
      <c r="AH273" s="130"/>
      <c r="AI273" s="125"/>
      <c r="AK273" s="154"/>
      <c r="AL273" s="154"/>
      <c r="AM273" s="129"/>
      <c r="AN273" s="130"/>
      <c r="AO273" s="125"/>
      <c r="AQ273" s="154"/>
      <c r="AR273" s="154"/>
      <c r="AS273" s="129"/>
      <c r="AT273" s="130"/>
      <c r="AU273" s="125"/>
      <c r="AW273" s="154"/>
      <c r="AX273" s="154"/>
      <c r="AY273" s="129"/>
      <c r="AZ273" s="130"/>
      <c r="BA273" s="125"/>
    </row>
    <row r="274" spans="1:53" ht="17.100000000000001" customHeight="1" x14ac:dyDescent="0.25">
      <c r="A274" s="137"/>
      <c r="B274" s="40"/>
      <c r="C274" s="40">
        <v>7</v>
      </c>
      <c r="D274" s="128" t="s">
        <v>1449</v>
      </c>
      <c r="E274" s="122"/>
      <c r="F274" s="122"/>
      <c r="G274" s="122"/>
      <c r="H274" s="23"/>
      <c r="I274" s="12"/>
      <c r="J274" s="154"/>
      <c r="K274" s="154"/>
      <c r="L274" s="154"/>
      <c r="M274" s="154"/>
      <c r="N274" s="161" t="str">
        <f>IF(N$255&gt;6,N$256,"")</f>
        <v/>
      </c>
      <c r="O274" s="161">
        <f>IF(O$255&gt;6,O$256,"")</f>
        <v>242000</v>
      </c>
      <c r="P274" s="154"/>
      <c r="Q274" s="161" t="str">
        <f>IF(Q$255&gt;6,Q$256,"")</f>
        <v/>
      </c>
      <c r="R274" s="161" t="str">
        <f>IF(R$255&gt;6,R$256,"")</f>
        <v/>
      </c>
      <c r="S274" s="154"/>
      <c r="T274" s="161" t="str">
        <f>IF(T$255&gt;6,T$256,"")</f>
        <v/>
      </c>
      <c r="U274" s="161" t="str">
        <f>IF(U$255&gt;6,U$256,"")</f>
        <v/>
      </c>
      <c r="V274" s="159"/>
      <c r="W274" s="387"/>
      <c r="X274" s="154"/>
      <c r="Y274" s="154"/>
      <c r="Z274" s="130"/>
      <c r="AA274" s="130"/>
      <c r="AB274" s="130"/>
      <c r="AC274" s="125"/>
      <c r="AE274" s="154"/>
      <c r="AF274" s="154"/>
      <c r="AG274" s="129"/>
      <c r="AH274" s="130"/>
      <c r="AI274" s="125"/>
      <c r="AK274" s="154"/>
      <c r="AL274" s="154"/>
      <c r="AM274" s="129"/>
      <c r="AN274" s="130"/>
      <c r="AO274" s="125"/>
      <c r="AQ274" s="154"/>
      <c r="AR274" s="154"/>
      <c r="AS274" s="129"/>
      <c r="AT274" s="130"/>
      <c r="AU274" s="125"/>
      <c r="AW274" s="154"/>
      <c r="AX274" s="154"/>
      <c r="AY274" s="129"/>
      <c r="AZ274" s="130"/>
      <c r="BA274" s="125"/>
    </row>
    <row r="275" spans="1:53" ht="17.100000000000001" customHeight="1" x14ac:dyDescent="0.25">
      <c r="A275" s="137"/>
      <c r="B275" s="40"/>
      <c r="C275" s="40">
        <v>8</v>
      </c>
      <c r="D275" s="128" t="s">
        <v>1449</v>
      </c>
      <c r="E275" s="122"/>
      <c r="F275" s="122"/>
      <c r="G275" s="122"/>
      <c r="H275" s="23"/>
      <c r="I275" s="12"/>
      <c r="J275" s="154"/>
      <c r="K275" s="154"/>
      <c r="L275" s="154"/>
      <c r="M275" s="154"/>
      <c r="N275" s="161" t="str">
        <f>IF(N$255&gt;7,N$256,"")</f>
        <v/>
      </c>
      <c r="O275" s="161" t="str">
        <f>IF(O$255&gt;7,O$256,"")</f>
        <v/>
      </c>
      <c r="P275" s="154"/>
      <c r="Q275" s="161" t="str">
        <f>IF(Q$255&gt;7,Q$256,"")</f>
        <v/>
      </c>
      <c r="R275" s="161" t="str">
        <f>IF(R$255&gt;7,R$256,"")</f>
        <v/>
      </c>
      <c r="S275" s="154"/>
      <c r="T275" s="161" t="str">
        <f>IF(T$255&gt;7,T$256,"")</f>
        <v/>
      </c>
      <c r="U275" s="161" t="str">
        <f>IF(U$255&gt;7,U$256,"")</f>
        <v/>
      </c>
      <c r="V275" s="159"/>
      <c r="W275" s="387"/>
      <c r="X275" s="154"/>
      <c r="Y275" s="154"/>
      <c r="Z275" s="130"/>
      <c r="AA275" s="130"/>
      <c r="AB275" s="130"/>
      <c r="AC275" s="125"/>
      <c r="AE275" s="154"/>
      <c r="AF275" s="154"/>
      <c r="AG275" s="129"/>
      <c r="AH275" s="130"/>
      <c r="AI275" s="125"/>
      <c r="AK275" s="154"/>
      <c r="AL275" s="154"/>
      <c r="AM275" s="129"/>
      <c r="AN275" s="130"/>
      <c r="AO275" s="125"/>
      <c r="AQ275" s="154"/>
      <c r="AR275" s="154"/>
      <c r="AS275" s="129"/>
      <c r="AT275" s="130"/>
      <c r="AU275" s="125"/>
      <c r="AW275" s="154"/>
      <c r="AX275" s="154"/>
      <c r="AY275" s="129"/>
      <c r="AZ275" s="130"/>
      <c r="BA275" s="125"/>
    </row>
    <row r="276" spans="1:53" ht="17.100000000000001" customHeight="1" x14ac:dyDescent="0.25">
      <c r="A276" s="137"/>
      <c r="B276" s="40"/>
      <c r="C276" s="40">
        <v>9</v>
      </c>
      <c r="D276" s="128" t="s">
        <v>1449</v>
      </c>
      <c r="E276" s="122"/>
      <c r="F276" s="122"/>
      <c r="G276" s="122"/>
      <c r="H276" s="23"/>
      <c r="I276" s="12"/>
      <c r="J276" s="154"/>
      <c r="K276" s="154"/>
      <c r="L276" s="154"/>
      <c r="M276" s="154"/>
      <c r="N276" s="161" t="str">
        <f>IF(N$255&gt;8,N$256,"")</f>
        <v/>
      </c>
      <c r="O276" s="161" t="str">
        <f>IF(O$255&gt;8,O$256,"")</f>
        <v/>
      </c>
      <c r="P276" s="154"/>
      <c r="Q276" s="161" t="str">
        <f>IF(Q$255&gt;8,Q$256,"")</f>
        <v/>
      </c>
      <c r="R276" s="161" t="str">
        <f>IF(R$255&gt;8,R$256,"")</f>
        <v/>
      </c>
      <c r="S276" s="154"/>
      <c r="T276" s="161" t="str">
        <f>IF(T$255&gt;8,T$256,"")</f>
        <v/>
      </c>
      <c r="U276" s="161" t="str">
        <f>IF(U$255&gt;8,U$256,"")</f>
        <v/>
      </c>
      <c r="V276" s="159"/>
      <c r="W276" s="387"/>
      <c r="X276" s="154"/>
      <c r="Y276" s="154"/>
      <c r="Z276" s="130"/>
      <c r="AA276" s="130"/>
      <c r="AB276" s="130"/>
      <c r="AC276" s="125"/>
      <c r="AE276" s="154"/>
      <c r="AF276" s="154"/>
      <c r="AG276" s="129"/>
      <c r="AH276" s="130"/>
      <c r="AI276" s="125"/>
      <c r="AK276" s="154"/>
      <c r="AL276" s="154"/>
      <c r="AM276" s="129"/>
      <c r="AN276" s="130"/>
      <c r="AO276" s="125"/>
      <c r="AQ276" s="154"/>
      <c r="AR276" s="154"/>
      <c r="AS276" s="129"/>
      <c r="AT276" s="130"/>
      <c r="AU276" s="125"/>
      <c r="AW276" s="154"/>
      <c r="AX276" s="154"/>
      <c r="AY276" s="129"/>
      <c r="AZ276" s="130"/>
      <c r="BA276" s="125"/>
    </row>
    <row r="277" spans="1:53" ht="17.100000000000001" customHeight="1" x14ac:dyDescent="0.25">
      <c r="A277" s="137"/>
      <c r="B277" s="40"/>
      <c r="C277" s="40">
        <v>10</v>
      </c>
      <c r="D277" s="128" t="s">
        <v>1449</v>
      </c>
      <c r="E277" s="122"/>
      <c r="F277" s="122"/>
      <c r="G277" s="122"/>
      <c r="H277" s="23"/>
      <c r="I277" s="12"/>
      <c r="J277" s="154"/>
      <c r="K277" s="154"/>
      <c r="L277" s="154"/>
      <c r="M277" s="154"/>
      <c r="N277" s="161" t="str">
        <f>IF(N$255&gt;9,N$256,"")</f>
        <v/>
      </c>
      <c r="O277" s="161" t="str">
        <f>IF(O$255&gt;9,O$256,"")</f>
        <v/>
      </c>
      <c r="P277" s="154"/>
      <c r="Q277" s="161" t="str">
        <f>IF(Q$255&gt;9,Q$256,"")</f>
        <v/>
      </c>
      <c r="R277" s="161" t="str">
        <f>IF(R$255&gt;9,R$256,"")</f>
        <v/>
      </c>
      <c r="S277" s="154"/>
      <c r="T277" s="161" t="str">
        <f>IF(T$255&gt;9,T$256,"")</f>
        <v/>
      </c>
      <c r="U277" s="161" t="str">
        <f>IF(U$255&gt;9,U$256,"")</f>
        <v/>
      </c>
      <c r="V277" s="159"/>
      <c r="W277" s="387"/>
      <c r="X277" s="154"/>
      <c r="Y277" s="154"/>
      <c r="Z277" s="130"/>
      <c r="AA277" s="130"/>
      <c r="AB277" s="130"/>
      <c r="AC277" s="125"/>
      <c r="AE277" s="154"/>
      <c r="AF277" s="154"/>
      <c r="AG277" s="129"/>
      <c r="AH277" s="130"/>
      <c r="AI277" s="125"/>
      <c r="AK277" s="154"/>
      <c r="AL277" s="154"/>
      <c r="AM277" s="129"/>
      <c r="AN277" s="130"/>
      <c r="AO277" s="125"/>
      <c r="AQ277" s="154"/>
      <c r="AR277" s="154"/>
      <c r="AS277" s="129"/>
      <c r="AT277" s="130"/>
      <c r="AU277" s="125"/>
      <c r="AW277" s="154"/>
      <c r="AX277" s="154"/>
      <c r="AY277" s="129"/>
      <c r="AZ277" s="130"/>
      <c r="BA277" s="125"/>
    </row>
    <row r="278" spans="1:53" s="158" customFormat="1" ht="17.100000000000001" customHeight="1" x14ac:dyDescent="0.25">
      <c r="A278" s="967"/>
      <c r="B278" s="102"/>
      <c r="C278" s="102"/>
      <c r="D278" s="122" t="s">
        <v>1451</v>
      </c>
      <c r="E278" s="122"/>
      <c r="F278" s="122"/>
      <c r="G278" s="122"/>
      <c r="H278" s="23"/>
      <c r="I278" s="12"/>
      <c r="J278" s="160"/>
      <c r="K278" s="160"/>
      <c r="L278" s="160"/>
      <c r="M278" s="160"/>
      <c r="N278" s="160">
        <f>IF(SUM(N254:N255)=0,"",AVERAGE(N258:N277))</f>
        <v>275000</v>
      </c>
      <c r="O278" s="160">
        <f>IF(SUM(O254:O255)=0,"",AVERAGE(O258:O277))</f>
        <v>188222.22222222222</v>
      </c>
      <c r="P278" s="160"/>
      <c r="Q278" s="160" t="str">
        <f>IF(SUM(Q254:Q255)=0,"",AVERAGE(Q258:Q277))</f>
        <v/>
      </c>
      <c r="R278" s="160" t="str">
        <f>IF(SUM(R254:R255)=0,"",AVERAGE(R258:R277))</f>
        <v/>
      </c>
      <c r="S278" s="160"/>
      <c r="T278" s="160" t="str">
        <f>IF(SUM(T254:T255)=0,"",AVERAGE(T258:T277))</f>
        <v/>
      </c>
      <c r="U278" s="160" t="str">
        <f>IF(SUM(U254:U255)=0,"",AVERAGE(U258:U277))</f>
        <v/>
      </c>
      <c r="V278" s="947"/>
      <c r="W278" s="948"/>
      <c r="X278" s="160"/>
      <c r="Y278" s="160"/>
      <c r="Z278" s="949"/>
      <c r="AA278" s="975">
        <f>MIN(N278:U278)</f>
        <v>188222.22222222222</v>
      </c>
      <c r="AB278" s="975">
        <f>MAX(N278:U278)</f>
        <v>275000</v>
      </c>
      <c r="AC278" s="124">
        <f>IF(SUM(N278:U278)=0,0,AVERAGE(N278:U278))</f>
        <v>231611.11111111112</v>
      </c>
      <c r="AE278" s="160"/>
      <c r="AF278" s="160"/>
      <c r="AG278" s="129"/>
      <c r="AH278" s="949"/>
      <c r="AI278" s="904"/>
      <c r="AK278" s="160"/>
      <c r="AL278" s="160"/>
      <c r="AM278" s="129"/>
      <c r="AN278" s="949"/>
      <c r="AO278" s="904"/>
      <c r="AQ278" s="160">
        <f>MIN(N278,Q278,T278)</f>
        <v>275000</v>
      </c>
      <c r="AR278" s="160">
        <f>MAX(N278,Q278,T278)</f>
        <v>275000</v>
      </c>
      <c r="AS278" s="129">
        <f>AVERAGE(N278,Q278,T278)</f>
        <v>275000</v>
      </c>
      <c r="AT278" s="949"/>
      <c r="AU278" s="904"/>
      <c r="AW278" s="160">
        <f>MIN(O278,R278,U278)</f>
        <v>188222.22222222222</v>
      </c>
      <c r="AX278" s="160">
        <f>MAX(O278,R278,U278)</f>
        <v>188222.22222222222</v>
      </c>
      <c r="AY278" s="129">
        <f>AVERAGE(O278,R278,U278)</f>
        <v>188222.22222222222</v>
      </c>
      <c r="AZ278" s="949"/>
      <c r="BA278" s="904"/>
    </row>
    <row r="279" spans="1:53" ht="17.100000000000001" customHeight="1" x14ac:dyDescent="0.25">
      <c r="A279" s="40"/>
      <c r="B279" s="40"/>
      <c r="C279" s="40"/>
      <c r="D279" s="128"/>
      <c r="E279" s="122"/>
      <c r="F279" s="122"/>
      <c r="G279" s="122"/>
      <c r="H279" s="23"/>
      <c r="I279" s="12"/>
      <c r="J279" s="154"/>
      <c r="K279" s="154"/>
      <c r="L279" s="154"/>
      <c r="M279" s="154"/>
      <c r="N279" s="154"/>
      <c r="O279" s="154"/>
      <c r="P279" s="154"/>
      <c r="Q279" s="154"/>
      <c r="R279" s="154"/>
      <c r="S279" s="154"/>
      <c r="T279" s="154"/>
      <c r="U279" s="154"/>
      <c r="V279" s="159"/>
      <c r="W279" s="387"/>
      <c r="X279" s="154"/>
      <c r="Y279" s="154"/>
      <c r="Z279" s="130"/>
      <c r="AA279" s="130"/>
      <c r="AB279" s="130"/>
      <c r="AC279" s="125"/>
      <c r="AE279" s="154"/>
      <c r="AF279" s="154"/>
      <c r="AG279" s="129"/>
      <c r="AH279" s="130"/>
      <c r="AI279" s="125"/>
      <c r="AK279" s="154"/>
      <c r="AL279" s="154"/>
      <c r="AM279" s="129"/>
      <c r="AN279" s="130"/>
      <c r="AO279" s="125"/>
      <c r="AQ279" s="154"/>
      <c r="AR279" s="154"/>
      <c r="AS279" s="129"/>
      <c r="AT279" s="130"/>
      <c r="AU279" s="125"/>
      <c r="AW279" s="154"/>
      <c r="AX279" s="154"/>
      <c r="AY279" s="129"/>
      <c r="AZ279" s="130"/>
      <c r="BA279" s="125"/>
    </row>
    <row r="280" spans="1:53" s="97" customFormat="1" ht="17.100000000000001" customHeight="1" x14ac:dyDescent="0.25">
      <c r="A280" s="68"/>
      <c r="B280" s="68"/>
      <c r="C280" s="92"/>
      <c r="D280" s="305"/>
      <c r="E280" s="305"/>
      <c r="F280" s="305"/>
      <c r="G280" s="305"/>
      <c r="H280" s="207"/>
      <c r="I280" s="207"/>
    </row>
    <row r="281" spans="1:53" s="32" customFormat="1" ht="16.5" thickBot="1" x14ac:dyDescent="0.3">
      <c r="A281" s="24" t="s">
        <v>287</v>
      </c>
      <c r="B281" s="25" t="s">
        <v>288</v>
      </c>
      <c r="C281" s="26"/>
      <c r="D281" s="27"/>
      <c r="E281" s="27"/>
      <c r="F281" s="27"/>
      <c r="G281" s="28"/>
      <c r="H281" s="310"/>
      <c r="I281" s="228"/>
      <c r="J281" s="140"/>
      <c r="K281" s="140"/>
      <c r="L281" s="140"/>
      <c r="M281" s="140"/>
      <c r="N281" s="140"/>
      <c r="O281" s="140"/>
      <c r="P281" s="140"/>
      <c r="Q281" s="140"/>
      <c r="R281" s="140"/>
      <c r="S281" s="140"/>
      <c r="T281" s="140"/>
      <c r="U281" s="140"/>
      <c r="V281" s="140"/>
      <c r="W281" s="140"/>
      <c r="X281" s="140"/>
      <c r="Y281" s="140"/>
      <c r="Z281" s="30" t="s">
        <v>5</v>
      </c>
      <c r="AA281" s="30"/>
      <c r="AB281" s="30"/>
      <c r="AC281" s="188"/>
      <c r="AE281" s="33" t="s">
        <v>181</v>
      </c>
      <c r="AF281" s="33" t="s">
        <v>182</v>
      </c>
      <c r="AG281" s="33" t="s">
        <v>6</v>
      </c>
      <c r="AH281" s="33" t="s">
        <v>4</v>
      </c>
      <c r="AI281" s="34" t="s">
        <v>5</v>
      </c>
      <c r="AJ281" s="35"/>
      <c r="AK281" s="36" t="s">
        <v>181</v>
      </c>
      <c r="AL281" s="36" t="s">
        <v>182</v>
      </c>
      <c r="AM281" s="36" t="s">
        <v>6</v>
      </c>
      <c r="AN281" s="36" t="s">
        <v>4</v>
      </c>
      <c r="AO281" s="37" t="s">
        <v>5</v>
      </c>
      <c r="AQ281" s="398" t="s">
        <v>181</v>
      </c>
      <c r="AR281" s="398" t="s">
        <v>182</v>
      </c>
      <c r="AS281" s="398" t="s">
        <v>6</v>
      </c>
      <c r="AT281" s="398" t="s">
        <v>4</v>
      </c>
      <c r="AU281" s="399" t="s">
        <v>5</v>
      </c>
      <c r="AW281" s="38" t="s">
        <v>181</v>
      </c>
      <c r="AX281" s="38" t="s">
        <v>182</v>
      </c>
      <c r="AY281" s="38" t="s">
        <v>6</v>
      </c>
      <c r="AZ281" s="423" t="s">
        <v>4</v>
      </c>
      <c r="BA281" s="39" t="s">
        <v>5</v>
      </c>
    </row>
    <row r="282" spans="1:53" ht="17.100000000000001" customHeight="1" x14ac:dyDescent="0.25">
      <c r="A282" s="40"/>
      <c r="B282" s="41" t="s">
        <v>289</v>
      </c>
      <c r="C282" s="69" t="s">
        <v>620</v>
      </c>
      <c r="D282" s="43"/>
      <c r="E282" s="43"/>
      <c r="F282" s="43"/>
      <c r="G282" s="44"/>
      <c r="H282" s="321"/>
      <c r="I282" s="229"/>
      <c r="J282" s="71"/>
      <c r="K282" s="71"/>
      <c r="L282" s="71"/>
      <c r="M282" s="71"/>
      <c r="N282" s="71"/>
      <c r="O282" s="71"/>
      <c r="P282" s="71"/>
      <c r="Q282" s="71"/>
      <c r="R282" s="71"/>
      <c r="S282" s="71"/>
      <c r="T282" s="71"/>
      <c r="U282" s="71"/>
      <c r="V282" s="71"/>
      <c r="W282" s="71"/>
      <c r="X282" s="71"/>
      <c r="Y282" s="71"/>
      <c r="Z282" s="73"/>
      <c r="AA282" s="73"/>
      <c r="AB282" s="73"/>
      <c r="AC282" s="73"/>
      <c r="AE282" s="71"/>
      <c r="AF282" s="71"/>
      <c r="AG282" s="273"/>
      <c r="AH282" s="73"/>
      <c r="AI282" s="73"/>
      <c r="AK282" s="71"/>
      <c r="AL282" s="71"/>
      <c r="AM282" s="273"/>
      <c r="AN282" s="73"/>
      <c r="AO282" s="73"/>
      <c r="AQ282" s="71"/>
      <c r="AR282" s="71"/>
      <c r="AS282" s="273"/>
      <c r="AT282" s="73"/>
      <c r="AU282" s="73"/>
      <c r="AW282" s="71"/>
      <c r="AX282" s="71"/>
      <c r="AY282" s="273"/>
      <c r="AZ282" s="73"/>
      <c r="BA282" s="73"/>
    </row>
    <row r="283" spans="1:53" ht="17.100000000000001" customHeight="1" x14ac:dyDescent="0.25">
      <c r="A283" s="40"/>
      <c r="B283" s="40"/>
      <c r="C283" s="74" t="s">
        <v>291</v>
      </c>
      <c r="D283" s="75" t="s">
        <v>292</v>
      </c>
      <c r="E283" s="105"/>
      <c r="F283" s="75"/>
      <c r="G283" s="76"/>
      <c r="H283" s="647"/>
      <c r="I283" s="229"/>
      <c r="J283" s="111"/>
      <c r="K283" s="111"/>
      <c r="L283" s="111"/>
      <c r="M283" s="111"/>
      <c r="N283" s="60"/>
      <c r="O283" s="60"/>
      <c r="P283" s="17">
        <f t="shared" ref="P283:P286" si="272">SUM(N283:O283)</f>
        <v>0</v>
      </c>
      <c r="Q283" s="60"/>
      <c r="R283" s="60"/>
      <c r="S283" s="17">
        <f t="shared" ref="S283:S286" si="273">SUM(Q283:R283)</f>
        <v>0</v>
      </c>
      <c r="T283" s="60"/>
      <c r="U283" s="60"/>
      <c r="V283" s="17">
        <f t="shared" ref="V283:V286" si="274">SUM(T283:U283)</f>
        <v>0</v>
      </c>
      <c r="W283" s="391">
        <f t="shared" ref="W283:W286" si="275">J283+K283+N283+Q283+T283</f>
        <v>0</v>
      </c>
      <c r="X283" s="17">
        <f t="shared" ref="X283:X286" si="276">L283+O283+R283+U283</f>
        <v>0</v>
      </c>
      <c r="Y283" s="18">
        <f t="shared" ref="Y283:Y286" si="277">SUM(W283:X283)</f>
        <v>0</v>
      </c>
      <c r="Z283" s="19">
        <f>IF(Y$287=0,0,Y283/Y$287)</f>
        <v>0</v>
      </c>
      <c r="AA283" s="19"/>
      <c r="AB283" s="19"/>
      <c r="AC283" s="20"/>
      <c r="AE283" s="111"/>
      <c r="AF283" s="111"/>
      <c r="AG283" s="111"/>
      <c r="AH283" s="651"/>
      <c r="AI283" s="131"/>
      <c r="AK283" s="111"/>
      <c r="AL283" s="111"/>
      <c r="AM283" s="111"/>
      <c r="AN283" s="651"/>
      <c r="AO283" s="131"/>
      <c r="AQ283" s="17"/>
      <c r="AR283" s="17"/>
      <c r="AS283" s="17"/>
      <c r="AT283" s="424">
        <f>W283</f>
        <v>0</v>
      </c>
      <c r="AU283" s="19">
        <f>IF(AT$287=0,0,AT283/AT$287)</f>
        <v>0</v>
      </c>
      <c r="AW283" s="17"/>
      <c r="AX283" s="17"/>
      <c r="AY283" s="17"/>
      <c r="AZ283" s="424">
        <f>X283</f>
        <v>0</v>
      </c>
      <c r="BA283" s="19">
        <f>IF(AZ$287=0,0,AZ283/AZ$287)</f>
        <v>0</v>
      </c>
    </row>
    <row r="284" spans="1:53" ht="17.100000000000001" customHeight="1" x14ac:dyDescent="0.25">
      <c r="A284" s="40"/>
      <c r="B284" s="40"/>
      <c r="C284" s="74" t="s">
        <v>293</v>
      </c>
      <c r="D284" s="75" t="s">
        <v>11</v>
      </c>
      <c r="E284" s="105"/>
      <c r="F284" s="75"/>
      <c r="G284" s="75"/>
      <c r="H284" s="647"/>
      <c r="I284" s="229"/>
      <c r="J284" s="111"/>
      <c r="K284" s="111"/>
      <c r="L284" s="111"/>
      <c r="M284" s="111"/>
      <c r="N284" s="61"/>
      <c r="O284" s="61"/>
      <c r="P284" s="17">
        <f t="shared" si="272"/>
        <v>0</v>
      </c>
      <c r="Q284" s="61"/>
      <c r="R284" s="61"/>
      <c r="S284" s="17">
        <f t="shared" si="273"/>
        <v>0</v>
      </c>
      <c r="T284" s="61"/>
      <c r="U284" s="61"/>
      <c r="V284" s="17">
        <f t="shared" si="274"/>
        <v>0</v>
      </c>
      <c r="W284" s="391">
        <f t="shared" si="275"/>
        <v>0</v>
      </c>
      <c r="X284" s="17">
        <f t="shared" si="276"/>
        <v>0</v>
      </c>
      <c r="Y284" s="18">
        <f t="shared" si="277"/>
        <v>0</v>
      </c>
      <c r="Z284" s="19">
        <f t="shared" ref="Z284:Z287" si="278">IF(Y$287=0,0,Y284/Y$287)</f>
        <v>0</v>
      </c>
      <c r="AA284" s="19"/>
      <c r="AB284" s="19"/>
      <c r="AC284" s="20"/>
      <c r="AE284" s="111"/>
      <c r="AF284" s="111"/>
      <c r="AG284" s="111"/>
      <c r="AH284" s="651"/>
      <c r="AI284" s="131"/>
      <c r="AK284" s="111"/>
      <c r="AL284" s="111"/>
      <c r="AM284" s="111"/>
      <c r="AN284" s="651"/>
      <c r="AO284" s="131"/>
      <c r="AQ284" s="17"/>
      <c r="AR284" s="17"/>
      <c r="AS284" s="17"/>
      <c r="AT284" s="424">
        <f t="shared" ref="AT284:AT286" si="279">W284</f>
        <v>0</v>
      </c>
      <c r="AU284" s="19">
        <f t="shared" ref="AU284:AU287" si="280">IF(AT$287=0,0,AT284/AT$287)</f>
        <v>0</v>
      </c>
      <c r="AW284" s="17"/>
      <c r="AX284" s="17"/>
      <c r="AY284" s="17"/>
      <c r="AZ284" s="424">
        <f t="shared" ref="AZ284:AZ286" si="281">X284</f>
        <v>0</v>
      </c>
      <c r="BA284" s="19">
        <f t="shared" ref="BA284:BA287" si="282">IF(AZ$287=0,0,AZ284/AZ$287)</f>
        <v>0</v>
      </c>
    </row>
    <row r="285" spans="1:53" ht="17.100000000000001" customHeight="1" x14ac:dyDescent="0.25">
      <c r="A285" s="40"/>
      <c r="B285" s="40"/>
      <c r="C285" s="74" t="s">
        <v>294</v>
      </c>
      <c r="D285" s="75" t="s">
        <v>295</v>
      </c>
      <c r="E285" s="105"/>
      <c r="F285" s="75"/>
      <c r="G285" s="75"/>
      <c r="H285" s="23"/>
      <c r="I285" s="229"/>
      <c r="J285" s="111"/>
      <c r="K285" s="111"/>
      <c r="L285" s="111"/>
      <c r="M285" s="111"/>
      <c r="N285" s="60">
        <v>4</v>
      </c>
      <c r="O285" s="60">
        <v>7</v>
      </c>
      <c r="P285" s="17">
        <f t="shared" si="272"/>
        <v>11</v>
      </c>
      <c r="Q285" s="60"/>
      <c r="R285" s="60"/>
      <c r="S285" s="17">
        <f t="shared" si="273"/>
        <v>0</v>
      </c>
      <c r="T285" s="60"/>
      <c r="U285" s="60"/>
      <c r="V285" s="17">
        <f t="shared" si="274"/>
        <v>0</v>
      </c>
      <c r="W285" s="391">
        <f t="shared" si="275"/>
        <v>4</v>
      </c>
      <c r="X285" s="17">
        <f t="shared" si="276"/>
        <v>7</v>
      </c>
      <c r="Y285" s="18">
        <f t="shared" si="277"/>
        <v>11</v>
      </c>
      <c r="Z285" s="19">
        <f t="shared" si="278"/>
        <v>1</v>
      </c>
      <c r="AA285" s="19"/>
      <c r="AB285" s="19"/>
      <c r="AC285" s="20"/>
      <c r="AE285" s="111"/>
      <c r="AF285" s="111"/>
      <c r="AG285" s="111"/>
      <c r="AH285" s="651"/>
      <c r="AI285" s="131"/>
      <c r="AK285" s="111"/>
      <c r="AL285" s="111"/>
      <c r="AM285" s="111"/>
      <c r="AN285" s="651"/>
      <c r="AO285" s="131"/>
      <c r="AQ285" s="17"/>
      <c r="AR285" s="17"/>
      <c r="AS285" s="17"/>
      <c r="AT285" s="424">
        <f t="shared" si="279"/>
        <v>4</v>
      </c>
      <c r="AU285" s="19">
        <f t="shared" si="280"/>
        <v>1</v>
      </c>
      <c r="AW285" s="17"/>
      <c r="AX285" s="17"/>
      <c r="AY285" s="17"/>
      <c r="AZ285" s="424">
        <f t="shared" si="281"/>
        <v>7</v>
      </c>
      <c r="BA285" s="19">
        <f t="shared" si="282"/>
        <v>1</v>
      </c>
    </row>
    <row r="286" spans="1:53" ht="17.100000000000001" customHeight="1" x14ac:dyDescent="0.25">
      <c r="A286" s="40"/>
      <c r="B286" s="40"/>
      <c r="C286" s="74" t="s">
        <v>296</v>
      </c>
      <c r="D286" s="75" t="s">
        <v>9</v>
      </c>
      <c r="E286" s="105"/>
      <c r="F286" s="75"/>
      <c r="G286" s="75"/>
      <c r="H286" s="23"/>
      <c r="I286" s="229"/>
      <c r="J286" s="111"/>
      <c r="K286" s="111"/>
      <c r="L286" s="111"/>
      <c r="M286" s="111"/>
      <c r="N286" s="61"/>
      <c r="O286" s="61"/>
      <c r="P286" s="17">
        <f t="shared" si="272"/>
        <v>0</v>
      </c>
      <c r="Q286" s="61"/>
      <c r="R286" s="61"/>
      <c r="S286" s="17">
        <f t="shared" si="273"/>
        <v>0</v>
      </c>
      <c r="T286" s="61"/>
      <c r="U286" s="61"/>
      <c r="V286" s="17">
        <f t="shared" si="274"/>
        <v>0</v>
      </c>
      <c r="W286" s="391">
        <f t="shared" si="275"/>
        <v>0</v>
      </c>
      <c r="X286" s="17">
        <f t="shared" si="276"/>
        <v>0</v>
      </c>
      <c r="Y286" s="18">
        <f t="shared" si="277"/>
        <v>0</v>
      </c>
      <c r="Z286" s="19">
        <f t="shared" si="278"/>
        <v>0</v>
      </c>
      <c r="AA286" s="19"/>
      <c r="AB286" s="19"/>
      <c r="AC286" s="20"/>
      <c r="AE286" s="111"/>
      <c r="AF286" s="111"/>
      <c r="AG286" s="111"/>
      <c r="AH286" s="651"/>
      <c r="AI286" s="131"/>
      <c r="AK286" s="111"/>
      <c r="AL286" s="111"/>
      <c r="AM286" s="111"/>
      <c r="AN286" s="651"/>
      <c r="AO286" s="131"/>
      <c r="AQ286" s="17"/>
      <c r="AR286" s="17"/>
      <c r="AS286" s="17"/>
      <c r="AT286" s="424">
        <f t="shared" si="279"/>
        <v>0</v>
      </c>
      <c r="AU286" s="19">
        <f t="shared" si="280"/>
        <v>0</v>
      </c>
      <c r="AW286" s="17"/>
      <c r="AX286" s="17"/>
      <c r="AY286" s="17"/>
      <c r="AZ286" s="424">
        <f t="shared" si="281"/>
        <v>0</v>
      </c>
      <c r="BA286" s="19">
        <f t="shared" si="282"/>
        <v>0</v>
      </c>
    </row>
    <row r="287" spans="1:53" ht="17.100000000000001" customHeight="1" x14ac:dyDescent="0.25">
      <c r="A287" s="40"/>
      <c r="B287" s="40"/>
      <c r="C287" s="292"/>
      <c r="D287" s="144"/>
      <c r="E287" s="144"/>
      <c r="F287" s="145"/>
      <c r="G287" s="145"/>
      <c r="H287" s="119"/>
      <c r="I287" s="236"/>
      <c r="J287" s="80"/>
      <c r="K287" s="80"/>
      <c r="L287" s="81"/>
      <c r="M287" s="81"/>
      <c r="N287" s="81">
        <f>SUM(N283:N286)</f>
        <v>4</v>
      </c>
      <c r="O287" s="81">
        <f t="shared" ref="O287:V287" si="283">SUM(O283:O286)</f>
        <v>7</v>
      </c>
      <c r="P287" s="81">
        <f t="shared" si="283"/>
        <v>11</v>
      </c>
      <c r="Q287" s="81">
        <f t="shared" si="283"/>
        <v>0</v>
      </c>
      <c r="R287" s="81">
        <f t="shared" si="283"/>
        <v>0</v>
      </c>
      <c r="S287" s="81">
        <f t="shared" si="283"/>
        <v>0</v>
      </c>
      <c r="T287" s="81">
        <f t="shared" si="283"/>
        <v>0</v>
      </c>
      <c r="U287" s="81">
        <f t="shared" si="283"/>
        <v>0</v>
      </c>
      <c r="V287" s="81">
        <f t="shared" si="283"/>
        <v>0</v>
      </c>
      <c r="W287" s="82">
        <f>SUM(W283:W286)</f>
        <v>4</v>
      </c>
      <c r="X287" s="82">
        <f t="shared" ref="X287:Y287" si="284">SUM(X283:X286)</f>
        <v>7</v>
      </c>
      <c r="Y287" s="82">
        <f t="shared" si="284"/>
        <v>11</v>
      </c>
      <c r="Z287" s="66">
        <f t="shared" si="278"/>
        <v>1</v>
      </c>
      <c r="AA287" s="205"/>
      <c r="AB287" s="205"/>
      <c r="AC287" s="83"/>
      <c r="AE287" s="81"/>
      <c r="AF287" s="81"/>
      <c r="AG287" s="82"/>
      <c r="AH287" s="82"/>
      <c r="AI287" s="66"/>
      <c r="AK287" s="81"/>
      <c r="AL287" s="81"/>
      <c r="AM287" s="82"/>
      <c r="AN287" s="82"/>
      <c r="AO287" s="66"/>
      <c r="AQ287" s="81"/>
      <c r="AR287" s="81"/>
      <c r="AS287" s="82"/>
      <c r="AT287" s="81">
        <f>SUM(AT283:AT286)</f>
        <v>4</v>
      </c>
      <c r="AU287" s="66">
        <f t="shared" si="280"/>
        <v>1</v>
      </c>
      <c r="AW287" s="81"/>
      <c r="AX287" s="81"/>
      <c r="AY287" s="82"/>
      <c r="AZ287" s="81">
        <f>SUM(AZ283:AZ286)</f>
        <v>7</v>
      </c>
      <c r="BA287" s="66">
        <f t="shared" si="282"/>
        <v>1</v>
      </c>
    </row>
    <row r="288" spans="1:53" s="117" customFormat="1" ht="17.100000000000001" customHeight="1" x14ac:dyDescent="0.25">
      <c r="A288" s="68"/>
      <c r="B288" s="119"/>
      <c r="C288" s="647"/>
      <c r="D288" s="261"/>
      <c r="E288" s="261"/>
      <c r="F288" s="68"/>
      <c r="G288" s="68"/>
      <c r="H288" s="119"/>
      <c r="I288" s="138"/>
      <c r="J288" s="17"/>
      <c r="K288" s="17"/>
      <c r="L288" s="17"/>
      <c r="M288" s="17"/>
      <c r="N288" s="17" t="str">
        <f>IF(N287=N$20,"OK","NOK")</f>
        <v>OK</v>
      </c>
      <c r="O288" s="17" t="str">
        <f>IF(O287=O$20,"OK","NOK")</f>
        <v>OK</v>
      </c>
      <c r="P288" s="17"/>
      <c r="Q288" s="17" t="str">
        <f>IF(Q287=Q$20,"OK","NOK")</f>
        <v>OK</v>
      </c>
      <c r="R288" s="17" t="str">
        <f>IF(R287=R$20,"OK","NOK")</f>
        <v>OK</v>
      </c>
      <c r="S288" s="17"/>
      <c r="T288" s="17" t="str">
        <f>IF(T287=T$20,"OK","NOK")</f>
        <v>OK</v>
      </c>
      <c r="U288" s="17" t="str">
        <f>IF(U287=U$20,"OK","NOK")</f>
        <v>OK</v>
      </c>
      <c r="V288" s="359"/>
      <c r="W288" s="382"/>
      <c r="X288" s="646"/>
      <c r="Y288" s="646"/>
      <c r="Z288" s="201"/>
      <c r="AA288" s="201"/>
      <c r="AB288" s="201"/>
      <c r="AC288" s="84"/>
      <c r="AE288" s="46"/>
      <c r="AF288" s="46"/>
      <c r="AG288" s="17"/>
      <c r="AH288" s="646"/>
      <c r="AI288" s="91"/>
      <c r="AK288" s="46"/>
      <c r="AL288" s="46"/>
      <c r="AM288" s="17"/>
      <c r="AN288" s="646"/>
      <c r="AO288" s="91"/>
      <c r="AQ288" s="46"/>
      <c r="AR288" s="46"/>
      <c r="AS288" s="17"/>
      <c r="AT288" s="646"/>
      <c r="AU288" s="91"/>
      <c r="AW288" s="46"/>
      <c r="AX288" s="46"/>
      <c r="AY288" s="17"/>
      <c r="AZ288" s="646"/>
      <c r="BA288" s="91"/>
    </row>
    <row r="289" spans="1:53" ht="17.100000000000001" customHeight="1" x14ac:dyDescent="0.25">
      <c r="A289" s="40"/>
      <c r="B289" s="41" t="s">
        <v>297</v>
      </c>
      <c r="C289" s="69" t="s">
        <v>290</v>
      </c>
      <c r="D289" s="322"/>
      <c r="E289" s="322"/>
      <c r="F289" s="301"/>
      <c r="G289" s="301"/>
      <c r="H289" s="119"/>
      <c r="I289" s="236"/>
      <c r="J289" s="87"/>
      <c r="K289" s="87"/>
      <c r="L289" s="71"/>
      <c r="M289" s="71"/>
      <c r="N289" s="71"/>
      <c r="O289" s="71"/>
      <c r="P289" s="71"/>
      <c r="Q289" s="71"/>
      <c r="R289" s="71"/>
      <c r="S289" s="71"/>
      <c r="T289" s="71"/>
      <c r="U289" s="71"/>
      <c r="V289" s="71"/>
      <c r="W289" s="89"/>
      <c r="X289" s="89"/>
      <c r="Y289" s="89"/>
      <c r="Z289" s="323"/>
      <c r="AA289" s="323"/>
      <c r="AB289" s="323"/>
      <c r="AC289" s="73"/>
      <c r="AE289" s="71"/>
      <c r="AF289" s="71"/>
      <c r="AG289" s="89"/>
      <c r="AH289" s="90"/>
      <c r="AI289" s="73"/>
      <c r="AK289" s="71"/>
      <c r="AL289" s="71"/>
      <c r="AM289" s="89"/>
      <c r="AN289" s="90"/>
      <c r="AO289" s="73"/>
      <c r="AQ289" s="71"/>
      <c r="AR289" s="71"/>
      <c r="AS289" s="89"/>
      <c r="AT289" s="90"/>
      <c r="AU289" s="73"/>
      <c r="AW289" s="71"/>
      <c r="AX289" s="71"/>
      <c r="AY289" s="89"/>
      <c r="AZ289" s="90"/>
      <c r="BA289" s="73"/>
    </row>
    <row r="290" spans="1:53" ht="17.100000000000001" customHeight="1" x14ac:dyDescent="0.25">
      <c r="A290" s="40"/>
      <c r="B290" s="40"/>
      <c r="C290" s="74" t="s">
        <v>298</v>
      </c>
      <c r="D290" s="75" t="s">
        <v>292</v>
      </c>
      <c r="E290" s="105"/>
      <c r="F290" s="75"/>
      <c r="G290" s="76"/>
      <c r="H290" s="647"/>
      <c r="I290" s="229"/>
      <c r="J290" s="111"/>
      <c r="K290" s="111"/>
      <c r="L290" s="111"/>
      <c r="M290" s="111"/>
      <c r="N290" s="60"/>
      <c r="O290" s="60"/>
      <c r="P290" s="17">
        <f t="shared" ref="P290:P293" si="285">SUM(N290:O290)</f>
        <v>0</v>
      </c>
      <c r="Q290" s="60"/>
      <c r="R290" s="60"/>
      <c r="S290" s="17">
        <f t="shared" ref="S290:S293" si="286">SUM(Q290:R290)</f>
        <v>0</v>
      </c>
      <c r="T290" s="60"/>
      <c r="U290" s="60"/>
      <c r="V290" s="17">
        <f t="shared" ref="V290:V293" si="287">SUM(T290:U290)</f>
        <v>0</v>
      </c>
      <c r="W290" s="391">
        <f t="shared" ref="W290:W293" si="288">J290+K290+N290+Q290+T290</f>
        <v>0</v>
      </c>
      <c r="X290" s="17">
        <f t="shared" ref="X290:X293" si="289">L290+O290+R290+U290</f>
        <v>0</v>
      </c>
      <c r="Y290" s="18">
        <f t="shared" ref="Y290:Y293" si="290">SUM(W290:X290)</f>
        <v>0</v>
      </c>
      <c r="Z290" s="19">
        <f>IF(Y$294=0,0,Y290/Y$294)</f>
        <v>0</v>
      </c>
      <c r="AA290" s="19"/>
      <c r="AB290" s="19"/>
      <c r="AC290" s="20"/>
      <c r="AE290" s="111"/>
      <c r="AF290" s="111"/>
      <c r="AG290" s="111"/>
      <c r="AH290" s="651"/>
      <c r="AI290" s="131"/>
      <c r="AK290" s="111"/>
      <c r="AL290" s="111"/>
      <c r="AM290" s="111"/>
      <c r="AN290" s="651"/>
      <c r="AO290" s="131"/>
      <c r="AQ290" s="17"/>
      <c r="AR290" s="17"/>
      <c r="AS290" s="17"/>
      <c r="AT290" s="424">
        <f>W290</f>
        <v>0</v>
      </c>
      <c r="AU290" s="19">
        <f>IF(AT$294=0,0,AT290/AT$294)</f>
        <v>0</v>
      </c>
      <c r="AW290" s="17"/>
      <c r="AX290" s="17"/>
      <c r="AY290" s="17"/>
      <c r="AZ290" s="424">
        <f>X290</f>
        <v>0</v>
      </c>
      <c r="BA290" s="19">
        <f>IF(AZ$294=0,0,AZ290/AZ$294)</f>
        <v>0</v>
      </c>
    </row>
    <row r="291" spans="1:53" ht="17.100000000000001" customHeight="1" x14ac:dyDescent="0.25">
      <c r="A291" s="40"/>
      <c r="B291" s="40"/>
      <c r="C291" s="74" t="s">
        <v>299</v>
      </c>
      <c r="D291" s="75" t="s">
        <v>11</v>
      </c>
      <c r="E291" s="105"/>
      <c r="F291" s="75"/>
      <c r="G291" s="75"/>
      <c r="H291" s="647"/>
      <c r="I291" s="229"/>
      <c r="J291" s="111"/>
      <c r="K291" s="111"/>
      <c r="L291" s="111"/>
      <c r="M291" s="111"/>
      <c r="N291" s="61"/>
      <c r="O291" s="61"/>
      <c r="P291" s="17">
        <f t="shared" si="285"/>
        <v>0</v>
      </c>
      <c r="Q291" s="61"/>
      <c r="R291" s="61"/>
      <c r="S291" s="17">
        <f t="shared" si="286"/>
        <v>0</v>
      </c>
      <c r="T291" s="61"/>
      <c r="U291" s="61"/>
      <c r="V291" s="17">
        <f t="shared" si="287"/>
        <v>0</v>
      </c>
      <c r="W291" s="391">
        <f t="shared" si="288"/>
        <v>0</v>
      </c>
      <c r="X291" s="17">
        <f t="shared" si="289"/>
        <v>0</v>
      </c>
      <c r="Y291" s="18">
        <f t="shared" si="290"/>
        <v>0</v>
      </c>
      <c r="Z291" s="19">
        <f t="shared" ref="Z291:Z294" si="291">IF(Y$294=0,0,Y291/Y$294)</f>
        <v>0</v>
      </c>
      <c r="AA291" s="19"/>
      <c r="AB291" s="19"/>
      <c r="AC291" s="20"/>
      <c r="AE291" s="111"/>
      <c r="AF291" s="111"/>
      <c r="AG291" s="111"/>
      <c r="AH291" s="651"/>
      <c r="AI291" s="131"/>
      <c r="AK291" s="111"/>
      <c r="AL291" s="111"/>
      <c r="AM291" s="111"/>
      <c r="AN291" s="651"/>
      <c r="AO291" s="131"/>
      <c r="AQ291" s="17"/>
      <c r="AR291" s="17"/>
      <c r="AS291" s="17"/>
      <c r="AT291" s="424">
        <f t="shared" ref="AT291:AT293" si="292">W291</f>
        <v>0</v>
      </c>
      <c r="AU291" s="19">
        <f t="shared" ref="AU291:AU294" si="293">IF(AT$294=0,0,AT291/AT$294)</f>
        <v>0</v>
      </c>
      <c r="AW291" s="17"/>
      <c r="AX291" s="17"/>
      <c r="AY291" s="17"/>
      <c r="AZ291" s="424">
        <f t="shared" ref="AZ291:AZ293" si="294">X291</f>
        <v>0</v>
      </c>
      <c r="BA291" s="19">
        <f t="shared" ref="BA291:BA294" si="295">IF(AZ$294=0,0,AZ291/AZ$294)</f>
        <v>0</v>
      </c>
    </row>
    <row r="292" spans="1:53" ht="17.100000000000001" customHeight="1" x14ac:dyDescent="0.25">
      <c r="A292" s="40"/>
      <c r="B292" s="40"/>
      <c r="C292" s="74" t="s">
        <v>301</v>
      </c>
      <c r="D292" s="75" t="s">
        <v>295</v>
      </c>
      <c r="E292" s="105"/>
      <c r="F292" s="75"/>
      <c r="G292" s="75"/>
      <c r="H292" s="23"/>
      <c r="I292" s="229"/>
      <c r="J292" s="111"/>
      <c r="K292" s="111"/>
      <c r="L292" s="111"/>
      <c r="M292" s="111"/>
      <c r="N292" s="60">
        <v>4</v>
      </c>
      <c r="O292" s="60">
        <v>7</v>
      </c>
      <c r="P292" s="17">
        <f t="shared" si="285"/>
        <v>11</v>
      </c>
      <c r="Q292" s="60"/>
      <c r="R292" s="60"/>
      <c r="S292" s="17">
        <f t="shared" si="286"/>
        <v>0</v>
      </c>
      <c r="T292" s="60"/>
      <c r="U292" s="60"/>
      <c r="V292" s="17">
        <f t="shared" si="287"/>
        <v>0</v>
      </c>
      <c r="W292" s="391">
        <f t="shared" si="288"/>
        <v>4</v>
      </c>
      <c r="X292" s="17">
        <f t="shared" si="289"/>
        <v>7</v>
      </c>
      <c r="Y292" s="18">
        <f t="shared" si="290"/>
        <v>11</v>
      </c>
      <c r="Z292" s="19">
        <f t="shared" si="291"/>
        <v>1</v>
      </c>
      <c r="AA292" s="19"/>
      <c r="AB292" s="19"/>
      <c r="AC292" s="20"/>
      <c r="AE292" s="111"/>
      <c r="AF292" s="111"/>
      <c r="AG292" s="111"/>
      <c r="AH292" s="651"/>
      <c r="AI292" s="131"/>
      <c r="AK292" s="111"/>
      <c r="AL292" s="111"/>
      <c r="AM292" s="111"/>
      <c r="AN292" s="651"/>
      <c r="AO292" s="131"/>
      <c r="AQ292" s="17"/>
      <c r="AR292" s="17"/>
      <c r="AS292" s="17"/>
      <c r="AT292" s="424">
        <f t="shared" si="292"/>
        <v>4</v>
      </c>
      <c r="AU292" s="19">
        <f t="shared" si="293"/>
        <v>1</v>
      </c>
      <c r="AW292" s="17"/>
      <c r="AX292" s="17"/>
      <c r="AY292" s="17"/>
      <c r="AZ292" s="424">
        <f t="shared" si="294"/>
        <v>7</v>
      </c>
      <c r="BA292" s="19">
        <f t="shared" si="295"/>
        <v>1</v>
      </c>
    </row>
    <row r="293" spans="1:53" ht="17.100000000000001" customHeight="1" x14ac:dyDescent="0.25">
      <c r="A293" s="40"/>
      <c r="B293" s="40"/>
      <c r="C293" s="74" t="s">
        <v>303</v>
      </c>
      <c r="D293" s="75" t="s">
        <v>9</v>
      </c>
      <c r="E293" s="105"/>
      <c r="F293" s="75"/>
      <c r="G293" s="75"/>
      <c r="H293" s="23"/>
      <c r="I293" s="229"/>
      <c r="J293" s="111"/>
      <c r="K293" s="111"/>
      <c r="L293" s="111"/>
      <c r="M293" s="111"/>
      <c r="N293" s="61"/>
      <c r="O293" s="61"/>
      <c r="P293" s="17">
        <f t="shared" si="285"/>
        <v>0</v>
      </c>
      <c r="Q293" s="61"/>
      <c r="R293" s="61"/>
      <c r="S293" s="17">
        <f t="shared" si="286"/>
        <v>0</v>
      </c>
      <c r="T293" s="61"/>
      <c r="U293" s="61"/>
      <c r="V293" s="17">
        <f t="shared" si="287"/>
        <v>0</v>
      </c>
      <c r="W293" s="391">
        <f t="shared" si="288"/>
        <v>0</v>
      </c>
      <c r="X293" s="17">
        <f t="shared" si="289"/>
        <v>0</v>
      </c>
      <c r="Y293" s="18">
        <f t="shared" si="290"/>
        <v>0</v>
      </c>
      <c r="Z293" s="19">
        <f t="shared" si="291"/>
        <v>0</v>
      </c>
      <c r="AA293" s="19"/>
      <c r="AB293" s="19"/>
      <c r="AC293" s="20"/>
      <c r="AE293" s="111"/>
      <c r="AF293" s="111"/>
      <c r="AG293" s="111"/>
      <c r="AH293" s="651"/>
      <c r="AI293" s="131"/>
      <c r="AK293" s="111"/>
      <c r="AL293" s="111"/>
      <c r="AM293" s="111"/>
      <c r="AN293" s="651"/>
      <c r="AO293" s="131"/>
      <c r="AQ293" s="17"/>
      <c r="AR293" s="17"/>
      <c r="AS293" s="17"/>
      <c r="AT293" s="424">
        <f t="shared" si="292"/>
        <v>0</v>
      </c>
      <c r="AU293" s="19">
        <f t="shared" si="293"/>
        <v>0</v>
      </c>
      <c r="AW293" s="17"/>
      <c r="AX293" s="17"/>
      <c r="AY293" s="17"/>
      <c r="AZ293" s="424">
        <f t="shared" si="294"/>
        <v>0</v>
      </c>
      <c r="BA293" s="19">
        <f t="shared" si="295"/>
        <v>0</v>
      </c>
    </row>
    <row r="294" spans="1:53" ht="17.100000000000001" customHeight="1" x14ac:dyDescent="0.25">
      <c r="A294" s="40"/>
      <c r="B294" s="40"/>
      <c r="C294" s="292"/>
      <c r="D294" s="144"/>
      <c r="E294" s="144"/>
      <c r="F294" s="145"/>
      <c r="G294" s="145"/>
      <c r="H294" s="119"/>
      <c r="I294" s="236"/>
      <c r="J294" s="80"/>
      <c r="K294" s="80"/>
      <c r="L294" s="81"/>
      <c r="M294" s="81"/>
      <c r="N294" s="81">
        <f>SUM(N290:N293)</f>
        <v>4</v>
      </c>
      <c r="O294" s="81">
        <f t="shared" ref="O294:V294" si="296">SUM(O290:O293)</f>
        <v>7</v>
      </c>
      <c r="P294" s="81">
        <f t="shared" si="296"/>
        <v>11</v>
      </c>
      <c r="Q294" s="81">
        <f t="shared" si="296"/>
        <v>0</v>
      </c>
      <c r="R294" s="81">
        <f t="shared" si="296"/>
        <v>0</v>
      </c>
      <c r="S294" s="81">
        <f t="shared" si="296"/>
        <v>0</v>
      </c>
      <c r="T294" s="81">
        <f t="shared" si="296"/>
        <v>0</v>
      </c>
      <c r="U294" s="81">
        <f t="shared" si="296"/>
        <v>0</v>
      </c>
      <c r="V294" s="81">
        <f t="shared" si="296"/>
        <v>0</v>
      </c>
      <c r="W294" s="82">
        <f>SUM(W290:W293)</f>
        <v>4</v>
      </c>
      <c r="X294" s="82">
        <f t="shared" ref="X294:Y294" si="297">SUM(X290:X293)</f>
        <v>7</v>
      </c>
      <c r="Y294" s="82">
        <f t="shared" si="297"/>
        <v>11</v>
      </c>
      <c r="Z294" s="66">
        <f t="shared" si="291"/>
        <v>1</v>
      </c>
      <c r="AA294" s="205"/>
      <c r="AB294" s="205"/>
      <c r="AC294" s="83"/>
      <c r="AE294" s="81"/>
      <c r="AF294" s="81"/>
      <c r="AG294" s="82"/>
      <c r="AH294" s="82"/>
      <c r="AI294" s="66"/>
      <c r="AK294" s="81"/>
      <c r="AL294" s="81"/>
      <c r="AM294" s="82"/>
      <c r="AN294" s="82"/>
      <c r="AO294" s="66"/>
      <c r="AQ294" s="81"/>
      <c r="AR294" s="81"/>
      <c r="AS294" s="82"/>
      <c r="AT294" s="81">
        <f>SUM(AT290:AT293)</f>
        <v>4</v>
      </c>
      <c r="AU294" s="66">
        <f t="shared" si="293"/>
        <v>1</v>
      </c>
      <c r="AW294" s="81"/>
      <c r="AX294" s="81"/>
      <c r="AY294" s="82"/>
      <c r="AZ294" s="81">
        <f>SUM(AZ290:AZ293)</f>
        <v>7</v>
      </c>
      <c r="BA294" s="66">
        <f t="shared" si="295"/>
        <v>1</v>
      </c>
    </row>
    <row r="295" spans="1:53" s="117" customFormat="1" ht="17.100000000000001" customHeight="1" x14ac:dyDescent="0.25">
      <c r="A295" s="68"/>
      <c r="B295" s="119"/>
      <c r="C295" s="647"/>
      <c r="D295" s="261"/>
      <c r="E295" s="261"/>
      <c r="F295" s="68"/>
      <c r="G295" s="68"/>
      <c r="H295" s="119"/>
      <c r="I295" s="138"/>
      <c r="J295" s="17"/>
      <c r="K295" s="17"/>
      <c r="L295" s="17"/>
      <c r="M295" s="17"/>
      <c r="N295" s="17" t="str">
        <f>IF(N294=N$20,"OK","NOK")</f>
        <v>OK</v>
      </c>
      <c r="O295" s="17" t="str">
        <f>IF(O294=O$20,"OK","NOK")</f>
        <v>OK</v>
      </c>
      <c r="P295" s="17"/>
      <c r="Q295" s="17" t="str">
        <f>IF(Q294=Q$20,"OK","NOK")</f>
        <v>OK</v>
      </c>
      <c r="R295" s="17" t="str">
        <f>IF(R294=R$20,"OK","NOK")</f>
        <v>OK</v>
      </c>
      <c r="S295" s="17"/>
      <c r="T295" s="17" t="str">
        <f>IF(T294=T$20,"OK","NOK")</f>
        <v>OK</v>
      </c>
      <c r="U295" s="17" t="str">
        <f>IF(U294=U$20,"OK","NOK")</f>
        <v>OK</v>
      </c>
      <c r="V295" s="359"/>
      <c r="W295" s="382"/>
      <c r="X295" s="646"/>
      <c r="Y295" s="646"/>
      <c r="Z295" s="201"/>
      <c r="AA295" s="201"/>
      <c r="AB295" s="201"/>
      <c r="AC295" s="84"/>
      <c r="AE295" s="46"/>
      <c r="AF295" s="46"/>
      <c r="AG295" s="17"/>
      <c r="AH295" s="646"/>
      <c r="AI295" s="91"/>
      <c r="AK295" s="46"/>
      <c r="AL295" s="46"/>
      <c r="AM295" s="17"/>
      <c r="AN295" s="646"/>
      <c r="AO295" s="91"/>
      <c r="AQ295" s="46"/>
      <c r="AR295" s="46"/>
      <c r="AS295" s="17"/>
      <c r="AT295" s="646"/>
      <c r="AU295" s="91"/>
      <c r="AW295" s="46"/>
      <c r="AX295" s="46"/>
      <c r="AY295" s="17"/>
      <c r="AZ295" s="646"/>
      <c r="BA295" s="91"/>
    </row>
    <row r="296" spans="1:53" ht="17.100000000000001" customHeight="1" x14ac:dyDescent="0.25">
      <c r="A296" s="40"/>
      <c r="B296" s="41" t="s">
        <v>306</v>
      </c>
      <c r="C296" s="274" t="s">
        <v>607</v>
      </c>
      <c r="D296" s="43"/>
      <c r="E296" s="43"/>
      <c r="F296" s="43"/>
      <c r="G296" s="43"/>
      <c r="H296" s="23"/>
      <c r="I296" s="229"/>
      <c r="J296" s="71"/>
      <c r="K296" s="71"/>
      <c r="L296" s="71"/>
      <c r="M296" s="71"/>
      <c r="N296" s="71"/>
      <c r="O296" s="71"/>
      <c r="P296" s="71"/>
      <c r="Q296" s="71"/>
      <c r="R296" s="71"/>
      <c r="S296" s="71"/>
      <c r="T296" s="71"/>
      <c r="U296" s="71"/>
      <c r="V296" s="71"/>
      <c r="W296" s="71"/>
      <c r="X296" s="71"/>
      <c r="Y296" s="71"/>
      <c r="Z296" s="73"/>
      <c r="AA296" s="73"/>
      <c r="AB296" s="73"/>
      <c r="AC296" s="73"/>
      <c r="AE296" s="71"/>
      <c r="AF296" s="71"/>
      <c r="AG296" s="273"/>
      <c r="AH296" s="73"/>
      <c r="AI296" s="73"/>
      <c r="AK296" s="71"/>
      <c r="AL296" s="71"/>
      <c r="AM296" s="273"/>
      <c r="AN296" s="73"/>
      <c r="AO296" s="73"/>
      <c r="AQ296" s="71"/>
      <c r="AR296" s="71"/>
      <c r="AS296" s="273"/>
      <c r="AT296" s="73"/>
      <c r="AU296" s="73"/>
      <c r="AW296" s="71"/>
      <c r="AX296" s="71"/>
      <c r="AY296" s="273"/>
      <c r="AZ296" s="73"/>
      <c r="BA296" s="73"/>
    </row>
    <row r="297" spans="1:53" ht="17.100000000000001" customHeight="1" x14ac:dyDescent="0.25">
      <c r="A297" s="40"/>
      <c r="B297" s="40"/>
      <c r="C297" s="74" t="s">
        <v>308</v>
      </c>
      <c r="D297" s="85" t="s">
        <v>292</v>
      </c>
      <c r="E297" s="105"/>
      <c r="F297" s="105"/>
      <c r="G297" s="105"/>
      <c r="H297" s="84"/>
      <c r="I297" s="231"/>
      <c r="J297" s="111"/>
      <c r="K297" s="111"/>
      <c r="L297" s="111"/>
      <c r="M297" s="111"/>
      <c r="N297" s="60"/>
      <c r="O297" s="60"/>
      <c r="P297" s="17">
        <f t="shared" ref="P297:P307" si="298">SUM(N297:O297)</f>
        <v>0</v>
      </c>
      <c r="Q297" s="60"/>
      <c r="R297" s="60"/>
      <c r="S297" s="17">
        <f t="shared" ref="S297:S307" si="299">SUM(Q297:R297)</f>
        <v>0</v>
      </c>
      <c r="T297" s="60"/>
      <c r="U297" s="60"/>
      <c r="V297" s="17">
        <f t="shared" ref="V297:V307" si="300">SUM(T297:U297)</f>
        <v>0</v>
      </c>
      <c r="W297" s="391">
        <f t="shared" ref="W297:W307" si="301">J297+K297+N297+Q297+T297</f>
        <v>0</v>
      </c>
      <c r="X297" s="17">
        <f t="shared" ref="X297:X307" si="302">L297+O297+R297+U297</f>
        <v>0</v>
      </c>
      <c r="Y297" s="18">
        <f t="shared" ref="Y297:Y307" si="303">SUM(W297:X297)</f>
        <v>0</v>
      </c>
      <c r="Z297" s="19">
        <f>IF(Y$312=0,0,Y297/Y$312)</f>
        <v>0</v>
      </c>
      <c r="AA297" s="19"/>
      <c r="AB297" s="19"/>
      <c r="AC297" s="20"/>
      <c r="AE297" s="111"/>
      <c r="AF297" s="111"/>
      <c r="AG297" s="111"/>
      <c r="AH297" s="651"/>
      <c r="AI297" s="131"/>
      <c r="AK297" s="111"/>
      <c r="AL297" s="111"/>
      <c r="AM297" s="111"/>
      <c r="AN297" s="651"/>
      <c r="AO297" s="131"/>
      <c r="AQ297" s="17"/>
      <c r="AR297" s="17"/>
      <c r="AS297" s="17"/>
      <c r="AT297" s="424">
        <f>W297</f>
        <v>0</v>
      </c>
      <c r="AU297" s="19">
        <f t="shared" ref="AU297:AU306" si="304">IF(AT$312=0,0,AT297/AT$312)</f>
        <v>0</v>
      </c>
      <c r="AW297" s="17"/>
      <c r="AX297" s="17"/>
      <c r="AY297" s="17"/>
      <c r="AZ297" s="424">
        <f>X297</f>
        <v>0</v>
      </c>
      <c r="BA297" s="19">
        <f t="shared" ref="BA297:BA306" si="305">IF(AZ$312=0,0,AZ297/AZ$312)</f>
        <v>0</v>
      </c>
    </row>
    <row r="298" spans="1:53" ht="17.100000000000001" customHeight="1" x14ac:dyDescent="0.25">
      <c r="A298" s="40"/>
      <c r="B298" s="40"/>
      <c r="C298" s="74" t="s">
        <v>309</v>
      </c>
      <c r="D298" s="146" t="s">
        <v>757</v>
      </c>
      <c r="E298" s="105"/>
      <c r="F298" s="105"/>
      <c r="G298" s="105"/>
      <c r="H298" s="84"/>
      <c r="I298" s="231"/>
      <c r="J298" s="111"/>
      <c r="K298" s="111"/>
      <c r="L298" s="111"/>
      <c r="M298" s="111"/>
      <c r="N298" s="61"/>
      <c r="O298" s="61"/>
      <c r="P298" s="17">
        <f t="shared" si="298"/>
        <v>0</v>
      </c>
      <c r="Q298" s="61"/>
      <c r="R298" s="61"/>
      <c r="S298" s="17">
        <f t="shared" si="299"/>
        <v>0</v>
      </c>
      <c r="T298" s="61"/>
      <c r="U298" s="61"/>
      <c r="V298" s="17">
        <f t="shared" ref="V298:V306" si="306">SUM(T298:U298)</f>
        <v>0</v>
      </c>
      <c r="W298" s="391">
        <f t="shared" si="301"/>
        <v>0</v>
      </c>
      <c r="X298" s="17">
        <f t="shared" si="302"/>
        <v>0</v>
      </c>
      <c r="Y298" s="18">
        <f t="shared" si="303"/>
        <v>0</v>
      </c>
      <c r="Z298" s="19">
        <f t="shared" ref="Z298:Z306" si="307">IF(Y$312=0,0,Y298/Y$312)</f>
        <v>0</v>
      </c>
      <c r="AA298" s="19"/>
      <c r="AB298" s="19"/>
      <c r="AC298" s="20"/>
      <c r="AE298" s="111"/>
      <c r="AF298" s="111"/>
      <c r="AG298" s="111"/>
      <c r="AH298" s="651"/>
      <c r="AI298" s="131"/>
      <c r="AK298" s="111"/>
      <c r="AL298" s="111"/>
      <c r="AM298" s="111"/>
      <c r="AN298" s="651"/>
      <c r="AO298" s="131"/>
      <c r="AQ298" s="17"/>
      <c r="AR298" s="17"/>
      <c r="AS298" s="17"/>
      <c r="AT298" s="424">
        <f t="shared" ref="AT298:AT307" si="308">W298</f>
        <v>0</v>
      </c>
      <c r="AU298" s="19">
        <f t="shared" si="304"/>
        <v>0</v>
      </c>
      <c r="AW298" s="17"/>
      <c r="AX298" s="17"/>
      <c r="AY298" s="17"/>
      <c r="AZ298" s="424">
        <f t="shared" ref="AZ298:AZ307" si="309">X298</f>
        <v>0</v>
      </c>
      <c r="BA298" s="19">
        <f t="shared" si="305"/>
        <v>0</v>
      </c>
    </row>
    <row r="299" spans="1:53" ht="17.100000000000001" customHeight="1" x14ac:dyDescent="0.25">
      <c r="A299" s="40"/>
      <c r="B299" s="40"/>
      <c r="C299" s="74" t="s">
        <v>489</v>
      </c>
      <c r="D299" s="85" t="s">
        <v>300</v>
      </c>
      <c r="E299" s="105"/>
      <c r="F299" s="105"/>
      <c r="G299" s="105"/>
      <c r="H299" s="84"/>
      <c r="I299" s="231"/>
      <c r="J299" s="111"/>
      <c r="K299" s="111"/>
      <c r="L299" s="111"/>
      <c r="M299" s="111"/>
      <c r="N299" s="60"/>
      <c r="O299" s="60"/>
      <c r="P299" s="17">
        <f t="shared" si="298"/>
        <v>0</v>
      </c>
      <c r="Q299" s="60"/>
      <c r="R299" s="60"/>
      <c r="S299" s="17">
        <f t="shared" si="299"/>
        <v>0</v>
      </c>
      <c r="T299" s="60"/>
      <c r="U299" s="60"/>
      <c r="V299" s="17">
        <f t="shared" si="306"/>
        <v>0</v>
      </c>
      <c r="W299" s="391">
        <f t="shared" si="301"/>
        <v>0</v>
      </c>
      <c r="X299" s="17">
        <f t="shared" si="302"/>
        <v>0</v>
      </c>
      <c r="Y299" s="18">
        <f t="shared" si="303"/>
        <v>0</v>
      </c>
      <c r="Z299" s="19">
        <f t="shared" si="307"/>
        <v>0</v>
      </c>
      <c r="AA299" s="19"/>
      <c r="AB299" s="19"/>
      <c r="AC299" s="20"/>
      <c r="AE299" s="111"/>
      <c r="AF299" s="111"/>
      <c r="AG299" s="111"/>
      <c r="AH299" s="651"/>
      <c r="AI299" s="131"/>
      <c r="AK299" s="111"/>
      <c r="AL299" s="111"/>
      <c r="AM299" s="111"/>
      <c r="AN299" s="651"/>
      <c r="AO299" s="131"/>
      <c r="AQ299" s="17"/>
      <c r="AR299" s="17"/>
      <c r="AS299" s="17"/>
      <c r="AT299" s="424">
        <f t="shared" si="308"/>
        <v>0</v>
      </c>
      <c r="AU299" s="19">
        <f t="shared" si="304"/>
        <v>0</v>
      </c>
      <c r="AW299" s="17"/>
      <c r="AX299" s="17"/>
      <c r="AY299" s="17"/>
      <c r="AZ299" s="424">
        <f t="shared" si="309"/>
        <v>0</v>
      </c>
      <c r="BA299" s="19">
        <f t="shared" si="305"/>
        <v>0</v>
      </c>
    </row>
    <row r="300" spans="1:53" ht="17.100000000000001" customHeight="1" x14ac:dyDescent="0.25">
      <c r="A300" s="40"/>
      <c r="B300" s="40"/>
      <c r="C300" s="74" t="s">
        <v>621</v>
      </c>
      <c r="D300" s="85" t="s">
        <v>670</v>
      </c>
      <c r="E300" s="105"/>
      <c r="F300" s="105"/>
      <c r="G300" s="105"/>
      <c r="H300" s="84"/>
      <c r="I300" s="231"/>
      <c r="J300" s="111"/>
      <c r="K300" s="111"/>
      <c r="L300" s="111"/>
      <c r="M300" s="111"/>
      <c r="N300" s="61"/>
      <c r="O300" s="61"/>
      <c r="P300" s="17">
        <f t="shared" si="298"/>
        <v>0</v>
      </c>
      <c r="Q300" s="61"/>
      <c r="R300" s="61"/>
      <c r="S300" s="17">
        <f t="shared" si="299"/>
        <v>0</v>
      </c>
      <c r="T300" s="61"/>
      <c r="U300" s="61"/>
      <c r="V300" s="17">
        <f t="shared" si="306"/>
        <v>0</v>
      </c>
      <c r="W300" s="391">
        <f t="shared" si="301"/>
        <v>0</v>
      </c>
      <c r="X300" s="17">
        <f t="shared" si="302"/>
        <v>0</v>
      </c>
      <c r="Y300" s="18">
        <f t="shared" si="303"/>
        <v>0</v>
      </c>
      <c r="Z300" s="19">
        <f t="shared" si="307"/>
        <v>0</v>
      </c>
      <c r="AA300" s="19"/>
      <c r="AB300" s="19"/>
      <c r="AC300" s="20"/>
      <c r="AE300" s="111"/>
      <c r="AF300" s="111"/>
      <c r="AG300" s="111"/>
      <c r="AH300" s="651"/>
      <c r="AI300" s="131"/>
      <c r="AK300" s="111"/>
      <c r="AL300" s="111"/>
      <c r="AM300" s="111"/>
      <c r="AN300" s="651"/>
      <c r="AO300" s="131"/>
      <c r="AQ300" s="17"/>
      <c r="AR300" s="17"/>
      <c r="AS300" s="17"/>
      <c r="AT300" s="424">
        <f t="shared" si="308"/>
        <v>0</v>
      </c>
      <c r="AU300" s="19">
        <f t="shared" si="304"/>
        <v>0</v>
      </c>
      <c r="AW300" s="17"/>
      <c r="AX300" s="17"/>
      <c r="AY300" s="17"/>
      <c r="AZ300" s="424">
        <f t="shared" si="309"/>
        <v>0</v>
      </c>
      <c r="BA300" s="19">
        <f t="shared" si="305"/>
        <v>0</v>
      </c>
    </row>
    <row r="301" spans="1:53" ht="17.100000000000001" customHeight="1" x14ac:dyDescent="0.25">
      <c r="A301" s="40"/>
      <c r="B301" s="40"/>
      <c r="C301" s="74" t="s">
        <v>622</v>
      </c>
      <c r="D301" s="85" t="s">
        <v>671</v>
      </c>
      <c r="E301" s="75"/>
      <c r="F301" s="75"/>
      <c r="G301" s="75"/>
      <c r="H301" s="23"/>
      <c r="I301" s="229"/>
      <c r="J301" s="111"/>
      <c r="K301" s="111"/>
      <c r="L301" s="111"/>
      <c r="M301" s="111"/>
      <c r="N301" s="60"/>
      <c r="O301" s="60"/>
      <c r="P301" s="17">
        <f t="shared" si="298"/>
        <v>0</v>
      </c>
      <c r="Q301" s="60"/>
      <c r="R301" s="60"/>
      <c r="S301" s="17">
        <f t="shared" si="299"/>
        <v>0</v>
      </c>
      <c r="T301" s="60"/>
      <c r="U301" s="60"/>
      <c r="V301" s="17">
        <f t="shared" si="306"/>
        <v>0</v>
      </c>
      <c r="W301" s="391">
        <f t="shared" si="301"/>
        <v>0</v>
      </c>
      <c r="X301" s="17">
        <f t="shared" si="302"/>
        <v>0</v>
      </c>
      <c r="Y301" s="18">
        <f t="shared" si="303"/>
        <v>0</v>
      </c>
      <c r="Z301" s="19">
        <f t="shared" si="307"/>
        <v>0</v>
      </c>
      <c r="AA301" s="19"/>
      <c r="AB301" s="19"/>
      <c r="AC301" s="20"/>
      <c r="AE301" s="111"/>
      <c r="AF301" s="111"/>
      <c r="AG301" s="111"/>
      <c r="AH301" s="651"/>
      <c r="AI301" s="131"/>
      <c r="AK301" s="111"/>
      <c r="AL301" s="111"/>
      <c r="AM301" s="111"/>
      <c r="AN301" s="651"/>
      <c r="AO301" s="131"/>
      <c r="AQ301" s="17"/>
      <c r="AR301" s="17"/>
      <c r="AS301" s="17"/>
      <c r="AT301" s="424">
        <f t="shared" si="308"/>
        <v>0</v>
      </c>
      <c r="AU301" s="19">
        <f t="shared" si="304"/>
        <v>0</v>
      </c>
      <c r="AW301" s="17"/>
      <c r="AX301" s="17"/>
      <c r="AY301" s="17"/>
      <c r="AZ301" s="424">
        <f t="shared" si="309"/>
        <v>0</v>
      </c>
      <c r="BA301" s="19">
        <f t="shared" si="305"/>
        <v>0</v>
      </c>
    </row>
    <row r="302" spans="1:53" ht="17.100000000000001" customHeight="1" x14ac:dyDescent="0.25">
      <c r="A302" s="40"/>
      <c r="B302" s="40"/>
      <c r="C302" s="74" t="s">
        <v>623</v>
      </c>
      <c r="D302" s="85" t="s">
        <v>302</v>
      </c>
      <c r="E302" s="649"/>
      <c r="F302" s="105"/>
      <c r="G302" s="105"/>
      <c r="H302" s="84"/>
      <c r="I302" s="231"/>
      <c r="J302" s="111"/>
      <c r="K302" s="111"/>
      <c r="L302" s="111"/>
      <c r="M302" s="111"/>
      <c r="N302" s="61">
        <v>3</v>
      </c>
      <c r="O302" s="61">
        <v>5</v>
      </c>
      <c r="P302" s="17">
        <f t="shared" si="298"/>
        <v>8</v>
      </c>
      <c r="Q302" s="61"/>
      <c r="R302" s="61"/>
      <c r="S302" s="17">
        <f t="shared" si="299"/>
        <v>0</v>
      </c>
      <c r="T302" s="61"/>
      <c r="U302" s="61"/>
      <c r="V302" s="17">
        <f t="shared" si="306"/>
        <v>0</v>
      </c>
      <c r="W302" s="391">
        <f t="shared" si="301"/>
        <v>3</v>
      </c>
      <c r="X302" s="17">
        <f t="shared" si="302"/>
        <v>5</v>
      </c>
      <c r="Y302" s="18">
        <f t="shared" si="303"/>
        <v>8</v>
      </c>
      <c r="Z302" s="19">
        <f t="shared" si="307"/>
        <v>0.53333333333333333</v>
      </c>
      <c r="AA302" s="19"/>
      <c r="AB302" s="19"/>
      <c r="AC302" s="20"/>
      <c r="AE302" s="111"/>
      <c r="AF302" s="111"/>
      <c r="AG302" s="111"/>
      <c r="AH302" s="651"/>
      <c r="AI302" s="131"/>
      <c r="AK302" s="111"/>
      <c r="AL302" s="111"/>
      <c r="AM302" s="111"/>
      <c r="AN302" s="651"/>
      <c r="AO302" s="131"/>
      <c r="AQ302" s="17"/>
      <c r="AR302" s="17"/>
      <c r="AS302" s="17"/>
      <c r="AT302" s="424">
        <f t="shared" si="308"/>
        <v>3</v>
      </c>
      <c r="AU302" s="19">
        <f t="shared" si="304"/>
        <v>0.6</v>
      </c>
      <c r="AW302" s="17"/>
      <c r="AX302" s="17"/>
      <c r="AY302" s="17"/>
      <c r="AZ302" s="424">
        <f t="shared" si="309"/>
        <v>5</v>
      </c>
      <c r="BA302" s="19">
        <f t="shared" si="305"/>
        <v>0.5</v>
      </c>
    </row>
    <row r="303" spans="1:53" ht="17.100000000000001" customHeight="1" x14ac:dyDescent="0.25">
      <c r="A303" s="40"/>
      <c r="B303" s="40"/>
      <c r="C303" s="74" t="s">
        <v>624</v>
      </c>
      <c r="D303" s="85" t="s">
        <v>487</v>
      </c>
      <c r="E303" s="649"/>
      <c r="F303" s="105"/>
      <c r="G303" s="105"/>
      <c r="H303" s="84"/>
      <c r="I303" s="231"/>
      <c r="J303" s="111"/>
      <c r="K303" s="111"/>
      <c r="L303" s="111"/>
      <c r="M303" s="111"/>
      <c r="N303" s="60">
        <v>2</v>
      </c>
      <c r="O303" s="60">
        <v>5</v>
      </c>
      <c r="P303" s="17">
        <f t="shared" si="298"/>
        <v>7</v>
      </c>
      <c r="Q303" s="60"/>
      <c r="R303" s="60"/>
      <c r="S303" s="17">
        <f t="shared" si="299"/>
        <v>0</v>
      </c>
      <c r="T303" s="60"/>
      <c r="U303" s="60"/>
      <c r="V303" s="17">
        <f t="shared" si="306"/>
        <v>0</v>
      </c>
      <c r="W303" s="391">
        <f t="shared" si="301"/>
        <v>2</v>
      </c>
      <c r="X303" s="17">
        <f t="shared" si="302"/>
        <v>5</v>
      </c>
      <c r="Y303" s="18">
        <f t="shared" si="303"/>
        <v>7</v>
      </c>
      <c r="Z303" s="19">
        <f t="shared" si="307"/>
        <v>0.46666666666666667</v>
      </c>
      <c r="AA303" s="19"/>
      <c r="AB303" s="19"/>
      <c r="AC303" s="20"/>
      <c r="AE303" s="111"/>
      <c r="AF303" s="111"/>
      <c r="AG303" s="111"/>
      <c r="AH303" s="651"/>
      <c r="AI303" s="131"/>
      <c r="AK303" s="111"/>
      <c r="AL303" s="111"/>
      <c r="AM303" s="111"/>
      <c r="AN303" s="651"/>
      <c r="AO303" s="131"/>
      <c r="AQ303" s="17"/>
      <c r="AR303" s="17"/>
      <c r="AS303" s="17"/>
      <c r="AT303" s="424">
        <f t="shared" si="308"/>
        <v>2</v>
      </c>
      <c r="AU303" s="19">
        <f t="shared" si="304"/>
        <v>0.4</v>
      </c>
      <c r="AW303" s="17"/>
      <c r="AX303" s="17"/>
      <c r="AY303" s="17"/>
      <c r="AZ303" s="424">
        <f t="shared" si="309"/>
        <v>5</v>
      </c>
      <c r="BA303" s="19">
        <f t="shared" si="305"/>
        <v>0.5</v>
      </c>
    </row>
    <row r="304" spans="1:53" ht="17.100000000000001" customHeight="1" x14ac:dyDescent="0.25">
      <c r="A304" s="40"/>
      <c r="B304" s="40"/>
      <c r="C304" s="74" t="s">
        <v>625</v>
      </c>
      <c r="D304" s="85" t="s">
        <v>488</v>
      </c>
      <c r="E304" s="649"/>
      <c r="F304" s="105"/>
      <c r="G304" s="105"/>
      <c r="H304" s="84"/>
      <c r="I304" s="231"/>
      <c r="J304" s="111"/>
      <c r="K304" s="111"/>
      <c r="L304" s="111"/>
      <c r="M304" s="111"/>
      <c r="N304" s="61"/>
      <c r="O304" s="61"/>
      <c r="P304" s="17">
        <f t="shared" si="298"/>
        <v>0</v>
      </c>
      <c r="Q304" s="61"/>
      <c r="R304" s="61"/>
      <c r="S304" s="17">
        <f t="shared" si="299"/>
        <v>0</v>
      </c>
      <c r="T304" s="61"/>
      <c r="U304" s="61"/>
      <c r="V304" s="17">
        <f t="shared" si="306"/>
        <v>0</v>
      </c>
      <c r="W304" s="391">
        <f t="shared" si="301"/>
        <v>0</v>
      </c>
      <c r="X304" s="17">
        <f t="shared" si="302"/>
        <v>0</v>
      </c>
      <c r="Y304" s="18">
        <f t="shared" si="303"/>
        <v>0</v>
      </c>
      <c r="Z304" s="19">
        <f t="shared" si="307"/>
        <v>0</v>
      </c>
      <c r="AA304" s="19"/>
      <c r="AB304" s="19"/>
      <c r="AC304" s="20"/>
      <c r="AE304" s="111"/>
      <c r="AF304" s="111"/>
      <c r="AG304" s="111"/>
      <c r="AH304" s="651"/>
      <c r="AI304" s="131"/>
      <c r="AK304" s="111"/>
      <c r="AL304" s="111"/>
      <c r="AM304" s="111"/>
      <c r="AN304" s="651"/>
      <c r="AO304" s="131"/>
      <c r="AQ304" s="17"/>
      <c r="AR304" s="17"/>
      <c r="AS304" s="17"/>
      <c r="AT304" s="424">
        <f t="shared" si="308"/>
        <v>0</v>
      </c>
      <c r="AU304" s="19">
        <f t="shared" si="304"/>
        <v>0</v>
      </c>
      <c r="AW304" s="17"/>
      <c r="AX304" s="17"/>
      <c r="AY304" s="17"/>
      <c r="AZ304" s="424">
        <f t="shared" si="309"/>
        <v>0</v>
      </c>
      <c r="BA304" s="19">
        <f t="shared" si="305"/>
        <v>0</v>
      </c>
    </row>
    <row r="305" spans="1:53" ht="17.100000000000001" customHeight="1" x14ac:dyDescent="0.25">
      <c r="A305" s="40"/>
      <c r="B305" s="40"/>
      <c r="C305" s="74" t="s">
        <v>668</v>
      </c>
      <c r="D305" s="85" t="s">
        <v>304</v>
      </c>
      <c r="E305" s="649"/>
      <c r="F305" s="105"/>
      <c r="G305" s="105"/>
      <c r="H305" s="84"/>
      <c r="I305" s="231"/>
      <c r="J305" s="111"/>
      <c r="K305" s="111"/>
      <c r="L305" s="111"/>
      <c r="M305" s="111"/>
      <c r="N305" s="60"/>
      <c r="O305" s="60"/>
      <c r="P305" s="17">
        <f t="shared" si="298"/>
        <v>0</v>
      </c>
      <c r="Q305" s="60"/>
      <c r="R305" s="60"/>
      <c r="S305" s="17">
        <f t="shared" si="299"/>
        <v>0</v>
      </c>
      <c r="T305" s="60"/>
      <c r="U305" s="60"/>
      <c r="V305" s="17">
        <f t="shared" si="306"/>
        <v>0</v>
      </c>
      <c r="W305" s="391">
        <f t="shared" si="301"/>
        <v>0</v>
      </c>
      <c r="X305" s="17">
        <f t="shared" si="302"/>
        <v>0</v>
      </c>
      <c r="Y305" s="18">
        <f t="shared" si="303"/>
        <v>0</v>
      </c>
      <c r="Z305" s="19">
        <f t="shared" si="307"/>
        <v>0</v>
      </c>
      <c r="AA305" s="19"/>
      <c r="AB305" s="19"/>
      <c r="AC305" s="20"/>
      <c r="AE305" s="111"/>
      <c r="AF305" s="111"/>
      <c r="AG305" s="111"/>
      <c r="AH305" s="651"/>
      <c r="AI305" s="131"/>
      <c r="AK305" s="111"/>
      <c r="AL305" s="111"/>
      <c r="AM305" s="111"/>
      <c r="AN305" s="651"/>
      <c r="AO305" s="131"/>
      <c r="AQ305" s="17"/>
      <c r="AR305" s="17"/>
      <c r="AS305" s="17"/>
      <c r="AT305" s="424">
        <f t="shared" si="308"/>
        <v>0</v>
      </c>
      <c r="AU305" s="19">
        <f t="shared" si="304"/>
        <v>0</v>
      </c>
      <c r="AW305" s="17"/>
      <c r="AX305" s="17"/>
      <c r="AY305" s="17"/>
      <c r="AZ305" s="424">
        <f t="shared" si="309"/>
        <v>0</v>
      </c>
      <c r="BA305" s="19">
        <f t="shared" si="305"/>
        <v>0</v>
      </c>
    </row>
    <row r="306" spans="1:53" ht="17.100000000000001" customHeight="1" x14ac:dyDescent="0.25">
      <c r="A306" s="40"/>
      <c r="B306" s="40"/>
      <c r="C306" s="74" t="s">
        <v>669</v>
      </c>
      <c r="D306" s="85" t="s">
        <v>758</v>
      </c>
      <c r="E306" s="649"/>
      <c r="F306" s="105"/>
      <c r="G306" s="105"/>
      <c r="H306" s="84"/>
      <c r="I306" s="231"/>
      <c r="J306" s="111"/>
      <c r="K306" s="111"/>
      <c r="L306" s="111"/>
      <c r="M306" s="111"/>
      <c r="N306" s="61"/>
      <c r="O306" s="61"/>
      <c r="P306" s="17">
        <f t="shared" si="298"/>
        <v>0</v>
      </c>
      <c r="Q306" s="61"/>
      <c r="R306" s="61"/>
      <c r="S306" s="17">
        <f t="shared" si="299"/>
        <v>0</v>
      </c>
      <c r="T306" s="61"/>
      <c r="U306" s="61"/>
      <c r="V306" s="17">
        <f t="shared" si="306"/>
        <v>0</v>
      </c>
      <c r="W306" s="391">
        <f t="shared" si="301"/>
        <v>0</v>
      </c>
      <c r="X306" s="17">
        <f t="shared" si="302"/>
        <v>0</v>
      </c>
      <c r="Y306" s="18">
        <f t="shared" si="303"/>
        <v>0</v>
      </c>
      <c r="Z306" s="19">
        <f t="shared" si="307"/>
        <v>0</v>
      </c>
      <c r="AA306" s="19"/>
      <c r="AB306" s="19"/>
      <c r="AC306" s="20"/>
      <c r="AE306" s="111"/>
      <c r="AF306" s="111"/>
      <c r="AG306" s="111"/>
      <c r="AH306" s="651"/>
      <c r="AI306" s="131"/>
      <c r="AK306" s="111"/>
      <c r="AL306" s="111"/>
      <c r="AM306" s="111"/>
      <c r="AN306" s="651"/>
      <c r="AO306" s="131"/>
      <c r="AQ306" s="17"/>
      <c r="AR306" s="17"/>
      <c r="AS306" s="17"/>
      <c r="AT306" s="424">
        <f t="shared" si="308"/>
        <v>0</v>
      </c>
      <c r="AU306" s="19">
        <f t="shared" si="304"/>
        <v>0</v>
      </c>
      <c r="AW306" s="17"/>
      <c r="AX306" s="17"/>
      <c r="AY306" s="17"/>
      <c r="AZ306" s="424">
        <f t="shared" si="309"/>
        <v>0</v>
      </c>
      <c r="BA306" s="19">
        <f t="shared" si="305"/>
        <v>0</v>
      </c>
    </row>
    <row r="307" spans="1:53" ht="17.100000000000001" customHeight="1" x14ac:dyDescent="0.25">
      <c r="A307" s="40"/>
      <c r="B307" s="40"/>
      <c r="C307" s="74" t="s">
        <v>756</v>
      </c>
      <c r="D307" s="85" t="s">
        <v>305</v>
      </c>
      <c r="E307" s="649"/>
      <c r="F307" s="105"/>
      <c r="G307" s="105"/>
      <c r="H307" s="84"/>
      <c r="I307" s="231"/>
      <c r="J307" s="111"/>
      <c r="K307" s="111"/>
      <c r="L307" s="111"/>
      <c r="M307" s="111"/>
      <c r="N307" s="111">
        <f t="shared" ref="N307:U307" si="310">SUM(N308:N311)</f>
        <v>0</v>
      </c>
      <c r="O307" s="111">
        <f t="shared" si="310"/>
        <v>0</v>
      </c>
      <c r="P307" s="111">
        <f t="shared" si="298"/>
        <v>0</v>
      </c>
      <c r="Q307" s="111">
        <f t="shared" si="310"/>
        <v>0</v>
      </c>
      <c r="R307" s="111">
        <f t="shared" si="310"/>
        <v>0</v>
      </c>
      <c r="S307" s="111">
        <f t="shared" si="299"/>
        <v>0</v>
      </c>
      <c r="T307" s="111">
        <f t="shared" si="310"/>
        <v>0</v>
      </c>
      <c r="U307" s="111">
        <f t="shared" si="310"/>
        <v>0</v>
      </c>
      <c r="V307" s="358">
        <f t="shared" si="300"/>
        <v>0</v>
      </c>
      <c r="W307" s="380">
        <f t="shared" si="301"/>
        <v>0</v>
      </c>
      <c r="X307" s="111">
        <f t="shared" si="302"/>
        <v>0</v>
      </c>
      <c r="Y307" s="651">
        <f t="shared" si="303"/>
        <v>0</v>
      </c>
      <c r="Z307" s="131">
        <f>IF(Y$312=0,0,Y307/Y$312)</f>
        <v>0</v>
      </c>
      <c r="AA307" s="131"/>
      <c r="AB307" s="131"/>
      <c r="AC307" s="113"/>
      <c r="AE307" s="111"/>
      <c r="AF307" s="111"/>
      <c r="AG307" s="111"/>
      <c r="AH307" s="651"/>
      <c r="AI307" s="131"/>
      <c r="AK307" s="111"/>
      <c r="AL307" s="111"/>
      <c r="AM307" s="111"/>
      <c r="AN307" s="651"/>
      <c r="AO307" s="131"/>
      <c r="AQ307" s="111"/>
      <c r="AR307" s="111"/>
      <c r="AS307" s="111"/>
      <c r="AT307" s="111">
        <f t="shared" si="308"/>
        <v>0</v>
      </c>
      <c r="AU307" s="131">
        <f>IF(AT$312=0,0,AT307/AT$312)</f>
        <v>0</v>
      </c>
      <c r="AW307" s="111"/>
      <c r="AX307" s="111"/>
      <c r="AY307" s="111"/>
      <c r="AZ307" s="111">
        <f t="shared" si="309"/>
        <v>0</v>
      </c>
      <c r="BA307" s="131">
        <f>IF(AZ$312=0,0,AZ307/AZ$312)</f>
        <v>0</v>
      </c>
    </row>
    <row r="308" spans="1:53" ht="17.100000000000001" customHeight="1" x14ac:dyDescent="0.25">
      <c r="A308" s="40"/>
      <c r="B308" s="40"/>
      <c r="C308" s="74"/>
      <c r="D308" s="298"/>
      <c r="E308" s="295"/>
      <c r="F308" s="295"/>
      <c r="G308" s="295"/>
      <c r="H308" s="198"/>
      <c r="I308" s="642"/>
      <c r="J308" s="111"/>
      <c r="K308" s="111"/>
      <c r="L308" s="111"/>
      <c r="M308" s="111"/>
      <c r="N308" s="60"/>
      <c r="O308" s="60"/>
      <c r="P308" s="17"/>
      <c r="Q308" s="60"/>
      <c r="R308" s="60"/>
      <c r="S308" s="17"/>
      <c r="T308" s="60"/>
      <c r="U308" s="60"/>
      <c r="V308" s="359"/>
      <c r="W308" s="391"/>
      <c r="X308" s="17"/>
      <c r="Y308" s="17"/>
      <c r="Z308" s="19"/>
      <c r="AA308" s="20"/>
      <c r="AB308" s="20"/>
      <c r="AC308" s="20"/>
      <c r="AE308" s="111"/>
      <c r="AF308" s="111"/>
      <c r="AG308" s="114"/>
      <c r="AH308" s="113"/>
      <c r="AI308" s="113"/>
      <c r="AK308" s="111"/>
      <c r="AL308" s="111"/>
      <c r="AM308" s="114"/>
      <c r="AN308" s="113"/>
      <c r="AO308" s="113"/>
      <c r="AQ308" s="17"/>
      <c r="AR308" s="17"/>
      <c r="AS308" s="306"/>
      <c r="AT308" s="20"/>
      <c r="AU308" s="20"/>
      <c r="AW308" s="17"/>
      <c r="AX308" s="17"/>
      <c r="AY308" s="306"/>
      <c r="AZ308" s="20"/>
      <c r="BA308" s="20"/>
    </row>
    <row r="309" spans="1:53" ht="17.100000000000001" customHeight="1" x14ac:dyDescent="0.25">
      <c r="A309" s="40"/>
      <c r="B309" s="40"/>
      <c r="C309" s="74"/>
      <c r="D309" s="296"/>
      <c r="E309" s="297"/>
      <c r="F309" s="297"/>
      <c r="G309" s="297"/>
      <c r="H309" s="198"/>
      <c r="I309" s="642"/>
      <c r="J309" s="111"/>
      <c r="K309" s="111"/>
      <c r="L309" s="111"/>
      <c r="M309" s="111"/>
      <c r="N309" s="61"/>
      <c r="O309" s="61"/>
      <c r="P309" s="17"/>
      <c r="Q309" s="61"/>
      <c r="R309" s="61"/>
      <c r="S309" s="17"/>
      <c r="T309" s="61"/>
      <c r="U309" s="61"/>
      <c r="V309" s="359"/>
      <c r="W309" s="391"/>
      <c r="X309" s="17"/>
      <c r="Y309" s="17"/>
      <c r="Z309" s="19"/>
      <c r="AA309" s="20"/>
      <c r="AB309" s="20"/>
      <c r="AC309" s="20"/>
      <c r="AE309" s="111"/>
      <c r="AF309" s="111"/>
      <c r="AG309" s="114"/>
      <c r="AH309" s="113"/>
      <c r="AI309" s="113"/>
      <c r="AK309" s="111"/>
      <c r="AL309" s="111"/>
      <c r="AM309" s="114"/>
      <c r="AN309" s="113"/>
      <c r="AO309" s="113"/>
      <c r="AQ309" s="17"/>
      <c r="AR309" s="17"/>
      <c r="AS309" s="306"/>
      <c r="AT309" s="20"/>
      <c r="AU309" s="20"/>
      <c r="AW309" s="17"/>
      <c r="AX309" s="17"/>
      <c r="AY309" s="306"/>
      <c r="AZ309" s="20"/>
      <c r="BA309" s="20"/>
    </row>
    <row r="310" spans="1:53" ht="17.100000000000001" customHeight="1" x14ac:dyDescent="0.25">
      <c r="A310" s="40"/>
      <c r="B310" s="40"/>
      <c r="C310" s="74"/>
      <c r="D310" s="298"/>
      <c r="E310" s="295"/>
      <c r="F310" s="295"/>
      <c r="G310" s="295"/>
      <c r="H310" s="198"/>
      <c r="I310" s="642"/>
      <c r="J310" s="111"/>
      <c r="K310" s="111"/>
      <c r="L310" s="111"/>
      <c r="M310" s="111"/>
      <c r="N310" s="60"/>
      <c r="O310" s="60"/>
      <c r="P310" s="17"/>
      <c r="Q310" s="60"/>
      <c r="R310" s="60"/>
      <c r="S310" s="17"/>
      <c r="T310" s="60"/>
      <c r="U310" s="60"/>
      <c r="V310" s="359"/>
      <c r="W310" s="391"/>
      <c r="X310" s="17"/>
      <c r="Y310" s="17"/>
      <c r="Z310" s="19"/>
      <c r="AA310" s="20"/>
      <c r="AB310" s="20"/>
      <c r="AC310" s="20"/>
      <c r="AE310" s="111"/>
      <c r="AF310" s="111"/>
      <c r="AG310" s="114"/>
      <c r="AH310" s="113"/>
      <c r="AI310" s="113"/>
      <c r="AK310" s="111"/>
      <c r="AL310" s="111"/>
      <c r="AM310" s="114"/>
      <c r="AN310" s="113"/>
      <c r="AO310" s="113"/>
      <c r="AQ310" s="17"/>
      <c r="AR310" s="17"/>
      <c r="AS310" s="306"/>
      <c r="AT310" s="20"/>
      <c r="AU310" s="20"/>
      <c r="AW310" s="17"/>
      <c r="AX310" s="17"/>
      <c r="AY310" s="306"/>
      <c r="AZ310" s="20"/>
      <c r="BA310" s="20"/>
    </row>
    <row r="311" spans="1:53" ht="17.100000000000001" customHeight="1" x14ac:dyDescent="0.25">
      <c r="A311" s="40"/>
      <c r="B311" s="40"/>
      <c r="C311" s="74"/>
      <c r="D311" s="296"/>
      <c r="E311" s="297"/>
      <c r="F311" s="297"/>
      <c r="G311" s="297"/>
      <c r="H311" s="198"/>
      <c r="I311" s="642"/>
      <c r="J311" s="111"/>
      <c r="K311" s="111"/>
      <c r="L311" s="111"/>
      <c r="M311" s="111"/>
      <c r="N311" s="61"/>
      <c r="O311" s="61"/>
      <c r="P311" s="17"/>
      <c r="Q311" s="61"/>
      <c r="R311" s="61"/>
      <c r="S311" s="17"/>
      <c r="T311" s="61"/>
      <c r="U311" s="61"/>
      <c r="V311" s="359"/>
      <c r="W311" s="391"/>
      <c r="X311" s="17"/>
      <c r="Y311" s="17"/>
      <c r="Z311" s="19"/>
      <c r="AA311" s="20"/>
      <c r="AB311" s="20"/>
      <c r="AC311" s="20"/>
      <c r="AE311" s="111"/>
      <c r="AF311" s="111"/>
      <c r="AG311" s="114"/>
      <c r="AH311" s="113"/>
      <c r="AI311" s="113"/>
      <c r="AK311" s="111"/>
      <c r="AL311" s="111"/>
      <c r="AM311" s="114"/>
      <c r="AN311" s="113"/>
      <c r="AO311" s="113"/>
      <c r="AQ311" s="17"/>
      <c r="AR311" s="17"/>
      <c r="AS311" s="306"/>
      <c r="AT311" s="20"/>
      <c r="AU311" s="20"/>
      <c r="AW311" s="17"/>
      <c r="AX311" s="17"/>
      <c r="AY311" s="306"/>
      <c r="AZ311" s="20"/>
      <c r="BA311" s="20"/>
    </row>
    <row r="312" spans="1:53" ht="17.100000000000001" customHeight="1" x14ac:dyDescent="0.25">
      <c r="A312" s="40"/>
      <c r="B312" s="40"/>
      <c r="C312" s="292"/>
      <c r="D312" s="144"/>
      <c r="E312" s="144"/>
      <c r="F312" s="145"/>
      <c r="G312" s="145"/>
      <c r="H312" s="119"/>
      <c r="I312" s="236"/>
      <c r="J312" s="80"/>
      <c r="K312" s="80"/>
      <c r="L312" s="81"/>
      <c r="M312" s="81"/>
      <c r="N312" s="81">
        <f>SUM(N297:N307)</f>
        <v>5</v>
      </c>
      <c r="O312" s="81">
        <f t="shared" ref="O312:V312" si="311">SUM(O297:O307)</f>
        <v>10</v>
      </c>
      <c r="P312" s="81">
        <f t="shared" si="311"/>
        <v>15</v>
      </c>
      <c r="Q312" s="81">
        <f t="shared" si="311"/>
        <v>0</v>
      </c>
      <c r="R312" s="81">
        <f t="shared" si="311"/>
        <v>0</v>
      </c>
      <c r="S312" s="81">
        <f t="shared" si="311"/>
        <v>0</v>
      </c>
      <c r="T312" s="81">
        <f t="shared" si="311"/>
        <v>0</v>
      </c>
      <c r="U312" s="81">
        <f t="shared" si="311"/>
        <v>0</v>
      </c>
      <c r="V312" s="356">
        <f t="shared" si="311"/>
        <v>0</v>
      </c>
      <c r="W312" s="381">
        <f>SUM(W297:W307)</f>
        <v>5</v>
      </c>
      <c r="X312" s="82">
        <f t="shared" ref="X312:Y312" si="312">SUM(X297:X307)</f>
        <v>10</v>
      </c>
      <c r="Y312" s="82">
        <f t="shared" si="312"/>
        <v>15</v>
      </c>
      <c r="Z312" s="66">
        <f>IF(Y$312=0,0,Y312/Y$312)</f>
        <v>1</v>
      </c>
      <c r="AA312" s="205"/>
      <c r="AB312" s="205"/>
      <c r="AC312" s="83"/>
      <c r="AE312" s="81"/>
      <c r="AF312" s="81"/>
      <c r="AG312" s="82"/>
      <c r="AH312" s="82"/>
      <c r="AI312" s="66"/>
      <c r="AK312" s="81"/>
      <c r="AL312" s="81"/>
      <c r="AM312" s="82"/>
      <c r="AN312" s="82"/>
      <c r="AO312" s="66"/>
      <c r="AQ312" s="81"/>
      <c r="AR312" s="81"/>
      <c r="AS312" s="82"/>
      <c r="AT312" s="81">
        <f>SUM(AT297:AT307)</f>
        <v>5</v>
      </c>
      <c r="AU312" s="66">
        <f t="shared" ref="AU312" si="313">IF(AT$312=0,0,AT312/AT$312)</f>
        <v>1</v>
      </c>
      <c r="AW312" s="81"/>
      <c r="AX312" s="81"/>
      <c r="AY312" s="82"/>
      <c r="AZ312" s="81">
        <f>SUM(AZ297:AZ307)</f>
        <v>10</v>
      </c>
      <c r="BA312" s="66">
        <f t="shared" ref="BA312" si="314">IF(AZ$312=0,0,AZ312/AZ$312)</f>
        <v>1</v>
      </c>
    </row>
    <row r="313" spans="1:53" s="117" customFormat="1" ht="17.100000000000001" customHeight="1" x14ac:dyDescent="0.25">
      <c r="A313" s="68"/>
      <c r="B313" s="119"/>
      <c r="C313" s="647"/>
      <c r="D313" s="261"/>
      <c r="E313" s="261"/>
      <c r="F313" s="68"/>
      <c r="G313" s="68"/>
      <c r="H313" s="119"/>
      <c r="I313" s="138"/>
      <c r="J313" s="17"/>
      <c r="K313" s="17"/>
      <c r="L313" s="17"/>
      <c r="M313" s="17"/>
      <c r="N313" s="17" t="str">
        <f>IF(N312&gt;=N$20,"OK","NOK")</f>
        <v>OK</v>
      </c>
      <c r="O313" s="17" t="str">
        <f>IF(O312&gt;=O$20,"OK","NOK")</f>
        <v>OK</v>
      </c>
      <c r="P313" s="17"/>
      <c r="Q313" s="17" t="str">
        <f>IF(Q312&gt;=Q$20,"OK","NOK")</f>
        <v>OK</v>
      </c>
      <c r="R313" s="17" t="str">
        <f>IF(R312&gt;=R$20,"OK","NOK")</f>
        <v>OK</v>
      </c>
      <c r="S313" s="17"/>
      <c r="T313" s="17" t="str">
        <f>IF(T312&gt;=T$20,"OK","NOK")</f>
        <v>OK</v>
      </c>
      <c r="U313" s="17" t="str">
        <f>IF(U312&gt;=U$20,"OK","NOK")</f>
        <v>OK</v>
      </c>
      <c r="V313" s="359"/>
      <c r="W313" s="382"/>
      <c r="X313" s="646"/>
      <c r="Y313" s="646"/>
      <c r="Z313" s="201"/>
      <c r="AA313" s="201"/>
      <c r="AB313" s="201"/>
      <c r="AC313" s="84"/>
      <c r="AE313" s="46"/>
      <c r="AF313" s="46"/>
      <c r="AG313" s="17"/>
      <c r="AH313" s="646"/>
      <c r="AI313" s="91"/>
      <c r="AK313" s="46"/>
      <c r="AL313" s="46"/>
      <c r="AM313" s="17"/>
      <c r="AN313" s="646"/>
      <c r="AO313" s="91"/>
      <c r="AQ313" s="46"/>
      <c r="AR313" s="46"/>
      <c r="AS313" s="17"/>
      <c r="AT313" s="646"/>
      <c r="AU313" s="91"/>
      <c r="AW313" s="46"/>
      <c r="AX313" s="46"/>
      <c r="AY313" s="17"/>
      <c r="AZ313" s="646"/>
      <c r="BA313" s="91"/>
    </row>
    <row r="314" spans="1:53" ht="17.100000000000001" customHeight="1" x14ac:dyDescent="0.25">
      <c r="A314" s="40"/>
      <c r="B314" s="41" t="s">
        <v>310</v>
      </c>
      <c r="C314" s="49" t="s">
        <v>307</v>
      </c>
      <c r="D314" s="43"/>
      <c r="E314" s="43"/>
      <c r="F314" s="43"/>
      <c r="G314" s="43"/>
      <c r="H314" s="23"/>
      <c r="I314" s="229"/>
      <c r="J314" s="71"/>
      <c r="K314" s="71"/>
      <c r="L314" s="71"/>
      <c r="M314" s="71"/>
      <c r="N314" s="71"/>
      <c r="O314" s="71"/>
      <c r="P314" s="71"/>
      <c r="Q314" s="71"/>
      <c r="R314" s="71"/>
      <c r="S314" s="71"/>
      <c r="T314" s="71"/>
      <c r="U314" s="71"/>
      <c r="V314" s="71"/>
      <c r="W314" s="71"/>
      <c r="X314" s="71"/>
      <c r="Y314" s="71"/>
      <c r="Z314" s="73"/>
      <c r="AA314" s="73"/>
      <c r="AB314" s="73"/>
      <c r="AC314" s="73"/>
      <c r="AE314" s="71"/>
      <c r="AF314" s="71"/>
      <c r="AG314" s="273"/>
      <c r="AH314" s="73"/>
      <c r="AI314" s="73"/>
      <c r="AK314" s="71"/>
      <c r="AL314" s="71"/>
      <c r="AM314" s="273"/>
      <c r="AN314" s="73"/>
      <c r="AO314" s="73"/>
      <c r="AQ314" s="71"/>
      <c r="AR314" s="71"/>
      <c r="AS314" s="273"/>
      <c r="AT314" s="73"/>
      <c r="AU314" s="73"/>
      <c r="AW314" s="71"/>
      <c r="AX314" s="71"/>
      <c r="AY314" s="273"/>
      <c r="AZ314" s="73"/>
      <c r="BA314" s="73"/>
    </row>
    <row r="315" spans="1:53" ht="17.100000000000001" customHeight="1" x14ac:dyDescent="0.25">
      <c r="A315" s="119"/>
      <c r="B315" s="119"/>
      <c r="C315" s="56" t="s">
        <v>311</v>
      </c>
      <c r="D315" s="146" t="s">
        <v>9</v>
      </c>
      <c r="E315" s="105"/>
      <c r="F315" s="105"/>
      <c r="G315" s="105"/>
      <c r="H315" s="119"/>
      <c r="I315" s="231"/>
      <c r="J315" s="111"/>
      <c r="K315" s="111"/>
      <c r="L315" s="111"/>
      <c r="M315" s="111"/>
      <c r="N315" s="60">
        <v>4</v>
      </c>
      <c r="O315" s="60">
        <v>7</v>
      </c>
      <c r="P315" s="17">
        <f t="shared" ref="P315:P317" si="315">SUM(N315:O315)</f>
        <v>11</v>
      </c>
      <c r="Q315" s="60"/>
      <c r="R315" s="60"/>
      <c r="S315" s="17">
        <f t="shared" ref="S315:S317" si="316">SUM(Q315:R315)</f>
        <v>0</v>
      </c>
      <c r="T315" s="60"/>
      <c r="U315" s="60"/>
      <c r="V315" s="17">
        <f t="shared" ref="V315:V317" si="317">SUM(T315:U315)</f>
        <v>0</v>
      </c>
      <c r="W315" s="391">
        <f t="shared" ref="W315:W317" si="318">J315+K315+N315+Q315+T315</f>
        <v>4</v>
      </c>
      <c r="X315" s="17">
        <f t="shared" ref="X315:X317" si="319">L315+O315+R315+U315</f>
        <v>7</v>
      </c>
      <c r="Y315" s="18">
        <f t="shared" ref="Y315:Y317" si="320">SUM(W315:X315)</f>
        <v>11</v>
      </c>
      <c r="Z315" s="19">
        <f>IF(Y$318=0,0,Y315/Y$318)</f>
        <v>1</v>
      </c>
      <c r="AA315" s="19"/>
      <c r="AB315" s="19"/>
      <c r="AC315" s="20"/>
      <c r="AE315" s="111"/>
      <c r="AF315" s="111"/>
      <c r="AG315" s="111"/>
      <c r="AH315" s="651"/>
      <c r="AI315" s="131"/>
      <c r="AK315" s="111"/>
      <c r="AL315" s="111"/>
      <c r="AM315" s="111"/>
      <c r="AN315" s="651"/>
      <c r="AO315" s="131"/>
      <c r="AQ315" s="17"/>
      <c r="AR315" s="17"/>
      <c r="AS315" s="17"/>
      <c r="AT315" s="424">
        <f>W315</f>
        <v>4</v>
      </c>
      <c r="AU315" s="19">
        <f>IF(AT$318=0,0,AT315/AT$318)</f>
        <v>1</v>
      </c>
      <c r="AW315" s="17"/>
      <c r="AX315" s="17"/>
      <c r="AY315" s="17"/>
      <c r="AZ315" s="424">
        <f>X315</f>
        <v>7</v>
      </c>
      <c r="BA315" s="19">
        <f>IF(AZ$318=0,0,AZ315/AZ$318)</f>
        <v>1</v>
      </c>
    </row>
    <row r="316" spans="1:53" ht="17.100000000000001" customHeight="1" x14ac:dyDescent="0.25">
      <c r="A316" s="119"/>
      <c r="B316" s="119"/>
      <c r="C316" s="56" t="s">
        <v>312</v>
      </c>
      <c r="D316" s="146" t="s">
        <v>11</v>
      </c>
      <c r="E316" s="105"/>
      <c r="F316" s="105"/>
      <c r="G316" s="105"/>
      <c r="H316" s="119"/>
      <c r="I316" s="231"/>
      <c r="J316" s="111"/>
      <c r="K316" s="111"/>
      <c r="L316" s="111"/>
      <c r="M316" s="111"/>
      <c r="N316" s="61"/>
      <c r="O316" s="61"/>
      <c r="P316" s="17">
        <f t="shared" si="315"/>
        <v>0</v>
      </c>
      <c r="Q316" s="61"/>
      <c r="R316" s="61"/>
      <c r="S316" s="17">
        <f t="shared" si="316"/>
        <v>0</v>
      </c>
      <c r="T316" s="61"/>
      <c r="U316" s="61"/>
      <c r="V316" s="17">
        <f t="shared" si="317"/>
        <v>0</v>
      </c>
      <c r="W316" s="391">
        <f t="shared" si="318"/>
        <v>0</v>
      </c>
      <c r="X316" s="17">
        <f t="shared" si="319"/>
        <v>0</v>
      </c>
      <c r="Y316" s="18">
        <f t="shared" si="320"/>
        <v>0</v>
      </c>
      <c r="Z316" s="19">
        <f t="shared" ref="Z316:Z318" si="321">IF(Y$318=0,0,Y316/Y$318)</f>
        <v>0</v>
      </c>
      <c r="AA316" s="19"/>
      <c r="AB316" s="19"/>
      <c r="AC316" s="20"/>
      <c r="AE316" s="111"/>
      <c r="AF316" s="111"/>
      <c r="AG316" s="111"/>
      <c r="AH316" s="651"/>
      <c r="AI316" s="131"/>
      <c r="AK316" s="111"/>
      <c r="AL316" s="111"/>
      <c r="AM316" s="111"/>
      <c r="AN316" s="651"/>
      <c r="AO316" s="131"/>
      <c r="AQ316" s="17"/>
      <c r="AR316" s="17"/>
      <c r="AS316" s="17"/>
      <c r="AT316" s="424">
        <f t="shared" ref="AT316:AT317" si="322">W316</f>
        <v>0</v>
      </c>
      <c r="AU316" s="19">
        <f t="shared" ref="AU316:AU318" si="323">IF(AT$318=0,0,AT316/AT$318)</f>
        <v>0</v>
      </c>
      <c r="AW316" s="17"/>
      <c r="AX316" s="17"/>
      <c r="AY316" s="17"/>
      <c r="AZ316" s="424">
        <f t="shared" ref="AZ316:AZ317" si="324">X316</f>
        <v>0</v>
      </c>
      <c r="BA316" s="19">
        <f t="shared" ref="BA316:BA318" si="325">IF(AZ$318=0,0,AZ316/AZ$318)</f>
        <v>0</v>
      </c>
    </row>
    <row r="317" spans="1:53" ht="17.100000000000001" customHeight="1" x14ac:dyDescent="0.25">
      <c r="A317" s="119"/>
      <c r="B317" s="119"/>
      <c r="C317" s="56" t="s">
        <v>490</v>
      </c>
      <c r="D317" s="146" t="s">
        <v>617</v>
      </c>
      <c r="E317" s="105"/>
      <c r="F317" s="105"/>
      <c r="G317" s="105"/>
      <c r="H317" s="119"/>
      <c r="I317" s="231"/>
      <c r="J317" s="111"/>
      <c r="K317" s="111"/>
      <c r="L317" s="111"/>
      <c r="M317" s="111"/>
      <c r="N317" s="60"/>
      <c r="O317" s="60"/>
      <c r="P317" s="17">
        <f t="shared" si="315"/>
        <v>0</v>
      </c>
      <c r="Q317" s="60"/>
      <c r="R317" s="60"/>
      <c r="S317" s="17">
        <f t="shared" si="316"/>
        <v>0</v>
      </c>
      <c r="T317" s="60"/>
      <c r="U317" s="60"/>
      <c r="V317" s="17">
        <f t="shared" si="317"/>
        <v>0</v>
      </c>
      <c r="W317" s="391">
        <f t="shared" si="318"/>
        <v>0</v>
      </c>
      <c r="X317" s="17">
        <f t="shared" si="319"/>
        <v>0</v>
      </c>
      <c r="Y317" s="18">
        <f t="shared" si="320"/>
        <v>0</v>
      </c>
      <c r="Z317" s="19">
        <f t="shared" si="321"/>
        <v>0</v>
      </c>
      <c r="AA317" s="19"/>
      <c r="AB317" s="19"/>
      <c r="AC317" s="20"/>
      <c r="AE317" s="111"/>
      <c r="AF317" s="111"/>
      <c r="AG317" s="111"/>
      <c r="AH317" s="651"/>
      <c r="AI317" s="131"/>
      <c r="AK317" s="111"/>
      <c r="AL317" s="111"/>
      <c r="AM317" s="111"/>
      <c r="AN317" s="651"/>
      <c r="AO317" s="131"/>
      <c r="AQ317" s="17"/>
      <c r="AR317" s="17"/>
      <c r="AS317" s="17"/>
      <c r="AT317" s="424">
        <f t="shared" si="322"/>
        <v>0</v>
      </c>
      <c r="AU317" s="19">
        <f t="shared" si="323"/>
        <v>0</v>
      </c>
      <c r="AW317" s="17"/>
      <c r="AX317" s="17"/>
      <c r="AY317" s="17"/>
      <c r="AZ317" s="424">
        <f t="shared" si="324"/>
        <v>0</v>
      </c>
      <c r="BA317" s="19">
        <f t="shared" si="325"/>
        <v>0</v>
      </c>
    </row>
    <row r="318" spans="1:53" ht="17.100000000000001" customHeight="1" x14ac:dyDescent="0.25">
      <c r="A318" s="40"/>
      <c r="B318" s="40"/>
      <c r="C318" s="292"/>
      <c r="D318" s="144"/>
      <c r="E318" s="144"/>
      <c r="F318" s="145"/>
      <c r="G318" s="145"/>
      <c r="H318" s="119"/>
      <c r="I318" s="236"/>
      <c r="J318" s="80"/>
      <c r="K318" s="80"/>
      <c r="L318" s="81"/>
      <c r="M318" s="81"/>
      <c r="N318" s="81">
        <f>SUM(N315:N317)</f>
        <v>4</v>
      </c>
      <c r="O318" s="81">
        <f t="shared" ref="O318:V318" si="326">SUM(O315:O317)</f>
        <v>7</v>
      </c>
      <c r="P318" s="81">
        <f t="shared" si="326"/>
        <v>11</v>
      </c>
      <c r="Q318" s="81">
        <f t="shared" si="326"/>
        <v>0</v>
      </c>
      <c r="R318" s="81">
        <f t="shared" si="326"/>
        <v>0</v>
      </c>
      <c r="S318" s="81">
        <f t="shared" si="326"/>
        <v>0</v>
      </c>
      <c r="T318" s="81">
        <f t="shared" si="326"/>
        <v>0</v>
      </c>
      <c r="U318" s="81">
        <f t="shared" si="326"/>
        <v>0</v>
      </c>
      <c r="V318" s="81">
        <f t="shared" si="326"/>
        <v>0</v>
      </c>
      <c r="W318" s="82">
        <f>SUM(W315:W317)</f>
        <v>4</v>
      </c>
      <c r="X318" s="82">
        <f t="shared" ref="X318:Y318" si="327">SUM(X315:X317)</f>
        <v>7</v>
      </c>
      <c r="Y318" s="82">
        <f t="shared" si="327"/>
        <v>11</v>
      </c>
      <c r="Z318" s="66">
        <f t="shared" si="321"/>
        <v>1</v>
      </c>
      <c r="AA318" s="205"/>
      <c r="AB318" s="205"/>
      <c r="AC318" s="83"/>
      <c r="AE318" s="81"/>
      <c r="AF318" s="81"/>
      <c r="AG318" s="82"/>
      <c r="AH318" s="82"/>
      <c r="AI318" s="66"/>
      <c r="AK318" s="81"/>
      <c r="AL318" s="81"/>
      <c r="AM318" s="82"/>
      <c r="AN318" s="82"/>
      <c r="AO318" s="66"/>
      <c r="AQ318" s="81"/>
      <c r="AR318" s="81"/>
      <c r="AS318" s="82"/>
      <c r="AT318" s="81">
        <f>SUM(AT315:AT317)</f>
        <v>4</v>
      </c>
      <c r="AU318" s="66">
        <f t="shared" si="323"/>
        <v>1</v>
      </c>
      <c r="AW318" s="81"/>
      <c r="AX318" s="81"/>
      <c r="AY318" s="82"/>
      <c r="AZ318" s="81">
        <f>SUM(AZ315:AZ317)</f>
        <v>7</v>
      </c>
      <c r="BA318" s="66">
        <f t="shared" si="325"/>
        <v>1</v>
      </c>
    </row>
    <row r="319" spans="1:53" s="117" customFormat="1" ht="17.100000000000001" customHeight="1" x14ac:dyDescent="0.25">
      <c r="A319" s="68"/>
      <c r="B319" s="119"/>
      <c r="C319" s="647"/>
      <c r="D319" s="261"/>
      <c r="E319" s="261"/>
      <c r="F319" s="68"/>
      <c r="G319" s="68"/>
      <c r="H319" s="119"/>
      <c r="I319" s="138"/>
      <c r="J319" s="17"/>
      <c r="K319" s="17"/>
      <c r="L319" s="17"/>
      <c r="M319" s="17"/>
      <c r="N319" s="17" t="str">
        <f>IF(N318&gt;=N$20,"OK","NOK")</f>
        <v>OK</v>
      </c>
      <c r="O319" s="17" t="str">
        <f>IF(O318&gt;=O$20,"OK","NOK")</f>
        <v>OK</v>
      </c>
      <c r="P319" s="17"/>
      <c r="Q319" s="17" t="str">
        <f>IF(Q318&gt;=Q$20,"OK","NOK")</f>
        <v>OK</v>
      </c>
      <c r="R319" s="17" t="str">
        <f>IF(R318&gt;=R$20,"OK","NOK")</f>
        <v>OK</v>
      </c>
      <c r="S319" s="17"/>
      <c r="T319" s="17" t="str">
        <f>IF(T318&gt;=T$20,"OK","NOK")</f>
        <v>OK</v>
      </c>
      <c r="U319" s="17" t="str">
        <f>IF(U318&gt;=U$20,"OK","NOK")</f>
        <v>OK</v>
      </c>
      <c r="V319" s="359"/>
      <c r="W319" s="382"/>
      <c r="X319" s="646"/>
      <c r="Y319" s="646"/>
      <c r="Z319" s="201"/>
      <c r="AA319" s="201"/>
      <c r="AB319" s="201"/>
      <c r="AC319" s="84"/>
      <c r="AE319" s="46"/>
      <c r="AF319" s="46"/>
      <c r="AG319" s="17"/>
      <c r="AH319" s="646"/>
      <c r="AI319" s="91"/>
      <c r="AK319" s="46"/>
      <c r="AL319" s="46"/>
      <c r="AM319" s="17"/>
      <c r="AN319" s="646"/>
      <c r="AO319" s="91"/>
      <c r="AQ319" s="46"/>
      <c r="AR319" s="46"/>
      <c r="AS319" s="17"/>
      <c r="AT319" s="646"/>
      <c r="AU319" s="91"/>
      <c r="AW319" s="46"/>
      <c r="AX319" s="46"/>
      <c r="AY319" s="17"/>
      <c r="AZ319" s="646"/>
      <c r="BA319" s="91"/>
    </row>
    <row r="320" spans="1:53" s="117" customFormat="1" ht="17.100000000000001" customHeight="1" x14ac:dyDescent="0.25">
      <c r="A320" s="68"/>
      <c r="B320" s="119"/>
      <c r="C320" s="56" t="s">
        <v>672</v>
      </c>
      <c r="D320" s="146" t="s">
        <v>673</v>
      </c>
      <c r="E320" s="149"/>
      <c r="F320" s="149"/>
      <c r="G320" s="151"/>
      <c r="H320" s="119"/>
      <c r="I320" s="138"/>
      <c r="J320" s="111"/>
      <c r="K320" s="111"/>
      <c r="L320" s="111"/>
      <c r="M320" s="111"/>
      <c r="N320" s="111"/>
      <c r="O320" s="111"/>
      <c r="P320" s="336">
        <v>0.5</v>
      </c>
      <c r="Q320" s="341"/>
      <c r="R320" s="341"/>
      <c r="S320" s="336"/>
      <c r="T320" s="341"/>
      <c r="U320" s="341"/>
      <c r="V320" s="368"/>
      <c r="W320" s="382"/>
      <c r="X320" s="646"/>
      <c r="Y320" s="646"/>
      <c r="Z320" s="201"/>
      <c r="AA320" s="340">
        <f>MIN(P320,S320,V320)</f>
        <v>0.5</v>
      </c>
      <c r="AB320" s="340">
        <f>MAX(P320,S320,V320)</f>
        <v>0.5</v>
      </c>
      <c r="AC320" s="340">
        <f>IF(P320+S320+V320=0,0,AVERAGE(P320,S320,V320))</f>
        <v>0.5</v>
      </c>
      <c r="AE320" s="152"/>
      <c r="AF320" s="152"/>
      <c r="AG320" s="111"/>
      <c r="AH320" s="651"/>
      <c r="AI320" s="131"/>
      <c r="AK320" s="152"/>
      <c r="AL320" s="152"/>
      <c r="AM320" s="111"/>
      <c r="AN320" s="651"/>
      <c r="AO320" s="131"/>
      <c r="AQ320" s="152"/>
      <c r="AR320" s="152"/>
      <c r="AS320" s="111"/>
      <c r="AT320" s="651"/>
      <c r="AU320" s="131"/>
      <c r="AW320" s="152"/>
      <c r="AX320" s="152"/>
      <c r="AY320" s="111"/>
      <c r="AZ320" s="651"/>
      <c r="BA320" s="131"/>
    </row>
    <row r="321" spans="1:53" s="117" customFormat="1" ht="17.100000000000001" customHeight="1" x14ac:dyDescent="0.25">
      <c r="A321" s="68"/>
      <c r="B321" s="119"/>
      <c r="C321" s="647"/>
      <c r="D321" s="261"/>
      <c r="E321" s="261"/>
      <c r="F321" s="68"/>
      <c r="G321" s="68"/>
      <c r="H321" s="119"/>
      <c r="I321" s="138"/>
      <c r="J321" s="17"/>
      <c r="K321" s="17"/>
      <c r="L321" s="17"/>
      <c r="M321" s="17"/>
      <c r="N321" s="17"/>
      <c r="O321" s="17"/>
      <c r="P321" s="17"/>
      <c r="Q321" s="17"/>
      <c r="R321" s="17"/>
      <c r="S321" s="17"/>
      <c r="T321" s="17"/>
      <c r="U321" s="17"/>
      <c r="V321" s="359"/>
      <c r="W321" s="382"/>
      <c r="X321" s="646"/>
      <c r="Y321" s="646"/>
      <c r="Z321" s="201"/>
      <c r="AA321" s="201"/>
      <c r="AB321" s="201"/>
      <c r="AC321" s="84"/>
      <c r="AE321" s="46"/>
      <c r="AF321" s="46"/>
      <c r="AG321" s="17"/>
      <c r="AH321" s="646"/>
      <c r="AI321" s="91"/>
      <c r="AK321" s="46"/>
      <c r="AL321" s="46"/>
      <c r="AM321" s="17"/>
      <c r="AN321" s="646"/>
      <c r="AO321" s="91"/>
      <c r="AQ321" s="46"/>
      <c r="AR321" s="46"/>
      <c r="AS321" s="17"/>
      <c r="AT321" s="646"/>
      <c r="AU321" s="91"/>
      <c r="AW321" s="46"/>
      <c r="AX321" s="46"/>
      <c r="AY321" s="17"/>
      <c r="AZ321" s="646"/>
      <c r="BA321" s="91"/>
    </row>
    <row r="322" spans="1:53" ht="17.100000000000001" customHeight="1" x14ac:dyDescent="0.25">
      <c r="A322" s="68"/>
      <c r="B322" s="41" t="s">
        <v>313</v>
      </c>
      <c r="C322" s="69" t="s">
        <v>492</v>
      </c>
      <c r="D322" s="50"/>
      <c r="E322" s="70"/>
      <c r="F322" s="70"/>
      <c r="G322" s="70"/>
      <c r="H322" s="119"/>
      <c r="J322" s="71"/>
      <c r="K322" s="71"/>
      <c r="L322" s="71"/>
      <c r="M322" s="71"/>
      <c r="N322" s="71"/>
      <c r="O322" s="71"/>
      <c r="P322" s="71"/>
      <c r="Q322" s="71"/>
      <c r="R322" s="71"/>
      <c r="S322" s="71"/>
      <c r="T322" s="71"/>
      <c r="U322" s="71"/>
      <c r="V322" s="71"/>
      <c r="W322" s="71"/>
      <c r="X322" s="71"/>
      <c r="Y322" s="71"/>
      <c r="Z322" s="73"/>
      <c r="AA322" s="73"/>
      <c r="AB322" s="73"/>
      <c r="AC322" s="73"/>
      <c r="AE322" s="71"/>
      <c r="AF322" s="71"/>
      <c r="AG322" s="71"/>
      <c r="AH322" s="89"/>
      <c r="AI322" s="90"/>
      <c r="AK322" s="71"/>
      <c r="AL322" s="71"/>
      <c r="AM322" s="71"/>
      <c r="AN322" s="89"/>
      <c r="AO322" s="90"/>
      <c r="AQ322" s="71"/>
      <c r="AR322" s="71"/>
      <c r="AS322" s="71"/>
      <c r="AT322" s="71"/>
      <c r="AU322" s="90"/>
      <c r="AW322" s="71"/>
      <c r="AX322" s="71"/>
      <c r="AY322" s="71"/>
      <c r="AZ322" s="71"/>
      <c r="BA322" s="90"/>
    </row>
    <row r="323" spans="1:53" ht="17.100000000000001" customHeight="1" x14ac:dyDescent="0.25">
      <c r="A323" s="119"/>
      <c r="B323" s="119"/>
      <c r="C323" s="56" t="s">
        <v>314</v>
      </c>
      <c r="D323" s="149" t="s">
        <v>129</v>
      </c>
      <c r="E323" s="105"/>
      <c r="F323" s="105"/>
      <c r="G323" s="105"/>
      <c r="H323" s="119"/>
      <c r="J323" s="111"/>
      <c r="K323" s="111"/>
      <c r="L323" s="111"/>
      <c r="M323" s="111"/>
      <c r="N323" s="598"/>
      <c r="O323" s="598"/>
      <c r="P323" s="327"/>
      <c r="Q323" s="598"/>
      <c r="R323" s="598"/>
      <c r="S323" s="327"/>
      <c r="T323" s="598"/>
      <c r="U323" s="598"/>
      <c r="V323" s="327"/>
      <c r="W323" s="391"/>
      <c r="X323" s="17"/>
      <c r="Y323" s="18">
        <f t="shared" ref="Y323:Y325" si="328">M323+P323+S323+V323</f>
        <v>0</v>
      </c>
      <c r="Z323" s="19">
        <f>IF(Y$326=0,0,Y323/Y$326)</f>
        <v>0</v>
      </c>
      <c r="AA323" s="19"/>
      <c r="AB323" s="19"/>
      <c r="AC323" s="20"/>
      <c r="AE323" s="111"/>
      <c r="AF323" s="111"/>
      <c r="AG323" s="111"/>
      <c r="AH323" s="651"/>
      <c r="AI323" s="131"/>
      <c r="AK323" s="111"/>
      <c r="AL323" s="111"/>
      <c r="AM323" s="111"/>
      <c r="AN323" s="651"/>
      <c r="AO323" s="131"/>
      <c r="AQ323" s="111"/>
      <c r="AR323" s="111"/>
      <c r="AS323" s="111"/>
      <c r="AT323" s="651"/>
      <c r="AU323" s="131"/>
      <c r="AW323" s="111"/>
      <c r="AX323" s="111"/>
      <c r="AY323" s="111"/>
      <c r="AZ323" s="651"/>
      <c r="BA323" s="131"/>
    </row>
    <row r="324" spans="1:53" ht="17.100000000000001" customHeight="1" x14ac:dyDescent="0.25">
      <c r="A324" s="119"/>
      <c r="B324" s="119"/>
      <c r="C324" s="56" t="s">
        <v>327</v>
      </c>
      <c r="D324" s="149" t="s">
        <v>491</v>
      </c>
      <c r="E324" s="105"/>
      <c r="F324" s="105"/>
      <c r="G324" s="105"/>
      <c r="H324" s="119"/>
      <c r="J324" s="599"/>
      <c r="K324" s="599"/>
      <c r="L324" s="599"/>
      <c r="M324" s="599"/>
      <c r="N324" s="598"/>
      <c r="O324" s="598"/>
      <c r="P324" s="329">
        <v>1</v>
      </c>
      <c r="Q324" s="598"/>
      <c r="R324" s="598"/>
      <c r="S324" s="329"/>
      <c r="T324" s="598"/>
      <c r="U324" s="598"/>
      <c r="V324" s="329"/>
      <c r="W324" s="391"/>
      <c r="X324" s="17"/>
      <c r="Y324" s="18">
        <f t="shared" si="328"/>
        <v>1</v>
      </c>
      <c r="Z324" s="19">
        <f t="shared" ref="Z324:Z326" si="329">IF(Y$326=0,0,Y324/Y$326)</f>
        <v>1</v>
      </c>
      <c r="AA324" s="19"/>
      <c r="AB324" s="19"/>
      <c r="AC324" s="189"/>
      <c r="AE324" s="111"/>
      <c r="AF324" s="111"/>
      <c r="AG324" s="111"/>
      <c r="AH324" s="651"/>
      <c r="AI324" s="131"/>
      <c r="AK324" s="111"/>
      <c r="AL324" s="111"/>
      <c r="AM324" s="111"/>
      <c r="AN324" s="651"/>
      <c r="AO324" s="131"/>
      <c r="AQ324" s="111"/>
      <c r="AR324" s="111"/>
      <c r="AS324" s="111"/>
      <c r="AT324" s="651"/>
      <c r="AU324" s="131"/>
      <c r="AW324" s="111"/>
      <c r="AX324" s="111"/>
      <c r="AY324" s="111"/>
      <c r="AZ324" s="651"/>
      <c r="BA324" s="131"/>
    </row>
    <row r="325" spans="1:53" ht="17.100000000000001" customHeight="1" x14ac:dyDescent="0.25">
      <c r="A325" s="119"/>
      <c r="B325" s="119"/>
      <c r="C325" s="56" t="s">
        <v>328</v>
      </c>
      <c r="D325" s="149" t="s">
        <v>493</v>
      </c>
      <c r="E325" s="105"/>
      <c r="F325" s="105"/>
      <c r="G325" s="105"/>
      <c r="H325" s="119"/>
      <c r="J325" s="111"/>
      <c r="K325" s="111"/>
      <c r="L325" s="111"/>
      <c r="M325" s="111"/>
      <c r="N325" s="598"/>
      <c r="O325" s="598"/>
      <c r="P325" s="327"/>
      <c r="Q325" s="598"/>
      <c r="R325" s="598"/>
      <c r="S325" s="327"/>
      <c r="T325" s="598"/>
      <c r="U325" s="598"/>
      <c r="V325" s="327"/>
      <c r="W325" s="391"/>
      <c r="X325" s="17"/>
      <c r="Y325" s="18">
        <f t="shared" si="328"/>
        <v>0</v>
      </c>
      <c r="Z325" s="19">
        <f t="shared" si="329"/>
        <v>0</v>
      </c>
      <c r="AA325" s="19"/>
      <c r="AB325" s="19"/>
      <c r="AC325" s="20"/>
      <c r="AE325" s="111"/>
      <c r="AF325" s="111"/>
      <c r="AG325" s="111"/>
      <c r="AH325" s="651"/>
      <c r="AI325" s="131"/>
      <c r="AK325" s="111"/>
      <c r="AL325" s="111"/>
      <c r="AM325" s="111"/>
      <c r="AN325" s="651"/>
      <c r="AO325" s="131"/>
      <c r="AQ325" s="111"/>
      <c r="AR325" s="111"/>
      <c r="AS325" s="111"/>
      <c r="AT325" s="651"/>
      <c r="AU325" s="131"/>
      <c r="AW325" s="111"/>
      <c r="AX325" s="111"/>
      <c r="AY325" s="111"/>
      <c r="AZ325" s="651"/>
      <c r="BA325" s="131"/>
    </row>
    <row r="326" spans="1:53" ht="17.100000000000001" customHeight="1" x14ac:dyDescent="0.25">
      <c r="A326" s="119"/>
      <c r="B326" s="119"/>
      <c r="C326" s="325"/>
      <c r="D326" s="326"/>
      <c r="E326" s="184"/>
      <c r="F326" s="184"/>
      <c r="G326" s="184"/>
      <c r="H326" s="119"/>
      <c r="J326" s="600"/>
      <c r="K326" s="600"/>
      <c r="L326" s="600"/>
      <c r="M326" s="600"/>
      <c r="N326" s="600"/>
      <c r="O326" s="600"/>
      <c r="P326" s="81">
        <f>SUM(P323:P325)</f>
        <v>1</v>
      </c>
      <c r="Q326" s="600"/>
      <c r="R326" s="600"/>
      <c r="S326" s="81">
        <f>SUM(S323:S325)</f>
        <v>0</v>
      </c>
      <c r="T326" s="600"/>
      <c r="U326" s="600"/>
      <c r="V326" s="81">
        <f>SUM(V323:V325)</f>
        <v>0</v>
      </c>
      <c r="W326" s="381"/>
      <c r="X326" s="82"/>
      <c r="Y326" s="82">
        <f>SUM(Y323:Y325)</f>
        <v>1</v>
      </c>
      <c r="Z326" s="66">
        <f t="shared" si="329"/>
        <v>1</v>
      </c>
      <c r="AA326" s="205"/>
      <c r="AB326" s="205"/>
      <c r="AC326" s="204"/>
      <c r="AE326" s="81"/>
      <c r="AF326" s="81"/>
      <c r="AG326" s="81"/>
      <c r="AH326" s="82"/>
      <c r="AI326" s="66"/>
      <c r="AK326" s="81"/>
      <c r="AL326" s="81"/>
      <c r="AM326" s="81"/>
      <c r="AN326" s="82"/>
      <c r="AO326" s="66"/>
      <c r="AQ326" s="81"/>
      <c r="AR326" s="81"/>
      <c r="AS326" s="81"/>
      <c r="AT326" s="82"/>
      <c r="AU326" s="66"/>
      <c r="AW326" s="81"/>
      <c r="AX326" s="81"/>
      <c r="AY326" s="81"/>
      <c r="AZ326" s="82"/>
      <c r="BA326" s="66"/>
    </row>
    <row r="327" spans="1:53" s="117" customFormat="1" ht="17.100000000000001" customHeight="1" x14ac:dyDescent="0.25">
      <c r="A327" s="119"/>
      <c r="B327" s="119"/>
      <c r="C327" s="429"/>
      <c r="D327" s="427"/>
      <c r="E327" s="428"/>
      <c r="F327" s="428"/>
      <c r="G327" s="428"/>
      <c r="H327" s="119"/>
      <c r="I327" s="97"/>
      <c r="J327" s="643"/>
      <c r="K327" s="643"/>
      <c r="L327" s="643"/>
      <c r="M327" s="643"/>
      <c r="N327" s="643"/>
      <c r="O327" s="643"/>
      <c r="P327" s="643"/>
      <c r="Q327" s="643"/>
      <c r="R327" s="643"/>
      <c r="S327" s="643"/>
      <c r="T327" s="643"/>
      <c r="U327" s="643"/>
      <c r="V327" s="643"/>
      <c r="W327" s="646"/>
      <c r="X327" s="646"/>
      <c r="Y327" s="646"/>
      <c r="Z327" s="201"/>
      <c r="AA327" s="201"/>
      <c r="AB327" s="201"/>
      <c r="AC327" s="199"/>
      <c r="AE327" s="17"/>
      <c r="AF327" s="17"/>
      <c r="AG327" s="17"/>
      <c r="AH327" s="646"/>
      <c r="AI327" s="91"/>
      <c r="AK327" s="17"/>
      <c r="AL327" s="17"/>
      <c r="AM327" s="17"/>
      <c r="AN327" s="646"/>
      <c r="AO327" s="91"/>
      <c r="AQ327" s="17"/>
      <c r="AR327" s="17"/>
      <c r="AS327" s="17"/>
      <c r="AT327" s="17"/>
      <c r="AU327" s="91"/>
      <c r="AW327" s="17"/>
      <c r="AX327" s="17"/>
      <c r="AY327" s="17"/>
      <c r="AZ327" s="17"/>
      <c r="BA327" s="91"/>
    </row>
    <row r="328" spans="1:53" s="97" customFormat="1" ht="17.100000000000001" customHeight="1" x14ac:dyDescent="0.25">
      <c r="A328" s="119"/>
      <c r="B328" s="41" t="s">
        <v>1443</v>
      </c>
      <c r="C328" s="69" t="s">
        <v>12</v>
      </c>
      <c r="D328" s="50"/>
      <c r="E328" s="70"/>
      <c r="F328" s="70"/>
      <c r="G328" s="70"/>
      <c r="H328" s="84"/>
      <c r="J328" s="71"/>
      <c r="K328" s="71"/>
      <c r="L328" s="71"/>
      <c r="M328" s="71"/>
      <c r="N328" s="71"/>
      <c r="O328" s="71"/>
      <c r="P328" s="71"/>
      <c r="Q328" s="71"/>
      <c r="R328" s="71"/>
      <c r="S328" s="71"/>
      <c r="T328" s="71"/>
      <c r="U328" s="71"/>
      <c r="V328" s="355"/>
      <c r="W328" s="377"/>
      <c r="X328" s="71"/>
      <c r="Y328" s="71"/>
      <c r="Z328" s="73"/>
      <c r="AA328" s="73"/>
      <c r="AB328" s="73"/>
      <c r="AC328" s="73"/>
      <c r="AE328" s="71"/>
      <c r="AF328" s="71"/>
      <c r="AG328" s="273"/>
      <c r="AH328" s="73"/>
      <c r="AI328" s="73"/>
      <c r="AJ328" s="3"/>
      <c r="AK328" s="71"/>
      <c r="AL328" s="71"/>
      <c r="AM328" s="273"/>
      <c r="AN328" s="73"/>
      <c r="AO328" s="73"/>
      <c r="AP328" s="3"/>
      <c r="AQ328" s="71"/>
      <c r="AR328" s="71"/>
      <c r="AS328" s="273"/>
      <c r="AT328" s="73"/>
      <c r="AU328" s="73"/>
      <c r="AV328" s="3"/>
      <c r="AW328" s="71"/>
      <c r="AX328" s="71"/>
      <c r="AY328" s="273"/>
      <c r="AZ328" s="73"/>
      <c r="BA328" s="73"/>
    </row>
    <row r="329" spans="1:53" ht="17.100000000000001" customHeight="1" x14ac:dyDescent="0.25">
      <c r="A329" s="40"/>
      <c r="B329" s="40"/>
      <c r="C329" s="74" t="s">
        <v>1444</v>
      </c>
      <c r="D329" s="931" t="s">
        <v>315</v>
      </c>
      <c r="E329" s="75"/>
      <c r="F329" s="75"/>
      <c r="G329" s="75"/>
      <c r="H329" s="928"/>
      <c r="I329" s="12"/>
      <c r="J329" s="152"/>
      <c r="K329" s="152"/>
      <c r="L329" s="152"/>
      <c r="M329" s="152"/>
      <c r="N329" s="152">
        <f>IF(N20&gt;0,1,0)</f>
        <v>1</v>
      </c>
      <c r="O329" s="152">
        <f>IF(O20&gt;0,1,0)</f>
        <v>1</v>
      </c>
      <c r="P329" s="152"/>
      <c r="Q329" s="152">
        <f>IF(Q20&gt;0,1,0)</f>
        <v>0</v>
      </c>
      <c r="R329" s="152">
        <f>IF(R20&gt;0,1,0)</f>
        <v>0</v>
      </c>
      <c r="S329" s="152"/>
      <c r="T329" s="152">
        <f>IF(T20&gt;0,1,0)</f>
        <v>0</v>
      </c>
      <c r="U329" s="152">
        <f>IF(U20&gt;0,1,0)</f>
        <v>0</v>
      </c>
      <c r="V329" s="152"/>
      <c r="W329" s="389"/>
      <c r="X329" s="152"/>
      <c r="Y329" s="932"/>
      <c r="Z329" s="131"/>
      <c r="AA329" s="131"/>
      <c r="AB329" s="131"/>
      <c r="AC329" s="113"/>
      <c r="AE329" s="152"/>
      <c r="AF329" s="152"/>
      <c r="AG329" s="152"/>
      <c r="AH329" s="932"/>
      <c r="AI329" s="131"/>
      <c r="AJ329" s="117"/>
      <c r="AK329" s="152"/>
      <c r="AL329" s="152"/>
      <c r="AM329" s="152"/>
      <c r="AN329" s="932"/>
      <c r="AO329" s="131"/>
      <c r="AP329" s="117"/>
      <c r="AQ329" s="152"/>
      <c r="AR329" s="152"/>
      <c r="AS329" s="152"/>
      <c r="AT329" s="932"/>
      <c r="AU329" s="131"/>
      <c r="AV329" s="117"/>
      <c r="AW329" s="152"/>
      <c r="AX329" s="152"/>
      <c r="AY329" s="152"/>
      <c r="AZ329" s="932"/>
      <c r="BA329" s="131"/>
    </row>
    <row r="330" spans="1:53" ht="17.100000000000001" customHeight="1" x14ac:dyDescent="0.25">
      <c r="A330" s="137"/>
      <c r="B330" s="40"/>
      <c r="C330" s="40"/>
      <c r="D330" s="128" t="s">
        <v>1017</v>
      </c>
      <c r="E330" s="122"/>
      <c r="F330" s="122"/>
      <c r="G330" s="122"/>
      <c r="H330" s="928"/>
      <c r="I330" s="12"/>
      <c r="J330" s="190"/>
      <c r="K330" s="190"/>
      <c r="L330" s="190"/>
      <c r="M330" s="190"/>
      <c r="N330" s="570">
        <f>IF(N287=0,0,N285/N287)*0.5</f>
        <v>0.5</v>
      </c>
      <c r="O330" s="570">
        <f>IF(O287=0,0,O285/O287)*0.5</f>
        <v>0.5</v>
      </c>
      <c r="P330" s="190"/>
      <c r="Q330" s="570">
        <f>IF(Q287=0,0,Q285/Q287)*0.5</f>
        <v>0</v>
      </c>
      <c r="R330" s="570">
        <f>IF(R287=0,0,R285/R287)*0.5</f>
        <v>0</v>
      </c>
      <c r="S330" s="190"/>
      <c r="T330" s="570">
        <f>IF(T287=0,0,T285/T287)*0.5</f>
        <v>0</v>
      </c>
      <c r="U330" s="570">
        <f>IF(U287=0,0,U285/U287)*0.5</f>
        <v>0</v>
      </c>
      <c r="V330" s="371"/>
      <c r="W330" s="393"/>
      <c r="X330" s="190"/>
      <c r="Y330" s="129"/>
      <c r="Z330" s="130"/>
      <c r="AA330" s="130"/>
      <c r="AB330" s="130"/>
      <c r="AC330" s="125"/>
      <c r="AE330" s="190"/>
      <c r="AF330" s="190"/>
      <c r="AG330" s="190"/>
      <c r="AH330" s="129"/>
      <c r="AI330" s="130"/>
      <c r="AJ330" s="117"/>
      <c r="AK330" s="190"/>
      <c r="AL330" s="190"/>
      <c r="AM330" s="190"/>
      <c r="AN330" s="129"/>
      <c r="AO330" s="130"/>
      <c r="AP330" s="117"/>
      <c r="AQ330" s="190"/>
      <c r="AR330" s="190"/>
      <c r="AS330" s="190"/>
      <c r="AT330" s="129"/>
      <c r="AU330" s="130"/>
      <c r="AV330" s="117"/>
      <c r="AW330" s="190"/>
      <c r="AX330" s="190"/>
      <c r="AY330" s="190"/>
      <c r="AZ330" s="129"/>
      <c r="BA330" s="130"/>
    </row>
    <row r="331" spans="1:53" ht="17.100000000000001" customHeight="1" x14ac:dyDescent="0.25">
      <c r="A331" s="137"/>
      <c r="B331" s="40"/>
      <c r="C331" s="40"/>
      <c r="D331" s="128" t="s">
        <v>1018</v>
      </c>
      <c r="E331" s="122"/>
      <c r="F331" s="122"/>
      <c r="G331" s="122"/>
      <c r="H331" s="928"/>
      <c r="I331" s="12"/>
      <c r="J331" s="190"/>
      <c r="K331" s="190"/>
      <c r="L331" s="190"/>
      <c r="M331" s="190"/>
      <c r="N331" s="570">
        <f>IF(N287=0,0,N286/N287)*1</f>
        <v>0</v>
      </c>
      <c r="O331" s="570">
        <f t="shared" ref="O331:U331" si="330">IF(O287=0,0,O286/O287)*1</f>
        <v>0</v>
      </c>
      <c r="P331" s="570"/>
      <c r="Q331" s="570">
        <f t="shared" si="330"/>
        <v>0</v>
      </c>
      <c r="R331" s="570">
        <f t="shared" si="330"/>
        <v>0</v>
      </c>
      <c r="S331" s="570"/>
      <c r="T331" s="570">
        <f t="shared" si="330"/>
        <v>0</v>
      </c>
      <c r="U331" s="570">
        <f t="shared" si="330"/>
        <v>0</v>
      </c>
      <c r="V331" s="371"/>
      <c r="W331" s="393"/>
      <c r="X331" s="190"/>
      <c r="Y331" s="129"/>
      <c r="Z331" s="130"/>
      <c r="AA331" s="130"/>
      <c r="AB331" s="130"/>
      <c r="AC331" s="125"/>
      <c r="AE331" s="190"/>
      <c r="AF331" s="190"/>
      <c r="AG331" s="190"/>
      <c r="AH331" s="129"/>
      <c r="AI331" s="130"/>
      <c r="AJ331" s="117"/>
      <c r="AK331" s="190"/>
      <c r="AL331" s="190"/>
      <c r="AM331" s="190"/>
      <c r="AN331" s="129"/>
      <c r="AO331" s="130"/>
      <c r="AP331" s="117"/>
      <c r="AQ331" s="190"/>
      <c r="AR331" s="190"/>
      <c r="AS331" s="190"/>
      <c r="AT331" s="129"/>
      <c r="AU331" s="130"/>
      <c r="AV331" s="117"/>
      <c r="AW331" s="190"/>
      <c r="AX331" s="190"/>
      <c r="AY331" s="190"/>
      <c r="AZ331" s="129"/>
      <c r="BA331" s="130"/>
    </row>
    <row r="332" spans="1:53" ht="17.100000000000001" customHeight="1" x14ac:dyDescent="0.25">
      <c r="A332" s="137"/>
      <c r="B332" s="40"/>
      <c r="C332" s="40"/>
      <c r="D332" s="128" t="s">
        <v>316</v>
      </c>
      <c r="E332" s="122"/>
      <c r="F332" s="122"/>
      <c r="G332" s="122"/>
      <c r="H332" s="928"/>
      <c r="I332" s="12"/>
      <c r="J332" s="190"/>
      <c r="K332" s="190"/>
      <c r="L332" s="190"/>
      <c r="M332" s="190"/>
      <c r="N332" s="570">
        <f>IF(N294=0,0,N292/N294)*0.5</f>
        <v>0.5</v>
      </c>
      <c r="O332" s="570">
        <f>IF(O294=0,0,O292/O294)*0.5</f>
        <v>0.5</v>
      </c>
      <c r="P332" s="190"/>
      <c r="Q332" s="570">
        <f>IF(Q294=0,0,Q292/Q294)*0.5</f>
        <v>0</v>
      </c>
      <c r="R332" s="570">
        <f>IF(R294=0,0,R292/R294)*0.5</f>
        <v>0</v>
      </c>
      <c r="S332" s="190"/>
      <c r="T332" s="570">
        <f>IF(T294=0,0,T292/T294)*0.5</f>
        <v>0</v>
      </c>
      <c r="U332" s="570">
        <f>IF(U294=0,0,U292/U294)*0.5</f>
        <v>0</v>
      </c>
      <c r="V332" s="371"/>
      <c r="W332" s="393"/>
      <c r="X332" s="190"/>
      <c r="Y332" s="129"/>
      <c r="Z332" s="130"/>
      <c r="AA332" s="130"/>
      <c r="AB332" s="130"/>
      <c r="AC332" s="125"/>
      <c r="AE332" s="190"/>
      <c r="AF332" s="190"/>
      <c r="AG332" s="190"/>
      <c r="AH332" s="129"/>
      <c r="AI332" s="130"/>
      <c r="AJ332" s="117"/>
      <c r="AK332" s="190"/>
      <c r="AL332" s="190"/>
      <c r="AM332" s="190"/>
      <c r="AN332" s="129"/>
      <c r="AO332" s="130"/>
      <c r="AP332" s="117"/>
      <c r="AQ332" s="190"/>
      <c r="AR332" s="190"/>
      <c r="AS332" s="190"/>
      <c r="AT332" s="129"/>
      <c r="AU332" s="130"/>
      <c r="AV332" s="117"/>
      <c r="AW332" s="190"/>
      <c r="AX332" s="190"/>
      <c r="AY332" s="190"/>
      <c r="AZ332" s="129"/>
      <c r="BA332" s="130"/>
    </row>
    <row r="333" spans="1:53" ht="17.100000000000001" customHeight="1" x14ac:dyDescent="0.25">
      <c r="A333" s="137"/>
      <c r="B333" s="40"/>
      <c r="C333" s="40"/>
      <c r="D333" s="128" t="s">
        <v>317</v>
      </c>
      <c r="E333" s="122"/>
      <c r="F333" s="122"/>
      <c r="G333" s="122"/>
      <c r="H333" s="928"/>
      <c r="I333" s="12"/>
      <c r="J333" s="190"/>
      <c r="K333" s="190"/>
      <c r="L333" s="190"/>
      <c r="M333" s="190"/>
      <c r="N333" s="570">
        <f>IF(N294=0,0,N293/N294)*1</f>
        <v>0</v>
      </c>
      <c r="O333" s="570">
        <f t="shared" ref="O333:U333" si="331">IF(O294=0,0,O293/O294)*1</f>
        <v>0</v>
      </c>
      <c r="P333" s="570"/>
      <c r="Q333" s="570">
        <f t="shared" si="331"/>
        <v>0</v>
      </c>
      <c r="R333" s="570">
        <f t="shared" si="331"/>
        <v>0</v>
      </c>
      <c r="S333" s="570"/>
      <c r="T333" s="570">
        <f t="shared" si="331"/>
        <v>0</v>
      </c>
      <c r="U333" s="570">
        <f t="shared" si="331"/>
        <v>0</v>
      </c>
      <c r="V333" s="371"/>
      <c r="W333" s="393"/>
      <c r="X333" s="190"/>
      <c r="Y333" s="129"/>
      <c r="Z333" s="130"/>
      <c r="AA333" s="130"/>
      <c r="AB333" s="130"/>
      <c r="AC333" s="125"/>
      <c r="AE333" s="190"/>
      <c r="AF333" s="190"/>
      <c r="AG333" s="190"/>
      <c r="AH333" s="129"/>
      <c r="AI333" s="130"/>
      <c r="AJ333" s="117"/>
      <c r="AK333" s="190"/>
      <c r="AL333" s="190"/>
      <c r="AM333" s="190"/>
      <c r="AN333" s="129"/>
      <c r="AO333" s="130"/>
      <c r="AP333" s="117"/>
      <c r="AQ333" s="190"/>
      <c r="AR333" s="190"/>
      <c r="AS333" s="190"/>
      <c r="AT333" s="129"/>
      <c r="AU333" s="130"/>
      <c r="AV333" s="117"/>
      <c r="AW333" s="190"/>
      <c r="AX333" s="190"/>
      <c r="AY333" s="190"/>
      <c r="AZ333" s="129"/>
      <c r="BA333" s="130"/>
    </row>
    <row r="334" spans="1:53" ht="17.100000000000001" customHeight="1" x14ac:dyDescent="0.25">
      <c r="A334" s="137"/>
      <c r="B334" s="40"/>
      <c r="C334" s="40"/>
      <c r="D334" s="128" t="s">
        <v>1019</v>
      </c>
      <c r="E334" s="122"/>
      <c r="F334" s="122"/>
      <c r="G334" s="122"/>
      <c r="H334" s="928"/>
      <c r="I334" s="12"/>
      <c r="J334" s="190"/>
      <c r="K334" s="190"/>
      <c r="L334" s="190"/>
      <c r="M334" s="190"/>
      <c r="N334" s="570"/>
      <c r="O334" s="570"/>
      <c r="P334" s="190"/>
      <c r="Q334" s="570"/>
      <c r="R334" s="570"/>
      <c r="S334" s="190"/>
      <c r="T334" s="570"/>
      <c r="U334" s="570"/>
      <c r="V334" s="371"/>
      <c r="W334" s="393"/>
      <c r="X334" s="190"/>
      <c r="Y334" s="129"/>
      <c r="Z334" s="130"/>
      <c r="AA334" s="130"/>
      <c r="AB334" s="130"/>
      <c r="AC334" s="125"/>
      <c r="AE334" s="190"/>
      <c r="AF334" s="190"/>
      <c r="AG334" s="190"/>
      <c r="AH334" s="129"/>
      <c r="AI334" s="130"/>
      <c r="AJ334" s="117"/>
      <c r="AK334" s="190"/>
      <c r="AL334" s="190"/>
      <c r="AM334" s="190"/>
      <c r="AN334" s="129"/>
      <c r="AO334" s="130"/>
      <c r="AP334" s="117"/>
      <c r="AQ334" s="190"/>
      <c r="AR334" s="190"/>
      <c r="AS334" s="190"/>
      <c r="AT334" s="129"/>
      <c r="AU334" s="130"/>
      <c r="AV334" s="117"/>
      <c r="AW334" s="190"/>
      <c r="AX334" s="190"/>
      <c r="AY334" s="190"/>
      <c r="AZ334" s="129"/>
      <c r="BA334" s="130"/>
    </row>
    <row r="335" spans="1:53" ht="17.100000000000001" customHeight="1" x14ac:dyDescent="0.25">
      <c r="A335" s="137"/>
      <c r="B335" s="40"/>
      <c r="C335" s="40"/>
      <c r="D335" s="128" t="s">
        <v>318</v>
      </c>
      <c r="E335" s="122"/>
      <c r="F335" s="122"/>
      <c r="G335" s="122"/>
      <c r="H335" s="928"/>
      <c r="I335" s="12"/>
      <c r="J335" s="190"/>
      <c r="K335" s="190"/>
      <c r="L335" s="190"/>
      <c r="M335" s="190"/>
      <c r="N335" s="570">
        <f>IF(N312=0,0,(SUM(N303:N304)+N301+N306)/N312)</f>
        <v>0.4</v>
      </c>
      <c r="O335" s="570">
        <f>IF(O312=0,0,(SUM(O303:O304)+O301+O306)/O312)</f>
        <v>0.5</v>
      </c>
      <c r="P335" s="190"/>
      <c r="Q335" s="570">
        <f>IF(Q312=0,0,(SUM(Q303:Q304)+Q301+Q306)/Q312)</f>
        <v>0</v>
      </c>
      <c r="R335" s="570">
        <f>IF(R312=0,0,(SUM(R303:R304)+R301+R306)/R312)</f>
        <v>0</v>
      </c>
      <c r="S335" s="190"/>
      <c r="T335" s="570">
        <f>IF(T312=0,0,(SUM(T303:T304)+T301+T306)/T312)</f>
        <v>0</v>
      </c>
      <c r="U335" s="570">
        <f>IF(U312=0,0,(SUM(U303:U304)+U301+U306)/U312)</f>
        <v>0</v>
      </c>
      <c r="V335" s="371"/>
      <c r="W335" s="393"/>
      <c r="X335" s="190"/>
      <c r="Y335" s="129"/>
      <c r="Z335" s="130"/>
      <c r="AA335" s="130"/>
      <c r="AB335" s="130"/>
      <c r="AC335" s="125"/>
      <c r="AE335" s="190"/>
      <c r="AF335" s="190"/>
      <c r="AG335" s="190"/>
      <c r="AH335" s="129"/>
      <c r="AI335" s="130"/>
      <c r="AJ335" s="117"/>
      <c r="AK335" s="190"/>
      <c r="AL335" s="190"/>
      <c r="AM335" s="190"/>
      <c r="AN335" s="129"/>
      <c r="AO335" s="130"/>
      <c r="AP335" s="117"/>
      <c r="AQ335" s="190"/>
      <c r="AR335" s="190"/>
      <c r="AS335" s="190"/>
      <c r="AT335" s="129"/>
      <c r="AU335" s="130"/>
      <c r="AV335" s="117"/>
      <c r="AW335" s="190"/>
      <c r="AX335" s="190"/>
      <c r="AY335" s="190"/>
      <c r="AZ335" s="129"/>
      <c r="BA335" s="130"/>
    </row>
    <row r="336" spans="1:53" ht="17.100000000000001" customHeight="1" x14ac:dyDescent="0.25">
      <c r="A336" s="137"/>
      <c r="B336" s="40"/>
      <c r="C336" s="40"/>
      <c r="D336" s="128" t="s">
        <v>319</v>
      </c>
      <c r="E336" s="122"/>
      <c r="F336" s="122"/>
      <c r="G336" s="122"/>
      <c r="H336" s="928"/>
      <c r="I336" s="12"/>
      <c r="J336" s="190"/>
      <c r="K336" s="190"/>
      <c r="L336" s="190"/>
      <c r="M336" s="190"/>
      <c r="N336" s="570">
        <f>IF(N318=0,0,(N315/N318)*0.5)</f>
        <v>0.5</v>
      </c>
      <c r="O336" s="570">
        <f>IF(O318=0,0,(O315/O318)*0.5)</f>
        <v>0.5</v>
      </c>
      <c r="P336" s="190"/>
      <c r="Q336" s="570">
        <f>IF(Q318=0,0,(Q315/Q318)*0.5)</f>
        <v>0</v>
      </c>
      <c r="R336" s="570">
        <f>IF(R318=0,0,(R315/R318)*0.5)</f>
        <v>0</v>
      </c>
      <c r="S336" s="190"/>
      <c r="T336" s="570">
        <f>IF(T318=0,0,(T315/T318)*0.5)</f>
        <v>0</v>
      </c>
      <c r="U336" s="570">
        <f>IF(U318=0,0,(U315/U318)*0.5)</f>
        <v>0</v>
      </c>
      <c r="V336" s="371"/>
      <c r="W336" s="393"/>
      <c r="X336" s="190"/>
      <c r="Y336" s="129"/>
      <c r="Z336" s="130"/>
      <c r="AA336" s="130"/>
      <c r="AB336" s="130"/>
      <c r="AC336" s="125"/>
      <c r="AE336" s="190"/>
      <c r="AF336" s="190"/>
      <c r="AG336" s="190"/>
      <c r="AH336" s="129"/>
      <c r="AI336" s="130"/>
      <c r="AJ336" s="117"/>
      <c r="AK336" s="190"/>
      <c r="AL336" s="190"/>
      <c r="AM336" s="190"/>
      <c r="AN336" s="129"/>
      <c r="AO336" s="130"/>
      <c r="AP336" s="117"/>
      <c r="AQ336" s="190"/>
      <c r="AR336" s="190"/>
      <c r="AS336" s="190"/>
      <c r="AT336" s="129"/>
      <c r="AU336" s="130"/>
      <c r="AV336" s="117"/>
      <c r="AW336" s="190"/>
      <c r="AX336" s="190"/>
      <c r="AY336" s="190"/>
      <c r="AZ336" s="129"/>
      <c r="BA336" s="130"/>
    </row>
    <row r="337" spans="1:53" ht="17.100000000000001" customHeight="1" x14ac:dyDescent="0.25">
      <c r="A337" s="137"/>
      <c r="B337" s="40"/>
      <c r="C337" s="40"/>
      <c r="D337" s="128" t="s">
        <v>320</v>
      </c>
      <c r="E337" s="122"/>
      <c r="F337" s="122"/>
      <c r="G337" s="122"/>
      <c r="H337" s="928"/>
      <c r="I337" s="12"/>
      <c r="J337" s="190"/>
      <c r="K337" s="190"/>
      <c r="L337" s="190"/>
      <c r="M337" s="190"/>
      <c r="N337" s="570">
        <f>SUM(N330:N336)</f>
        <v>1.9</v>
      </c>
      <c r="O337" s="570">
        <f>SUM(O330:O336)</f>
        <v>2</v>
      </c>
      <c r="P337" s="190"/>
      <c r="Q337" s="570">
        <f>SUM(Q330:Q336)</f>
        <v>0</v>
      </c>
      <c r="R337" s="570">
        <f>SUM(R330:R336)</f>
        <v>0</v>
      </c>
      <c r="S337" s="190"/>
      <c r="T337" s="570">
        <f>SUM(T330:T336)</f>
        <v>0</v>
      </c>
      <c r="U337" s="570">
        <f>SUM(U330:U336)</f>
        <v>0</v>
      </c>
      <c r="V337" s="371"/>
      <c r="W337" s="393"/>
      <c r="X337" s="190"/>
      <c r="Y337" s="129"/>
      <c r="Z337" s="130"/>
      <c r="AA337" s="130"/>
      <c r="AB337" s="130"/>
      <c r="AC337" s="125"/>
      <c r="AE337" s="190"/>
      <c r="AF337" s="190"/>
      <c r="AG337" s="190"/>
      <c r="AH337" s="129"/>
      <c r="AI337" s="130"/>
      <c r="AJ337" s="117"/>
      <c r="AK337" s="190"/>
      <c r="AL337" s="190"/>
      <c r="AM337" s="190"/>
      <c r="AN337" s="129"/>
      <c r="AO337" s="130"/>
      <c r="AP337" s="117"/>
      <c r="AQ337" s="190"/>
      <c r="AR337" s="190"/>
      <c r="AS337" s="190"/>
      <c r="AT337" s="129"/>
      <c r="AU337" s="130"/>
      <c r="AV337" s="117"/>
      <c r="AW337" s="190"/>
      <c r="AX337" s="190"/>
      <c r="AY337" s="190"/>
      <c r="AZ337" s="129"/>
      <c r="BA337" s="130"/>
    </row>
    <row r="338" spans="1:53" ht="17.100000000000001" customHeight="1" x14ac:dyDescent="0.25">
      <c r="A338" s="137"/>
      <c r="B338" s="40"/>
      <c r="C338" s="40"/>
      <c r="D338" s="128" t="s">
        <v>321</v>
      </c>
      <c r="E338" s="122"/>
      <c r="F338" s="122"/>
      <c r="G338" s="122"/>
      <c r="H338" s="928"/>
      <c r="I338" s="12"/>
      <c r="J338" s="190"/>
      <c r="K338" s="190"/>
      <c r="L338" s="190"/>
      <c r="M338" s="190"/>
      <c r="N338" s="190">
        <v>3.5</v>
      </c>
      <c r="O338" s="190">
        <v>3.5</v>
      </c>
      <c r="P338" s="190"/>
      <c r="Q338" s="190">
        <v>3.5</v>
      </c>
      <c r="R338" s="190">
        <v>3.5</v>
      </c>
      <c r="S338" s="190"/>
      <c r="T338" s="190">
        <v>3.5</v>
      </c>
      <c r="U338" s="190">
        <v>3.5</v>
      </c>
      <c r="V338" s="371"/>
      <c r="W338" s="393"/>
      <c r="X338" s="190"/>
      <c r="Y338" s="129"/>
      <c r="Z338" s="130"/>
      <c r="AA338" s="130"/>
      <c r="AB338" s="130"/>
      <c r="AC338" s="125"/>
      <c r="AE338" s="190"/>
      <c r="AF338" s="190"/>
      <c r="AG338" s="190"/>
      <c r="AH338" s="129"/>
      <c r="AI338" s="130"/>
      <c r="AJ338" s="117"/>
      <c r="AK338" s="190"/>
      <c r="AL338" s="190"/>
      <c r="AM338" s="190"/>
      <c r="AN338" s="129"/>
      <c r="AO338" s="130"/>
      <c r="AP338" s="117"/>
      <c r="AQ338" s="190"/>
      <c r="AR338" s="190"/>
      <c r="AS338" s="190"/>
      <c r="AT338" s="129"/>
      <c r="AU338" s="130"/>
      <c r="AV338" s="117"/>
      <c r="AW338" s="190"/>
      <c r="AX338" s="190"/>
      <c r="AY338" s="190"/>
      <c r="AZ338" s="129"/>
      <c r="BA338" s="130"/>
    </row>
    <row r="339" spans="1:53" ht="17.100000000000001" customHeight="1" x14ac:dyDescent="0.25">
      <c r="A339" s="137"/>
      <c r="B339" s="40"/>
      <c r="C339" s="40"/>
      <c r="D339" s="75" t="s">
        <v>322</v>
      </c>
      <c r="E339" s="75"/>
      <c r="F339" s="75"/>
      <c r="G339" s="75"/>
      <c r="H339" s="1322"/>
      <c r="I339" s="12"/>
      <c r="J339" s="191" t="str">
        <f>IF(J$506=0,"",J340)</f>
        <v/>
      </c>
      <c r="K339" s="191" t="str">
        <f>IF(K$506=0,"",K340)</f>
        <v/>
      </c>
      <c r="L339" s="191" t="str">
        <f>IF(L$506=0,"",L340)</f>
        <v/>
      </c>
      <c r="M339" s="191"/>
      <c r="N339" s="191">
        <f>IF(N329=0,"",IF(N340=0,0,N340))</f>
        <v>0.54285714285714282</v>
      </c>
      <c r="O339" s="191">
        <f>IF(O329=0,"",IF(O340=0,0,O340))</f>
        <v>0.5714285714285714</v>
      </c>
      <c r="P339" s="191"/>
      <c r="Q339" s="191" t="str">
        <f>IF(Q329=0,"",IF(Q340=0,0,Q340))</f>
        <v/>
      </c>
      <c r="R339" s="191" t="str">
        <f>IF(R329=0,"",IF(R340=0,0,R340))</f>
        <v/>
      </c>
      <c r="S339" s="191"/>
      <c r="T339" s="191" t="str">
        <f>IF(T329=0,"",IF(T340=0,0,T340))</f>
        <v/>
      </c>
      <c r="U339" s="191" t="str">
        <f>IF(U329=0,"",IF(U340=0,0,U340))</f>
        <v/>
      </c>
      <c r="V339" s="191"/>
      <c r="W339" s="394"/>
      <c r="X339" s="191"/>
      <c r="Y339" s="164"/>
      <c r="Z339" s="192"/>
      <c r="AA339" s="192"/>
      <c r="AB339" s="192"/>
      <c r="AC339" s="193">
        <f>IF(Y339=0,0,AVERAGE(J339:X339))</f>
        <v>0</v>
      </c>
      <c r="AE339" s="191"/>
      <c r="AF339" s="191"/>
      <c r="AG339" s="191"/>
      <c r="AH339" s="164"/>
      <c r="AI339" s="192"/>
      <c r="AJ339" s="117"/>
      <c r="AK339" s="191"/>
      <c r="AL339" s="191"/>
      <c r="AM339" s="191"/>
      <c r="AN339" s="164"/>
      <c r="AO339" s="192"/>
      <c r="AP339" s="117"/>
      <c r="AQ339" s="191"/>
      <c r="AR339" s="191"/>
      <c r="AS339" s="191"/>
      <c r="AT339" s="164"/>
      <c r="AU339" s="192"/>
      <c r="AV339" s="117"/>
      <c r="AW339" s="191"/>
      <c r="AX339" s="191"/>
      <c r="AY339" s="191"/>
      <c r="AZ339" s="164"/>
      <c r="BA339" s="192"/>
    </row>
    <row r="340" spans="1:53" ht="17.100000000000001" customHeight="1" x14ac:dyDescent="0.25">
      <c r="A340" s="137"/>
      <c r="B340" s="40"/>
      <c r="C340" s="40"/>
      <c r="D340" s="128" t="s">
        <v>323</v>
      </c>
      <c r="E340" s="122"/>
      <c r="F340" s="122"/>
      <c r="G340" s="122"/>
      <c r="H340" s="1322"/>
      <c r="I340" s="12"/>
      <c r="J340" s="194"/>
      <c r="K340" s="194"/>
      <c r="L340" s="194"/>
      <c r="M340" s="194"/>
      <c r="N340" s="194">
        <f>N337/N338</f>
        <v>0.54285714285714282</v>
      </c>
      <c r="O340" s="194">
        <f t="shared" ref="O340" si="332">O337/O338</f>
        <v>0.5714285714285714</v>
      </c>
      <c r="P340" s="194"/>
      <c r="Q340" s="194">
        <f>Q337/Q338</f>
        <v>0</v>
      </c>
      <c r="R340" s="194">
        <f t="shared" ref="R340" si="333">R337/R338</f>
        <v>0</v>
      </c>
      <c r="S340" s="194"/>
      <c r="T340" s="194">
        <f>T337/T338</f>
        <v>0</v>
      </c>
      <c r="U340" s="194">
        <f t="shared" ref="U340" si="334">U337/U338</f>
        <v>0</v>
      </c>
      <c r="V340" s="194"/>
      <c r="W340" s="969">
        <f>N340+Q340+T340</f>
        <v>0.54285714285714282</v>
      </c>
      <c r="X340" s="504">
        <f>O340+R340+U340</f>
        <v>0.5714285714285714</v>
      </c>
      <c r="Y340" s="504">
        <f>SUM(N340:U340)</f>
        <v>1.1142857142857143</v>
      </c>
      <c r="Z340" s="195"/>
      <c r="AA340" s="195"/>
      <c r="AB340" s="195"/>
      <c r="AC340" s="161"/>
      <c r="AE340" s="194"/>
      <c r="AF340" s="194"/>
      <c r="AG340" s="194"/>
      <c r="AH340" s="162"/>
      <c r="AI340" s="195"/>
      <c r="AJ340" s="117"/>
      <c r="AK340" s="194"/>
      <c r="AL340" s="194"/>
      <c r="AM340" s="194"/>
      <c r="AN340" s="162"/>
      <c r="AO340" s="195"/>
      <c r="AP340" s="117"/>
      <c r="AQ340" s="194"/>
      <c r="AR340" s="194"/>
      <c r="AS340" s="194"/>
      <c r="AT340" s="162"/>
      <c r="AU340" s="195"/>
      <c r="AV340" s="117"/>
      <c r="AW340" s="194"/>
      <c r="AX340" s="194"/>
      <c r="AY340" s="194"/>
      <c r="AZ340" s="162"/>
      <c r="BA340" s="195"/>
    </row>
    <row r="341" spans="1:53" ht="17.100000000000001" customHeight="1" x14ac:dyDescent="0.25">
      <c r="A341" s="137"/>
      <c r="B341" s="137"/>
      <c r="C341" s="40"/>
      <c r="D341" s="128"/>
      <c r="E341" s="122"/>
      <c r="F341" s="122"/>
      <c r="G341" s="122"/>
      <c r="H341" s="1322"/>
      <c r="I341" s="12"/>
      <c r="J341" s="194"/>
      <c r="K341" s="194"/>
      <c r="L341" s="194"/>
      <c r="M341" s="194"/>
      <c r="N341" s="194">
        <f>IF(N329=0,"",N340)</f>
        <v>0.54285714285714282</v>
      </c>
      <c r="O341" s="194">
        <f>IF(O329=0,"",O340)</f>
        <v>0.5714285714285714</v>
      </c>
      <c r="P341" s="194"/>
      <c r="Q341" s="194" t="str">
        <f>IF(Q329=0,"",Q340)</f>
        <v/>
      </c>
      <c r="R341" s="194" t="str">
        <f>IF(R329=0,"",R340)</f>
        <v/>
      </c>
      <c r="S341" s="194"/>
      <c r="T341" s="194" t="str">
        <f>IF(T329=0,"",T340)</f>
        <v/>
      </c>
      <c r="U341" s="194" t="str">
        <f>IF(U329=0,"",U340)</f>
        <v/>
      </c>
      <c r="V341" s="194"/>
      <c r="W341" s="969">
        <f>IF(W340=0,"",AVERAGE(N341,Q341,T341))</f>
        <v>0.54285714285714282</v>
      </c>
      <c r="X341" s="504">
        <f>IF(X340=0,"",AVERAGE(O341,R341,U341))</f>
        <v>0.5714285714285714</v>
      </c>
      <c r="Y341" s="504">
        <f>IF(Y340=0,"",AVERAGE(N341:U341))</f>
        <v>0.55714285714285716</v>
      </c>
      <c r="Z341" s="195"/>
      <c r="AA341" s="195"/>
      <c r="AB341" s="195"/>
      <c r="AC341" s="161"/>
      <c r="AE341" s="194"/>
      <c r="AF341" s="194"/>
      <c r="AG341" s="194"/>
      <c r="AH341" s="162"/>
      <c r="AI341" s="195"/>
      <c r="AJ341" s="117"/>
      <c r="AK341" s="194"/>
      <c r="AL341" s="194"/>
      <c r="AM341" s="194"/>
      <c r="AN341" s="162"/>
      <c r="AO341" s="195"/>
      <c r="AP341" s="117"/>
      <c r="AQ341" s="194"/>
      <c r="AR341" s="194"/>
      <c r="AS341" s="194"/>
      <c r="AT341" s="162"/>
      <c r="AU341" s="195"/>
      <c r="AV341" s="117"/>
      <c r="AW341" s="194"/>
      <c r="AX341" s="194"/>
      <c r="AY341" s="194"/>
      <c r="AZ341" s="162"/>
      <c r="BA341" s="195"/>
    </row>
    <row r="342" spans="1:53" s="117" customFormat="1" ht="17.100000000000001" customHeight="1" x14ac:dyDescent="0.25">
      <c r="A342" s="119"/>
      <c r="B342" s="119"/>
      <c r="C342" s="196"/>
      <c r="D342" s="75" t="s">
        <v>324</v>
      </c>
      <c r="E342" s="75"/>
      <c r="F342" s="75"/>
      <c r="G342" s="75"/>
      <c r="H342" s="1322"/>
      <c r="I342" s="12"/>
      <c r="J342" s="55" t="str">
        <f>IF(J$506=0,"",IF(J339&gt;=0.75,1,0))</f>
        <v/>
      </c>
      <c r="K342" s="55" t="str">
        <f>IF(K$506=0,"",IF(K339&gt;=0.75,1,0))</f>
        <v/>
      </c>
      <c r="L342" s="55" t="str">
        <f>IF(L$506=0,"",IF(L339&gt;=0.75,1,0))</f>
        <v/>
      </c>
      <c r="M342" s="55"/>
      <c r="N342" s="55">
        <f>IF(N$329=0,0,IF(N$339&gt;=0.75,1,0))</f>
        <v>0</v>
      </c>
      <c r="O342" s="55">
        <f t="shared" ref="O342:U342" si="335">IF(O$329=0,0,IF(O$339&gt;=0.75,1,0))</f>
        <v>0</v>
      </c>
      <c r="P342" s="55">
        <f>IF(SUM(N342:O342)=0,0,IF(SUM(N342:O342)=2,1,IF(AND(N$340=0,O342&gt;0),O342,SUM(N342:O342)/2)))</f>
        <v>0</v>
      </c>
      <c r="Q342" s="55">
        <f t="shared" si="335"/>
        <v>0</v>
      </c>
      <c r="R342" s="55">
        <f t="shared" si="335"/>
        <v>0</v>
      </c>
      <c r="S342" s="55">
        <f>IF(SUM(Q342:R342)=0,0,IF(SUM(Q342:R342)=2,1,IF(AND(Q$340=0,R342&gt;0),R342,SUM(Q342:R342)/2)))</f>
        <v>0</v>
      </c>
      <c r="T342" s="55">
        <f t="shared" si="335"/>
        <v>0</v>
      </c>
      <c r="U342" s="55">
        <f t="shared" si="335"/>
        <v>0</v>
      </c>
      <c r="V342" s="55">
        <f>IF(SUM(T342:U342)=0,0,IF(SUM(T342:U342)=2,1,IF(AND(T$340=0,U342&gt;0),U342,SUM(T342:U342)/2)))</f>
        <v>0</v>
      </c>
      <c r="W342" s="1324">
        <f>N342+Q342+T342</f>
        <v>0</v>
      </c>
      <c r="X342" s="1000">
        <f>O342+R342+U342</f>
        <v>0</v>
      </c>
      <c r="Y342" s="996">
        <f>P342+S342+V342</f>
        <v>0</v>
      </c>
      <c r="Z342" s="19">
        <f>IF(Y$569=0,0,Y342/Y$569)</f>
        <v>0</v>
      </c>
      <c r="AA342" s="197"/>
      <c r="AB342" s="197"/>
      <c r="AC342" s="198"/>
      <c r="AE342" s="55"/>
      <c r="AF342" s="55"/>
      <c r="AG342" s="55"/>
      <c r="AH342" s="164"/>
      <c r="AI342" s="197"/>
      <c r="AK342" s="55"/>
      <c r="AL342" s="55"/>
      <c r="AM342" s="55"/>
      <c r="AN342" s="164"/>
      <c r="AO342" s="197"/>
      <c r="AQ342" s="55"/>
      <c r="AR342" s="55"/>
      <c r="AS342" s="55"/>
      <c r="AT342" s="164"/>
      <c r="AU342" s="197"/>
      <c r="AW342" s="55"/>
      <c r="AX342" s="55"/>
      <c r="AY342" s="55"/>
      <c r="AZ342" s="164"/>
      <c r="BA342" s="197"/>
    </row>
    <row r="343" spans="1:53" s="117" customFormat="1" ht="17.100000000000001" customHeight="1" x14ac:dyDescent="0.25">
      <c r="A343" s="119"/>
      <c r="B343" s="119"/>
      <c r="C343" s="136"/>
      <c r="D343" s="75" t="s">
        <v>325</v>
      </c>
      <c r="E343" s="75"/>
      <c r="F343" s="75"/>
      <c r="G343" s="75"/>
      <c r="H343" s="1322"/>
      <c r="I343" s="12"/>
      <c r="J343" s="55" t="str">
        <f>IF(J$506=0,"",IF(AND(J340&gt;=0.5,J340&lt;0.75),1,0))</f>
        <v/>
      </c>
      <c r="K343" s="55" t="str">
        <f>IF(K$506=0,"",IF(AND(K340&gt;=0.5,K340&lt;0.75),1,0))</f>
        <v/>
      </c>
      <c r="L343" s="55" t="str">
        <f>IF(L$506=0,"",IF(AND(L340&gt;=0.5,L340&lt;0.75),1,0))</f>
        <v/>
      </c>
      <c r="M343" s="55"/>
      <c r="N343" s="55">
        <f>IF(N$329=0,0,IF(AND(N339&gt;=0.5,N339&lt;0.75),1,0))</f>
        <v>1</v>
      </c>
      <c r="O343" s="55">
        <f t="shared" ref="O343:U343" si="336">IF(O$329=0,0,IF(AND(O339&gt;=0.5,O339&lt;0.75),1,0))</f>
        <v>1</v>
      </c>
      <c r="P343" s="55">
        <f t="shared" ref="P343:P344" si="337">IF(SUM(N343:O343)=0,0,IF(SUM(N343:O343)=2,1,IF(AND(N$340=0,O343&gt;0),O343,SUM(N343:O343)/2)))</f>
        <v>1</v>
      </c>
      <c r="Q343" s="55">
        <f t="shared" si="336"/>
        <v>0</v>
      </c>
      <c r="R343" s="55">
        <f t="shared" si="336"/>
        <v>0</v>
      </c>
      <c r="S343" s="55">
        <f t="shared" ref="S343:S344" si="338">IF(SUM(Q343:R343)=0,0,IF(SUM(Q343:R343)=2,1,IF(AND(Q$340=0,R343&gt;0),R343,SUM(Q343:R343)/2)))</f>
        <v>0</v>
      </c>
      <c r="T343" s="55">
        <f t="shared" si="336"/>
        <v>0</v>
      </c>
      <c r="U343" s="55">
        <f t="shared" si="336"/>
        <v>0</v>
      </c>
      <c r="V343" s="55">
        <f t="shared" ref="V343:V344" si="339">IF(SUM(T343:U343)=0,0,IF(SUM(T343:U343)=2,1,IF(AND(T$340=0,U343&gt;0),U343,SUM(T343:U343)/2)))</f>
        <v>0</v>
      </c>
      <c r="W343" s="1324">
        <f t="shared" ref="W343:Y344" si="340">N343+Q343+T343</f>
        <v>1</v>
      </c>
      <c r="X343" s="1000">
        <f t="shared" si="340"/>
        <v>1</v>
      </c>
      <c r="Y343" s="996">
        <f t="shared" si="340"/>
        <v>1</v>
      </c>
      <c r="Z343" s="19">
        <f>IF(Y$569=0,0,Y343/Y$569)</f>
        <v>0</v>
      </c>
      <c r="AA343" s="197"/>
      <c r="AB343" s="197"/>
      <c r="AC343" s="198"/>
      <c r="AE343" s="55"/>
      <c r="AF343" s="55"/>
      <c r="AG343" s="55"/>
      <c r="AH343" s="164"/>
      <c r="AI343" s="197"/>
      <c r="AK343" s="55"/>
      <c r="AL343" s="55"/>
      <c r="AM343" s="55"/>
      <c r="AN343" s="164"/>
      <c r="AO343" s="197"/>
      <c r="AQ343" s="55"/>
      <c r="AR343" s="55"/>
      <c r="AS343" s="55"/>
      <c r="AT343" s="164"/>
      <c r="AU343" s="197"/>
      <c r="AW343" s="55"/>
      <c r="AX343" s="55"/>
      <c r="AY343" s="55"/>
      <c r="AZ343" s="164"/>
      <c r="BA343" s="197"/>
    </row>
    <row r="344" spans="1:53" s="97" customFormat="1" ht="17.100000000000001" customHeight="1" x14ac:dyDescent="0.25">
      <c r="A344" s="119"/>
      <c r="B344" s="119"/>
      <c r="C344" s="137"/>
      <c r="D344" s="75" t="s">
        <v>326</v>
      </c>
      <c r="E344" s="75"/>
      <c r="F344" s="75"/>
      <c r="G344" s="75"/>
      <c r="H344" s="1322"/>
      <c r="I344" s="12"/>
      <c r="J344" s="55" t="str">
        <f>IF(J$506=0,"",IF(J340&lt;0.5,1,0))</f>
        <v/>
      </c>
      <c r="K344" s="55" t="str">
        <f>IF(K$506=0,"",IF(K340&lt;0.5,1,0))</f>
        <v/>
      </c>
      <c r="L344" s="55" t="str">
        <f>IF(L$506=0,"",IF(L340&lt;0.5,1,0))</f>
        <v/>
      </c>
      <c r="M344" s="55"/>
      <c r="N344" s="55">
        <f>IF(N$329=0,0,IF(N339&lt;0.5,1,0))</f>
        <v>0</v>
      </c>
      <c r="O344" s="55">
        <f t="shared" ref="O344:U344" si="341">IF(O$329=0,0,IF(O339&lt;0.5,1,0))</f>
        <v>0</v>
      </c>
      <c r="P344" s="55">
        <f t="shared" si="337"/>
        <v>0</v>
      </c>
      <c r="Q344" s="55">
        <f t="shared" si="341"/>
        <v>0</v>
      </c>
      <c r="R344" s="55">
        <f t="shared" si="341"/>
        <v>0</v>
      </c>
      <c r="S344" s="55">
        <f t="shared" si="338"/>
        <v>0</v>
      </c>
      <c r="T344" s="55">
        <f t="shared" si="341"/>
        <v>0</v>
      </c>
      <c r="U344" s="55">
        <f t="shared" si="341"/>
        <v>0</v>
      </c>
      <c r="V344" s="55">
        <f t="shared" si="339"/>
        <v>0</v>
      </c>
      <c r="W344" s="1324">
        <f t="shared" si="340"/>
        <v>0</v>
      </c>
      <c r="X344" s="1000">
        <f t="shared" si="340"/>
        <v>0</v>
      </c>
      <c r="Y344" s="996">
        <f t="shared" si="340"/>
        <v>0</v>
      </c>
      <c r="Z344" s="19">
        <f>IF(Y$569=0,0,Y344/Y$569)</f>
        <v>0</v>
      </c>
      <c r="AA344" s="197"/>
      <c r="AB344" s="197"/>
      <c r="AC344" s="198"/>
      <c r="AE344" s="55"/>
      <c r="AF344" s="55"/>
      <c r="AG344" s="55"/>
      <c r="AH344" s="164"/>
      <c r="AI344" s="197"/>
      <c r="AK344" s="55"/>
      <c r="AL344" s="55"/>
      <c r="AM344" s="55"/>
      <c r="AN344" s="164"/>
      <c r="AO344" s="197"/>
      <c r="AQ344" s="55"/>
      <c r="AR344" s="55"/>
      <c r="AS344" s="55"/>
      <c r="AT344" s="164"/>
      <c r="AU344" s="197"/>
      <c r="AW344" s="55"/>
      <c r="AX344" s="55"/>
      <c r="AY344" s="55"/>
      <c r="AZ344" s="164"/>
      <c r="BA344" s="197"/>
    </row>
    <row r="345" spans="1:53" s="117" customFormat="1" ht="17.100000000000001" customHeight="1" x14ac:dyDescent="0.25">
      <c r="A345" s="119"/>
      <c r="B345" s="119"/>
      <c r="C345" s="119"/>
      <c r="D345" s="428"/>
      <c r="E345" s="93"/>
      <c r="F345" s="93"/>
      <c r="G345" s="93"/>
      <c r="H345" s="1322"/>
      <c r="I345" s="12"/>
      <c r="J345" s="191"/>
      <c r="K345" s="191"/>
      <c r="L345" s="191"/>
      <c r="M345" s="191"/>
      <c r="N345" s="191"/>
      <c r="O345" s="191"/>
      <c r="P345" s="191"/>
      <c r="Q345" s="191"/>
      <c r="R345" s="191"/>
      <c r="S345" s="191"/>
      <c r="T345" s="191"/>
      <c r="U345" s="191"/>
      <c r="V345" s="191"/>
      <c r="W345" s="394"/>
      <c r="X345" s="191"/>
      <c r="Y345" s="164">
        <f>SUM(Y342:Y344)</f>
        <v>1</v>
      </c>
      <c r="Z345" s="19">
        <f t="shared" ref="Z345" si="342">IF(Y$569=0,0,Y345/Y$569)</f>
        <v>0</v>
      </c>
      <c r="AA345" s="192"/>
      <c r="AB345" s="192"/>
      <c r="AC345" s="198"/>
      <c r="AE345" s="191"/>
      <c r="AF345" s="191"/>
      <c r="AG345" s="191"/>
      <c r="AH345" s="164"/>
      <c r="AI345" s="192"/>
      <c r="AK345" s="191"/>
      <c r="AL345" s="191"/>
      <c r="AM345" s="191"/>
      <c r="AN345" s="164"/>
      <c r="AO345" s="192"/>
      <c r="AQ345" s="191"/>
      <c r="AR345" s="191"/>
      <c r="AS345" s="191"/>
      <c r="AT345" s="164"/>
      <c r="AU345" s="192"/>
      <c r="AW345" s="191"/>
      <c r="AX345" s="191"/>
      <c r="AY345" s="191"/>
      <c r="AZ345" s="164"/>
      <c r="BA345" s="192"/>
    </row>
    <row r="358" spans="4:9" s="2" customFormat="1" ht="17.100000000000001" customHeight="1" x14ac:dyDescent="0.25">
      <c r="D358" s="3"/>
      <c r="E358" s="3"/>
      <c r="F358" s="4"/>
      <c r="G358" s="4"/>
      <c r="H358" s="4"/>
      <c r="I358" s="97"/>
    </row>
    <row r="359" spans="4:9" s="2" customFormat="1" ht="17.100000000000001" customHeight="1" x14ac:dyDescent="0.25">
      <c r="D359" s="3"/>
      <c r="E359" s="3"/>
      <c r="F359" s="4"/>
      <c r="G359" s="4"/>
      <c r="H359" s="4"/>
      <c r="I359" s="97"/>
    </row>
    <row r="360" spans="4:9" s="2" customFormat="1" ht="17.100000000000001" customHeight="1" x14ac:dyDescent="0.25">
      <c r="D360" s="3"/>
      <c r="E360" s="3"/>
      <c r="F360" s="4"/>
      <c r="G360" s="4"/>
      <c r="H360" s="4"/>
      <c r="I360" s="97"/>
    </row>
    <row r="361" spans="4:9" s="2" customFormat="1" ht="17.100000000000001" customHeight="1" x14ac:dyDescent="0.25">
      <c r="D361" s="3"/>
      <c r="E361" s="3"/>
      <c r="F361" s="4"/>
      <c r="G361" s="4"/>
      <c r="H361" s="4"/>
      <c r="I361" s="97"/>
    </row>
    <row r="362" spans="4:9" s="2" customFormat="1" ht="17.100000000000001" customHeight="1" x14ac:dyDescent="0.25">
      <c r="D362" s="3"/>
      <c r="E362" s="3"/>
      <c r="F362" s="4"/>
      <c r="G362" s="4"/>
      <c r="H362" s="4"/>
      <c r="I362" s="97"/>
    </row>
    <row r="363" spans="4:9" s="2" customFormat="1" ht="17.100000000000001" customHeight="1" x14ac:dyDescent="0.25">
      <c r="D363" s="3"/>
      <c r="E363" s="3"/>
      <c r="F363" s="4"/>
      <c r="G363" s="4"/>
      <c r="H363" s="4"/>
      <c r="I363" s="97"/>
    </row>
    <row r="364" spans="4:9" s="2" customFormat="1" ht="17.100000000000001" customHeight="1" x14ac:dyDescent="0.25">
      <c r="D364" s="3"/>
      <c r="E364" s="3"/>
      <c r="F364" s="4"/>
      <c r="G364" s="4"/>
      <c r="H364" s="4"/>
      <c r="I364" s="97"/>
    </row>
    <row r="365" spans="4:9" s="2" customFormat="1" ht="17.100000000000001" customHeight="1" x14ac:dyDescent="0.25">
      <c r="D365" s="3"/>
      <c r="E365" s="3"/>
      <c r="F365" s="4"/>
      <c r="G365" s="4"/>
      <c r="H365" s="4"/>
      <c r="I365" s="97"/>
    </row>
    <row r="366" spans="4:9" s="2" customFormat="1" ht="17.100000000000001" customHeight="1" x14ac:dyDescent="0.25">
      <c r="D366" s="3"/>
      <c r="E366" s="3"/>
      <c r="F366" s="4"/>
      <c r="G366" s="4"/>
      <c r="H366" s="4"/>
      <c r="I366" s="97"/>
    </row>
    <row r="367" spans="4:9" s="2" customFormat="1" ht="17.100000000000001" customHeight="1" x14ac:dyDescent="0.25">
      <c r="D367" s="3"/>
      <c r="E367" s="3"/>
      <c r="F367" s="4"/>
      <c r="G367" s="4"/>
      <c r="H367" s="4"/>
      <c r="I367" s="97"/>
    </row>
    <row r="368" spans="4:9" s="2" customFormat="1" ht="17.100000000000001" customHeight="1" x14ac:dyDescent="0.25">
      <c r="D368" s="3"/>
      <c r="E368" s="3"/>
      <c r="F368" s="4"/>
      <c r="G368" s="4"/>
      <c r="H368" s="4"/>
      <c r="I368" s="97"/>
    </row>
    <row r="369" spans="4:9" s="2" customFormat="1" ht="17.100000000000001" customHeight="1" x14ac:dyDescent="0.25">
      <c r="D369" s="3"/>
      <c r="E369" s="3"/>
      <c r="F369" s="4"/>
      <c r="G369" s="4"/>
      <c r="H369" s="4"/>
      <c r="I369" s="97"/>
    </row>
    <row r="370" spans="4:9" s="2" customFormat="1" ht="17.100000000000001" customHeight="1" x14ac:dyDescent="0.25">
      <c r="D370" s="3"/>
      <c r="E370" s="3"/>
      <c r="F370" s="4"/>
      <c r="G370" s="4"/>
      <c r="H370" s="4"/>
      <c r="I370" s="97"/>
    </row>
    <row r="371" spans="4:9" s="2" customFormat="1" ht="17.100000000000001" customHeight="1" x14ac:dyDescent="0.25">
      <c r="D371" s="3"/>
      <c r="E371" s="3"/>
      <c r="F371" s="4"/>
      <c r="G371" s="4"/>
      <c r="H371" s="4"/>
      <c r="I371" s="97"/>
    </row>
    <row r="372" spans="4:9" s="2" customFormat="1" ht="17.100000000000001" customHeight="1" x14ac:dyDescent="0.25">
      <c r="D372" s="3"/>
      <c r="E372" s="3"/>
      <c r="F372" s="4"/>
      <c r="G372" s="4"/>
      <c r="H372" s="4"/>
      <c r="I372" s="97"/>
    </row>
    <row r="373" spans="4:9" s="2" customFormat="1" ht="17.100000000000001" customHeight="1" x14ac:dyDescent="0.25">
      <c r="D373" s="3"/>
      <c r="E373" s="3"/>
      <c r="F373" s="4"/>
      <c r="G373" s="4"/>
      <c r="H373" s="4"/>
      <c r="I373" s="97"/>
    </row>
    <row r="374" spans="4:9" s="2" customFormat="1" ht="17.100000000000001" customHeight="1" x14ac:dyDescent="0.25">
      <c r="D374" s="3"/>
      <c r="E374" s="3"/>
      <c r="F374" s="4"/>
      <c r="G374" s="4"/>
      <c r="H374" s="4"/>
      <c r="I374" s="97"/>
    </row>
    <row r="375" spans="4:9" s="2" customFormat="1" ht="17.100000000000001" customHeight="1" x14ac:dyDescent="0.25">
      <c r="D375" s="3"/>
      <c r="E375" s="3"/>
      <c r="F375" s="4"/>
      <c r="G375" s="4"/>
      <c r="H375" s="4"/>
      <c r="I375" s="97"/>
    </row>
    <row r="376" spans="4:9" s="2" customFormat="1" ht="17.100000000000001" customHeight="1" x14ac:dyDescent="0.25">
      <c r="D376" s="3"/>
      <c r="E376" s="3"/>
      <c r="F376" s="4"/>
      <c r="G376" s="4"/>
      <c r="H376" s="4"/>
      <c r="I376" s="97"/>
    </row>
    <row r="377" spans="4:9" s="2" customFormat="1" ht="17.100000000000001" customHeight="1" x14ac:dyDescent="0.25">
      <c r="D377" s="3"/>
      <c r="E377" s="3"/>
      <c r="F377" s="4"/>
      <c r="G377" s="4"/>
      <c r="H377" s="4"/>
      <c r="I377" s="97"/>
    </row>
    <row r="378" spans="4:9" s="2" customFormat="1" ht="17.100000000000001" customHeight="1" x14ac:dyDescent="0.25">
      <c r="D378" s="3"/>
      <c r="E378" s="3"/>
      <c r="F378" s="4"/>
      <c r="G378" s="4"/>
      <c r="H378" s="4"/>
      <c r="I378" s="97"/>
    </row>
    <row r="379" spans="4:9" s="2" customFormat="1" ht="17.100000000000001" customHeight="1" x14ac:dyDescent="0.25">
      <c r="D379" s="3"/>
      <c r="E379" s="3"/>
      <c r="F379" s="4"/>
      <c r="G379" s="4"/>
      <c r="H379" s="4"/>
      <c r="I379" s="97"/>
    </row>
    <row r="380" spans="4:9" s="2" customFormat="1" ht="17.100000000000001" customHeight="1" x14ac:dyDescent="0.25">
      <c r="D380" s="3"/>
      <c r="E380" s="3"/>
      <c r="F380" s="4"/>
      <c r="G380" s="4"/>
      <c r="H380" s="4"/>
      <c r="I380" s="97"/>
    </row>
    <row r="381" spans="4:9" s="2" customFormat="1" ht="17.100000000000001" customHeight="1" x14ac:dyDescent="0.25">
      <c r="D381" s="3"/>
      <c r="E381" s="3"/>
      <c r="F381" s="4"/>
      <c r="G381" s="4"/>
      <c r="H381" s="4"/>
      <c r="I381" s="97"/>
    </row>
    <row r="382" spans="4:9" s="2" customFormat="1" ht="17.100000000000001" customHeight="1" x14ac:dyDescent="0.25">
      <c r="D382" s="3"/>
      <c r="E382" s="3"/>
      <c r="F382" s="4"/>
      <c r="G382" s="4"/>
      <c r="H382" s="4"/>
      <c r="I382" s="97"/>
    </row>
    <row r="383" spans="4:9" s="2" customFormat="1" ht="17.100000000000001" customHeight="1" x14ac:dyDescent="0.25">
      <c r="D383" s="3"/>
      <c r="E383" s="3"/>
      <c r="F383" s="4"/>
      <c r="G383" s="4"/>
      <c r="H383" s="4"/>
      <c r="I383" s="97"/>
    </row>
    <row r="384" spans="4:9" s="2" customFormat="1" ht="17.100000000000001" customHeight="1" x14ac:dyDescent="0.25">
      <c r="D384" s="3"/>
      <c r="E384" s="3"/>
      <c r="F384" s="4"/>
      <c r="G384" s="4"/>
      <c r="H384" s="4"/>
      <c r="I384" s="97"/>
    </row>
    <row r="385" spans="4:9" s="2" customFormat="1" ht="17.100000000000001" customHeight="1" x14ac:dyDescent="0.25">
      <c r="D385" s="3"/>
      <c r="E385" s="3"/>
      <c r="F385" s="4"/>
      <c r="G385" s="4"/>
      <c r="H385" s="4"/>
      <c r="I385" s="97"/>
    </row>
    <row r="386" spans="4:9" s="2" customFormat="1" ht="17.100000000000001" customHeight="1" x14ac:dyDescent="0.25">
      <c r="D386" s="3"/>
      <c r="E386" s="3"/>
      <c r="F386" s="4"/>
      <c r="G386" s="4"/>
      <c r="H386" s="4"/>
      <c r="I386" s="97"/>
    </row>
    <row r="387" spans="4:9" s="2" customFormat="1" ht="17.100000000000001" customHeight="1" x14ac:dyDescent="0.25">
      <c r="D387" s="3"/>
      <c r="E387" s="3"/>
      <c r="F387" s="4"/>
      <c r="G387" s="4"/>
      <c r="H387" s="4"/>
      <c r="I387" s="97"/>
    </row>
    <row r="388" spans="4:9" s="2" customFormat="1" ht="17.100000000000001" customHeight="1" x14ac:dyDescent="0.25">
      <c r="D388" s="3"/>
      <c r="E388" s="3"/>
      <c r="F388" s="4"/>
      <c r="G388" s="4"/>
      <c r="H388" s="4"/>
      <c r="I388" s="97"/>
    </row>
    <row r="389" spans="4:9" s="2" customFormat="1" ht="17.100000000000001" customHeight="1" x14ac:dyDescent="0.25">
      <c r="D389" s="3"/>
      <c r="E389" s="3"/>
      <c r="F389" s="4"/>
      <c r="G389" s="4"/>
      <c r="H389" s="4"/>
      <c r="I389" s="97"/>
    </row>
    <row r="390" spans="4:9" s="2" customFormat="1" ht="17.100000000000001" customHeight="1" x14ac:dyDescent="0.25">
      <c r="D390" s="3"/>
      <c r="E390" s="3"/>
      <c r="F390" s="4"/>
      <c r="G390" s="4"/>
      <c r="H390" s="4"/>
      <c r="I390" s="97"/>
    </row>
    <row r="391" spans="4:9" s="2" customFormat="1" ht="17.100000000000001" customHeight="1" x14ac:dyDescent="0.25">
      <c r="D391" s="3"/>
      <c r="E391" s="3"/>
      <c r="F391" s="4"/>
      <c r="G391" s="4"/>
      <c r="H391" s="4"/>
      <c r="I391" s="97"/>
    </row>
    <row r="392" spans="4:9" s="2" customFormat="1" ht="17.100000000000001" customHeight="1" x14ac:dyDescent="0.25">
      <c r="D392" s="3"/>
      <c r="E392" s="3"/>
      <c r="F392" s="4"/>
      <c r="G392" s="4"/>
      <c r="H392" s="4"/>
      <c r="I392" s="97"/>
    </row>
    <row r="393" spans="4:9" s="2" customFormat="1" ht="17.100000000000001" customHeight="1" x14ac:dyDescent="0.25">
      <c r="D393" s="3"/>
      <c r="E393" s="3"/>
      <c r="F393" s="4"/>
      <c r="G393" s="4"/>
      <c r="H393" s="4"/>
      <c r="I393" s="97"/>
    </row>
    <row r="394" spans="4:9" s="2" customFormat="1" ht="17.100000000000001" customHeight="1" x14ac:dyDescent="0.25">
      <c r="D394" s="3"/>
      <c r="E394" s="3"/>
      <c r="F394" s="4"/>
      <c r="G394" s="4"/>
      <c r="H394" s="4"/>
      <c r="I394" s="97"/>
    </row>
    <row r="395" spans="4:9" s="2" customFormat="1" ht="17.100000000000001" customHeight="1" x14ac:dyDescent="0.25">
      <c r="D395" s="3"/>
      <c r="E395" s="3"/>
      <c r="F395" s="4"/>
      <c r="G395" s="4"/>
      <c r="H395" s="4"/>
      <c r="I395" s="97"/>
    </row>
    <row r="396" spans="4:9" s="2" customFormat="1" ht="17.100000000000001" customHeight="1" x14ac:dyDescent="0.25">
      <c r="D396" s="3"/>
      <c r="E396" s="3"/>
      <c r="F396" s="4"/>
      <c r="G396" s="4"/>
      <c r="H396" s="4"/>
      <c r="I396" s="97"/>
    </row>
    <row r="397" spans="4:9" s="2" customFormat="1" ht="17.100000000000001" customHeight="1" x14ac:dyDescent="0.25">
      <c r="D397" s="3"/>
      <c r="E397" s="3"/>
      <c r="F397" s="4"/>
      <c r="G397" s="4"/>
      <c r="H397" s="4"/>
      <c r="I397" s="97"/>
    </row>
    <row r="398" spans="4:9" s="2" customFormat="1" ht="17.100000000000001" customHeight="1" x14ac:dyDescent="0.25">
      <c r="D398" s="3"/>
      <c r="E398" s="3"/>
      <c r="F398" s="4"/>
      <c r="G398" s="4"/>
      <c r="H398" s="4"/>
      <c r="I398" s="97"/>
    </row>
    <row r="399" spans="4:9" s="2" customFormat="1" ht="17.100000000000001" customHeight="1" x14ac:dyDescent="0.25">
      <c r="D399" s="3"/>
      <c r="E399" s="3"/>
      <c r="F399" s="4"/>
      <c r="G399" s="4"/>
      <c r="H399" s="4"/>
      <c r="I399" s="97"/>
    </row>
    <row r="400" spans="4:9" s="2" customFormat="1" ht="17.100000000000001" customHeight="1" x14ac:dyDescent="0.25">
      <c r="D400" s="3"/>
      <c r="E400" s="3"/>
      <c r="F400" s="4"/>
      <c r="G400" s="4"/>
      <c r="H400" s="4"/>
      <c r="I400" s="97"/>
    </row>
    <row r="401" spans="4:9" s="2" customFormat="1" ht="17.100000000000001" customHeight="1" x14ac:dyDescent="0.25">
      <c r="D401" s="3"/>
      <c r="E401" s="3"/>
      <c r="F401" s="4"/>
      <c r="G401" s="4"/>
      <c r="H401" s="4"/>
      <c r="I401" s="97"/>
    </row>
    <row r="402" spans="4:9" s="2" customFormat="1" ht="17.100000000000001" customHeight="1" x14ac:dyDescent="0.25">
      <c r="D402" s="3"/>
      <c r="E402" s="3"/>
      <c r="F402" s="4"/>
      <c r="G402" s="4"/>
      <c r="H402" s="4"/>
      <c r="I402" s="97"/>
    </row>
    <row r="403" spans="4:9" s="2" customFormat="1" ht="17.100000000000001" customHeight="1" x14ac:dyDescent="0.25">
      <c r="D403" s="3"/>
      <c r="E403" s="3"/>
      <c r="F403" s="4"/>
      <c r="G403" s="4"/>
      <c r="H403" s="4"/>
      <c r="I403" s="97"/>
    </row>
    <row r="404" spans="4:9" s="2" customFormat="1" ht="17.100000000000001" customHeight="1" x14ac:dyDescent="0.25">
      <c r="D404" s="3"/>
      <c r="E404" s="3"/>
      <c r="F404" s="4"/>
      <c r="G404" s="4"/>
      <c r="H404" s="4"/>
      <c r="I404" s="97"/>
    </row>
    <row r="405" spans="4:9" s="2" customFormat="1" ht="17.100000000000001" customHeight="1" x14ac:dyDescent="0.25">
      <c r="D405" s="3"/>
      <c r="E405" s="3"/>
      <c r="F405" s="4"/>
      <c r="G405" s="4"/>
      <c r="H405" s="4"/>
      <c r="I405" s="97"/>
    </row>
    <row r="406" spans="4:9" s="2" customFormat="1" ht="17.100000000000001" customHeight="1" x14ac:dyDescent="0.25">
      <c r="D406" s="3"/>
      <c r="E406" s="3"/>
      <c r="F406" s="4"/>
      <c r="G406" s="4"/>
      <c r="H406" s="4"/>
      <c r="I406" s="97"/>
    </row>
    <row r="407" spans="4:9" s="2" customFormat="1" ht="17.100000000000001" customHeight="1" x14ac:dyDescent="0.25">
      <c r="D407" s="3"/>
      <c r="E407" s="3"/>
      <c r="F407" s="4"/>
      <c r="G407" s="4"/>
      <c r="H407" s="4"/>
      <c r="I407" s="97"/>
    </row>
    <row r="408" spans="4:9" s="2" customFormat="1" ht="17.100000000000001" customHeight="1" x14ac:dyDescent="0.25">
      <c r="D408" s="3"/>
      <c r="E408" s="3"/>
      <c r="F408" s="4"/>
      <c r="G408" s="4"/>
      <c r="H408" s="4"/>
      <c r="I408" s="97"/>
    </row>
    <row r="409" spans="4:9" s="2" customFormat="1" ht="17.100000000000001" customHeight="1" x14ac:dyDescent="0.25">
      <c r="D409" s="3"/>
      <c r="E409" s="3"/>
      <c r="F409" s="4"/>
      <c r="G409" s="4"/>
      <c r="H409" s="4"/>
      <c r="I409" s="97"/>
    </row>
    <row r="410" spans="4:9" s="2" customFormat="1" ht="17.100000000000001" customHeight="1" x14ac:dyDescent="0.25">
      <c r="D410" s="3"/>
      <c r="E410" s="3"/>
      <c r="F410" s="4"/>
      <c r="G410" s="4"/>
      <c r="H410" s="4"/>
      <c r="I410" s="97"/>
    </row>
    <row r="411" spans="4:9" s="2" customFormat="1" ht="17.100000000000001" customHeight="1" x14ac:dyDescent="0.25">
      <c r="D411" s="3"/>
      <c r="E411" s="3"/>
      <c r="F411" s="4"/>
      <c r="G411" s="4"/>
      <c r="H411" s="4"/>
      <c r="I411" s="97"/>
    </row>
    <row r="412" spans="4:9" s="2" customFormat="1" ht="17.100000000000001" customHeight="1" x14ac:dyDescent="0.25">
      <c r="D412" s="3"/>
      <c r="E412" s="3"/>
      <c r="F412" s="4"/>
      <c r="G412" s="4"/>
      <c r="H412" s="4"/>
      <c r="I412" s="97"/>
    </row>
    <row r="413" spans="4:9" s="2" customFormat="1" ht="17.100000000000001" customHeight="1" x14ac:dyDescent="0.25">
      <c r="D413" s="3"/>
      <c r="E413" s="3"/>
      <c r="F413" s="4"/>
      <c r="G413" s="4"/>
      <c r="H413" s="4"/>
      <c r="I413" s="97"/>
    </row>
    <row r="414" spans="4:9" s="2" customFormat="1" ht="17.100000000000001" customHeight="1" x14ac:dyDescent="0.25">
      <c r="D414" s="3"/>
      <c r="E414" s="3"/>
      <c r="F414" s="4"/>
      <c r="G414" s="4"/>
      <c r="H414" s="4"/>
      <c r="I414" s="97"/>
    </row>
    <row r="415" spans="4:9" s="2" customFormat="1" ht="17.100000000000001" customHeight="1" x14ac:dyDescent="0.25">
      <c r="D415" s="3"/>
      <c r="E415" s="3"/>
      <c r="F415" s="4"/>
      <c r="G415" s="4"/>
      <c r="H415" s="4"/>
      <c r="I415" s="97"/>
    </row>
    <row r="416" spans="4:9" s="2" customFormat="1" ht="17.100000000000001" customHeight="1" x14ac:dyDescent="0.25">
      <c r="D416" s="3"/>
      <c r="E416" s="3"/>
      <c r="F416" s="4"/>
      <c r="G416" s="4"/>
      <c r="H416" s="4"/>
      <c r="I416" s="97"/>
    </row>
    <row r="417" spans="4:9" s="2" customFormat="1" ht="17.100000000000001" customHeight="1" x14ac:dyDescent="0.25">
      <c r="D417" s="3"/>
      <c r="E417" s="3"/>
      <c r="F417" s="4"/>
      <c r="G417" s="4"/>
      <c r="H417" s="4"/>
      <c r="I417" s="97"/>
    </row>
    <row r="418" spans="4:9" s="2" customFormat="1" ht="17.100000000000001" customHeight="1" x14ac:dyDescent="0.25">
      <c r="D418" s="3"/>
      <c r="E418" s="3"/>
      <c r="F418" s="4"/>
      <c r="G418" s="4"/>
      <c r="H418" s="4"/>
      <c r="I418" s="97"/>
    </row>
    <row r="419" spans="4:9" s="2" customFormat="1" ht="17.100000000000001" customHeight="1" x14ac:dyDescent="0.25">
      <c r="D419" s="3"/>
      <c r="E419" s="3"/>
      <c r="F419" s="4"/>
      <c r="G419" s="4"/>
      <c r="H419" s="4"/>
      <c r="I419" s="97"/>
    </row>
    <row r="420" spans="4:9" s="2" customFormat="1" ht="17.100000000000001" customHeight="1" x14ac:dyDescent="0.25">
      <c r="D420" s="3"/>
      <c r="E420" s="3"/>
      <c r="F420" s="4"/>
      <c r="G420" s="4"/>
      <c r="H420" s="4"/>
      <c r="I420" s="97"/>
    </row>
    <row r="421" spans="4:9" s="2" customFormat="1" ht="17.100000000000001" customHeight="1" x14ac:dyDescent="0.25">
      <c r="D421" s="3"/>
      <c r="E421" s="3"/>
      <c r="F421" s="4"/>
      <c r="G421" s="4"/>
      <c r="H421" s="4"/>
      <c r="I421" s="97"/>
    </row>
    <row r="422" spans="4:9" s="2" customFormat="1" ht="17.100000000000001" customHeight="1" x14ac:dyDescent="0.25">
      <c r="D422" s="3"/>
      <c r="E422" s="3"/>
      <c r="F422" s="4"/>
      <c r="G422" s="4"/>
      <c r="H422" s="4"/>
      <c r="I422" s="97"/>
    </row>
    <row r="423" spans="4:9" s="2" customFormat="1" ht="17.100000000000001" customHeight="1" x14ac:dyDescent="0.25">
      <c r="D423" s="3"/>
      <c r="E423" s="3"/>
      <c r="F423" s="4"/>
      <c r="G423" s="4"/>
      <c r="H423" s="4"/>
      <c r="I423" s="97"/>
    </row>
    <row r="424" spans="4:9" s="2" customFormat="1" ht="17.100000000000001" customHeight="1" x14ac:dyDescent="0.25">
      <c r="D424" s="3"/>
      <c r="E424" s="3"/>
      <c r="F424" s="4"/>
      <c r="G424" s="4"/>
      <c r="H424" s="4"/>
      <c r="I424" s="97"/>
    </row>
    <row r="425" spans="4:9" s="2" customFormat="1" ht="17.100000000000001" customHeight="1" x14ac:dyDescent="0.25">
      <c r="D425" s="3"/>
      <c r="E425" s="3"/>
      <c r="F425" s="4"/>
      <c r="G425" s="4"/>
      <c r="H425" s="4"/>
      <c r="I425" s="97"/>
    </row>
    <row r="426" spans="4:9" s="2" customFormat="1" ht="17.100000000000001" customHeight="1" x14ac:dyDescent="0.25">
      <c r="D426" s="3"/>
      <c r="E426" s="3"/>
      <c r="F426" s="4"/>
      <c r="G426" s="4"/>
      <c r="H426" s="4"/>
      <c r="I426" s="97"/>
    </row>
    <row r="427" spans="4:9" s="2" customFormat="1" ht="17.100000000000001" customHeight="1" x14ac:dyDescent="0.25">
      <c r="D427" s="3"/>
      <c r="E427" s="3"/>
      <c r="F427" s="4"/>
      <c r="G427" s="4"/>
      <c r="H427" s="4"/>
      <c r="I427" s="97"/>
    </row>
    <row r="428" spans="4:9" s="2" customFormat="1" ht="17.100000000000001" customHeight="1" x14ac:dyDescent="0.25">
      <c r="D428" s="3"/>
      <c r="E428" s="3"/>
      <c r="F428" s="4"/>
      <c r="G428" s="4"/>
      <c r="H428" s="4"/>
      <c r="I428" s="97"/>
    </row>
    <row r="429" spans="4:9" s="2" customFormat="1" ht="17.100000000000001" customHeight="1" x14ac:dyDescent="0.25">
      <c r="D429" s="3"/>
      <c r="E429" s="3"/>
      <c r="F429" s="4"/>
      <c r="G429" s="4"/>
      <c r="H429" s="4"/>
      <c r="I429" s="97"/>
    </row>
    <row r="430" spans="4:9" s="2" customFormat="1" ht="17.100000000000001" customHeight="1" x14ac:dyDescent="0.25">
      <c r="D430" s="3"/>
      <c r="E430" s="3"/>
      <c r="F430" s="4"/>
      <c r="G430" s="4"/>
      <c r="H430" s="4"/>
      <c r="I430" s="97"/>
    </row>
    <row r="431" spans="4:9" s="2" customFormat="1" ht="17.100000000000001" customHeight="1" x14ac:dyDescent="0.25">
      <c r="D431" s="3"/>
      <c r="E431" s="3"/>
      <c r="F431" s="4"/>
      <c r="G431" s="4"/>
      <c r="H431" s="4"/>
      <c r="I431" s="97"/>
    </row>
    <row r="432" spans="4:9" s="2" customFormat="1" ht="17.100000000000001" customHeight="1" x14ac:dyDescent="0.25">
      <c r="D432" s="3"/>
      <c r="E432" s="3"/>
      <c r="F432" s="4"/>
      <c r="G432" s="4"/>
      <c r="H432" s="4"/>
      <c r="I432" s="97"/>
    </row>
    <row r="433" spans="1:9" s="2" customFormat="1" ht="17.100000000000001" customHeight="1" x14ac:dyDescent="0.25">
      <c r="D433" s="3"/>
      <c r="E433" s="3"/>
      <c r="F433" s="4"/>
      <c r="G433" s="4"/>
      <c r="H433" s="4"/>
      <c r="I433" s="97"/>
    </row>
    <row r="434" spans="1:9" s="2" customFormat="1" ht="17.100000000000001" customHeight="1" x14ac:dyDescent="0.25">
      <c r="D434" s="3"/>
      <c r="E434" s="3"/>
      <c r="F434" s="4"/>
      <c r="G434" s="4"/>
      <c r="H434" s="4"/>
      <c r="I434" s="97"/>
    </row>
    <row r="435" spans="1:9" s="2" customFormat="1" ht="17.100000000000001" customHeight="1" x14ac:dyDescent="0.25">
      <c r="D435" s="3"/>
      <c r="E435" s="3"/>
      <c r="F435" s="4"/>
      <c r="G435" s="4"/>
      <c r="H435" s="4"/>
      <c r="I435" s="97"/>
    </row>
    <row r="436" spans="1:9" s="2" customFormat="1" ht="17.100000000000001" customHeight="1" x14ac:dyDescent="0.25">
      <c r="D436" s="3"/>
      <c r="E436" s="3"/>
      <c r="F436" s="4"/>
      <c r="G436" s="4"/>
      <c r="H436" s="4"/>
      <c r="I436" s="97"/>
    </row>
    <row r="437" spans="1:9" s="2" customFormat="1" ht="17.100000000000001" customHeight="1" x14ac:dyDescent="0.25">
      <c r="D437" s="3"/>
      <c r="E437" s="3"/>
      <c r="F437" s="4"/>
      <c r="G437" s="4"/>
      <c r="H437" s="4"/>
      <c r="I437" s="97"/>
    </row>
    <row r="438" spans="1:9" s="2" customFormat="1" ht="17.100000000000001" customHeight="1" x14ac:dyDescent="0.25">
      <c r="D438" s="3"/>
      <c r="E438" s="3"/>
      <c r="F438" s="4"/>
      <c r="G438" s="4"/>
      <c r="H438" s="4"/>
      <c r="I438" s="97"/>
    </row>
    <row r="439" spans="1:9" s="2" customFormat="1" ht="17.100000000000001" customHeight="1" x14ac:dyDescent="0.25">
      <c r="D439" s="3"/>
      <c r="E439" s="3"/>
      <c r="F439" s="4"/>
      <c r="G439" s="4"/>
      <c r="H439" s="4"/>
      <c r="I439" s="97"/>
    </row>
    <row r="440" spans="1:9" s="2" customFormat="1" ht="17.100000000000001" customHeight="1" x14ac:dyDescent="0.25">
      <c r="D440" s="3"/>
      <c r="E440" s="3"/>
      <c r="F440" s="4"/>
      <c r="G440" s="4"/>
      <c r="H440" s="4"/>
      <c r="I440" s="97"/>
    </row>
    <row r="441" spans="1:9" s="2" customFormat="1" ht="17.100000000000001" customHeight="1" x14ac:dyDescent="0.25">
      <c r="A441" s="2" t="s">
        <v>608</v>
      </c>
      <c r="D441" s="3"/>
      <c r="E441" s="3"/>
      <c r="F441" s="4"/>
      <c r="G441" s="4"/>
      <c r="H441" s="4"/>
      <c r="I441" s="97"/>
    </row>
    <row r="442" spans="1:9" s="2" customFormat="1" ht="17.100000000000001" customHeight="1" x14ac:dyDescent="0.25">
      <c r="D442" s="3"/>
      <c r="E442" s="3"/>
      <c r="F442" s="4"/>
      <c r="G442" s="4"/>
      <c r="H442" s="4"/>
      <c r="I442" s="97"/>
    </row>
    <row r="443" spans="1:9" s="2" customFormat="1" ht="17.100000000000001" customHeight="1" x14ac:dyDescent="0.25">
      <c r="D443" s="3"/>
      <c r="E443" s="3"/>
      <c r="F443" s="4"/>
      <c r="G443" s="4"/>
      <c r="H443" s="4"/>
      <c r="I443" s="97"/>
    </row>
    <row r="444" spans="1:9" s="2" customFormat="1" ht="17.100000000000001" customHeight="1" x14ac:dyDescent="0.25">
      <c r="D444" s="3"/>
      <c r="E444" s="3"/>
      <c r="F444" s="4"/>
      <c r="G444" s="4"/>
      <c r="H444" s="4"/>
      <c r="I444" s="97"/>
    </row>
    <row r="445" spans="1:9" s="2" customFormat="1" ht="17.100000000000001" customHeight="1" x14ac:dyDescent="0.25">
      <c r="D445" s="3"/>
      <c r="E445" s="3"/>
      <c r="F445" s="4"/>
      <c r="G445" s="4"/>
      <c r="H445" s="4"/>
      <c r="I445" s="97"/>
    </row>
    <row r="446" spans="1:9" s="2" customFormat="1" ht="17.100000000000001" customHeight="1" x14ac:dyDescent="0.25">
      <c r="D446" s="3"/>
      <c r="E446" s="3"/>
      <c r="F446" s="4"/>
      <c r="G446" s="4"/>
      <c r="H446" s="4"/>
      <c r="I446" s="97"/>
    </row>
    <row r="447" spans="1:9" s="2" customFormat="1" ht="17.100000000000001" customHeight="1" x14ac:dyDescent="0.25">
      <c r="D447" s="3"/>
      <c r="E447" s="3"/>
      <c r="F447" s="4"/>
      <c r="G447" s="4"/>
      <c r="H447" s="4"/>
      <c r="I447" s="97"/>
    </row>
    <row r="448" spans="1:9" s="2" customFormat="1" ht="17.100000000000001" customHeight="1" x14ac:dyDescent="0.25">
      <c r="D448" s="3"/>
      <c r="E448" s="3"/>
      <c r="F448" s="4"/>
      <c r="G448" s="4"/>
      <c r="H448" s="4"/>
      <c r="I448" s="97"/>
    </row>
    <row r="449" spans="4:9" s="2" customFormat="1" ht="17.100000000000001" customHeight="1" x14ac:dyDescent="0.25">
      <c r="D449" s="3"/>
      <c r="E449" s="3"/>
      <c r="F449" s="4"/>
      <c r="G449" s="4"/>
      <c r="H449" s="4"/>
      <c r="I449" s="97"/>
    </row>
    <row r="450" spans="4:9" s="2" customFormat="1" ht="17.100000000000001" customHeight="1" x14ac:dyDescent="0.25">
      <c r="D450" s="3"/>
      <c r="E450" s="3"/>
      <c r="F450" s="4"/>
      <c r="G450" s="4"/>
      <c r="H450" s="4"/>
      <c r="I450" s="97"/>
    </row>
    <row r="451" spans="4:9" s="2" customFormat="1" ht="17.100000000000001" customHeight="1" x14ac:dyDescent="0.25">
      <c r="D451" s="3"/>
      <c r="E451" s="3"/>
      <c r="F451" s="4"/>
      <c r="G451" s="4"/>
      <c r="H451" s="4"/>
      <c r="I451" s="97"/>
    </row>
    <row r="452" spans="4:9" s="2" customFormat="1" ht="17.100000000000001" customHeight="1" x14ac:dyDescent="0.25">
      <c r="D452" s="3"/>
      <c r="E452" s="3"/>
      <c r="F452" s="4"/>
      <c r="G452" s="4"/>
      <c r="H452" s="4"/>
      <c r="I452" s="97"/>
    </row>
    <row r="453" spans="4:9" s="2" customFormat="1" ht="17.100000000000001" customHeight="1" x14ac:dyDescent="0.25">
      <c r="D453" s="3"/>
      <c r="E453" s="3"/>
      <c r="F453" s="4"/>
      <c r="G453" s="4"/>
      <c r="H453" s="4"/>
      <c r="I453" s="97"/>
    </row>
    <row r="454" spans="4:9" s="2" customFormat="1" ht="17.100000000000001" customHeight="1" x14ac:dyDescent="0.25">
      <c r="D454" s="3"/>
      <c r="E454" s="3"/>
      <c r="F454" s="4"/>
      <c r="G454" s="4"/>
      <c r="H454" s="4"/>
      <c r="I454" s="97"/>
    </row>
    <row r="455" spans="4:9" s="2" customFormat="1" ht="17.100000000000001" customHeight="1" x14ac:dyDescent="0.25">
      <c r="D455" s="3"/>
      <c r="E455" s="3"/>
      <c r="F455" s="4"/>
      <c r="G455" s="4"/>
      <c r="H455" s="4"/>
      <c r="I455" s="97"/>
    </row>
    <row r="456" spans="4:9" s="2" customFormat="1" ht="17.100000000000001" customHeight="1" x14ac:dyDescent="0.25">
      <c r="D456" s="3"/>
      <c r="E456" s="3"/>
      <c r="F456" s="4"/>
      <c r="G456" s="4"/>
      <c r="H456" s="4"/>
      <c r="I456" s="97"/>
    </row>
    <row r="457" spans="4:9" s="2" customFormat="1" ht="17.100000000000001" customHeight="1" x14ac:dyDescent="0.25">
      <c r="D457" s="3"/>
      <c r="E457" s="3"/>
      <c r="F457" s="4"/>
      <c r="G457" s="4"/>
      <c r="H457" s="4"/>
      <c r="I457" s="97"/>
    </row>
    <row r="458" spans="4:9" s="2" customFormat="1" ht="17.100000000000001" customHeight="1" x14ac:dyDescent="0.25">
      <c r="D458" s="3"/>
      <c r="E458" s="3"/>
      <c r="F458" s="4"/>
      <c r="G458" s="4"/>
      <c r="H458" s="4"/>
      <c r="I458" s="97"/>
    </row>
    <row r="459" spans="4:9" s="2" customFormat="1" ht="17.100000000000001" customHeight="1" x14ac:dyDescent="0.25">
      <c r="D459" s="3"/>
      <c r="E459" s="3"/>
      <c r="F459" s="4"/>
      <c r="G459" s="4"/>
      <c r="H459" s="4"/>
      <c r="I459" s="97"/>
    </row>
    <row r="460" spans="4:9" s="2" customFormat="1" ht="17.100000000000001" customHeight="1" x14ac:dyDescent="0.25">
      <c r="D460" s="3"/>
      <c r="E460" s="3"/>
      <c r="F460" s="4"/>
      <c r="G460" s="4"/>
      <c r="H460" s="4"/>
      <c r="I460" s="97"/>
    </row>
    <row r="461" spans="4:9" s="2" customFormat="1" ht="17.100000000000001" customHeight="1" x14ac:dyDescent="0.25">
      <c r="D461" s="3"/>
      <c r="E461" s="3"/>
      <c r="F461" s="4"/>
      <c r="G461" s="4"/>
      <c r="H461" s="4"/>
      <c r="I461" s="97"/>
    </row>
    <row r="462" spans="4:9" s="2" customFormat="1" ht="17.100000000000001" customHeight="1" x14ac:dyDescent="0.25">
      <c r="D462" s="3"/>
      <c r="E462" s="3"/>
      <c r="F462" s="4"/>
      <c r="G462" s="4"/>
      <c r="H462" s="4"/>
      <c r="I462" s="97"/>
    </row>
    <row r="463" spans="4:9" s="2" customFormat="1" ht="17.100000000000001" customHeight="1" x14ac:dyDescent="0.25">
      <c r="D463" s="3"/>
      <c r="E463" s="3"/>
      <c r="F463" s="4"/>
      <c r="G463" s="4"/>
      <c r="H463" s="4"/>
      <c r="I463" s="97"/>
    </row>
    <row r="464" spans="4:9" s="2" customFormat="1" ht="17.100000000000001" customHeight="1" x14ac:dyDescent="0.25">
      <c r="D464" s="3"/>
      <c r="E464" s="3"/>
      <c r="F464" s="4"/>
      <c r="G464" s="4"/>
      <c r="H464" s="4"/>
      <c r="I464" s="97"/>
    </row>
    <row r="465" spans="4:9" s="2" customFormat="1" ht="17.100000000000001" customHeight="1" x14ac:dyDescent="0.25">
      <c r="D465" s="3"/>
      <c r="E465" s="3"/>
      <c r="F465" s="4"/>
      <c r="G465" s="4"/>
      <c r="H465" s="4"/>
      <c r="I465" s="97"/>
    </row>
    <row r="466" spans="4:9" s="2" customFormat="1" ht="17.100000000000001" customHeight="1" x14ac:dyDescent="0.25">
      <c r="D466" s="3"/>
      <c r="E466" s="3"/>
      <c r="F466" s="4"/>
      <c r="G466" s="4"/>
      <c r="H466" s="4"/>
      <c r="I466" s="97"/>
    </row>
    <row r="467" spans="4:9" s="2" customFormat="1" ht="17.100000000000001" customHeight="1" x14ac:dyDescent="0.25">
      <c r="D467" s="3"/>
      <c r="E467" s="3"/>
      <c r="F467" s="4"/>
      <c r="G467" s="4"/>
      <c r="H467" s="4"/>
      <c r="I467" s="97"/>
    </row>
    <row r="468" spans="4:9" s="2" customFormat="1" ht="17.100000000000001" customHeight="1" x14ac:dyDescent="0.25">
      <c r="D468" s="3"/>
      <c r="E468" s="3"/>
      <c r="F468" s="4"/>
      <c r="G468" s="4"/>
      <c r="H468" s="4"/>
      <c r="I468" s="97"/>
    </row>
    <row r="469" spans="4:9" s="2" customFormat="1" ht="17.100000000000001" customHeight="1" x14ac:dyDescent="0.25">
      <c r="D469" s="3"/>
      <c r="E469" s="3"/>
      <c r="F469" s="4"/>
      <c r="G469" s="4"/>
      <c r="H469" s="4"/>
      <c r="I469" s="97"/>
    </row>
    <row r="470" spans="4:9" s="2" customFormat="1" ht="17.100000000000001" customHeight="1" x14ac:dyDescent="0.25">
      <c r="D470" s="3"/>
      <c r="E470" s="3"/>
      <c r="F470" s="4"/>
      <c r="G470" s="4"/>
      <c r="H470" s="4"/>
      <c r="I470" s="97"/>
    </row>
    <row r="471" spans="4:9" s="2" customFormat="1" ht="17.100000000000001" customHeight="1" x14ac:dyDescent="0.25">
      <c r="D471" s="3"/>
      <c r="E471" s="3"/>
      <c r="F471" s="4"/>
      <c r="G471" s="4"/>
      <c r="H471" s="4"/>
      <c r="I471" s="97"/>
    </row>
    <row r="472" spans="4:9" s="2" customFormat="1" ht="17.100000000000001" customHeight="1" x14ac:dyDescent="0.25">
      <c r="D472" s="3"/>
      <c r="E472" s="3"/>
      <c r="F472" s="4"/>
      <c r="G472" s="4"/>
      <c r="H472" s="4"/>
      <c r="I472" s="97"/>
    </row>
    <row r="473" spans="4:9" s="2" customFormat="1" ht="17.100000000000001" customHeight="1" x14ac:dyDescent="0.25">
      <c r="D473" s="3"/>
      <c r="E473" s="3"/>
      <c r="F473" s="4"/>
      <c r="G473" s="4"/>
      <c r="H473" s="4"/>
      <c r="I473" s="97"/>
    </row>
    <row r="474" spans="4:9" s="2" customFormat="1" ht="17.100000000000001" customHeight="1" x14ac:dyDescent="0.25">
      <c r="D474" s="3"/>
      <c r="E474" s="3"/>
      <c r="F474" s="4"/>
      <c r="G474" s="4"/>
      <c r="H474" s="4"/>
      <c r="I474" s="97"/>
    </row>
    <row r="475" spans="4:9" s="2" customFormat="1" ht="17.100000000000001" customHeight="1" x14ac:dyDescent="0.25">
      <c r="D475" s="3"/>
      <c r="E475" s="3"/>
      <c r="F475" s="4"/>
      <c r="G475" s="4"/>
      <c r="H475" s="4"/>
      <c r="I475" s="97"/>
    </row>
    <row r="476" spans="4:9" s="2" customFormat="1" ht="17.100000000000001" customHeight="1" x14ac:dyDescent="0.25">
      <c r="D476" s="3"/>
      <c r="E476" s="3"/>
      <c r="F476" s="4"/>
      <c r="G476" s="4"/>
      <c r="H476" s="4"/>
      <c r="I476" s="97"/>
    </row>
    <row r="477" spans="4:9" s="2" customFormat="1" ht="17.100000000000001" customHeight="1" x14ac:dyDescent="0.25">
      <c r="D477" s="3"/>
      <c r="E477" s="3"/>
      <c r="F477" s="4"/>
      <c r="G477" s="4"/>
      <c r="H477" s="4"/>
      <c r="I477" s="97"/>
    </row>
    <row r="478" spans="4:9" s="2" customFormat="1" ht="17.100000000000001" customHeight="1" x14ac:dyDescent="0.25">
      <c r="D478" s="3"/>
      <c r="E478" s="3"/>
      <c r="F478" s="4"/>
      <c r="G478" s="4"/>
      <c r="H478" s="4"/>
      <c r="I478" s="97"/>
    </row>
    <row r="479" spans="4:9" s="2" customFormat="1" ht="17.100000000000001" customHeight="1" x14ac:dyDescent="0.25">
      <c r="D479" s="3"/>
      <c r="E479" s="3"/>
      <c r="F479" s="4"/>
      <c r="G479" s="4"/>
      <c r="H479" s="4"/>
      <c r="I479" s="97"/>
    </row>
    <row r="480" spans="4:9" s="2" customFormat="1" ht="17.100000000000001" customHeight="1" x14ac:dyDescent="0.25">
      <c r="D480" s="3"/>
      <c r="E480" s="3"/>
      <c r="F480" s="4"/>
      <c r="G480" s="4"/>
      <c r="H480" s="4"/>
      <c r="I480" s="97"/>
    </row>
    <row r="481" spans="4:9" s="2" customFormat="1" ht="17.100000000000001" customHeight="1" x14ac:dyDescent="0.25">
      <c r="D481" s="3"/>
      <c r="E481" s="3"/>
      <c r="F481" s="4"/>
      <c r="G481" s="4"/>
      <c r="H481" s="4"/>
      <c r="I481" s="97"/>
    </row>
    <row r="482" spans="4:9" s="2" customFormat="1" ht="17.100000000000001" customHeight="1" x14ac:dyDescent="0.25">
      <c r="D482" s="3"/>
      <c r="E482" s="3"/>
      <c r="F482" s="4"/>
      <c r="G482" s="4"/>
      <c r="H482" s="4"/>
      <c r="I482" s="97"/>
    </row>
    <row r="483" spans="4:9" s="2" customFormat="1" ht="17.100000000000001" customHeight="1" x14ac:dyDescent="0.25">
      <c r="D483" s="3"/>
      <c r="E483" s="3"/>
      <c r="F483" s="4"/>
      <c r="G483" s="4"/>
      <c r="H483" s="4"/>
      <c r="I483" s="97"/>
    </row>
    <row r="484" spans="4:9" s="2" customFormat="1" ht="17.100000000000001" customHeight="1" x14ac:dyDescent="0.25">
      <c r="D484" s="3"/>
      <c r="E484" s="3"/>
      <c r="F484" s="4"/>
      <c r="G484" s="4"/>
      <c r="H484" s="4"/>
      <c r="I484" s="97"/>
    </row>
    <row r="485" spans="4:9" s="2" customFormat="1" ht="17.100000000000001" customHeight="1" x14ac:dyDescent="0.25">
      <c r="D485" s="3"/>
      <c r="E485" s="3"/>
      <c r="F485" s="4"/>
      <c r="G485" s="4"/>
      <c r="H485" s="4"/>
      <c r="I485" s="97"/>
    </row>
    <row r="486" spans="4:9" s="2" customFormat="1" ht="17.100000000000001" customHeight="1" x14ac:dyDescent="0.25">
      <c r="D486" s="3"/>
      <c r="E486" s="3"/>
      <c r="F486" s="4"/>
      <c r="G486" s="4"/>
      <c r="H486" s="4"/>
      <c r="I486" s="97"/>
    </row>
    <row r="487" spans="4:9" s="2" customFormat="1" ht="17.100000000000001" customHeight="1" x14ac:dyDescent="0.25">
      <c r="D487" s="3"/>
      <c r="E487" s="3"/>
      <c r="F487" s="4"/>
      <c r="G487" s="4"/>
      <c r="H487" s="4"/>
      <c r="I487" s="97"/>
    </row>
    <row r="488" spans="4:9" s="2" customFormat="1" ht="17.100000000000001" customHeight="1" x14ac:dyDescent="0.25">
      <c r="D488" s="3"/>
      <c r="E488" s="3"/>
      <c r="F488" s="4"/>
      <c r="G488" s="4"/>
      <c r="H488" s="4"/>
      <c r="I488" s="97"/>
    </row>
    <row r="489" spans="4:9" s="2" customFormat="1" ht="17.100000000000001" customHeight="1" x14ac:dyDescent="0.25">
      <c r="D489" s="3"/>
      <c r="E489" s="3"/>
      <c r="F489" s="4"/>
      <c r="G489" s="4"/>
      <c r="H489" s="4"/>
      <c r="I489" s="97"/>
    </row>
    <row r="490" spans="4:9" s="2" customFormat="1" ht="17.100000000000001" customHeight="1" x14ac:dyDescent="0.25">
      <c r="D490" s="3"/>
      <c r="E490" s="3"/>
      <c r="F490" s="4"/>
      <c r="G490" s="4"/>
      <c r="H490" s="4"/>
      <c r="I490" s="97"/>
    </row>
    <row r="491" spans="4:9" s="2" customFormat="1" ht="17.100000000000001" customHeight="1" x14ac:dyDescent="0.25">
      <c r="D491" s="3"/>
      <c r="E491" s="3"/>
      <c r="F491" s="4"/>
      <c r="G491" s="4"/>
      <c r="H491" s="4"/>
      <c r="I491" s="97"/>
    </row>
    <row r="492" spans="4:9" s="2" customFormat="1" ht="17.100000000000001" customHeight="1" x14ac:dyDescent="0.25">
      <c r="D492" s="3"/>
      <c r="E492" s="3"/>
      <c r="F492" s="4"/>
      <c r="G492" s="4"/>
      <c r="H492" s="4"/>
      <c r="I492" s="97"/>
    </row>
    <row r="493" spans="4:9" s="2" customFormat="1" ht="17.100000000000001" customHeight="1" x14ac:dyDescent="0.25">
      <c r="D493" s="3"/>
      <c r="E493" s="3"/>
      <c r="F493" s="4"/>
      <c r="G493" s="4"/>
      <c r="H493" s="4"/>
      <c r="I493" s="97"/>
    </row>
    <row r="494" spans="4:9" s="2" customFormat="1" ht="17.100000000000001" customHeight="1" x14ac:dyDescent="0.25">
      <c r="D494" s="3"/>
      <c r="E494" s="3"/>
      <c r="F494" s="4"/>
      <c r="G494" s="4"/>
      <c r="H494" s="4"/>
      <c r="I494" s="97"/>
    </row>
    <row r="495" spans="4:9" s="2" customFormat="1" ht="17.100000000000001" customHeight="1" x14ac:dyDescent="0.25">
      <c r="D495" s="3"/>
      <c r="E495" s="3"/>
      <c r="F495" s="4"/>
      <c r="G495" s="4"/>
      <c r="H495" s="4"/>
      <c r="I495" s="97"/>
    </row>
    <row r="496" spans="4:9" s="2" customFormat="1" ht="17.100000000000001" customHeight="1" x14ac:dyDescent="0.25">
      <c r="D496" s="3"/>
      <c r="E496" s="3"/>
      <c r="F496" s="4"/>
      <c r="G496" s="4"/>
      <c r="H496" s="4"/>
      <c r="I496" s="97"/>
    </row>
    <row r="497" spans="4:9" s="2" customFormat="1" ht="17.100000000000001" customHeight="1" x14ac:dyDescent="0.25">
      <c r="D497" s="3"/>
      <c r="E497" s="3"/>
      <c r="F497" s="4"/>
      <c r="G497" s="4"/>
      <c r="H497" s="4"/>
      <c r="I497" s="97"/>
    </row>
    <row r="498" spans="4:9" s="2" customFormat="1" ht="17.100000000000001" customHeight="1" x14ac:dyDescent="0.25">
      <c r="D498" s="3"/>
      <c r="E498" s="3"/>
      <c r="F498" s="4"/>
      <c r="G498" s="4"/>
      <c r="H498" s="4"/>
      <c r="I498" s="97"/>
    </row>
    <row r="499" spans="4:9" s="2" customFormat="1" ht="17.100000000000001" customHeight="1" x14ac:dyDescent="0.25">
      <c r="D499" s="3"/>
      <c r="E499" s="3"/>
      <c r="F499" s="4"/>
      <c r="G499" s="4"/>
      <c r="H499" s="4"/>
      <c r="I499" s="97"/>
    </row>
    <row r="500" spans="4:9" s="2" customFormat="1" ht="17.100000000000001" customHeight="1" x14ac:dyDescent="0.25">
      <c r="D500" s="3"/>
      <c r="E500" s="3"/>
      <c r="F500" s="4"/>
      <c r="G500" s="4"/>
      <c r="H500" s="4"/>
      <c r="I500" s="97"/>
    </row>
    <row r="501" spans="4:9" s="2" customFormat="1" ht="17.100000000000001" customHeight="1" x14ac:dyDescent="0.25">
      <c r="D501" s="3"/>
      <c r="E501" s="3"/>
      <c r="F501" s="4"/>
      <c r="G501" s="4"/>
      <c r="H501" s="4"/>
      <c r="I501" s="97"/>
    </row>
    <row r="502" spans="4:9" s="2" customFormat="1" ht="17.100000000000001" customHeight="1" x14ac:dyDescent="0.25">
      <c r="D502" s="3"/>
      <c r="E502" s="3"/>
      <c r="F502" s="4"/>
      <c r="G502" s="4"/>
      <c r="H502" s="4"/>
      <c r="I502" s="97"/>
    </row>
    <row r="503" spans="4:9" s="2" customFormat="1" ht="17.100000000000001" customHeight="1" x14ac:dyDescent="0.25">
      <c r="D503" s="3"/>
      <c r="E503" s="3"/>
      <c r="F503" s="4"/>
      <c r="G503" s="4"/>
      <c r="H503" s="4"/>
      <c r="I503" s="97"/>
    </row>
    <row r="504" spans="4:9" s="2" customFormat="1" ht="17.100000000000001" customHeight="1" x14ac:dyDescent="0.25">
      <c r="D504" s="3"/>
      <c r="E504" s="3"/>
      <c r="F504" s="4"/>
      <c r="G504" s="4"/>
      <c r="H504" s="4"/>
      <c r="I504" s="97"/>
    </row>
    <row r="505" spans="4:9" s="2" customFormat="1" ht="17.100000000000001" customHeight="1" x14ac:dyDescent="0.25">
      <c r="D505" s="3"/>
      <c r="E505" s="3"/>
      <c r="F505" s="4"/>
      <c r="G505" s="4"/>
      <c r="H505" s="4"/>
      <c r="I505" s="97"/>
    </row>
    <row r="506" spans="4:9" s="2" customFormat="1" ht="17.100000000000001" customHeight="1" x14ac:dyDescent="0.25">
      <c r="D506" s="3"/>
      <c r="E506" s="3"/>
      <c r="F506" s="4"/>
      <c r="G506" s="4"/>
      <c r="H506" s="4"/>
      <c r="I506" s="97"/>
    </row>
  </sheetData>
  <mergeCells count="15">
    <mergeCell ref="AQ10:AU10"/>
    <mergeCell ref="AW10:BA10"/>
    <mergeCell ref="AE8:AO8"/>
    <mergeCell ref="J9:M9"/>
    <mergeCell ref="N9:P9"/>
    <mergeCell ref="Q9:S9"/>
    <mergeCell ref="T9:V9"/>
    <mergeCell ref="AE10:AI10"/>
    <mergeCell ref="AK10:AO10"/>
    <mergeCell ref="W8:Y9"/>
    <mergeCell ref="L6:M6"/>
    <mergeCell ref="J8:M8"/>
    <mergeCell ref="N8:P8"/>
    <mergeCell ref="Q8:S8"/>
    <mergeCell ref="T8:V8"/>
  </mergeCells>
  <pageMargins left="0.7" right="0.7" top="0.75" bottom="0.75" header="0.3" footer="0.3"/>
  <pageSetup paperSize="9" scale="70" fitToHeight="5" orientation="portrait" r:id="rId1"/>
  <headerFooter>
    <oddFooter>&amp;L&amp;10SANITATION DEMAND AND SUPPLY STUDY&amp;C&amp;10&amp;P&amp;R&amp;10HOUSEHOLDS WITHOUT TOILET</oddFooter>
  </headerFooter>
  <rowBreaks count="3" manualBreakCount="3">
    <brk id="89" max="10" man="1"/>
    <brk id="174" max="10" man="1"/>
    <brk id="281"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N46"/>
  <sheetViews>
    <sheetView tabSelected="1" zoomScale="90" zoomScaleNormal="90" workbookViewId="0">
      <selection activeCell="A4" sqref="A4:E4"/>
    </sheetView>
  </sheetViews>
  <sheetFormatPr defaultRowHeight="15" x14ac:dyDescent="0.25"/>
  <cols>
    <col min="1" max="1" width="70.7109375" style="1247" customWidth="1"/>
    <col min="2" max="2" width="1.85546875" style="1290" customWidth="1"/>
    <col min="3" max="3" width="3.7109375" style="1291" customWidth="1"/>
    <col min="4" max="4" width="1.85546875" style="1290" customWidth="1"/>
    <col min="5" max="5" width="70.7109375" style="1247" customWidth="1"/>
    <col min="6" max="12" width="9.140625" style="1247"/>
    <col min="13" max="13" width="9.140625" style="1251"/>
    <col min="14" max="16384" width="9.140625" style="1247"/>
  </cols>
  <sheetData>
    <row r="1" spans="1:14" s="1243" customFormat="1" ht="21" x14ac:dyDescent="0.25">
      <c r="A1" s="444" t="s">
        <v>363</v>
      </c>
      <c r="B1" s="1241"/>
      <c r="C1" s="1242"/>
      <c r="D1" s="1241"/>
      <c r="E1" s="1102" t="s">
        <v>883</v>
      </c>
      <c r="M1" s="1244"/>
    </row>
    <row r="2" spans="1:14" s="1075" customFormat="1" ht="12.75" customHeight="1" x14ac:dyDescent="0.25">
      <c r="A2" s="1245"/>
      <c r="B2" s="1245"/>
      <c r="C2" s="1245"/>
      <c r="D2" s="1245"/>
      <c r="E2" s="1245"/>
      <c r="M2" s="1246"/>
    </row>
    <row r="3" spans="1:14" s="1075" customFormat="1" ht="12.75" customHeight="1" x14ac:dyDescent="0.25">
      <c r="A3" s="1245"/>
      <c r="B3" s="1245"/>
      <c r="C3" s="1245"/>
      <c r="D3" s="1245"/>
      <c r="E3" s="1245"/>
      <c r="M3" s="1246"/>
    </row>
    <row r="4" spans="1:14" ht="23.25" customHeight="1" x14ac:dyDescent="0.25">
      <c r="A4" s="1344" t="str">
        <f>'4 P'!A4:S4</f>
        <v>BANTEAY MEAS DISTRICT IN KAMPOT PROVINCE</v>
      </c>
      <c r="B4" s="1344"/>
      <c r="C4" s="1344"/>
      <c r="D4" s="1344"/>
      <c r="E4" s="1344"/>
      <c r="M4" s="1248"/>
      <c r="N4" s="1248"/>
    </row>
    <row r="5" spans="1:14" s="1075" customFormat="1" ht="12.75" customHeight="1" x14ac:dyDescent="0.25">
      <c r="B5" s="1249"/>
      <c r="C5" s="1250"/>
      <c r="D5" s="1249"/>
      <c r="E5" s="1249"/>
      <c r="M5" s="1246"/>
    </row>
    <row r="6" spans="1:14" s="1075" customFormat="1" ht="12.75" customHeight="1" thickBot="1" x14ac:dyDescent="0.3">
      <c r="B6" s="1249"/>
      <c r="C6" s="1250"/>
      <c r="D6" s="1249"/>
      <c r="E6" s="1249"/>
      <c r="M6" s="1246"/>
    </row>
    <row r="7" spans="1:14" ht="27.95" customHeight="1" thickBot="1" x14ac:dyDescent="0.3">
      <c r="A7" s="1345" t="s">
        <v>1814</v>
      </c>
      <c r="B7" s="1346"/>
      <c r="C7" s="1346"/>
      <c r="D7" s="1346"/>
      <c r="E7" s="1347"/>
    </row>
    <row r="8" spans="1:14" s="1075" customFormat="1" ht="13.5" thickBot="1" x14ac:dyDescent="0.3">
      <c r="B8" s="1252"/>
      <c r="C8" s="1253"/>
      <c r="D8" s="1252"/>
      <c r="M8" s="1246"/>
    </row>
    <row r="9" spans="1:14" s="1243" customFormat="1" ht="24.95" customHeight="1" thickBot="1" x14ac:dyDescent="0.3">
      <c r="A9" s="1254" t="s">
        <v>1575</v>
      </c>
      <c r="B9" s="1255"/>
      <c r="C9" s="1256"/>
      <c r="D9" s="1255"/>
      <c r="E9" s="1254" t="s">
        <v>1576</v>
      </c>
      <c r="M9" s="1244"/>
    </row>
    <row r="10" spans="1:14" s="1075" customFormat="1" ht="12.75" customHeight="1" thickBot="1" x14ac:dyDescent="0.3">
      <c r="A10" s="1257"/>
      <c r="B10" s="1258"/>
      <c r="C10" s="1259"/>
      <c r="D10" s="1258"/>
      <c r="E10" s="1257"/>
      <c r="M10" s="1246"/>
    </row>
    <row r="11" spans="1:14" s="430" customFormat="1" ht="21.95" customHeight="1" thickBot="1" x14ac:dyDescent="0.3">
      <c r="A11" s="1260"/>
      <c r="B11" s="1341"/>
      <c r="C11" s="1341"/>
      <c r="D11" s="1341"/>
      <c r="E11" s="1260" t="s">
        <v>1771</v>
      </c>
      <c r="M11" s="1261">
        <f>AVERAGE(M13:M16)</f>
        <v>2</v>
      </c>
    </row>
    <row r="12" spans="1:14" s="430" customFormat="1" ht="18" hidden="1" customHeight="1" x14ac:dyDescent="0.25">
      <c r="A12" s="1262" t="s">
        <v>1772</v>
      </c>
      <c r="B12" s="1263"/>
      <c r="C12" s="1264"/>
      <c r="D12" s="1263"/>
      <c r="E12" s="1262" t="s">
        <v>1773</v>
      </c>
      <c r="M12" s="1265"/>
    </row>
    <row r="13" spans="1:14" s="430" customFormat="1" ht="18" hidden="1" customHeight="1" thickBot="1" x14ac:dyDescent="0.3">
      <c r="A13" s="1266" t="s">
        <v>1774</v>
      </c>
      <c r="B13" s="1263"/>
      <c r="C13" s="1348"/>
      <c r="D13" s="1263"/>
      <c r="E13" s="1350" t="s">
        <v>1775</v>
      </c>
      <c r="M13" s="1342"/>
    </row>
    <row r="14" spans="1:14" s="430" customFormat="1" ht="18" hidden="1" customHeight="1" thickBot="1" x14ac:dyDescent="0.3">
      <c r="A14" s="1266" t="s">
        <v>1776</v>
      </c>
      <c r="B14" s="1263"/>
      <c r="C14" s="1349"/>
      <c r="D14" s="1263"/>
      <c r="E14" s="1351"/>
      <c r="M14" s="1343"/>
    </row>
    <row r="15" spans="1:14" s="430" customFormat="1" ht="18" customHeight="1" thickBot="1" x14ac:dyDescent="0.3">
      <c r="A15" s="1299"/>
      <c r="B15" s="1263"/>
      <c r="C15" s="1267"/>
      <c r="D15" s="1263"/>
      <c r="E15" s="1296" t="s">
        <v>1777</v>
      </c>
      <c r="M15" s="1292"/>
    </row>
    <row r="16" spans="1:14" s="430" customFormat="1" ht="18" customHeight="1" thickBot="1" x14ac:dyDescent="0.3">
      <c r="A16" s="1300"/>
      <c r="B16" s="1263"/>
      <c r="C16" s="1267"/>
      <c r="D16" s="1263"/>
      <c r="E16" s="1297" t="s">
        <v>1815</v>
      </c>
      <c r="M16" s="1268">
        <f>'4 P'!U43</f>
        <v>2</v>
      </c>
    </row>
    <row r="17" spans="1:14" s="1273" customFormat="1" ht="12.75" customHeight="1" thickBot="1" x14ac:dyDescent="0.3">
      <c r="A17" s="1269"/>
      <c r="B17" s="1270"/>
      <c r="C17" s="1271"/>
      <c r="D17" s="1270"/>
      <c r="E17" s="1272"/>
      <c r="M17" s="1274"/>
    </row>
    <row r="18" spans="1:14" s="430" customFormat="1" ht="21.95" customHeight="1" thickBot="1" x14ac:dyDescent="0.3">
      <c r="A18" s="1275" t="s">
        <v>1778</v>
      </c>
      <c r="B18" s="1341"/>
      <c r="C18" s="1341"/>
      <c r="D18" s="1341"/>
      <c r="E18" s="1275" t="s">
        <v>1779</v>
      </c>
      <c r="M18" s="1261">
        <f>AVERAGE(M20:M21)</f>
        <v>1</v>
      </c>
      <c r="N18"/>
    </row>
    <row r="19" spans="1:14" s="430" customFormat="1" ht="18" customHeight="1" x14ac:dyDescent="0.25">
      <c r="A19" s="1276" t="s">
        <v>1780</v>
      </c>
      <c r="B19" s="1277"/>
      <c r="C19" s="1278"/>
      <c r="D19" s="1277"/>
      <c r="E19" s="1276" t="s">
        <v>1780</v>
      </c>
      <c r="M19" s="1265"/>
      <c r="N19"/>
    </row>
    <row r="20" spans="1:14" s="430" customFormat="1" ht="18" customHeight="1" thickBot="1" x14ac:dyDescent="0.3">
      <c r="A20" s="1279" t="s">
        <v>1781</v>
      </c>
      <c r="B20" s="1277"/>
      <c r="C20" s="1280"/>
      <c r="D20" s="1277"/>
      <c r="E20" s="1279" t="s">
        <v>1781</v>
      </c>
      <c r="M20" s="1268">
        <f>'4 P'!U53</f>
        <v>1</v>
      </c>
      <c r="N20"/>
    </row>
    <row r="21" spans="1:14" s="430" customFormat="1" ht="18" customHeight="1" thickBot="1" x14ac:dyDescent="0.3">
      <c r="A21" s="1281" t="s">
        <v>1845</v>
      </c>
      <c r="B21" s="1277"/>
      <c r="C21" s="1267"/>
      <c r="D21" s="1277"/>
      <c r="E21" s="1281"/>
      <c r="M21" s="1268">
        <f>'4 P'!U67</f>
        <v>1</v>
      </c>
      <c r="N21"/>
    </row>
    <row r="22" spans="1:14" s="1273" customFormat="1" ht="12.75" customHeight="1" thickBot="1" x14ac:dyDescent="0.3">
      <c r="A22" s="1282"/>
      <c r="B22" s="1277"/>
      <c r="C22" s="1278"/>
      <c r="D22" s="1277"/>
      <c r="E22" s="1282"/>
      <c r="M22" s="1274"/>
    </row>
    <row r="23" spans="1:14" s="430" customFormat="1" ht="21.95" customHeight="1" thickBot="1" x14ac:dyDescent="0.3">
      <c r="A23" s="1275" t="s">
        <v>1782</v>
      </c>
      <c r="B23" s="1341"/>
      <c r="C23" s="1341"/>
      <c r="D23" s="1341"/>
      <c r="E23" s="1275" t="s">
        <v>1783</v>
      </c>
      <c r="M23" s="1261">
        <f>AVERAGE(M25:M30)</f>
        <v>2.2000000000000002</v>
      </c>
      <c r="N23"/>
    </row>
    <row r="24" spans="1:14" s="430" customFormat="1" ht="18" customHeight="1" x14ac:dyDescent="0.25">
      <c r="A24" s="1283" t="s">
        <v>1784</v>
      </c>
      <c r="B24" s="1263"/>
      <c r="C24" s="1264"/>
      <c r="D24" s="1263"/>
      <c r="E24" s="1283" t="s">
        <v>1784</v>
      </c>
      <c r="M24" s="1265"/>
      <c r="N24"/>
    </row>
    <row r="25" spans="1:14" s="430" customFormat="1" ht="18" customHeight="1" thickBot="1" x14ac:dyDescent="0.3">
      <c r="A25" s="1279" t="s">
        <v>1785</v>
      </c>
      <c r="B25" s="1263"/>
      <c r="C25" s="1280"/>
      <c r="D25" s="1263"/>
      <c r="E25" s="1279" t="s">
        <v>1786</v>
      </c>
      <c r="M25" s="1268">
        <f>'4 P'!U89</f>
        <v>1</v>
      </c>
      <c r="N25"/>
    </row>
    <row r="26" spans="1:14" s="430" customFormat="1" ht="18" customHeight="1" thickBot="1" x14ac:dyDescent="0.3">
      <c r="A26" s="1279" t="s">
        <v>1787</v>
      </c>
      <c r="B26" s="1263"/>
      <c r="C26" s="1284"/>
      <c r="D26" s="1263"/>
      <c r="E26" s="1279" t="s">
        <v>1787</v>
      </c>
      <c r="M26" s="1268">
        <f>'4 P'!U104</f>
        <v>3</v>
      </c>
      <c r="N26"/>
    </row>
    <row r="27" spans="1:14" s="430" customFormat="1" ht="18" customHeight="1" thickBot="1" x14ac:dyDescent="0.3">
      <c r="A27" s="1279" t="s">
        <v>1788</v>
      </c>
      <c r="B27" s="1263"/>
      <c r="C27" s="1284"/>
      <c r="D27" s="1263"/>
      <c r="E27" s="1279" t="s">
        <v>1788</v>
      </c>
      <c r="M27" s="1268">
        <f>'4 P'!U121</f>
        <v>3</v>
      </c>
      <c r="N27"/>
    </row>
    <row r="28" spans="1:14" s="430" customFormat="1" ht="18" customHeight="1" thickBot="1" x14ac:dyDescent="0.3">
      <c r="A28" s="1279" t="s">
        <v>1789</v>
      </c>
      <c r="B28" s="1263"/>
      <c r="C28" s="1284"/>
      <c r="D28" s="1263"/>
      <c r="E28" s="1279" t="s">
        <v>1789</v>
      </c>
      <c r="M28" s="1268">
        <f>'4 P'!U123</f>
        <v>3</v>
      </c>
      <c r="N28"/>
    </row>
    <row r="29" spans="1:14" s="430" customFormat="1" ht="18" customHeight="1" thickBot="1" x14ac:dyDescent="0.3">
      <c r="A29" s="1298"/>
      <c r="B29" s="1263"/>
      <c r="C29" s="1267"/>
      <c r="D29" s="1263"/>
      <c r="E29" s="1296" t="s">
        <v>1790</v>
      </c>
      <c r="M29" s="1268"/>
      <c r="N29"/>
    </row>
    <row r="30" spans="1:14" s="430" customFormat="1" ht="18" customHeight="1" thickBot="1" x14ac:dyDescent="0.3">
      <c r="A30" s="1281"/>
      <c r="B30" s="1263"/>
      <c r="C30" s="1267"/>
      <c r="D30" s="1263"/>
      <c r="E30" s="1297" t="s">
        <v>1816</v>
      </c>
      <c r="M30" s="1268">
        <f>'4 P'!U107</f>
        <v>1</v>
      </c>
      <c r="N30"/>
    </row>
    <row r="31" spans="1:14" s="1273" customFormat="1" ht="12.75" customHeight="1" thickBot="1" x14ac:dyDescent="0.3">
      <c r="A31" s="1282"/>
      <c r="B31" s="1277"/>
      <c r="C31" s="1278"/>
      <c r="D31" s="1277"/>
      <c r="E31" s="1282"/>
      <c r="M31" s="1274"/>
    </row>
    <row r="32" spans="1:14" s="430" customFormat="1" ht="21.95" customHeight="1" thickBot="1" x14ac:dyDescent="0.3">
      <c r="A32" s="1275" t="s">
        <v>1791</v>
      </c>
      <c r="B32" s="1341"/>
      <c r="C32" s="1341"/>
      <c r="D32" s="1341"/>
      <c r="E32" s="1275" t="s">
        <v>1792</v>
      </c>
      <c r="M32" s="1261">
        <f>AVERAGE(M34:M37)</f>
        <v>2</v>
      </c>
      <c r="N32"/>
    </row>
    <row r="33" spans="1:14" s="430" customFormat="1" ht="18" customHeight="1" x14ac:dyDescent="0.25">
      <c r="A33" s="1276" t="s">
        <v>1793</v>
      </c>
      <c r="B33" s="1277"/>
      <c r="C33" s="1278"/>
      <c r="D33" s="1277"/>
      <c r="E33" s="1276" t="s">
        <v>1794</v>
      </c>
      <c r="M33" s="1265"/>
      <c r="N33"/>
    </row>
    <row r="34" spans="1:14" s="430" customFormat="1" ht="18" customHeight="1" thickBot="1" x14ac:dyDescent="0.3">
      <c r="A34" s="1279" t="s">
        <v>1795</v>
      </c>
      <c r="B34" s="1277"/>
      <c r="C34" s="1280"/>
      <c r="D34" s="1277"/>
      <c r="E34" s="1279" t="s">
        <v>1796</v>
      </c>
      <c r="M34" s="1268">
        <f>'4 P'!U134</f>
        <v>1</v>
      </c>
      <c r="N34"/>
    </row>
    <row r="35" spans="1:14" s="430" customFormat="1" ht="18" customHeight="1" thickBot="1" x14ac:dyDescent="0.3">
      <c r="A35" s="1279" t="s">
        <v>1830</v>
      </c>
      <c r="B35" s="1277"/>
      <c r="C35" s="1284"/>
      <c r="D35" s="1277"/>
      <c r="E35" s="1279" t="s">
        <v>1797</v>
      </c>
      <c r="M35" s="1268">
        <f>'4 P'!U145</f>
        <v>1</v>
      </c>
      <c r="N35"/>
    </row>
    <row r="36" spans="1:14" s="430" customFormat="1" ht="18" customHeight="1" thickBot="1" x14ac:dyDescent="0.3">
      <c r="A36" s="1279" t="s">
        <v>1798</v>
      </c>
      <c r="B36" s="1277"/>
      <c r="C36" s="1284"/>
      <c r="D36" s="1277"/>
      <c r="E36" s="1279" t="s">
        <v>1799</v>
      </c>
      <c r="M36" s="1268">
        <f>IF('4 P'!U158=0,"",'4 P'!U158)</f>
        <v>3</v>
      </c>
      <c r="N36"/>
    </row>
    <row r="37" spans="1:14" s="430" customFormat="1" ht="18" customHeight="1" thickBot="1" x14ac:dyDescent="0.3">
      <c r="A37" s="1281" t="s">
        <v>1800</v>
      </c>
      <c r="B37" s="1277"/>
      <c r="C37" s="1284"/>
      <c r="D37" s="1277"/>
      <c r="E37" s="1281" t="s">
        <v>1796</v>
      </c>
      <c r="M37" s="1268">
        <f>'4 P'!U168</f>
        <v>3</v>
      </c>
      <c r="N37"/>
    </row>
    <row r="38" spans="1:14" s="1273" customFormat="1" ht="12.75" customHeight="1" thickBot="1" x14ac:dyDescent="0.3">
      <c r="A38" s="1282"/>
      <c r="B38" s="1277"/>
      <c r="C38" s="1278"/>
      <c r="D38" s="1277"/>
      <c r="E38" s="1282"/>
      <c r="M38" s="1274"/>
    </row>
    <row r="39" spans="1:14" s="430" customFormat="1" ht="21.95" customHeight="1" thickBot="1" x14ac:dyDescent="0.3">
      <c r="A39" s="1260"/>
      <c r="B39" s="1341"/>
      <c r="C39" s="1341"/>
      <c r="D39" s="1341"/>
      <c r="E39" s="1275" t="s">
        <v>1801</v>
      </c>
      <c r="M39" s="1261">
        <f>AVERAGE(M41)</f>
        <v>2.2000000000000002</v>
      </c>
      <c r="N39" s="1273"/>
    </row>
    <row r="40" spans="1:14" ht="18" customHeight="1" x14ac:dyDescent="0.25">
      <c r="A40" s="1285"/>
      <c r="B40" s="1277"/>
      <c r="C40" s="1278"/>
      <c r="D40" s="1277"/>
      <c r="E40" s="1283" t="s">
        <v>1802</v>
      </c>
      <c r="M40" s="1286"/>
    </row>
    <row r="41" spans="1:14" ht="18" customHeight="1" thickBot="1" x14ac:dyDescent="0.3">
      <c r="A41" s="1287"/>
      <c r="B41" s="1277"/>
      <c r="C41" s="138"/>
      <c r="D41" s="1277"/>
      <c r="E41" s="1281" t="s">
        <v>1803</v>
      </c>
      <c r="M41" s="1268">
        <f>'4 P'!U174</f>
        <v>2.2000000000000002</v>
      </c>
    </row>
    <row r="42" spans="1:14" s="1273" customFormat="1" ht="12.75" customHeight="1" thickBot="1" x14ac:dyDescent="0.3">
      <c r="A42" s="1282"/>
      <c r="B42" s="1277"/>
      <c r="C42" s="1278"/>
      <c r="D42" s="1277"/>
      <c r="E42" s="1282"/>
      <c r="M42" s="1274"/>
    </row>
    <row r="43" spans="1:14" s="430" customFormat="1" ht="21.95" customHeight="1" thickBot="1" x14ac:dyDescent="0.3">
      <c r="A43" s="1275" t="s">
        <v>1804</v>
      </c>
      <c r="B43" s="1341"/>
      <c r="C43" s="1341"/>
      <c r="D43" s="1341"/>
      <c r="E43" s="1275" t="s">
        <v>1805</v>
      </c>
      <c r="M43" s="1261">
        <f>AVERAGE(M45:M46)</f>
        <v>2</v>
      </c>
      <c r="N43" s="1273"/>
    </row>
    <row r="44" spans="1:14" ht="18" customHeight="1" x14ac:dyDescent="0.25">
      <c r="A44" s="1276" t="s">
        <v>1806</v>
      </c>
      <c r="B44" s="1277"/>
      <c r="C44" s="1278"/>
      <c r="D44" s="1277"/>
      <c r="E44" s="1276" t="s">
        <v>1807</v>
      </c>
      <c r="M44" s="1286"/>
    </row>
    <row r="45" spans="1:14" ht="18" customHeight="1" thickBot="1" x14ac:dyDescent="0.3">
      <c r="A45" s="1279" t="s">
        <v>1808</v>
      </c>
      <c r="B45" s="1277"/>
      <c r="C45" s="1280"/>
      <c r="D45" s="1277"/>
      <c r="E45" s="1288"/>
      <c r="M45" s="1289">
        <f>'4 P'!U182</f>
        <v>2</v>
      </c>
    </row>
    <row r="46" spans="1:14" ht="18" customHeight="1" thickBot="1" x14ac:dyDescent="0.3">
      <c r="A46" s="1281"/>
      <c r="B46" s="1277"/>
      <c r="C46" s="1267"/>
      <c r="D46" s="1277"/>
      <c r="E46" s="1281" t="s">
        <v>1809</v>
      </c>
      <c r="M46" s="1289">
        <f>'4 P'!U183</f>
        <v>2</v>
      </c>
    </row>
  </sheetData>
  <mergeCells count="11">
    <mergeCell ref="M13:M14"/>
    <mergeCell ref="A4:E4"/>
    <mergeCell ref="A7:E7"/>
    <mergeCell ref="B11:D11"/>
    <mergeCell ref="C13:C14"/>
    <mergeCell ref="E13:E14"/>
    <mergeCell ref="B18:D18"/>
    <mergeCell ref="B23:D23"/>
    <mergeCell ref="B32:D32"/>
    <mergeCell ref="B39:D39"/>
    <mergeCell ref="B43:D43"/>
  </mergeCells>
  <conditionalFormatting sqref="C16 C34:C37">
    <cfRule type="expression" dxfId="111" priority="45">
      <formula>M16=0</formula>
    </cfRule>
    <cfRule type="expression" dxfId="110" priority="46">
      <formula>M16=2</formula>
    </cfRule>
    <cfRule type="expression" dxfId="109" priority="47">
      <formula>M16=3</formula>
    </cfRule>
    <cfRule type="expression" dxfId="108" priority="48">
      <formula>M16=1</formula>
    </cfRule>
  </conditionalFormatting>
  <conditionalFormatting sqref="C13">
    <cfRule type="expression" dxfId="107" priority="41">
      <formula>M13=0</formula>
    </cfRule>
    <cfRule type="expression" dxfId="106" priority="42">
      <formula>M13=2</formula>
    </cfRule>
    <cfRule type="expression" dxfId="105" priority="43">
      <formula>M13=3</formula>
    </cfRule>
    <cfRule type="expression" dxfId="104" priority="44">
      <formula>M13=1</formula>
    </cfRule>
  </conditionalFormatting>
  <conditionalFormatting sqref="C20:C21">
    <cfRule type="expression" dxfId="103" priority="37">
      <formula>M20=0</formula>
    </cfRule>
    <cfRule type="expression" dxfId="102" priority="38">
      <formula>M20=2</formula>
    </cfRule>
    <cfRule type="expression" dxfId="101" priority="39">
      <formula>M20=3</formula>
    </cfRule>
    <cfRule type="expression" dxfId="100" priority="40">
      <formula>M20=1</formula>
    </cfRule>
  </conditionalFormatting>
  <conditionalFormatting sqref="C25:C30">
    <cfRule type="expression" dxfId="99" priority="33">
      <formula>M25=0</formula>
    </cfRule>
    <cfRule type="expression" dxfId="98" priority="34">
      <formula>M25=2</formula>
    </cfRule>
    <cfRule type="expression" dxfId="97" priority="35">
      <formula>M25=3</formula>
    </cfRule>
    <cfRule type="expression" dxfId="96" priority="36">
      <formula>M25=1</formula>
    </cfRule>
  </conditionalFormatting>
  <conditionalFormatting sqref="B11">
    <cfRule type="expression" dxfId="95" priority="30">
      <formula>AND(M11&gt;1,M11&lt;=2)</formula>
    </cfRule>
    <cfRule type="expression" dxfId="94" priority="31">
      <formula>M11&gt;=2</formula>
    </cfRule>
    <cfRule type="expression" dxfId="93" priority="32">
      <formula>M11&lt;=1</formula>
    </cfRule>
  </conditionalFormatting>
  <conditionalFormatting sqref="B11:D11">
    <cfRule type="expression" dxfId="92" priority="29">
      <formula>M11=0</formula>
    </cfRule>
  </conditionalFormatting>
  <conditionalFormatting sqref="C45:C46">
    <cfRule type="expression" dxfId="91" priority="25">
      <formula>M45=0</formula>
    </cfRule>
    <cfRule type="expression" dxfId="90" priority="26">
      <formula>M45=2</formula>
    </cfRule>
    <cfRule type="expression" dxfId="89" priority="27">
      <formula>M45=3</formula>
    </cfRule>
    <cfRule type="expression" dxfId="88" priority="28">
      <formula>M45=1</formula>
    </cfRule>
  </conditionalFormatting>
  <conditionalFormatting sqref="C41">
    <cfRule type="expression" dxfId="87" priority="21">
      <formula>M41=0</formula>
    </cfRule>
    <cfRule type="expression" dxfId="86" priority="22">
      <formula>M41=2</formula>
    </cfRule>
    <cfRule type="expression" dxfId="85" priority="23">
      <formula>M41=3</formula>
    </cfRule>
    <cfRule type="expression" dxfId="84" priority="24">
      <formula>M41=1</formula>
    </cfRule>
  </conditionalFormatting>
  <conditionalFormatting sqref="B18">
    <cfRule type="expression" dxfId="83" priority="18">
      <formula>AND(M18&gt;1,M18&lt;=2)</formula>
    </cfRule>
    <cfRule type="expression" dxfId="82" priority="19">
      <formula>M18&gt;=2</formula>
    </cfRule>
    <cfRule type="expression" dxfId="81" priority="20">
      <formula>M18&lt;=1</formula>
    </cfRule>
  </conditionalFormatting>
  <conditionalFormatting sqref="B18:D18">
    <cfRule type="expression" dxfId="80" priority="17">
      <formula>M18=0</formula>
    </cfRule>
  </conditionalFormatting>
  <conditionalFormatting sqref="B23">
    <cfRule type="expression" dxfId="79" priority="14">
      <formula>AND(M23&gt;1,M23&lt;=2)</formula>
    </cfRule>
    <cfRule type="expression" dxfId="78" priority="15">
      <formula>M23&gt;=2</formula>
    </cfRule>
    <cfRule type="expression" dxfId="77" priority="16">
      <formula>M23&lt;=1</formula>
    </cfRule>
  </conditionalFormatting>
  <conditionalFormatting sqref="B23:D23">
    <cfRule type="expression" dxfId="76" priority="13">
      <formula>M23=0</formula>
    </cfRule>
  </conditionalFormatting>
  <conditionalFormatting sqref="B32">
    <cfRule type="expression" dxfId="75" priority="10">
      <formula>AND(M32&gt;1,M32&lt;=2)</formula>
    </cfRule>
    <cfRule type="expression" dxfId="74" priority="11">
      <formula>M32&gt;=2</formula>
    </cfRule>
    <cfRule type="expression" dxfId="73" priority="12">
      <formula>M32&lt;=1</formula>
    </cfRule>
  </conditionalFormatting>
  <conditionalFormatting sqref="B32:D32">
    <cfRule type="expression" dxfId="72" priority="9">
      <formula>M32=0</formula>
    </cfRule>
  </conditionalFormatting>
  <conditionalFormatting sqref="B39">
    <cfRule type="expression" dxfId="71" priority="6">
      <formula>AND(M39&gt;1,M39&lt;=2)</formula>
    </cfRule>
    <cfRule type="expression" dxfId="70" priority="7">
      <formula>M39&gt;=2</formula>
    </cfRule>
    <cfRule type="expression" dxfId="69" priority="8">
      <formula>M39&lt;=1</formula>
    </cfRule>
  </conditionalFormatting>
  <conditionalFormatting sqref="B39:D39">
    <cfRule type="expression" dxfId="68" priority="5">
      <formula>M39=0</formula>
    </cfRule>
  </conditionalFormatting>
  <conditionalFormatting sqref="B43">
    <cfRule type="expression" dxfId="67" priority="2">
      <formula>AND(M43&gt;1,M43&lt;=2)</formula>
    </cfRule>
    <cfRule type="expression" dxfId="66" priority="3">
      <formula>M43&gt;=2</formula>
    </cfRule>
    <cfRule type="expression" dxfId="65" priority="4">
      <formula>M43&lt;=1</formula>
    </cfRule>
  </conditionalFormatting>
  <conditionalFormatting sqref="B43:D43">
    <cfRule type="expression" dxfId="64" priority="1">
      <formula>M43=0</formula>
    </cfRule>
  </conditionalFormatting>
  <printOptions horizontalCentered="1"/>
  <pageMargins left="0.75" right="0.75" top="0.75" bottom="0.75" header="0.3" footer="0.3"/>
  <pageSetup paperSize="9" scale="5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BA506"/>
  <sheetViews>
    <sheetView zoomScale="80" zoomScaleNormal="80" workbookViewId="0">
      <pane xSplit="7" ySplit="11" topLeftCell="H12" activePane="bottomRight" state="frozen"/>
      <selection activeCell="V164" sqref="V164:Y168"/>
      <selection pane="topRight" activeCell="V164" sqref="V164:Y168"/>
      <selection pane="bottomLeft" activeCell="V164" sqref="V164:Y168"/>
      <selection pane="bottomRight" activeCell="O5" sqref="O5"/>
    </sheetView>
  </sheetViews>
  <sheetFormatPr defaultRowHeight="17.100000000000001" customHeight="1" x14ac:dyDescent="0.25"/>
  <cols>
    <col min="1" max="2" width="4.7109375" style="2" customWidth="1"/>
    <col min="3" max="3" width="6.7109375" style="2" customWidth="1"/>
    <col min="4" max="4" width="7.7109375" style="3" customWidth="1"/>
    <col min="5" max="5" width="4.7109375" style="3" customWidth="1"/>
    <col min="6" max="6" width="30.7109375" style="4" customWidth="1"/>
    <col min="7" max="7" width="3.7109375" style="4" customWidth="1"/>
    <col min="8" max="8" width="4.42578125" style="4" customWidth="1"/>
    <col min="9" max="9" width="3.7109375" style="97" customWidth="1"/>
    <col min="10" max="25" width="10.7109375" style="3" customWidth="1"/>
    <col min="26" max="29" width="9.7109375" style="3" customWidth="1"/>
    <col min="30" max="30" width="9.140625" style="3"/>
    <col min="31" max="35" width="9.7109375" style="3" customWidth="1"/>
    <col min="36" max="36" width="9.140625" style="3"/>
    <col min="37" max="41" width="9.7109375" style="3" customWidth="1"/>
    <col min="42" max="48" width="9.140625" style="3"/>
    <col min="49" max="53" width="9.7109375" style="3" customWidth="1"/>
    <col min="54" max="16384" width="9.140625" style="3"/>
  </cols>
  <sheetData>
    <row r="1" spans="1:53" ht="17.100000000000001" customHeight="1" x14ac:dyDescent="0.25">
      <c r="A1" s="1" t="s">
        <v>363</v>
      </c>
      <c r="J1" s="5" t="s">
        <v>883</v>
      </c>
      <c r="AE1" s="8"/>
      <c r="AF1" s="8"/>
      <c r="AG1" s="8"/>
      <c r="AH1" s="7"/>
      <c r="AK1" s="8"/>
      <c r="AL1" s="8"/>
      <c r="AM1" s="8"/>
      <c r="AN1" s="7"/>
      <c r="AW1" s="8"/>
      <c r="AX1" s="8"/>
      <c r="AY1" s="8"/>
      <c r="AZ1" s="8"/>
    </row>
    <row r="2" spans="1:53" ht="17.100000000000001" customHeight="1" x14ac:dyDescent="0.25">
      <c r="A2" s="1" t="str">
        <f>'STUDY VILLAGES'!U7</f>
        <v>KAMPOT PROVINCE</v>
      </c>
      <c r="J2" s="5"/>
      <c r="AE2" s="8"/>
      <c r="AF2" s="8"/>
      <c r="AG2" s="8"/>
      <c r="AH2" s="7"/>
      <c r="AK2" s="8"/>
      <c r="AL2" s="8"/>
      <c r="AM2" s="8"/>
      <c r="AN2" s="7"/>
      <c r="AW2" s="8"/>
      <c r="AX2" s="8"/>
      <c r="AY2" s="8"/>
      <c r="AZ2" s="8"/>
    </row>
    <row r="3" spans="1:53" ht="17.100000000000001" customHeight="1" x14ac:dyDescent="0.25">
      <c r="A3" s="1" t="str">
        <f>'STUDY VILLAGES'!U8</f>
        <v>BANTEAY MEAS DISTRICT</v>
      </c>
      <c r="J3" s="268" t="s">
        <v>555</v>
      </c>
      <c r="L3" s="267" t="str">
        <f>'STUDY VILLAGES'!B13</f>
        <v>T M KHANG KAEUT</v>
      </c>
      <c r="M3" s="267"/>
      <c r="N3" s="6"/>
      <c r="O3" s="6"/>
      <c r="P3" s="6"/>
      <c r="Q3" s="6"/>
      <c r="R3" s="6"/>
      <c r="S3" s="6"/>
      <c r="T3" s="6"/>
      <c r="U3" s="6"/>
      <c r="V3" s="6"/>
      <c r="W3" s="6"/>
      <c r="X3" s="6"/>
      <c r="AE3" s="8"/>
      <c r="AF3" s="8"/>
      <c r="AG3" s="8"/>
      <c r="AH3" s="7"/>
      <c r="AK3" s="8"/>
      <c r="AL3" s="8"/>
      <c r="AM3" s="8"/>
      <c r="AN3" s="7"/>
      <c r="AW3" s="8"/>
      <c r="AX3" s="8"/>
      <c r="AY3" s="8"/>
      <c r="AZ3" s="8"/>
    </row>
    <row r="4" spans="1:53" ht="12.75" x14ac:dyDescent="0.25">
      <c r="N4" s="6"/>
      <c r="O4" s="6"/>
      <c r="P4" s="6"/>
      <c r="Q4" s="6"/>
      <c r="R4" s="6"/>
      <c r="S4" s="6"/>
      <c r="T4" s="6"/>
      <c r="U4" s="6"/>
      <c r="V4" s="6"/>
      <c r="W4" s="6"/>
      <c r="X4" s="6"/>
      <c r="AE4" s="8"/>
      <c r="AF4" s="8"/>
      <c r="AG4" s="8"/>
      <c r="AH4" s="7"/>
      <c r="AK4" s="8"/>
      <c r="AL4" s="8"/>
      <c r="AM4" s="8"/>
      <c r="AN4" s="7"/>
      <c r="AW4" s="8"/>
      <c r="AX4" s="8"/>
      <c r="AY4" s="8"/>
      <c r="AZ4" s="8"/>
    </row>
    <row r="5" spans="1:53" ht="21" x14ac:dyDescent="0.25">
      <c r="A5" s="1" t="s">
        <v>743</v>
      </c>
      <c r="J5" s="9" t="s">
        <v>1</v>
      </c>
      <c r="K5" s="10"/>
      <c r="L5" s="653"/>
      <c r="M5" s="397"/>
      <c r="N5" s="6"/>
      <c r="O5" s="652" t="s">
        <v>1071</v>
      </c>
      <c r="P5" s="6"/>
      <c r="Q5" s="6"/>
      <c r="R5" s="6"/>
      <c r="S5" s="6"/>
      <c r="T5" s="6"/>
      <c r="U5" s="6"/>
      <c r="V5" s="6"/>
      <c r="W5" s="6"/>
      <c r="X5" s="6"/>
      <c r="AE5" s="8"/>
      <c r="AF5" s="8"/>
      <c r="AG5" s="8"/>
      <c r="AH5" s="7"/>
      <c r="AK5" s="8"/>
      <c r="AL5" s="8"/>
      <c r="AM5" s="8"/>
      <c r="AN5" s="7"/>
      <c r="AW5" s="8"/>
      <c r="AX5" s="8"/>
      <c r="AY5" s="8"/>
      <c r="AZ5" s="8"/>
    </row>
    <row r="6" spans="1:53" ht="21" x14ac:dyDescent="0.25">
      <c r="A6" s="444" t="s">
        <v>619</v>
      </c>
      <c r="J6" s="11" t="s">
        <v>2</v>
      </c>
      <c r="K6" s="10"/>
      <c r="L6" s="1379"/>
      <c r="M6" s="1379"/>
      <c r="N6" s="1319" t="s">
        <v>1825</v>
      </c>
      <c r="AE6" s="8"/>
      <c r="AF6" s="8"/>
      <c r="AG6" s="8"/>
      <c r="AH6" s="7"/>
      <c r="AK6" s="8"/>
      <c r="AL6" s="8"/>
      <c r="AM6" s="8"/>
      <c r="AN6" s="7"/>
      <c r="AW6" s="8"/>
      <c r="AX6" s="8"/>
      <c r="AY6" s="8"/>
      <c r="AZ6" s="8"/>
    </row>
    <row r="7" spans="1:53" ht="9.9499999999999993" customHeight="1" x14ac:dyDescent="0.25">
      <c r="A7" s="12"/>
      <c r="B7" s="13"/>
      <c r="C7" s="14"/>
      <c r="D7" s="15"/>
      <c r="E7" s="16"/>
      <c r="F7" s="16"/>
      <c r="G7" s="16"/>
      <c r="H7" s="16"/>
      <c r="I7" s="16"/>
      <c r="AE7" s="8"/>
      <c r="AF7" s="8"/>
      <c r="AG7" s="8"/>
      <c r="AH7" s="7"/>
      <c r="AK7" s="8"/>
      <c r="AL7" s="8"/>
      <c r="AM7" s="8"/>
      <c r="AN7" s="7"/>
      <c r="AW7" s="8"/>
      <c r="AX7" s="8"/>
      <c r="AY7" s="8"/>
      <c r="AZ7" s="8"/>
    </row>
    <row r="8" spans="1:53" ht="17.100000000000001" customHeight="1" x14ac:dyDescent="0.25">
      <c r="D8" s="2"/>
      <c r="E8" s="2"/>
      <c r="F8" s="21"/>
      <c r="G8" s="21"/>
      <c r="H8" s="21"/>
      <c r="I8" s="138"/>
      <c r="J8" s="1384" t="s">
        <v>541</v>
      </c>
      <c r="K8" s="1385"/>
      <c r="L8" s="1385"/>
      <c r="M8" s="1386"/>
      <c r="N8" s="1384" t="s">
        <v>364</v>
      </c>
      <c r="O8" s="1385"/>
      <c r="P8" s="1386"/>
      <c r="Q8" s="1384" t="s">
        <v>365</v>
      </c>
      <c r="R8" s="1385"/>
      <c r="S8" s="1386"/>
      <c r="T8" s="1384" t="s">
        <v>366</v>
      </c>
      <c r="U8" s="1385"/>
      <c r="V8" s="1386"/>
      <c r="W8" s="1408" t="s">
        <v>4</v>
      </c>
      <c r="X8" s="1408"/>
      <c r="Y8" s="1408"/>
      <c r="AE8" s="1383" t="s">
        <v>731</v>
      </c>
      <c r="AF8" s="1383"/>
      <c r="AG8" s="1383"/>
      <c r="AH8" s="1383"/>
      <c r="AI8" s="1383"/>
      <c r="AJ8" s="1383"/>
      <c r="AK8" s="1383"/>
      <c r="AL8" s="1383"/>
      <c r="AM8" s="1383"/>
      <c r="AN8" s="1383"/>
      <c r="AO8" s="1383"/>
      <c r="AW8" s="8"/>
      <c r="AX8" s="8"/>
      <c r="AY8" s="8"/>
      <c r="AZ8" s="8"/>
    </row>
    <row r="9" spans="1:53" ht="17.100000000000001" customHeight="1" x14ac:dyDescent="0.25">
      <c r="D9" s="2"/>
      <c r="E9" s="2"/>
      <c r="F9" s="21"/>
      <c r="G9" s="21"/>
      <c r="H9" s="21"/>
      <c r="I9" s="138"/>
      <c r="J9" s="1384" t="s">
        <v>542</v>
      </c>
      <c r="K9" s="1385"/>
      <c r="L9" s="1385"/>
      <c r="M9" s="1386"/>
      <c r="N9" s="1387" t="str">
        <f>'STUDY VILLAGES'!C13</f>
        <v>Angk Mli</v>
      </c>
      <c r="O9" s="1388"/>
      <c r="P9" s="1389"/>
      <c r="Q9" s="1387" t="str">
        <f>'STUDY VILLAGES'!F13</f>
        <v>Chrak Sdau</v>
      </c>
      <c r="R9" s="1388"/>
      <c r="S9" s="1389"/>
      <c r="T9" s="1387">
        <f>'STUDY VILLAGES'!I13</f>
        <v>0</v>
      </c>
      <c r="U9" s="1388"/>
      <c r="V9" s="1389"/>
      <c r="W9" s="1408"/>
      <c r="X9" s="1408"/>
      <c r="Y9" s="1408"/>
      <c r="AE9" s="8"/>
      <c r="AF9" s="8"/>
      <c r="AG9" s="8"/>
      <c r="AH9" s="7"/>
      <c r="AK9" s="8"/>
      <c r="AL9" s="8"/>
      <c r="AM9" s="8"/>
      <c r="AN9" s="7"/>
      <c r="AW9" s="8"/>
      <c r="AX9" s="8"/>
      <c r="AY9" s="8"/>
      <c r="AZ9" s="8"/>
    </row>
    <row r="10" spans="1:53" ht="17.100000000000001" customHeight="1" x14ac:dyDescent="0.25">
      <c r="A10" s="21"/>
      <c r="B10" s="21"/>
      <c r="C10" s="21"/>
      <c r="D10" s="4"/>
      <c r="E10" s="4"/>
      <c r="G10" s="22"/>
      <c r="H10" s="22"/>
      <c r="I10" s="208"/>
      <c r="J10" s="334" t="s">
        <v>733</v>
      </c>
      <c r="K10" s="334" t="s">
        <v>734</v>
      </c>
      <c r="L10" s="334" t="s">
        <v>657</v>
      </c>
      <c r="M10" s="334" t="s">
        <v>320</v>
      </c>
      <c r="N10" s="334" t="s">
        <v>735</v>
      </c>
      <c r="O10" s="334" t="s">
        <v>657</v>
      </c>
      <c r="P10" s="334" t="s">
        <v>320</v>
      </c>
      <c r="Q10" s="334" t="s">
        <v>735</v>
      </c>
      <c r="R10" s="334" t="s">
        <v>657</v>
      </c>
      <c r="S10" s="334" t="s">
        <v>320</v>
      </c>
      <c r="T10" s="334" t="s">
        <v>735</v>
      </c>
      <c r="U10" s="334" t="s">
        <v>657</v>
      </c>
      <c r="V10" s="334" t="s">
        <v>320</v>
      </c>
      <c r="W10" s="375" t="s">
        <v>735</v>
      </c>
      <c r="X10" s="335" t="s">
        <v>657</v>
      </c>
      <c r="Y10" s="410" t="s">
        <v>4</v>
      </c>
      <c r="AE10" s="1400" t="s">
        <v>733</v>
      </c>
      <c r="AF10" s="1401"/>
      <c r="AG10" s="1401"/>
      <c r="AH10" s="1401"/>
      <c r="AI10" s="1402"/>
      <c r="AK10" s="1390" t="s">
        <v>734</v>
      </c>
      <c r="AL10" s="1391"/>
      <c r="AM10" s="1391"/>
      <c r="AN10" s="1391"/>
      <c r="AO10" s="1392"/>
      <c r="AQ10" s="1380" t="s">
        <v>732</v>
      </c>
      <c r="AR10" s="1381"/>
      <c r="AS10" s="1381"/>
      <c r="AT10" s="1381"/>
      <c r="AU10" s="1382"/>
      <c r="AW10" s="1405" t="s">
        <v>556</v>
      </c>
      <c r="AX10" s="1406"/>
      <c r="AY10" s="1406"/>
      <c r="AZ10" s="1406"/>
      <c r="BA10" s="1407"/>
    </row>
    <row r="11" spans="1:53" s="32" customFormat="1" ht="17.100000000000001" customHeight="1" thickBot="1" x14ac:dyDescent="0.3">
      <c r="A11" s="24">
        <v>0</v>
      </c>
      <c r="B11" s="25" t="s">
        <v>3</v>
      </c>
      <c r="C11" s="26"/>
      <c r="D11" s="27"/>
      <c r="E11" s="27"/>
      <c r="F11" s="27"/>
      <c r="G11" s="28"/>
      <c r="H11" s="310"/>
      <c r="I11" s="228"/>
      <c r="J11" s="29"/>
      <c r="K11" s="29"/>
      <c r="L11" s="29"/>
      <c r="M11" s="29"/>
      <c r="N11" s="29"/>
      <c r="O11" s="29"/>
      <c r="P11" s="29"/>
      <c r="Q11" s="29"/>
      <c r="R11" s="29"/>
      <c r="S11" s="29"/>
      <c r="T11" s="29"/>
      <c r="U11" s="29"/>
      <c r="V11" s="29"/>
      <c r="W11" s="29"/>
      <c r="X11" s="29"/>
      <c r="Y11" s="29"/>
      <c r="Z11" s="31" t="s">
        <v>5</v>
      </c>
      <c r="AA11" s="31" t="s">
        <v>181</v>
      </c>
      <c r="AB11" s="31" t="s">
        <v>182</v>
      </c>
      <c r="AC11" s="31" t="s">
        <v>6</v>
      </c>
      <c r="AE11" s="33" t="s">
        <v>181</v>
      </c>
      <c r="AF11" s="33" t="s">
        <v>182</v>
      </c>
      <c r="AG11" s="33" t="s">
        <v>6</v>
      </c>
      <c r="AH11" s="33" t="s">
        <v>4</v>
      </c>
      <c r="AI11" s="34" t="s">
        <v>5</v>
      </c>
      <c r="AJ11" s="35"/>
      <c r="AK11" s="36" t="s">
        <v>181</v>
      </c>
      <c r="AL11" s="36" t="s">
        <v>182</v>
      </c>
      <c r="AM11" s="36" t="s">
        <v>6</v>
      </c>
      <c r="AN11" s="36" t="s">
        <v>4</v>
      </c>
      <c r="AO11" s="37" t="s">
        <v>5</v>
      </c>
      <c r="AQ11" s="398" t="s">
        <v>181</v>
      </c>
      <c r="AR11" s="398" t="s">
        <v>182</v>
      </c>
      <c r="AS11" s="398" t="s">
        <v>6</v>
      </c>
      <c r="AT11" s="398" t="s">
        <v>4</v>
      </c>
      <c r="AU11" s="399" t="s">
        <v>5</v>
      </c>
      <c r="AW11" s="38" t="s">
        <v>181</v>
      </c>
      <c r="AX11" s="38" t="s">
        <v>182</v>
      </c>
      <c r="AY11" s="38" t="s">
        <v>6</v>
      </c>
      <c r="AZ11" s="38" t="s">
        <v>4</v>
      </c>
      <c r="BA11" s="39" t="s">
        <v>5</v>
      </c>
    </row>
    <row r="12" spans="1:53" ht="17.100000000000001" customHeight="1" x14ac:dyDescent="0.25">
      <c r="A12" s="47"/>
      <c r="B12" s="414">
        <v>0</v>
      </c>
      <c r="C12" s="42" t="s">
        <v>367</v>
      </c>
      <c r="D12" s="43"/>
      <c r="E12" s="269"/>
      <c r="F12" s="269"/>
      <c r="G12" s="270"/>
      <c r="H12" s="311">
        <v>1</v>
      </c>
      <c r="I12" s="229"/>
      <c r="J12" s="271"/>
      <c r="K12" s="271"/>
      <c r="L12" s="272"/>
      <c r="M12" s="272"/>
      <c r="N12" s="272"/>
      <c r="O12" s="272"/>
      <c r="P12" s="272"/>
      <c r="Q12" s="272"/>
      <c r="R12" s="272"/>
      <c r="S12" s="272"/>
      <c r="T12" s="272"/>
      <c r="U12" s="272"/>
      <c r="V12" s="272"/>
      <c r="W12" s="272"/>
      <c r="X12" s="272"/>
      <c r="Y12" s="272"/>
      <c r="Z12" s="51"/>
      <c r="AA12" s="51"/>
      <c r="AB12" s="51"/>
      <c r="AC12" s="51"/>
      <c r="AE12" s="52"/>
      <c r="AF12" s="52"/>
      <c r="AG12" s="53"/>
      <c r="AH12" s="54"/>
      <c r="AI12" s="51"/>
      <c r="AK12" s="52"/>
      <c r="AL12" s="52"/>
      <c r="AM12" s="53"/>
      <c r="AN12" s="54"/>
      <c r="AO12" s="51"/>
      <c r="AQ12" s="52"/>
      <c r="AR12" s="52"/>
      <c r="AS12" s="52"/>
      <c r="AT12" s="53"/>
      <c r="AU12" s="54"/>
      <c r="AW12" s="52"/>
      <c r="AX12" s="52"/>
      <c r="AY12" s="53"/>
      <c r="AZ12" s="54"/>
      <c r="BA12" s="51"/>
    </row>
    <row r="13" spans="1:53" ht="17.100000000000001" customHeight="1" x14ac:dyDescent="0.25">
      <c r="A13" s="47"/>
      <c r="B13" s="55"/>
      <c r="C13" s="56" t="s">
        <v>626</v>
      </c>
      <c r="D13" s="57" t="s">
        <v>368</v>
      </c>
      <c r="E13" s="58"/>
      <c r="F13" s="58"/>
      <c r="G13" s="59"/>
      <c r="H13" s="1318"/>
      <c r="I13" s="229"/>
      <c r="J13" s="581"/>
      <c r="K13" s="581"/>
      <c r="L13" s="582"/>
      <c r="M13" s="17">
        <f>SUM(J13:L13)</f>
        <v>0</v>
      </c>
      <c r="N13" s="1316"/>
      <c r="O13" s="111"/>
      <c r="P13" s="111"/>
      <c r="Q13" s="111"/>
      <c r="R13" s="111"/>
      <c r="S13" s="111"/>
      <c r="T13" s="111"/>
      <c r="U13" s="111"/>
      <c r="V13" s="111"/>
      <c r="W13" s="391">
        <f>J13+K13+N13+Q13+T13</f>
        <v>0</v>
      </c>
      <c r="X13" s="17">
        <f>L13+O13+R13+U13</f>
        <v>0</v>
      </c>
      <c r="Y13" s="18">
        <f>SUM(W13:X13)</f>
        <v>0</v>
      </c>
      <c r="Z13" s="19">
        <f>IF(Y$15=0,0,Y13/Y$15)</f>
        <v>0</v>
      </c>
      <c r="AA13" s="411"/>
      <c r="AB13" s="411"/>
      <c r="AC13" s="45"/>
      <c r="AE13" s="17"/>
      <c r="AF13" s="17"/>
      <c r="AG13" s="17"/>
      <c r="AH13" s="18">
        <f>J13</f>
        <v>0</v>
      </c>
      <c r="AI13" s="19">
        <f>IF(AH$15=0,0,AH13/AH$15)</f>
        <v>0</v>
      </c>
      <c r="AK13" s="17"/>
      <c r="AL13" s="17"/>
      <c r="AM13" s="17"/>
      <c r="AN13" s="18">
        <f>K13</f>
        <v>0</v>
      </c>
      <c r="AO13" s="19">
        <f>IF(AN$15=0,0,AN13/AN$15)</f>
        <v>0</v>
      </c>
      <c r="AQ13" s="17"/>
      <c r="AR13" s="17"/>
      <c r="AS13" s="17"/>
      <c r="AT13" s="18">
        <f>W13</f>
        <v>0</v>
      </c>
      <c r="AU13" s="19">
        <f>IF(AT$15=0,0,AT13/AT$15)</f>
        <v>0</v>
      </c>
      <c r="AW13" s="17"/>
      <c r="AX13" s="17"/>
      <c r="AY13" s="17"/>
      <c r="AZ13" s="424">
        <f>X13</f>
        <v>0</v>
      </c>
      <c r="BA13" s="19">
        <f>IF(AZ$15=0,0,AZ13/AZ$15)</f>
        <v>0</v>
      </c>
    </row>
    <row r="14" spans="1:53" ht="17.100000000000001" customHeight="1" x14ac:dyDescent="0.25">
      <c r="A14" s="47"/>
      <c r="B14" s="55"/>
      <c r="C14" s="56" t="s">
        <v>627</v>
      </c>
      <c r="D14" s="57" t="s">
        <v>369</v>
      </c>
      <c r="E14" s="58"/>
      <c r="F14" s="58"/>
      <c r="G14" s="59"/>
      <c r="H14" s="1318"/>
      <c r="I14" s="229"/>
      <c r="J14" s="583"/>
      <c r="K14" s="583"/>
      <c r="L14" s="584"/>
      <c r="M14" s="17">
        <f>SUM(J14:L14)</f>
        <v>0</v>
      </c>
      <c r="N14" s="111"/>
      <c r="O14" s="111"/>
      <c r="P14" s="111"/>
      <c r="Q14" s="111"/>
      <c r="R14" s="111"/>
      <c r="S14" s="111"/>
      <c r="T14" s="111"/>
      <c r="U14" s="111"/>
      <c r="V14" s="111"/>
      <c r="W14" s="391">
        <f>J14+K14+N14+Q14+T14</f>
        <v>0</v>
      </c>
      <c r="X14" s="17">
        <f>L14+O14+R14+U14</f>
        <v>0</v>
      </c>
      <c r="Y14" s="18">
        <f>SUM(W14:X14)</f>
        <v>0</v>
      </c>
      <c r="Z14" s="19">
        <f>IF(Y$15=0,0,Y14/Y$15)</f>
        <v>0</v>
      </c>
      <c r="AA14" s="411"/>
      <c r="AB14" s="411"/>
      <c r="AC14" s="45"/>
      <c r="AE14" s="17"/>
      <c r="AF14" s="17"/>
      <c r="AG14" s="17"/>
      <c r="AH14" s="18">
        <f>J14</f>
        <v>0</v>
      </c>
      <c r="AI14" s="19">
        <f>IF(AH$15=0,0,AH14/AH$15)</f>
        <v>0</v>
      </c>
      <c r="AK14" s="17"/>
      <c r="AL14" s="17"/>
      <c r="AM14" s="17"/>
      <c r="AN14" s="18">
        <f>K14</f>
        <v>0</v>
      </c>
      <c r="AO14" s="19">
        <f>IF(AN$15=0,0,AN14/AN$15)</f>
        <v>0</v>
      </c>
      <c r="AQ14" s="17"/>
      <c r="AR14" s="17"/>
      <c r="AS14" s="17"/>
      <c r="AT14" s="18">
        <f>W14</f>
        <v>0</v>
      </c>
      <c r="AU14" s="19">
        <f>IF(AT$15=0,0,AT14/AT$15)</f>
        <v>0</v>
      </c>
      <c r="AW14" s="17"/>
      <c r="AX14" s="17"/>
      <c r="AY14" s="17"/>
      <c r="AZ14" s="424">
        <f>X14</f>
        <v>0</v>
      </c>
      <c r="BA14" s="19">
        <f>IF(AZ$15=0,0,AZ14/AZ$15)</f>
        <v>0</v>
      </c>
    </row>
    <row r="15" spans="1:53" ht="17.100000000000001" customHeight="1" x14ac:dyDescent="0.25">
      <c r="A15" s="47"/>
      <c r="B15" s="47"/>
      <c r="C15" s="252"/>
      <c r="D15" s="62"/>
      <c r="E15" s="62"/>
      <c r="F15" s="62"/>
      <c r="G15" s="63"/>
      <c r="H15" s="647"/>
      <c r="I15" s="229"/>
      <c r="J15" s="64">
        <f>SUM(J13:J14)</f>
        <v>0</v>
      </c>
      <c r="K15" s="64">
        <f t="shared" ref="K15:M15" si="0">SUM(K13:K14)</f>
        <v>0</v>
      </c>
      <c r="L15" s="64">
        <f t="shared" si="0"/>
        <v>0</v>
      </c>
      <c r="M15" s="64">
        <f t="shared" si="0"/>
        <v>0</v>
      </c>
      <c r="N15" s="637"/>
      <c r="O15" s="637"/>
      <c r="P15" s="637"/>
      <c r="Q15" s="637"/>
      <c r="R15" s="637"/>
      <c r="S15" s="637"/>
      <c r="T15" s="637"/>
      <c r="U15" s="637"/>
      <c r="V15" s="637"/>
      <c r="W15" s="381">
        <f>SUM(W13:W14)</f>
        <v>0</v>
      </c>
      <c r="X15" s="82">
        <f t="shared" ref="X15:Y15" si="1">SUM(X13:X14)</f>
        <v>0</v>
      </c>
      <c r="Y15" s="82">
        <f t="shared" si="1"/>
        <v>0</v>
      </c>
      <c r="Z15" s="205">
        <f>IF(Y$15=0,0,Y15/Y$15)</f>
        <v>0</v>
      </c>
      <c r="AA15" s="412"/>
      <c r="AB15" s="412"/>
      <c r="AC15" s="67"/>
      <c r="AE15" s="67"/>
      <c r="AF15" s="67"/>
      <c r="AG15" s="67"/>
      <c r="AH15" s="65">
        <f>SUM(AH13:AH14)</f>
        <v>0</v>
      </c>
      <c r="AI15" s="66">
        <f>IF(AH$15=0,0,AH15/AH$15)</f>
        <v>0</v>
      </c>
      <c r="AK15" s="67"/>
      <c r="AL15" s="67"/>
      <c r="AM15" s="67"/>
      <c r="AN15" s="65">
        <f>SUM(AN13:AN14)</f>
        <v>0</v>
      </c>
      <c r="AO15" s="66">
        <f>IF(AN$15=0,0,AN15/AN$15)</f>
        <v>0</v>
      </c>
      <c r="AQ15" s="67"/>
      <c r="AR15" s="67"/>
      <c r="AS15" s="67"/>
      <c r="AT15" s="65">
        <f>SUM(AT13:AT14)</f>
        <v>0</v>
      </c>
      <c r="AU15" s="66">
        <f>IF(AT$15=0,0,AT15/AT$15)</f>
        <v>0</v>
      </c>
      <c r="AW15" s="67"/>
      <c r="AX15" s="67"/>
      <c r="AY15" s="67"/>
      <c r="AZ15" s="65">
        <f>SUM(AZ13:AZ14)</f>
        <v>0</v>
      </c>
      <c r="BA15" s="66">
        <f>IF(AZ$15=0,0,AZ15/AZ$15)</f>
        <v>0</v>
      </c>
    </row>
    <row r="16" spans="1:53" s="117" customFormat="1" ht="17.100000000000001" customHeight="1" x14ac:dyDescent="0.25">
      <c r="A16" s="186"/>
      <c r="B16" s="253"/>
      <c r="C16" s="254"/>
      <c r="D16" s="255"/>
      <c r="E16" s="93"/>
      <c r="F16" s="93"/>
      <c r="G16" s="209"/>
      <c r="H16" s="647"/>
      <c r="I16" s="12"/>
      <c r="J16" s="198"/>
      <c r="K16" s="638"/>
      <c r="L16" s="425"/>
      <c r="M16" s="425"/>
      <c r="N16" s="425"/>
      <c r="O16" s="425"/>
      <c r="P16" s="425"/>
      <c r="Q16" s="425"/>
      <c r="R16" s="425"/>
      <c r="S16" s="425"/>
      <c r="T16" s="425"/>
      <c r="U16" s="425"/>
      <c r="V16" s="425"/>
      <c r="W16" s="395">
        <f>IF($Y$15=0,0,W15/$Y$15)</f>
        <v>0</v>
      </c>
      <c r="X16" s="91">
        <f>IF($Y$15=0,0,X15/$Y$15)</f>
        <v>0</v>
      </c>
      <c r="Y16" s="91">
        <f>IF($Y$15=0,0,Y15/$Y$15)</f>
        <v>0</v>
      </c>
      <c r="Z16" s="201"/>
      <c r="AA16" s="413"/>
      <c r="AB16" s="413"/>
      <c r="AC16" s="256"/>
      <c r="AE16" s="256"/>
      <c r="AF16" s="256"/>
      <c r="AG16" s="256"/>
      <c r="AH16" s="257"/>
      <c r="AI16" s="91"/>
      <c r="AK16" s="256"/>
      <c r="AL16" s="256"/>
      <c r="AM16" s="256"/>
      <c r="AN16" s="257"/>
      <c r="AO16" s="91"/>
      <c r="AQ16" s="256"/>
      <c r="AR16" s="256"/>
      <c r="AS16" s="256"/>
      <c r="AT16" s="257"/>
      <c r="AU16" s="91"/>
      <c r="AW16" s="256"/>
      <c r="AX16" s="256"/>
      <c r="AY16" s="256"/>
      <c r="AZ16" s="425"/>
      <c r="BA16" s="91"/>
    </row>
    <row r="17" spans="1:53" ht="17.100000000000001" customHeight="1" x14ac:dyDescent="0.25">
      <c r="A17" s="40"/>
      <c r="B17" s="41">
        <v>0.1</v>
      </c>
      <c r="C17" s="42" t="s">
        <v>628</v>
      </c>
      <c r="D17" s="43"/>
      <c r="E17" s="43"/>
      <c r="F17" s="43"/>
      <c r="G17" s="44"/>
      <c r="H17" s="219"/>
      <c r="I17" s="229"/>
      <c r="J17" s="586"/>
      <c r="K17" s="586"/>
      <c r="L17" s="71"/>
      <c r="M17" s="71"/>
      <c r="N17" s="71"/>
      <c r="O17" s="71"/>
      <c r="P17" s="71"/>
      <c r="Q17" s="71"/>
      <c r="R17" s="71"/>
      <c r="S17" s="71"/>
      <c r="T17" s="71"/>
      <c r="U17" s="71"/>
      <c r="V17" s="355"/>
      <c r="W17" s="377"/>
      <c r="X17" s="71"/>
      <c r="Y17" s="72"/>
      <c r="Z17" s="73"/>
      <c r="AA17" s="73"/>
      <c r="AB17" s="73"/>
      <c r="AC17" s="73"/>
      <c r="AE17" s="52"/>
      <c r="AF17" s="52"/>
      <c r="AG17" s="52"/>
      <c r="AH17" s="53"/>
      <c r="AI17" s="54"/>
      <c r="AJ17" s="117"/>
      <c r="AK17" s="52"/>
      <c r="AL17" s="52"/>
      <c r="AM17" s="52"/>
      <c r="AN17" s="53"/>
      <c r="AO17" s="54"/>
      <c r="AP17" s="117"/>
      <c r="AQ17" s="52"/>
      <c r="AR17" s="52"/>
      <c r="AS17" s="52"/>
      <c r="AT17" s="53"/>
      <c r="AU17" s="54"/>
      <c r="AV17" s="117"/>
      <c r="AW17" s="52"/>
      <c r="AX17" s="52"/>
      <c r="AY17" s="52"/>
      <c r="AZ17" s="272"/>
      <c r="BA17" s="54"/>
    </row>
    <row r="18" spans="1:53" ht="17.100000000000001" customHeight="1" x14ac:dyDescent="0.25">
      <c r="A18" s="47"/>
      <c r="B18" s="55"/>
      <c r="C18" s="56" t="s">
        <v>371</v>
      </c>
      <c r="D18" s="120" t="s">
        <v>629</v>
      </c>
      <c r="E18" s="58"/>
      <c r="F18" s="58"/>
      <c r="G18" s="59"/>
      <c r="H18" s="216"/>
      <c r="I18" s="229"/>
      <c r="J18" s="174"/>
      <c r="K18" s="174"/>
      <c r="L18" s="111"/>
      <c r="M18" s="111"/>
      <c r="N18" s="60"/>
      <c r="O18" s="60"/>
      <c r="P18" s="17">
        <f>SUM(N18:O18)</f>
        <v>0</v>
      </c>
      <c r="Q18" s="60"/>
      <c r="R18" s="60"/>
      <c r="S18" s="17">
        <f>SUM(Q18:R18)</f>
        <v>0</v>
      </c>
      <c r="T18" s="60"/>
      <c r="U18" s="60"/>
      <c r="V18" s="359">
        <f>SUM(T18:U18)</f>
        <v>0</v>
      </c>
      <c r="W18" s="391">
        <f t="shared" ref="W18:W19" si="2">J18+K18+N18+Q18+T18</f>
        <v>0</v>
      </c>
      <c r="X18" s="17">
        <f t="shared" ref="X18:X19" si="3">L18+O18+R18+U18</f>
        <v>0</v>
      </c>
      <c r="Y18" s="18">
        <f>SUM(W18:X18)</f>
        <v>0</v>
      </c>
      <c r="Z18" s="19">
        <f>IF(Y$20=0,0,Y18/Y$20)</f>
        <v>0</v>
      </c>
      <c r="AA18" s="19"/>
      <c r="AB18" s="19"/>
      <c r="AC18" s="20"/>
      <c r="AE18" s="111"/>
      <c r="AF18" s="111"/>
      <c r="AG18" s="111"/>
      <c r="AH18" s="651"/>
      <c r="AI18" s="131"/>
      <c r="AJ18" s="117"/>
      <c r="AK18" s="111"/>
      <c r="AL18" s="111"/>
      <c r="AM18" s="111"/>
      <c r="AN18" s="651"/>
      <c r="AO18" s="131"/>
      <c r="AP18" s="117"/>
      <c r="AQ18" s="17"/>
      <c r="AR18" s="17"/>
      <c r="AS18" s="17"/>
      <c r="AT18" s="18">
        <f>W18</f>
        <v>0</v>
      </c>
      <c r="AU18" s="19">
        <f>IF(AT$20=0,0,AT18/AT$20)</f>
        <v>0</v>
      </c>
      <c r="AV18" s="117"/>
      <c r="AW18" s="17"/>
      <c r="AX18" s="17"/>
      <c r="AY18" s="17"/>
      <c r="AZ18" s="424">
        <f>X18</f>
        <v>0</v>
      </c>
      <c r="BA18" s="19">
        <f>IF(AZ$20=0,0,AZ18/AZ$20)</f>
        <v>0</v>
      </c>
    </row>
    <row r="19" spans="1:53" ht="17.100000000000001" customHeight="1" x14ac:dyDescent="0.25">
      <c r="A19" s="47"/>
      <c r="B19" s="55"/>
      <c r="C19" s="56" t="s">
        <v>372</v>
      </c>
      <c r="D19" s="120" t="s">
        <v>630</v>
      </c>
      <c r="E19" s="58"/>
      <c r="F19" s="58"/>
      <c r="G19" s="59"/>
      <c r="H19" s="216"/>
      <c r="I19" s="229"/>
      <c r="J19" s="174"/>
      <c r="K19" s="174"/>
      <c r="L19" s="111"/>
      <c r="M19" s="111"/>
      <c r="N19" s="61"/>
      <c r="O19" s="61"/>
      <c r="P19" s="17">
        <f>SUM(N19:O19)</f>
        <v>0</v>
      </c>
      <c r="Q19" s="61"/>
      <c r="R19" s="61">
        <v>7</v>
      </c>
      <c r="S19" s="17">
        <f>SUM(Q19:R19)</f>
        <v>7</v>
      </c>
      <c r="T19" s="61"/>
      <c r="U19" s="61"/>
      <c r="V19" s="359">
        <f>SUM(T19:U19)</f>
        <v>0</v>
      </c>
      <c r="W19" s="391">
        <f t="shared" si="2"/>
        <v>0</v>
      </c>
      <c r="X19" s="17">
        <f t="shared" si="3"/>
        <v>7</v>
      </c>
      <c r="Y19" s="18">
        <f>SUM(W19:X19)</f>
        <v>7</v>
      </c>
      <c r="Z19" s="19">
        <f t="shared" ref="Z19:Z20" si="4">IF(Y$20=0,0,Y19/Y$20)</f>
        <v>1</v>
      </c>
      <c r="AA19" s="19"/>
      <c r="AB19" s="19"/>
      <c r="AC19" s="20"/>
      <c r="AE19" s="111"/>
      <c r="AF19" s="111"/>
      <c r="AG19" s="111"/>
      <c r="AH19" s="651"/>
      <c r="AI19" s="131"/>
      <c r="AJ19" s="117"/>
      <c r="AK19" s="111"/>
      <c r="AL19" s="111"/>
      <c r="AM19" s="111"/>
      <c r="AN19" s="651"/>
      <c r="AO19" s="131"/>
      <c r="AP19" s="117"/>
      <c r="AQ19" s="17"/>
      <c r="AR19" s="17"/>
      <c r="AS19" s="17"/>
      <c r="AT19" s="18">
        <f>W19</f>
        <v>0</v>
      </c>
      <c r="AU19" s="19">
        <f t="shared" ref="AU19:AU20" si="5">IF(AT$20=0,0,AT19/AT$20)</f>
        <v>0</v>
      </c>
      <c r="AV19" s="117"/>
      <c r="AW19" s="17"/>
      <c r="AX19" s="17"/>
      <c r="AY19" s="17"/>
      <c r="AZ19" s="424">
        <f>X19</f>
        <v>7</v>
      </c>
      <c r="BA19" s="19">
        <f t="shared" ref="BA19:BA20" si="6">IF(AZ$20=0,0,AZ19/AZ$20)</f>
        <v>1</v>
      </c>
    </row>
    <row r="20" spans="1:53" ht="17.100000000000001" customHeight="1" x14ac:dyDescent="0.25">
      <c r="A20" s="47"/>
      <c r="B20" s="47"/>
      <c r="C20" s="252"/>
      <c r="D20" s="62"/>
      <c r="E20" s="62"/>
      <c r="F20" s="62"/>
      <c r="G20" s="63"/>
      <c r="H20" s="216"/>
      <c r="I20" s="229"/>
      <c r="J20" s="64"/>
      <c r="K20" s="64"/>
      <c r="L20" s="64"/>
      <c r="M20" s="64"/>
      <c r="N20" s="64">
        <f>SUM(N18:N19)</f>
        <v>0</v>
      </c>
      <c r="O20" s="64">
        <f t="shared" ref="O20:V20" si="7">SUM(O18:O19)</f>
        <v>0</v>
      </c>
      <c r="P20" s="64">
        <f t="shared" si="7"/>
        <v>0</v>
      </c>
      <c r="Q20" s="64">
        <f t="shared" si="7"/>
        <v>0</v>
      </c>
      <c r="R20" s="64">
        <f t="shared" si="7"/>
        <v>7</v>
      </c>
      <c r="S20" s="64">
        <f t="shared" si="7"/>
        <v>7</v>
      </c>
      <c r="T20" s="64">
        <f t="shared" si="7"/>
        <v>0</v>
      </c>
      <c r="U20" s="64">
        <f t="shared" si="7"/>
        <v>0</v>
      </c>
      <c r="V20" s="64">
        <f t="shared" si="7"/>
        <v>0</v>
      </c>
      <c r="W20" s="381">
        <f>SUM(W18:W19)</f>
        <v>0</v>
      </c>
      <c r="X20" s="82">
        <f t="shared" ref="X20:Y20" si="8">SUM(X18:X19)</f>
        <v>7</v>
      </c>
      <c r="Y20" s="82">
        <f t="shared" si="8"/>
        <v>7</v>
      </c>
      <c r="Z20" s="205">
        <f t="shared" si="4"/>
        <v>1</v>
      </c>
      <c r="AA20" s="205"/>
      <c r="AB20" s="205"/>
      <c r="AC20" s="83"/>
      <c r="AE20" s="67"/>
      <c r="AF20" s="67"/>
      <c r="AG20" s="67"/>
      <c r="AH20" s="65"/>
      <c r="AI20" s="66"/>
      <c r="AJ20" s="117"/>
      <c r="AK20" s="67"/>
      <c r="AL20" s="67"/>
      <c r="AM20" s="67"/>
      <c r="AN20" s="65"/>
      <c r="AO20" s="66"/>
      <c r="AP20" s="117"/>
      <c r="AQ20" s="67"/>
      <c r="AR20" s="67"/>
      <c r="AS20" s="67"/>
      <c r="AT20" s="65">
        <f>SUM(AT18:AT19)</f>
        <v>0</v>
      </c>
      <c r="AU20" s="66">
        <f t="shared" si="5"/>
        <v>0</v>
      </c>
      <c r="AV20" s="117"/>
      <c r="AW20" s="67"/>
      <c r="AX20" s="67"/>
      <c r="AY20" s="67"/>
      <c r="AZ20" s="65">
        <f>SUM(AZ18:AZ19)</f>
        <v>7</v>
      </c>
      <c r="BA20" s="66">
        <f t="shared" si="6"/>
        <v>1</v>
      </c>
    </row>
    <row r="21" spans="1:53" s="117" customFormat="1" ht="17.100000000000001" customHeight="1" x14ac:dyDescent="0.25">
      <c r="A21" s="186"/>
      <c r="B21" s="253"/>
      <c r="C21" s="254"/>
      <c r="D21" s="93"/>
      <c r="E21" s="93"/>
      <c r="F21" s="93"/>
      <c r="G21" s="209"/>
      <c r="H21" s="647"/>
      <c r="I21" s="12"/>
      <c r="J21" s="198"/>
      <c r="K21" s="638"/>
      <c r="L21" s="425"/>
      <c r="M21" s="425"/>
      <c r="N21" s="425"/>
      <c r="O21" s="425"/>
      <c r="P21" s="425"/>
      <c r="Q21" s="425"/>
      <c r="R21" s="425"/>
      <c r="S21" s="425"/>
      <c r="T21" s="425"/>
      <c r="U21" s="425"/>
      <c r="V21" s="425"/>
      <c r="W21" s="639"/>
      <c r="X21" s="91"/>
      <c r="Y21" s="91"/>
      <c r="Z21" s="201"/>
      <c r="AA21" s="413"/>
      <c r="AB21" s="413"/>
      <c r="AC21" s="256"/>
      <c r="AE21" s="256"/>
      <c r="AF21" s="256"/>
      <c r="AG21" s="256"/>
      <c r="AH21" s="257"/>
      <c r="AI21" s="91"/>
      <c r="AK21" s="256"/>
      <c r="AL21" s="256"/>
      <c r="AM21" s="256"/>
      <c r="AN21" s="257"/>
      <c r="AO21" s="91"/>
      <c r="AQ21" s="256"/>
      <c r="AR21" s="256"/>
      <c r="AS21" s="256"/>
      <c r="AT21" s="257"/>
      <c r="AU21" s="91"/>
      <c r="AW21" s="256"/>
      <c r="AX21" s="256"/>
      <c r="AY21" s="256"/>
      <c r="AZ21" s="425"/>
      <c r="BA21" s="91"/>
    </row>
    <row r="22" spans="1:53" ht="17.100000000000001" customHeight="1" x14ac:dyDescent="0.25">
      <c r="A22" s="40"/>
      <c r="B22" s="41">
        <v>0.2</v>
      </c>
      <c r="C22" s="69" t="s">
        <v>370</v>
      </c>
      <c r="D22" s="50"/>
      <c r="E22" s="43"/>
      <c r="F22" s="43"/>
      <c r="G22" s="44"/>
      <c r="H22" s="640">
        <v>5</v>
      </c>
      <c r="I22" s="229"/>
      <c r="J22" s="71"/>
      <c r="K22" s="71"/>
      <c r="L22" s="71"/>
      <c r="M22" s="71"/>
      <c r="N22" s="71"/>
      <c r="O22" s="71"/>
      <c r="P22" s="71"/>
      <c r="Q22" s="71"/>
      <c r="R22" s="71"/>
      <c r="S22" s="71"/>
      <c r="T22" s="71"/>
      <c r="U22" s="71"/>
      <c r="V22" s="71"/>
      <c r="W22" s="71"/>
      <c r="X22" s="71"/>
      <c r="Y22" s="71"/>
      <c r="Z22" s="73"/>
      <c r="AA22" s="73"/>
      <c r="AB22" s="73"/>
      <c r="AC22" s="73"/>
      <c r="AE22" s="71"/>
      <c r="AF22" s="71"/>
      <c r="AG22" s="71"/>
      <c r="AH22" s="72"/>
      <c r="AI22" s="73"/>
      <c r="AK22" s="71"/>
      <c r="AL22" s="71"/>
      <c r="AM22" s="71"/>
      <c r="AN22" s="72"/>
      <c r="AO22" s="73"/>
      <c r="AQ22" s="71"/>
      <c r="AR22" s="71"/>
      <c r="AS22" s="71"/>
      <c r="AT22" s="72"/>
      <c r="AU22" s="73"/>
      <c r="AW22" s="71"/>
      <c r="AX22" s="71"/>
      <c r="AY22" s="71"/>
      <c r="AZ22" s="273"/>
      <c r="BA22" s="73"/>
    </row>
    <row r="23" spans="1:53" ht="17.100000000000001" customHeight="1" x14ac:dyDescent="0.25">
      <c r="A23" s="40"/>
      <c r="B23" s="40"/>
      <c r="C23" s="74" t="s">
        <v>7</v>
      </c>
      <c r="D23" s="649" t="s">
        <v>9</v>
      </c>
      <c r="E23" s="75"/>
      <c r="F23" s="75"/>
      <c r="G23" s="76"/>
      <c r="H23" s="1318"/>
      <c r="I23" s="229"/>
      <c r="J23" s="581"/>
      <c r="K23" s="581"/>
      <c r="L23" s="582"/>
      <c r="M23" s="17">
        <f t="shared" ref="M23:M25" si="9">SUM(J23:L23)</f>
        <v>0</v>
      </c>
      <c r="N23" s="111"/>
      <c r="O23" s="111"/>
      <c r="P23" s="111"/>
      <c r="Q23" s="111"/>
      <c r="R23" s="111"/>
      <c r="S23" s="111"/>
      <c r="T23" s="111"/>
      <c r="U23" s="111"/>
      <c r="V23" s="111"/>
      <c r="W23" s="391">
        <f t="shared" ref="W23:W25" si="10">J23+K23+N23+Q23+T23</f>
        <v>0</v>
      </c>
      <c r="X23" s="17">
        <f t="shared" ref="X23:X25" si="11">L23+O23+R23+U23</f>
        <v>0</v>
      </c>
      <c r="Y23" s="18">
        <f>SUM(W23:X23)</f>
        <v>0</v>
      </c>
      <c r="Z23" s="19">
        <f>IF(Y$26=0,0,Y23/Y$26)</f>
        <v>0</v>
      </c>
      <c r="AA23" s="411"/>
      <c r="AB23" s="411"/>
      <c r="AC23" s="45"/>
      <c r="AE23" s="17"/>
      <c r="AF23" s="17"/>
      <c r="AG23" s="17"/>
      <c r="AH23" s="18">
        <f>J23</f>
        <v>0</v>
      </c>
      <c r="AI23" s="19">
        <f>IF(AH$26=0,0,AH23/AH$26)</f>
        <v>0</v>
      </c>
      <c r="AK23" s="17"/>
      <c r="AL23" s="17"/>
      <c r="AM23" s="17"/>
      <c r="AN23" s="18">
        <f>K23</f>
        <v>0</v>
      </c>
      <c r="AO23" s="19">
        <f>IF(AN$26=0,0,AN23/AN$26)</f>
        <v>0</v>
      </c>
      <c r="AQ23" s="17"/>
      <c r="AR23" s="17"/>
      <c r="AS23" s="17"/>
      <c r="AT23" s="18">
        <f>W23</f>
        <v>0</v>
      </c>
      <c r="AU23" s="19">
        <f>IF(AT$26=0,0,AT23/AT$26)</f>
        <v>0</v>
      </c>
      <c r="AW23" s="17"/>
      <c r="AX23" s="17"/>
      <c r="AY23" s="17"/>
      <c r="AZ23" s="424">
        <f>X23</f>
        <v>0</v>
      </c>
      <c r="BA23" s="19">
        <f>IF(AZ$26=0,0,AZ23/AZ$26)</f>
        <v>0</v>
      </c>
    </row>
    <row r="24" spans="1:53" ht="17.100000000000001" customHeight="1" x14ac:dyDescent="0.25">
      <c r="A24" s="40"/>
      <c r="B24" s="40"/>
      <c r="C24" s="74" t="s">
        <v>8</v>
      </c>
      <c r="D24" s="649" t="s">
        <v>10</v>
      </c>
      <c r="E24" s="75"/>
      <c r="F24" s="75"/>
      <c r="G24" s="76"/>
      <c r="H24" s="647"/>
      <c r="I24" s="229"/>
      <c r="J24" s="583"/>
      <c r="K24" s="583"/>
      <c r="L24" s="584"/>
      <c r="M24" s="17">
        <f t="shared" si="9"/>
        <v>0</v>
      </c>
      <c r="N24" s="111"/>
      <c r="O24" s="111"/>
      <c r="P24" s="111"/>
      <c r="Q24" s="111"/>
      <c r="R24" s="111"/>
      <c r="S24" s="111"/>
      <c r="T24" s="111"/>
      <c r="U24" s="111"/>
      <c r="V24" s="111"/>
      <c r="W24" s="391">
        <f t="shared" si="10"/>
        <v>0</v>
      </c>
      <c r="X24" s="17">
        <f t="shared" si="11"/>
        <v>0</v>
      </c>
      <c r="Y24" s="18">
        <f>SUM(W24:X24)</f>
        <v>0</v>
      </c>
      <c r="Z24" s="19">
        <f t="shared" ref="Z24:Z25" si="12">IF(Y$26=0,0,Y24/Y$26)</f>
        <v>0</v>
      </c>
      <c r="AA24" s="411"/>
      <c r="AB24" s="411"/>
      <c r="AC24" s="45"/>
      <c r="AE24" s="17"/>
      <c r="AF24" s="17"/>
      <c r="AG24" s="17"/>
      <c r="AH24" s="18">
        <f t="shared" ref="AH24:AH25" si="13">J24</f>
        <v>0</v>
      </c>
      <c r="AI24" s="19">
        <f>IF(AH$26=0,0,AH24/AH$26)</f>
        <v>0</v>
      </c>
      <c r="AK24" s="17"/>
      <c r="AL24" s="17"/>
      <c r="AM24" s="17"/>
      <c r="AN24" s="18">
        <f t="shared" ref="AN24:AN25" si="14">K24</f>
        <v>0</v>
      </c>
      <c r="AO24" s="19">
        <f>IF(AN$26=0,0,AN24/AN$26)</f>
        <v>0</v>
      </c>
      <c r="AQ24" s="17"/>
      <c r="AR24" s="17"/>
      <c r="AS24" s="17"/>
      <c r="AT24" s="18">
        <f t="shared" ref="AT24:AT25" si="15">W24</f>
        <v>0</v>
      </c>
      <c r="AU24" s="19">
        <f t="shared" ref="AU24:AU26" si="16">IF(AT$26=0,0,AT24/AT$26)</f>
        <v>0</v>
      </c>
      <c r="AW24" s="17"/>
      <c r="AX24" s="17"/>
      <c r="AY24" s="17"/>
      <c r="AZ24" s="424">
        <f t="shared" ref="AZ24:AZ25" si="17">X24</f>
        <v>0</v>
      </c>
      <c r="BA24" s="19">
        <f>IF(AZ$26=0,0,AZ24/AZ$26)</f>
        <v>0</v>
      </c>
    </row>
    <row r="25" spans="1:53" ht="17.100000000000001" customHeight="1" x14ac:dyDescent="0.25">
      <c r="A25" s="40"/>
      <c r="B25" s="40"/>
      <c r="C25" s="74" t="s">
        <v>531</v>
      </c>
      <c r="D25" s="649" t="s">
        <v>530</v>
      </c>
      <c r="E25" s="75"/>
      <c r="F25" s="75"/>
      <c r="G25" s="76"/>
      <c r="H25" s="647"/>
      <c r="I25" s="229"/>
      <c r="J25" s="581"/>
      <c r="K25" s="581"/>
      <c r="L25" s="582"/>
      <c r="M25" s="17">
        <f t="shared" si="9"/>
        <v>0</v>
      </c>
      <c r="N25" s="111"/>
      <c r="O25" s="111"/>
      <c r="P25" s="111"/>
      <c r="Q25" s="111"/>
      <c r="R25" s="111"/>
      <c r="S25" s="111"/>
      <c r="T25" s="111"/>
      <c r="U25" s="111"/>
      <c r="V25" s="111"/>
      <c r="W25" s="391">
        <f t="shared" si="10"/>
        <v>0</v>
      </c>
      <c r="X25" s="17">
        <f t="shared" si="11"/>
        <v>0</v>
      </c>
      <c r="Y25" s="18">
        <f>SUM(W25:X25)</f>
        <v>0</v>
      </c>
      <c r="Z25" s="19">
        <f t="shared" si="12"/>
        <v>0</v>
      </c>
      <c r="AA25" s="411"/>
      <c r="AB25" s="411"/>
      <c r="AC25" s="45"/>
      <c r="AE25" s="17"/>
      <c r="AF25" s="17"/>
      <c r="AG25" s="17"/>
      <c r="AH25" s="18">
        <f t="shared" si="13"/>
        <v>0</v>
      </c>
      <c r="AI25" s="19">
        <f>IF(AH$26=0,0,AH25/AH$26)</f>
        <v>0</v>
      </c>
      <c r="AK25" s="17"/>
      <c r="AL25" s="17"/>
      <c r="AM25" s="17"/>
      <c r="AN25" s="18">
        <f t="shared" si="14"/>
        <v>0</v>
      </c>
      <c r="AO25" s="19">
        <f>IF(AN$26=0,0,AN25/AN$26)</f>
        <v>0</v>
      </c>
      <c r="AQ25" s="17"/>
      <c r="AR25" s="17"/>
      <c r="AS25" s="17"/>
      <c r="AT25" s="18">
        <f t="shared" si="15"/>
        <v>0</v>
      </c>
      <c r="AU25" s="19">
        <f t="shared" si="16"/>
        <v>0</v>
      </c>
      <c r="AW25" s="17"/>
      <c r="AX25" s="17"/>
      <c r="AY25" s="17"/>
      <c r="AZ25" s="424">
        <f t="shared" si="17"/>
        <v>0</v>
      </c>
      <c r="BA25" s="19">
        <f>IF(AZ$26=0,0,AZ25/AZ$26)</f>
        <v>0</v>
      </c>
    </row>
    <row r="26" spans="1:53" ht="17.100000000000001" customHeight="1" x14ac:dyDescent="0.25">
      <c r="A26" s="40"/>
      <c r="B26" s="40"/>
      <c r="C26" s="77"/>
      <c r="D26" s="78"/>
      <c r="E26" s="78"/>
      <c r="F26" s="78"/>
      <c r="G26" s="79"/>
      <c r="H26" s="647"/>
      <c r="I26" s="230"/>
      <c r="J26" s="80">
        <f>SUM(J23:J25)</f>
        <v>0</v>
      </c>
      <c r="K26" s="80">
        <f t="shared" ref="K26:M26" si="18">SUM(K23:K25)</f>
        <v>0</v>
      </c>
      <c r="L26" s="80">
        <f t="shared" si="18"/>
        <v>0</v>
      </c>
      <c r="M26" s="80">
        <f t="shared" si="18"/>
        <v>0</v>
      </c>
      <c r="N26" s="81"/>
      <c r="O26" s="81"/>
      <c r="P26" s="81"/>
      <c r="Q26" s="81"/>
      <c r="R26" s="81"/>
      <c r="S26" s="81"/>
      <c r="T26" s="81"/>
      <c r="U26" s="81"/>
      <c r="V26" s="81"/>
      <c r="W26" s="381">
        <f>SUM(W23:W25)</f>
        <v>0</v>
      </c>
      <c r="X26" s="82">
        <f t="shared" ref="X26:Y26" si="19">SUM(X23:X25)</f>
        <v>0</v>
      </c>
      <c r="Y26" s="82">
        <f t="shared" si="19"/>
        <v>0</v>
      </c>
      <c r="Z26" s="205">
        <f>IF(Y$26=0,0,Y26/Y$26)</f>
        <v>0</v>
      </c>
      <c r="AA26" s="205"/>
      <c r="AB26" s="205"/>
      <c r="AC26" s="83"/>
      <c r="AE26" s="81"/>
      <c r="AF26" s="81"/>
      <c r="AG26" s="81"/>
      <c r="AH26" s="82">
        <f>SUM(AH23:AH25)</f>
        <v>0</v>
      </c>
      <c r="AI26" s="66">
        <f>IF(AH$26=0,0,AH26/AH$26)</f>
        <v>0</v>
      </c>
      <c r="AK26" s="81"/>
      <c r="AL26" s="81"/>
      <c r="AM26" s="81"/>
      <c r="AN26" s="82">
        <f>SUM(AN23:AN25)</f>
        <v>0</v>
      </c>
      <c r="AO26" s="66">
        <f>IF(AN$26=0,0,AN26/AN$26)</f>
        <v>0</v>
      </c>
      <c r="AQ26" s="67"/>
      <c r="AR26" s="67"/>
      <c r="AS26" s="67"/>
      <c r="AT26" s="65">
        <f>SUM(AT23:AT25)</f>
        <v>0</v>
      </c>
      <c r="AU26" s="66">
        <f t="shared" si="16"/>
        <v>0</v>
      </c>
      <c r="AW26" s="81"/>
      <c r="AX26" s="81"/>
      <c r="AY26" s="81"/>
      <c r="AZ26" s="82">
        <f>SUM(AZ23:AZ25)</f>
        <v>0</v>
      </c>
      <c r="BA26" s="66">
        <f>IF(AZ$26=0,0,AZ26/AZ$26)</f>
        <v>0</v>
      </c>
    </row>
    <row r="27" spans="1:53" s="97" customFormat="1" ht="17.100000000000001" customHeight="1" x14ac:dyDescent="0.25">
      <c r="A27" s="68"/>
      <c r="B27" s="68"/>
      <c r="C27" s="92"/>
      <c r="D27" s="93"/>
      <c r="E27" s="93"/>
      <c r="F27" s="93"/>
      <c r="G27" s="93"/>
      <c r="H27" s="165"/>
      <c r="I27" s="12"/>
      <c r="J27" s="94" t="str">
        <f>IF(J26=J$15,"OK","NOK")</f>
        <v>OK</v>
      </c>
      <c r="K27" s="94" t="str">
        <f t="shared" ref="K27:L27" si="20">IF(K26=K$15,"OK","NOK")</f>
        <v>OK</v>
      </c>
      <c r="L27" s="94" t="str">
        <f t="shared" si="20"/>
        <v>OK</v>
      </c>
      <c r="M27" s="95"/>
      <c r="N27" s="95"/>
      <c r="O27" s="95"/>
      <c r="P27" s="95"/>
      <c r="Q27" s="95"/>
      <c r="R27" s="95"/>
      <c r="S27" s="95"/>
      <c r="T27" s="95"/>
      <c r="U27" s="95"/>
      <c r="V27" s="95"/>
      <c r="W27" s="95"/>
      <c r="X27" s="95"/>
      <c r="Y27" s="95"/>
      <c r="AQ27" s="98"/>
      <c r="AR27" s="98"/>
      <c r="AS27" s="98"/>
      <c r="AT27" s="99"/>
      <c r="AU27" s="100"/>
    </row>
    <row r="28" spans="1:53" s="32" customFormat="1" ht="16.5" thickBot="1" x14ac:dyDescent="0.3">
      <c r="A28" s="24" t="s">
        <v>13</v>
      </c>
      <c r="B28" s="25" t="s">
        <v>557</v>
      </c>
      <c r="C28" s="26"/>
      <c r="D28" s="27"/>
      <c r="E28" s="27"/>
      <c r="F28" s="27"/>
      <c r="G28" s="28"/>
      <c r="H28" s="310"/>
      <c r="I28" s="228"/>
      <c r="J28" s="101"/>
      <c r="K28" s="101"/>
      <c r="L28" s="101"/>
      <c r="M28" s="101"/>
      <c r="N28" s="101"/>
      <c r="O28" s="101"/>
      <c r="P28" s="101"/>
      <c r="Q28" s="101"/>
      <c r="R28" s="101"/>
      <c r="S28" s="101"/>
      <c r="T28" s="101"/>
      <c r="U28" s="101"/>
      <c r="V28" s="101"/>
      <c r="W28" s="101"/>
      <c r="X28" s="101"/>
      <c r="Y28" s="415" t="s">
        <v>4</v>
      </c>
      <c r="Z28" s="31" t="s">
        <v>5</v>
      </c>
      <c r="AA28" s="31" t="s">
        <v>181</v>
      </c>
      <c r="AB28" s="31" t="s">
        <v>182</v>
      </c>
      <c r="AC28" s="31" t="s">
        <v>6</v>
      </c>
      <c r="AE28" s="33" t="s">
        <v>181</v>
      </c>
      <c r="AF28" s="33" t="s">
        <v>182</v>
      </c>
      <c r="AG28" s="33" t="s">
        <v>6</v>
      </c>
      <c r="AH28" s="33" t="s">
        <v>4</v>
      </c>
      <c r="AI28" s="34" t="s">
        <v>5</v>
      </c>
      <c r="AK28" s="36" t="s">
        <v>181</v>
      </c>
      <c r="AL28" s="36" t="s">
        <v>182</v>
      </c>
      <c r="AM28" s="36" t="s">
        <v>6</v>
      </c>
      <c r="AN28" s="36" t="s">
        <v>4</v>
      </c>
      <c r="AO28" s="37" t="s">
        <v>5</v>
      </c>
      <c r="AQ28" s="398" t="s">
        <v>181</v>
      </c>
      <c r="AR28" s="398" t="s">
        <v>182</v>
      </c>
      <c r="AS28" s="398" t="s">
        <v>6</v>
      </c>
      <c r="AT28" s="398" t="s">
        <v>4</v>
      </c>
      <c r="AU28" s="399" t="s">
        <v>5</v>
      </c>
      <c r="AW28" s="38" t="s">
        <v>181</v>
      </c>
      <c r="AX28" s="38" t="s">
        <v>182</v>
      </c>
      <c r="AY28" s="38" t="s">
        <v>6</v>
      </c>
      <c r="AZ28" s="38" t="s">
        <v>4</v>
      </c>
      <c r="BA28" s="39" t="s">
        <v>5</v>
      </c>
    </row>
    <row r="29" spans="1:53" ht="17.100000000000001" customHeight="1" x14ac:dyDescent="0.25">
      <c r="A29" s="275"/>
      <c r="B29" s="41" t="s">
        <v>15</v>
      </c>
      <c r="C29" s="69" t="s">
        <v>16</v>
      </c>
      <c r="D29" s="276"/>
      <c r="E29" s="276"/>
      <c r="F29" s="276"/>
      <c r="G29" s="276"/>
      <c r="H29" s="589">
        <v>8</v>
      </c>
      <c r="I29" s="12"/>
      <c r="J29" s="277"/>
      <c r="K29" s="277"/>
      <c r="L29" s="277"/>
      <c r="M29" s="277"/>
      <c r="N29" s="277"/>
      <c r="O29" s="277"/>
      <c r="P29" s="277"/>
      <c r="Q29" s="277"/>
      <c r="R29" s="277"/>
      <c r="S29" s="277"/>
      <c r="T29" s="277"/>
      <c r="U29" s="277"/>
      <c r="V29" s="277"/>
      <c r="W29" s="277"/>
      <c r="X29" s="277"/>
      <c r="Y29" s="277"/>
      <c r="Z29" s="51"/>
      <c r="AA29" s="51"/>
      <c r="AB29" s="51"/>
      <c r="AC29" s="51"/>
      <c r="AE29" s="71"/>
      <c r="AF29" s="71"/>
      <c r="AG29" s="273"/>
      <c r="AH29" s="73"/>
      <c r="AI29" s="73"/>
      <c r="AK29" s="71"/>
      <c r="AL29" s="71"/>
      <c r="AM29" s="273"/>
      <c r="AN29" s="73"/>
      <c r="AO29" s="73"/>
      <c r="AQ29" s="71"/>
      <c r="AR29" s="71"/>
      <c r="AS29" s="71"/>
      <c r="AT29" s="72"/>
      <c r="AU29" s="73"/>
      <c r="AW29" s="71"/>
      <c r="AX29" s="71"/>
      <c r="AY29" s="273"/>
      <c r="AZ29" s="73"/>
      <c r="BA29" s="73"/>
    </row>
    <row r="30" spans="1:53" ht="17.100000000000001" customHeight="1" x14ac:dyDescent="0.25">
      <c r="A30" s="40"/>
      <c r="B30" s="40"/>
      <c r="C30" s="74" t="s">
        <v>17</v>
      </c>
      <c r="D30" s="104" t="s">
        <v>609</v>
      </c>
      <c r="E30" s="75"/>
      <c r="F30" s="75"/>
      <c r="G30" s="76"/>
      <c r="H30" s="210"/>
      <c r="I30" s="229"/>
      <c r="J30" s="46">
        <f>J15</f>
        <v>0</v>
      </c>
      <c r="K30" s="46"/>
      <c r="L30" s="17"/>
      <c r="M30" s="17">
        <f t="shared" ref="M30:M32" si="21">SUM(J30:L30)</f>
        <v>0</v>
      </c>
      <c r="N30" s="111"/>
      <c r="O30" s="111"/>
      <c r="P30" s="111"/>
      <c r="Q30" s="111"/>
      <c r="R30" s="111"/>
      <c r="S30" s="111"/>
      <c r="T30" s="111"/>
      <c r="U30" s="111"/>
      <c r="V30" s="111"/>
      <c r="W30" s="391">
        <f t="shared" ref="W30:W32" si="22">J30+K30+N30+Q30+T30</f>
        <v>0</v>
      </c>
      <c r="X30" s="17">
        <f t="shared" ref="X30:X32" si="23">L30+O30+R30+U30</f>
        <v>0</v>
      </c>
      <c r="Y30" s="18">
        <f>SUM(W30:X30)</f>
        <v>0</v>
      </c>
      <c r="Z30" s="19">
        <f>IF(Y$33=0,0,Y30/Y$33)</f>
        <v>0</v>
      </c>
      <c r="AA30" s="411"/>
      <c r="AB30" s="411"/>
      <c r="AC30" s="45"/>
      <c r="AE30" s="17"/>
      <c r="AF30" s="17"/>
      <c r="AG30" s="17"/>
      <c r="AH30" s="18">
        <f>J30</f>
        <v>0</v>
      </c>
      <c r="AI30" s="19">
        <f>IF(AH$33=0,0,AH30/AH$33)</f>
        <v>0</v>
      </c>
      <c r="AK30" s="17"/>
      <c r="AL30" s="17"/>
      <c r="AM30" s="17"/>
      <c r="AN30" s="18">
        <f>K30</f>
        <v>0</v>
      </c>
      <c r="AO30" s="19">
        <f>IF(AN$33=0,0,AN30/AN$33)</f>
        <v>0</v>
      </c>
      <c r="AQ30" s="17"/>
      <c r="AR30" s="17"/>
      <c r="AS30" s="17"/>
      <c r="AT30" s="18">
        <f t="shared" ref="AT30:AT32" si="24">W30</f>
        <v>0</v>
      </c>
      <c r="AU30" s="19">
        <f>IF(AT$33=0,0,AT30/AT$33)</f>
        <v>0</v>
      </c>
      <c r="AW30" s="17"/>
      <c r="AX30" s="17"/>
      <c r="AY30" s="17"/>
      <c r="AZ30" s="424">
        <f>X30</f>
        <v>0</v>
      </c>
      <c r="BA30" s="19">
        <f>IF(AZ$33=0,0,AZ30/AZ$33)</f>
        <v>0</v>
      </c>
    </row>
    <row r="31" spans="1:53" ht="17.100000000000001" customHeight="1" x14ac:dyDescent="0.25">
      <c r="A31" s="40"/>
      <c r="B31" s="40"/>
      <c r="C31" s="74" t="s">
        <v>18</v>
      </c>
      <c r="D31" s="104" t="s">
        <v>610</v>
      </c>
      <c r="E31" s="75"/>
      <c r="F31" s="75"/>
      <c r="G31" s="76"/>
      <c r="H31" s="210"/>
      <c r="I31" s="229"/>
      <c r="J31" s="46"/>
      <c r="K31" s="46">
        <f>K15</f>
        <v>0</v>
      </c>
      <c r="L31" s="17"/>
      <c r="M31" s="17">
        <f t="shared" si="21"/>
        <v>0</v>
      </c>
      <c r="N31" s="111"/>
      <c r="O31" s="111"/>
      <c r="P31" s="111"/>
      <c r="Q31" s="111"/>
      <c r="R31" s="111"/>
      <c r="S31" s="111"/>
      <c r="T31" s="111"/>
      <c r="U31" s="111"/>
      <c r="V31" s="111"/>
      <c r="W31" s="391">
        <f t="shared" si="22"/>
        <v>0</v>
      </c>
      <c r="X31" s="17">
        <f t="shared" si="23"/>
        <v>0</v>
      </c>
      <c r="Y31" s="18">
        <f>SUM(W31:X31)</f>
        <v>0</v>
      </c>
      <c r="Z31" s="19">
        <f t="shared" ref="Z31:Z33" si="25">IF(Y$33=0,0,Y31/Y$33)</f>
        <v>0</v>
      </c>
      <c r="AA31" s="411"/>
      <c r="AB31" s="411"/>
      <c r="AC31" s="45"/>
      <c r="AE31" s="17"/>
      <c r="AF31" s="17"/>
      <c r="AG31" s="17"/>
      <c r="AH31" s="18">
        <f t="shared" ref="AH31:AH32" si="26">J31</f>
        <v>0</v>
      </c>
      <c r="AI31" s="19">
        <f>IF(AH$33=0,0,AH31/AH$33)</f>
        <v>0</v>
      </c>
      <c r="AK31" s="17"/>
      <c r="AL31" s="17"/>
      <c r="AM31" s="17"/>
      <c r="AN31" s="18">
        <f t="shared" ref="AN31:AN32" si="27">K31</f>
        <v>0</v>
      </c>
      <c r="AO31" s="19">
        <f>IF(AN$33=0,0,AN31/AN$33)</f>
        <v>0</v>
      </c>
      <c r="AQ31" s="17"/>
      <c r="AR31" s="17"/>
      <c r="AS31" s="17"/>
      <c r="AT31" s="18">
        <f t="shared" si="24"/>
        <v>0</v>
      </c>
      <c r="AU31" s="19">
        <f>IF(AT$33=0,0,AT31/AT$33)</f>
        <v>0</v>
      </c>
      <c r="AW31" s="17"/>
      <c r="AX31" s="17"/>
      <c r="AY31" s="17"/>
      <c r="AZ31" s="424">
        <f t="shared" ref="AZ31:AZ32" si="28">X31</f>
        <v>0</v>
      </c>
      <c r="BA31" s="19">
        <f>IF(AZ$33=0,0,AZ31/AZ$33)</f>
        <v>0</v>
      </c>
    </row>
    <row r="32" spans="1:53" ht="17.100000000000001" customHeight="1" x14ac:dyDescent="0.25">
      <c r="A32" s="40"/>
      <c r="B32" s="40"/>
      <c r="C32" s="74" t="s">
        <v>19</v>
      </c>
      <c r="D32" s="104" t="s">
        <v>611</v>
      </c>
      <c r="E32" s="75"/>
      <c r="F32" s="75"/>
      <c r="G32" s="76"/>
      <c r="H32" s="210"/>
      <c r="I32" s="229"/>
      <c r="J32" s="46"/>
      <c r="K32" s="46"/>
      <c r="L32" s="17">
        <f>L15</f>
        <v>0</v>
      </c>
      <c r="M32" s="17">
        <f t="shared" si="21"/>
        <v>0</v>
      </c>
      <c r="N32" s="111"/>
      <c r="O32" s="111"/>
      <c r="P32" s="111"/>
      <c r="Q32" s="111"/>
      <c r="R32" s="111"/>
      <c r="S32" s="111"/>
      <c r="T32" s="111"/>
      <c r="U32" s="111"/>
      <c r="V32" s="111"/>
      <c r="W32" s="391">
        <f t="shared" si="22"/>
        <v>0</v>
      </c>
      <c r="X32" s="17">
        <f t="shared" si="23"/>
        <v>0</v>
      </c>
      <c r="Y32" s="18">
        <f>SUM(W32:X32)</f>
        <v>0</v>
      </c>
      <c r="Z32" s="19">
        <f t="shared" si="25"/>
        <v>0</v>
      </c>
      <c r="AA32" s="411"/>
      <c r="AB32" s="411"/>
      <c r="AC32" s="45"/>
      <c r="AE32" s="17"/>
      <c r="AF32" s="17"/>
      <c r="AG32" s="17"/>
      <c r="AH32" s="18">
        <f t="shared" si="26"/>
        <v>0</v>
      </c>
      <c r="AI32" s="19">
        <f>IF(AH$33=0,0,AH32/AH$33)</f>
        <v>0</v>
      </c>
      <c r="AK32" s="17"/>
      <c r="AL32" s="17"/>
      <c r="AM32" s="17"/>
      <c r="AN32" s="18">
        <f t="shared" si="27"/>
        <v>0</v>
      </c>
      <c r="AO32" s="19">
        <f>IF(AN$33=0,0,AN32/AN$33)</f>
        <v>0</v>
      </c>
      <c r="AQ32" s="17"/>
      <c r="AR32" s="17"/>
      <c r="AS32" s="17"/>
      <c r="AT32" s="18">
        <f t="shared" si="24"/>
        <v>0</v>
      </c>
      <c r="AU32" s="19">
        <f>IF(AT$33=0,0,AT32/AT$33)</f>
        <v>0</v>
      </c>
      <c r="AW32" s="17"/>
      <c r="AX32" s="17"/>
      <c r="AY32" s="17"/>
      <c r="AZ32" s="424">
        <f t="shared" si="28"/>
        <v>0</v>
      </c>
      <c r="BA32" s="19">
        <f>IF(AZ$33=0,0,AZ32/AZ$33)</f>
        <v>0</v>
      </c>
    </row>
    <row r="33" spans="1:53" ht="17.100000000000001" customHeight="1" x14ac:dyDescent="0.25">
      <c r="A33" s="40"/>
      <c r="B33" s="40"/>
      <c r="C33" s="77"/>
      <c r="D33" s="78"/>
      <c r="E33" s="78"/>
      <c r="F33" s="78"/>
      <c r="G33" s="79"/>
      <c r="H33" s="217"/>
      <c r="I33" s="230"/>
      <c r="J33" s="80">
        <f>SUM(J30:J32)</f>
        <v>0</v>
      </c>
      <c r="K33" s="80">
        <f t="shared" ref="K33:M33" si="29">SUM(K30:K32)</f>
        <v>0</v>
      </c>
      <c r="L33" s="80">
        <f t="shared" si="29"/>
        <v>0</v>
      </c>
      <c r="M33" s="80">
        <f t="shared" si="29"/>
        <v>0</v>
      </c>
      <c r="N33" s="81"/>
      <c r="O33" s="81"/>
      <c r="P33" s="81"/>
      <c r="Q33" s="81"/>
      <c r="R33" s="81"/>
      <c r="S33" s="81"/>
      <c r="T33" s="81"/>
      <c r="U33" s="81"/>
      <c r="V33" s="81"/>
      <c r="W33" s="381">
        <f>SUM(W30:W32)</f>
        <v>0</v>
      </c>
      <c r="X33" s="82">
        <f t="shared" ref="X33:Y33" si="30">SUM(X30:X32)</f>
        <v>0</v>
      </c>
      <c r="Y33" s="82">
        <f t="shared" si="30"/>
        <v>0</v>
      </c>
      <c r="Z33" s="205">
        <f t="shared" si="25"/>
        <v>0</v>
      </c>
      <c r="AA33" s="205"/>
      <c r="AB33" s="205"/>
      <c r="AC33" s="83"/>
      <c r="AE33" s="107"/>
      <c r="AF33" s="107"/>
      <c r="AG33" s="107"/>
      <c r="AH33" s="82">
        <f>SUM(AH30:AH32)</f>
        <v>0</v>
      </c>
      <c r="AI33" s="66">
        <f>IF(AH$33=0,0,AH33/AH$33)</f>
        <v>0</v>
      </c>
      <c r="AK33" s="107"/>
      <c r="AL33" s="107"/>
      <c r="AM33" s="107"/>
      <c r="AN33" s="82">
        <f>SUM(AN30:AN32)</f>
        <v>0</v>
      </c>
      <c r="AO33" s="66">
        <f>IF(AN$33=0,0,AN33/AN$33)</f>
        <v>0</v>
      </c>
      <c r="AQ33" s="107"/>
      <c r="AR33" s="107"/>
      <c r="AS33" s="107"/>
      <c r="AT33" s="82">
        <f>SUM(AT30:AT32)</f>
        <v>0</v>
      </c>
      <c r="AU33" s="66">
        <f>IF(AT$33=0,0,AT33/AT$33)</f>
        <v>0</v>
      </c>
      <c r="AW33" s="107"/>
      <c r="AX33" s="107"/>
      <c r="AY33" s="107"/>
      <c r="AZ33" s="82">
        <f>SUM(AZ30:AZ32)</f>
        <v>0</v>
      </c>
      <c r="BA33" s="66">
        <f>IF(AZ$33=0,0,AZ33/AZ$33)</f>
        <v>0</v>
      </c>
    </row>
    <row r="34" spans="1:53" s="97" customFormat="1" ht="17.100000000000001" customHeight="1" x14ac:dyDescent="0.25">
      <c r="A34" s="68"/>
      <c r="B34" s="68"/>
      <c r="C34" s="92"/>
      <c r="D34" s="93"/>
      <c r="E34" s="93"/>
      <c r="F34" s="93"/>
      <c r="G34" s="93"/>
      <c r="H34" s="12"/>
      <c r="I34" s="12"/>
      <c r="J34" s="109"/>
      <c r="K34" s="109"/>
      <c r="L34" s="109"/>
      <c r="M34" s="109"/>
      <c r="N34" s="109"/>
      <c r="O34" s="109"/>
      <c r="P34" s="109"/>
      <c r="Q34" s="109"/>
      <c r="R34" s="109"/>
      <c r="S34" s="109"/>
      <c r="T34" s="109"/>
      <c r="U34" s="109"/>
      <c r="V34" s="109"/>
      <c r="W34" s="109"/>
      <c r="X34" s="109"/>
      <c r="Y34" s="109"/>
      <c r="AQ34" s="109"/>
      <c r="AR34" s="109"/>
      <c r="AS34" s="109"/>
      <c r="AT34" s="96"/>
    </row>
    <row r="35" spans="1:53" s="32" customFormat="1" ht="16.5" thickBot="1" x14ac:dyDescent="0.3">
      <c r="A35" s="24" t="s">
        <v>20</v>
      </c>
      <c r="B35" s="25" t="s">
        <v>21</v>
      </c>
      <c r="C35" s="26"/>
      <c r="D35" s="27"/>
      <c r="E35" s="27"/>
      <c r="F35" s="27"/>
      <c r="G35" s="28"/>
      <c r="H35" s="28"/>
      <c r="I35" s="228"/>
      <c r="J35" s="101"/>
      <c r="K35" s="101"/>
      <c r="L35" s="101"/>
      <c r="M35" s="101"/>
      <c r="N35" s="101"/>
      <c r="O35" s="101"/>
      <c r="P35" s="101"/>
      <c r="Q35" s="101"/>
      <c r="R35" s="101"/>
      <c r="S35" s="101"/>
      <c r="T35" s="101"/>
      <c r="U35" s="101"/>
      <c r="V35" s="101"/>
      <c r="W35" s="101"/>
      <c r="X35" s="101"/>
      <c r="Y35" s="415" t="s">
        <v>4</v>
      </c>
      <c r="Z35" s="31" t="s">
        <v>5</v>
      </c>
      <c r="AA35" s="31" t="s">
        <v>181</v>
      </c>
      <c r="AB35" s="31" t="s">
        <v>182</v>
      </c>
      <c r="AC35" s="31" t="s">
        <v>6</v>
      </c>
      <c r="AE35" s="33" t="s">
        <v>181</v>
      </c>
      <c r="AF35" s="33" t="s">
        <v>182</v>
      </c>
      <c r="AG35" s="33" t="s">
        <v>6</v>
      </c>
      <c r="AH35" s="33" t="s">
        <v>4</v>
      </c>
      <c r="AI35" s="34" t="s">
        <v>5</v>
      </c>
      <c r="AK35" s="36" t="s">
        <v>181</v>
      </c>
      <c r="AL35" s="36" t="s">
        <v>182</v>
      </c>
      <c r="AM35" s="36" t="s">
        <v>6</v>
      </c>
      <c r="AN35" s="36" t="s">
        <v>4</v>
      </c>
      <c r="AO35" s="37" t="s">
        <v>5</v>
      </c>
      <c r="AQ35" s="36"/>
      <c r="AR35" s="36"/>
      <c r="AS35" s="36"/>
      <c r="AT35" s="36"/>
      <c r="AU35" s="37"/>
      <c r="AW35" s="38" t="s">
        <v>181</v>
      </c>
      <c r="AX35" s="38" t="s">
        <v>182</v>
      </c>
      <c r="AY35" s="38" t="s">
        <v>6</v>
      </c>
      <c r="AZ35" s="38" t="s">
        <v>4</v>
      </c>
      <c r="BA35" s="39" t="s">
        <v>5</v>
      </c>
    </row>
    <row r="36" spans="1:53" ht="17.100000000000001" customHeight="1" x14ac:dyDescent="0.25">
      <c r="A36" s="119"/>
      <c r="B36" s="41" t="s">
        <v>22</v>
      </c>
      <c r="C36" s="332" t="s">
        <v>23</v>
      </c>
      <c r="D36" s="50"/>
      <c r="E36" s="70"/>
      <c r="F36" s="70"/>
      <c r="G36" s="70"/>
      <c r="H36" s="589">
        <v>9</v>
      </c>
      <c r="J36" s="71"/>
      <c r="K36" s="71"/>
      <c r="L36" s="71"/>
      <c r="M36" s="71"/>
      <c r="N36" s="71"/>
      <c r="O36" s="71"/>
      <c r="P36" s="71"/>
      <c r="Q36" s="71"/>
      <c r="R36" s="71"/>
      <c r="S36" s="71"/>
      <c r="T36" s="71"/>
      <c r="U36" s="71"/>
      <c r="V36" s="355"/>
      <c r="W36" s="377"/>
      <c r="X36" s="71"/>
      <c r="Y36" s="72"/>
      <c r="Z36" s="73"/>
      <c r="AA36" s="73"/>
      <c r="AB36" s="73"/>
      <c r="AC36" s="73"/>
      <c r="AE36" s="71"/>
      <c r="AF36" s="71"/>
      <c r="AG36" s="71"/>
      <c r="AH36" s="72"/>
      <c r="AI36" s="73"/>
      <c r="AJ36" s="117"/>
      <c r="AK36" s="71"/>
      <c r="AL36" s="71"/>
      <c r="AM36" s="71"/>
      <c r="AN36" s="72"/>
      <c r="AO36" s="73"/>
      <c r="AP36" s="117"/>
      <c r="AQ36" s="71"/>
      <c r="AR36" s="71"/>
      <c r="AS36" s="71"/>
      <c r="AT36" s="72"/>
      <c r="AU36" s="73"/>
      <c r="AV36" s="117"/>
      <c r="AW36" s="71"/>
      <c r="AX36" s="71"/>
      <c r="AY36" s="71"/>
      <c r="AZ36" s="273"/>
      <c r="BA36" s="73"/>
    </row>
    <row r="37" spans="1:53" ht="17.100000000000001" customHeight="1" x14ac:dyDescent="0.25">
      <c r="A37" s="119"/>
      <c r="B37" s="647"/>
      <c r="C37" s="103" t="s">
        <v>631</v>
      </c>
      <c r="D37" s="313" t="s">
        <v>658</v>
      </c>
      <c r="E37" s="108"/>
      <c r="F37" s="108"/>
      <c r="G37" s="108"/>
      <c r="H37" s="119"/>
      <c r="J37" s="111"/>
      <c r="K37" s="111"/>
      <c r="L37" s="111"/>
      <c r="M37" s="111"/>
      <c r="N37" s="111"/>
      <c r="O37" s="111"/>
      <c r="P37" s="111"/>
      <c r="Q37" s="111"/>
      <c r="R37" s="111"/>
      <c r="S37" s="111"/>
      <c r="T37" s="111"/>
      <c r="U37" s="111"/>
      <c r="V37" s="358"/>
      <c r="W37" s="380"/>
      <c r="X37" s="111"/>
      <c r="Y37" s="112"/>
      <c r="Z37" s="113"/>
      <c r="AA37" s="113"/>
      <c r="AB37" s="113"/>
      <c r="AC37" s="113"/>
      <c r="AE37" s="111"/>
      <c r="AF37" s="111"/>
      <c r="AG37" s="111"/>
      <c r="AH37" s="112"/>
      <c r="AI37" s="113"/>
      <c r="AJ37" s="117"/>
      <c r="AK37" s="111"/>
      <c r="AL37" s="111"/>
      <c r="AM37" s="111"/>
      <c r="AN37" s="112"/>
      <c r="AO37" s="113"/>
      <c r="AP37" s="117"/>
      <c r="AQ37" s="111"/>
      <c r="AR37" s="111"/>
      <c r="AS37" s="111"/>
      <c r="AT37" s="112"/>
      <c r="AU37" s="113"/>
      <c r="AV37" s="117"/>
      <c r="AW37" s="111"/>
      <c r="AX37" s="111"/>
      <c r="AY37" s="111"/>
      <c r="AZ37" s="114"/>
      <c r="BA37" s="113"/>
    </row>
    <row r="38" spans="1:53" ht="17.100000000000001" customHeight="1" x14ac:dyDescent="0.25">
      <c r="A38" s="47"/>
      <c r="B38" s="55"/>
      <c r="C38" s="56"/>
      <c r="D38" s="120" t="s">
        <v>632</v>
      </c>
      <c r="E38" s="58" t="s">
        <v>659</v>
      </c>
      <c r="F38" s="58"/>
      <c r="G38" s="59"/>
      <c r="H38" s="216"/>
      <c r="I38" s="229"/>
      <c r="J38" s="174"/>
      <c r="K38" s="174"/>
      <c r="L38" s="111"/>
      <c r="M38" s="111"/>
      <c r="N38" s="60"/>
      <c r="O38" s="60"/>
      <c r="P38" s="17">
        <f>SUM(N38:O38)</f>
        <v>0</v>
      </c>
      <c r="Q38" s="60"/>
      <c r="R38" s="60"/>
      <c r="S38" s="17">
        <f>SUM(Q38:R38)</f>
        <v>0</v>
      </c>
      <c r="T38" s="60"/>
      <c r="U38" s="60"/>
      <c r="V38" s="17">
        <f>SUM(T38:U38)</f>
        <v>0</v>
      </c>
      <c r="W38" s="391">
        <f t="shared" ref="W38:W40" si="31">J38+K38+N38+Q38+T38</f>
        <v>0</v>
      </c>
      <c r="X38" s="17">
        <f t="shared" ref="X38:X40" si="32">L38+O38+R38+U38</f>
        <v>0</v>
      </c>
      <c r="Y38" s="18">
        <f>SUM(W38:X38)</f>
        <v>0</v>
      </c>
      <c r="Z38" s="19">
        <f>IF(Y$41=0,0,Y38/Y$41)</f>
        <v>0</v>
      </c>
      <c r="AA38" s="19"/>
      <c r="AB38" s="19"/>
      <c r="AC38" s="20"/>
      <c r="AE38" s="111"/>
      <c r="AF38" s="111"/>
      <c r="AG38" s="111"/>
      <c r="AH38" s="651"/>
      <c r="AI38" s="131"/>
      <c r="AJ38" s="117"/>
      <c r="AK38" s="111"/>
      <c r="AL38" s="111"/>
      <c r="AM38" s="111"/>
      <c r="AN38" s="651"/>
      <c r="AO38" s="131"/>
      <c r="AP38" s="117"/>
      <c r="AQ38" s="17"/>
      <c r="AR38" s="17"/>
      <c r="AS38" s="17"/>
      <c r="AT38" s="18">
        <f>W38</f>
        <v>0</v>
      </c>
      <c r="AU38" s="19">
        <f>IF(AT$41=0,0,AT38/AT$41)</f>
        <v>0</v>
      </c>
      <c r="AV38" s="117"/>
      <c r="AW38" s="17"/>
      <c r="AX38" s="17"/>
      <c r="AY38" s="17"/>
      <c r="AZ38" s="424">
        <f>X38</f>
        <v>0</v>
      </c>
      <c r="BA38" s="19">
        <f>IF(AZ$41=0,0,AZ38/AZ$41)</f>
        <v>0</v>
      </c>
    </row>
    <row r="39" spans="1:53" ht="17.100000000000001" customHeight="1" x14ac:dyDescent="0.25">
      <c r="A39" s="47"/>
      <c r="B39" s="55"/>
      <c r="C39" s="56"/>
      <c r="D39" s="120" t="s">
        <v>633</v>
      </c>
      <c r="E39" s="58" t="s">
        <v>634</v>
      </c>
      <c r="F39" s="58"/>
      <c r="G39" s="59"/>
      <c r="H39" s="216"/>
      <c r="I39" s="229"/>
      <c r="J39" s="174"/>
      <c r="K39" s="174"/>
      <c r="L39" s="111"/>
      <c r="M39" s="111"/>
      <c r="N39" s="61"/>
      <c r="O39" s="61"/>
      <c r="P39" s="17">
        <f t="shared" ref="P39:P40" si="33">SUM(N39:O39)</f>
        <v>0</v>
      </c>
      <c r="Q39" s="61"/>
      <c r="R39" s="61">
        <v>7</v>
      </c>
      <c r="S39" s="17">
        <f t="shared" ref="S39:S40" si="34">SUM(Q39:R39)</f>
        <v>7</v>
      </c>
      <c r="T39" s="61"/>
      <c r="U39" s="61"/>
      <c r="V39" s="17">
        <f t="shared" ref="V39:V40" si="35">SUM(T39:U39)</f>
        <v>0</v>
      </c>
      <c r="W39" s="391">
        <f t="shared" si="31"/>
        <v>0</v>
      </c>
      <c r="X39" s="17">
        <f t="shared" si="32"/>
        <v>7</v>
      </c>
      <c r="Y39" s="18">
        <f>SUM(W39:X39)</f>
        <v>7</v>
      </c>
      <c r="Z39" s="19">
        <f>IF(Y$41=0,0,Y39/Y$41)</f>
        <v>1</v>
      </c>
      <c r="AA39" s="19"/>
      <c r="AB39" s="19"/>
      <c r="AC39" s="20"/>
      <c r="AE39" s="111"/>
      <c r="AF39" s="111"/>
      <c r="AG39" s="111"/>
      <c r="AH39" s="651"/>
      <c r="AI39" s="131"/>
      <c r="AJ39" s="117"/>
      <c r="AK39" s="111"/>
      <c r="AL39" s="111"/>
      <c r="AM39" s="111"/>
      <c r="AN39" s="651"/>
      <c r="AO39" s="131"/>
      <c r="AP39" s="117"/>
      <c r="AQ39" s="17"/>
      <c r="AR39" s="17"/>
      <c r="AS39" s="17"/>
      <c r="AT39" s="18">
        <f>W39</f>
        <v>0</v>
      </c>
      <c r="AU39" s="19">
        <f>IF(AT$41=0,0,AT39/AT$41)</f>
        <v>0</v>
      </c>
      <c r="AV39" s="117"/>
      <c r="AW39" s="17"/>
      <c r="AX39" s="17"/>
      <c r="AY39" s="17"/>
      <c r="AZ39" s="424">
        <f>X39</f>
        <v>7</v>
      </c>
      <c r="BA39" s="19">
        <f>IF(AZ$41=0,0,AZ39/AZ$41)</f>
        <v>1</v>
      </c>
    </row>
    <row r="40" spans="1:53" ht="17.100000000000001" customHeight="1" x14ac:dyDescent="0.25">
      <c r="A40" s="47"/>
      <c r="B40" s="55"/>
      <c r="C40" s="56"/>
      <c r="D40" s="120" t="s">
        <v>744</v>
      </c>
      <c r="E40" s="58" t="s">
        <v>745</v>
      </c>
      <c r="F40" s="58"/>
      <c r="G40" s="59"/>
      <c r="H40" s="216"/>
      <c r="I40" s="229"/>
      <c r="J40" s="174"/>
      <c r="K40" s="174"/>
      <c r="L40" s="111"/>
      <c r="M40" s="111"/>
      <c r="N40" s="60"/>
      <c r="O40" s="60"/>
      <c r="P40" s="17">
        <f t="shared" si="33"/>
        <v>0</v>
      </c>
      <c r="Q40" s="60"/>
      <c r="R40" s="60"/>
      <c r="S40" s="17">
        <f t="shared" si="34"/>
        <v>0</v>
      </c>
      <c r="T40" s="60"/>
      <c r="U40" s="60"/>
      <c r="V40" s="17">
        <f t="shared" si="35"/>
        <v>0</v>
      </c>
      <c r="W40" s="391">
        <f t="shared" si="31"/>
        <v>0</v>
      </c>
      <c r="X40" s="17">
        <f t="shared" si="32"/>
        <v>0</v>
      </c>
      <c r="Y40" s="18">
        <f>SUM(W40:X40)</f>
        <v>0</v>
      </c>
      <c r="Z40" s="19">
        <f>IF(Y$41=0,0,Y40/Y$41)</f>
        <v>0</v>
      </c>
      <c r="AA40" s="19"/>
      <c r="AB40" s="19"/>
      <c r="AC40" s="20"/>
      <c r="AE40" s="111"/>
      <c r="AF40" s="111"/>
      <c r="AG40" s="111"/>
      <c r="AH40" s="651"/>
      <c r="AI40" s="131"/>
      <c r="AJ40" s="117"/>
      <c r="AK40" s="111"/>
      <c r="AL40" s="111"/>
      <c r="AM40" s="111"/>
      <c r="AN40" s="651"/>
      <c r="AO40" s="131"/>
      <c r="AP40" s="117"/>
      <c r="AQ40" s="17"/>
      <c r="AR40" s="17"/>
      <c r="AS40" s="17"/>
      <c r="AT40" s="18">
        <f>W40</f>
        <v>0</v>
      </c>
      <c r="AU40" s="19">
        <f>IF(AT$41=0,0,AT40/AT$41)</f>
        <v>0</v>
      </c>
      <c r="AV40" s="117"/>
      <c r="AW40" s="17"/>
      <c r="AX40" s="17"/>
      <c r="AY40" s="17"/>
      <c r="AZ40" s="424">
        <f>X40</f>
        <v>0</v>
      </c>
      <c r="BA40" s="19">
        <f>IF(AZ$41=0,0,AZ40/AZ$41)</f>
        <v>0</v>
      </c>
    </row>
    <row r="41" spans="1:53" ht="17.100000000000001" customHeight="1" x14ac:dyDescent="0.25">
      <c r="A41" s="40"/>
      <c r="B41" s="40"/>
      <c r="C41" s="77"/>
      <c r="D41" s="78"/>
      <c r="E41" s="78"/>
      <c r="F41" s="78"/>
      <c r="G41" s="78"/>
      <c r="H41" s="242"/>
      <c r="I41" s="230"/>
      <c r="J41" s="80"/>
      <c r="K41" s="80"/>
      <c r="L41" s="80"/>
      <c r="M41" s="80"/>
      <c r="N41" s="64">
        <f>SUM(N38:N40)</f>
        <v>0</v>
      </c>
      <c r="O41" s="64">
        <f t="shared" ref="O41:V41" si="36">SUM(O38:O40)</f>
        <v>0</v>
      </c>
      <c r="P41" s="64">
        <f t="shared" si="36"/>
        <v>0</v>
      </c>
      <c r="Q41" s="64">
        <f t="shared" si="36"/>
        <v>0</v>
      </c>
      <c r="R41" s="64">
        <f t="shared" si="36"/>
        <v>7</v>
      </c>
      <c r="S41" s="64">
        <f t="shared" si="36"/>
        <v>7</v>
      </c>
      <c r="T41" s="64">
        <f t="shared" si="36"/>
        <v>0</v>
      </c>
      <c r="U41" s="64">
        <f t="shared" si="36"/>
        <v>0</v>
      </c>
      <c r="V41" s="64">
        <f t="shared" si="36"/>
        <v>0</v>
      </c>
      <c r="W41" s="381">
        <f>SUM(W38:W40)</f>
        <v>0</v>
      </c>
      <c r="X41" s="82">
        <f t="shared" ref="X41:Y41" si="37">SUM(X38:X40)</f>
        <v>7</v>
      </c>
      <c r="Y41" s="82">
        <f t="shared" si="37"/>
        <v>7</v>
      </c>
      <c r="Z41" s="205">
        <f>IF(Y$41=0,0,Y41/Y$41)</f>
        <v>1</v>
      </c>
      <c r="AA41" s="205"/>
      <c r="AB41" s="205"/>
      <c r="AC41" s="83"/>
      <c r="AE41" s="81"/>
      <c r="AF41" s="81"/>
      <c r="AG41" s="81"/>
      <c r="AH41" s="82"/>
      <c r="AI41" s="66"/>
      <c r="AJ41" s="117"/>
      <c r="AK41" s="81"/>
      <c r="AL41" s="81"/>
      <c r="AM41" s="81"/>
      <c r="AN41" s="82"/>
      <c r="AO41" s="66"/>
      <c r="AP41" s="117"/>
      <c r="AQ41" s="81"/>
      <c r="AR41" s="81"/>
      <c r="AS41" s="81"/>
      <c r="AT41" s="82">
        <f>SUM(AT38:AT40)</f>
        <v>0</v>
      </c>
      <c r="AU41" s="66">
        <f>IF(AT$41=0,0,AT41/AT$41)</f>
        <v>0</v>
      </c>
      <c r="AV41" s="117"/>
      <c r="AW41" s="81"/>
      <c r="AX41" s="81"/>
      <c r="AY41" s="81"/>
      <c r="AZ41" s="82">
        <f>SUM(AZ38:AZ40)</f>
        <v>7</v>
      </c>
      <c r="BA41" s="66">
        <f>IF(AZ$41=0,0,AZ41/AZ$41)</f>
        <v>1</v>
      </c>
    </row>
    <row r="42" spans="1:53" s="117" customFormat="1" ht="17.100000000000001" customHeight="1" x14ac:dyDescent="0.25">
      <c r="A42" s="119"/>
      <c r="B42" s="119"/>
      <c r="C42" s="647"/>
      <c r="D42" s="212"/>
      <c r="E42" s="212"/>
      <c r="F42" s="212"/>
      <c r="G42" s="212"/>
      <c r="H42" s="242"/>
      <c r="I42" s="230"/>
      <c r="J42" s="17"/>
      <c r="K42" s="17"/>
      <c r="L42" s="17"/>
      <c r="M42" s="17"/>
      <c r="N42" s="17" t="str">
        <f>IF(N41=N$20,"OK","NOK")</f>
        <v>OK</v>
      </c>
      <c r="O42" s="17" t="str">
        <f>IF(O41=O$20,"OK","NOK")</f>
        <v>OK</v>
      </c>
      <c r="P42" s="17"/>
      <c r="Q42" s="17" t="str">
        <f>IF(Q41=Q$20,"OK","NOK")</f>
        <v>OK</v>
      </c>
      <c r="R42" s="17" t="str">
        <f>IF(R41=R$20,"OK","NOK")</f>
        <v>OK</v>
      </c>
      <c r="S42" s="17"/>
      <c r="T42" s="17" t="str">
        <f>IF(T41=T$20,"OK","NOK")</f>
        <v>OK</v>
      </c>
      <c r="U42" s="17" t="str">
        <f>IF(U41=U$20,"OK","NOK")</f>
        <v>OK</v>
      </c>
      <c r="V42" s="359"/>
      <c r="W42" s="395">
        <f>IF($Y$41=0,0,W41/$Y$41)</f>
        <v>0</v>
      </c>
      <c r="X42" s="91">
        <f>IF($Y$41=0,0,X41/$Y$41)</f>
        <v>1</v>
      </c>
      <c r="Y42" s="91">
        <f>IF($Y$41=0,0,Y41/$Y$41)</f>
        <v>1</v>
      </c>
      <c r="Z42" s="201"/>
      <c r="AA42" s="201"/>
      <c r="AB42" s="201"/>
      <c r="AC42" s="84"/>
      <c r="AE42" s="17"/>
      <c r="AF42" s="17"/>
      <c r="AG42" s="17"/>
      <c r="AH42" s="646"/>
      <c r="AI42" s="91"/>
      <c r="AK42" s="17"/>
      <c r="AL42" s="17"/>
      <c r="AM42" s="17"/>
      <c r="AN42" s="646"/>
      <c r="AO42" s="91"/>
      <c r="AQ42" s="17"/>
      <c r="AR42" s="17"/>
      <c r="AS42" s="17"/>
      <c r="AT42" s="646"/>
      <c r="AU42" s="91"/>
      <c r="AW42" s="17"/>
      <c r="AX42" s="17"/>
      <c r="AY42" s="17"/>
      <c r="AZ42" s="17"/>
      <c r="BA42" s="91"/>
    </row>
    <row r="43" spans="1:53" ht="17.100000000000001" customHeight="1" x14ac:dyDescent="0.25">
      <c r="A43" s="68"/>
      <c r="B43" s="647"/>
      <c r="C43" s="103" t="s">
        <v>24</v>
      </c>
      <c r="D43" s="110" t="s">
        <v>373</v>
      </c>
      <c r="E43" s="108"/>
      <c r="F43" s="108"/>
      <c r="G43" s="108"/>
      <c r="H43" s="119"/>
      <c r="J43" s="111"/>
      <c r="K43" s="111"/>
      <c r="L43" s="111"/>
      <c r="M43" s="111"/>
      <c r="N43" s="111"/>
      <c r="O43" s="111"/>
      <c r="P43" s="111"/>
      <c r="Q43" s="111"/>
      <c r="R43" s="111"/>
      <c r="S43" s="111"/>
      <c r="T43" s="111"/>
      <c r="U43" s="111"/>
      <c r="V43" s="111"/>
      <c r="W43" s="111"/>
      <c r="X43" s="111"/>
      <c r="Y43" s="111"/>
      <c r="Z43" s="113"/>
      <c r="AA43" s="113"/>
      <c r="AB43" s="113"/>
      <c r="AC43" s="113"/>
      <c r="AE43" s="111"/>
      <c r="AF43" s="111"/>
      <c r="AG43" s="111"/>
      <c r="AH43" s="112"/>
      <c r="AI43" s="113"/>
      <c r="AK43" s="111"/>
      <c r="AL43" s="111"/>
      <c r="AM43" s="111"/>
      <c r="AN43" s="112"/>
      <c r="AO43" s="113"/>
      <c r="AQ43" s="111"/>
      <c r="AR43" s="111"/>
      <c r="AS43" s="111"/>
      <c r="AT43" s="112"/>
      <c r="AU43" s="113"/>
      <c r="AW43" s="111"/>
      <c r="AX43" s="111"/>
      <c r="AY43" s="111"/>
      <c r="AZ43" s="114"/>
      <c r="BA43" s="113"/>
    </row>
    <row r="44" spans="1:53" ht="17.100000000000001" customHeight="1" x14ac:dyDescent="0.25">
      <c r="A44" s="68"/>
      <c r="B44" s="647"/>
      <c r="C44" s="23"/>
      <c r="D44" s="202" t="s">
        <v>25</v>
      </c>
      <c r="E44" s="85" t="s">
        <v>384</v>
      </c>
      <c r="F44" s="75"/>
      <c r="G44" s="75"/>
      <c r="H44" s="119"/>
      <c r="J44" s="581"/>
      <c r="K44" s="581"/>
      <c r="L44" s="582"/>
      <c r="M44" s="593">
        <f>SUM(J44:L44)</f>
        <v>0</v>
      </c>
      <c r="N44" s="111"/>
      <c r="O44" s="111"/>
      <c r="P44" s="111"/>
      <c r="Q44" s="111"/>
      <c r="R44" s="111"/>
      <c r="S44" s="111"/>
      <c r="T44" s="111"/>
      <c r="U44" s="111"/>
      <c r="V44" s="111"/>
      <c r="W44" s="391">
        <f t="shared" ref="W44:W57" si="38">J44+K44+N44+Q44+T44</f>
        <v>0</v>
      </c>
      <c r="X44" s="17">
        <f t="shared" ref="X44:X57" si="39">L44+O44+R44+U44</f>
        <v>0</v>
      </c>
      <c r="Y44" s="18">
        <f t="shared" ref="Y44:Y57" si="40">SUM(W44:X44)</f>
        <v>0</v>
      </c>
      <c r="Z44" s="19">
        <f>IF(Y$58=0,0,Y44/Y$58)</f>
        <v>0</v>
      </c>
      <c r="AA44" s="19"/>
      <c r="AB44" s="19"/>
      <c r="AC44" s="84"/>
      <c r="AE44" s="17"/>
      <c r="AF44" s="17"/>
      <c r="AG44" s="17"/>
      <c r="AH44" s="18">
        <f>J44</f>
        <v>0</v>
      </c>
      <c r="AI44" s="19">
        <f>IF(AH$58=0,0,AH44/AH$58)</f>
        <v>0</v>
      </c>
      <c r="AK44" s="17"/>
      <c r="AL44" s="17"/>
      <c r="AM44" s="17"/>
      <c r="AN44" s="18">
        <f>K44</f>
        <v>0</v>
      </c>
      <c r="AO44" s="19">
        <f>IF(AN$58=0,0,AN44/AN$58)</f>
        <v>0</v>
      </c>
      <c r="AQ44" s="17"/>
      <c r="AR44" s="17"/>
      <c r="AS44" s="17"/>
      <c r="AT44" s="18">
        <f t="shared" ref="AT44:AT57" si="41">W44</f>
        <v>0</v>
      </c>
      <c r="AU44" s="19">
        <f>IF(AT$58=0,0,AT44/AT$58)</f>
        <v>0</v>
      </c>
      <c r="AW44" s="17"/>
      <c r="AX44" s="17"/>
      <c r="AY44" s="17"/>
      <c r="AZ44" s="424">
        <f>X44</f>
        <v>0</v>
      </c>
      <c r="BA44" s="19">
        <f>IF(AZ$58=0,0,AZ44/AZ$58)</f>
        <v>0</v>
      </c>
    </row>
    <row r="45" spans="1:53" ht="17.100000000000001" customHeight="1" x14ac:dyDescent="0.25">
      <c r="A45" s="68"/>
      <c r="B45" s="647"/>
      <c r="C45" s="23"/>
      <c r="D45" s="202" t="s">
        <v>27</v>
      </c>
      <c r="E45" s="85" t="s">
        <v>385</v>
      </c>
      <c r="F45" s="75"/>
      <c r="G45" s="75"/>
      <c r="H45" s="119"/>
      <c r="J45" s="583"/>
      <c r="K45" s="583"/>
      <c r="L45" s="584"/>
      <c r="M45" s="593">
        <f t="shared" ref="M45:M57" si="42">SUM(J45:L45)</f>
        <v>0</v>
      </c>
      <c r="N45" s="111"/>
      <c r="O45" s="111"/>
      <c r="P45" s="111"/>
      <c r="Q45" s="111"/>
      <c r="R45" s="111"/>
      <c r="S45" s="111"/>
      <c r="T45" s="111"/>
      <c r="U45" s="111"/>
      <c r="V45" s="111"/>
      <c r="W45" s="391">
        <f t="shared" si="38"/>
        <v>0</v>
      </c>
      <c r="X45" s="17">
        <f t="shared" si="39"/>
        <v>0</v>
      </c>
      <c r="Y45" s="18">
        <f t="shared" si="40"/>
        <v>0</v>
      </c>
      <c r="Z45" s="19">
        <f t="shared" ref="Z45:Z58" si="43">IF(Y$58=0,0,Y45/Y$58)</f>
        <v>0</v>
      </c>
      <c r="AA45" s="19"/>
      <c r="AB45" s="19"/>
      <c r="AC45" s="84"/>
      <c r="AE45" s="17"/>
      <c r="AF45" s="17"/>
      <c r="AG45" s="17"/>
      <c r="AH45" s="18">
        <f t="shared" ref="AH45:AH57" si="44">J45</f>
        <v>0</v>
      </c>
      <c r="AI45" s="19">
        <f t="shared" ref="AI45:AI58" si="45">IF(AH$58=0,0,AH45/AH$58)</f>
        <v>0</v>
      </c>
      <c r="AK45" s="17"/>
      <c r="AL45" s="17"/>
      <c r="AM45" s="17"/>
      <c r="AN45" s="18">
        <f t="shared" ref="AN45:AN57" si="46">K45</f>
        <v>0</v>
      </c>
      <c r="AO45" s="19">
        <f t="shared" ref="AO45:AO58" si="47">IF(AN$58=0,0,AN45/AN$58)</f>
        <v>0</v>
      </c>
      <c r="AQ45" s="17"/>
      <c r="AR45" s="17"/>
      <c r="AS45" s="17"/>
      <c r="AT45" s="18">
        <f t="shared" si="41"/>
        <v>0</v>
      </c>
      <c r="AU45" s="19">
        <f t="shared" ref="AU45:AU58" si="48">IF(AT$58=0,0,AT45/AT$58)</f>
        <v>0</v>
      </c>
      <c r="AW45" s="17"/>
      <c r="AX45" s="17"/>
      <c r="AY45" s="17"/>
      <c r="AZ45" s="424">
        <f t="shared" ref="AZ45:AZ57" si="49">X45</f>
        <v>0</v>
      </c>
      <c r="BA45" s="19">
        <f t="shared" ref="BA45:BA58" si="50">IF(AZ$58=0,0,AZ45/AZ$58)</f>
        <v>0</v>
      </c>
    </row>
    <row r="46" spans="1:53" ht="17.100000000000001" customHeight="1" x14ac:dyDescent="0.25">
      <c r="A46" s="68"/>
      <c r="B46" s="647"/>
      <c r="C46" s="23"/>
      <c r="D46" s="202" t="s">
        <v>29</v>
      </c>
      <c r="E46" s="85" t="s">
        <v>386</v>
      </c>
      <c r="F46" s="75"/>
      <c r="G46" s="75"/>
      <c r="H46" s="119"/>
      <c r="J46" s="581"/>
      <c r="K46" s="581"/>
      <c r="L46" s="582"/>
      <c r="M46" s="593">
        <f t="shared" si="42"/>
        <v>0</v>
      </c>
      <c r="N46" s="111"/>
      <c r="O46" s="111"/>
      <c r="P46" s="111"/>
      <c r="Q46" s="111"/>
      <c r="R46" s="111"/>
      <c r="S46" s="111"/>
      <c r="T46" s="111"/>
      <c r="U46" s="111"/>
      <c r="V46" s="111"/>
      <c r="W46" s="391">
        <f t="shared" si="38"/>
        <v>0</v>
      </c>
      <c r="X46" s="17">
        <f t="shared" si="39"/>
        <v>0</v>
      </c>
      <c r="Y46" s="18">
        <f t="shared" si="40"/>
        <v>0</v>
      </c>
      <c r="Z46" s="19">
        <f t="shared" si="43"/>
        <v>0</v>
      </c>
      <c r="AA46" s="19"/>
      <c r="AB46" s="19"/>
      <c r="AC46" s="84"/>
      <c r="AE46" s="17"/>
      <c r="AF46" s="17"/>
      <c r="AG46" s="17"/>
      <c r="AH46" s="18">
        <f t="shared" si="44"/>
        <v>0</v>
      </c>
      <c r="AI46" s="19">
        <f t="shared" si="45"/>
        <v>0</v>
      </c>
      <c r="AK46" s="17"/>
      <c r="AL46" s="17"/>
      <c r="AM46" s="17"/>
      <c r="AN46" s="18">
        <f t="shared" si="46"/>
        <v>0</v>
      </c>
      <c r="AO46" s="19">
        <f t="shared" si="47"/>
        <v>0</v>
      </c>
      <c r="AQ46" s="17"/>
      <c r="AR46" s="17"/>
      <c r="AS46" s="17"/>
      <c r="AT46" s="18">
        <f t="shared" si="41"/>
        <v>0</v>
      </c>
      <c r="AU46" s="19">
        <f t="shared" si="48"/>
        <v>0</v>
      </c>
      <c r="AW46" s="17"/>
      <c r="AX46" s="17"/>
      <c r="AY46" s="17"/>
      <c r="AZ46" s="424">
        <f t="shared" si="49"/>
        <v>0</v>
      </c>
      <c r="BA46" s="19">
        <f t="shared" si="50"/>
        <v>0</v>
      </c>
    </row>
    <row r="47" spans="1:53" ht="17.100000000000001" customHeight="1" x14ac:dyDescent="0.25">
      <c r="A47" s="68"/>
      <c r="B47" s="647"/>
      <c r="C47" s="23"/>
      <c r="D47" s="202" t="s">
        <v>31</v>
      </c>
      <c r="E47" s="85" t="s">
        <v>533</v>
      </c>
      <c r="F47" s="75"/>
      <c r="G47" s="75"/>
      <c r="H47" s="119"/>
      <c r="J47" s="583"/>
      <c r="K47" s="583"/>
      <c r="L47" s="584"/>
      <c r="M47" s="593">
        <f t="shared" si="42"/>
        <v>0</v>
      </c>
      <c r="N47" s="111"/>
      <c r="O47" s="111"/>
      <c r="P47" s="111"/>
      <c r="Q47" s="111"/>
      <c r="R47" s="111"/>
      <c r="S47" s="111"/>
      <c r="T47" s="111"/>
      <c r="U47" s="111"/>
      <c r="V47" s="111"/>
      <c r="W47" s="391">
        <f t="shared" si="38"/>
        <v>0</v>
      </c>
      <c r="X47" s="17">
        <f t="shared" si="39"/>
        <v>0</v>
      </c>
      <c r="Y47" s="18">
        <f t="shared" si="40"/>
        <v>0</v>
      </c>
      <c r="Z47" s="19">
        <f t="shared" si="43"/>
        <v>0</v>
      </c>
      <c r="AA47" s="19"/>
      <c r="AB47" s="19"/>
      <c r="AC47" s="84"/>
      <c r="AE47" s="17"/>
      <c r="AF47" s="17"/>
      <c r="AG47" s="17"/>
      <c r="AH47" s="18">
        <f t="shared" si="44"/>
        <v>0</v>
      </c>
      <c r="AI47" s="19">
        <f t="shared" si="45"/>
        <v>0</v>
      </c>
      <c r="AK47" s="17"/>
      <c r="AL47" s="17"/>
      <c r="AM47" s="17"/>
      <c r="AN47" s="18">
        <f t="shared" si="46"/>
        <v>0</v>
      </c>
      <c r="AO47" s="19">
        <f t="shared" si="47"/>
        <v>0</v>
      </c>
      <c r="AQ47" s="17"/>
      <c r="AR47" s="17"/>
      <c r="AS47" s="17"/>
      <c r="AT47" s="18">
        <f t="shared" si="41"/>
        <v>0</v>
      </c>
      <c r="AU47" s="19">
        <f t="shared" si="48"/>
        <v>0</v>
      </c>
      <c r="AW47" s="17"/>
      <c r="AX47" s="17"/>
      <c r="AY47" s="17"/>
      <c r="AZ47" s="424">
        <f t="shared" si="49"/>
        <v>0</v>
      </c>
      <c r="BA47" s="19">
        <f t="shared" si="50"/>
        <v>0</v>
      </c>
    </row>
    <row r="48" spans="1:53" ht="17.100000000000001" customHeight="1" x14ac:dyDescent="0.25">
      <c r="A48" s="68"/>
      <c r="B48" s="647"/>
      <c r="C48" s="93"/>
      <c r="D48" s="202" t="s">
        <v>374</v>
      </c>
      <c r="E48" s="85" t="s">
        <v>534</v>
      </c>
      <c r="F48" s="75"/>
      <c r="G48" s="75"/>
      <c r="H48" s="119"/>
      <c r="J48" s="581"/>
      <c r="K48" s="581"/>
      <c r="L48" s="582"/>
      <c r="M48" s="593">
        <f t="shared" si="42"/>
        <v>0</v>
      </c>
      <c r="N48" s="111"/>
      <c r="O48" s="111"/>
      <c r="P48" s="111"/>
      <c r="Q48" s="111"/>
      <c r="R48" s="111"/>
      <c r="S48" s="111"/>
      <c r="T48" s="111"/>
      <c r="U48" s="111"/>
      <c r="V48" s="111"/>
      <c r="W48" s="391">
        <f t="shared" si="38"/>
        <v>0</v>
      </c>
      <c r="X48" s="17">
        <f t="shared" si="39"/>
        <v>0</v>
      </c>
      <c r="Y48" s="18">
        <f t="shared" si="40"/>
        <v>0</v>
      </c>
      <c r="Z48" s="19">
        <f t="shared" si="43"/>
        <v>0</v>
      </c>
      <c r="AA48" s="19"/>
      <c r="AB48" s="19"/>
      <c r="AC48" s="84"/>
      <c r="AE48" s="17"/>
      <c r="AF48" s="17"/>
      <c r="AG48" s="17"/>
      <c r="AH48" s="18">
        <f t="shared" si="44"/>
        <v>0</v>
      </c>
      <c r="AI48" s="19">
        <f t="shared" si="45"/>
        <v>0</v>
      </c>
      <c r="AK48" s="17"/>
      <c r="AL48" s="17"/>
      <c r="AM48" s="17"/>
      <c r="AN48" s="18">
        <f t="shared" si="46"/>
        <v>0</v>
      </c>
      <c r="AO48" s="19">
        <f t="shared" si="47"/>
        <v>0</v>
      </c>
      <c r="AQ48" s="17"/>
      <c r="AR48" s="17"/>
      <c r="AS48" s="17"/>
      <c r="AT48" s="18">
        <f t="shared" si="41"/>
        <v>0</v>
      </c>
      <c r="AU48" s="19">
        <f t="shared" si="48"/>
        <v>0</v>
      </c>
      <c r="AW48" s="17"/>
      <c r="AX48" s="17"/>
      <c r="AY48" s="17"/>
      <c r="AZ48" s="424">
        <f t="shared" si="49"/>
        <v>0</v>
      </c>
      <c r="BA48" s="19">
        <f t="shared" si="50"/>
        <v>0</v>
      </c>
    </row>
    <row r="49" spans="1:53" ht="17.100000000000001" customHeight="1" x14ac:dyDescent="0.25">
      <c r="A49" s="68"/>
      <c r="B49" s="647"/>
      <c r="C49" s="93"/>
      <c r="D49" s="202" t="s">
        <v>375</v>
      </c>
      <c r="E49" s="85" t="s">
        <v>535</v>
      </c>
      <c r="F49" s="75"/>
      <c r="G49" s="75"/>
      <c r="H49" s="119"/>
      <c r="J49" s="583"/>
      <c r="K49" s="583"/>
      <c r="L49" s="584"/>
      <c r="M49" s="593">
        <f t="shared" si="42"/>
        <v>0</v>
      </c>
      <c r="N49" s="111"/>
      <c r="O49" s="111"/>
      <c r="P49" s="111"/>
      <c r="Q49" s="111"/>
      <c r="R49" s="111"/>
      <c r="S49" s="111"/>
      <c r="T49" s="111"/>
      <c r="U49" s="111"/>
      <c r="V49" s="111"/>
      <c r="W49" s="391">
        <f t="shared" si="38"/>
        <v>0</v>
      </c>
      <c r="X49" s="17">
        <f t="shared" si="39"/>
        <v>0</v>
      </c>
      <c r="Y49" s="18">
        <f t="shared" si="40"/>
        <v>0</v>
      </c>
      <c r="Z49" s="19">
        <f t="shared" si="43"/>
        <v>0</v>
      </c>
      <c r="AA49" s="19"/>
      <c r="AB49" s="19"/>
      <c r="AC49" s="84"/>
      <c r="AE49" s="17"/>
      <c r="AF49" s="17"/>
      <c r="AG49" s="17"/>
      <c r="AH49" s="18">
        <f t="shared" si="44"/>
        <v>0</v>
      </c>
      <c r="AI49" s="19">
        <f t="shared" si="45"/>
        <v>0</v>
      </c>
      <c r="AK49" s="17"/>
      <c r="AL49" s="17"/>
      <c r="AM49" s="17"/>
      <c r="AN49" s="18">
        <f t="shared" si="46"/>
        <v>0</v>
      </c>
      <c r="AO49" s="19">
        <f t="shared" si="47"/>
        <v>0</v>
      </c>
      <c r="AQ49" s="17"/>
      <c r="AR49" s="17"/>
      <c r="AS49" s="17"/>
      <c r="AT49" s="18">
        <f t="shared" si="41"/>
        <v>0</v>
      </c>
      <c r="AU49" s="19">
        <f t="shared" si="48"/>
        <v>0</v>
      </c>
      <c r="AW49" s="17"/>
      <c r="AX49" s="17"/>
      <c r="AY49" s="17"/>
      <c r="AZ49" s="424">
        <f t="shared" si="49"/>
        <v>0</v>
      </c>
      <c r="BA49" s="19">
        <f t="shared" si="50"/>
        <v>0</v>
      </c>
    </row>
    <row r="50" spans="1:53" ht="17.100000000000001" customHeight="1" x14ac:dyDescent="0.25">
      <c r="A50" s="68"/>
      <c r="B50" s="647"/>
      <c r="C50" s="93"/>
      <c r="D50" s="202" t="s">
        <v>376</v>
      </c>
      <c r="E50" s="85" t="s">
        <v>387</v>
      </c>
      <c r="F50" s="75"/>
      <c r="G50" s="75"/>
      <c r="H50" s="119"/>
      <c r="J50" s="581"/>
      <c r="K50" s="581"/>
      <c r="L50" s="582"/>
      <c r="M50" s="593">
        <f t="shared" si="42"/>
        <v>0</v>
      </c>
      <c r="N50" s="111"/>
      <c r="O50" s="111"/>
      <c r="P50" s="111"/>
      <c r="Q50" s="111"/>
      <c r="R50" s="111"/>
      <c r="S50" s="111"/>
      <c r="T50" s="111"/>
      <c r="U50" s="111"/>
      <c r="V50" s="111"/>
      <c r="W50" s="391">
        <f t="shared" si="38"/>
        <v>0</v>
      </c>
      <c r="X50" s="17">
        <f t="shared" si="39"/>
        <v>0</v>
      </c>
      <c r="Y50" s="18">
        <f t="shared" si="40"/>
        <v>0</v>
      </c>
      <c r="Z50" s="19">
        <f t="shared" si="43"/>
        <v>0</v>
      </c>
      <c r="AA50" s="19"/>
      <c r="AB50" s="19"/>
      <c r="AC50" s="84"/>
      <c r="AE50" s="17"/>
      <c r="AF50" s="17"/>
      <c r="AG50" s="17"/>
      <c r="AH50" s="18">
        <f t="shared" si="44"/>
        <v>0</v>
      </c>
      <c r="AI50" s="19">
        <f t="shared" si="45"/>
        <v>0</v>
      </c>
      <c r="AK50" s="17"/>
      <c r="AL50" s="17"/>
      <c r="AM50" s="17"/>
      <c r="AN50" s="18">
        <f t="shared" si="46"/>
        <v>0</v>
      </c>
      <c r="AO50" s="19">
        <f t="shared" si="47"/>
        <v>0</v>
      </c>
      <c r="AQ50" s="17"/>
      <c r="AR50" s="17"/>
      <c r="AS50" s="17"/>
      <c r="AT50" s="18">
        <f t="shared" si="41"/>
        <v>0</v>
      </c>
      <c r="AU50" s="19">
        <f t="shared" si="48"/>
        <v>0</v>
      </c>
      <c r="AW50" s="17"/>
      <c r="AX50" s="17"/>
      <c r="AY50" s="17"/>
      <c r="AZ50" s="424">
        <f t="shared" si="49"/>
        <v>0</v>
      </c>
      <c r="BA50" s="19">
        <f t="shared" si="50"/>
        <v>0</v>
      </c>
    </row>
    <row r="51" spans="1:53" ht="17.100000000000001" customHeight="1" x14ac:dyDescent="0.25">
      <c r="A51" s="68"/>
      <c r="B51" s="647"/>
      <c r="C51" s="93"/>
      <c r="D51" s="202" t="s">
        <v>377</v>
      </c>
      <c r="E51" s="85" t="s">
        <v>388</v>
      </c>
      <c r="F51" s="75"/>
      <c r="G51" s="75"/>
      <c r="H51" s="119"/>
      <c r="J51" s="583"/>
      <c r="K51" s="583"/>
      <c r="L51" s="584"/>
      <c r="M51" s="593">
        <f t="shared" si="42"/>
        <v>0</v>
      </c>
      <c r="N51" s="111"/>
      <c r="O51" s="111"/>
      <c r="P51" s="111"/>
      <c r="Q51" s="111"/>
      <c r="R51" s="111"/>
      <c r="S51" s="111"/>
      <c r="T51" s="111"/>
      <c r="U51" s="111"/>
      <c r="V51" s="111"/>
      <c r="W51" s="391">
        <f t="shared" si="38"/>
        <v>0</v>
      </c>
      <c r="X51" s="17">
        <f t="shared" si="39"/>
        <v>0</v>
      </c>
      <c r="Y51" s="18">
        <f t="shared" si="40"/>
        <v>0</v>
      </c>
      <c r="Z51" s="19">
        <f t="shared" si="43"/>
        <v>0</v>
      </c>
      <c r="AA51" s="19"/>
      <c r="AB51" s="19"/>
      <c r="AC51" s="84"/>
      <c r="AE51" s="17"/>
      <c r="AF51" s="17"/>
      <c r="AG51" s="17"/>
      <c r="AH51" s="18">
        <f t="shared" si="44"/>
        <v>0</v>
      </c>
      <c r="AI51" s="19">
        <f t="shared" si="45"/>
        <v>0</v>
      </c>
      <c r="AK51" s="17"/>
      <c r="AL51" s="17"/>
      <c r="AM51" s="17"/>
      <c r="AN51" s="18">
        <f t="shared" si="46"/>
        <v>0</v>
      </c>
      <c r="AO51" s="19">
        <f t="shared" si="47"/>
        <v>0</v>
      </c>
      <c r="AQ51" s="17"/>
      <c r="AR51" s="17"/>
      <c r="AS51" s="17"/>
      <c r="AT51" s="18">
        <f t="shared" si="41"/>
        <v>0</v>
      </c>
      <c r="AU51" s="19">
        <f t="shared" si="48"/>
        <v>0</v>
      </c>
      <c r="AW51" s="17"/>
      <c r="AX51" s="17"/>
      <c r="AY51" s="17"/>
      <c r="AZ51" s="424">
        <f t="shared" si="49"/>
        <v>0</v>
      </c>
      <c r="BA51" s="19">
        <f t="shared" si="50"/>
        <v>0</v>
      </c>
    </row>
    <row r="52" spans="1:53" ht="17.100000000000001" customHeight="1" x14ac:dyDescent="0.25">
      <c r="A52" s="68"/>
      <c r="B52" s="647"/>
      <c r="C52" s="93"/>
      <c r="D52" s="202" t="s">
        <v>378</v>
      </c>
      <c r="E52" s="85" t="s">
        <v>532</v>
      </c>
      <c r="F52" s="75"/>
      <c r="G52" s="75"/>
      <c r="H52" s="119"/>
      <c r="J52" s="581"/>
      <c r="K52" s="581"/>
      <c r="L52" s="582"/>
      <c r="M52" s="593">
        <f t="shared" si="42"/>
        <v>0</v>
      </c>
      <c r="N52" s="111"/>
      <c r="O52" s="111"/>
      <c r="P52" s="111"/>
      <c r="Q52" s="111"/>
      <c r="R52" s="111"/>
      <c r="S52" s="111"/>
      <c r="T52" s="111"/>
      <c r="U52" s="111"/>
      <c r="V52" s="111"/>
      <c r="W52" s="391">
        <f t="shared" si="38"/>
        <v>0</v>
      </c>
      <c r="X52" s="17">
        <f t="shared" si="39"/>
        <v>0</v>
      </c>
      <c r="Y52" s="18">
        <f t="shared" si="40"/>
        <v>0</v>
      </c>
      <c r="Z52" s="19">
        <f t="shared" si="43"/>
        <v>0</v>
      </c>
      <c r="AA52" s="19"/>
      <c r="AB52" s="19"/>
      <c r="AC52" s="84"/>
      <c r="AE52" s="17"/>
      <c r="AF52" s="17"/>
      <c r="AG52" s="17"/>
      <c r="AH52" s="18">
        <f t="shared" si="44"/>
        <v>0</v>
      </c>
      <c r="AI52" s="19">
        <f t="shared" si="45"/>
        <v>0</v>
      </c>
      <c r="AK52" s="17"/>
      <c r="AL52" s="17"/>
      <c r="AM52" s="17"/>
      <c r="AN52" s="18">
        <f t="shared" si="46"/>
        <v>0</v>
      </c>
      <c r="AO52" s="19">
        <f t="shared" si="47"/>
        <v>0</v>
      </c>
      <c r="AQ52" s="17"/>
      <c r="AR52" s="17"/>
      <c r="AS52" s="17"/>
      <c r="AT52" s="18">
        <f t="shared" si="41"/>
        <v>0</v>
      </c>
      <c r="AU52" s="19">
        <f t="shared" si="48"/>
        <v>0</v>
      </c>
      <c r="AW52" s="17"/>
      <c r="AX52" s="17"/>
      <c r="AY52" s="17"/>
      <c r="AZ52" s="424">
        <f t="shared" si="49"/>
        <v>0</v>
      </c>
      <c r="BA52" s="19">
        <f t="shared" si="50"/>
        <v>0</v>
      </c>
    </row>
    <row r="53" spans="1:53" ht="17.100000000000001" customHeight="1" x14ac:dyDescent="0.25">
      <c r="A53" s="68"/>
      <c r="B53" s="647"/>
      <c r="C53" s="93"/>
      <c r="D53" s="202" t="s">
        <v>379</v>
      </c>
      <c r="E53" s="85" t="s">
        <v>389</v>
      </c>
      <c r="F53" s="75"/>
      <c r="G53" s="105"/>
      <c r="H53" s="119"/>
      <c r="J53" s="583"/>
      <c r="K53" s="583"/>
      <c r="L53" s="584"/>
      <c r="M53" s="593">
        <f t="shared" si="42"/>
        <v>0</v>
      </c>
      <c r="N53" s="111"/>
      <c r="O53" s="111"/>
      <c r="P53" s="111"/>
      <c r="Q53" s="111"/>
      <c r="R53" s="111"/>
      <c r="S53" s="111"/>
      <c r="T53" s="111"/>
      <c r="U53" s="111"/>
      <c r="V53" s="111"/>
      <c r="W53" s="391">
        <f t="shared" si="38"/>
        <v>0</v>
      </c>
      <c r="X53" s="17">
        <f t="shared" si="39"/>
        <v>0</v>
      </c>
      <c r="Y53" s="18">
        <f t="shared" si="40"/>
        <v>0</v>
      </c>
      <c r="Z53" s="19">
        <f t="shared" si="43"/>
        <v>0</v>
      </c>
      <c r="AA53" s="19"/>
      <c r="AB53" s="19"/>
      <c r="AC53" s="84"/>
      <c r="AE53" s="17"/>
      <c r="AF53" s="17"/>
      <c r="AG53" s="17"/>
      <c r="AH53" s="18">
        <f t="shared" si="44"/>
        <v>0</v>
      </c>
      <c r="AI53" s="19">
        <f t="shared" si="45"/>
        <v>0</v>
      </c>
      <c r="AK53" s="17"/>
      <c r="AL53" s="17"/>
      <c r="AM53" s="17"/>
      <c r="AN53" s="18">
        <f t="shared" si="46"/>
        <v>0</v>
      </c>
      <c r="AO53" s="19">
        <f t="shared" si="47"/>
        <v>0</v>
      </c>
      <c r="AQ53" s="17"/>
      <c r="AR53" s="17"/>
      <c r="AS53" s="17"/>
      <c r="AT53" s="18">
        <f t="shared" si="41"/>
        <v>0</v>
      </c>
      <c r="AU53" s="19">
        <f t="shared" si="48"/>
        <v>0</v>
      </c>
      <c r="AW53" s="17"/>
      <c r="AX53" s="17"/>
      <c r="AY53" s="17"/>
      <c r="AZ53" s="424">
        <f t="shared" si="49"/>
        <v>0</v>
      </c>
      <c r="BA53" s="19">
        <f t="shared" si="50"/>
        <v>0</v>
      </c>
    </row>
    <row r="54" spans="1:53" ht="17.100000000000001" customHeight="1" x14ac:dyDescent="0.25">
      <c r="A54" s="68"/>
      <c r="B54" s="647"/>
      <c r="C54" s="93"/>
      <c r="D54" s="202" t="s">
        <v>380</v>
      </c>
      <c r="E54" s="85" t="s">
        <v>390</v>
      </c>
      <c r="F54" s="75"/>
      <c r="G54" s="105"/>
      <c r="H54" s="119"/>
      <c r="J54" s="581"/>
      <c r="K54" s="581"/>
      <c r="L54" s="582"/>
      <c r="M54" s="593">
        <f t="shared" si="42"/>
        <v>0</v>
      </c>
      <c r="N54" s="111"/>
      <c r="O54" s="111"/>
      <c r="P54" s="111"/>
      <c r="Q54" s="111"/>
      <c r="R54" s="111"/>
      <c r="S54" s="111"/>
      <c r="T54" s="111"/>
      <c r="U54" s="111"/>
      <c r="V54" s="111"/>
      <c r="W54" s="391">
        <f t="shared" si="38"/>
        <v>0</v>
      </c>
      <c r="X54" s="17">
        <f t="shared" si="39"/>
        <v>0</v>
      </c>
      <c r="Y54" s="18">
        <f t="shared" si="40"/>
        <v>0</v>
      </c>
      <c r="Z54" s="19">
        <f t="shared" si="43"/>
        <v>0</v>
      </c>
      <c r="AA54" s="19"/>
      <c r="AB54" s="19"/>
      <c r="AC54" s="84"/>
      <c r="AE54" s="17"/>
      <c r="AF54" s="17"/>
      <c r="AG54" s="17"/>
      <c r="AH54" s="18">
        <f t="shared" si="44"/>
        <v>0</v>
      </c>
      <c r="AI54" s="19">
        <f t="shared" si="45"/>
        <v>0</v>
      </c>
      <c r="AK54" s="17"/>
      <c r="AL54" s="17"/>
      <c r="AM54" s="17"/>
      <c r="AN54" s="18">
        <f t="shared" si="46"/>
        <v>0</v>
      </c>
      <c r="AO54" s="19">
        <f t="shared" si="47"/>
        <v>0</v>
      </c>
      <c r="AQ54" s="17"/>
      <c r="AR54" s="17"/>
      <c r="AS54" s="17"/>
      <c r="AT54" s="18">
        <f t="shared" si="41"/>
        <v>0</v>
      </c>
      <c r="AU54" s="19">
        <f t="shared" si="48"/>
        <v>0</v>
      </c>
      <c r="AW54" s="17"/>
      <c r="AX54" s="17"/>
      <c r="AY54" s="17"/>
      <c r="AZ54" s="424">
        <f t="shared" si="49"/>
        <v>0</v>
      </c>
      <c r="BA54" s="19">
        <f t="shared" si="50"/>
        <v>0</v>
      </c>
    </row>
    <row r="55" spans="1:53" ht="17.100000000000001" customHeight="1" x14ac:dyDescent="0.25">
      <c r="A55" s="68"/>
      <c r="B55" s="647"/>
      <c r="C55" s="93"/>
      <c r="D55" s="202" t="s">
        <v>381</v>
      </c>
      <c r="E55" s="85" t="s">
        <v>536</v>
      </c>
      <c r="F55" s="75"/>
      <c r="G55" s="105"/>
      <c r="H55" s="119"/>
      <c r="J55" s="583"/>
      <c r="K55" s="583"/>
      <c r="L55" s="584"/>
      <c r="M55" s="593">
        <f t="shared" si="42"/>
        <v>0</v>
      </c>
      <c r="N55" s="111"/>
      <c r="O55" s="111"/>
      <c r="P55" s="111"/>
      <c r="Q55" s="111"/>
      <c r="R55" s="111"/>
      <c r="S55" s="111"/>
      <c r="T55" s="111"/>
      <c r="U55" s="111"/>
      <c r="V55" s="111"/>
      <c r="W55" s="391">
        <f t="shared" si="38"/>
        <v>0</v>
      </c>
      <c r="X55" s="17">
        <f t="shared" si="39"/>
        <v>0</v>
      </c>
      <c r="Y55" s="18">
        <f t="shared" si="40"/>
        <v>0</v>
      </c>
      <c r="Z55" s="19">
        <f t="shared" si="43"/>
        <v>0</v>
      </c>
      <c r="AA55" s="19"/>
      <c r="AB55" s="19"/>
      <c r="AC55" s="84"/>
      <c r="AE55" s="17"/>
      <c r="AF55" s="17"/>
      <c r="AG55" s="17"/>
      <c r="AH55" s="18">
        <f t="shared" si="44"/>
        <v>0</v>
      </c>
      <c r="AI55" s="19">
        <f t="shared" si="45"/>
        <v>0</v>
      </c>
      <c r="AK55" s="17"/>
      <c r="AL55" s="17"/>
      <c r="AM55" s="17"/>
      <c r="AN55" s="18">
        <f t="shared" si="46"/>
        <v>0</v>
      </c>
      <c r="AO55" s="19">
        <f t="shared" si="47"/>
        <v>0</v>
      </c>
      <c r="AQ55" s="17"/>
      <c r="AR55" s="17"/>
      <c r="AS55" s="17"/>
      <c r="AT55" s="18">
        <f t="shared" si="41"/>
        <v>0</v>
      </c>
      <c r="AU55" s="19">
        <f t="shared" si="48"/>
        <v>0</v>
      </c>
      <c r="AW55" s="17"/>
      <c r="AX55" s="17"/>
      <c r="AY55" s="17"/>
      <c r="AZ55" s="424">
        <f t="shared" si="49"/>
        <v>0</v>
      </c>
      <c r="BA55" s="19">
        <f t="shared" si="50"/>
        <v>0</v>
      </c>
    </row>
    <row r="56" spans="1:53" ht="17.100000000000001" customHeight="1" x14ac:dyDescent="0.25">
      <c r="A56" s="68"/>
      <c r="B56" s="647"/>
      <c r="C56" s="93"/>
      <c r="D56" s="202" t="s">
        <v>382</v>
      </c>
      <c r="E56" s="85" t="s">
        <v>391</v>
      </c>
      <c r="F56" s="75"/>
      <c r="G56" s="105"/>
      <c r="H56" s="119"/>
      <c r="J56" s="581"/>
      <c r="K56" s="581"/>
      <c r="L56" s="582"/>
      <c r="M56" s="593">
        <f t="shared" si="42"/>
        <v>0</v>
      </c>
      <c r="N56" s="111"/>
      <c r="O56" s="111"/>
      <c r="P56" s="111"/>
      <c r="Q56" s="111"/>
      <c r="R56" s="111"/>
      <c r="S56" s="111"/>
      <c r="T56" s="111"/>
      <c r="U56" s="111"/>
      <c r="V56" s="111"/>
      <c r="W56" s="391">
        <f t="shared" si="38"/>
        <v>0</v>
      </c>
      <c r="X56" s="17">
        <f t="shared" si="39"/>
        <v>0</v>
      </c>
      <c r="Y56" s="18">
        <f t="shared" si="40"/>
        <v>0</v>
      </c>
      <c r="Z56" s="19">
        <f t="shared" si="43"/>
        <v>0</v>
      </c>
      <c r="AA56" s="19"/>
      <c r="AB56" s="19"/>
      <c r="AC56" s="84"/>
      <c r="AE56" s="17"/>
      <c r="AF56" s="17"/>
      <c r="AG56" s="17"/>
      <c r="AH56" s="18">
        <f t="shared" si="44"/>
        <v>0</v>
      </c>
      <c r="AI56" s="19">
        <f t="shared" si="45"/>
        <v>0</v>
      </c>
      <c r="AK56" s="17"/>
      <c r="AL56" s="17"/>
      <c r="AM56" s="17"/>
      <c r="AN56" s="18">
        <f t="shared" si="46"/>
        <v>0</v>
      </c>
      <c r="AO56" s="19">
        <f t="shared" si="47"/>
        <v>0</v>
      </c>
      <c r="AQ56" s="17"/>
      <c r="AR56" s="17"/>
      <c r="AS56" s="17"/>
      <c r="AT56" s="18">
        <f t="shared" si="41"/>
        <v>0</v>
      </c>
      <c r="AU56" s="19">
        <f t="shared" si="48"/>
        <v>0</v>
      </c>
      <c r="AW56" s="17"/>
      <c r="AX56" s="17"/>
      <c r="AY56" s="17"/>
      <c r="AZ56" s="424">
        <f t="shared" si="49"/>
        <v>0</v>
      </c>
      <c r="BA56" s="19">
        <f t="shared" si="50"/>
        <v>0</v>
      </c>
    </row>
    <row r="57" spans="1:53" ht="17.100000000000001" customHeight="1" x14ac:dyDescent="0.25">
      <c r="A57" s="68"/>
      <c r="B57" s="647"/>
      <c r="C57" s="93"/>
      <c r="D57" s="202" t="s">
        <v>383</v>
      </c>
      <c r="E57" s="85" t="s">
        <v>392</v>
      </c>
      <c r="F57" s="75"/>
      <c r="G57" s="105"/>
      <c r="H57" s="119"/>
      <c r="J57" s="583"/>
      <c r="K57" s="583"/>
      <c r="L57" s="584"/>
      <c r="M57" s="593">
        <f t="shared" si="42"/>
        <v>0</v>
      </c>
      <c r="N57" s="111"/>
      <c r="O57" s="111"/>
      <c r="P57" s="111"/>
      <c r="Q57" s="111"/>
      <c r="R57" s="111"/>
      <c r="S57" s="111"/>
      <c r="T57" s="111"/>
      <c r="U57" s="111"/>
      <c r="V57" s="111"/>
      <c r="W57" s="391">
        <f t="shared" si="38"/>
        <v>0</v>
      </c>
      <c r="X57" s="17">
        <f t="shared" si="39"/>
        <v>0</v>
      </c>
      <c r="Y57" s="18">
        <f t="shared" si="40"/>
        <v>0</v>
      </c>
      <c r="Z57" s="19">
        <f t="shared" si="43"/>
        <v>0</v>
      </c>
      <c r="AA57" s="19"/>
      <c r="AB57" s="19"/>
      <c r="AC57" s="84"/>
      <c r="AE57" s="17"/>
      <c r="AF57" s="17"/>
      <c r="AG57" s="17"/>
      <c r="AH57" s="18">
        <f t="shared" si="44"/>
        <v>0</v>
      </c>
      <c r="AI57" s="19">
        <f t="shared" si="45"/>
        <v>0</v>
      </c>
      <c r="AK57" s="17"/>
      <c r="AL57" s="17"/>
      <c r="AM57" s="17"/>
      <c r="AN57" s="18">
        <f t="shared" si="46"/>
        <v>0</v>
      </c>
      <c r="AO57" s="19">
        <f t="shared" si="47"/>
        <v>0</v>
      </c>
      <c r="AQ57" s="17"/>
      <c r="AR57" s="17"/>
      <c r="AS57" s="17"/>
      <c r="AT57" s="18">
        <f t="shared" si="41"/>
        <v>0</v>
      </c>
      <c r="AU57" s="19">
        <f t="shared" si="48"/>
        <v>0</v>
      </c>
      <c r="AW57" s="17"/>
      <c r="AX57" s="17"/>
      <c r="AY57" s="17"/>
      <c r="AZ57" s="424">
        <f t="shared" si="49"/>
        <v>0</v>
      </c>
      <c r="BA57" s="19">
        <f t="shared" si="50"/>
        <v>0</v>
      </c>
    </row>
    <row r="58" spans="1:53" ht="17.100000000000001" customHeight="1" x14ac:dyDescent="0.25">
      <c r="A58" s="40"/>
      <c r="B58" s="40"/>
      <c r="C58" s="77"/>
      <c r="D58" s="78"/>
      <c r="E58" s="78"/>
      <c r="F58" s="78"/>
      <c r="G58" s="78"/>
      <c r="H58" s="242"/>
      <c r="I58" s="230"/>
      <c r="J58" s="80">
        <f>SUM(J44:J57)</f>
        <v>0</v>
      </c>
      <c r="K58" s="80">
        <f t="shared" ref="K58:M58" si="51">SUM(K44:K57)</f>
        <v>0</v>
      </c>
      <c r="L58" s="80">
        <f t="shared" si="51"/>
        <v>0</v>
      </c>
      <c r="M58" s="80">
        <f t="shared" si="51"/>
        <v>0</v>
      </c>
      <c r="N58" s="80"/>
      <c r="O58" s="80"/>
      <c r="P58" s="80"/>
      <c r="Q58" s="81"/>
      <c r="R58" s="81"/>
      <c r="S58" s="81"/>
      <c r="T58" s="81"/>
      <c r="U58" s="81"/>
      <c r="V58" s="81"/>
      <c r="W58" s="381">
        <f>SUM(W44:W57)</f>
        <v>0</v>
      </c>
      <c r="X58" s="82">
        <f t="shared" ref="X58:Y58" si="52">SUM(X44:X57)</f>
        <v>0</v>
      </c>
      <c r="Y58" s="82">
        <f t="shared" si="52"/>
        <v>0</v>
      </c>
      <c r="Z58" s="205">
        <f t="shared" si="43"/>
        <v>0</v>
      </c>
      <c r="AA58" s="205"/>
      <c r="AB58" s="205"/>
      <c r="AC58" s="83"/>
      <c r="AE58" s="81"/>
      <c r="AF58" s="81"/>
      <c r="AG58" s="81"/>
      <c r="AH58" s="82">
        <f>SUM(AH44:AH57)</f>
        <v>0</v>
      </c>
      <c r="AI58" s="66">
        <f t="shared" si="45"/>
        <v>0</v>
      </c>
      <c r="AK58" s="81"/>
      <c r="AL58" s="81"/>
      <c r="AM58" s="81"/>
      <c r="AN58" s="82">
        <f>SUM(AN44:AN57)</f>
        <v>0</v>
      </c>
      <c r="AO58" s="66">
        <f t="shared" si="47"/>
        <v>0</v>
      </c>
      <c r="AQ58" s="81"/>
      <c r="AR58" s="81"/>
      <c r="AS58" s="81"/>
      <c r="AT58" s="82">
        <f>SUM(AT44:AT57)</f>
        <v>0</v>
      </c>
      <c r="AU58" s="66">
        <f t="shared" si="48"/>
        <v>0</v>
      </c>
      <c r="AW58" s="81"/>
      <c r="AX58" s="81"/>
      <c r="AY58" s="81"/>
      <c r="AZ58" s="82">
        <f>SUM(AZ44:AZ57)</f>
        <v>0</v>
      </c>
      <c r="BA58" s="66">
        <f t="shared" si="50"/>
        <v>0</v>
      </c>
    </row>
    <row r="59" spans="1:53" s="117" customFormat="1" ht="17.100000000000001" customHeight="1" x14ac:dyDescent="0.25">
      <c r="A59" s="119"/>
      <c r="B59" s="119"/>
      <c r="C59" s="647"/>
      <c r="D59" s="212"/>
      <c r="E59" s="212"/>
      <c r="F59" s="212"/>
      <c r="G59" s="212"/>
      <c r="H59" s="242"/>
      <c r="I59" s="230"/>
      <c r="J59" s="17" t="str">
        <f>IF(J58=J$15,"OK","NOK")</f>
        <v>OK</v>
      </c>
      <c r="K59" s="17" t="str">
        <f t="shared" ref="K59:L59" si="53">IF(K58=K$15,"OK","NOK")</f>
        <v>OK</v>
      </c>
      <c r="L59" s="17" t="str">
        <f t="shared" si="53"/>
        <v>OK</v>
      </c>
      <c r="M59" s="17"/>
      <c r="N59" s="17"/>
      <c r="O59" s="17"/>
      <c r="P59" s="17"/>
      <c r="Q59" s="17"/>
      <c r="R59" s="17"/>
      <c r="S59" s="17"/>
      <c r="T59" s="17"/>
      <c r="U59" s="17"/>
      <c r="V59" s="17"/>
      <c r="W59" s="646"/>
      <c r="X59" s="646"/>
      <c r="Y59" s="646"/>
      <c r="Z59" s="201"/>
      <c r="AA59" s="201"/>
      <c r="AB59" s="201"/>
      <c r="AC59" s="84"/>
      <c r="AE59" s="17"/>
      <c r="AF59" s="17"/>
      <c r="AG59" s="17"/>
      <c r="AH59" s="646"/>
      <c r="AI59" s="91"/>
      <c r="AK59" s="17"/>
      <c r="AL59" s="17"/>
      <c r="AM59" s="17"/>
      <c r="AN59" s="646"/>
      <c r="AO59" s="91"/>
      <c r="AQ59" s="17"/>
      <c r="AR59" s="17"/>
      <c r="AS59" s="17"/>
      <c r="AT59" s="646"/>
      <c r="AU59" s="91"/>
      <c r="AW59" s="17"/>
      <c r="AX59" s="17"/>
      <c r="AY59" s="17"/>
      <c r="AZ59" s="17"/>
      <c r="BA59" s="91"/>
    </row>
    <row r="60" spans="1:53" ht="17.100000000000001" customHeight="1" x14ac:dyDescent="0.25">
      <c r="A60" s="102"/>
      <c r="B60" s="102"/>
      <c r="C60" s="103" t="s">
        <v>33</v>
      </c>
      <c r="D60" s="110" t="s">
        <v>736</v>
      </c>
      <c r="E60" s="108"/>
      <c r="F60" s="108"/>
      <c r="G60" s="108"/>
      <c r="H60" s="315"/>
      <c r="I60" s="232"/>
      <c r="J60" s="111"/>
      <c r="K60" s="111"/>
      <c r="L60" s="111"/>
      <c r="M60" s="111"/>
      <c r="N60" s="111"/>
      <c r="O60" s="111"/>
      <c r="P60" s="111"/>
      <c r="Q60" s="111"/>
      <c r="R60" s="111"/>
      <c r="S60" s="111"/>
      <c r="T60" s="111"/>
      <c r="U60" s="111"/>
      <c r="V60" s="111"/>
      <c r="W60" s="111"/>
      <c r="X60" s="111"/>
      <c r="Y60" s="111"/>
      <c r="Z60" s="113"/>
      <c r="AA60" s="113"/>
      <c r="AB60" s="113"/>
      <c r="AC60" s="113"/>
      <c r="AE60" s="114"/>
      <c r="AF60" s="114"/>
      <c r="AG60" s="114"/>
      <c r="AH60" s="112"/>
      <c r="AI60" s="113"/>
      <c r="AK60" s="114"/>
      <c r="AL60" s="114"/>
      <c r="AM60" s="114"/>
      <c r="AN60" s="112"/>
      <c r="AO60" s="113"/>
      <c r="AQ60" s="114"/>
      <c r="AR60" s="114"/>
      <c r="AS60" s="114"/>
      <c r="AT60" s="112"/>
      <c r="AU60" s="113"/>
      <c r="AW60" s="114"/>
      <c r="AX60" s="114"/>
      <c r="AY60" s="114"/>
      <c r="AZ60" s="114"/>
      <c r="BA60" s="113"/>
    </row>
    <row r="61" spans="1:53" s="117" customFormat="1" ht="17.100000000000001" customHeight="1" x14ac:dyDescent="0.25">
      <c r="A61" s="647"/>
      <c r="B61" s="23"/>
      <c r="C61" s="23"/>
      <c r="D61" s="74" t="s">
        <v>34</v>
      </c>
      <c r="E61" s="75" t="s">
        <v>26</v>
      </c>
      <c r="F61" s="75"/>
      <c r="G61" s="75"/>
      <c r="H61" s="23"/>
      <c r="I61" s="229"/>
      <c r="J61" s="152"/>
      <c r="K61" s="152"/>
      <c r="L61" s="111"/>
      <c r="M61" s="111"/>
      <c r="N61" s="60"/>
      <c r="O61" s="60"/>
      <c r="P61" s="593">
        <f>SUM(N61:O61)</f>
        <v>0</v>
      </c>
      <c r="Q61" s="60"/>
      <c r="R61" s="60"/>
      <c r="S61" s="593">
        <f>SUM(Q61:R61)</f>
        <v>0</v>
      </c>
      <c r="T61" s="60"/>
      <c r="U61" s="60"/>
      <c r="V61" s="593">
        <f>SUM(T61:U61)</f>
        <v>0</v>
      </c>
      <c r="W61" s="391">
        <f t="shared" ref="W61:W64" si="54">J61+K61+N61+Q61+T61</f>
        <v>0</v>
      </c>
      <c r="X61" s="17">
        <f t="shared" ref="X61:X64" si="55">L61+O61+R61+U61</f>
        <v>0</v>
      </c>
      <c r="Y61" s="18">
        <f>SUM(W61:X61)</f>
        <v>0</v>
      </c>
      <c r="Z61" s="19">
        <f>IF(Y$65=0,0,Y61/Y$65)</f>
        <v>0</v>
      </c>
      <c r="AA61" s="91"/>
      <c r="AB61" s="91"/>
      <c r="AC61" s="84"/>
      <c r="AE61" s="111"/>
      <c r="AF61" s="111"/>
      <c r="AG61" s="111"/>
      <c r="AH61" s="651"/>
      <c r="AI61" s="131"/>
      <c r="AK61" s="111"/>
      <c r="AL61" s="111"/>
      <c r="AM61" s="111"/>
      <c r="AN61" s="651"/>
      <c r="AO61" s="131"/>
      <c r="AQ61" s="17"/>
      <c r="AR61" s="17"/>
      <c r="AS61" s="17"/>
      <c r="AT61" s="18">
        <f>W61</f>
        <v>0</v>
      </c>
      <c r="AU61" s="19">
        <f>IF(AT$65=0,0,AT61/AT$65)</f>
        <v>0</v>
      </c>
      <c r="AW61" s="17"/>
      <c r="AX61" s="17"/>
      <c r="AY61" s="17"/>
      <c r="AZ61" s="424">
        <f>X61</f>
        <v>0</v>
      </c>
      <c r="BA61" s="91">
        <f>IF(AZ$65=0,0,AZ61/AZ$65)</f>
        <v>0</v>
      </c>
    </row>
    <row r="62" spans="1:53" s="117" customFormat="1" ht="17.100000000000001" customHeight="1" x14ac:dyDescent="0.25">
      <c r="A62" s="647"/>
      <c r="B62" s="23"/>
      <c r="C62" s="23"/>
      <c r="D62" s="74" t="s">
        <v>36</v>
      </c>
      <c r="E62" s="75" t="s">
        <v>28</v>
      </c>
      <c r="F62" s="75"/>
      <c r="G62" s="75"/>
      <c r="H62" s="23"/>
      <c r="I62" s="229"/>
      <c r="J62" s="152"/>
      <c r="K62" s="152"/>
      <c r="L62" s="111"/>
      <c r="M62" s="111"/>
      <c r="N62" s="61"/>
      <c r="O62" s="61"/>
      <c r="P62" s="593">
        <f t="shared" ref="P62:P64" si="56">SUM(N62:O62)</f>
        <v>0</v>
      </c>
      <c r="Q62" s="61"/>
      <c r="R62" s="61"/>
      <c r="S62" s="593">
        <f t="shared" ref="S62:S64" si="57">SUM(Q62:R62)</f>
        <v>0</v>
      </c>
      <c r="T62" s="61"/>
      <c r="U62" s="61"/>
      <c r="V62" s="593">
        <f t="shared" ref="V62:V64" si="58">SUM(T62:U62)</f>
        <v>0</v>
      </c>
      <c r="W62" s="391">
        <f t="shared" si="54"/>
        <v>0</v>
      </c>
      <c r="X62" s="17">
        <f t="shared" si="55"/>
        <v>0</v>
      </c>
      <c r="Y62" s="18">
        <f>SUM(W62:X62)</f>
        <v>0</v>
      </c>
      <c r="Z62" s="19">
        <f t="shared" ref="Z62:Z65" si="59">IF(Y$65=0,0,Y62/Y$65)</f>
        <v>0</v>
      </c>
      <c r="AA62" s="91"/>
      <c r="AB62" s="91"/>
      <c r="AC62" s="84"/>
      <c r="AE62" s="111"/>
      <c r="AF62" s="111"/>
      <c r="AG62" s="111"/>
      <c r="AH62" s="651"/>
      <c r="AI62" s="131"/>
      <c r="AK62" s="111"/>
      <c r="AL62" s="111"/>
      <c r="AM62" s="111"/>
      <c r="AN62" s="651"/>
      <c r="AO62" s="131"/>
      <c r="AQ62" s="17"/>
      <c r="AR62" s="17"/>
      <c r="AS62" s="17"/>
      <c r="AT62" s="18">
        <f t="shared" ref="AT62:AT64" si="60">W62</f>
        <v>0</v>
      </c>
      <c r="AU62" s="19">
        <f t="shared" ref="AU62:AU65" si="61">IF(AT$65=0,0,AT62/AT$65)</f>
        <v>0</v>
      </c>
      <c r="AW62" s="17"/>
      <c r="AX62" s="17"/>
      <c r="AY62" s="17"/>
      <c r="AZ62" s="424">
        <f t="shared" ref="AZ62:AZ64" si="62">X62</f>
        <v>0</v>
      </c>
      <c r="BA62" s="91">
        <f>IF(AZ$65=0,0,AZ62/AZ$65)</f>
        <v>0</v>
      </c>
    </row>
    <row r="63" spans="1:53" s="117" customFormat="1" ht="17.100000000000001" customHeight="1" x14ac:dyDescent="0.25">
      <c r="A63" s="647"/>
      <c r="B63" s="23"/>
      <c r="C63" s="23"/>
      <c r="D63" s="74" t="s">
        <v>38</v>
      </c>
      <c r="E63" s="75" t="s">
        <v>30</v>
      </c>
      <c r="F63" s="75"/>
      <c r="G63" s="75"/>
      <c r="H63" s="23"/>
      <c r="I63" s="229"/>
      <c r="J63" s="152"/>
      <c r="K63" s="152"/>
      <c r="L63" s="111"/>
      <c r="M63" s="111"/>
      <c r="N63" s="60"/>
      <c r="O63" s="60"/>
      <c r="P63" s="593">
        <f t="shared" si="56"/>
        <v>0</v>
      </c>
      <c r="Q63" s="60"/>
      <c r="R63" s="60">
        <v>7</v>
      </c>
      <c r="S63" s="593">
        <f t="shared" si="57"/>
        <v>7</v>
      </c>
      <c r="T63" s="60"/>
      <c r="U63" s="60"/>
      <c r="V63" s="593">
        <f t="shared" si="58"/>
        <v>0</v>
      </c>
      <c r="W63" s="391">
        <f t="shared" si="54"/>
        <v>0</v>
      </c>
      <c r="X63" s="17">
        <f t="shared" si="55"/>
        <v>7</v>
      </c>
      <c r="Y63" s="18">
        <f>SUM(W63:X63)</f>
        <v>7</v>
      </c>
      <c r="Z63" s="19">
        <f t="shared" si="59"/>
        <v>1</v>
      </c>
      <c r="AA63" s="91"/>
      <c r="AB63" s="91"/>
      <c r="AC63" s="84"/>
      <c r="AE63" s="111"/>
      <c r="AF63" s="111"/>
      <c r="AG63" s="111"/>
      <c r="AH63" s="651"/>
      <c r="AI63" s="131"/>
      <c r="AK63" s="111"/>
      <c r="AL63" s="111"/>
      <c r="AM63" s="111"/>
      <c r="AN63" s="651"/>
      <c r="AO63" s="131"/>
      <c r="AQ63" s="17"/>
      <c r="AR63" s="17"/>
      <c r="AS63" s="17"/>
      <c r="AT63" s="18">
        <f t="shared" si="60"/>
        <v>0</v>
      </c>
      <c r="AU63" s="19">
        <f t="shared" si="61"/>
        <v>0</v>
      </c>
      <c r="AW63" s="17"/>
      <c r="AX63" s="17"/>
      <c r="AY63" s="17"/>
      <c r="AZ63" s="424">
        <f t="shared" si="62"/>
        <v>7</v>
      </c>
      <c r="BA63" s="91">
        <f>IF(AZ$65=0,0,AZ63/AZ$65)</f>
        <v>1</v>
      </c>
    </row>
    <row r="64" spans="1:53" s="117" customFormat="1" ht="17.100000000000001" customHeight="1" x14ac:dyDescent="0.25">
      <c r="A64" s="647"/>
      <c r="B64" s="23"/>
      <c r="C64" s="23"/>
      <c r="D64" s="74" t="s">
        <v>40</v>
      </c>
      <c r="E64" s="75" t="s">
        <v>32</v>
      </c>
      <c r="F64" s="75"/>
      <c r="G64" s="75"/>
      <c r="H64" s="23"/>
      <c r="I64" s="229"/>
      <c r="J64" s="152"/>
      <c r="K64" s="152"/>
      <c r="L64" s="111"/>
      <c r="M64" s="111"/>
      <c r="N64" s="61"/>
      <c r="O64" s="61"/>
      <c r="P64" s="593">
        <f t="shared" si="56"/>
        <v>0</v>
      </c>
      <c r="Q64" s="61"/>
      <c r="R64" s="61"/>
      <c r="S64" s="593">
        <f t="shared" si="57"/>
        <v>0</v>
      </c>
      <c r="T64" s="61"/>
      <c r="U64" s="61"/>
      <c r="V64" s="593">
        <f t="shared" si="58"/>
        <v>0</v>
      </c>
      <c r="W64" s="391">
        <f t="shared" si="54"/>
        <v>0</v>
      </c>
      <c r="X64" s="17">
        <f t="shared" si="55"/>
        <v>0</v>
      </c>
      <c r="Y64" s="18">
        <f>SUM(W64:X64)</f>
        <v>0</v>
      </c>
      <c r="Z64" s="19">
        <f t="shared" si="59"/>
        <v>0</v>
      </c>
      <c r="AA64" s="91"/>
      <c r="AB64" s="91"/>
      <c r="AC64" s="84"/>
      <c r="AE64" s="111"/>
      <c r="AF64" s="111"/>
      <c r="AG64" s="111"/>
      <c r="AH64" s="651"/>
      <c r="AI64" s="131"/>
      <c r="AK64" s="111"/>
      <c r="AL64" s="111"/>
      <c r="AM64" s="111"/>
      <c r="AN64" s="651"/>
      <c r="AO64" s="131"/>
      <c r="AQ64" s="17"/>
      <c r="AR64" s="17"/>
      <c r="AS64" s="17"/>
      <c r="AT64" s="18">
        <f t="shared" si="60"/>
        <v>0</v>
      </c>
      <c r="AU64" s="19">
        <f t="shared" si="61"/>
        <v>0</v>
      </c>
      <c r="AW64" s="17"/>
      <c r="AX64" s="17"/>
      <c r="AY64" s="17"/>
      <c r="AZ64" s="424">
        <f t="shared" si="62"/>
        <v>0</v>
      </c>
      <c r="BA64" s="91">
        <f>IF(AZ$65=0,0,AZ64/AZ$65)</f>
        <v>0</v>
      </c>
    </row>
    <row r="65" spans="1:53" s="117" customFormat="1" ht="17.100000000000001" customHeight="1" x14ac:dyDescent="0.25">
      <c r="A65" s="40"/>
      <c r="B65" s="40"/>
      <c r="C65" s="77"/>
      <c r="D65" s="78"/>
      <c r="E65" s="78"/>
      <c r="F65" s="78"/>
      <c r="G65" s="78"/>
      <c r="H65" s="316"/>
      <c r="I65" s="230"/>
      <c r="J65" s="80"/>
      <c r="K65" s="64"/>
      <c r="L65" s="81"/>
      <c r="M65" s="81"/>
      <c r="N65" s="81">
        <f>SUM(N61:N64)</f>
        <v>0</v>
      </c>
      <c r="O65" s="81">
        <f t="shared" ref="O65:Y65" si="63">SUM(O61:O64)</f>
        <v>0</v>
      </c>
      <c r="P65" s="81">
        <f t="shared" si="63"/>
        <v>0</v>
      </c>
      <c r="Q65" s="81">
        <f t="shared" si="63"/>
        <v>0</v>
      </c>
      <c r="R65" s="81">
        <f t="shared" si="63"/>
        <v>7</v>
      </c>
      <c r="S65" s="81">
        <f t="shared" si="63"/>
        <v>7</v>
      </c>
      <c r="T65" s="81">
        <f t="shared" si="63"/>
        <v>0</v>
      </c>
      <c r="U65" s="81">
        <f t="shared" si="63"/>
        <v>0</v>
      </c>
      <c r="V65" s="81">
        <f t="shared" si="63"/>
        <v>0</v>
      </c>
      <c r="W65" s="381">
        <f t="shared" si="63"/>
        <v>0</v>
      </c>
      <c r="X65" s="82">
        <f t="shared" si="63"/>
        <v>7</v>
      </c>
      <c r="Y65" s="82">
        <f t="shared" si="63"/>
        <v>7</v>
      </c>
      <c r="Z65" s="205">
        <f t="shared" si="59"/>
        <v>1</v>
      </c>
      <c r="AA65" s="205"/>
      <c r="AB65" s="205"/>
      <c r="AC65" s="83"/>
      <c r="AE65" s="81"/>
      <c r="AF65" s="81"/>
      <c r="AG65" s="81"/>
      <c r="AH65" s="82"/>
      <c r="AI65" s="66"/>
      <c r="AJ65" s="3"/>
      <c r="AK65" s="81"/>
      <c r="AL65" s="81"/>
      <c r="AM65" s="81"/>
      <c r="AN65" s="82"/>
      <c r="AO65" s="66"/>
      <c r="AP65" s="3"/>
      <c r="AQ65" s="81"/>
      <c r="AR65" s="81"/>
      <c r="AS65" s="81"/>
      <c r="AT65" s="82">
        <f>SUM(AT61:AT64)</f>
        <v>0</v>
      </c>
      <c r="AU65" s="66">
        <f t="shared" si="61"/>
        <v>0</v>
      </c>
      <c r="AV65" s="3"/>
      <c r="AW65" s="81"/>
      <c r="AX65" s="81"/>
      <c r="AY65" s="81"/>
      <c r="AZ65" s="82">
        <f>SUM(AZ61:AZ64)</f>
        <v>7</v>
      </c>
      <c r="BA65" s="66">
        <f>IF(AZ$65=0,0,AZ65/AZ$65)</f>
        <v>1</v>
      </c>
    </row>
    <row r="66" spans="1:53" s="117" customFormat="1" ht="17.100000000000001" customHeight="1" x14ac:dyDescent="0.25">
      <c r="A66" s="119"/>
      <c r="B66" s="119"/>
      <c r="C66" s="647"/>
      <c r="D66" s="212"/>
      <c r="E66" s="212"/>
      <c r="F66" s="212"/>
      <c r="G66" s="212"/>
      <c r="H66" s="242"/>
      <c r="I66" s="230"/>
      <c r="J66" s="17"/>
      <c r="K66" s="17"/>
      <c r="L66" s="17"/>
      <c r="M66" s="17"/>
      <c r="N66" s="17" t="str">
        <f>IF(N65=N$20,"OK","NOK")</f>
        <v>OK</v>
      </c>
      <c r="O66" s="17" t="str">
        <f>IF(O65=O$20,"OK","NOK")</f>
        <v>OK</v>
      </c>
      <c r="P66" s="17"/>
      <c r="Q66" s="17" t="str">
        <f>IF(Q65=Q$20,"OK","NOK")</f>
        <v>OK</v>
      </c>
      <c r="R66" s="17" t="str">
        <f>IF(R65=R$20,"OK","NOK")</f>
        <v>OK</v>
      </c>
      <c r="S66" s="17"/>
      <c r="T66" s="17" t="str">
        <f>IF(T65=T$20,"OK","NOK")</f>
        <v>OK</v>
      </c>
      <c r="U66" s="17" t="str">
        <f>IF(U65=U$20,"OK","NOK")</f>
        <v>OK</v>
      </c>
      <c r="V66" s="359"/>
      <c r="W66" s="382"/>
      <c r="X66" s="646"/>
      <c r="Y66" s="646"/>
      <c r="Z66" s="201"/>
      <c r="AA66" s="201"/>
      <c r="AB66" s="201"/>
      <c r="AC66" s="84"/>
      <c r="AE66" s="17"/>
      <c r="AF66" s="17"/>
      <c r="AG66" s="17"/>
      <c r="AH66" s="646"/>
      <c r="AI66" s="91"/>
      <c r="AK66" s="17"/>
      <c r="AL66" s="17"/>
      <c r="AM66" s="17"/>
      <c r="AN66" s="646"/>
      <c r="AO66" s="91"/>
      <c r="AQ66" s="17"/>
      <c r="AR66" s="17"/>
      <c r="AS66" s="17"/>
      <c r="AT66" s="646"/>
      <c r="AU66" s="91"/>
      <c r="AW66" s="17"/>
      <c r="AX66" s="17"/>
      <c r="AY66" s="17"/>
      <c r="AZ66" s="17"/>
      <c r="BA66" s="91"/>
    </row>
    <row r="67" spans="1:53" ht="17.100000000000001" customHeight="1" x14ac:dyDescent="0.25">
      <c r="A67" s="102"/>
      <c r="B67" s="23"/>
      <c r="C67" s="103" t="s">
        <v>393</v>
      </c>
      <c r="D67" s="110" t="s">
        <v>737</v>
      </c>
      <c r="E67" s="313"/>
      <c r="F67" s="313"/>
      <c r="G67" s="313"/>
      <c r="H67" s="313"/>
      <c r="I67" s="313"/>
      <c r="J67" s="314"/>
      <c r="K67" s="111"/>
      <c r="L67" s="111"/>
      <c r="M67" s="111"/>
      <c r="N67" s="111"/>
      <c r="O67" s="111"/>
      <c r="P67" s="111"/>
      <c r="Q67" s="111"/>
      <c r="R67" s="111"/>
      <c r="S67" s="111"/>
      <c r="T67" s="111"/>
      <c r="U67" s="111"/>
      <c r="V67" s="111"/>
      <c r="W67" s="111"/>
      <c r="X67" s="111"/>
      <c r="Y67" s="111"/>
      <c r="Z67" s="113"/>
      <c r="AA67" s="113"/>
      <c r="AB67" s="113"/>
      <c r="AC67" s="113"/>
      <c r="AE67" s="114"/>
      <c r="AF67" s="114"/>
      <c r="AG67" s="114"/>
      <c r="AH67" s="112"/>
      <c r="AI67" s="113"/>
      <c r="AK67" s="114"/>
      <c r="AL67" s="114"/>
      <c r="AM67" s="114"/>
      <c r="AN67" s="112"/>
      <c r="AO67" s="113"/>
      <c r="AQ67" s="114"/>
      <c r="AR67" s="114"/>
      <c r="AS67" s="114"/>
      <c r="AT67" s="112"/>
      <c r="AU67" s="113"/>
      <c r="AW67" s="114"/>
      <c r="AX67" s="114"/>
      <c r="AY67" s="114"/>
      <c r="AZ67" s="114"/>
      <c r="BA67" s="113"/>
    </row>
    <row r="68" spans="1:53" ht="17.100000000000001" customHeight="1" x14ac:dyDescent="0.25">
      <c r="A68" s="102"/>
      <c r="B68" s="118"/>
      <c r="C68" s="118"/>
      <c r="D68" s="103" t="s">
        <v>394</v>
      </c>
      <c r="E68" s="108" t="s">
        <v>35</v>
      </c>
      <c r="F68" s="108"/>
      <c r="G68" s="108"/>
      <c r="H68" s="315"/>
      <c r="I68" s="232"/>
      <c r="J68" s="152"/>
      <c r="K68" s="152"/>
      <c r="L68" s="111"/>
      <c r="M68" s="111"/>
      <c r="N68" s="60"/>
      <c r="O68" s="60"/>
      <c r="P68" s="593">
        <f t="shared" ref="P68:P72" si="64">SUM(N68:O68)</f>
        <v>0</v>
      </c>
      <c r="Q68" s="60"/>
      <c r="R68" s="60">
        <v>7</v>
      </c>
      <c r="S68" s="593">
        <f t="shared" ref="S68:S72" si="65">SUM(Q68:R68)</f>
        <v>7</v>
      </c>
      <c r="T68" s="60"/>
      <c r="U68" s="60"/>
      <c r="V68" s="593">
        <f t="shared" ref="V68:V72" si="66">SUM(T68:U68)</f>
        <v>0</v>
      </c>
      <c r="W68" s="391">
        <f t="shared" ref="W68:W72" si="67">J68+K68+N68+Q68+T68</f>
        <v>0</v>
      </c>
      <c r="X68" s="17">
        <f t="shared" ref="X68:X72" si="68">L68+O68+R68+U68</f>
        <v>7</v>
      </c>
      <c r="Y68" s="18">
        <f>SUM(W68:X68)</f>
        <v>7</v>
      </c>
      <c r="Z68" s="19">
        <f>IF(Y$73=0,0,Y68/Y$73)</f>
        <v>1</v>
      </c>
      <c r="AA68" s="19"/>
      <c r="AB68" s="19"/>
      <c r="AC68" s="20"/>
      <c r="AE68" s="111"/>
      <c r="AF68" s="111"/>
      <c r="AG68" s="111"/>
      <c r="AH68" s="651"/>
      <c r="AI68" s="131"/>
      <c r="AJ68" s="117"/>
      <c r="AK68" s="111"/>
      <c r="AL68" s="111"/>
      <c r="AM68" s="111"/>
      <c r="AN68" s="651"/>
      <c r="AO68" s="131"/>
      <c r="AQ68" s="17"/>
      <c r="AR68" s="17"/>
      <c r="AS68" s="17"/>
      <c r="AT68" s="18">
        <f t="shared" ref="AT68:AT72" si="69">W68</f>
        <v>0</v>
      </c>
      <c r="AU68" s="19">
        <f>IF(AT$73=0,0,AT68/AT$73)</f>
        <v>0</v>
      </c>
      <c r="AW68" s="17"/>
      <c r="AX68" s="17"/>
      <c r="AY68" s="17"/>
      <c r="AZ68" s="424">
        <f>X68</f>
        <v>7</v>
      </c>
      <c r="BA68" s="19">
        <f t="shared" ref="BA68:BA73" si="70">IF(AZ$73=0,0,AZ68/AZ$73)</f>
        <v>1</v>
      </c>
    </row>
    <row r="69" spans="1:53" ht="17.100000000000001" customHeight="1" x14ac:dyDescent="0.25">
      <c r="A69" s="102"/>
      <c r="B69" s="118"/>
      <c r="C69" s="118"/>
      <c r="D69" s="103" t="s">
        <v>395</v>
      </c>
      <c r="E69" s="108" t="s">
        <v>37</v>
      </c>
      <c r="F69" s="108"/>
      <c r="G69" s="108"/>
      <c r="H69" s="315"/>
      <c r="I69" s="232"/>
      <c r="J69" s="152"/>
      <c r="K69" s="152"/>
      <c r="L69" s="111"/>
      <c r="M69" s="111"/>
      <c r="N69" s="61"/>
      <c r="O69" s="61"/>
      <c r="P69" s="593">
        <f t="shared" si="64"/>
        <v>0</v>
      </c>
      <c r="Q69" s="61"/>
      <c r="R69" s="61"/>
      <c r="S69" s="593">
        <f t="shared" si="65"/>
        <v>0</v>
      </c>
      <c r="T69" s="61"/>
      <c r="U69" s="61"/>
      <c r="V69" s="593">
        <f t="shared" si="66"/>
        <v>0</v>
      </c>
      <c r="W69" s="391">
        <f t="shared" si="67"/>
        <v>0</v>
      </c>
      <c r="X69" s="17">
        <f t="shared" si="68"/>
        <v>0</v>
      </c>
      <c r="Y69" s="18">
        <f>SUM(W69:X69)</f>
        <v>0</v>
      </c>
      <c r="Z69" s="19">
        <f t="shared" ref="Z69:Z73" si="71">IF(Y$73=0,0,Y69/Y$73)</f>
        <v>0</v>
      </c>
      <c r="AA69" s="19"/>
      <c r="AB69" s="19"/>
      <c r="AC69" s="20"/>
      <c r="AE69" s="111"/>
      <c r="AF69" s="111"/>
      <c r="AG69" s="111"/>
      <c r="AH69" s="651"/>
      <c r="AI69" s="131"/>
      <c r="AJ69" s="117"/>
      <c r="AK69" s="111"/>
      <c r="AL69" s="111"/>
      <c r="AM69" s="111"/>
      <c r="AN69" s="651"/>
      <c r="AO69" s="131"/>
      <c r="AQ69" s="17"/>
      <c r="AR69" s="17"/>
      <c r="AS69" s="17"/>
      <c r="AT69" s="18">
        <f t="shared" si="69"/>
        <v>0</v>
      </c>
      <c r="AU69" s="19">
        <f t="shared" ref="AU69:AU73" si="72">IF(AT$73=0,0,AT69/AT$73)</f>
        <v>0</v>
      </c>
      <c r="AW69" s="17"/>
      <c r="AX69" s="17"/>
      <c r="AY69" s="17"/>
      <c r="AZ69" s="424">
        <f t="shared" ref="AZ69:AZ72" si="73">X69</f>
        <v>0</v>
      </c>
      <c r="BA69" s="19">
        <f t="shared" si="70"/>
        <v>0</v>
      </c>
    </row>
    <row r="70" spans="1:53" ht="17.100000000000001" customHeight="1" x14ac:dyDescent="0.25">
      <c r="A70" s="102"/>
      <c r="B70" s="118"/>
      <c r="C70" s="118"/>
      <c r="D70" s="103" t="s">
        <v>396</v>
      </c>
      <c r="E70" s="108" t="s">
        <v>39</v>
      </c>
      <c r="F70" s="108"/>
      <c r="G70" s="108"/>
      <c r="H70" s="315"/>
      <c r="I70" s="232"/>
      <c r="J70" s="152"/>
      <c r="K70" s="152"/>
      <c r="L70" s="111"/>
      <c r="M70" s="111"/>
      <c r="N70" s="60"/>
      <c r="O70" s="60"/>
      <c r="P70" s="593">
        <f t="shared" si="64"/>
        <v>0</v>
      </c>
      <c r="Q70" s="60"/>
      <c r="R70" s="60"/>
      <c r="S70" s="593">
        <f t="shared" si="65"/>
        <v>0</v>
      </c>
      <c r="T70" s="60"/>
      <c r="U70" s="60"/>
      <c r="V70" s="593">
        <f t="shared" si="66"/>
        <v>0</v>
      </c>
      <c r="W70" s="391">
        <f t="shared" si="67"/>
        <v>0</v>
      </c>
      <c r="X70" s="17">
        <f t="shared" si="68"/>
        <v>0</v>
      </c>
      <c r="Y70" s="18">
        <f>SUM(W70:X70)</f>
        <v>0</v>
      </c>
      <c r="Z70" s="19">
        <f t="shared" si="71"/>
        <v>0</v>
      </c>
      <c r="AA70" s="19"/>
      <c r="AB70" s="19"/>
      <c r="AC70" s="20"/>
      <c r="AE70" s="111"/>
      <c r="AF70" s="111"/>
      <c r="AG70" s="111"/>
      <c r="AH70" s="651"/>
      <c r="AI70" s="131"/>
      <c r="AJ70" s="117"/>
      <c r="AK70" s="111"/>
      <c r="AL70" s="111"/>
      <c r="AM70" s="111"/>
      <c r="AN70" s="651"/>
      <c r="AO70" s="131"/>
      <c r="AQ70" s="17"/>
      <c r="AR70" s="17"/>
      <c r="AS70" s="17"/>
      <c r="AT70" s="18">
        <f t="shared" si="69"/>
        <v>0</v>
      </c>
      <c r="AU70" s="19">
        <f t="shared" si="72"/>
        <v>0</v>
      </c>
      <c r="AW70" s="17"/>
      <c r="AX70" s="17"/>
      <c r="AY70" s="17"/>
      <c r="AZ70" s="424">
        <f t="shared" si="73"/>
        <v>0</v>
      </c>
      <c r="BA70" s="19">
        <f t="shared" si="70"/>
        <v>0</v>
      </c>
    </row>
    <row r="71" spans="1:53" ht="17.100000000000001" customHeight="1" x14ac:dyDescent="0.25">
      <c r="A71" s="102"/>
      <c r="B71" s="118"/>
      <c r="C71" s="118"/>
      <c r="D71" s="103" t="s">
        <v>397</v>
      </c>
      <c r="E71" s="108" t="s">
        <v>41</v>
      </c>
      <c r="F71" s="108"/>
      <c r="G71" s="108"/>
      <c r="H71" s="315"/>
      <c r="I71" s="232"/>
      <c r="J71" s="152"/>
      <c r="K71" s="152"/>
      <c r="L71" s="111"/>
      <c r="M71" s="111"/>
      <c r="N71" s="61"/>
      <c r="O71" s="61"/>
      <c r="P71" s="593">
        <f t="shared" si="64"/>
        <v>0</v>
      </c>
      <c r="Q71" s="61"/>
      <c r="R71" s="61"/>
      <c r="S71" s="593">
        <f t="shared" si="65"/>
        <v>0</v>
      </c>
      <c r="T71" s="61"/>
      <c r="U71" s="61"/>
      <c r="V71" s="593">
        <f t="shared" si="66"/>
        <v>0</v>
      </c>
      <c r="W71" s="391">
        <f t="shared" si="67"/>
        <v>0</v>
      </c>
      <c r="X71" s="17">
        <f t="shared" si="68"/>
        <v>0</v>
      </c>
      <c r="Y71" s="18">
        <f>SUM(W71:X71)</f>
        <v>0</v>
      </c>
      <c r="Z71" s="19">
        <f t="shared" si="71"/>
        <v>0</v>
      </c>
      <c r="AA71" s="19"/>
      <c r="AB71" s="19"/>
      <c r="AC71" s="20"/>
      <c r="AE71" s="111"/>
      <c r="AF71" s="111"/>
      <c r="AG71" s="111"/>
      <c r="AH71" s="651"/>
      <c r="AI71" s="131"/>
      <c r="AJ71" s="117"/>
      <c r="AK71" s="111"/>
      <c r="AL71" s="111"/>
      <c r="AM71" s="111"/>
      <c r="AN71" s="651"/>
      <c r="AO71" s="131"/>
      <c r="AQ71" s="17"/>
      <c r="AR71" s="17"/>
      <c r="AS71" s="17"/>
      <c r="AT71" s="18">
        <f t="shared" si="69"/>
        <v>0</v>
      </c>
      <c r="AU71" s="19">
        <f t="shared" si="72"/>
        <v>0</v>
      </c>
      <c r="AW71" s="17"/>
      <c r="AX71" s="17"/>
      <c r="AY71" s="17"/>
      <c r="AZ71" s="424">
        <f t="shared" si="73"/>
        <v>0</v>
      </c>
      <c r="BA71" s="19">
        <f t="shared" si="70"/>
        <v>0</v>
      </c>
    </row>
    <row r="72" spans="1:53" ht="17.100000000000001" customHeight="1" x14ac:dyDescent="0.25">
      <c r="A72" s="102"/>
      <c r="B72" s="118"/>
      <c r="C72" s="118"/>
      <c r="D72" s="103" t="s">
        <v>398</v>
      </c>
      <c r="E72" s="108" t="s">
        <v>42</v>
      </c>
      <c r="F72" s="108"/>
      <c r="G72" s="108"/>
      <c r="H72" s="315"/>
      <c r="I72" s="232"/>
      <c r="J72" s="174"/>
      <c r="K72" s="174"/>
      <c r="L72" s="111"/>
      <c r="M72" s="111"/>
      <c r="N72" s="60"/>
      <c r="O72" s="60"/>
      <c r="P72" s="593">
        <f t="shared" si="64"/>
        <v>0</v>
      </c>
      <c r="Q72" s="60"/>
      <c r="R72" s="60"/>
      <c r="S72" s="593">
        <f t="shared" si="65"/>
        <v>0</v>
      </c>
      <c r="T72" s="60"/>
      <c r="U72" s="60"/>
      <c r="V72" s="593">
        <f t="shared" si="66"/>
        <v>0</v>
      </c>
      <c r="W72" s="391">
        <f t="shared" si="67"/>
        <v>0</v>
      </c>
      <c r="X72" s="17">
        <f t="shared" si="68"/>
        <v>0</v>
      </c>
      <c r="Y72" s="18">
        <f>SUM(W72:X72)</f>
        <v>0</v>
      </c>
      <c r="Z72" s="19">
        <f t="shared" si="71"/>
        <v>0</v>
      </c>
      <c r="AA72" s="19"/>
      <c r="AB72" s="19"/>
      <c r="AC72" s="20"/>
      <c r="AE72" s="111"/>
      <c r="AF72" s="111"/>
      <c r="AG72" s="111"/>
      <c r="AH72" s="651"/>
      <c r="AI72" s="131"/>
      <c r="AJ72" s="117"/>
      <c r="AK72" s="111"/>
      <c r="AL72" s="111"/>
      <c r="AM72" s="111"/>
      <c r="AN72" s="651"/>
      <c r="AO72" s="131"/>
      <c r="AQ72" s="17"/>
      <c r="AR72" s="17"/>
      <c r="AS72" s="17"/>
      <c r="AT72" s="18">
        <f t="shared" si="69"/>
        <v>0</v>
      </c>
      <c r="AU72" s="19">
        <f t="shared" si="72"/>
        <v>0</v>
      </c>
      <c r="AW72" s="17"/>
      <c r="AX72" s="17"/>
      <c r="AY72" s="17"/>
      <c r="AZ72" s="424">
        <f t="shared" si="73"/>
        <v>0</v>
      </c>
      <c r="BA72" s="19">
        <f t="shared" si="70"/>
        <v>0</v>
      </c>
    </row>
    <row r="73" spans="1:53" ht="17.100000000000001" customHeight="1" x14ac:dyDescent="0.25">
      <c r="A73" s="40"/>
      <c r="B73" s="40"/>
      <c r="C73" s="77"/>
      <c r="D73" s="78"/>
      <c r="E73" s="78"/>
      <c r="F73" s="78"/>
      <c r="G73" s="78"/>
      <c r="H73" s="316"/>
      <c r="I73" s="230"/>
      <c r="J73" s="80"/>
      <c r="K73" s="80"/>
      <c r="L73" s="80"/>
      <c r="M73" s="80"/>
      <c r="N73" s="80">
        <f>SUM(N68:N72)</f>
        <v>0</v>
      </c>
      <c r="O73" s="80">
        <f t="shared" ref="O73:X73" si="74">SUM(O68:O72)</f>
        <v>0</v>
      </c>
      <c r="P73" s="80">
        <f t="shared" si="74"/>
        <v>0</v>
      </c>
      <c r="Q73" s="80">
        <f t="shared" si="74"/>
        <v>0</v>
      </c>
      <c r="R73" s="80">
        <f t="shared" si="74"/>
        <v>7</v>
      </c>
      <c r="S73" s="80">
        <f t="shared" si="74"/>
        <v>7</v>
      </c>
      <c r="T73" s="80">
        <f t="shared" si="74"/>
        <v>0</v>
      </c>
      <c r="U73" s="80">
        <f t="shared" si="74"/>
        <v>0</v>
      </c>
      <c r="V73" s="80">
        <f t="shared" si="74"/>
        <v>0</v>
      </c>
      <c r="W73" s="381">
        <f t="shared" si="74"/>
        <v>0</v>
      </c>
      <c r="X73" s="82">
        <f t="shared" si="74"/>
        <v>7</v>
      </c>
      <c r="Y73" s="82">
        <f>SUM(Y68:Y72)</f>
        <v>7</v>
      </c>
      <c r="Z73" s="205">
        <f t="shared" si="71"/>
        <v>1</v>
      </c>
      <c r="AA73" s="205"/>
      <c r="AB73" s="205"/>
      <c r="AC73" s="83"/>
      <c r="AE73" s="81"/>
      <c r="AF73" s="81"/>
      <c r="AG73" s="81"/>
      <c r="AH73" s="82"/>
      <c r="AI73" s="66"/>
      <c r="AK73" s="81"/>
      <c r="AL73" s="81"/>
      <c r="AM73" s="81"/>
      <c r="AN73" s="82"/>
      <c r="AO73" s="66"/>
      <c r="AQ73" s="81"/>
      <c r="AR73" s="81"/>
      <c r="AS73" s="81"/>
      <c r="AT73" s="82">
        <f>SUM(AT68:AT72)</f>
        <v>0</v>
      </c>
      <c r="AU73" s="66">
        <f t="shared" si="72"/>
        <v>0</v>
      </c>
      <c r="AW73" s="81"/>
      <c r="AX73" s="81"/>
      <c r="AY73" s="81"/>
      <c r="AZ73" s="82">
        <f>SUM(AZ68:AZ72)</f>
        <v>7</v>
      </c>
      <c r="BA73" s="66">
        <f t="shared" si="70"/>
        <v>1</v>
      </c>
    </row>
    <row r="74" spans="1:53" s="117" customFormat="1" ht="17.100000000000001" customHeight="1" x14ac:dyDescent="0.25">
      <c r="A74" s="119"/>
      <c r="B74" s="119"/>
      <c r="C74" s="647"/>
      <c r="D74" s="212"/>
      <c r="E74" s="212"/>
      <c r="F74" s="212"/>
      <c r="G74" s="212"/>
      <c r="H74" s="242"/>
      <c r="I74" s="230"/>
      <c r="J74" s="17"/>
      <c r="K74" s="17"/>
      <c r="L74" s="17"/>
      <c r="M74" s="17"/>
      <c r="N74" s="17" t="str">
        <f>IF(N73=N$20,"OK","NOK")</f>
        <v>OK</v>
      </c>
      <c r="O74" s="17" t="str">
        <f>IF(O73=O$20,"OK","NOK")</f>
        <v>OK</v>
      </c>
      <c r="P74" s="17"/>
      <c r="Q74" s="17" t="str">
        <f>IF(Q73=Q$20,"OK","NOK")</f>
        <v>OK</v>
      </c>
      <c r="R74" s="17" t="str">
        <f>IF(R73=R$20,"OK","NOK")</f>
        <v>OK</v>
      </c>
      <c r="S74" s="17"/>
      <c r="T74" s="17" t="str">
        <f>IF(T73=T$20,"OK","NOK")</f>
        <v>OK</v>
      </c>
      <c r="U74" s="17" t="str">
        <f>IF(U73=U$20,"OK","NOK")</f>
        <v>OK</v>
      </c>
      <c r="V74" s="359"/>
      <c r="W74" s="382"/>
      <c r="X74" s="646"/>
      <c r="Y74" s="646"/>
      <c r="Z74" s="201"/>
      <c r="AA74" s="201"/>
      <c r="AB74" s="201"/>
      <c r="AC74" s="84"/>
      <c r="AE74" s="17"/>
      <c r="AF74" s="17"/>
      <c r="AG74" s="17"/>
      <c r="AH74" s="646"/>
      <c r="AI74" s="91"/>
      <c r="AK74" s="17"/>
      <c r="AL74" s="17"/>
      <c r="AM74" s="17"/>
      <c r="AN74" s="646"/>
      <c r="AO74" s="91"/>
      <c r="AQ74" s="17"/>
      <c r="AR74" s="17"/>
      <c r="AS74" s="17"/>
      <c r="AT74" s="646"/>
      <c r="AU74" s="91"/>
      <c r="AW74" s="17"/>
      <c r="AX74" s="17"/>
      <c r="AY74" s="17"/>
      <c r="AZ74" s="17"/>
      <c r="BA74" s="91"/>
    </row>
    <row r="75" spans="1:53" ht="17.100000000000001" customHeight="1" x14ac:dyDescent="0.25">
      <c r="A75" s="68"/>
      <c r="B75" s="41" t="s">
        <v>43</v>
      </c>
      <c r="C75" s="69" t="s">
        <v>44</v>
      </c>
      <c r="D75" s="50"/>
      <c r="E75" s="70"/>
      <c r="F75" s="70"/>
      <c r="G75" s="70"/>
      <c r="H75" s="119"/>
      <c r="J75" s="71"/>
      <c r="K75" s="71"/>
      <c r="L75" s="71"/>
      <c r="M75" s="71"/>
      <c r="N75" s="71"/>
      <c r="O75" s="71"/>
      <c r="P75" s="71"/>
      <c r="Q75" s="71"/>
      <c r="R75" s="71"/>
      <c r="S75" s="71"/>
      <c r="T75" s="71"/>
      <c r="U75" s="71"/>
      <c r="V75" s="355"/>
      <c r="W75" s="377"/>
      <c r="X75" s="71"/>
      <c r="Y75" s="72"/>
      <c r="Z75" s="73"/>
      <c r="AA75" s="73"/>
      <c r="AB75" s="73"/>
      <c r="AC75" s="73"/>
      <c r="AE75" s="71"/>
      <c r="AF75" s="71"/>
      <c r="AG75" s="71"/>
      <c r="AH75" s="72"/>
      <c r="AI75" s="73"/>
      <c r="AJ75" s="117"/>
      <c r="AK75" s="71"/>
      <c r="AL75" s="71"/>
      <c r="AM75" s="71"/>
      <c r="AN75" s="72"/>
      <c r="AO75" s="73"/>
      <c r="AP75" s="117"/>
      <c r="AQ75" s="71"/>
      <c r="AR75" s="71"/>
      <c r="AS75" s="71"/>
      <c r="AT75" s="72"/>
      <c r="AU75" s="73"/>
      <c r="AV75" s="117"/>
      <c r="AW75" s="71"/>
      <c r="AX75" s="71"/>
      <c r="AY75" s="71"/>
      <c r="AZ75" s="273"/>
      <c r="BA75" s="73"/>
    </row>
    <row r="76" spans="1:53" ht="17.100000000000001" customHeight="1" x14ac:dyDescent="0.25">
      <c r="A76" s="102"/>
      <c r="B76" s="102"/>
      <c r="C76" s="103" t="s">
        <v>45</v>
      </c>
      <c r="D76" s="108" t="s">
        <v>46</v>
      </c>
      <c r="E76" s="108"/>
      <c r="F76" s="108"/>
      <c r="G76" s="108"/>
      <c r="H76" s="258"/>
      <c r="I76" s="232"/>
      <c r="J76" s="111"/>
      <c r="K76" s="111"/>
      <c r="L76" s="111"/>
      <c r="M76" s="111"/>
      <c r="N76" s="111"/>
      <c r="O76" s="111"/>
      <c r="P76" s="111"/>
      <c r="Q76" s="111"/>
      <c r="R76" s="111"/>
      <c r="S76" s="111"/>
      <c r="T76" s="111"/>
      <c r="U76" s="111"/>
      <c r="V76" s="358"/>
      <c r="W76" s="380"/>
      <c r="X76" s="111"/>
      <c r="Y76" s="112"/>
      <c r="Z76" s="113"/>
      <c r="AA76" s="113"/>
      <c r="AB76" s="113"/>
      <c r="AC76" s="113"/>
      <c r="AE76" s="114"/>
      <c r="AF76" s="114"/>
      <c r="AG76" s="114"/>
      <c r="AH76" s="112"/>
      <c r="AI76" s="113"/>
      <c r="AJ76" s="117"/>
      <c r="AK76" s="114"/>
      <c r="AL76" s="114"/>
      <c r="AM76" s="114"/>
      <c r="AN76" s="112"/>
      <c r="AO76" s="113"/>
      <c r="AP76" s="117"/>
      <c r="AQ76" s="114"/>
      <c r="AR76" s="114"/>
      <c r="AS76" s="114"/>
      <c r="AT76" s="112"/>
      <c r="AU76" s="113"/>
      <c r="AV76" s="117"/>
      <c r="AW76" s="114"/>
      <c r="AX76" s="114"/>
      <c r="AY76" s="114"/>
      <c r="AZ76" s="114"/>
      <c r="BA76" s="113"/>
    </row>
    <row r="77" spans="1:53" ht="17.100000000000001" customHeight="1" x14ac:dyDescent="0.25">
      <c r="A77" s="102"/>
      <c r="B77" s="102"/>
      <c r="C77" s="102"/>
      <c r="D77" s="103" t="s">
        <v>47</v>
      </c>
      <c r="E77" s="108" t="s">
        <v>35</v>
      </c>
      <c r="F77" s="108"/>
      <c r="G77" s="108"/>
      <c r="H77" s="258"/>
      <c r="I77" s="232"/>
      <c r="J77" s="152"/>
      <c r="K77" s="152"/>
      <c r="L77" s="111"/>
      <c r="M77" s="111"/>
      <c r="N77" s="152"/>
      <c r="O77" s="111"/>
      <c r="P77" s="60"/>
      <c r="Q77" s="152"/>
      <c r="R77" s="111"/>
      <c r="S77" s="60">
        <v>1</v>
      </c>
      <c r="T77" s="152"/>
      <c r="U77" s="111"/>
      <c r="V77" s="361"/>
      <c r="W77" s="391"/>
      <c r="X77" s="17"/>
      <c r="Y77" s="18">
        <f>M77+P77+S77+V77</f>
        <v>1</v>
      </c>
      <c r="Z77" s="19">
        <f>IF(Y$81=0,0,Y77/Y$81)</f>
        <v>1</v>
      </c>
      <c r="AA77" s="19"/>
      <c r="AB77" s="19"/>
      <c r="AC77" s="20"/>
      <c r="AE77" s="111"/>
      <c r="AF77" s="111"/>
      <c r="AG77" s="111"/>
      <c r="AH77" s="651"/>
      <c r="AI77" s="131"/>
      <c r="AJ77" s="117"/>
      <c r="AK77" s="111"/>
      <c r="AL77" s="111"/>
      <c r="AM77" s="111"/>
      <c r="AN77" s="651"/>
      <c r="AO77" s="131"/>
      <c r="AP77" s="117"/>
      <c r="AQ77" s="111"/>
      <c r="AR77" s="111"/>
      <c r="AS77" s="111"/>
      <c r="AT77" s="651"/>
      <c r="AU77" s="131"/>
      <c r="AV77" s="117"/>
      <c r="AW77" s="111"/>
      <c r="AX77" s="111"/>
      <c r="AY77" s="111"/>
      <c r="AZ77" s="111"/>
      <c r="BA77" s="131"/>
    </row>
    <row r="78" spans="1:53" ht="17.100000000000001" customHeight="1" x14ac:dyDescent="0.25">
      <c r="A78" s="102"/>
      <c r="B78" s="102"/>
      <c r="C78" s="102"/>
      <c r="D78" s="103" t="s">
        <v>48</v>
      </c>
      <c r="E78" s="108" t="s">
        <v>49</v>
      </c>
      <c r="F78" s="108"/>
      <c r="G78" s="108"/>
      <c r="H78" s="258"/>
      <c r="I78" s="232"/>
      <c r="J78" s="152"/>
      <c r="K78" s="152"/>
      <c r="L78" s="111"/>
      <c r="M78" s="111"/>
      <c r="N78" s="152"/>
      <c r="O78" s="111"/>
      <c r="P78" s="61"/>
      <c r="Q78" s="152"/>
      <c r="R78" s="111"/>
      <c r="S78" s="61"/>
      <c r="T78" s="152"/>
      <c r="U78" s="111"/>
      <c r="V78" s="362"/>
      <c r="W78" s="391"/>
      <c r="X78" s="17"/>
      <c r="Y78" s="18">
        <f t="shared" ref="Y78:Y80" si="75">M78+P78+S78+V78</f>
        <v>0</v>
      </c>
      <c r="Z78" s="19">
        <f t="shared" ref="Z78:Z81" si="76">IF(Y$81=0,0,Y78/Y$81)</f>
        <v>0</v>
      </c>
      <c r="AA78" s="19"/>
      <c r="AB78" s="19"/>
      <c r="AC78" s="20"/>
      <c r="AE78" s="111"/>
      <c r="AF78" s="111"/>
      <c r="AG78" s="111"/>
      <c r="AH78" s="651"/>
      <c r="AI78" s="131"/>
      <c r="AJ78" s="117"/>
      <c r="AK78" s="111"/>
      <c r="AL78" s="111"/>
      <c r="AM78" s="111"/>
      <c r="AN78" s="651"/>
      <c r="AO78" s="131"/>
      <c r="AP78" s="117"/>
      <c r="AQ78" s="111"/>
      <c r="AR78" s="111"/>
      <c r="AS78" s="111"/>
      <c r="AT78" s="651"/>
      <c r="AU78" s="131"/>
      <c r="AV78" s="117"/>
      <c r="AW78" s="111"/>
      <c r="AX78" s="111"/>
      <c r="AY78" s="111"/>
      <c r="AZ78" s="111"/>
      <c r="BA78" s="131"/>
    </row>
    <row r="79" spans="1:53" ht="17.100000000000001" customHeight="1" x14ac:dyDescent="0.25">
      <c r="A79" s="102"/>
      <c r="B79" s="102"/>
      <c r="C79" s="102"/>
      <c r="D79" s="103" t="s">
        <v>50</v>
      </c>
      <c r="E79" s="108" t="s">
        <v>51</v>
      </c>
      <c r="F79" s="108"/>
      <c r="G79" s="108"/>
      <c r="H79" s="258"/>
      <c r="I79" s="232"/>
      <c r="J79" s="152"/>
      <c r="K79" s="152"/>
      <c r="L79" s="111"/>
      <c r="M79" s="111"/>
      <c r="N79" s="152"/>
      <c r="O79" s="111"/>
      <c r="P79" s="60"/>
      <c r="Q79" s="152"/>
      <c r="R79" s="111"/>
      <c r="S79" s="60"/>
      <c r="T79" s="152"/>
      <c r="U79" s="111"/>
      <c r="V79" s="361"/>
      <c r="W79" s="391"/>
      <c r="X79" s="17"/>
      <c r="Y79" s="18">
        <f t="shared" si="75"/>
        <v>0</v>
      </c>
      <c r="Z79" s="19">
        <f t="shared" si="76"/>
        <v>0</v>
      </c>
      <c r="AA79" s="19"/>
      <c r="AB79" s="19"/>
      <c r="AC79" s="20"/>
      <c r="AE79" s="111"/>
      <c r="AF79" s="111"/>
      <c r="AG79" s="111"/>
      <c r="AH79" s="651"/>
      <c r="AI79" s="131"/>
      <c r="AJ79" s="117"/>
      <c r="AK79" s="111"/>
      <c r="AL79" s="111"/>
      <c r="AM79" s="111"/>
      <c r="AN79" s="651"/>
      <c r="AO79" s="131"/>
      <c r="AP79" s="117"/>
      <c r="AQ79" s="111"/>
      <c r="AR79" s="111"/>
      <c r="AS79" s="111"/>
      <c r="AT79" s="651"/>
      <c r="AU79" s="131"/>
      <c r="AV79" s="117"/>
      <c r="AW79" s="111"/>
      <c r="AX79" s="111"/>
      <c r="AY79" s="111"/>
      <c r="AZ79" s="111"/>
      <c r="BA79" s="131"/>
    </row>
    <row r="80" spans="1:53" ht="17.100000000000001" customHeight="1" x14ac:dyDescent="0.25">
      <c r="A80" s="102"/>
      <c r="B80" s="102"/>
      <c r="C80" s="102"/>
      <c r="D80" s="103" t="s">
        <v>52</v>
      </c>
      <c r="E80" s="108" t="s">
        <v>53</v>
      </c>
      <c r="F80" s="108"/>
      <c r="G80" s="108"/>
      <c r="H80" s="258"/>
      <c r="I80" s="232"/>
      <c r="J80" s="152"/>
      <c r="K80" s="152"/>
      <c r="L80" s="111"/>
      <c r="M80" s="111"/>
      <c r="N80" s="152"/>
      <c r="O80" s="111"/>
      <c r="P80" s="61"/>
      <c r="Q80" s="152"/>
      <c r="R80" s="111"/>
      <c r="S80" s="61"/>
      <c r="T80" s="152"/>
      <c r="U80" s="111"/>
      <c r="V80" s="362"/>
      <c r="W80" s="391"/>
      <c r="X80" s="17"/>
      <c r="Y80" s="18">
        <f t="shared" si="75"/>
        <v>0</v>
      </c>
      <c r="Z80" s="19">
        <f t="shared" si="76"/>
        <v>0</v>
      </c>
      <c r="AA80" s="19"/>
      <c r="AB80" s="19"/>
      <c r="AC80" s="20"/>
      <c r="AE80" s="111"/>
      <c r="AF80" s="111"/>
      <c r="AG80" s="111"/>
      <c r="AH80" s="651"/>
      <c r="AI80" s="131"/>
      <c r="AJ80" s="117"/>
      <c r="AK80" s="111"/>
      <c r="AL80" s="111"/>
      <c r="AM80" s="111"/>
      <c r="AN80" s="651"/>
      <c r="AO80" s="131"/>
      <c r="AP80" s="117"/>
      <c r="AQ80" s="111"/>
      <c r="AR80" s="111"/>
      <c r="AS80" s="111"/>
      <c r="AT80" s="651"/>
      <c r="AU80" s="131"/>
      <c r="AV80" s="117"/>
      <c r="AW80" s="111"/>
      <c r="AX80" s="111"/>
      <c r="AY80" s="111"/>
      <c r="AZ80" s="111"/>
      <c r="BA80" s="131"/>
    </row>
    <row r="81" spans="1:53" ht="17.100000000000001" customHeight="1" x14ac:dyDescent="0.25">
      <c r="A81" s="40"/>
      <c r="B81" s="40"/>
      <c r="C81" s="77"/>
      <c r="D81" s="78"/>
      <c r="E81" s="78"/>
      <c r="F81" s="78"/>
      <c r="G81" s="78"/>
      <c r="H81" s="242"/>
      <c r="I81" s="230"/>
      <c r="J81" s="80"/>
      <c r="K81" s="80"/>
      <c r="L81" s="81"/>
      <c r="M81" s="81"/>
      <c r="N81" s="81"/>
      <c r="O81" s="81"/>
      <c r="P81" s="82">
        <f>SUM(P77:P80)</f>
        <v>0</v>
      </c>
      <c r="Q81" s="81"/>
      <c r="R81" s="81"/>
      <c r="S81" s="82">
        <f>SUM(S77:S80)</f>
        <v>1</v>
      </c>
      <c r="T81" s="81"/>
      <c r="U81" s="81"/>
      <c r="V81" s="360">
        <f>SUM(V77:V80)</f>
        <v>0</v>
      </c>
      <c r="W81" s="381"/>
      <c r="X81" s="82"/>
      <c r="Y81" s="82">
        <f t="shared" ref="Y81" si="77">SUM(Y77:Y80)</f>
        <v>1</v>
      </c>
      <c r="Z81" s="205">
        <f t="shared" si="76"/>
        <v>1</v>
      </c>
      <c r="AA81" s="205"/>
      <c r="AB81" s="205"/>
      <c r="AC81" s="83"/>
      <c r="AE81" s="81"/>
      <c r="AF81" s="81"/>
      <c r="AG81" s="81"/>
      <c r="AH81" s="82"/>
      <c r="AI81" s="66"/>
      <c r="AJ81" s="117"/>
      <c r="AK81" s="81"/>
      <c r="AL81" s="81"/>
      <c r="AM81" s="81"/>
      <c r="AN81" s="82"/>
      <c r="AO81" s="66"/>
      <c r="AP81" s="117"/>
      <c r="AQ81" s="81"/>
      <c r="AR81" s="81"/>
      <c r="AS81" s="81"/>
      <c r="AT81" s="82"/>
      <c r="AU81" s="66"/>
      <c r="AV81" s="117"/>
      <c r="AW81" s="81"/>
      <c r="AX81" s="81"/>
      <c r="AY81" s="81"/>
      <c r="AZ81" s="81"/>
      <c r="BA81" s="66"/>
    </row>
    <row r="82" spans="1:53" s="117" customFormat="1" ht="17.100000000000001" customHeight="1" x14ac:dyDescent="0.25">
      <c r="A82" s="119"/>
      <c r="B82" s="119"/>
      <c r="C82" s="647"/>
      <c r="D82" s="212"/>
      <c r="E82" s="212"/>
      <c r="F82" s="212"/>
      <c r="G82" s="212"/>
      <c r="H82" s="242"/>
      <c r="I82" s="230"/>
      <c r="J82" s="17"/>
      <c r="K82" s="17"/>
      <c r="L82" s="17"/>
      <c r="M82" s="17"/>
      <c r="N82" s="17"/>
      <c r="O82" s="17"/>
      <c r="P82" s="17" t="str">
        <f>IF(P81=1,"OK","NOK")</f>
        <v>NOK</v>
      </c>
      <c r="Q82" s="17"/>
      <c r="R82" s="17"/>
      <c r="S82" s="17" t="str">
        <f>IF(S81=1,"OK","NOK")</f>
        <v>OK</v>
      </c>
      <c r="T82" s="17"/>
      <c r="U82" s="17"/>
      <c r="V82" s="359" t="str">
        <f>IF(V81=1,"OK","NOK")</f>
        <v>NOK</v>
      </c>
      <c r="W82" s="382"/>
      <c r="X82" s="646"/>
      <c r="Y82" s="646"/>
      <c r="Z82" s="201"/>
      <c r="AA82" s="201"/>
      <c r="AB82" s="201"/>
      <c r="AC82" s="84"/>
      <c r="AE82" s="17"/>
      <c r="AF82" s="17"/>
      <c r="AG82" s="17"/>
      <c r="AH82" s="646"/>
      <c r="AI82" s="91"/>
      <c r="AK82" s="17"/>
      <c r="AL82" s="17"/>
      <c r="AM82" s="17"/>
      <c r="AN82" s="646"/>
      <c r="AO82" s="91"/>
      <c r="AQ82" s="17"/>
      <c r="AR82" s="17"/>
      <c r="AS82" s="17"/>
      <c r="AT82" s="646"/>
      <c r="AU82" s="91"/>
      <c r="AW82" s="17"/>
      <c r="AX82" s="17"/>
      <c r="AY82" s="17"/>
      <c r="AZ82" s="17"/>
      <c r="BA82" s="91"/>
    </row>
    <row r="83" spans="1:53" ht="17.100000000000001" customHeight="1" x14ac:dyDescent="0.25">
      <c r="A83" s="102"/>
      <c r="B83" s="102"/>
      <c r="C83" s="103"/>
      <c r="D83" s="108"/>
      <c r="E83" s="108"/>
      <c r="F83" s="108"/>
      <c r="G83" s="108"/>
      <c r="H83" s="258"/>
      <c r="I83" s="232"/>
      <c r="J83" s="111"/>
      <c r="K83" s="111"/>
      <c r="L83" s="111"/>
      <c r="M83" s="111"/>
      <c r="N83" s="111"/>
      <c r="O83" s="111"/>
      <c r="P83" s="111"/>
      <c r="Q83" s="111"/>
      <c r="R83" s="111"/>
      <c r="S83" s="111"/>
      <c r="T83" s="111"/>
      <c r="U83" s="111"/>
      <c r="V83" s="358"/>
      <c r="W83" s="380"/>
      <c r="X83" s="111"/>
      <c r="Y83" s="112"/>
      <c r="Z83" s="113"/>
      <c r="AA83" s="113"/>
      <c r="AB83" s="113"/>
      <c r="AC83" s="113"/>
      <c r="AE83" s="114"/>
      <c r="AF83" s="114"/>
      <c r="AG83" s="114"/>
      <c r="AH83" s="112"/>
      <c r="AI83" s="113"/>
      <c r="AJ83" s="117"/>
      <c r="AK83" s="114"/>
      <c r="AL83" s="114"/>
      <c r="AM83" s="114"/>
      <c r="AN83" s="112"/>
      <c r="AO83" s="113"/>
      <c r="AP83" s="117"/>
      <c r="AQ83" s="114"/>
      <c r="AR83" s="114"/>
      <c r="AS83" s="114"/>
      <c r="AT83" s="112"/>
      <c r="AU83" s="113"/>
      <c r="AV83" s="117"/>
      <c r="AW83" s="114"/>
      <c r="AX83" s="114"/>
      <c r="AY83" s="114"/>
      <c r="AZ83" s="114"/>
      <c r="BA83" s="113"/>
    </row>
    <row r="84" spans="1:53" ht="17.100000000000001" customHeight="1" x14ac:dyDescent="0.25">
      <c r="A84" s="102"/>
      <c r="B84" s="118"/>
      <c r="C84" s="118"/>
      <c r="D84" s="103"/>
      <c r="E84" s="108"/>
      <c r="F84" s="108"/>
      <c r="G84" s="108"/>
      <c r="H84" s="258"/>
      <c r="I84" s="232"/>
      <c r="J84" s="152"/>
      <c r="K84" s="152"/>
      <c r="L84" s="111"/>
      <c r="M84" s="111"/>
      <c r="N84" s="152"/>
      <c r="O84" s="111"/>
      <c r="P84" s="587"/>
      <c r="Q84" s="152"/>
      <c r="R84" s="111"/>
      <c r="S84" s="587"/>
      <c r="T84" s="152"/>
      <c r="U84" s="111"/>
      <c r="V84" s="590"/>
      <c r="W84" s="391"/>
      <c r="X84" s="17"/>
      <c r="Y84" s="18"/>
      <c r="Z84" s="19"/>
      <c r="AA84" s="19"/>
      <c r="AB84" s="19"/>
      <c r="AC84" s="20"/>
      <c r="AE84" s="111"/>
      <c r="AF84" s="111"/>
      <c r="AG84" s="111"/>
      <c r="AH84" s="651"/>
      <c r="AI84" s="131"/>
      <c r="AJ84" s="117"/>
      <c r="AK84" s="111"/>
      <c r="AL84" s="111"/>
      <c r="AM84" s="111"/>
      <c r="AN84" s="651"/>
      <c r="AO84" s="131"/>
      <c r="AP84" s="117"/>
      <c r="AQ84" s="111"/>
      <c r="AR84" s="111"/>
      <c r="AS84" s="111"/>
      <c r="AT84" s="651"/>
      <c r="AU84" s="131"/>
      <c r="AV84" s="117"/>
      <c r="AW84" s="111"/>
      <c r="AX84" s="111"/>
      <c r="AY84" s="111"/>
      <c r="AZ84" s="111"/>
      <c r="BA84" s="131"/>
    </row>
    <row r="85" spans="1:53" ht="17.100000000000001" customHeight="1" x14ac:dyDescent="0.25">
      <c r="A85" s="102"/>
      <c r="B85" s="118"/>
      <c r="C85" s="118"/>
      <c r="D85" s="103"/>
      <c r="E85" s="108"/>
      <c r="F85" s="108"/>
      <c r="G85" s="108"/>
      <c r="H85" s="258"/>
      <c r="I85" s="232"/>
      <c r="J85" s="152"/>
      <c r="K85" s="152"/>
      <c r="L85" s="111"/>
      <c r="M85" s="111"/>
      <c r="N85" s="152"/>
      <c r="O85" s="111"/>
      <c r="P85" s="588"/>
      <c r="Q85" s="152"/>
      <c r="R85" s="111"/>
      <c r="S85" s="588"/>
      <c r="T85" s="152"/>
      <c r="U85" s="111"/>
      <c r="V85" s="591"/>
      <c r="W85" s="391"/>
      <c r="X85" s="17"/>
      <c r="Y85" s="18"/>
      <c r="Z85" s="19"/>
      <c r="AA85" s="19"/>
      <c r="AB85" s="19"/>
      <c r="AC85" s="20"/>
      <c r="AE85" s="111"/>
      <c r="AF85" s="111"/>
      <c r="AG85" s="111"/>
      <c r="AH85" s="651"/>
      <c r="AI85" s="131"/>
      <c r="AJ85" s="117"/>
      <c r="AK85" s="111"/>
      <c r="AL85" s="111"/>
      <c r="AM85" s="111"/>
      <c r="AN85" s="651"/>
      <c r="AO85" s="131"/>
      <c r="AP85" s="117"/>
      <c r="AQ85" s="111"/>
      <c r="AR85" s="111"/>
      <c r="AS85" s="111"/>
      <c r="AT85" s="651"/>
      <c r="AU85" s="131"/>
      <c r="AV85" s="117"/>
      <c r="AW85" s="111"/>
      <c r="AX85" s="111"/>
      <c r="AY85" s="111"/>
      <c r="AZ85" s="111"/>
      <c r="BA85" s="131"/>
    </row>
    <row r="86" spans="1:53" ht="17.100000000000001" customHeight="1" x14ac:dyDescent="0.25">
      <c r="A86" s="102"/>
      <c r="B86" s="118"/>
      <c r="C86" s="118"/>
      <c r="D86" s="103"/>
      <c r="E86" s="108"/>
      <c r="F86" s="108"/>
      <c r="G86" s="108"/>
      <c r="H86" s="258"/>
      <c r="I86" s="232"/>
      <c r="J86" s="152"/>
      <c r="K86" s="152"/>
      <c r="L86" s="111"/>
      <c r="M86" s="111"/>
      <c r="N86" s="152"/>
      <c r="O86" s="111"/>
      <c r="P86" s="587"/>
      <c r="Q86" s="152"/>
      <c r="R86" s="111"/>
      <c r="S86" s="587"/>
      <c r="T86" s="152"/>
      <c r="U86" s="111"/>
      <c r="V86" s="590"/>
      <c r="W86" s="391"/>
      <c r="X86" s="17"/>
      <c r="Y86" s="18"/>
      <c r="Z86" s="19"/>
      <c r="AA86" s="19"/>
      <c r="AB86" s="19"/>
      <c r="AC86" s="20"/>
      <c r="AE86" s="111"/>
      <c r="AF86" s="111"/>
      <c r="AG86" s="111"/>
      <c r="AH86" s="651"/>
      <c r="AI86" s="131"/>
      <c r="AJ86" s="117"/>
      <c r="AK86" s="111"/>
      <c r="AL86" s="111"/>
      <c r="AM86" s="111"/>
      <c r="AN86" s="651"/>
      <c r="AO86" s="131"/>
      <c r="AP86" s="117"/>
      <c r="AQ86" s="111"/>
      <c r="AR86" s="111"/>
      <c r="AS86" s="111"/>
      <c r="AT86" s="651"/>
      <c r="AU86" s="131"/>
      <c r="AV86" s="117"/>
      <c r="AW86" s="111"/>
      <c r="AX86" s="111"/>
      <c r="AY86" s="111"/>
      <c r="AZ86" s="111"/>
      <c r="BA86" s="131"/>
    </row>
    <row r="87" spans="1:53" ht="17.100000000000001" customHeight="1" x14ac:dyDescent="0.25">
      <c r="A87" s="102"/>
      <c r="B87" s="118"/>
      <c r="C87" s="118"/>
      <c r="D87" s="103"/>
      <c r="E87" s="108"/>
      <c r="F87" s="108"/>
      <c r="G87" s="108"/>
      <c r="H87" s="258"/>
      <c r="I87" s="232"/>
      <c r="J87" s="152"/>
      <c r="K87" s="152"/>
      <c r="L87" s="111"/>
      <c r="M87" s="111"/>
      <c r="N87" s="152"/>
      <c r="O87" s="111"/>
      <c r="P87" s="588"/>
      <c r="Q87" s="152"/>
      <c r="R87" s="111"/>
      <c r="S87" s="588"/>
      <c r="T87" s="152"/>
      <c r="U87" s="111"/>
      <c r="V87" s="591"/>
      <c r="W87" s="391"/>
      <c r="X87" s="17"/>
      <c r="Y87" s="18"/>
      <c r="Z87" s="19"/>
      <c r="AA87" s="19"/>
      <c r="AB87" s="19"/>
      <c r="AC87" s="20"/>
      <c r="AE87" s="111"/>
      <c r="AF87" s="111"/>
      <c r="AG87" s="111"/>
      <c r="AH87" s="651"/>
      <c r="AI87" s="131"/>
      <c r="AJ87" s="117"/>
      <c r="AK87" s="111"/>
      <c r="AL87" s="111"/>
      <c r="AM87" s="111"/>
      <c r="AN87" s="651"/>
      <c r="AO87" s="131"/>
      <c r="AP87" s="117"/>
      <c r="AQ87" s="111"/>
      <c r="AR87" s="111"/>
      <c r="AS87" s="111"/>
      <c r="AT87" s="651"/>
      <c r="AU87" s="131"/>
      <c r="AV87" s="117"/>
      <c r="AW87" s="111"/>
      <c r="AX87" s="111"/>
      <c r="AY87" s="111"/>
      <c r="AZ87" s="111"/>
      <c r="BA87" s="131"/>
    </row>
    <row r="88" spans="1:53" ht="17.100000000000001" customHeight="1" x14ac:dyDescent="0.25">
      <c r="A88" s="40"/>
      <c r="B88" s="40"/>
      <c r="C88" s="77"/>
      <c r="D88" s="78"/>
      <c r="E88" s="78"/>
      <c r="F88" s="78"/>
      <c r="G88" s="78"/>
      <c r="H88" s="242"/>
      <c r="I88" s="230"/>
      <c r="J88" s="80"/>
      <c r="K88" s="80"/>
      <c r="L88" s="81"/>
      <c r="M88" s="81"/>
      <c r="N88" s="81"/>
      <c r="O88" s="81"/>
      <c r="P88" s="82"/>
      <c r="Q88" s="81"/>
      <c r="R88" s="81"/>
      <c r="S88" s="82"/>
      <c r="T88" s="81"/>
      <c r="U88" s="81"/>
      <c r="V88" s="360"/>
      <c r="W88" s="381"/>
      <c r="X88" s="82"/>
      <c r="Y88" s="82"/>
      <c r="Z88" s="205"/>
      <c r="AA88" s="205"/>
      <c r="AB88" s="205"/>
      <c r="AC88" s="83"/>
      <c r="AE88" s="81"/>
      <c r="AF88" s="81"/>
      <c r="AG88" s="81"/>
      <c r="AH88" s="82"/>
      <c r="AI88" s="66"/>
      <c r="AJ88" s="117"/>
      <c r="AK88" s="81"/>
      <c r="AL88" s="81"/>
      <c r="AM88" s="81"/>
      <c r="AN88" s="82"/>
      <c r="AO88" s="66"/>
      <c r="AP88" s="117"/>
      <c r="AQ88" s="81"/>
      <c r="AR88" s="81"/>
      <c r="AS88" s="81"/>
      <c r="AT88" s="82"/>
      <c r="AU88" s="66"/>
      <c r="AV88" s="117"/>
      <c r="AW88" s="81"/>
      <c r="AX88" s="81"/>
      <c r="AY88" s="81"/>
      <c r="AZ88" s="81"/>
      <c r="BA88" s="66"/>
    </row>
    <row r="89" spans="1:53" s="117" customFormat="1" ht="17.100000000000001" customHeight="1" x14ac:dyDescent="0.25">
      <c r="A89" s="119"/>
      <c r="B89" s="119"/>
      <c r="C89" s="647"/>
      <c r="D89" s="212"/>
      <c r="E89" s="212"/>
      <c r="F89" s="212"/>
      <c r="G89" s="212"/>
      <c r="H89" s="242"/>
      <c r="I89" s="230"/>
      <c r="J89" s="17"/>
      <c r="K89" s="17"/>
      <c r="L89" s="17"/>
      <c r="M89" s="17"/>
      <c r="N89" s="17"/>
      <c r="O89" s="17"/>
      <c r="P89" s="17"/>
      <c r="Q89" s="17"/>
      <c r="R89" s="17"/>
      <c r="S89" s="17"/>
      <c r="T89" s="17"/>
      <c r="U89" s="17"/>
      <c r="V89" s="359"/>
      <c r="W89" s="382"/>
      <c r="X89" s="646"/>
      <c r="Y89" s="646"/>
      <c r="Z89" s="201"/>
      <c r="AA89" s="201"/>
      <c r="AB89" s="201"/>
      <c r="AC89" s="84"/>
      <c r="AE89" s="17"/>
      <c r="AF89" s="17"/>
      <c r="AG89" s="17"/>
      <c r="AH89" s="646"/>
      <c r="AI89" s="91"/>
      <c r="AK89" s="17"/>
      <c r="AL89" s="17"/>
      <c r="AM89" s="17"/>
      <c r="AN89" s="646"/>
      <c r="AO89" s="91"/>
      <c r="AQ89" s="17"/>
      <c r="AR89" s="17"/>
      <c r="AS89" s="17"/>
      <c r="AT89" s="646"/>
      <c r="AU89" s="91"/>
      <c r="AW89" s="17"/>
      <c r="AX89" s="17"/>
      <c r="AY89" s="17"/>
      <c r="AZ89" s="17"/>
      <c r="BA89" s="91"/>
    </row>
    <row r="90" spans="1:53" ht="17.100000000000001" customHeight="1" x14ac:dyDescent="0.25">
      <c r="A90" s="68"/>
      <c r="B90" s="41" t="s">
        <v>63</v>
      </c>
      <c r="C90" s="69" t="s">
        <v>64</v>
      </c>
      <c r="D90" s="50"/>
      <c r="E90" s="70"/>
      <c r="F90" s="70"/>
      <c r="G90" s="70"/>
      <c r="H90" s="84"/>
      <c r="J90" s="71"/>
      <c r="K90" s="71"/>
      <c r="L90" s="71"/>
      <c r="M90" s="71"/>
      <c r="N90" s="71"/>
      <c r="O90" s="71"/>
      <c r="P90" s="71"/>
      <c r="Q90" s="71"/>
      <c r="R90" s="71"/>
      <c r="S90" s="71"/>
      <c r="T90" s="71"/>
      <c r="U90" s="71"/>
      <c r="V90" s="71"/>
      <c r="W90" s="71"/>
      <c r="X90" s="71"/>
      <c r="Y90" s="71"/>
      <c r="Z90" s="73"/>
      <c r="AA90" s="73"/>
      <c r="AB90" s="73"/>
      <c r="AC90" s="73"/>
      <c r="AE90" s="71"/>
      <c r="AF90" s="71"/>
      <c r="AG90" s="71"/>
      <c r="AH90" s="72"/>
      <c r="AI90" s="73"/>
      <c r="AJ90" s="117"/>
      <c r="AK90" s="71"/>
      <c r="AL90" s="71"/>
      <c r="AM90" s="71"/>
      <c r="AN90" s="72"/>
      <c r="AO90" s="73"/>
      <c r="AP90" s="117"/>
      <c r="AQ90" s="71"/>
      <c r="AR90" s="71"/>
      <c r="AS90" s="71"/>
      <c r="AT90" s="72"/>
      <c r="AU90" s="73"/>
      <c r="AV90" s="117"/>
      <c r="AW90" s="71"/>
      <c r="AX90" s="71"/>
      <c r="AY90" s="71"/>
      <c r="AZ90" s="273"/>
      <c r="BA90" s="73"/>
    </row>
    <row r="91" spans="1:53" ht="17.100000000000001" customHeight="1" x14ac:dyDescent="0.25">
      <c r="A91" s="102"/>
      <c r="B91" s="102"/>
      <c r="C91" s="103" t="s">
        <v>65</v>
      </c>
      <c r="D91" s="108" t="s">
        <v>66</v>
      </c>
      <c r="E91" s="108"/>
      <c r="F91" s="108"/>
      <c r="G91" s="108"/>
      <c r="H91" s="315"/>
      <c r="I91" s="232"/>
      <c r="J91" s="111"/>
      <c r="K91" s="111"/>
      <c r="L91" s="111"/>
      <c r="M91" s="111"/>
      <c r="N91" s="111"/>
      <c r="O91" s="111"/>
      <c r="P91" s="111"/>
      <c r="Q91" s="111"/>
      <c r="R91" s="111"/>
      <c r="S91" s="111"/>
      <c r="T91" s="111"/>
      <c r="U91" s="111"/>
      <c r="V91" s="111"/>
      <c r="W91" s="111"/>
      <c r="X91" s="111"/>
      <c r="Y91" s="111"/>
      <c r="Z91" s="113"/>
      <c r="AA91" s="113"/>
      <c r="AB91" s="113"/>
      <c r="AC91" s="113"/>
      <c r="AE91" s="114"/>
      <c r="AF91" s="114"/>
      <c r="AG91" s="114"/>
      <c r="AH91" s="112"/>
      <c r="AI91" s="113"/>
      <c r="AJ91" s="117"/>
      <c r="AK91" s="114"/>
      <c r="AL91" s="114"/>
      <c r="AM91" s="114"/>
      <c r="AN91" s="112"/>
      <c r="AO91" s="113"/>
      <c r="AP91" s="117"/>
      <c r="AQ91" s="114"/>
      <c r="AR91" s="114"/>
      <c r="AS91" s="114"/>
      <c r="AT91" s="112"/>
      <c r="AU91" s="113"/>
      <c r="AV91" s="117"/>
      <c r="AW91" s="114"/>
      <c r="AX91" s="114"/>
      <c r="AY91" s="114"/>
      <c r="AZ91" s="114"/>
      <c r="BA91" s="113"/>
    </row>
    <row r="92" spans="1:53" ht="17.100000000000001" customHeight="1" x14ac:dyDescent="0.25">
      <c r="A92" s="102"/>
      <c r="B92" s="118"/>
      <c r="C92" s="118"/>
      <c r="D92" s="103" t="s">
        <v>67</v>
      </c>
      <c r="E92" s="278" t="s">
        <v>558</v>
      </c>
      <c r="F92" s="312"/>
      <c r="G92" s="312"/>
      <c r="H92" s="317"/>
      <c r="I92" s="307"/>
      <c r="J92" s="152"/>
      <c r="K92" s="152"/>
      <c r="L92" s="111"/>
      <c r="M92" s="111"/>
      <c r="N92" s="152"/>
      <c r="O92" s="111"/>
      <c r="P92" s="60"/>
      <c r="Q92" s="152"/>
      <c r="R92" s="111"/>
      <c r="S92" s="60">
        <v>1</v>
      </c>
      <c r="T92" s="152"/>
      <c r="U92" s="111"/>
      <c r="V92" s="361"/>
      <c r="W92" s="391"/>
      <c r="X92" s="17"/>
      <c r="Y92" s="18">
        <f>M92+P92+S92+V92</f>
        <v>1</v>
      </c>
      <c r="Z92" s="19">
        <f>IF(Y$96=0,0,Y92/Y$96)</f>
        <v>1</v>
      </c>
      <c r="AA92" s="19"/>
      <c r="AB92" s="19"/>
      <c r="AC92" s="20"/>
      <c r="AE92" s="111"/>
      <c r="AF92" s="111"/>
      <c r="AG92" s="111"/>
      <c r="AH92" s="651"/>
      <c r="AI92" s="131"/>
      <c r="AJ92" s="117"/>
      <c r="AK92" s="111"/>
      <c r="AL92" s="111"/>
      <c r="AM92" s="111"/>
      <c r="AN92" s="651"/>
      <c r="AO92" s="131"/>
      <c r="AP92" s="117"/>
      <c r="AQ92" s="111"/>
      <c r="AR92" s="111"/>
      <c r="AS92" s="111"/>
      <c r="AT92" s="651"/>
      <c r="AU92" s="131"/>
      <c r="AV92" s="117"/>
      <c r="AW92" s="111"/>
      <c r="AX92" s="111"/>
      <c r="AY92" s="111"/>
      <c r="AZ92" s="111"/>
      <c r="BA92" s="131"/>
    </row>
    <row r="93" spans="1:53" ht="17.100000000000001" customHeight="1" x14ac:dyDescent="0.25">
      <c r="A93" s="102"/>
      <c r="B93" s="118"/>
      <c r="C93" s="118"/>
      <c r="D93" s="103" t="s">
        <v>69</v>
      </c>
      <c r="E93" s="278" t="s">
        <v>559</v>
      </c>
      <c r="F93" s="108"/>
      <c r="G93" s="108"/>
      <c r="H93" s="315"/>
      <c r="I93" s="232"/>
      <c r="J93" s="152"/>
      <c r="K93" s="152"/>
      <c r="L93" s="111"/>
      <c r="M93" s="111"/>
      <c r="N93" s="152"/>
      <c r="O93" s="111"/>
      <c r="P93" s="61"/>
      <c r="Q93" s="152"/>
      <c r="R93" s="111"/>
      <c r="S93" s="61"/>
      <c r="T93" s="152"/>
      <c r="U93" s="111"/>
      <c r="V93" s="362"/>
      <c r="W93" s="391"/>
      <c r="X93" s="17"/>
      <c r="Y93" s="18">
        <f t="shared" ref="Y93:Y95" si="78">M93+P93+S93+V93</f>
        <v>0</v>
      </c>
      <c r="Z93" s="19">
        <f t="shared" ref="Z93:Z96" si="79">IF(Y$96=0,0,Y93/Y$96)</f>
        <v>0</v>
      </c>
      <c r="AA93" s="19"/>
      <c r="AB93" s="19"/>
      <c r="AC93" s="20"/>
      <c r="AE93" s="111"/>
      <c r="AF93" s="111"/>
      <c r="AG93" s="111"/>
      <c r="AH93" s="651"/>
      <c r="AI93" s="131"/>
      <c r="AJ93" s="117"/>
      <c r="AK93" s="111"/>
      <c r="AL93" s="111"/>
      <c r="AM93" s="111"/>
      <c r="AN93" s="651"/>
      <c r="AO93" s="131"/>
      <c r="AP93" s="117"/>
      <c r="AQ93" s="111"/>
      <c r="AR93" s="111"/>
      <c r="AS93" s="111"/>
      <c r="AT93" s="651"/>
      <c r="AU93" s="131"/>
      <c r="AV93" s="117"/>
      <c r="AW93" s="111"/>
      <c r="AX93" s="111"/>
      <c r="AY93" s="111"/>
      <c r="AZ93" s="111"/>
      <c r="BA93" s="131"/>
    </row>
    <row r="94" spans="1:53" ht="17.100000000000001" customHeight="1" x14ac:dyDescent="0.25">
      <c r="A94" s="102"/>
      <c r="B94" s="118"/>
      <c r="C94" s="118"/>
      <c r="D94" s="103" t="s">
        <v>71</v>
      </c>
      <c r="E94" s="278" t="s">
        <v>560</v>
      </c>
      <c r="F94" s="108"/>
      <c r="G94" s="108"/>
      <c r="H94" s="315"/>
      <c r="I94" s="232"/>
      <c r="J94" s="152"/>
      <c r="K94" s="152"/>
      <c r="L94" s="111"/>
      <c r="M94" s="111"/>
      <c r="N94" s="152"/>
      <c r="O94" s="111"/>
      <c r="P94" s="60"/>
      <c r="Q94" s="152"/>
      <c r="R94" s="111"/>
      <c r="S94" s="60"/>
      <c r="T94" s="152"/>
      <c r="U94" s="111"/>
      <c r="V94" s="361"/>
      <c r="W94" s="391"/>
      <c r="X94" s="17"/>
      <c r="Y94" s="18">
        <f t="shared" si="78"/>
        <v>0</v>
      </c>
      <c r="Z94" s="19">
        <f t="shared" si="79"/>
        <v>0</v>
      </c>
      <c r="AA94" s="19"/>
      <c r="AB94" s="19"/>
      <c r="AC94" s="20"/>
      <c r="AE94" s="111"/>
      <c r="AF94" s="111"/>
      <c r="AG94" s="111"/>
      <c r="AH94" s="651"/>
      <c r="AI94" s="131"/>
      <c r="AJ94" s="117"/>
      <c r="AK94" s="111"/>
      <c r="AL94" s="111"/>
      <c r="AM94" s="111"/>
      <c r="AN94" s="651"/>
      <c r="AO94" s="131"/>
      <c r="AP94" s="117"/>
      <c r="AQ94" s="111"/>
      <c r="AR94" s="111"/>
      <c r="AS94" s="111"/>
      <c r="AT94" s="651"/>
      <c r="AU94" s="131"/>
      <c r="AV94" s="117"/>
      <c r="AW94" s="111"/>
      <c r="AX94" s="111"/>
      <c r="AY94" s="111"/>
      <c r="AZ94" s="111"/>
      <c r="BA94" s="131"/>
    </row>
    <row r="95" spans="1:53" ht="17.100000000000001" customHeight="1" x14ac:dyDescent="0.25">
      <c r="A95" s="102"/>
      <c r="B95" s="118"/>
      <c r="C95" s="118"/>
      <c r="D95" s="103" t="s">
        <v>73</v>
      </c>
      <c r="E95" s="278" t="s">
        <v>561</v>
      </c>
      <c r="F95" s="312"/>
      <c r="G95" s="312"/>
      <c r="H95" s="317"/>
      <c r="I95" s="307"/>
      <c r="J95" s="152"/>
      <c r="K95" s="152"/>
      <c r="L95" s="111"/>
      <c r="M95" s="111"/>
      <c r="N95" s="152"/>
      <c r="O95" s="111"/>
      <c r="P95" s="61"/>
      <c r="Q95" s="152"/>
      <c r="R95" s="111"/>
      <c r="S95" s="61"/>
      <c r="T95" s="152"/>
      <c r="U95" s="111"/>
      <c r="V95" s="362"/>
      <c r="W95" s="391"/>
      <c r="X95" s="17"/>
      <c r="Y95" s="18">
        <f t="shared" si="78"/>
        <v>0</v>
      </c>
      <c r="Z95" s="19">
        <f t="shared" si="79"/>
        <v>0</v>
      </c>
      <c r="AA95" s="19"/>
      <c r="AB95" s="19"/>
      <c r="AC95" s="20"/>
      <c r="AE95" s="111"/>
      <c r="AF95" s="111"/>
      <c r="AG95" s="111"/>
      <c r="AH95" s="651"/>
      <c r="AI95" s="131"/>
      <c r="AJ95" s="117"/>
      <c r="AK95" s="111"/>
      <c r="AL95" s="111"/>
      <c r="AM95" s="111"/>
      <c r="AN95" s="651"/>
      <c r="AO95" s="131"/>
      <c r="AP95" s="117"/>
      <c r="AQ95" s="111"/>
      <c r="AR95" s="111"/>
      <c r="AS95" s="111"/>
      <c r="AT95" s="651"/>
      <c r="AU95" s="131"/>
      <c r="AV95" s="117"/>
      <c r="AW95" s="111"/>
      <c r="AX95" s="111"/>
      <c r="AY95" s="111"/>
      <c r="AZ95" s="111"/>
      <c r="BA95" s="131"/>
    </row>
    <row r="96" spans="1:53" ht="17.100000000000001" customHeight="1" x14ac:dyDescent="0.25">
      <c r="A96" s="40"/>
      <c r="B96" s="40"/>
      <c r="C96" s="77"/>
      <c r="D96" s="78"/>
      <c r="E96" s="78"/>
      <c r="F96" s="78"/>
      <c r="G96" s="78"/>
      <c r="H96" s="316"/>
      <c r="I96" s="230"/>
      <c r="J96" s="80"/>
      <c r="K96" s="80"/>
      <c r="L96" s="81"/>
      <c r="M96" s="81"/>
      <c r="N96" s="81"/>
      <c r="O96" s="81"/>
      <c r="P96" s="82">
        <f>SUM(P92:P95)</f>
        <v>0</v>
      </c>
      <c r="Q96" s="81"/>
      <c r="R96" s="81"/>
      <c r="S96" s="82">
        <f>SUM(S92:S95)</f>
        <v>1</v>
      </c>
      <c r="T96" s="81"/>
      <c r="U96" s="81"/>
      <c r="V96" s="360">
        <f>SUM(V92:V95)</f>
        <v>0</v>
      </c>
      <c r="W96" s="381"/>
      <c r="X96" s="82"/>
      <c r="Y96" s="82">
        <f t="shared" ref="Y96" si="80">SUM(Y92:Y95)</f>
        <v>1</v>
      </c>
      <c r="Z96" s="205">
        <f t="shared" si="79"/>
        <v>1</v>
      </c>
      <c r="AA96" s="205"/>
      <c r="AB96" s="205"/>
      <c r="AC96" s="83"/>
      <c r="AE96" s="81"/>
      <c r="AF96" s="81"/>
      <c r="AG96" s="81"/>
      <c r="AH96" s="82"/>
      <c r="AI96" s="66"/>
      <c r="AJ96" s="117"/>
      <c r="AK96" s="81"/>
      <c r="AL96" s="81"/>
      <c r="AM96" s="81"/>
      <c r="AN96" s="82"/>
      <c r="AO96" s="66"/>
      <c r="AP96" s="117"/>
      <c r="AQ96" s="81"/>
      <c r="AR96" s="81"/>
      <c r="AS96" s="81"/>
      <c r="AT96" s="82"/>
      <c r="AU96" s="66"/>
      <c r="AV96" s="117"/>
      <c r="AW96" s="81"/>
      <c r="AX96" s="81"/>
      <c r="AY96" s="81"/>
      <c r="AZ96" s="81"/>
      <c r="BA96" s="66"/>
    </row>
    <row r="97" spans="1:53" s="117" customFormat="1" ht="17.100000000000001" customHeight="1" x14ac:dyDescent="0.25">
      <c r="A97" s="119"/>
      <c r="B97" s="119"/>
      <c r="C97" s="647"/>
      <c r="D97" s="212"/>
      <c r="E97" s="212"/>
      <c r="F97" s="212"/>
      <c r="G97" s="212"/>
      <c r="H97" s="242"/>
      <c r="I97" s="230"/>
      <c r="J97" s="17"/>
      <c r="K97" s="17"/>
      <c r="L97" s="17"/>
      <c r="M97" s="17"/>
      <c r="N97" s="17"/>
      <c r="O97" s="17"/>
      <c r="P97" s="17" t="str">
        <f>IF(P96=1,"OK","NOK")</f>
        <v>NOK</v>
      </c>
      <c r="Q97" s="17"/>
      <c r="R97" s="17"/>
      <c r="S97" s="17" t="str">
        <f>IF(S96=1,"OK","NOK")</f>
        <v>OK</v>
      </c>
      <c r="T97" s="17"/>
      <c r="U97" s="17"/>
      <c r="V97" s="359" t="str">
        <f>IF(V96=1,"OK","NOK")</f>
        <v>NOK</v>
      </c>
      <c r="W97" s="382"/>
      <c r="X97" s="646"/>
      <c r="Y97" s="646"/>
      <c r="Z97" s="201"/>
      <c r="AA97" s="201"/>
      <c r="AB97" s="201"/>
      <c r="AC97" s="84"/>
      <c r="AE97" s="17"/>
      <c r="AF97" s="17"/>
      <c r="AG97" s="17"/>
      <c r="AH97" s="646"/>
      <c r="AI97" s="91"/>
      <c r="AK97" s="17"/>
      <c r="AL97" s="17"/>
      <c r="AM97" s="17"/>
      <c r="AN97" s="646"/>
      <c r="AO97" s="91"/>
      <c r="AQ97" s="17"/>
      <c r="AR97" s="17"/>
      <c r="AS97" s="17"/>
      <c r="AT97" s="646"/>
      <c r="AU97" s="91"/>
      <c r="AW97" s="17"/>
      <c r="AX97" s="17"/>
      <c r="AY97" s="17"/>
      <c r="AZ97" s="17"/>
      <c r="BA97" s="91"/>
    </row>
    <row r="98" spans="1:53" s="97" customFormat="1" ht="17.100000000000001" customHeight="1" x14ac:dyDescent="0.25">
      <c r="A98" s="68"/>
      <c r="B98" s="41" t="s">
        <v>74</v>
      </c>
      <c r="C98" s="69" t="s">
        <v>12</v>
      </c>
      <c r="D98" s="50"/>
      <c r="E98" s="70"/>
      <c r="F98" s="70"/>
      <c r="G98" s="70"/>
      <c r="H98" s="84"/>
      <c r="J98" s="71"/>
      <c r="K98" s="71"/>
      <c r="L98" s="71"/>
      <c r="M98" s="71"/>
      <c r="N98" s="71"/>
      <c r="O98" s="71"/>
      <c r="P98" s="71"/>
      <c r="Q98" s="71"/>
      <c r="R98" s="71"/>
      <c r="S98" s="71"/>
      <c r="T98" s="71"/>
      <c r="U98" s="71"/>
      <c r="V98" s="355"/>
      <c r="W98" s="377"/>
      <c r="X98" s="71"/>
      <c r="Y98" s="71"/>
      <c r="Z98" s="73"/>
      <c r="AA98" s="73"/>
      <c r="AB98" s="73"/>
      <c r="AC98" s="73"/>
      <c r="AE98" s="273"/>
      <c r="AF98" s="273"/>
      <c r="AG98" s="273"/>
      <c r="AH98" s="72"/>
      <c r="AI98" s="73"/>
      <c r="AJ98" s="3"/>
      <c r="AK98" s="273"/>
      <c r="AL98" s="273"/>
      <c r="AM98" s="273"/>
      <c r="AN98" s="72"/>
      <c r="AO98" s="73"/>
      <c r="AP98" s="3"/>
      <c r="AQ98" s="71"/>
      <c r="AR98" s="71"/>
      <c r="AS98" s="71"/>
      <c r="AT98" s="89"/>
      <c r="AU98" s="421"/>
      <c r="AV98" s="3"/>
      <c r="AW98" s="71"/>
      <c r="AX98" s="71"/>
      <c r="AY98" s="71"/>
      <c r="AZ98" s="71"/>
      <c r="BA98" s="421"/>
    </row>
    <row r="99" spans="1:53" s="97" customFormat="1" ht="17.100000000000001" customHeight="1" x14ac:dyDescent="0.25">
      <c r="A99" s="119"/>
      <c r="B99" s="119"/>
      <c r="C99" s="120" t="s">
        <v>895</v>
      </c>
      <c r="D99" s="85"/>
      <c r="E99" s="75"/>
      <c r="F99" s="75"/>
      <c r="G99" s="75"/>
      <c r="H99" s="928"/>
      <c r="I99" s="229"/>
      <c r="J99" s="111"/>
      <c r="K99" s="111"/>
      <c r="L99" s="111"/>
      <c r="M99" s="111"/>
      <c r="N99" s="111"/>
      <c r="O99" s="111"/>
      <c r="P99" s="111"/>
      <c r="Q99" s="111"/>
      <c r="R99" s="111"/>
      <c r="S99" s="111"/>
      <c r="T99" s="111"/>
      <c r="U99" s="111"/>
      <c r="V99" s="358"/>
      <c r="W99" s="380"/>
      <c r="X99" s="111"/>
      <c r="Y99" s="112"/>
      <c r="Z99" s="113"/>
      <c r="AA99" s="113"/>
      <c r="AB99" s="113"/>
      <c r="AC99" s="113"/>
      <c r="AE99" s="114"/>
      <c r="AF99" s="114"/>
      <c r="AG99" s="114"/>
      <c r="AH99" s="112"/>
      <c r="AI99" s="113"/>
      <c r="AK99" s="114"/>
      <c r="AL99" s="114"/>
      <c r="AM99" s="114"/>
      <c r="AN99" s="112"/>
      <c r="AO99" s="113"/>
      <c r="AQ99" s="114"/>
      <c r="AR99" s="114"/>
      <c r="AS99" s="114"/>
      <c r="AT99" s="112"/>
      <c r="AU99" s="113"/>
      <c r="AW99" s="114"/>
      <c r="AX99" s="114"/>
      <c r="AY99" s="114"/>
      <c r="AZ99" s="112"/>
      <c r="BA99" s="113"/>
    </row>
    <row r="100" spans="1:53" s="97" customFormat="1" ht="17.100000000000001" customHeight="1" x14ac:dyDescent="0.25">
      <c r="A100" s="119"/>
      <c r="B100" s="119"/>
      <c r="C100" s="928"/>
      <c r="D100" s="121" t="s">
        <v>75</v>
      </c>
      <c r="E100" s="122"/>
      <c r="F100" s="122"/>
      <c r="G100" s="122"/>
      <c r="H100" s="928"/>
      <c r="I100" s="229"/>
      <c r="J100" s="123"/>
      <c r="K100" s="123"/>
      <c r="L100" s="123"/>
      <c r="M100" s="123"/>
      <c r="N100" s="123"/>
      <c r="O100" s="123"/>
      <c r="P100" s="123"/>
      <c r="Q100" s="123"/>
      <c r="R100" s="123"/>
      <c r="S100" s="123"/>
      <c r="T100" s="123"/>
      <c r="U100" s="123"/>
      <c r="V100" s="363"/>
      <c r="W100" s="383"/>
      <c r="X100" s="123"/>
      <c r="Y100" s="124"/>
      <c r="Z100" s="125"/>
      <c r="AA100" s="125"/>
      <c r="AB100" s="125"/>
      <c r="AC100" s="125"/>
      <c r="AE100" s="126"/>
      <c r="AF100" s="126"/>
      <c r="AG100" s="126"/>
      <c r="AH100" s="124"/>
      <c r="AI100" s="125"/>
      <c r="AK100" s="126"/>
      <c r="AL100" s="126"/>
      <c r="AM100" s="126"/>
      <c r="AN100" s="124"/>
      <c r="AO100" s="125"/>
      <c r="AQ100" s="126"/>
      <c r="AR100" s="126"/>
      <c r="AS100" s="126"/>
      <c r="AT100" s="124"/>
      <c r="AU100" s="125"/>
      <c r="AW100" s="126"/>
      <c r="AX100" s="126"/>
      <c r="AY100" s="126"/>
      <c r="AZ100" s="124"/>
      <c r="BA100" s="125"/>
    </row>
    <row r="101" spans="1:53" s="97" customFormat="1" ht="17.100000000000001" customHeight="1" x14ac:dyDescent="0.25">
      <c r="A101" s="137"/>
      <c r="B101" s="119"/>
      <c r="C101" s="928"/>
      <c r="D101" s="941" t="s">
        <v>1438</v>
      </c>
      <c r="E101" s="122"/>
      <c r="F101" s="122"/>
      <c r="G101" s="122"/>
      <c r="H101" s="928"/>
      <c r="I101" s="229"/>
      <c r="J101" s="123"/>
      <c r="K101" s="123"/>
      <c r="L101" s="123"/>
      <c r="M101" s="123"/>
      <c r="N101" s="943">
        <f>N40</f>
        <v>0</v>
      </c>
      <c r="O101" s="943">
        <f>O40</f>
        <v>0</v>
      </c>
      <c r="P101" s="942">
        <f>SUM(N101:O101)</f>
        <v>0</v>
      </c>
      <c r="Q101" s="943">
        <f>Q40</f>
        <v>0</v>
      </c>
      <c r="R101" s="943">
        <f>R40</f>
        <v>0</v>
      </c>
      <c r="S101" s="942">
        <f>SUM(Q101:R101)</f>
        <v>0</v>
      </c>
      <c r="T101" s="943">
        <f>T40</f>
        <v>0</v>
      </c>
      <c r="U101" s="943">
        <f>U40</f>
        <v>0</v>
      </c>
      <c r="V101" s="942">
        <f>SUM(T101:U101)</f>
        <v>0</v>
      </c>
      <c r="W101" s="383"/>
      <c r="X101" s="123"/>
      <c r="Y101" s="124"/>
      <c r="Z101" s="125"/>
      <c r="AA101" s="125"/>
      <c r="AB101" s="125"/>
      <c r="AC101" s="125"/>
      <c r="AE101" s="126"/>
      <c r="AF101" s="126"/>
      <c r="AG101" s="126"/>
      <c r="AH101" s="124"/>
      <c r="AI101" s="125"/>
      <c r="AK101" s="126"/>
      <c r="AL101" s="126"/>
      <c r="AM101" s="126"/>
      <c r="AN101" s="124"/>
      <c r="AO101" s="125"/>
      <c r="AQ101" s="126"/>
      <c r="AR101" s="126"/>
      <c r="AS101" s="126"/>
      <c r="AT101" s="124"/>
      <c r="AU101" s="125"/>
      <c r="AW101" s="126"/>
      <c r="AX101" s="126"/>
      <c r="AY101" s="126"/>
      <c r="AZ101" s="124"/>
      <c r="BA101" s="125"/>
    </row>
    <row r="102" spans="1:53" s="97" customFormat="1" ht="17.100000000000001" customHeight="1" x14ac:dyDescent="0.25">
      <c r="A102" s="137"/>
      <c r="B102" s="119"/>
      <c r="C102" s="928"/>
      <c r="D102" s="127" t="s">
        <v>76</v>
      </c>
      <c r="E102" s="128"/>
      <c r="F102" s="122"/>
      <c r="G102" s="122"/>
      <c r="H102" s="928"/>
      <c r="I102" s="229"/>
      <c r="J102" s="123"/>
      <c r="K102" s="123"/>
      <c r="L102" s="123"/>
      <c r="M102" s="123"/>
      <c r="N102" s="943">
        <f>N63</f>
        <v>0</v>
      </c>
      <c r="O102" s="943">
        <f>O63</f>
        <v>0</v>
      </c>
      <c r="P102" s="942">
        <f>SUM(N102:O102)</f>
        <v>0</v>
      </c>
      <c r="Q102" s="943">
        <f>Q63</f>
        <v>0</v>
      </c>
      <c r="R102" s="943">
        <f>R63</f>
        <v>7</v>
      </c>
      <c r="S102" s="942">
        <f>SUM(Q102:R102)</f>
        <v>7</v>
      </c>
      <c r="T102" s="943">
        <f>T63</f>
        <v>0</v>
      </c>
      <c r="U102" s="943">
        <f>U63</f>
        <v>0</v>
      </c>
      <c r="V102" s="942">
        <f>SUM(T102:U102)</f>
        <v>0</v>
      </c>
      <c r="W102" s="383"/>
      <c r="X102" s="123"/>
      <c r="Y102" s="129">
        <f t="shared" ref="Y102:Y105" si="81">M102+P102+S102+V102</f>
        <v>7</v>
      </c>
      <c r="Z102" s="125"/>
      <c r="AA102" s="125"/>
      <c r="AB102" s="125"/>
      <c r="AC102" s="125"/>
      <c r="AE102" s="123"/>
      <c r="AF102" s="123"/>
      <c r="AG102" s="123"/>
      <c r="AH102" s="124"/>
      <c r="AI102" s="125"/>
      <c r="AK102" s="123"/>
      <c r="AL102" s="123"/>
      <c r="AM102" s="123"/>
      <c r="AN102" s="124"/>
      <c r="AO102" s="125"/>
      <c r="AQ102" s="123"/>
      <c r="AR102" s="123"/>
      <c r="AS102" s="123"/>
      <c r="AT102" s="124"/>
      <c r="AU102" s="125"/>
      <c r="AW102" s="123"/>
      <c r="AX102" s="123"/>
      <c r="AY102" s="123"/>
      <c r="AZ102" s="124"/>
      <c r="BA102" s="125"/>
    </row>
    <row r="103" spans="1:53" s="97" customFormat="1" ht="17.100000000000001" customHeight="1" x14ac:dyDescent="0.25">
      <c r="A103" s="137"/>
      <c r="B103" s="119"/>
      <c r="C103" s="928"/>
      <c r="D103" s="127" t="s">
        <v>77</v>
      </c>
      <c r="E103" s="128"/>
      <c r="F103" s="122"/>
      <c r="G103" s="122"/>
      <c r="H103" s="928"/>
      <c r="I103" s="229"/>
      <c r="J103" s="123"/>
      <c r="K103" s="123"/>
      <c r="L103" s="123"/>
      <c r="M103" s="123"/>
      <c r="N103" s="943">
        <f>N64</f>
        <v>0</v>
      </c>
      <c r="O103" s="943">
        <f>O64</f>
        <v>0</v>
      </c>
      <c r="P103" s="942">
        <f t="shared" ref="P103:P107" si="82">SUM(N103:O103)</f>
        <v>0</v>
      </c>
      <c r="Q103" s="943">
        <f>Q64</f>
        <v>0</v>
      </c>
      <c r="R103" s="943">
        <f>R64</f>
        <v>0</v>
      </c>
      <c r="S103" s="942">
        <f t="shared" ref="S103:S107" si="83">SUM(Q103:R103)</f>
        <v>0</v>
      </c>
      <c r="T103" s="943">
        <f>T64</f>
        <v>0</v>
      </c>
      <c r="U103" s="943">
        <f>U64</f>
        <v>0</v>
      </c>
      <c r="V103" s="942">
        <f t="shared" ref="V103:V107" si="84">SUM(T103:U103)</f>
        <v>0</v>
      </c>
      <c r="W103" s="383"/>
      <c r="X103" s="123"/>
      <c r="Y103" s="129">
        <f t="shared" si="81"/>
        <v>0</v>
      </c>
      <c r="Z103" s="125"/>
      <c r="AA103" s="125"/>
      <c r="AB103" s="125"/>
      <c r="AC103" s="125"/>
      <c r="AE103" s="123"/>
      <c r="AF103" s="123"/>
      <c r="AG103" s="123"/>
      <c r="AH103" s="124"/>
      <c r="AI103" s="125"/>
      <c r="AK103" s="123"/>
      <c r="AL103" s="123"/>
      <c r="AM103" s="123"/>
      <c r="AN103" s="124"/>
      <c r="AO103" s="125"/>
      <c r="AQ103" s="123"/>
      <c r="AR103" s="123"/>
      <c r="AS103" s="123"/>
      <c r="AT103" s="124"/>
      <c r="AU103" s="125"/>
      <c r="AW103" s="123"/>
      <c r="AX103" s="123"/>
      <c r="AY103" s="123"/>
      <c r="AZ103" s="124"/>
      <c r="BA103" s="125"/>
    </row>
    <row r="104" spans="1:53" s="97" customFormat="1" ht="17.100000000000001" customHeight="1" x14ac:dyDescent="0.25">
      <c r="A104" s="137"/>
      <c r="B104" s="137"/>
      <c r="C104" s="928"/>
      <c r="D104" s="127" t="s">
        <v>78</v>
      </c>
      <c r="E104" s="128"/>
      <c r="F104" s="122"/>
      <c r="G104" s="122"/>
      <c r="H104" s="928"/>
      <c r="I104" s="229"/>
      <c r="J104" s="123"/>
      <c r="K104" s="123"/>
      <c r="L104" s="123"/>
      <c r="M104" s="123"/>
      <c r="N104" s="943">
        <f>N71</f>
        <v>0</v>
      </c>
      <c r="O104" s="943">
        <f>O71</f>
        <v>0</v>
      </c>
      <c r="P104" s="942">
        <f t="shared" si="82"/>
        <v>0</v>
      </c>
      <c r="Q104" s="943">
        <f>Q71</f>
        <v>0</v>
      </c>
      <c r="R104" s="943">
        <f>R71</f>
        <v>0</v>
      </c>
      <c r="S104" s="942">
        <f t="shared" si="83"/>
        <v>0</v>
      </c>
      <c r="T104" s="943">
        <f>T71</f>
        <v>0</v>
      </c>
      <c r="U104" s="943">
        <f>U71</f>
        <v>0</v>
      </c>
      <c r="V104" s="942">
        <f t="shared" si="84"/>
        <v>0</v>
      </c>
      <c r="W104" s="383"/>
      <c r="X104" s="123"/>
      <c r="Y104" s="129">
        <f t="shared" si="81"/>
        <v>0</v>
      </c>
      <c r="Z104" s="125"/>
      <c r="AA104" s="125"/>
      <c r="AB104" s="125"/>
      <c r="AC104" s="125"/>
      <c r="AE104" s="123"/>
      <c r="AF104" s="123"/>
      <c r="AG104" s="123"/>
      <c r="AH104" s="124"/>
      <c r="AI104" s="125"/>
      <c r="AK104" s="123"/>
      <c r="AL104" s="123"/>
      <c r="AM104" s="123"/>
      <c r="AN104" s="124"/>
      <c r="AO104" s="125"/>
      <c r="AQ104" s="123"/>
      <c r="AR104" s="123"/>
      <c r="AS104" s="123"/>
      <c r="AT104" s="124"/>
      <c r="AU104" s="125"/>
      <c r="AW104" s="123"/>
      <c r="AX104" s="123"/>
      <c r="AY104" s="123"/>
      <c r="AZ104" s="124"/>
      <c r="BA104" s="125"/>
    </row>
    <row r="105" spans="1:53" s="97" customFormat="1" ht="17.100000000000001" customHeight="1" x14ac:dyDescent="0.25">
      <c r="A105" s="137"/>
      <c r="B105" s="137"/>
      <c r="C105" s="928"/>
      <c r="D105" s="127" t="s">
        <v>79</v>
      </c>
      <c r="E105" s="122"/>
      <c r="F105" s="122"/>
      <c r="G105" s="122"/>
      <c r="H105" s="928"/>
      <c r="I105" s="229"/>
      <c r="J105" s="123"/>
      <c r="K105" s="123"/>
      <c r="L105" s="123"/>
      <c r="M105" s="123"/>
      <c r="N105" s="943">
        <f>N72</f>
        <v>0</v>
      </c>
      <c r="O105" s="943">
        <f>O72</f>
        <v>0</v>
      </c>
      <c r="P105" s="942">
        <f t="shared" si="82"/>
        <v>0</v>
      </c>
      <c r="Q105" s="943">
        <f>Q72</f>
        <v>0</v>
      </c>
      <c r="R105" s="943">
        <f>R72</f>
        <v>0</v>
      </c>
      <c r="S105" s="942">
        <f t="shared" si="83"/>
        <v>0</v>
      </c>
      <c r="T105" s="943">
        <f>T72</f>
        <v>0</v>
      </c>
      <c r="U105" s="943">
        <f>U72</f>
        <v>0</v>
      </c>
      <c r="V105" s="942">
        <f t="shared" si="84"/>
        <v>0</v>
      </c>
      <c r="W105" s="383"/>
      <c r="X105" s="123"/>
      <c r="Y105" s="129">
        <f t="shared" si="81"/>
        <v>0</v>
      </c>
      <c r="Z105" s="125"/>
      <c r="AA105" s="125"/>
      <c r="AB105" s="125"/>
      <c r="AC105" s="125"/>
      <c r="AE105" s="123"/>
      <c r="AF105" s="123"/>
      <c r="AG105" s="123"/>
      <c r="AH105" s="124"/>
      <c r="AI105" s="125"/>
      <c r="AK105" s="123"/>
      <c r="AL105" s="123"/>
      <c r="AM105" s="123"/>
      <c r="AN105" s="124"/>
      <c r="AO105" s="125"/>
      <c r="AQ105" s="123"/>
      <c r="AR105" s="123"/>
      <c r="AS105" s="123"/>
      <c r="AT105" s="124"/>
      <c r="AU105" s="125"/>
      <c r="AW105" s="123"/>
      <c r="AX105" s="123"/>
      <c r="AY105" s="123"/>
      <c r="AZ105" s="124"/>
      <c r="BA105" s="125"/>
    </row>
    <row r="106" spans="1:53" s="97" customFormat="1" ht="17.100000000000001" customHeight="1" x14ac:dyDescent="0.25">
      <c r="A106" s="137"/>
      <c r="B106" s="137"/>
      <c r="C106" s="928"/>
      <c r="D106" s="127" t="s">
        <v>81</v>
      </c>
      <c r="E106" s="122"/>
      <c r="F106" s="122"/>
      <c r="G106" s="122"/>
      <c r="H106" s="928"/>
      <c r="I106" s="229"/>
      <c r="J106" s="123"/>
      <c r="K106" s="123"/>
      <c r="L106" s="123"/>
      <c r="M106" s="123"/>
      <c r="N106" s="943">
        <f>SUM(N101:N105)</f>
        <v>0</v>
      </c>
      <c r="O106" s="943">
        <f>SUM(O101:O105)</f>
        <v>0</v>
      </c>
      <c r="P106" s="942">
        <f t="shared" si="82"/>
        <v>0</v>
      </c>
      <c r="Q106" s="943">
        <f>SUM(Q101:Q105)</f>
        <v>0</v>
      </c>
      <c r="R106" s="943">
        <f>SUM(R101:R105)</f>
        <v>7</v>
      </c>
      <c r="S106" s="942">
        <f t="shared" si="83"/>
        <v>7</v>
      </c>
      <c r="T106" s="943">
        <f>SUM(T101:T105)</f>
        <v>0</v>
      </c>
      <c r="U106" s="943">
        <f>SUM(U101:U105)</f>
        <v>0</v>
      </c>
      <c r="V106" s="942">
        <f t="shared" si="84"/>
        <v>0</v>
      </c>
      <c r="W106" s="383"/>
      <c r="X106" s="123"/>
      <c r="Y106" s="129"/>
      <c r="Z106" s="125"/>
      <c r="AA106" s="125"/>
      <c r="AB106" s="125"/>
      <c r="AC106" s="125"/>
      <c r="AE106" s="123"/>
      <c r="AF106" s="123"/>
      <c r="AG106" s="123"/>
      <c r="AH106" s="124"/>
      <c r="AI106" s="125"/>
      <c r="AK106" s="123"/>
      <c r="AL106" s="123"/>
      <c r="AM106" s="123"/>
      <c r="AN106" s="124"/>
      <c r="AO106" s="125"/>
      <c r="AQ106" s="123"/>
      <c r="AR106" s="123"/>
      <c r="AS106" s="123"/>
      <c r="AT106" s="124"/>
      <c r="AU106" s="125"/>
      <c r="AW106" s="123"/>
      <c r="AX106" s="123"/>
      <c r="AY106" s="123"/>
      <c r="AZ106" s="124"/>
      <c r="BA106" s="125"/>
    </row>
    <row r="107" spans="1:53" s="97" customFormat="1" ht="17.100000000000001" customHeight="1" x14ac:dyDescent="0.25">
      <c r="A107" s="137"/>
      <c r="B107" s="137"/>
      <c r="C107" s="928"/>
      <c r="D107" s="127" t="s">
        <v>1439</v>
      </c>
      <c r="E107" s="122"/>
      <c r="F107" s="122"/>
      <c r="G107" s="122"/>
      <c r="H107" s="928"/>
      <c r="I107" s="229"/>
      <c r="J107" s="123"/>
      <c r="K107" s="123"/>
      <c r="L107" s="123"/>
      <c r="M107" s="123"/>
      <c r="N107" s="943">
        <f>N20*3</f>
        <v>0</v>
      </c>
      <c r="O107" s="943">
        <f>O20*3</f>
        <v>0</v>
      </c>
      <c r="P107" s="942">
        <f t="shared" si="82"/>
        <v>0</v>
      </c>
      <c r="Q107" s="943">
        <f>Q20*3</f>
        <v>0</v>
      </c>
      <c r="R107" s="943">
        <f>R20*3</f>
        <v>21</v>
      </c>
      <c r="S107" s="942">
        <f t="shared" si="83"/>
        <v>21</v>
      </c>
      <c r="T107" s="943">
        <f>T20*3</f>
        <v>0</v>
      </c>
      <c r="U107" s="943">
        <f>U20*3</f>
        <v>0</v>
      </c>
      <c r="V107" s="942">
        <f t="shared" si="84"/>
        <v>0</v>
      </c>
      <c r="W107" s="383"/>
      <c r="X107" s="123"/>
      <c r="Y107" s="129"/>
      <c r="Z107" s="125"/>
      <c r="AA107" s="125"/>
      <c r="AB107" s="125"/>
      <c r="AC107" s="125"/>
      <c r="AE107" s="123"/>
      <c r="AF107" s="123"/>
      <c r="AG107" s="123"/>
      <c r="AH107" s="124"/>
      <c r="AI107" s="125"/>
      <c r="AK107" s="123"/>
      <c r="AL107" s="123"/>
      <c r="AM107" s="123"/>
      <c r="AN107" s="124"/>
      <c r="AO107" s="125"/>
      <c r="AQ107" s="123"/>
      <c r="AR107" s="123"/>
      <c r="AS107" s="123"/>
      <c r="AT107" s="124"/>
      <c r="AU107" s="125"/>
      <c r="AW107" s="123"/>
      <c r="AX107" s="123"/>
      <c r="AY107" s="123"/>
      <c r="AZ107" s="124"/>
      <c r="BA107" s="125"/>
    </row>
    <row r="108" spans="1:53" s="97" customFormat="1" ht="17.100000000000001" customHeight="1" x14ac:dyDescent="0.25">
      <c r="A108" s="137"/>
      <c r="B108" s="119"/>
      <c r="C108" s="928"/>
      <c r="D108" s="127" t="s">
        <v>1440</v>
      </c>
      <c r="E108" s="122"/>
      <c r="F108" s="122"/>
      <c r="G108" s="122"/>
      <c r="H108" s="928"/>
      <c r="I108" s="229"/>
      <c r="J108" s="123"/>
      <c r="K108" s="123"/>
      <c r="L108" s="123"/>
      <c r="M108" s="123"/>
      <c r="N108" s="130">
        <f>IF(N107=0,0,N106/N107)</f>
        <v>0</v>
      </c>
      <c r="O108" s="130">
        <f t="shared" ref="O108:V108" si="85">IF(O107=0,0,O106/O107)</f>
        <v>0</v>
      </c>
      <c r="P108" s="130">
        <f t="shared" si="85"/>
        <v>0</v>
      </c>
      <c r="Q108" s="130">
        <f t="shared" si="85"/>
        <v>0</v>
      </c>
      <c r="R108" s="130">
        <f t="shared" si="85"/>
        <v>0.33333333333333331</v>
      </c>
      <c r="S108" s="130">
        <f t="shared" si="85"/>
        <v>0.33333333333333331</v>
      </c>
      <c r="T108" s="130">
        <f t="shared" si="85"/>
        <v>0</v>
      </c>
      <c r="U108" s="130">
        <f t="shared" si="85"/>
        <v>0</v>
      </c>
      <c r="V108" s="130">
        <f t="shared" si="85"/>
        <v>0</v>
      </c>
      <c r="W108" s="383"/>
      <c r="X108" s="123"/>
      <c r="Y108" s="129"/>
      <c r="Z108" s="125"/>
      <c r="AA108" s="125"/>
      <c r="AB108" s="125"/>
      <c r="AC108" s="125"/>
      <c r="AE108" s="123"/>
      <c r="AF108" s="123"/>
      <c r="AG108" s="123"/>
      <c r="AH108" s="124"/>
      <c r="AI108" s="125"/>
      <c r="AK108" s="123"/>
      <c r="AL108" s="123"/>
      <c r="AM108" s="123"/>
      <c r="AN108" s="124"/>
      <c r="AO108" s="125"/>
      <c r="AQ108" s="123"/>
      <c r="AR108" s="123"/>
      <c r="AS108" s="123"/>
      <c r="AT108" s="124"/>
      <c r="AU108" s="125"/>
      <c r="AW108" s="123"/>
      <c r="AX108" s="123"/>
      <c r="AY108" s="123"/>
      <c r="AZ108" s="124"/>
      <c r="BA108" s="125"/>
    </row>
    <row r="109" spans="1:53" s="97" customFormat="1" ht="17.100000000000001" customHeight="1" x14ac:dyDescent="0.25">
      <c r="A109" s="137"/>
      <c r="B109" s="119"/>
      <c r="C109" s="103" t="s">
        <v>80</v>
      </c>
      <c r="D109" s="85" t="s">
        <v>896</v>
      </c>
      <c r="E109" s="75"/>
      <c r="F109" s="75"/>
      <c r="G109" s="75"/>
      <c r="H109" s="1310"/>
      <c r="I109" s="229"/>
      <c r="J109" s="1309"/>
      <c r="K109" s="1309"/>
      <c r="L109" s="1309"/>
      <c r="M109" s="1309"/>
      <c r="N109" s="1309"/>
      <c r="O109" s="1309"/>
      <c r="P109" s="1309">
        <f>IF(P108&gt;=0.5,1,0)</f>
        <v>0</v>
      </c>
      <c r="Q109" s="1309"/>
      <c r="R109" s="1309"/>
      <c r="S109" s="1309">
        <f>IF(S108&gt;=0.5,1,0)</f>
        <v>0</v>
      </c>
      <c r="T109" s="1309"/>
      <c r="U109" s="1309"/>
      <c r="V109" s="1309">
        <f>IF(V108&gt;=0.5,1,0)</f>
        <v>0</v>
      </c>
      <c r="W109" s="382"/>
      <c r="X109" s="1309"/>
      <c r="Y109" s="1309">
        <f t="shared" ref="Y109" si="86">M109+P109+S109+V109</f>
        <v>0</v>
      </c>
      <c r="Z109" s="91"/>
      <c r="AA109" s="91"/>
      <c r="AB109" s="91"/>
      <c r="AC109" s="84"/>
      <c r="AE109" s="1309"/>
      <c r="AF109" s="1309"/>
      <c r="AG109" s="1309"/>
      <c r="AH109" s="1309"/>
      <c r="AI109" s="91"/>
      <c r="AK109" s="1309"/>
      <c r="AL109" s="1309"/>
      <c r="AM109" s="1309"/>
      <c r="AN109" s="1309"/>
      <c r="AO109" s="91"/>
      <c r="AQ109" s="1309"/>
      <c r="AR109" s="1309"/>
      <c r="AS109" s="1309"/>
      <c r="AT109" s="1309"/>
      <c r="AU109" s="91"/>
      <c r="AW109" s="1309"/>
      <c r="AX109" s="1309"/>
      <c r="AY109" s="1309"/>
      <c r="AZ109" s="1309"/>
      <c r="BA109" s="91"/>
    </row>
    <row r="110" spans="1:53" s="97" customFormat="1" ht="17.100000000000001" customHeight="1" x14ac:dyDescent="0.25">
      <c r="A110" s="119"/>
      <c r="B110" s="119"/>
      <c r="C110" s="928"/>
      <c r="D110" s="121" t="s">
        <v>82</v>
      </c>
      <c r="E110" s="122"/>
      <c r="F110" s="122"/>
      <c r="G110" s="122"/>
      <c r="H110" s="928"/>
      <c r="I110" s="229"/>
      <c r="J110" s="123"/>
      <c r="K110" s="123"/>
      <c r="L110" s="123"/>
      <c r="M110" s="123"/>
      <c r="N110" s="123"/>
      <c r="O110" s="123"/>
      <c r="P110" s="123"/>
      <c r="Q110" s="123"/>
      <c r="R110" s="123"/>
      <c r="S110" s="123"/>
      <c r="T110" s="123"/>
      <c r="U110" s="123"/>
      <c r="V110" s="363"/>
      <c r="W110" s="383"/>
      <c r="X110" s="123"/>
      <c r="Y110" s="124"/>
      <c r="Z110" s="125"/>
      <c r="AA110" s="125"/>
      <c r="AB110" s="125"/>
      <c r="AC110" s="125"/>
      <c r="AE110" s="126"/>
      <c r="AF110" s="126"/>
      <c r="AG110" s="126"/>
      <c r="AH110" s="124"/>
      <c r="AI110" s="125"/>
      <c r="AK110" s="126"/>
      <c r="AL110" s="126"/>
      <c r="AM110" s="126"/>
      <c r="AN110" s="124"/>
      <c r="AO110" s="125"/>
      <c r="AQ110" s="126"/>
      <c r="AR110" s="126"/>
      <c r="AS110" s="126"/>
      <c r="AT110" s="124"/>
      <c r="AU110" s="125"/>
      <c r="AW110" s="126"/>
      <c r="AX110" s="126"/>
      <c r="AY110" s="126"/>
      <c r="AZ110" s="124"/>
      <c r="BA110" s="125"/>
    </row>
    <row r="111" spans="1:53" s="97" customFormat="1" ht="17.100000000000001" customHeight="1" x14ac:dyDescent="0.25">
      <c r="A111" s="119"/>
      <c r="B111" s="119"/>
      <c r="C111" s="928"/>
      <c r="D111" s="127" t="s">
        <v>910</v>
      </c>
      <c r="E111" s="122"/>
      <c r="F111" s="122"/>
      <c r="G111" s="122"/>
      <c r="H111" s="928"/>
      <c r="I111" s="229"/>
      <c r="J111" s="123"/>
      <c r="K111" s="123"/>
      <c r="L111" s="123"/>
      <c r="M111" s="123"/>
      <c r="N111" s="123"/>
      <c r="O111" s="123"/>
      <c r="P111" s="129">
        <f>P80</f>
        <v>0</v>
      </c>
      <c r="Q111" s="123"/>
      <c r="R111" s="123"/>
      <c r="S111" s="129">
        <f>S80</f>
        <v>0</v>
      </c>
      <c r="T111" s="123"/>
      <c r="U111" s="123"/>
      <c r="V111" s="129">
        <f>V80</f>
        <v>0</v>
      </c>
      <c r="W111" s="383"/>
      <c r="X111" s="123"/>
      <c r="Y111" s="124"/>
      <c r="Z111" s="125"/>
      <c r="AA111" s="125"/>
      <c r="AB111" s="125"/>
      <c r="AC111" s="125"/>
      <c r="AE111" s="126"/>
      <c r="AF111" s="126"/>
      <c r="AG111" s="126"/>
      <c r="AH111" s="124"/>
      <c r="AI111" s="125"/>
      <c r="AK111" s="126"/>
      <c r="AL111" s="126"/>
      <c r="AM111" s="126"/>
      <c r="AN111" s="124"/>
      <c r="AO111" s="125"/>
      <c r="AQ111" s="126"/>
      <c r="AR111" s="126"/>
      <c r="AS111" s="126"/>
      <c r="AT111" s="124"/>
      <c r="AU111" s="125"/>
      <c r="AW111" s="126"/>
      <c r="AX111" s="126"/>
      <c r="AY111" s="126"/>
      <c r="AZ111" s="124"/>
      <c r="BA111" s="125"/>
    </row>
    <row r="112" spans="1:53" s="97" customFormat="1" ht="17.100000000000001" customHeight="1" x14ac:dyDescent="0.25">
      <c r="A112" s="119"/>
      <c r="B112" s="119"/>
      <c r="C112" s="928"/>
      <c r="D112" s="127" t="s">
        <v>83</v>
      </c>
      <c r="E112" s="122"/>
      <c r="F112" s="122"/>
      <c r="G112" s="122"/>
      <c r="H112" s="928"/>
      <c r="I112" s="229"/>
      <c r="J112" s="123"/>
      <c r="K112" s="123"/>
      <c r="L112" s="123"/>
      <c r="M112" s="123"/>
      <c r="N112" s="123"/>
      <c r="O112" s="123"/>
      <c r="P112" s="129">
        <f>P85</f>
        <v>0</v>
      </c>
      <c r="Q112" s="123"/>
      <c r="R112" s="123"/>
      <c r="S112" s="129">
        <f>S85</f>
        <v>0</v>
      </c>
      <c r="T112" s="123"/>
      <c r="U112" s="123"/>
      <c r="V112" s="129">
        <f>V85</f>
        <v>0</v>
      </c>
      <c r="W112" s="383"/>
      <c r="X112" s="123"/>
      <c r="Y112" s="129"/>
      <c r="Z112" s="125"/>
      <c r="AA112" s="125"/>
      <c r="AB112" s="125"/>
      <c r="AC112" s="125"/>
      <c r="AE112" s="123"/>
      <c r="AF112" s="123"/>
      <c r="AG112" s="123"/>
      <c r="AH112" s="124"/>
      <c r="AI112" s="125"/>
      <c r="AK112" s="123"/>
      <c r="AL112" s="123"/>
      <c r="AM112" s="123"/>
      <c r="AN112" s="124"/>
      <c r="AO112" s="125"/>
      <c r="AQ112" s="123"/>
      <c r="AR112" s="123"/>
      <c r="AS112" s="123"/>
      <c r="AT112" s="124"/>
      <c r="AU112" s="125"/>
      <c r="AW112" s="123"/>
      <c r="AX112" s="123"/>
      <c r="AY112" s="123"/>
      <c r="AZ112" s="124"/>
      <c r="BA112" s="125"/>
    </row>
    <row r="113" spans="1:53" s="97" customFormat="1" ht="17.100000000000001" customHeight="1" x14ac:dyDescent="0.25">
      <c r="A113" s="119"/>
      <c r="B113" s="119"/>
      <c r="C113" s="928"/>
      <c r="D113" s="127" t="s">
        <v>84</v>
      </c>
      <c r="E113" s="122"/>
      <c r="F113" s="122"/>
      <c r="G113" s="122"/>
      <c r="H113" s="928"/>
      <c r="I113" s="229"/>
      <c r="J113" s="123"/>
      <c r="K113" s="123"/>
      <c r="L113" s="123"/>
      <c r="M113" s="123"/>
      <c r="N113" s="123"/>
      <c r="O113" s="123"/>
      <c r="P113" s="129">
        <f>P86</f>
        <v>0</v>
      </c>
      <c r="Q113" s="123"/>
      <c r="R113" s="123"/>
      <c r="S113" s="129">
        <f>S86</f>
        <v>0</v>
      </c>
      <c r="T113" s="123"/>
      <c r="U113" s="123"/>
      <c r="V113" s="129">
        <f>V86</f>
        <v>0</v>
      </c>
      <c r="W113" s="383"/>
      <c r="X113" s="123"/>
      <c r="Y113" s="129"/>
      <c r="Z113" s="125"/>
      <c r="AA113" s="125"/>
      <c r="AB113" s="125"/>
      <c r="AC113" s="125"/>
      <c r="AE113" s="123"/>
      <c r="AF113" s="123"/>
      <c r="AG113" s="123"/>
      <c r="AH113" s="124"/>
      <c r="AI113" s="125"/>
      <c r="AK113" s="123"/>
      <c r="AL113" s="123"/>
      <c r="AM113" s="123"/>
      <c r="AN113" s="124"/>
      <c r="AO113" s="125"/>
      <c r="AQ113" s="123"/>
      <c r="AR113" s="123"/>
      <c r="AS113" s="123"/>
      <c r="AT113" s="124"/>
      <c r="AU113" s="125"/>
      <c r="AW113" s="123"/>
      <c r="AX113" s="123"/>
      <c r="AY113" s="123"/>
      <c r="AZ113" s="124"/>
      <c r="BA113" s="125"/>
    </row>
    <row r="114" spans="1:53" s="97" customFormat="1" ht="17.100000000000001" customHeight="1" x14ac:dyDescent="0.25">
      <c r="A114" s="119"/>
      <c r="B114" s="119"/>
      <c r="C114" s="928"/>
      <c r="D114" s="127" t="s">
        <v>85</v>
      </c>
      <c r="E114" s="122"/>
      <c r="F114" s="122"/>
      <c r="G114" s="122"/>
      <c r="H114" s="928"/>
      <c r="I114" s="229"/>
      <c r="J114" s="123"/>
      <c r="K114" s="123"/>
      <c r="L114" s="123"/>
      <c r="M114" s="123"/>
      <c r="N114" s="123"/>
      <c r="O114" s="123"/>
      <c r="P114" s="129">
        <f>P87</f>
        <v>0</v>
      </c>
      <c r="Q114" s="123"/>
      <c r="R114" s="123"/>
      <c r="S114" s="129">
        <f>S87</f>
        <v>0</v>
      </c>
      <c r="T114" s="123"/>
      <c r="U114" s="123"/>
      <c r="V114" s="129">
        <f>V87</f>
        <v>0</v>
      </c>
      <c r="W114" s="383"/>
      <c r="X114" s="123"/>
      <c r="Y114" s="129"/>
      <c r="Z114" s="125"/>
      <c r="AA114" s="125"/>
      <c r="AB114" s="125"/>
      <c r="AC114" s="125"/>
      <c r="AE114" s="123"/>
      <c r="AF114" s="123"/>
      <c r="AG114" s="123"/>
      <c r="AH114" s="124"/>
      <c r="AI114" s="125"/>
      <c r="AK114" s="123"/>
      <c r="AL114" s="123"/>
      <c r="AM114" s="123"/>
      <c r="AN114" s="124"/>
      <c r="AO114" s="125"/>
      <c r="AQ114" s="123"/>
      <c r="AR114" s="123"/>
      <c r="AS114" s="123"/>
      <c r="AT114" s="124"/>
      <c r="AU114" s="125"/>
      <c r="AW114" s="123"/>
      <c r="AX114" s="123"/>
      <c r="AY114" s="123"/>
      <c r="AZ114" s="124"/>
      <c r="BA114" s="125"/>
    </row>
    <row r="115" spans="1:53" s="97" customFormat="1" ht="17.100000000000001" customHeight="1" x14ac:dyDescent="0.25">
      <c r="A115" s="119"/>
      <c r="B115" s="119"/>
      <c r="C115" s="103" t="s">
        <v>86</v>
      </c>
      <c r="D115" s="85" t="s">
        <v>907</v>
      </c>
      <c r="E115" s="75"/>
      <c r="F115" s="75"/>
      <c r="G115" s="75"/>
      <c r="H115" s="928"/>
      <c r="I115" s="229"/>
      <c r="J115" s="932"/>
      <c r="K115" s="932"/>
      <c r="L115" s="932"/>
      <c r="M115" s="932"/>
      <c r="N115" s="932"/>
      <c r="O115" s="932"/>
      <c r="P115" s="932"/>
      <c r="Q115" s="932"/>
      <c r="R115" s="932"/>
      <c r="S115" s="932"/>
      <c r="T115" s="932"/>
      <c r="U115" s="932"/>
      <c r="V115" s="932"/>
      <c r="W115" s="385"/>
      <c r="X115" s="932"/>
      <c r="Y115" s="932"/>
      <c r="Z115" s="131"/>
      <c r="AA115" s="131"/>
      <c r="AB115" s="131"/>
      <c r="AC115" s="113"/>
      <c r="AE115" s="927"/>
      <c r="AF115" s="927"/>
      <c r="AG115" s="927"/>
      <c r="AH115" s="927"/>
      <c r="AI115" s="91"/>
      <c r="AK115" s="927"/>
      <c r="AL115" s="927"/>
      <c r="AM115" s="927"/>
      <c r="AN115" s="927"/>
      <c r="AO115" s="91"/>
      <c r="AQ115" s="927"/>
      <c r="AR115" s="927"/>
      <c r="AS115" s="927"/>
      <c r="AT115" s="927"/>
      <c r="AU115" s="91"/>
      <c r="AW115" s="927"/>
      <c r="AX115" s="927"/>
      <c r="AY115" s="927"/>
      <c r="AZ115" s="927"/>
      <c r="BA115" s="91"/>
    </row>
    <row r="116" spans="1:53" s="97" customFormat="1" ht="17.100000000000001" customHeight="1" x14ac:dyDescent="0.25">
      <c r="A116" s="119"/>
      <c r="B116" s="119"/>
      <c r="C116" s="119"/>
      <c r="D116" s="74" t="s">
        <v>905</v>
      </c>
      <c r="E116" s="75" t="s">
        <v>908</v>
      </c>
      <c r="F116" s="75"/>
      <c r="G116" s="75"/>
      <c r="H116" s="928"/>
      <c r="I116" s="229"/>
      <c r="J116" s="927"/>
      <c r="K116" s="927"/>
      <c r="L116" s="927"/>
      <c r="M116" s="927"/>
      <c r="N116" s="927"/>
      <c r="O116" s="927"/>
      <c r="P116" s="927">
        <f>IF(SUM(P111:P112)&gt;=1,1,0)</f>
        <v>0</v>
      </c>
      <c r="Q116" s="927"/>
      <c r="R116" s="927"/>
      <c r="S116" s="927">
        <f>IF(SUM(S111:S112)&gt;=1,1,0)</f>
        <v>0</v>
      </c>
      <c r="T116" s="927"/>
      <c r="U116" s="927"/>
      <c r="V116" s="927">
        <f>IF(SUM(V111:V112)&gt;=1,1,0)</f>
        <v>0</v>
      </c>
      <c r="W116" s="382"/>
      <c r="X116" s="927"/>
      <c r="Y116" s="927">
        <f t="shared" ref="Y116:Y121" si="87">M116+P116+S116+V116</f>
        <v>0</v>
      </c>
      <c r="Z116" s="91"/>
      <c r="AA116" s="91"/>
      <c r="AB116" s="91"/>
      <c r="AC116" s="84"/>
      <c r="AE116" s="927"/>
      <c r="AF116" s="927"/>
      <c r="AG116" s="927"/>
      <c r="AH116" s="927"/>
      <c r="AI116" s="91"/>
      <c r="AK116" s="927"/>
      <c r="AL116" s="927"/>
      <c r="AM116" s="927"/>
      <c r="AN116" s="927"/>
      <c r="AO116" s="91"/>
      <c r="AQ116" s="927"/>
      <c r="AR116" s="927"/>
      <c r="AS116" s="927"/>
      <c r="AT116" s="927"/>
      <c r="AU116" s="91"/>
      <c r="AW116" s="927"/>
      <c r="AX116" s="927"/>
      <c r="AY116" s="927"/>
      <c r="AZ116" s="927"/>
      <c r="BA116" s="91"/>
    </row>
    <row r="117" spans="1:53" s="97" customFormat="1" ht="17.100000000000001" customHeight="1" x14ac:dyDescent="0.25">
      <c r="A117" s="119"/>
      <c r="B117" s="119"/>
      <c r="C117" s="119"/>
      <c r="D117" s="74" t="s">
        <v>906</v>
      </c>
      <c r="E117" s="75" t="s">
        <v>909</v>
      </c>
      <c r="F117" s="75"/>
      <c r="G117" s="75"/>
      <c r="H117" s="928"/>
      <c r="I117" s="229"/>
      <c r="J117" s="927"/>
      <c r="K117" s="927"/>
      <c r="L117" s="927"/>
      <c r="M117" s="927"/>
      <c r="N117" s="927"/>
      <c r="O117" s="927"/>
      <c r="P117" s="927">
        <f>IF(SUM(P113:P114)&gt;=1,1,0)</f>
        <v>0</v>
      </c>
      <c r="Q117" s="927"/>
      <c r="R117" s="927"/>
      <c r="S117" s="927">
        <f>IF(SUM(S113:S114)&gt;=1,1,0)</f>
        <v>0</v>
      </c>
      <c r="T117" s="927"/>
      <c r="U117" s="927"/>
      <c r="V117" s="927">
        <f>IF(SUM(V113:V114)&gt;=1,1,0)</f>
        <v>0</v>
      </c>
      <c r="W117" s="382"/>
      <c r="X117" s="927"/>
      <c r="Y117" s="927">
        <f t="shared" si="87"/>
        <v>0</v>
      </c>
      <c r="Z117" s="91"/>
      <c r="AA117" s="91"/>
      <c r="AB117" s="91"/>
      <c r="AC117" s="84"/>
      <c r="AE117" s="927"/>
      <c r="AF117" s="927"/>
      <c r="AG117" s="927"/>
      <c r="AH117" s="927"/>
      <c r="AI117" s="91"/>
      <c r="AK117" s="927"/>
      <c r="AL117" s="927"/>
      <c r="AM117" s="927"/>
      <c r="AN117" s="927"/>
      <c r="AO117" s="91"/>
      <c r="AQ117" s="927"/>
      <c r="AR117" s="927"/>
      <c r="AS117" s="927"/>
      <c r="AT117" s="927"/>
      <c r="AU117" s="91"/>
      <c r="AW117" s="927"/>
      <c r="AX117" s="927"/>
      <c r="AY117" s="927"/>
      <c r="AZ117" s="927"/>
      <c r="BA117" s="91"/>
    </row>
    <row r="118" spans="1:53" s="97" customFormat="1" ht="17.100000000000001" customHeight="1" x14ac:dyDescent="0.25">
      <c r="A118" s="119"/>
      <c r="B118" s="119"/>
      <c r="C118" s="928"/>
      <c r="D118" s="121" t="s">
        <v>88</v>
      </c>
      <c r="E118" s="122"/>
      <c r="F118" s="122"/>
      <c r="G118" s="122"/>
      <c r="H118" s="928"/>
      <c r="I118" s="229"/>
      <c r="J118" s="123"/>
      <c r="K118" s="123"/>
      <c r="L118" s="123"/>
      <c r="M118" s="123"/>
      <c r="N118" s="123"/>
      <c r="O118" s="123"/>
      <c r="P118" s="123"/>
      <c r="Q118" s="123"/>
      <c r="R118" s="123"/>
      <c r="S118" s="123"/>
      <c r="T118" s="123"/>
      <c r="U118" s="123"/>
      <c r="V118" s="363"/>
      <c r="W118" s="383"/>
      <c r="X118" s="123"/>
      <c r="Y118" s="124"/>
      <c r="Z118" s="125"/>
      <c r="AA118" s="125"/>
      <c r="AB118" s="125"/>
      <c r="AC118" s="125"/>
      <c r="AE118" s="126"/>
      <c r="AF118" s="126"/>
      <c r="AG118" s="126"/>
      <c r="AH118" s="124"/>
      <c r="AI118" s="125"/>
      <c r="AK118" s="126"/>
      <c r="AL118" s="126"/>
      <c r="AM118" s="126"/>
      <c r="AN118" s="124"/>
      <c r="AO118" s="125"/>
      <c r="AQ118" s="126"/>
      <c r="AR118" s="126"/>
      <c r="AS118" s="126"/>
      <c r="AT118" s="124"/>
      <c r="AU118" s="125"/>
      <c r="AW118" s="126"/>
      <c r="AX118" s="126"/>
      <c r="AY118" s="126"/>
      <c r="AZ118" s="124"/>
      <c r="BA118" s="125"/>
    </row>
    <row r="119" spans="1:53" s="97" customFormat="1" ht="17.100000000000001" customHeight="1" x14ac:dyDescent="0.25">
      <c r="A119" s="119"/>
      <c r="B119" s="119"/>
      <c r="C119" s="928"/>
      <c r="D119" s="127" t="s">
        <v>90</v>
      </c>
      <c r="E119" s="122"/>
      <c r="F119" s="122"/>
      <c r="G119" s="279"/>
      <c r="H119" s="928"/>
      <c r="I119" s="229"/>
      <c r="J119" s="123"/>
      <c r="K119" s="123"/>
      <c r="L119" s="123"/>
      <c r="M119" s="123"/>
      <c r="N119" s="123"/>
      <c r="O119" s="123"/>
      <c r="P119" s="123">
        <f>P92</f>
        <v>0</v>
      </c>
      <c r="Q119" s="123"/>
      <c r="R119" s="123"/>
      <c r="S119" s="123">
        <f>S92</f>
        <v>1</v>
      </c>
      <c r="T119" s="123"/>
      <c r="U119" s="123"/>
      <c r="V119" s="123">
        <f>V92</f>
        <v>0</v>
      </c>
      <c r="W119" s="383"/>
      <c r="X119" s="123"/>
      <c r="Y119" s="123">
        <f t="shared" si="87"/>
        <v>1</v>
      </c>
      <c r="Z119" s="125"/>
      <c r="AA119" s="125"/>
      <c r="AB119" s="125"/>
      <c r="AC119" s="125"/>
      <c r="AE119" s="123"/>
      <c r="AF119" s="123"/>
      <c r="AG119" s="123"/>
      <c r="AH119" s="124"/>
      <c r="AI119" s="125"/>
      <c r="AK119" s="123"/>
      <c r="AL119" s="123"/>
      <c r="AM119" s="123"/>
      <c r="AN119" s="124"/>
      <c r="AO119" s="125"/>
      <c r="AQ119" s="123"/>
      <c r="AR119" s="123"/>
      <c r="AS119" s="123"/>
      <c r="AT119" s="124"/>
      <c r="AU119" s="125"/>
      <c r="AW119" s="123"/>
      <c r="AX119" s="123"/>
      <c r="AY119" s="123"/>
      <c r="AZ119" s="124"/>
      <c r="BA119" s="125"/>
    </row>
    <row r="120" spans="1:53" s="97" customFormat="1" ht="17.100000000000001" customHeight="1" x14ac:dyDescent="0.25">
      <c r="A120" s="119"/>
      <c r="B120" s="119"/>
      <c r="C120" s="928"/>
      <c r="D120" s="127" t="s">
        <v>89</v>
      </c>
      <c r="E120" s="122"/>
      <c r="F120" s="128"/>
      <c r="G120" s="279"/>
      <c r="H120" s="928"/>
      <c r="I120" s="229"/>
      <c r="J120" s="123"/>
      <c r="K120" s="123"/>
      <c r="L120" s="123"/>
      <c r="M120" s="123"/>
      <c r="N120" s="123"/>
      <c r="O120" s="123"/>
      <c r="P120" s="123">
        <f>SUM(P93:P95)</f>
        <v>0</v>
      </c>
      <c r="Q120" s="123"/>
      <c r="R120" s="123"/>
      <c r="S120" s="123">
        <f>SUM(S93:S95)</f>
        <v>0</v>
      </c>
      <c r="T120" s="123"/>
      <c r="U120" s="123"/>
      <c r="V120" s="123">
        <f>SUM(V93:V95)</f>
        <v>0</v>
      </c>
      <c r="W120" s="383"/>
      <c r="X120" s="123"/>
      <c r="Y120" s="123">
        <f t="shared" si="87"/>
        <v>0</v>
      </c>
      <c r="Z120" s="125"/>
      <c r="AA120" s="125"/>
      <c r="AB120" s="125"/>
      <c r="AC120" s="125"/>
      <c r="AE120" s="123"/>
      <c r="AF120" s="123"/>
      <c r="AG120" s="123"/>
      <c r="AH120" s="124"/>
      <c r="AI120" s="125"/>
      <c r="AK120" s="123"/>
      <c r="AL120" s="123"/>
      <c r="AM120" s="123"/>
      <c r="AN120" s="124"/>
      <c r="AO120" s="125"/>
      <c r="AQ120" s="123"/>
      <c r="AR120" s="123"/>
      <c r="AS120" s="123"/>
      <c r="AT120" s="124"/>
      <c r="AU120" s="125"/>
      <c r="AW120" s="123"/>
      <c r="AX120" s="123"/>
      <c r="AY120" s="123"/>
      <c r="AZ120" s="124"/>
      <c r="BA120" s="125"/>
    </row>
    <row r="121" spans="1:53" s="97" customFormat="1" ht="17.100000000000001" customHeight="1" x14ac:dyDescent="0.25">
      <c r="A121" s="119"/>
      <c r="B121" s="119"/>
      <c r="C121" s="928"/>
      <c r="D121" s="127" t="s">
        <v>91</v>
      </c>
      <c r="E121" s="122"/>
      <c r="F121" s="122"/>
      <c r="G121" s="279"/>
      <c r="H121" s="928"/>
      <c r="I121" s="229"/>
      <c r="J121" s="129"/>
      <c r="K121" s="129"/>
      <c r="L121" s="129"/>
      <c r="M121" s="129"/>
      <c r="N121" s="129"/>
      <c r="O121" s="129"/>
      <c r="P121" s="129">
        <f t="shared" ref="P121" si="88">IF(P119=1,0,IF(P120=1,1,0))</f>
        <v>0</v>
      </c>
      <c r="Q121" s="129"/>
      <c r="R121" s="129"/>
      <c r="S121" s="129">
        <f t="shared" ref="S121" si="89">IF(S119=1,0,IF(S120=1,1,0))</f>
        <v>0</v>
      </c>
      <c r="T121" s="129"/>
      <c r="U121" s="129"/>
      <c r="V121" s="129">
        <f t="shared" ref="V121" si="90">IF(V119=1,0,IF(V120=1,1,0))</f>
        <v>0</v>
      </c>
      <c r="W121" s="384"/>
      <c r="X121" s="129"/>
      <c r="Y121" s="129">
        <f t="shared" si="87"/>
        <v>0</v>
      </c>
      <c r="Z121" s="130"/>
      <c r="AA121" s="130"/>
      <c r="AB121" s="130"/>
      <c r="AC121" s="125"/>
      <c r="AE121" s="129"/>
      <c r="AF121" s="129"/>
      <c r="AG121" s="129"/>
      <c r="AH121" s="129"/>
      <c r="AI121" s="130"/>
      <c r="AK121" s="129"/>
      <c r="AL121" s="129"/>
      <c r="AM121" s="129"/>
      <c r="AN121" s="129"/>
      <c r="AO121" s="130"/>
      <c r="AQ121" s="129"/>
      <c r="AR121" s="129"/>
      <c r="AS121" s="129"/>
      <c r="AT121" s="129"/>
      <c r="AU121" s="130"/>
      <c r="AW121" s="129"/>
      <c r="AX121" s="129"/>
      <c r="AY121" s="129"/>
      <c r="AZ121" s="129"/>
      <c r="BA121" s="130"/>
    </row>
    <row r="122" spans="1:53" s="97" customFormat="1" ht="17.100000000000001" customHeight="1" x14ac:dyDescent="0.25">
      <c r="A122" s="119"/>
      <c r="B122" s="119"/>
      <c r="C122" s="103" t="s">
        <v>92</v>
      </c>
      <c r="D122" s="85" t="s">
        <v>914</v>
      </c>
      <c r="E122" s="75"/>
      <c r="F122" s="75"/>
      <c r="G122" s="75"/>
      <c r="H122" s="928"/>
      <c r="I122" s="229"/>
      <c r="J122" s="927"/>
      <c r="K122" s="927"/>
      <c r="L122" s="927"/>
      <c r="M122" s="927"/>
      <c r="N122" s="927"/>
      <c r="O122" s="927"/>
      <c r="P122" s="927">
        <f>P121</f>
        <v>0</v>
      </c>
      <c r="Q122" s="927"/>
      <c r="R122" s="927"/>
      <c r="S122" s="927">
        <f>S121</f>
        <v>0</v>
      </c>
      <c r="T122" s="927"/>
      <c r="U122" s="927"/>
      <c r="V122" s="927">
        <f>V121</f>
        <v>0</v>
      </c>
      <c r="W122" s="382"/>
      <c r="X122" s="927"/>
      <c r="Y122" s="927">
        <f>SUM(J122:X122)</f>
        <v>0</v>
      </c>
      <c r="Z122" s="91"/>
      <c r="AA122" s="91"/>
      <c r="AB122" s="91"/>
      <c r="AC122" s="84"/>
      <c r="AE122" s="927"/>
      <c r="AF122" s="927"/>
      <c r="AG122" s="927"/>
      <c r="AH122" s="927"/>
      <c r="AI122" s="91"/>
      <c r="AK122" s="927"/>
      <c r="AL122" s="927"/>
      <c r="AM122" s="927"/>
      <c r="AN122" s="927"/>
      <c r="AO122" s="91"/>
      <c r="AQ122" s="927"/>
      <c r="AR122" s="927"/>
      <c r="AS122" s="927"/>
      <c r="AT122" s="927"/>
      <c r="AU122" s="91"/>
      <c r="AW122" s="927"/>
      <c r="AX122" s="927"/>
      <c r="AY122" s="927"/>
      <c r="AZ122" s="927"/>
      <c r="BA122" s="91"/>
    </row>
    <row r="123" spans="1:53" s="97" customFormat="1" ht="17.100000000000001" customHeight="1" x14ac:dyDescent="0.25">
      <c r="A123" s="119"/>
      <c r="B123" s="119"/>
      <c r="C123" s="103" t="s">
        <v>93</v>
      </c>
      <c r="D123" s="85" t="s">
        <v>94</v>
      </c>
      <c r="E123" s="75"/>
      <c r="F123" s="75"/>
      <c r="G123" s="75"/>
      <c r="H123" s="928"/>
      <c r="I123" s="229"/>
      <c r="J123" s="932"/>
      <c r="K123" s="932"/>
      <c r="L123" s="932"/>
      <c r="M123" s="932"/>
      <c r="N123" s="932"/>
      <c r="O123" s="932"/>
      <c r="P123" s="932"/>
      <c r="Q123" s="932"/>
      <c r="R123" s="932"/>
      <c r="S123" s="932"/>
      <c r="T123" s="932"/>
      <c r="U123" s="932"/>
      <c r="V123" s="364"/>
      <c r="W123" s="385"/>
      <c r="X123" s="932"/>
      <c r="Y123" s="932"/>
      <c r="Z123" s="131"/>
      <c r="AA123" s="131"/>
      <c r="AB123" s="131"/>
      <c r="AC123" s="113"/>
      <c r="AE123" s="114"/>
      <c r="AF123" s="114"/>
      <c r="AG123" s="114"/>
      <c r="AH123" s="112"/>
      <c r="AI123" s="113"/>
      <c r="AK123" s="114"/>
      <c r="AL123" s="114"/>
      <c r="AM123" s="114"/>
      <c r="AN123" s="112"/>
      <c r="AO123" s="113"/>
      <c r="AQ123" s="114"/>
      <c r="AR123" s="114"/>
      <c r="AS123" s="114"/>
      <c r="AT123" s="112"/>
      <c r="AU123" s="113"/>
      <c r="AW123" s="114"/>
      <c r="AX123" s="114"/>
      <c r="AY123" s="114"/>
      <c r="AZ123" s="112"/>
      <c r="BA123" s="113"/>
    </row>
    <row r="124" spans="1:53" s="97" customFormat="1" ht="17.100000000000001" customHeight="1" x14ac:dyDescent="0.25">
      <c r="A124" s="137"/>
      <c r="B124" s="119"/>
      <c r="C124" s="132"/>
      <c r="D124" s="133" t="s">
        <v>95</v>
      </c>
      <c r="E124" s="134"/>
      <c r="F124" s="134"/>
      <c r="G124" s="134"/>
      <c r="H124" s="928"/>
      <c r="I124" s="229"/>
      <c r="J124" s="82"/>
      <c r="K124" s="82"/>
      <c r="L124" s="82" t="str">
        <f>IF(SUM(L30:L32)=1,1-SUM(L125:L127),"")</f>
        <v/>
      </c>
      <c r="M124" s="82"/>
      <c r="N124" s="82"/>
      <c r="O124" s="82"/>
      <c r="P124" s="82">
        <f>IF(P20=0,0,IF(P109+P116+P117+P122=0,1,0))</f>
        <v>0</v>
      </c>
      <c r="Q124" s="82"/>
      <c r="R124" s="82"/>
      <c r="S124" s="82">
        <f>IF(S20=0,0,IF(S109+S116+S117+S122=0,1,0))</f>
        <v>1</v>
      </c>
      <c r="T124" s="82"/>
      <c r="U124" s="82"/>
      <c r="V124" s="82">
        <f>IF(V20=0,0,IF(V109+V116+V117+V122=0,1,0))</f>
        <v>0</v>
      </c>
      <c r="W124" s="381" t="str">
        <f>IF(SUM(W30:W32)=1,1-SUM(W125:W127),"")</f>
        <v/>
      </c>
      <c r="X124" s="82" t="str">
        <f>IF(SUM(X30:X32)=1,1-SUM(X125:X127),"")</f>
        <v/>
      </c>
      <c r="Y124" s="82">
        <f>P124+S124+V124</f>
        <v>1</v>
      </c>
      <c r="Z124" s="66">
        <f>IF(Y$128=0,0,Y124/Y$128)</f>
        <v>1</v>
      </c>
      <c r="AA124" s="66"/>
      <c r="AB124" s="66"/>
      <c r="AC124" s="83"/>
      <c r="AE124" s="82"/>
      <c r="AF124" s="82"/>
      <c r="AG124" s="82"/>
      <c r="AH124" s="82"/>
      <c r="AI124" s="66"/>
      <c r="AK124" s="82"/>
      <c r="AL124" s="82"/>
      <c r="AM124" s="82"/>
      <c r="AN124" s="82"/>
      <c r="AO124" s="66"/>
      <c r="AQ124" s="82"/>
      <c r="AR124" s="82"/>
      <c r="AS124" s="82"/>
      <c r="AT124" s="82"/>
      <c r="AU124" s="66"/>
      <c r="AW124" s="82"/>
      <c r="AX124" s="82"/>
      <c r="AY124" s="82"/>
      <c r="AZ124" s="82"/>
      <c r="BA124" s="66"/>
    </row>
    <row r="125" spans="1:53" s="97" customFormat="1" ht="17.100000000000001" customHeight="1" x14ac:dyDescent="0.25">
      <c r="A125" s="119"/>
      <c r="B125" s="119"/>
      <c r="C125" s="135"/>
      <c r="D125" s="133" t="s">
        <v>96</v>
      </c>
      <c r="E125" s="134"/>
      <c r="F125" s="134"/>
      <c r="G125" s="134"/>
      <c r="H125" s="928"/>
      <c r="I125" s="229"/>
      <c r="J125" s="82"/>
      <c r="K125" s="82"/>
      <c r="L125" s="82"/>
      <c r="M125" s="82"/>
      <c r="N125" s="82"/>
      <c r="O125" s="82"/>
      <c r="P125" s="82">
        <f>IF(P109+P116+P117+P122=1,1,0)</f>
        <v>0</v>
      </c>
      <c r="Q125" s="82"/>
      <c r="R125" s="82"/>
      <c r="S125" s="82">
        <f>IF(S109+S116+S117+S122=1,1,0)</f>
        <v>0</v>
      </c>
      <c r="T125" s="82"/>
      <c r="U125" s="82"/>
      <c r="V125" s="82">
        <f>IF(V109+V116+V117+V122=1,1,0)</f>
        <v>0</v>
      </c>
      <c r="W125" s="381"/>
      <c r="X125" s="82"/>
      <c r="Y125" s="82">
        <f t="shared" ref="Y125:Y127" si="91">P125+S125+V125</f>
        <v>0</v>
      </c>
      <c r="Z125" s="66">
        <f>IF(Y$128=0,0,Y125/Y$128)</f>
        <v>0</v>
      </c>
      <c r="AA125" s="66"/>
      <c r="AB125" s="66"/>
      <c r="AC125" s="83"/>
      <c r="AE125" s="82"/>
      <c r="AF125" s="82"/>
      <c r="AG125" s="82"/>
      <c r="AH125" s="82"/>
      <c r="AI125" s="66"/>
      <c r="AK125" s="82"/>
      <c r="AL125" s="82"/>
      <c r="AM125" s="82"/>
      <c r="AN125" s="82"/>
      <c r="AO125" s="66"/>
      <c r="AQ125" s="82"/>
      <c r="AR125" s="82"/>
      <c r="AS125" s="82"/>
      <c r="AT125" s="82"/>
      <c r="AU125" s="66"/>
      <c r="AW125" s="82"/>
      <c r="AX125" s="82"/>
      <c r="AY125" s="82"/>
      <c r="AZ125" s="82"/>
      <c r="BA125" s="66"/>
    </row>
    <row r="126" spans="1:53" s="97" customFormat="1" ht="17.100000000000001" customHeight="1" x14ac:dyDescent="0.25">
      <c r="A126" s="119"/>
      <c r="B126" s="119"/>
      <c r="C126" s="136"/>
      <c r="D126" s="133" t="s">
        <v>97</v>
      </c>
      <c r="E126" s="134"/>
      <c r="F126" s="134"/>
      <c r="G126" s="134"/>
      <c r="H126" s="928"/>
      <c r="I126" s="229"/>
      <c r="J126" s="82"/>
      <c r="K126" s="82"/>
      <c r="L126" s="82"/>
      <c r="M126" s="82"/>
      <c r="N126" s="82"/>
      <c r="O126" s="82"/>
      <c r="P126" s="82">
        <f>IF(P109+P116+P117+P122=2,1,0)</f>
        <v>0</v>
      </c>
      <c r="Q126" s="82"/>
      <c r="R126" s="82"/>
      <c r="S126" s="82">
        <f>IF(S109+S116+S117+S122=2,1,0)</f>
        <v>0</v>
      </c>
      <c r="T126" s="82"/>
      <c r="U126" s="82"/>
      <c r="V126" s="82">
        <f>IF(V109+V116+V117+V122=2,1,0)</f>
        <v>0</v>
      </c>
      <c r="W126" s="381"/>
      <c r="X126" s="82"/>
      <c r="Y126" s="82">
        <f t="shared" si="91"/>
        <v>0</v>
      </c>
      <c r="Z126" s="66">
        <f>IF(Y$128=0,0,Y126/Y$128)</f>
        <v>0</v>
      </c>
      <c r="AA126" s="66"/>
      <c r="AB126" s="66"/>
      <c r="AC126" s="83"/>
      <c r="AE126" s="82"/>
      <c r="AF126" s="82"/>
      <c r="AG126" s="82"/>
      <c r="AH126" s="82"/>
      <c r="AI126" s="66"/>
      <c r="AK126" s="82"/>
      <c r="AL126" s="82"/>
      <c r="AM126" s="82"/>
      <c r="AN126" s="82"/>
      <c r="AO126" s="66"/>
      <c r="AQ126" s="82"/>
      <c r="AR126" s="82"/>
      <c r="AS126" s="82"/>
      <c r="AT126" s="82"/>
      <c r="AU126" s="66"/>
      <c r="AW126" s="82"/>
      <c r="AX126" s="82"/>
      <c r="AY126" s="82"/>
      <c r="AZ126" s="82"/>
      <c r="BA126" s="66"/>
    </row>
    <row r="127" spans="1:53" s="97" customFormat="1" ht="17.100000000000001" customHeight="1" x14ac:dyDescent="0.25">
      <c r="A127" s="119"/>
      <c r="B127" s="119"/>
      <c r="C127" s="137"/>
      <c r="D127" s="133" t="s">
        <v>98</v>
      </c>
      <c r="E127" s="134"/>
      <c r="F127" s="134"/>
      <c r="G127" s="134"/>
      <c r="H127" s="928"/>
      <c r="I127" s="229"/>
      <c r="J127" s="82"/>
      <c r="K127" s="82"/>
      <c r="L127" s="82"/>
      <c r="M127" s="82"/>
      <c r="N127" s="82"/>
      <c r="O127" s="82"/>
      <c r="P127" s="82">
        <f>IF(P109+P116+P117+P122=3,1,0)</f>
        <v>0</v>
      </c>
      <c r="Q127" s="82"/>
      <c r="R127" s="82"/>
      <c r="S127" s="82">
        <f>IF(S109+S116+S117+S122=3,1,0)</f>
        <v>0</v>
      </c>
      <c r="T127" s="82"/>
      <c r="U127" s="82"/>
      <c r="V127" s="82">
        <f>IF(V109+V116+V117+V122=3,1,0)</f>
        <v>0</v>
      </c>
      <c r="W127" s="381"/>
      <c r="X127" s="82"/>
      <c r="Y127" s="82">
        <f t="shared" si="91"/>
        <v>0</v>
      </c>
      <c r="Z127" s="66">
        <f>IF(Y$128=0,0,Y127/Y$128)</f>
        <v>0</v>
      </c>
      <c r="AA127" s="66"/>
      <c r="AB127" s="66"/>
      <c r="AC127" s="83"/>
      <c r="AE127" s="82"/>
      <c r="AF127" s="82"/>
      <c r="AG127" s="82"/>
      <c r="AH127" s="82"/>
      <c r="AI127" s="66"/>
      <c r="AK127" s="82"/>
      <c r="AL127" s="82"/>
      <c r="AM127" s="82"/>
      <c r="AN127" s="82"/>
      <c r="AO127" s="66"/>
      <c r="AQ127" s="82"/>
      <c r="AR127" s="82"/>
      <c r="AS127" s="82"/>
      <c r="AT127" s="82"/>
      <c r="AU127" s="66"/>
      <c r="AW127" s="82"/>
      <c r="AX127" s="82"/>
      <c r="AY127" s="82"/>
      <c r="AZ127" s="82"/>
      <c r="BA127" s="66"/>
    </row>
    <row r="128" spans="1:53" s="97" customFormat="1" ht="17.100000000000001" customHeight="1" x14ac:dyDescent="0.25">
      <c r="A128" s="119"/>
      <c r="B128" s="119"/>
      <c r="C128" s="928"/>
      <c r="D128" s="133"/>
      <c r="E128" s="134"/>
      <c r="F128" s="134"/>
      <c r="G128" s="134"/>
      <c r="H128" s="928"/>
      <c r="I128" s="229"/>
      <c r="J128" s="82"/>
      <c r="K128" s="82"/>
      <c r="L128" s="82"/>
      <c r="M128" s="82"/>
      <c r="N128" s="82"/>
      <c r="O128" s="82"/>
      <c r="P128" s="82"/>
      <c r="Q128" s="82"/>
      <c r="R128" s="82"/>
      <c r="S128" s="82"/>
      <c r="T128" s="82"/>
      <c r="U128" s="82"/>
      <c r="V128" s="360"/>
      <c r="W128" s="381"/>
      <c r="X128" s="82"/>
      <c r="Y128" s="82">
        <f>SUM(Y124:Y127)</f>
        <v>1</v>
      </c>
      <c r="Z128" s="66">
        <f>IF(Y$128=0,0,Y128/Y$128)</f>
        <v>1</v>
      </c>
      <c r="AA128" s="66"/>
      <c r="AB128" s="66"/>
      <c r="AC128" s="83"/>
      <c r="AE128" s="82"/>
      <c r="AF128" s="82"/>
      <c r="AG128" s="82"/>
      <c r="AH128" s="82"/>
      <c r="AI128" s="66"/>
      <c r="AK128" s="82"/>
      <c r="AL128" s="82"/>
      <c r="AM128" s="82"/>
      <c r="AN128" s="82"/>
      <c r="AO128" s="66"/>
      <c r="AQ128" s="82"/>
      <c r="AR128" s="82"/>
      <c r="AS128" s="82"/>
      <c r="AT128" s="82"/>
      <c r="AU128" s="66"/>
      <c r="AW128" s="82"/>
      <c r="AX128" s="82"/>
      <c r="AY128" s="82"/>
      <c r="AZ128" s="82"/>
      <c r="BA128" s="66"/>
    </row>
    <row r="129" spans="1:53" s="97" customFormat="1" ht="17.100000000000001" customHeight="1" x14ac:dyDescent="0.25">
      <c r="A129" s="119"/>
      <c r="B129" s="119"/>
      <c r="C129" s="928"/>
      <c r="D129" s="127" t="s">
        <v>81</v>
      </c>
      <c r="E129" s="122"/>
      <c r="F129" s="122"/>
      <c r="G129" s="122"/>
      <c r="H129" s="928"/>
      <c r="I129" s="229"/>
      <c r="J129" s="123"/>
      <c r="K129" s="123"/>
      <c r="L129" s="123"/>
      <c r="M129" s="123"/>
      <c r="N129" s="123"/>
      <c r="O129" s="123"/>
      <c r="P129" s="123">
        <f t="shared" ref="P129" si="92">P109</f>
        <v>0</v>
      </c>
      <c r="Q129" s="123"/>
      <c r="R129" s="123"/>
      <c r="S129" s="123">
        <f t="shared" ref="S129" si="93">S109</f>
        <v>0</v>
      </c>
      <c r="T129" s="123"/>
      <c r="U129" s="123"/>
      <c r="V129" s="123">
        <f t="shared" ref="V129" si="94">V109</f>
        <v>0</v>
      </c>
      <c r="W129" s="383"/>
      <c r="X129" s="123"/>
      <c r="Y129" s="123">
        <f t="shared" ref="Y129" si="95">Y109</f>
        <v>0</v>
      </c>
      <c r="Z129" s="525"/>
      <c r="AA129" s="125"/>
      <c r="AB129" s="125"/>
      <c r="AC129" s="125"/>
      <c r="AE129" s="123"/>
      <c r="AF129" s="123"/>
      <c r="AG129" s="123"/>
      <c r="AH129" s="124"/>
      <c r="AI129" s="125"/>
      <c r="AK129" s="123"/>
      <c r="AL129" s="123"/>
      <c r="AM129" s="123"/>
      <c r="AN129" s="124"/>
      <c r="AO129" s="125"/>
      <c r="AQ129" s="123"/>
      <c r="AR129" s="123"/>
      <c r="AS129" s="123"/>
      <c r="AT129" s="124"/>
      <c r="AU129" s="125"/>
      <c r="AW129" s="123"/>
      <c r="AX129" s="123"/>
      <c r="AY129" s="123"/>
      <c r="AZ129" s="124"/>
      <c r="BA129" s="125"/>
    </row>
    <row r="130" spans="1:53" s="97" customFormat="1" ht="17.100000000000001" customHeight="1" x14ac:dyDescent="0.25">
      <c r="A130" s="119"/>
      <c r="B130" s="119"/>
      <c r="C130" s="1310"/>
      <c r="D130" s="127" t="s">
        <v>87</v>
      </c>
      <c r="E130" s="122"/>
      <c r="F130" s="122"/>
      <c r="G130" s="122"/>
      <c r="H130" s="1310"/>
      <c r="I130" s="229"/>
      <c r="J130" s="123"/>
      <c r="K130" s="123"/>
      <c r="L130" s="123"/>
      <c r="M130" s="123"/>
      <c r="N130" s="123"/>
      <c r="O130" s="123"/>
      <c r="P130" s="123">
        <f>P116+P117</f>
        <v>0</v>
      </c>
      <c r="Q130" s="123"/>
      <c r="R130" s="123"/>
      <c r="S130" s="123">
        <f>S116+S117</f>
        <v>0</v>
      </c>
      <c r="T130" s="123"/>
      <c r="U130" s="123"/>
      <c r="V130" s="123">
        <f>V116+V117</f>
        <v>0</v>
      </c>
      <c r="W130" s="383"/>
      <c r="X130" s="123"/>
      <c r="Y130" s="123">
        <f>Y116+Y117</f>
        <v>0</v>
      </c>
      <c r="Z130" s="525"/>
      <c r="AA130" s="125"/>
      <c r="AB130" s="125"/>
      <c r="AC130" s="125"/>
      <c r="AE130" s="123"/>
      <c r="AF130" s="123"/>
      <c r="AG130" s="123"/>
      <c r="AH130" s="124"/>
      <c r="AI130" s="125"/>
      <c r="AK130" s="123"/>
      <c r="AL130" s="123"/>
      <c r="AM130" s="123"/>
      <c r="AN130" s="124"/>
      <c r="AO130" s="125"/>
      <c r="AQ130" s="123"/>
      <c r="AR130" s="123"/>
      <c r="AS130" s="123"/>
      <c r="AT130" s="124"/>
      <c r="AU130" s="125"/>
      <c r="AW130" s="123"/>
      <c r="AX130" s="123"/>
      <c r="AY130" s="123"/>
      <c r="AZ130" s="124"/>
      <c r="BA130" s="125"/>
    </row>
    <row r="131" spans="1:53" s="97" customFormat="1" ht="17.100000000000001" customHeight="1" x14ac:dyDescent="0.25">
      <c r="A131" s="119"/>
      <c r="B131" s="119"/>
      <c r="C131" s="928"/>
      <c r="D131" s="127" t="s">
        <v>923</v>
      </c>
      <c r="E131" s="122"/>
      <c r="F131" s="122"/>
      <c r="G131" s="122"/>
      <c r="H131" s="928"/>
      <c r="I131" s="229"/>
      <c r="J131" s="123"/>
      <c r="K131" s="123"/>
      <c r="L131" s="123"/>
      <c r="M131" s="123"/>
      <c r="N131" s="123"/>
      <c r="O131" s="123"/>
      <c r="P131" s="123"/>
      <c r="Q131" s="123"/>
      <c r="R131" s="123"/>
      <c r="S131" s="123"/>
      <c r="T131" s="123"/>
      <c r="U131" s="123"/>
      <c r="V131" s="123"/>
      <c r="W131" s="383"/>
      <c r="X131" s="123"/>
      <c r="Y131" s="123"/>
      <c r="Z131" s="525"/>
      <c r="AA131" s="130"/>
      <c r="AB131" s="130"/>
      <c r="AC131" s="125"/>
      <c r="AE131" s="123"/>
      <c r="AF131" s="123"/>
      <c r="AG131" s="123"/>
      <c r="AH131" s="129"/>
      <c r="AI131" s="130"/>
      <c r="AK131" s="123"/>
      <c r="AL131" s="123"/>
      <c r="AM131" s="123"/>
      <c r="AN131" s="129"/>
      <c r="AO131" s="130"/>
      <c r="AQ131" s="123"/>
      <c r="AR131" s="123"/>
      <c r="AS131" s="123"/>
      <c r="AT131" s="129"/>
      <c r="AU131" s="130"/>
      <c r="AW131" s="123"/>
      <c r="AX131" s="123"/>
      <c r="AY131" s="123"/>
      <c r="AZ131" s="129"/>
      <c r="BA131" s="130"/>
    </row>
    <row r="132" spans="1:53" s="97" customFormat="1" ht="17.100000000000001" customHeight="1" x14ac:dyDescent="0.25">
      <c r="A132" s="119"/>
      <c r="B132" s="119"/>
      <c r="C132" s="928"/>
      <c r="D132" s="127" t="s">
        <v>922</v>
      </c>
      <c r="E132" s="122"/>
      <c r="F132" s="122"/>
      <c r="G132" s="122"/>
      <c r="H132" s="928"/>
      <c r="I132" s="229"/>
      <c r="J132" s="123"/>
      <c r="K132" s="123"/>
      <c r="L132" s="123"/>
      <c r="M132" s="123"/>
      <c r="N132" s="123"/>
      <c r="O132" s="123"/>
      <c r="P132" s="123">
        <f t="shared" ref="P132" si="96">SUM(P129:P131)</f>
        <v>0</v>
      </c>
      <c r="Q132" s="123"/>
      <c r="R132" s="123"/>
      <c r="S132" s="123">
        <f t="shared" ref="S132" si="97">SUM(S129:S131)</f>
        <v>0</v>
      </c>
      <c r="T132" s="123"/>
      <c r="U132" s="123"/>
      <c r="V132" s="123">
        <f t="shared" ref="V132" si="98">SUM(V129:V131)</f>
        <v>0</v>
      </c>
      <c r="W132" s="383"/>
      <c r="X132" s="123"/>
      <c r="Y132" s="123">
        <f t="shared" ref="Y132:Y133" si="99">SUM(Y129:Y131)</f>
        <v>0</v>
      </c>
      <c r="Z132" s="525"/>
      <c r="AA132" s="125"/>
      <c r="AB132" s="125"/>
      <c r="AC132" s="125"/>
      <c r="AE132" s="123"/>
      <c r="AF132" s="123"/>
      <c r="AG132" s="123"/>
      <c r="AH132" s="124"/>
      <c r="AI132" s="125"/>
      <c r="AK132" s="123"/>
      <c r="AL132" s="123"/>
      <c r="AM132" s="123"/>
      <c r="AN132" s="124"/>
      <c r="AO132" s="125"/>
      <c r="AQ132" s="123"/>
      <c r="AR132" s="123"/>
      <c r="AS132" s="123"/>
      <c r="AT132" s="124"/>
      <c r="AU132" s="125"/>
      <c r="AW132" s="123"/>
      <c r="AX132" s="123"/>
      <c r="AY132" s="123"/>
      <c r="AZ132" s="124"/>
      <c r="BA132" s="125"/>
    </row>
    <row r="133" spans="1:53" s="97" customFormat="1" ht="17.100000000000001" customHeight="1" x14ac:dyDescent="0.25">
      <c r="A133" s="119"/>
      <c r="B133" s="119"/>
      <c r="C133" s="103" t="s">
        <v>99</v>
      </c>
      <c r="D133" s="85" t="s">
        <v>921</v>
      </c>
      <c r="E133" s="75"/>
      <c r="F133" s="75"/>
      <c r="G133" s="75"/>
      <c r="H133" s="928"/>
      <c r="I133" s="229"/>
      <c r="J133" s="927"/>
      <c r="K133" s="927"/>
      <c r="L133" s="927"/>
      <c r="M133" s="927"/>
      <c r="N133" s="927"/>
      <c r="O133" s="927"/>
      <c r="P133" s="927">
        <f t="shared" ref="P133" si="100">IF(P132&gt;=1,1,0)</f>
        <v>0</v>
      </c>
      <c r="Q133" s="927"/>
      <c r="R133" s="927"/>
      <c r="S133" s="927">
        <f t="shared" ref="S133" si="101">IF(S132&gt;=1,1,0)</f>
        <v>0</v>
      </c>
      <c r="T133" s="927"/>
      <c r="U133" s="927"/>
      <c r="V133" s="927">
        <f t="shared" ref="V133" si="102">IF(V132&gt;=1,1,0)</f>
        <v>0</v>
      </c>
      <c r="W133" s="382"/>
      <c r="X133" s="927"/>
      <c r="Y133" s="927">
        <f t="shared" si="99"/>
        <v>0</v>
      </c>
      <c r="Z133" s="91"/>
      <c r="AA133" s="91"/>
      <c r="AB133" s="91"/>
      <c r="AC133" s="84"/>
      <c r="AE133" s="927"/>
      <c r="AF133" s="927"/>
      <c r="AG133" s="927"/>
      <c r="AH133" s="927"/>
      <c r="AI133" s="91"/>
      <c r="AK133" s="927"/>
      <c r="AL133" s="927"/>
      <c r="AM133" s="927"/>
      <c r="AN133" s="927"/>
      <c r="AO133" s="91"/>
      <c r="AQ133" s="927"/>
      <c r="AR133" s="927"/>
      <c r="AS133" s="927"/>
      <c r="AT133" s="927"/>
      <c r="AU133" s="91"/>
      <c r="AW133" s="927"/>
      <c r="AX133" s="927"/>
      <c r="AY133" s="927"/>
      <c r="AZ133" s="927"/>
      <c r="BA133" s="91"/>
    </row>
    <row r="134" spans="1:53" s="97" customFormat="1" ht="17.100000000000001" customHeight="1" x14ac:dyDescent="0.25">
      <c r="A134" s="138"/>
      <c r="B134" s="138"/>
      <c r="C134" s="139"/>
      <c r="D134" s="12"/>
      <c r="E134" s="12"/>
      <c r="F134" s="12"/>
      <c r="G134" s="12"/>
      <c r="H134" s="12"/>
      <c r="I134" s="12"/>
      <c r="J134" s="95"/>
      <c r="K134" s="95"/>
      <c r="L134" s="95"/>
      <c r="M134" s="95"/>
      <c r="N134" s="95"/>
      <c r="O134" s="95"/>
      <c r="P134" s="95"/>
      <c r="Q134" s="95"/>
      <c r="R134" s="95"/>
      <c r="S134" s="95"/>
      <c r="T134" s="95"/>
      <c r="U134" s="95"/>
      <c r="V134" s="95"/>
      <c r="W134" s="95"/>
      <c r="X134" s="95"/>
      <c r="Y134" s="95"/>
      <c r="AQ134" s="109"/>
      <c r="AR134" s="109"/>
      <c r="AS134" s="109"/>
      <c r="AT134" s="96"/>
    </row>
    <row r="135" spans="1:53" s="32" customFormat="1" ht="16.5" thickBot="1" x14ac:dyDescent="0.3">
      <c r="A135" s="24" t="s">
        <v>100</v>
      </c>
      <c r="B135" s="25" t="s">
        <v>562</v>
      </c>
      <c r="C135" s="26"/>
      <c r="D135" s="27"/>
      <c r="E135" s="27"/>
      <c r="F135" s="27"/>
      <c r="G135" s="28"/>
      <c r="H135" s="310"/>
      <c r="I135" s="228"/>
      <c r="J135" s="140"/>
      <c r="K135" s="140"/>
      <c r="L135" s="140"/>
      <c r="M135" s="140"/>
      <c r="N135" s="140"/>
      <c r="O135" s="140"/>
      <c r="P135" s="140"/>
      <c r="Q135" s="140"/>
      <c r="R135" s="140"/>
      <c r="S135" s="140"/>
      <c r="T135" s="140"/>
      <c r="U135" s="140"/>
      <c r="V135" s="140"/>
      <c r="W135" s="140"/>
      <c r="X135" s="140"/>
      <c r="Y135" s="140"/>
      <c r="Z135" s="31" t="s">
        <v>5</v>
      </c>
      <c r="AA135" s="31"/>
      <c r="AB135" s="31"/>
      <c r="AC135" s="24"/>
      <c r="AE135" s="33" t="s">
        <v>181</v>
      </c>
      <c r="AF135" s="33" t="s">
        <v>182</v>
      </c>
      <c r="AG135" s="33" t="s">
        <v>6</v>
      </c>
      <c r="AH135" s="33" t="s">
        <v>4</v>
      </c>
      <c r="AI135" s="34" t="s">
        <v>5</v>
      </c>
      <c r="AJ135" s="35"/>
      <c r="AK135" s="36" t="s">
        <v>181</v>
      </c>
      <c r="AL135" s="36" t="s">
        <v>182</v>
      </c>
      <c r="AM135" s="36" t="s">
        <v>6</v>
      </c>
      <c r="AN135" s="36" t="s">
        <v>4</v>
      </c>
      <c r="AO135" s="37" t="s">
        <v>5</v>
      </c>
      <c r="AQ135" s="36"/>
      <c r="AR135" s="36"/>
      <c r="AS135" s="36"/>
      <c r="AT135" s="36"/>
      <c r="AU135" s="37"/>
      <c r="AW135" s="38" t="s">
        <v>181</v>
      </c>
      <c r="AX135" s="38" t="s">
        <v>182</v>
      </c>
      <c r="AY135" s="38" t="s">
        <v>6</v>
      </c>
      <c r="AZ135" s="38" t="s">
        <v>4</v>
      </c>
      <c r="BA135" s="39" t="s">
        <v>5</v>
      </c>
    </row>
    <row r="136" spans="1:53" ht="17.100000000000001" customHeight="1" x14ac:dyDescent="0.25">
      <c r="A136" s="40"/>
      <c r="B136" s="41" t="s">
        <v>738</v>
      </c>
      <c r="C136" s="42" t="s">
        <v>563</v>
      </c>
      <c r="D136" s="43"/>
      <c r="E136" s="43"/>
      <c r="F136" s="43"/>
      <c r="G136" s="44"/>
      <c r="H136" s="263">
        <v>1</v>
      </c>
      <c r="I136" s="229"/>
      <c r="J136" s="71"/>
      <c r="K136" s="71"/>
      <c r="L136" s="71"/>
      <c r="M136" s="71"/>
      <c r="N136" s="71"/>
      <c r="O136" s="71"/>
      <c r="P136" s="71"/>
      <c r="Q136" s="71"/>
      <c r="R136" s="71"/>
      <c r="S136" s="71"/>
      <c r="T136" s="71"/>
      <c r="U136" s="71"/>
      <c r="V136" s="71"/>
      <c r="W136" s="71"/>
      <c r="X136" s="71"/>
      <c r="Y136" s="71"/>
      <c r="Z136" s="73"/>
      <c r="AA136" s="73"/>
      <c r="AB136" s="73"/>
      <c r="AC136" s="73"/>
      <c r="AE136" s="71"/>
      <c r="AF136" s="71"/>
      <c r="AG136" s="73"/>
      <c r="AH136" s="73"/>
      <c r="AI136" s="73"/>
      <c r="AK136" s="71"/>
      <c r="AL136" s="71"/>
      <c r="AM136" s="73"/>
      <c r="AN136" s="73"/>
      <c r="AO136" s="73"/>
      <c r="AQ136" s="71"/>
      <c r="AR136" s="71"/>
      <c r="AS136" s="71"/>
      <c r="AT136" s="72"/>
      <c r="AU136" s="73"/>
      <c r="AW136" s="71"/>
      <c r="AX136" s="71"/>
      <c r="AY136" s="73"/>
      <c r="AZ136" s="73"/>
      <c r="BA136" s="73"/>
    </row>
    <row r="137" spans="1:53" ht="17.100000000000001" customHeight="1" x14ac:dyDescent="0.25">
      <c r="A137" s="40"/>
      <c r="B137" s="40"/>
      <c r="C137" s="141" t="s">
        <v>739</v>
      </c>
      <c r="D137" s="648" t="s">
        <v>612</v>
      </c>
      <c r="E137" s="649"/>
      <c r="F137" s="649"/>
      <c r="G137" s="281"/>
      <c r="H137" s="647"/>
      <c r="I137" s="235"/>
      <c r="J137" s="581"/>
      <c r="K137" s="581"/>
      <c r="L137" s="582"/>
      <c r="M137" s="593">
        <f t="shared" ref="M137:M138" si="103">SUM(J137:L137)</f>
        <v>0</v>
      </c>
      <c r="N137" s="111"/>
      <c r="O137" s="111"/>
      <c r="P137" s="111"/>
      <c r="Q137" s="111"/>
      <c r="R137" s="111"/>
      <c r="S137" s="111"/>
      <c r="T137" s="111"/>
      <c r="U137" s="111"/>
      <c r="V137" s="111"/>
      <c r="W137" s="391">
        <f t="shared" ref="W137:W138" si="104">J137+K137+N137+Q137+T137</f>
        <v>0</v>
      </c>
      <c r="X137" s="17">
        <f t="shared" ref="X137:X138" si="105">L137+O137+R137+U137</f>
        <v>0</v>
      </c>
      <c r="Y137" s="18">
        <f t="shared" ref="Y137:Y138" si="106">SUM(W137:X137)</f>
        <v>0</v>
      </c>
      <c r="Z137" s="19">
        <f>IF(Y$139=0,0,Y137/Y$139)</f>
        <v>0</v>
      </c>
      <c r="AA137" s="19"/>
      <c r="AB137" s="19"/>
      <c r="AC137" s="20"/>
      <c r="AE137" s="17"/>
      <c r="AF137" s="17"/>
      <c r="AG137" s="17"/>
      <c r="AH137" s="18">
        <f>J137</f>
        <v>0</v>
      </c>
      <c r="AI137" s="19">
        <f>IF(AH$139=0,0,AH137/AH$139)</f>
        <v>0</v>
      </c>
      <c r="AK137" s="17"/>
      <c r="AL137" s="17"/>
      <c r="AM137" s="17"/>
      <c r="AN137" s="18">
        <f>K137</f>
        <v>0</v>
      </c>
      <c r="AO137" s="19">
        <f>IF(AN$139=0,0,AN137/AN$139)</f>
        <v>0</v>
      </c>
      <c r="AQ137" s="17"/>
      <c r="AR137" s="17"/>
      <c r="AS137" s="17"/>
      <c r="AT137" s="18">
        <f t="shared" ref="AT137:AT138" si="107">W137</f>
        <v>0</v>
      </c>
      <c r="AU137" s="19">
        <f>IF(AT$139=0,0,AT137/AT$139)</f>
        <v>0</v>
      </c>
      <c r="AW137" s="17"/>
      <c r="AX137" s="17"/>
      <c r="AY137" s="17"/>
      <c r="AZ137" s="424">
        <f>X137</f>
        <v>0</v>
      </c>
      <c r="BA137" s="19">
        <f>IF(AZ$139=0,0,AZ137/AZ$139)</f>
        <v>0</v>
      </c>
    </row>
    <row r="138" spans="1:53" ht="17.100000000000001" customHeight="1" x14ac:dyDescent="0.25">
      <c r="A138" s="40"/>
      <c r="B138" s="40"/>
      <c r="C138" s="141" t="s">
        <v>740</v>
      </c>
      <c r="D138" s="648" t="s">
        <v>564</v>
      </c>
      <c r="E138" s="649"/>
      <c r="F138" s="649"/>
      <c r="G138" s="281"/>
      <c r="H138" s="647"/>
      <c r="I138" s="235"/>
      <c r="J138" s="583"/>
      <c r="K138" s="583"/>
      <c r="L138" s="584"/>
      <c r="M138" s="593">
        <f t="shared" si="103"/>
        <v>0</v>
      </c>
      <c r="N138" s="111"/>
      <c r="O138" s="111"/>
      <c r="P138" s="111"/>
      <c r="Q138" s="111"/>
      <c r="R138" s="111"/>
      <c r="S138" s="111"/>
      <c r="T138" s="111"/>
      <c r="U138" s="111"/>
      <c r="V138" s="111"/>
      <c r="W138" s="391">
        <f t="shared" si="104"/>
        <v>0</v>
      </c>
      <c r="X138" s="17">
        <f t="shared" si="105"/>
        <v>0</v>
      </c>
      <c r="Y138" s="18">
        <f t="shared" si="106"/>
        <v>0</v>
      </c>
      <c r="Z138" s="19">
        <f t="shared" ref="Z138:Z139" si="108">IF(Y$139=0,0,Y138/Y$139)</f>
        <v>0</v>
      </c>
      <c r="AA138" s="19"/>
      <c r="AB138" s="19"/>
      <c r="AC138" s="20"/>
      <c r="AE138" s="17"/>
      <c r="AF138" s="17"/>
      <c r="AG138" s="17"/>
      <c r="AH138" s="18">
        <f>J138</f>
        <v>0</v>
      </c>
      <c r="AI138" s="19">
        <f t="shared" ref="AI138:AI139" si="109">IF(AH$139=0,0,AH138/AH$139)</f>
        <v>0</v>
      </c>
      <c r="AK138" s="17"/>
      <c r="AL138" s="17"/>
      <c r="AM138" s="17"/>
      <c r="AN138" s="18">
        <f>K138</f>
        <v>0</v>
      </c>
      <c r="AO138" s="19">
        <f t="shared" ref="AO138:AO139" si="110">IF(AN$139=0,0,AN138/AN$139)</f>
        <v>0</v>
      </c>
      <c r="AQ138" s="17"/>
      <c r="AR138" s="17"/>
      <c r="AS138" s="17"/>
      <c r="AT138" s="18">
        <f t="shared" si="107"/>
        <v>0</v>
      </c>
      <c r="AU138" s="19">
        <f t="shared" ref="AU138:AU139" si="111">IF(AT$139=0,0,AT138/AT$139)</f>
        <v>0</v>
      </c>
      <c r="AW138" s="17"/>
      <c r="AX138" s="17"/>
      <c r="AY138" s="17"/>
      <c r="AZ138" s="424">
        <f>X138</f>
        <v>0</v>
      </c>
      <c r="BA138" s="19">
        <f t="shared" ref="BA138:BA139" si="112">IF(AZ$139=0,0,AZ138/AZ$139)</f>
        <v>0</v>
      </c>
    </row>
    <row r="139" spans="1:53" ht="16.5" customHeight="1" x14ac:dyDescent="0.25">
      <c r="A139" s="40"/>
      <c r="B139" s="40"/>
      <c r="C139" s="77"/>
      <c r="D139" s="144"/>
      <c r="E139" s="144"/>
      <c r="F139" s="145"/>
      <c r="G139" s="283"/>
      <c r="H139" s="119"/>
      <c r="I139" s="236"/>
      <c r="J139" s="64">
        <f>SUM(J137:J138)</f>
        <v>0</v>
      </c>
      <c r="K139" s="64">
        <f t="shared" ref="K139:M139" si="113">SUM(K137:K138)</f>
        <v>0</v>
      </c>
      <c r="L139" s="64">
        <f t="shared" si="113"/>
        <v>0</v>
      </c>
      <c r="M139" s="64">
        <f t="shared" si="113"/>
        <v>0</v>
      </c>
      <c r="N139" s="81"/>
      <c r="O139" s="81"/>
      <c r="P139" s="81"/>
      <c r="Q139" s="81"/>
      <c r="R139" s="81"/>
      <c r="S139" s="81"/>
      <c r="T139" s="81"/>
      <c r="U139" s="81"/>
      <c r="V139" s="81"/>
      <c r="W139" s="82">
        <f>SUM(W137:W138)</f>
        <v>0</v>
      </c>
      <c r="X139" s="82">
        <f t="shared" ref="X139:Y139" si="114">SUM(X137:X138)</f>
        <v>0</v>
      </c>
      <c r="Y139" s="82">
        <f t="shared" si="114"/>
        <v>0</v>
      </c>
      <c r="Z139" s="205">
        <f t="shared" si="108"/>
        <v>0</v>
      </c>
      <c r="AA139" s="205"/>
      <c r="AB139" s="205"/>
      <c r="AC139" s="83"/>
      <c r="AE139" s="81"/>
      <c r="AF139" s="81"/>
      <c r="AG139" s="82"/>
      <c r="AH139" s="324">
        <f>SUM(AH137:AH138)</f>
        <v>0</v>
      </c>
      <c r="AI139" s="66">
        <f t="shared" si="109"/>
        <v>0</v>
      </c>
      <c r="AK139" s="81"/>
      <c r="AL139" s="81"/>
      <c r="AM139" s="82"/>
      <c r="AN139" s="324">
        <f>SUM(AN137:AN138)</f>
        <v>0</v>
      </c>
      <c r="AO139" s="66">
        <f t="shared" si="110"/>
        <v>0</v>
      </c>
      <c r="AQ139" s="81"/>
      <c r="AR139" s="81"/>
      <c r="AS139" s="82"/>
      <c r="AT139" s="324">
        <f>SUM(AT137:AT138)</f>
        <v>0</v>
      </c>
      <c r="AU139" s="66">
        <f t="shared" si="111"/>
        <v>0</v>
      </c>
      <c r="AW139" s="81"/>
      <c r="AX139" s="81"/>
      <c r="AY139" s="82"/>
      <c r="AZ139" s="324">
        <f>SUM(AZ137:AZ138)</f>
        <v>0</v>
      </c>
      <c r="BA139" s="66">
        <f t="shared" si="112"/>
        <v>0</v>
      </c>
    </row>
    <row r="140" spans="1:53" s="117" customFormat="1" ht="17.100000000000001" customHeight="1" x14ac:dyDescent="0.25">
      <c r="A140" s="119"/>
      <c r="B140" s="119"/>
      <c r="C140" s="647"/>
      <c r="D140" s="212"/>
      <c r="E140" s="212"/>
      <c r="F140" s="212"/>
      <c r="G140" s="212"/>
      <c r="H140" s="242"/>
      <c r="I140" s="230"/>
      <c r="J140" s="17" t="str">
        <f>IF(J139=J$15,"OK","NOK")</f>
        <v>OK</v>
      </c>
      <c r="K140" s="17" t="str">
        <f t="shared" ref="K140:L140" si="115">IF(K139=K$15,"OK","NOK")</f>
        <v>OK</v>
      </c>
      <c r="L140" s="17" t="str">
        <f t="shared" si="115"/>
        <v>OK</v>
      </c>
      <c r="M140" s="17"/>
      <c r="N140" s="17"/>
      <c r="O140" s="17"/>
      <c r="P140" s="17"/>
      <c r="Q140" s="17"/>
      <c r="R140" s="17"/>
      <c r="S140" s="17"/>
      <c r="T140" s="17"/>
      <c r="U140" s="17"/>
      <c r="V140" s="17"/>
      <c r="W140" s="646"/>
      <c r="X140" s="646"/>
      <c r="Y140" s="646"/>
      <c r="Z140" s="201"/>
      <c r="AA140" s="201"/>
      <c r="AB140" s="201"/>
      <c r="AC140" s="84"/>
      <c r="AE140" s="84"/>
      <c r="AF140" s="84"/>
      <c r="AG140" s="84"/>
      <c r="AH140" s="84"/>
      <c r="AI140" s="84"/>
      <c r="AK140" s="84"/>
      <c r="AL140" s="84"/>
      <c r="AM140" s="84"/>
      <c r="AN140" s="84"/>
      <c r="AO140" s="84"/>
      <c r="AW140" s="84"/>
      <c r="AX140" s="84"/>
      <c r="AY140" s="84"/>
      <c r="AZ140" s="84"/>
      <c r="BA140" s="84"/>
    </row>
    <row r="141" spans="1:53" ht="17.100000000000001" customHeight="1" x14ac:dyDescent="0.25">
      <c r="A141" s="40"/>
      <c r="B141" s="41" t="s">
        <v>102</v>
      </c>
      <c r="C141" s="42" t="s">
        <v>563</v>
      </c>
      <c r="D141" s="43"/>
      <c r="E141" s="43"/>
      <c r="F141" s="43"/>
      <c r="G141" s="44"/>
      <c r="H141" s="242"/>
      <c r="I141" s="229"/>
      <c r="J141" s="71"/>
      <c r="K141" s="71"/>
      <c r="L141" s="71"/>
      <c r="M141" s="71"/>
      <c r="N141" s="71"/>
      <c r="O141" s="71"/>
      <c r="P141" s="71"/>
      <c r="Q141" s="71"/>
      <c r="R141" s="71"/>
      <c r="S141" s="71"/>
      <c r="T141" s="71"/>
      <c r="U141" s="71"/>
      <c r="V141" s="71"/>
      <c r="W141" s="71"/>
      <c r="X141" s="71"/>
      <c r="Y141" s="71"/>
      <c r="Z141" s="73"/>
      <c r="AA141" s="73"/>
      <c r="AB141" s="73"/>
      <c r="AC141" s="73"/>
      <c r="AE141" s="71"/>
      <c r="AF141" s="71"/>
      <c r="AG141" s="73"/>
      <c r="AH141" s="73"/>
      <c r="AI141" s="73"/>
      <c r="AK141" s="71"/>
      <c r="AL141" s="71"/>
      <c r="AM141" s="73"/>
      <c r="AN141" s="73"/>
      <c r="AO141" s="73"/>
      <c r="AQ141" s="71"/>
      <c r="AR141" s="71"/>
      <c r="AS141" s="73"/>
      <c r="AT141" s="73"/>
      <c r="AU141" s="73"/>
      <c r="AW141" s="71"/>
      <c r="AX141" s="71"/>
      <c r="AY141" s="73"/>
      <c r="AZ141" s="73"/>
      <c r="BA141" s="73"/>
    </row>
    <row r="142" spans="1:53" s="117" customFormat="1" ht="17.100000000000001" customHeight="1" x14ac:dyDescent="0.25">
      <c r="A142" s="119"/>
      <c r="B142" s="40"/>
      <c r="C142" s="141" t="s">
        <v>104</v>
      </c>
      <c r="D142" s="85" t="s">
        <v>612</v>
      </c>
      <c r="E142" s="75"/>
      <c r="F142" s="75"/>
      <c r="G142" s="650"/>
      <c r="H142" s="242"/>
      <c r="I142" s="230"/>
      <c r="J142" s="111"/>
      <c r="K142" s="111"/>
      <c r="L142" s="111"/>
      <c r="M142" s="111"/>
      <c r="N142" s="60"/>
      <c r="O142" s="60"/>
      <c r="P142" s="593">
        <f t="shared" ref="P142:P144" si="116">SUM(N142:O142)</f>
        <v>0</v>
      </c>
      <c r="Q142" s="60"/>
      <c r="R142" s="60">
        <v>1</v>
      </c>
      <c r="S142" s="593">
        <f t="shared" ref="S142:S144" si="117">SUM(Q142:R142)</f>
        <v>1</v>
      </c>
      <c r="T142" s="60"/>
      <c r="U142" s="60"/>
      <c r="V142" s="593">
        <f t="shared" ref="V142:V144" si="118">SUM(T142:U142)</f>
        <v>0</v>
      </c>
      <c r="W142" s="391">
        <f t="shared" ref="W142:W144" si="119">J142+K142+N142+Q142+T142</f>
        <v>0</v>
      </c>
      <c r="X142" s="17">
        <f t="shared" ref="X142:X144" si="120">L142+O142+R142+U142</f>
        <v>1</v>
      </c>
      <c r="Y142" s="18">
        <f>SUM(W142:X142)</f>
        <v>1</v>
      </c>
      <c r="Z142" s="19">
        <f>IF(Y$145=0,0,Y142/Y$145)</f>
        <v>0.14285714285714285</v>
      </c>
      <c r="AA142" s="201"/>
      <c r="AB142" s="201"/>
      <c r="AC142" s="84"/>
      <c r="AE142" s="113"/>
      <c r="AF142" s="113"/>
      <c r="AG142" s="113"/>
      <c r="AH142" s="113"/>
      <c r="AI142" s="113"/>
      <c r="AK142" s="113"/>
      <c r="AL142" s="113"/>
      <c r="AM142" s="113"/>
      <c r="AN142" s="113"/>
      <c r="AO142" s="113"/>
      <c r="AQ142" s="84"/>
      <c r="AR142" s="84"/>
      <c r="AS142" s="84"/>
      <c r="AT142" s="17">
        <f>W142</f>
        <v>0</v>
      </c>
      <c r="AU142" s="19">
        <f>IF(AT$145=0,0,AT142/AT$145)</f>
        <v>0</v>
      </c>
      <c r="AW142" s="84"/>
      <c r="AX142" s="84"/>
      <c r="AY142" s="84"/>
      <c r="AZ142" s="424">
        <f t="shared" ref="AZ142:AZ144" si="121">X142</f>
        <v>1</v>
      </c>
      <c r="BA142" s="19">
        <f>IF(AZ$145=0,0,AZ142/AZ$145)</f>
        <v>0.14285714285714285</v>
      </c>
    </row>
    <row r="143" spans="1:53" s="117" customFormat="1" ht="17.100000000000001" customHeight="1" x14ac:dyDescent="0.25">
      <c r="A143" s="119"/>
      <c r="B143" s="40"/>
      <c r="C143" s="141" t="s">
        <v>105</v>
      </c>
      <c r="D143" s="85" t="s">
        <v>741</v>
      </c>
      <c r="E143" s="75"/>
      <c r="F143" s="75"/>
      <c r="G143" s="650"/>
      <c r="H143" s="242"/>
      <c r="I143" s="230"/>
      <c r="J143" s="111"/>
      <c r="K143" s="111"/>
      <c r="L143" s="111"/>
      <c r="M143" s="111"/>
      <c r="N143" s="61"/>
      <c r="O143" s="61"/>
      <c r="P143" s="593">
        <f t="shared" si="116"/>
        <v>0</v>
      </c>
      <c r="Q143" s="61"/>
      <c r="R143" s="61">
        <v>6</v>
      </c>
      <c r="S143" s="593">
        <f t="shared" si="117"/>
        <v>6</v>
      </c>
      <c r="T143" s="61"/>
      <c r="U143" s="61"/>
      <c r="V143" s="593">
        <f t="shared" si="118"/>
        <v>0</v>
      </c>
      <c r="W143" s="391">
        <f t="shared" si="119"/>
        <v>0</v>
      </c>
      <c r="X143" s="17">
        <f t="shared" si="120"/>
        <v>6</v>
      </c>
      <c r="Y143" s="18">
        <f t="shared" ref="Y143:Y144" si="122">SUM(W143:X143)</f>
        <v>6</v>
      </c>
      <c r="Z143" s="19">
        <f>IF(Y$145=0,0,Y143/Y$145)</f>
        <v>0.8571428571428571</v>
      </c>
      <c r="AA143" s="201"/>
      <c r="AB143" s="201"/>
      <c r="AC143" s="84"/>
      <c r="AE143" s="113"/>
      <c r="AF143" s="113"/>
      <c r="AG143" s="113"/>
      <c r="AH143" s="113"/>
      <c r="AI143" s="113"/>
      <c r="AK143" s="113"/>
      <c r="AL143" s="113"/>
      <c r="AM143" s="113"/>
      <c r="AN143" s="113"/>
      <c r="AO143" s="113"/>
      <c r="AQ143" s="84"/>
      <c r="AR143" s="84"/>
      <c r="AS143" s="84"/>
      <c r="AT143" s="17">
        <f t="shared" ref="AT143:AT144" si="123">W143</f>
        <v>0</v>
      </c>
      <c r="AU143" s="19">
        <f>IF(AT$145=0,0,AT143/AT$145)</f>
        <v>0</v>
      </c>
      <c r="AW143" s="84"/>
      <c r="AX143" s="84"/>
      <c r="AY143" s="84"/>
      <c r="AZ143" s="424">
        <f t="shared" si="121"/>
        <v>6</v>
      </c>
      <c r="BA143" s="19">
        <f>IF(AZ$145=0,0,AZ143/AZ$145)</f>
        <v>0.8571428571428571</v>
      </c>
    </row>
    <row r="144" spans="1:53" s="117" customFormat="1" ht="17.100000000000001" customHeight="1" x14ac:dyDescent="0.25">
      <c r="A144" s="119"/>
      <c r="B144" s="40"/>
      <c r="C144" s="141" t="s">
        <v>106</v>
      </c>
      <c r="D144" s="85" t="s">
        <v>742</v>
      </c>
      <c r="E144" s="75"/>
      <c r="F144" s="75"/>
      <c r="G144" s="650"/>
      <c r="H144" s="242"/>
      <c r="I144" s="230"/>
      <c r="J144" s="111"/>
      <c r="K144" s="111"/>
      <c r="L144" s="111"/>
      <c r="M144" s="111"/>
      <c r="N144" s="60"/>
      <c r="O144" s="60"/>
      <c r="P144" s="593">
        <f t="shared" si="116"/>
        <v>0</v>
      </c>
      <c r="Q144" s="60"/>
      <c r="R144" s="60"/>
      <c r="S144" s="593">
        <f t="shared" si="117"/>
        <v>0</v>
      </c>
      <c r="T144" s="60"/>
      <c r="U144" s="60"/>
      <c r="V144" s="593">
        <f t="shared" si="118"/>
        <v>0</v>
      </c>
      <c r="W144" s="391">
        <f t="shared" si="119"/>
        <v>0</v>
      </c>
      <c r="X144" s="17">
        <f t="shared" si="120"/>
        <v>0</v>
      </c>
      <c r="Y144" s="18">
        <f t="shared" si="122"/>
        <v>0</v>
      </c>
      <c r="Z144" s="19">
        <f>IF(Y$145=0,0,Y144/Y$145)</f>
        <v>0</v>
      </c>
      <c r="AA144" s="201"/>
      <c r="AB144" s="201"/>
      <c r="AC144" s="84"/>
      <c r="AE144" s="113"/>
      <c r="AF144" s="113"/>
      <c r="AG144" s="113"/>
      <c r="AH144" s="113"/>
      <c r="AI144" s="113"/>
      <c r="AK144" s="113"/>
      <c r="AL144" s="113"/>
      <c r="AM144" s="113"/>
      <c r="AN144" s="113"/>
      <c r="AO144" s="113"/>
      <c r="AQ144" s="84"/>
      <c r="AR144" s="84"/>
      <c r="AS144" s="84"/>
      <c r="AT144" s="17">
        <f t="shared" si="123"/>
        <v>0</v>
      </c>
      <c r="AU144" s="19">
        <f>IF(AT$145=0,0,AT144/AT$145)</f>
        <v>0</v>
      </c>
      <c r="AW144" s="84"/>
      <c r="AX144" s="84"/>
      <c r="AY144" s="84"/>
      <c r="AZ144" s="424">
        <f t="shared" si="121"/>
        <v>0</v>
      </c>
      <c r="BA144" s="19">
        <f>IF(AZ$145=0,0,AZ144/AZ$145)</f>
        <v>0</v>
      </c>
    </row>
    <row r="145" spans="1:53" ht="16.5" customHeight="1" x14ac:dyDescent="0.25">
      <c r="A145" s="40"/>
      <c r="B145" s="40"/>
      <c r="C145" s="77"/>
      <c r="D145" s="144"/>
      <c r="E145" s="144"/>
      <c r="F145" s="145"/>
      <c r="G145" s="283"/>
      <c r="H145" s="119"/>
      <c r="I145" s="236"/>
      <c r="J145" s="64"/>
      <c r="K145" s="64"/>
      <c r="L145" s="64"/>
      <c r="M145" s="64"/>
      <c r="N145" s="81">
        <f t="shared" ref="N145:Y145" si="124">SUM(N142:N144)</f>
        <v>0</v>
      </c>
      <c r="O145" s="81">
        <f t="shared" si="124"/>
        <v>0</v>
      </c>
      <c r="P145" s="81">
        <f t="shared" si="124"/>
        <v>0</v>
      </c>
      <c r="Q145" s="81">
        <f t="shared" si="124"/>
        <v>0</v>
      </c>
      <c r="R145" s="81">
        <f t="shared" si="124"/>
        <v>7</v>
      </c>
      <c r="S145" s="81">
        <f t="shared" si="124"/>
        <v>7</v>
      </c>
      <c r="T145" s="81">
        <f t="shared" si="124"/>
        <v>0</v>
      </c>
      <c r="U145" s="81">
        <f t="shared" si="124"/>
        <v>0</v>
      </c>
      <c r="V145" s="356">
        <f t="shared" si="124"/>
        <v>0</v>
      </c>
      <c r="W145" s="381">
        <f t="shared" si="124"/>
        <v>0</v>
      </c>
      <c r="X145" s="82">
        <f t="shared" si="124"/>
        <v>7</v>
      </c>
      <c r="Y145" s="82">
        <f t="shared" si="124"/>
        <v>7</v>
      </c>
      <c r="Z145" s="205">
        <f>IF(Y$145=0,0,Y145/Y$145)</f>
        <v>1</v>
      </c>
      <c r="AA145" s="205"/>
      <c r="AB145" s="205"/>
      <c r="AC145" s="83"/>
      <c r="AE145" s="81"/>
      <c r="AF145" s="81"/>
      <c r="AG145" s="82"/>
      <c r="AH145" s="324"/>
      <c r="AI145" s="66"/>
      <c r="AK145" s="81"/>
      <c r="AL145" s="81"/>
      <c r="AM145" s="82"/>
      <c r="AN145" s="324"/>
      <c r="AO145" s="66"/>
      <c r="AQ145" s="81"/>
      <c r="AR145" s="81"/>
      <c r="AS145" s="82"/>
      <c r="AT145" s="324">
        <f>SUM(AT142:AT144)</f>
        <v>0</v>
      </c>
      <c r="AU145" s="66">
        <f>IF(AT$145=0,0,AT145/AT$145)</f>
        <v>0</v>
      </c>
      <c r="AW145" s="81"/>
      <c r="AX145" s="81"/>
      <c r="AY145" s="82"/>
      <c r="AZ145" s="324">
        <f>SUM(AZ142:AZ144)</f>
        <v>7</v>
      </c>
      <c r="BA145" s="66">
        <f>IF(AZ$145=0,0,AZ145/AZ$145)</f>
        <v>1</v>
      </c>
    </row>
    <row r="146" spans="1:53" s="117" customFormat="1" ht="17.100000000000001" customHeight="1" x14ac:dyDescent="0.25">
      <c r="A146" s="119"/>
      <c r="B146" s="119"/>
      <c r="C146" s="647"/>
      <c r="D146" s="212"/>
      <c r="E146" s="212"/>
      <c r="F146" s="212"/>
      <c r="G146" s="212"/>
      <c r="H146" s="242"/>
      <c r="I146" s="230"/>
      <c r="J146" s="17"/>
      <c r="K146" s="17"/>
      <c r="L146" s="17"/>
      <c r="M146" s="17"/>
      <c r="N146" s="17" t="str">
        <f>IF(N145=N$20,"OK","NOK")</f>
        <v>OK</v>
      </c>
      <c r="O146" s="17" t="str">
        <f>IF(O145=O$20,"OK","NOK")</f>
        <v>OK</v>
      </c>
      <c r="P146" s="17"/>
      <c r="Q146" s="17" t="str">
        <f>IF(Q145=Q$20,"OK","NOK")</f>
        <v>OK</v>
      </c>
      <c r="R146" s="17" t="str">
        <f>IF(R145=R$20,"OK","NOK")</f>
        <v>OK</v>
      </c>
      <c r="S146" s="17"/>
      <c r="T146" s="17" t="str">
        <f>IF(T145=T$20,"OK","NOK")</f>
        <v>OK</v>
      </c>
      <c r="U146" s="17" t="str">
        <f>IF(U145=U$20,"OK","NOK")</f>
        <v>OK</v>
      </c>
      <c r="V146" s="359"/>
      <c r="W146" s="382"/>
      <c r="X146" s="646"/>
      <c r="Y146" s="646"/>
      <c r="Z146" s="201"/>
      <c r="AA146" s="201"/>
      <c r="AB146" s="201"/>
      <c r="AC146" s="84"/>
      <c r="AE146" s="17"/>
      <c r="AF146" s="17"/>
      <c r="AG146" s="17"/>
      <c r="AH146" s="646"/>
      <c r="AI146" s="91"/>
      <c r="AK146" s="17"/>
      <c r="AL146" s="17"/>
      <c r="AM146" s="17"/>
      <c r="AN146" s="646"/>
      <c r="AO146" s="91"/>
      <c r="AQ146" s="17"/>
      <c r="AR146" s="17"/>
      <c r="AS146" s="17"/>
      <c r="AT146" s="646"/>
      <c r="AU146" s="91"/>
      <c r="AW146" s="17"/>
      <c r="AX146" s="17"/>
      <c r="AY146" s="17"/>
      <c r="AZ146" s="17"/>
      <c r="BA146" s="91"/>
    </row>
    <row r="147" spans="1:53" ht="17.100000000000001" customHeight="1" x14ac:dyDescent="0.25">
      <c r="A147" s="40"/>
      <c r="B147" s="41" t="s">
        <v>110</v>
      </c>
      <c r="C147" s="42" t="s">
        <v>565</v>
      </c>
      <c r="D147" s="43"/>
      <c r="E147" s="43"/>
      <c r="F147" s="43"/>
      <c r="G147" s="44"/>
      <c r="H147" s="23"/>
      <c r="I147" s="229"/>
      <c r="J147" s="71"/>
      <c r="K147" s="71"/>
      <c r="L147" s="71"/>
      <c r="M147" s="71"/>
      <c r="N147" s="71"/>
      <c r="O147" s="71"/>
      <c r="P147" s="71"/>
      <c r="Q147" s="71"/>
      <c r="R147" s="71"/>
      <c r="S147" s="71"/>
      <c r="T147" s="71"/>
      <c r="U147" s="71"/>
      <c r="V147" s="71"/>
      <c r="W147" s="71"/>
      <c r="X147" s="71"/>
      <c r="Y147" s="71"/>
      <c r="Z147" s="73"/>
      <c r="AA147" s="73"/>
      <c r="AB147" s="73"/>
      <c r="AC147" s="73"/>
      <c r="AE147" s="71"/>
      <c r="AF147" s="71"/>
      <c r="AG147" s="73"/>
      <c r="AH147" s="73"/>
      <c r="AI147" s="73"/>
      <c r="AK147" s="71"/>
      <c r="AL147" s="71"/>
      <c r="AM147" s="73"/>
      <c r="AN147" s="73"/>
      <c r="AO147" s="73"/>
      <c r="AQ147" s="71"/>
      <c r="AR147" s="71"/>
      <c r="AS147" s="73"/>
      <c r="AT147" s="73"/>
      <c r="AU147" s="73"/>
      <c r="AW147" s="71"/>
      <c r="AX147" s="71"/>
      <c r="AY147" s="73"/>
      <c r="AZ147" s="73"/>
      <c r="BA147" s="73"/>
    </row>
    <row r="148" spans="1:53" ht="17.100000000000001" customHeight="1" x14ac:dyDescent="0.25">
      <c r="A148" s="40"/>
      <c r="B148" s="40"/>
      <c r="C148" s="141" t="s">
        <v>112</v>
      </c>
      <c r="D148" s="85" t="s">
        <v>566</v>
      </c>
      <c r="E148" s="75"/>
      <c r="F148" s="75"/>
      <c r="G148" s="76"/>
      <c r="H148" s="23"/>
      <c r="I148" s="229"/>
      <c r="J148" s="174"/>
      <c r="K148" s="174"/>
      <c r="L148" s="111"/>
      <c r="M148" s="111"/>
      <c r="N148" s="60"/>
      <c r="O148" s="60"/>
      <c r="P148" s="593">
        <f t="shared" ref="P148:P150" si="125">SUM(N148:O148)</f>
        <v>0</v>
      </c>
      <c r="Q148" s="60"/>
      <c r="R148" s="60"/>
      <c r="S148" s="593">
        <f t="shared" ref="S148:S150" si="126">SUM(Q148:R148)</f>
        <v>0</v>
      </c>
      <c r="T148" s="60"/>
      <c r="U148" s="60"/>
      <c r="V148" s="593">
        <f t="shared" ref="V148:V150" si="127">SUM(T148:U148)</f>
        <v>0</v>
      </c>
      <c r="W148" s="391">
        <f t="shared" ref="W148:W150" si="128">J148+K148+N148+Q148+T148</f>
        <v>0</v>
      </c>
      <c r="X148" s="17">
        <f t="shared" ref="X148:X150" si="129">L148+O148+R148+U148</f>
        <v>0</v>
      </c>
      <c r="Y148" s="18">
        <f t="shared" ref="Y148:Y150" si="130">SUM(W148:X148)</f>
        <v>0</v>
      </c>
      <c r="Z148" s="19">
        <f>IF(Y$151=0,0,Y148/Y$151)</f>
        <v>0</v>
      </c>
      <c r="AA148" s="19"/>
      <c r="AB148" s="19"/>
      <c r="AC148" s="20"/>
      <c r="AE148" s="111"/>
      <c r="AF148" s="111"/>
      <c r="AG148" s="111"/>
      <c r="AH148" s="651"/>
      <c r="AI148" s="131"/>
      <c r="AK148" s="111"/>
      <c r="AL148" s="111"/>
      <c r="AM148" s="111"/>
      <c r="AN148" s="651"/>
      <c r="AO148" s="131"/>
      <c r="AQ148" s="17"/>
      <c r="AR148" s="17"/>
      <c r="AS148" s="17"/>
      <c r="AT148" s="17">
        <f t="shared" ref="AT148:AT150" si="131">W148</f>
        <v>0</v>
      </c>
      <c r="AU148" s="19">
        <f>IF(AT$151=0,0,AT148/AT$151)</f>
        <v>0</v>
      </c>
      <c r="AW148" s="17"/>
      <c r="AX148" s="17"/>
      <c r="AY148" s="17"/>
      <c r="AZ148" s="424">
        <f>X148</f>
        <v>0</v>
      </c>
      <c r="BA148" s="19">
        <f>IF(AZ$151=0,0,AZ148/AZ$151)</f>
        <v>0</v>
      </c>
    </row>
    <row r="149" spans="1:53" ht="17.100000000000001" customHeight="1" x14ac:dyDescent="0.25">
      <c r="A149" s="40"/>
      <c r="B149" s="40"/>
      <c r="C149" s="141" t="s">
        <v>114</v>
      </c>
      <c r="D149" s="85" t="s">
        <v>567</v>
      </c>
      <c r="E149" s="75"/>
      <c r="F149" s="75"/>
      <c r="G149" s="76"/>
      <c r="H149" s="23"/>
      <c r="I149" s="229"/>
      <c r="J149" s="174"/>
      <c r="K149" s="174"/>
      <c r="L149" s="111"/>
      <c r="M149" s="111"/>
      <c r="N149" s="61"/>
      <c r="O149" s="61"/>
      <c r="P149" s="593">
        <f t="shared" si="125"/>
        <v>0</v>
      </c>
      <c r="Q149" s="61"/>
      <c r="R149" s="61"/>
      <c r="S149" s="593">
        <f t="shared" si="126"/>
        <v>0</v>
      </c>
      <c r="T149" s="61"/>
      <c r="U149" s="61"/>
      <c r="V149" s="593">
        <f t="shared" si="127"/>
        <v>0</v>
      </c>
      <c r="W149" s="391">
        <f t="shared" si="128"/>
        <v>0</v>
      </c>
      <c r="X149" s="17">
        <f t="shared" si="129"/>
        <v>0</v>
      </c>
      <c r="Y149" s="18">
        <f t="shared" si="130"/>
        <v>0</v>
      </c>
      <c r="Z149" s="19">
        <f t="shared" ref="Z149:Z151" si="132">IF(Y$151=0,0,Y149/Y$151)</f>
        <v>0</v>
      </c>
      <c r="AA149" s="19"/>
      <c r="AB149" s="19"/>
      <c r="AC149" s="20"/>
      <c r="AE149" s="111"/>
      <c r="AF149" s="111"/>
      <c r="AG149" s="111"/>
      <c r="AH149" s="651"/>
      <c r="AI149" s="131"/>
      <c r="AK149" s="111"/>
      <c r="AL149" s="111"/>
      <c r="AM149" s="111"/>
      <c r="AN149" s="651"/>
      <c r="AO149" s="131"/>
      <c r="AQ149" s="17"/>
      <c r="AR149" s="17"/>
      <c r="AS149" s="17"/>
      <c r="AT149" s="17">
        <f t="shared" si="131"/>
        <v>0</v>
      </c>
      <c r="AU149" s="19">
        <f t="shared" ref="AU149:AU151" si="133">IF(AT$151=0,0,AT149/AT$151)</f>
        <v>0</v>
      </c>
      <c r="AW149" s="17"/>
      <c r="AX149" s="17"/>
      <c r="AY149" s="17"/>
      <c r="AZ149" s="424">
        <f t="shared" ref="AZ149:AZ150" si="134">X149</f>
        <v>0</v>
      </c>
      <c r="BA149" s="19">
        <f t="shared" ref="BA149:BA151" si="135">IF(AZ$151=0,0,AZ149/AZ$151)</f>
        <v>0</v>
      </c>
    </row>
    <row r="150" spans="1:53" ht="17.100000000000001" customHeight="1" x14ac:dyDescent="0.25">
      <c r="A150" s="40"/>
      <c r="B150" s="40"/>
      <c r="C150" s="141" t="s">
        <v>568</v>
      </c>
      <c r="D150" s="85" t="s">
        <v>614</v>
      </c>
      <c r="E150" s="649"/>
      <c r="F150" s="649"/>
      <c r="G150" s="281"/>
      <c r="H150" s="254"/>
      <c r="I150" s="235"/>
      <c r="J150" s="111"/>
      <c r="K150" s="111"/>
      <c r="L150" s="111"/>
      <c r="M150" s="111"/>
      <c r="N150" s="60"/>
      <c r="O150" s="60"/>
      <c r="P150" s="593">
        <f t="shared" si="125"/>
        <v>0</v>
      </c>
      <c r="Q150" s="60"/>
      <c r="R150" s="60">
        <v>7</v>
      </c>
      <c r="S150" s="593">
        <f t="shared" si="126"/>
        <v>7</v>
      </c>
      <c r="T150" s="60"/>
      <c r="U150" s="60"/>
      <c r="V150" s="593">
        <f t="shared" si="127"/>
        <v>0</v>
      </c>
      <c r="W150" s="391">
        <f t="shared" si="128"/>
        <v>0</v>
      </c>
      <c r="X150" s="17">
        <f t="shared" si="129"/>
        <v>7</v>
      </c>
      <c r="Y150" s="18">
        <f t="shared" si="130"/>
        <v>7</v>
      </c>
      <c r="Z150" s="19">
        <f t="shared" si="132"/>
        <v>1</v>
      </c>
      <c r="AA150" s="91"/>
      <c r="AB150" s="91"/>
      <c r="AC150" s="84"/>
      <c r="AE150" s="111"/>
      <c r="AF150" s="111"/>
      <c r="AG150" s="111"/>
      <c r="AH150" s="651"/>
      <c r="AI150" s="131"/>
      <c r="AK150" s="111"/>
      <c r="AL150" s="111"/>
      <c r="AM150" s="111"/>
      <c r="AN150" s="651"/>
      <c r="AO150" s="131"/>
      <c r="AQ150" s="17"/>
      <c r="AR150" s="17"/>
      <c r="AS150" s="17"/>
      <c r="AT150" s="17">
        <f t="shared" si="131"/>
        <v>0</v>
      </c>
      <c r="AU150" s="19">
        <f t="shared" si="133"/>
        <v>0</v>
      </c>
      <c r="AW150" s="17"/>
      <c r="AX150" s="17"/>
      <c r="AY150" s="17"/>
      <c r="AZ150" s="424">
        <f t="shared" si="134"/>
        <v>7</v>
      </c>
      <c r="BA150" s="19">
        <f t="shared" si="135"/>
        <v>1</v>
      </c>
    </row>
    <row r="151" spans="1:53" ht="17.100000000000001" customHeight="1" x14ac:dyDescent="0.25">
      <c r="A151" s="40"/>
      <c r="B151" s="40"/>
      <c r="C151" s="77"/>
      <c r="D151" s="144"/>
      <c r="E151" s="144"/>
      <c r="F151" s="145"/>
      <c r="G151" s="283"/>
      <c r="H151" s="119"/>
      <c r="I151" s="236"/>
      <c r="J151" s="64"/>
      <c r="K151" s="64"/>
      <c r="L151" s="81"/>
      <c r="M151" s="81"/>
      <c r="N151" s="81">
        <f>SUM(N148:N150)</f>
        <v>0</v>
      </c>
      <c r="O151" s="81">
        <f t="shared" ref="O151:Y151" si="136">SUM(O148:O150)</f>
        <v>0</v>
      </c>
      <c r="P151" s="81">
        <f t="shared" si="136"/>
        <v>0</v>
      </c>
      <c r="Q151" s="81">
        <f t="shared" si="136"/>
        <v>0</v>
      </c>
      <c r="R151" s="81">
        <f t="shared" si="136"/>
        <v>7</v>
      </c>
      <c r="S151" s="81">
        <f t="shared" si="136"/>
        <v>7</v>
      </c>
      <c r="T151" s="81">
        <f t="shared" si="136"/>
        <v>0</v>
      </c>
      <c r="U151" s="81">
        <f t="shared" si="136"/>
        <v>0</v>
      </c>
      <c r="V151" s="81">
        <f t="shared" si="136"/>
        <v>0</v>
      </c>
      <c r="W151" s="82">
        <f t="shared" si="136"/>
        <v>0</v>
      </c>
      <c r="X151" s="82">
        <f t="shared" si="136"/>
        <v>7</v>
      </c>
      <c r="Y151" s="82">
        <f t="shared" si="136"/>
        <v>7</v>
      </c>
      <c r="Z151" s="205">
        <f t="shared" si="132"/>
        <v>1</v>
      </c>
      <c r="AA151" s="205"/>
      <c r="AB151" s="205"/>
      <c r="AC151" s="83"/>
      <c r="AE151" s="81"/>
      <c r="AF151" s="81"/>
      <c r="AG151" s="82"/>
      <c r="AH151" s="82"/>
      <c r="AI151" s="66"/>
      <c r="AK151" s="81"/>
      <c r="AL151" s="81"/>
      <c r="AM151" s="82"/>
      <c r="AN151" s="82"/>
      <c r="AO151" s="66"/>
      <c r="AQ151" s="81"/>
      <c r="AR151" s="81"/>
      <c r="AS151" s="82"/>
      <c r="AT151" s="82">
        <f>SUM(AT148:AT150)</f>
        <v>0</v>
      </c>
      <c r="AU151" s="66">
        <f t="shared" si="133"/>
        <v>0</v>
      </c>
      <c r="AW151" s="81"/>
      <c r="AX151" s="81"/>
      <c r="AY151" s="82"/>
      <c r="AZ151" s="82">
        <f>SUM(AZ148:AZ150)</f>
        <v>7</v>
      </c>
      <c r="BA151" s="66">
        <f t="shared" si="135"/>
        <v>1</v>
      </c>
    </row>
    <row r="152" spans="1:53" s="117" customFormat="1" ht="17.100000000000001" customHeight="1" x14ac:dyDescent="0.25">
      <c r="A152" s="119"/>
      <c r="B152" s="119"/>
      <c r="C152" s="647"/>
      <c r="D152" s="212"/>
      <c r="E152" s="212"/>
      <c r="F152" s="212"/>
      <c r="G152" s="212"/>
      <c r="H152" s="242"/>
      <c r="I152" s="230"/>
      <c r="J152" s="17"/>
      <c r="K152" s="17"/>
      <c r="L152" s="17"/>
      <c r="M152" s="17"/>
      <c r="N152" s="17" t="str">
        <f>IF(N151=N$20,"OK","NOK")</f>
        <v>OK</v>
      </c>
      <c r="O152" s="17" t="str">
        <f>IF(O151=O$20,"OK","NOK")</f>
        <v>OK</v>
      </c>
      <c r="P152" s="17"/>
      <c r="Q152" s="17" t="str">
        <f>IF(Q151=Q$20,"OK","NOK")</f>
        <v>OK</v>
      </c>
      <c r="R152" s="17" t="str">
        <f>IF(R151=R$20,"OK","NOK")</f>
        <v>OK</v>
      </c>
      <c r="S152" s="17"/>
      <c r="T152" s="17" t="str">
        <f>IF(T151=T$20,"OK","NOK")</f>
        <v>OK</v>
      </c>
      <c r="U152" s="17" t="str">
        <f>IF(U151=U$20,"OK","NOK")</f>
        <v>OK</v>
      </c>
      <c r="V152" s="359"/>
      <c r="W152" s="382"/>
      <c r="X152" s="646"/>
      <c r="Y152" s="646"/>
      <c r="Z152" s="201"/>
      <c r="AA152" s="201"/>
      <c r="AB152" s="201"/>
      <c r="AC152" s="84"/>
      <c r="AE152" s="17"/>
      <c r="AF152" s="17"/>
      <c r="AG152" s="17"/>
      <c r="AH152" s="646"/>
      <c r="AI152" s="91"/>
      <c r="AK152" s="17"/>
      <c r="AL152" s="17"/>
      <c r="AM152" s="17"/>
      <c r="AN152" s="646"/>
      <c r="AO152" s="91"/>
      <c r="AQ152" s="17"/>
      <c r="AR152" s="17"/>
      <c r="AS152" s="17"/>
      <c r="AT152" s="646"/>
      <c r="AU152" s="91"/>
      <c r="AW152" s="17"/>
      <c r="AX152" s="17"/>
      <c r="AY152" s="17"/>
      <c r="AZ152" s="17"/>
      <c r="BA152" s="91"/>
    </row>
    <row r="153" spans="1:53" ht="17.100000000000001" customHeight="1" x14ac:dyDescent="0.25">
      <c r="A153" s="40"/>
      <c r="B153" s="40"/>
      <c r="C153" s="40"/>
      <c r="D153" s="85" t="s">
        <v>613</v>
      </c>
      <c r="E153" s="150"/>
      <c r="F153" s="151"/>
      <c r="G153" s="318"/>
      <c r="H153" s="119"/>
      <c r="I153" s="236"/>
      <c r="J153" s="174"/>
      <c r="K153" s="174"/>
      <c r="L153" s="111"/>
      <c r="M153" s="111"/>
      <c r="N153" s="111"/>
      <c r="O153" s="111"/>
      <c r="P153" s="111"/>
      <c r="Q153" s="111"/>
      <c r="R153" s="111"/>
      <c r="S153" s="111"/>
      <c r="T153" s="111"/>
      <c r="U153" s="111"/>
      <c r="V153" s="111"/>
      <c r="W153" s="111"/>
      <c r="X153" s="111"/>
      <c r="Y153" s="111"/>
      <c r="Z153" s="131"/>
      <c r="AA153" s="131"/>
      <c r="AB153" s="131"/>
      <c r="AC153" s="113"/>
      <c r="AE153" s="111"/>
      <c r="AF153" s="111"/>
      <c r="AG153" s="651"/>
      <c r="AH153" s="131"/>
      <c r="AI153" s="113"/>
      <c r="AK153" s="111"/>
      <c r="AL153" s="111"/>
      <c r="AM153" s="651"/>
      <c r="AN153" s="131"/>
      <c r="AO153" s="113"/>
      <c r="AQ153" s="111"/>
      <c r="AR153" s="111"/>
      <c r="AS153" s="651"/>
      <c r="AT153" s="131"/>
      <c r="AU153" s="113"/>
      <c r="AW153" s="111"/>
      <c r="AX153" s="111"/>
      <c r="AY153" s="651"/>
      <c r="AZ153" s="131"/>
      <c r="BA153" s="113"/>
    </row>
    <row r="154" spans="1:53" ht="17.100000000000001" customHeight="1" x14ac:dyDescent="0.25">
      <c r="A154" s="40"/>
      <c r="B154" s="40"/>
      <c r="C154" s="40"/>
      <c r="D154" s="74" t="s">
        <v>569</v>
      </c>
      <c r="E154" s="85" t="s">
        <v>570</v>
      </c>
      <c r="F154" s="75"/>
      <c r="G154" s="76"/>
      <c r="H154" s="316"/>
      <c r="I154" s="230"/>
      <c r="J154" s="174"/>
      <c r="K154" s="174"/>
      <c r="L154" s="111"/>
      <c r="M154" s="111"/>
      <c r="N154" s="60"/>
      <c r="O154" s="60"/>
      <c r="P154" s="593">
        <f t="shared" ref="P154:P168" si="137">SUM(N154:O154)</f>
        <v>0</v>
      </c>
      <c r="Q154" s="60"/>
      <c r="R154" s="60">
        <v>1</v>
      </c>
      <c r="S154" s="593">
        <f t="shared" ref="S154:S163" si="138">SUM(Q154:R154)</f>
        <v>1</v>
      </c>
      <c r="T154" s="60"/>
      <c r="U154" s="60"/>
      <c r="V154" s="593">
        <f t="shared" ref="V154:V163" si="139">SUM(T154:U154)</f>
        <v>0</v>
      </c>
      <c r="W154" s="391">
        <f t="shared" ref="W154:W163" si="140">J154+K154+N154+Q154+T154</f>
        <v>0</v>
      </c>
      <c r="X154" s="17">
        <f t="shared" ref="X154:X163" si="141">L154+O154+R154+U154</f>
        <v>1</v>
      </c>
      <c r="Y154" s="18">
        <f t="shared" ref="Y154:Y163" si="142">SUM(W154:X154)</f>
        <v>1</v>
      </c>
      <c r="Z154" s="19">
        <f t="shared" ref="Z154:Z163" si="143">IF(Y$169=0,0,Y154/Y$169)</f>
        <v>6.6666666666666666E-2</v>
      </c>
      <c r="AA154" s="19"/>
      <c r="AB154" s="19"/>
      <c r="AC154" s="20"/>
      <c r="AE154" s="111"/>
      <c r="AF154" s="111"/>
      <c r="AG154" s="111"/>
      <c r="AH154" s="651"/>
      <c r="AI154" s="131"/>
      <c r="AK154" s="111"/>
      <c r="AL154" s="111"/>
      <c r="AM154" s="111"/>
      <c r="AN154" s="651"/>
      <c r="AO154" s="131"/>
      <c r="AQ154" s="20"/>
      <c r="AR154" s="20"/>
      <c r="AS154" s="20"/>
      <c r="AT154" s="17">
        <f t="shared" ref="AT154:AT163" si="144">W154</f>
        <v>0</v>
      </c>
      <c r="AU154" s="19">
        <f t="shared" ref="AU154:AU163" si="145">IF(AT$169=0,0,AT154/AT$169)</f>
        <v>0</v>
      </c>
      <c r="AW154" s="17"/>
      <c r="AX154" s="17"/>
      <c r="AY154" s="17"/>
      <c r="AZ154" s="424">
        <f>X154</f>
        <v>1</v>
      </c>
      <c r="BA154" s="19">
        <f t="shared" ref="BA154:BA163" si="146">IF(AZ$169=0,0,AZ154/AZ$169)</f>
        <v>6.6666666666666666E-2</v>
      </c>
    </row>
    <row r="155" spans="1:53" ht="17.100000000000001" customHeight="1" x14ac:dyDescent="0.25">
      <c r="A155" s="40"/>
      <c r="B155" s="40"/>
      <c r="C155" s="40"/>
      <c r="D155" s="74" t="s">
        <v>571</v>
      </c>
      <c r="E155" s="649" t="s">
        <v>572</v>
      </c>
      <c r="F155" s="649"/>
      <c r="G155" s="281"/>
      <c r="H155" s="254"/>
      <c r="I155" s="235"/>
      <c r="J155" s="174"/>
      <c r="K155" s="174"/>
      <c r="L155" s="111"/>
      <c r="M155" s="111"/>
      <c r="N155" s="61"/>
      <c r="O155" s="61"/>
      <c r="P155" s="593">
        <f t="shared" si="137"/>
        <v>0</v>
      </c>
      <c r="Q155" s="61"/>
      <c r="R155" s="61">
        <v>1</v>
      </c>
      <c r="S155" s="593">
        <f t="shared" si="138"/>
        <v>1</v>
      </c>
      <c r="T155" s="61"/>
      <c r="U155" s="61"/>
      <c r="V155" s="593">
        <f t="shared" si="139"/>
        <v>0</v>
      </c>
      <c r="W155" s="391">
        <f t="shared" si="140"/>
        <v>0</v>
      </c>
      <c r="X155" s="17">
        <f t="shared" si="141"/>
        <v>1</v>
      </c>
      <c r="Y155" s="18">
        <f t="shared" si="142"/>
        <v>1</v>
      </c>
      <c r="Z155" s="19">
        <f t="shared" si="143"/>
        <v>6.6666666666666666E-2</v>
      </c>
      <c r="AA155" s="19"/>
      <c r="AB155" s="19"/>
      <c r="AC155" s="20"/>
      <c r="AE155" s="111"/>
      <c r="AF155" s="111"/>
      <c r="AG155" s="111"/>
      <c r="AH155" s="651"/>
      <c r="AI155" s="131"/>
      <c r="AK155" s="111"/>
      <c r="AL155" s="111"/>
      <c r="AM155" s="111"/>
      <c r="AN155" s="651"/>
      <c r="AO155" s="131"/>
      <c r="AQ155" s="20"/>
      <c r="AR155" s="20"/>
      <c r="AS155" s="20"/>
      <c r="AT155" s="17">
        <f t="shared" si="144"/>
        <v>0</v>
      </c>
      <c r="AU155" s="19">
        <f t="shared" si="145"/>
        <v>0</v>
      </c>
      <c r="AW155" s="17"/>
      <c r="AX155" s="17"/>
      <c r="AY155" s="17"/>
      <c r="AZ155" s="424">
        <f t="shared" ref="AZ155:AZ163" si="147">X155</f>
        <v>1</v>
      </c>
      <c r="BA155" s="19">
        <f t="shared" si="146"/>
        <v>6.6666666666666666E-2</v>
      </c>
    </row>
    <row r="156" spans="1:53" ht="17.100000000000001" customHeight="1" x14ac:dyDescent="0.25">
      <c r="A156" s="40"/>
      <c r="B156" s="40"/>
      <c r="C156" s="40"/>
      <c r="D156" s="74" t="s">
        <v>573</v>
      </c>
      <c r="E156" s="649" t="s">
        <v>574</v>
      </c>
      <c r="F156" s="649"/>
      <c r="G156" s="281"/>
      <c r="H156" s="254"/>
      <c r="I156" s="235"/>
      <c r="J156" s="174"/>
      <c r="K156" s="174"/>
      <c r="L156" s="111"/>
      <c r="M156" s="111"/>
      <c r="N156" s="60"/>
      <c r="O156" s="60"/>
      <c r="P156" s="593">
        <f t="shared" si="137"/>
        <v>0</v>
      </c>
      <c r="Q156" s="60"/>
      <c r="R156" s="60"/>
      <c r="S156" s="593">
        <f t="shared" si="138"/>
        <v>0</v>
      </c>
      <c r="T156" s="60"/>
      <c r="U156" s="60"/>
      <c r="V156" s="593">
        <f t="shared" si="139"/>
        <v>0</v>
      </c>
      <c r="W156" s="391">
        <f t="shared" si="140"/>
        <v>0</v>
      </c>
      <c r="X156" s="17">
        <f t="shared" si="141"/>
        <v>0</v>
      </c>
      <c r="Y156" s="18">
        <f t="shared" si="142"/>
        <v>0</v>
      </c>
      <c r="Z156" s="19">
        <f t="shared" si="143"/>
        <v>0</v>
      </c>
      <c r="AA156" s="19"/>
      <c r="AB156" s="19"/>
      <c r="AC156" s="20"/>
      <c r="AE156" s="111"/>
      <c r="AF156" s="111"/>
      <c r="AG156" s="111"/>
      <c r="AH156" s="651"/>
      <c r="AI156" s="131"/>
      <c r="AK156" s="111"/>
      <c r="AL156" s="111"/>
      <c r="AM156" s="111"/>
      <c r="AN156" s="651"/>
      <c r="AO156" s="131"/>
      <c r="AQ156" s="20"/>
      <c r="AR156" s="20"/>
      <c r="AS156" s="20"/>
      <c r="AT156" s="17">
        <f t="shared" si="144"/>
        <v>0</v>
      </c>
      <c r="AU156" s="19">
        <f t="shared" si="145"/>
        <v>0</v>
      </c>
      <c r="AW156" s="17"/>
      <c r="AX156" s="17"/>
      <c r="AY156" s="17"/>
      <c r="AZ156" s="424">
        <f t="shared" si="147"/>
        <v>0</v>
      </c>
      <c r="BA156" s="19">
        <f t="shared" si="146"/>
        <v>0</v>
      </c>
    </row>
    <row r="157" spans="1:53" ht="17.100000000000001" customHeight="1" x14ac:dyDescent="0.25">
      <c r="A157" s="40"/>
      <c r="B157" s="40"/>
      <c r="C157" s="40"/>
      <c r="D157" s="74" t="s">
        <v>575</v>
      </c>
      <c r="E157" s="649" t="s">
        <v>576</v>
      </c>
      <c r="F157" s="649"/>
      <c r="G157" s="281"/>
      <c r="H157" s="254"/>
      <c r="I157" s="235"/>
      <c r="J157" s="174"/>
      <c r="K157" s="174"/>
      <c r="L157" s="111"/>
      <c r="M157" s="111"/>
      <c r="N157" s="61"/>
      <c r="O157" s="61"/>
      <c r="P157" s="593">
        <f t="shared" si="137"/>
        <v>0</v>
      </c>
      <c r="Q157" s="61"/>
      <c r="R157" s="61"/>
      <c r="S157" s="593">
        <f t="shared" si="138"/>
        <v>0</v>
      </c>
      <c r="T157" s="61"/>
      <c r="U157" s="61"/>
      <c r="V157" s="593">
        <f t="shared" si="139"/>
        <v>0</v>
      </c>
      <c r="W157" s="391">
        <f t="shared" si="140"/>
        <v>0</v>
      </c>
      <c r="X157" s="17">
        <f t="shared" si="141"/>
        <v>0</v>
      </c>
      <c r="Y157" s="18">
        <f t="shared" si="142"/>
        <v>0</v>
      </c>
      <c r="Z157" s="19">
        <f t="shared" si="143"/>
        <v>0</v>
      </c>
      <c r="AA157" s="19"/>
      <c r="AB157" s="19"/>
      <c r="AC157" s="20"/>
      <c r="AE157" s="111"/>
      <c r="AF157" s="111"/>
      <c r="AG157" s="111"/>
      <c r="AH157" s="651"/>
      <c r="AI157" s="131"/>
      <c r="AK157" s="111"/>
      <c r="AL157" s="111"/>
      <c r="AM157" s="111"/>
      <c r="AN157" s="651"/>
      <c r="AO157" s="131"/>
      <c r="AQ157" s="20"/>
      <c r="AR157" s="20"/>
      <c r="AS157" s="20"/>
      <c r="AT157" s="17">
        <f t="shared" si="144"/>
        <v>0</v>
      </c>
      <c r="AU157" s="19">
        <f t="shared" si="145"/>
        <v>0</v>
      </c>
      <c r="AW157" s="17"/>
      <c r="AX157" s="17"/>
      <c r="AY157" s="17"/>
      <c r="AZ157" s="424">
        <f t="shared" si="147"/>
        <v>0</v>
      </c>
      <c r="BA157" s="19">
        <f t="shared" si="146"/>
        <v>0</v>
      </c>
    </row>
    <row r="158" spans="1:53" ht="17.100000000000001" customHeight="1" x14ac:dyDescent="0.25">
      <c r="A158" s="40"/>
      <c r="B158" s="40"/>
      <c r="C158" s="40"/>
      <c r="D158" s="74" t="s">
        <v>577</v>
      </c>
      <c r="E158" s="85" t="s">
        <v>578</v>
      </c>
      <c r="F158" s="75"/>
      <c r="G158" s="76"/>
      <c r="H158" s="316"/>
      <c r="I158" s="230"/>
      <c r="J158" s="174"/>
      <c r="K158" s="174"/>
      <c r="L158" s="111"/>
      <c r="M158" s="111"/>
      <c r="N158" s="60"/>
      <c r="O158" s="60"/>
      <c r="P158" s="593">
        <f t="shared" si="137"/>
        <v>0</v>
      </c>
      <c r="Q158" s="60"/>
      <c r="R158" s="60">
        <v>3</v>
      </c>
      <c r="S158" s="593">
        <f t="shared" si="138"/>
        <v>3</v>
      </c>
      <c r="T158" s="60"/>
      <c r="U158" s="60"/>
      <c r="V158" s="593">
        <f t="shared" si="139"/>
        <v>0</v>
      </c>
      <c r="W158" s="391">
        <f t="shared" si="140"/>
        <v>0</v>
      </c>
      <c r="X158" s="17">
        <f t="shared" si="141"/>
        <v>3</v>
      </c>
      <c r="Y158" s="18">
        <f t="shared" si="142"/>
        <v>3</v>
      </c>
      <c r="Z158" s="19">
        <f t="shared" si="143"/>
        <v>0.2</v>
      </c>
      <c r="AA158" s="19"/>
      <c r="AB158" s="19"/>
      <c r="AC158" s="20"/>
      <c r="AE158" s="111"/>
      <c r="AF158" s="111"/>
      <c r="AG158" s="111"/>
      <c r="AH158" s="651"/>
      <c r="AI158" s="131"/>
      <c r="AK158" s="111"/>
      <c r="AL158" s="111"/>
      <c r="AM158" s="111"/>
      <c r="AN158" s="651"/>
      <c r="AO158" s="131"/>
      <c r="AQ158" s="20"/>
      <c r="AR158" s="20"/>
      <c r="AS158" s="20"/>
      <c r="AT158" s="17">
        <f t="shared" si="144"/>
        <v>0</v>
      </c>
      <c r="AU158" s="19">
        <f t="shared" si="145"/>
        <v>0</v>
      </c>
      <c r="AW158" s="17"/>
      <c r="AX158" s="17"/>
      <c r="AY158" s="17"/>
      <c r="AZ158" s="424">
        <f t="shared" si="147"/>
        <v>3</v>
      </c>
      <c r="BA158" s="19">
        <f t="shared" si="146"/>
        <v>0.2</v>
      </c>
    </row>
    <row r="159" spans="1:53" ht="17.100000000000001" customHeight="1" x14ac:dyDescent="0.25">
      <c r="A159" s="40"/>
      <c r="B159" s="40"/>
      <c r="C159" s="40"/>
      <c r="D159" s="74" t="s">
        <v>579</v>
      </c>
      <c r="E159" s="85" t="s">
        <v>580</v>
      </c>
      <c r="F159" s="75"/>
      <c r="G159" s="76"/>
      <c r="H159" s="316"/>
      <c r="I159" s="230"/>
      <c r="J159" s="174"/>
      <c r="K159" s="174"/>
      <c r="L159" s="111"/>
      <c r="M159" s="111"/>
      <c r="N159" s="61"/>
      <c r="O159" s="61"/>
      <c r="P159" s="593">
        <f t="shared" si="137"/>
        <v>0</v>
      </c>
      <c r="Q159" s="61"/>
      <c r="R159" s="61">
        <v>5</v>
      </c>
      <c r="S159" s="593">
        <f t="shared" si="138"/>
        <v>5</v>
      </c>
      <c r="T159" s="61"/>
      <c r="U159" s="61"/>
      <c r="V159" s="593">
        <f t="shared" si="139"/>
        <v>0</v>
      </c>
      <c r="W159" s="391">
        <f t="shared" si="140"/>
        <v>0</v>
      </c>
      <c r="X159" s="17">
        <f t="shared" si="141"/>
        <v>5</v>
      </c>
      <c r="Y159" s="18">
        <f t="shared" si="142"/>
        <v>5</v>
      </c>
      <c r="Z159" s="19">
        <f t="shared" si="143"/>
        <v>0.33333333333333331</v>
      </c>
      <c r="AA159" s="19"/>
      <c r="AB159" s="19"/>
      <c r="AC159" s="20"/>
      <c r="AE159" s="111"/>
      <c r="AF159" s="111"/>
      <c r="AG159" s="111"/>
      <c r="AH159" s="651"/>
      <c r="AI159" s="131"/>
      <c r="AK159" s="111"/>
      <c r="AL159" s="111"/>
      <c r="AM159" s="111"/>
      <c r="AN159" s="651"/>
      <c r="AO159" s="131"/>
      <c r="AQ159" s="20"/>
      <c r="AR159" s="20"/>
      <c r="AS159" s="20"/>
      <c r="AT159" s="17">
        <f t="shared" si="144"/>
        <v>0</v>
      </c>
      <c r="AU159" s="19">
        <f t="shared" si="145"/>
        <v>0</v>
      </c>
      <c r="AW159" s="17"/>
      <c r="AX159" s="17"/>
      <c r="AY159" s="17"/>
      <c r="AZ159" s="424">
        <f t="shared" si="147"/>
        <v>5</v>
      </c>
      <c r="BA159" s="19">
        <f t="shared" si="146"/>
        <v>0.33333333333333331</v>
      </c>
    </row>
    <row r="160" spans="1:53" ht="17.100000000000001" customHeight="1" x14ac:dyDescent="0.25">
      <c r="A160" s="40"/>
      <c r="B160" s="40"/>
      <c r="C160" s="40"/>
      <c r="D160" s="74" t="s">
        <v>581</v>
      </c>
      <c r="E160" s="85" t="s">
        <v>582</v>
      </c>
      <c r="F160" s="75"/>
      <c r="G160" s="76"/>
      <c r="H160" s="316"/>
      <c r="I160" s="230"/>
      <c r="J160" s="174"/>
      <c r="K160" s="174"/>
      <c r="L160" s="111"/>
      <c r="M160" s="111"/>
      <c r="N160" s="60"/>
      <c r="O160" s="60"/>
      <c r="P160" s="593">
        <f t="shared" si="137"/>
        <v>0</v>
      </c>
      <c r="Q160" s="60"/>
      <c r="R160" s="60">
        <v>1</v>
      </c>
      <c r="S160" s="593">
        <f t="shared" si="138"/>
        <v>1</v>
      </c>
      <c r="T160" s="60"/>
      <c r="U160" s="60"/>
      <c r="V160" s="593">
        <f t="shared" si="139"/>
        <v>0</v>
      </c>
      <c r="W160" s="391">
        <f t="shared" si="140"/>
        <v>0</v>
      </c>
      <c r="X160" s="17">
        <f t="shared" si="141"/>
        <v>1</v>
      </c>
      <c r="Y160" s="18">
        <f t="shared" si="142"/>
        <v>1</v>
      </c>
      <c r="Z160" s="19">
        <f t="shared" si="143"/>
        <v>6.6666666666666666E-2</v>
      </c>
      <c r="AA160" s="19"/>
      <c r="AB160" s="19"/>
      <c r="AC160" s="20"/>
      <c r="AE160" s="111"/>
      <c r="AF160" s="111"/>
      <c r="AG160" s="111"/>
      <c r="AH160" s="651"/>
      <c r="AI160" s="131"/>
      <c r="AK160" s="111"/>
      <c r="AL160" s="111"/>
      <c r="AM160" s="111"/>
      <c r="AN160" s="651"/>
      <c r="AO160" s="131"/>
      <c r="AQ160" s="20"/>
      <c r="AR160" s="20"/>
      <c r="AS160" s="20"/>
      <c r="AT160" s="17">
        <f t="shared" si="144"/>
        <v>0</v>
      </c>
      <c r="AU160" s="19">
        <f t="shared" si="145"/>
        <v>0</v>
      </c>
      <c r="AW160" s="17"/>
      <c r="AX160" s="17"/>
      <c r="AY160" s="17"/>
      <c r="AZ160" s="424">
        <f t="shared" si="147"/>
        <v>1</v>
      </c>
      <c r="BA160" s="19">
        <f t="shared" si="146"/>
        <v>6.6666666666666666E-2</v>
      </c>
    </row>
    <row r="161" spans="1:53" ht="17.100000000000001" customHeight="1" x14ac:dyDescent="0.25">
      <c r="A161" s="40"/>
      <c r="B161" s="40"/>
      <c r="C161" s="40"/>
      <c r="D161" s="74" t="s">
        <v>583</v>
      </c>
      <c r="E161" s="85" t="s">
        <v>584</v>
      </c>
      <c r="F161" s="75"/>
      <c r="G161" s="76"/>
      <c r="H161" s="316"/>
      <c r="I161" s="230"/>
      <c r="J161" s="174"/>
      <c r="K161" s="174"/>
      <c r="L161" s="111"/>
      <c r="M161" s="111"/>
      <c r="N161" s="61"/>
      <c r="O161" s="61"/>
      <c r="P161" s="593">
        <f t="shared" si="137"/>
        <v>0</v>
      </c>
      <c r="Q161" s="61"/>
      <c r="R161" s="61"/>
      <c r="S161" s="593">
        <f t="shared" si="138"/>
        <v>0</v>
      </c>
      <c r="T161" s="61"/>
      <c r="U161" s="61"/>
      <c r="V161" s="593">
        <f t="shared" si="139"/>
        <v>0</v>
      </c>
      <c r="W161" s="391">
        <f t="shared" si="140"/>
        <v>0</v>
      </c>
      <c r="X161" s="17">
        <f t="shared" si="141"/>
        <v>0</v>
      </c>
      <c r="Y161" s="18">
        <f t="shared" si="142"/>
        <v>0</v>
      </c>
      <c r="Z161" s="19">
        <f t="shared" si="143"/>
        <v>0</v>
      </c>
      <c r="AA161" s="19"/>
      <c r="AB161" s="19"/>
      <c r="AC161" s="20"/>
      <c r="AE161" s="111"/>
      <c r="AF161" s="111"/>
      <c r="AG161" s="111"/>
      <c r="AH161" s="651"/>
      <c r="AI161" s="131"/>
      <c r="AK161" s="111"/>
      <c r="AL161" s="111"/>
      <c r="AM161" s="111"/>
      <c r="AN161" s="651"/>
      <c r="AO161" s="131"/>
      <c r="AQ161" s="20"/>
      <c r="AR161" s="20"/>
      <c r="AS161" s="20"/>
      <c r="AT161" s="17">
        <f t="shared" si="144"/>
        <v>0</v>
      </c>
      <c r="AU161" s="19">
        <f t="shared" si="145"/>
        <v>0</v>
      </c>
      <c r="AW161" s="17"/>
      <c r="AX161" s="17"/>
      <c r="AY161" s="17"/>
      <c r="AZ161" s="424">
        <f t="shared" si="147"/>
        <v>0</v>
      </c>
      <c r="BA161" s="19">
        <f t="shared" si="146"/>
        <v>0</v>
      </c>
    </row>
    <row r="162" spans="1:53" ht="17.100000000000001" customHeight="1" x14ac:dyDescent="0.25">
      <c r="A162" s="40"/>
      <c r="B162" s="40"/>
      <c r="C162" s="40"/>
      <c r="D162" s="74" t="s">
        <v>585</v>
      </c>
      <c r="E162" s="85" t="s">
        <v>586</v>
      </c>
      <c r="F162" s="75"/>
      <c r="G162" s="76"/>
      <c r="H162" s="316"/>
      <c r="I162" s="230"/>
      <c r="J162" s="174"/>
      <c r="K162" s="174"/>
      <c r="L162" s="111"/>
      <c r="M162" s="111"/>
      <c r="N162" s="60"/>
      <c r="O162" s="60"/>
      <c r="P162" s="593">
        <f t="shared" si="137"/>
        <v>0</v>
      </c>
      <c r="Q162" s="60"/>
      <c r="R162" s="60"/>
      <c r="S162" s="593">
        <f t="shared" si="138"/>
        <v>0</v>
      </c>
      <c r="T162" s="60"/>
      <c r="U162" s="60"/>
      <c r="V162" s="593">
        <f t="shared" si="139"/>
        <v>0</v>
      </c>
      <c r="W162" s="391">
        <f t="shared" si="140"/>
        <v>0</v>
      </c>
      <c r="X162" s="17">
        <f t="shared" si="141"/>
        <v>0</v>
      </c>
      <c r="Y162" s="18">
        <f t="shared" si="142"/>
        <v>0</v>
      </c>
      <c r="Z162" s="19">
        <f t="shared" si="143"/>
        <v>0</v>
      </c>
      <c r="AA162" s="19"/>
      <c r="AB162" s="19"/>
      <c r="AC162" s="20"/>
      <c r="AE162" s="111"/>
      <c r="AF162" s="111"/>
      <c r="AG162" s="111"/>
      <c r="AH162" s="651"/>
      <c r="AI162" s="131"/>
      <c r="AK162" s="111"/>
      <c r="AL162" s="111"/>
      <c r="AM162" s="111"/>
      <c r="AN162" s="651"/>
      <c r="AO162" s="131"/>
      <c r="AQ162" s="20"/>
      <c r="AR162" s="20"/>
      <c r="AS162" s="20"/>
      <c r="AT162" s="17">
        <f t="shared" si="144"/>
        <v>0</v>
      </c>
      <c r="AU162" s="19">
        <f t="shared" si="145"/>
        <v>0</v>
      </c>
      <c r="AW162" s="17"/>
      <c r="AX162" s="17"/>
      <c r="AY162" s="17"/>
      <c r="AZ162" s="424">
        <f t="shared" si="147"/>
        <v>0</v>
      </c>
      <c r="BA162" s="19">
        <f t="shared" si="146"/>
        <v>0</v>
      </c>
    </row>
    <row r="163" spans="1:53" ht="17.100000000000001" customHeight="1" x14ac:dyDescent="0.25">
      <c r="A163" s="40"/>
      <c r="B163" s="40"/>
      <c r="C163" s="40"/>
      <c r="D163" s="56" t="s">
        <v>587</v>
      </c>
      <c r="E163" s="75" t="s">
        <v>588</v>
      </c>
      <c r="F163" s="284"/>
      <c r="G163" s="285"/>
      <c r="H163" s="319"/>
      <c r="I163" s="308"/>
      <c r="J163" s="111"/>
      <c r="K163" s="111"/>
      <c r="L163" s="111"/>
      <c r="M163" s="111"/>
      <c r="N163" s="111">
        <f t="shared" ref="N163:U163" si="148">SUM(N164:N168)</f>
        <v>0</v>
      </c>
      <c r="O163" s="111">
        <f t="shared" si="148"/>
        <v>0</v>
      </c>
      <c r="P163" s="111">
        <f t="shared" si="137"/>
        <v>0</v>
      </c>
      <c r="Q163" s="111">
        <f t="shared" si="148"/>
        <v>0</v>
      </c>
      <c r="R163" s="111">
        <f t="shared" si="148"/>
        <v>4</v>
      </c>
      <c r="S163" s="111">
        <f t="shared" si="138"/>
        <v>4</v>
      </c>
      <c r="T163" s="111">
        <f t="shared" si="148"/>
        <v>0</v>
      </c>
      <c r="U163" s="111">
        <f t="shared" si="148"/>
        <v>0</v>
      </c>
      <c r="V163" s="111">
        <f t="shared" si="139"/>
        <v>0</v>
      </c>
      <c r="W163" s="380">
        <f t="shared" si="140"/>
        <v>0</v>
      </c>
      <c r="X163" s="111">
        <f t="shared" si="141"/>
        <v>4</v>
      </c>
      <c r="Y163" s="651">
        <f t="shared" si="142"/>
        <v>4</v>
      </c>
      <c r="Z163" s="131">
        <f t="shared" si="143"/>
        <v>0.26666666666666666</v>
      </c>
      <c r="AA163" s="131"/>
      <c r="AB163" s="131"/>
      <c r="AC163" s="113"/>
      <c r="AE163" s="111"/>
      <c r="AF163" s="111"/>
      <c r="AG163" s="111"/>
      <c r="AH163" s="651"/>
      <c r="AI163" s="131"/>
      <c r="AK163" s="111"/>
      <c r="AL163" s="111"/>
      <c r="AM163" s="111"/>
      <c r="AN163" s="651"/>
      <c r="AO163" s="131"/>
      <c r="AQ163" s="111"/>
      <c r="AR163" s="111"/>
      <c r="AS163" s="111"/>
      <c r="AT163" s="111">
        <f t="shared" si="144"/>
        <v>0</v>
      </c>
      <c r="AU163" s="131">
        <f t="shared" si="145"/>
        <v>0</v>
      </c>
      <c r="AW163" s="111"/>
      <c r="AX163" s="111"/>
      <c r="AY163" s="111"/>
      <c r="AZ163" s="111">
        <f t="shared" si="147"/>
        <v>4</v>
      </c>
      <c r="BA163" s="131">
        <f t="shared" si="146"/>
        <v>0.26666666666666666</v>
      </c>
    </row>
    <row r="164" spans="1:53" ht="17.100000000000001" customHeight="1" x14ac:dyDescent="0.25">
      <c r="A164" s="40"/>
      <c r="B164" s="40"/>
      <c r="C164" s="40"/>
      <c r="D164" s="74"/>
      <c r="E164" s="1335" t="s">
        <v>1838</v>
      </c>
      <c r="F164" s="287"/>
      <c r="G164" s="288"/>
      <c r="H164" s="46"/>
      <c r="I164" s="641"/>
      <c r="J164" s="174"/>
      <c r="K164" s="174"/>
      <c r="L164" s="111"/>
      <c r="M164" s="111"/>
      <c r="N164" s="60"/>
      <c r="O164" s="60"/>
      <c r="P164" s="593">
        <f t="shared" si="137"/>
        <v>0</v>
      </c>
      <c r="Q164" s="60"/>
      <c r="R164" s="60">
        <v>4</v>
      </c>
      <c r="S164" s="593">
        <f t="shared" ref="S164:S168" si="149">SUM(Q164:R164)</f>
        <v>4</v>
      </c>
      <c r="T164" s="60"/>
      <c r="U164" s="60"/>
      <c r="V164" s="593">
        <f t="shared" ref="V164:V168" si="150">SUM(T164:U164)</f>
        <v>0</v>
      </c>
      <c r="W164" s="391">
        <f t="shared" ref="W164:W168" si="151">J164+K164+N164+Q164+T164</f>
        <v>0</v>
      </c>
      <c r="X164" s="17">
        <f t="shared" ref="X164:X168" si="152">L164+O164+R164+U164</f>
        <v>4</v>
      </c>
      <c r="Y164" s="18">
        <f t="shared" ref="Y164:Y168" si="153">SUM(W164:X164)</f>
        <v>4</v>
      </c>
      <c r="Z164" s="19"/>
      <c r="AA164" s="19"/>
      <c r="AB164" s="19"/>
      <c r="AC164" s="20"/>
      <c r="AE164" s="111"/>
      <c r="AF164" s="111"/>
      <c r="AG164" s="113"/>
      <c r="AH164" s="131"/>
      <c r="AI164" s="113"/>
      <c r="AK164" s="111"/>
      <c r="AL164" s="111"/>
      <c r="AM164" s="113"/>
      <c r="AN164" s="131"/>
      <c r="AO164" s="113"/>
      <c r="AQ164" s="20"/>
      <c r="AR164" s="20"/>
      <c r="AS164" s="20"/>
      <c r="AT164" s="20"/>
      <c r="AU164" s="20"/>
      <c r="AW164" s="17"/>
      <c r="AX164" s="17"/>
      <c r="AY164" s="20"/>
      <c r="AZ164" s="19"/>
      <c r="BA164" s="20"/>
    </row>
    <row r="165" spans="1:53" ht="17.100000000000001" customHeight="1" x14ac:dyDescent="0.25">
      <c r="A165" s="40"/>
      <c r="B165" s="40"/>
      <c r="C165" s="40"/>
      <c r="D165" s="74"/>
      <c r="E165" s="289"/>
      <c r="F165" s="290"/>
      <c r="G165" s="291"/>
      <c r="H165" s="46"/>
      <c r="I165" s="641"/>
      <c r="J165" s="174"/>
      <c r="K165" s="174"/>
      <c r="L165" s="111"/>
      <c r="M165" s="111"/>
      <c r="N165" s="61"/>
      <c r="O165" s="61"/>
      <c r="P165" s="593">
        <f t="shared" si="137"/>
        <v>0</v>
      </c>
      <c r="Q165" s="61"/>
      <c r="R165" s="61"/>
      <c r="S165" s="593">
        <f t="shared" si="149"/>
        <v>0</v>
      </c>
      <c r="T165" s="61"/>
      <c r="U165" s="61"/>
      <c r="V165" s="593">
        <f t="shared" si="150"/>
        <v>0</v>
      </c>
      <c r="W165" s="391">
        <f t="shared" si="151"/>
        <v>0</v>
      </c>
      <c r="X165" s="17">
        <f t="shared" si="152"/>
        <v>0</v>
      </c>
      <c r="Y165" s="18">
        <f t="shared" si="153"/>
        <v>0</v>
      </c>
      <c r="Z165" s="19"/>
      <c r="AA165" s="19"/>
      <c r="AB165" s="19"/>
      <c r="AC165" s="20"/>
      <c r="AE165" s="111"/>
      <c r="AF165" s="111"/>
      <c r="AG165" s="113"/>
      <c r="AH165" s="131"/>
      <c r="AI165" s="113"/>
      <c r="AK165" s="111"/>
      <c r="AL165" s="111"/>
      <c r="AM165" s="113"/>
      <c r="AN165" s="131"/>
      <c r="AO165" s="113"/>
      <c r="AQ165" s="20"/>
      <c r="AR165" s="20"/>
      <c r="AS165" s="20"/>
      <c r="AT165" s="20"/>
      <c r="AU165" s="20"/>
      <c r="AW165" s="17"/>
      <c r="AX165" s="17"/>
      <c r="AY165" s="20"/>
      <c r="AZ165" s="19"/>
      <c r="BA165" s="20"/>
    </row>
    <row r="166" spans="1:53" ht="17.100000000000001" customHeight="1" x14ac:dyDescent="0.25">
      <c r="A166" s="40"/>
      <c r="B166" s="40"/>
      <c r="C166" s="40"/>
      <c r="D166" s="74"/>
      <c r="E166" s="286"/>
      <c r="F166" s="287"/>
      <c r="G166" s="288"/>
      <c r="H166" s="46"/>
      <c r="I166" s="641"/>
      <c r="J166" s="174"/>
      <c r="K166" s="174"/>
      <c r="L166" s="111"/>
      <c r="M166" s="111"/>
      <c r="N166" s="60"/>
      <c r="O166" s="60"/>
      <c r="P166" s="593">
        <f t="shared" si="137"/>
        <v>0</v>
      </c>
      <c r="Q166" s="60"/>
      <c r="R166" s="60"/>
      <c r="S166" s="593">
        <f t="shared" si="149"/>
        <v>0</v>
      </c>
      <c r="T166" s="60"/>
      <c r="U166" s="60"/>
      <c r="V166" s="593">
        <f t="shared" si="150"/>
        <v>0</v>
      </c>
      <c r="W166" s="391">
        <f t="shared" si="151"/>
        <v>0</v>
      </c>
      <c r="X166" s="17">
        <f t="shared" si="152"/>
        <v>0</v>
      </c>
      <c r="Y166" s="18">
        <f t="shared" si="153"/>
        <v>0</v>
      </c>
      <c r="Z166" s="19"/>
      <c r="AA166" s="19"/>
      <c r="AB166" s="19"/>
      <c r="AC166" s="20"/>
      <c r="AE166" s="111"/>
      <c r="AF166" s="111"/>
      <c r="AG166" s="113"/>
      <c r="AH166" s="131"/>
      <c r="AI166" s="113"/>
      <c r="AK166" s="111"/>
      <c r="AL166" s="111"/>
      <c r="AM166" s="113"/>
      <c r="AN166" s="131"/>
      <c r="AO166" s="113"/>
      <c r="AQ166" s="20"/>
      <c r="AR166" s="20"/>
      <c r="AS166" s="20"/>
      <c r="AT166" s="20"/>
      <c r="AU166" s="20"/>
      <c r="AW166" s="17"/>
      <c r="AX166" s="17"/>
      <c r="AY166" s="20"/>
      <c r="AZ166" s="19"/>
      <c r="BA166" s="20"/>
    </row>
    <row r="167" spans="1:53" ht="17.100000000000001" customHeight="1" x14ac:dyDescent="0.25">
      <c r="A167" s="40"/>
      <c r="B167" s="40"/>
      <c r="C167" s="40"/>
      <c r="D167" s="74"/>
      <c r="E167" s="289"/>
      <c r="F167" s="290"/>
      <c r="G167" s="291"/>
      <c r="H167" s="46"/>
      <c r="I167" s="641"/>
      <c r="J167" s="174"/>
      <c r="K167" s="174"/>
      <c r="L167" s="111"/>
      <c r="M167" s="111"/>
      <c r="N167" s="61"/>
      <c r="O167" s="61"/>
      <c r="P167" s="593">
        <f t="shared" si="137"/>
        <v>0</v>
      </c>
      <c r="Q167" s="61"/>
      <c r="R167" s="61"/>
      <c r="S167" s="593">
        <f t="shared" si="149"/>
        <v>0</v>
      </c>
      <c r="T167" s="61"/>
      <c r="U167" s="61"/>
      <c r="V167" s="593"/>
      <c r="W167" s="391"/>
      <c r="X167" s="17"/>
      <c r="Y167" s="18"/>
      <c r="Z167" s="19"/>
      <c r="AA167" s="19"/>
      <c r="AB167" s="19"/>
      <c r="AC167" s="20"/>
      <c r="AE167" s="111"/>
      <c r="AF167" s="111"/>
      <c r="AG167" s="113"/>
      <c r="AH167" s="131"/>
      <c r="AI167" s="113"/>
      <c r="AK167" s="111"/>
      <c r="AL167" s="111"/>
      <c r="AM167" s="113"/>
      <c r="AN167" s="131"/>
      <c r="AO167" s="113"/>
      <c r="AQ167" s="20"/>
      <c r="AR167" s="20"/>
      <c r="AS167" s="20"/>
      <c r="AT167" s="20"/>
      <c r="AU167" s="20"/>
      <c r="AW167" s="17"/>
      <c r="AX167" s="17"/>
      <c r="AY167" s="20"/>
      <c r="AZ167" s="19"/>
      <c r="BA167" s="20"/>
    </row>
    <row r="168" spans="1:53" ht="17.100000000000001" customHeight="1" x14ac:dyDescent="0.25">
      <c r="A168" s="40"/>
      <c r="B168" s="40"/>
      <c r="C168" s="40"/>
      <c r="D168" s="74"/>
      <c r="E168" s="286"/>
      <c r="F168" s="287"/>
      <c r="G168" s="288"/>
      <c r="H168" s="46"/>
      <c r="I168" s="641"/>
      <c r="J168" s="174"/>
      <c r="K168" s="174"/>
      <c r="L168" s="111"/>
      <c r="M168" s="111"/>
      <c r="N168" s="60"/>
      <c r="O168" s="60"/>
      <c r="P168" s="593">
        <f t="shared" si="137"/>
        <v>0</v>
      </c>
      <c r="Q168" s="60"/>
      <c r="R168" s="60"/>
      <c r="S168" s="593">
        <f t="shared" si="149"/>
        <v>0</v>
      </c>
      <c r="T168" s="60"/>
      <c r="U168" s="60"/>
      <c r="V168" s="593">
        <f t="shared" si="150"/>
        <v>0</v>
      </c>
      <c r="W168" s="391">
        <f t="shared" si="151"/>
        <v>0</v>
      </c>
      <c r="X168" s="17">
        <f t="shared" si="152"/>
        <v>0</v>
      </c>
      <c r="Y168" s="18">
        <f t="shared" si="153"/>
        <v>0</v>
      </c>
      <c r="Z168" s="19"/>
      <c r="AA168" s="19"/>
      <c r="AB168" s="19"/>
      <c r="AC168" s="20"/>
      <c r="AE168" s="111"/>
      <c r="AF168" s="111"/>
      <c r="AG168" s="113"/>
      <c r="AH168" s="131"/>
      <c r="AI168" s="113"/>
      <c r="AK168" s="111"/>
      <c r="AL168" s="111"/>
      <c r="AM168" s="113"/>
      <c r="AN168" s="131"/>
      <c r="AO168" s="113"/>
      <c r="AQ168" s="20"/>
      <c r="AR168" s="20"/>
      <c r="AS168" s="20"/>
      <c r="AT168" s="20"/>
      <c r="AU168" s="20"/>
      <c r="AW168" s="17"/>
      <c r="AX168" s="17"/>
      <c r="AY168" s="20"/>
      <c r="AZ168" s="19"/>
      <c r="BA168" s="20"/>
    </row>
    <row r="169" spans="1:53" ht="17.100000000000001" customHeight="1" x14ac:dyDescent="0.25">
      <c r="A169" s="40"/>
      <c r="B169" s="40"/>
      <c r="C169" s="292"/>
      <c r="D169" s="144"/>
      <c r="E169" s="144"/>
      <c r="F169" s="145"/>
      <c r="G169" s="283"/>
      <c r="H169" s="119"/>
      <c r="I169" s="236"/>
      <c r="J169" s="64"/>
      <c r="K169" s="64"/>
      <c r="L169" s="81"/>
      <c r="M169" s="81"/>
      <c r="N169" s="81">
        <f>SUM(N154:N163)</f>
        <v>0</v>
      </c>
      <c r="O169" s="81">
        <f t="shared" ref="O169:Y169" si="154">SUM(O154:O163)</f>
        <v>0</v>
      </c>
      <c r="P169" s="81">
        <f t="shared" si="154"/>
        <v>0</v>
      </c>
      <c r="Q169" s="81">
        <f t="shared" si="154"/>
        <v>0</v>
      </c>
      <c r="R169" s="81">
        <f t="shared" si="154"/>
        <v>15</v>
      </c>
      <c r="S169" s="81">
        <f t="shared" si="154"/>
        <v>15</v>
      </c>
      <c r="T169" s="81">
        <f t="shared" si="154"/>
        <v>0</v>
      </c>
      <c r="U169" s="81">
        <f t="shared" si="154"/>
        <v>0</v>
      </c>
      <c r="V169" s="81">
        <f t="shared" si="154"/>
        <v>0</v>
      </c>
      <c r="W169" s="82">
        <f t="shared" si="154"/>
        <v>0</v>
      </c>
      <c r="X169" s="82">
        <f t="shared" si="154"/>
        <v>15</v>
      </c>
      <c r="Y169" s="82">
        <f t="shared" si="154"/>
        <v>15</v>
      </c>
      <c r="Z169" s="205">
        <f>IF(Y$169=0,0,Y169/Y$169)</f>
        <v>1</v>
      </c>
      <c r="AA169" s="205"/>
      <c r="AB169" s="205"/>
      <c r="AC169" s="83"/>
      <c r="AE169" s="81"/>
      <c r="AF169" s="81"/>
      <c r="AG169" s="82"/>
      <c r="AH169" s="82"/>
      <c r="AI169" s="66"/>
      <c r="AK169" s="81"/>
      <c r="AL169" s="81"/>
      <c r="AM169" s="82"/>
      <c r="AN169" s="82"/>
      <c r="AO169" s="66"/>
      <c r="AQ169" s="81"/>
      <c r="AR169" s="81"/>
      <c r="AS169" s="82"/>
      <c r="AT169" s="82">
        <f>SUM(AT154:AT163)</f>
        <v>0</v>
      </c>
      <c r="AU169" s="66">
        <f t="shared" ref="AU169" si="155">IF(AT$169=0,0,AT169/AT$169)</f>
        <v>0</v>
      </c>
      <c r="AW169" s="81"/>
      <c r="AX169" s="81"/>
      <c r="AY169" s="82"/>
      <c r="AZ169" s="82">
        <f>SUM(AZ154:AZ163)</f>
        <v>15</v>
      </c>
      <c r="BA169" s="66">
        <f t="shared" ref="BA169" si="156">IF(AZ$169=0,0,AZ169/AZ$169)</f>
        <v>1</v>
      </c>
    </row>
    <row r="170" spans="1:53" s="117" customFormat="1" ht="17.100000000000001" customHeight="1" x14ac:dyDescent="0.25">
      <c r="A170" s="119"/>
      <c r="B170" s="119"/>
      <c r="C170" s="420"/>
      <c r="D170" s="261"/>
      <c r="E170" s="261"/>
      <c r="F170" s="68"/>
      <c r="G170" s="210"/>
      <c r="H170" s="119"/>
      <c r="I170" s="236"/>
      <c r="J170" s="198"/>
      <c r="K170" s="198"/>
      <c r="L170" s="17"/>
      <c r="M170" s="17"/>
      <c r="N170" s="17"/>
      <c r="O170" s="17"/>
      <c r="P170" s="17"/>
      <c r="Q170" s="17"/>
      <c r="R170" s="17"/>
      <c r="S170" s="17"/>
      <c r="T170" s="17"/>
      <c r="U170" s="17"/>
      <c r="V170" s="17"/>
      <c r="W170" s="646"/>
      <c r="X170" s="646"/>
      <c r="Y170" s="646"/>
      <c r="Z170" s="201"/>
      <c r="AA170" s="201"/>
      <c r="AB170" s="201"/>
      <c r="AC170" s="84"/>
      <c r="AE170" s="17"/>
      <c r="AF170" s="17"/>
      <c r="AG170" s="646"/>
      <c r="AH170" s="646"/>
      <c r="AI170" s="91"/>
      <c r="AK170" s="17"/>
      <c r="AL170" s="17"/>
      <c r="AM170" s="646"/>
      <c r="AN170" s="646"/>
      <c r="AO170" s="91"/>
      <c r="AQ170" s="17"/>
      <c r="AR170" s="17"/>
      <c r="AS170" s="646"/>
      <c r="AT170" s="646"/>
      <c r="AU170" s="91"/>
      <c r="AW170" s="17"/>
      <c r="AX170" s="17"/>
      <c r="AY170" s="646"/>
      <c r="AZ170" s="17"/>
      <c r="BA170" s="91"/>
    </row>
    <row r="171" spans="1:53" ht="17.100000000000001" customHeight="1" x14ac:dyDescent="0.25">
      <c r="A171" s="40"/>
      <c r="B171" s="41" t="s">
        <v>116</v>
      </c>
      <c r="C171" s="42" t="s">
        <v>12</v>
      </c>
      <c r="D171" s="43"/>
      <c r="E171" s="43"/>
      <c r="F171" s="43"/>
      <c r="G171" s="44"/>
      <c r="H171" s="23"/>
      <c r="I171" s="229"/>
      <c r="J171" s="71"/>
      <c r="K171" s="71"/>
      <c r="L171" s="71"/>
      <c r="M171" s="71"/>
      <c r="N171" s="71"/>
      <c r="O171" s="71"/>
      <c r="P171" s="71"/>
      <c r="Q171" s="71"/>
      <c r="R171" s="71"/>
      <c r="S171" s="71"/>
      <c r="T171" s="71"/>
      <c r="U171" s="71"/>
      <c r="V171" s="71"/>
      <c r="W171" s="71"/>
      <c r="X171" s="71"/>
      <c r="Y171" s="71"/>
      <c r="Z171" s="73"/>
      <c r="AA171" s="73"/>
      <c r="AB171" s="73"/>
      <c r="AC171" s="73"/>
      <c r="AE171" s="71"/>
      <c r="AF171" s="71"/>
      <c r="AG171" s="73"/>
      <c r="AH171" s="73"/>
      <c r="AI171" s="73"/>
      <c r="AK171" s="71"/>
      <c r="AL171" s="71"/>
      <c r="AM171" s="73"/>
      <c r="AN171" s="73"/>
      <c r="AO171" s="73"/>
      <c r="AQ171" s="71"/>
      <c r="AR171" s="71"/>
      <c r="AS171" s="73"/>
      <c r="AT171" s="73"/>
      <c r="AU171" s="73"/>
      <c r="AW171" s="71"/>
      <c r="AX171" s="71"/>
      <c r="AY171" s="73"/>
      <c r="AZ171" s="73"/>
      <c r="BA171" s="73"/>
    </row>
    <row r="172" spans="1:53" s="97" customFormat="1" ht="17.100000000000001" customHeight="1" x14ac:dyDescent="0.25">
      <c r="A172" s="68"/>
      <c r="B172" s="68"/>
      <c r="C172" s="92"/>
      <c r="D172" s="93"/>
      <c r="E172" s="93"/>
      <c r="F172" s="93"/>
      <c r="G172" s="93"/>
      <c r="H172" s="12"/>
      <c r="I172" s="12"/>
    </row>
    <row r="173" spans="1:53" s="32" customFormat="1" ht="16.5" thickBot="1" x14ac:dyDescent="0.3">
      <c r="A173" s="24" t="s">
        <v>150</v>
      </c>
      <c r="B173" s="25" t="s">
        <v>589</v>
      </c>
      <c r="C173" s="26"/>
      <c r="D173" s="27"/>
      <c r="E173" s="27"/>
      <c r="F173" s="27"/>
      <c r="G173" s="27"/>
      <c r="H173" s="310"/>
      <c r="I173" s="14"/>
      <c r="J173" s="140"/>
      <c r="K173" s="140"/>
      <c r="L173" s="140"/>
      <c r="M173" s="140"/>
      <c r="N173" s="140"/>
      <c r="O173" s="140"/>
      <c r="P173" s="140"/>
      <c r="Q173" s="140"/>
      <c r="R173" s="140"/>
      <c r="S173" s="140"/>
      <c r="T173" s="140"/>
      <c r="U173" s="140"/>
      <c r="V173" s="140"/>
      <c r="W173" s="140"/>
      <c r="X173" s="140"/>
      <c r="Y173" s="140"/>
      <c r="Z173" s="31" t="s">
        <v>5</v>
      </c>
      <c r="AA173" s="31"/>
      <c r="AB173" s="31"/>
      <c r="AC173" s="24"/>
      <c r="AE173" s="33" t="s">
        <v>181</v>
      </c>
      <c r="AF173" s="33" t="s">
        <v>182</v>
      </c>
      <c r="AG173" s="33" t="s">
        <v>6</v>
      </c>
      <c r="AH173" s="33" t="s">
        <v>4</v>
      </c>
      <c r="AI173" s="34" t="s">
        <v>5</v>
      </c>
      <c r="AJ173" s="35"/>
      <c r="AK173" s="36" t="s">
        <v>181</v>
      </c>
      <c r="AL173" s="36" t="s">
        <v>182</v>
      </c>
      <c r="AM173" s="36" t="s">
        <v>6</v>
      </c>
      <c r="AN173" s="36" t="s">
        <v>4</v>
      </c>
      <c r="AO173" s="37" t="s">
        <v>5</v>
      </c>
      <c r="AQ173" s="398" t="s">
        <v>181</v>
      </c>
      <c r="AR173" s="398" t="s">
        <v>182</v>
      </c>
      <c r="AS173" s="398" t="s">
        <v>6</v>
      </c>
      <c r="AT173" s="398" t="s">
        <v>4</v>
      </c>
      <c r="AU173" s="399" t="s">
        <v>5</v>
      </c>
      <c r="AW173" s="38" t="s">
        <v>181</v>
      </c>
      <c r="AX173" s="38" t="s">
        <v>182</v>
      </c>
      <c r="AY173" s="38" t="s">
        <v>6</v>
      </c>
      <c r="AZ173" s="38" t="s">
        <v>4</v>
      </c>
      <c r="BA173" s="39" t="s">
        <v>5</v>
      </c>
    </row>
    <row r="174" spans="1:53" ht="17.100000000000001" customHeight="1" x14ac:dyDescent="0.25">
      <c r="A174" s="40"/>
      <c r="B174" s="41" t="s">
        <v>152</v>
      </c>
      <c r="C174" s="274" t="s">
        <v>615</v>
      </c>
      <c r="D174" s="43"/>
      <c r="E174" s="43"/>
      <c r="F174" s="43"/>
      <c r="G174" s="43"/>
      <c r="H174" s="321"/>
      <c r="I174" s="12"/>
      <c r="J174" s="73"/>
      <c r="K174" s="73"/>
      <c r="L174" s="73"/>
      <c r="M174" s="73"/>
      <c r="N174" s="73"/>
      <c r="O174" s="73"/>
      <c r="P174" s="73"/>
      <c r="Q174" s="73"/>
      <c r="R174" s="73"/>
      <c r="S174" s="73"/>
      <c r="T174" s="73"/>
      <c r="U174" s="73"/>
      <c r="V174" s="73"/>
      <c r="W174" s="73"/>
      <c r="X174" s="73"/>
      <c r="Y174" s="73"/>
      <c r="Z174" s="73"/>
      <c r="AA174" s="73"/>
      <c r="AB174" s="73"/>
      <c r="AC174" s="73"/>
      <c r="AE174" s="73"/>
      <c r="AF174" s="73"/>
      <c r="AG174" s="73"/>
      <c r="AH174" s="73"/>
      <c r="AI174" s="73"/>
      <c r="AK174" s="73"/>
      <c r="AL174" s="73"/>
      <c r="AM174" s="73"/>
      <c r="AN174" s="73"/>
      <c r="AO174" s="73"/>
      <c r="AQ174" s="71"/>
      <c r="AR174" s="71"/>
      <c r="AS174" s="71"/>
      <c r="AT174" s="72"/>
      <c r="AU174" s="73"/>
      <c r="AW174" s="73"/>
      <c r="AX174" s="73"/>
      <c r="AY174" s="73"/>
      <c r="AZ174" s="73"/>
      <c r="BA174" s="73"/>
    </row>
    <row r="175" spans="1:53" s="4" customFormat="1" ht="17.100000000000001" customHeight="1" x14ac:dyDescent="0.25">
      <c r="A175" s="102"/>
      <c r="B175" s="102"/>
      <c r="C175" s="74" t="s">
        <v>153</v>
      </c>
      <c r="D175" s="85" t="s">
        <v>590</v>
      </c>
      <c r="E175" s="75"/>
      <c r="F175" s="75"/>
      <c r="G175" s="106"/>
      <c r="H175" s="647"/>
      <c r="I175" s="231"/>
      <c r="J175" s="174"/>
      <c r="K175" s="174"/>
      <c r="L175" s="111"/>
      <c r="M175" s="111"/>
      <c r="N175" s="60"/>
      <c r="O175" s="60"/>
      <c r="P175" s="17">
        <f t="shared" ref="P175:P187" si="157">SUM(N175:O175)</f>
        <v>0</v>
      </c>
      <c r="Q175" s="60"/>
      <c r="R175" s="60"/>
      <c r="S175" s="17">
        <f t="shared" ref="S175:S187" si="158">SUM(Q175:R175)</f>
        <v>0</v>
      </c>
      <c r="T175" s="60"/>
      <c r="U175" s="60"/>
      <c r="V175" s="17">
        <f t="shared" ref="V175:V181" si="159">SUM(T175:U175)</f>
        <v>0</v>
      </c>
      <c r="W175" s="391">
        <f t="shared" ref="W175:W181" si="160">J175+K175+N175+Q175+T175</f>
        <v>0</v>
      </c>
      <c r="X175" s="17">
        <f t="shared" ref="X175:X181" si="161">L175+O175+R175+U175</f>
        <v>0</v>
      </c>
      <c r="Y175" s="18">
        <f t="shared" ref="Y175:Y181" si="162">SUM(W175:X175)</f>
        <v>0</v>
      </c>
      <c r="Z175" s="19">
        <f t="shared" ref="Z175:Z181" si="163">IF(Y$188=0,0,Y175/Y$188)</f>
        <v>0</v>
      </c>
      <c r="AA175" s="19"/>
      <c r="AB175" s="19"/>
      <c r="AC175" s="20"/>
      <c r="AE175" s="111"/>
      <c r="AF175" s="111"/>
      <c r="AG175" s="111"/>
      <c r="AH175" s="651"/>
      <c r="AI175" s="131"/>
      <c r="AJ175" s="3"/>
      <c r="AK175" s="111"/>
      <c r="AL175" s="111"/>
      <c r="AM175" s="111"/>
      <c r="AN175" s="651"/>
      <c r="AO175" s="131"/>
      <c r="AP175" s="3"/>
      <c r="AQ175" s="20"/>
      <c r="AR175" s="20"/>
      <c r="AS175" s="20"/>
      <c r="AT175" s="17">
        <f t="shared" ref="AT175:AT181" si="164">W175</f>
        <v>0</v>
      </c>
      <c r="AU175" s="19">
        <f>IF(AT$169=0,0,AT175/AT$169)</f>
        <v>0</v>
      </c>
      <c r="AV175" s="3"/>
      <c r="AW175" s="17"/>
      <c r="AX175" s="17"/>
      <c r="AY175" s="17"/>
      <c r="AZ175" s="424">
        <f>X175</f>
        <v>0</v>
      </c>
      <c r="BA175" s="19">
        <f>IF(AZ$169=0,0,AZ175/AZ$169)</f>
        <v>0</v>
      </c>
    </row>
    <row r="176" spans="1:53" s="4" customFormat="1" ht="17.100000000000001" customHeight="1" x14ac:dyDescent="0.25">
      <c r="A176" s="102"/>
      <c r="B176" s="102"/>
      <c r="C176" s="74" t="s">
        <v>154</v>
      </c>
      <c r="D176" s="85" t="s">
        <v>591</v>
      </c>
      <c r="E176" s="75"/>
      <c r="F176" s="75"/>
      <c r="G176" s="106"/>
      <c r="H176" s="647"/>
      <c r="I176" s="231"/>
      <c r="J176" s="174"/>
      <c r="K176" s="174"/>
      <c r="L176" s="111"/>
      <c r="M176" s="111"/>
      <c r="N176" s="61"/>
      <c r="O176" s="61"/>
      <c r="P176" s="17">
        <f t="shared" si="157"/>
        <v>0</v>
      </c>
      <c r="Q176" s="61"/>
      <c r="R176" s="61"/>
      <c r="S176" s="17">
        <f t="shared" si="158"/>
        <v>0</v>
      </c>
      <c r="T176" s="61"/>
      <c r="U176" s="61"/>
      <c r="V176" s="17">
        <f t="shared" si="159"/>
        <v>0</v>
      </c>
      <c r="W176" s="391">
        <f t="shared" si="160"/>
        <v>0</v>
      </c>
      <c r="X176" s="17">
        <f t="shared" si="161"/>
        <v>0</v>
      </c>
      <c r="Y176" s="18">
        <f t="shared" si="162"/>
        <v>0</v>
      </c>
      <c r="Z176" s="19">
        <f t="shared" si="163"/>
        <v>0</v>
      </c>
      <c r="AA176" s="19"/>
      <c r="AB176" s="19"/>
      <c r="AC176" s="20"/>
      <c r="AE176" s="111"/>
      <c r="AF176" s="111"/>
      <c r="AG176" s="111"/>
      <c r="AH176" s="651"/>
      <c r="AI176" s="131"/>
      <c r="AJ176" s="3"/>
      <c r="AK176" s="111"/>
      <c r="AL176" s="111"/>
      <c r="AM176" s="111"/>
      <c r="AN176" s="651"/>
      <c r="AO176" s="131"/>
      <c r="AP176" s="3"/>
      <c r="AQ176" s="20"/>
      <c r="AR176" s="20"/>
      <c r="AS176" s="20"/>
      <c r="AT176" s="17">
        <f t="shared" si="164"/>
        <v>0</v>
      </c>
      <c r="AU176" s="19">
        <f t="shared" ref="AU176:AU181" si="165">IF(AT$188=0,0,AT176/AT$188)</f>
        <v>0</v>
      </c>
      <c r="AV176" s="3"/>
      <c r="AW176" s="17"/>
      <c r="AX176" s="17"/>
      <c r="AY176" s="17"/>
      <c r="AZ176" s="424">
        <f t="shared" ref="AZ176:AZ181" si="166">Y176</f>
        <v>0</v>
      </c>
      <c r="BA176" s="19">
        <f t="shared" ref="BA176:BA181" si="167">IF(AZ$188=0,0,AZ176/AZ$188)</f>
        <v>0</v>
      </c>
    </row>
    <row r="177" spans="1:53" s="4" customFormat="1" ht="17.100000000000001" customHeight="1" x14ac:dyDescent="0.25">
      <c r="A177" s="102"/>
      <c r="B177" s="102"/>
      <c r="C177" s="74" t="s">
        <v>155</v>
      </c>
      <c r="D177" s="85" t="s">
        <v>592</v>
      </c>
      <c r="E177" s="75"/>
      <c r="F177" s="75"/>
      <c r="G177" s="105"/>
      <c r="H177" s="119"/>
      <c r="I177" s="231"/>
      <c r="J177" s="174"/>
      <c r="K177" s="174"/>
      <c r="L177" s="111"/>
      <c r="M177" s="111"/>
      <c r="N177" s="60"/>
      <c r="O177" s="60"/>
      <c r="P177" s="17">
        <f t="shared" si="157"/>
        <v>0</v>
      </c>
      <c r="Q177" s="60"/>
      <c r="R177" s="60">
        <v>6</v>
      </c>
      <c r="S177" s="17">
        <f t="shared" si="158"/>
        <v>6</v>
      </c>
      <c r="T177" s="60"/>
      <c r="U177" s="60"/>
      <c r="V177" s="17">
        <f t="shared" si="159"/>
        <v>0</v>
      </c>
      <c r="W177" s="391">
        <f t="shared" si="160"/>
        <v>0</v>
      </c>
      <c r="X177" s="17">
        <f t="shared" si="161"/>
        <v>6</v>
      </c>
      <c r="Y177" s="18">
        <f t="shared" si="162"/>
        <v>6</v>
      </c>
      <c r="Z177" s="19">
        <f t="shared" si="163"/>
        <v>0.8571428571428571</v>
      </c>
      <c r="AA177" s="19"/>
      <c r="AB177" s="19"/>
      <c r="AC177" s="20"/>
      <c r="AE177" s="111"/>
      <c r="AF177" s="111"/>
      <c r="AG177" s="111"/>
      <c r="AH177" s="651"/>
      <c r="AI177" s="131"/>
      <c r="AJ177" s="3"/>
      <c r="AK177" s="111"/>
      <c r="AL177" s="111"/>
      <c r="AM177" s="111"/>
      <c r="AN177" s="651"/>
      <c r="AO177" s="131"/>
      <c r="AP177" s="3"/>
      <c r="AQ177" s="20"/>
      <c r="AR177" s="20"/>
      <c r="AS177" s="20"/>
      <c r="AT177" s="17">
        <f t="shared" si="164"/>
        <v>0</v>
      </c>
      <c r="AU177" s="19">
        <f t="shared" si="165"/>
        <v>0</v>
      </c>
      <c r="AV177" s="3"/>
      <c r="AW177" s="17"/>
      <c r="AX177" s="17"/>
      <c r="AY177" s="17"/>
      <c r="AZ177" s="424">
        <f t="shared" si="166"/>
        <v>6</v>
      </c>
      <c r="BA177" s="19">
        <f t="shared" si="167"/>
        <v>0.8571428571428571</v>
      </c>
    </row>
    <row r="178" spans="1:53" s="4" customFormat="1" ht="17.100000000000001" customHeight="1" x14ac:dyDescent="0.25">
      <c r="A178" s="102"/>
      <c r="B178" s="102"/>
      <c r="C178" s="74" t="s">
        <v>156</v>
      </c>
      <c r="D178" s="85" t="s">
        <v>593</v>
      </c>
      <c r="E178" s="75"/>
      <c r="F178" s="75"/>
      <c r="G178" s="105"/>
      <c r="H178" s="84"/>
      <c r="I178" s="231"/>
      <c r="J178" s="174"/>
      <c r="K178" s="174"/>
      <c r="L178" s="111"/>
      <c r="M178" s="111"/>
      <c r="N178" s="61"/>
      <c r="O178" s="61"/>
      <c r="P178" s="17">
        <f t="shared" si="157"/>
        <v>0</v>
      </c>
      <c r="Q178" s="61"/>
      <c r="R178" s="61"/>
      <c r="S178" s="17">
        <f t="shared" si="158"/>
        <v>0</v>
      </c>
      <c r="T178" s="61"/>
      <c r="U178" s="61"/>
      <c r="V178" s="17">
        <f t="shared" si="159"/>
        <v>0</v>
      </c>
      <c r="W178" s="391">
        <f t="shared" si="160"/>
        <v>0</v>
      </c>
      <c r="X178" s="17">
        <f t="shared" si="161"/>
        <v>0</v>
      </c>
      <c r="Y178" s="18">
        <f t="shared" si="162"/>
        <v>0</v>
      </c>
      <c r="Z178" s="19">
        <f t="shared" si="163"/>
        <v>0</v>
      </c>
      <c r="AA178" s="19"/>
      <c r="AB178" s="19"/>
      <c r="AC178" s="20"/>
      <c r="AE178" s="111"/>
      <c r="AF178" s="111"/>
      <c r="AG178" s="111"/>
      <c r="AH178" s="651"/>
      <c r="AI178" s="131"/>
      <c r="AJ178" s="3"/>
      <c r="AK178" s="111"/>
      <c r="AL178" s="111"/>
      <c r="AM178" s="111"/>
      <c r="AN178" s="651"/>
      <c r="AO178" s="131"/>
      <c r="AP178" s="3"/>
      <c r="AQ178" s="20"/>
      <c r="AR178" s="20"/>
      <c r="AS178" s="20"/>
      <c r="AT178" s="17">
        <f t="shared" si="164"/>
        <v>0</v>
      </c>
      <c r="AU178" s="19">
        <f t="shared" si="165"/>
        <v>0</v>
      </c>
      <c r="AV178" s="3"/>
      <c r="AW178" s="17"/>
      <c r="AX178" s="17"/>
      <c r="AY178" s="17"/>
      <c r="AZ178" s="424">
        <f t="shared" si="166"/>
        <v>0</v>
      </c>
      <c r="BA178" s="19">
        <f t="shared" si="167"/>
        <v>0</v>
      </c>
    </row>
    <row r="179" spans="1:53" s="4" customFormat="1" ht="17.100000000000001" customHeight="1" x14ac:dyDescent="0.25">
      <c r="A179" s="102"/>
      <c r="B179" s="102"/>
      <c r="C179" s="74" t="s">
        <v>157</v>
      </c>
      <c r="D179" s="85" t="s">
        <v>594</v>
      </c>
      <c r="E179" s="75"/>
      <c r="F179" s="75"/>
      <c r="G179" s="105"/>
      <c r="H179" s="84"/>
      <c r="I179" s="231"/>
      <c r="J179" s="174"/>
      <c r="K179" s="174"/>
      <c r="L179" s="111"/>
      <c r="M179" s="111"/>
      <c r="N179" s="60"/>
      <c r="O179" s="60"/>
      <c r="P179" s="17">
        <f t="shared" si="157"/>
        <v>0</v>
      </c>
      <c r="Q179" s="60"/>
      <c r="R179" s="60"/>
      <c r="S179" s="17">
        <f t="shared" si="158"/>
        <v>0</v>
      </c>
      <c r="T179" s="60"/>
      <c r="U179" s="60"/>
      <c r="V179" s="17">
        <f t="shared" si="159"/>
        <v>0</v>
      </c>
      <c r="W179" s="391">
        <f t="shared" si="160"/>
        <v>0</v>
      </c>
      <c r="X179" s="17">
        <f t="shared" si="161"/>
        <v>0</v>
      </c>
      <c r="Y179" s="18">
        <f t="shared" si="162"/>
        <v>0</v>
      </c>
      <c r="Z179" s="19">
        <f t="shared" si="163"/>
        <v>0</v>
      </c>
      <c r="AA179" s="19"/>
      <c r="AB179" s="19"/>
      <c r="AC179" s="20"/>
      <c r="AE179" s="111"/>
      <c r="AF179" s="111"/>
      <c r="AG179" s="111"/>
      <c r="AH179" s="651"/>
      <c r="AI179" s="131"/>
      <c r="AJ179" s="3"/>
      <c r="AK179" s="111"/>
      <c r="AL179" s="111"/>
      <c r="AM179" s="111"/>
      <c r="AN179" s="651"/>
      <c r="AO179" s="131"/>
      <c r="AP179" s="3"/>
      <c r="AQ179" s="20"/>
      <c r="AR179" s="20"/>
      <c r="AS179" s="20"/>
      <c r="AT179" s="17">
        <f t="shared" si="164"/>
        <v>0</v>
      </c>
      <c r="AU179" s="19">
        <f t="shared" si="165"/>
        <v>0</v>
      </c>
      <c r="AV179" s="3"/>
      <c r="AW179" s="17"/>
      <c r="AX179" s="17"/>
      <c r="AY179" s="17"/>
      <c r="AZ179" s="424">
        <f t="shared" si="166"/>
        <v>0</v>
      </c>
      <c r="BA179" s="19">
        <f t="shared" si="167"/>
        <v>0</v>
      </c>
    </row>
    <row r="180" spans="1:53" s="4" customFormat="1" ht="17.100000000000001" customHeight="1" x14ac:dyDescent="0.25">
      <c r="A180" s="102"/>
      <c r="B180" s="102"/>
      <c r="C180" s="74" t="s">
        <v>158</v>
      </c>
      <c r="D180" s="85" t="s">
        <v>595</v>
      </c>
      <c r="E180" s="75"/>
      <c r="F180" s="75"/>
      <c r="G180" s="105"/>
      <c r="H180" s="84"/>
      <c r="I180" s="231"/>
      <c r="J180" s="174"/>
      <c r="K180" s="174"/>
      <c r="L180" s="111"/>
      <c r="M180" s="111"/>
      <c r="N180" s="61"/>
      <c r="O180" s="61"/>
      <c r="P180" s="17">
        <f t="shared" si="157"/>
        <v>0</v>
      </c>
      <c r="Q180" s="61"/>
      <c r="R180" s="61">
        <v>1</v>
      </c>
      <c r="S180" s="17">
        <f t="shared" si="158"/>
        <v>1</v>
      </c>
      <c r="T180" s="61"/>
      <c r="U180" s="61"/>
      <c r="V180" s="17">
        <f t="shared" si="159"/>
        <v>0</v>
      </c>
      <c r="W180" s="391">
        <f t="shared" si="160"/>
        <v>0</v>
      </c>
      <c r="X180" s="17">
        <f t="shared" si="161"/>
        <v>1</v>
      </c>
      <c r="Y180" s="18">
        <f t="shared" si="162"/>
        <v>1</v>
      </c>
      <c r="Z180" s="19">
        <f t="shared" si="163"/>
        <v>0.14285714285714285</v>
      </c>
      <c r="AA180" s="19"/>
      <c r="AB180" s="19"/>
      <c r="AC180" s="20"/>
      <c r="AE180" s="111"/>
      <c r="AF180" s="111"/>
      <c r="AG180" s="111"/>
      <c r="AH180" s="651"/>
      <c r="AI180" s="131"/>
      <c r="AJ180" s="3"/>
      <c r="AK180" s="111"/>
      <c r="AL180" s="111"/>
      <c r="AM180" s="111"/>
      <c r="AN180" s="651"/>
      <c r="AO180" s="131"/>
      <c r="AP180" s="3"/>
      <c r="AQ180" s="20"/>
      <c r="AR180" s="20"/>
      <c r="AS180" s="20"/>
      <c r="AT180" s="17">
        <f t="shared" si="164"/>
        <v>0</v>
      </c>
      <c r="AU180" s="19">
        <f t="shared" si="165"/>
        <v>0</v>
      </c>
      <c r="AV180" s="3"/>
      <c r="AW180" s="17"/>
      <c r="AX180" s="17"/>
      <c r="AY180" s="17"/>
      <c r="AZ180" s="424">
        <f t="shared" si="166"/>
        <v>1</v>
      </c>
      <c r="BA180" s="19">
        <f t="shared" si="167"/>
        <v>0.14285714285714285</v>
      </c>
    </row>
    <row r="181" spans="1:53" s="4" customFormat="1" ht="17.100000000000001" customHeight="1" x14ac:dyDescent="0.25">
      <c r="A181" s="102"/>
      <c r="B181" s="102"/>
      <c r="C181" s="74" t="s">
        <v>159</v>
      </c>
      <c r="D181" s="85" t="s">
        <v>596</v>
      </c>
      <c r="E181" s="75"/>
      <c r="F181" s="649"/>
      <c r="G181" s="246"/>
      <c r="H181" s="84"/>
      <c r="I181" s="97"/>
      <c r="J181" s="111"/>
      <c r="K181" s="111"/>
      <c r="L181" s="111"/>
      <c r="M181" s="111"/>
      <c r="N181" s="111">
        <f t="shared" ref="N181:U181" si="168">SUM(N182:N185)</f>
        <v>0</v>
      </c>
      <c r="O181" s="111">
        <f t="shared" si="168"/>
        <v>0</v>
      </c>
      <c r="P181" s="17">
        <f t="shared" si="157"/>
        <v>0</v>
      </c>
      <c r="Q181" s="111">
        <f t="shared" si="168"/>
        <v>0</v>
      </c>
      <c r="R181" s="111">
        <f t="shared" si="168"/>
        <v>0</v>
      </c>
      <c r="S181" s="17">
        <f t="shared" si="158"/>
        <v>0</v>
      </c>
      <c r="T181" s="111">
        <f t="shared" si="168"/>
        <v>0</v>
      </c>
      <c r="U181" s="111">
        <f t="shared" si="168"/>
        <v>0</v>
      </c>
      <c r="V181" s="17">
        <f t="shared" si="159"/>
        <v>0</v>
      </c>
      <c r="W181" s="380">
        <f t="shared" si="160"/>
        <v>0</v>
      </c>
      <c r="X181" s="111">
        <f t="shared" si="161"/>
        <v>0</v>
      </c>
      <c r="Y181" s="651">
        <f t="shared" si="162"/>
        <v>0</v>
      </c>
      <c r="Z181" s="131">
        <f t="shared" si="163"/>
        <v>0</v>
      </c>
      <c r="AA181" s="131"/>
      <c r="AB181" s="131"/>
      <c r="AC181" s="113"/>
      <c r="AE181" s="111"/>
      <c r="AF181" s="111"/>
      <c r="AG181" s="111"/>
      <c r="AH181" s="651"/>
      <c r="AI181" s="131"/>
      <c r="AJ181" s="3"/>
      <c r="AK181" s="111"/>
      <c r="AL181" s="111"/>
      <c r="AM181" s="111"/>
      <c r="AN181" s="651"/>
      <c r="AO181" s="131"/>
      <c r="AP181" s="3"/>
      <c r="AQ181" s="111"/>
      <c r="AR181" s="111"/>
      <c r="AS181" s="111"/>
      <c r="AT181" s="111">
        <f t="shared" si="164"/>
        <v>0</v>
      </c>
      <c r="AU181" s="131">
        <f t="shared" si="165"/>
        <v>0</v>
      </c>
      <c r="AV181" s="3"/>
      <c r="AW181" s="111"/>
      <c r="AX181" s="111"/>
      <c r="AY181" s="111"/>
      <c r="AZ181" s="111">
        <f t="shared" si="166"/>
        <v>0</v>
      </c>
      <c r="BA181" s="131">
        <f t="shared" si="167"/>
        <v>0</v>
      </c>
    </row>
    <row r="182" spans="1:53" s="4" customFormat="1" ht="17.100000000000001" customHeight="1" x14ac:dyDescent="0.25">
      <c r="A182" s="102"/>
      <c r="B182" s="102"/>
      <c r="C182" s="74"/>
      <c r="D182" s="294"/>
      <c r="E182" s="295"/>
      <c r="F182" s="295"/>
      <c r="G182" s="295"/>
      <c r="H182" s="198"/>
      <c r="I182" s="642"/>
      <c r="J182" s="174"/>
      <c r="K182" s="174"/>
      <c r="L182" s="111"/>
      <c r="M182" s="111"/>
      <c r="N182" s="60"/>
      <c r="O182" s="60"/>
      <c r="P182" s="17">
        <f t="shared" si="157"/>
        <v>0</v>
      </c>
      <c r="Q182" s="60"/>
      <c r="R182" s="60"/>
      <c r="S182" s="17">
        <f t="shared" si="158"/>
        <v>0</v>
      </c>
      <c r="T182" s="60"/>
      <c r="U182" s="60"/>
      <c r="V182" s="17">
        <f t="shared" ref="V182:V185" si="169">SUM(T182:U182)</f>
        <v>0</v>
      </c>
      <c r="W182" s="391">
        <f t="shared" ref="W182:W185" si="170">J182+K182+N182+Q182+T182</f>
        <v>0</v>
      </c>
      <c r="X182" s="17">
        <f t="shared" ref="X182:X185" si="171">L182+O182+R182+U182</f>
        <v>0</v>
      </c>
      <c r="Y182" s="18">
        <f t="shared" ref="Y182:Y185" si="172">SUM(W182:X182)</f>
        <v>0</v>
      </c>
      <c r="Z182" s="20"/>
      <c r="AA182" s="20"/>
      <c r="AB182" s="20"/>
      <c r="AC182" s="20"/>
      <c r="AE182" s="111"/>
      <c r="AF182" s="111"/>
      <c r="AG182" s="113"/>
      <c r="AH182" s="113"/>
      <c r="AI182" s="131"/>
      <c r="AK182" s="111"/>
      <c r="AL182" s="111"/>
      <c r="AM182" s="113"/>
      <c r="AN182" s="113"/>
      <c r="AO182" s="131"/>
      <c r="AQ182" s="17"/>
      <c r="AR182" s="17"/>
      <c r="AS182" s="20"/>
      <c r="AT182" s="20"/>
      <c r="AU182" s="19"/>
      <c r="AW182" s="17"/>
      <c r="AX182" s="17"/>
      <c r="AY182" s="20"/>
      <c r="AZ182" s="20"/>
      <c r="BA182" s="19"/>
    </row>
    <row r="183" spans="1:53" s="4" customFormat="1" ht="17.100000000000001" customHeight="1" x14ac:dyDescent="0.25">
      <c r="A183" s="102"/>
      <c r="B183" s="102"/>
      <c r="C183" s="74"/>
      <c r="D183" s="296"/>
      <c r="E183" s="297"/>
      <c r="F183" s="297"/>
      <c r="G183" s="297"/>
      <c r="H183" s="198"/>
      <c r="I183" s="642"/>
      <c r="J183" s="174"/>
      <c r="K183" s="174"/>
      <c r="L183" s="111"/>
      <c r="M183" s="111"/>
      <c r="N183" s="61"/>
      <c r="O183" s="61"/>
      <c r="P183" s="17">
        <f t="shared" si="157"/>
        <v>0</v>
      </c>
      <c r="Q183" s="61"/>
      <c r="R183" s="61"/>
      <c r="S183" s="17">
        <f t="shared" si="158"/>
        <v>0</v>
      </c>
      <c r="T183" s="61"/>
      <c r="U183" s="61"/>
      <c r="V183" s="17">
        <f t="shared" si="169"/>
        <v>0</v>
      </c>
      <c r="W183" s="391">
        <f t="shared" si="170"/>
        <v>0</v>
      </c>
      <c r="X183" s="17">
        <f t="shared" si="171"/>
        <v>0</v>
      </c>
      <c r="Y183" s="18">
        <f t="shared" si="172"/>
        <v>0</v>
      </c>
      <c r="Z183" s="20"/>
      <c r="AA183" s="20"/>
      <c r="AB183" s="20"/>
      <c r="AC183" s="20"/>
      <c r="AE183" s="111"/>
      <c r="AF183" s="111"/>
      <c r="AG183" s="113"/>
      <c r="AH183" s="113"/>
      <c r="AI183" s="131"/>
      <c r="AK183" s="111"/>
      <c r="AL183" s="111"/>
      <c r="AM183" s="113"/>
      <c r="AN183" s="113"/>
      <c r="AO183" s="131"/>
      <c r="AQ183" s="17"/>
      <c r="AR183" s="17"/>
      <c r="AS183" s="20"/>
      <c r="AT183" s="20"/>
      <c r="AU183" s="19"/>
      <c r="AW183" s="17"/>
      <c r="AX183" s="17"/>
      <c r="AY183" s="20"/>
      <c r="AZ183" s="20"/>
      <c r="BA183" s="19"/>
    </row>
    <row r="184" spans="1:53" s="4" customFormat="1" ht="17.100000000000001" customHeight="1" x14ac:dyDescent="0.25">
      <c r="A184" s="102"/>
      <c r="B184" s="102"/>
      <c r="C184" s="74"/>
      <c r="D184" s="294"/>
      <c r="E184" s="295"/>
      <c r="F184" s="295"/>
      <c r="G184" s="295"/>
      <c r="H184" s="198"/>
      <c r="I184" s="642"/>
      <c r="J184" s="174"/>
      <c r="K184" s="174"/>
      <c r="L184" s="111"/>
      <c r="M184" s="111"/>
      <c r="N184" s="60"/>
      <c r="O184" s="60"/>
      <c r="P184" s="17">
        <f t="shared" si="157"/>
        <v>0</v>
      </c>
      <c r="Q184" s="60"/>
      <c r="R184" s="60"/>
      <c r="S184" s="17">
        <f t="shared" si="158"/>
        <v>0</v>
      </c>
      <c r="T184" s="60"/>
      <c r="U184" s="60"/>
      <c r="V184" s="17">
        <f t="shared" si="169"/>
        <v>0</v>
      </c>
      <c r="W184" s="391">
        <f t="shared" si="170"/>
        <v>0</v>
      </c>
      <c r="X184" s="17">
        <f t="shared" si="171"/>
        <v>0</v>
      </c>
      <c r="Y184" s="18">
        <f t="shared" si="172"/>
        <v>0</v>
      </c>
      <c r="Z184" s="20"/>
      <c r="AA184" s="20"/>
      <c r="AB184" s="20"/>
      <c r="AC184" s="20"/>
      <c r="AE184" s="111"/>
      <c r="AF184" s="111"/>
      <c r="AG184" s="113"/>
      <c r="AH184" s="113"/>
      <c r="AI184" s="131"/>
      <c r="AK184" s="111"/>
      <c r="AL184" s="111"/>
      <c r="AM184" s="113"/>
      <c r="AN184" s="113"/>
      <c r="AO184" s="131"/>
      <c r="AQ184" s="17"/>
      <c r="AR184" s="17"/>
      <c r="AS184" s="20"/>
      <c r="AT184" s="20"/>
      <c r="AU184" s="19"/>
      <c r="AW184" s="17"/>
      <c r="AX184" s="17"/>
      <c r="AY184" s="20"/>
      <c r="AZ184" s="20"/>
      <c r="BA184" s="19"/>
    </row>
    <row r="185" spans="1:53" s="4" customFormat="1" ht="17.100000000000001" customHeight="1" x14ac:dyDescent="0.25">
      <c r="A185" s="102"/>
      <c r="B185" s="102"/>
      <c r="C185" s="74"/>
      <c r="D185" s="296"/>
      <c r="E185" s="297"/>
      <c r="F185" s="297"/>
      <c r="G185" s="297"/>
      <c r="H185" s="198"/>
      <c r="I185" s="642"/>
      <c r="J185" s="174"/>
      <c r="K185" s="174"/>
      <c r="L185" s="111"/>
      <c r="M185" s="111"/>
      <c r="N185" s="61"/>
      <c r="O185" s="61"/>
      <c r="P185" s="17">
        <f t="shared" si="157"/>
        <v>0</v>
      </c>
      <c r="Q185" s="61"/>
      <c r="R185" s="61"/>
      <c r="S185" s="17">
        <f t="shared" si="158"/>
        <v>0</v>
      </c>
      <c r="T185" s="61"/>
      <c r="U185" s="61"/>
      <c r="V185" s="17">
        <f t="shared" si="169"/>
        <v>0</v>
      </c>
      <c r="W185" s="391">
        <f t="shared" si="170"/>
        <v>0</v>
      </c>
      <c r="X185" s="17">
        <f t="shared" si="171"/>
        <v>0</v>
      </c>
      <c r="Y185" s="18">
        <f t="shared" si="172"/>
        <v>0</v>
      </c>
      <c r="Z185" s="20"/>
      <c r="AA185" s="20"/>
      <c r="AB185" s="20"/>
      <c r="AC185" s="20"/>
      <c r="AE185" s="111"/>
      <c r="AF185" s="111"/>
      <c r="AG185" s="113"/>
      <c r="AH185" s="113"/>
      <c r="AI185" s="131"/>
      <c r="AK185" s="111"/>
      <c r="AL185" s="111"/>
      <c r="AM185" s="113"/>
      <c r="AN185" s="113"/>
      <c r="AO185" s="131"/>
      <c r="AQ185" s="17"/>
      <c r="AR185" s="17"/>
      <c r="AS185" s="20"/>
      <c r="AT185" s="20"/>
      <c r="AU185" s="19"/>
      <c r="AW185" s="17"/>
      <c r="AX185" s="17"/>
      <c r="AY185" s="20"/>
      <c r="AZ185" s="20"/>
      <c r="BA185" s="19"/>
    </row>
    <row r="186" spans="1:53" s="4" customFormat="1" ht="17.100000000000001" customHeight="1" x14ac:dyDescent="0.25">
      <c r="A186" s="102"/>
      <c r="B186" s="102"/>
      <c r="C186" s="74"/>
      <c r="D186" s="294"/>
      <c r="E186" s="295"/>
      <c r="F186" s="295"/>
      <c r="G186" s="295"/>
      <c r="H186" s="198"/>
      <c r="I186" s="642"/>
      <c r="J186" s="174"/>
      <c r="K186" s="174"/>
      <c r="L186" s="111"/>
      <c r="M186" s="111"/>
      <c r="N186" s="60"/>
      <c r="O186" s="60"/>
      <c r="P186" s="17">
        <f t="shared" si="157"/>
        <v>0</v>
      </c>
      <c r="Q186" s="60"/>
      <c r="R186" s="60"/>
      <c r="S186" s="17">
        <f t="shared" si="158"/>
        <v>0</v>
      </c>
      <c r="T186" s="60"/>
      <c r="U186" s="60"/>
      <c r="V186" s="17">
        <f t="shared" ref="V186:V187" si="173">SUM(T186:U186)</f>
        <v>0</v>
      </c>
      <c r="W186" s="391">
        <f t="shared" ref="W186:W187" si="174">J186+K186+N186+Q186+T186</f>
        <v>0</v>
      </c>
      <c r="X186" s="17">
        <f t="shared" ref="X186:X187" si="175">L186+O186+R186+U186</f>
        <v>0</v>
      </c>
      <c r="Y186" s="18">
        <f t="shared" ref="Y186:Y187" si="176">SUM(W186:X186)</f>
        <v>0</v>
      </c>
      <c r="Z186" s="20"/>
      <c r="AA186" s="20"/>
      <c r="AB186" s="20"/>
      <c r="AC186" s="20"/>
      <c r="AE186" s="111"/>
      <c r="AF186" s="111"/>
      <c r="AG186" s="113"/>
      <c r="AH186" s="113"/>
      <c r="AI186" s="131"/>
      <c r="AK186" s="111"/>
      <c r="AL186" s="111"/>
      <c r="AM186" s="113"/>
      <c r="AN186" s="113"/>
      <c r="AO186" s="131"/>
      <c r="AQ186" s="17"/>
      <c r="AR186" s="17"/>
      <c r="AS186" s="20"/>
      <c r="AT186" s="20"/>
      <c r="AU186" s="19"/>
      <c r="AW186" s="17"/>
      <c r="AX186" s="17"/>
      <c r="AY186" s="20"/>
      <c r="AZ186" s="20"/>
      <c r="BA186" s="19"/>
    </row>
    <row r="187" spans="1:53" s="4" customFormat="1" ht="17.100000000000001" customHeight="1" x14ac:dyDescent="0.25">
      <c r="A187" s="102"/>
      <c r="B187" s="102"/>
      <c r="C187" s="74"/>
      <c r="D187" s="1317"/>
      <c r="E187" s="297"/>
      <c r="F187" s="297"/>
      <c r="G187" s="297"/>
      <c r="H187" s="198"/>
      <c r="I187" s="642"/>
      <c r="J187" s="174"/>
      <c r="K187" s="174"/>
      <c r="L187" s="111"/>
      <c r="M187" s="111"/>
      <c r="N187" s="61"/>
      <c r="O187" s="61"/>
      <c r="P187" s="17">
        <f t="shared" si="157"/>
        <v>0</v>
      </c>
      <c r="Q187" s="61"/>
      <c r="R187" s="61"/>
      <c r="S187" s="17">
        <f t="shared" si="158"/>
        <v>0</v>
      </c>
      <c r="T187" s="61"/>
      <c r="U187" s="61"/>
      <c r="V187" s="17">
        <f t="shared" si="173"/>
        <v>0</v>
      </c>
      <c r="W187" s="391">
        <f t="shared" si="174"/>
        <v>0</v>
      </c>
      <c r="X187" s="17">
        <f t="shared" si="175"/>
        <v>0</v>
      </c>
      <c r="Y187" s="18">
        <f t="shared" si="176"/>
        <v>0</v>
      </c>
      <c r="Z187" s="20"/>
      <c r="AA187" s="20"/>
      <c r="AB187" s="20"/>
      <c r="AC187" s="20"/>
      <c r="AE187" s="111"/>
      <c r="AF187" s="111"/>
      <c r="AG187" s="113"/>
      <c r="AH187" s="113"/>
      <c r="AI187" s="131"/>
      <c r="AK187" s="111"/>
      <c r="AL187" s="111"/>
      <c r="AM187" s="113"/>
      <c r="AN187" s="113"/>
      <c r="AO187" s="131"/>
      <c r="AQ187" s="17"/>
      <c r="AR187" s="17"/>
      <c r="AS187" s="20"/>
      <c r="AT187" s="20"/>
      <c r="AU187" s="19"/>
      <c r="AW187" s="17"/>
      <c r="AX187" s="17"/>
      <c r="AY187" s="20"/>
      <c r="AZ187" s="20"/>
      <c r="BA187" s="19"/>
    </row>
    <row r="188" spans="1:53" ht="17.100000000000001" customHeight="1" x14ac:dyDescent="0.25">
      <c r="A188" s="40"/>
      <c r="B188" s="40"/>
      <c r="C188" s="292"/>
      <c r="D188" s="144"/>
      <c r="E188" s="144"/>
      <c r="F188" s="145"/>
      <c r="G188" s="145"/>
      <c r="H188" s="119"/>
      <c r="I188" s="236"/>
      <c r="J188" s="64"/>
      <c r="K188" s="64"/>
      <c r="L188" s="81"/>
      <c r="M188" s="81"/>
      <c r="N188" s="81">
        <f>SUM(N175:N181)</f>
        <v>0</v>
      </c>
      <c r="O188" s="81">
        <f t="shared" ref="O188:Y188" si="177">SUM(O175:O181)</f>
        <v>0</v>
      </c>
      <c r="P188" s="81">
        <f t="shared" si="177"/>
        <v>0</v>
      </c>
      <c r="Q188" s="81">
        <f t="shared" si="177"/>
        <v>0</v>
      </c>
      <c r="R188" s="81">
        <f t="shared" si="177"/>
        <v>7</v>
      </c>
      <c r="S188" s="81">
        <f t="shared" si="177"/>
        <v>7</v>
      </c>
      <c r="T188" s="81">
        <f t="shared" si="177"/>
        <v>0</v>
      </c>
      <c r="U188" s="81">
        <f t="shared" si="177"/>
        <v>0</v>
      </c>
      <c r="V188" s="81">
        <f t="shared" si="177"/>
        <v>0</v>
      </c>
      <c r="W188" s="82">
        <f t="shared" si="177"/>
        <v>0</v>
      </c>
      <c r="X188" s="82">
        <f t="shared" si="177"/>
        <v>7</v>
      </c>
      <c r="Y188" s="82">
        <f t="shared" si="177"/>
        <v>7</v>
      </c>
      <c r="Z188" s="66">
        <f t="shared" ref="Z188" si="178">IF(Y$188=0,0,Y188/Y$188)</f>
        <v>1</v>
      </c>
      <c r="AA188" s="205"/>
      <c r="AB188" s="205"/>
      <c r="AC188" s="83"/>
      <c r="AE188" s="81"/>
      <c r="AF188" s="81"/>
      <c r="AG188" s="82"/>
      <c r="AH188" s="82"/>
      <c r="AI188" s="66"/>
      <c r="AK188" s="81"/>
      <c r="AL188" s="81"/>
      <c r="AM188" s="82"/>
      <c r="AN188" s="82"/>
      <c r="AO188" s="66"/>
      <c r="AQ188" s="81"/>
      <c r="AR188" s="81"/>
      <c r="AS188" s="82"/>
      <c r="AT188" s="82">
        <f>SUM(AT175:AT181)</f>
        <v>0</v>
      </c>
      <c r="AU188" s="66">
        <f>IF(AT$188=0,0,AT188/AT$188)</f>
        <v>0</v>
      </c>
      <c r="AW188" s="81"/>
      <c r="AX188" s="81"/>
      <c r="AY188" s="82"/>
      <c r="AZ188" s="82">
        <f>SUM(AZ175:AZ181)</f>
        <v>7</v>
      </c>
      <c r="BA188" s="66">
        <f>IF(AZ$188=0,0,AZ188/AZ$188)</f>
        <v>1</v>
      </c>
    </row>
    <row r="189" spans="1:53" s="117" customFormat="1" ht="17.100000000000001" customHeight="1" x14ac:dyDescent="0.25">
      <c r="A189" s="119"/>
      <c r="B189" s="119"/>
      <c r="C189" s="647"/>
      <c r="D189" s="212"/>
      <c r="E189" s="212"/>
      <c r="F189" s="212"/>
      <c r="G189" s="212"/>
      <c r="H189" s="242"/>
      <c r="I189" s="230"/>
      <c r="J189" s="17"/>
      <c r="K189" s="17"/>
      <c r="L189" s="17"/>
      <c r="M189" s="17"/>
      <c r="N189" s="17" t="str">
        <f>IF(N188&gt;=N$20,"OK","NOK")</f>
        <v>OK</v>
      </c>
      <c r="O189" s="17" t="str">
        <f>IF(O188&gt;=O$20,"OK","NOK")</f>
        <v>OK</v>
      </c>
      <c r="P189" s="17"/>
      <c r="Q189" s="17" t="str">
        <f>IF(Q188&gt;=Q$20,"OK","NOK")</f>
        <v>OK</v>
      </c>
      <c r="R189" s="17" t="str">
        <f>IF(R188&gt;=R$20,"OK","NOK")</f>
        <v>OK</v>
      </c>
      <c r="S189" s="17"/>
      <c r="T189" s="17" t="str">
        <f>IF(T188&gt;=T$20,"OK","NOK")</f>
        <v>OK</v>
      </c>
      <c r="U189" s="17" t="str">
        <f>IF(U188&gt;=U$20,"OK","NOK")</f>
        <v>OK</v>
      </c>
      <c r="V189" s="359"/>
      <c r="W189" s="382"/>
      <c r="X189" s="646"/>
      <c r="Y189" s="646"/>
      <c r="Z189" s="201"/>
      <c r="AA189" s="201"/>
      <c r="AB189" s="201"/>
      <c r="AC189" s="84"/>
      <c r="AE189" s="17"/>
      <c r="AF189" s="17"/>
      <c r="AG189" s="17"/>
      <c r="AH189" s="646"/>
      <c r="AI189" s="91"/>
      <c r="AK189" s="17"/>
      <c r="AL189" s="17"/>
      <c r="AM189" s="17"/>
      <c r="AN189" s="646"/>
      <c r="AO189" s="91"/>
      <c r="AQ189" s="17"/>
      <c r="AR189" s="17"/>
      <c r="AS189" s="17"/>
      <c r="AT189" s="646"/>
      <c r="AU189" s="91"/>
      <c r="AW189" s="17"/>
      <c r="AX189" s="17"/>
      <c r="AY189" s="17"/>
      <c r="AZ189" s="17"/>
      <c r="BA189" s="91"/>
    </row>
    <row r="190" spans="1:53" ht="17.100000000000001" customHeight="1" x14ac:dyDescent="0.25">
      <c r="A190" s="40"/>
      <c r="B190" s="41" t="s">
        <v>160</v>
      </c>
      <c r="C190" s="274" t="s">
        <v>597</v>
      </c>
      <c r="D190" s="43"/>
      <c r="E190" s="43"/>
      <c r="F190" s="43"/>
      <c r="G190" s="43"/>
      <c r="H190" s="23"/>
      <c r="I190" s="12"/>
      <c r="J190" s="73"/>
      <c r="K190" s="73"/>
      <c r="L190" s="73"/>
      <c r="M190" s="73"/>
      <c r="N190" s="73"/>
      <c r="O190" s="73"/>
      <c r="P190" s="73"/>
      <c r="Q190" s="73"/>
      <c r="R190" s="73"/>
      <c r="S190" s="73"/>
      <c r="T190" s="73"/>
      <c r="U190" s="73"/>
      <c r="V190" s="73"/>
      <c r="W190" s="73"/>
      <c r="X190" s="73"/>
      <c r="Y190" s="73"/>
      <c r="Z190" s="73"/>
      <c r="AA190" s="73"/>
      <c r="AB190" s="73"/>
      <c r="AC190" s="73"/>
      <c r="AE190" s="73"/>
      <c r="AF190" s="73"/>
      <c r="AG190" s="73"/>
      <c r="AH190" s="73"/>
      <c r="AI190" s="73"/>
      <c r="AK190" s="73"/>
      <c r="AL190" s="73"/>
      <c r="AM190" s="73"/>
      <c r="AN190" s="73"/>
      <c r="AO190" s="73"/>
      <c r="AQ190" s="73"/>
      <c r="AR190" s="73"/>
      <c r="AS190" s="73"/>
      <c r="AT190" s="73"/>
      <c r="AU190" s="73"/>
      <c r="AW190" s="73"/>
      <c r="AX190" s="73"/>
      <c r="AY190" s="73"/>
      <c r="AZ190" s="73"/>
      <c r="BA190" s="73"/>
    </row>
    <row r="191" spans="1:53" s="4" customFormat="1" ht="17.100000000000001" customHeight="1" x14ac:dyDescent="0.25">
      <c r="A191" s="102"/>
      <c r="B191" s="102"/>
      <c r="C191" s="74" t="s">
        <v>161</v>
      </c>
      <c r="D191" s="85" t="s">
        <v>9</v>
      </c>
      <c r="E191" s="75"/>
      <c r="F191" s="75"/>
      <c r="G191" s="105"/>
      <c r="H191" s="84"/>
      <c r="I191" s="231"/>
      <c r="J191" s="174"/>
      <c r="K191" s="174"/>
      <c r="L191" s="111"/>
      <c r="M191" s="111"/>
      <c r="N191" s="60"/>
      <c r="O191" s="60"/>
      <c r="P191" s="17">
        <f t="shared" ref="P191:P195" si="179">SUM(N191:O191)</f>
        <v>0</v>
      </c>
      <c r="Q191" s="60"/>
      <c r="R191" s="60">
        <v>7</v>
      </c>
      <c r="S191" s="17">
        <f t="shared" ref="S191:S195" si="180">SUM(Q191:R191)</f>
        <v>7</v>
      </c>
      <c r="T191" s="60"/>
      <c r="U191" s="60"/>
      <c r="V191" s="17">
        <f t="shared" ref="V191:V195" si="181">SUM(T191:U191)</f>
        <v>0</v>
      </c>
      <c r="W191" s="391">
        <f t="shared" ref="W191:W195" si="182">J191+K191+N191+Q191+T191</f>
        <v>0</v>
      </c>
      <c r="X191" s="17">
        <f t="shared" ref="X191:X195" si="183">L191+O191+R191+U191</f>
        <v>7</v>
      </c>
      <c r="Y191" s="18">
        <f t="shared" ref="Y191:Y195" si="184">SUM(W191:X191)</f>
        <v>7</v>
      </c>
      <c r="Z191" s="19">
        <f>IF(Y$196=0,0,Y191/Y$196)</f>
        <v>1</v>
      </c>
      <c r="AA191" s="19"/>
      <c r="AB191" s="19"/>
      <c r="AC191" s="20"/>
      <c r="AE191" s="111"/>
      <c r="AF191" s="111"/>
      <c r="AG191" s="111"/>
      <c r="AH191" s="651"/>
      <c r="AI191" s="131"/>
      <c r="AJ191" s="3"/>
      <c r="AK191" s="111"/>
      <c r="AL191" s="111"/>
      <c r="AM191" s="111"/>
      <c r="AN191" s="651"/>
      <c r="AO191" s="131"/>
      <c r="AP191" s="3"/>
      <c r="AQ191" s="17"/>
      <c r="AR191" s="17"/>
      <c r="AS191" s="17"/>
      <c r="AT191" s="424">
        <f>W191</f>
        <v>0</v>
      </c>
      <c r="AU191" s="19">
        <f>IF(AT$196=0,0,AT191/AT$196)</f>
        <v>0</v>
      </c>
      <c r="AV191" s="3"/>
      <c r="AW191" s="17"/>
      <c r="AX191" s="17"/>
      <c r="AY191" s="17"/>
      <c r="AZ191" s="424">
        <f>X191</f>
        <v>7</v>
      </c>
      <c r="BA191" s="19">
        <f>IF(AZ$196=0,0,AZ191/AZ$196)</f>
        <v>1</v>
      </c>
    </row>
    <row r="192" spans="1:53" s="4" customFormat="1" ht="17.100000000000001" customHeight="1" x14ac:dyDescent="0.25">
      <c r="A192" s="102"/>
      <c r="B192" s="102"/>
      <c r="C192" s="74" t="s">
        <v>163</v>
      </c>
      <c r="D192" s="85" t="s">
        <v>11</v>
      </c>
      <c r="E192" s="75"/>
      <c r="F192" s="75"/>
      <c r="G192" s="105"/>
      <c r="H192" s="84"/>
      <c r="I192" s="231"/>
      <c r="J192" s="174"/>
      <c r="K192" s="174"/>
      <c r="L192" s="111"/>
      <c r="M192" s="111"/>
      <c r="N192" s="61"/>
      <c r="O192" s="61"/>
      <c r="P192" s="17">
        <f t="shared" si="179"/>
        <v>0</v>
      </c>
      <c r="Q192" s="61"/>
      <c r="R192" s="61"/>
      <c r="S192" s="17">
        <f t="shared" si="180"/>
        <v>0</v>
      </c>
      <c r="T192" s="61"/>
      <c r="U192" s="61"/>
      <c r="V192" s="17">
        <f t="shared" si="181"/>
        <v>0</v>
      </c>
      <c r="W192" s="391">
        <f t="shared" si="182"/>
        <v>0</v>
      </c>
      <c r="X192" s="17">
        <f t="shared" si="183"/>
        <v>0</v>
      </c>
      <c r="Y192" s="18">
        <f t="shared" si="184"/>
        <v>0</v>
      </c>
      <c r="Z192" s="19">
        <f t="shared" ref="Z192:Z196" si="185">IF(Y$196=0,0,Y192/Y$196)</f>
        <v>0</v>
      </c>
      <c r="AA192" s="19"/>
      <c r="AB192" s="19"/>
      <c r="AC192" s="20"/>
      <c r="AE192" s="111"/>
      <c r="AF192" s="111"/>
      <c r="AG192" s="111"/>
      <c r="AH192" s="651"/>
      <c r="AI192" s="131"/>
      <c r="AJ192" s="3"/>
      <c r="AK192" s="111"/>
      <c r="AL192" s="111"/>
      <c r="AM192" s="111"/>
      <c r="AN192" s="651"/>
      <c r="AO192" s="131"/>
      <c r="AP192" s="3"/>
      <c r="AQ192" s="17"/>
      <c r="AR192" s="17"/>
      <c r="AS192" s="17"/>
      <c r="AT192" s="424">
        <f t="shared" ref="AT192:AT195" si="186">W192</f>
        <v>0</v>
      </c>
      <c r="AU192" s="19">
        <f t="shared" ref="AU192:AU196" si="187">IF(AT$196=0,0,AT192/AT$196)</f>
        <v>0</v>
      </c>
      <c r="AV192" s="3"/>
      <c r="AW192" s="17"/>
      <c r="AX192" s="17"/>
      <c r="AY192" s="17"/>
      <c r="AZ192" s="424">
        <f t="shared" ref="AZ192:AZ195" si="188">X192</f>
        <v>0</v>
      </c>
      <c r="BA192" s="19">
        <f t="shared" ref="BA192:BA196" si="189">IF(AZ$196=0,0,AZ192/AZ$196)</f>
        <v>0</v>
      </c>
    </row>
    <row r="193" spans="1:53" s="4" customFormat="1" ht="17.100000000000001" customHeight="1" x14ac:dyDescent="0.25">
      <c r="A193" s="102"/>
      <c r="B193" s="102"/>
      <c r="C193" s="74" t="s">
        <v>164</v>
      </c>
      <c r="D193" s="85" t="s">
        <v>129</v>
      </c>
      <c r="E193" s="75"/>
      <c r="F193" s="75"/>
      <c r="G193" s="105"/>
      <c r="H193" s="84"/>
      <c r="I193" s="231"/>
      <c r="J193" s="174"/>
      <c r="K193" s="174"/>
      <c r="L193" s="111"/>
      <c r="M193" s="111"/>
      <c r="N193" s="60"/>
      <c r="O193" s="60"/>
      <c r="P193" s="17">
        <f t="shared" si="179"/>
        <v>0</v>
      </c>
      <c r="Q193" s="60"/>
      <c r="R193" s="60"/>
      <c r="S193" s="17">
        <f t="shared" si="180"/>
        <v>0</v>
      </c>
      <c r="T193" s="60"/>
      <c r="U193" s="60"/>
      <c r="V193" s="17">
        <f t="shared" si="181"/>
        <v>0</v>
      </c>
      <c r="W193" s="391">
        <f t="shared" si="182"/>
        <v>0</v>
      </c>
      <c r="X193" s="17">
        <f t="shared" si="183"/>
        <v>0</v>
      </c>
      <c r="Y193" s="18">
        <f t="shared" si="184"/>
        <v>0</v>
      </c>
      <c r="Z193" s="19">
        <f t="shared" si="185"/>
        <v>0</v>
      </c>
      <c r="AA193" s="19"/>
      <c r="AB193" s="19"/>
      <c r="AC193" s="20"/>
      <c r="AE193" s="111"/>
      <c r="AF193" s="111"/>
      <c r="AG193" s="111"/>
      <c r="AH193" s="651"/>
      <c r="AI193" s="131"/>
      <c r="AJ193" s="3"/>
      <c r="AK193" s="111"/>
      <c r="AL193" s="111"/>
      <c r="AM193" s="111"/>
      <c r="AN193" s="651"/>
      <c r="AO193" s="131"/>
      <c r="AP193" s="3"/>
      <c r="AQ193" s="17"/>
      <c r="AR193" s="17"/>
      <c r="AS193" s="17"/>
      <c r="AT193" s="424">
        <f t="shared" si="186"/>
        <v>0</v>
      </c>
      <c r="AU193" s="19">
        <f t="shared" si="187"/>
        <v>0</v>
      </c>
      <c r="AV193" s="3"/>
      <c r="AW193" s="17"/>
      <c r="AX193" s="17"/>
      <c r="AY193" s="17"/>
      <c r="AZ193" s="424">
        <f t="shared" si="188"/>
        <v>0</v>
      </c>
      <c r="BA193" s="19">
        <f t="shared" si="189"/>
        <v>0</v>
      </c>
    </row>
    <row r="194" spans="1:53" s="4" customFormat="1" ht="17.100000000000001" customHeight="1" x14ac:dyDescent="0.25">
      <c r="A194" s="102"/>
      <c r="B194" s="102"/>
      <c r="C194" s="74" t="s">
        <v>166</v>
      </c>
      <c r="D194" s="85" t="s">
        <v>599</v>
      </c>
      <c r="E194" s="75"/>
      <c r="F194" s="75"/>
      <c r="G194" s="105"/>
      <c r="H194" s="84"/>
      <c r="I194" s="231"/>
      <c r="J194" s="174"/>
      <c r="K194" s="174"/>
      <c r="L194" s="111"/>
      <c r="M194" s="111"/>
      <c r="N194" s="61"/>
      <c r="O194" s="61"/>
      <c r="P194" s="17">
        <f t="shared" si="179"/>
        <v>0</v>
      </c>
      <c r="Q194" s="61"/>
      <c r="R194" s="61"/>
      <c r="S194" s="17">
        <f t="shared" si="180"/>
        <v>0</v>
      </c>
      <c r="T194" s="61"/>
      <c r="U194" s="61"/>
      <c r="V194" s="17">
        <f t="shared" si="181"/>
        <v>0</v>
      </c>
      <c r="W194" s="391">
        <f t="shared" si="182"/>
        <v>0</v>
      </c>
      <c r="X194" s="17">
        <f t="shared" si="183"/>
        <v>0</v>
      </c>
      <c r="Y194" s="18">
        <f t="shared" si="184"/>
        <v>0</v>
      </c>
      <c r="Z194" s="19">
        <f t="shared" si="185"/>
        <v>0</v>
      </c>
      <c r="AA194" s="19"/>
      <c r="AB194" s="19"/>
      <c r="AC194" s="20"/>
      <c r="AE194" s="111"/>
      <c r="AF194" s="111"/>
      <c r="AG194" s="111"/>
      <c r="AH194" s="651"/>
      <c r="AI194" s="131"/>
      <c r="AJ194" s="3"/>
      <c r="AK194" s="111"/>
      <c r="AL194" s="111"/>
      <c r="AM194" s="111"/>
      <c r="AN194" s="651"/>
      <c r="AO194" s="131"/>
      <c r="AP194" s="3"/>
      <c r="AQ194" s="17"/>
      <c r="AR194" s="17"/>
      <c r="AS194" s="17"/>
      <c r="AT194" s="424">
        <f t="shared" si="186"/>
        <v>0</v>
      </c>
      <c r="AU194" s="19">
        <f t="shared" si="187"/>
        <v>0</v>
      </c>
      <c r="AV194" s="3"/>
      <c r="AW194" s="17"/>
      <c r="AX194" s="17"/>
      <c r="AY194" s="17"/>
      <c r="AZ194" s="424">
        <f t="shared" si="188"/>
        <v>0</v>
      </c>
      <c r="BA194" s="19">
        <f t="shared" si="189"/>
        <v>0</v>
      </c>
    </row>
    <row r="195" spans="1:53" s="4" customFormat="1" ht="17.100000000000001" customHeight="1" x14ac:dyDescent="0.25">
      <c r="A195" s="102"/>
      <c r="B195" s="102"/>
      <c r="C195" s="74" t="s">
        <v>168</v>
      </c>
      <c r="D195" s="75" t="s">
        <v>600</v>
      </c>
      <c r="E195" s="75"/>
      <c r="F195" s="75"/>
      <c r="G195" s="105"/>
      <c r="H195" s="84"/>
      <c r="I195" s="231"/>
      <c r="J195" s="174"/>
      <c r="K195" s="174"/>
      <c r="L195" s="111"/>
      <c r="M195" s="111"/>
      <c r="N195" s="60"/>
      <c r="O195" s="60"/>
      <c r="P195" s="17">
        <f t="shared" si="179"/>
        <v>0</v>
      </c>
      <c r="Q195" s="60"/>
      <c r="R195" s="60"/>
      <c r="S195" s="17">
        <f t="shared" si="180"/>
        <v>0</v>
      </c>
      <c r="T195" s="60"/>
      <c r="U195" s="60"/>
      <c r="V195" s="17">
        <f t="shared" si="181"/>
        <v>0</v>
      </c>
      <c r="W195" s="391">
        <f t="shared" si="182"/>
        <v>0</v>
      </c>
      <c r="X195" s="17">
        <f t="shared" si="183"/>
        <v>0</v>
      </c>
      <c r="Y195" s="18">
        <f t="shared" si="184"/>
        <v>0</v>
      </c>
      <c r="Z195" s="19">
        <f t="shared" si="185"/>
        <v>0</v>
      </c>
      <c r="AA195" s="19"/>
      <c r="AB195" s="19"/>
      <c r="AC195" s="20"/>
      <c r="AE195" s="111"/>
      <c r="AF195" s="111"/>
      <c r="AG195" s="111"/>
      <c r="AH195" s="651"/>
      <c r="AI195" s="131"/>
      <c r="AJ195" s="3"/>
      <c r="AK195" s="111"/>
      <c r="AL195" s="111"/>
      <c r="AM195" s="111"/>
      <c r="AN195" s="651"/>
      <c r="AO195" s="131"/>
      <c r="AP195" s="3"/>
      <c r="AQ195" s="17"/>
      <c r="AR195" s="17"/>
      <c r="AS195" s="17"/>
      <c r="AT195" s="424">
        <f t="shared" si="186"/>
        <v>0</v>
      </c>
      <c r="AU195" s="19">
        <f t="shared" si="187"/>
        <v>0</v>
      </c>
      <c r="AV195" s="3"/>
      <c r="AW195" s="17"/>
      <c r="AX195" s="17"/>
      <c r="AY195" s="17"/>
      <c r="AZ195" s="424">
        <f t="shared" si="188"/>
        <v>0</v>
      </c>
      <c r="BA195" s="19">
        <f t="shared" si="189"/>
        <v>0</v>
      </c>
    </row>
    <row r="196" spans="1:53" ht="17.100000000000001" customHeight="1" x14ac:dyDescent="0.25">
      <c r="A196" s="40"/>
      <c r="B196" s="40"/>
      <c r="C196" s="292"/>
      <c r="D196" s="144"/>
      <c r="E196" s="144"/>
      <c r="F196" s="145"/>
      <c r="G196" s="145"/>
      <c r="H196" s="119"/>
      <c r="I196" s="138"/>
      <c r="J196" s="64"/>
      <c r="K196" s="64"/>
      <c r="L196" s="81"/>
      <c r="M196" s="81"/>
      <c r="N196" s="81">
        <f>SUM(N191:N195)</f>
        <v>0</v>
      </c>
      <c r="O196" s="81">
        <f t="shared" ref="O196:V196" si="190">SUM(O191:O195)</f>
        <v>0</v>
      </c>
      <c r="P196" s="81">
        <f t="shared" si="190"/>
        <v>0</v>
      </c>
      <c r="Q196" s="81">
        <f t="shared" si="190"/>
        <v>0</v>
      </c>
      <c r="R196" s="81">
        <f t="shared" si="190"/>
        <v>7</v>
      </c>
      <c r="S196" s="81">
        <f t="shared" si="190"/>
        <v>7</v>
      </c>
      <c r="T196" s="81">
        <f t="shared" si="190"/>
        <v>0</v>
      </c>
      <c r="U196" s="81">
        <f t="shared" si="190"/>
        <v>0</v>
      </c>
      <c r="V196" s="81">
        <f t="shared" si="190"/>
        <v>0</v>
      </c>
      <c r="W196" s="82">
        <f>SUM(W191:W195)</f>
        <v>0</v>
      </c>
      <c r="X196" s="82">
        <f t="shared" ref="X196:Y196" si="191">SUM(X191:X195)</f>
        <v>7</v>
      </c>
      <c r="Y196" s="82">
        <f t="shared" si="191"/>
        <v>7</v>
      </c>
      <c r="Z196" s="66">
        <f t="shared" si="185"/>
        <v>1</v>
      </c>
      <c r="AA196" s="66"/>
      <c r="AB196" s="66"/>
      <c r="AC196" s="83"/>
      <c r="AE196" s="81"/>
      <c r="AF196" s="81"/>
      <c r="AG196" s="82"/>
      <c r="AH196" s="82"/>
      <c r="AI196" s="66"/>
      <c r="AK196" s="81"/>
      <c r="AL196" s="81"/>
      <c r="AM196" s="82"/>
      <c r="AN196" s="82"/>
      <c r="AO196" s="66"/>
      <c r="AQ196" s="81"/>
      <c r="AR196" s="81"/>
      <c r="AS196" s="82"/>
      <c r="AT196" s="81">
        <f>SUM(AT191:AT195)</f>
        <v>0</v>
      </c>
      <c r="AU196" s="66">
        <f t="shared" si="187"/>
        <v>0</v>
      </c>
      <c r="AW196" s="81"/>
      <c r="AX196" s="81"/>
      <c r="AY196" s="82"/>
      <c r="AZ196" s="81">
        <f>SUM(AZ191:AZ195)</f>
        <v>7</v>
      </c>
      <c r="BA196" s="66">
        <f t="shared" si="189"/>
        <v>1</v>
      </c>
    </row>
    <row r="197" spans="1:53" s="117" customFormat="1" ht="17.100000000000001" customHeight="1" x14ac:dyDescent="0.25">
      <c r="A197" s="119"/>
      <c r="B197" s="119"/>
      <c r="C197" s="647"/>
      <c r="D197" s="212"/>
      <c r="E197" s="212"/>
      <c r="F197" s="212"/>
      <c r="G197" s="212"/>
      <c r="H197" s="242"/>
      <c r="I197" s="230"/>
      <c r="J197" s="17"/>
      <c r="K197" s="17"/>
      <c r="L197" s="17"/>
      <c r="M197" s="17"/>
      <c r="N197" s="17" t="str">
        <f>IF(N196=N$20,"OK","NOK")</f>
        <v>OK</v>
      </c>
      <c r="O197" s="17" t="str">
        <f>IF(O196=O$20,"OK","NOK")</f>
        <v>OK</v>
      </c>
      <c r="P197" s="17"/>
      <c r="Q197" s="17" t="str">
        <f>IF(Q196&gt;=Q$20,"OK","NOK")</f>
        <v>OK</v>
      </c>
      <c r="R197" s="17" t="str">
        <f>IF(R196&gt;=R$20,"OK","NOK")</f>
        <v>OK</v>
      </c>
      <c r="S197" s="17"/>
      <c r="T197" s="17" t="str">
        <f>IF(T196&gt;=T$20,"OK","NOK")</f>
        <v>OK</v>
      </c>
      <c r="U197" s="17" t="str">
        <f>IF(U196&gt;=U$20,"OK","NOK")</f>
        <v>OK</v>
      </c>
      <c r="V197" s="359"/>
      <c r="W197" s="382"/>
      <c r="X197" s="646"/>
      <c r="Y197" s="646"/>
      <c r="Z197" s="201"/>
      <c r="AA197" s="201"/>
      <c r="AB197" s="201"/>
      <c r="AC197" s="84"/>
      <c r="AE197" s="17"/>
      <c r="AF197" s="17"/>
      <c r="AG197" s="17"/>
      <c r="AH197" s="646"/>
      <c r="AI197" s="91"/>
      <c r="AK197" s="17"/>
      <c r="AL197" s="17"/>
      <c r="AM197" s="17"/>
      <c r="AN197" s="646"/>
      <c r="AO197" s="91"/>
      <c r="AQ197" s="17"/>
      <c r="AR197" s="17"/>
      <c r="AS197" s="17"/>
      <c r="AT197" s="646"/>
      <c r="AU197" s="91"/>
      <c r="AW197" s="17"/>
      <c r="AX197" s="17"/>
      <c r="AY197" s="17"/>
      <c r="AZ197" s="17"/>
      <c r="BA197" s="91"/>
    </row>
    <row r="198" spans="1:53" ht="17.100000000000001" customHeight="1" x14ac:dyDescent="0.25">
      <c r="A198" s="40"/>
      <c r="B198" s="41" t="s">
        <v>171</v>
      </c>
      <c r="C198" s="42" t="s">
        <v>601</v>
      </c>
      <c r="D198" s="43"/>
      <c r="E198" s="43"/>
      <c r="F198" s="43"/>
      <c r="G198" s="43"/>
      <c r="H198" s="23"/>
      <c r="I198" s="12"/>
      <c r="J198" s="73"/>
      <c r="K198" s="73"/>
      <c r="L198" s="73"/>
      <c r="M198" s="73"/>
      <c r="N198" s="71">
        <f>N191</f>
        <v>0</v>
      </c>
      <c r="O198" s="71">
        <f t="shared" ref="O198:U198" si="192">O191</f>
        <v>0</v>
      </c>
      <c r="P198" s="71"/>
      <c r="Q198" s="71">
        <f t="shared" si="192"/>
        <v>0</v>
      </c>
      <c r="R198" s="71">
        <f t="shared" si="192"/>
        <v>7</v>
      </c>
      <c r="S198" s="71"/>
      <c r="T198" s="71">
        <f t="shared" si="192"/>
        <v>0</v>
      </c>
      <c r="U198" s="71">
        <f t="shared" si="192"/>
        <v>0</v>
      </c>
      <c r="V198" s="71"/>
      <c r="W198" s="73"/>
      <c r="X198" s="73"/>
      <c r="Y198" s="73"/>
      <c r="Z198" s="73"/>
      <c r="AA198" s="73"/>
      <c r="AB198" s="73"/>
      <c r="AC198" s="73"/>
      <c r="AE198" s="73"/>
      <c r="AF198" s="73"/>
      <c r="AG198" s="73"/>
      <c r="AH198" s="73"/>
      <c r="AI198" s="73"/>
      <c r="AK198" s="73"/>
      <c r="AL198" s="73"/>
      <c r="AM198" s="73"/>
      <c r="AN198" s="73"/>
      <c r="AO198" s="73"/>
      <c r="AQ198" s="73"/>
      <c r="AR198" s="73"/>
      <c r="AS198" s="73"/>
      <c r="AT198" s="73"/>
      <c r="AU198" s="73"/>
      <c r="AW198" s="73"/>
      <c r="AX198" s="73"/>
      <c r="AY198" s="73"/>
      <c r="AZ198" s="73"/>
      <c r="BA198" s="73"/>
    </row>
    <row r="199" spans="1:53" s="4" customFormat="1" ht="17.100000000000001" customHeight="1" x14ac:dyDescent="0.25">
      <c r="A199" s="40"/>
      <c r="B199" s="40"/>
      <c r="C199" s="141" t="s">
        <v>172</v>
      </c>
      <c r="D199" s="648" t="s">
        <v>479</v>
      </c>
      <c r="E199" s="75"/>
      <c r="F199" s="75"/>
      <c r="G199" s="649"/>
      <c r="H199" s="254"/>
      <c r="I199" s="207"/>
      <c r="J199" s="174"/>
      <c r="K199" s="174"/>
      <c r="L199" s="111"/>
      <c r="M199" s="111"/>
      <c r="N199" s="60"/>
      <c r="O199" s="60"/>
      <c r="P199" s="17">
        <f t="shared" ref="P199:P203" si="193">SUM(N199:O199)</f>
        <v>0</v>
      </c>
      <c r="Q199" s="60"/>
      <c r="R199" s="60"/>
      <c r="S199" s="17">
        <f t="shared" ref="S199:S203" si="194">SUM(Q199:R199)</f>
        <v>0</v>
      </c>
      <c r="T199" s="60"/>
      <c r="U199" s="60"/>
      <c r="V199" s="17">
        <f t="shared" ref="V199:V203" si="195">SUM(T199:U199)</f>
        <v>0</v>
      </c>
      <c r="W199" s="391">
        <f t="shared" ref="W199:W207" si="196">J199+K199+N199+Q199+T199</f>
        <v>0</v>
      </c>
      <c r="X199" s="17">
        <f t="shared" ref="X199:X207" si="197">L199+O199+R199+U199</f>
        <v>0</v>
      </c>
      <c r="Y199" s="18">
        <f t="shared" ref="Y199:Y207" si="198">SUM(W199:X199)</f>
        <v>0</v>
      </c>
      <c r="Z199" s="19">
        <f>IF(Y$208=0,0,Y199/Y$208)</f>
        <v>0</v>
      </c>
      <c r="AA199" s="19"/>
      <c r="AB199" s="19"/>
      <c r="AC199" s="20"/>
      <c r="AE199" s="111"/>
      <c r="AF199" s="111"/>
      <c r="AG199" s="111"/>
      <c r="AH199" s="651"/>
      <c r="AI199" s="131"/>
      <c r="AJ199" s="3"/>
      <c r="AK199" s="111"/>
      <c r="AL199" s="111"/>
      <c r="AM199" s="111"/>
      <c r="AN199" s="651"/>
      <c r="AO199" s="131"/>
      <c r="AP199" s="3"/>
      <c r="AQ199" s="17"/>
      <c r="AR199" s="17"/>
      <c r="AS199" s="17"/>
      <c r="AT199" s="424">
        <f>W199</f>
        <v>0</v>
      </c>
      <c r="AU199" s="19">
        <f>IF(AT$208=0,0,AT199/AT$208)</f>
        <v>0</v>
      </c>
      <c r="AV199" s="3"/>
      <c r="AW199" s="17"/>
      <c r="AX199" s="17"/>
      <c r="AY199" s="17"/>
      <c r="AZ199" s="424">
        <f>X199</f>
        <v>0</v>
      </c>
      <c r="BA199" s="19">
        <f>IF(AZ$208=0,0,AZ199/AZ$208)</f>
        <v>0</v>
      </c>
    </row>
    <row r="200" spans="1:53" s="4" customFormat="1" ht="17.100000000000001" customHeight="1" x14ac:dyDescent="0.25">
      <c r="A200" s="40"/>
      <c r="B200" s="40"/>
      <c r="C200" s="141" t="s">
        <v>174</v>
      </c>
      <c r="D200" s="85" t="s">
        <v>405</v>
      </c>
      <c r="E200" s="75"/>
      <c r="F200" s="75"/>
      <c r="G200" s="649"/>
      <c r="H200" s="254"/>
      <c r="I200" s="207"/>
      <c r="J200" s="174"/>
      <c r="K200" s="174"/>
      <c r="L200" s="111"/>
      <c r="M200" s="111"/>
      <c r="N200" s="61"/>
      <c r="O200" s="61"/>
      <c r="P200" s="17">
        <f t="shared" si="193"/>
        <v>0</v>
      </c>
      <c r="Q200" s="61"/>
      <c r="R200" s="61"/>
      <c r="S200" s="17">
        <f t="shared" si="194"/>
        <v>0</v>
      </c>
      <c r="T200" s="61"/>
      <c r="U200" s="61"/>
      <c r="V200" s="17">
        <f t="shared" si="195"/>
        <v>0</v>
      </c>
      <c r="W200" s="391">
        <f t="shared" si="196"/>
        <v>0</v>
      </c>
      <c r="X200" s="17">
        <f t="shared" si="197"/>
        <v>0</v>
      </c>
      <c r="Y200" s="18">
        <f t="shared" si="198"/>
        <v>0</v>
      </c>
      <c r="Z200" s="19">
        <f t="shared" ref="Z200:Z208" si="199">IF(Y$208=0,0,Y200/Y$208)</f>
        <v>0</v>
      </c>
      <c r="AA200" s="19"/>
      <c r="AB200" s="19"/>
      <c r="AC200" s="20"/>
      <c r="AE200" s="111"/>
      <c r="AF200" s="111"/>
      <c r="AG200" s="111"/>
      <c r="AH200" s="651"/>
      <c r="AI200" s="131"/>
      <c r="AJ200" s="3"/>
      <c r="AK200" s="111"/>
      <c r="AL200" s="111"/>
      <c r="AM200" s="111"/>
      <c r="AN200" s="651"/>
      <c r="AO200" s="131"/>
      <c r="AP200" s="3"/>
      <c r="AQ200" s="17"/>
      <c r="AR200" s="17"/>
      <c r="AS200" s="17"/>
      <c r="AT200" s="424">
        <f t="shared" ref="AT200:AT207" si="200">W200</f>
        <v>0</v>
      </c>
      <c r="AU200" s="19">
        <f t="shared" ref="AU200:AU203" si="201">IF(AT$208=0,0,AT200/AT$208)</f>
        <v>0</v>
      </c>
      <c r="AV200" s="3"/>
      <c r="AW200" s="17"/>
      <c r="AX200" s="17"/>
      <c r="AY200" s="17"/>
      <c r="AZ200" s="424">
        <f t="shared" ref="AZ200:AZ207" si="202">X200</f>
        <v>0</v>
      </c>
      <c r="BA200" s="19">
        <f t="shared" ref="BA200:BA208" si="203">IF(AZ$208=0,0,AZ200/AZ$208)</f>
        <v>0</v>
      </c>
    </row>
    <row r="201" spans="1:53" s="4" customFormat="1" ht="17.100000000000001" customHeight="1" x14ac:dyDescent="0.25">
      <c r="A201" s="40"/>
      <c r="B201" s="40"/>
      <c r="C201" s="141" t="s">
        <v>175</v>
      </c>
      <c r="D201" s="85" t="s">
        <v>480</v>
      </c>
      <c r="E201" s="75"/>
      <c r="F201" s="75"/>
      <c r="G201" s="649"/>
      <c r="H201" s="254"/>
      <c r="I201" s="207"/>
      <c r="J201" s="174"/>
      <c r="K201" s="174"/>
      <c r="L201" s="111"/>
      <c r="M201" s="111"/>
      <c r="N201" s="60"/>
      <c r="O201" s="60"/>
      <c r="P201" s="17">
        <f t="shared" si="193"/>
        <v>0</v>
      </c>
      <c r="Q201" s="60"/>
      <c r="R201" s="60">
        <v>7</v>
      </c>
      <c r="S201" s="17">
        <f t="shared" si="194"/>
        <v>7</v>
      </c>
      <c r="T201" s="60"/>
      <c r="U201" s="60"/>
      <c r="V201" s="17">
        <f t="shared" si="195"/>
        <v>0</v>
      </c>
      <c r="W201" s="391">
        <f t="shared" si="196"/>
        <v>0</v>
      </c>
      <c r="X201" s="17">
        <f t="shared" si="197"/>
        <v>7</v>
      </c>
      <c r="Y201" s="18">
        <f t="shared" si="198"/>
        <v>7</v>
      </c>
      <c r="Z201" s="19">
        <f t="shared" si="199"/>
        <v>1</v>
      </c>
      <c r="AA201" s="19"/>
      <c r="AB201" s="19"/>
      <c r="AC201" s="20"/>
      <c r="AE201" s="111"/>
      <c r="AF201" s="111"/>
      <c r="AG201" s="111"/>
      <c r="AH201" s="651"/>
      <c r="AI201" s="131"/>
      <c r="AJ201" s="3"/>
      <c r="AK201" s="111"/>
      <c r="AL201" s="111"/>
      <c r="AM201" s="111"/>
      <c r="AN201" s="651"/>
      <c r="AO201" s="131"/>
      <c r="AP201" s="3"/>
      <c r="AQ201" s="17"/>
      <c r="AR201" s="17"/>
      <c r="AS201" s="17"/>
      <c r="AT201" s="424">
        <f t="shared" si="200"/>
        <v>0</v>
      </c>
      <c r="AU201" s="19">
        <f t="shared" si="201"/>
        <v>0</v>
      </c>
      <c r="AV201" s="3"/>
      <c r="AW201" s="17"/>
      <c r="AX201" s="17"/>
      <c r="AY201" s="17"/>
      <c r="AZ201" s="424">
        <f t="shared" si="202"/>
        <v>7</v>
      </c>
      <c r="BA201" s="19">
        <f t="shared" si="203"/>
        <v>1</v>
      </c>
    </row>
    <row r="202" spans="1:53" s="4" customFormat="1" ht="17.100000000000001" customHeight="1" x14ac:dyDescent="0.25">
      <c r="A202" s="40"/>
      <c r="B202" s="40"/>
      <c r="C202" s="141" t="s">
        <v>176</v>
      </c>
      <c r="D202" s="648" t="s">
        <v>481</v>
      </c>
      <c r="E202" s="75"/>
      <c r="F202" s="75"/>
      <c r="G202" s="649"/>
      <c r="H202" s="254"/>
      <c r="I202" s="207"/>
      <c r="J202" s="174"/>
      <c r="K202" s="174"/>
      <c r="L202" s="111"/>
      <c r="M202" s="111"/>
      <c r="N202" s="61"/>
      <c r="O202" s="61"/>
      <c r="P202" s="17">
        <f t="shared" si="193"/>
        <v>0</v>
      </c>
      <c r="Q202" s="61"/>
      <c r="R202" s="61"/>
      <c r="S202" s="17">
        <f t="shared" si="194"/>
        <v>0</v>
      </c>
      <c r="T202" s="61"/>
      <c r="U202" s="61"/>
      <c r="V202" s="17">
        <f t="shared" si="195"/>
        <v>0</v>
      </c>
      <c r="W202" s="391">
        <f t="shared" si="196"/>
        <v>0</v>
      </c>
      <c r="X202" s="17">
        <f t="shared" si="197"/>
        <v>0</v>
      </c>
      <c r="Y202" s="18">
        <f t="shared" si="198"/>
        <v>0</v>
      </c>
      <c r="Z202" s="19">
        <f t="shared" si="199"/>
        <v>0</v>
      </c>
      <c r="AA202" s="19"/>
      <c r="AB202" s="19"/>
      <c r="AC202" s="20"/>
      <c r="AE202" s="111"/>
      <c r="AF202" s="111"/>
      <c r="AG202" s="111"/>
      <c r="AH202" s="651"/>
      <c r="AI202" s="131"/>
      <c r="AJ202" s="3"/>
      <c r="AK202" s="111"/>
      <c r="AL202" s="111"/>
      <c r="AM202" s="111"/>
      <c r="AN202" s="651"/>
      <c r="AO202" s="131"/>
      <c r="AP202" s="3"/>
      <c r="AQ202" s="17"/>
      <c r="AR202" s="17"/>
      <c r="AS202" s="17"/>
      <c r="AT202" s="424">
        <f t="shared" si="200"/>
        <v>0</v>
      </c>
      <c r="AU202" s="19">
        <f t="shared" si="201"/>
        <v>0</v>
      </c>
      <c r="AV202" s="3"/>
      <c r="AW202" s="17"/>
      <c r="AX202" s="17"/>
      <c r="AY202" s="17"/>
      <c r="AZ202" s="424">
        <f t="shared" si="202"/>
        <v>0</v>
      </c>
      <c r="BA202" s="19">
        <f t="shared" si="203"/>
        <v>0</v>
      </c>
    </row>
    <row r="203" spans="1:53" s="4" customFormat="1" ht="17.100000000000001" customHeight="1" x14ac:dyDescent="0.25">
      <c r="A203" s="40"/>
      <c r="B203" s="40"/>
      <c r="C203" s="282" t="s">
        <v>177</v>
      </c>
      <c r="D203" s="648" t="s">
        <v>109</v>
      </c>
      <c r="E203" s="650"/>
      <c r="F203" s="650"/>
      <c r="G203" s="649"/>
      <c r="H203" s="254"/>
      <c r="I203" s="207"/>
      <c r="J203" s="111"/>
      <c r="K203" s="111"/>
      <c r="L203" s="111"/>
      <c r="M203" s="111"/>
      <c r="N203" s="111">
        <f>SUM(N204:N206)</f>
        <v>0</v>
      </c>
      <c r="O203" s="111">
        <f t="shared" ref="O203:U203" si="204">SUM(O204:O206)</f>
        <v>0</v>
      </c>
      <c r="P203" s="111">
        <f t="shared" si="193"/>
        <v>0</v>
      </c>
      <c r="Q203" s="111">
        <f t="shared" si="204"/>
        <v>0</v>
      </c>
      <c r="R203" s="111">
        <f t="shared" si="204"/>
        <v>0</v>
      </c>
      <c r="S203" s="111">
        <f t="shared" si="194"/>
        <v>0</v>
      </c>
      <c r="T203" s="111">
        <f t="shared" si="204"/>
        <v>0</v>
      </c>
      <c r="U203" s="111">
        <f t="shared" si="204"/>
        <v>0</v>
      </c>
      <c r="V203" s="111">
        <f t="shared" si="195"/>
        <v>0</v>
      </c>
      <c r="W203" s="380">
        <f t="shared" si="196"/>
        <v>0</v>
      </c>
      <c r="X203" s="111">
        <f t="shared" si="197"/>
        <v>0</v>
      </c>
      <c r="Y203" s="651">
        <f t="shared" si="198"/>
        <v>0</v>
      </c>
      <c r="Z203" s="131">
        <f t="shared" si="199"/>
        <v>0</v>
      </c>
      <c r="AA203" s="131"/>
      <c r="AB203" s="131"/>
      <c r="AC203" s="113"/>
      <c r="AE203" s="111"/>
      <c r="AF203" s="111"/>
      <c r="AG203" s="111"/>
      <c r="AH203" s="651"/>
      <c r="AI203" s="131"/>
      <c r="AJ203" s="3"/>
      <c r="AK203" s="111"/>
      <c r="AL203" s="111"/>
      <c r="AM203" s="111"/>
      <c r="AN203" s="651"/>
      <c r="AO203" s="131"/>
      <c r="AP203" s="3"/>
      <c r="AQ203" s="111"/>
      <c r="AR203" s="111"/>
      <c r="AS203" s="111"/>
      <c r="AT203" s="111">
        <f t="shared" si="200"/>
        <v>0</v>
      </c>
      <c r="AU203" s="131">
        <f t="shared" si="201"/>
        <v>0</v>
      </c>
      <c r="AV203" s="3"/>
      <c r="AW203" s="111"/>
      <c r="AX203" s="111"/>
      <c r="AY203" s="111"/>
      <c r="AZ203" s="111">
        <f t="shared" si="202"/>
        <v>0</v>
      </c>
      <c r="BA203" s="131">
        <f t="shared" si="203"/>
        <v>0</v>
      </c>
    </row>
    <row r="204" spans="1:53" s="4" customFormat="1" ht="16.5" customHeight="1" x14ac:dyDescent="0.25">
      <c r="A204" s="40"/>
      <c r="B204" s="40"/>
      <c r="C204" s="56"/>
      <c r="D204" s="294"/>
      <c r="E204" s="295"/>
      <c r="F204" s="295"/>
      <c r="G204" s="295"/>
      <c r="H204" s="198"/>
      <c r="I204" s="642"/>
      <c r="J204" s="174"/>
      <c r="K204" s="174"/>
      <c r="L204" s="111"/>
      <c r="M204" s="111"/>
      <c r="N204" s="60"/>
      <c r="O204" s="60"/>
      <c r="P204" s="17"/>
      <c r="Q204" s="60"/>
      <c r="R204" s="60"/>
      <c r="S204" s="17"/>
      <c r="T204" s="60"/>
      <c r="U204" s="60"/>
      <c r="V204" s="17"/>
      <c r="W204" s="391"/>
      <c r="X204" s="17"/>
      <c r="Y204" s="18"/>
      <c r="Z204" s="19"/>
      <c r="AA204" s="20"/>
      <c r="AB204" s="20"/>
      <c r="AC204" s="20"/>
      <c r="AE204" s="111"/>
      <c r="AF204" s="111"/>
      <c r="AG204" s="113"/>
      <c r="AH204" s="113"/>
      <c r="AI204" s="131"/>
      <c r="AK204" s="111"/>
      <c r="AL204" s="111"/>
      <c r="AM204" s="113"/>
      <c r="AN204" s="113"/>
      <c r="AO204" s="131"/>
      <c r="AQ204" s="17"/>
      <c r="AR204" s="17"/>
      <c r="AS204" s="20"/>
      <c r="AT204" s="424"/>
      <c r="AU204" s="19"/>
      <c r="AW204" s="17"/>
      <c r="AX204" s="17"/>
      <c r="AY204" s="20"/>
      <c r="AZ204" s="424"/>
      <c r="BA204" s="19"/>
    </row>
    <row r="205" spans="1:53" s="4" customFormat="1" ht="17.100000000000001" customHeight="1" x14ac:dyDescent="0.25">
      <c r="A205" s="40"/>
      <c r="B205" s="40"/>
      <c r="C205" s="56"/>
      <c r="D205" s="296"/>
      <c r="E205" s="297"/>
      <c r="F205" s="297"/>
      <c r="G205" s="297"/>
      <c r="H205" s="198"/>
      <c r="I205" s="642"/>
      <c r="J205" s="174"/>
      <c r="K205" s="174"/>
      <c r="L205" s="111"/>
      <c r="M205" s="111"/>
      <c r="N205" s="61"/>
      <c r="O205" s="61"/>
      <c r="P205" s="17"/>
      <c r="Q205" s="61"/>
      <c r="R205" s="61"/>
      <c r="S205" s="17"/>
      <c r="T205" s="61"/>
      <c r="U205" s="61"/>
      <c r="V205" s="17"/>
      <c r="W205" s="391"/>
      <c r="X205" s="17"/>
      <c r="Y205" s="18"/>
      <c r="Z205" s="19"/>
      <c r="AA205" s="20"/>
      <c r="AB205" s="20"/>
      <c r="AC205" s="20"/>
      <c r="AE205" s="111"/>
      <c r="AF205" s="111"/>
      <c r="AG205" s="113"/>
      <c r="AH205" s="113"/>
      <c r="AI205" s="131"/>
      <c r="AK205" s="111"/>
      <c r="AL205" s="111"/>
      <c r="AM205" s="113"/>
      <c r="AN205" s="113"/>
      <c r="AO205" s="131"/>
      <c r="AQ205" s="17"/>
      <c r="AR205" s="17"/>
      <c r="AS205" s="20"/>
      <c r="AT205" s="424"/>
      <c r="AU205" s="19"/>
      <c r="AW205" s="17"/>
      <c r="AX205" s="17"/>
      <c r="AY205" s="20"/>
      <c r="AZ205" s="424"/>
      <c r="BA205" s="19"/>
    </row>
    <row r="206" spans="1:53" s="4" customFormat="1" ht="16.5" customHeight="1" x14ac:dyDescent="0.25">
      <c r="A206" s="40"/>
      <c r="B206" s="40"/>
      <c r="C206" s="56"/>
      <c r="D206" s="294"/>
      <c r="E206" s="295"/>
      <c r="F206" s="295"/>
      <c r="G206" s="295"/>
      <c r="H206" s="198"/>
      <c r="I206" s="642"/>
      <c r="J206" s="174"/>
      <c r="K206" s="174"/>
      <c r="L206" s="111"/>
      <c r="M206" s="111"/>
      <c r="N206" s="60"/>
      <c r="O206" s="60"/>
      <c r="P206" s="17"/>
      <c r="Q206" s="60"/>
      <c r="R206" s="60"/>
      <c r="S206" s="17"/>
      <c r="T206" s="60"/>
      <c r="U206" s="60"/>
      <c r="V206" s="17"/>
      <c r="W206" s="391"/>
      <c r="X206" s="17"/>
      <c r="Y206" s="18"/>
      <c r="Z206" s="19"/>
      <c r="AA206" s="20"/>
      <c r="AB206" s="20"/>
      <c r="AC206" s="20"/>
      <c r="AE206" s="111"/>
      <c r="AF206" s="111"/>
      <c r="AG206" s="113"/>
      <c r="AH206" s="113"/>
      <c r="AI206" s="131"/>
      <c r="AK206" s="111"/>
      <c r="AL206" s="111"/>
      <c r="AM206" s="113"/>
      <c r="AN206" s="113"/>
      <c r="AO206" s="131"/>
      <c r="AQ206" s="17"/>
      <c r="AR206" s="17"/>
      <c r="AS206" s="20"/>
      <c r="AT206" s="424"/>
      <c r="AU206" s="19"/>
      <c r="AW206" s="17"/>
      <c r="AX206" s="17"/>
      <c r="AY206" s="20"/>
      <c r="AZ206" s="424"/>
      <c r="BA206" s="19"/>
    </row>
    <row r="207" spans="1:53" s="4" customFormat="1" ht="17.100000000000001" customHeight="1" x14ac:dyDescent="0.25">
      <c r="A207" s="40"/>
      <c r="B207" s="40"/>
      <c r="C207" s="56" t="s">
        <v>178</v>
      </c>
      <c r="D207" s="596" t="s">
        <v>598</v>
      </c>
      <c r="E207" s="649"/>
      <c r="F207" s="649"/>
      <c r="G207" s="649"/>
      <c r="H207" s="254"/>
      <c r="I207" s="207"/>
      <c r="J207" s="174"/>
      <c r="K207" s="174"/>
      <c r="L207" s="111"/>
      <c r="M207" s="111"/>
      <c r="N207" s="61"/>
      <c r="O207" s="61"/>
      <c r="P207" s="17">
        <f t="shared" ref="P207" si="205">SUM(N207:O207)</f>
        <v>0</v>
      </c>
      <c r="Q207" s="61"/>
      <c r="R207" s="61"/>
      <c r="S207" s="17">
        <f t="shared" ref="S207" si="206">SUM(Q207:R207)</f>
        <v>0</v>
      </c>
      <c r="T207" s="61"/>
      <c r="U207" s="61"/>
      <c r="V207" s="17">
        <f t="shared" ref="V207" si="207">SUM(T207:U207)</f>
        <v>0</v>
      </c>
      <c r="W207" s="391">
        <f t="shared" si="196"/>
        <v>0</v>
      </c>
      <c r="X207" s="17">
        <f t="shared" si="197"/>
        <v>0</v>
      </c>
      <c r="Y207" s="18">
        <f t="shared" si="198"/>
        <v>0</v>
      </c>
      <c r="Z207" s="19">
        <f t="shared" si="199"/>
        <v>0</v>
      </c>
      <c r="AA207" s="19"/>
      <c r="AB207" s="19"/>
      <c r="AC207" s="20"/>
      <c r="AE207" s="111"/>
      <c r="AF207" s="111"/>
      <c r="AG207" s="111"/>
      <c r="AH207" s="651"/>
      <c r="AI207" s="131"/>
      <c r="AJ207" s="3"/>
      <c r="AK207" s="111"/>
      <c r="AL207" s="111"/>
      <c r="AM207" s="111"/>
      <c r="AN207" s="651"/>
      <c r="AO207" s="131"/>
      <c r="AP207" s="3"/>
      <c r="AQ207" s="17"/>
      <c r="AR207" s="17"/>
      <c r="AS207" s="17"/>
      <c r="AT207" s="424">
        <f t="shared" si="200"/>
        <v>0</v>
      </c>
      <c r="AU207" s="19">
        <f t="shared" ref="AU207:AU208" si="208">IF(AT$208=0,0,AT207/AT$208)</f>
        <v>0</v>
      </c>
      <c r="AV207" s="3"/>
      <c r="AW207" s="17"/>
      <c r="AX207" s="17"/>
      <c r="AY207" s="17"/>
      <c r="AZ207" s="424">
        <f t="shared" si="202"/>
        <v>0</v>
      </c>
      <c r="BA207" s="19">
        <f t="shared" si="203"/>
        <v>0</v>
      </c>
    </row>
    <row r="208" spans="1:53" ht="17.100000000000001" customHeight="1" x14ac:dyDescent="0.25">
      <c r="A208" s="40"/>
      <c r="B208" s="40"/>
      <c r="C208" s="292"/>
      <c r="D208" s="144"/>
      <c r="E208" s="144"/>
      <c r="F208" s="145"/>
      <c r="G208" s="145"/>
      <c r="H208" s="119"/>
      <c r="I208" s="236"/>
      <c r="J208" s="64"/>
      <c r="K208" s="64"/>
      <c r="L208" s="81"/>
      <c r="M208" s="81"/>
      <c r="N208" s="81">
        <f>SUM(N199:N203)+N207</f>
        <v>0</v>
      </c>
      <c r="O208" s="81">
        <f t="shared" ref="O208:V208" si="209">SUM(O199:O203)+O207</f>
        <v>0</v>
      </c>
      <c r="P208" s="81">
        <f t="shared" si="209"/>
        <v>0</v>
      </c>
      <c r="Q208" s="81">
        <f t="shared" si="209"/>
        <v>0</v>
      </c>
      <c r="R208" s="81">
        <f t="shared" si="209"/>
        <v>7</v>
      </c>
      <c r="S208" s="81">
        <f t="shared" si="209"/>
        <v>7</v>
      </c>
      <c r="T208" s="81">
        <f t="shared" si="209"/>
        <v>0</v>
      </c>
      <c r="U208" s="81">
        <f t="shared" si="209"/>
        <v>0</v>
      </c>
      <c r="V208" s="81">
        <f t="shared" si="209"/>
        <v>0</v>
      </c>
      <c r="W208" s="82">
        <f>SUM(W199:W207)</f>
        <v>0</v>
      </c>
      <c r="X208" s="82">
        <f t="shared" ref="X208:Y208" si="210">SUM(X199:X207)</f>
        <v>7</v>
      </c>
      <c r="Y208" s="82">
        <f t="shared" si="210"/>
        <v>7</v>
      </c>
      <c r="Z208" s="66">
        <f t="shared" si="199"/>
        <v>1</v>
      </c>
      <c r="AA208" s="205"/>
      <c r="AB208" s="205"/>
      <c r="AC208" s="83"/>
      <c r="AE208" s="81"/>
      <c r="AF208" s="81"/>
      <c r="AG208" s="82"/>
      <c r="AH208" s="82"/>
      <c r="AI208" s="66"/>
      <c r="AK208" s="81"/>
      <c r="AL208" s="81"/>
      <c r="AM208" s="82"/>
      <c r="AN208" s="82"/>
      <c r="AO208" s="66"/>
      <c r="AQ208" s="81"/>
      <c r="AR208" s="81"/>
      <c r="AS208" s="82"/>
      <c r="AT208" s="81">
        <f>SUM(AT199:AT203)+AT207</f>
        <v>0</v>
      </c>
      <c r="AU208" s="66">
        <f t="shared" si="208"/>
        <v>0</v>
      </c>
      <c r="AW208" s="81"/>
      <c r="AX208" s="81"/>
      <c r="AY208" s="82"/>
      <c r="AZ208" s="81">
        <f>SUM(AZ199:AZ203)+AZ207</f>
        <v>7</v>
      </c>
      <c r="BA208" s="66">
        <f t="shared" si="203"/>
        <v>1</v>
      </c>
    </row>
    <row r="209" spans="1:53" s="117" customFormat="1" ht="17.100000000000001" customHeight="1" x14ac:dyDescent="0.25">
      <c r="A209" s="119"/>
      <c r="B209" s="119"/>
      <c r="C209" s="647"/>
      <c r="D209" s="212"/>
      <c r="E209" s="212"/>
      <c r="F209" s="212"/>
      <c r="G209" s="212"/>
      <c r="H209" s="242"/>
      <c r="I209" s="230"/>
      <c r="J209" s="17"/>
      <c r="K209" s="17"/>
      <c r="L209" s="17"/>
      <c r="M209" s="17"/>
      <c r="N209" s="17" t="str">
        <f>IF(N208=N$198,"OK","NOK")</f>
        <v>OK</v>
      </c>
      <c r="O209" s="17" t="str">
        <f>IF(O208=O$198,"OK","NOK")</f>
        <v>OK</v>
      </c>
      <c r="P209" s="17"/>
      <c r="Q209" s="17" t="str">
        <f>IF(Q208=Q$198,"OK","NOK")</f>
        <v>OK</v>
      </c>
      <c r="R209" s="17" t="str">
        <f>IF(R208=R$198,"OK","NOK")</f>
        <v>OK</v>
      </c>
      <c r="S209" s="17"/>
      <c r="T209" s="17" t="str">
        <f>IF(T208=T$198,"OK","NOK")</f>
        <v>OK</v>
      </c>
      <c r="U209" s="17" t="str">
        <f>IF(U208=U$198,"OK","NOK")</f>
        <v>OK</v>
      </c>
      <c r="V209" s="359"/>
      <c r="W209" s="382"/>
      <c r="X209" s="646"/>
      <c r="Y209" s="646"/>
      <c r="Z209" s="201"/>
      <c r="AA209" s="201"/>
      <c r="AB209" s="201"/>
      <c r="AC209" s="84"/>
      <c r="AE209" s="17"/>
      <c r="AF209" s="17"/>
      <c r="AG209" s="17"/>
      <c r="AH209" s="646"/>
      <c r="AI209" s="91"/>
      <c r="AK209" s="17"/>
      <c r="AL209" s="17"/>
      <c r="AM209" s="17"/>
      <c r="AN209" s="646"/>
      <c r="AO209" s="91"/>
      <c r="AQ209" s="17"/>
      <c r="AR209" s="17"/>
      <c r="AS209" s="17"/>
      <c r="AT209" s="646"/>
      <c r="AU209" s="91"/>
      <c r="AW209" s="17"/>
      <c r="AX209" s="17"/>
      <c r="AY209" s="17"/>
      <c r="AZ209" s="17"/>
      <c r="BA209" s="91"/>
    </row>
    <row r="210" spans="1:53" ht="17.100000000000001" customHeight="1" x14ac:dyDescent="0.25">
      <c r="A210" s="40"/>
      <c r="B210" s="41" t="s">
        <v>180</v>
      </c>
      <c r="C210" s="274" t="s">
        <v>255</v>
      </c>
      <c r="D210" s="43"/>
      <c r="E210" s="43"/>
      <c r="F210" s="43"/>
      <c r="G210" s="43"/>
      <c r="H210" s="23"/>
      <c r="I210" s="12"/>
      <c r="J210" s="73"/>
      <c r="K210" s="73"/>
      <c r="L210" s="73"/>
      <c r="M210" s="73"/>
      <c r="N210" s="73"/>
      <c r="O210" s="73"/>
      <c r="P210" s="73"/>
      <c r="Q210" s="73"/>
      <c r="R210" s="73"/>
      <c r="S210" s="73"/>
      <c r="T210" s="73"/>
      <c r="U210" s="73"/>
      <c r="V210" s="73"/>
      <c r="W210" s="73"/>
      <c r="X210" s="73"/>
      <c r="Y210" s="73"/>
      <c r="Z210" s="73"/>
      <c r="AA210" s="73"/>
      <c r="AB210" s="73"/>
      <c r="AC210" s="73"/>
      <c r="AE210" s="73"/>
      <c r="AF210" s="73"/>
      <c r="AG210" s="73"/>
      <c r="AH210" s="73"/>
      <c r="AI210" s="73"/>
      <c r="AK210" s="73"/>
      <c r="AL210" s="73"/>
      <c r="AM210" s="73"/>
      <c r="AN210" s="73"/>
      <c r="AO210" s="73"/>
      <c r="AQ210" s="73"/>
      <c r="AR210" s="73"/>
      <c r="AS210" s="73"/>
      <c r="AT210" s="73"/>
      <c r="AU210" s="73"/>
      <c r="AW210" s="73"/>
      <c r="AX210" s="73"/>
      <c r="AY210" s="73"/>
      <c r="AZ210" s="73"/>
      <c r="BA210" s="73"/>
    </row>
    <row r="211" spans="1:53" s="4" customFormat="1" ht="17.100000000000001" customHeight="1" x14ac:dyDescent="0.25">
      <c r="A211" s="40"/>
      <c r="B211" s="40"/>
      <c r="C211" s="141" t="s">
        <v>440</v>
      </c>
      <c r="D211" s="146" t="s">
        <v>113</v>
      </c>
      <c r="E211" s="75"/>
      <c r="F211" s="75"/>
      <c r="G211" s="75"/>
      <c r="H211" s="23"/>
      <c r="I211" s="12"/>
      <c r="J211" s="174"/>
      <c r="K211" s="174"/>
      <c r="L211" s="111"/>
      <c r="M211" s="111"/>
      <c r="N211" s="60"/>
      <c r="O211" s="60"/>
      <c r="P211" s="17">
        <f t="shared" ref="P211:P213" si="211">SUM(N211:O211)</f>
        <v>0</v>
      </c>
      <c r="Q211" s="60"/>
      <c r="R211" s="60"/>
      <c r="S211" s="17">
        <f t="shared" ref="S211:S213" si="212">SUM(Q211:R211)</f>
        <v>0</v>
      </c>
      <c r="T211" s="60"/>
      <c r="U211" s="60"/>
      <c r="V211" s="17">
        <f t="shared" ref="V211:V213" si="213">SUM(T211:U211)</f>
        <v>0</v>
      </c>
      <c r="W211" s="391">
        <f t="shared" ref="W211:W213" si="214">J211+K211+N211+Q211+T211</f>
        <v>0</v>
      </c>
      <c r="X211" s="17">
        <f t="shared" ref="X211:X213" si="215">L211+O211+R211+U211</f>
        <v>0</v>
      </c>
      <c r="Y211" s="18">
        <f t="shared" ref="Y211:Y213" si="216">SUM(W211:X211)</f>
        <v>0</v>
      </c>
      <c r="Z211" s="19">
        <f>IF(Y$214=0,0,Y211/Y$214)</f>
        <v>0</v>
      </c>
      <c r="AA211" s="19"/>
      <c r="AB211" s="19"/>
      <c r="AC211" s="20"/>
      <c r="AE211" s="111"/>
      <c r="AF211" s="111"/>
      <c r="AG211" s="111"/>
      <c r="AH211" s="651"/>
      <c r="AI211" s="131"/>
      <c r="AJ211" s="3"/>
      <c r="AK211" s="111"/>
      <c r="AL211" s="111"/>
      <c r="AM211" s="111"/>
      <c r="AN211" s="651"/>
      <c r="AO211" s="131"/>
      <c r="AP211" s="3"/>
      <c r="AQ211" s="17"/>
      <c r="AR211" s="17"/>
      <c r="AS211" s="17"/>
      <c r="AT211" s="424">
        <f>W211</f>
        <v>0</v>
      </c>
      <c r="AU211" s="19">
        <f>IF(AT$214=0,0,AT211/AT$214)</f>
        <v>0</v>
      </c>
      <c r="AV211" s="3"/>
      <c r="AW211" s="17"/>
      <c r="AX211" s="17"/>
      <c r="AY211" s="17"/>
      <c r="AZ211" s="424">
        <f>X211</f>
        <v>0</v>
      </c>
      <c r="BA211" s="19">
        <f>IF(AZ$214=0,0,AZ211/AZ$214)</f>
        <v>0</v>
      </c>
    </row>
    <row r="212" spans="1:53" s="4" customFormat="1" ht="17.100000000000001" customHeight="1" x14ac:dyDescent="0.25">
      <c r="A212" s="40"/>
      <c r="B212" s="40"/>
      <c r="C212" s="141" t="s">
        <v>441</v>
      </c>
      <c r="D212" s="146" t="s">
        <v>602</v>
      </c>
      <c r="E212" s="75"/>
      <c r="F212" s="75"/>
      <c r="G212" s="75"/>
      <c r="H212" s="23"/>
      <c r="I212" s="12"/>
      <c r="J212" s="174"/>
      <c r="K212" s="174"/>
      <c r="L212" s="111"/>
      <c r="M212" s="111"/>
      <c r="N212" s="61"/>
      <c r="O212" s="61"/>
      <c r="P212" s="17">
        <f t="shared" si="211"/>
        <v>0</v>
      </c>
      <c r="Q212" s="61"/>
      <c r="R212" s="61">
        <v>7</v>
      </c>
      <c r="S212" s="17">
        <f t="shared" si="212"/>
        <v>7</v>
      </c>
      <c r="T212" s="61"/>
      <c r="U212" s="61"/>
      <c r="V212" s="17">
        <f t="shared" si="213"/>
        <v>0</v>
      </c>
      <c r="W212" s="391">
        <f t="shared" si="214"/>
        <v>0</v>
      </c>
      <c r="X212" s="17">
        <f t="shared" si="215"/>
        <v>7</v>
      </c>
      <c r="Y212" s="18">
        <f t="shared" si="216"/>
        <v>7</v>
      </c>
      <c r="Z212" s="19">
        <f t="shared" ref="Z212:Z214" si="217">IF(Y$214=0,0,Y212/Y$214)</f>
        <v>1</v>
      </c>
      <c r="AA212" s="19"/>
      <c r="AB212" s="19"/>
      <c r="AC212" s="20"/>
      <c r="AE212" s="111"/>
      <c r="AF212" s="111"/>
      <c r="AG212" s="111"/>
      <c r="AH212" s="651"/>
      <c r="AI212" s="131"/>
      <c r="AJ212" s="3"/>
      <c r="AK212" s="111"/>
      <c r="AL212" s="111"/>
      <c r="AM212" s="111"/>
      <c r="AN212" s="651"/>
      <c r="AO212" s="131"/>
      <c r="AP212" s="3"/>
      <c r="AQ212" s="17"/>
      <c r="AR212" s="17"/>
      <c r="AS212" s="17"/>
      <c r="AT212" s="424">
        <f t="shared" ref="AT212:AT213" si="218">W212</f>
        <v>0</v>
      </c>
      <c r="AU212" s="19">
        <f t="shared" ref="AU212:AU214" si="219">IF(AT$214=0,0,AT212/AT$214)</f>
        <v>0</v>
      </c>
      <c r="AV212" s="3"/>
      <c r="AW212" s="17"/>
      <c r="AX212" s="17"/>
      <c r="AY212" s="17"/>
      <c r="AZ212" s="424">
        <f t="shared" ref="AZ212:AZ213" si="220">X212</f>
        <v>7</v>
      </c>
      <c r="BA212" s="19">
        <f t="shared" ref="BA212:BA214" si="221">IF(AZ$214=0,0,AZ212/AZ$214)</f>
        <v>1</v>
      </c>
    </row>
    <row r="213" spans="1:53" s="4" customFormat="1" ht="17.100000000000001" customHeight="1" x14ac:dyDescent="0.25">
      <c r="A213" s="40"/>
      <c r="B213" s="40"/>
      <c r="C213" s="141" t="s">
        <v>442</v>
      </c>
      <c r="D213" s="596" t="s">
        <v>598</v>
      </c>
      <c r="E213" s="649"/>
      <c r="F213" s="649"/>
      <c r="G213" s="649"/>
      <c r="H213" s="254"/>
      <c r="I213" s="207"/>
      <c r="J213" s="174"/>
      <c r="K213" s="174"/>
      <c r="L213" s="111"/>
      <c r="M213" s="111"/>
      <c r="N213" s="60"/>
      <c r="O213" s="60"/>
      <c r="P213" s="17">
        <f t="shared" si="211"/>
        <v>0</v>
      </c>
      <c r="Q213" s="60"/>
      <c r="R213" s="60"/>
      <c r="S213" s="17">
        <f t="shared" si="212"/>
        <v>0</v>
      </c>
      <c r="T213" s="60"/>
      <c r="U213" s="60"/>
      <c r="V213" s="17">
        <f t="shared" si="213"/>
        <v>0</v>
      </c>
      <c r="W213" s="391">
        <f t="shared" si="214"/>
        <v>0</v>
      </c>
      <c r="X213" s="17">
        <f t="shared" si="215"/>
        <v>0</v>
      </c>
      <c r="Y213" s="18">
        <f t="shared" si="216"/>
        <v>0</v>
      </c>
      <c r="Z213" s="19">
        <f t="shared" si="217"/>
        <v>0</v>
      </c>
      <c r="AA213" s="19"/>
      <c r="AB213" s="19"/>
      <c r="AC213" s="20"/>
      <c r="AE213" s="111"/>
      <c r="AF213" s="111"/>
      <c r="AG213" s="111"/>
      <c r="AH213" s="651"/>
      <c r="AI213" s="131"/>
      <c r="AJ213" s="3"/>
      <c r="AK213" s="111"/>
      <c r="AL213" s="111"/>
      <c r="AM213" s="111"/>
      <c r="AN213" s="651"/>
      <c r="AO213" s="131"/>
      <c r="AP213" s="3"/>
      <c r="AQ213" s="17"/>
      <c r="AR213" s="17"/>
      <c r="AS213" s="17"/>
      <c r="AT213" s="424">
        <f t="shared" si="218"/>
        <v>0</v>
      </c>
      <c r="AU213" s="19">
        <f t="shared" si="219"/>
        <v>0</v>
      </c>
      <c r="AV213" s="3"/>
      <c r="AW213" s="17"/>
      <c r="AX213" s="17"/>
      <c r="AY213" s="17"/>
      <c r="AZ213" s="424">
        <f t="shared" si="220"/>
        <v>0</v>
      </c>
      <c r="BA213" s="19">
        <f t="shared" si="221"/>
        <v>0</v>
      </c>
    </row>
    <row r="214" spans="1:53" ht="17.100000000000001" customHeight="1" x14ac:dyDescent="0.25">
      <c r="A214" s="40"/>
      <c r="B214" s="40"/>
      <c r="C214" s="292"/>
      <c r="D214" s="144"/>
      <c r="E214" s="144"/>
      <c r="F214" s="145"/>
      <c r="G214" s="145"/>
      <c r="H214" s="119"/>
      <c r="I214" s="236"/>
      <c r="J214" s="64"/>
      <c r="K214" s="64"/>
      <c r="L214" s="64"/>
      <c r="M214" s="64"/>
      <c r="N214" s="64">
        <f>SUM(N211:N213)</f>
        <v>0</v>
      </c>
      <c r="O214" s="64">
        <f t="shared" ref="O214:V214" si="222">SUM(O211:O213)</f>
        <v>0</v>
      </c>
      <c r="P214" s="64">
        <f t="shared" si="222"/>
        <v>0</v>
      </c>
      <c r="Q214" s="64">
        <f t="shared" si="222"/>
        <v>0</v>
      </c>
      <c r="R214" s="64">
        <f t="shared" si="222"/>
        <v>7</v>
      </c>
      <c r="S214" s="64">
        <f t="shared" si="222"/>
        <v>7</v>
      </c>
      <c r="T214" s="64">
        <f t="shared" si="222"/>
        <v>0</v>
      </c>
      <c r="U214" s="64">
        <f t="shared" si="222"/>
        <v>0</v>
      </c>
      <c r="V214" s="64">
        <f t="shared" si="222"/>
        <v>0</v>
      </c>
      <c r="W214" s="224">
        <f>SUM(W211:W213)</f>
        <v>0</v>
      </c>
      <c r="X214" s="224">
        <f t="shared" ref="X214:Y214" si="223">SUM(X211:X213)</f>
        <v>7</v>
      </c>
      <c r="Y214" s="224">
        <f t="shared" si="223"/>
        <v>7</v>
      </c>
      <c r="Z214" s="66">
        <f t="shared" si="217"/>
        <v>1</v>
      </c>
      <c r="AA214" s="205"/>
      <c r="AB214" s="205"/>
      <c r="AC214" s="83"/>
      <c r="AE214" s="81"/>
      <c r="AF214" s="81"/>
      <c r="AG214" s="82"/>
      <c r="AH214" s="82"/>
      <c r="AI214" s="66"/>
      <c r="AK214" s="81"/>
      <c r="AL214" s="81"/>
      <c r="AM214" s="82"/>
      <c r="AN214" s="82"/>
      <c r="AO214" s="66"/>
      <c r="AQ214" s="81"/>
      <c r="AR214" s="81"/>
      <c r="AS214" s="82"/>
      <c r="AT214" s="81">
        <f>SUM(AT211:AT213)</f>
        <v>0</v>
      </c>
      <c r="AU214" s="66">
        <f t="shared" si="219"/>
        <v>0</v>
      </c>
      <c r="AW214" s="81"/>
      <c r="AX214" s="81"/>
      <c r="AY214" s="82"/>
      <c r="AZ214" s="81">
        <f>SUM(AZ211:AZ213)</f>
        <v>7</v>
      </c>
      <c r="BA214" s="66">
        <f t="shared" si="221"/>
        <v>1</v>
      </c>
    </row>
    <row r="215" spans="1:53" s="117" customFormat="1" ht="17.100000000000001" customHeight="1" x14ac:dyDescent="0.25">
      <c r="A215" s="119"/>
      <c r="B215" s="119"/>
      <c r="C215" s="647"/>
      <c r="D215" s="212"/>
      <c r="E215" s="212"/>
      <c r="F215" s="212"/>
      <c r="G215" s="212"/>
      <c r="H215" s="242"/>
      <c r="I215" s="230"/>
      <c r="J215" s="17"/>
      <c r="K215" s="17"/>
      <c r="L215" s="17"/>
      <c r="M215" s="17"/>
      <c r="N215" s="17" t="str">
        <f>IF(N214=N$198,"OK","NOK")</f>
        <v>OK</v>
      </c>
      <c r="O215" s="17" t="str">
        <f>IF(O214=O$198,"OK","NOK")</f>
        <v>OK</v>
      </c>
      <c r="P215" s="17"/>
      <c r="Q215" s="17" t="str">
        <f>IF(Q214=Q$198,"OK","NOK")</f>
        <v>OK</v>
      </c>
      <c r="R215" s="17" t="str">
        <f>IF(R214=R$198,"OK","NOK")</f>
        <v>OK</v>
      </c>
      <c r="S215" s="17"/>
      <c r="T215" s="17" t="str">
        <f>IF(T214=T$198,"OK","NOK")</f>
        <v>OK</v>
      </c>
      <c r="U215" s="17" t="str">
        <f>IF(U214=U$198,"OK","NOK")</f>
        <v>OK</v>
      </c>
      <c r="V215" s="359"/>
      <c r="W215" s="382"/>
      <c r="X215" s="646"/>
      <c r="Y215" s="646"/>
      <c r="Z215" s="201"/>
      <c r="AA215" s="201"/>
      <c r="AB215" s="201"/>
      <c r="AC215" s="84"/>
      <c r="AE215" s="17"/>
      <c r="AF215" s="17"/>
      <c r="AG215" s="17"/>
      <c r="AH215" s="646"/>
      <c r="AI215" s="91"/>
      <c r="AK215" s="17"/>
      <c r="AL215" s="17"/>
      <c r="AM215" s="17"/>
      <c r="AN215" s="646"/>
      <c r="AO215" s="91"/>
      <c r="AQ215" s="17"/>
      <c r="AR215" s="17"/>
      <c r="AS215" s="17"/>
      <c r="AT215" s="646"/>
      <c r="AU215" s="91"/>
      <c r="AW215" s="17"/>
      <c r="AX215" s="17"/>
      <c r="AY215" s="17"/>
      <c r="AZ215" s="17"/>
      <c r="BA215" s="91"/>
    </row>
    <row r="216" spans="1:53" ht="17.100000000000001" customHeight="1" x14ac:dyDescent="0.25">
      <c r="A216" s="40"/>
      <c r="B216" s="299" t="s">
        <v>447</v>
      </c>
      <c r="C216" s="274" t="s">
        <v>606</v>
      </c>
      <c r="D216" s="300"/>
      <c r="E216" s="50"/>
      <c r="F216" s="50"/>
      <c r="G216" s="301"/>
      <c r="H216" s="119"/>
      <c r="I216" s="138"/>
      <c r="J216" s="88"/>
      <c r="K216" s="88"/>
      <c r="L216" s="71"/>
      <c r="M216" s="71"/>
      <c r="N216" s="71"/>
      <c r="O216" s="71"/>
      <c r="P216" s="71"/>
      <c r="Q216" s="71"/>
      <c r="R216" s="71"/>
      <c r="S216" s="71"/>
      <c r="T216" s="71"/>
      <c r="U216" s="71"/>
      <c r="V216" s="71"/>
      <c r="W216" s="71"/>
      <c r="X216" s="71"/>
      <c r="Y216" s="71"/>
      <c r="Z216" s="90"/>
      <c r="AA216" s="90"/>
      <c r="AB216" s="90"/>
      <c r="AC216" s="73"/>
      <c r="AE216" s="87"/>
      <c r="AF216" s="87"/>
      <c r="AG216" s="71"/>
      <c r="AH216" s="89"/>
      <c r="AI216" s="90"/>
      <c r="AJ216" s="117"/>
      <c r="AK216" s="87"/>
      <c r="AL216" s="87"/>
      <c r="AM216" s="71"/>
      <c r="AN216" s="89"/>
      <c r="AO216" s="90"/>
      <c r="AP216" s="117"/>
      <c r="AQ216" s="87"/>
      <c r="AR216" s="87"/>
      <c r="AS216" s="71"/>
      <c r="AT216" s="89"/>
      <c r="AU216" s="90"/>
      <c r="AV216" s="117"/>
      <c r="AW216" s="87"/>
      <c r="AX216" s="87"/>
      <c r="AY216" s="71"/>
      <c r="AZ216" s="89"/>
      <c r="BA216" s="90"/>
    </row>
    <row r="217" spans="1:53" ht="17.100000000000001" customHeight="1" x14ac:dyDescent="0.25">
      <c r="A217" s="40"/>
      <c r="B217" s="302"/>
      <c r="C217" s="56" t="s">
        <v>449</v>
      </c>
      <c r="D217" s="85" t="s">
        <v>173</v>
      </c>
      <c r="E217" s="167"/>
      <c r="F217" s="151"/>
      <c r="G217" s="151"/>
      <c r="H217" s="119"/>
      <c r="I217" s="138"/>
      <c r="J217" s="174"/>
      <c r="K217" s="174"/>
      <c r="L217" s="111"/>
      <c r="M217" s="111"/>
      <c r="N217" s="60"/>
      <c r="O217" s="60"/>
      <c r="P217" s="17">
        <f t="shared" ref="P217:P222" si="224">SUM(N217:O217)</f>
        <v>0</v>
      </c>
      <c r="Q217" s="60"/>
      <c r="R217" s="60"/>
      <c r="S217" s="17">
        <f t="shared" ref="S217:S222" si="225">SUM(Q217:R217)</f>
        <v>0</v>
      </c>
      <c r="T217" s="60"/>
      <c r="U217" s="60"/>
      <c r="V217" s="17">
        <f t="shared" ref="V217:V222" si="226">SUM(T217:U217)</f>
        <v>0</v>
      </c>
      <c r="W217" s="391">
        <f t="shared" ref="W217:W222" si="227">J217+K217+N217+Q217+T217</f>
        <v>0</v>
      </c>
      <c r="X217" s="17">
        <f t="shared" ref="X217:X222" si="228">L217+O217+R217+U217</f>
        <v>0</v>
      </c>
      <c r="Y217" s="18">
        <f t="shared" ref="Y217:Y222" si="229">SUM(W217:X217)</f>
        <v>0</v>
      </c>
      <c r="Z217" s="19">
        <f>IF(Y$223=0,0,Y217/Y$223)</f>
        <v>0</v>
      </c>
      <c r="AA217" s="91"/>
      <c r="AB217" s="91"/>
      <c r="AC217" s="84"/>
      <c r="AE217" s="111"/>
      <c r="AF217" s="111"/>
      <c r="AG217" s="111"/>
      <c r="AH217" s="112"/>
      <c r="AI217" s="113"/>
      <c r="AJ217" s="117"/>
      <c r="AK217" s="111"/>
      <c r="AL217" s="111"/>
      <c r="AM217" s="111"/>
      <c r="AN217" s="112"/>
      <c r="AO217" s="113"/>
      <c r="AP217" s="117"/>
      <c r="AQ217" s="17"/>
      <c r="AR217" s="17"/>
      <c r="AS217" s="17"/>
      <c r="AT217" s="18">
        <f t="shared" ref="AT217:AT218" si="230">W217</f>
        <v>0</v>
      </c>
      <c r="AU217" s="19">
        <f>IF(AT$444=0,0,AT217/AT$444)</f>
        <v>0</v>
      </c>
      <c r="AV217" s="117"/>
      <c r="AW217" s="17"/>
      <c r="AX217" s="17"/>
      <c r="AY217" s="17"/>
      <c r="AZ217" s="18">
        <f t="shared" ref="AZ217:AZ218" si="231">X217</f>
        <v>0</v>
      </c>
      <c r="BA217" s="19">
        <f>IF(AZ$444=0,0,AZ217/AZ$444)</f>
        <v>0</v>
      </c>
    </row>
    <row r="218" spans="1:53" ht="17.100000000000001" customHeight="1" x14ac:dyDescent="0.25">
      <c r="A218" s="40"/>
      <c r="B218" s="302"/>
      <c r="C218" s="56" t="s">
        <v>450</v>
      </c>
      <c r="D218" s="85" t="s">
        <v>544</v>
      </c>
      <c r="E218" s="167"/>
      <c r="F218" s="151"/>
      <c r="G218" s="151"/>
      <c r="H218" s="119"/>
      <c r="I218" s="138"/>
      <c r="J218" s="174"/>
      <c r="K218" s="174"/>
      <c r="L218" s="111"/>
      <c r="M218" s="111"/>
      <c r="N218" s="61"/>
      <c r="O218" s="61"/>
      <c r="P218" s="17">
        <f t="shared" si="224"/>
        <v>0</v>
      </c>
      <c r="Q218" s="61"/>
      <c r="R218" s="61">
        <v>7</v>
      </c>
      <c r="S218" s="17">
        <f t="shared" si="225"/>
        <v>7</v>
      </c>
      <c r="T218" s="61"/>
      <c r="U218" s="61"/>
      <c r="V218" s="17">
        <f t="shared" si="226"/>
        <v>0</v>
      </c>
      <c r="W218" s="391">
        <f t="shared" si="227"/>
        <v>0</v>
      </c>
      <c r="X218" s="17">
        <f t="shared" si="228"/>
        <v>7</v>
      </c>
      <c r="Y218" s="18">
        <f t="shared" si="229"/>
        <v>7</v>
      </c>
      <c r="Z218" s="19">
        <f t="shared" ref="Z218:Z223" si="232">IF(Y$223=0,0,Y218/Y$223)</f>
        <v>1</v>
      </c>
      <c r="AA218" s="91"/>
      <c r="AB218" s="91"/>
      <c r="AC218" s="84"/>
      <c r="AE218" s="111"/>
      <c r="AF218" s="111"/>
      <c r="AG218" s="111"/>
      <c r="AH218" s="112"/>
      <c r="AI218" s="113"/>
      <c r="AJ218" s="117"/>
      <c r="AK218" s="111"/>
      <c r="AL218" s="111"/>
      <c r="AM218" s="111"/>
      <c r="AN218" s="112"/>
      <c r="AO218" s="113"/>
      <c r="AP218" s="117"/>
      <c r="AQ218" s="17"/>
      <c r="AR218" s="17"/>
      <c r="AS218" s="17"/>
      <c r="AT218" s="18">
        <f t="shared" si="230"/>
        <v>0</v>
      </c>
      <c r="AU218" s="19">
        <f>IF(AT$444=0,0,AT218/AT$444)</f>
        <v>0</v>
      </c>
      <c r="AV218" s="117"/>
      <c r="AW218" s="17"/>
      <c r="AX218" s="17"/>
      <c r="AY218" s="17"/>
      <c r="AZ218" s="18">
        <f t="shared" si="231"/>
        <v>7</v>
      </c>
      <c r="BA218" s="19">
        <f>IF(AZ$444=0,0,AZ218/AZ$444)</f>
        <v>0</v>
      </c>
    </row>
    <row r="219" spans="1:53" ht="17.100000000000001" customHeight="1" x14ac:dyDescent="0.25">
      <c r="A219" s="40"/>
      <c r="B219" s="40"/>
      <c r="C219" s="56" t="s">
        <v>451</v>
      </c>
      <c r="D219" s="146" t="s">
        <v>484</v>
      </c>
      <c r="E219" s="149"/>
      <c r="F219" s="151"/>
      <c r="G219" s="151"/>
      <c r="H219" s="119"/>
      <c r="I219" s="236"/>
      <c r="J219" s="174"/>
      <c r="K219" s="174"/>
      <c r="L219" s="111"/>
      <c r="M219" s="111"/>
      <c r="N219" s="60"/>
      <c r="O219" s="60"/>
      <c r="P219" s="17"/>
      <c r="Q219" s="60"/>
      <c r="R219" s="60">
        <v>2000000</v>
      </c>
      <c r="S219" s="17"/>
      <c r="T219" s="60"/>
      <c r="U219" s="60"/>
      <c r="V219" s="17"/>
      <c r="W219" s="391">
        <f>MIN(N219,Q219,T219)</f>
        <v>0</v>
      </c>
      <c r="X219" s="17">
        <f>MIN(O219,R219,U219)</f>
        <v>2000000</v>
      </c>
      <c r="Y219" s="18"/>
      <c r="Z219" s="19"/>
      <c r="AA219" s="17">
        <f>MIN(N219:U219)</f>
        <v>2000000</v>
      </c>
      <c r="AB219" s="17"/>
      <c r="AC219" s="17"/>
      <c r="AE219" s="111"/>
      <c r="AF219" s="111"/>
      <c r="AG219" s="111"/>
      <c r="AH219" s="651"/>
      <c r="AI219" s="131"/>
      <c r="AJ219" s="117"/>
      <c r="AK219" s="111"/>
      <c r="AL219" s="111"/>
      <c r="AM219" s="111"/>
      <c r="AN219" s="651"/>
      <c r="AO219" s="131"/>
      <c r="AP219" s="117"/>
      <c r="AQ219" s="17">
        <f>W219</f>
        <v>0</v>
      </c>
      <c r="AR219" s="17"/>
      <c r="AS219" s="17"/>
      <c r="AT219" s="18"/>
      <c r="AU219" s="19"/>
      <c r="AV219" s="117"/>
      <c r="AW219" s="17">
        <f>X219</f>
        <v>2000000</v>
      </c>
      <c r="AX219" s="17"/>
      <c r="AY219" s="17"/>
      <c r="AZ219" s="18"/>
      <c r="BA219" s="19"/>
    </row>
    <row r="220" spans="1:53" ht="17.100000000000001" customHeight="1" x14ac:dyDescent="0.25">
      <c r="A220" s="40"/>
      <c r="B220" s="40"/>
      <c r="C220" s="56" t="s">
        <v>603</v>
      </c>
      <c r="D220" s="146" t="s">
        <v>485</v>
      </c>
      <c r="E220" s="149"/>
      <c r="F220" s="151"/>
      <c r="G220" s="151"/>
      <c r="H220" s="119"/>
      <c r="I220" s="236"/>
      <c r="J220" s="174"/>
      <c r="K220" s="174"/>
      <c r="L220" s="111"/>
      <c r="M220" s="111"/>
      <c r="N220" s="61"/>
      <c r="O220" s="61"/>
      <c r="P220" s="17"/>
      <c r="Q220" s="61"/>
      <c r="R220" s="60">
        <v>2000000</v>
      </c>
      <c r="S220" s="17"/>
      <c r="T220" s="61"/>
      <c r="U220" s="61"/>
      <c r="V220" s="17"/>
      <c r="W220" s="391">
        <f>MAX(N220,Q220,T220)</f>
        <v>0</v>
      </c>
      <c r="X220" s="17">
        <f>MAX(O220,R220,U220)</f>
        <v>2000000</v>
      </c>
      <c r="Y220" s="18"/>
      <c r="Z220" s="19"/>
      <c r="AA220" s="17"/>
      <c r="AB220" s="17">
        <f>MAX(N220:U220)</f>
        <v>2000000</v>
      </c>
      <c r="AC220" s="17"/>
      <c r="AE220" s="111"/>
      <c r="AF220" s="111"/>
      <c r="AG220" s="111"/>
      <c r="AH220" s="651"/>
      <c r="AI220" s="131"/>
      <c r="AJ220" s="117"/>
      <c r="AK220" s="111"/>
      <c r="AL220" s="111"/>
      <c r="AM220" s="111"/>
      <c r="AN220" s="651"/>
      <c r="AO220" s="131"/>
      <c r="AP220" s="117"/>
      <c r="AQ220" s="17"/>
      <c r="AR220" s="17">
        <f>W220</f>
        <v>0</v>
      </c>
      <c r="AS220" s="17"/>
      <c r="AT220" s="18"/>
      <c r="AU220" s="19"/>
      <c r="AV220" s="117"/>
      <c r="AW220" s="17"/>
      <c r="AX220" s="17">
        <f>X220</f>
        <v>2000000</v>
      </c>
      <c r="AY220" s="17"/>
      <c r="AZ220" s="18"/>
      <c r="BA220" s="19"/>
    </row>
    <row r="221" spans="1:53" ht="17.100000000000001" customHeight="1" x14ac:dyDescent="0.25">
      <c r="A221" s="40"/>
      <c r="B221" s="40"/>
      <c r="C221" s="56" t="s">
        <v>604</v>
      </c>
      <c r="D221" s="146" t="s">
        <v>543</v>
      </c>
      <c r="E221" s="149"/>
      <c r="F221" s="151"/>
      <c r="G221" s="151"/>
      <c r="H221" s="119"/>
      <c r="I221" s="236"/>
      <c r="J221" s="174"/>
      <c r="K221" s="174"/>
      <c r="L221" s="111"/>
      <c r="M221" s="111"/>
      <c r="N221" s="60"/>
      <c r="O221" s="60"/>
      <c r="P221" s="17"/>
      <c r="Q221" s="60"/>
      <c r="R221" s="60">
        <v>2000000</v>
      </c>
      <c r="S221" s="17"/>
      <c r="T221" s="60"/>
      <c r="U221" s="60"/>
      <c r="V221" s="17"/>
      <c r="W221" s="391">
        <f>IF(N221+Q221+T221=0,0,AVERAGE(N221,Q221,T221))</f>
        <v>0</v>
      </c>
      <c r="X221" s="17">
        <f>IF(O221+R221+U221=0,0,AVERAGE(O221,R221,U221))</f>
        <v>2000000</v>
      </c>
      <c r="Y221" s="18"/>
      <c r="Z221" s="19"/>
      <c r="AA221" s="17"/>
      <c r="AB221" s="17"/>
      <c r="AC221" s="17">
        <f>IF(SUM(N221:U221)=0,0,AVERAGE(N221:U221))</f>
        <v>2000000</v>
      </c>
      <c r="AE221" s="111"/>
      <c r="AF221" s="111"/>
      <c r="AG221" s="111"/>
      <c r="AH221" s="651"/>
      <c r="AI221" s="131"/>
      <c r="AJ221" s="117"/>
      <c r="AK221" s="111"/>
      <c r="AL221" s="111"/>
      <c r="AM221" s="111"/>
      <c r="AN221" s="651"/>
      <c r="AO221" s="131"/>
      <c r="AP221" s="117"/>
      <c r="AQ221" s="17"/>
      <c r="AR221" s="17"/>
      <c r="AS221" s="17">
        <f>W221</f>
        <v>0</v>
      </c>
      <c r="AT221" s="18"/>
      <c r="AU221" s="19"/>
      <c r="AV221" s="117"/>
      <c r="AW221" s="17"/>
      <c r="AX221" s="17"/>
      <c r="AY221" s="17">
        <f>X221</f>
        <v>2000000</v>
      </c>
      <c r="AZ221" s="18"/>
      <c r="BA221" s="19"/>
    </row>
    <row r="222" spans="1:53" ht="17.100000000000001" customHeight="1" x14ac:dyDescent="0.25">
      <c r="A222" s="40"/>
      <c r="B222" s="179"/>
      <c r="C222" s="56" t="s">
        <v>605</v>
      </c>
      <c r="D222" s="85" t="s">
        <v>129</v>
      </c>
      <c r="E222" s="167"/>
      <c r="F222" s="151"/>
      <c r="G222" s="151"/>
      <c r="H222" s="119"/>
      <c r="I222" s="138"/>
      <c r="J222" s="174"/>
      <c r="K222" s="174"/>
      <c r="L222" s="111"/>
      <c r="M222" s="111"/>
      <c r="N222" s="61"/>
      <c r="O222" s="61"/>
      <c r="P222" s="17">
        <f t="shared" si="224"/>
        <v>0</v>
      </c>
      <c r="Q222" s="61"/>
      <c r="R222" s="61"/>
      <c r="S222" s="17">
        <f t="shared" si="225"/>
        <v>0</v>
      </c>
      <c r="T222" s="61"/>
      <c r="U222" s="61"/>
      <c r="V222" s="17">
        <f t="shared" si="226"/>
        <v>0</v>
      </c>
      <c r="W222" s="391">
        <f t="shared" si="227"/>
        <v>0</v>
      </c>
      <c r="X222" s="17">
        <f t="shared" si="228"/>
        <v>0</v>
      </c>
      <c r="Y222" s="18">
        <f t="shared" si="229"/>
        <v>0</v>
      </c>
      <c r="Z222" s="19">
        <f t="shared" si="232"/>
        <v>0</v>
      </c>
      <c r="AA222" s="91"/>
      <c r="AB222" s="91"/>
      <c r="AC222" s="84"/>
      <c r="AE222" s="111"/>
      <c r="AF222" s="111"/>
      <c r="AG222" s="111"/>
      <c r="AH222" s="112"/>
      <c r="AI222" s="113"/>
      <c r="AJ222" s="117"/>
      <c r="AK222" s="111"/>
      <c r="AL222" s="111"/>
      <c r="AM222" s="111"/>
      <c r="AN222" s="112"/>
      <c r="AO222" s="113"/>
      <c r="AP222" s="117"/>
      <c r="AQ222" s="17"/>
      <c r="AR222" s="17"/>
      <c r="AS222" s="17"/>
      <c r="AT222" s="18">
        <f t="shared" ref="AT222" si="233">W222</f>
        <v>0</v>
      </c>
      <c r="AU222" s="19">
        <f>IF(AT$444=0,0,AT222/AT$444)</f>
        <v>0</v>
      </c>
      <c r="AV222" s="117"/>
      <c r="AW222" s="17"/>
      <c r="AX222" s="17"/>
      <c r="AY222" s="17"/>
      <c r="AZ222" s="18">
        <f t="shared" ref="AZ222" si="234">X222</f>
        <v>0</v>
      </c>
      <c r="BA222" s="19">
        <f>IF(AZ$444=0,0,AZ222/AZ$444)</f>
        <v>0</v>
      </c>
    </row>
    <row r="223" spans="1:53" ht="17.100000000000001" customHeight="1" x14ac:dyDescent="0.25">
      <c r="A223" s="40"/>
      <c r="B223" s="179"/>
      <c r="C223" s="292"/>
      <c r="D223" s="144"/>
      <c r="E223" s="144"/>
      <c r="F223" s="145"/>
      <c r="G223" s="145"/>
      <c r="H223" s="119"/>
      <c r="I223" s="138"/>
      <c r="J223" s="64"/>
      <c r="K223" s="64"/>
      <c r="L223" s="64"/>
      <c r="M223" s="64"/>
      <c r="N223" s="64">
        <f>N217+N218+N222</f>
        <v>0</v>
      </c>
      <c r="O223" s="64">
        <f t="shared" ref="O223:V223" si="235">O217+O218+O222</f>
        <v>0</v>
      </c>
      <c r="P223" s="64">
        <f t="shared" si="235"/>
        <v>0</v>
      </c>
      <c r="Q223" s="64">
        <f t="shared" si="235"/>
        <v>0</v>
      </c>
      <c r="R223" s="64">
        <f t="shared" si="235"/>
        <v>7</v>
      </c>
      <c r="S223" s="64">
        <f t="shared" si="235"/>
        <v>7</v>
      </c>
      <c r="T223" s="64">
        <f t="shared" si="235"/>
        <v>0</v>
      </c>
      <c r="U223" s="64">
        <f t="shared" si="235"/>
        <v>0</v>
      </c>
      <c r="V223" s="64">
        <f t="shared" si="235"/>
        <v>0</v>
      </c>
      <c r="W223" s="224">
        <f>SUM(W217:W222)</f>
        <v>0</v>
      </c>
      <c r="X223" s="224">
        <f t="shared" ref="X223:Y223" si="236">SUM(X217:X222)</f>
        <v>6000007</v>
      </c>
      <c r="Y223" s="224">
        <f t="shared" si="236"/>
        <v>7</v>
      </c>
      <c r="Z223" s="66">
        <f t="shared" si="232"/>
        <v>1</v>
      </c>
      <c r="AA223" s="205"/>
      <c r="AB223" s="205"/>
      <c r="AC223" s="83"/>
      <c r="AE223" s="80"/>
      <c r="AF223" s="80"/>
      <c r="AG223" s="81"/>
      <c r="AH223" s="82"/>
      <c r="AI223" s="66"/>
      <c r="AJ223" s="117"/>
      <c r="AK223" s="80"/>
      <c r="AL223" s="80"/>
      <c r="AM223" s="81"/>
      <c r="AN223" s="82"/>
      <c r="AO223" s="66"/>
      <c r="AP223" s="117"/>
      <c r="AQ223" s="80"/>
      <c r="AR223" s="80"/>
      <c r="AS223" s="81"/>
      <c r="AT223" s="82">
        <f>SUM(AT217:AT222)</f>
        <v>0</v>
      </c>
      <c r="AU223" s="66">
        <f>IF(AT$444=0,0,AT223/AT$444)</f>
        <v>0</v>
      </c>
      <c r="AV223" s="117"/>
      <c r="AW223" s="80"/>
      <c r="AX223" s="80"/>
      <c r="AY223" s="81"/>
      <c r="AZ223" s="82">
        <f>SUM(AZ217:AZ222)</f>
        <v>7</v>
      </c>
      <c r="BA223" s="66">
        <f>IF(AZ$444=0,0,AZ223/AZ$444)</f>
        <v>0</v>
      </c>
    </row>
    <row r="224" spans="1:53" s="117" customFormat="1" ht="17.100000000000001" customHeight="1" x14ac:dyDescent="0.25">
      <c r="A224" s="119"/>
      <c r="B224" s="119"/>
      <c r="C224" s="647"/>
      <c r="D224" s="212"/>
      <c r="E224" s="212"/>
      <c r="F224" s="212"/>
      <c r="G224" s="212"/>
      <c r="H224" s="242"/>
      <c r="I224" s="230"/>
      <c r="J224" s="17"/>
      <c r="K224" s="17"/>
      <c r="L224" s="17"/>
      <c r="M224" s="17"/>
      <c r="N224" s="17" t="str">
        <f>IF(N223=N$198,"OK","NOK")</f>
        <v>OK</v>
      </c>
      <c r="O224" s="17" t="str">
        <f>IF(O223=O$198,"OK","NOK")</f>
        <v>OK</v>
      </c>
      <c r="P224" s="17"/>
      <c r="Q224" s="17" t="str">
        <f>IF(Q223=Q$198,"OK","NOK")</f>
        <v>OK</v>
      </c>
      <c r="R224" s="17" t="str">
        <f>IF(R223=R$198,"OK","NOK")</f>
        <v>OK</v>
      </c>
      <c r="S224" s="17"/>
      <c r="T224" s="17" t="str">
        <f>IF(T223=T$198,"OK","NOK")</f>
        <v>OK</v>
      </c>
      <c r="U224" s="17" t="str">
        <f>IF(U223=U$198,"OK","NOK")</f>
        <v>OK</v>
      </c>
      <c r="V224" s="359"/>
      <c r="W224" s="382"/>
      <c r="X224" s="646"/>
      <c r="Y224" s="646"/>
      <c r="Z224" s="201"/>
      <c r="AA224" s="201"/>
      <c r="AB224" s="201"/>
      <c r="AC224" s="84"/>
      <c r="AE224" s="17"/>
      <c r="AF224" s="17"/>
      <c r="AG224" s="17"/>
      <c r="AH224" s="646"/>
      <c r="AI224" s="91"/>
      <c r="AK224" s="17"/>
      <c r="AL224" s="17"/>
      <c r="AM224" s="17"/>
      <c r="AN224" s="646"/>
      <c r="AO224" s="91"/>
      <c r="AQ224" s="17"/>
      <c r="AR224" s="17"/>
      <c r="AS224" s="17"/>
      <c r="AT224" s="646"/>
      <c r="AU224" s="91"/>
      <c r="AW224" s="17"/>
      <c r="AX224" s="17"/>
      <c r="AY224" s="17"/>
      <c r="AZ224" s="17"/>
      <c r="BA224" s="91"/>
    </row>
    <row r="225" spans="1:53" ht="17.100000000000001" customHeight="1" x14ac:dyDescent="0.25">
      <c r="A225" s="40"/>
      <c r="B225" s="299" t="s">
        <v>452</v>
      </c>
      <c r="C225" s="274" t="s">
        <v>1057</v>
      </c>
      <c r="D225" s="300"/>
      <c r="E225" s="50"/>
      <c r="F225" s="50"/>
      <c r="G225" s="301"/>
      <c r="H225" s="119"/>
      <c r="I225" s="138"/>
      <c r="J225" s="88"/>
      <c r="K225" s="88"/>
      <c r="L225" s="71"/>
      <c r="M225" s="71"/>
      <c r="N225" s="71"/>
      <c r="O225" s="71"/>
      <c r="P225" s="71"/>
      <c r="Q225" s="71"/>
      <c r="R225" s="71"/>
      <c r="S225" s="71"/>
      <c r="T225" s="71"/>
      <c r="U225" s="71"/>
      <c r="V225" s="71"/>
      <c r="W225" s="71"/>
      <c r="X225" s="71"/>
      <c r="Y225" s="71"/>
      <c r="Z225" s="90"/>
      <c r="AA225" s="90"/>
      <c r="AB225" s="90"/>
      <c r="AC225" s="73"/>
      <c r="AE225" s="87"/>
      <c r="AF225" s="87"/>
      <c r="AG225" s="71"/>
      <c r="AH225" s="89"/>
      <c r="AI225" s="90"/>
      <c r="AJ225" s="117"/>
      <c r="AK225" s="87"/>
      <c r="AL225" s="87"/>
      <c r="AM225" s="71"/>
      <c r="AN225" s="89"/>
      <c r="AO225" s="90"/>
      <c r="AP225" s="117"/>
      <c r="AQ225" s="87"/>
      <c r="AR225" s="87"/>
      <c r="AS225" s="71"/>
      <c r="AT225" s="89"/>
      <c r="AU225" s="90"/>
      <c r="AV225" s="117"/>
      <c r="AW225" s="87"/>
      <c r="AX225" s="87"/>
      <c r="AY225" s="71"/>
      <c r="AZ225" s="89"/>
      <c r="BA225" s="90"/>
    </row>
    <row r="226" spans="1:53" ht="17.100000000000001" customHeight="1" x14ac:dyDescent="0.25">
      <c r="A226" s="40"/>
      <c r="B226" s="302"/>
      <c r="C226" s="56" t="s">
        <v>454</v>
      </c>
      <c r="D226" s="85" t="s">
        <v>173</v>
      </c>
      <c r="E226" s="167"/>
      <c r="F226" s="151"/>
      <c r="G226" s="151"/>
      <c r="H226" s="119"/>
      <c r="I226" s="138"/>
      <c r="J226" s="174"/>
      <c r="K226" s="174"/>
      <c r="L226" s="111"/>
      <c r="M226" s="111"/>
      <c r="N226" s="60"/>
      <c r="O226" s="60"/>
      <c r="P226" s="17">
        <f t="shared" ref="P226:P227" si="237">SUM(N226:O226)</f>
        <v>0</v>
      </c>
      <c r="Q226" s="60"/>
      <c r="R226" s="60">
        <v>1</v>
      </c>
      <c r="S226" s="17">
        <f t="shared" ref="S226:S227" si="238">SUM(Q226:R226)</f>
        <v>1</v>
      </c>
      <c r="T226" s="60"/>
      <c r="U226" s="60"/>
      <c r="V226" s="17">
        <f t="shared" ref="V226:V227" si="239">SUM(T226:U226)</f>
        <v>0</v>
      </c>
      <c r="W226" s="391">
        <f t="shared" ref="W226:W227" si="240">J226+K226+N226+Q226+T226</f>
        <v>0</v>
      </c>
      <c r="X226" s="17">
        <f t="shared" ref="X226:X227" si="241">L226+O226+R226+U226</f>
        <v>1</v>
      </c>
      <c r="Y226" s="18">
        <f t="shared" ref="Y226:Y227" si="242">SUM(W226:X226)</f>
        <v>1</v>
      </c>
      <c r="Z226" s="19">
        <f>IF(Y$223=0,0,Y226/Y$223)</f>
        <v>0.14285714285714285</v>
      </c>
      <c r="AA226" s="91"/>
      <c r="AB226" s="91"/>
      <c r="AC226" s="84"/>
      <c r="AE226" s="111"/>
      <c r="AF226" s="111"/>
      <c r="AG226" s="111"/>
      <c r="AH226" s="112"/>
      <c r="AI226" s="113"/>
      <c r="AJ226" s="117"/>
      <c r="AK226" s="111"/>
      <c r="AL226" s="111"/>
      <c r="AM226" s="111"/>
      <c r="AN226" s="112"/>
      <c r="AO226" s="113"/>
      <c r="AP226" s="117"/>
      <c r="AQ226" s="17"/>
      <c r="AR226" s="17"/>
      <c r="AS226" s="17"/>
      <c r="AT226" s="18">
        <f t="shared" ref="AT226:AT227" si="243">W226</f>
        <v>0</v>
      </c>
      <c r="AU226" s="19">
        <f>IF(AT$444=0,0,AT226/AT$444)</f>
        <v>0</v>
      </c>
      <c r="AV226" s="117"/>
      <c r="AW226" s="17"/>
      <c r="AX226" s="17"/>
      <c r="AY226" s="17"/>
      <c r="AZ226" s="18">
        <f t="shared" ref="AZ226:AZ227" si="244">X226</f>
        <v>1</v>
      </c>
      <c r="BA226" s="19">
        <f>IF(AZ$444=0,0,AZ226/AZ$444)</f>
        <v>0</v>
      </c>
    </row>
    <row r="227" spans="1:53" ht="17.100000000000001" customHeight="1" x14ac:dyDescent="0.25">
      <c r="A227" s="40"/>
      <c r="B227" s="302"/>
      <c r="C227" s="56" t="s">
        <v>455</v>
      </c>
      <c r="D227" s="85" t="s">
        <v>544</v>
      </c>
      <c r="E227" s="167"/>
      <c r="F227" s="151"/>
      <c r="G227" s="151"/>
      <c r="H227" s="119"/>
      <c r="I227" s="138"/>
      <c r="J227" s="174"/>
      <c r="K227" s="174"/>
      <c r="L227" s="111"/>
      <c r="M227" s="111"/>
      <c r="N227" s="61"/>
      <c r="O227" s="61"/>
      <c r="P227" s="17">
        <f t="shared" si="237"/>
        <v>0</v>
      </c>
      <c r="Q227" s="61"/>
      <c r="R227" s="61">
        <v>6</v>
      </c>
      <c r="S227" s="17">
        <f t="shared" si="238"/>
        <v>6</v>
      </c>
      <c r="T227" s="61"/>
      <c r="U227" s="61"/>
      <c r="V227" s="17">
        <f t="shared" si="239"/>
        <v>0</v>
      </c>
      <c r="W227" s="391">
        <f t="shared" si="240"/>
        <v>0</v>
      </c>
      <c r="X227" s="17">
        <f t="shared" si="241"/>
        <v>6</v>
      </c>
      <c r="Y227" s="18">
        <f t="shared" si="242"/>
        <v>6</v>
      </c>
      <c r="Z227" s="19">
        <f t="shared" ref="Z227" si="245">IF(Y$223=0,0,Y227/Y$223)</f>
        <v>0.8571428571428571</v>
      </c>
      <c r="AA227" s="91"/>
      <c r="AB227" s="91"/>
      <c r="AC227" s="84"/>
      <c r="AE227" s="111"/>
      <c r="AF227" s="111"/>
      <c r="AG227" s="111"/>
      <c r="AH227" s="112"/>
      <c r="AI227" s="113"/>
      <c r="AJ227" s="117"/>
      <c r="AK227" s="111"/>
      <c r="AL227" s="111"/>
      <c r="AM227" s="111"/>
      <c r="AN227" s="112"/>
      <c r="AO227" s="113"/>
      <c r="AP227" s="117"/>
      <c r="AQ227" s="17"/>
      <c r="AR227" s="17"/>
      <c r="AS227" s="17"/>
      <c r="AT227" s="18">
        <f t="shared" si="243"/>
        <v>0</v>
      </c>
      <c r="AU227" s="19">
        <f>IF(AT$444=0,0,AT227/AT$444)</f>
        <v>0</v>
      </c>
      <c r="AV227" s="117"/>
      <c r="AW227" s="17"/>
      <c r="AX227" s="17"/>
      <c r="AY227" s="17"/>
      <c r="AZ227" s="18">
        <f t="shared" si="244"/>
        <v>6</v>
      </c>
      <c r="BA227" s="19">
        <f>IF(AZ$444=0,0,AZ227/AZ$444)</f>
        <v>0</v>
      </c>
    </row>
    <row r="228" spans="1:53" ht="17.100000000000001" customHeight="1" x14ac:dyDescent="0.25">
      <c r="A228" s="137"/>
      <c r="B228" s="40"/>
      <c r="C228" s="56" t="s">
        <v>456</v>
      </c>
      <c r="D228" s="146" t="s">
        <v>484</v>
      </c>
      <c r="E228" s="149"/>
      <c r="F228" s="151"/>
      <c r="G228" s="151"/>
      <c r="H228" s="119"/>
      <c r="I228" s="236"/>
      <c r="J228" s="174"/>
      <c r="K228" s="174"/>
      <c r="L228" s="111"/>
      <c r="M228" s="111"/>
      <c r="N228" s="60"/>
      <c r="O228" s="60"/>
      <c r="P228" s="17"/>
      <c r="Q228" s="60"/>
      <c r="R228" s="1315">
        <v>200000</v>
      </c>
      <c r="S228" s="17"/>
      <c r="T228" s="60"/>
      <c r="U228" s="60"/>
      <c r="V228" s="17"/>
      <c r="W228" s="391">
        <f>MIN(N228,Q228,T228)</f>
        <v>0</v>
      </c>
      <c r="X228" s="17">
        <f>MIN(O228,R228,U228)</f>
        <v>200000</v>
      </c>
      <c r="Y228" s="18"/>
      <c r="Z228" s="19"/>
      <c r="AA228" s="17">
        <f>MIN(N228:U228)</f>
        <v>200000</v>
      </c>
      <c r="AB228" s="17"/>
      <c r="AC228" s="17"/>
      <c r="AE228" s="111"/>
      <c r="AF228" s="111"/>
      <c r="AG228" s="111"/>
      <c r="AH228" s="651"/>
      <c r="AI228" s="131"/>
      <c r="AJ228" s="117"/>
      <c r="AK228" s="111"/>
      <c r="AL228" s="111"/>
      <c r="AM228" s="111"/>
      <c r="AN228" s="651"/>
      <c r="AO228" s="131"/>
      <c r="AP228" s="117"/>
      <c r="AQ228" s="17">
        <f>W228</f>
        <v>0</v>
      </c>
      <c r="AR228" s="17"/>
      <c r="AS228" s="17"/>
      <c r="AT228" s="18"/>
      <c r="AU228" s="19"/>
      <c r="AV228" s="117"/>
      <c r="AW228" s="17">
        <f>X228</f>
        <v>200000</v>
      </c>
      <c r="AX228" s="17"/>
      <c r="AY228" s="17"/>
      <c r="AZ228" s="18"/>
      <c r="BA228" s="19"/>
    </row>
    <row r="229" spans="1:53" ht="17.100000000000001" customHeight="1" x14ac:dyDescent="0.25">
      <c r="A229" s="137"/>
      <c r="B229" s="40"/>
      <c r="C229" s="56" t="s">
        <v>546</v>
      </c>
      <c r="D229" s="146" t="s">
        <v>485</v>
      </c>
      <c r="E229" s="149"/>
      <c r="F229" s="151"/>
      <c r="G229" s="151"/>
      <c r="H229" s="119"/>
      <c r="I229" s="236"/>
      <c r="J229" s="174"/>
      <c r="K229" s="174"/>
      <c r="L229" s="111"/>
      <c r="M229" s="111"/>
      <c r="N229" s="61"/>
      <c r="O229" s="61"/>
      <c r="P229" s="17"/>
      <c r="Q229" s="61"/>
      <c r="R229" s="1323">
        <v>500000</v>
      </c>
      <c r="S229" s="17"/>
      <c r="T229" s="61"/>
      <c r="U229" s="61"/>
      <c r="V229" s="17"/>
      <c r="W229" s="391">
        <f>MAX(N229,Q229,T229)</f>
        <v>0</v>
      </c>
      <c r="X229" s="17">
        <f>MAX(O229,R229,U229)</f>
        <v>500000</v>
      </c>
      <c r="Y229" s="18"/>
      <c r="Z229" s="19"/>
      <c r="AA229" s="17"/>
      <c r="AB229" s="17">
        <f>MAX(N229:U229)</f>
        <v>500000</v>
      </c>
      <c r="AC229" s="17"/>
      <c r="AE229" s="111"/>
      <c r="AF229" s="111"/>
      <c r="AG229" s="111"/>
      <c r="AH229" s="651"/>
      <c r="AI229" s="131"/>
      <c r="AJ229" s="117"/>
      <c r="AK229" s="111"/>
      <c r="AL229" s="111"/>
      <c r="AM229" s="111"/>
      <c r="AN229" s="651"/>
      <c r="AO229" s="131"/>
      <c r="AP229" s="117"/>
      <c r="AQ229" s="17"/>
      <c r="AR229" s="17">
        <f>W229</f>
        <v>0</v>
      </c>
      <c r="AS229" s="17"/>
      <c r="AT229" s="18"/>
      <c r="AU229" s="19"/>
      <c r="AV229" s="117"/>
      <c r="AW229" s="17"/>
      <c r="AX229" s="17">
        <f>X229</f>
        <v>500000</v>
      </c>
      <c r="AY229" s="17"/>
      <c r="AZ229" s="18"/>
      <c r="BA229" s="19"/>
    </row>
    <row r="230" spans="1:53" ht="17.100000000000001" customHeight="1" x14ac:dyDescent="0.25">
      <c r="A230" s="137"/>
      <c r="B230" s="40"/>
      <c r="C230" s="56" t="s">
        <v>547</v>
      </c>
      <c r="D230" s="146" t="s">
        <v>543</v>
      </c>
      <c r="E230" s="149"/>
      <c r="F230" s="151"/>
      <c r="G230" s="151"/>
      <c r="H230" s="119"/>
      <c r="I230" s="236"/>
      <c r="J230" s="174"/>
      <c r="K230" s="174"/>
      <c r="L230" s="111"/>
      <c r="M230" s="111"/>
      <c r="N230" s="60"/>
      <c r="O230" s="60"/>
      <c r="P230" s="17"/>
      <c r="Q230" s="60"/>
      <c r="R230" s="1315">
        <v>450000</v>
      </c>
      <c r="S230" s="17"/>
      <c r="T230" s="60"/>
      <c r="U230" s="60"/>
      <c r="V230" s="17"/>
      <c r="W230" s="391">
        <f>IF(N230+Q230+T230=0,0,AVERAGE(N230,Q230,T230))</f>
        <v>0</v>
      </c>
      <c r="X230" s="17">
        <f>IF(O230+R230+U230=0,0,AVERAGE(O230,R230,U230))</f>
        <v>450000</v>
      </c>
      <c r="Y230" s="18"/>
      <c r="Z230" s="19"/>
      <c r="AA230" s="17"/>
      <c r="AB230" s="17"/>
      <c r="AC230" s="17">
        <f>IF(SUM(N230:U230)=0,0,AVERAGE(N230:U230))</f>
        <v>450000</v>
      </c>
      <c r="AE230" s="111"/>
      <c r="AF230" s="111"/>
      <c r="AG230" s="111"/>
      <c r="AH230" s="651"/>
      <c r="AI230" s="131"/>
      <c r="AJ230" s="117"/>
      <c r="AK230" s="111"/>
      <c r="AL230" s="111"/>
      <c r="AM230" s="111"/>
      <c r="AN230" s="651"/>
      <c r="AO230" s="131"/>
      <c r="AP230" s="117"/>
      <c r="AQ230" s="17"/>
      <c r="AR230" s="17"/>
      <c r="AS230" s="17">
        <f>W230</f>
        <v>0</v>
      </c>
      <c r="AT230" s="18"/>
      <c r="AU230" s="19"/>
      <c r="AV230" s="117"/>
      <c r="AW230" s="17"/>
      <c r="AX230" s="17"/>
      <c r="AY230" s="17">
        <f>X230</f>
        <v>450000</v>
      </c>
      <c r="AZ230" s="18"/>
      <c r="BA230" s="19"/>
    </row>
    <row r="231" spans="1:53" ht="17.100000000000001" customHeight="1" x14ac:dyDescent="0.25">
      <c r="A231" s="40"/>
      <c r="B231" s="179"/>
      <c r="C231" s="56" t="s">
        <v>548</v>
      </c>
      <c r="D231" s="85" t="s">
        <v>129</v>
      </c>
      <c r="E231" s="167"/>
      <c r="F231" s="151"/>
      <c r="G231" s="151"/>
      <c r="H231" s="119"/>
      <c r="I231" s="138"/>
      <c r="J231" s="174"/>
      <c r="K231" s="174"/>
      <c r="L231" s="111"/>
      <c r="M231" s="111"/>
      <c r="N231" s="61"/>
      <c r="O231" s="61"/>
      <c r="P231" s="17">
        <f t="shared" ref="P231" si="246">SUM(N231:O231)</f>
        <v>0</v>
      </c>
      <c r="Q231" s="61"/>
      <c r="R231" s="61"/>
      <c r="S231" s="17">
        <f t="shared" ref="S231" si="247">SUM(Q231:R231)</f>
        <v>0</v>
      </c>
      <c r="T231" s="61"/>
      <c r="U231" s="61"/>
      <c r="V231" s="17">
        <f t="shared" ref="V231" si="248">SUM(T231:U231)</f>
        <v>0</v>
      </c>
      <c r="W231" s="391">
        <f t="shared" ref="W231" si="249">J231+K231+N231+Q231+T231</f>
        <v>0</v>
      </c>
      <c r="X231" s="17">
        <f t="shared" ref="X231" si="250">L231+O231+R231+U231</f>
        <v>0</v>
      </c>
      <c r="Y231" s="18">
        <f t="shared" ref="Y231" si="251">SUM(W231:X231)</f>
        <v>0</v>
      </c>
      <c r="Z231" s="19">
        <f t="shared" ref="Z231:Z232" si="252">IF(Y$223=0,0,Y231/Y$223)</f>
        <v>0</v>
      </c>
      <c r="AA231" s="91"/>
      <c r="AB231" s="91"/>
      <c r="AC231" s="84"/>
      <c r="AE231" s="111"/>
      <c r="AF231" s="111"/>
      <c r="AG231" s="111"/>
      <c r="AH231" s="112"/>
      <c r="AI231" s="113"/>
      <c r="AJ231" s="117"/>
      <c r="AK231" s="111"/>
      <c r="AL231" s="111"/>
      <c r="AM231" s="111"/>
      <c r="AN231" s="112"/>
      <c r="AO231" s="113"/>
      <c r="AP231" s="117"/>
      <c r="AQ231" s="17"/>
      <c r="AR231" s="17"/>
      <c r="AS231" s="17"/>
      <c r="AT231" s="18">
        <f t="shared" ref="AT231" si="253">W231</f>
        <v>0</v>
      </c>
      <c r="AU231" s="19">
        <f>IF(AT$444=0,0,AT231/AT$444)</f>
        <v>0</v>
      </c>
      <c r="AV231" s="117"/>
      <c r="AW231" s="17"/>
      <c r="AX231" s="17"/>
      <c r="AY231" s="17"/>
      <c r="AZ231" s="18">
        <f t="shared" ref="AZ231" si="254">X231</f>
        <v>0</v>
      </c>
      <c r="BA231" s="19">
        <f>IF(AZ$444=0,0,AZ231/AZ$444)</f>
        <v>0</v>
      </c>
    </row>
    <row r="232" spans="1:53" ht="17.100000000000001" customHeight="1" x14ac:dyDescent="0.25">
      <c r="A232" s="40"/>
      <c r="B232" s="179"/>
      <c r="C232" s="292"/>
      <c r="D232" s="144"/>
      <c r="E232" s="144"/>
      <c r="F232" s="145"/>
      <c r="G232" s="145"/>
      <c r="H232" s="119"/>
      <c r="I232" s="138"/>
      <c r="J232" s="64"/>
      <c r="K232" s="64"/>
      <c r="L232" s="64"/>
      <c r="M232" s="64"/>
      <c r="N232" s="64">
        <f>N226+N227+N231</f>
        <v>0</v>
      </c>
      <c r="O232" s="64">
        <f t="shared" ref="O232:V232" si="255">O226+O227+O231</f>
        <v>0</v>
      </c>
      <c r="P232" s="64">
        <f t="shared" si="255"/>
        <v>0</v>
      </c>
      <c r="Q232" s="64">
        <f t="shared" si="255"/>
        <v>0</v>
      </c>
      <c r="R232" s="64">
        <f t="shared" si="255"/>
        <v>7</v>
      </c>
      <c r="S232" s="64">
        <f t="shared" si="255"/>
        <v>7</v>
      </c>
      <c r="T232" s="64">
        <f t="shared" si="255"/>
        <v>0</v>
      </c>
      <c r="U232" s="64">
        <f t="shared" si="255"/>
        <v>0</v>
      </c>
      <c r="V232" s="64">
        <f t="shared" si="255"/>
        <v>0</v>
      </c>
      <c r="W232" s="224">
        <f>SUM(W226:W231)</f>
        <v>0</v>
      </c>
      <c r="X232" s="224">
        <f t="shared" ref="X232:Y232" si="256">SUM(X226:X231)</f>
        <v>1150007</v>
      </c>
      <c r="Y232" s="224">
        <f t="shared" si="256"/>
        <v>7</v>
      </c>
      <c r="Z232" s="66">
        <f t="shared" si="252"/>
        <v>1</v>
      </c>
      <c r="AA232" s="205"/>
      <c r="AB232" s="205"/>
      <c r="AC232" s="83"/>
      <c r="AE232" s="80"/>
      <c r="AF232" s="80"/>
      <c r="AG232" s="81"/>
      <c r="AH232" s="82"/>
      <c r="AI232" s="66"/>
      <c r="AJ232" s="117"/>
      <c r="AK232" s="80"/>
      <c r="AL232" s="80"/>
      <c r="AM232" s="81"/>
      <c r="AN232" s="82"/>
      <c r="AO232" s="66"/>
      <c r="AP232" s="117"/>
      <c r="AQ232" s="80"/>
      <c r="AR232" s="80"/>
      <c r="AS232" s="81"/>
      <c r="AT232" s="82">
        <f>SUM(AT226:AT231)</f>
        <v>0</v>
      </c>
      <c r="AU232" s="66">
        <f>IF(AT$444=0,0,AT232/AT$444)</f>
        <v>0</v>
      </c>
      <c r="AV232" s="117"/>
      <c r="AW232" s="80"/>
      <c r="AX232" s="80"/>
      <c r="AY232" s="81"/>
      <c r="AZ232" s="82">
        <f>SUM(AZ226:AZ231)</f>
        <v>7</v>
      </c>
      <c r="BA232" s="66">
        <f>IF(AZ$444=0,0,AZ232/AZ$444)</f>
        <v>0</v>
      </c>
    </row>
    <row r="233" spans="1:53" s="117" customFormat="1" ht="17.100000000000001" customHeight="1" x14ac:dyDescent="0.25">
      <c r="A233" s="119"/>
      <c r="B233" s="119"/>
      <c r="C233" s="647"/>
      <c r="D233" s="212"/>
      <c r="E233" s="212"/>
      <c r="F233" s="212"/>
      <c r="G233" s="212"/>
      <c r="H233" s="242"/>
      <c r="I233" s="230"/>
      <c r="J233" s="17"/>
      <c r="K233" s="17"/>
      <c r="L233" s="17"/>
      <c r="M233" s="17"/>
      <c r="N233" s="17" t="str">
        <f>IF(N232=N$198,"OK","NOK")</f>
        <v>OK</v>
      </c>
      <c r="O233" s="17" t="str">
        <f>IF(O232=O$198,"OK","NOK")</f>
        <v>OK</v>
      </c>
      <c r="P233" s="17"/>
      <c r="Q233" s="17" t="str">
        <f>IF(Q232=Q$198,"OK","NOK")</f>
        <v>OK</v>
      </c>
      <c r="R233" s="17" t="str">
        <f>IF(R232=R$198,"OK","NOK")</f>
        <v>OK</v>
      </c>
      <c r="S233" s="17"/>
      <c r="T233" s="17" t="str">
        <f>IF(T232=T$198,"OK","NOK")</f>
        <v>OK</v>
      </c>
      <c r="U233" s="17" t="str">
        <f>IF(U232=U$198,"OK","NOK")</f>
        <v>OK</v>
      </c>
      <c r="V233" s="359"/>
      <c r="W233" s="382"/>
      <c r="X233" s="646"/>
      <c r="Y233" s="646"/>
      <c r="Z233" s="201"/>
      <c r="AA233" s="201"/>
      <c r="AB233" s="201"/>
      <c r="AC233" s="84"/>
      <c r="AE233" s="17"/>
      <c r="AF233" s="17"/>
      <c r="AG233" s="17"/>
      <c r="AH233" s="646"/>
      <c r="AI233" s="91"/>
      <c r="AK233" s="17"/>
      <c r="AL233" s="17"/>
      <c r="AM233" s="17"/>
      <c r="AN233" s="646"/>
      <c r="AO233" s="91"/>
      <c r="AQ233" s="17"/>
      <c r="AR233" s="17"/>
      <c r="AS233" s="17"/>
      <c r="AT233" s="646"/>
      <c r="AU233" s="91"/>
      <c r="AW233" s="17"/>
      <c r="AX233" s="17"/>
      <c r="AY233" s="17"/>
      <c r="AZ233" s="17"/>
      <c r="BA233" s="91"/>
    </row>
    <row r="234" spans="1:53" ht="17.100000000000001" customHeight="1" x14ac:dyDescent="0.25">
      <c r="A234" s="40"/>
      <c r="B234" s="299" t="s">
        <v>1058</v>
      </c>
      <c r="C234" s="274" t="s">
        <v>759</v>
      </c>
      <c r="D234" s="50"/>
      <c r="E234" s="50"/>
      <c r="F234" s="50"/>
      <c r="G234" s="301"/>
      <c r="H234" s="119"/>
      <c r="I234" s="138"/>
      <c r="J234" s="88"/>
      <c r="K234" s="88"/>
      <c r="L234" s="71"/>
      <c r="M234" s="71"/>
      <c r="N234" s="71"/>
      <c r="O234" s="71"/>
      <c r="P234" s="71"/>
      <c r="Q234" s="71"/>
      <c r="R234" s="71"/>
      <c r="S234" s="71"/>
      <c r="T234" s="71"/>
      <c r="U234" s="71"/>
      <c r="V234" s="71"/>
      <c r="W234" s="71"/>
      <c r="X234" s="71"/>
      <c r="Y234" s="71"/>
      <c r="Z234" s="90"/>
      <c r="AA234" s="90"/>
      <c r="AB234" s="90"/>
      <c r="AC234" s="73"/>
      <c r="AE234" s="71"/>
      <c r="AF234" s="71"/>
      <c r="AG234" s="89"/>
      <c r="AH234" s="90"/>
      <c r="AI234" s="73"/>
      <c r="AK234" s="71"/>
      <c r="AL234" s="71"/>
      <c r="AM234" s="89"/>
      <c r="AN234" s="90"/>
      <c r="AO234" s="73"/>
      <c r="AQ234" s="71"/>
      <c r="AR234" s="71"/>
      <c r="AS234" s="89"/>
      <c r="AT234" s="90"/>
      <c r="AU234" s="73"/>
      <c r="AW234" s="71"/>
      <c r="AX234" s="71"/>
      <c r="AY234" s="89"/>
      <c r="AZ234" s="90"/>
      <c r="BA234" s="73"/>
    </row>
    <row r="235" spans="1:53" ht="17.100000000000001" customHeight="1" x14ac:dyDescent="0.25">
      <c r="A235" s="40"/>
      <c r="B235" s="55"/>
      <c r="C235" s="56" t="s">
        <v>1059</v>
      </c>
      <c r="D235" s="85" t="s">
        <v>478</v>
      </c>
      <c r="E235" s="149"/>
      <c r="F235" s="149"/>
      <c r="G235" s="151"/>
      <c r="H235" s="119"/>
      <c r="I235" s="138"/>
      <c r="J235" s="174"/>
      <c r="K235" s="174"/>
      <c r="L235" s="111"/>
      <c r="M235" s="111"/>
      <c r="N235" s="60"/>
      <c r="O235" s="60"/>
      <c r="P235" s="17">
        <f t="shared" ref="P235:P242" si="257">SUM(N235:O235)</f>
        <v>0</v>
      </c>
      <c r="Q235" s="60"/>
      <c r="R235" s="60"/>
      <c r="S235" s="17">
        <f t="shared" ref="S235:S242" si="258">SUM(Q235:R235)</f>
        <v>0</v>
      </c>
      <c r="T235" s="60"/>
      <c r="U235" s="60"/>
      <c r="V235" s="17">
        <f t="shared" ref="V235:V242" si="259">SUM(T235:U235)</f>
        <v>0</v>
      </c>
      <c r="W235" s="391">
        <f t="shared" ref="W235:W242" si="260">J235+K235+N235+Q235+T235</f>
        <v>0</v>
      </c>
      <c r="X235" s="17">
        <f t="shared" ref="X235:X242" si="261">L235+O235+R235+U235</f>
        <v>0</v>
      </c>
      <c r="Y235" s="18">
        <f t="shared" ref="Y235:Y242" si="262">SUM(W235:X235)</f>
        <v>0</v>
      </c>
      <c r="Z235" s="19">
        <f>IF(Y$243=0,0,Y235/Y$243)</f>
        <v>0</v>
      </c>
      <c r="AA235" s="19"/>
      <c r="AB235" s="19"/>
      <c r="AC235" s="84"/>
      <c r="AD235" s="117"/>
      <c r="AE235" s="111"/>
      <c r="AF235" s="111"/>
      <c r="AG235" s="111"/>
      <c r="AH235" s="651"/>
      <c r="AI235" s="131"/>
      <c r="AK235" s="111"/>
      <c r="AL235" s="111"/>
      <c r="AM235" s="111"/>
      <c r="AN235" s="651"/>
      <c r="AO235" s="131"/>
      <c r="AQ235" s="17"/>
      <c r="AR235" s="17"/>
      <c r="AS235" s="17"/>
      <c r="AT235" s="424">
        <f>W235</f>
        <v>0</v>
      </c>
      <c r="AU235" s="19">
        <f>IF(AT$243=0,0,AT235/AT$243)</f>
        <v>0</v>
      </c>
      <c r="AW235" s="17"/>
      <c r="AX235" s="17"/>
      <c r="AY235" s="17"/>
      <c r="AZ235" s="424">
        <f>X235</f>
        <v>0</v>
      </c>
      <c r="BA235" s="19">
        <f>IF(AZ$243=0,0,AZ235/AZ$243)</f>
        <v>0</v>
      </c>
    </row>
    <row r="236" spans="1:53" ht="17.100000000000001" customHeight="1" x14ac:dyDescent="0.25">
      <c r="A236" s="40"/>
      <c r="B236" s="55"/>
      <c r="C236" s="56" t="s">
        <v>1060</v>
      </c>
      <c r="D236" s="85" t="s">
        <v>165</v>
      </c>
      <c r="E236" s="149"/>
      <c r="F236" s="149"/>
      <c r="G236" s="151"/>
      <c r="H236" s="119"/>
      <c r="I236" s="138"/>
      <c r="J236" s="174"/>
      <c r="K236" s="174"/>
      <c r="L236" s="111"/>
      <c r="M236" s="111"/>
      <c r="N236" s="61"/>
      <c r="O236" s="61"/>
      <c r="P236" s="17">
        <f t="shared" si="257"/>
        <v>0</v>
      </c>
      <c r="Q236" s="61"/>
      <c r="R236" s="61">
        <v>7</v>
      </c>
      <c r="S236" s="17">
        <f t="shared" si="258"/>
        <v>7</v>
      </c>
      <c r="T236" s="61"/>
      <c r="U236" s="61"/>
      <c r="V236" s="17">
        <f t="shared" si="259"/>
        <v>0</v>
      </c>
      <c r="W236" s="391">
        <f t="shared" si="260"/>
        <v>0</v>
      </c>
      <c r="X236" s="17">
        <f t="shared" si="261"/>
        <v>7</v>
      </c>
      <c r="Y236" s="18">
        <f t="shared" si="262"/>
        <v>7</v>
      </c>
      <c r="Z236" s="19">
        <f t="shared" ref="Z236:Z243" si="263">IF(Y$243=0,0,Y236/Y$243)</f>
        <v>1</v>
      </c>
      <c r="AA236" s="19"/>
      <c r="AB236" s="19"/>
      <c r="AC236" s="84"/>
      <c r="AD236" s="117"/>
      <c r="AE236" s="111"/>
      <c r="AF236" s="111"/>
      <c r="AG236" s="111"/>
      <c r="AH236" s="651"/>
      <c r="AI236" s="131"/>
      <c r="AK236" s="111"/>
      <c r="AL236" s="111"/>
      <c r="AM236" s="111"/>
      <c r="AN236" s="651"/>
      <c r="AO236" s="131"/>
      <c r="AQ236" s="17"/>
      <c r="AR236" s="17"/>
      <c r="AS236" s="17"/>
      <c r="AT236" s="424">
        <f t="shared" ref="AT236:AT242" si="264">W236</f>
        <v>0</v>
      </c>
      <c r="AU236" s="19">
        <f t="shared" ref="AU236:AU243" si="265">IF(AT$243=0,0,AT236/AT$243)</f>
        <v>0</v>
      </c>
      <c r="AW236" s="17"/>
      <c r="AX236" s="17"/>
      <c r="AY236" s="17"/>
      <c r="AZ236" s="424">
        <f t="shared" ref="AZ236:AZ242" si="266">X236</f>
        <v>7</v>
      </c>
      <c r="BA236" s="19">
        <f t="shared" ref="BA236:BA243" si="267">IF(AZ$243=0,0,AZ236/AZ$243)</f>
        <v>1</v>
      </c>
    </row>
    <row r="237" spans="1:53" ht="17.100000000000001" customHeight="1" x14ac:dyDescent="0.25">
      <c r="A237" s="40"/>
      <c r="B237" s="55"/>
      <c r="C237" s="56" t="s">
        <v>1061</v>
      </c>
      <c r="D237" s="85" t="s">
        <v>167</v>
      </c>
      <c r="E237" s="149"/>
      <c r="F237" s="149"/>
      <c r="G237" s="151"/>
      <c r="H237" s="119"/>
      <c r="I237" s="138"/>
      <c r="J237" s="174"/>
      <c r="K237" s="174"/>
      <c r="L237" s="111"/>
      <c r="M237" s="111"/>
      <c r="N237" s="60"/>
      <c r="O237" s="60"/>
      <c r="P237" s="17">
        <f t="shared" si="257"/>
        <v>0</v>
      </c>
      <c r="Q237" s="60"/>
      <c r="R237" s="60"/>
      <c r="S237" s="17">
        <f t="shared" si="258"/>
        <v>0</v>
      </c>
      <c r="T237" s="60"/>
      <c r="U237" s="60"/>
      <c r="V237" s="17">
        <f t="shared" si="259"/>
        <v>0</v>
      </c>
      <c r="W237" s="391">
        <f t="shared" si="260"/>
        <v>0</v>
      </c>
      <c r="X237" s="17">
        <f t="shared" si="261"/>
        <v>0</v>
      </c>
      <c r="Y237" s="18">
        <f t="shared" si="262"/>
        <v>0</v>
      </c>
      <c r="Z237" s="19">
        <f t="shared" si="263"/>
        <v>0</v>
      </c>
      <c r="AA237" s="19"/>
      <c r="AB237" s="19"/>
      <c r="AC237" s="84"/>
      <c r="AD237" s="117"/>
      <c r="AE237" s="111"/>
      <c r="AF237" s="111"/>
      <c r="AG237" s="111"/>
      <c r="AH237" s="651"/>
      <c r="AI237" s="131"/>
      <c r="AK237" s="111"/>
      <c r="AL237" s="111"/>
      <c r="AM237" s="111"/>
      <c r="AN237" s="651"/>
      <c r="AO237" s="131"/>
      <c r="AQ237" s="17"/>
      <c r="AR237" s="17"/>
      <c r="AS237" s="17"/>
      <c r="AT237" s="424">
        <f t="shared" si="264"/>
        <v>0</v>
      </c>
      <c r="AU237" s="19">
        <f t="shared" si="265"/>
        <v>0</v>
      </c>
      <c r="AW237" s="17"/>
      <c r="AX237" s="17"/>
      <c r="AY237" s="17"/>
      <c r="AZ237" s="424">
        <f t="shared" si="266"/>
        <v>0</v>
      </c>
      <c r="BA237" s="19">
        <f t="shared" si="267"/>
        <v>0</v>
      </c>
    </row>
    <row r="238" spans="1:53" ht="17.100000000000001" customHeight="1" x14ac:dyDescent="0.25">
      <c r="A238" s="40"/>
      <c r="B238" s="55"/>
      <c r="C238" s="56" t="s">
        <v>1062</v>
      </c>
      <c r="D238" s="146" t="s">
        <v>991</v>
      </c>
      <c r="E238" s="149"/>
      <c r="F238" s="149"/>
      <c r="G238" s="151"/>
      <c r="H238" s="119"/>
      <c r="I238" s="138"/>
      <c r="J238" s="174"/>
      <c r="K238" s="174"/>
      <c r="L238" s="111"/>
      <c r="M238" s="111"/>
      <c r="N238" s="61"/>
      <c r="O238" s="61"/>
      <c r="P238" s="17">
        <f t="shared" si="257"/>
        <v>0</v>
      </c>
      <c r="Q238" s="61"/>
      <c r="R238" s="61"/>
      <c r="S238" s="17">
        <f t="shared" si="258"/>
        <v>0</v>
      </c>
      <c r="T238" s="61"/>
      <c r="U238" s="61"/>
      <c r="V238" s="17">
        <f t="shared" si="259"/>
        <v>0</v>
      </c>
      <c r="W238" s="391">
        <f t="shared" si="260"/>
        <v>0</v>
      </c>
      <c r="X238" s="17">
        <f t="shared" si="261"/>
        <v>0</v>
      </c>
      <c r="Y238" s="18">
        <f t="shared" si="262"/>
        <v>0</v>
      </c>
      <c r="Z238" s="19">
        <f t="shared" si="263"/>
        <v>0</v>
      </c>
      <c r="AA238" s="19"/>
      <c r="AB238" s="19"/>
      <c r="AC238" s="84"/>
      <c r="AD238" s="117"/>
      <c r="AE238" s="111"/>
      <c r="AF238" s="111"/>
      <c r="AG238" s="111"/>
      <c r="AH238" s="651"/>
      <c r="AI238" s="131"/>
      <c r="AK238" s="111"/>
      <c r="AL238" s="111"/>
      <c r="AM238" s="111"/>
      <c r="AN238" s="651"/>
      <c r="AO238" s="131"/>
      <c r="AQ238" s="17"/>
      <c r="AR238" s="17"/>
      <c r="AS238" s="17"/>
      <c r="AT238" s="424">
        <f t="shared" si="264"/>
        <v>0</v>
      </c>
      <c r="AU238" s="19">
        <f t="shared" si="265"/>
        <v>0</v>
      </c>
      <c r="AW238" s="17"/>
      <c r="AX238" s="17"/>
      <c r="AY238" s="17"/>
      <c r="AZ238" s="424">
        <f t="shared" si="266"/>
        <v>0</v>
      </c>
      <c r="BA238" s="19">
        <f t="shared" si="267"/>
        <v>0</v>
      </c>
    </row>
    <row r="239" spans="1:53" ht="17.100000000000001" customHeight="1" x14ac:dyDescent="0.25">
      <c r="A239" s="40"/>
      <c r="B239" s="55"/>
      <c r="C239" s="56" t="s">
        <v>1063</v>
      </c>
      <c r="D239" s="85" t="s">
        <v>438</v>
      </c>
      <c r="E239" s="149"/>
      <c r="F239" s="149"/>
      <c r="G239" s="151"/>
      <c r="H239" s="119"/>
      <c r="I239" s="138"/>
      <c r="J239" s="174"/>
      <c r="K239" s="174"/>
      <c r="L239" s="111"/>
      <c r="M239" s="111"/>
      <c r="N239" s="60"/>
      <c r="O239" s="60"/>
      <c r="P239" s="17">
        <f t="shared" si="257"/>
        <v>0</v>
      </c>
      <c r="Q239" s="60"/>
      <c r="R239" s="60"/>
      <c r="S239" s="17">
        <f t="shared" si="258"/>
        <v>0</v>
      </c>
      <c r="T239" s="60"/>
      <c r="U239" s="60"/>
      <c r="V239" s="17">
        <f t="shared" si="259"/>
        <v>0</v>
      </c>
      <c r="W239" s="391">
        <f t="shared" si="260"/>
        <v>0</v>
      </c>
      <c r="X239" s="17">
        <f t="shared" si="261"/>
        <v>0</v>
      </c>
      <c r="Y239" s="18">
        <f t="shared" si="262"/>
        <v>0</v>
      </c>
      <c r="Z239" s="19">
        <f t="shared" si="263"/>
        <v>0</v>
      </c>
      <c r="AA239" s="19"/>
      <c r="AB239" s="19"/>
      <c r="AC239" s="84"/>
      <c r="AD239" s="117"/>
      <c r="AE239" s="111"/>
      <c r="AF239" s="111"/>
      <c r="AG239" s="111"/>
      <c r="AH239" s="651"/>
      <c r="AI239" s="131"/>
      <c r="AK239" s="111"/>
      <c r="AL239" s="111"/>
      <c r="AM239" s="111"/>
      <c r="AN239" s="651"/>
      <c r="AO239" s="131"/>
      <c r="AQ239" s="17"/>
      <c r="AR239" s="17"/>
      <c r="AS239" s="17"/>
      <c r="AT239" s="424">
        <f t="shared" si="264"/>
        <v>0</v>
      </c>
      <c r="AU239" s="19">
        <f t="shared" si="265"/>
        <v>0</v>
      </c>
      <c r="AW239" s="17"/>
      <c r="AX239" s="17"/>
      <c r="AY239" s="17"/>
      <c r="AZ239" s="424">
        <f t="shared" si="266"/>
        <v>0</v>
      </c>
      <c r="BA239" s="19">
        <f t="shared" si="267"/>
        <v>0</v>
      </c>
    </row>
    <row r="240" spans="1:53" ht="17.100000000000001" customHeight="1" x14ac:dyDescent="0.25">
      <c r="A240" s="40"/>
      <c r="B240" s="55"/>
      <c r="C240" s="56" t="s">
        <v>1064</v>
      </c>
      <c r="D240" s="85" t="s">
        <v>439</v>
      </c>
      <c r="E240" s="149"/>
      <c r="F240" s="149"/>
      <c r="G240" s="151"/>
      <c r="H240" s="119"/>
      <c r="I240" s="138"/>
      <c r="J240" s="174"/>
      <c r="K240" s="174"/>
      <c r="L240" s="111"/>
      <c r="M240" s="111"/>
      <c r="N240" s="61"/>
      <c r="O240" s="61"/>
      <c r="P240" s="17">
        <f t="shared" si="257"/>
        <v>0</v>
      </c>
      <c r="Q240" s="61"/>
      <c r="R240" s="61"/>
      <c r="S240" s="17">
        <f t="shared" si="258"/>
        <v>0</v>
      </c>
      <c r="T240" s="61"/>
      <c r="U240" s="61"/>
      <c r="V240" s="17">
        <f t="shared" si="259"/>
        <v>0</v>
      </c>
      <c r="W240" s="391">
        <f t="shared" si="260"/>
        <v>0</v>
      </c>
      <c r="X240" s="17">
        <f t="shared" si="261"/>
        <v>0</v>
      </c>
      <c r="Y240" s="18">
        <f t="shared" si="262"/>
        <v>0</v>
      </c>
      <c r="Z240" s="19">
        <f t="shared" si="263"/>
        <v>0</v>
      </c>
      <c r="AA240" s="19"/>
      <c r="AB240" s="19"/>
      <c r="AC240" s="84"/>
      <c r="AD240" s="117"/>
      <c r="AE240" s="111"/>
      <c r="AF240" s="111"/>
      <c r="AG240" s="111"/>
      <c r="AH240" s="651"/>
      <c r="AI240" s="131"/>
      <c r="AK240" s="111"/>
      <c r="AL240" s="111"/>
      <c r="AM240" s="111"/>
      <c r="AN240" s="651"/>
      <c r="AO240" s="131"/>
      <c r="AQ240" s="17"/>
      <c r="AR240" s="17"/>
      <c r="AS240" s="17"/>
      <c r="AT240" s="424">
        <f t="shared" si="264"/>
        <v>0</v>
      </c>
      <c r="AU240" s="19">
        <f t="shared" si="265"/>
        <v>0</v>
      </c>
      <c r="AW240" s="17"/>
      <c r="AX240" s="17"/>
      <c r="AY240" s="17"/>
      <c r="AZ240" s="424">
        <f t="shared" si="266"/>
        <v>0</v>
      </c>
      <c r="BA240" s="19">
        <f t="shared" si="267"/>
        <v>0</v>
      </c>
    </row>
    <row r="241" spans="1:53" ht="17.100000000000001" customHeight="1" x14ac:dyDescent="0.25">
      <c r="A241" s="40"/>
      <c r="B241" s="55"/>
      <c r="C241" s="56" t="s">
        <v>1065</v>
      </c>
      <c r="D241" s="85" t="s">
        <v>483</v>
      </c>
      <c r="E241" s="149"/>
      <c r="F241" s="149"/>
      <c r="G241" s="151"/>
      <c r="H241" s="119"/>
      <c r="I241" s="138"/>
      <c r="J241" s="174"/>
      <c r="K241" s="174"/>
      <c r="L241" s="111"/>
      <c r="M241" s="111"/>
      <c r="N241" s="60"/>
      <c r="O241" s="60"/>
      <c r="P241" s="17">
        <f t="shared" si="257"/>
        <v>0</v>
      </c>
      <c r="Q241" s="60"/>
      <c r="R241" s="60"/>
      <c r="S241" s="17">
        <f t="shared" si="258"/>
        <v>0</v>
      </c>
      <c r="T241" s="60"/>
      <c r="U241" s="60"/>
      <c r="V241" s="17">
        <f t="shared" si="259"/>
        <v>0</v>
      </c>
      <c r="W241" s="391">
        <f t="shared" si="260"/>
        <v>0</v>
      </c>
      <c r="X241" s="17">
        <f t="shared" si="261"/>
        <v>0</v>
      </c>
      <c r="Y241" s="18">
        <f t="shared" si="262"/>
        <v>0</v>
      </c>
      <c r="Z241" s="19">
        <f t="shared" si="263"/>
        <v>0</v>
      </c>
      <c r="AA241" s="19"/>
      <c r="AB241" s="19"/>
      <c r="AC241" s="84"/>
      <c r="AD241" s="117"/>
      <c r="AE241" s="111"/>
      <c r="AF241" s="111"/>
      <c r="AG241" s="111"/>
      <c r="AH241" s="651"/>
      <c r="AI241" s="131"/>
      <c r="AK241" s="111"/>
      <c r="AL241" s="111"/>
      <c r="AM241" s="111"/>
      <c r="AN241" s="651"/>
      <c r="AO241" s="131"/>
      <c r="AQ241" s="17"/>
      <c r="AR241" s="17"/>
      <c r="AS241" s="17"/>
      <c r="AT241" s="424">
        <f t="shared" si="264"/>
        <v>0</v>
      </c>
      <c r="AU241" s="19">
        <f t="shared" si="265"/>
        <v>0</v>
      </c>
      <c r="AW241" s="17"/>
      <c r="AX241" s="17"/>
      <c r="AY241" s="17"/>
      <c r="AZ241" s="424">
        <f t="shared" si="266"/>
        <v>0</v>
      </c>
      <c r="BA241" s="19">
        <f t="shared" si="267"/>
        <v>0</v>
      </c>
    </row>
    <row r="242" spans="1:53" ht="17.100000000000001" customHeight="1" x14ac:dyDescent="0.25">
      <c r="A242" s="40"/>
      <c r="B242" s="55"/>
      <c r="C242" s="56" t="s">
        <v>1066</v>
      </c>
      <c r="D242" s="85" t="s">
        <v>129</v>
      </c>
      <c r="E242" s="149"/>
      <c r="F242" s="149"/>
      <c r="G242" s="151"/>
      <c r="H242" s="119"/>
      <c r="I242" s="138"/>
      <c r="J242" s="174"/>
      <c r="K242" s="174"/>
      <c r="L242" s="111"/>
      <c r="M242" s="111"/>
      <c r="N242" s="61"/>
      <c r="O242" s="61"/>
      <c r="P242" s="17">
        <f t="shared" si="257"/>
        <v>0</v>
      </c>
      <c r="Q242" s="61"/>
      <c r="R242" s="61"/>
      <c r="S242" s="17">
        <f t="shared" si="258"/>
        <v>0</v>
      </c>
      <c r="T242" s="61"/>
      <c r="U242" s="61"/>
      <c r="V242" s="17">
        <f t="shared" si="259"/>
        <v>0</v>
      </c>
      <c r="W242" s="391">
        <f t="shared" si="260"/>
        <v>0</v>
      </c>
      <c r="X242" s="17">
        <f t="shared" si="261"/>
        <v>0</v>
      </c>
      <c r="Y242" s="18">
        <f t="shared" si="262"/>
        <v>0</v>
      </c>
      <c r="Z242" s="19">
        <f t="shared" si="263"/>
        <v>0</v>
      </c>
      <c r="AA242" s="19"/>
      <c r="AB242" s="19"/>
      <c r="AC242" s="84"/>
      <c r="AD242" s="117"/>
      <c r="AE242" s="111"/>
      <c r="AF242" s="111"/>
      <c r="AG242" s="111"/>
      <c r="AH242" s="651"/>
      <c r="AI242" s="131"/>
      <c r="AK242" s="111"/>
      <c r="AL242" s="111"/>
      <c r="AM242" s="111"/>
      <c r="AN242" s="651"/>
      <c r="AO242" s="131"/>
      <c r="AQ242" s="17"/>
      <c r="AR242" s="17"/>
      <c r="AS242" s="17"/>
      <c r="AT242" s="424">
        <f t="shared" si="264"/>
        <v>0</v>
      </c>
      <c r="AU242" s="19">
        <f t="shared" si="265"/>
        <v>0</v>
      </c>
      <c r="AW242" s="17"/>
      <c r="AX242" s="17"/>
      <c r="AY242" s="17"/>
      <c r="AZ242" s="424">
        <f t="shared" si="266"/>
        <v>0</v>
      </c>
      <c r="BA242" s="19">
        <f t="shared" si="267"/>
        <v>0</v>
      </c>
    </row>
    <row r="243" spans="1:53" ht="17.100000000000001" customHeight="1" x14ac:dyDescent="0.25">
      <c r="A243" s="40"/>
      <c r="B243" s="40"/>
      <c r="C243" s="292"/>
      <c r="D243" s="144"/>
      <c r="E243" s="144"/>
      <c r="F243" s="145"/>
      <c r="G243" s="145"/>
      <c r="H243" s="119"/>
      <c r="I243" s="138"/>
      <c r="J243" s="64"/>
      <c r="K243" s="64"/>
      <c r="L243" s="64"/>
      <c r="M243" s="64"/>
      <c r="N243" s="64">
        <f>SUM(N235:N242)</f>
        <v>0</v>
      </c>
      <c r="O243" s="64">
        <f t="shared" ref="O243:V243" si="268">SUM(O235:O242)</f>
        <v>0</v>
      </c>
      <c r="P243" s="64">
        <f t="shared" si="268"/>
        <v>0</v>
      </c>
      <c r="Q243" s="64">
        <f t="shared" si="268"/>
        <v>0</v>
      </c>
      <c r="R243" s="64">
        <f t="shared" si="268"/>
        <v>7</v>
      </c>
      <c r="S243" s="64">
        <f t="shared" si="268"/>
        <v>7</v>
      </c>
      <c r="T243" s="64">
        <f t="shared" si="268"/>
        <v>0</v>
      </c>
      <c r="U243" s="64">
        <f t="shared" si="268"/>
        <v>0</v>
      </c>
      <c r="V243" s="64">
        <f t="shared" si="268"/>
        <v>0</v>
      </c>
      <c r="W243" s="224">
        <f>SUM(W235:W242)</f>
        <v>0</v>
      </c>
      <c r="X243" s="224">
        <f t="shared" ref="X243:Y243" si="269">SUM(X235:X242)</f>
        <v>7</v>
      </c>
      <c r="Y243" s="224">
        <f t="shared" si="269"/>
        <v>7</v>
      </c>
      <c r="Z243" s="66">
        <f t="shared" si="263"/>
        <v>1</v>
      </c>
      <c r="AA243" s="205"/>
      <c r="AB243" s="205"/>
      <c r="AC243" s="83"/>
      <c r="AE243" s="81"/>
      <c r="AF243" s="81"/>
      <c r="AG243" s="82"/>
      <c r="AH243" s="324"/>
      <c r="AI243" s="66"/>
      <c r="AK243" s="81"/>
      <c r="AL243" s="81"/>
      <c r="AM243" s="82"/>
      <c r="AN243" s="324"/>
      <c r="AO243" s="66"/>
      <c r="AQ243" s="81"/>
      <c r="AR243" s="81"/>
      <c r="AS243" s="82"/>
      <c r="AT243" s="426">
        <f>SUM(AT235:AT242)</f>
        <v>0</v>
      </c>
      <c r="AU243" s="66">
        <f t="shared" si="265"/>
        <v>0</v>
      </c>
      <c r="AW243" s="81"/>
      <c r="AX243" s="81"/>
      <c r="AY243" s="82"/>
      <c r="AZ243" s="426">
        <f>SUM(AZ235:AZ242)</f>
        <v>7</v>
      </c>
      <c r="BA243" s="66">
        <f t="shared" si="267"/>
        <v>1</v>
      </c>
    </row>
    <row r="244" spans="1:53" s="117" customFormat="1" ht="17.100000000000001" customHeight="1" x14ac:dyDescent="0.25">
      <c r="A244" s="68"/>
      <c r="B244" s="119"/>
      <c r="C244" s="647"/>
      <c r="D244" s="261"/>
      <c r="E244" s="261"/>
      <c r="F244" s="68"/>
      <c r="G244" s="68"/>
      <c r="H244" s="119"/>
      <c r="I244" s="138"/>
      <c r="J244" s="17"/>
      <c r="K244" s="17"/>
      <c r="L244" s="17"/>
      <c r="M244" s="17"/>
      <c r="N244" s="17" t="str">
        <f>IF(N243=N$450,"OK","NOK")</f>
        <v>OK</v>
      </c>
      <c r="O244" s="17" t="str">
        <f>IF(O243=O$450,"OK","NOK")</f>
        <v>OK</v>
      </c>
      <c r="P244" s="17"/>
      <c r="Q244" s="17" t="str">
        <f>IF(Q243=Q$450,"OK","NOK")</f>
        <v>OK</v>
      </c>
      <c r="R244" s="17" t="str">
        <f>IF(R243=R$450,"OK","NOK")</f>
        <v>NOK</v>
      </c>
      <c r="S244" s="17"/>
      <c r="T244" s="17" t="str">
        <f>IF(T243=T$450,"OK","NOK")</f>
        <v>OK</v>
      </c>
      <c r="U244" s="17" t="str">
        <f>IF(U243=U$450,"OK","NOK")</f>
        <v>OK</v>
      </c>
      <c r="V244" s="359"/>
      <c r="W244" s="382"/>
      <c r="X244" s="646"/>
      <c r="Y244" s="646"/>
      <c r="Z244" s="201"/>
      <c r="AA244" s="201"/>
      <c r="AB244" s="201"/>
      <c r="AC244" s="84"/>
      <c r="AE244" s="46"/>
      <c r="AF244" s="46"/>
      <c r="AG244" s="17"/>
      <c r="AH244" s="646"/>
      <c r="AI244" s="91"/>
      <c r="AK244" s="46"/>
      <c r="AL244" s="46"/>
      <c r="AM244" s="17"/>
      <c r="AN244" s="646"/>
      <c r="AO244" s="91"/>
      <c r="AQ244" s="46"/>
      <c r="AR244" s="46"/>
      <c r="AS244" s="17"/>
      <c r="AT244" s="646"/>
      <c r="AU244" s="91"/>
      <c r="AW244" s="46"/>
      <c r="AX244" s="46"/>
      <c r="AY244" s="17"/>
      <c r="AZ244" s="646"/>
      <c r="BA244" s="91"/>
    </row>
    <row r="245" spans="1:53" s="117" customFormat="1" ht="17.100000000000001" customHeight="1" x14ac:dyDescent="0.25">
      <c r="A245" s="68"/>
      <c r="B245" s="119"/>
      <c r="C245" s="119"/>
      <c r="D245" s="56" t="s">
        <v>272</v>
      </c>
      <c r="E245" s="149" t="s">
        <v>751</v>
      </c>
      <c r="F245" s="149"/>
      <c r="G245" s="149"/>
      <c r="H245" s="182"/>
      <c r="I245" s="241"/>
      <c r="J245" s="152"/>
      <c r="K245" s="152"/>
      <c r="L245" s="111"/>
      <c r="M245" s="111"/>
      <c r="N245" s="111"/>
      <c r="O245" s="111"/>
      <c r="P245" s="111"/>
      <c r="Q245" s="111"/>
      <c r="R245" s="111"/>
      <c r="S245" s="111"/>
      <c r="T245" s="111"/>
      <c r="U245" s="111"/>
      <c r="V245" s="358"/>
      <c r="W245" s="380"/>
      <c r="X245" s="111"/>
      <c r="Y245" s="651"/>
      <c r="Z245" s="131"/>
      <c r="AA245" s="131"/>
      <c r="AB245" s="131"/>
      <c r="AC245" s="113"/>
      <c r="AE245" s="152"/>
      <c r="AF245" s="152"/>
      <c r="AG245" s="111"/>
      <c r="AH245" s="651"/>
      <c r="AI245" s="131"/>
      <c r="AK245" s="152"/>
      <c r="AL245" s="152"/>
      <c r="AM245" s="111"/>
      <c r="AN245" s="651"/>
      <c r="AO245" s="131"/>
      <c r="AQ245" s="152"/>
      <c r="AR245" s="152"/>
      <c r="AS245" s="111"/>
      <c r="AT245" s="651"/>
      <c r="AU245" s="131"/>
      <c r="AW245" s="152"/>
      <c r="AX245" s="152"/>
      <c r="AY245" s="111"/>
      <c r="AZ245" s="651"/>
      <c r="BA245" s="131"/>
    </row>
    <row r="246" spans="1:53" s="117" customFormat="1" ht="17.100000000000001" customHeight="1" x14ac:dyDescent="0.25">
      <c r="A246" s="68"/>
      <c r="B246" s="119"/>
      <c r="C246" s="55"/>
      <c r="D246" s="55"/>
      <c r="E246" s="74" t="s">
        <v>753</v>
      </c>
      <c r="F246" s="603" t="s">
        <v>752</v>
      </c>
      <c r="G246" s="603"/>
      <c r="H246" s="182"/>
      <c r="I246" s="241"/>
      <c r="J246" s="111"/>
      <c r="K246" s="152"/>
      <c r="L246" s="152"/>
      <c r="M246" s="152"/>
      <c r="N246" s="152"/>
      <c r="O246" s="111"/>
      <c r="P246" s="60"/>
      <c r="Q246" s="152"/>
      <c r="R246" s="111"/>
      <c r="S246" s="60"/>
      <c r="T246" s="152"/>
      <c r="U246" s="111"/>
      <c r="V246" s="361"/>
      <c r="W246" s="391"/>
      <c r="X246" s="17"/>
      <c r="Y246" s="18">
        <f t="shared" ref="Y246:Y248" si="270">M246+P246+S246+V246</f>
        <v>0</v>
      </c>
      <c r="Z246" s="19">
        <f>IF(Y$249=0,0,Y246/Y$249)</f>
        <v>0</v>
      </c>
      <c r="AA246" s="19"/>
      <c r="AB246" s="19"/>
      <c r="AC246" s="84"/>
      <c r="AE246" s="111"/>
      <c r="AF246" s="111"/>
      <c r="AG246" s="111"/>
      <c r="AH246" s="112"/>
      <c r="AI246" s="113"/>
      <c r="AK246" s="111"/>
      <c r="AL246" s="111"/>
      <c r="AM246" s="111"/>
      <c r="AN246" s="112"/>
      <c r="AO246" s="113"/>
      <c r="AQ246" s="111"/>
      <c r="AR246" s="111"/>
      <c r="AS246" s="111"/>
      <c r="AT246" s="651"/>
      <c r="AU246" s="131"/>
      <c r="AW246" s="111"/>
      <c r="AX246" s="111"/>
      <c r="AY246" s="111"/>
      <c r="AZ246" s="651"/>
      <c r="BA246" s="131"/>
    </row>
    <row r="247" spans="1:53" s="117" customFormat="1" ht="17.100000000000001" customHeight="1" x14ac:dyDescent="0.25">
      <c r="A247" s="68"/>
      <c r="B247" s="119"/>
      <c r="C247" s="55"/>
      <c r="D247" s="55"/>
      <c r="E247" s="74" t="s">
        <v>754</v>
      </c>
      <c r="F247" s="604"/>
      <c r="G247" s="604"/>
      <c r="H247" s="182"/>
      <c r="I247" s="241"/>
      <c r="J247" s="111"/>
      <c r="K247" s="152"/>
      <c r="L247" s="152"/>
      <c r="M247" s="152"/>
      <c r="N247" s="152"/>
      <c r="O247" s="111"/>
      <c r="P247" s="61"/>
      <c r="Q247" s="152"/>
      <c r="R247" s="111"/>
      <c r="S247" s="61"/>
      <c r="T247" s="152"/>
      <c r="U247" s="111"/>
      <c r="V247" s="362"/>
      <c r="W247" s="391"/>
      <c r="X247" s="17"/>
      <c r="Y247" s="18">
        <f t="shared" si="270"/>
        <v>0</v>
      </c>
      <c r="Z247" s="19">
        <f t="shared" ref="Z247:Z249" si="271">IF(Y$249=0,0,Y247/Y$249)</f>
        <v>0</v>
      </c>
      <c r="AA247" s="19"/>
      <c r="AB247" s="19"/>
      <c r="AC247" s="84"/>
      <c r="AE247" s="111"/>
      <c r="AF247" s="111"/>
      <c r="AG247" s="111"/>
      <c r="AH247" s="112"/>
      <c r="AI247" s="113"/>
      <c r="AK247" s="111"/>
      <c r="AL247" s="111"/>
      <c r="AM247" s="111"/>
      <c r="AN247" s="112"/>
      <c r="AO247" s="113"/>
      <c r="AQ247" s="111"/>
      <c r="AR247" s="111"/>
      <c r="AS247" s="111"/>
      <c r="AT247" s="651"/>
      <c r="AU247" s="131"/>
      <c r="AW247" s="111"/>
      <c r="AX247" s="111"/>
      <c r="AY247" s="111"/>
      <c r="AZ247" s="651"/>
      <c r="BA247" s="131"/>
    </row>
    <row r="248" spans="1:53" s="117" customFormat="1" ht="17.100000000000001" customHeight="1" x14ac:dyDescent="0.25">
      <c r="A248" s="68"/>
      <c r="B248" s="119"/>
      <c r="C248" s="55"/>
      <c r="D248" s="55"/>
      <c r="E248" s="74" t="s">
        <v>755</v>
      </c>
      <c r="F248" s="603"/>
      <c r="G248" s="603"/>
      <c r="H248" s="182"/>
      <c r="I248" s="241"/>
      <c r="J248" s="111"/>
      <c r="K248" s="152"/>
      <c r="L248" s="152"/>
      <c r="M248" s="152"/>
      <c r="N248" s="152"/>
      <c r="O248" s="111"/>
      <c r="P248" s="60"/>
      <c r="Q248" s="152"/>
      <c r="R248" s="111"/>
      <c r="S248" s="60"/>
      <c r="T248" s="152"/>
      <c r="U248" s="111"/>
      <c r="V248" s="361"/>
      <c r="W248" s="391"/>
      <c r="X248" s="17"/>
      <c r="Y248" s="18">
        <f t="shared" si="270"/>
        <v>0</v>
      </c>
      <c r="Z248" s="19">
        <f t="shared" si="271"/>
        <v>0</v>
      </c>
      <c r="AA248" s="19"/>
      <c r="AB248" s="19"/>
      <c r="AC248" s="84"/>
      <c r="AE248" s="111"/>
      <c r="AF248" s="111"/>
      <c r="AG248" s="111"/>
      <c r="AH248" s="112"/>
      <c r="AI248" s="113"/>
      <c r="AK248" s="111"/>
      <c r="AL248" s="111"/>
      <c r="AM248" s="111"/>
      <c r="AN248" s="112"/>
      <c r="AO248" s="113"/>
      <c r="AQ248" s="111"/>
      <c r="AR248" s="111"/>
      <c r="AS248" s="111"/>
      <c r="AT248" s="651"/>
      <c r="AU248" s="131"/>
      <c r="AW248" s="111"/>
      <c r="AX248" s="111"/>
      <c r="AY248" s="111"/>
      <c r="AZ248" s="651"/>
      <c r="BA248" s="131"/>
    </row>
    <row r="249" spans="1:53" s="117" customFormat="1" ht="17.100000000000001" customHeight="1" x14ac:dyDescent="0.25">
      <c r="A249" s="68"/>
      <c r="B249" s="119"/>
      <c r="C249" s="77"/>
      <c r="D249" s="134"/>
      <c r="E249" s="134"/>
      <c r="F249" s="134"/>
      <c r="G249" s="134"/>
      <c r="H249" s="647"/>
      <c r="I249" s="229"/>
      <c r="J249" s="80"/>
      <c r="K249" s="80"/>
      <c r="L249" s="81"/>
      <c r="M249" s="81"/>
      <c r="N249" s="81"/>
      <c r="O249" s="81"/>
      <c r="P249" s="81">
        <f>SUM(P246:P248)</f>
        <v>0</v>
      </c>
      <c r="Q249" s="81"/>
      <c r="R249" s="81"/>
      <c r="S249" s="81">
        <f>SUM(S246:S248)</f>
        <v>0</v>
      </c>
      <c r="T249" s="81"/>
      <c r="U249" s="81"/>
      <c r="V249" s="81">
        <f>SUM(V246:V248)</f>
        <v>0</v>
      </c>
      <c r="W249" s="381"/>
      <c r="X249" s="82"/>
      <c r="Y249" s="82">
        <f>SUM(Y246:Y248)</f>
        <v>0</v>
      </c>
      <c r="Z249" s="66">
        <f t="shared" si="271"/>
        <v>0</v>
      </c>
      <c r="AA249" s="205"/>
      <c r="AB249" s="205"/>
      <c r="AC249" s="83"/>
      <c r="AE249" s="80"/>
      <c r="AF249" s="80"/>
      <c r="AG249" s="81"/>
      <c r="AH249" s="82"/>
      <c r="AI249" s="66"/>
      <c r="AK249" s="80"/>
      <c r="AL249" s="80"/>
      <c r="AM249" s="81"/>
      <c r="AN249" s="82"/>
      <c r="AO249" s="66"/>
      <c r="AQ249" s="80"/>
      <c r="AR249" s="80"/>
      <c r="AS249" s="81"/>
      <c r="AT249" s="82"/>
      <c r="AU249" s="66"/>
      <c r="AW249" s="80"/>
      <c r="AX249" s="80"/>
      <c r="AY249" s="81"/>
      <c r="AZ249" s="82"/>
      <c r="BA249" s="66"/>
    </row>
    <row r="250" spans="1:53" s="117" customFormat="1" ht="17.100000000000001" customHeight="1" x14ac:dyDescent="0.25">
      <c r="A250" s="68"/>
      <c r="B250" s="119"/>
      <c r="C250" s="92"/>
      <c r="D250" s="93"/>
      <c r="E250" s="93"/>
      <c r="F250" s="93"/>
      <c r="G250" s="93"/>
      <c r="H250" s="647"/>
      <c r="I250" s="12"/>
      <c r="J250" s="46"/>
      <c r="K250" s="46"/>
      <c r="L250" s="17"/>
      <c r="M250" s="17"/>
      <c r="N250" s="17"/>
      <c r="O250" s="17"/>
      <c r="P250" s="17"/>
      <c r="Q250" s="17"/>
      <c r="R250" s="17"/>
      <c r="S250" s="17"/>
      <c r="T250" s="17"/>
      <c r="U250" s="17"/>
      <c r="V250" s="359"/>
      <c r="W250" s="382"/>
      <c r="X250" s="646"/>
      <c r="Y250" s="646"/>
      <c r="Z250" s="201"/>
      <c r="AA250" s="201"/>
      <c r="AB250" s="201"/>
      <c r="AC250" s="84"/>
      <c r="AE250" s="46"/>
      <c r="AF250" s="46"/>
      <c r="AG250" s="17"/>
      <c r="AH250" s="646"/>
      <c r="AI250" s="91"/>
      <c r="AK250" s="46"/>
      <c r="AL250" s="46"/>
      <c r="AM250" s="17"/>
      <c r="AN250" s="646"/>
      <c r="AO250" s="91"/>
      <c r="AQ250" s="46"/>
      <c r="AR250" s="46"/>
      <c r="AS250" s="17"/>
      <c r="AT250" s="646"/>
      <c r="AU250" s="91"/>
      <c r="AW250" s="46"/>
      <c r="AX250" s="46"/>
      <c r="AY250" s="17"/>
      <c r="AZ250" s="646"/>
      <c r="BA250" s="91"/>
    </row>
    <row r="251" spans="1:53" ht="17.100000000000001" customHeight="1" x14ac:dyDescent="0.25">
      <c r="A251" s="40"/>
      <c r="B251" s="41" t="s">
        <v>1446</v>
      </c>
      <c r="C251" s="49" t="s">
        <v>12</v>
      </c>
      <c r="D251" s="43"/>
      <c r="E251" s="43"/>
      <c r="F251" s="43"/>
      <c r="G251" s="43"/>
      <c r="H251" s="23"/>
      <c r="I251" s="12"/>
      <c r="J251" s="73"/>
      <c r="K251" s="73"/>
      <c r="L251" s="73"/>
      <c r="M251" s="73"/>
      <c r="N251" s="73"/>
      <c r="O251" s="73"/>
      <c r="P251" s="73"/>
      <c r="Q251" s="73"/>
      <c r="R251" s="73"/>
      <c r="S251" s="73"/>
      <c r="T251" s="73"/>
      <c r="U251" s="73"/>
      <c r="V251" s="970"/>
      <c r="W251" s="971"/>
      <c r="X251" s="73"/>
      <c r="Y251" s="73"/>
      <c r="Z251" s="73"/>
      <c r="AA251" s="73"/>
      <c r="AB251" s="73"/>
      <c r="AC251" s="73"/>
      <c r="AE251" s="73"/>
      <c r="AF251" s="73"/>
      <c r="AG251" s="73"/>
      <c r="AH251" s="73"/>
      <c r="AI251" s="73"/>
      <c r="AK251" s="73"/>
      <c r="AL251" s="73"/>
      <c r="AM251" s="73"/>
      <c r="AN251" s="73"/>
      <c r="AO251" s="73"/>
      <c r="AQ251" s="73"/>
      <c r="AR251" s="73"/>
      <c r="AS251" s="73"/>
      <c r="AT251" s="73"/>
      <c r="AU251" s="73"/>
      <c r="AW251" s="73"/>
      <c r="AX251" s="73"/>
      <c r="AY251" s="73"/>
      <c r="AZ251" s="73"/>
      <c r="BA251" s="73"/>
    </row>
    <row r="252" spans="1:53" s="4" customFormat="1" ht="17.100000000000001" customHeight="1" x14ac:dyDescent="0.25">
      <c r="A252" s="137"/>
      <c r="B252" s="40"/>
      <c r="C252" s="933" t="s">
        <v>1447</v>
      </c>
      <c r="D252" s="85" t="s">
        <v>1448</v>
      </c>
      <c r="E252" s="303"/>
      <c r="F252" s="303"/>
      <c r="G252" s="303"/>
      <c r="H252" s="320"/>
      <c r="I252" s="309"/>
      <c r="J252" s="174"/>
      <c r="K252" s="174"/>
      <c r="L252" s="174"/>
      <c r="M252" s="174"/>
      <c r="N252" s="174"/>
      <c r="O252" s="174"/>
      <c r="P252" s="174"/>
      <c r="Q252" s="174"/>
      <c r="R252" s="174"/>
      <c r="S252" s="174"/>
      <c r="T252" s="174"/>
      <c r="U252" s="174"/>
      <c r="V252" s="712"/>
      <c r="W252" s="972"/>
      <c r="X252" s="174"/>
      <c r="Y252" s="174"/>
      <c r="Z252" s="113"/>
      <c r="AA252" s="113"/>
      <c r="AB252" s="113"/>
      <c r="AC252" s="113"/>
      <c r="AE252" s="174"/>
      <c r="AF252" s="174"/>
      <c r="AG252" s="932"/>
      <c r="AH252" s="113"/>
      <c r="AI252" s="113"/>
      <c r="AK252" s="174"/>
      <c r="AL252" s="174"/>
      <c r="AM252" s="932"/>
      <c r="AN252" s="113"/>
      <c r="AO252" s="113"/>
      <c r="AQ252" s="174"/>
      <c r="AR252" s="174"/>
      <c r="AS252" s="932"/>
      <c r="AT252" s="113"/>
      <c r="AU252" s="113"/>
      <c r="AW252" s="174"/>
      <c r="AX252" s="174"/>
      <c r="AY252" s="932"/>
      <c r="AZ252" s="113"/>
      <c r="BA252" s="113"/>
    </row>
    <row r="253" spans="1:53" s="4" customFormat="1" ht="17.100000000000001" customHeight="1" x14ac:dyDescent="0.25">
      <c r="A253" s="137"/>
      <c r="B253" s="40"/>
      <c r="C253" s="40"/>
      <c r="D253" s="121" t="s">
        <v>129</v>
      </c>
      <c r="E253" s="304"/>
      <c r="F253" s="304"/>
      <c r="G253" s="304"/>
      <c r="H253" s="320"/>
      <c r="I253" s="309"/>
      <c r="J253" s="161"/>
      <c r="K253" s="161"/>
      <c r="L253" s="161"/>
      <c r="M253" s="161"/>
      <c r="N253" s="161">
        <f>N231</f>
        <v>0</v>
      </c>
      <c r="O253" s="161">
        <f>O231</f>
        <v>0</v>
      </c>
      <c r="P253" s="161"/>
      <c r="Q253" s="161">
        <f>Q231</f>
        <v>0</v>
      </c>
      <c r="R253" s="161">
        <f>R231</f>
        <v>0</v>
      </c>
      <c r="S253" s="161"/>
      <c r="T253" s="161">
        <f>T231</f>
        <v>0</v>
      </c>
      <c r="U253" s="161">
        <f>U231</f>
        <v>0</v>
      </c>
      <c r="V253" s="697"/>
      <c r="W253" s="973"/>
      <c r="X253" s="161"/>
      <c r="Y253" s="161"/>
      <c r="Z253" s="125"/>
      <c r="AA253" s="125"/>
      <c r="AB253" s="125"/>
      <c r="AC253" s="125"/>
      <c r="AD253" s="97"/>
      <c r="AE253" s="161"/>
      <c r="AF253" s="161"/>
      <c r="AG253" s="129"/>
      <c r="AH253" s="125"/>
      <c r="AI253" s="125"/>
      <c r="AJ253" s="97"/>
      <c r="AK253" s="161"/>
      <c r="AL253" s="161"/>
      <c r="AM253" s="129"/>
      <c r="AN253" s="125"/>
      <c r="AO253" s="125"/>
      <c r="AP253" s="97"/>
      <c r="AQ253" s="161"/>
      <c r="AR253" s="161"/>
      <c r="AS253" s="129"/>
      <c r="AT253" s="125"/>
      <c r="AU253" s="125"/>
      <c r="AV253" s="97"/>
      <c r="AW253" s="161"/>
      <c r="AX253" s="161"/>
      <c r="AY253" s="129"/>
      <c r="AZ253" s="125"/>
      <c r="BA253" s="125"/>
    </row>
    <row r="254" spans="1:53" s="4" customFormat="1" ht="17.100000000000001" customHeight="1" x14ac:dyDescent="0.25">
      <c r="A254" s="137"/>
      <c r="B254" s="40"/>
      <c r="C254" s="40"/>
      <c r="D254" s="121" t="s">
        <v>173</v>
      </c>
      <c r="E254" s="304"/>
      <c r="F254" s="304"/>
      <c r="G254" s="304"/>
      <c r="H254" s="320"/>
      <c r="I254" s="309"/>
      <c r="J254" s="161"/>
      <c r="K254" s="161"/>
      <c r="L254" s="161"/>
      <c r="M254" s="161"/>
      <c r="N254" s="161">
        <f>N226</f>
        <v>0</v>
      </c>
      <c r="O254" s="161">
        <v>2</v>
      </c>
      <c r="P254" s="161"/>
      <c r="Q254" s="161">
        <f>Q226</f>
        <v>0</v>
      </c>
      <c r="R254" s="161">
        <f>R226</f>
        <v>1</v>
      </c>
      <c r="S254" s="161"/>
      <c r="T254" s="161">
        <f>T226</f>
        <v>0</v>
      </c>
      <c r="U254" s="161">
        <f>U226</f>
        <v>0</v>
      </c>
      <c r="V254" s="697"/>
      <c r="W254" s="973"/>
      <c r="X254" s="161"/>
      <c r="Y254" s="161"/>
      <c r="Z254" s="125"/>
      <c r="AA254" s="125"/>
      <c r="AB254" s="125"/>
      <c r="AC254" s="125"/>
      <c r="AD254" s="97"/>
      <c r="AE254" s="161"/>
      <c r="AF254" s="161"/>
      <c r="AG254" s="129"/>
      <c r="AH254" s="125"/>
      <c r="AI254" s="125"/>
      <c r="AJ254" s="97"/>
      <c r="AK254" s="161"/>
      <c r="AL254" s="161"/>
      <c r="AM254" s="129"/>
      <c r="AN254" s="125"/>
      <c r="AO254" s="125"/>
      <c r="AP254" s="97"/>
      <c r="AQ254" s="161"/>
      <c r="AR254" s="161"/>
      <c r="AS254" s="129"/>
      <c r="AT254" s="125"/>
      <c r="AU254" s="125"/>
      <c r="AV254" s="97"/>
      <c r="AW254" s="161"/>
      <c r="AX254" s="161"/>
      <c r="AY254" s="129"/>
      <c r="AZ254" s="125"/>
      <c r="BA254" s="125"/>
    </row>
    <row r="255" spans="1:53" s="4" customFormat="1" ht="17.100000000000001" customHeight="1" x14ac:dyDescent="0.25">
      <c r="A255" s="137"/>
      <c r="B255" s="40"/>
      <c r="C255" s="40"/>
      <c r="D255" s="121" t="s">
        <v>544</v>
      </c>
      <c r="E255" s="304"/>
      <c r="F255" s="304"/>
      <c r="G255" s="304"/>
      <c r="H255" s="320"/>
      <c r="I255" s="309"/>
      <c r="J255" s="161"/>
      <c r="K255" s="161"/>
      <c r="L255" s="161"/>
      <c r="M255" s="161"/>
      <c r="N255" s="161">
        <f>N227</f>
        <v>0</v>
      </c>
      <c r="O255" s="161">
        <f>O227</f>
        <v>0</v>
      </c>
      <c r="P255" s="161"/>
      <c r="Q255" s="161">
        <f>Q227</f>
        <v>0</v>
      </c>
      <c r="R255" s="161">
        <f>R227</f>
        <v>6</v>
      </c>
      <c r="S255" s="161"/>
      <c r="T255" s="161">
        <f>T227</f>
        <v>0</v>
      </c>
      <c r="U255" s="161">
        <f>U227</f>
        <v>0</v>
      </c>
      <c r="V255" s="697"/>
      <c r="W255" s="973"/>
      <c r="X255" s="161"/>
      <c r="Y255" s="161"/>
      <c r="Z255" s="125"/>
      <c r="AA255" s="125"/>
      <c r="AB255" s="125"/>
      <c r="AC255" s="125"/>
      <c r="AD255" s="97"/>
      <c r="AE255" s="161"/>
      <c r="AF255" s="161"/>
      <c r="AG255" s="129"/>
      <c r="AH255" s="125"/>
      <c r="AI255" s="125"/>
      <c r="AJ255" s="97"/>
      <c r="AK255" s="161"/>
      <c r="AL255" s="161"/>
      <c r="AM255" s="129"/>
      <c r="AN255" s="125"/>
      <c r="AO255" s="125"/>
      <c r="AP255" s="97"/>
      <c r="AQ255" s="161"/>
      <c r="AR255" s="161"/>
      <c r="AS255" s="129"/>
      <c r="AT255" s="125"/>
      <c r="AU255" s="125"/>
      <c r="AV255" s="97"/>
      <c r="AW255" s="161"/>
      <c r="AX255" s="161"/>
      <c r="AY255" s="129"/>
      <c r="AZ255" s="125"/>
      <c r="BA255" s="125"/>
    </row>
    <row r="256" spans="1:53" s="4" customFormat="1" ht="17.100000000000001" customHeight="1" x14ac:dyDescent="0.25">
      <c r="A256" s="137"/>
      <c r="B256" s="40"/>
      <c r="C256" s="40"/>
      <c r="D256" s="121" t="s">
        <v>1449</v>
      </c>
      <c r="E256" s="304"/>
      <c r="F256" s="304"/>
      <c r="G256" s="304"/>
      <c r="H256" s="320"/>
      <c r="I256" s="309"/>
      <c r="J256" s="161"/>
      <c r="K256" s="161"/>
      <c r="L256" s="161"/>
      <c r="M256" s="161"/>
      <c r="N256" s="161">
        <f>N230</f>
        <v>0</v>
      </c>
      <c r="O256" s="161">
        <f>O230</f>
        <v>0</v>
      </c>
      <c r="P256" s="161"/>
      <c r="Q256" s="161">
        <f>Q230</f>
        <v>0</v>
      </c>
      <c r="R256" s="161">
        <f>R230</f>
        <v>450000</v>
      </c>
      <c r="S256" s="161"/>
      <c r="T256" s="161">
        <f>T230</f>
        <v>0</v>
      </c>
      <c r="U256" s="161">
        <f>U230</f>
        <v>0</v>
      </c>
      <c r="V256" s="697"/>
      <c r="W256" s="973"/>
      <c r="X256" s="161"/>
      <c r="Y256" s="161"/>
      <c r="Z256" s="125"/>
      <c r="AA256" s="125"/>
      <c r="AB256" s="125"/>
      <c r="AC256" s="125"/>
      <c r="AD256" s="97"/>
      <c r="AE256" s="161"/>
      <c r="AF256" s="161"/>
      <c r="AG256" s="129"/>
      <c r="AH256" s="125"/>
      <c r="AI256" s="125"/>
      <c r="AJ256" s="97"/>
      <c r="AK256" s="161"/>
      <c r="AL256" s="161"/>
      <c r="AM256" s="129"/>
      <c r="AN256" s="125"/>
      <c r="AO256" s="125"/>
      <c r="AP256" s="97"/>
      <c r="AQ256" s="161"/>
      <c r="AR256" s="161"/>
      <c r="AS256" s="129"/>
      <c r="AT256" s="125"/>
      <c r="AU256" s="125"/>
      <c r="AV256" s="97"/>
      <c r="AW256" s="161"/>
      <c r="AX256" s="161"/>
      <c r="AY256" s="129"/>
      <c r="AZ256" s="125"/>
      <c r="BA256" s="125"/>
    </row>
    <row r="257" spans="1:53" s="4" customFormat="1" ht="17.100000000000001" customHeight="1" x14ac:dyDescent="0.25">
      <c r="A257" s="137"/>
      <c r="B257" s="40"/>
      <c r="C257" s="40"/>
      <c r="D257" s="742"/>
      <c r="E257" s="304"/>
      <c r="F257" s="304"/>
      <c r="G257" s="304"/>
      <c r="H257" s="320"/>
      <c r="I257" s="309"/>
      <c r="J257" s="161"/>
      <c r="K257" s="161"/>
      <c r="L257" s="161"/>
      <c r="M257" s="161"/>
      <c r="N257" s="161"/>
      <c r="O257" s="161"/>
      <c r="P257" s="161"/>
      <c r="Q257" s="161"/>
      <c r="R257" s="161"/>
      <c r="S257" s="161"/>
      <c r="T257" s="161"/>
      <c r="U257" s="161"/>
      <c r="V257" s="697"/>
      <c r="W257" s="973"/>
      <c r="X257" s="161"/>
      <c r="Y257" s="161"/>
      <c r="Z257" s="125"/>
      <c r="AA257" s="125"/>
      <c r="AB257" s="125"/>
      <c r="AC257" s="125"/>
      <c r="AE257" s="161"/>
      <c r="AF257" s="161"/>
      <c r="AG257" s="123"/>
      <c r="AH257" s="125"/>
      <c r="AI257" s="125"/>
      <c r="AK257" s="161"/>
      <c r="AL257" s="161"/>
      <c r="AM257" s="123"/>
      <c r="AN257" s="125"/>
      <c r="AO257" s="125"/>
      <c r="AQ257" s="161"/>
      <c r="AR257" s="161"/>
      <c r="AS257" s="123"/>
      <c r="AT257" s="125"/>
      <c r="AU257" s="125"/>
      <c r="AW257" s="161"/>
      <c r="AX257" s="161"/>
      <c r="AY257" s="123"/>
      <c r="AZ257" s="125"/>
      <c r="BA257" s="125"/>
    </row>
    <row r="258" spans="1:53" s="4" customFormat="1" ht="17.100000000000001" customHeight="1" x14ac:dyDescent="0.25">
      <c r="A258" s="137"/>
      <c r="B258" s="40"/>
      <c r="C258" s="40">
        <v>1</v>
      </c>
      <c r="D258" s="700" t="s">
        <v>1450</v>
      </c>
      <c r="E258" s="974"/>
      <c r="F258" s="974"/>
      <c r="G258" s="974"/>
      <c r="H258" s="254"/>
      <c r="I258" s="207"/>
      <c r="J258" s="161"/>
      <c r="K258" s="161"/>
      <c r="L258" s="161"/>
      <c r="M258" s="161"/>
      <c r="N258" s="161" t="str">
        <f>IF(N$254&gt;0,0,"")</f>
        <v/>
      </c>
      <c r="O258" s="161">
        <f>IF(O$254&gt;0,0,"")</f>
        <v>0</v>
      </c>
      <c r="P258" s="161"/>
      <c r="Q258" s="161" t="str">
        <f>IF(Q$254&gt;0,0,"")</f>
        <v/>
      </c>
      <c r="R258" s="161">
        <f>IF(R$254&gt;0,0,"")</f>
        <v>0</v>
      </c>
      <c r="S258" s="161"/>
      <c r="T258" s="161" t="str">
        <f>IF(T$254&gt;0,0,"")</f>
        <v/>
      </c>
      <c r="U258" s="161" t="str">
        <f>IF(U$254&gt;0,0,"")</f>
        <v/>
      </c>
      <c r="V258" s="697"/>
      <c r="W258" s="973"/>
      <c r="X258" s="161"/>
      <c r="Y258" s="161"/>
      <c r="Z258" s="125"/>
      <c r="AA258" s="125"/>
      <c r="AB258" s="125"/>
      <c r="AC258" s="125"/>
      <c r="AD258" s="97"/>
      <c r="AE258" s="161"/>
      <c r="AF258" s="161"/>
      <c r="AG258" s="129"/>
      <c r="AH258" s="125"/>
      <c r="AI258" s="125"/>
      <c r="AJ258" s="97"/>
      <c r="AK258" s="161"/>
      <c r="AL258" s="161"/>
      <c r="AM258" s="129"/>
      <c r="AN258" s="125"/>
      <c r="AO258" s="125"/>
      <c r="AP258" s="97"/>
      <c r="AQ258" s="161"/>
      <c r="AR258" s="161"/>
      <c r="AS258" s="129"/>
      <c r="AT258" s="125"/>
      <c r="AU258" s="125"/>
      <c r="AV258" s="97"/>
      <c r="AW258" s="161"/>
      <c r="AX258" s="161"/>
      <c r="AY258" s="129"/>
      <c r="AZ258" s="125"/>
      <c r="BA258" s="125"/>
    </row>
    <row r="259" spans="1:53" s="4" customFormat="1" ht="17.100000000000001" customHeight="1" x14ac:dyDescent="0.25">
      <c r="A259" s="137"/>
      <c r="B259" s="40"/>
      <c r="C259" s="40">
        <v>2</v>
      </c>
      <c r="D259" s="700" t="s">
        <v>1450</v>
      </c>
      <c r="E259" s="974"/>
      <c r="F259" s="974"/>
      <c r="G259" s="974"/>
      <c r="H259" s="254"/>
      <c r="I259" s="207"/>
      <c r="J259" s="161"/>
      <c r="K259" s="161"/>
      <c r="L259" s="161"/>
      <c r="M259" s="161"/>
      <c r="N259" s="161" t="str">
        <f>IF(N$254&gt;1,0,"")</f>
        <v/>
      </c>
      <c r="O259" s="161">
        <f>IF(O$254&gt;1,0,"")</f>
        <v>0</v>
      </c>
      <c r="P259" s="161"/>
      <c r="Q259" s="161" t="str">
        <f>IF(Q$254&gt;1,0,"")</f>
        <v/>
      </c>
      <c r="R259" s="161" t="str">
        <f>IF(R$254&gt;1,0,"")</f>
        <v/>
      </c>
      <c r="S259" s="161"/>
      <c r="T259" s="161" t="str">
        <f>IF(T$254&gt;1,0,"")</f>
        <v/>
      </c>
      <c r="U259" s="161" t="str">
        <f>IF(U$254&gt;1,0,"")</f>
        <v/>
      </c>
      <c r="V259" s="697"/>
      <c r="W259" s="973"/>
      <c r="X259" s="161"/>
      <c r="Y259" s="161"/>
      <c r="Z259" s="125"/>
      <c r="AA259" s="125"/>
      <c r="AB259" s="125"/>
      <c r="AC259" s="125"/>
      <c r="AE259" s="161"/>
      <c r="AF259" s="161"/>
      <c r="AG259" s="129"/>
      <c r="AH259" s="125"/>
      <c r="AI259" s="125"/>
      <c r="AK259" s="161"/>
      <c r="AL259" s="161"/>
      <c r="AM259" s="129"/>
      <c r="AN259" s="125"/>
      <c r="AO259" s="125"/>
      <c r="AQ259" s="161"/>
      <c r="AR259" s="161"/>
      <c r="AS259" s="129"/>
      <c r="AT259" s="125"/>
      <c r="AU259" s="125"/>
      <c r="AW259" s="161"/>
      <c r="AX259" s="161"/>
      <c r="AY259" s="129"/>
      <c r="AZ259" s="125"/>
      <c r="BA259" s="125"/>
    </row>
    <row r="260" spans="1:53" ht="17.100000000000001" customHeight="1" x14ac:dyDescent="0.25">
      <c r="A260" s="137"/>
      <c r="B260" s="40"/>
      <c r="C260" s="40">
        <v>3</v>
      </c>
      <c r="D260" s="700" t="s">
        <v>1450</v>
      </c>
      <c r="E260" s="122"/>
      <c r="F260" s="122"/>
      <c r="G260" s="122"/>
      <c r="H260" s="23"/>
      <c r="I260" s="12"/>
      <c r="J260" s="154"/>
      <c r="K260" s="154"/>
      <c r="L260" s="154"/>
      <c r="M260" s="154"/>
      <c r="N260" s="161" t="str">
        <f>IF(N$254&gt;2,0,"")</f>
        <v/>
      </c>
      <c r="O260" s="161" t="str">
        <f>IF(O$254&gt;2,0,"")</f>
        <v/>
      </c>
      <c r="P260" s="154"/>
      <c r="Q260" s="161" t="str">
        <f>IF(Q$254&gt;2,0,"")</f>
        <v/>
      </c>
      <c r="R260" s="161" t="str">
        <f>IF(R$254&gt;2,0,"")</f>
        <v/>
      </c>
      <c r="S260" s="154"/>
      <c r="T260" s="161" t="str">
        <f>IF(T$254&gt;2,0,"")</f>
        <v/>
      </c>
      <c r="U260" s="161" t="str">
        <f>IF(U$254&gt;2,0,"")</f>
        <v/>
      </c>
      <c r="V260" s="159"/>
      <c r="W260" s="387"/>
      <c r="X260" s="154"/>
      <c r="Y260" s="154"/>
      <c r="Z260" s="130"/>
      <c r="AA260" s="130"/>
      <c r="AB260" s="130"/>
      <c r="AC260" s="125"/>
      <c r="AE260" s="154"/>
      <c r="AF260" s="154"/>
      <c r="AG260" s="129"/>
      <c r="AH260" s="130"/>
      <c r="AI260" s="125"/>
      <c r="AK260" s="154"/>
      <c r="AL260" s="154"/>
      <c r="AM260" s="129"/>
      <c r="AN260" s="130"/>
      <c r="AO260" s="125"/>
      <c r="AQ260" s="154"/>
      <c r="AR260" s="154"/>
      <c r="AS260" s="129"/>
      <c r="AT260" s="130"/>
      <c r="AU260" s="125"/>
      <c r="AW260" s="154"/>
      <c r="AX260" s="154"/>
      <c r="AY260" s="129"/>
      <c r="AZ260" s="130"/>
      <c r="BA260" s="125"/>
    </row>
    <row r="261" spans="1:53" ht="17.100000000000001" customHeight="1" x14ac:dyDescent="0.25">
      <c r="A261" s="137"/>
      <c r="B261" s="40"/>
      <c r="C261" s="40">
        <v>4</v>
      </c>
      <c r="D261" s="700" t="s">
        <v>1450</v>
      </c>
      <c r="E261" s="122"/>
      <c r="F261" s="122"/>
      <c r="G261" s="122"/>
      <c r="H261" s="23"/>
      <c r="I261" s="12"/>
      <c r="J261" s="154"/>
      <c r="K261" s="154"/>
      <c r="L261" s="123"/>
      <c r="M261" s="123"/>
      <c r="N261" s="161" t="str">
        <f>IF(N$254&gt;3,0,"")</f>
        <v/>
      </c>
      <c r="O261" s="161" t="str">
        <f>IF(O$254&gt;3,0,"")</f>
        <v/>
      </c>
      <c r="P261" s="123"/>
      <c r="Q261" s="161" t="str">
        <f>IF(Q$254&gt;3,0,"")</f>
        <v/>
      </c>
      <c r="R261" s="161" t="str">
        <f>IF(R$254&gt;3,0,"")</f>
        <v/>
      </c>
      <c r="S261" s="123"/>
      <c r="T261" s="161" t="str">
        <f>IF(T$254&gt;3,0,"")</f>
        <v/>
      </c>
      <c r="U261" s="161" t="str">
        <f>IF(U$254&gt;3,0,"")</f>
        <v/>
      </c>
      <c r="V261" s="363"/>
      <c r="W261" s="383"/>
      <c r="X261" s="123"/>
      <c r="Y261" s="123"/>
      <c r="Z261" s="949"/>
      <c r="AA261" s="949"/>
      <c r="AB261" s="949"/>
      <c r="AC261" s="125"/>
      <c r="AE261" s="123"/>
      <c r="AF261" s="123"/>
      <c r="AG261" s="129"/>
      <c r="AH261" s="949"/>
      <c r="AI261" s="125"/>
      <c r="AK261" s="123"/>
      <c r="AL261" s="123"/>
      <c r="AM261" s="129"/>
      <c r="AN261" s="949"/>
      <c r="AO261" s="125"/>
      <c r="AQ261" s="123"/>
      <c r="AR261" s="123"/>
      <c r="AS261" s="129"/>
      <c r="AT261" s="949"/>
      <c r="AU261" s="125"/>
      <c r="AW261" s="123"/>
      <c r="AX261" s="123"/>
      <c r="AY261" s="129"/>
      <c r="AZ261" s="949"/>
      <c r="BA261" s="125"/>
    </row>
    <row r="262" spans="1:53" ht="17.100000000000001" customHeight="1" x14ac:dyDescent="0.25">
      <c r="A262" s="137"/>
      <c r="B262" s="40"/>
      <c r="C262" s="40">
        <v>5</v>
      </c>
      <c r="D262" s="700" t="s">
        <v>1450</v>
      </c>
      <c r="E262" s="122"/>
      <c r="F262" s="122"/>
      <c r="G262" s="122"/>
      <c r="H262" s="23"/>
      <c r="I262" s="12"/>
      <c r="J262" s="154"/>
      <c r="K262" s="154"/>
      <c r="L262" s="154"/>
      <c r="M262" s="154"/>
      <c r="N262" s="161" t="str">
        <f>IF(N$254&gt;4,0,"")</f>
        <v/>
      </c>
      <c r="O262" s="161" t="str">
        <f>IF(O$254&gt;4,0,"")</f>
        <v/>
      </c>
      <c r="P262" s="154"/>
      <c r="Q262" s="161" t="str">
        <f>IF(Q$254&gt;4,0,"")</f>
        <v/>
      </c>
      <c r="R262" s="161" t="str">
        <f>IF(R$254&gt;4,0,"")</f>
        <v/>
      </c>
      <c r="S262" s="154"/>
      <c r="T262" s="161" t="str">
        <f>IF(T$254&gt;4,0,"")</f>
        <v/>
      </c>
      <c r="U262" s="161" t="str">
        <f>IF(U$254&gt;4,0,"")</f>
        <v/>
      </c>
      <c r="V262" s="159"/>
      <c r="W262" s="387"/>
      <c r="X262" s="154"/>
      <c r="Y262" s="154"/>
      <c r="Z262" s="130"/>
      <c r="AA262" s="130"/>
      <c r="AB262" s="130"/>
      <c r="AC262" s="125"/>
      <c r="AE262" s="154"/>
      <c r="AF262" s="154"/>
      <c r="AG262" s="129"/>
      <c r="AH262" s="130"/>
      <c r="AI262" s="125"/>
      <c r="AK262" s="154"/>
      <c r="AL262" s="154"/>
      <c r="AM262" s="129"/>
      <c r="AN262" s="130"/>
      <c r="AO262" s="125"/>
      <c r="AQ262" s="154"/>
      <c r="AR262" s="154"/>
      <c r="AS262" s="129"/>
      <c r="AT262" s="130"/>
      <c r="AU262" s="125"/>
      <c r="AW262" s="154"/>
      <c r="AX262" s="154"/>
      <c r="AY262" s="129"/>
      <c r="AZ262" s="130"/>
      <c r="BA262" s="125"/>
    </row>
    <row r="263" spans="1:53" ht="17.100000000000001" customHeight="1" x14ac:dyDescent="0.25">
      <c r="A263" s="137"/>
      <c r="B263" s="40"/>
      <c r="C263" s="40">
        <v>6</v>
      </c>
      <c r="D263" s="700" t="s">
        <v>1450</v>
      </c>
      <c r="E263" s="122"/>
      <c r="F263" s="122"/>
      <c r="G263" s="122"/>
      <c r="H263" s="23"/>
      <c r="I263" s="12"/>
      <c r="J263" s="154"/>
      <c r="K263" s="154"/>
      <c r="L263" s="154"/>
      <c r="M263" s="154"/>
      <c r="N263" s="161" t="str">
        <f>IF(N$254&gt;5,0,"")</f>
        <v/>
      </c>
      <c r="O263" s="161" t="str">
        <f>IF(O$254&gt;5,0,"")</f>
        <v/>
      </c>
      <c r="P263" s="154"/>
      <c r="Q263" s="161" t="str">
        <f>IF(Q$254&gt;5,0,"")</f>
        <v/>
      </c>
      <c r="R263" s="161" t="str">
        <f>IF(R$254&gt;5,0,"")</f>
        <v/>
      </c>
      <c r="S263" s="154"/>
      <c r="T263" s="161" t="str">
        <f>IF(T$254&gt;5,0,"")</f>
        <v/>
      </c>
      <c r="U263" s="161" t="str">
        <f>IF(U$254&gt;5,0,"")</f>
        <v/>
      </c>
      <c r="V263" s="159"/>
      <c r="W263" s="387"/>
      <c r="X263" s="154"/>
      <c r="Y263" s="154"/>
      <c r="Z263" s="130"/>
      <c r="AA263" s="130"/>
      <c r="AB263" s="130"/>
      <c r="AC263" s="125"/>
      <c r="AE263" s="154"/>
      <c r="AF263" s="154"/>
      <c r="AG263" s="129"/>
      <c r="AH263" s="130"/>
      <c r="AI263" s="125"/>
      <c r="AK263" s="154"/>
      <c r="AL263" s="154"/>
      <c r="AM263" s="129"/>
      <c r="AN263" s="130"/>
      <c r="AO263" s="125"/>
      <c r="AQ263" s="154"/>
      <c r="AR263" s="154"/>
      <c r="AS263" s="129"/>
      <c r="AT263" s="130"/>
      <c r="AU263" s="125"/>
      <c r="AW263" s="154"/>
      <c r="AX263" s="154"/>
      <c r="AY263" s="129"/>
      <c r="AZ263" s="130"/>
      <c r="BA263" s="125"/>
    </row>
    <row r="264" spans="1:53" ht="17.100000000000001" customHeight="1" x14ac:dyDescent="0.25">
      <c r="A264" s="137"/>
      <c r="B264" s="40"/>
      <c r="C264" s="40">
        <v>7</v>
      </c>
      <c r="D264" s="700" t="s">
        <v>1450</v>
      </c>
      <c r="E264" s="122"/>
      <c r="F264" s="122"/>
      <c r="G264" s="122"/>
      <c r="H264" s="23"/>
      <c r="I264" s="12"/>
      <c r="J264" s="154"/>
      <c r="K264" s="154"/>
      <c r="L264" s="154"/>
      <c r="M264" s="154"/>
      <c r="N264" s="161" t="str">
        <f>IF(N$254&gt;6,0,"")</f>
        <v/>
      </c>
      <c r="O264" s="161" t="str">
        <f>IF(O$254&gt;6,0,"")</f>
        <v/>
      </c>
      <c r="P264" s="154"/>
      <c r="Q264" s="161" t="str">
        <f>IF(Q$254&gt;6,0,"")</f>
        <v/>
      </c>
      <c r="R264" s="161" t="str">
        <f>IF(R$254&gt;6,0,"")</f>
        <v/>
      </c>
      <c r="S264" s="154"/>
      <c r="T264" s="161" t="str">
        <f>IF(T$254&gt;6,0,"")</f>
        <v/>
      </c>
      <c r="U264" s="161" t="str">
        <f>IF(U$254&gt;6,0,"")</f>
        <v/>
      </c>
      <c r="V264" s="159"/>
      <c r="W264" s="387"/>
      <c r="X264" s="154"/>
      <c r="Y264" s="154"/>
      <c r="Z264" s="130"/>
      <c r="AA264" s="130"/>
      <c r="AB264" s="130"/>
      <c r="AC264" s="125"/>
      <c r="AE264" s="154"/>
      <c r="AF264" s="154"/>
      <c r="AG264" s="129"/>
      <c r="AH264" s="130"/>
      <c r="AI264" s="125"/>
      <c r="AK264" s="154"/>
      <c r="AL264" s="154"/>
      <c r="AM264" s="129"/>
      <c r="AN264" s="130"/>
      <c r="AO264" s="125"/>
      <c r="AQ264" s="154"/>
      <c r="AR264" s="154"/>
      <c r="AS264" s="129"/>
      <c r="AT264" s="130"/>
      <c r="AU264" s="125"/>
      <c r="AW264" s="154"/>
      <c r="AX264" s="154"/>
      <c r="AY264" s="129"/>
      <c r="AZ264" s="130"/>
      <c r="BA264" s="125"/>
    </row>
    <row r="265" spans="1:53" ht="17.100000000000001" customHeight="1" x14ac:dyDescent="0.25">
      <c r="A265" s="137"/>
      <c r="B265" s="40"/>
      <c r="C265" s="40">
        <v>8</v>
      </c>
      <c r="D265" s="700" t="s">
        <v>1450</v>
      </c>
      <c r="E265" s="122"/>
      <c r="F265" s="122"/>
      <c r="G265" s="122"/>
      <c r="H265" s="23"/>
      <c r="I265" s="12"/>
      <c r="J265" s="154"/>
      <c r="K265" s="154"/>
      <c r="L265" s="154"/>
      <c r="M265" s="154"/>
      <c r="N265" s="161" t="str">
        <f>IF(N$254&gt;7,0,"")</f>
        <v/>
      </c>
      <c r="O265" s="161" t="str">
        <f>IF(O$254&gt;7,0,"")</f>
        <v/>
      </c>
      <c r="P265" s="154"/>
      <c r="Q265" s="161" t="str">
        <f>IF(Q$254&gt;7,0,"")</f>
        <v/>
      </c>
      <c r="R265" s="161" t="str">
        <f>IF(R$254&gt;7,0,"")</f>
        <v/>
      </c>
      <c r="S265" s="154"/>
      <c r="T265" s="161" t="str">
        <f>IF(T$254&gt;7,0,"")</f>
        <v/>
      </c>
      <c r="U265" s="161" t="str">
        <f>IF(U$254&gt;7,0,"")</f>
        <v/>
      </c>
      <c r="V265" s="159"/>
      <c r="W265" s="387"/>
      <c r="X265" s="154"/>
      <c r="Y265" s="154"/>
      <c r="Z265" s="130"/>
      <c r="AA265" s="130"/>
      <c r="AB265" s="130"/>
      <c r="AC265" s="125"/>
      <c r="AE265" s="154"/>
      <c r="AF265" s="154"/>
      <c r="AG265" s="129"/>
      <c r="AH265" s="130"/>
      <c r="AI265" s="125"/>
      <c r="AK265" s="154"/>
      <c r="AL265" s="154"/>
      <c r="AM265" s="129"/>
      <c r="AN265" s="130"/>
      <c r="AO265" s="125"/>
      <c r="AQ265" s="154"/>
      <c r="AR265" s="154"/>
      <c r="AS265" s="129"/>
      <c r="AT265" s="130"/>
      <c r="AU265" s="125"/>
      <c r="AW265" s="154"/>
      <c r="AX265" s="154"/>
      <c r="AY265" s="129"/>
      <c r="AZ265" s="130"/>
      <c r="BA265" s="125"/>
    </row>
    <row r="266" spans="1:53" ht="17.100000000000001" customHeight="1" x14ac:dyDescent="0.25">
      <c r="A266" s="137"/>
      <c r="B266" s="40"/>
      <c r="C266" s="40">
        <v>9</v>
      </c>
      <c r="D266" s="700" t="s">
        <v>1450</v>
      </c>
      <c r="E266" s="122"/>
      <c r="F266" s="122"/>
      <c r="G266" s="122"/>
      <c r="H266" s="23"/>
      <c r="I266" s="12"/>
      <c r="J266" s="154"/>
      <c r="K266" s="154"/>
      <c r="L266" s="154"/>
      <c r="M266" s="154"/>
      <c r="N266" s="161" t="str">
        <f>IF(N$254&gt;8,0,"")</f>
        <v/>
      </c>
      <c r="O266" s="161" t="str">
        <f>IF(O$254&gt;8,0,"")</f>
        <v/>
      </c>
      <c r="P266" s="154"/>
      <c r="Q266" s="161" t="str">
        <f>IF(Q$254&gt;8,0,"")</f>
        <v/>
      </c>
      <c r="R266" s="161" t="str">
        <f>IF(R$254&gt;8,0,"")</f>
        <v/>
      </c>
      <c r="S266" s="154"/>
      <c r="T266" s="161" t="str">
        <f>IF(T$254&gt;8,0,"")</f>
        <v/>
      </c>
      <c r="U266" s="161" t="str">
        <f>IF(U$254&gt;8,0,"")</f>
        <v/>
      </c>
      <c r="V266" s="159"/>
      <c r="W266" s="387"/>
      <c r="X266" s="154"/>
      <c r="Y266" s="154"/>
      <c r="Z266" s="130"/>
      <c r="AA266" s="130"/>
      <c r="AB266" s="130"/>
      <c r="AC266" s="125"/>
      <c r="AE266" s="154"/>
      <c r="AF266" s="154"/>
      <c r="AG266" s="129"/>
      <c r="AH266" s="130"/>
      <c r="AI266" s="125"/>
      <c r="AK266" s="154"/>
      <c r="AL266" s="154"/>
      <c r="AM266" s="129"/>
      <c r="AN266" s="130"/>
      <c r="AO266" s="125"/>
      <c r="AQ266" s="154"/>
      <c r="AR266" s="154"/>
      <c r="AS266" s="129"/>
      <c r="AT266" s="130"/>
      <c r="AU266" s="125"/>
      <c r="AW266" s="154"/>
      <c r="AX266" s="154"/>
      <c r="AY266" s="129"/>
      <c r="AZ266" s="130"/>
      <c r="BA266" s="125"/>
    </row>
    <row r="267" spans="1:53" ht="17.100000000000001" customHeight="1" x14ac:dyDescent="0.25">
      <c r="A267" s="137"/>
      <c r="B267" s="40"/>
      <c r="C267" s="40">
        <v>10</v>
      </c>
      <c r="D267" s="700" t="s">
        <v>1450</v>
      </c>
      <c r="E267" s="122"/>
      <c r="F267" s="122"/>
      <c r="G267" s="122"/>
      <c r="H267" s="23"/>
      <c r="I267" s="12"/>
      <c r="J267" s="154"/>
      <c r="K267" s="154"/>
      <c r="L267" s="154"/>
      <c r="M267" s="154"/>
      <c r="N267" s="161" t="str">
        <f>IF(N$254&gt;9,0,"")</f>
        <v/>
      </c>
      <c r="O267" s="161" t="str">
        <f>IF(O$254&gt;9,0,"")</f>
        <v/>
      </c>
      <c r="P267" s="154"/>
      <c r="Q267" s="161" t="str">
        <f>IF(Q$254&gt;9,0,"")</f>
        <v/>
      </c>
      <c r="R267" s="161" t="str">
        <f>IF(R$254&gt;9,0,"")</f>
        <v/>
      </c>
      <c r="S267" s="154"/>
      <c r="T267" s="161" t="str">
        <f>IF(T$254&gt;9,0,"")</f>
        <v/>
      </c>
      <c r="U267" s="161" t="str">
        <f>IF(U$254&gt;9,0,"")</f>
        <v/>
      </c>
      <c r="V267" s="159"/>
      <c r="W267" s="387"/>
      <c r="X267" s="154"/>
      <c r="Y267" s="154"/>
      <c r="Z267" s="130"/>
      <c r="AA267" s="130"/>
      <c r="AB267" s="130"/>
      <c r="AC267" s="125"/>
      <c r="AE267" s="154"/>
      <c r="AF267" s="154"/>
      <c r="AG267" s="129"/>
      <c r="AH267" s="130"/>
      <c r="AI267" s="125"/>
      <c r="AK267" s="154"/>
      <c r="AL267" s="154"/>
      <c r="AM267" s="129"/>
      <c r="AN267" s="130"/>
      <c r="AO267" s="125"/>
      <c r="AQ267" s="154"/>
      <c r="AR267" s="154"/>
      <c r="AS267" s="129"/>
      <c r="AT267" s="130"/>
      <c r="AU267" s="125"/>
      <c r="AW267" s="154"/>
      <c r="AX267" s="154"/>
      <c r="AY267" s="129"/>
      <c r="AZ267" s="130"/>
      <c r="BA267" s="125"/>
    </row>
    <row r="268" spans="1:53" ht="17.100000000000001" customHeight="1" x14ac:dyDescent="0.25">
      <c r="A268" s="137"/>
      <c r="B268" s="40"/>
      <c r="C268" s="40">
        <v>1</v>
      </c>
      <c r="D268" s="128" t="s">
        <v>1449</v>
      </c>
      <c r="E268" s="122"/>
      <c r="F268" s="122"/>
      <c r="G268" s="122"/>
      <c r="H268" s="23"/>
      <c r="I268" s="12"/>
      <c r="J268" s="154"/>
      <c r="K268" s="154"/>
      <c r="L268" s="154"/>
      <c r="M268" s="154"/>
      <c r="N268" s="161" t="str">
        <f>IF(N$255&gt;0,N$256,"")</f>
        <v/>
      </c>
      <c r="O268" s="161" t="str">
        <f>IF(O$255&gt;0,O$256,"")</f>
        <v/>
      </c>
      <c r="P268" s="154"/>
      <c r="Q268" s="161" t="str">
        <f>IF(Q$255&gt;0,Q$256,"")</f>
        <v/>
      </c>
      <c r="R268" s="161">
        <f>IF(R$255&gt;0,R$256,"")</f>
        <v>450000</v>
      </c>
      <c r="S268" s="154"/>
      <c r="T268" s="161" t="str">
        <f>IF(T$255&gt;0,T$256,"")</f>
        <v/>
      </c>
      <c r="U268" s="161" t="str">
        <f>IF(U$255&gt;0,U$256,"")</f>
        <v/>
      </c>
      <c r="V268" s="159"/>
      <c r="W268" s="387"/>
      <c r="X268" s="154"/>
      <c r="Y268" s="154"/>
      <c r="Z268" s="130"/>
      <c r="AA268" s="130"/>
      <c r="AB268" s="130"/>
      <c r="AC268" s="125"/>
      <c r="AE268" s="154"/>
      <c r="AF268" s="154"/>
      <c r="AG268" s="129"/>
      <c r="AH268" s="130"/>
      <c r="AI268" s="125"/>
      <c r="AK268" s="154"/>
      <c r="AL268" s="154"/>
      <c r="AM268" s="129"/>
      <c r="AN268" s="130"/>
      <c r="AO268" s="125"/>
      <c r="AQ268" s="154"/>
      <c r="AR268" s="154"/>
      <c r="AS268" s="129"/>
      <c r="AT268" s="130"/>
      <c r="AU268" s="125"/>
      <c r="AW268" s="154"/>
      <c r="AX268" s="154"/>
      <c r="AY268" s="129"/>
      <c r="AZ268" s="130"/>
      <c r="BA268" s="125"/>
    </row>
    <row r="269" spans="1:53" ht="17.100000000000001" customHeight="1" x14ac:dyDescent="0.25">
      <c r="A269" s="137"/>
      <c r="B269" s="40"/>
      <c r="C269" s="40">
        <v>2</v>
      </c>
      <c r="D269" s="128" t="s">
        <v>1449</v>
      </c>
      <c r="E269" s="122"/>
      <c r="F269" s="122"/>
      <c r="G269" s="122"/>
      <c r="H269" s="23"/>
      <c r="I269" s="12"/>
      <c r="J269" s="154"/>
      <c r="K269" s="154"/>
      <c r="L269" s="154"/>
      <c r="M269" s="154"/>
      <c r="N269" s="161" t="str">
        <f>IF(N$255&gt;1,N$256,"")</f>
        <v/>
      </c>
      <c r="O269" s="161" t="str">
        <f>IF(O$255&gt;1,O$256,"")</f>
        <v/>
      </c>
      <c r="P269" s="154"/>
      <c r="Q269" s="161" t="str">
        <f>IF(Q$255&gt;1,Q$256,"")</f>
        <v/>
      </c>
      <c r="R269" s="161">
        <f>IF(R$255&gt;1,R$256,"")</f>
        <v>450000</v>
      </c>
      <c r="S269" s="154"/>
      <c r="T269" s="161" t="str">
        <f>IF(T$255&gt;1,T$256,"")</f>
        <v/>
      </c>
      <c r="U269" s="161" t="str">
        <f>IF(U$255&gt;1,U$256,"")</f>
        <v/>
      </c>
      <c r="V269" s="159"/>
      <c r="W269" s="387"/>
      <c r="X269" s="154"/>
      <c r="Y269" s="154"/>
      <c r="Z269" s="130"/>
      <c r="AA269" s="130"/>
      <c r="AB269" s="130"/>
      <c r="AC269" s="125"/>
      <c r="AE269" s="154"/>
      <c r="AF269" s="154"/>
      <c r="AG269" s="129"/>
      <c r="AH269" s="130"/>
      <c r="AI269" s="125"/>
      <c r="AK269" s="154"/>
      <c r="AL269" s="154"/>
      <c r="AM269" s="129"/>
      <c r="AN269" s="130"/>
      <c r="AO269" s="125"/>
      <c r="AQ269" s="154"/>
      <c r="AR269" s="154"/>
      <c r="AS269" s="129"/>
      <c r="AT269" s="130"/>
      <c r="AU269" s="125"/>
      <c r="AW269" s="154"/>
      <c r="AX269" s="154"/>
      <c r="AY269" s="129"/>
      <c r="AZ269" s="130"/>
      <c r="BA269" s="125"/>
    </row>
    <row r="270" spans="1:53" ht="17.100000000000001" customHeight="1" x14ac:dyDescent="0.25">
      <c r="A270" s="137"/>
      <c r="B270" s="40"/>
      <c r="C270" s="40">
        <v>3</v>
      </c>
      <c r="D270" s="128" t="s">
        <v>1449</v>
      </c>
      <c r="E270" s="122"/>
      <c r="F270" s="122"/>
      <c r="G270" s="122"/>
      <c r="H270" s="23"/>
      <c r="I270" s="12"/>
      <c r="J270" s="154"/>
      <c r="K270" s="154"/>
      <c r="L270" s="154"/>
      <c r="M270" s="154"/>
      <c r="N270" s="161" t="str">
        <f>IF(N$255&gt;2,N$256,"")</f>
        <v/>
      </c>
      <c r="O270" s="161" t="str">
        <f>IF(O$255&gt;2,O$256,"")</f>
        <v/>
      </c>
      <c r="P270" s="154"/>
      <c r="Q270" s="161" t="str">
        <f>IF(Q$255&gt;2,Q$256,"")</f>
        <v/>
      </c>
      <c r="R270" s="161">
        <f>IF(R$255&gt;2,R$256,"")</f>
        <v>450000</v>
      </c>
      <c r="S270" s="154"/>
      <c r="T270" s="161" t="str">
        <f>IF(T$255&gt;2,T$256,"")</f>
        <v/>
      </c>
      <c r="U270" s="161" t="str">
        <f>IF(U$255&gt;2,U$256,"")</f>
        <v/>
      </c>
      <c r="V270" s="159"/>
      <c r="W270" s="387"/>
      <c r="X270" s="154"/>
      <c r="Y270" s="154"/>
      <c r="Z270" s="130"/>
      <c r="AA270" s="130"/>
      <c r="AB270" s="130"/>
      <c r="AC270" s="125"/>
      <c r="AE270" s="154"/>
      <c r="AF270" s="154"/>
      <c r="AG270" s="129"/>
      <c r="AH270" s="130"/>
      <c r="AI270" s="125"/>
      <c r="AK270" s="154"/>
      <c r="AL270" s="154"/>
      <c r="AM270" s="129"/>
      <c r="AN270" s="130"/>
      <c r="AO270" s="125"/>
      <c r="AQ270" s="154"/>
      <c r="AR270" s="154"/>
      <c r="AS270" s="129"/>
      <c r="AT270" s="130"/>
      <c r="AU270" s="125"/>
      <c r="AW270" s="154"/>
      <c r="AX270" s="154"/>
      <c r="AY270" s="129"/>
      <c r="AZ270" s="130"/>
      <c r="BA270" s="125"/>
    </row>
    <row r="271" spans="1:53" ht="17.100000000000001" customHeight="1" x14ac:dyDescent="0.25">
      <c r="A271" s="137"/>
      <c r="B271" s="40"/>
      <c r="C271" s="40">
        <v>4</v>
      </c>
      <c r="D271" s="128" t="s">
        <v>1449</v>
      </c>
      <c r="E271" s="122"/>
      <c r="F271" s="122"/>
      <c r="G271" s="122"/>
      <c r="H271" s="23"/>
      <c r="I271" s="12"/>
      <c r="J271" s="154"/>
      <c r="K271" s="154"/>
      <c r="L271" s="154"/>
      <c r="M271" s="154"/>
      <c r="N271" s="161" t="str">
        <f>IF(N$255&gt;3,N$256,"")</f>
        <v/>
      </c>
      <c r="O271" s="161" t="str">
        <f>IF(O$255&gt;3,O$256,"")</f>
        <v/>
      </c>
      <c r="P271" s="154"/>
      <c r="Q271" s="161" t="str">
        <f>IF(Q$255&gt;3,Q$256,"")</f>
        <v/>
      </c>
      <c r="R271" s="161">
        <f>IF(R$255&gt;3,R$256,"")</f>
        <v>450000</v>
      </c>
      <c r="S271" s="154"/>
      <c r="T271" s="161" t="str">
        <f>IF(T$255&gt;3,T$256,"")</f>
        <v/>
      </c>
      <c r="U271" s="161" t="str">
        <f>IF(U$255&gt;3,U$256,"")</f>
        <v/>
      </c>
      <c r="V271" s="159"/>
      <c r="W271" s="387"/>
      <c r="X271" s="154"/>
      <c r="Y271" s="154"/>
      <c r="Z271" s="130"/>
      <c r="AA271" s="130"/>
      <c r="AB271" s="130"/>
      <c r="AC271" s="125"/>
      <c r="AE271" s="154"/>
      <c r="AF271" s="154"/>
      <c r="AG271" s="129"/>
      <c r="AH271" s="130"/>
      <c r="AI271" s="125"/>
      <c r="AK271" s="154"/>
      <c r="AL271" s="154"/>
      <c r="AM271" s="129"/>
      <c r="AN271" s="130"/>
      <c r="AO271" s="125"/>
      <c r="AQ271" s="154"/>
      <c r="AR271" s="154"/>
      <c r="AS271" s="129"/>
      <c r="AT271" s="130"/>
      <c r="AU271" s="125"/>
      <c r="AW271" s="154"/>
      <c r="AX271" s="154"/>
      <c r="AY271" s="129"/>
      <c r="AZ271" s="130"/>
      <c r="BA271" s="125"/>
    </row>
    <row r="272" spans="1:53" ht="17.100000000000001" customHeight="1" x14ac:dyDescent="0.25">
      <c r="A272" s="137"/>
      <c r="B272" s="40"/>
      <c r="C272" s="40">
        <v>5</v>
      </c>
      <c r="D272" s="128" t="s">
        <v>1449</v>
      </c>
      <c r="E272" s="122"/>
      <c r="F272" s="122"/>
      <c r="G272" s="122"/>
      <c r="H272" s="23"/>
      <c r="I272" s="12"/>
      <c r="J272" s="154"/>
      <c r="K272" s="154"/>
      <c r="L272" s="154"/>
      <c r="M272" s="154"/>
      <c r="N272" s="161" t="str">
        <f>IF(N$255&gt;4,N$256,"")</f>
        <v/>
      </c>
      <c r="O272" s="161" t="str">
        <f>IF(O$255&gt;4,O$256,"")</f>
        <v/>
      </c>
      <c r="P272" s="154"/>
      <c r="Q272" s="161" t="str">
        <f>IF(Q$255&gt;4,Q$256,"")</f>
        <v/>
      </c>
      <c r="R272" s="161">
        <f>IF(R$255&gt;4,R$256,"")</f>
        <v>450000</v>
      </c>
      <c r="S272" s="154"/>
      <c r="T272" s="161" t="str">
        <f>IF(T$255&gt;4,T$256,"")</f>
        <v/>
      </c>
      <c r="U272" s="161" t="str">
        <f>IF(U$255&gt;4,U$256,"")</f>
        <v/>
      </c>
      <c r="V272" s="159"/>
      <c r="W272" s="387"/>
      <c r="X272" s="154"/>
      <c r="Y272" s="154"/>
      <c r="Z272" s="130"/>
      <c r="AA272" s="130"/>
      <c r="AB272" s="130"/>
      <c r="AC272" s="125"/>
      <c r="AE272" s="154"/>
      <c r="AF272" s="154"/>
      <c r="AG272" s="129"/>
      <c r="AH272" s="130"/>
      <c r="AI272" s="125"/>
      <c r="AK272" s="154"/>
      <c r="AL272" s="154"/>
      <c r="AM272" s="129"/>
      <c r="AN272" s="130"/>
      <c r="AO272" s="125"/>
      <c r="AQ272" s="154"/>
      <c r="AR272" s="154"/>
      <c r="AS272" s="129"/>
      <c r="AT272" s="130"/>
      <c r="AU272" s="125"/>
      <c r="AW272" s="154"/>
      <c r="AX272" s="154"/>
      <c r="AY272" s="129"/>
      <c r="AZ272" s="130"/>
      <c r="BA272" s="125"/>
    </row>
    <row r="273" spans="1:53" ht="17.100000000000001" customHeight="1" x14ac:dyDescent="0.25">
      <c r="A273" s="137"/>
      <c r="B273" s="40"/>
      <c r="C273" s="40">
        <v>6</v>
      </c>
      <c r="D273" s="128" t="s">
        <v>1449</v>
      </c>
      <c r="E273" s="122"/>
      <c r="F273" s="122"/>
      <c r="G273" s="122"/>
      <c r="H273" s="23"/>
      <c r="I273" s="12"/>
      <c r="J273" s="154"/>
      <c r="K273" s="154"/>
      <c r="L273" s="154"/>
      <c r="M273" s="154"/>
      <c r="N273" s="161" t="str">
        <f>IF(N$255&gt;5,N$256,"")</f>
        <v/>
      </c>
      <c r="O273" s="161" t="str">
        <f>IF(O$255&gt;5,O$256,"")</f>
        <v/>
      </c>
      <c r="P273" s="154"/>
      <c r="Q273" s="161" t="str">
        <f>IF(Q$255&gt;5,Q$256,"")</f>
        <v/>
      </c>
      <c r="R273" s="161">
        <f>IF(R$255&gt;5,R$256,"")</f>
        <v>450000</v>
      </c>
      <c r="S273" s="154"/>
      <c r="T273" s="161" t="str">
        <f>IF(T$255&gt;5,T$256,"")</f>
        <v/>
      </c>
      <c r="U273" s="161" t="str">
        <f>IF(U$255&gt;5,U$256,"")</f>
        <v/>
      </c>
      <c r="V273" s="159"/>
      <c r="W273" s="387"/>
      <c r="X273" s="154"/>
      <c r="Y273" s="154"/>
      <c r="Z273" s="130"/>
      <c r="AA273" s="130"/>
      <c r="AB273" s="130"/>
      <c r="AC273" s="125"/>
      <c r="AE273" s="154"/>
      <c r="AF273" s="154"/>
      <c r="AG273" s="129"/>
      <c r="AH273" s="130"/>
      <c r="AI273" s="125"/>
      <c r="AK273" s="154"/>
      <c r="AL273" s="154"/>
      <c r="AM273" s="129"/>
      <c r="AN273" s="130"/>
      <c r="AO273" s="125"/>
      <c r="AQ273" s="154"/>
      <c r="AR273" s="154"/>
      <c r="AS273" s="129"/>
      <c r="AT273" s="130"/>
      <c r="AU273" s="125"/>
      <c r="AW273" s="154"/>
      <c r="AX273" s="154"/>
      <c r="AY273" s="129"/>
      <c r="AZ273" s="130"/>
      <c r="BA273" s="125"/>
    </row>
    <row r="274" spans="1:53" ht="17.100000000000001" customHeight="1" x14ac:dyDescent="0.25">
      <c r="A274" s="137"/>
      <c r="B274" s="40"/>
      <c r="C274" s="40">
        <v>7</v>
      </c>
      <c r="D274" s="128" t="s">
        <v>1449</v>
      </c>
      <c r="E274" s="122"/>
      <c r="F274" s="122"/>
      <c r="G274" s="122"/>
      <c r="H274" s="23"/>
      <c r="I274" s="12"/>
      <c r="J274" s="154"/>
      <c r="K274" s="154"/>
      <c r="L274" s="154"/>
      <c r="M274" s="154"/>
      <c r="N274" s="161" t="str">
        <f>IF(N$255&gt;6,N$256,"")</f>
        <v/>
      </c>
      <c r="O274" s="161" t="str">
        <f>IF(O$255&gt;6,O$256,"")</f>
        <v/>
      </c>
      <c r="P274" s="154"/>
      <c r="Q274" s="161" t="str">
        <f>IF(Q$255&gt;6,Q$256,"")</f>
        <v/>
      </c>
      <c r="R274" s="161" t="str">
        <f>IF(R$255&gt;6,R$256,"")</f>
        <v/>
      </c>
      <c r="S274" s="154"/>
      <c r="T274" s="161" t="str">
        <f>IF(T$255&gt;6,T$256,"")</f>
        <v/>
      </c>
      <c r="U274" s="161" t="str">
        <f>IF(U$255&gt;6,U$256,"")</f>
        <v/>
      </c>
      <c r="V274" s="159"/>
      <c r="W274" s="387"/>
      <c r="X274" s="154"/>
      <c r="Y274" s="154"/>
      <c r="Z274" s="130"/>
      <c r="AA274" s="130"/>
      <c r="AB274" s="130"/>
      <c r="AC274" s="125"/>
      <c r="AE274" s="154"/>
      <c r="AF274" s="154"/>
      <c r="AG274" s="129"/>
      <c r="AH274" s="130"/>
      <c r="AI274" s="125"/>
      <c r="AK274" s="154"/>
      <c r="AL274" s="154"/>
      <c r="AM274" s="129"/>
      <c r="AN274" s="130"/>
      <c r="AO274" s="125"/>
      <c r="AQ274" s="154"/>
      <c r="AR274" s="154"/>
      <c r="AS274" s="129"/>
      <c r="AT274" s="130"/>
      <c r="AU274" s="125"/>
      <c r="AW274" s="154"/>
      <c r="AX274" s="154"/>
      <c r="AY274" s="129"/>
      <c r="AZ274" s="130"/>
      <c r="BA274" s="125"/>
    </row>
    <row r="275" spans="1:53" ht="17.100000000000001" customHeight="1" x14ac:dyDescent="0.25">
      <c r="A275" s="137"/>
      <c r="B275" s="40"/>
      <c r="C275" s="40">
        <v>8</v>
      </c>
      <c r="D275" s="128" t="s">
        <v>1449</v>
      </c>
      <c r="E275" s="122"/>
      <c r="F275" s="122"/>
      <c r="G275" s="122"/>
      <c r="H275" s="23"/>
      <c r="I275" s="12"/>
      <c r="J275" s="154"/>
      <c r="K275" s="154"/>
      <c r="L275" s="154"/>
      <c r="M275" s="154"/>
      <c r="N275" s="161" t="str">
        <f>IF(N$255&gt;7,N$256,"")</f>
        <v/>
      </c>
      <c r="O275" s="161" t="str">
        <f>IF(O$255&gt;7,O$256,"")</f>
        <v/>
      </c>
      <c r="P275" s="154"/>
      <c r="Q275" s="161" t="str">
        <f>IF(Q$255&gt;7,Q$256,"")</f>
        <v/>
      </c>
      <c r="R275" s="161" t="str">
        <f>IF(R$255&gt;7,R$256,"")</f>
        <v/>
      </c>
      <c r="S275" s="154"/>
      <c r="T275" s="161" t="str">
        <f>IF(T$255&gt;7,T$256,"")</f>
        <v/>
      </c>
      <c r="U275" s="161" t="str">
        <f>IF(U$255&gt;7,U$256,"")</f>
        <v/>
      </c>
      <c r="V275" s="159"/>
      <c r="W275" s="387"/>
      <c r="X275" s="154"/>
      <c r="Y275" s="154"/>
      <c r="Z275" s="130"/>
      <c r="AA275" s="130"/>
      <c r="AB275" s="130"/>
      <c r="AC275" s="125"/>
      <c r="AE275" s="154"/>
      <c r="AF275" s="154"/>
      <c r="AG275" s="129"/>
      <c r="AH275" s="130"/>
      <c r="AI275" s="125"/>
      <c r="AK275" s="154"/>
      <c r="AL275" s="154"/>
      <c r="AM275" s="129"/>
      <c r="AN275" s="130"/>
      <c r="AO275" s="125"/>
      <c r="AQ275" s="154"/>
      <c r="AR275" s="154"/>
      <c r="AS275" s="129"/>
      <c r="AT275" s="130"/>
      <c r="AU275" s="125"/>
      <c r="AW275" s="154"/>
      <c r="AX275" s="154"/>
      <c r="AY275" s="129"/>
      <c r="AZ275" s="130"/>
      <c r="BA275" s="125"/>
    </row>
    <row r="276" spans="1:53" ht="17.100000000000001" customHeight="1" x14ac:dyDescent="0.25">
      <c r="A276" s="137"/>
      <c r="B276" s="40"/>
      <c r="C276" s="40">
        <v>9</v>
      </c>
      <c r="D276" s="128" t="s">
        <v>1449</v>
      </c>
      <c r="E276" s="122"/>
      <c r="F276" s="122"/>
      <c r="G276" s="122"/>
      <c r="H276" s="23"/>
      <c r="I276" s="12"/>
      <c r="J276" s="154"/>
      <c r="K276" s="154"/>
      <c r="L276" s="154"/>
      <c r="M276" s="154"/>
      <c r="N276" s="161" t="str">
        <f>IF(N$255&gt;8,N$256,"")</f>
        <v/>
      </c>
      <c r="O276" s="161" t="str">
        <f>IF(O$255&gt;8,O$256,"")</f>
        <v/>
      </c>
      <c r="P276" s="154"/>
      <c r="Q276" s="161" t="str">
        <f>IF(Q$255&gt;8,Q$256,"")</f>
        <v/>
      </c>
      <c r="R276" s="161" t="str">
        <f>IF(R$255&gt;8,R$256,"")</f>
        <v/>
      </c>
      <c r="S276" s="154"/>
      <c r="T276" s="161" t="str">
        <f>IF(T$255&gt;8,T$256,"")</f>
        <v/>
      </c>
      <c r="U276" s="161" t="str">
        <f>IF(U$255&gt;8,U$256,"")</f>
        <v/>
      </c>
      <c r="V276" s="159"/>
      <c r="W276" s="387"/>
      <c r="X276" s="154"/>
      <c r="Y276" s="154"/>
      <c r="Z276" s="130"/>
      <c r="AA276" s="130"/>
      <c r="AB276" s="130"/>
      <c r="AC276" s="125"/>
      <c r="AE276" s="154"/>
      <c r="AF276" s="154"/>
      <c r="AG276" s="129"/>
      <c r="AH276" s="130"/>
      <c r="AI276" s="125"/>
      <c r="AK276" s="154"/>
      <c r="AL276" s="154"/>
      <c r="AM276" s="129"/>
      <c r="AN276" s="130"/>
      <c r="AO276" s="125"/>
      <c r="AQ276" s="154"/>
      <c r="AR276" s="154"/>
      <c r="AS276" s="129"/>
      <c r="AT276" s="130"/>
      <c r="AU276" s="125"/>
      <c r="AW276" s="154"/>
      <c r="AX276" s="154"/>
      <c r="AY276" s="129"/>
      <c r="AZ276" s="130"/>
      <c r="BA276" s="125"/>
    </row>
    <row r="277" spans="1:53" ht="17.100000000000001" customHeight="1" x14ac:dyDescent="0.25">
      <c r="A277" s="137"/>
      <c r="B277" s="40"/>
      <c r="C277" s="40">
        <v>10</v>
      </c>
      <c r="D277" s="128" t="s">
        <v>1449</v>
      </c>
      <c r="E277" s="122"/>
      <c r="F277" s="122"/>
      <c r="G277" s="122"/>
      <c r="H277" s="23"/>
      <c r="I277" s="12"/>
      <c r="J277" s="154"/>
      <c r="K277" s="154"/>
      <c r="L277" s="154"/>
      <c r="M277" s="154"/>
      <c r="N277" s="161" t="str">
        <f>IF(N$255&gt;9,N$256,"")</f>
        <v/>
      </c>
      <c r="O277" s="161" t="str">
        <f>IF(O$255&gt;9,O$256,"")</f>
        <v/>
      </c>
      <c r="P277" s="154"/>
      <c r="Q277" s="161" t="str">
        <f>IF(Q$255&gt;9,Q$256,"")</f>
        <v/>
      </c>
      <c r="R277" s="161" t="str">
        <f>IF(R$255&gt;9,R$256,"")</f>
        <v/>
      </c>
      <c r="S277" s="154"/>
      <c r="T277" s="161" t="str">
        <f>IF(T$255&gt;9,T$256,"")</f>
        <v/>
      </c>
      <c r="U277" s="161" t="str">
        <f>IF(U$255&gt;9,U$256,"")</f>
        <v/>
      </c>
      <c r="V277" s="159"/>
      <c r="W277" s="387"/>
      <c r="X277" s="154"/>
      <c r="Y277" s="154"/>
      <c r="Z277" s="130"/>
      <c r="AA277" s="130"/>
      <c r="AB277" s="130"/>
      <c r="AC277" s="125"/>
      <c r="AE277" s="154"/>
      <c r="AF277" s="154"/>
      <c r="AG277" s="129"/>
      <c r="AH277" s="130"/>
      <c r="AI277" s="125"/>
      <c r="AK277" s="154"/>
      <c r="AL277" s="154"/>
      <c r="AM277" s="129"/>
      <c r="AN277" s="130"/>
      <c r="AO277" s="125"/>
      <c r="AQ277" s="154"/>
      <c r="AR277" s="154"/>
      <c r="AS277" s="129"/>
      <c r="AT277" s="130"/>
      <c r="AU277" s="125"/>
      <c r="AW277" s="154"/>
      <c r="AX277" s="154"/>
      <c r="AY277" s="129"/>
      <c r="AZ277" s="130"/>
      <c r="BA277" s="125"/>
    </row>
    <row r="278" spans="1:53" s="158" customFormat="1" ht="17.100000000000001" customHeight="1" x14ac:dyDescent="0.25">
      <c r="A278" s="967"/>
      <c r="B278" s="102"/>
      <c r="C278" s="102"/>
      <c r="D278" s="122" t="s">
        <v>1451</v>
      </c>
      <c r="E278" s="122"/>
      <c r="F278" s="122"/>
      <c r="G278" s="122"/>
      <c r="H278" s="23"/>
      <c r="I278" s="12"/>
      <c r="J278" s="160"/>
      <c r="K278" s="160"/>
      <c r="L278" s="160"/>
      <c r="M278" s="160"/>
      <c r="N278" s="160" t="str">
        <f>IF(SUM(N254:N255)=0,"",AVERAGE(N258:N277))</f>
        <v/>
      </c>
      <c r="O278" s="160">
        <f>IF(SUM(O254:O255)=0,"",AVERAGE(O258:O277))</f>
        <v>0</v>
      </c>
      <c r="P278" s="160"/>
      <c r="Q278" s="160" t="str">
        <f>IF(SUM(Q254:Q255)=0,"",AVERAGE(Q258:Q277))</f>
        <v/>
      </c>
      <c r="R278" s="160">
        <f>IF(SUM(R254:R255)=0,"",AVERAGE(R258:R277))</f>
        <v>385714.28571428574</v>
      </c>
      <c r="S278" s="160"/>
      <c r="T278" s="160" t="str">
        <f>IF(SUM(T254:T255)=0,"",AVERAGE(T258:T277))</f>
        <v/>
      </c>
      <c r="U278" s="160" t="str">
        <f>IF(SUM(U254:U255)=0,"",AVERAGE(U258:U277))</f>
        <v/>
      </c>
      <c r="V278" s="947"/>
      <c r="W278" s="948"/>
      <c r="X278" s="160"/>
      <c r="Y278" s="160"/>
      <c r="Z278" s="949"/>
      <c r="AA278" s="975">
        <f>MIN(N278:U278)</f>
        <v>0</v>
      </c>
      <c r="AB278" s="975">
        <f>MAX(N278:U278)</f>
        <v>385714.28571428574</v>
      </c>
      <c r="AC278" s="124">
        <f>IF(SUM(N278:U278)=0,0,AVERAGE(N278:U278))</f>
        <v>192857.14285714287</v>
      </c>
      <c r="AE278" s="160"/>
      <c r="AF278" s="160"/>
      <c r="AG278" s="129"/>
      <c r="AH278" s="949"/>
      <c r="AI278" s="904"/>
      <c r="AK278" s="160"/>
      <c r="AL278" s="160"/>
      <c r="AM278" s="129"/>
      <c r="AN278" s="949"/>
      <c r="AO278" s="904"/>
      <c r="AQ278" s="160">
        <f>MIN(N278,Q278,T278)</f>
        <v>0</v>
      </c>
      <c r="AR278" s="160">
        <f>MAX(N278,Q278,T278)</f>
        <v>0</v>
      </c>
      <c r="AS278" s="961">
        <v>0</v>
      </c>
      <c r="AT278" s="949"/>
      <c r="AU278" s="904"/>
      <c r="AW278" s="160">
        <f>MIN(O278,R278,U278)</f>
        <v>0</v>
      </c>
      <c r="AX278" s="160">
        <f>MAX(O278,R278,U278)</f>
        <v>385714.28571428574</v>
      </c>
      <c r="AY278" s="129">
        <f>AVERAGE(O278,R278,U278)</f>
        <v>192857.14285714287</v>
      </c>
      <c r="AZ278" s="949"/>
      <c r="BA278" s="904"/>
    </row>
    <row r="279" spans="1:53" ht="17.100000000000001" customHeight="1" x14ac:dyDescent="0.25">
      <c r="A279" s="40"/>
      <c r="B279" s="40"/>
      <c r="C279" s="40"/>
      <c r="D279" s="128"/>
      <c r="E279" s="122"/>
      <c r="F279" s="122"/>
      <c r="G279" s="122"/>
      <c r="H279" s="23"/>
      <c r="I279" s="12"/>
      <c r="J279" s="154"/>
      <c r="K279" s="154"/>
      <c r="L279" s="154"/>
      <c r="M279" s="154"/>
      <c r="N279" s="154"/>
      <c r="O279" s="154"/>
      <c r="P279" s="154"/>
      <c r="Q279" s="154"/>
      <c r="R279" s="154"/>
      <c r="S279" s="154"/>
      <c r="T279" s="154"/>
      <c r="U279" s="154"/>
      <c r="V279" s="159"/>
      <c r="W279" s="387"/>
      <c r="X279" s="154"/>
      <c r="Y279" s="154"/>
      <c r="Z279" s="130"/>
      <c r="AA279" s="130"/>
      <c r="AB279" s="130"/>
      <c r="AC279" s="125"/>
      <c r="AE279" s="154"/>
      <c r="AF279" s="154"/>
      <c r="AG279" s="129"/>
      <c r="AH279" s="130"/>
      <c r="AI279" s="125"/>
      <c r="AK279" s="154"/>
      <c r="AL279" s="154"/>
      <c r="AM279" s="129"/>
      <c r="AN279" s="130"/>
      <c r="AO279" s="125"/>
      <c r="AQ279" s="154"/>
      <c r="AR279" s="154"/>
      <c r="AS279" s="129"/>
      <c r="AT279" s="130"/>
      <c r="AU279" s="125"/>
      <c r="AW279" s="154"/>
      <c r="AX279" s="154"/>
      <c r="AY279" s="129"/>
      <c r="AZ279" s="130"/>
      <c r="BA279" s="125"/>
    </row>
    <row r="280" spans="1:53" s="97" customFormat="1" ht="17.100000000000001" customHeight="1" x14ac:dyDescent="0.25">
      <c r="A280" s="68"/>
      <c r="B280" s="68"/>
      <c r="C280" s="92"/>
      <c r="D280" s="305"/>
      <c r="E280" s="305"/>
      <c r="F280" s="305"/>
      <c r="G280" s="305"/>
      <c r="H280" s="207"/>
      <c r="I280" s="207"/>
    </row>
    <row r="281" spans="1:53" s="32" customFormat="1" ht="16.5" thickBot="1" x14ac:dyDescent="0.3">
      <c r="A281" s="24" t="s">
        <v>287</v>
      </c>
      <c r="B281" s="25" t="s">
        <v>288</v>
      </c>
      <c r="C281" s="26"/>
      <c r="D281" s="27"/>
      <c r="E281" s="27"/>
      <c r="F281" s="27"/>
      <c r="G281" s="28"/>
      <c r="H281" s="310"/>
      <c r="I281" s="228"/>
      <c r="J281" s="140"/>
      <c r="K281" s="140"/>
      <c r="L281" s="140"/>
      <c r="M281" s="140"/>
      <c r="N281" s="140"/>
      <c r="O281" s="140"/>
      <c r="P281" s="140"/>
      <c r="Q281" s="140"/>
      <c r="R281" s="140"/>
      <c r="S281" s="140"/>
      <c r="T281" s="140"/>
      <c r="U281" s="140"/>
      <c r="V281" s="140"/>
      <c r="W281" s="140"/>
      <c r="X281" s="140"/>
      <c r="Y281" s="140"/>
      <c r="Z281" s="30" t="s">
        <v>5</v>
      </c>
      <c r="AA281" s="30"/>
      <c r="AB281" s="30"/>
      <c r="AC281" s="188"/>
      <c r="AE281" s="33" t="s">
        <v>181</v>
      </c>
      <c r="AF281" s="33" t="s">
        <v>182</v>
      </c>
      <c r="AG281" s="33" t="s">
        <v>6</v>
      </c>
      <c r="AH281" s="33" t="s">
        <v>4</v>
      </c>
      <c r="AI281" s="34" t="s">
        <v>5</v>
      </c>
      <c r="AJ281" s="35"/>
      <c r="AK281" s="36" t="s">
        <v>181</v>
      </c>
      <c r="AL281" s="36" t="s">
        <v>182</v>
      </c>
      <c r="AM281" s="36" t="s">
        <v>6</v>
      </c>
      <c r="AN281" s="36" t="s">
        <v>4</v>
      </c>
      <c r="AO281" s="37" t="s">
        <v>5</v>
      </c>
      <c r="AQ281" s="398" t="s">
        <v>181</v>
      </c>
      <c r="AR281" s="398" t="s">
        <v>182</v>
      </c>
      <c r="AS281" s="398" t="s">
        <v>6</v>
      </c>
      <c r="AT281" s="398" t="s">
        <v>4</v>
      </c>
      <c r="AU281" s="399" t="s">
        <v>5</v>
      </c>
      <c r="AW281" s="38" t="s">
        <v>181</v>
      </c>
      <c r="AX281" s="38" t="s">
        <v>182</v>
      </c>
      <c r="AY281" s="38" t="s">
        <v>6</v>
      </c>
      <c r="AZ281" s="423" t="s">
        <v>4</v>
      </c>
      <c r="BA281" s="39" t="s">
        <v>5</v>
      </c>
    </row>
    <row r="282" spans="1:53" ht="17.100000000000001" customHeight="1" x14ac:dyDescent="0.25">
      <c r="A282" s="40"/>
      <c r="B282" s="41" t="s">
        <v>289</v>
      </c>
      <c r="C282" s="69" t="s">
        <v>620</v>
      </c>
      <c r="D282" s="43"/>
      <c r="E282" s="43"/>
      <c r="F282" s="43"/>
      <c r="G282" s="44"/>
      <c r="H282" s="321"/>
      <c r="I282" s="229"/>
      <c r="J282" s="71"/>
      <c r="K282" s="71"/>
      <c r="L282" s="71"/>
      <c r="M282" s="71"/>
      <c r="N282" s="71"/>
      <c r="O282" s="71"/>
      <c r="P282" s="71"/>
      <c r="Q282" s="71"/>
      <c r="R282" s="71"/>
      <c r="S282" s="71"/>
      <c r="T282" s="71"/>
      <c r="U282" s="71"/>
      <c r="V282" s="71"/>
      <c r="W282" s="71"/>
      <c r="X282" s="71"/>
      <c r="Y282" s="71"/>
      <c r="Z282" s="73"/>
      <c r="AA282" s="73"/>
      <c r="AB282" s="73"/>
      <c r="AC282" s="73"/>
      <c r="AE282" s="71"/>
      <c r="AF282" s="71"/>
      <c r="AG282" s="273"/>
      <c r="AH282" s="73"/>
      <c r="AI282" s="73"/>
      <c r="AK282" s="71"/>
      <c r="AL282" s="71"/>
      <c r="AM282" s="273"/>
      <c r="AN282" s="73"/>
      <c r="AO282" s="73"/>
      <c r="AQ282" s="71"/>
      <c r="AR282" s="71"/>
      <c r="AS282" s="273"/>
      <c r="AT282" s="73"/>
      <c r="AU282" s="73"/>
      <c r="AW282" s="71"/>
      <c r="AX282" s="71"/>
      <c r="AY282" s="273"/>
      <c r="AZ282" s="73"/>
      <c r="BA282" s="73"/>
    </row>
    <row r="283" spans="1:53" ht="17.100000000000001" customHeight="1" x14ac:dyDescent="0.25">
      <c r="A283" s="40"/>
      <c r="B283" s="40"/>
      <c r="C283" s="74" t="s">
        <v>291</v>
      </c>
      <c r="D283" s="75" t="s">
        <v>292</v>
      </c>
      <c r="E283" s="105"/>
      <c r="F283" s="75"/>
      <c r="G283" s="76"/>
      <c r="H283" s="647"/>
      <c r="I283" s="229"/>
      <c r="J283" s="111"/>
      <c r="K283" s="111"/>
      <c r="L283" s="111"/>
      <c r="M283" s="111"/>
      <c r="N283" s="60"/>
      <c r="O283" s="60"/>
      <c r="P283" s="17">
        <f t="shared" ref="P283:P286" si="272">SUM(N283:O283)</f>
        <v>0</v>
      </c>
      <c r="Q283" s="60"/>
      <c r="R283" s="60"/>
      <c r="S283" s="17">
        <f t="shared" ref="S283:S286" si="273">SUM(Q283:R283)</f>
        <v>0</v>
      </c>
      <c r="T283" s="60"/>
      <c r="U283" s="60"/>
      <c r="V283" s="17">
        <f t="shared" ref="V283:V286" si="274">SUM(T283:U283)</f>
        <v>0</v>
      </c>
      <c r="W283" s="391">
        <f t="shared" ref="W283:W286" si="275">J283+K283+N283+Q283+T283</f>
        <v>0</v>
      </c>
      <c r="X283" s="17">
        <f t="shared" ref="X283:X286" si="276">L283+O283+R283+U283</f>
        <v>0</v>
      </c>
      <c r="Y283" s="18">
        <f t="shared" ref="Y283:Y286" si="277">SUM(W283:X283)</f>
        <v>0</v>
      </c>
      <c r="Z283" s="19">
        <f>IF(Y$287=0,0,Y283/Y$287)</f>
        <v>0</v>
      </c>
      <c r="AA283" s="19"/>
      <c r="AB283" s="19"/>
      <c r="AC283" s="20"/>
      <c r="AE283" s="111"/>
      <c r="AF283" s="111"/>
      <c r="AG283" s="111"/>
      <c r="AH283" s="651"/>
      <c r="AI283" s="131"/>
      <c r="AK283" s="111"/>
      <c r="AL283" s="111"/>
      <c r="AM283" s="111"/>
      <c r="AN283" s="651"/>
      <c r="AO283" s="131"/>
      <c r="AQ283" s="17"/>
      <c r="AR283" s="17"/>
      <c r="AS283" s="17"/>
      <c r="AT283" s="424">
        <f>W283</f>
        <v>0</v>
      </c>
      <c r="AU283" s="19">
        <f>IF(AT$287=0,0,AT283/AT$287)</f>
        <v>0</v>
      </c>
      <c r="AW283" s="17"/>
      <c r="AX283" s="17"/>
      <c r="AY283" s="17"/>
      <c r="AZ283" s="424">
        <f>X283</f>
        <v>0</v>
      </c>
      <c r="BA283" s="19">
        <f>IF(AZ$287=0,0,AZ283/AZ$287)</f>
        <v>0</v>
      </c>
    </row>
    <row r="284" spans="1:53" ht="17.100000000000001" customHeight="1" x14ac:dyDescent="0.25">
      <c r="A284" s="40"/>
      <c r="B284" s="40"/>
      <c r="C284" s="74" t="s">
        <v>293</v>
      </c>
      <c r="D284" s="75" t="s">
        <v>11</v>
      </c>
      <c r="E284" s="105"/>
      <c r="F284" s="75"/>
      <c r="G284" s="75"/>
      <c r="H284" s="647"/>
      <c r="I284" s="229"/>
      <c r="J284" s="111"/>
      <c r="K284" s="111"/>
      <c r="L284" s="111"/>
      <c r="M284" s="111"/>
      <c r="N284" s="61"/>
      <c r="O284" s="61"/>
      <c r="P284" s="17">
        <f t="shared" si="272"/>
        <v>0</v>
      </c>
      <c r="Q284" s="61"/>
      <c r="R284" s="61">
        <v>1</v>
      </c>
      <c r="S284" s="17">
        <f t="shared" si="273"/>
        <v>1</v>
      </c>
      <c r="T284" s="61"/>
      <c r="U284" s="61"/>
      <c r="V284" s="17">
        <f t="shared" si="274"/>
        <v>0</v>
      </c>
      <c r="W284" s="391">
        <f t="shared" si="275"/>
        <v>0</v>
      </c>
      <c r="X284" s="17">
        <f t="shared" si="276"/>
        <v>1</v>
      </c>
      <c r="Y284" s="18">
        <f t="shared" si="277"/>
        <v>1</v>
      </c>
      <c r="Z284" s="19">
        <f t="shared" ref="Z284:Z287" si="278">IF(Y$287=0,0,Y284/Y$287)</f>
        <v>0.14285714285714285</v>
      </c>
      <c r="AA284" s="19"/>
      <c r="AB284" s="19"/>
      <c r="AC284" s="20"/>
      <c r="AE284" s="111"/>
      <c r="AF284" s="111"/>
      <c r="AG284" s="111"/>
      <c r="AH284" s="651"/>
      <c r="AI284" s="131"/>
      <c r="AK284" s="111"/>
      <c r="AL284" s="111"/>
      <c r="AM284" s="111"/>
      <c r="AN284" s="651"/>
      <c r="AO284" s="131"/>
      <c r="AQ284" s="17"/>
      <c r="AR284" s="17"/>
      <c r="AS284" s="17"/>
      <c r="AT284" s="424">
        <f t="shared" ref="AT284:AT286" si="279">W284</f>
        <v>0</v>
      </c>
      <c r="AU284" s="19">
        <f t="shared" ref="AU284:AU287" si="280">IF(AT$287=0,0,AT284/AT$287)</f>
        <v>0</v>
      </c>
      <c r="AW284" s="17"/>
      <c r="AX284" s="17"/>
      <c r="AY284" s="17"/>
      <c r="AZ284" s="424">
        <f t="shared" ref="AZ284:AZ286" si="281">X284</f>
        <v>1</v>
      </c>
      <c r="BA284" s="19">
        <f t="shared" ref="BA284:BA287" si="282">IF(AZ$287=0,0,AZ284/AZ$287)</f>
        <v>0.14285714285714285</v>
      </c>
    </row>
    <row r="285" spans="1:53" ht="17.100000000000001" customHeight="1" x14ac:dyDescent="0.25">
      <c r="A285" s="40"/>
      <c r="B285" s="40"/>
      <c r="C285" s="74" t="s">
        <v>294</v>
      </c>
      <c r="D285" s="75" t="s">
        <v>295</v>
      </c>
      <c r="E285" s="105"/>
      <c r="F285" s="75"/>
      <c r="G285" s="75"/>
      <c r="H285" s="23"/>
      <c r="I285" s="229"/>
      <c r="J285" s="111"/>
      <c r="K285" s="111"/>
      <c r="L285" s="111"/>
      <c r="M285" s="111"/>
      <c r="N285" s="60"/>
      <c r="O285" s="60"/>
      <c r="P285" s="17">
        <f t="shared" si="272"/>
        <v>0</v>
      </c>
      <c r="Q285" s="60"/>
      <c r="R285" s="60"/>
      <c r="S285" s="17">
        <f t="shared" si="273"/>
        <v>0</v>
      </c>
      <c r="T285" s="60"/>
      <c r="U285" s="60"/>
      <c r="V285" s="17">
        <f t="shared" si="274"/>
        <v>0</v>
      </c>
      <c r="W285" s="391">
        <f t="shared" si="275"/>
        <v>0</v>
      </c>
      <c r="X285" s="17">
        <f t="shared" si="276"/>
        <v>0</v>
      </c>
      <c r="Y285" s="18">
        <f t="shared" si="277"/>
        <v>0</v>
      </c>
      <c r="Z285" s="19">
        <f t="shared" si="278"/>
        <v>0</v>
      </c>
      <c r="AA285" s="19"/>
      <c r="AB285" s="19"/>
      <c r="AC285" s="20"/>
      <c r="AE285" s="111"/>
      <c r="AF285" s="111"/>
      <c r="AG285" s="111"/>
      <c r="AH285" s="651"/>
      <c r="AI285" s="131"/>
      <c r="AK285" s="111"/>
      <c r="AL285" s="111"/>
      <c r="AM285" s="111"/>
      <c r="AN285" s="651"/>
      <c r="AO285" s="131"/>
      <c r="AQ285" s="17"/>
      <c r="AR285" s="17"/>
      <c r="AS285" s="17"/>
      <c r="AT285" s="424">
        <f t="shared" si="279"/>
        <v>0</v>
      </c>
      <c r="AU285" s="19">
        <f t="shared" si="280"/>
        <v>0</v>
      </c>
      <c r="AW285" s="17"/>
      <c r="AX285" s="17"/>
      <c r="AY285" s="17"/>
      <c r="AZ285" s="424">
        <f t="shared" si="281"/>
        <v>0</v>
      </c>
      <c r="BA285" s="19">
        <f t="shared" si="282"/>
        <v>0</v>
      </c>
    </row>
    <row r="286" spans="1:53" ht="17.100000000000001" customHeight="1" x14ac:dyDescent="0.25">
      <c r="A286" s="40"/>
      <c r="B286" s="40"/>
      <c r="C286" s="74" t="s">
        <v>296</v>
      </c>
      <c r="D286" s="75" t="s">
        <v>9</v>
      </c>
      <c r="E286" s="105"/>
      <c r="F286" s="75"/>
      <c r="G286" s="75"/>
      <c r="H286" s="23"/>
      <c r="I286" s="229"/>
      <c r="J286" s="111"/>
      <c r="K286" s="111"/>
      <c r="L286" s="111"/>
      <c r="M286" s="111"/>
      <c r="N286" s="61"/>
      <c r="O286" s="61"/>
      <c r="P286" s="17">
        <f t="shared" si="272"/>
        <v>0</v>
      </c>
      <c r="Q286" s="61"/>
      <c r="R286" s="61">
        <v>6</v>
      </c>
      <c r="S286" s="17">
        <f t="shared" si="273"/>
        <v>6</v>
      </c>
      <c r="T286" s="61"/>
      <c r="U286" s="61"/>
      <c r="V286" s="17">
        <f t="shared" si="274"/>
        <v>0</v>
      </c>
      <c r="W286" s="391">
        <f t="shared" si="275"/>
        <v>0</v>
      </c>
      <c r="X286" s="17">
        <f t="shared" si="276"/>
        <v>6</v>
      </c>
      <c r="Y286" s="18">
        <f t="shared" si="277"/>
        <v>6</v>
      </c>
      <c r="Z286" s="19">
        <f t="shared" si="278"/>
        <v>0.8571428571428571</v>
      </c>
      <c r="AA286" s="19"/>
      <c r="AB286" s="19"/>
      <c r="AC286" s="20"/>
      <c r="AE286" s="111"/>
      <c r="AF286" s="111"/>
      <c r="AG286" s="111"/>
      <c r="AH286" s="651"/>
      <c r="AI286" s="131"/>
      <c r="AK286" s="111"/>
      <c r="AL286" s="111"/>
      <c r="AM286" s="111"/>
      <c r="AN286" s="651"/>
      <c r="AO286" s="131"/>
      <c r="AQ286" s="17"/>
      <c r="AR286" s="17"/>
      <c r="AS286" s="17"/>
      <c r="AT286" s="424">
        <f t="shared" si="279"/>
        <v>0</v>
      </c>
      <c r="AU286" s="19">
        <f t="shared" si="280"/>
        <v>0</v>
      </c>
      <c r="AW286" s="17"/>
      <c r="AX286" s="17"/>
      <c r="AY286" s="17"/>
      <c r="AZ286" s="424">
        <f t="shared" si="281"/>
        <v>6</v>
      </c>
      <c r="BA286" s="19">
        <f t="shared" si="282"/>
        <v>0.8571428571428571</v>
      </c>
    </row>
    <row r="287" spans="1:53" ht="17.100000000000001" customHeight="1" x14ac:dyDescent="0.25">
      <c r="A287" s="40"/>
      <c r="B287" s="40"/>
      <c r="C287" s="292"/>
      <c r="D287" s="144"/>
      <c r="E287" s="144"/>
      <c r="F287" s="145"/>
      <c r="G287" s="145"/>
      <c r="H287" s="119"/>
      <c r="I287" s="236"/>
      <c r="J287" s="80"/>
      <c r="K287" s="80"/>
      <c r="L287" s="81"/>
      <c r="M287" s="81"/>
      <c r="N287" s="81">
        <f>SUM(N283:N286)</f>
        <v>0</v>
      </c>
      <c r="O287" s="81">
        <f t="shared" ref="O287:V287" si="283">SUM(O283:O286)</f>
        <v>0</v>
      </c>
      <c r="P287" s="81">
        <f t="shared" si="283"/>
        <v>0</v>
      </c>
      <c r="Q287" s="81">
        <f t="shared" si="283"/>
        <v>0</v>
      </c>
      <c r="R287" s="81">
        <f t="shared" si="283"/>
        <v>7</v>
      </c>
      <c r="S287" s="81">
        <f t="shared" si="283"/>
        <v>7</v>
      </c>
      <c r="T287" s="81">
        <f t="shared" si="283"/>
        <v>0</v>
      </c>
      <c r="U287" s="81">
        <f t="shared" si="283"/>
        <v>0</v>
      </c>
      <c r="V287" s="81">
        <f t="shared" si="283"/>
        <v>0</v>
      </c>
      <c r="W287" s="82">
        <f>SUM(W283:W286)</f>
        <v>0</v>
      </c>
      <c r="X287" s="82">
        <f t="shared" ref="X287:Y287" si="284">SUM(X283:X286)</f>
        <v>7</v>
      </c>
      <c r="Y287" s="82">
        <f t="shared" si="284"/>
        <v>7</v>
      </c>
      <c r="Z287" s="66">
        <f t="shared" si="278"/>
        <v>1</v>
      </c>
      <c r="AA287" s="205"/>
      <c r="AB287" s="205"/>
      <c r="AC287" s="83"/>
      <c r="AE287" s="81"/>
      <c r="AF287" s="81"/>
      <c r="AG287" s="82"/>
      <c r="AH287" s="82"/>
      <c r="AI287" s="66"/>
      <c r="AK287" s="81"/>
      <c r="AL287" s="81"/>
      <c r="AM287" s="82"/>
      <c r="AN287" s="82"/>
      <c r="AO287" s="66"/>
      <c r="AQ287" s="81"/>
      <c r="AR287" s="81"/>
      <c r="AS287" s="82"/>
      <c r="AT287" s="81">
        <f>SUM(AT283:AT286)</f>
        <v>0</v>
      </c>
      <c r="AU287" s="66">
        <f t="shared" si="280"/>
        <v>0</v>
      </c>
      <c r="AW287" s="81"/>
      <c r="AX287" s="81"/>
      <c r="AY287" s="82"/>
      <c r="AZ287" s="81">
        <f>SUM(AZ283:AZ286)</f>
        <v>7</v>
      </c>
      <c r="BA287" s="66">
        <f t="shared" si="282"/>
        <v>1</v>
      </c>
    </row>
    <row r="288" spans="1:53" s="117" customFormat="1" ht="17.100000000000001" customHeight="1" x14ac:dyDescent="0.25">
      <c r="A288" s="68"/>
      <c r="B288" s="119"/>
      <c r="C288" s="647"/>
      <c r="D288" s="261"/>
      <c r="E288" s="261"/>
      <c r="F288" s="68"/>
      <c r="G288" s="68"/>
      <c r="H288" s="119"/>
      <c r="I288" s="138"/>
      <c r="J288" s="17"/>
      <c r="K288" s="17"/>
      <c r="L288" s="17"/>
      <c r="M288" s="17"/>
      <c r="N288" s="17" t="str">
        <f>IF(N287=N$20,"OK","NOK")</f>
        <v>OK</v>
      </c>
      <c r="O288" s="17" t="str">
        <f>IF(O287=O$20,"OK","NOK")</f>
        <v>OK</v>
      </c>
      <c r="P288" s="17"/>
      <c r="Q288" s="17" t="str">
        <f>IF(Q287=Q$20,"OK","NOK")</f>
        <v>OK</v>
      </c>
      <c r="R288" s="17" t="str">
        <f>IF(R287=R$20,"OK","NOK")</f>
        <v>OK</v>
      </c>
      <c r="S288" s="17"/>
      <c r="T288" s="17" t="str">
        <f>IF(T287=T$20,"OK","NOK")</f>
        <v>OK</v>
      </c>
      <c r="U288" s="17" t="str">
        <f>IF(U287=U$20,"OK","NOK")</f>
        <v>OK</v>
      </c>
      <c r="V288" s="359"/>
      <c r="W288" s="382"/>
      <c r="X288" s="646"/>
      <c r="Y288" s="646"/>
      <c r="Z288" s="201"/>
      <c r="AA288" s="201"/>
      <c r="AB288" s="201"/>
      <c r="AC288" s="84"/>
      <c r="AE288" s="46"/>
      <c r="AF288" s="46"/>
      <c r="AG288" s="17"/>
      <c r="AH288" s="646"/>
      <c r="AI288" s="91"/>
      <c r="AK288" s="46"/>
      <c r="AL288" s="46"/>
      <c r="AM288" s="17"/>
      <c r="AN288" s="646"/>
      <c r="AO288" s="91"/>
      <c r="AQ288" s="46"/>
      <c r="AR288" s="46"/>
      <c r="AS288" s="17"/>
      <c r="AT288" s="646"/>
      <c r="AU288" s="91"/>
      <c r="AW288" s="46"/>
      <c r="AX288" s="46"/>
      <c r="AY288" s="17"/>
      <c r="AZ288" s="646"/>
      <c r="BA288" s="91"/>
    </row>
    <row r="289" spans="1:53" ht="17.100000000000001" customHeight="1" x14ac:dyDescent="0.25">
      <c r="A289" s="40"/>
      <c r="B289" s="41" t="s">
        <v>297</v>
      </c>
      <c r="C289" s="69" t="s">
        <v>290</v>
      </c>
      <c r="D289" s="322"/>
      <c r="E289" s="322"/>
      <c r="F289" s="301"/>
      <c r="G289" s="301"/>
      <c r="H289" s="119"/>
      <c r="I289" s="236"/>
      <c r="J289" s="87"/>
      <c r="K289" s="87"/>
      <c r="L289" s="71"/>
      <c r="M289" s="71"/>
      <c r="N289" s="71"/>
      <c r="O289" s="71"/>
      <c r="P289" s="71"/>
      <c r="Q289" s="71"/>
      <c r="R289" s="71"/>
      <c r="S289" s="71"/>
      <c r="T289" s="71"/>
      <c r="U289" s="71"/>
      <c r="V289" s="71"/>
      <c r="W289" s="89"/>
      <c r="X289" s="89"/>
      <c r="Y289" s="89"/>
      <c r="Z289" s="323"/>
      <c r="AA289" s="323"/>
      <c r="AB289" s="323"/>
      <c r="AC289" s="73"/>
      <c r="AE289" s="71"/>
      <c r="AF289" s="71"/>
      <c r="AG289" s="89"/>
      <c r="AH289" s="90"/>
      <c r="AI289" s="73"/>
      <c r="AK289" s="71"/>
      <c r="AL289" s="71"/>
      <c r="AM289" s="89"/>
      <c r="AN289" s="90"/>
      <c r="AO289" s="73"/>
      <c r="AQ289" s="71"/>
      <c r="AR289" s="71"/>
      <c r="AS289" s="89"/>
      <c r="AT289" s="90"/>
      <c r="AU289" s="73"/>
      <c r="AW289" s="71"/>
      <c r="AX289" s="71"/>
      <c r="AY289" s="89"/>
      <c r="AZ289" s="90"/>
      <c r="BA289" s="73"/>
    </row>
    <row r="290" spans="1:53" ht="17.100000000000001" customHeight="1" x14ac:dyDescent="0.25">
      <c r="A290" s="40"/>
      <c r="B290" s="40"/>
      <c r="C290" s="74" t="s">
        <v>298</v>
      </c>
      <c r="D290" s="75" t="s">
        <v>292</v>
      </c>
      <c r="E290" s="105"/>
      <c r="F290" s="75"/>
      <c r="G290" s="76"/>
      <c r="H290" s="647"/>
      <c r="I290" s="229"/>
      <c r="J290" s="111"/>
      <c r="K290" s="111"/>
      <c r="L290" s="111"/>
      <c r="M290" s="111"/>
      <c r="N290" s="60"/>
      <c r="O290" s="60"/>
      <c r="P290" s="17">
        <f t="shared" ref="P290:P293" si="285">SUM(N290:O290)</f>
        <v>0</v>
      </c>
      <c r="Q290" s="60"/>
      <c r="R290" s="60"/>
      <c r="S290" s="17">
        <f t="shared" ref="S290:S293" si="286">SUM(Q290:R290)</f>
        <v>0</v>
      </c>
      <c r="T290" s="60"/>
      <c r="U290" s="60"/>
      <c r="V290" s="17">
        <f t="shared" ref="V290:V293" si="287">SUM(T290:U290)</f>
        <v>0</v>
      </c>
      <c r="W290" s="391">
        <f t="shared" ref="W290:W293" si="288">J290+K290+N290+Q290+T290</f>
        <v>0</v>
      </c>
      <c r="X290" s="17">
        <f t="shared" ref="X290:X293" si="289">L290+O290+R290+U290</f>
        <v>0</v>
      </c>
      <c r="Y290" s="18">
        <f t="shared" ref="Y290:Y293" si="290">SUM(W290:X290)</f>
        <v>0</v>
      </c>
      <c r="Z290" s="19">
        <f>IF(Y$294=0,0,Y290/Y$294)</f>
        <v>0</v>
      </c>
      <c r="AA290" s="19"/>
      <c r="AB290" s="19"/>
      <c r="AC290" s="20"/>
      <c r="AE290" s="111"/>
      <c r="AF290" s="111"/>
      <c r="AG290" s="111"/>
      <c r="AH290" s="651"/>
      <c r="AI290" s="131"/>
      <c r="AK290" s="111"/>
      <c r="AL290" s="111"/>
      <c r="AM290" s="111"/>
      <c r="AN290" s="651"/>
      <c r="AO290" s="131"/>
      <c r="AQ290" s="17"/>
      <c r="AR290" s="17"/>
      <c r="AS290" s="17"/>
      <c r="AT290" s="424">
        <f>W290</f>
        <v>0</v>
      </c>
      <c r="AU290" s="19">
        <f>IF(AT$294=0,0,AT290/AT$294)</f>
        <v>0</v>
      </c>
      <c r="AW290" s="17"/>
      <c r="AX290" s="17"/>
      <c r="AY290" s="17"/>
      <c r="AZ290" s="424">
        <f>X290</f>
        <v>0</v>
      </c>
      <c r="BA290" s="19">
        <f>IF(AZ$294=0,0,AZ290/AZ$294)</f>
        <v>0</v>
      </c>
    </row>
    <row r="291" spans="1:53" ht="17.100000000000001" customHeight="1" x14ac:dyDescent="0.25">
      <c r="A291" s="40"/>
      <c r="B291" s="40"/>
      <c r="C291" s="74" t="s">
        <v>299</v>
      </c>
      <c r="D291" s="75" t="s">
        <v>11</v>
      </c>
      <c r="E291" s="105"/>
      <c r="F291" s="75"/>
      <c r="G291" s="75"/>
      <c r="H291" s="647"/>
      <c r="I291" s="229"/>
      <c r="J291" s="111"/>
      <c r="K291" s="111"/>
      <c r="L291" s="111"/>
      <c r="M291" s="111"/>
      <c r="N291" s="61"/>
      <c r="O291" s="61"/>
      <c r="P291" s="17">
        <f t="shared" si="285"/>
        <v>0</v>
      </c>
      <c r="Q291" s="61"/>
      <c r="R291" s="61">
        <v>7</v>
      </c>
      <c r="S291" s="17">
        <f t="shared" si="286"/>
        <v>7</v>
      </c>
      <c r="T291" s="61"/>
      <c r="U291" s="61"/>
      <c r="V291" s="17">
        <f t="shared" si="287"/>
        <v>0</v>
      </c>
      <c r="W291" s="391">
        <f t="shared" si="288"/>
        <v>0</v>
      </c>
      <c r="X291" s="17">
        <f t="shared" si="289"/>
        <v>7</v>
      </c>
      <c r="Y291" s="18">
        <f t="shared" si="290"/>
        <v>7</v>
      </c>
      <c r="Z291" s="19">
        <f t="shared" ref="Z291:Z294" si="291">IF(Y$294=0,0,Y291/Y$294)</f>
        <v>1</v>
      </c>
      <c r="AA291" s="19"/>
      <c r="AB291" s="19"/>
      <c r="AC291" s="20"/>
      <c r="AE291" s="111"/>
      <c r="AF291" s="111"/>
      <c r="AG291" s="111"/>
      <c r="AH291" s="651"/>
      <c r="AI291" s="131"/>
      <c r="AK291" s="111"/>
      <c r="AL291" s="111"/>
      <c r="AM291" s="111"/>
      <c r="AN291" s="651"/>
      <c r="AO291" s="131"/>
      <c r="AQ291" s="17"/>
      <c r="AR291" s="17"/>
      <c r="AS291" s="17"/>
      <c r="AT291" s="424">
        <f t="shared" ref="AT291:AT293" si="292">W291</f>
        <v>0</v>
      </c>
      <c r="AU291" s="19">
        <f t="shared" ref="AU291:AU294" si="293">IF(AT$294=0,0,AT291/AT$294)</f>
        <v>0</v>
      </c>
      <c r="AW291" s="17"/>
      <c r="AX291" s="17"/>
      <c r="AY291" s="17"/>
      <c r="AZ291" s="424">
        <f t="shared" ref="AZ291:AZ293" si="294">X291</f>
        <v>7</v>
      </c>
      <c r="BA291" s="19">
        <f t="shared" ref="BA291:BA294" si="295">IF(AZ$294=0,0,AZ291/AZ$294)</f>
        <v>1</v>
      </c>
    </row>
    <row r="292" spans="1:53" ht="17.100000000000001" customHeight="1" x14ac:dyDescent="0.25">
      <c r="A292" s="40"/>
      <c r="B292" s="40"/>
      <c r="C292" s="74" t="s">
        <v>301</v>
      </c>
      <c r="D292" s="75" t="s">
        <v>295</v>
      </c>
      <c r="E292" s="105"/>
      <c r="F292" s="75"/>
      <c r="G292" s="75"/>
      <c r="H292" s="23"/>
      <c r="I292" s="229"/>
      <c r="J292" s="111"/>
      <c r="K292" s="111"/>
      <c r="L292" s="111"/>
      <c r="M292" s="111"/>
      <c r="N292" s="60"/>
      <c r="O292" s="60"/>
      <c r="P292" s="17">
        <f t="shared" si="285"/>
        <v>0</v>
      </c>
      <c r="Q292" s="60"/>
      <c r="R292" s="60"/>
      <c r="S292" s="17">
        <f t="shared" si="286"/>
        <v>0</v>
      </c>
      <c r="T292" s="60"/>
      <c r="U292" s="60"/>
      <c r="V292" s="17">
        <f t="shared" si="287"/>
        <v>0</v>
      </c>
      <c r="W292" s="391">
        <f t="shared" si="288"/>
        <v>0</v>
      </c>
      <c r="X292" s="17">
        <f t="shared" si="289"/>
        <v>0</v>
      </c>
      <c r="Y292" s="18">
        <f t="shared" si="290"/>
        <v>0</v>
      </c>
      <c r="Z292" s="19">
        <f t="shared" si="291"/>
        <v>0</v>
      </c>
      <c r="AA292" s="19"/>
      <c r="AB292" s="19"/>
      <c r="AC292" s="20"/>
      <c r="AE292" s="111"/>
      <c r="AF292" s="111"/>
      <c r="AG292" s="111"/>
      <c r="AH292" s="651"/>
      <c r="AI292" s="131"/>
      <c r="AK292" s="111"/>
      <c r="AL292" s="111"/>
      <c r="AM292" s="111"/>
      <c r="AN292" s="651"/>
      <c r="AO292" s="131"/>
      <c r="AQ292" s="17"/>
      <c r="AR292" s="17"/>
      <c r="AS292" s="17"/>
      <c r="AT292" s="424">
        <f t="shared" si="292"/>
        <v>0</v>
      </c>
      <c r="AU292" s="19">
        <f t="shared" si="293"/>
        <v>0</v>
      </c>
      <c r="AW292" s="17"/>
      <c r="AX292" s="17"/>
      <c r="AY292" s="17"/>
      <c r="AZ292" s="424">
        <f t="shared" si="294"/>
        <v>0</v>
      </c>
      <c r="BA292" s="19">
        <f t="shared" si="295"/>
        <v>0</v>
      </c>
    </row>
    <row r="293" spans="1:53" ht="17.100000000000001" customHeight="1" x14ac:dyDescent="0.25">
      <c r="A293" s="40"/>
      <c r="B293" s="40"/>
      <c r="C293" s="74" t="s">
        <v>303</v>
      </c>
      <c r="D293" s="75" t="s">
        <v>9</v>
      </c>
      <c r="E293" s="105"/>
      <c r="F293" s="75"/>
      <c r="G293" s="75"/>
      <c r="H293" s="23"/>
      <c r="I293" s="229"/>
      <c r="J293" s="111"/>
      <c r="K293" s="111"/>
      <c r="L293" s="111"/>
      <c r="M293" s="111"/>
      <c r="N293" s="61"/>
      <c r="O293" s="61"/>
      <c r="P293" s="17">
        <f t="shared" si="285"/>
        <v>0</v>
      </c>
      <c r="Q293" s="61"/>
      <c r="R293" s="61"/>
      <c r="S293" s="17">
        <f t="shared" si="286"/>
        <v>0</v>
      </c>
      <c r="T293" s="61"/>
      <c r="U293" s="61"/>
      <c r="V293" s="17">
        <f t="shared" si="287"/>
        <v>0</v>
      </c>
      <c r="W293" s="391">
        <f t="shared" si="288"/>
        <v>0</v>
      </c>
      <c r="X293" s="17">
        <f t="shared" si="289"/>
        <v>0</v>
      </c>
      <c r="Y293" s="18">
        <f t="shared" si="290"/>
        <v>0</v>
      </c>
      <c r="Z293" s="19">
        <f t="shared" si="291"/>
        <v>0</v>
      </c>
      <c r="AA293" s="19"/>
      <c r="AB293" s="19"/>
      <c r="AC293" s="20"/>
      <c r="AE293" s="111"/>
      <c r="AF293" s="111"/>
      <c r="AG293" s="111"/>
      <c r="AH293" s="651"/>
      <c r="AI293" s="131"/>
      <c r="AK293" s="111"/>
      <c r="AL293" s="111"/>
      <c r="AM293" s="111"/>
      <c r="AN293" s="651"/>
      <c r="AO293" s="131"/>
      <c r="AQ293" s="17"/>
      <c r="AR293" s="17"/>
      <c r="AS293" s="17"/>
      <c r="AT293" s="424">
        <f t="shared" si="292"/>
        <v>0</v>
      </c>
      <c r="AU293" s="19">
        <f t="shared" si="293"/>
        <v>0</v>
      </c>
      <c r="AW293" s="17"/>
      <c r="AX293" s="17"/>
      <c r="AY293" s="17"/>
      <c r="AZ293" s="424">
        <f t="shared" si="294"/>
        <v>0</v>
      </c>
      <c r="BA293" s="19">
        <f t="shared" si="295"/>
        <v>0</v>
      </c>
    </row>
    <row r="294" spans="1:53" ht="17.100000000000001" customHeight="1" x14ac:dyDescent="0.25">
      <c r="A294" s="40"/>
      <c r="B294" s="40"/>
      <c r="C294" s="292"/>
      <c r="D294" s="144"/>
      <c r="E294" s="144"/>
      <c r="F294" s="145"/>
      <c r="G294" s="145"/>
      <c r="H294" s="119"/>
      <c r="I294" s="236"/>
      <c r="J294" s="80"/>
      <c r="K294" s="80"/>
      <c r="L294" s="81"/>
      <c r="M294" s="81"/>
      <c r="N294" s="81">
        <f>SUM(N290:N293)</f>
        <v>0</v>
      </c>
      <c r="O294" s="81">
        <f t="shared" ref="O294:V294" si="296">SUM(O290:O293)</f>
        <v>0</v>
      </c>
      <c r="P294" s="81">
        <f t="shared" si="296"/>
        <v>0</v>
      </c>
      <c r="Q294" s="81">
        <f t="shared" si="296"/>
        <v>0</v>
      </c>
      <c r="R294" s="81">
        <f t="shared" si="296"/>
        <v>7</v>
      </c>
      <c r="S294" s="81">
        <f t="shared" si="296"/>
        <v>7</v>
      </c>
      <c r="T294" s="81">
        <f t="shared" si="296"/>
        <v>0</v>
      </c>
      <c r="U294" s="81">
        <f t="shared" si="296"/>
        <v>0</v>
      </c>
      <c r="V294" s="81">
        <f t="shared" si="296"/>
        <v>0</v>
      </c>
      <c r="W294" s="82">
        <f>SUM(W290:W293)</f>
        <v>0</v>
      </c>
      <c r="X294" s="82">
        <f t="shared" ref="X294:Y294" si="297">SUM(X290:X293)</f>
        <v>7</v>
      </c>
      <c r="Y294" s="82">
        <f t="shared" si="297"/>
        <v>7</v>
      </c>
      <c r="Z294" s="66">
        <f t="shared" si="291"/>
        <v>1</v>
      </c>
      <c r="AA294" s="205"/>
      <c r="AB294" s="205"/>
      <c r="AC294" s="83"/>
      <c r="AE294" s="81"/>
      <c r="AF294" s="81"/>
      <c r="AG294" s="82"/>
      <c r="AH294" s="82"/>
      <c r="AI294" s="66"/>
      <c r="AK294" s="81"/>
      <c r="AL294" s="81"/>
      <c r="AM294" s="82"/>
      <c r="AN294" s="82"/>
      <c r="AO294" s="66"/>
      <c r="AQ294" s="81"/>
      <c r="AR294" s="81"/>
      <c r="AS294" s="82"/>
      <c r="AT294" s="81">
        <f>SUM(AT290:AT293)</f>
        <v>0</v>
      </c>
      <c r="AU294" s="66">
        <f t="shared" si="293"/>
        <v>0</v>
      </c>
      <c r="AW294" s="81"/>
      <c r="AX294" s="81"/>
      <c r="AY294" s="82"/>
      <c r="AZ294" s="81">
        <f>SUM(AZ290:AZ293)</f>
        <v>7</v>
      </c>
      <c r="BA294" s="66">
        <f t="shared" si="295"/>
        <v>1</v>
      </c>
    </row>
    <row r="295" spans="1:53" s="117" customFormat="1" ht="17.100000000000001" customHeight="1" x14ac:dyDescent="0.25">
      <c r="A295" s="68"/>
      <c r="B295" s="119"/>
      <c r="C295" s="647"/>
      <c r="D295" s="261"/>
      <c r="E295" s="261"/>
      <c r="F295" s="68"/>
      <c r="G295" s="68"/>
      <c r="H295" s="119"/>
      <c r="I295" s="138"/>
      <c r="J295" s="17"/>
      <c r="K295" s="17"/>
      <c r="L295" s="17"/>
      <c r="M295" s="17"/>
      <c r="N295" s="17" t="str">
        <f>IF(N294=N$20,"OK","NOK")</f>
        <v>OK</v>
      </c>
      <c r="O295" s="17" t="str">
        <f>IF(O294=O$20,"OK","NOK")</f>
        <v>OK</v>
      </c>
      <c r="P295" s="17"/>
      <c r="Q295" s="17" t="str">
        <f>IF(Q294=Q$20,"OK","NOK")</f>
        <v>OK</v>
      </c>
      <c r="R295" s="17" t="str">
        <f>IF(R294=R$20,"OK","NOK")</f>
        <v>OK</v>
      </c>
      <c r="S295" s="17"/>
      <c r="T295" s="17" t="str">
        <f>IF(T294=T$20,"OK","NOK")</f>
        <v>OK</v>
      </c>
      <c r="U295" s="17" t="str">
        <f>IF(U294=U$20,"OK","NOK")</f>
        <v>OK</v>
      </c>
      <c r="V295" s="359"/>
      <c r="W295" s="382"/>
      <c r="X295" s="646"/>
      <c r="Y295" s="646"/>
      <c r="Z295" s="201"/>
      <c r="AA295" s="201"/>
      <c r="AB295" s="201"/>
      <c r="AC295" s="84"/>
      <c r="AE295" s="46"/>
      <c r="AF295" s="46"/>
      <c r="AG295" s="17"/>
      <c r="AH295" s="646"/>
      <c r="AI295" s="91"/>
      <c r="AK295" s="46"/>
      <c r="AL295" s="46"/>
      <c r="AM295" s="17"/>
      <c r="AN295" s="646"/>
      <c r="AO295" s="91"/>
      <c r="AQ295" s="46"/>
      <c r="AR295" s="46"/>
      <c r="AS295" s="17"/>
      <c r="AT295" s="646"/>
      <c r="AU295" s="91"/>
      <c r="AW295" s="46"/>
      <c r="AX295" s="46"/>
      <c r="AY295" s="17"/>
      <c r="AZ295" s="646"/>
      <c r="BA295" s="91"/>
    </row>
    <row r="296" spans="1:53" ht="17.100000000000001" customHeight="1" x14ac:dyDescent="0.25">
      <c r="A296" s="40"/>
      <c r="B296" s="41" t="s">
        <v>306</v>
      </c>
      <c r="C296" s="274" t="s">
        <v>607</v>
      </c>
      <c r="D296" s="43"/>
      <c r="E296" s="43"/>
      <c r="F296" s="43"/>
      <c r="G296" s="43"/>
      <c r="H296" s="23"/>
      <c r="I296" s="229"/>
      <c r="J296" s="71"/>
      <c r="K296" s="71"/>
      <c r="L296" s="71"/>
      <c r="M296" s="71"/>
      <c r="N296" s="71"/>
      <c r="O296" s="71"/>
      <c r="P296" s="71"/>
      <c r="Q296" s="71"/>
      <c r="R296" s="71"/>
      <c r="S296" s="71"/>
      <c r="T296" s="71"/>
      <c r="U296" s="71"/>
      <c r="V296" s="71"/>
      <c r="W296" s="71"/>
      <c r="X296" s="71"/>
      <c r="Y296" s="71"/>
      <c r="Z296" s="73"/>
      <c r="AA296" s="73"/>
      <c r="AB296" s="73"/>
      <c r="AC296" s="73"/>
      <c r="AE296" s="71"/>
      <c r="AF296" s="71"/>
      <c r="AG296" s="273"/>
      <c r="AH296" s="73"/>
      <c r="AI296" s="73"/>
      <c r="AK296" s="71"/>
      <c r="AL296" s="71"/>
      <c r="AM296" s="273"/>
      <c r="AN296" s="73"/>
      <c r="AO296" s="73"/>
      <c r="AQ296" s="71"/>
      <c r="AR296" s="71"/>
      <c r="AS296" s="273"/>
      <c r="AT296" s="73"/>
      <c r="AU296" s="73"/>
      <c r="AW296" s="71"/>
      <c r="AX296" s="71"/>
      <c r="AY296" s="273"/>
      <c r="AZ296" s="73"/>
      <c r="BA296" s="73"/>
    </row>
    <row r="297" spans="1:53" ht="17.100000000000001" customHeight="1" x14ac:dyDescent="0.25">
      <c r="A297" s="40"/>
      <c r="B297" s="40"/>
      <c r="C297" s="74" t="s">
        <v>308</v>
      </c>
      <c r="D297" s="85" t="s">
        <v>292</v>
      </c>
      <c r="E297" s="105"/>
      <c r="F297" s="105"/>
      <c r="G297" s="105"/>
      <c r="H297" s="84"/>
      <c r="I297" s="231"/>
      <c r="J297" s="111"/>
      <c r="K297" s="111"/>
      <c r="L297" s="111"/>
      <c r="M297" s="111"/>
      <c r="N297" s="60"/>
      <c r="O297" s="60"/>
      <c r="P297" s="17">
        <f t="shared" ref="P297:P307" si="298">SUM(N297:O297)</f>
        <v>0</v>
      </c>
      <c r="Q297" s="60"/>
      <c r="R297" s="60"/>
      <c r="S297" s="17">
        <f t="shared" ref="S297:S307" si="299">SUM(Q297:R297)</f>
        <v>0</v>
      </c>
      <c r="T297" s="60"/>
      <c r="U297" s="60"/>
      <c r="V297" s="17">
        <f t="shared" ref="V297:V307" si="300">SUM(T297:U297)</f>
        <v>0</v>
      </c>
      <c r="W297" s="391">
        <f t="shared" ref="W297:W307" si="301">J297+K297+N297+Q297+T297</f>
        <v>0</v>
      </c>
      <c r="X297" s="17">
        <f t="shared" ref="X297:X307" si="302">L297+O297+R297+U297</f>
        <v>0</v>
      </c>
      <c r="Y297" s="18">
        <f t="shared" ref="Y297:Y307" si="303">SUM(W297:X297)</f>
        <v>0</v>
      </c>
      <c r="Z297" s="19">
        <f>IF(Y$312=0,0,Y297/Y$312)</f>
        <v>0</v>
      </c>
      <c r="AA297" s="19"/>
      <c r="AB297" s="19"/>
      <c r="AC297" s="20"/>
      <c r="AE297" s="111"/>
      <c r="AF297" s="111"/>
      <c r="AG297" s="111"/>
      <c r="AH297" s="651"/>
      <c r="AI297" s="131"/>
      <c r="AK297" s="111"/>
      <c r="AL297" s="111"/>
      <c r="AM297" s="111"/>
      <c r="AN297" s="651"/>
      <c r="AO297" s="131"/>
      <c r="AQ297" s="17"/>
      <c r="AR297" s="17"/>
      <c r="AS297" s="17"/>
      <c r="AT297" s="424">
        <f>W297</f>
        <v>0</v>
      </c>
      <c r="AU297" s="19">
        <f t="shared" ref="AU297:AU306" si="304">IF(AT$312=0,0,AT297/AT$312)</f>
        <v>0</v>
      </c>
      <c r="AW297" s="17"/>
      <c r="AX297" s="17"/>
      <c r="AY297" s="17"/>
      <c r="AZ297" s="424">
        <f>X297</f>
        <v>0</v>
      </c>
      <c r="BA297" s="19">
        <f t="shared" ref="BA297:BA306" si="305">IF(AZ$312=0,0,AZ297/AZ$312)</f>
        <v>0</v>
      </c>
    </row>
    <row r="298" spans="1:53" ht="17.100000000000001" customHeight="1" x14ac:dyDescent="0.25">
      <c r="A298" s="40"/>
      <c r="B298" s="40"/>
      <c r="C298" s="74" t="s">
        <v>309</v>
      </c>
      <c r="D298" s="146" t="s">
        <v>757</v>
      </c>
      <c r="E298" s="105"/>
      <c r="F298" s="105"/>
      <c r="G298" s="105"/>
      <c r="H298" s="84"/>
      <c r="I298" s="231"/>
      <c r="J298" s="111"/>
      <c r="K298" s="111"/>
      <c r="L298" s="111"/>
      <c r="M298" s="111"/>
      <c r="N298" s="61"/>
      <c r="O298" s="61"/>
      <c r="P298" s="17">
        <f t="shared" si="298"/>
        <v>0</v>
      </c>
      <c r="Q298" s="61"/>
      <c r="R298" s="61">
        <v>7</v>
      </c>
      <c r="S298" s="17">
        <f t="shared" si="299"/>
        <v>7</v>
      </c>
      <c r="T298" s="61"/>
      <c r="U298" s="61"/>
      <c r="V298" s="17">
        <f t="shared" ref="V298:V306" si="306">SUM(T298:U298)</f>
        <v>0</v>
      </c>
      <c r="W298" s="391">
        <f t="shared" si="301"/>
        <v>0</v>
      </c>
      <c r="X298" s="17">
        <f t="shared" si="302"/>
        <v>7</v>
      </c>
      <c r="Y298" s="18">
        <f t="shared" si="303"/>
        <v>7</v>
      </c>
      <c r="Z298" s="19">
        <f t="shared" ref="Z298:Z306" si="307">IF(Y$312=0,0,Y298/Y$312)</f>
        <v>1</v>
      </c>
      <c r="AA298" s="19"/>
      <c r="AB298" s="19"/>
      <c r="AC298" s="20"/>
      <c r="AE298" s="111"/>
      <c r="AF298" s="111"/>
      <c r="AG298" s="111"/>
      <c r="AH298" s="651"/>
      <c r="AI298" s="131"/>
      <c r="AK298" s="111"/>
      <c r="AL298" s="111"/>
      <c r="AM298" s="111"/>
      <c r="AN298" s="651"/>
      <c r="AO298" s="131"/>
      <c r="AQ298" s="17"/>
      <c r="AR298" s="17"/>
      <c r="AS298" s="17"/>
      <c r="AT298" s="424">
        <f t="shared" ref="AT298:AT307" si="308">W298</f>
        <v>0</v>
      </c>
      <c r="AU298" s="19">
        <f t="shared" si="304"/>
        <v>0</v>
      </c>
      <c r="AW298" s="17"/>
      <c r="AX298" s="17"/>
      <c r="AY298" s="17"/>
      <c r="AZ298" s="424">
        <f t="shared" ref="AZ298:AZ307" si="309">X298</f>
        <v>7</v>
      </c>
      <c r="BA298" s="19">
        <f t="shared" si="305"/>
        <v>1</v>
      </c>
    </row>
    <row r="299" spans="1:53" ht="17.100000000000001" customHeight="1" x14ac:dyDescent="0.25">
      <c r="A299" s="40"/>
      <c r="B299" s="40"/>
      <c r="C299" s="74" t="s">
        <v>489</v>
      </c>
      <c r="D299" s="85" t="s">
        <v>300</v>
      </c>
      <c r="E299" s="105"/>
      <c r="F299" s="105"/>
      <c r="G299" s="105"/>
      <c r="H299" s="84"/>
      <c r="I299" s="231"/>
      <c r="J299" s="111"/>
      <c r="K299" s="111"/>
      <c r="L299" s="111"/>
      <c r="M299" s="111"/>
      <c r="N299" s="60"/>
      <c r="O299" s="60"/>
      <c r="P299" s="17">
        <f t="shared" si="298"/>
        <v>0</v>
      </c>
      <c r="Q299" s="60"/>
      <c r="R299" s="60"/>
      <c r="S299" s="17">
        <f t="shared" si="299"/>
        <v>0</v>
      </c>
      <c r="T299" s="60"/>
      <c r="U299" s="60"/>
      <c r="V299" s="17">
        <f t="shared" si="306"/>
        <v>0</v>
      </c>
      <c r="W299" s="391">
        <f t="shared" si="301"/>
        <v>0</v>
      </c>
      <c r="X299" s="17">
        <f t="shared" si="302"/>
        <v>0</v>
      </c>
      <c r="Y299" s="18">
        <f t="shared" si="303"/>
        <v>0</v>
      </c>
      <c r="Z299" s="19">
        <f t="shared" si="307"/>
        <v>0</v>
      </c>
      <c r="AA299" s="19"/>
      <c r="AB299" s="19"/>
      <c r="AC299" s="20"/>
      <c r="AE299" s="111"/>
      <c r="AF299" s="111"/>
      <c r="AG299" s="111"/>
      <c r="AH299" s="651"/>
      <c r="AI299" s="131"/>
      <c r="AK299" s="111"/>
      <c r="AL299" s="111"/>
      <c r="AM299" s="111"/>
      <c r="AN299" s="651"/>
      <c r="AO299" s="131"/>
      <c r="AQ299" s="17"/>
      <c r="AR299" s="17"/>
      <c r="AS299" s="17"/>
      <c r="AT299" s="424">
        <f t="shared" si="308"/>
        <v>0</v>
      </c>
      <c r="AU299" s="19">
        <f t="shared" si="304"/>
        <v>0</v>
      </c>
      <c r="AW299" s="17"/>
      <c r="AX299" s="17"/>
      <c r="AY299" s="17"/>
      <c r="AZ299" s="424">
        <f t="shared" si="309"/>
        <v>0</v>
      </c>
      <c r="BA299" s="19">
        <f t="shared" si="305"/>
        <v>0</v>
      </c>
    </row>
    <row r="300" spans="1:53" ht="17.100000000000001" customHeight="1" x14ac:dyDescent="0.25">
      <c r="A300" s="40"/>
      <c r="B300" s="40"/>
      <c r="C300" s="74" t="s">
        <v>621</v>
      </c>
      <c r="D300" s="85" t="s">
        <v>670</v>
      </c>
      <c r="E300" s="105"/>
      <c r="F300" s="105"/>
      <c r="G300" s="105"/>
      <c r="H300" s="84"/>
      <c r="I300" s="231"/>
      <c r="J300" s="111"/>
      <c r="K300" s="111"/>
      <c r="L300" s="111"/>
      <c r="M300" s="111"/>
      <c r="N300" s="61"/>
      <c r="O300" s="61"/>
      <c r="P300" s="17">
        <f t="shared" si="298"/>
        <v>0</v>
      </c>
      <c r="Q300" s="61"/>
      <c r="R300" s="61"/>
      <c r="S300" s="17">
        <f t="shared" si="299"/>
        <v>0</v>
      </c>
      <c r="T300" s="61"/>
      <c r="U300" s="61"/>
      <c r="V300" s="17">
        <f t="shared" si="306"/>
        <v>0</v>
      </c>
      <c r="W300" s="391">
        <f t="shared" si="301"/>
        <v>0</v>
      </c>
      <c r="X300" s="17">
        <f t="shared" si="302"/>
        <v>0</v>
      </c>
      <c r="Y300" s="18">
        <f t="shared" si="303"/>
        <v>0</v>
      </c>
      <c r="Z300" s="19">
        <f t="shared" si="307"/>
        <v>0</v>
      </c>
      <c r="AA300" s="19"/>
      <c r="AB300" s="19"/>
      <c r="AC300" s="20"/>
      <c r="AE300" s="111"/>
      <c r="AF300" s="111"/>
      <c r="AG300" s="111"/>
      <c r="AH300" s="651"/>
      <c r="AI300" s="131"/>
      <c r="AK300" s="111"/>
      <c r="AL300" s="111"/>
      <c r="AM300" s="111"/>
      <c r="AN300" s="651"/>
      <c r="AO300" s="131"/>
      <c r="AQ300" s="17"/>
      <c r="AR300" s="17"/>
      <c r="AS300" s="17"/>
      <c r="AT300" s="424">
        <f t="shared" si="308"/>
        <v>0</v>
      </c>
      <c r="AU300" s="19">
        <f t="shared" si="304"/>
        <v>0</v>
      </c>
      <c r="AW300" s="17"/>
      <c r="AX300" s="17"/>
      <c r="AY300" s="17"/>
      <c r="AZ300" s="424">
        <f t="shared" si="309"/>
        <v>0</v>
      </c>
      <c r="BA300" s="19">
        <f t="shared" si="305"/>
        <v>0</v>
      </c>
    </row>
    <row r="301" spans="1:53" ht="17.100000000000001" customHeight="1" x14ac:dyDescent="0.25">
      <c r="A301" s="40"/>
      <c r="B301" s="40"/>
      <c r="C301" s="74" t="s">
        <v>622</v>
      </c>
      <c r="D301" s="85" t="s">
        <v>671</v>
      </c>
      <c r="E301" s="75"/>
      <c r="F301" s="75"/>
      <c r="G301" s="75"/>
      <c r="H301" s="23"/>
      <c r="I301" s="229"/>
      <c r="J301" s="111"/>
      <c r="K301" s="111"/>
      <c r="L301" s="111"/>
      <c r="M301" s="111"/>
      <c r="N301" s="60"/>
      <c r="O301" s="60"/>
      <c r="P301" s="17">
        <f t="shared" si="298"/>
        <v>0</v>
      </c>
      <c r="Q301" s="60"/>
      <c r="R301" s="60"/>
      <c r="S301" s="17">
        <f t="shared" si="299"/>
        <v>0</v>
      </c>
      <c r="T301" s="60"/>
      <c r="U301" s="60"/>
      <c r="V301" s="17">
        <f t="shared" si="306"/>
        <v>0</v>
      </c>
      <c r="W301" s="391">
        <f t="shared" si="301"/>
        <v>0</v>
      </c>
      <c r="X301" s="17">
        <f t="shared" si="302"/>
        <v>0</v>
      </c>
      <c r="Y301" s="18">
        <f t="shared" si="303"/>
        <v>0</v>
      </c>
      <c r="Z301" s="19">
        <f t="shared" si="307"/>
        <v>0</v>
      </c>
      <c r="AA301" s="19"/>
      <c r="AB301" s="19"/>
      <c r="AC301" s="20"/>
      <c r="AE301" s="111"/>
      <c r="AF301" s="111"/>
      <c r="AG301" s="111"/>
      <c r="AH301" s="651"/>
      <c r="AI301" s="131"/>
      <c r="AK301" s="111"/>
      <c r="AL301" s="111"/>
      <c r="AM301" s="111"/>
      <c r="AN301" s="651"/>
      <c r="AO301" s="131"/>
      <c r="AQ301" s="17"/>
      <c r="AR301" s="17"/>
      <c r="AS301" s="17"/>
      <c r="AT301" s="424">
        <f t="shared" si="308"/>
        <v>0</v>
      </c>
      <c r="AU301" s="19">
        <f t="shared" si="304"/>
        <v>0</v>
      </c>
      <c r="AW301" s="17"/>
      <c r="AX301" s="17"/>
      <c r="AY301" s="17"/>
      <c r="AZ301" s="424">
        <f t="shared" si="309"/>
        <v>0</v>
      </c>
      <c r="BA301" s="19">
        <f t="shared" si="305"/>
        <v>0</v>
      </c>
    </row>
    <row r="302" spans="1:53" ht="17.100000000000001" customHeight="1" x14ac:dyDescent="0.25">
      <c r="A302" s="40"/>
      <c r="B302" s="40"/>
      <c r="C302" s="74" t="s">
        <v>623</v>
      </c>
      <c r="D302" s="85" t="s">
        <v>302</v>
      </c>
      <c r="E302" s="649"/>
      <c r="F302" s="105"/>
      <c r="G302" s="105"/>
      <c r="H302" s="84"/>
      <c r="I302" s="231"/>
      <c r="J302" s="111"/>
      <c r="K302" s="111"/>
      <c r="L302" s="111"/>
      <c r="M302" s="111"/>
      <c r="N302" s="61"/>
      <c r="O302" s="61"/>
      <c r="P302" s="17">
        <f t="shared" si="298"/>
        <v>0</v>
      </c>
      <c r="Q302" s="61"/>
      <c r="R302" s="61"/>
      <c r="S302" s="17">
        <f t="shared" si="299"/>
        <v>0</v>
      </c>
      <c r="T302" s="61"/>
      <c r="U302" s="61"/>
      <c r="V302" s="17">
        <f t="shared" si="306"/>
        <v>0</v>
      </c>
      <c r="W302" s="391">
        <f t="shared" si="301"/>
        <v>0</v>
      </c>
      <c r="X302" s="17">
        <f t="shared" si="302"/>
        <v>0</v>
      </c>
      <c r="Y302" s="18">
        <f t="shared" si="303"/>
        <v>0</v>
      </c>
      <c r="Z302" s="19">
        <f t="shared" si="307"/>
        <v>0</v>
      </c>
      <c r="AA302" s="19"/>
      <c r="AB302" s="19"/>
      <c r="AC302" s="20"/>
      <c r="AE302" s="111"/>
      <c r="AF302" s="111"/>
      <c r="AG302" s="111"/>
      <c r="AH302" s="651"/>
      <c r="AI302" s="131"/>
      <c r="AK302" s="111"/>
      <c r="AL302" s="111"/>
      <c r="AM302" s="111"/>
      <c r="AN302" s="651"/>
      <c r="AO302" s="131"/>
      <c r="AQ302" s="17"/>
      <c r="AR302" s="17"/>
      <c r="AS302" s="17"/>
      <c r="AT302" s="424">
        <f t="shared" si="308"/>
        <v>0</v>
      </c>
      <c r="AU302" s="19">
        <f t="shared" si="304"/>
        <v>0</v>
      </c>
      <c r="AW302" s="17"/>
      <c r="AX302" s="17"/>
      <c r="AY302" s="17"/>
      <c r="AZ302" s="424">
        <f t="shared" si="309"/>
        <v>0</v>
      </c>
      <c r="BA302" s="19">
        <f t="shared" si="305"/>
        <v>0</v>
      </c>
    </row>
    <row r="303" spans="1:53" ht="17.100000000000001" customHeight="1" x14ac:dyDescent="0.25">
      <c r="A303" s="40"/>
      <c r="B303" s="40"/>
      <c r="C303" s="74" t="s">
        <v>624</v>
      </c>
      <c r="D303" s="85" t="s">
        <v>487</v>
      </c>
      <c r="E303" s="649"/>
      <c r="F303" s="105"/>
      <c r="G303" s="105"/>
      <c r="H303" s="84"/>
      <c r="I303" s="231"/>
      <c r="J303" s="111"/>
      <c r="K303" s="111"/>
      <c r="L303" s="111"/>
      <c r="M303" s="111"/>
      <c r="N303" s="60"/>
      <c r="O303" s="60"/>
      <c r="P303" s="17">
        <f t="shared" si="298"/>
        <v>0</v>
      </c>
      <c r="Q303" s="60"/>
      <c r="R303" s="60"/>
      <c r="S303" s="17">
        <f t="shared" si="299"/>
        <v>0</v>
      </c>
      <c r="T303" s="60"/>
      <c r="U303" s="60"/>
      <c r="V303" s="17">
        <f t="shared" si="306"/>
        <v>0</v>
      </c>
      <c r="W303" s="391">
        <f t="shared" si="301"/>
        <v>0</v>
      </c>
      <c r="X303" s="17">
        <f t="shared" si="302"/>
        <v>0</v>
      </c>
      <c r="Y303" s="18">
        <f t="shared" si="303"/>
        <v>0</v>
      </c>
      <c r="Z303" s="19">
        <f t="shared" si="307"/>
        <v>0</v>
      </c>
      <c r="AA303" s="19"/>
      <c r="AB303" s="19"/>
      <c r="AC303" s="20"/>
      <c r="AE303" s="111"/>
      <c r="AF303" s="111"/>
      <c r="AG303" s="111"/>
      <c r="AH303" s="651"/>
      <c r="AI303" s="131"/>
      <c r="AK303" s="111"/>
      <c r="AL303" s="111"/>
      <c r="AM303" s="111"/>
      <c r="AN303" s="651"/>
      <c r="AO303" s="131"/>
      <c r="AQ303" s="17"/>
      <c r="AR303" s="17"/>
      <c r="AS303" s="17"/>
      <c r="AT303" s="424">
        <f t="shared" si="308"/>
        <v>0</v>
      </c>
      <c r="AU303" s="19">
        <f t="shared" si="304"/>
        <v>0</v>
      </c>
      <c r="AW303" s="17"/>
      <c r="AX303" s="17"/>
      <c r="AY303" s="17"/>
      <c r="AZ303" s="424">
        <f t="shared" si="309"/>
        <v>0</v>
      </c>
      <c r="BA303" s="19">
        <f t="shared" si="305"/>
        <v>0</v>
      </c>
    </row>
    <row r="304" spans="1:53" ht="17.100000000000001" customHeight="1" x14ac:dyDescent="0.25">
      <c r="A304" s="40"/>
      <c r="B304" s="40"/>
      <c r="C304" s="74" t="s">
        <v>625</v>
      </c>
      <c r="D304" s="85" t="s">
        <v>488</v>
      </c>
      <c r="E304" s="649"/>
      <c r="F304" s="105"/>
      <c r="G304" s="105"/>
      <c r="H304" s="84"/>
      <c r="I304" s="231"/>
      <c r="J304" s="111"/>
      <c r="K304" s="111"/>
      <c r="L304" s="111"/>
      <c r="M304" s="111"/>
      <c r="N304" s="61"/>
      <c r="O304" s="61"/>
      <c r="P304" s="17">
        <f t="shared" si="298"/>
        <v>0</v>
      </c>
      <c r="Q304" s="61"/>
      <c r="R304" s="61"/>
      <c r="S304" s="17">
        <f t="shared" si="299"/>
        <v>0</v>
      </c>
      <c r="T304" s="61"/>
      <c r="U304" s="61"/>
      <c r="V304" s="17">
        <f t="shared" si="306"/>
        <v>0</v>
      </c>
      <c r="W304" s="391">
        <f t="shared" si="301"/>
        <v>0</v>
      </c>
      <c r="X304" s="17">
        <f t="shared" si="302"/>
        <v>0</v>
      </c>
      <c r="Y304" s="18">
        <f t="shared" si="303"/>
        <v>0</v>
      </c>
      <c r="Z304" s="19">
        <f t="shared" si="307"/>
        <v>0</v>
      </c>
      <c r="AA304" s="19"/>
      <c r="AB304" s="19"/>
      <c r="AC304" s="20"/>
      <c r="AE304" s="111"/>
      <c r="AF304" s="111"/>
      <c r="AG304" s="111"/>
      <c r="AH304" s="651"/>
      <c r="AI304" s="131"/>
      <c r="AK304" s="111"/>
      <c r="AL304" s="111"/>
      <c r="AM304" s="111"/>
      <c r="AN304" s="651"/>
      <c r="AO304" s="131"/>
      <c r="AQ304" s="17"/>
      <c r="AR304" s="17"/>
      <c r="AS304" s="17"/>
      <c r="AT304" s="424">
        <f t="shared" si="308"/>
        <v>0</v>
      </c>
      <c r="AU304" s="19">
        <f t="shared" si="304"/>
        <v>0</v>
      </c>
      <c r="AW304" s="17"/>
      <c r="AX304" s="17"/>
      <c r="AY304" s="17"/>
      <c r="AZ304" s="424">
        <f t="shared" si="309"/>
        <v>0</v>
      </c>
      <c r="BA304" s="19">
        <f t="shared" si="305"/>
        <v>0</v>
      </c>
    </row>
    <row r="305" spans="1:53" ht="17.100000000000001" customHeight="1" x14ac:dyDescent="0.25">
      <c r="A305" s="40"/>
      <c r="B305" s="40"/>
      <c r="C305" s="74" t="s">
        <v>668</v>
      </c>
      <c r="D305" s="85" t="s">
        <v>304</v>
      </c>
      <c r="E305" s="649"/>
      <c r="F305" s="105"/>
      <c r="G305" s="105"/>
      <c r="H305" s="84"/>
      <c r="I305" s="231"/>
      <c r="J305" s="111"/>
      <c r="K305" s="111"/>
      <c r="L305" s="111"/>
      <c r="M305" s="111"/>
      <c r="N305" s="60"/>
      <c r="O305" s="60"/>
      <c r="P305" s="17">
        <f t="shared" si="298"/>
        <v>0</v>
      </c>
      <c r="Q305" s="60"/>
      <c r="R305" s="60"/>
      <c r="S305" s="17">
        <f t="shared" si="299"/>
        <v>0</v>
      </c>
      <c r="T305" s="60"/>
      <c r="U305" s="60"/>
      <c r="V305" s="17">
        <f t="shared" si="306"/>
        <v>0</v>
      </c>
      <c r="W305" s="391">
        <f t="shared" si="301"/>
        <v>0</v>
      </c>
      <c r="X305" s="17">
        <f t="shared" si="302"/>
        <v>0</v>
      </c>
      <c r="Y305" s="18">
        <f t="shared" si="303"/>
        <v>0</v>
      </c>
      <c r="Z305" s="19">
        <f t="shared" si="307"/>
        <v>0</v>
      </c>
      <c r="AA305" s="19"/>
      <c r="AB305" s="19"/>
      <c r="AC305" s="20"/>
      <c r="AE305" s="111"/>
      <c r="AF305" s="111"/>
      <c r="AG305" s="111"/>
      <c r="AH305" s="651"/>
      <c r="AI305" s="131"/>
      <c r="AK305" s="111"/>
      <c r="AL305" s="111"/>
      <c r="AM305" s="111"/>
      <c r="AN305" s="651"/>
      <c r="AO305" s="131"/>
      <c r="AQ305" s="17"/>
      <c r="AR305" s="17"/>
      <c r="AS305" s="17"/>
      <c r="AT305" s="424">
        <f t="shared" si="308"/>
        <v>0</v>
      </c>
      <c r="AU305" s="19">
        <f t="shared" si="304"/>
        <v>0</v>
      </c>
      <c r="AW305" s="17"/>
      <c r="AX305" s="17"/>
      <c r="AY305" s="17"/>
      <c r="AZ305" s="424">
        <f t="shared" si="309"/>
        <v>0</v>
      </c>
      <c r="BA305" s="19">
        <f t="shared" si="305"/>
        <v>0</v>
      </c>
    </row>
    <row r="306" spans="1:53" ht="17.100000000000001" customHeight="1" x14ac:dyDescent="0.25">
      <c r="A306" s="40"/>
      <c r="B306" s="40"/>
      <c r="C306" s="74" t="s">
        <v>669</v>
      </c>
      <c r="D306" s="85" t="s">
        <v>758</v>
      </c>
      <c r="E306" s="649"/>
      <c r="F306" s="105"/>
      <c r="G306" s="105"/>
      <c r="H306" s="84"/>
      <c r="I306" s="231"/>
      <c r="J306" s="111"/>
      <c r="K306" s="111"/>
      <c r="L306" s="111"/>
      <c r="M306" s="111"/>
      <c r="N306" s="61"/>
      <c r="O306" s="61"/>
      <c r="P306" s="17">
        <f t="shared" si="298"/>
        <v>0</v>
      </c>
      <c r="Q306" s="61"/>
      <c r="R306" s="61"/>
      <c r="S306" s="17">
        <f t="shared" si="299"/>
        <v>0</v>
      </c>
      <c r="T306" s="61"/>
      <c r="U306" s="61"/>
      <c r="V306" s="17">
        <f t="shared" si="306"/>
        <v>0</v>
      </c>
      <c r="W306" s="391">
        <f t="shared" si="301"/>
        <v>0</v>
      </c>
      <c r="X306" s="17">
        <f t="shared" si="302"/>
        <v>0</v>
      </c>
      <c r="Y306" s="18">
        <f t="shared" si="303"/>
        <v>0</v>
      </c>
      <c r="Z306" s="19">
        <f t="shared" si="307"/>
        <v>0</v>
      </c>
      <c r="AA306" s="19"/>
      <c r="AB306" s="19"/>
      <c r="AC306" s="20"/>
      <c r="AE306" s="111"/>
      <c r="AF306" s="111"/>
      <c r="AG306" s="111"/>
      <c r="AH306" s="651"/>
      <c r="AI306" s="131"/>
      <c r="AK306" s="111"/>
      <c r="AL306" s="111"/>
      <c r="AM306" s="111"/>
      <c r="AN306" s="651"/>
      <c r="AO306" s="131"/>
      <c r="AQ306" s="17"/>
      <c r="AR306" s="17"/>
      <c r="AS306" s="17"/>
      <c r="AT306" s="424">
        <f t="shared" si="308"/>
        <v>0</v>
      </c>
      <c r="AU306" s="19">
        <f t="shared" si="304"/>
        <v>0</v>
      </c>
      <c r="AW306" s="17"/>
      <c r="AX306" s="17"/>
      <c r="AY306" s="17"/>
      <c r="AZ306" s="424">
        <f t="shared" si="309"/>
        <v>0</v>
      </c>
      <c r="BA306" s="19">
        <f t="shared" si="305"/>
        <v>0</v>
      </c>
    </row>
    <row r="307" spans="1:53" ht="17.100000000000001" customHeight="1" x14ac:dyDescent="0.25">
      <c r="A307" s="40"/>
      <c r="B307" s="40"/>
      <c r="C307" s="74" t="s">
        <v>756</v>
      </c>
      <c r="D307" s="85" t="s">
        <v>305</v>
      </c>
      <c r="E307" s="649"/>
      <c r="F307" s="105"/>
      <c r="G307" s="105"/>
      <c r="H307" s="84"/>
      <c r="I307" s="231"/>
      <c r="J307" s="111"/>
      <c r="K307" s="111"/>
      <c r="L307" s="111"/>
      <c r="M307" s="111"/>
      <c r="N307" s="111">
        <f t="shared" ref="N307:U307" si="310">SUM(N308:N311)</f>
        <v>0</v>
      </c>
      <c r="O307" s="111">
        <f t="shared" si="310"/>
        <v>0</v>
      </c>
      <c r="P307" s="111">
        <f t="shared" si="298"/>
        <v>0</v>
      </c>
      <c r="Q307" s="111">
        <f t="shared" si="310"/>
        <v>0</v>
      </c>
      <c r="R307" s="111">
        <f t="shared" si="310"/>
        <v>0</v>
      </c>
      <c r="S307" s="111">
        <f t="shared" si="299"/>
        <v>0</v>
      </c>
      <c r="T307" s="111">
        <f t="shared" si="310"/>
        <v>0</v>
      </c>
      <c r="U307" s="111">
        <f t="shared" si="310"/>
        <v>0</v>
      </c>
      <c r="V307" s="358">
        <f t="shared" si="300"/>
        <v>0</v>
      </c>
      <c r="W307" s="380">
        <f t="shared" si="301"/>
        <v>0</v>
      </c>
      <c r="X307" s="111">
        <f t="shared" si="302"/>
        <v>0</v>
      </c>
      <c r="Y307" s="651">
        <f t="shared" si="303"/>
        <v>0</v>
      </c>
      <c r="Z307" s="131">
        <f>IF(Y$312=0,0,Y307/Y$312)</f>
        <v>0</v>
      </c>
      <c r="AA307" s="131"/>
      <c r="AB307" s="131"/>
      <c r="AC307" s="113"/>
      <c r="AE307" s="111"/>
      <c r="AF307" s="111"/>
      <c r="AG307" s="111"/>
      <c r="AH307" s="651"/>
      <c r="AI307" s="131"/>
      <c r="AK307" s="111"/>
      <c r="AL307" s="111"/>
      <c r="AM307" s="111"/>
      <c r="AN307" s="651"/>
      <c r="AO307" s="131"/>
      <c r="AQ307" s="111"/>
      <c r="AR307" s="111"/>
      <c r="AS307" s="111"/>
      <c r="AT307" s="111">
        <f t="shared" si="308"/>
        <v>0</v>
      </c>
      <c r="AU307" s="131">
        <f>IF(AT$312=0,0,AT307/AT$312)</f>
        <v>0</v>
      </c>
      <c r="AW307" s="111"/>
      <c r="AX307" s="111"/>
      <c r="AY307" s="111"/>
      <c r="AZ307" s="111">
        <f t="shared" si="309"/>
        <v>0</v>
      </c>
      <c r="BA307" s="131">
        <f>IF(AZ$312=0,0,AZ307/AZ$312)</f>
        <v>0</v>
      </c>
    </row>
    <row r="308" spans="1:53" ht="17.100000000000001" customHeight="1" x14ac:dyDescent="0.25">
      <c r="A308" s="40"/>
      <c r="B308" s="40"/>
      <c r="C308" s="74"/>
      <c r="D308" s="298"/>
      <c r="E308" s="295"/>
      <c r="F308" s="295"/>
      <c r="G308" s="295"/>
      <c r="H308" s="198"/>
      <c r="I308" s="642"/>
      <c r="J308" s="111"/>
      <c r="K308" s="111"/>
      <c r="L308" s="111"/>
      <c r="M308" s="111"/>
      <c r="N308" s="60"/>
      <c r="O308" s="60"/>
      <c r="P308" s="17"/>
      <c r="Q308" s="60"/>
      <c r="R308" s="60"/>
      <c r="S308" s="17"/>
      <c r="T308" s="60"/>
      <c r="U308" s="60"/>
      <c r="V308" s="359"/>
      <c r="W308" s="391"/>
      <c r="X308" s="17"/>
      <c r="Y308" s="17"/>
      <c r="Z308" s="19"/>
      <c r="AA308" s="20"/>
      <c r="AB308" s="20"/>
      <c r="AC308" s="20"/>
      <c r="AE308" s="111"/>
      <c r="AF308" s="111"/>
      <c r="AG308" s="114"/>
      <c r="AH308" s="113"/>
      <c r="AI308" s="113"/>
      <c r="AK308" s="111"/>
      <c r="AL308" s="111"/>
      <c r="AM308" s="114"/>
      <c r="AN308" s="113"/>
      <c r="AO308" s="113"/>
      <c r="AQ308" s="17"/>
      <c r="AR308" s="17"/>
      <c r="AS308" s="306"/>
      <c r="AT308" s="20"/>
      <c r="AU308" s="20"/>
      <c r="AW308" s="17"/>
      <c r="AX308" s="17"/>
      <c r="AY308" s="306"/>
      <c r="AZ308" s="20"/>
      <c r="BA308" s="20"/>
    </row>
    <row r="309" spans="1:53" ht="17.100000000000001" customHeight="1" x14ac:dyDescent="0.25">
      <c r="A309" s="40"/>
      <c r="B309" s="40"/>
      <c r="C309" s="74"/>
      <c r="D309" s="296"/>
      <c r="E309" s="297"/>
      <c r="F309" s="297"/>
      <c r="G309" s="297"/>
      <c r="H309" s="198"/>
      <c r="I309" s="642"/>
      <c r="J309" s="111"/>
      <c r="K309" s="111"/>
      <c r="L309" s="111"/>
      <c r="M309" s="111"/>
      <c r="N309" s="61"/>
      <c r="O309" s="61"/>
      <c r="P309" s="17"/>
      <c r="Q309" s="61"/>
      <c r="R309" s="61"/>
      <c r="S309" s="17"/>
      <c r="T309" s="61"/>
      <c r="U309" s="61"/>
      <c r="V309" s="359"/>
      <c r="W309" s="391"/>
      <c r="X309" s="17"/>
      <c r="Y309" s="17"/>
      <c r="Z309" s="19"/>
      <c r="AA309" s="20"/>
      <c r="AB309" s="20"/>
      <c r="AC309" s="20"/>
      <c r="AE309" s="111"/>
      <c r="AF309" s="111"/>
      <c r="AG309" s="114"/>
      <c r="AH309" s="113"/>
      <c r="AI309" s="113"/>
      <c r="AK309" s="111"/>
      <c r="AL309" s="111"/>
      <c r="AM309" s="114"/>
      <c r="AN309" s="113"/>
      <c r="AO309" s="113"/>
      <c r="AQ309" s="17"/>
      <c r="AR309" s="17"/>
      <c r="AS309" s="306"/>
      <c r="AT309" s="20"/>
      <c r="AU309" s="20"/>
      <c r="AW309" s="17"/>
      <c r="AX309" s="17"/>
      <c r="AY309" s="306"/>
      <c r="AZ309" s="20"/>
      <c r="BA309" s="20"/>
    </row>
    <row r="310" spans="1:53" ht="17.100000000000001" customHeight="1" x14ac:dyDescent="0.25">
      <c r="A310" s="40"/>
      <c r="B310" s="40"/>
      <c r="C310" s="74"/>
      <c r="D310" s="298"/>
      <c r="E310" s="295"/>
      <c r="F310" s="295"/>
      <c r="G310" s="295"/>
      <c r="H310" s="198"/>
      <c r="I310" s="642"/>
      <c r="J310" s="111"/>
      <c r="K310" s="111"/>
      <c r="L310" s="111"/>
      <c r="M310" s="111"/>
      <c r="N310" s="60"/>
      <c r="O310" s="60"/>
      <c r="P310" s="17"/>
      <c r="Q310" s="60"/>
      <c r="R310" s="60"/>
      <c r="S310" s="17"/>
      <c r="T310" s="60"/>
      <c r="U310" s="60"/>
      <c r="V310" s="359"/>
      <c r="W310" s="391"/>
      <c r="X310" s="17"/>
      <c r="Y310" s="17"/>
      <c r="Z310" s="19"/>
      <c r="AA310" s="20"/>
      <c r="AB310" s="20"/>
      <c r="AC310" s="20"/>
      <c r="AE310" s="111"/>
      <c r="AF310" s="111"/>
      <c r="AG310" s="114"/>
      <c r="AH310" s="113"/>
      <c r="AI310" s="113"/>
      <c r="AK310" s="111"/>
      <c r="AL310" s="111"/>
      <c r="AM310" s="114"/>
      <c r="AN310" s="113"/>
      <c r="AO310" s="113"/>
      <c r="AQ310" s="17"/>
      <c r="AR310" s="17"/>
      <c r="AS310" s="306"/>
      <c r="AT310" s="20"/>
      <c r="AU310" s="20"/>
      <c r="AW310" s="17"/>
      <c r="AX310" s="17"/>
      <c r="AY310" s="306"/>
      <c r="AZ310" s="20"/>
      <c r="BA310" s="20"/>
    </row>
    <row r="311" spans="1:53" ht="17.100000000000001" customHeight="1" x14ac:dyDescent="0.25">
      <c r="A311" s="40"/>
      <c r="B311" s="40"/>
      <c r="C311" s="74"/>
      <c r="D311" s="296"/>
      <c r="E311" s="297"/>
      <c r="F311" s="297"/>
      <c r="G311" s="297"/>
      <c r="H311" s="198"/>
      <c r="I311" s="642"/>
      <c r="J311" s="111"/>
      <c r="K311" s="111"/>
      <c r="L311" s="111"/>
      <c r="M311" s="111"/>
      <c r="N311" s="61"/>
      <c r="O311" s="61"/>
      <c r="P311" s="17"/>
      <c r="Q311" s="61"/>
      <c r="R311" s="61"/>
      <c r="S311" s="17"/>
      <c r="T311" s="61"/>
      <c r="U311" s="61"/>
      <c r="V311" s="359"/>
      <c r="W311" s="391"/>
      <c r="X311" s="17"/>
      <c r="Y311" s="17"/>
      <c r="Z311" s="19"/>
      <c r="AA311" s="20"/>
      <c r="AB311" s="20"/>
      <c r="AC311" s="20"/>
      <c r="AE311" s="111"/>
      <c r="AF311" s="111"/>
      <c r="AG311" s="114"/>
      <c r="AH311" s="113"/>
      <c r="AI311" s="113"/>
      <c r="AK311" s="111"/>
      <c r="AL311" s="111"/>
      <c r="AM311" s="114"/>
      <c r="AN311" s="113"/>
      <c r="AO311" s="113"/>
      <c r="AQ311" s="17"/>
      <c r="AR311" s="17"/>
      <c r="AS311" s="306"/>
      <c r="AT311" s="20"/>
      <c r="AU311" s="20"/>
      <c r="AW311" s="17"/>
      <c r="AX311" s="17"/>
      <c r="AY311" s="306"/>
      <c r="AZ311" s="20"/>
      <c r="BA311" s="20"/>
    </row>
    <row r="312" spans="1:53" ht="17.100000000000001" customHeight="1" x14ac:dyDescent="0.25">
      <c r="A312" s="40"/>
      <c r="B312" s="40"/>
      <c r="C312" s="292"/>
      <c r="D312" s="144"/>
      <c r="E312" s="144"/>
      <c r="F312" s="145"/>
      <c r="G312" s="145"/>
      <c r="H312" s="119"/>
      <c r="I312" s="236"/>
      <c r="J312" s="80"/>
      <c r="K312" s="80"/>
      <c r="L312" s="81"/>
      <c r="M312" s="81"/>
      <c r="N312" s="81">
        <f>SUM(N297:N307)</f>
        <v>0</v>
      </c>
      <c r="O312" s="81">
        <f t="shared" ref="O312:V312" si="311">SUM(O297:O307)</f>
        <v>0</v>
      </c>
      <c r="P312" s="81">
        <f t="shared" si="311"/>
        <v>0</v>
      </c>
      <c r="Q312" s="81">
        <f t="shared" si="311"/>
        <v>0</v>
      </c>
      <c r="R312" s="81">
        <f t="shared" si="311"/>
        <v>7</v>
      </c>
      <c r="S312" s="81">
        <f t="shared" si="311"/>
        <v>7</v>
      </c>
      <c r="T312" s="81">
        <f t="shared" si="311"/>
        <v>0</v>
      </c>
      <c r="U312" s="81">
        <f t="shared" si="311"/>
        <v>0</v>
      </c>
      <c r="V312" s="356">
        <f t="shared" si="311"/>
        <v>0</v>
      </c>
      <c r="W312" s="381">
        <f>SUM(W297:W307)</f>
        <v>0</v>
      </c>
      <c r="X312" s="82">
        <f t="shared" ref="X312:Y312" si="312">SUM(X297:X307)</f>
        <v>7</v>
      </c>
      <c r="Y312" s="82">
        <f t="shared" si="312"/>
        <v>7</v>
      </c>
      <c r="Z312" s="66">
        <f>IF(Y$312=0,0,Y312/Y$312)</f>
        <v>1</v>
      </c>
      <c r="AA312" s="205"/>
      <c r="AB312" s="205"/>
      <c r="AC312" s="83"/>
      <c r="AE312" s="81"/>
      <c r="AF312" s="81"/>
      <c r="AG312" s="82"/>
      <c r="AH312" s="82"/>
      <c r="AI312" s="66"/>
      <c r="AK312" s="81"/>
      <c r="AL312" s="81"/>
      <c r="AM312" s="82"/>
      <c r="AN312" s="82"/>
      <c r="AO312" s="66"/>
      <c r="AQ312" s="81"/>
      <c r="AR312" s="81"/>
      <c r="AS312" s="82"/>
      <c r="AT312" s="81">
        <f>SUM(AT297:AT307)</f>
        <v>0</v>
      </c>
      <c r="AU312" s="66">
        <f t="shared" ref="AU312" si="313">IF(AT$312=0,0,AT312/AT$312)</f>
        <v>0</v>
      </c>
      <c r="AW312" s="81"/>
      <c r="AX312" s="81"/>
      <c r="AY312" s="82"/>
      <c r="AZ312" s="81">
        <f>SUM(AZ297:AZ307)</f>
        <v>7</v>
      </c>
      <c r="BA312" s="66">
        <f t="shared" ref="BA312" si="314">IF(AZ$312=0,0,AZ312/AZ$312)</f>
        <v>1</v>
      </c>
    </row>
    <row r="313" spans="1:53" s="117" customFormat="1" ht="17.100000000000001" customHeight="1" x14ac:dyDescent="0.25">
      <c r="A313" s="68"/>
      <c r="B313" s="119"/>
      <c r="C313" s="647"/>
      <c r="D313" s="261"/>
      <c r="E313" s="261"/>
      <c r="F313" s="68"/>
      <c r="G313" s="68"/>
      <c r="H313" s="119"/>
      <c r="I313" s="138"/>
      <c r="J313" s="17"/>
      <c r="K313" s="17"/>
      <c r="L313" s="17"/>
      <c r="M313" s="17"/>
      <c r="N313" s="17" t="str">
        <f>IF(N312&gt;=N$20,"OK","NOK")</f>
        <v>OK</v>
      </c>
      <c r="O313" s="17" t="str">
        <f>IF(O312&gt;=O$20,"OK","NOK")</f>
        <v>OK</v>
      </c>
      <c r="P313" s="17"/>
      <c r="Q313" s="17" t="str">
        <f>IF(Q312&gt;=Q$20,"OK","NOK")</f>
        <v>OK</v>
      </c>
      <c r="R313" s="17" t="str">
        <f>IF(R312&gt;=R$20,"OK","NOK")</f>
        <v>OK</v>
      </c>
      <c r="S313" s="17"/>
      <c r="T313" s="17" t="str">
        <f>IF(T312&gt;=T$20,"OK","NOK")</f>
        <v>OK</v>
      </c>
      <c r="U313" s="17" t="str">
        <f>IF(U312&gt;=U$20,"OK","NOK")</f>
        <v>OK</v>
      </c>
      <c r="V313" s="359"/>
      <c r="W313" s="382"/>
      <c r="X313" s="646"/>
      <c r="Y313" s="646"/>
      <c r="Z313" s="201"/>
      <c r="AA313" s="201"/>
      <c r="AB313" s="201"/>
      <c r="AC313" s="84"/>
      <c r="AE313" s="46"/>
      <c r="AF313" s="46"/>
      <c r="AG313" s="17"/>
      <c r="AH313" s="646"/>
      <c r="AI313" s="91"/>
      <c r="AK313" s="46"/>
      <c r="AL313" s="46"/>
      <c r="AM313" s="17"/>
      <c r="AN313" s="646"/>
      <c r="AO313" s="91"/>
      <c r="AQ313" s="46"/>
      <c r="AR313" s="46"/>
      <c r="AS313" s="17"/>
      <c r="AT313" s="646"/>
      <c r="AU313" s="91"/>
      <c r="AW313" s="46"/>
      <c r="AX313" s="46"/>
      <c r="AY313" s="17"/>
      <c r="AZ313" s="646"/>
      <c r="BA313" s="91"/>
    </row>
    <row r="314" spans="1:53" ht="17.100000000000001" customHeight="1" x14ac:dyDescent="0.25">
      <c r="A314" s="40"/>
      <c r="B314" s="41" t="s">
        <v>310</v>
      </c>
      <c r="C314" s="49" t="s">
        <v>307</v>
      </c>
      <c r="D314" s="43"/>
      <c r="E314" s="43"/>
      <c r="F314" s="43"/>
      <c r="G314" s="43"/>
      <c r="H314" s="23"/>
      <c r="I314" s="229"/>
      <c r="J314" s="71"/>
      <c r="K314" s="71"/>
      <c r="L314" s="71"/>
      <c r="M314" s="71"/>
      <c r="N314" s="71"/>
      <c r="O314" s="71"/>
      <c r="P314" s="71"/>
      <c r="Q314" s="71"/>
      <c r="R314" s="71"/>
      <c r="S314" s="71"/>
      <c r="T314" s="71"/>
      <c r="U314" s="71"/>
      <c r="V314" s="71"/>
      <c r="W314" s="71"/>
      <c r="X314" s="71"/>
      <c r="Y314" s="71"/>
      <c r="Z314" s="73"/>
      <c r="AA314" s="73"/>
      <c r="AB314" s="73"/>
      <c r="AC314" s="73"/>
      <c r="AE314" s="71"/>
      <c r="AF314" s="71"/>
      <c r="AG314" s="273"/>
      <c r="AH314" s="73"/>
      <c r="AI314" s="73"/>
      <c r="AK314" s="71"/>
      <c r="AL314" s="71"/>
      <c r="AM314" s="273"/>
      <c r="AN314" s="73"/>
      <c r="AO314" s="73"/>
      <c r="AQ314" s="71"/>
      <c r="AR314" s="71"/>
      <c r="AS314" s="273"/>
      <c r="AT314" s="73"/>
      <c r="AU314" s="73"/>
      <c r="AW314" s="71"/>
      <c r="AX314" s="71"/>
      <c r="AY314" s="273"/>
      <c r="AZ314" s="73"/>
      <c r="BA314" s="73"/>
    </row>
    <row r="315" spans="1:53" ht="17.100000000000001" customHeight="1" x14ac:dyDescent="0.25">
      <c r="A315" s="119"/>
      <c r="B315" s="119"/>
      <c r="C315" s="56" t="s">
        <v>311</v>
      </c>
      <c r="D315" s="146" t="s">
        <v>9</v>
      </c>
      <c r="E315" s="105"/>
      <c r="F315" s="105"/>
      <c r="G315" s="105"/>
      <c r="H315" s="119"/>
      <c r="I315" s="231"/>
      <c r="J315" s="111"/>
      <c r="K315" s="111"/>
      <c r="L315" s="111"/>
      <c r="M315" s="111"/>
      <c r="N315" s="60"/>
      <c r="O315" s="60"/>
      <c r="P315" s="17">
        <f t="shared" ref="P315:P317" si="315">SUM(N315:O315)</f>
        <v>0</v>
      </c>
      <c r="Q315" s="60"/>
      <c r="R315" s="60">
        <v>7</v>
      </c>
      <c r="S315" s="17">
        <f t="shared" ref="S315:S317" si="316">SUM(Q315:R315)</f>
        <v>7</v>
      </c>
      <c r="T315" s="60"/>
      <c r="U315" s="60"/>
      <c r="V315" s="17">
        <f t="shared" ref="V315:V317" si="317">SUM(T315:U315)</f>
        <v>0</v>
      </c>
      <c r="W315" s="391">
        <f t="shared" ref="W315:W317" si="318">J315+K315+N315+Q315+T315</f>
        <v>0</v>
      </c>
      <c r="X315" s="17">
        <f t="shared" ref="X315:X317" si="319">L315+O315+R315+U315</f>
        <v>7</v>
      </c>
      <c r="Y315" s="18">
        <f t="shared" ref="Y315:Y317" si="320">SUM(W315:X315)</f>
        <v>7</v>
      </c>
      <c r="Z315" s="19">
        <f>IF(Y$318=0,0,Y315/Y$318)</f>
        <v>1</v>
      </c>
      <c r="AA315" s="19"/>
      <c r="AB315" s="19"/>
      <c r="AC315" s="20"/>
      <c r="AE315" s="111"/>
      <c r="AF315" s="111"/>
      <c r="AG315" s="111"/>
      <c r="AH315" s="651"/>
      <c r="AI315" s="131"/>
      <c r="AK315" s="111"/>
      <c r="AL315" s="111"/>
      <c r="AM315" s="111"/>
      <c r="AN315" s="651"/>
      <c r="AO315" s="131"/>
      <c r="AQ315" s="17"/>
      <c r="AR315" s="17"/>
      <c r="AS315" s="17"/>
      <c r="AT315" s="424">
        <f>W315</f>
        <v>0</v>
      </c>
      <c r="AU315" s="19">
        <f>IF(AT$318=0,0,AT315/AT$318)</f>
        <v>0</v>
      </c>
      <c r="AW315" s="17"/>
      <c r="AX315" s="17"/>
      <c r="AY315" s="17"/>
      <c r="AZ315" s="424">
        <f>X315</f>
        <v>7</v>
      </c>
      <c r="BA315" s="19">
        <f>IF(AZ$318=0,0,AZ315/AZ$318)</f>
        <v>1</v>
      </c>
    </row>
    <row r="316" spans="1:53" ht="17.100000000000001" customHeight="1" x14ac:dyDescent="0.25">
      <c r="A316" s="119"/>
      <c r="B316" s="119"/>
      <c r="C316" s="56" t="s">
        <v>312</v>
      </c>
      <c r="D316" s="146" t="s">
        <v>11</v>
      </c>
      <c r="E316" s="105"/>
      <c r="F316" s="105"/>
      <c r="G316" s="105"/>
      <c r="H316" s="119"/>
      <c r="I316" s="231"/>
      <c r="J316" s="111"/>
      <c r="K316" s="111"/>
      <c r="L316" s="111"/>
      <c r="M316" s="111"/>
      <c r="N316" s="61"/>
      <c r="O316" s="61"/>
      <c r="P316" s="17">
        <f t="shared" si="315"/>
        <v>0</v>
      </c>
      <c r="Q316" s="61"/>
      <c r="R316" s="61"/>
      <c r="S316" s="17">
        <f t="shared" si="316"/>
        <v>0</v>
      </c>
      <c r="T316" s="61"/>
      <c r="U316" s="61"/>
      <c r="V316" s="17">
        <f t="shared" si="317"/>
        <v>0</v>
      </c>
      <c r="W316" s="391">
        <f t="shared" si="318"/>
        <v>0</v>
      </c>
      <c r="X316" s="17">
        <f t="shared" si="319"/>
        <v>0</v>
      </c>
      <c r="Y316" s="18">
        <f t="shared" si="320"/>
        <v>0</v>
      </c>
      <c r="Z316" s="19">
        <f t="shared" ref="Z316:Z318" si="321">IF(Y$318=0,0,Y316/Y$318)</f>
        <v>0</v>
      </c>
      <c r="AA316" s="19"/>
      <c r="AB316" s="19"/>
      <c r="AC316" s="20"/>
      <c r="AE316" s="111"/>
      <c r="AF316" s="111"/>
      <c r="AG316" s="111"/>
      <c r="AH316" s="651"/>
      <c r="AI316" s="131"/>
      <c r="AK316" s="111"/>
      <c r="AL316" s="111"/>
      <c r="AM316" s="111"/>
      <c r="AN316" s="651"/>
      <c r="AO316" s="131"/>
      <c r="AQ316" s="17"/>
      <c r="AR316" s="17"/>
      <c r="AS316" s="17"/>
      <c r="AT316" s="424">
        <f t="shared" ref="AT316:AT317" si="322">W316</f>
        <v>0</v>
      </c>
      <c r="AU316" s="19">
        <f t="shared" ref="AU316:AU318" si="323">IF(AT$318=0,0,AT316/AT$318)</f>
        <v>0</v>
      </c>
      <c r="AW316" s="17"/>
      <c r="AX316" s="17"/>
      <c r="AY316" s="17"/>
      <c r="AZ316" s="424">
        <f t="shared" ref="AZ316:AZ317" si="324">X316</f>
        <v>0</v>
      </c>
      <c r="BA316" s="19">
        <f t="shared" ref="BA316:BA318" si="325">IF(AZ$318=0,0,AZ316/AZ$318)</f>
        <v>0</v>
      </c>
    </row>
    <row r="317" spans="1:53" ht="17.100000000000001" customHeight="1" x14ac:dyDescent="0.25">
      <c r="A317" s="119"/>
      <c r="B317" s="119"/>
      <c r="C317" s="56" t="s">
        <v>490</v>
      </c>
      <c r="D317" s="146" t="s">
        <v>617</v>
      </c>
      <c r="E317" s="105"/>
      <c r="F317" s="105"/>
      <c r="G317" s="105"/>
      <c r="H317" s="119"/>
      <c r="I317" s="231"/>
      <c r="J317" s="111"/>
      <c r="K317" s="111"/>
      <c r="L317" s="111"/>
      <c r="M317" s="111"/>
      <c r="N317" s="60"/>
      <c r="O317" s="60"/>
      <c r="P317" s="17">
        <f t="shared" si="315"/>
        <v>0</v>
      </c>
      <c r="Q317" s="60"/>
      <c r="R317" s="60"/>
      <c r="S317" s="17">
        <f t="shared" si="316"/>
        <v>0</v>
      </c>
      <c r="T317" s="60"/>
      <c r="U317" s="60"/>
      <c r="V317" s="17">
        <f t="shared" si="317"/>
        <v>0</v>
      </c>
      <c r="W317" s="391">
        <f t="shared" si="318"/>
        <v>0</v>
      </c>
      <c r="X317" s="17">
        <f t="shared" si="319"/>
        <v>0</v>
      </c>
      <c r="Y317" s="18">
        <f t="shared" si="320"/>
        <v>0</v>
      </c>
      <c r="Z317" s="19">
        <f t="shared" si="321"/>
        <v>0</v>
      </c>
      <c r="AA317" s="19"/>
      <c r="AB317" s="19"/>
      <c r="AC317" s="20"/>
      <c r="AE317" s="111"/>
      <c r="AF317" s="111"/>
      <c r="AG317" s="111"/>
      <c r="AH317" s="651"/>
      <c r="AI317" s="131"/>
      <c r="AK317" s="111"/>
      <c r="AL317" s="111"/>
      <c r="AM317" s="111"/>
      <c r="AN317" s="651"/>
      <c r="AO317" s="131"/>
      <c r="AQ317" s="17"/>
      <c r="AR317" s="17"/>
      <c r="AS317" s="17"/>
      <c r="AT317" s="424">
        <f t="shared" si="322"/>
        <v>0</v>
      </c>
      <c r="AU317" s="19">
        <f t="shared" si="323"/>
        <v>0</v>
      </c>
      <c r="AW317" s="17"/>
      <c r="AX317" s="17"/>
      <c r="AY317" s="17"/>
      <c r="AZ317" s="424">
        <f t="shared" si="324"/>
        <v>0</v>
      </c>
      <c r="BA317" s="19">
        <f t="shared" si="325"/>
        <v>0</v>
      </c>
    </row>
    <row r="318" spans="1:53" ht="17.100000000000001" customHeight="1" x14ac:dyDescent="0.25">
      <c r="A318" s="40"/>
      <c r="B318" s="40"/>
      <c r="C318" s="292"/>
      <c r="D318" s="144"/>
      <c r="E318" s="144"/>
      <c r="F318" s="145"/>
      <c r="G318" s="145"/>
      <c r="H318" s="119"/>
      <c r="I318" s="236"/>
      <c r="J318" s="80"/>
      <c r="K318" s="80"/>
      <c r="L318" s="81"/>
      <c r="M318" s="81"/>
      <c r="N318" s="81">
        <f>SUM(N315:N317)</f>
        <v>0</v>
      </c>
      <c r="O318" s="81">
        <f t="shared" ref="O318:V318" si="326">SUM(O315:O317)</f>
        <v>0</v>
      </c>
      <c r="P318" s="81">
        <f t="shared" si="326"/>
        <v>0</v>
      </c>
      <c r="Q318" s="81">
        <f t="shared" si="326"/>
        <v>0</v>
      </c>
      <c r="R318" s="81">
        <f t="shared" si="326"/>
        <v>7</v>
      </c>
      <c r="S318" s="81">
        <f t="shared" si="326"/>
        <v>7</v>
      </c>
      <c r="T318" s="81">
        <f t="shared" si="326"/>
        <v>0</v>
      </c>
      <c r="U318" s="81">
        <f t="shared" si="326"/>
        <v>0</v>
      </c>
      <c r="V318" s="81">
        <f t="shared" si="326"/>
        <v>0</v>
      </c>
      <c r="W318" s="82">
        <f>SUM(W315:W317)</f>
        <v>0</v>
      </c>
      <c r="X318" s="82">
        <f t="shared" ref="X318:Y318" si="327">SUM(X315:X317)</f>
        <v>7</v>
      </c>
      <c r="Y318" s="82">
        <f t="shared" si="327"/>
        <v>7</v>
      </c>
      <c r="Z318" s="66">
        <f t="shared" si="321"/>
        <v>1</v>
      </c>
      <c r="AA318" s="205"/>
      <c r="AB318" s="205"/>
      <c r="AC318" s="83"/>
      <c r="AE318" s="81"/>
      <c r="AF318" s="81"/>
      <c r="AG318" s="82"/>
      <c r="AH318" s="82"/>
      <c r="AI318" s="66"/>
      <c r="AK318" s="81"/>
      <c r="AL318" s="81"/>
      <c r="AM318" s="82"/>
      <c r="AN318" s="82"/>
      <c r="AO318" s="66"/>
      <c r="AQ318" s="81"/>
      <c r="AR318" s="81"/>
      <c r="AS318" s="82"/>
      <c r="AT318" s="81">
        <f>SUM(AT315:AT317)</f>
        <v>0</v>
      </c>
      <c r="AU318" s="66">
        <f t="shared" si="323"/>
        <v>0</v>
      </c>
      <c r="AW318" s="81"/>
      <c r="AX318" s="81"/>
      <c r="AY318" s="82"/>
      <c r="AZ318" s="81">
        <f>SUM(AZ315:AZ317)</f>
        <v>7</v>
      </c>
      <c r="BA318" s="66">
        <f t="shared" si="325"/>
        <v>1</v>
      </c>
    </row>
    <row r="319" spans="1:53" s="117" customFormat="1" ht="17.100000000000001" customHeight="1" x14ac:dyDescent="0.25">
      <c r="A319" s="68"/>
      <c r="B319" s="119"/>
      <c r="C319" s="647"/>
      <c r="D319" s="261"/>
      <c r="E319" s="261"/>
      <c r="F319" s="68"/>
      <c r="G319" s="68"/>
      <c r="H319" s="119"/>
      <c r="I319" s="138"/>
      <c r="J319" s="17"/>
      <c r="K319" s="17"/>
      <c r="L319" s="17"/>
      <c r="M319" s="17"/>
      <c r="N319" s="17" t="str">
        <f>IF(N318&gt;=N$20,"OK","NOK")</f>
        <v>OK</v>
      </c>
      <c r="O319" s="17" t="str">
        <f>IF(O318&gt;=O$20,"OK","NOK")</f>
        <v>OK</v>
      </c>
      <c r="P319" s="17"/>
      <c r="Q319" s="17" t="str">
        <f>IF(Q318&gt;=Q$20,"OK","NOK")</f>
        <v>OK</v>
      </c>
      <c r="R319" s="17" t="str">
        <f>IF(R318&gt;=R$20,"OK","NOK")</f>
        <v>OK</v>
      </c>
      <c r="S319" s="17"/>
      <c r="T319" s="17" t="str">
        <f>IF(T318&gt;=T$20,"OK","NOK")</f>
        <v>OK</v>
      </c>
      <c r="U319" s="17" t="str">
        <f>IF(U318&gt;=U$20,"OK","NOK")</f>
        <v>OK</v>
      </c>
      <c r="V319" s="359"/>
      <c r="W319" s="382"/>
      <c r="X319" s="646"/>
      <c r="Y319" s="646"/>
      <c r="Z319" s="201"/>
      <c r="AA319" s="201"/>
      <c r="AB319" s="201"/>
      <c r="AC319" s="84"/>
      <c r="AE319" s="46"/>
      <c r="AF319" s="46"/>
      <c r="AG319" s="17"/>
      <c r="AH319" s="646"/>
      <c r="AI319" s="91"/>
      <c r="AK319" s="46"/>
      <c r="AL319" s="46"/>
      <c r="AM319" s="17"/>
      <c r="AN319" s="646"/>
      <c r="AO319" s="91"/>
      <c r="AQ319" s="46"/>
      <c r="AR319" s="46"/>
      <c r="AS319" s="17"/>
      <c r="AT319" s="646"/>
      <c r="AU319" s="91"/>
      <c r="AW319" s="46"/>
      <c r="AX319" s="46"/>
      <c r="AY319" s="17"/>
      <c r="AZ319" s="646"/>
      <c r="BA319" s="91"/>
    </row>
    <row r="320" spans="1:53" s="117" customFormat="1" ht="17.100000000000001" customHeight="1" x14ac:dyDescent="0.25">
      <c r="A320" s="68"/>
      <c r="B320" s="119"/>
      <c r="C320" s="56" t="s">
        <v>672</v>
      </c>
      <c r="D320" s="146" t="s">
        <v>673</v>
      </c>
      <c r="E320" s="149"/>
      <c r="F320" s="149"/>
      <c r="G320" s="151"/>
      <c r="H320" s="119"/>
      <c r="I320" s="138"/>
      <c r="J320" s="111"/>
      <c r="K320" s="111"/>
      <c r="L320" s="111"/>
      <c r="M320" s="111"/>
      <c r="N320" s="111"/>
      <c r="O320" s="111"/>
      <c r="P320" s="336"/>
      <c r="Q320" s="341"/>
      <c r="R320" s="341"/>
      <c r="S320" s="336">
        <v>1.5</v>
      </c>
      <c r="T320" s="341"/>
      <c r="U320" s="341"/>
      <c r="V320" s="368"/>
      <c r="W320" s="382"/>
      <c r="X320" s="646"/>
      <c r="Y320" s="646"/>
      <c r="Z320" s="201"/>
      <c r="AA320" s="340">
        <f>MIN(P320,S320,V320)</f>
        <v>1.5</v>
      </c>
      <c r="AB320" s="340">
        <f>MAX(P320,S320,V320)</f>
        <v>1.5</v>
      </c>
      <c r="AC320" s="340">
        <f>IF(P320+S320+V320=0,0,AVERAGE(P320,S320,V320))</f>
        <v>1.5</v>
      </c>
      <c r="AE320" s="152"/>
      <c r="AF320" s="152"/>
      <c r="AG320" s="111"/>
      <c r="AH320" s="651"/>
      <c r="AI320" s="131"/>
      <c r="AK320" s="152"/>
      <c r="AL320" s="152"/>
      <c r="AM320" s="111"/>
      <c r="AN320" s="651"/>
      <c r="AO320" s="131"/>
      <c r="AQ320" s="152"/>
      <c r="AR320" s="152"/>
      <c r="AS320" s="111"/>
      <c r="AT320" s="651"/>
      <c r="AU320" s="131"/>
      <c r="AW320" s="152"/>
      <c r="AX320" s="152"/>
      <c r="AY320" s="111"/>
      <c r="AZ320" s="651"/>
      <c r="BA320" s="131"/>
    </row>
    <row r="321" spans="1:53" s="117" customFormat="1" ht="17.100000000000001" customHeight="1" x14ac:dyDescent="0.25">
      <c r="A321" s="68"/>
      <c r="B321" s="119"/>
      <c r="C321" s="647"/>
      <c r="D321" s="261"/>
      <c r="E321" s="261"/>
      <c r="F321" s="68"/>
      <c r="G321" s="68"/>
      <c r="H321" s="119"/>
      <c r="I321" s="138"/>
      <c r="J321" s="17"/>
      <c r="K321" s="17"/>
      <c r="L321" s="17"/>
      <c r="M321" s="17"/>
      <c r="N321" s="17"/>
      <c r="O321" s="17"/>
      <c r="P321" s="17"/>
      <c r="Q321" s="17"/>
      <c r="R321" s="17"/>
      <c r="S321" s="17"/>
      <c r="T321" s="17"/>
      <c r="U321" s="17"/>
      <c r="V321" s="359"/>
      <c r="W321" s="382"/>
      <c r="X321" s="646"/>
      <c r="Y321" s="646"/>
      <c r="Z321" s="201"/>
      <c r="AA321" s="201"/>
      <c r="AB321" s="201"/>
      <c r="AC321" s="84"/>
      <c r="AE321" s="46"/>
      <c r="AF321" s="46"/>
      <c r="AG321" s="17"/>
      <c r="AH321" s="646"/>
      <c r="AI321" s="91"/>
      <c r="AK321" s="46"/>
      <c r="AL321" s="46"/>
      <c r="AM321" s="17"/>
      <c r="AN321" s="646"/>
      <c r="AO321" s="91"/>
      <c r="AQ321" s="46"/>
      <c r="AR321" s="46"/>
      <c r="AS321" s="17"/>
      <c r="AT321" s="646"/>
      <c r="AU321" s="91"/>
      <c r="AW321" s="46"/>
      <c r="AX321" s="46"/>
      <c r="AY321" s="17"/>
      <c r="AZ321" s="646"/>
      <c r="BA321" s="91"/>
    </row>
    <row r="322" spans="1:53" ht="17.100000000000001" customHeight="1" x14ac:dyDescent="0.25">
      <c r="A322" s="68"/>
      <c r="B322" s="41" t="s">
        <v>313</v>
      </c>
      <c r="C322" s="69" t="s">
        <v>492</v>
      </c>
      <c r="D322" s="50"/>
      <c r="E322" s="70"/>
      <c r="F322" s="70"/>
      <c r="G322" s="70"/>
      <c r="H322" s="119"/>
      <c r="J322" s="71"/>
      <c r="K322" s="71"/>
      <c r="L322" s="71"/>
      <c r="M322" s="71"/>
      <c r="N322" s="71"/>
      <c r="O322" s="71"/>
      <c r="P322" s="71"/>
      <c r="Q322" s="71"/>
      <c r="R322" s="71"/>
      <c r="S322" s="71"/>
      <c r="T322" s="71"/>
      <c r="U322" s="71"/>
      <c r="V322" s="71"/>
      <c r="W322" s="71"/>
      <c r="X322" s="71"/>
      <c r="Y322" s="71"/>
      <c r="Z322" s="73"/>
      <c r="AA322" s="73"/>
      <c r="AB322" s="73"/>
      <c r="AC322" s="73"/>
      <c r="AE322" s="71"/>
      <c r="AF322" s="71"/>
      <c r="AG322" s="71"/>
      <c r="AH322" s="89"/>
      <c r="AI322" s="90"/>
      <c r="AK322" s="71"/>
      <c r="AL322" s="71"/>
      <c r="AM322" s="71"/>
      <c r="AN322" s="89"/>
      <c r="AO322" s="90"/>
      <c r="AQ322" s="71"/>
      <c r="AR322" s="71"/>
      <c r="AS322" s="71"/>
      <c r="AT322" s="71"/>
      <c r="AU322" s="90"/>
      <c r="AW322" s="71"/>
      <c r="AX322" s="71"/>
      <c r="AY322" s="71"/>
      <c r="AZ322" s="71"/>
      <c r="BA322" s="90"/>
    </row>
    <row r="323" spans="1:53" ht="17.100000000000001" customHeight="1" x14ac:dyDescent="0.25">
      <c r="A323" s="119"/>
      <c r="B323" s="119"/>
      <c r="C323" s="56" t="s">
        <v>314</v>
      </c>
      <c r="D323" s="149" t="s">
        <v>129</v>
      </c>
      <c r="E323" s="105"/>
      <c r="F323" s="105"/>
      <c r="G323" s="105"/>
      <c r="H323" s="119"/>
      <c r="J323" s="111"/>
      <c r="K323" s="111"/>
      <c r="L323" s="111"/>
      <c r="M323" s="111"/>
      <c r="N323" s="598"/>
      <c r="O323" s="598"/>
      <c r="P323" s="327"/>
      <c r="Q323" s="598"/>
      <c r="R323" s="598"/>
      <c r="S323" s="327"/>
      <c r="T323" s="598"/>
      <c r="U323" s="598"/>
      <c r="V323" s="327"/>
      <c r="W323" s="391"/>
      <c r="X323" s="17"/>
      <c r="Y323" s="18">
        <f t="shared" ref="Y323:Y325" si="328">M323+P323+S323+V323</f>
        <v>0</v>
      </c>
      <c r="Z323" s="19">
        <f>IF(Y$326=0,0,Y323/Y$326)</f>
        <v>0</v>
      </c>
      <c r="AA323" s="19"/>
      <c r="AB323" s="19"/>
      <c r="AC323" s="20"/>
      <c r="AE323" s="111"/>
      <c r="AF323" s="111"/>
      <c r="AG323" s="111"/>
      <c r="AH323" s="651"/>
      <c r="AI323" s="131"/>
      <c r="AK323" s="111"/>
      <c r="AL323" s="111"/>
      <c r="AM323" s="111"/>
      <c r="AN323" s="651"/>
      <c r="AO323" s="131"/>
      <c r="AQ323" s="111"/>
      <c r="AR323" s="111"/>
      <c r="AS323" s="111"/>
      <c r="AT323" s="651"/>
      <c r="AU323" s="131"/>
      <c r="AW323" s="111"/>
      <c r="AX323" s="111"/>
      <c r="AY323" s="111"/>
      <c r="AZ323" s="651"/>
      <c r="BA323" s="131"/>
    </row>
    <row r="324" spans="1:53" ht="17.100000000000001" customHeight="1" x14ac:dyDescent="0.25">
      <c r="A324" s="119"/>
      <c r="B324" s="119"/>
      <c r="C324" s="56" t="s">
        <v>327</v>
      </c>
      <c r="D324" s="149" t="s">
        <v>491</v>
      </c>
      <c r="E324" s="105"/>
      <c r="F324" s="105"/>
      <c r="G324" s="105"/>
      <c r="H324" s="119"/>
      <c r="J324" s="599"/>
      <c r="K324" s="599"/>
      <c r="L324" s="599"/>
      <c r="M324" s="599"/>
      <c r="N324" s="598"/>
      <c r="O324" s="598"/>
      <c r="P324" s="329"/>
      <c r="Q324" s="598"/>
      <c r="R324" s="598"/>
      <c r="S324" s="329">
        <v>1</v>
      </c>
      <c r="T324" s="598"/>
      <c r="U324" s="598"/>
      <c r="V324" s="329"/>
      <c r="W324" s="391"/>
      <c r="X324" s="17"/>
      <c r="Y324" s="18">
        <f t="shared" si="328"/>
        <v>1</v>
      </c>
      <c r="Z324" s="19">
        <f t="shared" ref="Z324:Z326" si="329">IF(Y$326=0,0,Y324/Y$326)</f>
        <v>1</v>
      </c>
      <c r="AA324" s="19"/>
      <c r="AB324" s="19"/>
      <c r="AC324" s="189"/>
      <c r="AE324" s="111"/>
      <c r="AF324" s="111"/>
      <c r="AG324" s="111"/>
      <c r="AH324" s="651"/>
      <c r="AI324" s="131"/>
      <c r="AK324" s="111"/>
      <c r="AL324" s="111"/>
      <c r="AM324" s="111"/>
      <c r="AN324" s="651"/>
      <c r="AO324" s="131"/>
      <c r="AQ324" s="111"/>
      <c r="AR324" s="111"/>
      <c r="AS324" s="111"/>
      <c r="AT324" s="651"/>
      <c r="AU324" s="131"/>
      <c r="AW324" s="111"/>
      <c r="AX324" s="111"/>
      <c r="AY324" s="111"/>
      <c r="AZ324" s="651"/>
      <c r="BA324" s="131"/>
    </row>
    <row r="325" spans="1:53" ht="17.100000000000001" customHeight="1" x14ac:dyDescent="0.25">
      <c r="A325" s="119"/>
      <c r="B325" s="119"/>
      <c r="C325" s="56" t="s">
        <v>328</v>
      </c>
      <c r="D325" s="149" t="s">
        <v>493</v>
      </c>
      <c r="E325" s="105"/>
      <c r="F325" s="105"/>
      <c r="G325" s="105"/>
      <c r="H325" s="119"/>
      <c r="J325" s="111"/>
      <c r="K325" s="111"/>
      <c r="L325" s="111"/>
      <c r="M325" s="111"/>
      <c r="N325" s="598"/>
      <c r="O325" s="598"/>
      <c r="P325" s="327"/>
      <c r="Q325" s="598"/>
      <c r="R325" s="598"/>
      <c r="S325" s="327"/>
      <c r="T325" s="598"/>
      <c r="U325" s="598"/>
      <c r="V325" s="327"/>
      <c r="W325" s="391"/>
      <c r="X325" s="17"/>
      <c r="Y325" s="18">
        <f t="shared" si="328"/>
        <v>0</v>
      </c>
      <c r="Z325" s="19">
        <f t="shared" si="329"/>
        <v>0</v>
      </c>
      <c r="AA325" s="19"/>
      <c r="AB325" s="19"/>
      <c r="AC325" s="20"/>
      <c r="AE325" s="111"/>
      <c r="AF325" s="111"/>
      <c r="AG325" s="111"/>
      <c r="AH325" s="651"/>
      <c r="AI325" s="131"/>
      <c r="AK325" s="111"/>
      <c r="AL325" s="111"/>
      <c r="AM325" s="111"/>
      <c r="AN325" s="651"/>
      <c r="AO325" s="131"/>
      <c r="AQ325" s="111"/>
      <c r="AR325" s="111"/>
      <c r="AS325" s="111"/>
      <c r="AT325" s="651"/>
      <c r="AU325" s="131"/>
      <c r="AW325" s="111"/>
      <c r="AX325" s="111"/>
      <c r="AY325" s="111"/>
      <c r="AZ325" s="651"/>
      <c r="BA325" s="131"/>
    </row>
    <row r="326" spans="1:53" ht="17.100000000000001" customHeight="1" x14ac:dyDescent="0.25">
      <c r="A326" s="119"/>
      <c r="B326" s="119"/>
      <c r="C326" s="325"/>
      <c r="D326" s="326"/>
      <c r="E326" s="184"/>
      <c r="F326" s="184"/>
      <c r="G326" s="184"/>
      <c r="H326" s="119"/>
      <c r="J326" s="600"/>
      <c r="K326" s="600"/>
      <c r="L326" s="600"/>
      <c r="M326" s="600"/>
      <c r="N326" s="600"/>
      <c r="O326" s="600"/>
      <c r="P326" s="81">
        <f>SUM(P323:P325)</f>
        <v>0</v>
      </c>
      <c r="Q326" s="600"/>
      <c r="R326" s="600"/>
      <c r="S326" s="81">
        <f>SUM(S323:S325)</f>
        <v>1</v>
      </c>
      <c r="T326" s="600"/>
      <c r="U326" s="600"/>
      <c r="V326" s="81">
        <f>SUM(V323:V325)</f>
        <v>0</v>
      </c>
      <c r="W326" s="381"/>
      <c r="X326" s="82"/>
      <c r="Y326" s="82">
        <f>SUM(Y323:Y325)</f>
        <v>1</v>
      </c>
      <c r="Z326" s="66">
        <f t="shared" si="329"/>
        <v>1</v>
      </c>
      <c r="AA326" s="205"/>
      <c r="AB326" s="205"/>
      <c r="AC326" s="204"/>
      <c r="AE326" s="81"/>
      <c r="AF326" s="81"/>
      <c r="AG326" s="81"/>
      <c r="AH326" s="82"/>
      <c r="AI326" s="66"/>
      <c r="AK326" s="81"/>
      <c r="AL326" s="81"/>
      <c r="AM326" s="81"/>
      <c r="AN326" s="82"/>
      <c r="AO326" s="66"/>
      <c r="AQ326" s="81"/>
      <c r="AR326" s="81"/>
      <c r="AS326" s="81"/>
      <c r="AT326" s="82"/>
      <c r="AU326" s="66"/>
      <c r="AW326" s="81"/>
      <c r="AX326" s="81"/>
      <c r="AY326" s="81"/>
      <c r="AZ326" s="82"/>
      <c r="BA326" s="66"/>
    </row>
    <row r="327" spans="1:53" s="117" customFormat="1" ht="17.100000000000001" customHeight="1" x14ac:dyDescent="0.25">
      <c r="A327" s="119"/>
      <c r="B327" s="119"/>
      <c r="C327" s="429"/>
      <c r="D327" s="427"/>
      <c r="E327" s="428"/>
      <c r="F327" s="428"/>
      <c r="G327" s="428"/>
      <c r="H327" s="119"/>
      <c r="I327" s="97"/>
      <c r="J327" s="643"/>
      <c r="K327" s="643"/>
      <c r="L327" s="643"/>
      <c r="M327" s="643"/>
      <c r="N327" s="643"/>
      <c r="O327" s="643"/>
      <c r="P327" s="643"/>
      <c r="Q327" s="643"/>
      <c r="R327" s="643"/>
      <c r="S327" s="643"/>
      <c r="T327" s="643"/>
      <c r="U327" s="643"/>
      <c r="V327" s="643"/>
      <c r="W327" s="646"/>
      <c r="X327" s="646"/>
      <c r="Y327" s="646"/>
      <c r="Z327" s="201"/>
      <c r="AA327" s="201"/>
      <c r="AB327" s="201"/>
      <c r="AC327" s="199"/>
      <c r="AE327" s="17"/>
      <c r="AF327" s="17"/>
      <c r="AG327" s="17"/>
      <c r="AH327" s="646"/>
      <c r="AI327" s="91"/>
      <c r="AK327" s="17"/>
      <c r="AL327" s="17"/>
      <c r="AM327" s="17"/>
      <c r="AN327" s="646"/>
      <c r="AO327" s="91"/>
      <c r="AQ327" s="17"/>
      <c r="AR327" s="17"/>
      <c r="AS327" s="17"/>
      <c r="AT327" s="17"/>
      <c r="AU327" s="91"/>
      <c r="AW327" s="17"/>
      <c r="AX327" s="17"/>
      <c r="AY327" s="17"/>
      <c r="AZ327" s="17"/>
      <c r="BA327" s="91"/>
    </row>
    <row r="328" spans="1:53" s="97" customFormat="1" ht="17.100000000000001" customHeight="1" x14ac:dyDescent="0.25">
      <c r="A328" s="119"/>
      <c r="B328" s="41" t="s">
        <v>1443</v>
      </c>
      <c r="C328" s="69" t="s">
        <v>12</v>
      </c>
      <c r="D328" s="50"/>
      <c r="E328" s="70"/>
      <c r="F328" s="70"/>
      <c r="G328" s="70"/>
      <c r="H328" s="84"/>
      <c r="J328" s="71"/>
      <c r="K328" s="71"/>
      <c r="L328" s="71"/>
      <c r="M328" s="71"/>
      <c r="N328" s="71"/>
      <c r="O328" s="71"/>
      <c r="P328" s="71"/>
      <c r="Q328" s="71"/>
      <c r="R328" s="71"/>
      <c r="S328" s="71"/>
      <c r="T328" s="71"/>
      <c r="U328" s="71"/>
      <c r="V328" s="355"/>
      <c r="W328" s="377"/>
      <c r="X328" s="71"/>
      <c r="Y328" s="71"/>
      <c r="Z328" s="73"/>
      <c r="AA328" s="73"/>
      <c r="AB328" s="73"/>
      <c r="AC328" s="73"/>
      <c r="AE328" s="71"/>
      <c r="AF328" s="71"/>
      <c r="AG328" s="273"/>
      <c r="AH328" s="73"/>
      <c r="AI328" s="73"/>
      <c r="AJ328" s="3"/>
      <c r="AK328" s="71"/>
      <c r="AL328" s="71"/>
      <c r="AM328" s="273"/>
      <c r="AN328" s="73"/>
      <c r="AO328" s="73"/>
      <c r="AP328" s="3"/>
      <c r="AQ328" s="71"/>
      <c r="AR328" s="71"/>
      <c r="AS328" s="273"/>
      <c r="AT328" s="73"/>
      <c r="AU328" s="73"/>
      <c r="AV328" s="3"/>
      <c r="AW328" s="71"/>
      <c r="AX328" s="71"/>
      <c r="AY328" s="273"/>
      <c r="AZ328" s="73"/>
      <c r="BA328" s="73"/>
    </row>
    <row r="329" spans="1:53" ht="17.100000000000001" customHeight="1" x14ac:dyDescent="0.25">
      <c r="A329" s="40"/>
      <c r="B329" s="40"/>
      <c r="C329" s="74" t="s">
        <v>1444</v>
      </c>
      <c r="D329" s="931" t="s">
        <v>315</v>
      </c>
      <c r="E329" s="75"/>
      <c r="F329" s="75"/>
      <c r="G329" s="75"/>
      <c r="H329" s="928"/>
      <c r="I329" s="12"/>
      <c r="J329" s="152"/>
      <c r="K329" s="152"/>
      <c r="L329" s="152"/>
      <c r="M329" s="152"/>
      <c r="N329" s="152">
        <f>IF(N20&gt;0,1,0)</f>
        <v>0</v>
      </c>
      <c r="O329" s="152">
        <f>IF(O20&gt;0,1,0)</f>
        <v>0</v>
      </c>
      <c r="P329" s="152"/>
      <c r="Q329" s="152">
        <f>IF(Q20&gt;0,1,0)</f>
        <v>0</v>
      </c>
      <c r="R329" s="152">
        <f>IF(R20&gt;0,1,0)</f>
        <v>1</v>
      </c>
      <c r="S329" s="152"/>
      <c r="T329" s="152">
        <f>IF(T20&gt;0,1,0)</f>
        <v>0</v>
      </c>
      <c r="U329" s="152">
        <f>IF(U20&gt;0,1,0)</f>
        <v>0</v>
      </c>
      <c r="V329" s="152"/>
      <c r="W329" s="389"/>
      <c r="X329" s="152"/>
      <c r="Y329" s="932"/>
      <c r="Z329" s="131"/>
      <c r="AA329" s="131"/>
      <c r="AB329" s="131"/>
      <c r="AC329" s="113"/>
      <c r="AE329" s="152"/>
      <c r="AF329" s="152"/>
      <c r="AG329" s="152"/>
      <c r="AH329" s="932"/>
      <c r="AI329" s="131"/>
      <c r="AJ329" s="117"/>
      <c r="AK329" s="152"/>
      <c r="AL329" s="152"/>
      <c r="AM329" s="152"/>
      <c r="AN329" s="932"/>
      <c r="AO329" s="131"/>
      <c r="AP329" s="117"/>
      <c r="AQ329" s="152"/>
      <c r="AR329" s="152"/>
      <c r="AS329" s="152"/>
      <c r="AT329" s="932"/>
      <c r="AU329" s="131"/>
      <c r="AV329" s="117"/>
      <c r="AW329" s="152"/>
      <c r="AX329" s="152"/>
      <c r="AY329" s="152"/>
      <c r="AZ329" s="932"/>
      <c r="BA329" s="131"/>
    </row>
    <row r="330" spans="1:53" ht="17.100000000000001" customHeight="1" x14ac:dyDescent="0.25">
      <c r="A330" s="137"/>
      <c r="B330" s="40"/>
      <c r="C330" s="40"/>
      <c r="D330" s="128" t="s">
        <v>1017</v>
      </c>
      <c r="E330" s="122"/>
      <c r="F330" s="122"/>
      <c r="G330" s="122"/>
      <c r="H330" s="928"/>
      <c r="I330" s="12"/>
      <c r="J330" s="190"/>
      <c r="K330" s="190"/>
      <c r="L330" s="190"/>
      <c r="M330" s="190"/>
      <c r="N330" s="570">
        <f>IF(N287=0,0,N285/N287)*0.5</f>
        <v>0</v>
      </c>
      <c r="O330" s="570">
        <f>IF(O287=0,0,O285/O287)*0.5</f>
        <v>0</v>
      </c>
      <c r="P330" s="190"/>
      <c r="Q330" s="570">
        <f>IF(Q287=0,0,Q285/Q287)*0.5</f>
        <v>0</v>
      </c>
      <c r="R330" s="570">
        <f>IF(R287=0,0,R285/R287)*0.5</f>
        <v>0</v>
      </c>
      <c r="S330" s="190"/>
      <c r="T330" s="570">
        <f>IF(T287=0,0,T285/T287)*0.5</f>
        <v>0</v>
      </c>
      <c r="U330" s="570">
        <f>IF(U287=0,0,U285/U287)*0.5</f>
        <v>0</v>
      </c>
      <c r="V330" s="371"/>
      <c r="W330" s="393"/>
      <c r="X330" s="190"/>
      <c r="Y330" s="129"/>
      <c r="Z330" s="130"/>
      <c r="AA330" s="130"/>
      <c r="AB330" s="130"/>
      <c r="AC330" s="125"/>
      <c r="AE330" s="190"/>
      <c r="AF330" s="190"/>
      <c r="AG330" s="190"/>
      <c r="AH330" s="129"/>
      <c r="AI330" s="130"/>
      <c r="AJ330" s="117"/>
      <c r="AK330" s="190"/>
      <c r="AL330" s="190"/>
      <c r="AM330" s="190"/>
      <c r="AN330" s="129"/>
      <c r="AO330" s="130"/>
      <c r="AP330" s="117"/>
      <c r="AQ330" s="190"/>
      <c r="AR330" s="190"/>
      <c r="AS330" s="190"/>
      <c r="AT330" s="129"/>
      <c r="AU330" s="130"/>
      <c r="AV330" s="117"/>
      <c r="AW330" s="190"/>
      <c r="AX330" s="190"/>
      <c r="AY330" s="190"/>
      <c r="AZ330" s="129"/>
      <c r="BA330" s="130"/>
    </row>
    <row r="331" spans="1:53" ht="17.100000000000001" customHeight="1" x14ac:dyDescent="0.25">
      <c r="A331" s="137"/>
      <c r="B331" s="40"/>
      <c r="C331" s="40"/>
      <c r="D331" s="128" t="s">
        <v>1018</v>
      </c>
      <c r="E331" s="122"/>
      <c r="F331" s="122"/>
      <c r="G331" s="122"/>
      <c r="H331" s="928"/>
      <c r="I331" s="12"/>
      <c r="J331" s="190"/>
      <c r="K331" s="190"/>
      <c r="L331" s="190"/>
      <c r="M331" s="190"/>
      <c r="N331" s="570">
        <f>IF(N287=0,0,N286/N287)*1</f>
        <v>0</v>
      </c>
      <c r="O331" s="570">
        <f t="shared" ref="O331:U331" si="330">IF(O287=0,0,O286/O287)*1</f>
        <v>0</v>
      </c>
      <c r="P331" s="570"/>
      <c r="Q331" s="570">
        <f t="shared" si="330"/>
        <v>0</v>
      </c>
      <c r="R331" s="570">
        <f t="shared" si="330"/>
        <v>0.8571428571428571</v>
      </c>
      <c r="S331" s="570"/>
      <c r="T331" s="570">
        <f t="shared" si="330"/>
        <v>0</v>
      </c>
      <c r="U331" s="570">
        <f t="shared" si="330"/>
        <v>0</v>
      </c>
      <c r="V331" s="371"/>
      <c r="W331" s="393"/>
      <c r="X331" s="190"/>
      <c r="Y331" s="129"/>
      <c r="Z331" s="130"/>
      <c r="AA331" s="130"/>
      <c r="AB331" s="130"/>
      <c r="AC331" s="125"/>
      <c r="AE331" s="190"/>
      <c r="AF331" s="190"/>
      <c r="AG331" s="190"/>
      <c r="AH331" s="129"/>
      <c r="AI331" s="130"/>
      <c r="AJ331" s="117"/>
      <c r="AK331" s="190"/>
      <c r="AL331" s="190"/>
      <c r="AM331" s="190"/>
      <c r="AN331" s="129"/>
      <c r="AO331" s="130"/>
      <c r="AP331" s="117"/>
      <c r="AQ331" s="190"/>
      <c r="AR331" s="190"/>
      <c r="AS331" s="190"/>
      <c r="AT331" s="129"/>
      <c r="AU331" s="130"/>
      <c r="AV331" s="117"/>
      <c r="AW331" s="190"/>
      <c r="AX331" s="190"/>
      <c r="AY331" s="190"/>
      <c r="AZ331" s="129"/>
      <c r="BA331" s="130"/>
    </row>
    <row r="332" spans="1:53" ht="17.100000000000001" customHeight="1" x14ac:dyDescent="0.25">
      <c r="A332" s="137"/>
      <c r="B332" s="40"/>
      <c r="C332" s="40"/>
      <c r="D332" s="128" t="s">
        <v>316</v>
      </c>
      <c r="E332" s="122"/>
      <c r="F332" s="122"/>
      <c r="G332" s="122"/>
      <c r="H332" s="928"/>
      <c r="I332" s="12"/>
      <c r="J332" s="190"/>
      <c r="K332" s="190"/>
      <c r="L332" s="190"/>
      <c r="M332" s="190"/>
      <c r="N332" s="570">
        <f>IF(N294=0,0,N292/N294)*0.5</f>
        <v>0</v>
      </c>
      <c r="O332" s="570">
        <f>IF(O294=0,0,O292/O294)*0.5</f>
        <v>0</v>
      </c>
      <c r="P332" s="190"/>
      <c r="Q332" s="570">
        <f>IF(Q294=0,0,Q292/Q294)*0.5</f>
        <v>0</v>
      </c>
      <c r="R332" s="570">
        <f>IF(R294=0,0,R292/R294)*0.5</f>
        <v>0</v>
      </c>
      <c r="S332" s="190"/>
      <c r="T332" s="570">
        <f>IF(T294=0,0,T292/T294)*0.5</f>
        <v>0</v>
      </c>
      <c r="U332" s="570">
        <f>IF(U294=0,0,U292/U294)*0.5</f>
        <v>0</v>
      </c>
      <c r="V332" s="371"/>
      <c r="W332" s="393"/>
      <c r="X332" s="190"/>
      <c r="Y332" s="129"/>
      <c r="Z332" s="130"/>
      <c r="AA332" s="130"/>
      <c r="AB332" s="130"/>
      <c r="AC332" s="125"/>
      <c r="AE332" s="190"/>
      <c r="AF332" s="190"/>
      <c r="AG332" s="190"/>
      <c r="AH332" s="129"/>
      <c r="AI332" s="130"/>
      <c r="AJ332" s="117"/>
      <c r="AK332" s="190"/>
      <c r="AL332" s="190"/>
      <c r="AM332" s="190"/>
      <c r="AN332" s="129"/>
      <c r="AO332" s="130"/>
      <c r="AP332" s="117"/>
      <c r="AQ332" s="190"/>
      <c r="AR332" s="190"/>
      <c r="AS332" s="190"/>
      <c r="AT332" s="129"/>
      <c r="AU332" s="130"/>
      <c r="AV332" s="117"/>
      <c r="AW332" s="190"/>
      <c r="AX332" s="190"/>
      <c r="AY332" s="190"/>
      <c r="AZ332" s="129"/>
      <c r="BA332" s="130"/>
    </row>
    <row r="333" spans="1:53" ht="17.100000000000001" customHeight="1" x14ac:dyDescent="0.25">
      <c r="A333" s="137"/>
      <c r="B333" s="40"/>
      <c r="C333" s="40"/>
      <c r="D333" s="128" t="s">
        <v>317</v>
      </c>
      <c r="E333" s="122"/>
      <c r="F333" s="122"/>
      <c r="G333" s="122"/>
      <c r="H333" s="928"/>
      <c r="I333" s="12"/>
      <c r="J333" s="190"/>
      <c r="K333" s="190"/>
      <c r="L333" s="190"/>
      <c r="M333" s="190"/>
      <c r="N333" s="570">
        <f>IF(N294=0,0,N293/N294)*1</f>
        <v>0</v>
      </c>
      <c r="O333" s="570">
        <f t="shared" ref="O333:U333" si="331">IF(O294=0,0,O293/O294)*1</f>
        <v>0</v>
      </c>
      <c r="P333" s="570"/>
      <c r="Q333" s="570">
        <f t="shared" si="331"/>
        <v>0</v>
      </c>
      <c r="R333" s="570">
        <f t="shared" si="331"/>
        <v>0</v>
      </c>
      <c r="S333" s="570"/>
      <c r="T333" s="570">
        <f t="shared" si="331"/>
        <v>0</v>
      </c>
      <c r="U333" s="570">
        <f t="shared" si="331"/>
        <v>0</v>
      </c>
      <c r="V333" s="371"/>
      <c r="W333" s="393"/>
      <c r="X333" s="190"/>
      <c r="Y333" s="129"/>
      <c r="Z333" s="130"/>
      <c r="AA333" s="130"/>
      <c r="AB333" s="130"/>
      <c r="AC333" s="125"/>
      <c r="AE333" s="190"/>
      <c r="AF333" s="190"/>
      <c r="AG333" s="190"/>
      <c r="AH333" s="129"/>
      <c r="AI333" s="130"/>
      <c r="AJ333" s="117"/>
      <c r="AK333" s="190"/>
      <c r="AL333" s="190"/>
      <c r="AM333" s="190"/>
      <c r="AN333" s="129"/>
      <c r="AO333" s="130"/>
      <c r="AP333" s="117"/>
      <c r="AQ333" s="190"/>
      <c r="AR333" s="190"/>
      <c r="AS333" s="190"/>
      <c r="AT333" s="129"/>
      <c r="AU333" s="130"/>
      <c r="AV333" s="117"/>
      <c r="AW333" s="190"/>
      <c r="AX333" s="190"/>
      <c r="AY333" s="190"/>
      <c r="AZ333" s="129"/>
      <c r="BA333" s="130"/>
    </row>
    <row r="334" spans="1:53" ht="17.100000000000001" customHeight="1" x14ac:dyDescent="0.25">
      <c r="A334" s="137"/>
      <c r="B334" s="40"/>
      <c r="C334" s="40"/>
      <c r="D334" s="128" t="s">
        <v>1019</v>
      </c>
      <c r="E334" s="122"/>
      <c r="F334" s="122"/>
      <c r="G334" s="122"/>
      <c r="H334" s="928"/>
      <c r="I334" s="12"/>
      <c r="J334" s="190"/>
      <c r="K334" s="190"/>
      <c r="L334" s="190"/>
      <c r="M334" s="190"/>
      <c r="N334" s="570"/>
      <c r="O334" s="570"/>
      <c r="P334" s="190"/>
      <c r="Q334" s="570"/>
      <c r="R334" s="570"/>
      <c r="S334" s="190"/>
      <c r="T334" s="570"/>
      <c r="U334" s="570"/>
      <c r="V334" s="371"/>
      <c r="W334" s="393"/>
      <c r="X334" s="190"/>
      <c r="Y334" s="129"/>
      <c r="Z334" s="130"/>
      <c r="AA334" s="130"/>
      <c r="AB334" s="130"/>
      <c r="AC334" s="125"/>
      <c r="AE334" s="190"/>
      <c r="AF334" s="190"/>
      <c r="AG334" s="190"/>
      <c r="AH334" s="129"/>
      <c r="AI334" s="130"/>
      <c r="AJ334" s="117"/>
      <c r="AK334" s="190"/>
      <c r="AL334" s="190"/>
      <c r="AM334" s="190"/>
      <c r="AN334" s="129"/>
      <c r="AO334" s="130"/>
      <c r="AP334" s="117"/>
      <c r="AQ334" s="190"/>
      <c r="AR334" s="190"/>
      <c r="AS334" s="190"/>
      <c r="AT334" s="129"/>
      <c r="AU334" s="130"/>
      <c r="AV334" s="117"/>
      <c r="AW334" s="190"/>
      <c r="AX334" s="190"/>
      <c r="AY334" s="190"/>
      <c r="AZ334" s="129"/>
      <c r="BA334" s="130"/>
    </row>
    <row r="335" spans="1:53" ht="17.100000000000001" customHeight="1" x14ac:dyDescent="0.25">
      <c r="A335" s="137"/>
      <c r="B335" s="40"/>
      <c r="C335" s="40"/>
      <c r="D335" s="128" t="s">
        <v>318</v>
      </c>
      <c r="E335" s="122"/>
      <c r="F335" s="122"/>
      <c r="G335" s="122"/>
      <c r="H335" s="928"/>
      <c r="I335" s="12"/>
      <c r="J335" s="190"/>
      <c r="K335" s="190"/>
      <c r="L335" s="190"/>
      <c r="M335" s="190"/>
      <c r="N335" s="570">
        <f>IF(N312=0,0,(SUM(N303:N304)+N301+N306)/N312)</f>
        <v>0</v>
      </c>
      <c r="O335" s="570">
        <f>IF(O312=0,0,(SUM(O303:O304)+O301+O306)/O312)</f>
        <v>0</v>
      </c>
      <c r="P335" s="190"/>
      <c r="Q335" s="570">
        <f>IF(Q312=0,0,(SUM(Q303:Q304)+Q301+Q306)/Q312)</f>
        <v>0</v>
      </c>
      <c r="R335" s="570">
        <f>IF(R312=0,0,(SUM(R303:R304)+R301+R306)/R312)</f>
        <v>0</v>
      </c>
      <c r="S335" s="190"/>
      <c r="T335" s="570">
        <f>IF(T312=0,0,(SUM(T303:T304)+T301+T306)/T312)</f>
        <v>0</v>
      </c>
      <c r="U335" s="570">
        <f>IF(U312=0,0,(SUM(U303:U304)+U301+U306)/U312)</f>
        <v>0</v>
      </c>
      <c r="V335" s="371"/>
      <c r="W335" s="393"/>
      <c r="X335" s="190"/>
      <c r="Y335" s="129"/>
      <c r="Z335" s="130"/>
      <c r="AA335" s="130"/>
      <c r="AB335" s="130"/>
      <c r="AC335" s="125"/>
      <c r="AE335" s="190"/>
      <c r="AF335" s="190"/>
      <c r="AG335" s="190"/>
      <c r="AH335" s="129"/>
      <c r="AI335" s="130"/>
      <c r="AJ335" s="117"/>
      <c r="AK335" s="190"/>
      <c r="AL335" s="190"/>
      <c r="AM335" s="190"/>
      <c r="AN335" s="129"/>
      <c r="AO335" s="130"/>
      <c r="AP335" s="117"/>
      <c r="AQ335" s="190"/>
      <c r="AR335" s="190"/>
      <c r="AS335" s="190"/>
      <c r="AT335" s="129"/>
      <c r="AU335" s="130"/>
      <c r="AV335" s="117"/>
      <c r="AW335" s="190"/>
      <c r="AX335" s="190"/>
      <c r="AY335" s="190"/>
      <c r="AZ335" s="129"/>
      <c r="BA335" s="130"/>
    </row>
    <row r="336" spans="1:53" ht="17.100000000000001" customHeight="1" x14ac:dyDescent="0.25">
      <c r="A336" s="137"/>
      <c r="B336" s="40"/>
      <c r="C336" s="40"/>
      <c r="D336" s="128" t="s">
        <v>319</v>
      </c>
      <c r="E336" s="122"/>
      <c r="F336" s="122"/>
      <c r="G336" s="122"/>
      <c r="H336" s="928"/>
      <c r="I336" s="12"/>
      <c r="J336" s="190"/>
      <c r="K336" s="190"/>
      <c r="L336" s="190"/>
      <c r="M336" s="190"/>
      <c r="N336" s="570">
        <f>IF(N318=0,0,(N315/N318)*0.5)</f>
        <v>0</v>
      </c>
      <c r="O336" s="570">
        <f>IF(O318=0,0,(O315/O318)*0.5)</f>
        <v>0</v>
      </c>
      <c r="P336" s="190"/>
      <c r="Q336" s="570">
        <f>IF(Q318=0,0,(Q315/Q318)*0.5)</f>
        <v>0</v>
      </c>
      <c r="R336" s="570">
        <f>IF(R318=0,0,(R315/R318)*0.5)</f>
        <v>0.5</v>
      </c>
      <c r="S336" s="190"/>
      <c r="T336" s="570">
        <f>IF(T318=0,0,(T315/T318)*0.5)</f>
        <v>0</v>
      </c>
      <c r="U336" s="570">
        <f>IF(U318=0,0,(U315/U318)*0.5)</f>
        <v>0</v>
      </c>
      <c r="V336" s="371"/>
      <c r="W336" s="393"/>
      <c r="X336" s="190"/>
      <c r="Y336" s="129"/>
      <c r="Z336" s="130"/>
      <c r="AA336" s="130"/>
      <c r="AB336" s="130"/>
      <c r="AC336" s="125"/>
      <c r="AE336" s="190"/>
      <c r="AF336" s="190"/>
      <c r="AG336" s="190"/>
      <c r="AH336" s="129"/>
      <c r="AI336" s="130"/>
      <c r="AJ336" s="117"/>
      <c r="AK336" s="190"/>
      <c r="AL336" s="190"/>
      <c r="AM336" s="190"/>
      <c r="AN336" s="129"/>
      <c r="AO336" s="130"/>
      <c r="AP336" s="117"/>
      <c r="AQ336" s="190"/>
      <c r="AR336" s="190"/>
      <c r="AS336" s="190"/>
      <c r="AT336" s="129"/>
      <c r="AU336" s="130"/>
      <c r="AV336" s="117"/>
      <c r="AW336" s="190"/>
      <c r="AX336" s="190"/>
      <c r="AY336" s="190"/>
      <c r="AZ336" s="129"/>
      <c r="BA336" s="130"/>
    </row>
    <row r="337" spans="1:53" ht="17.100000000000001" customHeight="1" x14ac:dyDescent="0.25">
      <c r="A337" s="137"/>
      <c r="B337" s="40"/>
      <c r="C337" s="40"/>
      <c r="D337" s="128" t="s">
        <v>320</v>
      </c>
      <c r="E337" s="122"/>
      <c r="F337" s="122"/>
      <c r="G337" s="122"/>
      <c r="H337" s="928"/>
      <c r="I337" s="12"/>
      <c r="J337" s="190"/>
      <c r="K337" s="190"/>
      <c r="L337" s="190"/>
      <c r="M337" s="190"/>
      <c r="N337" s="570">
        <f>SUM(N330:N336)</f>
        <v>0</v>
      </c>
      <c r="O337" s="570">
        <f>SUM(O330:O336)</f>
        <v>0</v>
      </c>
      <c r="P337" s="190"/>
      <c r="Q337" s="570">
        <f>SUM(Q330:Q336)</f>
        <v>0</v>
      </c>
      <c r="R337" s="570">
        <f>SUM(R330:R336)</f>
        <v>1.3571428571428572</v>
      </c>
      <c r="S337" s="190"/>
      <c r="T337" s="570">
        <f>SUM(T330:T336)</f>
        <v>0</v>
      </c>
      <c r="U337" s="570">
        <f>SUM(U330:U336)</f>
        <v>0</v>
      </c>
      <c r="V337" s="371"/>
      <c r="W337" s="393"/>
      <c r="X337" s="190"/>
      <c r="Y337" s="129"/>
      <c r="Z337" s="130"/>
      <c r="AA337" s="130"/>
      <c r="AB337" s="130"/>
      <c r="AC337" s="125"/>
      <c r="AE337" s="190"/>
      <c r="AF337" s="190"/>
      <c r="AG337" s="190"/>
      <c r="AH337" s="129"/>
      <c r="AI337" s="130"/>
      <c r="AJ337" s="117"/>
      <c r="AK337" s="190"/>
      <c r="AL337" s="190"/>
      <c r="AM337" s="190"/>
      <c r="AN337" s="129"/>
      <c r="AO337" s="130"/>
      <c r="AP337" s="117"/>
      <c r="AQ337" s="190"/>
      <c r="AR337" s="190"/>
      <c r="AS337" s="190"/>
      <c r="AT337" s="129"/>
      <c r="AU337" s="130"/>
      <c r="AV337" s="117"/>
      <c r="AW337" s="190"/>
      <c r="AX337" s="190"/>
      <c r="AY337" s="190"/>
      <c r="AZ337" s="129"/>
      <c r="BA337" s="130"/>
    </row>
    <row r="338" spans="1:53" ht="17.100000000000001" customHeight="1" x14ac:dyDescent="0.25">
      <c r="A338" s="137"/>
      <c r="B338" s="40"/>
      <c r="C338" s="40"/>
      <c r="D338" s="128" t="s">
        <v>321</v>
      </c>
      <c r="E338" s="122"/>
      <c r="F338" s="122"/>
      <c r="G338" s="122"/>
      <c r="H338" s="928"/>
      <c r="I338" s="12"/>
      <c r="J338" s="190"/>
      <c r="K338" s="190"/>
      <c r="L338" s="190"/>
      <c r="M338" s="190"/>
      <c r="N338" s="190">
        <v>3.5</v>
      </c>
      <c r="O338" s="190">
        <v>3.5</v>
      </c>
      <c r="P338" s="190"/>
      <c r="Q338" s="190">
        <v>3.5</v>
      </c>
      <c r="R338" s="190">
        <v>3.5</v>
      </c>
      <c r="S338" s="190"/>
      <c r="T338" s="190">
        <v>3.5</v>
      </c>
      <c r="U338" s="190">
        <v>3.5</v>
      </c>
      <c r="V338" s="371"/>
      <c r="W338" s="393"/>
      <c r="X338" s="190"/>
      <c r="Y338" s="129"/>
      <c r="Z338" s="130"/>
      <c r="AA338" s="130"/>
      <c r="AB338" s="130"/>
      <c r="AC338" s="125"/>
      <c r="AE338" s="190"/>
      <c r="AF338" s="190"/>
      <c r="AG338" s="190"/>
      <c r="AH338" s="129"/>
      <c r="AI338" s="130"/>
      <c r="AJ338" s="117"/>
      <c r="AK338" s="190"/>
      <c r="AL338" s="190"/>
      <c r="AM338" s="190"/>
      <c r="AN338" s="129"/>
      <c r="AO338" s="130"/>
      <c r="AP338" s="117"/>
      <c r="AQ338" s="190"/>
      <c r="AR338" s="190"/>
      <c r="AS338" s="190"/>
      <c r="AT338" s="129"/>
      <c r="AU338" s="130"/>
      <c r="AV338" s="117"/>
      <c r="AW338" s="190"/>
      <c r="AX338" s="190"/>
      <c r="AY338" s="190"/>
      <c r="AZ338" s="129"/>
      <c r="BA338" s="130"/>
    </row>
    <row r="339" spans="1:53" ht="17.100000000000001" customHeight="1" x14ac:dyDescent="0.25">
      <c r="A339" s="137"/>
      <c r="B339" s="40"/>
      <c r="C339" s="40"/>
      <c r="D339" s="75" t="s">
        <v>322</v>
      </c>
      <c r="E339" s="75"/>
      <c r="F339" s="75"/>
      <c r="G339" s="75"/>
      <c r="H339" s="1322"/>
      <c r="I339" s="12"/>
      <c r="J339" s="191" t="str">
        <f>IF(J$506=0,"",J340)</f>
        <v/>
      </c>
      <c r="K339" s="191" t="str">
        <f>IF(K$506=0,"",K340)</f>
        <v/>
      </c>
      <c r="L339" s="191" t="str">
        <f>IF(L$506=0,"",L340)</f>
        <v/>
      </c>
      <c r="M339" s="191"/>
      <c r="N339" s="191" t="str">
        <f>IF(N329=0,"",IF(N340=0,0,N340))</f>
        <v/>
      </c>
      <c r="O339" s="191" t="str">
        <f>IF(O329=0,"",IF(O340=0,0,O340))</f>
        <v/>
      </c>
      <c r="P339" s="191"/>
      <c r="Q339" s="191" t="str">
        <f>IF(Q329=0,"",IF(Q340=0,0,Q340))</f>
        <v/>
      </c>
      <c r="R339" s="191">
        <f>IF(R329=0,"",IF(R340=0,0,R340))</f>
        <v>0.38775510204081637</v>
      </c>
      <c r="S339" s="191"/>
      <c r="T339" s="191" t="str">
        <f>IF(T329=0,"",IF(T340=0,0,T340))</f>
        <v/>
      </c>
      <c r="U339" s="191" t="str">
        <f>IF(U329=0,"",IF(U340=0,0,U340))</f>
        <v/>
      </c>
      <c r="V339" s="191"/>
      <c r="W339" s="394"/>
      <c r="X339" s="191"/>
      <c r="Y339" s="164"/>
      <c r="Z339" s="192"/>
      <c r="AA339" s="192"/>
      <c r="AB339" s="192"/>
      <c r="AC339" s="193">
        <f>IF(Y339=0,0,AVERAGE(J339:X339))</f>
        <v>0</v>
      </c>
      <c r="AE339" s="191"/>
      <c r="AF339" s="191"/>
      <c r="AG339" s="191"/>
      <c r="AH339" s="164"/>
      <c r="AI339" s="192"/>
      <c r="AJ339" s="117"/>
      <c r="AK339" s="191"/>
      <c r="AL339" s="191"/>
      <c r="AM339" s="191"/>
      <c r="AN339" s="164"/>
      <c r="AO339" s="192"/>
      <c r="AP339" s="117"/>
      <c r="AQ339" s="191"/>
      <c r="AR339" s="191"/>
      <c r="AS339" s="191"/>
      <c r="AT339" s="164"/>
      <c r="AU339" s="192"/>
      <c r="AV339" s="117"/>
      <c r="AW339" s="191"/>
      <c r="AX339" s="191"/>
      <c r="AY339" s="191"/>
      <c r="AZ339" s="164"/>
      <c r="BA339" s="192"/>
    </row>
    <row r="340" spans="1:53" ht="17.100000000000001" customHeight="1" x14ac:dyDescent="0.25">
      <c r="A340" s="137"/>
      <c r="B340" s="40"/>
      <c r="C340" s="40"/>
      <c r="D340" s="128" t="s">
        <v>323</v>
      </c>
      <c r="E340" s="122"/>
      <c r="F340" s="122"/>
      <c r="G340" s="122"/>
      <c r="H340" s="1322"/>
      <c r="I340" s="12"/>
      <c r="J340" s="194"/>
      <c r="K340" s="194"/>
      <c r="L340" s="194"/>
      <c r="M340" s="194"/>
      <c r="N340" s="194">
        <f>N337/N338</f>
        <v>0</v>
      </c>
      <c r="O340" s="194">
        <f t="shared" ref="O340" si="332">O337/O338</f>
        <v>0</v>
      </c>
      <c r="P340" s="194"/>
      <c r="Q340" s="194">
        <f>Q337/Q338</f>
        <v>0</v>
      </c>
      <c r="R340" s="194">
        <f t="shared" ref="R340" si="333">R337/R338</f>
        <v>0.38775510204081637</v>
      </c>
      <c r="S340" s="194"/>
      <c r="T340" s="194">
        <f>T337/T338</f>
        <v>0</v>
      </c>
      <c r="U340" s="194">
        <f t="shared" ref="U340" si="334">U337/U338</f>
        <v>0</v>
      </c>
      <c r="V340" s="194"/>
      <c r="W340" s="969">
        <f>N340+Q340+T340</f>
        <v>0</v>
      </c>
      <c r="X340" s="504">
        <f>O340+R340+U340</f>
        <v>0.38775510204081637</v>
      </c>
      <c r="Y340" s="504">
        <f>SUM(N340:U340)</f>
        <v>0.38775510204081637</v>
      </c>
      <c r="Z340" s="195"/>
      <c r="AA340" s="195"/>
      <c r="AB340" s="195"/>
      <c r="AC340" s="161"/>
      <c r="AE340" s="194"/>
      <c r="AF340" s="194"/>
      <c r="AG340" s="194"/>
      <c r="AH340" s="162"/>
      <c r="AI340" s="195"/>
      <c r="AJ340" s="117"/>
      <c r="AK340" s="194"/>
      <c r="AL340" s="194"/>
      <c r="AM340" s="194"/>
      <c r="AN340" s="162"/>
      <c r="AO340" s="195"/>
      <c r="AP340" s="117"/>
      <c r="AQ340" s="194"/>
      <c r="AR340" s="194"/>
      <c r="AS340" s="194"/>
      <c r="AT340" s="162"/>
      <c r="AU340" s="195"/>
      <c r="AV340" s="117"/>
      <c r="AW340" s="194"/>
      <c r="AX340" s="194"/>
      <c r="AY340" s="194"/>
      <c r="AZ340" s="162"/>
      <c r="BA340" s="195"/>
    </row>
    <row r="341" spans="1:53" ht="17.100000000000001" customHeight="1" x14ac:dyDescent="0.25">
      <c r="A341" s="137"/>
      <c r="B341" s="137"/>
      <c r="C341" s="40"/>
      <c r="D341" s="128"/>
      <c r="E341" s="122"/>
      <c r="F341" s="122"/>
      <c r="G341" s="122"/>
      <c r="H341" s="1322"/>
      <c r="I341" s="12"/>
      <c r="J341" s="194"/>
      <c r="K341" s="194"/>
      <c r="L341" s="194"/>
      <c r="M341" s="194"/>
      <c r="N341" s="194" t="str">
        <f>IF(N329=0,"",N340)</f>
        <v/>
      </c>
      <c r="O341" s="194" t="str">
        <f>IF(O329=0,"",O340)</f>
        <v/>
      </c>
      <c r="P341" s="194"/>
      <c r="Q341" s="194" t="str">
        <f>IF(Q329=0,"",Q340)</f>
        <v/>
      </c>
      <c r="R341" s="194">
        <f>IF(R329=0,"",R340)</f>
        <v>0.38775510204081637</v>
      </c>
      <c r="S341" s="194"/>
      <c r="T341" s="194" t="str">
        <f>IF(T329=0,"",T340)</f>
        <v/>
      </c>
      <c r="U341" s="194" t="str">
        <f>IF(U329=0,"",U340)</f>
        <v/>
      </c>
      <c r="V341" s="194"/>
      <c r="W341" s="969" t="str">
        <f>IF(W340=0,"",AVERAGE(N341,Q341,T341))</f>
        <v/>
      </c>
      <c r="X341" s="504">
        <f>IF(X340=0,"",AVERAGE(O341,R341,U341))</f>
        <v>0.38775510204081637</v>
      </c>
      <c r="Y341" s="504">
        <f>IF(Y340=0,"",AVERAGE(N341:U341))</f>
        <v>0.38775510204081637</v>
      </c>
      <c r="Z341" s="195"/>
      <c r="AA341" s="195"/>
      <c r="AB341" s="195"/>
      <c r="AC341" s="161"/>
      <c r="AE341" s="194"/>
      <c r="AF341" s="194"/>
      <c r="AG341" s="194"/>
      <c r="AH341" s="162"/>
      <c r="AI341" s="195"/>
      <c r="AJ341" s="117"/>
      <c r="AK341" s="194"/>
      <c r="AL341" s="194"/>
      <c r="AM341" s="194"/>
      <c r="AN341" s="162"/>
      <c r="AO341" s="195"/>
      <c r="AP341" s="117"/>
      <c r="AQ341" s="194"/>
      <c r="AR341" s="194"/>
      <c r="AS341" s="194"/>
      <c r="AT341" s="162"/>
      <c r="AU341" s="195"/>
      <c r="AV341" s="117"/>
      <c r="AW341" s="194"/>
      <c r="AX341" s="194"/>
      <c r="AY341" s="194"/>
      <c r="AZ341" s="162"/>
      <c r="BA341" s="195"/>
    </row>
    <row r="342" spans="1:53" s="117" customFormat="1" ht="17.100000000000001" customHeight="1" x14ac:dyDescent="0.25">
      <c r="A342" s="119"/>
      <c r="B342" s="119"/>
      <c r="C342" s="196"/>
      <c r="D342" s="75" t="s">
        <v>324</v>
      </c>
      <c r="E342" s="75"/>
      <c r="F342" s="75"/>
      <c r="G342" s="75"/>
      <c r="H342" s="1322"/>
      <c r="I342" s="12"/>
      <c r="J342" s="55" t="str">
        <f>IF(J$506=0,"",IF(J339&gt;=0.75,1,0))</f>
        <v/>
      </c>
      <c r="K342" s="55" t="str">
        <f>IF(K$506=0,"",IF(K339&gt;=0.75,1,0))</f>
        <v/>
      </c>
      <c r="L342" s="55" t="str">
        <f>IF(L$506=0,"",IF(L339&gt;=0.75,1,0))</f>
        <v/>
      </c>
      <c r="M342" s="55"/>
      <c r="N342" s="55">
        <f>IF(N$329=0,0,IF(N$339&gt;=0.75,1,0))</f>
        <v>0</v>
      </c>
      <c r="O342" s="55">
        <f t="shared" ref="O342:U342" si="335">IF(O$329=0,0,IF(O$339&gt;=0.75,1,0))</f>
        <v>0</v>
      </c>
      <c r="P342" s="55">
        <f>IF(SUM(N342:O342)=0,0,IF(SUM(N342:O342)=2,1,IF(AND(N$340=0,O342&gt;0),O342,SUM(N342:O342)/2)))</f>
        <v>0</v>
      </c>
      <c r="Q342" s="55">
        <f t="shared" si="335"/>
        <v>0</v>
      </c>
      <c r="R342" s="55">
        <f t="shared" si="335"/>
        <v>0</v>
      </c>
      <c r="S342" s="55">
        <f>IF(SUM(Q342:R342)=0,0,IF(SUM(Q342:R342)=2,1,IF(AND(Q$340=0,R342&gt;0),R342,SUM(Q342:R342)/2)))</f>
        <v>0</v>
      </c>
      <c r="T342" s="55">
        <f t="shared" si="335"/>
        <v>0</v>
      </c>
      <c r="U342" s="55">
        <f t="shared" si="335"/>
        <v>0</v>
      </c>
      <c r="V342" s="55">
        <f>IF(SUM(T342:U342)=0,0,IF(SUM(T342:U342)=2,1,IF(AND(T$340=0,U342&gt;0),U342,SUM(T342:U342)/2)))</f>
        <v>0</v>
      </c>
      <c r="W342" s="1324">
        <f>N342+Q342+T342</f>
        <v>0</v>
      </c>
      <c r="X342" s="1000">
        <f>O342+R342+U342</f>
        <v>0</v>
      </c>
      <c r="Y342" s="996">
        <f>P342+S342+V342</f>
        <v>0</v>
      </c>
      <c r="Z342" s="19">
        <f>IF(Y$569=0,0,Y342/Y$569)</f>
        <v>0</v>
      </c>
      <c r="AA342" s="197"/>
      <c r="AB342" s="197"/>
      <c r="AC342" s="198"/>
      <c r="AE342" s="55"/>
      <c r="AF342" s="55"/>
      <c r="AG342" s="55"/>
      <c r="AH342" s="164"/>
      <c r="AI342" s="197"/>
      <c r="AK342" s="55"/>
      <c r="AL342" s="55"/>
      <c r="AM342" s="55"/>
      <c r="AN342" s="164"/>
      <c r="AO342" s="197"/>
      <c r="AQ342" s="55"/>
      <c r="AR342" s="55"/>
      <c r="AS342" s="55"/>
      <c r="AT342" s="164"/>
      <c r="AU342" s="197"/>
      <c r="AW342" s="55"/>
      <c r="AX342" s="55"/>
      <c r="AY342" s="55"/>
      <c r="AZ342" s="164"/>
      <c r="BA342" s="197"/>
    </row>
    <row r="343" spans="1:53" s="117" customFormat="1" ht="17.100000000000001" customHeight="1" x14ac:dyDescent="0.25">
      <c r="A343" s="119"/>
      <c r="B343" s="119"/>
      <c r="C343" s="136"/>
      <c r="D343" s="75" t="s">
        <v>325</v>
      </c>
      <c r="E343" s="75"/>
      <c r="F343" s="75"/>
      <c r="G343" s="75"/>
      <c r="H343" s="1322"/>
      <c r="I343" s="12"/>
      <c r="J343" s="55" t="str">
        <f>IF(J$506=0,"",IF(AND(J340&gt;=0.5,J340&lt;0.75),1,0))</f>
        <v/>
      </c>
      <c r="K343" s="55" t="str">
        <f>IF(K$506=0,"",IF(AND(K340&gt;=0.5,K340&lt;0.75),1,0))</f>
        <v/>
      </c>
      <c r="L343" s="55" t="str">
        <f>IF(L$506=0,"",IF(AND(L340&gt;=0.5,L340&lt;0.75),1,0))</f>
        <v/>
      </c>
      <c r="M343" s="55"/>
      <c r="N343" s="55">
        <f>IF(N$329=0,0,IF(AND(N339&gt;=0.5,N339&lt;0.75),1,0))</f>
        <v>0</v>
      </c>
      <c r="O343" s="55">
        <f t="shared" ref="O343:U343" si="336">IF(O$329=0,0,IF(AND(O339&gt;=0.5,O339&lt;0.75),1,0))</f>
        <v>0</v>
      </c>
      <c r="P343" s="55">
        <f t="shared" ref="P343:P344" si="337">IF(SUM(N343:O343)=0,0,IF(SUM(N343:O343)=2,1,IF(AND(N$340=0,O343&gt;0),O343,SUM(N343:O343)/2)))</f>
        <v>0</v>
      </c>
      <c r="Q343" s="55">
        <f t="shared" si="336"/>
        <v>0</v>
      </c>
      <c r="R343" s="55">
        <f t="shared" si="336"/>
        <v>0</v>
      </c>
      <c r="S343" s="55">
        <f t="shared" ref="S343:S344" si="338">IF(SUM(Q343:R343)=0,0,IF(SUM(Q343:R343)=2,1,IF(AND(Q$340=0,R343&gt;0),R343,SUM(Q343:R343)/2)))</f>
        <v>0</v>
      </c>
      <c r="T343" s="55">
        <f t="shared" si="336"/>
        <v>0</v>
      </c>
      <c r="U343" s="55">
        <f t="shared" si="336"/>
        <v>0</v>
      </c>
      <c r="V343" s="55">
        <f t="shared" ref="V343:V344" si="339">IF(SUM(T343:U343)=0,0,IF(SUM(T343:U343)=2,1,IF(AND(T$340=0,U343&gt;0),U343,SUM(T343:U343)/2)))</f>
        <v>0</v>
      </c>
      <c r="W343" s="1324">
        <f t="shared" ref="W343:Y344" si="340">N343+Q343+T343</f>
        <v>0</v>
      </c>
      <c r="X343" s="1000">
        <f t="shared" si="340"/>
        <v>0</v>
      </c>
      <c r="Y343" s="996">
        <f t="shared" si="340"/>
        <v>0</v>
      </c>
      <c r="Z343" s="19">
        <f>IF(Y$569=0,0,Y343/Y$569)</f>
        <v>0</v>
      </c>
      <c r="AA343" s="197"/>
      <c r="AB343" s="197"/>
      <c r="AC343" s="198"/>
      <c r="AE343" s="55"/>
      <c r="AF343" s="55"/>
      <c r="AG343" s="55"/>
      <c r="AH343" s="164"/>
      <c r="AI343" s="197"/>
      <c r="AK343" s="55"/>
      <c r="AL343" s="55"/>
      <c r="AM343" s="55"/>
      <c r="AN343" s="164"/>
      <c r="AO343" s="197"/>
      <c r="AQ343" s="55"/>
      <c r="AR343" s="55"/>
      <c r="AS343" s="55"/>
      <c r="AT343" s="164"/>
      <c r="AU343" s="197"/>
      <c r="AW343" s="55"/>
      <c r="AX343" s="55"/>
      <c r="AY343" s="55"/>
      <c r="AZ343" s="164"/>
      <c r="BA343" s="197"/>
    </row>
    <row r="344" spans="1:53" s="97" customFormat="1" ht="17.100000000000001" customHeight="1" x14ac:dyDescent="0.25">
      <c r="A344" s="119"/>
      <c r="B344" s="119"/>
      <c r="C344" s="137"/>
      <c r="D344" s="75" t="s">
        <v>326</v>
      </c>
      <c r="E344" s="75"/>
      <c r="F344" s="75"/>
      <c r="G344" s="75"/>
      <c r="H344" s="1322"/>
      <c r="I344" s="12"/>
      <c r="J344" s="55" t="str">
        <f>IF(J$506=0,"",IF(J340&lt;0.5,1,0))</f>
        <v/>
      </c>
      <c r="K344" s="55" t="str">
        <f>IF(K$506=0,"",IF(K340&lt;0.5,1,0))</f>
        <v/>
      </c>
      <c r="L344" s="55" t="str">
        <f>IF(L$506=0,"",IF(L340&lt;0.5,1,0))</f>
        <v/>
      </c>
      <c r="M344" s="55"/>
      <c r="N344" s="55">
        <f>IF(N$329=0,0,IF(N339&lt;0.5,1,0))</f>
        <v>0</v>
      </c>
      <c r="O344" s="55">
        <f t="shared" ref="O344:U344" si="341">IF(O$329=0,0,IF(O339&lt;0.5,1,0))</f>
        <v>0</v>
      </c>
      <c r="P344" s="55">
        <f t="shared" si="337"/>
        <v>0</v>
      </c>
      <c r="Q344" s="55">
        <f t="shared" si="341"/>
        <v>0</v>
      </c>
      <c r="R344" s="55">
        <f t="shared" si="341"/>
        <v>1</v>
      </c>
      <c r="S344" s="55">
        <f t="shared" si="338"/>
        <v>1</v>
      </c>
      <c r="T344" s="55">
        <f t="shared" si="341"/>
        <v>0</v>
      </c>
      <c r="U344" s="55">
        <f t="shared" si="341"/>
        <v>0</v>
      </c>
      <c r="V344" s="55">
        <f t="shared" si="339"/>
        <v>0</v>
      </c>
      <c r="W344" s="1324">
        <f t="shared" si="340"/>
        <v>0</v>
      </c>
      <c r="X344" s="1000">
        <f t="shared" si="340"/>
        <v>1</v>
      </c>
      <c r="Y344" s="996">
        <f t="shared" si="340"/>
        <v>1</v>
      </c>
      <c r="Z344" s="19">
        <f>IF(Y$569=0,0,Y344/Y$569)</f>
        <v>0</v>
      </c>
      <c r="AA344" s="197"/>
      <c r="AB344" s="197"/>
      <c r="AC344" s="198"/>
      <c r="AE344" s="55"/>
      <c r="AF344" s="55"/>
      <c r="AG344" s="55"/>
      <c r="AH344" s="164"/>
      <c r="AI344" s="197"/>
      <c r="AK344" s="55"/>
      <c r="AL344" s="55"/>
      <c r="AM344" s="55"/>
      <c r="AN344" s="164"/>
      <c r="AO344" s="197"/>
      <c r="AQ344" s="55"/>
      <c r="AR344" s="55"/>
      <c r="AS344" s="55"/>
      <c r="AT344" s="164"/>
      <c r="AU344" s="197"/>
      <c r="AW344" s="55"/>
      <c r="AX344" s="55"/>
      <c r="AY344" s="55"/>
      <c r="AZ344" s="164"/>
      <c r="BA344" s="197"/>
    </row>
    <row r="345" spans="1:53" s="117" customFormat="1" ht="17.100000000000001" customHeight="1" x14ac:dyDescent="0.25">
      <c r="A345" s="119"/>
      <c r="B345" s="119"/>
      <c r="C345" s="119"/>
      <c r="D345" s="428"/>
      <c r="E345" s="93"/>
      <c r="F345" s="93"/>
      <c r="G345" s="93"/>
      <c r="H345" s="1322"/>
      <c r="I345" s="12"/>
      <c r="J345" s="191"/>
      <c r="K345" s="191"/>
      <c r="L345" s="191"/>
      <c r="M345" s="191"/>
      <c r="N345" s="191"/>
      <c r="O345" s="191"/>
      <c r="P345" s="191"/>
      <c r="Q345" s="191"/>
      <c r="R345" s="191"/>
      <c r="S345" s="191"/>
      <c r="T345" s="191"/>
      <c r="U345" s="191"/>
      <c r="V345" s="191"/>
      <c r="W345" s="394"/>
      <c r="X345" s="191"/>
      <c r="Y345" s="164">
        <f>SUM(Y342:Y344)</f>
        <v>1</v>
      </c>
      <c r="Z345" s="19">
        <f t="shared" ref="Z345" si="342">IF(Y$569=0,0,Y345/Y$569)</f>
        <v>0</v>
      </c>
      <c r="AA345" s="192"/>
      <c r="AB345" s="192"/>
      <c r="AC345" s="198"/>
      <c r="AE345" s="191"/>
      <c r="AF345" s="191"/>
      <c r="AG345" s="191"/>
      <c r="AH345" s="164"/>
      <c r="AI345" s="192"/>
      <c r="AK345" s="191"/>
      <c r="AL345" s="191"/>
      <c r="AM345" s="191"/>
      <c r="AN345" s="164"/>
      <c r="AO345" s="192"/>
      <c r="AQ345" s="191"/>
      <c r="AR345" s="191"/>
      <c r="AS345" s="191"/>
      <c r="AT345" s="164"/>
      <c r="AU345" s="192"/>
      <c r="AW345" s="191"/>
      <c r="AX345" s="191"/>
      <c r="AY345" s="191"/>
      <c r="AZ345" s="164"/>
      <c r="BA345" s="192"/>
    </row>
    <row r="358" spans="4:9" s="2" customFormat="1" ht="17.100000000000001" customHeight="1" x14ac:dyDescent="0.25">
      <c r="D358" s="3"/>
      <c r="E358" s="3"/>
      <c r="F358" s="4"/>
      <c r="G358" s="4"/>
      <c r="H358" s="4"/>
      <c r="I358" s="97"/>
    </row>
    <row r="359" spans="4:9" s="2" customFormat="1" ht="17.100000000000001" customHeight="1" x14ac:dyDescent="0.25">
      <c r="D359" s="3"/>
      <c r="E359" s="3"/>
      <c r="F359" s="4"/>
      <c r="G359" s="4"/>
      <c r="H359" s="4"/>
      <c r="I359" s="97"/>
    </row>
    <row r="360" spans="4:9" s="2" customFormat="1" ht="17.100000000000001" customHeight="1" x14ac:dyDescent="0.25">
      <c r="D360" s="3"/>
      <c r="E360" s="3"/>
      <c r="F360" s="4"/>
      <c r="G360" s="4"/>
      <c r="H360" s="4"/>
      <c r="I360" s="97"/>
    </row>
    <row r="361" spans="4:9" s="2" customFormat="1" ht="17.100000000000001" customHeight="1" x14ac:dyDescent="0.25">
      <c r="D361" s="3"/>
      <c r="E361" s="3"/>
      <c r="F361" s="4"/>
      <c r="G361" s="4"/>
      <c r="H361" s="4"/>
      <c r="I361" s="97"/>
    </row>
    <row r="362" spans="4:9" s="2" customFormat="1" ht="17.100000000000001" customHeight="1" x14ac:dyDescent="0.25">
      <c r="D362" s="3"/>
      <c r="E362" s="3"/>
      <c r="F362" s="4"/>
      <c r="G362" s="4"/>
      <c r="H362" s="4"/>
      <c r="I362" s="97"/>
    </row>
    <row r="363" spans="4:9" s="2" customFormat="1" ht="17.100000000000001" customHeight="1" x14ac:dyDescent="0.25">
      <c r="D363" s="3"/>
      <c r="E363" s="3"/>
      <c r="F363" s="4"/>
      <c r="G363" s="4"/>
      <c r="H363" s="4"/>
      <c r="I363" s="97"/>
    </row>
    <row r="364" spans="4:9" s="2" customFormat="1" ht="17.100000000000001" customHeight="1" x14ac:dyDescent="0.25">
      <c r="D364" s="3"/>
      <c r="E364" s="3"/>
      <c r="F364" s="4"/>
      <c r="G364" s="4"/>
      <c r="H364" s="4"/>
      <c r="I364" s="97"/>
    </row>
    <row r="365" spans="4:9" s="2" customFormat="1" ht="17.100000000000001" customHeight="1" x14ac:dyDescent="0.25">
      <c r="D365" s="3"/>
      <c r="E365" s="3"/>
      <c r="F365" s="4"/>
      <c r="G365" s="4"/>
      <c r="H365" s="4"/>
      <c r="I365" s="97"/>
    </row>
    <row r="366" spans="4:9" s="2" customFormat="1" ht="17.100000000000001" customHeight="1" x14ac:dyDescent="0.25">
      <c r="D366" s="3"/>
      <c r="E366" s="3"/>
      <c r="F366" s="4"/>
      <c r="G366" s="4"/>
      <c r="H366" s="4"/>
      <c r="I366" s="97"/>
    </row>
    <row r="367" spans="4:9" s="2" customFormat="1" ht="17.100000000000001" customHeight="1" x14ac:dyDescent="0.25">
      <c r="D367" s="3"/>
      <c r="E367" s="3"/>
      <c r="F367" s="4"/>
      <c r="G367" s="4"/>
      <c r="H367" s="4"/>
      <c r="I367" s="97"/>
    </row>
    <row r="368" spans="4:9" s="2" customFormat="1" ht="17.100000000000001" customHeight="1" x14ac:dyDescent="0.25">
      <c r="D368" s="3"/>
      <c r="E368" s="3"/>
      <c r="F368" s="4"/>
      <c r="G368" s="4"/>
      <c r="H368" s="4"/>
      <c r="I368" s="97"/>
    </row>
    <row r="369" spans="4:9" s="2" customFormat="1" ht="17.100000000000001" customHeight="1" x14ac:dyDescent="0.25">
      <c r="D369" s="3"/>
      <c r="E369" s="3"/>
      <c r="F369" s="4"/>
      <c r="G369" s="4"/>
      <c r="H369" s="4"/>
      <c r="I369" s="97"/>
    </row>
    <row r="370" spans="4:9" s="2" customFormat="1" ht="17.100000000000001" customHeight="1" x14ac:dyDescent="0.25">
      <c r="D370" s="3"/>
      <c r="E370" s="3"/>
      <c r="F370" s="4"/>
      <c r="G370" s="4"/>
      <c r="H370" s="4"/>
      <c r="I370" s="97"/>
    </row>
    <row r="371" spans="4:9" s="2" customFormat="1" ht="17.100000000000001" customHeight="1" x14ac:dyDescent="0.25">
      <c r="D371" s="3"/>
      <c r="E371" s="3"/>
      <c r="F371" s="4"/>
      <c r="G371" s="4"/>
      <c r="H371" s="4"/>
      <c r="I371" s="97"/>
    </row>
    <row r="372" spans="4:9" s="2" customFormat="1" ht="17.100000000000001" customHeight="1" x14ac:dyDescent="0.25">
      <c r="D372" s="3"/>
      <c r="E372" s="3"/>
      <c r="F372" s="4"/>
      <c r="G372" s="4"/>
      <c r="H372" s="4"/>
      <c r="I372" s="97"/>
    </row>
    <row r="373" spans="4:9" s="2" customFormat="1" ht="17.100000000000001" customHeight="1" x14ac:dyDescent="0.25">
      <c r="D373" s="3"/>
      <c r="E373" s="3"/>
      <c r="F373" s="4"/>
      <c r="G373" s="4"/>
      <c r="H373" s="4"/>
      <c r="I373" s="97"/>
    </row>
    <row r="374" spans="4:9" s="2" customFormat="1" ht="17.100000000000001" customHeight="1" x14ac:dyDescent="0.25">
      <c r="D374" s="3"/>
      <c r="E374" s="3"/>
      <c r="F374" s="4"/>
      <c r="G374" s="4"/>
      <c r="H374" s="4"/>
      <c r="I374" s="97"/>
    </row>
    <row r="375" spans="4:9" s="2" customFormat="1" ht="17.100000000000001" customHeight="1" x14ac:dyDescent="0.25">
      <c r="D375" s="3"/>
      <c r="E375" s="3"/>
      <c r="F375" s="4"/>
      <c r="G375" s="4"/>
      <c r="H375" s="4"/>
      <c r="I375" s="97"/>
    </row>
    <row r="376" spans="4:9" s="2" customFormat="1" ht="17.100000000000001" customHeight="1" x14ac:dyDescent="0.25">
      <c r="D376" s="3"/>
      <c r="E376" s="3"/>
      <c r="F376" s="4"/>
      <c r="G376" s="4"/>
      <c r="H376" s="4"/>
      <c r="I376" s="97"/>
    </row>
    <row r="377" spans="4:9" s="2" customFormat="1" ht="17.100000000000001" customHeight="1" x14ac:dyDescent="0.25">
      <c r="D377" s="3"/>
      <c r="E377" s="3"/>
      <c r="F377" s="4"/>
      <c r="G377" s="4"/>
      <c r="H377" s="4"/>
      <c r="I377" s="97"/>
    </row>
    <row r="378" spans="4:9" s="2" customFormat="1" ht="17.100000000000001" customHeight="1" x14ac:dyDescent="0.25">
      <c r="D378" s="3"/>
      <c r="E378" s="3"/>
      <c r="F378" s="4"/>
      <c r="G378" s="4"/>
      <c r="H378" s="4"/>
      <c r="I378" s="97"/>
    </row>
    <row r="379" spans="4:9" s="2" customFormat="1" ht="17.100000000000001" customHeight="1" x14ac:dyDescent="0.25">
      <c r="D379" s="3"/>
      <c r="E379" s="3"/>
      <c r="F379" s="4"/>
      <c r="G379" s="4"/>
      <c r="H379" s="4"/>
      <c r="I379" s="97"/>
    </row>
    <row r="380" spans="4:9" s="2" customFormat="1" ht="17.100000000000001" customHeight="1" x14ac:dyDescent="0.25">
      <c r="D380" s="3"/>
      <c r="E380" s="3"/>
      <c r="F380" s="4"/>
      <c r="G380" s="4"/>
      <c r="H380" s="4"/>
      <c r="I380" s="97"/>
    </row>
    <row r="381" spans="4:9" s="2" customFormat="1" ht="17.100000000000001" customHeight="1" x14ac:dyDescent="0.25">
      <c r="D381" s="3"/>
      <c r="E381" s="3"/>
      <c r="F381" s="4"/>
      <c r="G381" s="4"/>
      <c r="H381" s="4"/>
      <c r="I381" s="97"/>
    </row>
    <row r="382" spans="4:9" s="2" customFormat="1" ht="17.100000000000001" customHeight="1" x14ac:dyDescent="0.25">
      <c r="D382" s="3"/>
      <c r="E382" s="3"/>
      <c r="F382" s="4"/>
      <c r="G382" s="4"/>
      <c r="H382" s="4"/>
      <c r="I382" s="97"/>
    </row>
    <row r="383" spans="4:9" s="2" customFormat="1" ht="17.100000000000001" customHeight="1" x14ac:dyDescent="0.25">
      <c r="D383" s="3"/>
      <c r="E383" s="3"/>
      <c r="F383" s="4"/>
      <c r="G383" s="4"/>
      <c r="H383" s="4"/>
      <c r="I383" s="97"/>
    </row>
    <row r="384" spans="4:9" s="2" customFormat="1" ht="17.100000000000001" customHeight="1" x14ac:dyDescent="0.25">
      <c r="D384" s="3"/>
      <c r="E384" s="3"/>
      <c r="F384" s="4"/>
      <c r="G384" s="4"/>
      <c r="H384" s="4"/>
      <c r="I384" s="97"/>
    </row>
    <row r="385" spans="4:9" s="2" customFormat="1" ht="17.100000000000001" customHeight="1" x14ac:dyDescent="0.25">
      <c r="D385" s="3"/>
      <c r="E385" s="3"/>
      <c r="F385" s="4"/>
      <c r="G385" s="4"/>
      <c r="H385" s="4"/>
      <c r="I385" s="97"/>
    </row>
    <row r="386" spans="4:9" s="2" customFormat="1" ht="17.100000000000001" customHeight="1" x14ac:dyDescent="0.25">
      <c r="D386" s="3"/>
      <c r="E386" s="3"/>
      <c r="F386" s="4"/>
      <c r="G386" s="4"/>
      <c r="H386" s="4"/>
      <c r="I386" s="97"/>
    </row>
    <row r="387" spans="4:9" s="2" customFormat="1" ht="17.100000000000001" customHeight="1" x14ac:dyDescent="0.25">
      <c r="D387" s="3"/>
      <c r="E387" s="3"/>
      <c r="F387" s="4"/>
      <c r="G387" s="4"/>
      <c r="H387" s="4"/>
      <c r="I387" s="97"/>
    </row>
    <row r="388" spans="4:9" s="2" customFormat="1" ht="17.100000000000001" customHeight="1" x14ac:dyDescent="0.25">
      <c r="D388" s="3"/>
      <c r="E388" s="3"/>
      <c r="F388" s="4"/>
      <c r="G388" s="4"/>
      <c r="H388" s="4"/>
      <c r="I388" s="97"/>
    </row>
    <row r="389" spans="4:9" s="2" customFormat="1" ht="17.100000000000001" customHeight="1" x14ac:dyDescent="0.25">
      <c r="D389" s="3"/>
      <c r="E389" s="3"/>
      <c r="F389" s="4"/>
      <c r="G389" s="4"/>
      <c r="H389" s="4"/>
      <c r="I389" s="97"/>
    </row>
    <row r="390" spans="4:9" s="2" customFormat="1" ht="17.100000000000001" customHeight="1" x14ac:dyDescent="0.25">
      <c r="D390" s="3"/>
      <c r="E390" s="3"/>
      <c r="F390" s="4"/>
      <c r="G390" s="4"/>
      <c r="H390" s="4"/>
      <c r="I390" s="97"/>
    </row>
    <row r="391" spans="4:9" s="2" customFormat="1" ht="17.100000000000001" customHeight="1" x14ac:dyDescent="0.25">
      <c r="D391" s="3"/>
      <c r="E391" s="3"/>
      <c r="F391" s="4"/>
      <c r="G391" s="4"/>
      <c r="H391" s="4"/>
      <c r="I391" s="97"/>
    </row>
    <row r="392" spans="4:9" s="2" customFormat="1" ht="17.100000000000001" customHeight="1" x14ac:dyDescent="0.25">
      <c r="D392" s="3"/>
      <c r="E392" s="3"/>
      <c r="F392" s="4"/>
      <c r="G392" s="4"/>
      <c r="H392" s="4"/>
      <c r="I392" s="97"/>
    </row>
    <row r="393" spans="4:9" s="2" customFormat="1" ht="17.100000000000001" customHeight="1" x14ac:dyDescent="0.25">
      <c r="D393" s="3"/>
      <c r="E393" s="3"/>
      <c r="F393" s="4"/>
      <c r="G393" s="4"/>
      <c r="H393" s="4"/>
      <c r="I393" s="97"/>
    </row>
    <row r="394" spans="4:9" s="2" customFormat="1" ht="17.100000000000001" customHeight="1" x14ac:dyDescent="0.25">
      <c r="D394" s="3"/>
      <c r="E394" s="3"/>
      <c r="F394" s="4"/>
      <c r="G394" s="4"/>
      <c r="H394" s="4"/>
      <c r="I394" s="97"/>
    </row>
    <row r="395" spans="4:9" s="2" customFormat="1" ht="17.100000000000001" customHeight="1" x14ac:dyDescent="0.25">
      <c r="D395" s="3"/>
      <c r="E395" s="3"/>
      <c r="F395" s="4"/>
      <c r="G395" s="4"/>
      <c r="H395" s="4"/>
      <c r="I395" s="97"/>
    </row>
    <row r="396" spans="4:9" s="2" customFormat="1" ht="17.100000000000001" customHeight="1" x14ac:dyDescent="0.25">
      <c r="D396" s="3"/>
      <c r="E396" s="3"/>
      <c r="F396" s="4"/>
      <c r="G396" s="4"/>
      <c r="H396" s="4"/>
      <c r="I396" s="97"/>
    </row>
    <row r="397" spans="4:9" s="2" customFormat="1" ht="17.100000000000001" customHeight="1" x14ac:dyDescent="0.25">
      <c r="D397" s="3"/>
      <c r="E397" s="3"/>
      <c r="F397" s="4"/>
      <c r="G397" s="4"/>
      <c r="H397" s="4"/>
      <c r="I397" s="97"/>
    </row>
    <row r="398" spans="4:9" s="2" customFormat="1" ht="17.100000000000001" customHeight="1" x14ac:dyDescent="0.25">
      <c r="D398" s="3"/>
      <c r="E398" s="3"/>
      <c r="F398" s="4"/>
      <c r="G398" s="4"/>
      <c r="H398" s="4"/>
      <c r="I398" s="97"/>
    </row>
    <row r="399" spans="4:9" s="2" customFormat="1" ht="17.100000000000001" customHeight="1" x14ac:dyDescent="0.25">
      <c r="D399" s="3"/>
      <c r="E399" s="3"/>
      <c r="F399" s="4"/>
      <c r="G399" s="4"/>
      <c r="H399" s="4"/>
      <c r="I399" s="97"/>
    </row>
    <row r="400" spans="4:9" s="2" customFormat="1" ht="17.100000000000001" customHeight="1" x14ac:dyDescent="0.25">
      <c r="D400" s="3"/>
      <c r="E400" s="3"/>
      <c r="F400" s="4"/>
      <c r="G400" s="4"/>
      <c r="H400" s="4"/>
      <c r="I400" s="97"/>
    </row>
    <row r="401" spans="4:9" s="2" customFormat="1" ht="17.100000000000001" customHeight="1" x14ac:dyDescent="0.25">
      <c r="D401" s="3"/>
      <c r="E401" s="3"/>
      <c r="F401" s="4"/>
      <c r="G401" s="4"/>
      <c r="H401" s="4"/>
      <c r="I401" s="97"/>
    </row>
    <row r="402" spans="4:9" s="2" customFormat="1" ht="17.100000000000001" customHeight="1" x14ac:dyDescent="0.25">
      <c r="D402" s="3"/>
      <c r="E402" s="3"/>
      <c r="F402" s="4"/>
      <c r="G402" s="4"/>
      <c r="H402" s="4"/>
      <c r="I402" s="97"/>
    </row>
    <row r="403" spans="4:9" s="2" customFormat="1" ht="17.100000000000001" customHeight="1" x14ac:dyDescent="0.25">
      <c r="D403" s="3"/>
      <c r="E403" s="3"/>
      <c r="F403" s="4"/>
      <c r="G403" s="4"/>
      <c r="H403" s="4"/>
      <c r="I403" s="97"/>
    </row>
    <row r="404" spans="4:9" s="2" customFormat="1" ht="17.100000000000001" customHeight="1" x14ac:dyDescent="0.25">
      <c r="D404" s="3"/>
      <c r="E404" s="3"/>
      <c r="F404" s="4"/>
      <c r="G404" s="4"/>
      <c r="H404" s="4"/>
      <c r="I404" s="97"/>
    </row>
    <row r="405" spans="4:9" s="2" customFormat="1" ht="17.100000000000001" customHeight="1" x14ac:dyDescent="0.25">
      <c r="D405" s="3"/>
      <c r="E405" s="3"/>
      <c r="F405" s="4"/>
      <c r="G405" s="4"/>
      <c r="H405" s="4"/>
      <c r="I405" s="97"/>
    </row>
    <row r="406" spans="4:9" s="2" customFormat="1" ht="17.100000000000001" customHeight="1" x14ac:dyDescent="0.25">
      <c r="D406" s="3"/>
      <c r="E406" s="3"/>
      <c r="F406" s="4"/>
      <c r="G406" s="4"/>
      <c r="H406" s="4"/>
      <c r="I406" s="97"/>
    </row>
    <row r="407" spans="4:9" s="2" customFormat="1" ht="17.100000000000001" customHeight="1" x14ac:dyDescent="0.25">
      <c r="D407" s="3"/>
      <c r="E407" s="3"/>
      <c r="F407" s="4"/>
      <c r="G407" s="4"/>
      <c r="H407" s="4"/>
      <c r="I407" s="97"/>
    </row>
    <row r="408" spans="4:9" s="2" customFormat="1" ht="17.100000000000001" customHeight="1" x14ac:dyDescent="0.25">
      <c r="D408" s="3"/>
      <c r="E408" s="3"/>
      <c r="F408" s="4"/>
      <c r="G408" s="4"/>
      <c r="H408" s="4"/>
      <c r="I408" s="97"/>
    </row>
    <row r="409" spans="4:9" s="2" customFormat="1" ht="17.100000000000001" customHeight="1" x14ac:dyDescent="0.25">
      <c r="D409" s="3"/>
      <c r="E409" s="3"/>
      <c r="F409" s="4"/>
      <c r="G409" s="4"/>
      <c r="H409" s="4"/>
      <c r="I409" s="97"/>
    </row>
    <row r="410" spans="4:9" s="2" customFormat="1" ht="17.100000000000001" customHeight="1" x14ac:dyDescent="0.25">
      <c r="D410" s="3"/>
      <c r="E410" s="3"/>
      <c r="F410" s="4"/>
      <c r="G410" s="4"/>
      <c r="H410" s="4"/>
      <c r="I410" s="97"/>
    </row>
    <row r="411" spans="4:9" s="2" customFormat="1" ht="17.100000000000001" customHeight="1" x14ac:dyDescent="0.25">
      <c r="D411" s="3"/>
      <c r="E411" s="3"/>
      <c r="F411" s="4"/>
      <c r="G411" s="4"/>
      <c r="H411" s="4"/>
      <c r="I411" s="97"/>
    </row>
    <row r="412" spans="4:9" s="2" customFormat="1" ht="17.100000000000001" customHeight="1" x14ac:dyDescent="0.25">
      <c r="D412" s="3"/>
      <c r="E412" s="3"/>
      <c r="F412" s="4"/>
      <c r="G412" s="4"/>
      <c r="H412" s="4"/>
      <c r="I412" s="97"/>
    </row>
    <row r="413" spans="4:9" s="2" customFormat="1" ht="17.100000000000001" customHeight="1" x14ac:dyDescent="0.25">
      <c r="D413" s="3"/>
      <c r="E413" s="3"/>
      <c r="F413" s="4"/>
      <c r="G413" s="4"/>
      <c r="H413" s="4"/>
      <c r="I413" s="97"/>
    </row>
    <row r="414" spans="4:9" s="2" customFormat="1" ht="17.100000000000001" customHeight="1" x14ac:dyDescent="0.25">
      <c r="D414" s="3"/>
      <c r="E414" s="3"/>
      <c r="F414" s="4"/>
      <c r="G414" s="4"/>
      <c r="H414" s="4"/>
      <c r="I414" s="97"/>
    </row>
    <row r="415" spans="4:9" s="2" customFormat="1" ht="17.100000000000001" customHeight="1" x14ac:dyDescent="0.25">
      <c r="D415" s="3"/>
      <c r="E415" s="3"/>
      <c r="F415" s="4"/>
      <c r="G415" s="4"/>
      <c r="H415" s="4"/>
      <c r="I415" s="97"/>
    </row>
    <row r="416" spans="4:9" s="2" customFormat="1" ht="17.100000000000001" customHeight="1" x14ac:dyDescent="0.25">
      <c r="D416" s="3"/>
      <c r="E416" s="3"/>
      <c r="F416" s="4"/>
      <c r="G416" s="4"/>
      <c r="H416" s="4"/>
      <c r="I416" s="97"/>
    </row>
    <row r="417" spans="4:9" s="2" customFormat="1" ht="17.100000000000001" customHeight="1" x14ac:dyDescent="0.25">
      <c r="D417" s="3"/>
      <c r="E417" s="3"/>
      <c r="F417" s="4"/>
      <c r="G417" s="4"/>
      <c r="H417" s="4"/>
      <c r="I417" s="97"/>
    </row>
    <row r="418" spans="4:9" s="2" customFormat="1" ht="17.100000000000001" customHeight="1" x14ac:dyDescent="0.25">
      <c r="D418" s="3"/>
      <c r="E418" s="3"/>
      <c r="F418" s="4"/>
      <c r="G418" s="4"/>
      <c r="H418" s="4"/>
      <c r="I418" s="97"/>
    </row>
    <row r="419" spans="4:9" s="2" customFormat="1" ht="17.100000000000001" customHeight="1" x14ac:dyDescent="0.25">
      <c r="D419" s="3"/>
      <c r="E419" s="3"/>
      <c r="F419" s="4"/>
      <c r="G419" s="4"/>
      <c r="H419" s="4"/>
      <c r="I419" s="97"/>
    </row>
    <row r="420" spans="4:9" s="2" customFormat="1" ht="17.100000000000001" customHeight="1" x14ac:dyDescent="0.25">
      <c r="D420" s="3"/>
      <c r="E420" s="3"/>
      <c r="F420" s="4"/>
      <c r="G420" s="4"/>
      <c r="H420" s="4"/>
      <c r="I420" s="97"/>
    </row>
    <row r="421" spans="4:9" s="2" customFormat="1" ht="17.100000000000001" customHeight="1" x14ac:dyDescent="0.25">
      <c r="D421" s="3"/>
      <c r="E421" s="3"/>
      <c r="F421" s="4"/>
      <c r="G421" s="4"/>
      <c r="H421" s="4"/>
      <c r="I421" s="97"/>
    </row>
    <row r="422" spans="4:9" s="2" customFormat="1" ht="17.100000000000001" customHeight="1" x14ac:dyDescent="0.25">
      <c r="D422" s="3"/>
      <c r="E422" s="3"/>
      <c r="F422" s="4"/>
      <c r="G422" s="4"/>
      <c r="H422" s="4"/>
      <c r="I422" s="97"/>
    </row>
    <row r="423" spans="4:9" s="2" customFormat="1" ht="17.100000000000001" customHeight="1" x14ac:dyDescent="0.25">
      <c r="D423" s="3"/>
      <c r="E423" s="3"/>
      <c r="F423" s="4"/>
      <c r="G423" s="4"/>
      <c r="H423" s="4"/>
      <c r="I423" s="97"/>
    </row>
    <row r="424" spans="4:9" s="2" customFormat="1" ht="17.100000000000001" customHeight="1" x14ac:dyDescent="0.25">
      <c r="D424" s="3"/>
      <c r="E424" s="3"/>
      <c r="F424" s="4"/>
      <c r="G424" s="4"/>
      <c r="H424" s="4"/>
      <c r="I424" s="97"/>
    </row>
    <row r="425" spans="4:9" s="2" customFormat="1" ht="17.100000000000001" customHeight="1" x14ac:dyDescent="0.25">
      <c r="D425" s="3"/>
      <c r="E425" s="3"/>
      <c r="F425" s="4"/>
      <c r="G425" s="4"/>
      <c r="H425" s="4"/>
      <c r="I425" s="97"/>
    </row>
    <row r="426" spans="4:9" s="2" customFormat="1" ht="17.100000000000001" customHeight="1" x14ac:dyDescent="0.25">
      <c r="D426" s="3"/>
      <c r="E426" s="3"/>
      <c r="F426" s="4"/>
      <c r="G426" s="4"/>
      <c r="H426" s="4"/>
      <c r="I426" s="97"/>
    </row>
    <row r="427" spans="4:9" s="2" customFormat="1" ht="17.100000000000001" customHeight="1" x14ac:dyDescent="0.25">
      <c r="D427" s="3"/>
      <c r="E427" s="3"/>
      <c r="F427" s="4"/>
      <c r="G427" s="4"/>
      <c r="H427" s="4"/>
      <c r="I427" s="97"/>
    </row>
    <row r="428" spans="4:9" s="2" customFormat="1" ht="17.100000000000001" customHeight="1" x14ac:dyDescent="0.25">
      <c r="D428" s="3"/>
      <c r="E428" s="3"/>
      <c r="F428" s="4"/>
      <c r="G428" s="4"/>
      <c r="H428" s="4"/>
      <c r="I428" s="97"/>
    </row>
    <row r="429" spans="4:9" s="2" customFormat="1" ht="17.100000000000001" customHeight="1" x14ac:dyDescent="0.25">
      <c r="D429" s="3"/>
      <c r="E429" s="3"/>
      <c r="F429" s="4"/>
      <c r="G429" s="4"/>
      <c r="H429" s="4"/>
      <c r="I429" s="97"/>
    </row>
    <row r="430" spans="4:9" s="2" customFormat="1" ht="17.100000000000001" customHeight="1" x14ac:dyDescent="0.25">
      <c r="D430" s="3"/>
      <c r="E430" s="3"/>
      <c r="F430" s="4"/>
      <c r="G430" s="4"/>
      <c r="H430" s="4"/>
      <c r="I430" s="97"/>
    </row>
    <row r="431" spans="4:9" s="2" customFormat="1" ht="17.100000000000001" customHeight="1" x14ac:dyDescent="0.25">
      <c r="D431" s="3"/>
      <c r="E431" s="3"/>
      <c r="F431" s="4"/>
      <c r="G431" s="4"/>
      <c r="H431" s="4"/>
      <c r="I431" s="97"/>
    </row>
    <row r="432" spans="4:9" s="2" customFormat="1" ht="17.100000000000001" customHeight="1" x14ac:dyDescent="0.25">
      <c r="D432" s="3"/>
      <c r="E432" s="3"/>
      <c r="F432" s="4"/>
      <c r="G432" s="4"/>
      <c r="H432" s="4"/>
      <c r="I432" s="97"/>
    </row>
    <row r="433" spans="1:9" s="2" customFormat="1" ht="17.100000000000001" customHeight="1" x14ac:dyDescent="0.25">
      <c r="D433" s="3"/>
      <c r="E433" s="3"/>
      <c r="F433" s="4"/>
      <c r="G433" s="4"/>
      <c r="H433" s="4"/>
      <c r="I433" s="97"/>
    </row>
    <row r="434" spans="1:9" s="2" customFormat="1" ht="17.100000000000001" customHeight="1" x14ac:dyDescent="0.25">
      <c r="D434" s="3"/>
      <c r="E434" s="3"/>
      <c r="F434" s="4"/>
      <c r="G434" s="4"/>
      <c r="H434" s="4"/>
      <c r="I434" s="97"/>
    </row>
    <row r="435" spans="1:9" s="2" customFormat="1" ht="17.100000000000001" customHeight="1" x14ac:dyDescent="0.25">
      <c r="D435" s="3"/>
      <c r="E435" s="3"/>
      <c r="F435" s="4"/>
      <c r="G435" s="4"/>
      <c r="H435" s="4"/>
      <c r="I435" s="97"/>
    </row>
    <row r="436" spans="1:9" s="2" customFormat="1" ht="17.100000000000001" customHeight="1" x14ac:dyDescent="0.25">
      <c r="D436" s="3"/>
      <c r="E436" s="3"/>
      <c r="F436" s="4"/>
      <c r="G436" s="4"/>
      <c r="H436" s="4"/>
      <c r="I436" s="97"/>
    </row>
    <row r="437" spans="1:9" s="2" customFormat="1" ht="17.100000000000001" customHeight="1" x14ac:dyDescent="0.25">
      <c r="D437" s="3"/>
      <c r="E437" s="3"/>
      <c r="F437" s="4"/>
      <c r="G437" s="4"/>
      <c r="H437" s="4"/>
      <c r="I437" s="97"/>
    </row>
    <row r="438" spans="1:9" s="2" customFormat="1" ht="17.100000000000001" customHeight="1" x14ac:dyDescent="0.25">
      <c r="D438" s="3"/>
      <c r="E438" s="3"/>
      <c r="F438" s="4"/>
      <c r="G438" s="4"/>
      <c r="H438" s="4"/>
      <c r="I438" s="97"/>
    </row>
    <row r="439" spans="1:9" s="2" customFormat="1" ht="17.100000000000001" customHeight="1" x14ac:dyDescent="0.25">
      <c r="D439" s="3"/>
      <c r="E439" s="3"/>
      <c r="F439" s="4"/>
      <c r="G439" s="4"/>
      <c r="H439" s="4"/>
      <c r="I439" s="97"/>
    </row>
    <row r="440" spans="1:9" s="2" customFormat="1" ht="17.100000000000001" customHeight="1" x14ac:dyDescent="0.25">
      <c r="D440" s="3"/>
      <c r="E440" s="3"/>
      <c r="F440" s="4"/>
      <c r="G440" s="4"/>
      <c r="H440" s="4"/>
      <c r="I440" s="97"/>
    </row>
    <row r="441" spans="1:9" s="2" customFormat="1" ht="17.100000000000001" customHeight="1" x14ac:dyDescent="0.25">
      <c r="A441" s="2" t="s">
        <v>608</v>
      </c>
      <c r="D441" s="3"/>
      <c r="E441" s="3"/>
      <c r="F441" s="4"/>
      <c r="G441" s="4"/>
      <c r="H441" s="4"/>
      <c r="I441" s="97"/>
    </row>
    <row r="442" spans="1:9" s="2" customFormat="1" ht="17.100000000000001" customHeight="1" x14ac:dyDescent="0.25">
      <c r="D442" s="3"/>
      <c r="E442" s="3"/>
      <c r="F442" s="4"/>
      <c r="G442" s="4"/>
      <c r="H442" s="4"/>
      <c r="I442" s="97"/>
    </row>
    <row r="443" spans="1:9" s="2" customFormat="1" ht="17.100000000000001" customHeight="1" x14ac:dyDescent="0.25">
      <c r="D443" s="3"/>
      <c r="E443" s="3"/>
      <c r="F443" s="4"/>
      <c r="G443" s="4"/>
      <c r="H443" s="4"/>
      <c r="I443" s="97"/>
    </row>
    <row r="444" spans="1:9" s="2" customFormat="1" ht="17.100000000000001" customHeight="1" x14ac:dyDescent="0.25">
      <c r="D444" s="3"/>
      <c r="E444" s="3"/>
      <c r="F444" s="4"/>
      <c r="G444" s="4"/>
      <c r="H444" s="4"/>
      <c r="I444" s="97"/>
    </row>
    <row r="445" spans="1:9" s="2" customFormat="1" ht="17.100000000000001" customHeight="1" x14ac:dyDescent="0.25">
      <c r="D445" s="3"/>
      <c r="E445" s="3"/>
      <c r="F445" s="4"/>
      <c r="G445" s="4"/>
      <c r="H445" s="4"/>
      <c r="I445" s="97"/>
    </row>
    <row r="446" spans="1:9" s="2" customFormat="1" ht="17.100000000000001" customHeight="1" x14ac:dyDescent="0.25">
      <c r="D446" s="3"/>
      <c r="E446" s="3"/>
      <c r="F446" s="4"/>
      <c r="G446" s="4"/>
      <c r="H446" s="4"/>
      <c r="I446" s="97"/>
    </row>
    <row r="447" spans="1:9" s="2" customFormat="1" ht="17.100000000000001" customHeight="1" x14ac:dyDescent="0.25">
      <c r="D447" s="3"/>
      <c r="E447" s="3"/>
      <c r="F447" s="4"/>
      <c r="G447" s="4"/>
      <c r="H447" s="4"/>
      <c r="I447" s="97"/>
    </row>
    <row r="448" spans="1:9" s="2" customFormat="1" ht="17.100000000000001" customHeight="1" x14ac:dyDescent="0.25">
      <c r="D448" s="3"/>
      <c r="E448" s="3"/>
      <c r="F448" s="4"/>
      <c r="G448" s="4"/>
      <c r="H448" s="4"/>
      <c r="I448" s="97"/>
    </row>
    <row r="449" spans="4:9" s="2" customFormat="1" ht="17.100000000000001" customHeight="1" x14ac:dyDescent="0.25">
      <c r="D449" s="3"/>
      <c r="E449" s="3"/>
      <c r="F449" s="4"/>
      <c r="G449" s="4"/>
      <c r="H449" s="4"/>
      <c r="I449" s="97"/>
    </row>
    <row r="450" spans="4:9" s="2" customFormat="1" ht="17.100000000000001" customHeight="1" x14ac:dyDescent="0.25">
      <c r="D450" s="3"/>
      <c r="E450" s="3"/>
      <c r="F450" s="4"/>
      <c r="G450" s="4"/>
      <c r="H450" s="4"/>
      <c r="I450" s="97"/>
    </row>
    <row r="451" spans="4:9" s="2" customFormat="1" ht="17.100000000000001" customHeight="1" x14ac:dyDescent="0.25">
      <c r="D451" s="3"/>
      <c r="E451" s="3"/>
      <c r="F451" s="4"/>
      <c r="G451" s="4"/>
      <c r="H451" s="4"/>
      <c r="I451" s="97"/>
    </row>
    <row r="452" spans="4:9" s="2" customFormat="1" ht="17.100000000000001" customHeight="1" x14ac:dyDescent="0.25">
      <c r="D452" s="3"/>
      <c r="E452" s="3"/>
      <c r="F452" s="4"/>
      <c r="G452" s="4"/>
      <c r="H452" s="4"/>
      <c r="I452" s="97"/>
    </row>
    <row r="453" spans="4:9" s="2" customFormat="1" ht="17.100000000000001" customHeight="1" x14ac:dyDescent="0.25">
      <c r="D453" s="3"/>
      <c r="E453" s="3"/>
      <c r="F453" s="4"/>
      <c r="G453" s="4"/>
      <c r="H453" s="4"/>
      <c r="I453" s="97"/>
    </row>
    <row r="454" spans="4:9" s="2" customFormat="1" ht="17.100000000000001" customHeight="1" x14ac:dyDescent="0.25">
      <c r="D454" s="3"/>
      <c r="E454" s="3"/>
      <c r="F454" s="4"/>
      <c r="G454" s="4"/>
      <c r="H454" s="4"/>
      <c r="I454" s="97"/>
    </row>
    <row r="455" spans="4:9" s="2" customFormat="1" ht="17.100000000000001" customHeight="1" x14ac:dyDescent="0.25">
      <c r="D455" s="3"/>
      <c r="E455" s="3"/>
      <c r="F455" s="4"/>
      <c r="G455" s="4"/>
      <c r="H455" s="4"/>
      <c r="I455" s="97"/>
    </row>
    <row r="456" spans="4:9" s="2" customFormat="1" ht="17.100000000000001" customHeight="1" x14ac:dyDescent="0.25">
      <c r="D456" s="3"/>
      <c r="E456" s="3"/>
      <c r="F456" s="4"/>
      <c r="G456" s="4"/>
      <c r="H456" s="4"/>
      <c r="I456" s="97"/>
    </row>
    <row r="457" spans="4:9" s="2" customFormat="1" ht="17.100000000000001" customHeight="1" x14ac:dyDescent="0.25">
      <c r="D457" s="3"/>
      <c r="E457" s="3"/>
      <c r="F457" s="4"/>
      <c r="G457" s="4"/>
      <c r="H457" s="4"/>
      <c r="I457" s="97"/>
    </row>
    <row r="458" spans="4:9" s="2" customFormat="1" ht="17.100000000000001" customHeight="1" x14ac:dyDescent="0.25">
      <c r="D458" s="3"/>
      <c r="E458" s="3"/>
      <c r="F458" s="4"/>
      <c r="G458" s="4"/>
      <c r="H458" s="4"/>
      <c r="I458" s="97"/>
    </row>
    <row r="459" spans="4:9" s="2" customFormat="1" ht="17.100000000000001" customHeight="1" x14ac:dyDescent="0.25">
      <c r="D459" s="3"/>
      <c r="E459" s="3"/>
      <c r="F459" s="4"/>
      <c r="G459" s="4"/>
      <c r="H459" s="4"/>
      <c r="I459" s="97"/>
    </row>
    <row r="460" spans="4:9" s="2" customFormat="1" ht="17.100000000000001" customHeight="1" x14ac:dyDescent="0.25">
      <c r="D460" s="3"/>
      <c r="E460" s="3"/>
      <c r="F460" s="4"/>
      <c r="G460" s="4"/>
      <c r="H460" s="4"/>
      <c r="I460" s="97"/>
    </row>
    <row r="461" spans="4:9" s="2" customFormat="1" ht="17.100000000000001" customHeight="1" x14ac:dyDescent="0.25">
      <c r="D461" s="3"/>
      <c r="E461" s="3"/>
      <c r="F461" s="4"/>
      <c r="G461" s="4"/>
      <c r="H461" s="4"/>
      <c r="I461" s="97"/>
    </row>
    <row r="462" spans="4:9" s="2" customFormat="1" ht="17.100000000000001" customHeight="1" x14ac:dyDescent="0.25">
      <c r="D462" s="3"/>
      <c r="E462" s="3"/>
      <c r="F462" s="4"/>
      <c r="G462" s="4"/>
      <c r="H462" s="4"/>
      <c r="I462" s="97"/>
    </row>
    <row r="463" spans="4:9" s="2" customFormat="1" ht="17.100000000000001" customHeight="1" x14ac:dyDescent="0.25">
      <c r="D463" s="3"/>
      <c r="E463" s="3"/>
      <c r="F463" s="4"/>
      <c r="G463" s="4"/>
      <c r="H463" s="4"/>
      <c r="I463" s="97"/>
    </row>
    <row r="464" spans="4:9" s="2" customFormat="1" ht="17.100000000000001" customHeight="1" x14ac:dyDescent="0.25">
      <c r="D464" s="3"/>
      <c r="E464" s="3"/>
      <c r="F464" s="4"/>
      <c r="G464" s="4"/>
      <c r="H464" s="4"/>
      <c r="I464" s="97"/>
    </row>
    <row r="465" spans="4:9" s="2" customFormat="1" ht="17.100000000000001" customHeight="1" x14ac:dyDescent="0.25">
      <c r="D465" s="3"/>
      <c r="E465" s="3"/>
      <c r="F465" s="4"/>
      <c r="G465" s="4"/>
      <c r="H465" s="4"/>
      <c r="I465" s="97"/>
    </row>
    <row r="466" spans="4:9" s="2" customFormat="1" ht="17.100000000000001" customHeight="1" x14ac:dyDescent="0.25">
      <c r="D466" s="3"/>
      <c r="E466" s="3"/>
      <c r="F466" s="4"/>
      <c r="G466" s="4"/>
      <c r="H466" s="4"/>
      <c r="I466" s="97"/>
    </row>
    <row r="467" spans="4:9" s="2" customFormat="1" ht="17.100000000000001" customHeight="1" x14ac:dyDescent="0.25">
      <c r="D467" s="3"/>
      <c r="E467" s="3"/>
      <c r="F467" s="4"/>
      <c r="G467" s="4"/>
      <c r="H467" s="4"/>
      <c r="I467" s="97"/>
    </row>
    <row r="468" spans="4:9" s="2" customFormat="1" ht="17.100000000000001" customHeight="1" x14ac:dyDescent="0.25">
      <c r="D468" s="3"/>
      <c r="E468" s="3"/>
      <c r="F468" s="4"/>
      <c r="G468" s="4"/>
      <c r="H468" s="4"/>
      <c r="I468" s="97"/>
    </row>
    <row r="469" spans="4:9" s="2" customFormat="1" ht="17.100000000000001" customHeight="1" x14ac:dyDescent="0.25">
      <c r="D469" s="3"/>
      <c r="E469" s="3"/>
      <c r="F469" s="4"/>
      <c r="G469" s="4"/>
      <c r="H469" s="4"/>
      <c r="I469" s="97"/>
    </row>
    <row r="470" spans="4:9" s="2" customFormat="1" ht="17.100000000000001" customHeight="1" x14ac:dyDescent="0.25">
      <c r="D470" s="3"/>
      <c r="E470" s="3"/>
      <c r="F470" s="4"/>
      <c r="G470" s="4"/>
      <c r="H470" s="4"/>
      <c r="I470" s="97"/>
    </row>
    <row r="471" spans="4:9" s="2" customFormat="1" ht="17.100000000000001" customHeight="1" x14ac:dyDescent="0.25">
      <c r="D471" s="3"/>
      <c r="E471" s="3"/>
      <c r="F471" s="4"/>
      <c r="G471" s="4"/>
      <c r="H471" s="4"/>
      <c r="I471" s="97"/>
    </row>
    <row r="472" spans="4:9" s="2" customFormat="1" ht="17.100000000000001" customHeight="1" x14ac:dyDescent="0.25">
      <c r="D472" s="3"/>
      <c r="E472" s="3"/>
      <c r="F472" s="4"/>
      <c r="G472" s="4"/>
      <c r="H472" s="4"/>
      <c r="I472" s="97"/>
    </row>
    <row r="473" spans="4:9" s="2" customFormat="1" ht="17.100000000000001" customHeight="1" x14ac:dyDescent="0.25">
      <c r="D473" s="3"/>
      <c r="E473" s="3"/>
      <c r="F473" s="4"/>
      <c r="G473" s="4"/>
      <c r="H473" s="4"/>
      <c r="I473" s="97"/>
    </row>
    <row r="474" spans="4:9" s="2" customFormat="1" ht="17.100000000000001" customHeight="1" x14ac:dyDescent="0.25">
      <c r="D474" s="3"/>
      <c r="E474" s="3"/>
      <c r="F474" s="4"/>
      <c r="G474" s="4"/>
      <c r="H474" s="4"/>
      <c r="I474" s="97"/>
    </row>
    <row r="475" spans="4:9" s="2" customFormat="1" ht="17.100000000000001" customHeight="1" x14ac:dyDescent="0.25">
      <c r="D475" s="3"/>
      <c r="E475" s="3"/>
      <c r="F475" s="4"/>
      <c r="G475" s="4"/>
      <c r="H475" s="4"/>
      <c r="I475" s="97"/>
    </row>
    <row r="476" spans="4:9" s="2" customFormat="1" ht="17.100000000000001" customHeight="1" x14ac:dyDescent="0.25">
      <c r="D476" s="3"/>
      <c r="E476" s="3"/>
      <c r="F476" s="4"/>
      <c r="G476" s="4"/>
      <c r="H476" s="4"/>
      <c r="I476" s="97"/>
    </row>
    <row r="477" spans="4:9" s="2" customFormat="1" ht="17.100000000000001" customHeight="1" x14ac:dyDescent="0.25">
      <c r="D477" s="3"/>
      <c r="E477" s="3"/>
      <c r="F477" s="4"/>
      <c r="G477" s="4"/>
      <c r="H477" s="4"/>
      <c r="I477" s="97"/>
    </row>
    <row r="478" spans="4:9" s="2" customFormat="1" ht="17.100000000000001" customHeight="1" x14ac:dyDescent="0.25">
      <c r="D478" s="3"/>
      <c r="E478" s="3"/>
      <c r="F478" s="4"/>
      <c r="G478" s="4"/>
      <c r="H478" s="4"/>
      <c r="I478" s="97"/>
    </row>
    <row r="479" spans="4:9" s="2" customFormat="1" ht="17.100000000000001" customHeight="1" x14ac:dyDescent="0.25">
      <c r="D479" s="3"/>
      <c r="E479" s="3"/>
      <c r="F479" s="4"/>
      <c r="G479" s="4"/>
      <c r="H479" s="4"/>
      <c r="I479" s="97"/>
    </row>
    <row r="480" spans="4:9" s="2" customFormat="1" ht="17.100000000000001" customHeight="1" x14ac:dyDescent="0.25">
      <c r="D480" s="3"/>
      <c r="E480" s="3"/>
      <c r="F480" s="4"/>
      <c r="G480" s="4"/>
      <c r="H480" s="4"/>
      <c r="I480" s="97"/>
    </row>
    <row r="481" spans="4:9" s="2" customFormat="1" ht="17.100000000000001" customHeight="1" x14ac:dyDescent="0.25">
      <c r="D481" s="3"/>
      <c r="E481" s="3"/>
      <c r="F481" s="4"/>
      <c r="G481" s="4"/>
      <c r="H481" s="4"/>
      <c r="I481" s="97"/>
    </row>
    <row r="482" spans="4:9" s="2" customFormat="1" ht="17.100000000000001" customHeight="1" x14ac:dyDescent="0.25">
      <c r="D482" s="3"/>
      <c r="E482" s="3"/>
      <c r="F482" s="4"/>
      <c r="G482" s="4"/>
      <c r="H482" s="4"/>
      <c r="I482" s="97"/>
    </row>
    <row r="483" spans="4:9" s="2" customFormat="1" ht="17.100000000000001" customHeight="1" x14ac:dyDescent="0.25">
      <c r="D483" s="3"/>
      <c r="E483" s="3"/>
      <c r="F483" s="4"/>
      <c r="G483" s="4"/>
      <c r="H483" s="4"/>
      <c r="I483" s="97"/>
    </row>
    <row r="484" spans="4:9" s="2" customFormat="1" ht="17.100000000000001" customHeight="1" x14ac:dyDescent="0.25">
      <c r="D484" s="3"/>
      <c r="E484" s="3"/>
      <c r="F484" s="4"/>
      <c r="G484" s="4"/>
      <c r="H484" s="4"/>
      <c r="I484" s="97"/>
    </row>
    <row r="485" spans="4:9" s="2" customFormat="1" ht="17.100000000000001" customHeight="1" x14ac:dyDescent="0.25">
      <c r="D485" s="3"/>
      <c r="E485" s="3"/>
      <c r="F485" s="4"/>
      <c r="G485" s="4"/>
      <c r="H485" s="4"/>
      <c r="I485" s="97"/>
    </row>
    <row r="486" spans="4:9" s="2" customFormat="1" ht="17.100000000000001" customHeight="1" x14ac:dyDescent="0.25">
      <c r="D486" s="3"/>
      <c r="E486" s="3"/>
      <c r="F486" s="4"/>
      <c r="G486" s="4"/>
      <c r="H486" s="4"/>
      <c r="I486" s="97"/>
    </row>
    <row r="487" spans="4:9" s="2" customFormat="1" ht="17.100000000000001" customHeight="1" x14ac:dyDescent="0.25">
      <c r="D487" s="3"/>
      <c r="E487" s="3"/>
      <c r="F487" s="4"/>
      <c r="G487" s="4"/>
      <c r="H487" s="4"/>
      <c r="I487" s="97"/>
    </row>
    <row r="488" spans="4:9" s="2" customFormat="1" ht="17.100000000000001" customHeight="1" x14ac:dyDescent="0.25">
      <c r="D488" s="3"/>
      <c r="E488" s="3"/>
      <c r="F488" s="4"/>
      <c r="G488" s="4"/>
      <c r="H488" s="4"/>
      <c r="I488" s="97"/>
    </row>
    <row r="489" spans="4:9" s="2" customFormat="1" ht="17.100000000000001" customHeight="1" x14ac:dyDescent="0.25">
      <c r="D489" s="3"/>
      <c r="E489" s="3"/>
      <c r="F489" s="4"/>
      <c r="G489" s="4"/>
      <c r="H489" s="4"/>
      <c r="I489" s="97"/>
    </row>
    <row r="490" spans="4:9" s="2" customFormat="1" ht="17.100000000000001" customHeight="1" x14ac:dyDescent="0.25">
      <c r="D490" s="3"/>
      <c r="E490" s="3"/>
      <c r="F490" s="4"/>
      <c r="G490" s="4"/>
      <c r="H490" s="4"/>
      <c r="I490" s="97"/>
    </row>
    <row r="491" spans="4:9" s="2" customFormat="1" ht="17.100000000000001" customHeight="1" x14ac:dyDescent="0.25">
      <c r="D491" s="3"/>
      <c r="E491" s="3"/>
      <c r="F491" s="4"/>
      <c r="G491" s="4"/>
      <c r="H491" s="4"/>
      <c r="I491" s="97"/>
    </row>
    <row r="492" spans="4:9" s="2" customFormat="1" ht="17.100000000000001" customHeight="1" x14ac:dyDescent="0.25">
      <c r="D492" s="3"/>
      <c r="E492" s="3"/>
      <c r="F492" s="4"/>
      <c r="G492" s="4"/>
      <c r="H492" s="4"/>
      <c r="I492" s="97"/>
    </row>
    <row r="493" spans="4:9" s="2" customFormat="1" ht="17.100000000000001" customHeight="1" x14ac:dyDescent="0.25">
      <c r="D493" s="3"/>
      <c r="E493" s="3"/>
      <c r="F493" s="4"/>
      <c r="G493" s="4"/>
      <c r="H493" s="4"/>
      <c r="I493" s="97"/>
    </row>
    <row r="494" spans="4:9" s="2" customFormat="1" ht="17.100000000000001" customHeight="1" x14ac:dyDescent="0.25">
      <c r="D494" s="3"/>
      <c r="E494" s="3"/>
      <c r="F494" s="4"/>
      <c r="G494" s="4"/>
      <c r="H494" s="4"/>
      <c r="I494" s="97"/>
    </row>
    <row r="495" spans="4:9" s="2" customFormat="1" ht="17.100000000000001" customHeight="1" x14ac:dyDescent="0.25">
      <c r="D495" s="3"/>
      <c r="E495" s="3"/>
      <c r="F495" s="4"/>
      <c r="G495" s="4"/>
      <c r="H495" s="4"/>
      <c r="I495" s="97"/>
    </row>
    <row r="496" spans="4:9" s="2" customFormat="1" ht="17.100000000000001" customHeight="1" x14ac:dyDescent="0.25">
      <c r="D496" s="3"/>
      <c r="E496" s="3"/>
      <c r="F496" s="4"/>
      <c r="G496" s="4"/>
      <c r="H496" s="4"/>
      <c r="I496" s="97"/>
    </row>
    <row r="497" spans="4:9" s="2" customFormat="1" ht="17.100000000000001" customHeight="1" x14ac:dyDescent="0.25">
      <c r="D497" s="3"/>
      <c r="E497" s="3"/>
      <c r="F497" s="4"/>
      <c r="G497" s="4"/>
      <c r="H497" s="4"/>
      <c r="I497" s="97"/>
    </row>
    <row r="498" spans="4:9" s="2" customFormat="1" ht="17.100000000000001" customHeight="1" x14ac:dyDescent="0.25">
      <c r="D498" s="3"/>
      <c r="E498" s="3"/>
      <c r="F498" s="4"/>
      <c r="G498" s="4"/>
      <c r="H498" s="4"/>
      <c r="I498" s="97"/>
    </row>
    <row r="499" spans="4:9" s="2" customFormat="1" ht="17.100000000000001" customHeight="1" x14ac:dyDescent="0.25">
      <c r="D499" s="3"/>
      <c r="E499" s="3"/>
      <c r="F499" s="4"/>
      <c r="G499" s="4"/>
      <c r="H499" s="4"/>
      <c r="I499" s="97"/>
    </row>
    <row r="500" spans="4:9" s="2" customFormat="1" ht="17.100000000000001" customHeight="1" x14ac:dyDescent="0.25">
      <c r="D500" s="3"/>
      <c r="E500" s="3"/>
      <c r="F500" s="4"/>
      <c r="G500" s="4"/>
      <c r="H500" s="4"/>
      <c r="I500" s="97"/>
    </row>
    <row r="501" spans="4:9" s="2" customFormat="1" ht="17.100000000000001" customHeight="1" x14ac:dyDescent="0.25">
      <c r="D501" s="3"/>
      <c r="E501" s="3"/>
      <c r="F501" s="4"/>
      <c r="G501" s="4"/>
      <c r="H501" s="4"/>
      <c r="I501" s="97"/>
    </row>
    <row r="502" spans="4:9" s="2" customFormat="1" ht="17.100000000000001" customHeight="1" x14ac:dyDescent="0.25">
      <c r="D502" s="3"/>
      <c r="E502" s="3"/>
      <c r="F502" s="4"/>
      <c r="G502" s="4"/>
      <c r="H502" s="4"/>
      <c r="I502" s="97"/>
    </row>
    <row r="503" spans="4:9" s="2" customFormat="1" ht="17.100000000000001" customHeight="1" x14ac:dyDescent="0.25">
      <c r="D503" s="3"/>
      <c r="E503" s="3"/>
      <c r="F503" s="4"/>
      <c r="G503" s="4"/>
      <c r="H503" s="4"/>
      <c r="I503" s="97"/>
    </row>
    <row r="504" spans="4:9" s="2" customFormat="1" ht="17.100000000000001" customHeight="1" x14ac:dyDescent="0.25">
      <c r="D504" s="3"/>
      <c r="E504" s="3"/>
      <c r="F504" s="4"/>
      <c r="G504" s="4"/>
      <c r="H504" s="4"/>
      <c r="I504" s="97"/>
    </row>
    <row r="505" spans="4:9" s="2" customFormat="1" ht="17.100000000000001" customHeight="1" x14ac:dyDescent="0.25">
      <c r="D505" s="3"/>
      <c r="E505" s="3"/>
      <c r="F505" s="4"/>
      <c r="G505" s="4"/>
      <c r="H505" s="4"/>
      <c r="I505" s="97"/>
    </row>
    <row r="506" spans="4:9" s="2" customFormat="1" ht="17.100000000000001" customHeight="1" x14ac:dyDescent="0.25">
      <c r="D506" s="3"/>
      <c r="E506" s="3"/>
      <c r="F506" s="4"/>
      <c r="G506" s="4"/>
      <c r="H506" s="4"/>
      <c r="I506" s="97"/>
    </row>
  </sheetData>
  <mergeCells count="15">
    <mergeCell ref="AQ10:AU10"/>
    <mergeCell ref="AW10:BA10"/>
    <mergeCell ref="AE8:AO8"/>
    <mergeCell ref="J9:M9"/>
    <mergeCell ref="N9:P9"/>
    <mergeCell ref="Q9:S9"/>
    <mergeCell ref="T9:V9"/>
    <mergeCell ref="AE10:AI10"/>
    <mergeCell ref="AK10:AO10"/>
    <mergeCell ref="W8:Y9"/>
    <mergeCell ref="L6:M6"/>
    <mergeCell ref="J8:M8"/>
    <mergeCell ref="N8:P8"/>
    <mergeCell ref="Q8:S8"/>
    <mergeCell ref="T8:V8"/>
  </mergeCells>
  <pageMargins left="0.7" right="0.7" top="0.75" bottom="0.75" header="0.3" footer="0.3"/>
  <pageSetup paperSize="9" scale="70" fitToHeight="5" orientation="portrait" r:id="rId1"/>
  <headerFooter>
    <oddFooter>&amp;L&amp;10SANITATION DEMAND AND SUPPLY STUDY&amp;C&amp;10&amp;P&amp;R&amp;10HOUSEHOLDS WITHOUT TOILET</oddFooter>
  </headerFooter>
  <rowBreaks count="3" manualBreakCount="3">
    <brk id="89" max="10" man="1"/>
    <brk id="174" max="10" man="1"/>
    <brk id="281" max="10" man="1"/>
  </rowBreaks>
  <ignoredErrors>
    <ignoredError sqref="P101:S107 P202:S203"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BA506"/>
  <sheetViews>
    <sheetView zoomScale="80" zoomScaleNormal="80" workbookViewId="0">
      <pane xSplit="7" ySplit="11" topLeftCell="H12" activePane="bottomRight" state="frozen"/>
      <selection activeCell="V164" sqref="V164:Y168"/>
      <selection pane="topRight" activeCell="V164" sqref="V164:Y168"/>
      <selection pane="bottomLeft" activeCell="V164" sqref="V164:Y168"/>
      <selection pane="bottomRight" activeCell="O5" sqref="O5"/>
    </sheetView>
  </sheetViews>
  <sheetFormatPr defaultRowHeight="17.100000000000001" customHeight="1" x14ac:dyDescent="0.25"/>
  <cols>
    <col min="1" max="2" width="4.7109375" style="2" customWidth="1"/>
    <col min="3" max="3" width="6.7109375" style="2" customWidth="1"/>
    <col min="4" max="4" width="7.7109375" style="3" customWidth="1"/>
    <col min="5" max="5" width="4.7109375" style="3" customWidth="1"/>
    <col min="6" max="6" width="30.7109375" style="4" customWidth="1"/>
    <col min="7" max="7" width="3.7109375" style="4" customWidth="1"/>
    <col min="8" max="8" width="4.42578125" style="4" customWidth="1"/>
    <col min="9" max="9" width="3.7109375" style="97" customWidth="1"/>
    <col min="10" max="25" width="10.7109375" style="3" customWidth="1"/>
    <col min="26" max="29" width="9.7109375" style="3" customWidth="1"/>
    <col min="30" max="30" width="9.140625" style="3"/>
    <col min="31" max="35" width="9.7109375" style="3" customWidth="1"/>
    <col min="36" max="36" width="9.140625" style="3"/>
    <col min="37" max="41" width="9.7109375" style="3" customWidth="1"/>
    <col min="42" max="48" width="9.140625" style="3"/>
    <col min="49" max="53" width="9.7109375" style="3" customWidth="1"/>
    <col min="54" max="16384" width="9.140625" style="3"/>
  </cols>
  <sheetData>
    <row r="1" spans="1:53" ht="17.100000000000001" customHeight="1" x14ac:dyDescent="0.25">
      <c r="A1" s="1" t="s">
        <v>363</v>
      </c>
      <c r="J1" s="5" t="s">
        <v>883</v>
      </c>
      <c r="AE1" s="8"/>
      <c r="AF1" s="8"/>
      <c r="AG1" s="8"/>
      <c r="AH1" s="7"/>
      <c r="AK1" s="8"/>
      <c r="AL1" s="8"/>
      <c r="AM1" s="8"/>
      <c r="AN1" s="7"/>
      <c r="AW1" s="8"/>
      <c r="AX1" s="8"/>
      <c r="AY1" s="8"/>
      <c r="AZ1" s="8"/>
    </row>
    <row r="2" spans="1:53" ht="17.100000000000001" customHeight="1" x14ac:dyDescent="0.25">
      <c r="A2" s="1" t="str">
        <f>'STUDY VILLAGES'!U7</f>
        <v>KAMPOT PROVINCE</v>
      </c>
      <c r="J2" s="5"/>
      <c r="AE2" s="8"/>
      <c r="AF2" s="8"/>
      <c r="AG2" s="8"/>
      <c r="AH2" s="7"/>
      <c r="AK2" s="8"/>
      <c r="AL2" s="8"/>
      <c r="AM2" s="8"/>
      <c r="AN2" s="7"/>
      <c r="AW2" s="8"/>
      <c r="AX2" s="8"/>
      <c r="AY2" s="8"/>
      <c r="AZ2" s="8"/>
    </row>
    <row r="3" spans="1:53" ht="17.100000000000001" customHeight="1" x14ac:dyDescent="0.25">
      <c r="A3" s="1" t="str">
        <f>'STUDY VILLAGES'!U8</f>
        <v>BANTEAY MEAS DISTRICT</v>
      </c>
      <c r="J3" s="268" t="s">
        <v>555</v>
      </c>
      <c r="L3" s="267" t="str">
        <f>'STUDY VILLAGES'!B14</f>
        <v>TNAOT CHEUNG SRANG</v>
      </c>
      <c r="M3" s="267"/>
      <c r="N3" s="6"/>
      <c r="O3" s="6"/>
      <c r="P3" s="6"/>
      <c r="Q3" s="6"/>
      <c r="R3" s="6"/>
      <c r="S3" s="6"/>
      <c r="T3" s="6"/>
      <c r="U3" s="6"/>
      <c r="V3" s="6"/>
      <c r="W3" s="6"/>
      <c r="X3" s="6"/>
      <c r="AE3" s="8"/>
      <c r="AF3" s="8"/>
      <c r="AG3" s="8"/>
      <c r="AH3" s="7"/>
      <c r="AK3" s="8"/>
      <c r="AL3" s="8"/>
      <c r="AM3" s="8"/>
      <c r="AN3" s="7"/>
      <c r="AW3" s="8"/>
      <c r="AX3" s="8"/>
      <c r="AY3" s="8"/>
      <c r="AZ3" s="8"/>
    </row>
    <row r="4" spans="1:53" ht="12.75" x14ac:dyDescent="0.25">
      <c r="N4" s="6"/>
      <c r="O4" s="6"/>
      <c r="P4" s="6"/>
      <c r="Q4" s="6"/>
      <c r="R4" s="6"/>
      <c r="S4" s="6"/>
      <c r="T4" s="6"/>
      <c r="U4" s="6"/>
      <c r="V4" s="6"/>
      <c r="W4" s="6"/>
      <c r="X4" s="6"/>
      <c r="AE4" s="8"/>
      <c r="AF4" s="8"/>
      <c r="AG4" s="8"/>
      <c r="AH4" s="7"/>
      <c r="AK4" s="8"/>
      <c r="AL4" s="8"/>
      <c r="AM4" s="8"/>
      <c r="AN4" s="7"/>
      <c r="AW4" s="8"/>
      <c r="AX4" s="8"/>
      <c r="AY4" s="8"/>
      <c r="AZ4" s="8"/>
    </row>
    <row r="5" spans="1:53" ht="21" x14ac:dyDescent="0.25">
      <c r="A5" s="1" t="s">
        <v>743</v>
      </c>
      <c r="J5" s="9" t="s">
        <v>1</v>
      </c>
      <c r="K5" s="10"/>
      <c r="L5" s="653"/>
      <c r="M5" s="397"/>
      <c r="N5" s="6"/>
      <c r="O5" s="652" t="s">
        <v>1072</v>
      </c>
      <c r="P5" s="6"/>
      <c r="Q5" s="6"/>
      <c r="R5" s="6"/>
      <c r="S5" s="6"/>
      <c r="T5" s="6"/>
      <c r="U5" s="6"/>
      <c r="V5" s="6"/>
      <c r="W5" s="6"/>
      <c r="X5" s="6"/>
      <c r="AE5" s="8"/>
      <c r="AF5" s="8"/>
      <c r="AG5" s="8"/>
      <c r="AH5" s="7"/>
      <c r="AK5" s="8"/>
      <c r="AL5" s="8"/>
      <c r="AM5" s="8"/>
      <c r="AN5" s="7"/>
      <c r="AW5" s="8"/>
      <c r="AX5" s="8"/>
      <c r="AY5" s="8"/>
      <c r="AZ5" s="8"/>
    </row>
    <row r="6" spans="1:53" ht="21" x14ac:dyDescent="0.25">
      <c r="A6" s="444" t="s">
        <v>619</v>
      </c>
      <c r="J6" s="11" t="s">
        <v>2</v>
      </c>
      <c r="K6" s="10"/>
      <c r="L6" s="1379"/>
      <c r="M6" s="1379"/>
      <c r="AE6" s="8"/>
      <c r="AF6" s="8"/>
      <c r="AG6" s="8"/>
      <c r="AH6" s="7"/>
      <c r="AK6" s="8"/>
      <c r="AL6" s="8"/>
      <c r="AM6" s="8"/>
      <c r="AN6" s="7"/>
      <c r="AW6" s="8"/>
      <c r="AX6" s="8"/>
      <c r="AY6" s="8"/>
      <c r="AZ6" s="8"/>
    </row>
    <row r="7" spans="1:53" ht="9.9499999999999993" customHeight="1" x14ac:dyDescent="0.25">
      <c r="A7" s="12"/>
      <c r="B7" s="13"/>
      <c r="C7" s="14"/>
      <c r="D7" s="15"/>
      <c r="E7" s="16"/>
      <c r="F7" s="16"/>
      <c r="G7" s="16"/>
      <c r="H7" s="16"/>
      <c r="I7" s="16"/>
      <c r="AE7" s="8"/>
      <c r="AF7" s="8"/>
      <c r="AG7" s="8"/>
      <c r="AH7" s="7"/>
      <c r="AK7" s="8"/>
      <c r="AL7" s="8"/>
      <c r="AM7" s="8"/>
      <c r="AN7" s="7"/>
      <c r="AW7" s="8"/>
      <c r="AX7" s="8"/>
      <c r="AY7" s="8"/>
      <c r="AZ7" s="8"/>
    </row>
    <row r="8" spans="1:53" ht="17.100000000000001" customHeight="1" x14ac:dyDescent="0.25">
      <c r="D8" s="2"/>
      <c r="E8" s="2"/>
      <c r="F8" s="21"/>
      <c r="G8" s="21"/>
      <c r="H8" s="21"/>
      <c r="I8" s="138"/>
      <c r="J8" s="1384" t="s">
        <v>541</v>
      </c>
      <c r="K8" s="1385"/>
      <c r="L8" s="1385"/>
      <c r="M8" s="1386"/>
      <c r="N8" s="1384" t="s">
        <v>364</v>
      </c>
      <c r="O8" s="1385"/>
      <c r="P8" s="1386"/>
      <c r="Q8" s="1384" t="s">
        <v>365</v>
      </c>
      <c r="R8" s="1385"/>
      <c r="S8" s="1386"/>
      <c r="T8" s="1384" t="s">
        <v>366</v>
      </c>
      <c r="U8" s="1385"/>
      <c r="V8" s="1386"/>
      <c r="W8" s="1408" t="s">
        <v>4</v>
      </c>
      <c r="X8" s="1408"/>
      <c r="Y8" s="1408"/>
      <c r="AE8" s="1383" t="s">
        <v>731</v>
      </c>
      <c r="AF8" s="1383"/>
      <c r="AG8" s="1383"/>
      <c r="AH8" s="1383"/>
      <c r="AI8" s="1383"/>
      <c r="AJ8" s="1383"/>
      <c r="AK8" s="1383"/>
      <c r="AL8" s="1383"/>
      <c r="AM8" s="1383"/>
      <c r="AN8" s="1383"/>
      <c r="AO8" s="1383"/>
      <c r="AW8" s="8"/>
      <c r="AX8" s="8"/>
      <c r="AY8" s="8"/>
      <c r="AZ8" s="8"/>
    </row>
    <row r="9" spans="1:53" ht="17.100000000000001" customHeight="1" x14ac:dyDescent="0.25">
      <c r="D9" s="2"/>
      <c r="E9" s="2"/>
      <c r="F9" s="21"/>
      <c r="G9" s="21"/>
      <c r="H9" s="21"/>
      <c r="I9" s="138"/>
      <c r="J9" s="1384" t="s">
        <v>542</v>
      </c>
      <c r="K9" s="1385"/>
      <c r="L9" s="1385"/>
      <c r="M9" s="1386"/>
      <c r="N9" s="1387" t="str">
        <f>'STUDY VILLAGES'!C14</f>
        <v>Kouk Veaeng</v>
      </c>
      <c r="O9" s="1388"/>
      <c r="P9" s="1389"/>
      <c r="Q9" s="1387" t="str">
        <f>'STUDY VILLAGES'!F14</f>
        <v>Ruessei Chum</v>
      </c>
      <c r="R9" s="1388"/>
      <c r="S9" s="1389"/>
      <c r="T9" s="1387" t="str">
        <f>'STUDY VILLAGES'!I14</f>
        <v>Ta Lang</v>
      </c>
      <c r="U9" s="1388"/>
      <c r="V9" s="1389"/>
      <c r="W9" s="1408"/>
      <c r="X9" s="1408"/>
      <c r="Y9" s="1408"/>
      <c r="AE9" s="8"/>
      <c r="AF9" s="8"/>
      <c r="AG9" s="8"/>
      <c r="AH9" s="7"/>
      <c r="AK9" s="8"/>
      <c r="AL9" s="8"/>
      <c r="AM9" s="8"/>
      <c r="AN9" s="7"/>
      <c r="AW9" s="8"/>
      <c r="AX9" s="8"/>
      <c r="AY9" s="8"/>
      <c r="AZ9" s="8"/>
    </row>
    <row r="10" spans="1:53" ht="17.100000000000001" customHeight="1" x14ac:dyDescent="0.25">
      <c r="A10" s="21"/>
      <c r="B10" s="21"/>
      <c r="C10" s="21"/>
      <c r="D10" s="4"/>
      <c r="E10" s="4"/>
      <c r="G10" s="22"/>
      <c r="H10" s="22"/>
      <c r="I10" s="208"/>
      <c r="J10" s="334" t="s">
        <v>733</v>
      </c>
      <c r="K10" s="334" t="s">
        <v>734</v>
      </c>
      <c r="L10" s="334" t="s">
        <v>657</v>
      </c>
      <c r="M10" s="334" t="s">
        <v>320</v>
      </c>
      <c r="N10" s="334" t="s">
        <v>735</v>
      </c>
      <c r="O10" s="334" t="s">
        <v>657</v>
      </c>
      <c r="P10" s="334" t="s">
        <v>320</v>
      </c>
      <c r="Q10" s="334" t="s">
        <v>735</v>
      </c>
      <c r="R10" s="334" t="s">
        <v>657</v>
      </c>
      <c r="S10" s="334" t="s">
        <v>320</v>
      </c>
      <c r="T10" s="334" t="s">
        <v>735</v>
      </c>
      <c r="U10" s="334" t="s">
        <v>657</v>
      </c>
      <c r="V10" s="334" t="s">
        <v>320</v>
      </c>
      <c r="W10" s="375" t="s">
        <v>735</v>
      </c>
      <c r="X10" s="335" t="s">
        <v>657</v>
      </c>
      <c r="Y10" s="410" t="s">
        <v>4</v>
      </c>
      <c r="AE10" s="1400" t="s">
        <v>733</v>
      </c>
      <c r="AF10" s="1401"/>
      <c r="AG10" s="1401"/>
      <c r="AH10" s="1401"/>
      <c r="AI10" s="1402"/>
      <c r="AK10" s="1390" t="s">
        <v>734</v>
      </c>
      <c r="AL10" s="1391"/>
      <c r="AM10" s="1391"/>
      <c r="AN10" s="1391"/>
      <c r="AO10" s="1392"/>
      <c r="AQ10" s="1380" t="s">
        <v>732</v>
      </c>
      <c r="AR10" s="1381"/>
      <c r="AS10" s="1381"/>
      <c r="AT10" s="1381"/>
      <c r="AU10" s="1382"/>
      <c r="AW10" s="1405" t="s">
        <v>556</v>
      </c>
      <c r="AX10" s="1406"/>
      <c r="AY10" s="1406"/>
      <c r="AZ10" s="1406"/>
      <c r="BA10" s="1407"/>
    </row>
    <row r="11" spans="1:53" s="32" customFormat="1" ht="17.100000000000001" customHeight="1" thickBot="1" x14ac:dyDescent="0.3">
      <c r="A11" s="24">
        <v>0</v>
      </c>
      <c r="B11" s="25" t="s">
        <v>3</v>
      </c>
      <c r="C11" s="26"/>
      <c r="D11" s="27"/>
      <c r="E11" s="27"/>
      <c r="F11" s="27"/>
      <c r="G11" s="28"/>
      <c r="H11" s="310"/>
      <c r="I11" s="228"/>
      <c r="J11" s="29"/>
      <c r="K11" s="29"/>
      <c r="L11" s="29"/>
      <c r="M11" s="29"/>
      <c r="N11" s="29"/>
      <c r="O11" s="29"/>
      <c r="P11" s="29"/>
      <c r="Q11" s="29"/>
      <c r="R11" s="29"/>
      <c r="S11" s="29"/>
      <c r="T11" s="29"/>
      <c r="U11" s="29"/>
      <c r="V11" s="29"/>
      <c r="W11" s="29"/>
      <c r="X11" s="29"/>
      <c r="Y11" s="29"/>
      <c r="Z11" s="31" t="s">
        <v>5</v>
      </c>
      <c r="AA11" s="31" t="s">
        <v>181</v>
      </c>
      <c r="AB11" s="31" t="s">
        <v>182</v>
      </c>
      <c r="AC11" s="31" t="s">
        <v>6</v>
      </c>
      <c r="AE11" s="33" t="s">
        <v>181</v>
      </c>
      <c r="AF11" s="33" t="s">
        <v>182</v>
      </c>
      <c r="AG11" s="33" t="s">
        <v>6</v>
      </c>
      <c r="AH11" s="33" t="s">
        <v>4</v>
      </c>
      <c r="AI11" s="34" t="s">
        <v>5</v>
      </c>
      <c r="AJ11" s="35"/>
      <c r="AK11" s="36" t="s">
        <v>181</v>
      </c>
      <c r="AL11" s="36" t="s">
        <v>182</v>
      </c>
      <c r="AM11" s="36" t="s">
        <v>6</v>
      </c>
      <c r="AN11" s="36" t="s">
        <v>4</v>
      </c>
      <c r="AO11" s="37" t="s">
        <v>5</v>
      </c>
      <c r="AQ11" s="398" t="s">
        <v>181</v>
      </c>
      <c r="AR11" s="398" t="s">
        <v>182</v>
      </c>
      <c r="AS11" s="398" t="s">
        <v>6</v>
      </c>
      <c r="AT11" s="398" t="s">
        <v>4</v>
      </c>
      <c r="AU11" s="399" t="s">
        <v>5</v>
      </c>
      <c r="AW11" s="38" t="s">
        <v>181</v>
      </c>
      <c r="AX11" s="38" t="s">
        <v>182</v>
      </c>
      <c r="AY11" s="38" t="s">
        <v>6</v>
      </c>
      <c r="AZ11" s="38" t="s">
        <v>4</v>
      </c>
      <c r="BA11" s="39" t="s">
        <v>5</v>
      </c>
    </row>
    <row r="12" spans="1:53" ht="17.100000000000001" customHeight="1" x14ac:dyDescent="0.25">
      <c r="A12" s="47"/>
      <c r="B12" s="414">
        <v>0</v>
      </c>
      <c r="C12" s="42" t="s">
        <v>367</v>
      </c>
      <c r="D12" s="43"/>
      <c r="E12" s="269"/>
      <c r="F12" s="269"/>
      <c r="G12" s="270"/>
      <c r="H12" s="311">
        <v>1</v>
      </c>
      <c r="I12" s="229"/>
      <c r="J12" s="271"/>
      <c r="K12" s="271"/>
      <c r="L12" s="272"/>
      <c r="M12" s="272"/>
      <c r="N12" s="272"/>
      <c r="O12" s="272"/>
      <c r="P12" s="272"/>
      <c r="Q12" s="272"/>
      <c r="R12" s="272"/>
      <c r="S12" s="272"/>
      <c r="T12" s="272"/>
      <c r="U12" s="272"/>
      <c r="V12" s="272"/>
      <c r="W12" s="272"/>
      <c r="X12" s="272"/>
      <c r="Y12" s="272"/>
      <c r="Z12" s="51"/>
      <c r="AA12" s="51"/>
      <c r="AB12" s="51"/>
      <c r="AC12" s="51"/>
      <c r="AE12" s="52"/>
      <c r="AF12" s="52"/>
      <c r="AG12" s="53"/>
      <c r="AH12" s="54"/>
      <c r="AI12" s="51"/>
      <c r="AK12" s="52"/>
      <c r="AL12" s="52"/>
      <c r="AM12" s="53"/>
      <c r="AN12" s="54"/>
      <c r="AO12" s="51"/>
      <c r="AQ12" s="52"/>
      <c r="AR12" s="52"/>
      <c r="AS12" s="52"/>
      <c r="AT12" s="53"/>
      <c r="AU12" s="54"/>
      <c r="AW12" s="52"/>
      <c r="AX12" s="52"/>
      <c r="AY12" s="53"/>
      <c r="AZ12" s="54"/>
      <c r="BA12" s="51"/>
    </row>
    <row r="13" spans="1:53" ht="17.100000000000001" customHeight="1" x14ac:dyDescent="0.25">
      <c r="A13" s="47"/>
      <c r="B13" s="55"/>
      <c r="C13" s="56" t="s">
        <v>626</v>
      </c>
      <c r="D13" s="57" t="s">
        <v>368</v>
      </c>
      <c r="E13" s="58"/>
      <c r="F13" s="58"/>
      <c r="G13" s="59"/>
      <c r="H13" s="1318"/>
      <c r="I13" s="229"/>
      <c r="J13" s="581"/>
      <c r="K13" s="581"/>
      <c r="L13" s="582"/>
      <c r="M13" s="17">
        <f>SUM(J13:L13)</f>
        <v>0</v>
      </c>
      <c r="N13" s="111"/>
      <c r="O13" s="111"/>
      <c r="P13" s="111"/>
      <c r="Q13" s="111"/>
      <c r="R13" s="111"/>
      <c r="S13" s="111"/>
      <c r="T13" s="111"/>
      <c r="U13" s="111"/>
      <c r="V13" s="111"/>
      <c r="W13" s="391">
        <f>J13+K13+N13+Q13+T13</f>
        <v>0</v>
      </c>
      <c r="X13" s="17">
        <f>L13+O13+R13+U13</f>
        <v>0</v>
      </c>
      <c r="Y13" s="18">
        <f>SUM(W13:X13)</f>
        <v>0</v>
      </c>
      <c r="Z13" s="19">
        <f>IF(Y$15=0,0,Y13/Y$15)</f>
        <v>0</v>
      </c>
      <c r="AA13" s="411"/>
      <c r="AB13" s="411"/>
      <c r="AC13" s="45"/>
      <c r="AE13" s="17"/>
      <c r="AF13" s="17"/>
      <c r="AG13" s="17"/>
      <c r="AH13" s="18">
        <f>J13</f>
        <v>0</v>
      </c>
      <c r="AI13" s="19">
        <f>IF(AH$15=0,0,AH13/AH$15)</f>
        <v>0</v>
      </c>
      <c r="AK13" s="17"/>
      <c r="AL13" s="17"/>
      <c r="AM13" s="17"/>
      <c r="AN13" s="18">
        <f>K13</f>
        <v>0</v>
      </c>
      <c r="AO13" s="19">
        <f>IF(AN$15=0,0,AN13/AN$15)</f>
        <v>0</v>
      </c>
      <c r="AQ13" s="17"/>
      <c r="AR13" s="17"/>
      <c r="AS13" s="17"/>
      <c r="AT13" s="18">
        <f>W13</f>
        <v>0</v>
      </c>
      <c r="AU13" s="19">
        <f>IF(AT$15=0,0,AT13/AT$15)</f>
        <v>0</v>
      </c>
      <c r="AW13" s="17"/>
      <c r="AX13" s="17"/>
      <c r="AY13" s="17"/>
      <c r="AZ13" s="424">
        <f>X13</f>
        <v>0</v>
      </c>
      <c r="BA13" s="19">
        <f>IF(AZ$15=0,0,AZ13/AZ$15)</f>
        <v>0</v>
      </c>
    </row>
    <row r="14" spans="1:53" ht="17.100000000000001" customHeight="1" x14ac:dyDescent="0.25">
      <c r="A14" s="47"/>
      <c r="B14" s="55"/>
      <c r="C14" s="56" t="s">
        <v>627</v>
      </c>
      <c r="D14" s="57" t="s">
        <v>369</v>
      </c>
      <c r="E14" s="58"/>
      <c r="F14" s="58"/>
      <c r="G14" s="59"/>
      <c r="H14" s="1318"/>
      <c r="I14" s="229"/>
      <c r="J14" s="583"/>
      <c r="K14" s="583"/>
      <c r="L14" s="584"/>
      <c r="M14" s="17">
        <f>SUM(J14:L14)</f>
        <v>0</v>
      </c>
      <c r="N14" s="111"/>
      <c r="O14" s="111"/>
      <c r="P14" s="111"/>
      <c r="Q14" s="111"/>
      <c r="R14" s="111"/>
      <c r="S14" s="111"/>
      <c r="T14" s="111"/>
      <c r="U14" s="111"/>
      <c r="V14" s="111"/>
      <c r="W14" s="391">
        <f>J14+K14+N14+Q14+T14</f>
        <v>0</v>
      </c>
      <c r="X14" s="17">
        <f>L14+O14+R14+U14</f>
        <v>0</v>
      </c>
      <c r="Y14" s="18">
        <f>SUM(W14:X14)</f>
        <v>0</v>
      </c>
      <c r="Z14" s="19">
        <f>IF(Y$15=0,0,Y14/Y$15)</f>
        <v>0</v>
      </c>
      <c r="AA14" s="411"/>
      <c r="AB14" s="411"/>
      <c r="AC14" s="45"/>
      <c r="AE14" s="17"/>
      <c r="AF14" s="17"/>
      <c r="AG14" s="17"/>
      <c r="AH14" s="18">
        <f>J14</f>
        <v>0</v>
      </c>
      <c r="AI14" s="19">
        <f>IF(AH$15=0,0,AH14/AH$15)</f>
        <v>0</v>
      </c>
      <c r="AK14" s="17"/>
      <c r="AL14" s="17"/>
      <c r="AM14" s="17"/>
      <c r="AN14" s="18">
        <f>K14</f>
        <v>0</v>
      </c>
      <c r="AO14" s="19">
        <f>IF(AN$15=0,0,AN14/AN$15)</f>
        <v>0</v>
      </c>
      <c r="AQ14" s="17"/>
      <c r="AR14" s="17"/>
      <c r="AS14" s="17"/>
      <c r="AT14" s="18">
        <f>W14</f>
        <v>0</v>
      </c>
      <c r="AU14" s="19">
        <f>IF(AT$15=0,0,AT14/AT$15)</f>
        <v>0</v>
      </c>
      <c r="AW14" s="17"/>
      <c r="AX14" s="17"/>
      <c r="AY14" s="17"/>
      <c r="AZ14" s="424">
        <f>X14</f>
        <v>0</v>
      </c>
      <c r="BA14" s="19">
        <f>IF(AZ$15=0,0,AZ14/AZ$15)</f>
        <v>0</v>
      </c>
    </row>
    <row r="15" spans="1:53" ht="17.100000000000001" customHeight="1" x14ac:dyDescent="0.25">
      <c r="A15" s="47"/>
      <c r="B15" s="47"/>
      <c r="C15" s="252"/>
      <c r="D15" s="62"/>
      <c r="E15" s="62"/>
      <c r="F15" s="62"/>
      <c r="G15" s="63"/>
      <c r="H15" s="647"/>
      <c r="I15" s="229"/>
      <c r="J15" s="64">
        <f>SUM(J13:J14)</f>
        <v>0</v>
      </c>
      <c r="K15" s="64">
        <f t="shared" ref="K15:M15" si="0">SUM(K13:K14)</f>
        <v>0</v>
      </c>
      <c r="L15" s="64">
        <f t="shared" si="0"/>
        <v>0</v>
      </c>
      <c r="M15" s="64">
        <f t="shared" si="0"/>
        <v>0</v>
      </c>
      <c r="N15" s="637"/>
      <c r="O15" s="637"/>
      <c r="P15" s="637"/>
      <c r="Q15" s="637"/>
      <c r="R15" s="637"/>
      <c r="S15" s="637"/>
      <c r="T15" s="637"/>
      <c r="U15" s="637"/>
      <c r="V15" s="637"/>
      <c r="W15" s="381">
        <f>SUM(W13:W14)</f>
        <v>0</v>
      </c>
      <c r="X15" s="82">
        <f t="shared" ref="X15:Y15" si="1">SUM(X13:X14)</f>
        <v>0</v>
      </c>
      <c r="Y15" s="82">
        <f t="shared" si="1"/>
        <v>0</v>
      </c>
      <c r="Z15" s="205">
        <f>IF(Y$15=0,0,Y15/Y$15)</f>
        <v>0</v>
      </c>
      <c r="AA15" s="412"/>
      <c r="AB15" s="412"/>
      <c r="AC15" s="67"/>
      <c r="AE15" s="67"/>
      <c r="AF15" s="67"/>
      <c r="AG15" s="67"/>
      <c r="AH15" s="65">
        <f>SUM(AH13:AH14)</f>
        <v>0</v>
      </c>
      <c r="AI15" s="66">
        <f>IF(AH$15=0,0,AH15/AH$15)</f>
        <v>0</v>
      </c>
      <c r="AK15" s="67"/>
      <c r="AL15" s="67"/>
      <c r="AM15" s="67"/>
      <c r="AN15" s="65">
        <f>SUM(AN13:AN14)</f>
        <v>0</v>
      </c>
      <c r="AO15" s="66">
        <f>IF(AN$15=0,0,AN15/AN$15)</f>
        <v>0</v>
      </c>
      <c r="AQ15" s="67"/>
      <c r="AR15" s="67"/>
      <c r="AS15" s="67"/>
      <c r="AT15" s="65">
        <f>SUM(AT13:AT14)</f>
        <v>0</v>
      </c>
      <c r="AU15" s="66">
        <f>IF(AT$15=0,0,AT15/AT$15)</f>
        <v>0</v>
      </c>
      <c r="AW15" s="67"/>
      <c r="AX15" s="67"/>
      <c r="AY15" s="67"/>
      <c r="AZ15" s="65">
        <f>SUM(AZ13:AZ14)</f>
        <v>0</v>
      </c>
      <c r="BA15" s="66">
        <f>IF(AZ$15=0,0,AZ15/AZ$15)</f>
        <v>0</v>
      </c>
    </row>
    <row r="16" spans="1:53" s="117" customFormat="1" ht="17.100000000000001" customHeight="1" x14ac:dyDescent="0.25">
      <c r="A16" s="186"/>
      <c r="B16" s="253"/>
      <c r="C16" s="254"/>
      <c r="D16" s="255"/>
      <c r="E16" s="93"/>
      <c r="F16" s="93"/>
      <c r="G16" s="209"/>
      <c r="H16" s="647"/>
      <c r="I16" s="12"/>
      <c r="J16" s="198"/>
      <c r="K16" s="638"/>
      <c r="L16" s="425"/>
      <c r="M16" s="425"/>
      <c r="N16" s="425"/>
      <c r="O16" s="425"/>
      <c r="P16" s="425"/>
      <c r="Q16" s="425"/>
      <c r="R16" s="425"/>
      <c r="S16" s="425"/>
      <c r="T16" s="425"/>
      <c r="U16" s="425"/>
      <c r="V16" s="425"/>
      <c r="W16" s="395">
        <f>IF($Y$15=0,0,W15/$Y$15)</f>
        <v>0</v>
      </c>
      <c r="X16" s="91">
        <f>IF($Y$15=0,0,X15/$Y$15)</f>
        <v>0</v>
      </c>
      <c r="Y16" s="91">
        <f>IF($Y$15=0,0,Y15/$Y$15)</f>
        <v>0</v>
      </c>
      <c r="Z16" s="201"/>
      <c r="AA16" s="413"/>
      <c r="AB16" s="413"/>
      <c r="AC16" s="256"/>
      <c r="AE16" s="256"/>
      <c r="AF16" s="256"/>
      <c r="AG16" s="256"/>
      <c r="AH16" s="257"/>
      <c r="AI16" s="91"/>
      <c r="AK16" s="256"/>
      <c r="AL16" s="256"/>
      <c r="AM16" s="256"/>
      <c r="AN16" s="257"/>
      <c r="AO16" s="91"/>
      <c r="AQ16" s="256"/>
      <c r="AR16" s="256"/>
      <c r="AS16" s="256"/>
      <c r="AT16" s="257"/>
      <c r="AU16" s="91"/>
      <c r="AW16" s="256"/>
      <c r="AX16" s="256"/>
      <c r="AY16" s="256"/>
      <c r="AZ16" s="425"/>
      <c r="BA16" s="91"/>
    </row>
    <row r="17" spans="1:53" ht="17.100000000000001" customHeight="1" x14ac:dyDescent="0.25">
      <c r="A17" s="40"/>
      <c r="B17" s="41">
        <v>0.1</v>
      </c>
      <c r="C17" s="42" t="s">
        <v>628</v>
      </c>
      <c r="D17" s="43"/>
      <c r="E17" s="43"/>
      <c r="F17" s="43"/>
      <c r="G17" s="44"/>
      <c r="H17" s="219"/>
      <c r="I17" s="229"/>
      <c r="J17" s="586"/>
      <c r="K17" s="586"/>
      <c r="L17" s="71"/>
      <c r="M17" s="71"/>
      <c r="N17" s="71"/>
      <c r="O17" s="71"/>
      <c r="P17" s="71"/>
      <c r="Q17" s="71"/>
      <c r="R17" s="71"/>
      <c r="S17" s="71"/>
      <c r="T17" s="71"/>
      <c r="U17" s="71"/>
      <c r="V17" s="355"/>
      <c r="W17" s="377"/>
      <c r="X17" s="71"/>
      <c r="Y17" s="72"/>
      <c r="Z17" s="73"/>
      <c r="AA17" s="73"/>
      <c r="AB17" s="73"/>
      <c r="AC17" s="73"/>
      <c r="AE17" s="52"/>
      <c r="AF17" s="52"/>
      <c r="AG17" s="52"/>
      <c r="AH17" s="53"/>
      <c r="AI17" s="54"/>
      <c r="AJ17" s="117"/>
      <c r="AK17" s="52"/>
      <c r="AL17" s="52"/>
      <c r="AM17" s="52"/>
      <c r="AN17" s="53"/>
      <c r="AO17" s="54"/>
      <c r="AP17" s="117"/>
      <c r="AQ17" s="52"/>
      <c r="AR17" s="52"/>
      <c r="AS17" s="52"/>
      <c r="AT17" s="53"/>
      <c r="AU17" s="54"/>
      <c r="AV17" s="117"/>
      <c r="AW17" s="52"/>
      <c r="AX17" s="52"/>
      <c r="AY17" s="52"/>
      <c r="AZ17" s="272"/>
      <c r="BA17" s="54"/>
    </row>
    <row r="18" spans="1:53" ht="17.100000000000001" customHeight="1" x14ac:dyDescent="0.25">
      <c r="A18" s="47"/>
      <c r="B18" s="55"/>
      <c r="C18" s="56" t="s">
        <v>371</v>
      </c>
      <c r="D18" s="120" t="s">
        <v>629</v>
      </c>
      <c r="E18" s="58"/>
      <c r="F18" s="58"/>
      <c r="G18" s="59"/>
      <c r="H18" s="216"/>
      <c r="I18" s="229"/>
      <c r="J18" s="174"/>
      <c r="K18" s="174"/>
      <c r="L18" s="111"/>
      <c r="M18" s="111"/>
      <c r="N18" s="60">
        <v>1</v>
      </c>
      <c r="O18" s="60">
        <v>3</v>
      </c>
      <c r="P18" s="17">
        <f>SUM(N18:O18)</f>
        <v>4</v>
      </c>
      <c r="Q18" s="60"/>
      <c r="R18" s="60">
        <v>1</v>
      </c>
      <c r="S18" s="17">
        <f>SUM(Q18:R18)</f>
        <v>1</v>
      </c>
      <c r="T18" s="60">
        <v>1</v>
      </c>
      <c r="U18" s="60"/>
      <c r="V18" s="359">
        <f>SUM(T18:U18)</f>
        <v>1</v>
      </c>
      <c r="W18" s="391">
        <f t="shared" ref="W18:W19" si="2">J18+K18+N18+Q18+T18</f>
        <v>2</v>
      </c>
      <c r="X18" s="17">
        <f t="shared" ref="X18:X19" si="3">L18+O18+R18+U18</f>
        <v>4</v>
      </c>
      <c r="Y18" s="18">
        <f>SUM(W18:X18)</f>
        <v>6</v>
      </c>
      <c r="Z18" s="19">
        <f>IF(Y$20=0,0,Y18/Y$20)</f>
        <v>0.21428571428571427</v>
      </c>
      <c r="AA18" s="19"/>
      <c r="AB18" s="19"/>
      <c r="AC18" s="20"/>
      <c r="AE18" s="111"/>
      <c r="AF18" s="111"/>
      <c r="AG18" s="111"/>
      <c r="AH18" s="651"/>
      <c r="AI18" s="131"/>
      <c r="AJ18" s="117"/>
      <c r="AK18" s="111"/>
      <c r="AL18" s="111"/>
      <c r="AM18" s="111"/>
      <c r="AN18" s="651"/>
      <c r="AO18" s="131"/>
      <c r="AP18" s="117"/>
      <c r="AQ18" s="17"/>
      <c r="AR18" s="17"/>
      <c r="AS18" s="17"/>
      <c r="AT18" s="18">
        <f>W18</f>
        <v>2</v>
      </c>
      <c r="AU18" s="19">
        <f>IF(AT$20=0,0,AT18/AT$20)</f>
        <v>0.13333333333333333</v>
      </c>
      <c r="AV18" s="117"/>
      <c r="AW18" s="17"/>
      <c r="AX18" s="17"/>
      <c r="AY18" s="17"/>
      <c r="AZ18" s="424">
        <f>X18</f>
        <v>4</v>
      </c>
      <c r="BA18" s="19">
        <f>IF(AZ$20=0,0,AZ18/AZ$20)</f>
        <v>0.30769230769230771</v>
      </c>
    </row>
    <row r="19" spans="1:53" ht="17.100000000000001" customHeight="1" x14ac:dyDescent="0.25">
      <c r="A19" s="47"/>
      <c r="B19" s="55"/>
      <c r="C19" s="56" t="s">
        <v>372</v>
      </c>
      <c r="D19" s="120" t="s">
        <v>630</v>
      </c>
      <c r="E19" s="58"/>
      <c r="F19" s="58"/>
      <c r="G19" s="59"/>
      <c r="H19" s="216"/>
      <c r="I19" s="229"/>
      <c r="J19" s="174"/>
      <c r="K19" s="174"/>
      <c r="L19" s="111"/>
      <c r="M19" s="111"/>
      <c r="N19" s="61">
        <v>2</v>
      </c>
      <c r="O19" s="61">
        <v>3</v>
      </c>
      <c r="P19" s="17">
        <f>SUM(N19:O19)</f>
        <v>5</v>
      </c>
      <c r="Q19" s="61">
        <v>7</v>
      </c>
      <c r="R19" s="61">
        <v>1</v>
      </c>
      <c r="S19" s="17">
        <f>SUM(Q19:R19)</f>
        <v>8</v>
      </c>
      <c r="T19" s="61">
        <v>4</v>
      </c>
      <c r="U19" s="61">
        <v>5</v>
      </c>
      <c r="V19" s="359">
        <f>SUM(T19:U19)</f>
        <v>9</v>
      </c>
      <c r="W19" s="391">
        <f t="shared" si="2"/>
        <v>13</v>
      </c>
      <c r="X19" s="17">
        <f t="shared" si="3"/>
        <v>9</v>
      </c>
      <c r="Y19" s="18">
        <f>SUM(W19:X19)</f>
        <v>22</v>
      </c>
      <c r="Z19" s="19">
        <f t="shared" ref="Z19:Z20" si="4">IF(Y$20=0,0,Y19/Y$20)</f>
        <v>0.7857142857142857</v>
      </c>
      <c r="AA19" s="19"/>
      <c r="AB19" s="19"/>
      <c r="AC19" s="20"/>
      <c r="AE19" s="111"/>
      <c r="AF19" s="111"/>
      <c r="AG19" s="111"/>
      <c r="AH19" s="651"/>
      <c r="AI19" s="131"/>
      <c r="AJ19" s="117"/>
      <c r="AK19" s="111"/>
      <c r="AL19" s="111"/>
      <c r="AM19" s="111"/>
      <c r="AN19" s="651"/>
      <c r="AO19" s="131"/>
      <c r="AP19" s="117"/>
      <c r="AQ19" s="17"/>
      <c r="AR19" s="17"/>
      <c r="AS19" s="17"/>
      <c r="AT19" s="18">
        <f>W19</f>
        <v>13</v>
      </c>
      <c r="AU19" s="19">
        <f t="shared" ref="AU19:AU20" si="5">IF(AT$20=0,0,AT19/AT$20)</f>
        <v>0.8666666666666667</v>
      </c>
      <c r="AV19" s="117"/>
      <c r="AW19" s="17"/>
      <c r="AX19" s="17"/>
      <c r="AY19" s="17"/>
      <c r="AZ19" s="424">
        <f>X19</f>
        <v>9</v>
      </c>
      <c r="BA19" s="19">
        <f t="shared" ref="BA19:BA20" si="6">IF(AZ$20=0,0,AZ19/AZ$20)</f>
        <v>0.69230769230769229</v>
      </c>
    </row>
    <row r="20" spans="1:53" ht="17.100000000000001" customHeight="1" x14ac:dyDescent="0.25">
      <c r="A20" s="47"/>
      <c r="B20" s="47"/>
      <c r="C20" s="252"/>
      <c r="D20" s="62"/>
      <c r="E20" s="62"/>
      <c r="F20" s="62"/>
      <c r="G20" s="63"/>
      <c r="H20" s="216"/>
      <c r="I20" s="229"/>
      <c r="J20" s="64"/>
      <c r="K20" s="64"/>
      <c r="L20" s="64"/>
      <c r="M20" s="64"/>
      <c r="N20" s="64">
        <f>SUM(N18:N19)</f>
        <v>3</v>
      </c>
      <c r="O20" s="64">
        <f t="shared" ref="O20:V20" si="7">SUM(O18:O19)</f>
        <v>6</v>
      </c>
      <c r="P20" s="64">
        <f t="shared" si="7"/>
        <v>9</v>
      </c>
      <c r="Q20" s="64">
        <f t="shared" si="7"/>
        <v>7</v>
      </c>
      <c r="R20" s="64">
        <f t="shared" si="7"/>
        <v>2</v>
      </c>
      <c r="S20" s="64">
        <f t="shared" si="7"/>
        <v>9</v>
      </c>
      <c r="T20" s="64">
        <f t="shared" si="7"/>
        <v>5</v>
      </c>
      <c r="U20" s="64">
        <f t="shared" si="7"/>
        <v>5</v>
      </c>
      <c r="V20" s="64">
        <f t="shared" si="7"/>
        <v>10</v>
      </c>
      <c r="W20" s="381">
        <f>SUM(W18:W19)</f>
        <v>15</v>
      </c>
      <c r="X20" s="82">
        <f t="shared" ref="X20:Y20" si="8">SUM(X18:X19)</f>
        <v>13</v>
      </c>
      <c r="Y20" s="82">
        <f t="shared" si="8"/>
        <v>28</v>
      </c>
      <c r="Z20" s="205">
        <f t="shared" si="4"/>
        <v>1</v>
      </c>
      <c r="AA20" s="205"/>
      <c r="AB20" s="205"/>
      <c r="AC20" s="83"/>
      <c r="AE20" s="67"/>
      <c r="AF20" s="67"/>
      <c r="AG20" s="67"/>
      <c r="AH20" s="65"/>
      <c r="AI20" s="66"/>
      <c r="AJ20" s="117"/>
      <c r="AK20" s="67"/>
      <c r="AL20" s="67"/>
      <c r="AM20" s="67"/>
      <c r="AN20" s="65"/>
      <c r="AO20" s="66"/>
      <c r="AP20" s="117"/>
      <c r="AQ20" s="67"/>
      <c r="AR20" s="67"/>
      <c r="AS20" s="67"/>
      <c r="AT20" s="65">
        <f>SUM(AT18:AT19)</f>
        <v>15</v>
      </c>
      <c r="AU20" s="66">
        <f t="shared" si="5"/>
        <v>1</v>
      </c>
      <c r="AV20" s="117"/>
      <c r="AW20" s="67"/>
      <c r="AX20" s="67"/>
      <c r="AY20" s="67"/>
      <c r="AZ20" s="65">
        <f>SUM(AZ18:AZ19)</f>
        <v>13</v>
      </c>
      <c r="BA20" s="66">
        <f t="shared" si="6"/>
        <v>1</v>
      </c>
    </row>
    <row r="21" spans="1:53" s="117" customFormat="1" ht="17.100000000000001" customHeight="1" x14ac:dyDescent="0.25">
      <c r="A21" s="186"/>
      <c r="B21" s="253"/>
      <c r="C21" s="254"/>
      <c r="D21" s="93"/>
      <c r="E21" s="93"/>
      <c r="F21" s="93"/>
      <c r="G21" s="209"/>
      <c r="H21" s="647"/>
      <c r="I21" s="12"/>
      <c r="J21" s="198"/>
      <c r="K21" s="638"/>
      <c r="L21" s="425"/>
      <c r="M21" s="425"/>
      <c r="N21" s="425"/>
      <c r="O21" s="425"/>
      <c r="P21" s="425"/>
      <c r="Q21" s="425"/>
      <c r="R21" s="425"/>
      <c r="S21" s="425"/>
      <c r="T21" s="425"/>
      <c r="U21" s="425"/>
      <c r="V21" s="425"/>
      <c r="W21" s="639"/>
      <c r="X21" s="91"/>
      <c r="Y21" s="91"/>
      <c r="Z21" s="201"/>
      <c r="AA21" s="413"/>
      <c r="AB21" s="413"/>
      <c r="AC21" s="256"/>
      <c r="AE21" s="256"/>
      <c r="AF21" s="256"/>
      <c r="AG21" s="256"/>
      <c r="AH21" s="257"/>
      <c r="AI21" s="91"/>
      <c r="AK21" s="256"/>
      <c r="AL21" s="256"/>
      <c r="AM21" s="256"/>
      <c r="AN21" s="257"/>
      <c r="AO21" s="91"/>
      <c r="AQ21" s="256"/>
      <c r="AR21" s="256"/>
      <c r="AS21" s="256"/>
      <c r="AT21" s="257"/>
      <c r="AU21" s="91"/>
      <c r="AW21" s="256"/>
      <c r="AX21" s="256"/>
      <c r="AY21" s="256"/>
      <c r="AZ21" s="425"/>
      <c r="BA21" s="91"/>
    </row>
    <row r="22" spans="1:53" ht="17.100000000000001" customHeight="1" x14ac:dyDescent="0.25">
      <c r="A22" s="40"/>
      <c r="B22" s="41">
        <v>0.2</v>
      </c>
      <c r="C22" s="69" t="s">
        <v>370</v>
      </c>
      <c r="D22" s="50"/>
      <c r="E22" s="43"/>
      <c r="F22" s="43"/>
      <c r="G22" s="44"/>
      <c r="H22" s="640">
        <v>5</v>
      </c>
      <c r="I22" s="229"/>
      <c r="J22" s="71"/>
      <c r="K22" s="71"/>
      <c r="L22" s="71"/>
      <c r="M22" s="71"/>
      <c r="N22" s="71"/>
      <c r="O22" s="71"/>
      <c r="P22" s="71"/>
      <c r="Q22" s="71"/>
      <c r="R22" s="71"/>
      <c r="S22" s="71"/>
      <c r="T22" s="71"/>
      <c r="U22" s="71"/>
      <c r="V22" s="71"/>
      <c r="W22" s="71"/>
      <c r="X22" s="71"/>
      <c r="Y22" s="71"/>
      <c r="Z22" s="73"/>
      <c r="AA22" s="73"/>
      <c r="AB22" s="73"/>
      <c r="AC22" s="73"/>
      <c r="AE22" s="71"/>
      <c r="AF22" s="71"/>
      <c r="AG22" s="71"/>
      <c r="AH22" s="72"/>
      <c r="AI22" s="73"/>
      <c r="AK22" s="71"/>
      <c r="AL22" s="71"/>
      <c r="AM22" s="71"/>
      <c r="AN22" s="72"/>
      <c r="AO22" s="73"/>
      <c r="AQ22" s="71"/>
      <c r="AR22" s="71"/>
      <c r="AS22" s="71"/>
      <c r="AT22" s="72"/>
      <c r="AU22" s="73"/>
      <c r="AW22" s="71"/>
      <c r="AX22" s="71"/>
      <c r="AY22" s="71"/>
      <c r="AZ22" s="273"/>
      <c r="BA22" s="73"/>
    </row>
    <row r="23" spans="1:53" ht="17.100000000000001" customHeight="1" x14ac:dyDescent="0.25">
      <c r="A23" s="40"/>
      <c r="B23" s="40"/>
      <c r="C23" s="74" t="s">
        <v>7</v>
      </c>
      <c r="D23" s="649" t="s">
        <v>9</v>
      </c>
      <c r="E23" s="75"/>
      <c r="F23" s="75"/>
      <c r="G23" s="76"/>
      <c r="H23" s="1318"/>
      <c r="I23" s="229"/>
      <c r="J23" s="581"/>
      <c r="K23" s="581"/>
      <c r="L23" s="582"/>
      <c r="M23" s="17">
        <f t="shared" ref="M23:M25" si="9">SUM(J23:L23)</f>
        <v>0</v>
      </c>
      <c r="N23" s="111"/>
      <c r="O23" s="111"/>
      <c r="P23" s="111"/>
      <c r="Q23" s="111"/>
      <c r="R23" s="111"/>
      <c r="S23" s="111"/>
      <c r="T23" s="111"/>
      <c r="U23" s="111"/>
      <c r="V23" s="111"/>
      <c r="W23" s="391">
        <f t="shared" ref="W23:W25" si="10">J23+K23+N23+Q23+T23</f>
        <v>0</v>
      </c>
      <c r="X23" s="17">
        <f t="shared" ref="X23:X25" si="11">L23+O23+R23+U23</f>
        <v>0</v>
      </c>
      <c r="Y23" s="18">
        <f>SUM(W23:X23)</f>
        <v>0</v>
      </c>
      <c r="Z23" s="19">
        <f>IF(Y$26=0,0,Y23/Y$26)</f>
        <v>0</v>
      </c>
      <c r="AA23" s="411"/>
      <c r="AB23" s="411"/>
      <c r="AC23" s="45"/>
      <c r="AE23" s="17"/>
      <c r="AF23" s="17"/>
      <c r="AG23" s="17"/>
      <c r="AH23" s="18">
        <f>J23</f>
        <v>0</v>
      </c>
      <c r="AI23" s="19">
        <f>IF(AH$26=0,0,AH23/AH$26)</f>
        <v>0</v>
      </c>
      <c r="AK23" s="17"/>
      <c r="AL23" s="17"/>
      <c r="AM23" s="17"/>
      <c r="AN23" s="18">
        <f>K23</f>
        <v>0</v>
      </c>
      <c r="AO23" s="19">
        <f>IF(AN$26=0,0,AN23/AN$26)</f>
        <v>0</v>
      </c>
      <c r="AQ23" s="17"/>
      <c r="AR23" s="17"/>
      <c r="AS23" s="17"/>
      <c r="AT23" s="18">
        <f>W23</f>
        <v>0</v>
      </c>
      <c r="AU23" s="19">
        <f>IF(AT$26=0,0,AT23/AT$26)</f>
        <v>0</v>
      </c>
      <c r="AW23" s="17"/>
      <c r="AX23" s="17"/>
      <c r="AY23" s="17"/>
      <c r="AZ23" s="424">
        <f>X23</f>
        <v>0</v>
      </c>
      <c r="BA23" s="19">
        <f>IF(AZ$26=0,0,AZ23/AZ$26)</f>
        <v>0</v>
      </c>
    </row>
    <row r="24" spans="1:53" ht="17.100000000000001" customHeight="1" x14ac:dyDescent="0.25">
      <c r="A24" s="40"/>
      <c r="B24" s="40"/>
      <c r="C24" s="74" t="s">
        <v>8</v>
      </c>
      <c r="D24" s="649" t="s">
        <v>10</v>
      </c>
      <c r="E24" s="75"/>
      <c r="F24" s="75"/>
      <c r="G24" s="76"/>
      <c r="H24" s="647"/>
      <c r="I24" s="229"/>
      <c r="J24" s="583"/>
      <c r="K24" s="583"/>
      <c r="L24" s="584"/>
      <c r="M24" s="17">
        <f t="shared" si="9"/>
        <v>0</v>
      </c>
      <c r="N24" s="111"/>
      <c r="O24" s="111"/>
      <c r="P24" s="111"/>
      <c r="Q24" s="111"/>
      <c r="R24" s="111"/>
      <c r="S24" s="111"/>
      <c r="T24" s="111"/>
      <c r="U24" s="111"/>
      <c r="V24" s="111"/>
      <c r="W24" s="391">
        <f t="shared" si="10"/>
        <v>0</v>
      </c>
      <c r="X24" s="17">
        <f t="shared" si="11"/>
        <v>0</v>
      </c>
      <c r="Y24" s="18">
        <f>SUM(W24:X24)</f>
        <v>0</v>
      </c>
      <c r="Z24" s="19">
        <f t="shared" ref="Z24:Z25" si="12">IF(Y$26=0,0,Y24/Y$26)</f>
        <v>0</v>
      </c>
      <c r="AA24" s="411"/>
      <c r="AB24" s="411"/>
      <c r="AC24" s="45"/>
      <c r="AE24" s="17"/>
      <c r="AF24" s="17"/>
      <c r="AG24" s="17"/>
      <c r="AH24" s="18">
        <f t="shared" ref="AH24:AH25" si="13">J24</f>
        <v>0</v>
      </c>
      <c r="AI24" s="19">
        <f>IF(AH$26=0,0,AH24/AH$26)</f>
        <v>0</v>
      </c>
      <c r="AK24" s="17"/>
      <c r="AL24" s="17"/>
      <c r="AM24" s="17"/>
      <c r="AN24" s="18">
        <f t="shared" ref="AN24:AN25" si="14">K24</f>
        <v>0</v>
      </c>
      <c r="AO24" s="19">
        <f>IF(AN$26=0,0,AN24/AN$26)</f>
        <v>0</v>
      </c>
      <c r="AQ24" s="17"/>
      <c r="AR24" s="17"/>
      <c r="AS24" s="17"/>
      <c r="AT24" s="18">
        <f t="shared" ref="AT24:AT25" si="15">W24</f>
        <v>0</v>
      </c>
      <c r="AU24" s="19">
        <f t="shared" ref="AU24:AU26" si="16">IF(AT$26=0,0,AT24/AT$26)</f>
        <v>0</v>
      </c>
      <c r="AW24" s="17"/>
      <c r="AX24" s="17"/>
      <c r="AY24" s="17"/>
      <c r="AZ24" s="424">
        <f t="shared" ref="AZ24:AZ25" si="17">X24</f>
        <v>0</v>
      </c>
      <c r="BA24" s="19">
        <f>IF(AZ$26=0,0,AZ24/AZ$26)</f>
        <v>0</v>
      </c>
    </row>
    <row r="25" spans="1:53" ht="17.100000000000001" customHeight="1" x14ac:dyDescent="0.25">
      <c r="A25" s="40"/>
      <c r="B25" s="40"/>
      <c r="C25" s="74" t="s">
        <v>531</v>
      </c>
      <c r="D25" s="649" t="s">
        <v>530</v>
      </c>
      <c r="E25" s="75"/>
      <c r="F25" s="75"/>
      <c r="G25" s="76"/>
      <c r="H25" s="647"/>
      <c r="I25" s="229"/>
      <c r="J25" s="581"/>
      <c r="K25" s="581"/>
      <c r="L25" s="582"/>
      <c r="M25" s="17">
        <f t="shared" si="9"/>
        <v>0</v>
      </c>
      <c r="N25" s="111"/>
      <c r="O25" s="111"/>
      <c r="P25" s="111"/>
      <c r="Q25" s="111"/>
      <c r="R25" s="111"/>
      <c r="S25" s="111"/>
      <c r="T25" s="111"/>
      <c r="U25" s="111"/>
      <c r="V25" s="111"/>
      <c r="W25" s="391">
        <f t="shared" si="10"/>
        <v>0</v>
      </c>
      <c r="X25" s="17">
        <f t="shared" si="11"/>
        <v>0</v>
      </c>
      <c r="Y25" s="18">
        <f>SUM(W25:X25)</f>
        <v>0</v>
      </c>
      <c r="Z25" s="19">
        <f t="shared" si="12"/>
        <v>0</v>
      </c>
      <c r="AA25" s="411"/>
      <c r="AB25" s="411"/>
      <c r="AC25" s="45"/>
      <c r="AE25" s="17"/>
      <c r="AF25" s="17"/>
      <c r="AG25" s="17"/>
      <c r="AH25" s="18">
        <f t="shared" si="13"/>
        <v>0</v>
      </c>
      <c r="AI25" s="19">
        <f>IF(AH$26=0,0,AH25/AH$26)</f>
        <v>0</v>
      </c>
      <c r="AK25" s="17"/>
      <c r="AL25" s="17"/>
      <c r="AM25" s="17"/>
      <c r="AN25" s="18">
        <f t="shared" si="14"/>
        <v>0</v>
      </c>
      <c r="AO25" s="19">
        <f>IF(AN$26=0,0,AN25/AN$26)</f>
        <v>0</v>
      </c>
      <c r="AQ25" s="17"/>
      <c r="AR25" s="17"/>
      <c r="AS25" s="17"/>
      <c r="AT25" s="18">
        <f t="shared" si="15"/>
        <v>0</v>
      </c>
      <c r="AU25" s="19">
        <f t="shared" si="16"/>
        <v>0</v>
      </c>
      <c r="AW25" s="17"/>
      <c r="AX25" s="17"/>
      <c r="AY25" s="17"/>
      <c r="AZ25" s="424">
        <f t="shared" si="17"/>
        <v>0</v>
      </c>
      <c r="BA25" s="19">
        <f>IF(AZ$26=0,0,AZ25/AZ$26)</f>
        <v>0</v>
      </c>
    </row>
    <row r="26" spans="1:53" ht="17.100000000000001" customHeight="1" x14ac:dyDescent="0.25">
      <c r="A26" s="40"/>
      <c r="B26" s="40"/>
      <c r="C26" s="77"/>
      <c r="D26" s="78"/>
      <c r="E26" s="78"/>
      <c r="F26" s="78"/>
      <c r="G26" s="79"/>
      <c r="H26" s="647"/>
      <c r="I26" s="230"/>
      <c r="J26" s="80">
        <f>SUM(J23:J25)</f>
        <v>0</v>
      </c>
      <c r="K26" s="80">
        <f t="shared" ref="K26:M26" si="18">SUM(K23:K25)</f>
        <v>0</v>
      </c>
      <c r="L26" s="80">
        <f t="shared" si="18"/>
        <v>0</v>
      </c>
      <c r="M26" s="80">
        <f t="shared" si="18"/>
        <v>0</v>
      </c>
      <c r="N26" s="81"/>
      <c r="O26" s="81"/>
      <c r="P26" s="81"/>
      <c r="Q26" s="81"/>
      <c r="R26" s="81"/>
      <c r="S26" s="81"/>
      <c r="T26" s="81"/>
      <c r="U26" s="81"/>
      <c r="V26" s="81"/>
      <c r="W26" s="381">
        <f>SUM(W23:W25)</f>
        <v>0</v>
      </c>
      <c r="X26" s="82">
        <f t="shared" ref="X26:Y26" si="19">SUM(X23:X25)</f>
        <v>0</v>
      </c>
      <c r="Y26" s="82">
        <f t="shared" si="19"/>
        <v>0</v>
      </c>
      <c r="Z26" s="205">
        <f>IF(Y$26=0,0,Y26/Y$26)</f>
        <v>0</v>
      </c>
      <c r="AA26" s="205"/>
      <c r="AB26" s="205"/>
      <c r="AC26" s="83"/>
      <c r="AE26" s="81"/>
      <c r="AF26" s="81"/>
      <c r="AG26" s="81"/>
      <c r="AH26" s="82">
        <f>SUM(AH23:AH25)</f>
        <v>0</v>
      </c>
      <c r="AI26" s="66">
        <f>IF(AH$26=0,0,AH26/AH$26)</f>
        <v>0</v>
      </c>
      <c r="AK26" s="81"/>
      <c r="AL26" s="81"/>
      <c r="AM26" s="81"/>
      <c r="AN26" s="82">
        <f>SUM(AN23:AN25)</f>
        <v>0</v>
      </c>
      <c r="AO26" s="66">
        <f>IF(AN$26=0,0,AN26/AN$26)</f>
        <v>0</v>
      </c>
      <c r="AQ26" s="67"/>
      <c r="AR26" s="67"/>
      <c r="AS26" s="67"/>
      <c r="AT26" s="65">
        <f>SUM(AT23:AT25)</f>
        <v>0</v>
      </c>
      <c r="AU26" s="66">
        <f t="shared" si="16"/>
        <v>0</v>
      </c>
      <c r="AW26" s="81"/>
      <c r="AX26" s="81"/>
      <c r="AY26" s="81"/>
      <c r="AZ26" s="82">
        <f>SUM(AZ23:AZ25)</f>
        <v>0</v>
      </c>
      <c r="BA26" s="66">
        <f>IF(AZ$26=0,0,AZ26/AZ$26)</f>
        <v>0</v>
      </c>
    </row>
    <row r="27" spans="1:53" s="97" customFormat="1" ht="17.100000000000001" customHeight="1" x14ac:dyDescent="0.25">
      <c r="A27" s="68"/>
      <c r="B27" s="68"/>
      <c r="C27" s="92"/>
      <c r="D27" s="93"/>
      <c r="E27" s="93"/>
      <c r="F27" s="93"/>
      <c r="G27" s="93"/>
      <c r="H27" s="165"/>
      <c r="I27" s="12"/>
      <c r="J27" s="94" t="str">
        <f>IF(J26=J$15,"OK","NOK")</f>
        <v>OK</v>
      </c>
      <c r="K27" s="94" t="str">
        <f t="shared" ref="K27:L27" si="20">IF(K26=K$15,"OK","NOK")</f>
        <v>OK</v>
      </c>
      <c r="L27" s="94" t="str">
        <f t="shared" si="20"/>
        <v>OK</v>
      </c>
      <c r="M27" s="95"/>
      <c r="N27" s="95"/>
      <c r="O27" s="95"/>
      <c r="P27" s="95"/>
      <c r="Q27" s="95"/>
      <c r="R27" s="95"/>
      <c r="S27" s="95"/>
      <c r="T27" s="95"/>
      <c r="U27" s="95"/>
      <c r="V27" s="95"/>
      <c r="W27" s="95"/>
      <c r="X27" s="95"/>
      <c r="Y27" s="95"/>
      <c r="AQ27" s="98"/>
      <c r="AR27" s="98"/>
      <c r="AS27" s="98"/>
      <c r="AT27" s="99"/>
      <c r="AU27" s="100"/>
    </row>
    <row r="28" spans="1:53" s="32" customFormat="1" ht="16.5" thickBot="1" x14ac:dyDescent="0.3">
      <c r="A28" s="24" t="s">
        <v>13</v>
      </c>
      <c r="B28" s="25" t="s">
        <v>557</v>
      </c>
      <c r="C28" s="26"/>
      <c r="D28" s="27"/>
      <c r="E28" s="27"/>
      <c r="F28" s="27"/>
      <c r="G28" s="28"/>
      <c r="H28" s="310"/>
      <c r="I28" s="228"/>
      <c r="J28" s="101"/>
      <c r="K28" s="101"/>
      <c r="L28" s="101"/>
      <c r="M28" s="101"/>
      <c r="N28" s="101"/>
      <c r="O28" s="101"/>
      <c r="P28" s="101"/>
      <c r="Q28" s="101"/>
      <c r="R28" s="101"/>
      <c r="S28" s="101"/>
      <c r="T28" s="101"/>
      <c r="U28" s="101"/>
      <c r="V28" s="101"/>
      <c r="W28" s="101"/>
      <c r="X28" s="101"/>
      <c r="Y28" s="415" t="s">
        <v>4</v>
      </c>
      <c r="Z28" s="31" t="s">
        <v>5</v>
      </c>
      <c r="AA28" s="31" t="s">
        <v>181</v>
      </c>
      <c r="AB28" s="31" t="s">
        <v>182</v>
      </c>
      <c r="AC28" s="31" t="s">
        <v>6</v>
      </c>
      <c r="AE28" s="33" t="s">
        <v>181</v>
      </c>
      <c r="AF28" s="33" t="s">
        <v>182</v>
      </c>
      <c r="AG28" s="33" t="s">
        <v>6</v>
      </c>
      <c r="AH28" s="33" t="s">
        <v>4</v>
      </c>
      <c r="AI28" s="34" t="s">
        <v>5</v>
      </c>
      <c r="AK28" s="36" t="s">
        <v>181</v>
      </c>
      <c r="AL28" s="36" t="s">
        <v>182</v>
      </c>
      <c r="AM28" s="36" t="s">
        <v>6</v>
      </c>
      <c r="AN28" s="36" t="s">
        <v>4</v>
      </c>
      <c r="AO28" s="37" t="s">
        <v>5</v>
      </c>
      <c r="AQ28" s="398" t="s">
        <v>181</v>
      </c>
      <c r="AR28" s="398" t="s">
        <v>182</v>
      </c>
      <c r="AS28" s="398" t="s">
        <v>6</v>
      </c>
      <c r="AT28" s="398" t="s">
        <v>4</v>
      </c>
      <c r="AU28" s="399" t="s">
        <v>5</v>
      </c>
      <c r="AW28" s="38" t="s">
        <v>181</v>
      </c>
      <c r="AX28" s="38" t="s">
        <v>182</v>
      </c>
      <c r="AY28" s="38" t="s">
        <v>6</v>
      </c>
      <c r="AZ28" s="38" t="s">
        <v>4</v>
      </c>
      <c r="BA28" s="39" t="s">
        <v>5</v>
      </c>
    </row>
    <row r="29" spans="1:53" ht="17.100000000000001" customHeight="1" x14ac:dyDescent="0.25">
      <c r="A29" s="275"/>
      <c r="B29" s="41" t="s">
        <v>15</v>
      </c>
      <c r="C29" s="69" t="s">
        <v>16</v>
      </c>
      <c r="D29" s="276"/>
      <c r="E29" s="276"/>
      <c r="F29" s="276"/>
      <c r="G29" s="276"/>
      <c r="H29" s="589">
        <v>8</v>
      </c>
      <c r="I29" s="12"/>
      <c r="J29" s="277"/>
      <c r="K29" s="277"/>
      <c r="L29" s="277"/>
      <c r="M29" s="277"/>
      <c r="N29" s="277"/>
      <c r="O29" s="277"/>
      <c r="P29" s="277"/>
      <c r="Q29" s="277"/>
      <c r="R29" s="277"/>
      <c r="S29" s="277"/>
      <c r="T29" s="277"/>
      <c r="U29" s="277"/>
      <c r="V29" s="277"/>
      <c r="W29" s="277"/>
      <c r="X29" s="277"/>
      <c r="Y29" s="277"/>
      <c r="Z29" s="51"/>
      <c r="AA29" s="51"/>
      <c r="AB29" s="51"/>
      <c r="AC29" s="51"/>
      <c r="AE29" s="71"/>
      <c r="AF29" s="71"/>
      <c r="AG29" s="273"/>
      <c r="AH29" s="73"/>
      <c r="AI29" s="73"/>
      <c r="AK29" s="71"/>
      <c r="AL29" s="71"/>
      <c r="AM29" s="273"/>
      <c r="AN29" s="73"/>
      <c r="AO29" s="73"/>
      <c r="AQ29" s="71"/>
      <c r="AR29" s="71"/>
      <c r="AS29" s="71"/>
      <c r="AT29" s="72"/>
      <c r="AU29" s="73"/>
      <c r="AW29" s="71"/>
      <c r="AX29" s="71"/>
      <c r="AY29" s="273"/>
      <c r="AZ29" s="73"/>
      <c r="BA29" s="73"/>
    </row>
    <row r="30" spans="1:53" ht="17.100000000000001" customHeight="1" x14ac:dyDescent="0.25">
      <c r="A30" s="40"/>
      <c r="B30" s="40"/>
      <c r="C30" s="74" t="s">
        <v>17</v>
      </c>
      <c r="D30" s="104" t="s">
        <v>609</v>
      </c>
      <c r="E30" s="75"/>
      <c r="F30" s="75"/>
      <c r="G30" s="76"/>
      <c r="H30" s="210"/>
      <c r="I30" s="229"/>
      <c r="J30" s="46">
        <f>J15</f>
        <v>0</v>
      </c>
      <c r="K30" s="46"/>
      <c r="L30" s="17"/>
      <c r="M30" s="17">
        <f t="shared" ref="M30:M32" si="21">SUM(J30:L30)</f>
        <v>0</v>
      </c>
      <c r="N30" s="111"/>
      <c r="O30" s="111"/>
      <c r="P30" s="111"/>
      <c r="Q30" s="111"/>
      <c r="R30" s="111"/>
      <c r="S30" s="111"/>
      <c r="T30" s="111"/>
      <c r="U30" s="111"/>
      <c r="V30" s="111"/>
      <c r="W30" s="391">
        <f t="shared" ref="W30:W32" si="22">J30+K30+N30+Q30+T30</f>
        <v>0</v>
      </c>
      <c r="X30" s="17">
        <f t="shared" ref="X30:X32" si="23">L30+O30+R30+U30</f>
        <v>0</v>
      </c>
      <c r="Y30" s="18">
        <f>SUM(W30:X30)</f>
        <v>0</v>
      </c>
      <c r="Z30" s="19">
        <f>IF(Y$33=0,0,Y30/Y$33)</f>
        <v>0</v>
      </c>
      <c r="AA30" s="411"/>
      <c r="AB30" s="411"/>
      <c r="AC30" s="45"/>
      <c r="AE30" s="17"/>
      <c r="AF30" s="17"/>
      <c r="AG30" s="17"/>
      <c r="AH30" s="18">
        <f>J30</f>
        <v>0</v>
      </c>
      <c r="AI30" s="19">
        <f>IF(AH$33=0,0,AH30/AH$33)</f>
        <v>0</v>
      </c>
      <c r="AK30" s="17"/>
      <c r="AL30" s="17"/>
      <c r="AM30" s="17"/>
      <c r="AN30" s="18">
        <f>K30</f>
        <v>0</v>
      </c>
      <c r="AO30" s="19">
        <f>IF(AN$33=0,0,AN30/AN$33)</f>
        <v>0</v>
      </c>
      <c r="AQ30" s="17"/>
      <c r="AR30" s="17"/>
      <c r="AS30" s="17"/>
      <c r="AT30" s="18">
        <f t="shared" ref="AT30:AT32" si="24">W30</f>
        <v>0</v>
      </c>
      <c r="AU30" s="19">
        <f>IF(AT$33=0,0,AT30/AT$33)</f>
        <v>0</v>
      </c>
      <c r="AW30" s="17"/>
      <c r="AX30" s="17"/>
      <c r="AY30" s="17"/>
      <c r="AZ30" s="424">
        <f>X30</f>
        <v>0</v>
      </c>
      <c r="BA30" s="19">
        <f>IF(AZ$33=0,0,AZ30/AZ$33)</f>
        <v>0</v>
      </c>
    </row>
    <row r="31" spans="1:53" ht="17.100000000000001" customHeight="1" x14ac:dyDescent="0.25">
      <c r="A31" s="40"/>
      <c r="B31" s="40"/>
      <c r="C31" s="74" t="s">
        <v>18</v>
      </c>
      <c r="D31" s="104" t="s">
        <v>610</v>
      </c>
      <c r="E31" s="75"/>
      <c r="F31" s="75"/>
      <c r="G31" s="76"/>
      <c r="H31" s="210"/>
      <c r="I31" s="229"/>
      <c r="J31" s="46"/>
      <c r="K31" s="46">
        <f>K15</f>
        <v>0</v>
      </c>
      <c r="L31" s="17"/>
      <c r="M31" s="17">
        <f t="shared" si="21"/>
        <v>0</v>
      </c>
      <c r="N31" s="111"/>
      <c r="O31" s="111"/>
      <c r="P31" s="111"/>
      <c r="Q31" s="111"/>
      <c r="R31" s="111"/>
      <c r="S31" s="111"/>
      <c r="T31" s="111"/>
      <c r="U31" s="111"/>
      <c r="V31" s="111"/>
      <c r="W31" s="391">
        <f t="shared" si="22"/>
        <v>0</v>
      </c>
      <c r="X31" s="17">
        <f t="shared" si="23"/>
        <v>0</v>
      </c>
      <c r="Y31" s="18">
        <f>SUM(W31:X31)</f>
        <v>0</v>
      </c>
      <c r="Z31" s="19">
        <f t="shared" ref="Z31:Z33" si="25">IF(Y$33=0,0,Y31/Y$33)</f>
        <v>0</v>
      </c>
      <c r="AA31" s="411"/>
      <c r="AB31" s="411"/>
      <c r="AC31" s="45"/>
      <c r="AE31" s="17"/>
      <c r="AF31" s="17"/>
      <c r="AG31" s="17"/>
      <c r="AH31" s="18">
        <f t="shared" ref="AH31:AH32" si="26">J31</f>
        <v>0</v>
      </c>
      <c r="AI31" s="19">
        <f>IF(AH$33=0,0,AH31/AH$33)</f>
        <v>0</v>
      </c>
      <c r="AK31" s="17"/>
      <c r="AL31" s="17"/>
      <c r="AM31" s="17"/>
      <c r="AN31" s="18">
        <f t="shared" ref="AN31:AN32" si="27">K31</f>
        <v>0</v>
      </c>
      <c r="AO31" s="19">
        <f>IF(AN$33=0,0,AN31/AN$33)</f>
        <v>0</v>
      </c>
      <c r="AQ31" s="17"/>
      <c r="AR31" s="17"/>
      <c r="AS31" s="17"/>
      <c r="AT31" s="18">
        <f t="shared" si="24"/>
        <v>0</v>
      </c>
      <c r="AU31" s="19">
        <f>IF(AT$33=0,0,AT31/AT$33)</f>
        <v>0</v>
      </c>
      <c r="AW31" s="17"/>
      <c r="AX31" s="17"/>
      <c r="AY31" s="17"/>
      <c r="AZ31" s="424">
        <f t="shared" ref="AZ31:AZ32" si="28">X31</f>
        <v>0</v>
      </c>
      <c r="BA31" s="19">
        <f>IF(AZ$33=0,0,AZ31/AZ$33)</f>
        <v>0</v>
      </c>
    </row>
    <row r="32" spans="1:53" ht="17.100000000000001" customHeight="1" x14ac:dyDescent="0.25">
      <c r="A32" s="40"/>
      <c r="B32" s="40"/>
      <c r="C32" s="74" t="s">
        <v>19</v>
      </c>
      <c r="D32" s="104" t="s">
        <v>611</v>
      </c>
      <c r="E32" s="75"/>
      <c r="F32" s="75"/>
      <c r="G32" s="76"/>
      <c r="H32" s="210"/>
      <c r="I32" s="229"/>
      <c r="J32" s="46"/>
      <c r="K32" s="46"/>
      <c r="L32" s="17">
        <f>L15</f>
        <v>0</v>
      </c>
      <c r="M32" s="17">
        <f t="shared" si="21"/>
        <v>0</v>
      </c>
      <c r="N32" s="111"/>
      <c r="O32" s="111"/>
      <c r="P32" s="111"/>
      <c r="Q32" s="111"/>
      <c r="R32" s="111"/>
      <c r="S32" s="111"/>
      <c r="T32" s="111"/>
      <c r="U32" s="111"/>
      <c r="V32" s="111"/>
      <c r="W32" s="391">
        <f t="shared" si="22"/>
        <v>0</v>
      </c>
      <c r="X32" s="17">
        <f t="shared" si="23"/>
        <v>0</v>
      </c>
      <c r="Y32" s="18">
        <f>SUM(W32:X32)</f>
        <v>0</v>
      </c>
      <c r="Z32" s="19">
        <f t="shared" si="25"/>
        <v>0</v>
      </c>
      <c r="AA32" s="411"/>
      <c r="AB32" s="411"/>
      <c r="AC32" s="45"/>
      <c r="AE32" s="17"/>
      <c r="AF32" s="17"/>
      <c r="AG32" s="17"/>
      <c r="AH32" s="18">
        <f t="shared" si="26"/>
        <v>0</v>
      </c>
      <c r="AI32" s="19">
        <f>IF(AH$33=0,0,AH32/AH$33)</f>
        <v>0</v>
      </c>
      <c r="AK32" s="17"/>
      <c r="AL32" s="17"/>
      <c r="AM32" s="17"/>
      <c r="AN32" s="18">
        <f t="shared" si="27"/>
        <v>0</v>
      </c>
      <c r="AO32" s="19">
        <f>IF(AN$33=0,0,AN32/AN$33)</f>
        <v>0</v>
      </c>
      <c r="AQ32" s="17"/>
      <c r="AR32" s="17"/>
      <c r="AS32" s="17"/>
      <c r="AT32" s="18">
        <f t="shared" si="24"/>
        <v>0</v>
      </c>
      <c r="AU32" s="19">
        <f>IF(AT$33=0,0,AT32/AT$33)</f>
        <v>0</v>
      </c>
      <c r="AW32" s="17"/>
      <c r="AX32" s="17"/>
      <c r="AY32" s="17"/>
      <c r="AZ32" s="424">
        <f t="shared" si="28"/>
        <v>0</v>
      </c>
      <c r="BA32" s="19">
        <f>IF(AZ$33=0,0,AZ32/AZ$33)</f>
        <v>0</v>
      </c>
    </row>
    <row r="33" spans="1:53" ht="17.100000000000001" customHeight="1" x14ac:dyDescent="0.25">
      <c r="A33" s="40"/>
      <c r="B33" s="40"/>
      <c r="C33" s="77"/>
      <c r="D33" s="78"/>
      <c r="E33" s="78"/>
      <c r="F33" s="78"/>
      <c r="G33" s="79"/>
      <c r="H33" s="217"/>
      <c r="I33" s="230"/>
      <c r="J33" s="80">
        <f>SUM(J30:J32)</f>
        <v>0</v>
      </c>
      <c r="K33" s="80">
        <f t="shared" ref="K33:M33" si="29">SUM(K30:K32)</f>
        <v>0</v>
      </c>
      <c r="L33" s="80">
        <f t="shared" si="29"/>
        <v>0</v>
      </c>
      <c r="M33" s="80">
        <f t="shared" si="29"/>
        <v>0</v>
      </c>
      <c r="N33" s="81"/>
      <c r="O33" s="81"/>
      <c r="P33" s="81"/>
      <c r="Q33" s="81"/>
      <c r="R33" s="81"/>
      <c r="S33" s="81"/>
      <c r="T33" s="81"/>
      <c r="U33" s="81"/>
      <c r="V33" s="81"/>
      <c r="W33" s="381">
        <f>SUM(W30:W32)</f>
        <v>0</v>
      </c>
      <c r="X33" s="82">
        <f t="shared" ref="X33:Y33" si="30">SUM(X30:X32)</f>
        <v>0</v>
      </c>
      <c r="Y33" s="82">
        <f t="shared" si="30"/>
        <v>0</v>
      </c>
      <c r="Z33" s="205">
        <f t="shared" si="25"/>
        <v>0</v>
      </c>
      <c r="AA33" s="205"/>
      <c r="AB33" s="205"/>
      <c r="AC33" s="83"/>
      <c r="AE33" s="107"/>
      <c r="AF33" s="107"/>
      <c r="AG33" s="107"/>
      <c r="AH33" s="82">
        <f>SUM(AH30:AH32)</f>
        <v>0</v>
      </c>
      <c r="AI33" s="66">
        <f>IF(AH$33=0,0,AH33/AH$33)</f>
        <v>0</v>
      </c>
      <c r="AK33" s="107"/>
      <c r="AL33" s="107"/>
      <c r="AM33" s="107"/>
      <c r="AN33" s="82">
        <f>SUM(AN30:AN32)</f>
        <v>0</v>
      </c>
      <c r="AO33" s="66">
        <f>IF(AN$33=0,0,AN33/AN$33)</f>
        <v>0</v>
      </c>
      <c r="AQ33" s="107"/>
      <c r="AR33" s="107"/>
      <c r="AS33" s="107"/>
      <c r="AT33" s="82">
        <f>SUM(AT30:AT32)</f>
        <v>0</v>
      </c>
      <c r="AU33" s="66">
        <f>IF(AT$33=0,0,AT33/AT$33)</f>
        <v>0</v>
      </c>
      <c r="AW33" s="107"/>
      <c r="AX33" s="107"/>
      <c r="AY33" s="107"/>
      <c r="AZ33" s="82">
        <f>SUM(AZ30:AZ32)</f>
        <v>0</v>
      </c>
      <c r="BA33" s="66">
        <f>IF(AZ$33=0,0,AZ33/AZ$33)</f>
        <v>0</v>
      </c>
    </row>
    <row r="34" spans="1:53" s="97" customFormat="1" ht="17.100000000000001" customHeight="1" x14ac:dyDescent="0.25">
      <c r="A34" s="68"/>
      <c r="B34" s="68"/>
      <c r="C34" s="92"/>
      <c r="D34" s="93"/>
      <c r="E34" s="93"/>
      <c r="F34" s="93"/>
      <c r="G34" s="93"/>
      <c r="H34" s="12"/>
      <c r="I34" s="12"/>
      <c r="J34" s="109"/>
      <c r="K34" s="109"/>
      <c r="L34" s="109"/>
      <c r="M34" s="109"/>
      <c r="N34" s="109"/>
      <c r="O34" s="109"/>
      <c r="P34" s="109"/>
      <c r="Q34" s="109"/>
      <c r="R34" s="109"/>
      <c r="S34" s="109"/>
      <c r="T34" s="109"/>
      <c r="U34" s="109"/>
      <c r="V34" s="109"/>
      <c r="W34" s="109"/>
      <c r="X34" s="109"/>
      <c r="Y34" s="109"/>
      <c r="AQ34" s="109"/>
      <c r="AR34" s="109"/>
      <c r="AS34" s="109"/>
      <c r="AT34" s="96"/>
    </row>
    <row r="35" spans="1:53" s="32" customFormat="1" ht="16.5" thickBot="1" x14ac:dyDescent="0.3">
      <c r="A35" s="24" t="s">
        <v>20</v>
      </c>
      <c r="B35" s="25" t="s">
        <v>21</v>
      </c>
      <c r="C35" s="26"/>
      <c r="D35" s="27"/>
      <c r="E35" s="27"/>
      <c r="F35" s="27"/>
      <c r="G35" s="28"/>
      <c r="H35" s="28"/>
      <c r="I35" s="228"/>
      <c r="J35" s="101"/>
      <c r="K35" s="101"/>
      <c r="L35" s="101"/>
      <c r="M35" s="101"/>
      <c r="N35" s="101"/>
      <c r="O35" s="101"/>
      <c r="P35" s="101"/>
      <c r="Q35" s="101"/>
      <c r="R35" s="101"/>
      <c r="S35" s="101"/>
      <c r="T35" s="101"/>
      <c r="U35" s="101"/>
      <c r="V35" s="101"/>
      <c r="W35" s="101"/>
      <c r="X35" s="101"/>
      <c r="Y35" s="415" t="s">
        <v>4</v>
      </c>
      <c r="Z35" s="31" t="s">
        <v>5</v>
      </c>
      <c r="AA35" s="31" t="s">
        <v>181</v>
      </c>
      <c r="AB35" s="31" t="s">
        <v>182</v>
      </c>
      <c r="AC35" s="31" t="s">
        <v>6</v>
      </c>
      <c r="AE35" s="33" t="s">
        <v>181</v>
      </c>
      <c r="AF35" s="33" t="s">
        <v>182</v>
      </c>
      <c r="AG35" s="33" t="s">
        <v>6</v>
      </c>
      <c r="AH35" s="33" t="s">
        <v>4</v>
      </c>
      <c r="AI35" s="34" t="s">
        <v>5</v>
      </c>
      <c r="AK35" s="36" t="s">
        <v>181</v>
      </c>
      <c r="AL35" s="36" t="s">
        <v>182</v>
      </c>
      <c r="AM35" s="36" t="s">
        <v>6</v>
      </c>
      <c r="AN35" s="36" t="s">
        <v>4</v>
      </c>
      <c r="AO35" s="37" t="s">
        <v>5</v>
      </c>
      <c r="AQ35" s="36"/>
      <c r="AR35" s="36"/>
      <c r="AS35" s="36"/>
      <c r="AT35" s="36"/>
      <c r="AU35" s="37"/>
      <c r="AW35" s="38" t="s">
        <v>181</v>
      </c>
      <c r="AX35" s="38" t="s">
        <v>182</v>
      </c>
      <c r="AY35" s="38" t="s">
        <v>6</v>
      </c>
      <c r="AZ35" s="38" t="s">
        <v>4</v>
      </c>
      <c r="BA35" s="39" t="s">
        <v>5</v>
      </c>
    </row>
    <row r="36" spans="1:53" ht="17.100000000000001" customHeight="1" x14ac:dyDescent="0.25">
      <c r="A36" s="119"/>
      <c r="B36" s="41" t="s">
        <v>22</v>
      </c>
      <c r="C36" s="332" t="s">
        <v>23</v>
      </c>
      <c r="D36" s="50"/>
      <c r="E36" s="70"/>
      <c r="F36" s="70"/>
      <c r="G36" s="70"/>
      <c r="H36" s="589">
        <v>9</v>
      </c>
      <c r="J36" s="71"/>
      <c r="K36" s="71"/>
      <c r="L36" s="71"/>
      <c r="M36" s="71"/>
      <c r="N36" s="71"/>
      <c r="O36" s="71"/>
      <c r="P36" s="71"/>
      <c r="Q36" s="71"/>
      <c r="R36" s="71"/>
      <c r="S36" s="71"/>
      <c r="T36" s="71"/>
      <c r="U36" s="71"/>
      <c r="V36" s="355"/>
      <c r="W36" s="377"/>
      <c r="X36" s="71"/>
      <c r="Y36" s="72"/>
      <c r="Z36" s="73"/>
      <c r="AA36" s="73"/>
      <c r="AB36" s="73"/>
      <c r="AC36" s="73"/>
      <c r="AE36" s="71"/>
      <c r="AF36" s="71"/>
      <c r="AG36" s="71"/>
      <c r="AH36" s="72"/>
      <c r="AI36" s="73"/>
      <c r="AJ36" s="117"/>
      <c r="AK36" s="71"/>
      <c r="AL36" s="71"/>
      <c r="AM36" s="71"/>
      <c r="AN36" s="72"/>
      <c r="AO36" s="73"/>
      <c r="AP36" s="117"/>
      <c r="AQ36" s="71"/>
      <c r="AR36" s="71"/>
      <c r="AS36" s="71"/>
      <c r="AT36" s="72"/>
      <c r="AU36" s="73"/>
      <c r="AV36" s="117"/>
      <c r="AW36" s="71"/>
      <c r="AX36" s="71"/>
      <c r="AY36" s="71"/>
      <c r="AZ36" s="273"/>
      <c r="BA36" s="73"/>
    </row>
    <row r="37" spans="1:53" ht="17.100000000000001" customHeight="1" x14ac:dyDescent="0.25">
      <c r="A37" s="119"/>
      <c r="B37" s="647"/>
      <c r="C37" s="103" t="s">
        <v>631</v>
      </c>
      <c r="D37" s="313" t="s">
        <v>658</v>
      </c>
      <c r="E37" s="108"/>
      <c r="F37" s="108"/>
      <c r="G37" s="108"/>
      <c r="H37" s="119"/>
      <c r="J37" s="111"/>
      <c r="K37" s="111"/>
      <c r="L37" s="111"/>
      <c r="M37" s="111"/>
      <c r="N37" s="111"/>
      <c r="O37" s="111"/>
      <c r="P37" s="111"/>
      <c r="Q37" s="111"/>
      <c r="R37" s="111"/>
      <c r="S37" s="111"/>
      <c r="T37" s="111"/>
      <c r="U37" s="111"/>
      <c r="V37" s="358"/>
      <c r="W37" s="380"/>
      <c r="X37" s="111"/>
      <c r="Y37" s="112"/>
      <c r="Z37" s="113"/>
      <c r="AA37" s="113"/>
      <c r="AB37" s="113"/>
      <c r="AC37" s="113"/>
      <c r="AE37" s="111"/>
      <c r="AF37" s="111"/>
      <c r="AG37" s="111"/>
      <c r="AH37" s="112"/>
      <c r="AI37" s="113"/>
      <c r="AJ37" s="117"/>
      <c r="AK37" s="111"/>
      <c r="AL37" s="111"/>
      <c r="AM37" s="111"/>
      <c r="AN37" s="112"/>
      <c r="AO37" s="113"/>
      <c r="AP37" s="117"/>
      <c r="AQ37" s="111"/>
      <c r="AR37" s="111"/>
      <c r="AS37" s="111"/>
      <c r="AT37" s="112"/>
      <c r="AU37" s="113"/>
      <c r="AV37" s="117"/>
      <c r="AW37" s="111"/>
      <c r="AX37" s="111"/>
      <c r="AY37" s="111"/>
      <c r="AZ37" s="114"/>
      <c r="BA37" s="113"/>
    </row>
    <row r="38" spans="1:53" ht="17.100000000000001" customHeight="1" x14ac:dyDescent="0.25">
      <c r="A38" s="47"/>
      <c r="B38" s="55"/>
      <c r="C38" s="56"/>
      <c r="D38" s="120" t="s">
        <v>632</v>
      </c>
      <c r="E38" s="58" t="s">
        <v>659</v>
      </c>
      <c r="F38" s="58"/>
      <c r="G38" s="59"/>
      <c r="H38" s="216"/>
      <c r="I38" s="229"/>
      <c r="J38" s="174"/>
      <c r="K38" s="174"/>
      <c r="L38" s="111"/>
      <c r="M38" s="111"/>
      <c r="N38" s="60">
        <v>1</v>
      </c>
      <c r="O38" s="60"/>
      <c r="P38" s="17">
        <f>SUM(N38:O38)</f>
        <v>1</v>
      </c>
      <c r="Q38" s="60">
        <v>5</v>
      </c>
      <c r="R38" s="60">
        <v>2</v>
      </c>
      <c r="S38" s="17">
        <f>SUM(Q38:R38)</f>
        <v>7</v>
      </c>
      <c r="T38" s="60"/>
      <c r="U38" s="60"/>
      <c r="V38" s="17">
        <f>SUM(T38:U38)</f>
        <v>0</v>
      </c>
      <c r="W38" s="391">
        <f t="shared" ref="W38:W40" si="31">J38+K38+N38+Q38+T38</f>
        <v>6</v>
      </c>
      <c r="X38" s="17">
        <f t="shared" ref="X38:X40" si="32">L38+O38+R38+U38</f>
        <v>2</v>
      </c>
      <c r="Y38" s="18">
        <f>SUM(W38:X38)</f>
        <v>8</v>
      </c>
      <c r="Z38" s="19">
        <f>IF(Y$41=0,0,Y38/Y$41)</f>
        <v>0.2857142857142857</v>
      </c>
      <c r="AA38" s="19"/>
      <c r="AB38" s="19"/>
      <c r="AC38" s="20"/>
      <c r="AE38" s="111"/>
      <c r="AF38" s="111"/>
      <c r="AG38" s="111"/>
      <c r="AH38" s="651"/>
      <c r="AI38" s="131"/>
      <c r="AJ38" s="117"/>
      <c r="AK38" s="111"/>
      <c r="AL38" s="111"/>
      <c r="AM38" s="111"/>
      <c r="AN38" s="651"/>
      <c r="AO38" s="131"/>
      <c r="AP38" s="117"/>
      <c r="AQ38" s="17"/>
      <c r="AR38" s="17"/>
      <c r="AS38" s="17"/>
      <c r="AT38" s="18">
        <f>W38</f>
        <v>6</v>
      </c>
      <c r="AU38" s="19">
        <f>IF(AT$41=0,0,AT38/AT$41)</f>
        <v>0.4</v>
      </c>
      <c r="AV38" s="117"/>
      <c r="AW38" s="17"/>
      <c r="AX38" s="17"/>
      <c r="AY38" s="17"/>
      <c r="AZ38" s="424">
        <f>X38</f>
        <v>2</v>
      </c>
      <c r="BA38" s="19">
        <f>IF(AZ$41=0,0,AZ38/AZ$41)</f>
        <v>0.15384615384615385</v>
      </c>
    </row>
    <row r="39" spans="1:53" ht="17.100000000000001" customHeight="1" x14ac:dyDescent="0.25">
      <c r="A39" s="47"/>
      <c r="B39" s="55"/>
      <c r="C39" s="56"/>
      <c r="D39" s="120" t="s">
        <v>633</v>
      </c>
      <c r="E39" s="58" t="s">
        <v>634</v>
      </c>
      <c r="F39" s="58"/>
      <c r="G39" s="59"/>
      <c r="H39" s="216"/>
      <c r="I39" s="229"/>
      <c r="J39" s="174"/>
      <c r="K39" s="174"/>
      <c r="L39" s="111"/>
      <c r="M39" s="111"/>
      <c r="N39" s="61">
        <v>2</v>
      </c>
      <c r="O39" s="61">
        <v>6</v>
      </c>
      <c r="P39" s="17">
        <f t="shared" ref="P39:P40" si="33">SUM(N39:O39)</f>
        <v>8</v>
      </c>
      <c r="Q39" s="61">
        <v>1</v>
      </c>
      <c r="R39" s="61"/>
      <c r="S39" s="17">
        <f t="shared" ref="S39:S40" si="34">SUM(Q39:R39)</f>
        <v>1</v>
      </c>
      <c r="T39" s="61">
        <v>5</v>
      </c>
      <c r="U39" s="61">
        <v>5</v>
      </c>
      <c r="V39" s="17">
        <f t="shared" ref="V39:V40" si="35">SUM(T39:U39)</f>
        <v>10</v>
      </c>
      <c r="W39" s="391">
        <f t="shared" si="31"/>
        <v>8</v>
      </c>
      <c r="X39" s="17">
        <f t="shared" si="32"/>
        <v>11</v>
      </c>
      <c r="Y39" s="18">
        <f>SUM(W39:X39)</f>
        <v>19</v>
      </c>
      <c r="Z39" s="19">
        <f>IF(Y$41=0,0,Y39/Y$41)</f>
        <v>0.6785714285714286</v>
      </c>
      <c r="AA39" s="19"/>
      <c r="AB39" s="19"/>
      <c r="AC39" s="20"/>
      <c r="AE39" s="111"/>
      <c r="AF39" s="111"/>
      <c r="AG39" s="111"/>
      <c r="AH39" s="651"/>
      <c r="AI39" s="131"/>
      <c r="AJ39" s="117"/>
      <c r="AK39" s="111"/>
      <c r="AL39" s="111"/>
      <c r="AM39" s="111"/>
      <c r="AN39" s="651"/>
      <c r="AO39" s="131"/>
      <c r="AP39" s="117"/>
      <c r="AQ39" s="17"/>
      <c r="AR39" s="17"/>
      <c r="AS39" s="17"/>
      <c r="AT39" s="18">
        <f>W39</f>
        <v>8</v>
      </c>
      <c r="AU39" s="19">
        <f>IF(AT$41=0,0,AT39/AT$41)</f>
        <v>0.53333333333333333</v>
      </c>
      <c r="AV39" s="117"/>
      <c r="AW39" s="17"/>
      <c r="AX39" s="17"/>
      <c r="AY39" s="17"/>
      <c r="AZ39" s="424">
        <f>X39</f>
        <v>11</v>
      </c>
      <c r="BA39" s="19">
        <f>IF(AZ$41=0,0,AZ39/AZ$41)</f>
        <v>0.84615384615384615</v>
      </c>
    </row>
    <row r="40" spans="1:53" ht="17.100000000000001" customHeight="1" x14ac:dyDescent="0.25">
      <c r="A40" s="47"/>
      <c r="B40" s="55"/>
      <c r="C40" s="56"/>
      <c r="D40" s="120" t="s">
        <v>744</v>
      </c>
      <c r="E40" s="58" t="s">
        <v>745</v>
      </c>
      <c r="F40" s="58"/>
      <c r="G40" s="59"/>
      <c r="H40" s="216"/>
      <c r="I40" s="229"/>
      <c r="J40" s="174"/>
      <c r="K40" s="174"/>
      <c r="L40" s="111"/>
      <c r="M40" s="111"/>
      <c r="N40" s="60"/>
      <c r="O40" s="60"/>
      <c r="P40" s="17">
        <f t="shared" si="33"/>
        <v>0</v>
      </c>
      <c r="Q40" s="60">
        <v>1</v>
      </c>
      <c r="R40" s="60"/>
      <c r="S40" s="17">
        <f t="shared" si="34"/>
        <v>1</v>
      </c>
      <c r="T40" s="60"/>
      <c r="U40" s="60"/>
      <c r="V40" s="17">
        <f t="shared" si="35"/>
        <v>0</v>
      </c>
      <c r="W40" s="391">
        <f t="shared" si="31"/>
        <v>1</v>
      </c>
      <c r="X40" s="17">
        <f t="shared" si="32"/>
        <v>0</v>
      </c>
      <c r="Y40" s="18">
        <f>SUM(W40:X40)</f>
        <v>1</v>
      </c>
      <c r="Z40" s="19">
        <f>IF(Y$41=0,0,Y40/Y$41)</f>
        <v>3.5714285714285712E-2</v>
      </c>
      <c r="AA40" s="19"/>
      <c r="AB40" s="19"/>
      <c r="AC40" s="20"/>
      <c r="AE40" s="111"/>
      <c r="AF40" s="111"/>
      <c r="AG40" s="111"/>
      <c r="AH40" s="651"/>
      <c r="AI40" s="131"/>
      <c r="AJ40" s="117"/>
      <c r="AK40" s="111"/>
      <c r="AL40" s="111"/>
      <c r="AM40" s="111"/>
      <c r="AN40" s="651"/>
      <c r="AO40" s="131"/>
      <c r="AP40" s="117"/>
      <c r="AQ40" s="17"/>
      <c r="AR40" s="17"/>
      <c r="AS40" s="17"/>
      <c r="AT40" s="18">
        <f>W40</f>
        <v>1</v>
      </c>
      <c r="AU40" s="19">
        <f>IF(AT$41=0,0,AT40/AT$41)</f>
        <v>6.6666666666666666E-2</v>
      </c>
      <c r="AV40" s="117"/>
      <c r="AW40" s="17"/>
      <c r="AX40" s="17"/>
      <c r="AY40" s="17"/>
      <c r="AZ40" s="424">
        <f>X40</f>
        <v>0</v>
      </c>
      <c r="BA40" s="19">
        <f>IF(AZ$41=0,0,AZ40/AZ$41)</f>
        <v>0</v>
      </c>
    </row>
    <row r="41" spans="1:53" ht="17.100000000000001" customHeight="1" x14ac:dyDescent="0.25">
      <c r="A41" s="40"/>
      <c r="B41" s="40"/>
      <c r="C41" s="77"/>
      <c r="D41" s="78"/>
      <c r="E41" s="78"/>
      <c r="F41" s="78"/>
      <c r="G41" s="78"/>
      <c r="H41" s="242"/>
      <c r="I41" s="230"/>
      <c r="J41" s="80"/>
      <c r="K41" s="80"/>
      <c r="L41" s="80"/>
      <c r="M41" s="80"/>
      <c r="N41" s="64">
        <f>SUM(N38:N40)</f>
        <v>3</v>
      </c>
      <c r="O41" s="64">
        <f t="shared" ref="O41:V41" si="36">SUM(O38:O40)</f>
        <v>6</v>
      </c>
      <c r="P41" s="64">
        <f t="shared" si="36"/>
        <v>9</v>
      </c>
      <c r="Q41" s="64">
        <f t="shared" si="36"/>
        <v>7</v>
      </c>
      <c r="R41" s="64">
        <f t="shared" si="36"/>
        <v>2</v>
      </c>
      <c r="S41" s="64">
        <f t="shared" si="36"/>
        <v>9</v>
      </c>
      <c r="T41" s="64">
        <f t="shared" si="36"/>
        <v>5</v>
      </c>
      <c r="U41" s="64">
        <f t="shared" si="36"/>
        <v>5</v>
      </c>
      <c r="V41" s="64">
        <f t="shared" si="36"/>
        <v>10</v>
      </c>
      <c r="W41" s="381">
        <f>SUM(W38:W40)</f>
        <v>15</v>
      </c>
      <c r="X41" s="82">
        <f t="shared" ref="X41:Y41" si="37">SUM(X38:X40)</f>
        <v>13</v>
      </c>
      <c r="Y41" s="82">
        <f t="shared" si="37"/>
        <v>28</v>
      </c>
      <c r="Z41" s="205">
        <f>IF(Y$41=0,0,Y41/Y$41)</f>
        <v>1</v>
      </c>
      <c r="AA41" s="205"/>
      <c r="AB41" s="205"/>
      <c r="AC41" s="83"/>
      <c r="AE41" s="81"/>
      <c r="AF41" s="81"/>
      <c r="AG41" s="81"/>
      <c r="AH41" s="82"/>
      <c r="AI41" s="66"/>
      <c r="AJ41" s="117"/>
      <c r="AK41" s="81"/>
      <c r="AL41" s="81"/>
      <c r="AM41" s="81"/>
      <c r="AN41" s="82"/>
      <c r="AO41" s="66"/>
      <c r="AP41" s="117"/>
      <c r="AQ41" s="81"/>
      <c r="AR41" s="81"/>
      <c r="AS41" s="81"/>
      <c r="AT41" s="82">
        <f>SUM(AT38:AT40)</f>
        <v>15</v>
      </c>
      <c r="AU41" s="66">
        <f>IF(AT$41=0,0,AT41/AT$41)</f>
        <v>1</v>
      </c>
      <c r="AV41" s="117"/>
      <c r="AW41" s="81"/>
      <c r="AX41" s="81"/>
      <c r="AY41" s="81"/>
      <c r="AZ41" s="82">
        <f>SUM(AZ38:AZ40)</f>
        <v>13</v>
      </c>
      <c r="BA41" s="66">
        <f>IF(AZ$41=0,0,AZ41/AZ$41)</f>
        <v>1</v>
      </c>
    </row>
    <row r="42" spans="1:53" s="117" customFormat="1" ht="17.100000000000001" customHeight="1" x14ac:dyDescent="0.25">
      <c r="A42" s="119"/>
      <c r="B42" s="119"/>
      <c r="C42" s="647"/>
      <c r="D42" s="212"/>
      <c r="E42" s="212"/>
      <c r="F42" s="212"/>
      <c r="G42" s="212"/>
      <c r="H42" s="242"/>
      <c r="I42" s="230"/>
      <c r="J42" s="17"/>
      <c r="K42" s="17"/>
      <c r="L42" s="17"/>
      <c r="M42" s="17"/>
      <c r="N42" s="17" t="str">
        <f>IF(N41=N$20,"OK","NOK")</f>
        <v>OK</v>
      </c>
      <c r="O42" s="17" t="str">
        <f>IF(O41=O$20,"OK","NOK")</f>
        <v>OK</v>
      </c>
      <c r="P42" s="17"/>
      <c r="Q42" s="17" t="str">
        <f>IF(Q41=Q$20,"OK","NOK")</f>
        <v>OK</v>
      </c>
      <c r="R42" s="17" t="str">
        <f>IF(R41=R$20,"OK","NOK")</f>
        <v>OK</v>
      </c>
      <c r="S42" s="17"/>
      <c r="T42" s="17" t="str">
        <f>IF(T41=T$20,"OK","NOK")</f>
        <v>OK</v>
      </c>
      <c r="U42" s="17" t="str">
        <f>IF(U41=U$20,"OK","NOK")</f>
        <v>OK</v>
      </c>
      <c r="V42" s="359"/>
      <c r="W42" s="395">
        <f>IF($Y$41=0,0,W41/$Y$41)</f>
        <v>0.5357142857142857</v>
      </c>
      <c r="X42" s="91">
        <f>IF($Y$41=0,0,X41/$Y$41)</f>
        <v>0.4642857142857143</v>
      </c>
      <c r="Y42" s="91">
        <f>IF($Y$41=0,0,Y41/$Y$41)</f>
        <v>1</v>
      </c>
      <c r="Z42" s="201"/>
      <c r="AA42" s="201"/>
      <c r="AB42" s="201"/>
      <c r="AC42" s="84"/>
      <c r="AE42" s="17"/>
      <c r="AF42" s="17"/>
      <c r="AG42" s="17"/>
      <c r="AH42" s="646"/>
      <c r="AI42" s="91"/>
      <c r="AK42" s="17"/>
      <c r="AL42" s="17"/>
      <c r="AM42" s="17"/>
      <c r="AN42" s="646"/>
      <c r="AO42" s="91"/>
      <c r="AQ42" s="17"/>
      <c r="AR42" s="17"/>
      <c r="AS42" s="17"/>
      <c r="AT42" s="646"/>
      <c r="AU42" s="91"/>
      <c r="AW42" s="17"/>
      <c r="AX42" s="17"/>
      <c r="AY42" s="17"/>
      <c r="AZ42" s="17"/>
      <c r="BA42" s="91"/>
    </row>
    <row r="43" spans="1:53" ht="17.100000000000001" customHeight="1" x14ac:dyDescent="0.25">
      <c r="A43" s="68"/>
      <c r="B43" s="647"/>
      <c r="C43" s="103" t="s">
        <v>24</v>
      </c>
      <c r="D43" s="110" t="s">
        <v>373</v>
      </c>
      <c r="E43" s="108"/>
      <c r="F43" s="108"/>
      <c r="G43" s="108"/>
      <c r="H43" s="119"/>
      <c r="J43" s="111"/>
      <c r="K43" s="111"/>
      <c r="L43" s="111"/>
      <c r="M43" s="111"/>
      <c r="N43" s="111"/>
      <c r="O43" s="111"/>
      <c r="P43" s="111"/>
      <c r="Q43" s="111"/>
      <c r="R43" s="111"/>
      <c r="S43" s="111"/>
      <c r="T43" s="111"/>
      <c r="U43" s="111"/>
      <c r="V43" s="111"/>
      <c r="W43" s="111"/>
      <c r="X43" s="111"/>
      <c r="Y43" s="111"/>
      <c r="Z43" s="113"/>
      <c r="AA43" s="113"/>
      <c r="AB43" s="113"/>
      <c r="AC43" s="113"/>
      <c r="AE43" s="111"/>
      <c r="AF43" s="111"/>
      <c r="AG43" s="111"/>
      <c r="AH43" s="112"/>
      <c r="AI43" s="113"/>
      <c r="AK43" s="111"/>
      <c r="AL43" s="111"/>
      <c r="AM43" s="111"/>
      <c r="AN43" s="112"/>
      <c r="AO43" s="113"/>
      <c r="AQ43" s="111"/>
      <c r="AR43" s="111"/>
      <c r="AS43" s="111"/>
      <c r="AT43" s="112"/>
      <c r="AU43" s="113"/>
      <c r="AW43" s="111"/>
      <c r="AX43" s="111"/>
      <c r="AY43" s="111"/>
      <c r="AZ43" s="114"/>
      <c r="BA43" s="113"/>
    </row>
    <row r="44" spans="1:53" ht="17.100000000000001" customHeight="1" x14ac:dyDescent="0.25">
      <c r="A44" s="68"/>
      <c r="B44" s="647"/>
      <c r="C44" s="23"/>
      <c r="D44" s="202" t="s">
        <v>25</v>
      </c>
      <c r="E44" s="85" t="s">
        <v>384</v>
      </c>
      <c r="F44" s="75"/>
      <c r="G44" s="75"/>
      <c r="H44" s="119"/>
      <c r="J44" s="581"/>
      <c r="K44" s="581"/>
      <c r="L44" s="582"/>
      <c r="M44" s="593">
        <f>SUM(J44:L44)</f>
        <v>0</v>
      </c>
      <c r="N44" s="111"/>
      <c r="O44" s="111"/>
      <c r="P44" s="111"/>
      <c r="Q44" s="111"/>
      <c r="R44" s="111"/>
      <c r="S44" s="111"/>
      <c r="T44" s="111"/>
      <c r="U44" s="111"/>
      <c r="V44" s="111"/>
      <c r="W44" s="391">
        <f t="shared" ref="W44:W57" si="38">J44+K44+N44+Q44+T44</f>
        <v>0</v>
      </c>
      <c r="X44" s="17">
        <f t="shared" ref="X44:X57" si="39">L44+O44+R44+U44</f>
        <v>0</v>
      </c>
      <c r="Y44" s="18">
        <f t="shared" ref="Y44:Y57" si="40">SUM(W44:X44)</f>
        <v>0</v>
      </c>
      <c r="Z44" s="19">
        <f>IF(Y$58=0,0,Y44/Y$58)</f>
        <v>0</v>
      </c>
      <c r="AA44" s="19"/>
      <c r="AB44" s="19"/>
      <c r="AC44" s="84"/>
      <c r="AE44" s="17"/>
      <c r="AF44" s="17"/>
      <c r="AG44" s="17"/>
      <c r="AH44" s="18">
        <f>J44</f>
        <v>0</v>
      </c>
      <c r="AI44" s="19">
        <f>IF(AH$58=0,0,AH44/AH$58)</f>
        <v>0</v>
      </c>
      <c r="AK44" s="17"/>
      <c r="AL44" s="17"/>
      <c r="AM44" s="17"/>
      <c r="AN44" s="18">
        <f>K44</f>
        <v>0</v>
      </c>
      <c r="AO44" s="19">
        <f>IF(AN$58=0,0,AN44/AN$58)</f>
        <v>0</v>
      </c>
      <c r="AQ44" s="17"/>
      <c r="AR44" s="17"/>
      <c r="AS44" s="17"/>
      <c r="AT44" s="18">
        <f t="shared" ref="AT44:AT57" si="41">W44</f>
        <v>0</v>
      </c>
      <c r="AU44" s="19">
        <f>IF(AT$58=0,0,AT44/AT$58)</f>
        <v>0</v>
      </c>
      <c r="AW44" s="17"/>
      <c r="AX44" s="17"/>
      <c r="AY44" s="17"/>
      <c r="AZ44" s="424">
        <f>X44</f>
        <v>0</v>
      </c>
      <c r="BA44" s="19">
        <f>IF(AZ$58=0,0,AZ44/AZ$58)</f>
        <v>0</v>
      </c>
    </row>
    <row r="45" spans="1:53" ht="17.100000000000001" customHeight="1" x14ac:dyDescent="0.25">
      <c r="A45" s="68"/>
      <c r="B45" s="647"/>
      <c r="C45" s="23"/>
      <c r="D45" s="202" t="s">
        <v>27</v>
      </c>
      <c r="E45" s="85" t="s">
        <v>385</v>
      </c>
      <c r="F45" s="75"/>
      <c r="G45" s="75"/>
      <c r="H45" s="119"/>
      <c r="J45" s="583"/>
      <c r="K45" s="583"/>
      <c r="L45" s="584"/>
      <c r="M45" s="593">
        <f t="shared" ref="M45:M57" si="42">SUM(J45:L45)</f>
        <v>0</v>
      </c>
      <c r="N45" s="111"/>
      <c r="O45" s="111"/>
      <c r="P45" s="111"/>
      <c r="Q45" s="111"/>
      <c r="R45" s="111"/>
      <c r="S45" s="111"/>
      <c r="T45" s="111"/>
      <c r="U45" s="111"/>
      <c r="V45" s="111"/>
      <c r="W45" s="391">
        <f t="shared" si="38"/>
        <v>0</v>
      </c>
      <c r="X45" s="17">
        <f t="shared" si="39"/>
        <v>0</v>
      </c>
      <c r="Y45" s="18">
        <f t="shared" si="40"/>
        <v>0</v>
      </c>
      <c r="Z45" s="19">
        <f t="shared" ref="Z45:Z58" si="43">IF(Y$58=0,0,Y45/Y$58)</f>
        <v>0</v>
      </c>
      <c r="AA45" s="19"/>
      <c r="AB45" s="19"/>
      <c r="AC45" s="84"/>
      <c r="AE45" s="17"/>
      <c r="AF45" s="17"/>
      <c r="AG45" s="17"/>
      <c r="AH45" s="18">
        <f t="shared" ref="AH45:AH57" si="44">J45</f>
        <v>0</v>
      </c>
      <c r="AI45" s="19">
        <f t="shared" ref="AI45:AI58" si="45">IF(AH$58=0,0,AH45/AH$58)</f>
        <v>0</v>
      </c>
      <c r="AK45" s="17"/>
      <c r="AL45" s="17"/>
      <c r="AM45" s="17"/>
      <c r="AN45" s="18">
        <f t="shared" ref="AN45:AN57" si="46">K45</f>
        <v>0</v>
      </c>
      <c r="AO45" s="19">
        <f t="shared" ref="AO45:AO58" si="47">IF(AN$58=0,0,AN45/AN$58)</f>
        <v>0</v>
      </c>
      <c r="AQ45" s="17"/>
      <c r="AR45" s="17"/>
      <c r="AS45" s="17"/>
      <c r="AT45" s="18">
        <f t="shared" si="41"/>
        <v>0</v>
      </c>
      <c r="AU45" s="19">
        <f t="shared" ref="AU45:AU58" si="48">IF(AT$58=0,0,AT45/AT$58)</f>
        <v>0</v>
      </c>
      <c r="AW45" s="17"/>
      <c r="AX45" s="17"/>
      <c r="AY45" s="17"/>
      <c r="AZ45" s="424">
        <f t="shared" ref="AZ45:AZ57" si="49">X45</f>
        <v>0</v>
      </c>
      <c r="BA45" s="19">
        <f t="shared" ref="BA45:BA58" si="50">IF(AZ$58=0,0,AZ45/AZ$58)</f>
        <v>0</v>
      </c>
    </row>
    <row r="46" spans="1:53" ht="17.100000000000001" customHeight="1" x14ac:dyDescent="0.25">
      <c r="A46" s="68"/>
      <c r="B46" s="647"/>
      <c r="C46" s="23"/>
      <c r="D46" s="202" t="s">
        <v>29</v>
      </c>
      <c r="E46" s="85" t="s">
        <v>386</v>
      </c>
      <c r="F46" s="75"/>
      <c r="G46" s="75"/>
      <c r="H46" s="119"/>
      <c r="J46" s="581"/>
      <c r="K46" s="581"/>
      <c r="L46" s="582"/>
      <c r="M46" s="593">
        <f t="shared" si="42"/>
        <v>0</v>
      </c>
      <c r="N46" s="111"/>
      <c r="O46" s="111"/>
      <c r="P46" s="111"/>
      <c r="Q46" s="111"/>
      <c r="R46" s="111"/>
      <c r="S46" s="111"/>
      <c r="T46" s="111"/>
      <c r="U46" s="111"/>
      <c r="V46" s="111"/>
      <c r="W46" s="391">
        <f t="shared" si="38"/>
        <v>0</v>
      </c>
      <c r="X46" s="17">
        <f t="shared" si="39"/>
        <v>0</v>
      </c>
      <c r="Y46" s="18">
        <f t="shared" si="40"/>
        <v>0</v>
      </c>
      <c r="Z46" s="19">
        <f t="shared" si="43"/>
        <v>0</v>
      </c>
      <c r="AA46" s="19"/>
      <c r="AB46" s="19"/>
      <c r="AC46" s="84"/>
      <c r="AE46" s="17"/>
      <c r="AF46" s="17"/>
      <c r="AG46" s="17"/>
      <c r="AH46" s="18">
        <f t="shared" si="44"/>
        <v>0</v>
      </c>
      <c r="AI46" s="19">
        <f t="shared" si="45"/>
        <v>0</v>
      </c>
      <c r="AK46" s="17"/>
      <c r="AL46" s="17"/>
      <c r="AM46" s="17"/>
      <c r="AN46" s="18">
        <f t="shared" si="46"/>
        <v>0</v>
      </c>
      <c r="AO46" s="19">
        <f t="shared" si="47"/>
        <v>0</v>
      </c>
      <c r="AQ46" s="17"/>
      <c r="AR46" s="17"/>
      <c r="AS46" s="17"/>
      <c r="AT46" s="18">
        <f t="shared" si="41"/>
        <v>0</v>
      </c>
      <c r="AU46" s="19">
        <f t="shared" si="48"/>
        <v>0</v>
      </c>
      <c r="AW46" s="17"/>
      <c r="AX46" s="17"/>
      <c r="AY46" s="17"/>
      <c r="AZ46" s="424">
        <f t="shared" si="49"/>
        <v>0</v>
      </c>
      <c r="BA46" s="19">
        <f t="shared" si="50"/>
        <v>0</v>
      </c>
    </row>
    <row r="47" spans="1:53" ht="17.100000000000001" customHeight="1" x14ac:dyDescent="0.25">
      <c r="A47" s="68"/>
      <c r="B47" s="647"/>
      <c r="C47" s="23"/>
      <c r="D47" s="202" t="s">
        <v>31</v>
      </c>
      <c r="E47" s="85" t="s">
        <v>533</v>
      </c>
      <c r="F47" s="75"/>
      <c r="G47" s="75"/>
      <c r="H47" s="119"/>
      <c r="J47" s="583"/>
      <c r="K47" s="583"/>
      <c r="L47" s="584"/>
      <c r="M47" s="593">
        <f t="shared" si="42"/>
        <v>0</v>
      </c>
      <c r="N47" s="111"/>
      <c r="O47" s="111"/>
      <c r="P47" s="111"/>
      <c r="Q47" s="111"/>
      <c r="R47" s="111"/>
      <c r="S47" s="111"/>
      <c r="T47" s="111"/>
      <c r="U47" s="111"/>
      <c r="V47" s="111"/>
      <c r="W47" s="391">
        <f t="shared" si="38"/>
        <v>0</v>
      </c>
      <c r="X47" s="17">
        <f t="shared" si="39"/>
        <v>0</v>
      </c>
      <c r="Y47" s="18">
        <f t="shared" si="40"/>
        <v>0</v>
      </c>
      <c r="Z47" s="19">
        <f t="shared" si="43"/>
        <v>0</v>
      </c>
      <c r="AA47" s="19"/>
      <c r="AB47" s="19"/>
      <c r="AC47" s="84"/>
      <c r="AE47" s="17"/>
      <c r="AF47" s="17"/>
      <c r="AG47" s="17"/>
      <c r="AH47" s="18">
        <f t="shared" si="44"/>
        <v>0</v>
      </c>
      <c r="AI47" s="19">
        <f t="shared" si="45"/>
        <v>0</v>
      </c>
      <c r="AK47" s="17"/>
      <c r="AL47" s="17"/>
      <c r="AM47" s="17"/>
      <c r="AN47" s="18">
        <f t="shared" si="46"/>
        <v>0</v>
      </c>
      <c r="AO47" s="19">
        <f t="shared" si="47"/>
        <v>0</v>
      </c>
      <c r="AQ47" s="17"/>
      <c r="AR47" s="17"/>
      <c r="AS47" s="17"/>
      <c r="AT47" s="18">
        <f t="shared" si="41"/>
        <v>0</v>
      </c>
      <c r="AU47" s="19">
        <f t="shared" si="48"/>
        <v>0</v>
      </c>
      <c r="AW47" s="17"/>
      <c r="AX47" s="17"/>
      <c r="AY47" s="17"/>
      <c r="AZ47" s="424">
        <f t="shared" si="49"/>
        <v>0</v>
      </c>
      <c r="BA47" s="19">
        <f t="shared" si="50"/>
        <v>0</v>
      </c>
    </row>
    <row r="48" spans="1:53" ht="17.100000000000001" customHeight="1" x14ac:dyDescent="0.25">
      <c r="A48" s="68"/>
      <c r="B48" s="647"/>
      <c r="C48" s="93"/>
      <c r="D48" s="202" t="s">
        <v>374</v>
      </c>
      <c r="E48" s="85" t="s">
        <v>534</v>
      </c>
      <c r="F48" s="75"/>
      <c r="G48" s="75"/>
      <c r="H48" s="119"/>
      <c r="J48" s="581"/>
      <c r="K48" s="581"/>
      <c r="L48" s="582"/>
      <c r="M48" s="593">
        <f t="shared" si="42"/>
        <v>0</v>
      </c>
      <c r="N48" s="111"/>
      <c r="O48" s="111"/>
      <c r="P48" s="111"/>
      <c r="Q48" s="111"/>
      <c r="R48" s="111"/>
      <c r="S48" s="111"/>
      <c r="T48" s="111"/>
      <c r="U48" s="111"/>
      <c r="V48" s="111"/>
      <c r="W48" s="391">
        <f t="shared" si="38"/>
        <v>0</v>
      </c>
      <c r="X48" s="17">
        <f t="shared" si="39"/>
        <v>0</v>
      </c>
      <c r="Y48" s="18">
        <f t="shared" si="40"/>
        <v>0</v>
      </c>
      <c r="Z48" s="19">
        <f t="shared" si="43"/>
        <v>0</v>
      </c>
      <c r="AA48" s="19"/>
      <c r="AB48" s="19"/>
      <c r="AC48" s="84"/>
      <c r="AE48" s="17"/>
      <c r="AF48" s="17"/>
      <c r="AG48" s="17"/>
      <c r="AH48" s="18">
        <f t="shared" si="44"/>
        <v>0</v>
      </c>
      <c r="AI48" s="19">
        <f t="shared" si="45"/>
        <v>0</v>
      </c>
      <c r="AK48" s="17"/>
      <c r="AL48" s="17"/>
      <c r="AM48" s="17"/>
      <c r="AN48" s="18">
        <f t="shared" si="46"/>
        <v>0</v>
      </c>
      <c r="AO48" s="19">
        <f t="shared" si="47"/>
        <v>0</v>
      </c>
      <c r="AQ48" s="17"/>
      <c r="AR48" s="17"/>
      <c r="AS48" s="17"/>
      <c r="AT48" s="18">
        <f t="shared" si="41"/>
        <v>0</v>
      </c>
      <c r="AU48" s="19">
        <f t="shared" si="48"/>
        <v>0</v>
      </c>
      <c r="AW48" s="17"/>
      <c r="AX48" s="17"/>
      <c r="AY48" s="17"/>
      <c r="AZ48" s="424">
        <f t="shared" si="49"/>
        <v>0</v>
      </c>
      <c r="BA48" s="19">
        <f t="shared" si="50"/>
        <v>0</v>
      </c>
    </row>
    <row r="49" spans="1:53" ht="17.100000000000001" customHeight="1" x14ac:dyDescent="0.25">
      <c r="A49" s="68"/>
      <c r="B49" s="647"/>
      <c r="C49" s="93"/>
      <c r="D49" s="202" t="s">
        <v>375</v>
      </c>
      <c r="E49" s="85" t="s">
        <v>535</v>
      </c>
      <c r="F49" s="75"/>
      <c r="G49" s="75"/>
      <c r="H49" s="119"/>
      <c r="J49" s="583"/>
      <c r="K49" s="583"/>
      <c r="L49" s="584"/>
      <c r="M49" s="593">
        <f t="shared" si="42"/>
        <v>0</v>
      </c>
      <c r="N49" s="111"/>
      <c r="O49" s="111"/>
      <c r="P49" s="111"/>
      <c r="Q49" s="111"/>
      <c r="R49" s="111"/>
      <c r="S49" s="111"/>
      <c r="T49" s="111"/>
      <c r="U49" s="111"/>
      <c r="V49" s="111"/>
      <c r="W49" s="391">
        <f t="shared" si="38"/>
        <v>0</v>
      </c>
      <c r="X49" s="17">
        <f t="shared" si="39"/>
        <v>0</v>
      </c>
      <c r="Y49" s="18">
        <f t="shared" si="40"/>
        <v>0</v>
      </c>
      <c r="Z49" s="19">
        <f t="shared" si="43"/>
        <v>0</v>
      </c>
      <c r="AA49" s="19"/>
      <c r="AB49" s="19"/>
      <c r="AC49" s="84"/>
      <c r="AE49" s="17"/>
      <c r="AF49" s="17"/>
      <c r="AG49" s="17"/>
      <c r="AH49" s="18">
        <f t="shared" si="44"/>
        <v>0</v>
      </c>
      <c r="AI49" s="19">
        <f t="shared" si="45"/>
        <v>0</v>
      </c>
      <c r="AK49" s="17"/>
      <c r="AL49" s="17"/>
      <c r="AM49" s="17"/>
      <c r="AN49" s="18">
        <f t="shared" si="46"/>
        <v>0</v>
      </c>
      <c r="AO49" s="19">
        <f t="shared" si="47"/>
        <v>0</v>
      </c>
      <c r="AQ49" s="17"/>
      <c r="AR49" s="17"/>
      <c r="AS49" s="17"/>
      <c r="AT49" s="18">
        <f t="shared" si="41"/>
        <v>0</v>
      </c>
      <c r="AU49" s="19">
        <f t="shared" si="48"/>
        <v>0</v>
      </c>
      <c r="AW49" s="17"/>
      <c r="AX49" s="17"/>
      <c r="AY49" s="17"/>
      <c r="AZ49" s="424">
        <f t="shared" si="49"/>
        <v>0</v>
      </c>
      <c r="BA49" s="19">
        <f t="shared" si="50"/>
        <v>0</v>
      </c>
    </row>
    <row r="50" spans="1:53" ht="17.100000000000001" customHeight="1" x14ac:dyDescent="0.25">
      <c r="A50" s="68"/>
      <c r="B50" s="647"/>
      <c r="C50" s="93"/>
      <c r="D50" s="202" t="s">
        <v>376</v>
      </c>
      <c r="E50" s="85" t="s">
        <v>387</v>
      </c>
      <c r="F50" s="75"/>
      <c r="G50" s="75"/>
      <c r="H50" s="119"/>
      <c r="J50" s="581"/>
      <c r="K50" s="581"/>
      <c r="L50" s="582"/>
      <c r="M50" s="593">
        <f t="shared" si="42"/>
        <v>0</v>
      </c>
      <c r="N50" s="111"/>
      <c r="O50" s="111"/>
      <c r="P50" s="111"/>
      <c r="Q50" s="111"/>
      <c r="R50" s="111"/>
      <c r="S50" s="111"/>
      <c r="T50" s="111"/>
      <c r="U50" s="111"/>
      <c r="V50" s="111"/>
      <c r="W50" s="391">
        <f t="shared" si="38"/>
        <v>0</v>
      </c>
      <c r="X50" s="17">
        <f t="shared" si="39"/>
        <v>0</v>
      </c>
      <c r="Y50" s="18">
        <f t="shared" si="40"/>
        <v>0</v>
      </c>
      <c r="Z50" s="19">
        <f t="shared" si="43"/>
        <v>0</v>
      </c>
      <c r="AA50" s="19"/>
      <c r="AB50" s="19"/>
      <c r="AC50" s="84"/>
      <c r="AE50" s="17"/>
      <c r="AF50" s="17"/>
      <c r="AG50" s="17"/>
      <c r="AH50" s="18">
        <f t="shared" si="44"/>
        <v>0</v>
      </c>
      <c r="AI50" s="19">
        <f t="shared" si="45"/>
        <v>0</v>
      </c>
      <c r="AK50" s="17"/>
      <c r="AL50" s="17"/>
      <c r="AM50" s="17"/>
      <c r="AN50" s="18">
        <f t="shared" si="46"/>
        <v>0</v>
      </c>
      <c r="AO50" s="19">
        <f t="shared" si="47"/>
        <v>0</v>
      </c>
      <c r="AQ50" s="17"/>
      <c r="AR50" s="17"/>
      <c r="AS50" s="17"/>
      <c r="AT50" s="18">
        <f t="shared" si="41"/>
        <v>0</v>
      </c>
      <c r="AU50" s="19">
        <f t="shared" si="48"/>
        <v>0</v>
      </c>
      <c r="AW50" s="17"/>
      <c r="AX50" s="17"/>
      <c r="AY50" s="17"/>
      <c r="AZ50" s="424">
        <f t="shared" si="49"/>
        <v>0</v>
      </c>
      <c r="BA50" s="19">
        <f t="shared" si="50"/>
        <v>0</v>
      </c>
    </row>
    <row r="51" spans="1:53" ht="17.100000000000001" customHeight="1" x14ac:dyDescent="0.25">
      <c r="A51" s="68"/>
      <c r="B51" s="647"/>
      <c r="C51" s="93"/>
      <c r="D51" s="202" t="s">
        <v>377</v>
      </c>
      <c r="E51" s="85" t="s">
        <v>388</v>
      </c>
      <c r="F51" s="75"/>
      <c r="G51" s="75"/>
      <c r="H51" s="119"/>
      <c r="J51" s="583"/>
      <c r="K51" s="583"/>
      <c r="L51" s="584"/>
      <c r="M51" s="593">
        <f t="shared" si="42"/>
        <v>0</v>
      </c>
      <c r="N51" s="111"/>
      <c r="O51" s="111"/>
      <c r="P51" s="111"/>
      <c r="Q51" s="111"/>
      <c r="R51" s="111"/>
      <c r="S51" s="111"/>
      <c r="T51" s="111"/>
      <c r="U51" s="111"/>
      <c r="V51" s="111"/>
      <c r="W51" s="391">
        <f t="shared" si="38"/>
        <v>0</v>
      </c>
      <c r="X51" s="17">
        <f t="shared" si="39"/>
        <v>0</v>
      </c>
      <c r="Y51" s="18">
        <f t="shared" si="40"/>
        <v>0</v>
      </c>
      <c r="Z51" s="19">
        <f t="shared" si="43"/>
        <v>0</v>
      </c>
      <c r="AA51" s="19"/>
      <c r="AB51" s="19"/>
      <c r="AC51" s="84"/>
      <c r="AE51" s="17"/>
      <c r="AF51" s="17"/>
      <c r="AG51" s="17"/>
      <c r="AH51" s="18">
        <f t="shared" si="44"/>
        <v>0</v>
      </c>
      <c r="AI51" s="19">
        <f t="shared" si="45"/>
        <v>0</v>
      </c>
      <c r="AK51" s="17"/>
      <c r="AL51" s="17"/>
      <c r="AM51" s="17"/>
      <c r="AN51" s="18">
        <f t="shared" si="46"/>
        <v>0</v>
      </c>
      <c r="AO51" s="19">
        <f t="shared" si="47"/>
        <v>0</v>
      </c>
      <c r="AQ51" s="17"/>
      <c r="AR51" s="17"/>
      <c r="AS51" s="17"/>
      <c r="AT51" s="18">
        <f t="shared" si="41"/>
        <v>0</v>
      </c>
      <c r="AU51" s="19">
        <f t="shared" si="48"/>
        <v>0</v>
      </c>
      <c r="AW51" s="17"/>
      <c r="AX51" s="17"/>
      <c r="AY51" s="17"/>
      <c r="AZ51" s="424">
        <f t="shared" si="49"/>
        <v>0</v>
      </c>
      <c r="BA51" s="19">
        <f t="shared" si="50"/>
        <v>0</v>
      </c>
    </row>
    <row r="52" spans="1:53" ht="17.100000000000001" customHeight="1" x14ac:dyDescent="0.25">
      <c r="A52" s="68"/>
      <c r="B52" s="647"/>
      <c r="C52" s="93"/>
      <c r="D52" s="202" t="s">
        <v>378</v>
      </c>
      <c r="E52" s="85" t="s">
        <v>532</v>
      </c>
      <c r="F52" s="75"/>
      <c r="G52" s="75"/>
      <c r="H52" s="119"/>
      <c r="J52" s="581"/>
      <c r="K52" s="581"/>
      <c r="L52" s="582"/>
      <c r="M52" s="593">
        <f t="shared" si="42"/>
        <v>0</v>
      </c>
      <c r="N52" s="111"/>
      <c r="O52" s="111"/>
      <c r="P52" s="111"/>
      <c r="Q52" s="111"/>
      <c r="R52" s="111"/>
      <c r="S52" s="111"/>
      <c r="T52" s="111"/>
      <c r="U52" s="111"/>
      <c r="V52" s="111"/>
      <c r="W52" s="391">
        <f t="shared" si="38"/>
        <v>0</v>
      </c>
      <c r="X52" s="17">
        <f t="shared" si="39"/>
        <v>0</v>
      </c>
      <c r="Y52" s="18">
        <f t="shared" si="40"/>
        <v>0</v>
      </c>
      <c r="Z52" s="19">
        <f t="shared" si="43"/>
        <v>0</v>
      </c>
      <c r="AA52" s="19"/>
      <c r="AB52" s="19"/>
      <c r="AC52" s="84"/>
      <c r="AE52" s="17"/>
      <c r="AF52" s="17"/>
      <c r="AG52" s="17"/>
      <c r="AH52" s="18">
        <f t="shared" si="44"/>
        <v>0</v>
      </c>
      <c r="AI52" s="19">
        <f t="shared" si="45"/>
        <v>0</v>
      </c>
      <c r="AK52" s="17"/>
      <c r="AL52" s="17"/>
      <c r="AM52" s="17"/>
      <c r="AN52" s="18">
        <f t="shared" si="46"/>
        <v>0</v>
      </c>
      <c r="AO52" s="19">
        <f t="shared" si="47"/>
        <v>0</v>
      </c>
      <c r="AQ52" s="17"/>
      <c r="AR52" s="17"/>
      <c r="AS52" s="17"/>
      <c r="AT52" s="18">
        <f t="shared" si="41"/>
        <v>0</v>
      </c>
      <c r="AU52" s="19">
        <f t="shared" si="48"/>
        <v>0</v>
      </c>
      <c r="AW52" s="17"/>
      <c r="AX52" s="17"/>
      <c r="AY52" s="17"/>
      <c r="AZ52" s="424">
        <f t="shared" si="49"/>
        <v>0</v>
      </c>
      <c r="BA52" s="19">
        <f t="shared" si="50"/>
        <v>0</v>
      </c>
    </row>
    <row r="53" spans="1:53" ht="17.100000000000001" customHeight="1" x14ac:dyDescent="0.25">
      <c r="A53" s="68"/>
      <c r="B53" s="647"/>
      <c r="C53" s="93"/>
      <c r="D53" s="202" t="s">
        <v>379</v>
      </c>
      <c r="E53" s="85" t="s">
        <v>389</v>
      </c>
      <c r="F53" s="75"/>
      <c r="G53" s="105"/>
      <c r="H53" s="119"/>
      <c r="J53" s="583"/>
      <c r="K53" s="583"/>
      <c r="L53" s="584"/>
      <c r="M53" s="593">
        <f t="shared" si="42"/>
        <v>0</v>
      </c>
      <c r="N53" s="111"/>
      <c r="O53" s="111"/>
      <c r="P53" s="111"/>
      <c r="Q53" s="111"/>
      <c r="R53" s="111"/>
      <c r="S53" s="111"/>
      <c r="T53" s="111"/>
      <c r="U53" s="111"/>
      <c r="V53" s="111"/>
      <c r="W53" s="391">
        <f t="shared" si="38"/>
        <v>0</v>
      </c>
      <c r="X53" s="17">
        <f t="shared" si="39"/>
        <v>0</v>
      </c>
      <c r="Y53" s="18">
        <f t="shared" si="40"/>
        <v>0</v>
      </c>
      <c r="Z53" s="19">
        <f t="shared" si="43"/>
        <v>0</v>
      </c>
      <c r="AA53" s="19"/>
      <c r="AB53" s="19"/>
      <c r="AC53" s="84"/>
      <c r="AE53" s="17"/>
      <c r="AF53" s="17"/>
      <c r="AG53" s="17"/>
      <c r="AH53" s="18">
        <f t="shared" si="44"/>
        <v>0</v>
      </c>
      <c r="AI53" s="19">
        <f t="shared" si="45"/>
        <v>0</v>
      </c>
      <c r="AK53" s="17"/>
      <c r="AL53" s="17"/>
      <c r="AM53" s="17"/>
      <c r="AN53" s="18">
        <f t="shared" si="46"/>
        <v>0</v>
      </c>
      <c r="AO53" s="19">
        <f t="shared" si="47"/>
        <v>0</v>
      </c>
      <c r="AQ53" s="17"/>
      <c r="AR53" s="17"/>
      <c r="AS53" s="17"/>
      <c r="AT53" s="18">
        <f t="shared" si="41"/>
        <v>0</v>
      </c>
      <c r="AU53" s="19">
        <f t="shared" si="48"/>
        <v>0</v>
      </c>
      <c r="AW53" s="17"/>
      <c r="AX53" s="17"/>
      <c r="AY53" s="17"/>
      <c r="AZ53" s="424">
        <f t="shared" si="49"/>
        <v>0</v>
      </c>
      <c r="BA53" s="19">
        <f t="shared" si="50"/>
        <v>0</v>
      </c>
    </row>
    <row r="54" spans="1:53" ht="17.100000000000001" customHeight="1" x14ac:dyDescent="0.25">
      <c r="A54" s="68"/>
      <c r="B54" s="647"/>
      <c r="C54" s="93"/>
      <c r="D54" s="202" t="s">
        <v>380</v>
      </c>
      <c r="E54" s="85" t="s">
        <v>390</v>
      </c>
      <c r="F54" s="75"/>
      <c r="G54" s="105"/>
      <c r="H54" s="119"/>
      <c r="J54" s="581"/>
      <c r="K54" s="581"/>
      <c r="L54" s="582"/>
      <c r="M54" s="593">
        <f t="shared" si="42"/>
        <v>0</v>
      </c>
      <c r="N54" s="111"/>
      <c r="O54" s="111"/>
      <c r="P54" s="111"/>
      <c r="Q54" s="111"/>
      <c r="R54" s="111"/>
      <c r="S54" s="111"/>
      <c r="T54" s="111"/>
      <c r="U54" s="111"/>
      <c r="V54" s="111"/>
      <c r="W54" s="391">
        <f t="shared" si="38"/>
        <v>0</v>
      </c>
      <c r="X54" s="17">
        <f t="shared" si="39"/>
        <v>0</v>
      </c>
      <c r="Y54" s="18">
        <f t="shared" si="40"/>
        <v>0</v>
      </c>
      <c r="Z54" s="19">
        <f t="shared" si="43"/>
        <v>0</v>
      </c>
      <c r="AA54" s="19"/>
      <c r="AB54" s="19"/>
      <c r="AC54" s="84"/>
      <c r="AE54" s="17"/>
      <c r="AF54" s="17"/>
      <c r="AG54" s="17"/>
      <c r="AH54" s="18">
        <f t="shared" si="44"/>
        <v>0</v>
      </c>
      <c r="AI54" s="19">
        <f t="shared" si="45"/>
        <v>0</v>
      </c>
      <c r="AK54" s="17"/>
      <c r="AL54" s="17"/>
      <c r="AM54" s="17"/>
      <c r="AN54" s="18">
        <f t="shared" si="46"/>
        <v>0</v>
      </c>
      <c r="AO54" s="19">
        <f t="shared" si="47"/>
        <v>0</v>
      </c>
      <c r="AQ54" s="17"/>
      <c r="AR54" s="17"/>
      <c r="AS54" s="17"/>
      <c r="AT54" s="18">
        <f t="shared" si="41"/>
        <v>0</v>
      </c>
      <c r="AU54" s="19">
        <f t="shared" si="48"/>
        <v>0</v>
      </c>
      <c r="AW54" s="17"/>
      <c r="AX54" s="17"/>
      <c r="AY54" s="17"/>
      <c r="AZ54" s="424">
        <f t="shared" si="49"/>
        <v>0</v>
      </c>
      <c r="BA54" s="19">
        <f t="shared" si="50"/>
        <v>0</v>
      </c>
    </row>
    <row r="55" spans="1:53" ht="17.100000000000001" customHeight="1" x14ac:dyDescent="0.25">
      <c r="A55" s="68"/>
      <c r="B55" s="647"/>
      <c r="C55" s="93"/>
      <c r="D55" s="202" t="s">
        <v>381</v>
      </c>
      <c r="E55" s="85" t="s">
        <v>536</v>
      </c>
      <c r="F55" s="75"/>
      <c r="G55" s="105"/>
      <c r="H55" s="119"/>
      <c r="J55" s="583"/>
      <c r="K55" s="583"/>
      <c r="L55" s="584"/>
      <c r="M55" s="593">
        <f t="shared" si="42"/>
        <v>0</v>
      </c>
      <c r="N55" s="111"/>
      <c r="O55" s="111"/>
      <c r="P55" s="111"/>
      <c r="Q55" s="111"/>
      <c r="R55" s="111"/>
      <c r="S55" s="111"/>
      <c r="T55" s="111"/>
      <c r="U55" s="111"/>
      <c r="V55" s="111"/>
      <c r="W55" s="391">
        <f t="shared" si="38"/>
        <v>0</v>
      </c>
      <c r="X55" s="17">
        <f t="shared" si="39"/>
        <v>0</v>
      </c>
      <c r="Y55" s="18">
        <f t="shared" si="40"/>
        <v>0</v>
      </c>
      <c r="Z55" s="19">
        <f t="shared" si="43"/>
        <v>0</v>
      </c>
      <c r="AA55" s="19"/>
      <c r="AB55" s="19"/>
      <c r="AC55" s="84"/>
      <c r="AE55" s="17"/>
      <c r="AF55" s="17"/>
      <c r="AG55" s="17"/>
      <c r="AH55" s="18">
        <f t="shared" si="44"/>
        <v>0</v>
      </c>
      <c r="AI55" s="19">
        <f t="shared" si="45"/>
        <v>0</v>
      </c>
      <c r="AK55" s="17"/>
      <c r="AL55" s="17"/>
      <c r="AM55" s="17"/>
      <c r="AN55" s="18">
        <f t="shared" si="46"/>
        <v>0</v>
      </c>
      <c r="AO55" s="19">
        <f t="shared" si="47"/>
        <v>0</v>
      </c>
      <c r="AQ55" s="17"/>
      <c r="AR55" s="17"/>
      <c r="AS55" s="17"/>
      <c r="AT55" s="18">
        <f t="shared" si="41"/>
        <v>0</v>
      </c>
      <c r="AU55" s="19">
        <f t="shared" si="48"/>
        <v>0</v>
      </c>
      <c r="AW55" s="17"/>
      <c r="AX55" s="17"/>
      <c r="AY55" s="17"/>
      <c r="AZ55" s="424">
        <f t="shared" si="49"/>
        <v>0</v>
      </c>
      <c r="BA55" s="19">
        <f t="shared" si="50"/>
        <v>0</v>
      </c>
    </row>
    <row r="56" spans="1:53" ht="17.100000000000001" customHeight="1" x14ac:dyDescent="0.25">
      <c r="A56" s="68"/>
      <c r="B56" s="647"/>
      <c r="C56" s="93"/>
      <c r="D56" s="202" t="s">
        <v>382</v>
      </c>
      <c r="E56" s="85" t="s">
        <v>391</v>
      </c>
      <c r="F56" s="75"/>
      <c r="G56" s="105"/>
      <c r="H56" s="119"/>
      <c r="J56" s="581"/>
      <c r="K56" s="581"/>
      <c r="L56" s="582"/>
      <c r="M56" s="593">
        <f t="shared" si="42"/>
        <v>0</v>
      </c>
      <c r="N56" s="111"/>
      <c r="O56" s="111"/>
      <c r="P56" s="111"/>
      <c r="Q56" s="111"/>
      <c r="R56" s="111"/>
      <c r="S56" s="111"/>
      <c r="T56" s="111"/>
      <c r="U56" s="111"/>
      <c r="V56" s="111"/>
      <c r="W56" s="391">
        <f t="shared" si="38"/>
        <v>0</v>
      </c>
      <c r="X56" s="17">
        <f t="shared" si="39"/>
        <v>0</v>
      </c>
      <c r="Y56" s="18">
        <f t="shared" si="40"/>
        <v>0</v>
      </c>
      <c r="Z56" s="19">
        <f t="shared" si="43"/>
        <v>0</v>
      </c>
      <c r="AA56" s="19"/>
      <c r="AB56" s="19"/>
      <c r="AC56" s="84"/>
      <c r="AE56" s="17"/>
      <c r="AF56" s="17"/>
      <c r="AG56" s="17"/>
      <c r="AH56" s="18">
        <f t="shared" si="44"/>
        <v>0</v>
      </c>
      <c r="AI56" s="19">
        <f t="shared" si="45"/>
        <v>0</v>
      </c>
      <c r="AK56" s="17"/>
      <c r="AL56" s="17"/>
      <c r="AM56" s="17"/>
      <c r="AN56" s="18">
        <f t="shared" si="46"/>
        <v>0</v>
      </c>
      <c r="AO56" s="19">
        <f t="shared" si="47"/>
        <v>0</v>
      </c>
      <c r="AQ56" s="17"/>
      <c r="AR56" s="17"/>
      <c r="AS56" s="17"/>
      <c r="AT56" s="18">
        <f t="shared" si="41"/>
        <v>0</v>
      </c>
      <c r="AU56" s="19">
        <f t="shared" si="48"/>
        <v>0</v>
      </c>
      <c r="AW56" s="17"/>
      <c r="AX56" s="17"/>
      <c r="AY56" s="17"/>
      <c r="AZ56" s="424">
        <f t="shared" si="49"/>
        <v>0</v>
      </c>
      <c r="BA56" s="19">
        <f t="shared" si="50"/>
        <v>0</v>
      </c>
    </row>
    <row r="57" spans="1:53" ht="17.100000000000001" customHeight="1" x14ac:dyDescent="0.25">
      <c r="A57" s="68"/>
      <c r="B57" s="647"/>
      <c r="C57" s="93"/>
      <c r="D57" s="202" t="s">
        <v>383</v>
      </c>
      <c r="E57" s="85" t="s">
        <v>392</v>
      </c>
      <c r="F57" s="75"/>
      <c r="G57" s="105"/>
      <c r="H57" s="119"/>
      <c r="J57" s="583"/>
      <c r="K57" s="583"/>
      <c r="L57" s="584"/>
      <c r="M57" s="593">
        <f t="shared" si="42"/>
        <v>0</v>
      </c>
      <c r="N57" s="111"/>
      <c r="O57" s="111"/>
      <c r="P57" s="111"/>
      <c r="Q57" s="111"/>
      <c r="R57" s="111"/>
      <c r="S57" s="111"/>
      <c r="T57" s="111"/>
      <c r="U57" s="111"/>
      <c r="V57" s="111"/>
      <c r="W57" s="391">
        <f t="shared" si="38"/>
        <v>0</v>
      </c>
      <c r="X57" s="17">
        <f t="shared" si="39"/>
        <v>0</v>
      </c>
      <c r="Y57" s="18">
        <f t="shared" si="40"/>
        <v>0</v>
      </c>
      <c r="Z57" s="19">
        <f t="shared" si="43"/>
        <v>0</v>
      </c>
      <c r="AA57" s="19"/>
      <c r="AB57" s="19"/>
      <c r="AC57" s="84"/>
      <c r="AE57" s="17"/>
      <c r="AF57" s="17"/>
      <c r="AG57" s="17"/>
      <c r="AH57" s="18">
        <f t="shared" si="44"/>
        <v>0</v>
      </c>
      <c r="AI57" s="19">
        <f t="shared" si="45"/>
        <v>0</v>
      </c>
      <c r="AK57" s="17"/>
      <c r="AL57" s="17"/>
      <c r="AM57" s="17"/>
      <c r="AN57" s="18">
        <f t="shared" si="46"/>
        <v>0</v>
      </c>
      <c r="AO57" s="19">
        <f t="shared" si="47"/>
        <v>0</v>
      </c>
      <c r="AQ57" s="17"/>
      <c r="AR57" s="17"/>
      <c r="AS57" s="17"/>
      <c r="AT57" s="18">
        <f t="shared" si="41"/>
        <v>0</v>
      </c>
      <c r="AU57" s="19">
        <f t="shared" si="48"/>
        <v>0</v>
      </c>
      <c r="AW57" s="17"/>
      <c r="AX57" s="17"/>
      <c r="AY57" s="17"/>
      <c r="AZ57" s="424">
        <f t="shared" si="49"/>
        <v>0</v>
      </c>
      <c r="BA57" s="19">
        <f t="shared" si="50"/>
        <v>0</v>
      </c>
    </row>
    <row r="58" spans="1:53" ht="17.100000000000001" customHeight="1" x14ac:dyDescent="0.25">
      <c r="A58" s="40"/>
      <c r="B58" s="40"/>
      <c r="C58" s="77"/>
      <c r="D58" s="78"/>
      <c r="E58" s="78"/>
      <c r="F58" s="78"/>
      <c r="G58" s="78"/>
      <c r="H58" s="242"/>
      <c r="I58" s="230"/>
      <c r="J58" s="80">
        <f>SUM(J44:J57)</f>
        <v>0</v>
      </c>
      <c r="K58" s="80">
        <f t="shared" ref="K58:M58" si="51">SUM(K44:K57)</f>
        <v>0</v>
      </c>
      <c r="L58" s="80">
        <f t="shared" si="51"/>
        <v>0</v>
      </c>
      <c r="M58" s="80">
        <f t="shared" si="51"/>
        <v>0</v>
      </c>
      <c r="N58" s="80"/>
      <c r="O58" s="80"/>
      <c r="P58" s="80"/>
      <c r="Q58" s="81"/>
      <c r="R58" s="81"/>
      <c r="S58" s="81"/>
      <c r="T58" s="81"/>
      <c r="U58" s="81"/>
      <c r="V58" s="81"/>
      <c r="W58" s="381">
        <f>SUM(W44:W57)</f>
        <v>0</v>
      </c>
      <c r="X58" s="82">
        <f t="shared" ref="X58:Y58" si="52">SUM(X44:X57)</f>
        <v>0</v>
      </c>
      <c r="Y58" s="82">
        <f t="shared" si="52"/>
        <v>0</v>
      </c>
      <c r="Z58" s="205">
        <f t="shared" si="43"/>
        <v>0</v>
      </c>
      <c r="AA58" s="205"/>
      <c r="AB58" s="205"/>
      <c r="AC58" s="83"/>
      <c r="AE58" s="81"/>
      <c r="AF58" s="81"/>
      <c r="AG58" s="81"/>
      <c r="AH58" s="82">
        <f>SUM(AH44:AH57)</f>
        <v>0</v>
      </c>
      <c r="AI58" s="66">
        <f t="shared" si="45"/>
        <v>0</v>
      </c>
      <c r="AK58" s="81"/>
      <c r="AL58" s="81"/>
      <c r="AM58" s="81"/>
      <c r="AN58" s="82">
        <f>SUM(AN44:AN57)</f>
        <v>0</v>
      </c>
      <c r="AO58" s="66">
        <f t="shared" si="47"/>
        <v>0</v>
      </c>
      <c r="AQ58" s="81"/>
      <c r="AR58" s="81"/>
      <c r="AS58" s="81"/>
      <c r="AT58" s="82">
        <f>SUM(AT44:AT57)</f>
        <v>0</v>
      </c>
      <c r="AU58" s="66">
        <f t="shared" si="48"/>
        <v>0</v>
      </c>
      <c r="AW58" s="81"/>
      <c r="AX58" s="81"/>
      <c r="AY58" s="81"/>
      <c r="AZ58" s="82">
        <f>SUM(AZ44:AZ57)</f>
        <v>0</v>
      </c>
      <c r="BA58" s="66">
        <f t="shared" si="50"/>
        <v>0</v>
      </c>
    </row>
    <row r="59" spans="1:53" s="117" customFormat="1" ht="17.100000000000001" customHeight="1" x14ac:dyDescent="0.25">
      <c r="A59" s="119"/>
      <c r="B59" s="119"/>
      <c r="C59" s="647"/>
      <c r="D59" s="212"/>
      <c r="E59" s="212"/>
      <c r="F59" s="212"/>
      <c r="G59" s="212"/>
      <c r="H59" s="242"/>
      <c r="I59" s="230"/>
      <c r="J59" s="17" t="str">
        <f>IF(J58=J$15,"OK","NOK")</f>
        <v>OK</v>
      </c>
      <c r="K59" s="17" t="str">
        <f t="shared" ref="K59:L59" si="53">IF(K58=K$15,"OK","NOK")</f>
        <v>OK</v>
      </c>
      <c r="L59" s="17" t="str">
        <f t="shared" si="53"/>
        <v>OK</v>
      </c>
      <c r="M59" s="17"/>
      <c r="N59" s="17"/>
      <c r="O59" s="17"/>
      <c r="P59" s="17"/>
      <c r="Q59" s="17"/>
      <c r="R59" s="17"/>
      <c r="S59" s="17"/>
      <c r="T59" s="17"/>
      <c r="U59" s="17"/>
      <c r="V59" s="17"/>
      <c r="W59" s="646"/>
      <c r="X59" s="646"/>
      <c r="Y59" s="646"/>
      <c r="Z59" s="201"/>
      <c r="AA59" s="201"/>
      <c r="AB59" s="201"/>
      <c r="AC59" s="84"/>
      <c r="AE59" s="17"/>
      <c r="AF59" s="17"/>
      <c r="AG59" s="17"/>
      <c r="AH59" s="646"/>
      <c r="AI59" s="91"/>
      <c r="AK59" s="17"/>
      <c r="AL59" s="17"/>
      <c r="AM59" s="17"/>
      <c r="AN59" s="646"/>
      <c r="AO59" s="91"/>
      <c r="AQ59" s="17"/>
      <c r="AR59" s="17"/>
      <c r="AS59" s="17"/>
      <c r="AT59" s="646"/>
      <c r="AU59" s="91"/>
      <c r="AW59" s="17"/>
      <c r="AX59" s="17"/>
      <c r="AY59" s="17"/>
      <c r="AZ59" s="17"/>
      <c r="BA59" s="91"/>
    </row>
    <row r="60" spans="1:53" ht="17.100000000000001" customHeight="1" x14ac:dyDescent="0.25">
      <c r="A60" s="102"/>
      <c r="B60" s="102"/>
      <c r="C60" s="103" t="s">
        <v>33</v>
      </c>
      <c r="D60" s="110" t="s">
        <v>736</v>
      </c>
      <c r="E60" s="108"/>
      <c r="F60" s="108"/>
      <c r="G60" s="108"/>
      <c r="H60" s="315"/>
      <c r="I60" s="232"/>
      <c r="J60" s="111"/>
      <c r="K60" s="111"/>
      <c r="L60" s="111"/>
      <c r="M60" s="111"/>
      <c r="N60" s="111"/>
      <c r="O60" s="111"/>
      <c r="P60" s="111"/>
      <c r="Q60" s="111"/>
      <c r="R60" s="111"/>
      <c r="S60" s="111"/>
      <c r="T60" s="111"/>
      <c r="U60" s="111"/>
      <c r="V60" s="111"/>
      <c r="W60" s="111"/>
      <c r="X60" s="111"/>
      <c r="Y60" s="111"/>
      <c r="Z60" s="113"/>
      <c r="AA60" s="113"/>
      <c r="AB60" s="113"/>
      <c r="AC60" s="113"/>
      <c r="AE60" s="114"/>
      <c r="AF60" s="114"/>
      <c r="AG60" s="114"/>
      <c r="AH60" s="112"/>
      <c r="AI60" s="113"/>
      <c r="AK60" s="114"/>
      <c r="AL60" s="114"/>
      <c r="AM60" s="114"/>
      <c r="AN60" s="112"/>
      <c r="AO60" s="113"/>
      <c r="AQ60" s="114"/>
      <c r="AR60" s="114"/>
      <c r="AS60" s="114"/>
      <c r="AT60" s="112"/>
      <c r="AU60" s="113"/>
      <c r="AW60" s="114"/>
      <c r="AX60" s="114"/>
      <c r="AY60" s="114"/>
      <c r="AZ60" s="114"/>
      <c r="BA60" s="113"/>
    </row>
    <row r="61" spans="1:53" s="117" customFormat="1" ht="17.100000000000001" customHeight="1" x14ac:dyDescent="0.25">
      <c r="A61" s="647"/>
      <c r="B61" s="23"/>
      <c r="C61" s="23"/>
      <c r="D61" s="74" t="s">
        <v>34</v>
      </c>
      <c r="E61" s="75" t="s">
        <v>26</v>
      </c>
      <c r="F61" s="75"/>
      <c r="G61" s="75"/>
      <c r="H61" s="23"/>
      <c r="I61" s="229"/>
      <c r="J61" s="152"/>
      <c r="K61" s="152"/>
      <c r="L61" s="111"/>
      <c r="M61" s="111"/>
      <c r="N61" s="60">
        <v>3</v>
      </c>
      <c r="O61" s="60">
        <v>6</v>
      </c>
      <c r="P61" s="593">
        <f>SUM(N61:O61)</f>
        <v>9</v>
      </c>
      <c r="Q61" s="60">
        <v>7</v>
      </c>
      <c r="R61" s="60">
        <v>2</v>
      </c>
      <c r="S61" s="593">
        <f>SUM(Q61:R61)</f>
        <v>9</v>
      </c>
      <c r="T61" s="60">
        <v>3</v>
      </c>
      <c r="U61" s="60">
        <v>2</v>
      </c>
      <c r="V61" s="593">
        <f>SUM(T61:U61)</f>
        <v>5</v>
      </c>
      <c r="W61" s="391">
        <f t="shared" ref="W61:W64" si="54">J61+K61+N61+Q61+T61</f>
        <v>13</v>
      </c>
      <c r="X61" s="17">
        <f t="shared" ref="X61:X64" si="55">L61+O61+R61+U61</f>
        <v>10</v>
      </c>
      <c r="Y61" s="18">
        <f>SUM(W61:X61)</f>
        <v>23</v>
      </c>
      <c r="Z61" s="19">
        <f>IF(Y$65=0,0,Y61/Y$65)</f>
        <v>0.8214285714285714</v>
      </c>
      <c r="AA61" s="91"/>
      <c r="AB61" s="91"/>
      <c r="AC61" s="84"/>
      <c r="AE61" s="111"/>
      <c r="AF61" s="111"/>
      <c r="AG61" s="111"/>
      <c r="AH61" s="651"/>
      <c r="AI61" s="131"/>
      <c r="AK61" s="111"/>
      <c r="AL61" s="111"/>
      <c r="AM61" s="111"/>
      <c r="AN61" s="651"/>
      <c r="AO61" s="131"/>
      <c r="AQ61" s="17"/>
      <c r="AR61" s="17"/>
      <c r="AS61" s="17"/>
      <c r="AT61" s="18">
        <f>W61</f>
        <v>13</v>
      </c>
      <c r="AU61" s="19">
        <f>IF(AT$65=0,0,AT61/AT$65)</f>
        <v>0.8666666666666667</v>
      </c>
      <c r="AW61" s="17"/>
      <c r="AX61" s="17"/>
      <c r="AY61" s="17"/>
      <c r="AZ61" s="424">
        <f>X61</f>
        <v>10</v>
      </c>
      <c r="BA61" s="91">
        <f>IF(AZ$65=0,0,AZ61/AZ$65)</f>
        <v>0.76923076923076927</v>
      </c>
    </row>
    <row r="62" spans="1:53" s="117" customFormat="1" ht="17.100000000000001" customHeight="1" x14ac:dyDescent="0.25">
      <c r="A62" s="647"/>
      <c r="B62" s="23"/>
      <c r="C62" s="23"/>
      <c r="D62" s="74" t="s">
        <v>36</v>
      </c>
      <c r="E62" s="75" t="s">
        <v>28</v>
      </c>
      <c r="F62" s="75"/>
      <c r="G62" s="75"/>
      <c r="H62" s="23"/>
      <c r="I62" s="229"/>
      <c r="J62" s="152"/>
      <c r="K62" s="152"/>
      <c r="L62" s="111"/>
      <c r="M62" s="111"/>
      <c r="N62" s="61"/>
      <c r="O62" s="61"/>
      <c r="P62" s="593">
        <f t="shared" ref="P62:P64" si="56">SUM(N62:O62)</f>
        <v>0</v>
      </c>
      <c r="Q62" s="61"/>
      <c r="R62" s="61"/>
      <c r="S62" s="593">
        <f t="shared" ref="S62:S64" si="57">SUM(Q62:R62)</f>
        <v>0</v>
      </c>
      <c r="T62" s="61">
        <v>2</v>
      </c>
      <c r="U62" s="61">
        <v>3</v>
      </c>
      <c r="V62" s="593">
        <f t="shared" ref="V62:V64" si="58">SUM(T62:U62)</f>
        <v>5</v>
      </c>
      <c r="W62" s="391">
        <f t="shared" si="54"/>
        <v>2</v>
      </c>
      <c r="X62" s="17">
        <f t="shared" si="55"/>
        <v>3</v>
      </c>
      <c r="Y62" s="18">
        <f>SUM(W62:X62)</f>
        <v>5</v>
      </c>
      <c r="Z62" s="19">
        <f t="shared" ref="Z62:Z65" si="59">IF(Y$65=0,0,Y62/Y$65)</f>
        <v>0.17857142857142858</v>
      </c>
      <c r="AA62" s="91"/>
      <c r="AB62" s="91"/>
      <c r="AC62" s="84"/>
      <c r="AE62" s="111"/>
      <c r="AF62" s="111"/>
      <c r="AG62" s="111"/>
      <c r="AH62" s="651"/>
      <c r="AI62" s="131"/>
      <c r="AK62" s="111"/>
      <c r="AL62" s="111"/>
      <c r="AM62" s="111"/>
      <c r="AN62" s="651"/>
      <c r="AO62" s="131"/>
      <c r="AQ62" s="17"/>
      <c r="AR62" s="17"/>
      <c r="AS62" s="17"/>
      <c r="AT62" s="18">
        <f t="shared" ref="AT62:AT64" si="60">W62</f>
        <v>2</v>
      </c>
      <c r="AU62" s="19">
        <f t="shared" ref="AU62:AU65" si="61">IF(AT$65=0,0,AT62/AT$65)</f>
        <v>0.13333333333333333</v>
      </c>
      <c r="AW62" s="17"/>
      <c r="AX62" s="17"/>
      <c r="AY62" s="17"/>
      <c r="AZ62" s="424">
        <f t="shared" ref="AZ62:AZ64" si="62">X62</f>
        <v>3</v>
      </c>
      <c r="BA62" s="91">
        <f>IF(AZ$65=0,0,AZ62/AZ$65)</f>
        <v>0.23076923076923078</v>
      </c>
    </row>
    <row r="63" spans="1:53" s="117" customFormat="1" ht="17.100000000000001" customHeight="1" x14ac:dyDescent="0.25">
      <c r="A63" s="647"/>
      <c r="B63" s="23"/>
      <c r="C63" s="23"/>
      <c r="D63" s="74" t="s">
        <v>38</v>
      </c>
      <c r="E63" s="75" t="s">
        <v>30</v>
      </c>
      <c r="F63" s="75"/>
      <c r="G63" s="75"/>
      <c r="H63" s="23"/>
      <c r="I63" s="229"/>
      <c r="J63" s="152"/>
      <c r="K63" s="152"/>
      <c r="L63" s="111"/>
      <c r="M63" s="111"/>
      <c r="N63" s="60"/>
      <c r="O63" s="60"/>
      <c r="P63" s="593">
        <f t="shared" si="56"/>
        <v>0</v>
      </c>
      <c r="Q63" s="60"/>
      <c r="R63" s="60"/>
      <c r="S63" s="593">
        <f t="shared" si="57"/>
        <v>0</v>
      </c>
      <c r="T63" s="60"/>
      <c r="U63" s="60"/>
      <c r="V63" s="593">
        <f t="shared" si="58"/>
        <v>0</v>
      </c>
      <c r="W63" s="391">
        <f t="shared" si="54"/>
        <v>0</v>
      </c>
      <c r="X63" s="17">
        <f t="shared" si="55"/>
        <v>0</v>
      </c>
      <c r="Y63" s="18">
        <f>SUM(W63:X63)</f>
        <v>0</v>
      </c>
      <c r="Z63" s="19">
        <f t="shared" si="59"/>
        <v>0</v>
      </c>
      <c r="AA63" s="91"/>
      <c r="AB63" s="91"/>
      <c r="AC63" s="84"/>
      <c r="AE63" s="111"/>
      <c r="AF63" s="111"/>
      <c r="AG63" s="111"/>
      <c r="AH63" s="651"/>
      <c r="AI63" s="131"/>
      <c r="AK63" s="111"/>
      <c r="AL63" s="111"/>
      <c r="AM63" s="111"/>
      <c r="AN63" s="651"/>
      <c r="AO63" s="131"/>
      <c r="AQ63" s="17"/>
      <c r="AR63" s="17"/>
      <c r="AS63" s="17"/>
      <c r="AT63" s="18">
        <f t="shared" si="60"/>
        <v>0</v>
      </c>
      <c r="AU63" s="19">
        <f t="shared" si="61"/>
        <v>0</v>
      </c>
      <c r="AW63" s="17"/>
      <c r="AX63" s="17"/>
      <c r="AY63" s="17"/>
      <c r="AZ63" s="424">
        <f t="shared" si="62"/>
        <v>0</v>
      </c>
      <c r="BA63" s="91">
        <f>IF(AZ$65=0,0,AZ63/AZ$65)</f>
        <v>0</v>
      </c>
    </row>
    <row r="64" spans="1:53" s="117" customFormat="1" ht="17.100000000000001" customHeight="1" x14ac:dyDescent="0.25">
      <c r="A64" s="647"/>
      <c r="B64" s="23"/>
      <c r="C64" s="23"/>
      <c r="D64" s="74" t="s">
        <v>40</v>
      </c>
      <c r="E64" s="75" t="s">
        <v>32</v>
      </c>
      <c r="F64" s="75"/>
      <c r="G64" s="75"/>
      <c r="H64" s="23"/>
      <c r="I64" s="229"/>
      <c r="J64" s="152"/>
      <c r="K64" s="152"/>
      <c r="L64" s="111"/>
      <c r="M64" s="111"/>
      <c r="N64" s="61"/>
      <c r="O64" s="61"/>
      <c r="P64" s="593">
        <f t="shared" si="56"/>
        <v>0</v>
      </c>
      <c r="Q64" s="61"/>
      <c r="R64" s="61"/>
      <c r="S64" s="593">
        <f t="shared" si="57"/>
        <v>0</v>
      </c>
      <c r="T64" s="61"/>
      <c r="U64" s="61"/>
      <c r="V64" s="593">
        <f t="shared" si="58"/>
        <v>0</v>
      </c>
      <c r="W64" s="391">
        <f t="shared" si="54"/>
        <v>0</v>
      </c>
      <c r="X64" s="17">
        <f t="shared" si="55"/>
        <v>0</v>
      </c>
      <c r="Y64" s="18">
        <f>SUM(W64:X64)</f>
        <v>0</v>
      </c>
      <c r="Z64" s="19">
        <f t="shared" si="59"/>
        <v>0</v>
      </c>
      <c r="AA64" s="91"/>
      <c r="AB64" s="91"/>
      <c r="AC64" s="84"/>
      <c r="AE64" s="111"/>
      <c r="AF64" s="111"/>
      <c r="AG64" s="111"/>
      <c r="AH64" s="651"/>
      <c r="AI64" s="131"/>
      <c r="AK64" s="111"/>
      <c r="AL64" s="111"/>
      <c r="AM64" s="111"/>
      <c r="AN64" s="651"/>
      <c r="AO64" s="131"/>
      <c r="AQ64" s="17"/>
      <c r="AR64" s="17"/>
      <c r="AS64" s="17"/>
      <c r="AT64" s="18">
        <f t="shared" si="60"/>
        <v>0</v>
      </c>
      <c r="AU64" s="19">
        <f t="shared" si="61"/>
        <v>0</v>
      </c>
      <c r="AW64" s="17"/>
      <c r="AX64" s="17"/>
      <c r="AY64" s="17"/>
      <c r="AZ64" s="424">
        <f t="shared" si="62"/>
        <v>0</v>
      </c>
      <c r="BA64" s="91">
        <f>IF(AZ$65=0,0,AZ64/AZ$65)</f>
        <v>0</v>
      </c>
    </row>
    <row r="65" spans="1:53" s="117" customFormat="1" ht="17.100000000000001" customHeight="1" x14ac:dyDescent="0.25">
      <c r="A65" s="40"/>
      <c r="B65" s="40"/>
      <c r="C65" s="77"/>
      <c r="D65" s="78"/>
      <c r="E65" s="78"/>
      <c r="F65" s="78"/>
      <c r="G65" s="78"/>
      <c r="H65" s="316"/>
      <c r="I65" s="230"/>
      <c r="J65" s="80"/>
      <c r="K65" s="64"/>
      <c r="L65" s="81"/>
      <c r="M65" s="81"/>
      <c r="N65" s="81">
        <f>SUM(N61:N64)</f>
        <v>3</v>
      </c>
      <c r="O65" s="81">
        <f t="shared" ref="O65:Y65" si="63">SUM(O61:O64)</f>
        <v>6</v>
      </c>
      <c r="P65" s="81">
        <f t="shared" si="63"/>
        <v>9</v>
      </c>
      <c r="Q65" s="81">
        <f t="shared" si="63"/>
        <v>7</v>
      </c>
      <c r="R65" s="81">
        <f t="shared" si="63"/>
        <v>2</v>
      </c>
      <c r="S65" s="81">
        <f t="shared" si="63"/>
        <v>9</v>
      </c>
      <c r="T65" s="81">
        <f t="shared" si="63"/>
        <v>5</v>
      </c>
      <c r="U65" s="81">
        <f t="shared" si="63"/>
        <v>5</v>
      </c>
      <c r="V65" s="81">
        <f t="shared" si="63"/>
        <v>10</v>
      </c>
      <c r="W65" s="381">
        <f t="shared" si="63"/>
        <v>15</v>
      </c>
      <c r="X65" s="82">
        <f t="shared" si="63"/>
        <v>13</v>
      </c>
      <c r="Y65" s="82">
        <f t="shared" si="63"/>
        <v>28</v>
      </c>
      <c r="Z65" s="205">
        <f t="shared" si="59"/>
        <v>1</v>
      </c>
      <c r="AA65" s="205"/>
      <c r="AB65" s="205"/>
      <c r="AC65" s="83"/>
      <c r="AE65" s="81"/>
      <c r="AF65" s="81"/>
      <c r="AG65" s="81"/>
      <c r="AH65" s="82"/>
      <c r="AI65" s="66"/>
      <c r="AJ65" s="3"/>
      <c r="AK65" s="81"/>
      <c r="AL65" s="81"/>
      <c r="AM65" s="81"/>
      <c r="AN65" s="82"/>
      <c r="AO65" s="66"/>
      <c r="AP65" s="3"/>
      <c r="AQ65" s="81"/>
      <c r="AR65" s="81"/>
      <c r="AS65" s="81"/>
      <c r="AT65" s="82">
        <f>SUM(AT61:AT64)</f>
        <v>15</v>
      </c>
      <c r="AU65" s="66">
        <f t="shared" si="61"/>
        <v>1</v>
      </c>
      <c r="AV65" s="3"/>
      <c r="AW65" s="81"/>
      <c r="AX65" s="81"/>
      <c r="AY65" s="81"/>
      <c r="AZ65" s="82">
        <f>SUM(AZ61:AZ64)</f>
        <v>13</v>
      </c>
      <c r="BA65" s="66">
        <f>IF(AZ$65=0,0,AZ65/AZ$65)</f>
        <v>1</v>
      </c>
    </row>
    <row r="66" spans="1:53" s="117" customFormat="1" ht="17.100000000000001" customHeight="1" x14ac:dyDescent="0.25">
      <c r="A66" s="119"/>
      <c r="B66" s="119"/>
      <c r="C66" s="647"/>
      <c r="D66" s="212"/>
      <c r="E66" s="212"/>
      <c r="F66" s="212"/>
      <c r="G66" s="212"/>
      <c r="H66" s="242"/>
      <c r="I66" s="230"/>
      <c r="J66" s="17"/>
      <c r="K66" s="17"/>
      <c r="L66" s="17"/>
      <c r="M66" s="17"/>
      <c r="N66" s="17" t="str">
        <f>IF(N65=N$20,"OK","NOK")</f>
        <v>OK</v>
      </c>
      <c r="O66" s="17" t="str">
        <f>IF(O65=O$20,"OK","NOK")</f>
        <v>OK</v>
      </c>
      <c r="P66" s="17"/>
      <c r="Q66" s="17" t="str">
        <f>IF(Q65=Q$20,"OK","NOK")</f>
        <v>OK</v>
      </c>
      <c r="R66" s="17" t="str">
        <f>IF(R65=R$20,"OK","NOK")</f>
        <v>OK</v>
      </c>
      <c r="S66" s="17"/>
      <c r="T66" s="17" t="str">
        <f>IF(T65=T$20,"OK","NOK")</f>
        <v>OK</v>
      </c>
      <c r="U66" s="17" t="str">
        <f>IF(U65=U$20,"OK","NOK")</f>
        <v>OK</v>
      </c>
      <c r="V66" s="359"/>
      <c r="W66" s="382"/>
      <c r="X66" s="646"/>
      <c r="Y66" s="646"/>
      <c r="Z66" s="201"/>
      <c r="AA66" s="201"/>
      <c r="AB66" s="201"/>
      <c r="AC66" s="84"/>
      <c r="AE66" s="17"/>
      <c r="AF66" s="17"/>
      <c r="AG66" s="17"/>
      <c r="AH66" s="646"/>
      <c r="AI66" s="91"/>
      <c r="AK66" s="17"/>
      <c r="AL66" s="17"/>
      <c r="AM66" s="17"/>
      <c r="AN66" s="646"/>
      <c r="AO66" s="91"/>
      <c r="AQ66" s="17"/>
      <c r="AR66" s="17"/>
      <c r="AS66" s="17"/>
      <c r="AT66" s="646"/>
      <c r="AU66" s="91"/>
      <c r="AW66" s="17"/>
      <c r="AX66" s="17"/>
      <c r="AY66" s="17"/>
      <c r="AZ66" s="17"/>
      <c r="BA66" s="91"/>
    </row>
    <row r="67" spans="1:53" ht="17.100000000000001" customHeight="1" x14ac:dyDescent="0.25">
      <c r="A67" s="102"/>
      <c r="B67" s="23"/>
      <c r="C67" s="103" t="s">
        <v>393</v>
      </c>
      <c r="D67" s="110" t="s">
        <v>737</v>
      </c>
      <c r="E67" s="313"/>
      <c r="F67" s="313"/>
      <c r="G67" s="313"/>
      <c r="H67" s="313"/>
      <c r="I67" s="313"/>
      <c r="J67" s="314"/>
      <c r="K67" s="111"/>
      <c r="L67" s="111"/>
      <c r="M67" s="111"/>
      <c r="N67" s="111"/>
      <c r="O67" s="111"/>
      <c r="P67" s="111"/>
      <c r="Q67" s="111"/>
      <c r="R67" s="111"/>
      <c r="S67" s="111"/>
      <c r="T67" s="111"/>
      <c r="U67" s="111"/>
      <c r="V67" s="111"/>
      <c r="W67" s="111"/>
      <c r="X67" s="111"/>
      <c r="Y67" s="111"/>
      <c r="Z67" s="113"/>
      <c r="AA67" s="113"/>
      <c r="AB67" s="113"/>
      <c r="AC67" s="113"/>
      <c r="AE67" s="114"/>
      <c r="AF67" s="114"/>
      <c r="AG67" s="114"/>
      <c r="AH67" s="112"/>
      <c r="AI67" s="113"/>
      <c r="AK67" s="114"/>
      <c r="AL67" s="114"/>
      <c r="AM67" s="114"/>
      <c r="AN67" s="112"/>
      <c r="AO67" s="113"/>
      <c r="AQ67" s="114"/>
      <c r="AR67" s="114"/>
      <c r="AS67" s="114"/>
      <c r="AT67" s="112"/>
      <c r="AU67" s="113"/>
      <c r="AW67" s="114"/>
      <c r="AX67" s="114"/>
      <c r="AY67" s="114"/>
      <c r="AZ67" s="114"/>
      <c r="BA67" s="113"/>
    </row>
    <row r="68" spans="1:53" ht="17.100000000000001" customHeight="1" x14ac:dyDescent="0.25">
      <c r="A68" s="102"/>
      <c r="B68" s="118"/>
      <c r="C68" s="118"/>
      <c r="D68" s="103" t="s">
        <v>394</v>
      </c>
      <c r="E68" s="108" t="s">
        <v>35</v>
      </c>
      <c r="F68" s="108"/>
      <c r="G68" s="108"/>
      <c r="H68" s="315"/>
      <c r="I68" s="232"/>
      <c r="J68" s="152"/>
      <c r="K68" s="152"/>
      <c r="L68" s="111"/>
      <c r="M68" s="111"/>
      <c r="N68" s="60">
        <v>3</v>
      </c>
      <c r="O68" s="60">
        <v>6</v>
      </c>
      <c r="P68" s="593">
        <f t="shared" ref="P68:P72" si="64">SUM(N68:O68)</f>
        <v>9</v>
      </c>
      <c r="Q68" s="60">
        <v>7</v>
      </c>
      <c r="R68" s="60">
        <v>2</v>
      </c>
      <c r="S68" s="593">
        <f t="shared" ref="S68:S72" si="65">SUM(Q68:R68)</f>
        <v>9</v>
      </c>
      <c r="T68" s="60">
        <v>5</v>
      </c>
      <c r="U68" s="60">
        <v>5</v>
      </c>
      <c r="V68" s="593">
        <f t="shared" ref="V68:V72" si="66">SUM(T68:U68)</f>
        <v>10</v>
      </c>
      <c r="W68" s="391">
        <f t="shared" ref="W68:W72" si="67">J68+K68+N68+Q68+T68</f>
        <v>15</v>
      </c>
      <c r="X68" s="17">
        <f t="shared" ref="X68:X72" si="68">L68+O68+R68+U68</f>
        <v>13</v>
      </c>
      <c r="Y68" s="18">
        <f>SUM(W68:X68)</f>
        <v>28</v>
      </c>
      <c r="Z68" s="19">
        <f>IF(Y$73=0,0,Y68/Y$73)</f>
        <v>1</v>
      </c>
      <c r="AA68" s="19"/>
      <c r="AB68" s="19"/>
      <c r="AC68" s="20"/>
      <c r="AE68" s="111"/>
      <c r="AF68" s="111"/>
      <c r="AG68" s="111"/>
      <c r="AH68" s="651"/>
      <c r="AI68" s="131"/>
      <c r="AJ68" s="117"/>
      <c r="AK68" s="111"/>
      <c r="AL68" s="111"/>
      <c r="AM68" s="111"/>
      <c r="AN68" s="651"/>
      <c r="AO68" s="131"/>
      <c r="AQ68" s="17"/>
      <c r="AR68" s="17"/>
      <c r="AS68" s="17"/>
      <c r="AT68" s="18">
        <f t="shared" ref="AT68:AT72" si="69">W68</f>
        <v>15</v>
      </c>
      <c r="AU68" s="19">
        <f>IF(AT$73=0,0,AT68/AT$73)</f>
        <v>1</v>
      </c>
      <c r="AW68" s="17"/>
      <c r="AX68" s="17"/>
      <c r="AY68" s="17"/>
      <c r="AZ68" s="424">
        <f>X68</f>
        <v>13</v>
      </c>
      <c r="BA68" s="19">
        <f t="shared" ref="BA68:BA73" si="70">IF(AZ$73=0,0,AZ68/AZ$73)</f>
        <v>1</v>
      </c>
    </row>
    <row r="69" spans="1:53" ht="17.100000000000001" customHeight="1" x14ac:dyDescent="0.25">
      <c r="A69" s="102"/>
      <c r="B69" s="118"/>
      <c r="C69" s="118"/>
      <c r="D69" s="103" t="s">
        <v>395</v>
      </c>
      <c r="E69" s="108" t="s">
        <v>37</v>
      </c>
      <c r="F69" s="108"/>
      <c r="G69" s="108"/>
      <c r="H69" s="315"/>
      <c r="I69" s="232"/>
      <c r="J69" s="152"/>
      <c r="K69" s="152"/>
      <c r="L69" s="111"/>
      <c r="M69" s="111"/>
      <c r="N69" s="61"/>
      <c r="O69" s="61"/>
      <c r="P69" s="593">
        <f t="shared" si="64"/>
        <v>0</v>
      </c>
      <c r="Q69" s="61"/>
      <c r="R69" s="61"/>
      <c r="S69" s="593">
        <f t="shared" si="65"/>
        <v>0</v>
      </c>
      <c r="T69" s="61"/>
      <c r="U69" s="61"/>
      <c r="V69" s="593">
        <f t="shared" si="66"/>
        <v>0</v>
      </c>
      <c r="W69" s="391">
        <f t="shared" si="67"/>
        <v>0</v>
      </c>
      <c r="X69" s="17">
        <f t="shared" si="68"/>
        <v>0</v>
      </c>
      <c r="Y69" s="18">
        <f>SUM(W69:X69)</f>
        <v>0</v>
      </c>
      <c r="Z69" s="19">
        <f t="shared" ref="Z69:Z73" si="71">IF(Y$73=0,0,Y69/Y$73)</f>
        <v>0</v>
      </c>
      <c r="AA69" s="19"/>
      <c r="AB69" s="19"/>
      <c r="AC69" s="20"/>
      <c r="AE69" s="111"/>
      <c r="AF69" s="111"/>
      <c r="AG69" s="111"/>
      <c r="AH69" s="651"/>
      <c r="AI69" s="131"/>
      <c r="AJ69" s="117"/>
      <c r="AK69" s="111"/>
      <c r="AL69" s="111"/>
      <c r="AM69" s="111"/>
      <c r="AN69" s="651"/>
      <c r="AO69" s="131"/>
      <c r="AQ69" s="17"/>
      <c r="AR69" s="17"/>
      <c r="AS69" s="17"/>
      <c r="AT69" s="18">
        <f t="shared" si="69"/>
        <v>0</v>
      </c>
      <c r="AU69" s="19">
        <f t="shared" ref="AU69:AU73" si="72">IF(AT$73=0,0,AT69/AT$73)</f>
        <v>0</v>
      </c>
      <c r="AW69" s="17"/>
      <c r="AX69" s="17"/>
      <c r="AY69" s="17"/>
      <c r="AZ69" s="424">
        <f t="shared" ref="AZ69:AZ72" si="73">X69</f>
        <v>0</v>
      </c>
      <c r="BA69" s="19">
        <f t="shared" si="70"/>
        <v>0</v>
      </c>
    </row>
    <row r="70" spans="1:53" ht="17.100000000000001" customHeight="1" x14ac:dyDescent="0.25">
      <c r="A70" s="102"/>
      <c r="B70" s="118"/>
      <c r="C70" s="118"/>
      <c r="D70" s="103" t="s">
        <v>396</v>
      </c>
      <c r="E70" s="108" t="s">
        <v>39</v>
      </c>
      <c r="F70" s="108"/>
      <c r="G70" s="108"/>
      <c r="H70" s="315"/>
      <c r="I70" s="232"/>
      <c r="J70" s="152"/>
      <c r="K70" s="152"/>
      <c r="L70" s="111"/>
      <c r="M70" s="111"/>
      <c r="N70" s="60"/>
      <c r="O70" s="60"/>
      <c r="P70" s="593">
        <f t="shared" si="64"/>
        <v>0</v>
      </c>
      <c r="Q70" s="60"/>
      <c r="R70" s="60"/>
      <c r="S70" s="593">
        <f t="shared" si="65"/>
        <v>0</v>
      </c>
      <c r="T70" s="60"/>
      <c r="U70" s="60"/>
      <c r="V70" s="593">
        <f t="shared" si="66"/>
        <v>0</v>
      </c>
      <c r="W70" s="391">
        <f t="shared" si="67"/>
        <v>0</v>
      </c>
      <c r="X70" s="17">
        <f t="shared" si="68"/>
        <v>0</v>
      </c>
      <c r="Y70" s="18">
        <f>SUM(W70:X70)</f>
        <v>0</v>
      </c>
      <c r="Z70" s="19">
        <f t="shared" si="71"/>
        <v>0</v>
      </c>
      <c r="AA70" s="19"/>
      <c r="AB70" s="19"/>
      <c r="AC70" s="20"/>
      <c r="AE70" s="111"/>
      <c r="AF70" s="111"/>
      <c r="AG70" s="111"/>
      <c r="AH70" s="651"/>
      <c r="AI70" s="131"/>
      <c r="AJ70" s="117"/>
      <c r="AK70" s="111"/>
      <c r="AL70" s="111"/>
      <c r="AM70" s="111"/>
      <c r="AN70" s="651"/>
      <c r="AO70" s="131"/>
      <c r="AQ70" s="17"/>
      <c r="AR70" s="17"/>
      <c r="AS70" s="17"/>
      <c r="AT70" s="18">
        <f t="shared" si="69"/>
        <v>0</v>
      </c>
      <c r="AU70" s="19">
        <f t="shared" si="72"/>
        <v>0</v>
      </c>
      <c r="AW70" s="17"/>
      <c r="AX70" s="17"/>
      <c r="AY70" s="17"/>
      <c r="AZ70" s="424">
        <f t="shared" si="73"/>
        <v>0</v>
      </c>
      <c r="BA70" s="19">
        <f t="shared" si="70"/>
        <v>0</v>
      </c>
    </row>
    <row r="71" spans="1:53" ht="17.100000000000001" customHeight="1" x14ac:dyDescent="0.25">
      <c r="A71" s="102"/>
      <c r="B71" s="118"/>
      <c r="C71" s="118"/>
      <c r="D71" s="103" t="s">
        <v>397</v>
      </c>
      <c r="E71" s="108" t="s">
        <v>41</v>
      </c>
      <c r="F71" s="108"/>
      <c r="G71" s="108"/>
      <c r="H71" s="315"/>
      <c r="I71" s="232"/>
      <c r="J71" s="152"/>
      <c r="K71" s="152"/>
      <c r="L71" s="111"/>
      <c r="M71" s="111"/>
      <c r="N71" s="61"/>
      <c r="O71" s="61"/>
      <c r="P71" s="593">
        <f t="shared" si="64"/>
        <v>0</v>
      </c>
      <c r="Q71" s="61"/>
      <c r="R71" s="61"/>
      <c r="S71" s="593">
        <f t="shared" si="65"/>
        <v>0</v>
      </c>
      <c r="T71" s="61"/>
      <c r="U71" s="61"/>
      <c r="V71" s="593">
        <f t="shared" si="66"/>
        <v>0</v>
      </c>
      <c r="W71" s="391">
        <f t="shared" si="67"/>
        <v>0</v>
      </c>
      <c r="X71" s="17">
        <f t="shared" si="68"/>
        <v>0</v>
      </c>
      <c r="Y71" s="18">
        <f>SUM(W71:X71)</f>
        <v>0</v>
      </c>
      <c r="Z71" s="19">
        <f t="shared" si="71"/>
        <v>0</v>
      </c>
      <c r="AA71" s="19"/>
      <c r="AB71" s="19"/>
      <c r="AC71" s="20"/>
      <c r="AE71" s="111"/>
      <c r="AF71" s="111"/>
      <c r="AG71" s="111"/>
      <c r="AH71" s="651"/>
      <c r="AI71" s="131"/>
      <c r="AJ71" s="117"/>
      <c r="AK71" s="111"/>
      <c r="AL71" s="111"/>
      <c r="AM71" s="111"/>
      <c r="AN71" s="651"/>
      <c r="AO71" s="131"/>
      <c r="AQ71" s="17"/>
      <c r="AR71" s="17"/>
      <c r="AS71" s="17"/>
      <c r="AT71" s="18">
        <f t="shared" si="69"/>
        <v>0</v>
      </c>
      <c r="AU71" s="19">
        <f t="shared" si="72"/>
        <v>0</v>
      </c>
      <c r="AW71" s="17"/>
      <c r="AX71" s="17"/>
      <c r="AY71" s="17"/>
      <c r="AZ71" s="424">
        <f t="shared" si="73"/>
        <v>0</v>
      </c>
      <c r="BA71" s="19">
        <f t="shared" si="70"/>
        <v>0</v>
      </c>
    </row>
    <row r="72" spans="1:53" ht="17.100000000000001" customHeight="1" x14ac:dyDescent="0.25">
      <c r="A72" s="102"/>
      <c r="B72" s="118"/>
      <c r="C72" s="118"/>
      <c r="D72" s="103" t="s">
        <v>398</v>
      </c>
      <c r="E72" s="108" t="s">
        <v>42</v>
      </c>
      <c r="F72" s="108"/>
      <c r="G72" s="108"/>
      <c r="H72" s="315"/>
      <c r="I72" s="232"/>
      <c r="J72" s="174"/>
      <c r="K72" s="174"/>
      <c r="L72" s="111"/>
      <c r="M72" s="111"/>
      <c r="N72" s="60"/>
      <c r="O72" s="60"/>
      <c r="P72" s="593">
        <f t="shared" si="64"/>
        <v>0</v>
      </c>
      <c r="Q72" s="60"/>
      <c r="R72" s="60"/>
      <c r="S72" s="593">
        <f t="shared" si="65"/>
        <v>0</v>
      </c>
      <c r="T72" s="60"/>
      <c r="U72" s="60"/>
      <c r="V72" s="593">
        <f t="shared" si="66"/>
        <v>0</v>
      </c>
      <c r="W72" s="391">
        <f t="shared" si="67"/>
        <v>0</v>
      </c>
      <c r="X72" s="17">
        <f t="shared" si="68"/>
        <v>0</v>
      </c>
      <c r="Y72" s="18">
        <f>SUM(W72:X72)</f>
        <v>0</v>
      </c>
      <c r="Z72" s="19">
        <f t="shared" si="71"/>
        <v>0</v>
      </c>
      <c r="AA72" s="19"/>
      <c r="AB72" s="19"/>
      <c r="AC72" s="20"/>
      <c r="AE72" s="111"/>
      <c r="AF72" s="111"/>
      <c r="AG72" s="111"/>
      <c r="AH72" s="651"/>
      <c r="AI72" s="131"/>
      <c r="AJ72" s="117"/>
      <c r="AK72" s="111"/>
      <c r="AL72" s="111"/>
      <c r="AM72" s="111"/>
      <c r="AN72" s="651"/>
      <c r="AO72" s="131"/>
      <c r="AQ72" s="17"/>
      <c r="AR72" s="17"/>
      <c r="AS72" s="17"/>
      <c r="AT72" s="18">
        <f t="shared" si="69"/>
        <v>0</v>
      </c>
      <c r="AU72" s="19">
        <f t="shared" si="72"/>
        <v>0</v>
      </c>
      <c r="AW72" s="17"/>
      <c r="AX72" s="17"/>
      <c r="AY72" s="17"/>
      <c r="AZ72" s="424">
        <f t="shared" si="73"/>
        <v>0</v>
      </c>
      <c r="BA72" s="19">
        <f t="shared" si="70"/>
        <v>0</v>
      </c>
    </row>
    <row r="73" spans="1:53" ht="17.100000000000001" customHeight="1" x14ac:dyDescent="0.25">
      <c r="A73" s="40"/>
      <c r="B73" s="40"/>
      <c r="C73" s="77"/>
      <c r="D73" s="78"/>
      <c r="E73" s="78"/>
      <c r="F73" s="78"/>
      <c r="G73" s="78"/>
      <c r="H73" s="316"/>
      <c r="I73" s="230"/>
      <c r="J73" s="80"/>
      <c r="K73" s="80"/>
      <c r="L73" s="80"/>
      <c r="M73" s="80"/>
      <c r="N73" s="80">
        <f>SUM(N68:N72)</f>
        <v>3</v>
      </c>
      <c r="O73" s="80">
        <f t="shared" ref="O73:X73" si="74">SUM(O68:O72)</f>
        <v>6</v>
      </c>
      <c r="P73" s="80">
        <f t="shared" si="74"/>
        <v>9</v>
      </c>
      <c r="Q73" s="80">
        <f t="shared" si="74"/>
        <v>7</v>
      </c>
      <c r="R73" s="80">
        <f t="shared" si="74"/>
        <v>2</v>
      </c>
      <c r="S73" s="80">
        <f t="shared" si="74"/>
        <v>9</v>
      </c>
      <c r="T73" s="80">
        <f t="shared" si="74"/>
        <v>5</v>
      </c>
      <c r="U73" s="80">
        <f t="shared" si="74"/>
        <v>5</v>
      </c>
      <c r="V73" s="80">
        <f t="shared" si="74"/>
        <v>10</v>
      </c>
      <c r="W73" s="381">
        <f t="shared" si="74"/>
        <v>15</v>
      </c>
      <c r="X73" s="82">
        <f t="shared" si="74"/>
        <v>13</v>
      </c>
      <c r="Y73" s="82">
        <f>SUM(Y68:Y72)</f>
        <v>28</v>
      </c>
      <c r="Z73" s="205">
        <f t="shared" si="71"/>
        <v>1</v>
      </c>
      <c r="AA73" s="205"/>
      <c r="AB73" s="205"/>
      <c r="AC73" s="83"/>
      <c r="AE73" s="81"/>
      <c r="AF73" s="81"/>
      <c r="AG73" s="81"/>
      <c r="AH73" s="82"/>
      <c r="AI73" s="66"/>
      <c r="AK73" s="81"/>
      <c r="AL73" s="81"/>
      <c r="AM73" s="81"/>
      <c r="AN73" s="82"/>
      <c r="AO73" s="66"/>
      <c r="AQ73" s="81"/>
      <c r="AR73" s="81"/>
      <c r="AS73" s="81"/>
      <c r="AT73" s="82">
        <f>SUM(AT68:AT72)</f>
        <v>15</v>
      </c>
      <c r="AU73" s="66">
        <f t="shared" si="72"/>
        <v>1</v>
      </c>
      <c r="AW73" s="81"/>
      <c r="AX73" s="81"/>
      <c r="AY73" s="81"/>
      <c r="AZ73" s="82">
        <f>SUM(AZ68:AZ72)</f>
        <v>13</v>
      </c>
      <c r="BA73" s="66">
        <f t="shared" si="70"/>
        <v>1</v>
      </c>
    </row>
    <row r="74" spans="1:53" s="117" customFormat="1" ht="17.100000000000001" customHeight="1" x14ac:dyDescent="0.25">
      <c r="A74" s="119"/>
      <c r="B74" s="119"/>
      <c r="C74" s="647"/>
      <c r="D74" s="212"/>
      <c r="E74" s="212"/>
      <c r="F74" s="212"/>
      <c r="G74" s="212"/>
      <c r="H74" s="242"/>
      <c r="I74" s="230"/>
      <c r="J74" s="17"/>
      <c r="K74" s="17"/>
      <c r="L74" s="17"/>
      <c r="M74" s="17"/>
      <c r="N74" s="17" t="str">
        <f>IF(N73=N$20,"OK","NOK")</f>
        <v>OK</v>
      </c>
      <c r="O74" s="17" t="str">
        <f>IF(O73=O$20,"OK","NOK")</f>
        <v>OK</v>
      </c>
      <c r="P74" s="17"/>
      <c r="Q74" s="17" t="str">
        <f>IF(Q73=Q$20,"OK","NOK")</f>
        <v>OK</v>
      </c>
      <c r="R74" s="17" t="str">
        <f>IF(R73=R$20,"OK","NOK")</f>
        <v>OK</v>
      </c>
      <c r="S74" s="17"/>
      <c r="T74" s="17" t="str">
        <f>IF(T73=T$20,"OK","NOK")</f>
        <v>OK</v>
      </c>
      <c r="U74" s="17" t="str">
        <f>IF(U73=U$20,"OK","NOK")</f>
        <v>OK</v>
      </c>
      <c r="V74" s="359"/>
      <c r="W74" s="382"/>
      <c r="X74" s="646"/>
      <c r="Y74" s="646"/>
      <c r="Z74" s="201"/>
      <c r="AA74" s="201"/>
      <c r="AB74" s="201"/>
      <c r="AC74" s="84"/>
      <c r="AE74" s="17"/>
      <c r="AF74" s="17"/>
      <c r="AG74" s="17"/>
      <c r="AH74" s="646"/>
      <c r="AI74" s="91"/>
      <c r="AK74" s="17"/>
      <c r="AL74" s="17"/>
      <c r="AM74" s="17"/>
      <c r="AN74" s="646"/>
      <c r="AO74" s="91"/>
      <c r="AQ74" s="17"/>
      <c r="AR74" s="17"/>
      <c r="AS74" s="17"/>
      <c r="AT74" s="646"/>
      <c r="AU74" s="91"/>
      <c r="AW74" s="17"/>
      <c r="AX74" s="17"/>
      <c r="AY74" s="17"/>
      <c r="AZ74" s="17"/>
      <c r="BA74" s="91"/>
    </row>
    <row r="75" spans="1:53" ht="17.100000000000001" customHeight="1" x14ac:dyDescent="0.25">
      <c r="A75" s="68"/>
      <c r="B75" s="41" t="s">
        <v>43</v>
      </c>
      <c r="C75" s="69" t="s">
        <v>44</v>
      </c>
      <c r="D75" s="50"/>
      <c r="E75" s="70"/>
      <c r="F75" s="70"/>
      <c r="G75" s="70"/>
      <c r="H75" s="119"/>
      <c r="J75" s="71"/>
      <c r="K75" s="71"/>
      <c r="L75" s="71"/>
      <c r="M75" s="71"/>
      <c r="N75" s="71"/>
      <c r="O75" s="71"/>
      <c r="P75" s="71"/>
      <c r="Q75" s="71"/>
      <c r="R75" s="71"/>
      <c r="S75" s="71"/>
      <c r="T75" s="71"/>
      <c r="U75" s="71"/>
      <c r="V75" s="355"/>
      <c r="W75" s="377"/>
      <c r="X75" s="71"/>
      <c r="Y75" s="72"/>
      <c r="Z75" s="73"/>
      <c r="AA75" s="73"/>
      <c r="AB75" s="73"/>
      <c r="AC75" s="73"/>
      <c r="AE75" s="71"/>
      <c r="AF75" s="71"/>
      <c r="AG75" s="71"/>
      <c r="AH75" s="72"/>
      <c r="AI75" s="73"/>
      <c r="AJ75" s="117"/>
      <c r="AK75" s="71"/>
      <c r="AL75" s="71"/>
      <c r="AM75" s="71"/>
      <c r="AN75" s="72"/>
      <c r="AO75" s="73"/>
      <c r="AP75" s="117"/>
      <c r="AQ75" s="71"/>
      <c r="AR75" s="71"/>
      <c r="AS75" s="71"/>
      <c r="AT75" s="72"/>
      <c r="AU75" s="73"/>
      <c r="AV75" s="117"/>
      <c r="AW75" s="71"/>
      <c r="AX75" s="71"/>
      <c r="AY75" s="71"/>
      <c r="AZ75" s="273"/>
      <c r="BA75" s="73"/>
    </row>
    <row r="76" spans="1:53" ht="17.100000000000001" customHeight="1" x14ac:dyDescent="0.25">
      <c r="A76" s="102"/>
      <c r="B76" s="102"/>
      <c r="C76" s="103" t="s">
        <v>45</v>
      </c>
      <c r="D76" s="108" t="s">
        <v>46</v>
      </c>
      <c r="E76" s="108"/>
      <c r="F76" s="108"/>
      <c r="G76" s="108"/>
      <c r="H76" s="258"/>
      <c r="I76" s="232"/>
      <c r="J76" s="111"/>
      <c r="K76" s="111"/>
      <c r="L76" s="111"/>
      <c r="M76" s="111"/>
      <c r="N76" s="111"/>
      <c r="O76" s="111"/>
      <c r="P76" s="111"/>
      <c r="Q76" s="111"/>
      <c r="R76" s="111"/>
      <c r="S76" s="111"/>
      <c r="T76" s="111"/>
      <c r="U76" s="111"/>
      <c r="V76" s="358"/>
      <c r="W76" s="380"/>
      <c r="X76" s="111"/>
      <c r="Y76" s="112"/>
      <c r="Z76" s="113"/>
      <c r="AA76" s="113"/>
      <c r="AB76" s="113"/>
      <c r="AC76" s="113"/>
      <c r="AE76" s="114"/>
      <c r="AF76" s="114"/>
      <c r="AG76" s="114"/>
      <c r="AH76" s="112"/>
      <c r="AI76" s="113"/>
      <c r="AJ76" s="117"/>
      <c r="AK76" s="114"/>
      <c r="AL76" s="114"/>
      <c r="AM76" s="114"/>
      <c r="AN76" s="112"/>
      <c r="AO76" s="113"/>
      <c r="AP76" s="117"/>
      <c r="AQ76" s="114"/>
      <c r="AR76" s="114"/>
      <c r="AS76" s="114"/>
      <c r="AT76" s="112"/>
      <c r="AU76" s="113"/>
      <c r="AV76" s="117"/>
      <c r="AW76" s="114"/>
      <c r="AX76" s="114"/>
      <c r="AY76" s="114"/>
      <c r="AZ76" s="114"/>
      <c r="BA76" s="113"/>
    </row>
    <row r="77" spans="1:53" ht="17.100000000000001" customHeight="1" x14ac:dyDescent="0.25">
      <c r="A77" s="102"/>
      <c r="B77" s="102"/>
      <c r="C77" s="102"/>
      <c r="D77" s="103" t="s">
        <v>47</v>
      </c>
      <c r="E77" s="108" t="s">
        <v>35</v>
      </c>
      <c r="F77" s="108"/>
      <c r="G77" s="108"/>
      <c r="H77" s="258"/>
      <c r="I77" s="232"/>
      <c r="J77" s="152"/>
      <c r="K77" s="152"/>
      <c r="L77" s="111"/>
      <c r="M77" s="111"/>
      <c r="N77" s="152"/>
      <c r="O77" s="111"/>
      <c r="P77" s="60">
        <v>1</v>
      </c>
      <c r="Q77" s="152"/>
      <c r="R77" s="111"/>
      <c r="S77" s="60">
        <v>1</v>
      </c>
      <c r="T77" s="152"/>
      <c r="U77" s="111"/>
      <c r="V77" s="361">
        <v>1</v>
      </c>
      <c r="W77" s="391"/>
      <c r="X77" s="17"/>
      <c r="Y77" s="18">
        <f>M77+P77+S77+V77</f>
        <v>3</v>
      </c>
      <c r="Z77" s="19">
        <f>IF(Y$81=0,0,Y77/Y$81)</f>
        <v>1</v>
      </c>
      <c r="AA77" s="19"/>
      <c r="AB77" s="19"/>
      <c r="AC77" s="20"/>
      <c r="AE77" s="111"/>
      <c r="AF77" s="111"/>
      <c r="AG77" s="111"/>
      <c r="AH77" s="651"/>
      <c r="AI77" s="131"/>
      <c r="AJ77" s="117"/>
      <c r="AK77" s="111"/>
      <c r="AL77" s="111"/>
      <c r="AM77" s="111"/>
      <c r="AN77" s="651"/>
      <c r="AO77" s="131"/>
      <c r="AP77" s="117"/>
      <c r="AQ77" s="111"/>
      <c r="AR77" s="111"/>
      <c r="AS77" s="111"/>
      <c r="AT77" s="651"/>
      <c r="AU77" s="131"/>
      <c r="AV77" s="117"/>
      <c r="AW77" s="111"/>
      <c r="AX77" s="111"/>
      <c r="AY77" s="111"/>
      <c r="AZ77" s="111"/>
      <c r="BA77" s="131"/>
    </row>
    <row r="78" spans="1:53" ht="17.100000000000001" customHeight="1" x14ac:dyDescent="0.25">
      <c r="A78" s="102"/>
      <c r="B78" s="102"/>
      <c r="C78" s="102"/>
      <c r="D78" s="103" t="s">
        <v>48</v>
      </c>
      <c r="E78" s="108" t="s">
        <v>49</v>
      </c>
      <c r="F78" s="108"/>
      <c r="G78" s="108"/>
      <c r="H78" s="258"/>
      <c r="I78" s="232"/>
      <c r="J78" s="152"/>
      <c r="K78" s="152"/>
      <c r="L78" s="111"/>
      <c r="M78" s="111"/>
      <c r="N78" s="152"/>
      <c r="O78" s="111"/>
      <c r="P78" s="61"/>
      <c r="Q78" s="152"/>
      <c r="R78" s="111"/>
      <c r="S78" s="61"/>
      <c r="T78" s="152"/>
      <c r="U78" s="111"/>
      <c r="V78" s="362"/>
      <c r="W78" s="391"/>
      <c r="X78" s="17"/>
      <c r="Y78" s="18">
        <f t="shared" ref="Y78:Y80" si="75">M78+P78+S78+V78</f>
        <v>0</v>
      </c>
      <c r="Z78" s="19">
        <f t="shared" ref="Z78:Z81" si="76">IF(Y$81=0,0,Y78/Y$81)</f>
        <v>0</v>
      </c>
      <c r="AA78" s="19"/>
      <c r="AB78" s="19"/>
      <c r="AC78" s="20"/>
      <c r="AE78" s="111"/>
      <c r="AF78" s="111"/>
      <c r="AG78" s="111"/>
      <c r="AH78" s="651"/>
      <c r="AI78" s="131"/>
      <c r="AJ78" s="117"/>
      <c r="AK78" s="111"/>
      <c r="AL78" s="111"/>
      <c r="AM78" s="111"/>
      <c r="AN78" s="651"/>
      <c r="AO78" s="131"/>
      <c r="AP78" s="117"/>
      <c r="AQ78" s="111"/>
      <c r="AR78" s="111"/>
      <c r="AS78" s="111"/>
      <c r="AT78" s="651"/>
      <c r="AU78" s="131"/>
      <c r="AV78" s="117"/>
      <c r="AW78" s="111"/>
      <c r="AX78" s="111"/>
      <c r="AY78" s="111"/>
      <c r="AZ78" s="111"/>
      <c r="BA78" s="131"/>
    </row>
    <row r="79" spans="1:53" ht="17.100000000000001" customHeight="1" x14ac:dyDescent="0.25">
      <c r="A79" s="102"/>
      <c r="B79" s="102"/>
      <c r="C79" s="102"/>
      <c r="D79" s="103" t="s">
        <v>50</v>
      </c>
      <c r="E79" s="108" t="s">
        <v>51</v>
      </c>
      <c r="F79" s="108"/>
      <c r="G79" s="108"/>
      <c r="H79" s="258"/>
      <c r="I79" s="232"/>
      <c r="J79" s="152"/>
      <c r="K79" s="152"/>
      <c r="L79" s="111"/>
      <c r="M79" s="111"/>
      <c r="N79" s="152"/>
      <c r="O79" s="111"/>
      <c r="P79" s="60"/>
      <c r="Q79" s="152"/>
      <c r="R79" s="111"/>
      <c r="S79" s="60"/>
      <c r="T79" s="152"/>
      <c r="U79" s="111"/>
      <c r="V79" s="361"/>
      <c r="W79" s="391"/>
      <c r="X79" s="17"/>
      <c r="Y79" s="18">
        <f t="shared" si="75"/>
        <v>0</v>
      </c>
      <c r="Z79" s="19">
        <f t="shared" si="76"/>
        <v>0</v>
      </c>
      <c r="AA79" s="19"/>
      <c r="AB79" s="19"/>
      <c r="AC79" s="20"/>
      <c r="AE79" s="111"/>
      <c r="AF79" s="111"/>
      <c r="AG79" s="111"/>
      <c r="AH79" s="651"/>
      <c r="AI79" s="131"/>
      <c r="AJ79" s="117"/>
      <c r="AK79" s="111"/>
      <c r="AL79" s="111"/>
      <c r="AM79" s="111"/>
      <c r="AN79" s="651"/>
      <c r="AO79" s="131"/>
      <c r="AP79" s="117"/>
      <c r="AQ79" s="111"/>
      <c r="AR79" s="111"/>
      <c r="AS79" s="111"/>
      <c r="AT79" s="651"/>
      <c r="AU79" s="131"/>
      <c r="AV79" s="117"/>
      <c r="AW79" s="111"/>
      <c r="AX79" s="111"/>
      <c r="AY79" s="111"/>
      <c r="AZ79" s="111"/>
      <c r="BA79" s="131"/>
    </row>
    <row r="80" spans="1:53" ht="17.100000000000001" customHeight="1" x14ac:dyDescent="0.25">
      <c r="A80" s="102"/>
      <c r="B80" s="102"/>
      <c r="C80" s="102"/>
      <c r="D80" s="103" t="s">
        <v>52</v>
      </c>
      <c r="E80" s="108" t="s">
        <v>53</v>
      </c>
      <c r="F80" s="108"/>
      <c r="G80" s="108"/>
      <c r="H80" s="258"/>
      <c r="I80" s="232"/>
      <c r="J80" s="152"/>
      <c r="K80" s="152"/>
      <c r="L80" s="111"/>
      <c r="M80" s="111"/>
      <c r="N80" s="152"/>
      <c r="O80" s="111"/>
      <c r="P80" s="61"/>
      <c r="Q80" s="152"/>
      <c r="R80" s="111"/>
      <c r="S80" s="61"/>
      <c r="T80" s="152"/>
      <c r="U80" s="111"/>
      <c r="V80" s="362"/>
      <c r="W80" s="391"/>
      <c r="X80" s="17"/>
      <c r="Y80" s="18">
        <f t="shared" si="75"/>
        <v>0</v>
      </c>
      <c r="Z80" s="19">
        <f t="shared" si="76"/>
        <v>0</v>
      </c>
      <c r="AA80" s="19"/>
      <c r="AB80" s="19"/>
      <c r="AC80" s="20"/>
      <c r="AE80" s="111"/>
      <c r="AF80" s="111"/>
      <c r="AG80" s="111"/>
      <c r="AH80" s="651"/>
      <c r="AI80" s="131"/>
      <c r="AJ80" s="117"/>
      <c r="AK80" s="111"/>
      <c r="AL80" s="111"/>
      <c r="AM80" s="111"/>
      <c r="AN80" s="651"/>
      <c r="AO80" s="131"/>
      <c r="AP80" s="117"/>
      <c r="AQ80" s="111"/>
      <c r="AR80" s="111"/>
      <c r="AS80" s="111"/>
      <c r="AT80" s="651"/>
      <c r="AU80" s="131"/>
      <c r="AV80" s="117"/>
      <c r="AW80" s="111"/>
      <c r="AX80" s="111"/>
      <c r="AY80" s="111"/>
      <c r="AZ80" s="111"/>
      <c r="BA80" s="131"/>
    </row>
    <row r="81" spans="1:53" ht="17.100000000000001" customHeight="1" x14ac:dyDescent="0.25">
      <c r="A81" s="40"/>
      <c r="B81" s="40"/>
      <c r="C81" s="77"/>
      <c r="D81" s="78"/>
      <c r="E81" s="78"/>
      <c r="F81" s="78"/>
      <c r="G81" s="78"/>
      <c r="H81" s="242"/>
      <c r="I81" s="230"/>
      <c r="J81" s="80"/>
      <c r="K81" s="80"/>
      <c r="L81" s="81"/>
      <c r="M81" s="81"/>
      <c r="N81" s="81"/>
      <c r="O81" s="81"/>
      <c r="P81" s="82">
        <f>SUM(P77:P80)</f>
        <v>1</v>
      </c>
      <c r="Q81" s="81"/>
      <c r="R81" s="81"/>
      <c r="S81" s="82">
        <f>SUM(S77:S80)</f>
        <v>1</v>
      </c>
      <c r="T81" s="81"/>
      <c r="U81" s="81"/>
      <c r="V81" s="360">
        <f>SUM(V77:V80)</f>
        <v>1</v>
      </c>
      <c r="W81" s="381"/>
      <c r="X81" s="82"/>
      <c r="Y81" s="82">
        <f t="shared" ref="Y81" si="77">SUM(Y77:Y80)</f>
        <v>3</v>
      </c>
      <c r="Z81" s="205">
        <f t="shared" si="76"/>
        <v>1</v>
      </c>
      <c r="AA81" s="205"/>
      <c r="AB81" s="205"/>
      <c r="AC81" s="83"/>
      <c r="AE81" s="81"/>
      <c r="AF81" s="81"/>
      <c r="AG81" s="81"/>
      <c r="AH81" s="82"/>
      <c r="AI81" s="66"/>
      <c r="AJ81" s="117"/>
      <c r="AK81" s="81"/>
      <c r="AL81" s="81"/>
      <c r="AM81" s="81"/>
      <c r="AN81" s="82"/>
      <c r="AO81" s="66"/>
      <c r="AP81" s="117"/>
      <c r="AQ81" s="81"/>
      <c r="AR81" s="81"/>
      <c r="AS81" s="81"/>
      <c r="AT81" s="82"/>
      <c r="AU81" s="66"/>
      <c r="AV81" s="117"/>
      <c r="AW81" s="81"/>
      <c r="AX81" s="81"/>
      <c r="AY81" s="81"/>
      <c r="AZ81" s="81"/>
      <c r="BA81" s="66"/>
    </row>
    <row r="82" spans="1:53" s="117" customFormat="1" ht="17.100000000000001" customHeight="1" x14ac:dyDescent="0.25">
      <c r="A82" s="119"/>
      <c r="B82" s="119"/>
      <c r="C82" s="647"/>
      <c r="D82" s="212"/>
      <c r="E82" s="212"/>
      <c r="F82" s="212"/>
      <c r="G82" s="212"/>
      <c r="H82" s="242"/>
      <c r="I82" s="230"/>
      <c r="J82" s="17"/>
      <c r="K82" s="17"/>
      <c r="L82" s="17"/>
      <c r="M82" s="17"/>
      <c r="N82" s="17"/>
      <c r="O82" s="17"/>
      <c r="P82" s="17" t="str">
        <f>IF(P81=1,"OK","NOK")</f>
        <v>OK</v>
      </c>
      <c r="Q82" s="17"/>
      <c r="R82" s="17"/>
      <c r="S82" s="17" t="str">
        <f>IF(S81=1,"OK","NOK")</f>
        <v>OK</v>
      </c>
      <c r="T82" s="17"/>
      <c r="U82" s="17"/>
      <c r="V82" s="359" t="str">
        <f>IF(V81=1,"OK","NOK")</f>
        <v>OK</v>
      </c>
      <c r="W82" s="382"/>
      <c r="X82" s="646"/>
      <c r="Y82" s="646"/>
      <c r="Z82" s="201"/>
      <c r="AA82" s="201"/>
      <c r="AB82" s="201"/>
      <c r="AC82" s="84"/>
      <c r="AE82" s="17"/>
      <c r="AF82" s="17"/>
      <c r="AG82" s="17"/>
      <c r="AH82" s="646"/>
      <c r="AI82" s="91"/>
      <c r="AK82" s="17"/>
      <c r="AL82" s="17"/>
      <c r="AM82" s="17"/>
      <c r="AN82" s="646"/>
      <c r="AO82" s="91"/>
      <c r="AQ82" s="17"/>
      <c r="AR82" s="17"/>
      <c r="AS82" s="17"/>
      <c r="AT82" s="646"/>
      <c r="AU82" s="91"/>
      <c r="AW82" s="17"/>
      <c r="AX82" s="17"/>
      <c r="AY82" s="17"/>
      <c r="AZ82" s="17"/>
      <c r="BA82" s="91"/>
    </row>
    <row r="83" spans="1:53" ht="17.100000000000001" customHeight="1" x14ac:dyDescent="0.25">
      <c r="A83" s="102"/>
      <c r="B83" s="102"/>
      <c r="C83" s="103"/>
      <c r="D83" s="108"/>
      <c r="E83" s="108"/>
      <c r="F83" s="108"/>
      <c r="G83" s="108"/>
      <c r="H83" s="258"/>
      <c r="I83" s="232"/>
      <c r="J83" s="111"/>
      <c r="K83" s="111"/>
      <c r="L83" s="111"/>
      <c r="M83" s="111"/>
      <c r="N83" s="111"/>
      <c r="O83" s="111"/>
      <c r="P83" s="111"/>
      <c r="Q83" s="111"/>
      <c r="R83" s="111"/>
      <c r="S83" s="111"/>
      <c r="T83" s="111"/>
      <c r="U83" s="111"/>
      <c r="V83" s="358"/>
      <c r="W83" s="380"/>
      <c r="X83" s="111"/>
      <c r="Y83" s="112"/>
      <c r="Z83" s="113"/>
      <c r="AA83" s="113"/>
      <c r="AB83" s="113"/>
      <c r="AC83" s="113"/>
      <c r="AE83" s="114"/>
      <c r="AF83" s="114"/>
      <c r="AG83" s="114"/>
      <c r="AH83" s="112"/>
      <c r="AI83" s="113"/>
      <c r="AJ83" s="117"/>
      <c r="AK83" s="114"/>
      <c r="AL83" s="114"/>
      <c r="AM83" s="114"/>
      <c r="AN83" s="112"/>
      <c r="AO83" s="113"/>
      <c r="AP83" s="117"/>
      <c r="AQ83" s="114"/>
      <c r="AR83" s="114"/>
      <c r="AS83" s="114"/>
      <c r="AT83" s="112"/>
      <c r="AU83" s="113"/>
      <c r="AV83" s="117"/>
      <c r="AW83" s="114"/>
      <c r="AX83" s="114"/>
      <c r="AY83" s="114"/>
      <c r="AZ83" s="114"/>
      <c r="BA83" s="113"/>
    </row>
    <row r="84" spans="1:53" ht="17.100000000000001" customHeight="1" x14ac:dyDescent="0.25">
      <c r="A84" s="102"/>
      <c r="B84" s="118"/>
      <c r="C84" s="118"/>
      <c r="D84" s="103"/>
      <c r="E84" s="108"/>
      <c r="F84" s="108"/>
      <c r="G84" s="108"/>
      <c r="H84" s="258"/>
      <c r="I84" s="232"/>
      <c r="J84" s="152"/>
      <c r="K84" s="152"/>
      <c r="L84" s="111"/>
      <c r="M84" s="111"/>
      <c r="N84" s="152"/>
      <c r="O84" s="111"/>
      <c r="P84" s="587"/>
      <c r="Q84" s="152"/>
      <c r="R84" s="111"/>
      <c r="S84" s="587"/>
      <c r="T84" s="152"/>
      <c r="U84" s="111"/>
      <c r="V84" s="590"/>
      <c r="W84" s="391"/>
      <c r="X84" s="17"/>
      <c r="Y84" s="18"/>
      <c r="Z84" s="19"/>
      <c r="AA84" s="19"/>
      <c r="AB84" s="19"/>
      <c r="AC84" s="20"/>
      <c r="AE84" s="111"/>
      <c r="AF84" s="111"/>
      <c r="AG84" s="111"/>
      <c r="AH84" s="651"/>
      <c r="AI84" s="131"/>
      <c r="AJ84" s="117"/>
      <c r="AK84" s="111"/>
      <c r="AL84" s="111"/>
      <c r="AM84" s="111"/>
      <c r="AN84" s="651"/>
      <c r="AO84" s="131"/>
      <c r="AP84" s="117"/>
      <c r="AQ84" s="111"/>
      <c r="AR84" s="111"/>
      <c r="AS84" s="111"/>
      <c r="AT84" s="651"/>
      <c r="AU84" s="131"/>
      <c r="AV84" s="117"/>
      <c r="AW84" s="111"/>
      <c r="AX84" s="111"/>
      <c r="AY84" s="111"/>
      <c r="AZ84" s="111"/>
      <c r="BA84" s="131"/>
    </row>
    <row r="85" spans="1:53" ht="17.100000000000001" customHeight="1" x14ac:dyDescent="0.25">
      <c r="A85" s="102"/>
      <c r="B85" s="118"/>
      <c r="C85" s="118"/>
      <c r="D85" s="103"/>
      <c r="E85" s="108"/>
      <c r="F85" s="108"/>
      <c r="G85" s="108"/>
      <c r="H85" s="258"/>
      <c r="I85" s="232"/>
      <c r="J85" s="152"/>
      <c r="K85" s="152"/>
      <c r="L85" s="111"/>
      <c r="M85" s="111"/>
      <c r="N85" s="152"/>
      <c r="O85" s="111"/>
      <c r="P85" s="588"/>
      <c r="Q85" s="152"/>
      <c r="R85" s="111"/>
      <c r="S85" s="588"/>
      <c r="T85" s="152"/>
      <c r="U85" s="111"/>
      <c r="V85" s="591"/>
      <c r="W85" s="391"/>
      <c r="X85" s="17"/>
      <c r="Y85" s="18"/>
      <c r="Z85" s="19"/>
      <c r="AA85" s="19"/>
      <c r="AB85" s="19"/>
      <c r="AC85" s="20"/>
      <c r="AE85" s="111"/>
      <c r="AF85" s="111"/>
      <c r="AG85" s="111"/>
      <c r="AH85" s="651"/>
      <c r="AI85" s="131"/>
      <c r="AJ85" s="117"/>
      <c r="AK85" s="111"/>
      <c r="AL85" s="111"/>
      <c r="AM85" s="111"/>
      <c r="AN85" s="651"/>
      <c r="AO85" s="131"/>
      <c r="AP85" s="117"/>
      <c r="AQ85" s="111"/>
      <c r="AR85" s="111"/>
      <c r="AS85" s="111"/>
      <c r="AT85" s="651"/>
      <c r="AU85" s="131"/>
      <c r="AV85" s="117"/>
      <c r="AW85" s="111"/>
      <c r="AX85" s="111"/>
      <c r="AY85" s="111"/>
      <c r="AZ85" s="111"/>
      <c r="BA85" s="131"/>
    </row>
    <row r="86" spans="1:53" ht="17.100000000000001" customHeight="1" x14ac:dyDescent="0.25">
      <c r="A86" s="102"/>
      <c r="B86" s="118"/>
      <c r="C86" s="118"/>
      <c r="D86" s="103"/>
      <c r="E86" s="108"/>
      <c r="F86" s="108"/>
      <c r="G86" s="108"/>
      <c r="H86" s="258"/>
      <c r="I86" s="232"/>
      <c r="J86" s="152"/>
      <c r="K86" s="152"/>
      <c r="L86" s="111"/>
      <c r="M86" s="111"/>
      <c r="N86" s="152"/>
      <c r="O86" s="111"/>
      <c r="P86" s="587"/>
      <c r="Q86" s="152"/>
      <c r="R86" s="111"/>
      <c r="S86" s="587"/>
      <c r="T86" s="152"/>
      <c r="U86" s="111"/>
      <c r="V86" s="590"/>
      <c r="W86" s="391"/>
      <c r="X86" s="17"/>
      <c r="Y86" s="18"/>
      <c r="Z86" s="19"/>
      <c r="AA86" s="19"/>
      <c r="AB86" s="19"/>
      <c r="AC86" s="20"/>
      <c r="AE86" s="111"/>
      <c r="AF86" s="111"/>
      <c r="AG86" s="111"/>
      <c r="AH86" s="651"/>
      <c r="AI86" s="131"/>
      <c r="AJ86" s="117"/>
      <c r="AK86" s="111"/>
      <c r="AL86" s="111"/>
      <c r="AM86" s="111"/>
      <c r="AN86" s="651"/>
      <c r="AO86" s="131"/>
      <c r="AP86" s="117"/>
      <c r="AQ86" s="111"/>
      <c r="AR86" s="111"/>
      <c r="AS86" s="111"/>
      <c r="AT86" s="651"/>
      <c r="AU86" s="131"/>
      <c r="AV86" s="117"/>
      <c r="AW86" s="111"/>
      <c r="AX86" s="111"/>
      <c r="AY86" s="111"/>
      <c r="AZ86" s="111"/>
      <c r="BA86" s="131"/>
    </row>
    <row r="87" spans="1:53" ht="17.100000000000001" customHeight="1" x14ac:dyDescent="0.25">
      <c r="A87" s="102"/>
      <c r="B87" s="118"/>
      <c r="C87" s="118"/>
      <c r="D87" s="103"/>
      <c r="E87" s="108"/>
      <c r="F87" s="108"/>
      <c r="G87" s="108"/>
      <c r="H87" s="258"/>
      <c r="I87" s="232"/>
      <c r="J87" s="152"/>
      <c r="K87" s="152"/>
      <c r="L87" s="111"/>
      <c r="M87" s="111"/>
      <c r="N87" s="152"/>
      <c r="O87" s="111"/>
      <c r="P87" s="588"/>
      <c r="Q87" s="152"/>
      <c r="R87" s="111"/>
      <c r="S87" s="588"/>
      <c r="T87" s="152"/>
      <c r="U87" s="111"/>
      <c r="V87" s="591"/>
      <c r="W87" s="391"/>
      <c r="X87" s="17"/>
      <c r="Y87" s="18"/>
      <c r="Z87" s="19"/>
      <c r="AA87" s="19"/>
      <c r="AB87" s="19"/>
      <c r="AC87" s="20"/>
      <c r="AE87" s="111"/>
      <c r="AF87" s="111"/>
      <c r="AG87" s="111"/>
      <c r="AH87" s="651"/>
      <c r="AI87" s="131"/>
      <c r="AJ87" s="117"/>
      <c r="AK87" s="111"/>
      <c r="AL87" s="111"/>
      <c r="AM87" s="111"/>
      <c r="AN87" s="651"/>
      <c r="AO87" s="131"/>
      <c r="AP87" s="117"/>
      <c r="AQ87" s="111"/>
      <c r="AR87" s="111"/>
      <c r="AS87" s="111"/>
      <c r="AT87" s="651"/>
      <c r="AU87" s="131"/>
      <c r="AV87" s="117"/>
      <c r="AW87" s="111"/>
      <c r="AX87" s="111"/>
      <c r="AY87" s="111"/>
      <c r="AZ87" s="111"/>
      <c r="BA87" s="131"/>
    </row>
    <row r="88" spans="1:53" ht="17.100000000000001" customHeight="1" x14ac:dyDescent="0.25">
      <c r="A88" s="40"/>
      <c r="B88" s="40"/>
      <c r="C88" s="77"/>
      <c r="D88" s="78"/>
      <c r="E88" s="78"/>
      <c r="F88" s="78"/>
      <c r="G88" s="78"/>
      <c r="H88" s="242"/>
      <c r="I88" s="230"/>
      <c r="J88" s="80"/>
      <c r="K88" s="80"/>
      <c r="L88" s="81"/>
      <c r="M88" s="81"/>
      <c r="N88" s="81"/>
      <c r="O88" s="81"/>
      <c r="P88" s="82"/>
      <c r="Q88" s="81"/>
      <c r="R88" s="81"/>
      <c r="S88" s="82"/>
      <c r="T88" s="81"/>
      <c r="U88" s="81"/>
      <c r="V88" s="360"/>
      <c r="W88" s="381"/>
      <c r="X88" s="82"/>
      <c r="Y88" s="82"/>
      <c r="Z88" s="205"/>
      <c r="AA88" s="205"/>
      <c r="AB88" s="205"/>
      <c r="AC88" s="83"/>
      <c r="AE88" s="81"/>
      <c r="AF88" s="81"/>
      <c r="AG88" s="81"/>
      <c r="AH88" s="82"/>
      <c r="AI88" s="66"/>
      <c r="AJ88" s="117"/>
      <c r="AK88" s="81"/>
      <c r="AL88" s="81"/>
      <c r="AM88" s="81"/>
      <c r="AN88" s="82"/>
      <c r="AO88" s="66"/>
      <c r="AP88" s="117"/>
      <c r="AQ88" s="81"/>
      <c r="AR88" s="81"/>
      <c r="AS88" s="81"/>
      <c r="AT88" s="82"/>
      <c r="AU88" s="66"/>
      <c r="AV88" s="117"/>
      <c r="AW88" s="81"/>
      <c r="AX88" s="81"/>
      <c r="AY88" s="81"/>
      <c r="AZ88" s="81"/>
      <c r="BA88" s="66"/>
    </row>
    <row r="89" spans="1:53" s="117" customFormat="1" ht="17.100000000000001" customHeight="1" x14ac:dyDescent="0.25">
      <c r="A89" s="119"/>
      <c r="B89" s="119"/>
      <c r="C89" s="647"/>
      <c r="D89" s="212"/>
      <c r="E89" s="212"/>
      <c r="F89" s="212"/>
      <c r="G89" s="212"/>
      <c r="H89" s="242"/>
      <c r="I89" s="230"/>
      <c r="J89" s="17"/>
      <c r="K89" s="17"/>
      <c r="L89" s="17"/>
      <c r="M89" s="17"/>
      <c r="N89" s="17"/>
      <c r="O89" s="17"/>
      <c r="P89" s="17"/>
      <c r="Q89" s="17"/>
      <c r="R89" s="17"/>
      <c r="S89" s="17"/>
      <c r="T89" s="17"/>
      <c r="U89" s="17"/>
      <c r="V89" s="359"/>
      <c r="W89" s="382"/>
      <c r="X89" s="646"/>
      <c r="Y89" s="646"/>
      <c r="Z89" s="201"/>
      <c r="AA89" s="201"/>
      <c r="AB89" s="201"/>
      <c r="AC89" s="84"/>
      <c r="AE89" s="17"/>
      <c r="AF89" s="17"/>
      <c r="AG89" s="17"/>
      <c r="AH89" s="646"/>
      <c r="AI89" s="91"/>
      <c r="AK89" s="17"/>
      <c r="AL89" s="17"/>
      <c r="AM89" s="17"/>
      <c r="AN89" s="646"/>
      <c r="AO89" s="91"/>
      <c r="AQ89" s="17"/>
      <c r="AR89" s="17"/>
      <c r="AS89" s="17"/>
      <c r="AT89" s="646"/>
      <c r="AU89" s="91"/>
      <c r="AW89" s="17"/>
      <c r="AX89" s="17"/>
      <c r="AY89" s="17"/>
      <c r="AZ89" s="17"/>
      <c r="BA89" s="91"/>
    </row>
    <row r="90" spans="1:53" ht="17.100000000000001" customHeight="1" x14ac:dyDescent="0.25">
      <c r="A90" s="68"/>
      <c r="B90" s="41" t="s">
        <v>63</v>
      </c>
      <c r="C90" s="69" t="s">
        <v>64</v>
      </c>
      <c r="D90" s="50"/>
      <c r="E90" s="70"/>
      <c r="F90" s="70"/>
      <c r="G90" s="70"/>
      <c r="H90" s="84"/>
      <c r="J90" s="71"/>
      <c r="K90" s="71"/>
      <c r="L90" s="71"/>
      <c r="M90" s="71"/>
      <c r="N90" s="71"/>
      <c r="O90" s="71"/>
      <c r="P90" s="71"/>
      <c r="Q90" s="71"/>
      <c r="R90" s="71"/>
      <c r="S90" s="71"/>
      <c r="T90" s="71"/>
      <c r="U90" s="71"/>
      <c r="V90" s="71"/>
      <c r="W90" s="71"/>
      <c r="X90" s="71"/>
      <c r="Y90" s="71"/>
      <c r="Z90" s="73"/>
      <c r="AA90" s="73"/>
      <c r="AB90" s="73"/>
      <c r="AC90" s="73"/>
      <c r="AE90" s="71"/>
      <c r="AF90" s="71"/>
      <c r="AG90" s="71"/>
      <c r="AH90" s="72"/>
      <c r="AI90" s="73"/>
      <c r="AJ90" s="117"/>
      <c r="AK90" s="71"/>
      <c r="AL90" s="71"/>
      <c r="AM90" s="71"/>
      <c r="AN90" s="72"/>
      <c r="AO90" s="73"/>
      <c r="AP90" s="117"/>
      <c r="AQ90" s="71"/>
      <c r="AR90" s="71"/>
      <c r="AS90" s="71"/>
      <c r="AT90" s="72"/>
      <c r="AU90" s="73"/>
      <c r="AV90" s="117"/>
      <c r="AW90" s="71"/>
      <c r="AX90" s="71"/>
      <c r="AY90" s="71"/>
      <c r="AZ90" s="273"/>
      <c r="BA90" s="73"/>
    </row>
    <row r="91" spans="1:53" ht="17.100000000000001" customHeight="1" x14ac:dyDescent="0.25">
      <c r="A91" s="102"/>
      <c r="B91" s="102"/>
      <c r="C91" s="103" t="s">
        <v>65</v>
      </c>
      <c r="D91" s="108" t="s">
        <v>66</v>
      </c>
      <c r="E91" s="108"/>
      <c r="F91" s="108"/>
      <c r="G91" s="108"/>
      <c r="H91" s="315"/>
      <c r="I91" s="232"/>
      <c r="J91" s="111"/>
      <c r="K91" s="111"/>
      <c r="L91" s="111"/>
      <c r="M91" s="111"/>
      <c r="N91" s="111"/>
      <c r="O91" s="111"/>
      <c r="P91" s="111"/>
      <c r="Q91" s="111"/>
      <c r="R91" s="111"/>
      <c r="S91" s="111"/>
      <c r="T91" s="111"/>
      <c r="U91" s="111"/>
      <c r="V91" s="111"/>
      <c r="W91" s="111"/>
      <c r="X91" s="111"/>
      <c r="Y91" s="111"/>
      <c r="Z91" s="113"/>
      <c r="AA91" s="113"/>
      <c r="AB91" s="113"/>
      <c r="AC91" s="113"/>
      <c r="AE91" s="114"/>
      <c r="AF91" s="114"/>
      <c r="AG91" s="114"/>
      <c r="AH91" s="112"/>
      <c r="AI91" s="113"/>
      <c r="AJ91" s="117"/>
      <c r="AK91" s="114"/>
      <c r="AL91" s="114"/>
      <c r="AM91" s="114"/>
      <c r="AN91" s="112"/>
      <c r="AO91" s="113"/>
      <c r="AP91" s="117"/>
      <c r="AQ91" s="114"/>
      <c r="AR91" s="114"/>
      <c r="AS91" s="114"/>
      <c r="AT91" s="112"/>
      <c r="AU91" s="113"/>
      <c r="AV91" s="117"/>
      <c r="AW91" s="114"/>
      <c r="AX91" s="114"/>
      <c r="AY91" s="114"/>
      <c r="AZ91" s="114"/>
      <c r="BA91" s="113"/>
    </row>
    <row r="92" spans="1:53" ht="17.100000000000001" customHeight="1" x14ac:dyDescent="0.25">
      <c r="A92" s="102"/>
      <c r="B92" s="118"/>
      <c r="C92" s="118"/>
      <c r="D92" s="103" t="s">
        <v>67</v>
      </c>
      <c r="E92" s="278" t="s">
        <v>558</v>
      </c>
      <c r="F92" s="312"/>
      <c r="G92" s="312"/>
      <c r="H92" s="317"/>
      <c r="I92" s="307"/>
      <c r="J92" s="152"/>
      <c r="K92" s="152"/>
      <c r="L92" s="111"/>
      <c r="M92" s="111"/>
      <c r="N92" s="152"/>
      <c r="O92" s="111"/>
      <c r="P92" s="60"/>
      <c r="Q92" s="152"/>
      <c r="R92" s="111"/>
      <c r="S92" s="60"/>
      <c r="T92" s="152"/>
      <c r="U92" s="111"/>
      <c r="V92" s="361"/>
      <c r="W92" s="391"/>
      <c r="X92" s="17"/>
      <c r="Y92" s="18">
        <f>M92+P92+S92+V92</f>
        <v>0</v>
      </c>
      <c r="Z92" s="19">
        <f>IF(Y$96=0,0,Y92/Y$96)</f>
        <v>0</v>
      </c>
      <c r="AA92" s="19"/>
      <c r="AB92" s="19"/>
      <c r="AC92" s="20"/>
      <c r="AE92" s="111"/>
      <c r="AF92" s="111"/>
      <c r="AG92" s="111"/>
      <c r="AH92" s="651"/>
      <c r="AI92" s="131"/>
      <c r="AJ92" s="117"/>
      <c r="AK92" s="111"/>
      <c r="AL92" s="111"/>
      <c r="AM92" s="111"/>
      <c r="AN92" s="651"/>
      <c r="AO92" s="131"/>
      <c r="AP92" s="117"/>
      <c r="AQ92" s="111"/>
      <c r="AR92" s="111"/>
      <c r="AS92" s="111"/>
      <c r="AT92" s="651"/>
      <c r="AU92" s="131"/>
      <c r="AV92" s="117"/>
      <c r="AW92" s="111"/>
      <c r="AX92" s="111"/>
      <c r="AY92" s="111"/>
      <c r="AZ92" s="111"/>
      <c r="BA92" s="131"/>
    </row>
    <row r="93" spans="1:53" ht="17.100000000000001" customHeight="1" x14ac:dyDescent="0.25">
      <c r="A93" s="102"/>
      <c r="B93" s="118"/>
      <c r="C93" s="118"/>
      <c r="D93" s="103" t="s">
        <v>69</v>
      </c>
      <c r="E93" s="278" t="s">
        <v>559</v>
      </c>
      <c r="F93" s="108"/>
      <c r="G93" s="108"/>
      <c r="H93" s="315"/>
      <c r="I93" s="232"/>
      <c r="J93" s="152"/>
      <c r="K93" s="152"/>
      <c r="L93" s="111"/>
      <c r="M93" s="111"/>
      <c r="N93" s="152"/>
      <c r="O93" s="111"/>
      <c r="P93" s="61">
        <v>1</v>
      </c>
      <c r="Q93" s="152"/>
      <c r="R93" s="111"/>
      <c r="S93" s="61">
        <v>1</v>
      </c>
      <c r="T93" s="152"/>
      <c r="U93" s="111"/>
      <c r="V93" s="362">
        <v>1</v>
      </c>
      <c r="W93" s="391"/>
      <c r="X93" s="17"/>
      <c r="Y93" s="18">
        <f t="shared" ref="Y93:Y95" si="78">M93+P93+S93+V93</f>
        <v>3</v>
      </c>
      <c r="Z93" s="19">
        <f t="shared" ref="Z93:Z96" si="79">IF(Y$96=0,0,Y93/Y$96)</f>
        <v>1</v>
      </c>
      <c r="AA93" s="19"/>
      <c r="AB93" s="19"/>
      <c r="AC93" s="20"/>
      <c r="AE93" s="111"/>
      <c r="AF93" s="111"/>
      <c r="AG93" s="111"/>
      <c r="AH93" s="651"/>
      <c r="AI93" s="131"/>
      <c r="AJ93" s="117"/>
      <c r="AK93" s="111"/>
      <c r="AL93" s="111"/>
      <c r="AM93" s="111"/>
      <c r="AN93" s="651"/>
      <c r="AO93" s="131"/>
      <c r="AP93" s="117"/>
      <c r="AQ93" s="111"/>
      <c r="AR93" s="111"/>
      <c r="AS93" s="111"/>
      <c r="AT93" s="651"/>
      <c r="AU93" s="131"/>
      <c r="AV93" s="117"/>
      <c r="AW93" s="111"/>
      <c r="AX93" s="111"/>
      <c r="AY93" s="111"/>
      <c r="AZ93" s="111"/>
      <c r="BA93" s="131"/>
    </row>
    <row r="94" spans="1:53" ht="17.100000000000001" customHeight="1" x14ac:dyDescent="0.25">
      <c r="A94" s="102"/>
      <c r="B94" s="118"/>
      <c r="C94" s="118"/>
      <c r="D94" s="103" t="s">
        <v>71</v>
      </c>
      <c r="E94" s="278" t="s">
        <v>560</v>
      </c>
      <c r="F94" s="108"/>
      <c r="G94" s="108"/>
      <c r="H94" s="315"/>
      <c r="I94" s="232"/>
      <c r="J94" s="152"/>
      <c r="K94" s="152"/>
      <c r="L94" s="111"/>
      <c r="M94" s="111"/>
      <c r="N94" s="152"/>
      <c r="O94" s="111"/>
      <c r="P94" s="60"/>
      <c r="Q94" s="152"/>
      <c r="R94" s="111"/>
      <c r="S94" s="60"/>
      <c r="T94" s="152"/>
      <c r="U94" s="111"/>
      <c r="V94" s="361"/>
      <c r="W94" s="391"/>
      <c r="X94" s="17"/>
      <c r="Y94" s="18">
        <f t="shared" si="78"/>
        <v>0</v>
      </c>
      <c r="Z94" s="19">
        <f t="shared" si="79"/>
        <v>0</v>
      </c>
      <c r="AA94" s="19"/>
      <c r="AB94" s="19"/>
      <c r="AC94" s="20"/>
      <c r="AE94" s="111"/>
      <c r="AF94" s="111"/>
      <c r="AG94" s="111"/>
      <c r="AH94" s="651"/>
      <c r="AI94" s="131"/>
      <c r="AJ94" s="117"/>
      <c r="AK94" s="111"/>
      <c r="AL94" s="111"/>
      <c r="AM94" s="111"/>
      <c r="AN94" s="651"/>
      <c r="AO94" s="131"/>
      <c r="AP94" s="117"/>
      <c r="AQ94" s="111"/>
      <c r="AR94" s="111"/>
      <c r="AS94" s="111"/>
      <c r="AT94" s="651"/>
      <c r="AU94" s="131"/>
      <c r="AV94" s="117"/>
      <c r="AW94" s="111"/>
      <c r="AX94" s="111"/>
      <c r="AY94" s="111"/>
      <c r="AZ94" s="111"/>
      <c r="BA94" s="131"/>
    </row>
    <row r="95" spans="1:53" ht="17.100000000000001" customHeight="1" x14ac:dyDescent="0.25">
      <c r="A95" s="102"/>
      <c r="B95" s="118"/>
      <c r="C95" s="118"/>
      <c r="D95" s="103" t="s">
        <v>73</v>
      </c>
      <c r="E95" s="278" t="s">
        <v>561</v>
      </c>
      <c r="F95" s="312"/>
      <c r="G95" s="312"/>
      <c r="H95" s="317"/>
      <c r="I95" s="307"/>
      <c r="J95" s="152"/>
      <c r="K95" s="152"/>
      <c r="L95" s="111"/>
      <c r="M95" s="111"/>
      <c r="N95" s="152"/>
      <c r="O95" s="111"/>
      <c r="P95" s="61"/>
      <c r="Q95" s="152"/>
      <c r="R95" s="111"/>
      <c r="S95" s="61"/>
      <c r="T95" s="152"/>
      <c r="U95" s="111"/>
      <c r="V95" s="362"/>
      <c r="W95" s="391"/>
      <c r="X95" s="17"/>
      <c r="Y95" s="18">
        <f t="shared" si="78"/>
        <v>0</v>
      </c>
      <c r="Z95" s="19">
        <f t="shared" si="79"/>
        <v>0</v>
      </c>
      <c r="AA95" s="19"/>
      <c r="AB95" s="19"/>
      <c r="AC95" s="20"/>
      <c r="AE95" s="111"/>
      <c r="AF95" s="111"/>
      <c r="AG95" s="111"/>
      <c r="AH95" s="651"/>
      <c r="AI95" s="131"/>
      <c r="AJ95" s="117"/>
      <c r="AK95" s="111"/>
      <c r="AL95" s="111"/>
      <c r="AM95" s="111"/>
      <c r="AN95" s="651"/>
      <c r="AO95" s="131"/>
      <c r="AP95" s="117"/>
      <c r="AQ95" s="111"/>
      <c r="AR95" s="111"/>
      <c r="AS95" s="111"/>
      <c r="AT95" s="651"/>
      <c r="AU95" s="131"/>
      <c r="AV95" s="117"/>
      <c r="AW95" s="111"/>
      <c r="AX95" s="111"/>
      <c r="AY95" s="111"/>
      <c r="AZ95" s="111"/>
      <c r="BA95" s="131"/>
    </row>
    <row r="96" spans="1:53" ht="17.100000000000001" customHeight="1" x14ac:dyDescent="0.25">
      <c r="A96" s="40"/>
      <c r="B96" s="40"/>
      <c r="C96" s="77"/>
      <c r="D96" s="78"/>
      <c r="E96" s="78"/>
      <c r="F96" s="78"/>
      <c r="G96" s="78"/>
      <c r="H96" s="316"/>
      <c r="I96" s="230"/>
      <c r="J96" s="80"/>
      <c r="K96" s="80"/>
      <c r="L96" s="81"/>
      <c r="M96" s="81"/>
      <c r="N96" s="81"/>
      <c r="O96" s="81"/>
      <c r="P96" s="82">
        <f>SUM(P92:P95)</f>
        <v>1</v>
      </c>
      <c r="Q96" s="81"/>
      <c r="R96" s="81"/>
      <c r="S96" s="82">
        <f>SUM(S92:S95)</f>
        <v>1</v>
      </c>
      <c r="T96" s="81"/>
      <c r="U96" s="81"/>
      <c r="V96" s="360">
        <f>SUM(V92:V95)</f>
        <v>1</v>
      </c>
      <c r="W96" s="381"/>
      <c r="X96" s="82"/>
      <c r="Y96" s="82">
        <f t="shared" ref="Y96" si="80">SUM(Y92:Y95)</f>
        <v>3</v>
      </c>
      <c r="Z96" s="205">
        <f t="shared" si="79"/>
        <v>1</v>
      </c>
      <c r="AA96" s="205"/>
      <c r="AB96" s="205"/>
      <c r="AC96" s="83"/>
      <c r="AE96" s="81"/>
      <c r="AF96" s="81"/>
      <c r="AG96" s="81"/>
      <c r="AH96" s="82"/>
      <c r="AI96" s="66"/>
      <c r="AJ96" s="117"/>
      <c r="AK96" s="81"/>
      <c r="AL96" s="81"/>
      <c r="AM96" s="81"/>
      <c r="AN96" s="82"/>
      <c r="AO96" s="66"/>
      <c r="AP96" s="117"/>
      <c r="AQ96" s="81"/>
      <c r="AR96" s="81"/>
      <c r="AS96" s="81"/>
      <c r="AT96" s="82"/>
      <c r="AU96" s="66"/>
      <c r="AV96" s="117"/>
      <c r="AW96" s="81"/>
      <c r="AX96" s="81"/>
      <c r="AY96" s="81"/>
      <c r="AZ96" s="81"/>
      <c r="BA96" s="66"/>
    </row>
    <row r="97" spans="1:53" s="117" customFormat="1" ht="17.100000000000001" customHeight="1" x14ac:dyDescent="0.25">
      <c r="A97" s="119"/>
      <c r="B97" s="119"/>
      <c r="C97" s="647"/>
      <c r="D97" s="212"/>
      <c r="E97" s="212"/>
      <c r="F97" s="212"/>
      <c r="G97" s="212"/>
      <c r="H97" s="242"/>
      <c r="I97" s="230"/>
      <c r="J97" s="17"/>
      <c r="K97" s="17"/>
      <c r="L97" s="17"/>
      <c r="M97" s="17"/>
      <c r="N97" s="17"/>
      <c r="O97" s="17"/>
      <c r="P97" s="17" t="str">
        <f>IF(P96=1,"OK","NOK")</f>
        <v>OK</v>
      </c>
      <c r="Q97" s="17"/>
      <c r="R97" s="17"/>
      <c r="S97" s="17" t="str">
        <f>IF(S96=1,"OK","NOK")</f>
        <v>OK</v>
      </c>
      <c r="T97" s="17"/>
      <c r="U97" s="17"/>
      <c r="V97" s="359" t="str">
        <f>IF(V96=1,"OK","NOK")</f>
        <v>OK</v>
      </c>
      <c r="W97" s="382"/>
      <c r="X97" s="646"/>
      <c r="Y97" s="646"/>
      <c r="Z97" s="201"/>
      <c r="AA97" s="201"/>
      <c r="AB97" s="201"/>
      <c r="AC97" s="84"/>
      <c r="AE97" s="17"/>
      <c r="AF97" s="17"/>
      <c r="AG97" s="17"/>
      <c r="AH97" s="646"/>
      <c r="AI97" s="91"/>
      <c r="AK97" s="17"/>
      <c r="AL97" s="17"/>
      <c r="AM97" s="17"/>
      <c r="AN97" s="646"/>
      <c r="AO97" s="91"/>
      <c r="AQ97" s="17"/>
      <c r="AR97" s="17"/>
      <c r="AS97" s="17"/>
      <c r="AT97" s="646"/>
      <c r="AU97" s="91"/>
      <c r="AW97" s="17"/>
      <c r="AX97" s="17"/>
      <c r="AY97" s="17"/>
      <c r="AZ97" s="17"/>
      <c r="BA97" s="91"/>
    </row>
    <row r="98" spans="1:53" s="97" customFormat="1" ht="17.100000000000001" customHeight="1" x14ac:dyDescent="0.25">
      <c r="A98" s="68"/>
      <c r="B98" s="41" t="s">
        <v>74</v>
      </c>
      <c r="C98" s="69" t="s">
        <v>12</v>
      </c>
      <c r="D98" s="50"/>
      <c r="E98" s="70"/>
      <c r="F98" s="70"/>
      <c r="G98" s="70"/>
      <c r="H98" s="84"/>
      <c r="J98" s="71"/>
      <c r="K98" s="71"/>
      <c r="L98" s="71"/>
      <c r="M98" s="71"/>
      <c r="N98" s="71"/>
      <c r="O98" s="71"/>
      <c r="P98" s="71"/>
      <c r="Q98" s="71"/>
      <c r="R98" s="71"/>
      <c r="S98" s="71"/>
      <c r="T98" s="71"/>
      <c r="U98" s="71"/>
      <c r="V98" s="355"/>
      <c r="W98" s="377"/>
      <c r="X98" s="71"/>
      <c r="Y98" s="71"/>
      <c r="Z98" s="73"/>
      <c r="AA98" s="73"/>
      <c r="AB98" s="73"/>
      <c r="AC98" s="73"/>
      <c r="AE98" s="273"/>
      <c r="AF98" s="273"/>
      <c r="AG98" s="273"/>
      <c r="AH98" s="72"/>
      <c r="AI98" s="73"/>
      <c r="AJ98" s="3"/>
      <c r="AK98" s="273"/>
      <c r="AL98" s="273"/>
      <c r="AM98" s="273"/>
      <c r="AN98" s="72"/>
      <c r="AO98" s="73"/>
      <c r="AP98" s="3"/>
      <c r="AQ98" s="71"/>
      <c r="AR98" s="71"/>
      <c r="AS98" s="71"/>
      <c r="AT98" s="89"/>
      <c r="AU98" s="421"/>
      <c r="AV98" s="3"/>
      <c r="AW98" s="71"/>
      <c r="AX98" s="71"/>
      <c r="AY98" s="71"/>
      <c r="AZ98" s="71"/>
      <c r="BA98" s="421"/>
    </row>
    <row r="99" spans="1:53" s="97" customFormat="1" ht="17.100000000000001" customHeight="1" x14ac:dyDescent="0.25">
      <c r="A99" s="119"/>
      <c r="B99" s="119"/>
      <c r="C99" s="120" t="s">
        <v>895</v>
      </c>
      <c r="D99" s="85"/>
      <c r="E99" s="75"/>
      <c r="F99" s="75"/>
      <c r="G99" s="75"/>
      <c r="H99" s="928"/>
      <c r="I99" s="229"/>
      <c r="J99" s="111"/>
      <c r="K99" s="111"/>
      <c r="L99" s="111"/>
      <c r="M99" s="111"/>
      <c r="N99" s="111"/>
      <c r="O99" s="111"/>
      <c r="P99" s="111"/>
      <c r="Q99" s="111"/>
      <c r="R99" s="111"/>
      <c r="S99" s="111"/>
      <c r="T99" s="111"/>
      <c r="U99" s="111"/>
      <c r="V99" s="358"/>
      <c r="W99" s="380"/>
      <c r="X99" s="111"/>
      <c r="Y99" s="112"/>
      <c r="Z99" s="113"/>
      <c r="AA99" s="113"/>
      <c r="AB99" s="113"/>
      <c r="AC99" s="113"/>
      <c r="AE99" s="114"/>
      <c r="AF99" s="114"/>
      <c r="AG99" s="114"/>
      <c r="AH99" s="112"/>
      <c r="AI99" s="113"/>
      <c r="AK99" s="114"/>
      <c r="AL99" s="114"/>
      <c r="AM99" s="114"/>
      <c r="AN99" s="112"/>
      <c r="AO99" s="113"/>
      <c r="AQ99" s="114"/>
      <c r="AR99" s="114"/>
      <c r="AS99" s="114"/>
      <c r="AT99" s="112"/>
      <c r="AU99" s="113"/>
      <c r="AW99" s="114"/>
      <c r="AX99" s="114"/>
      <c r="AY99" s="114"/>
      <c r="AZ99" s="112"/>
      <c r="BA99" s="113"/>
    </row>
    <row r="100" spans="1:53" s="97" customFormat="1" ht="17.100000000000001" customHeight="1" x14ac:dyDescent="0.25">
      <c r="A100" s="119"/>
      <c r="B100" s="119"/>
      <c r="C100" s="928"/>
      <c r="D100" s="121" t="s">
        <v>75</v>
      </c>
      <c r="E100" s="122"/>
      <c r="F100" s="122"/>
      <c r="G100" s="122"/>
      <c r="H100" s="928"/>
      <c r="I100" s="229"/>
      <c r="J100" s="123"/>
      <c r="K100" s="123"/>
      <c r="L100" s="123"/>
      <c r="M100" s="123"/>
      <c r="N100" s="123"/>
      <c r="O100" s="123"/>
      <c r="P100" s="123"/>
      <c r="Q100" s="123"/>
      <c r="R100" s="123"/>
      <c r="S100" s="123"/>
      <c r="T100" s="123"/>
      <c r="U100" s="123"/>
      <c r="V100" s="363"/>
      <c r="W100" s="383"/>
      <c r="X100" s="123"/>
      <c r="Y100" s="124"/>
      <c r="Z100" s="125"/>
      <c r="AA100" s="125"/>
      <c r="AB100" s="125"/>
      <c r="AC100" s="125"/>
      <c r="AE100" s="126"/>
      <c r="AF100" s="126"/>
      <c r="AG100" s="126"/>
      <c r="AH100" s="124"/>
      <c r="AI100" s="125"/>
      <c r="AK100" s="126"/>
      <c r="AL100" s="126"/>
      <c r="AM100" s="126"/>
      <c r="AN100" s="124"/>
      <c r="AO100" s="125"/>
      <c r="AQ100" s="126"/>
      <c r="AR100" s="126"/>
      <c r="AS100" s="126"/>
      <c r="AT100" s="124"/>
      <c r="AU100" s="125"/>
      <c r="AW100" s="126"/>
      <c r="AX100" s="126"/>
      <c r="AY100" s="126"/>
      <c r="AZ100" s="124"/>
      <c r="BA100" s="125"/>
    </row>
    <row r="101" spans="1:53" s="97" customFormat="1" ht="17.100000000000001" customHeight="1" x14ac:dyDescent="0.25">
      <c r="A101" s="137"/>
      <c r="B101" s="119"/>
      <c r="C101" s="928"/>
      <c r="D101" s="941" t="s">
        <v>1438</v>
      </c>
      <c r="E101" s="122"/>
      <c r="F101" s="122"/>
      <c r="G101" s="122"/>
      <c r="H101" s="928"/>
      <c r="I101" s="229"/>
      <c r="J101" s="123"/>
      <c r="K101" s="123"/>
      <c r="L101" s="123"/>
      <c r="M101" s="123"/>
      <c r="N101" s="943">
        <f>N40</f>
        <v>0</v>
      </c>
      <c r="O101" s="943">
        <f>O40</f>
        <v>0</v>
      </c>
      <c r="P101" s="942">
        <f>SUM(N101:O101)</f>
        <v>0</v>
      </c>
      <c r="Q101" s="943">
        <f>Q40</f>
        <v>1</v>
      </c>
      <c r="R101" s="943">
        <f>R40</f>
        <v>0</v>
      </c>
      <c r="S101" s="942">
        <f>SUM(Q101:R101)</f>
        <v>1</v>
      </c>
      <c r="T101" s="943">
        <f>T40</f>
        <v>0</v>
      </c>
      <c r="U101" s="943">
        <f>U40</f>
        <v>0</v>
      </c>
      <c r="V101" s="942">
        <f>SUM(T101:U101)</f>
        <v>0</v>
      </c>
      <c r="W101" s="383"/>
      <c r="X101" s="123"/>
      <c r="Y101" s="124"/>
      <c r="Z101" s="125"/>
      <c r="AA101" s="125"/>
      <c r="AB101" s="125"/>
      <c r="AC101" s="125"/>
      <c r="AE101" s="126"/>
      <c r="AF101" s="126"/>
      <c r="AG101" s="126"/>
      <c r="AH101" s="124"/>
      <c r="AI101" s="125"/>
      <c r="AK101" s="126"/>
      <c r="AL101" s="126"/>
      <c r="AM101" s="126"/>
      <c r="AN101" s="124"/>
      <c r="AO101" s="125"/>
      <c r="AQ101" s="126"/>
      <c r="AR101" s="126"/>
      <c r="AS101" s="126"/>
      <c r="AT101" s="124"/>
      <c r="AU101" s="125"/>
      <c r="AW101" s="126"/>
      <c r="AX101" s="126"/>
      <c r="AY101" s="126"/>
      <c r="AZ101" s="124"/>
      <c r="BA101" s="125"/>
    </row>
    <row r="102" spans="1:53" s="97" customFormat="1" ht="17.100000000000001" customHeight="1" x14ac:dyDescent="0.25">
      <c r="A102" s="137"/>
      <c r="B102" s="119"/>
      <c r="C102" s="928"/>
      <c r="D102" s="127" t="s">
        <v>76</v>
      </c>
      <c r="E102" s="128"/>
      <c r="F102" s="122"/>
      <c r="G102" s="122"/>
      <c r="H102" s="928"/>
      <c r="I102" s="229"/>
      <c r="J102" s="123"/>
      <c r="K102" s="123"/>
      <c r="L102" s="123"/>
      <c r="M102" s="123"/>
      <c r="N102" s="943">
        <f>N63</f>
        <v>0</v>
      </c>
      <c r="O102" s="943">
        <f>O63</f>
        <v>0</v>
      </c>
      <c r="P102" s="942">
        <f>SUM(N102:O102)</f>
        <v>0</v>
      </c>
      <c r="Q102" s="943">
        <f>Q63</f>
        <v>0</v>
      </c>
      <c r="R102" s="943">
        <f>R63</f>
        <v>0</v>
      </c>
      <c r="S102" s="942">
        <f>SUM(Q102:R102)</f>
        <v>0</v>
      </c>
      <c r="T102" s="943">
        <f>T63</f>
        <v>0</v>
      </c>
      <c r="U102" s="943">
        <f>U63</f>
        <v>0</v>
      </c>
      <c r="V102" s="942">
        <f>SUM(T102:U102)</f>
        <v>0</v>
      </c>
      <c r="W102" s="383"/>
      <c r="X102" s="123"/>
      <c r="Y102" s="129">
        <f t="shared" ref="Y102:Y105" si="81">M102+P102+S102+V102</f>
        <v>0</v>
      </c>
      <c r="Z102" s="125"/>
      <c r="AA102" s="125"/>
      <c r="AB102" s="125"/>
      <c r="AC102" s="125"/>
      <c r="AE102" s="123"/>
      <c r="AF102" s="123"/>
      <c r="AG102" s="123"/>
      <c r="AH102" s="124"/>
      <c r="AI102" s="125"/>
      <c r="AK102" s="123"/>
      <c r="AL102" s="123"/>
      <c r="AM102" s="123"/>
      <c r="AN102" s="124"/>
      <c r="AO102" s="125"/>
      <c r="AQ102" s="123"/>
      <c r="AR102" s="123"/>
      <c r="AS102" s="123"/>
      <c r="AT102" s="124"/>
      <c r="AU102" s="125"/>
      <c r="AW102" s="123"/>
      <c r="AX102" s="123"/>
      <c r="AY102" s="123"/>
      <c r="AZ102" s="124"/>
      <c r="BA102" s="125"/>
    </row>
    <row r="103" spans="1:53" s="97" customFormat="1" ht="17.100000000000001" customHeight="1" x14ac:dyDescent="0.25">
      <c r="A103" s="137"/>
      <c r="B103" s="119"/>
      <c r="C103" s="928"/>
      <c r="D103" s="127" t="s">
        <v>77</v>
      </c>
      <c r="E103" s="128"/>
      <c r="F103" s="122"/>
      <c r="G103" s="122"/>
      <c r="H103" s="928"/>
      <c r="I103" s="229"/>
      <c r="J103" s="123"/>
      <c r="K103" s="123"/>
      <c r="L103" s="123"/>
      <c r="M103" s="123"/>
      <c r="N103" s="943">
        <f>N64</f>
        <v>0</v>
      </c>
      <c r="O103" s="943">
        <f>O64</f>
        <v>0</v>
      </c>
      <c r="P103" s="942">
        <f t="shared" ref="P103:P107" si="82">SUM(N103:O103)</f>
        <v>0</v>
      </c>
      <c r="Q103" s="943">
        <f>Q64</f>
        <v>0</v>
      </c>
      <c r="R103" s="943">
        <f>R64</f>
        <v>0</v>
      </c>
      <c r="S103" s="942">
        <f t="shared" ref="S103:S107" si="83">SUM(Q103:R103)</f>
        <v>0</v>
      </c>
      <c r="T103" s="943">
        <f>T64</f>
        <v>0</v>
      </c>
      <c r="U103" s="943">
        <f>U64</f>
        <v>0</v>
      </c>
      <c r="V103" s="942">
        <f t="shared" ref="V103:V107" si="84">SUM(T103:U103)</f>
        <v>0</v>
      </c>
      <c r="W103" s="383"/>
      <c r="X103" s="123"/>
      <c r="Y103" s="129">
        <f t="shared" si="81"/>
        <v>0</v>
      </c>
      <c r="Z103" s="125"/>
      <c r="AA103" s="125"/>
      <c r="AB103" s="125"/>
      <c r="AC103" s="125"/>
      <c r="AE103" s="123"/>
      <c r="AF103" s="123"/>
      <c r="AG103" s="123"/>
      <c r="AH103" s="124"/>
      <c r="AI103" s="125"/>
      <c r="AK103" s="123"/>
      <c r="AL103" s="123"/>
      <c r="AM103" s="123"/>
      <c r="AN103" s="124"/>
      <c r="AO103" s="125"/>
      <c r="AQ103" s="123"/>
      <c r="AR103" s="123"/>
      <c r="AS103" s="123"/>
      <c r="AT103" s="124"/>
      <c r="AU103" s="125"/>
      <c r="AW103" s="123"/>
      <c r="AX103" s="123"/>
      <c r="AY103" s="123"/>
      <c r="AZ103" s="124"/>
      <c r="BA103" s="125"/>
    </row>
    <row r="104" spans="1:53" s="97" customFormat="1" ht="17.100000000000001" customHeight="1" x14ac:dyDescent="0.25">
      <c r="A104" s="137"/>
      <c r="B104" s="137"/>
      <c r="C104" s="928"/>
      <c r="D104" s="127" t="s">
        <v>78</v>
      </c>
      <c r="E104" s="128"/>
      <c r="F104" s="122"/>
      <c r="G104" s="122"/>
      <c r="H104" s="928"/>
      <c r="I104" s="229"/>
      <c r="J104" s="123"/>
      <c r="K104" s="123"/>
      <c r="L104" s="123"/>
      <c r="M104" s="123"/>
      <c r="N104" s="943">
        <f>N71</f>
        <v>0</v>
      </c>
      <c r="O104" s="943">
        <f>O71</f>
        <v>0</v>
      </c>
      <c r="P104" s="942">
        <f t="shared" si="82"/>
        <v>0</v>
      </c>
      <c r="Q104" s="943">
        <f>Q71</f>
        <v>0</v>
      </c>
      <c r="R104" s="943">
        <f>R71</f>
        <v>0</v>
      </c>
      <c r="S104" s="942">
        <f t="shared" si="83"/>
        <v>0</v>
      </c>
      <c r="T104" s="943">
        <f>T71</f>
        <v>0</v>
      </c>
      <c r="U104" s="943">
        <f>U71</f>
        <v>0</v>
      </c>
      <c r="V104" s="942">
        <f t="shared" si="84"/>
        <v>0</v>
      </c>
      <c r="W104" s="383"/>
      <c r="X104" s="123"/>
      <c r="Y104" s="129">
        <f t="shared" si="81"/>
        <v>0</v>
      </c>
      <c r="Z104" s="125"/>
      <c r="AA104" s="125"/>
      <c r="AB104" s="125"/>
      <c r="AC104" s="125"/>
      <c r="AE104" s="123"/>
      <c r="AF104" s="123"/>
      <c r="AG104" s="123"/>
      <c r="AH104" s="124"/>
      <c r="AI104" s="125"/>
      <c r="AK104" s="123"/>
      <c r="AL104" s="123"/>
      <c r="AM104" s="123"/>
      <c r="AN104" s="124"/>
      <c r="AO104" s="125"/>
      <c r="AQ104" s="123"/>
      <c r="AR104" s="123"/>
      <c r="AS104" s="123"/>
      <c r="AT104" s="124"/>
      <c r="AU104" s="125"/>
      <c r="AW104" s="123"/>
      <c r="AX104" s="123"/>
      <c r="AY104" s="123"/>
      <c r="AZ104" s="124"/>
      <c r="BA104" s="125"/>
    </row>
    <row r="105" spans="1:53" s="97" customFormat="1" ht="17.100000000000001" customHeight="1" x14ac:dyDescent="0.25">
      <c r="A105" s="137"/>
      <c r="B105" s="137"/>
      <c r="C105" s="928"/>
      <c r="D105" s="127" t="s">
        <v>79</v>
      </c>
      <c r="E105" s="122"/>
      <c r="F105" s="122"/>
      <c r="G105" s="122"/>
      <c r="H105" s="928"/>
      <c r="I105" s="229"/>
      <c r="J105" s="123"/>
      <c r="K105" s="123"/>
      <c r="L105" s="123"/>
      <c r="M105" s="123"/>
      <c r="N105" s="943">
        <f>N72</f>
        <v>0</v>
      </c>
      <c r="O105" s="943">
        <f>O72</f>
        <v>0</v>
      </c>
      <c r="P105" s="942">
        <f t="shared" si="82"/>
        <v>0</v>
      </c>
      <c r="Q105" s="943">
        <f>Q72</f>
        <v>0</v>
      </c>
      <c r="R105" s="943">
        <f>R72</f>
        <v>0</v>
      </c>
      <c r="S105" s="942">
        <f t="shared" si="83"/>
        <v>0</v>
      </c>
      <c r="T105" s="943">
        <f>T72</f>
        <v>0</v>
      </c>
      <c r="U105" s="943">
        <f>U72</f>
        <v>0</v>
      </c>
      <c r="V105" s="942">
        <f t="shared" si="84"/>
        <v>0</v>
      </c>
      <c r="W105" s="383"/>
      <c r="X105" s="123"/>
      <c r="Y105" s="129">
        <f t="shared" si="81"/>
        <v>0</v>
      </c>
      <c r="Z105" s="125"/>
      <c r="AA105" s="125"/>
      <c r="AB105" s="125"/>
      <c r="AC105" s="125"/>
      <c r="AE105" s="123"/>
      <c r="AF105" s="123"/>
      <c r="AG105" s="123"/>
      <c r="AH105" s="124"/>
      <c r="AI105" s="125"/>
      <c r="AK105" s="123"/>
      <c r="AL105" s="123"/>
      <c r="AM105" s="123"/>
      <c r="AN105" s="124"/>
      <c r="AO105" s="125"/>
      <c r="AQ105" s="123"/>
      <c r="AR105" s="123"/>
      <c r="AS105" s="123"/>
      <c r="AT105" s="124"/>
      <c r="AU105" s="125"/>
      <c r="AW105" s="123"/>
      <c r="AX105" s="123"/>
      <c r="AY105" s="123"/>
      <c r="AZ105" s="124"/>
      <c r="BA105" s="125"/>
    </row>
    <row r="106" spans="1:53" s="97" customFormat="1" ht="17.100000000000001" customHeight="1" x14ac:dyDescent="0.25">
      <c r="A106" s="137"/>
      <c r="B106" s="137"/>
      <c r="C106" s="928"/>
      <c r="D106" s="127" t="s">
        <v>81</v>
      </c>
      <c r="E106" s="122"/>
      <c r="F106" s="122"/>
      <c r="G106" s="122"/>
      <c r="H106" s="928"/>
      <c r="I106" s="229"/>
      <c r="J106" s="123"/>
      <c r="K106" s="123"/>
      <c r="L106" s="123"/>
      <c r="M106" s="123"/>
      <c r="N106" s="943">
        <f>SUM(N101:N105)</f>
        <v>0</v>
      </c>
      <c r="O106" s="943">
        <f>SUM(O101:O105)</f>
        <v>0</v>
      </c>
      <c r="P106" s="942">
        <f t="shared" si="82"/>
        <v>0</v>
      </c>
      <c r="Q106" s="943">
        <f>SUM(Q101:Q105)</f>
        <v>1</v>
      </c>
      <c r="R106" s="943">
        <f>SUM(R101:R105)</f>
        <v>0</v>
      </c>
      <c r="S106" s="942">
        <f t="shared" si="83"/>
        <v>1</v>
      </c>
      <c r="T106" s="943">
        <f>SUM(T101:T105)</f>
        <v>0</v>
      </c>
      <c r="U106" s="943">
        <f>SUM(U101:U105)</f>
        <v>0</v>
      </c>
      <c r="V106" s="942">
        <f t="shared" si="84"/>
        <v>0</v>
      </c>
      <c r="W106" s="383"/>
      <c r="X106" s="123"/>
      <c r="Y106" s="129"/>
      <c r="Z106" s="125"/>
      <c r="AA106" s="125"/>
      <c r="AB106" s="125"/>
      <c r="AC106" s="125"/>
      <c r="AE106" s="123"/>
      <c r="AF106" s="123"/>
      <c r="AG106" s="123"/>
      <c r="AH106" s="124"/>
      <c r="AI106" s="125"/>
      <c r="AK106" s="123"/>
      <c r="AL106" s="123"/>
      <c r="AM106" s="123"/>
      <c r="AN106" s="124"/>
      <c r="AO106" s="125"/>
      <c r="AQ106" s="123"/>
      <c r="AR106" s="123"/>
      <c r="AS106" s="123"/>
      <c r="AT106" s="124"/>
      <c r="AU106" s="125"/>
      <c r="AW106" s="123"/>
      <c r="AX106" s="123"/>
      <c r="AY106" s="123"/>
      <c r="AZ106" s="124"/>
      <c r="BA106" s="125"/>
    </row>
    <row r="107" spans="1:53" s="97" customFormat="1" ht="17.100000000000001" customHeight="1" x14ac:dyDescent="0.25">
      <c r="A107" s="137"/>
      <c r="B107" s="137"/>
      <c r="C107" s="928"/>
      <c r="D107" s="127" t="s">
        <v>1439</v>
      </c>
      <c r="E107" s="122"/>
      <c r="F107" s="122"/>
      <c r="G107" s="122"/>
      <c r="H107" s="928"/>
      <c r="I107" s="229"/>
      <c r="J107" s="123"/>
      <c r="K107" s="123"/>
      <c r="L107" s="123"/>
      <c r="M107" s="123"/>
      <c r="N107" s="943">
        <f>N20*3</f>
        <v>9</v>
      </c>
      <c r="O107" s="943">
        <f>O20*3</f>
        <v>18</v>
      </c>
      <c r="P107" s="942">
        <f t="shared" si="82"/>
        <v>27</v>
      </c>
      <c r="Q107" s="943">
        <f>Q20*3</f>
        <v>21</v>
      </c>
      <c r="R107" s="943">
        <f>R20*3</f>
        <v>6</v>
      </c>
      <c r="S107" s="942">
        <f t="shared" si="83"/>
        <v>27</v>
      </c>
      <c r="T107" s="943">
        <f>T20*3</f>
        <v>15</v>
      </c>
      <c r="U107" s="943">
        <f>U20*3</f>
        <v>15</v>
      </c>
      <c r="V107" s="942">
        <f t="shared" si="84"/>
        <v>30</v>
      </c>
      <c r="W107" s="383"/>
      <c r="X107" s="123"/>
      <c r="Y107" s="129"/>
      <c r="Z107" s="125"/>
      <c r="AA107" s="125"/>
      <c r="AB107" s="125"/>
      <c r="AC107" s="125"/>
      <c r="AE107" s="123"/>
      <c r="AF107" s="123"/>
      <c r="AG107" s="123"/>
      <c r="AH107" s="124"/>
      <c r="AI107" s="125"/>
      <c r="AK107" s="123"/>
      <c r="AL107" s="123"/>
      <c r="AM107" s="123"/>
      <c r="AN107" s="124"/>
      <c r="AO107" s="125"/>
      <c r="AQ107" s="123"/>
      <c r="AR107" s="123"/>
      <c r="AS107" s="123"/>
      <c r="AT107" s="124"/>
      <c r="AU107" s="125"/>
      <c r="AW107" s="123"/>
      <c r="AX107" s="123"/>
      <c r="AY107" s="123"/>
      <c r="AZ107" s="124"/>
      <c r="BA107" s="125"/>
    </row>
    <row r="108" spans="1:53" s="97" customFormat="1" ht="17.100000000000001" customHeight="1" x14ac:dyDescent="0.25">
      <c r="A108" s="137"/>
      <c r="B108" s="119"/>
      <c r="C108" s="928"/>
      <c r="D108" s="127" t="s">
        <v>1440</v>
      </c>
      <c r="E108" s="122"/>
      <c r="F108" s="122"/>
      <c r="G108" s="122"/>
      <c r="H108" s="928"/>
      <c r="I108" s="229"/>
      <c r="J108" s="123"/>
      <c r="K108" s="123"/>
      <c r="L108" s="123"/>
      <c r="M108" s="123"/>
      <c r="N108" s="130">
        <f>IF(N107=0,0,N106/N107)</f>
        <v>0</v>
      </c>
      <c r="O108" s="130">
        <f t="shared" ref="O108:V108" si="85">IF(O107=0,0,O106/O107)</f>
        <v>0</v>
      </c>
      <c r="P108" s="130">
        <f t="shared" si="85"/>
        <v>0</v>
      </c>
      <c r="Q108" s="130">
        <f t="shared" si="85"/>
        <v>4.7619047619047616E-2</v>
      </c>
      <c r="R108" s="130">
        <f t="shared" si="85"/>
        <v>0</v>
      </c>
      <c r="S108" s="130">
        <f t="shared" si="85"/>
        <v>3.7037037037037035E-2</v>
      </c>
      <c r="T108" s="130">
        <f t="shared" si="85"/>
        <v>0</v>
      </c>
      <c r="U108" s="130">
        <f t="shared" si="85"/>
        <v>0</v>
      </c>
      <c r="V108" s="130">
        <f t="shared" si="85"/>
        <v>0</v>
      </c>
      <c r="W108" s="383"/>
      <c r="X108" s="123"/>
      <c r="Y108" s="129"/>
      <c r="Z108" s="125"/>
      <c r="AA108" s="125"/>
      <c r="AB108" s="125"/>
      <c r="AC108" s="125"/>
      <c r="AE108" s="123"/>
      <c r="AF108" s="123"/>
      <c r="AG108" s="123"/>
      <c r="AH108" s="124"/>
      <c r="AI108" s="125"/>
      <c r="AK108" s="123"/>
      <c r="AL108" s="123"/>
      <c r="AM108" s="123"/>
      <c r="AN108" s="124"/>
      <c r="AO108" s="125"/>
      <c r="AQ108" s="123"/>
      <c r="AR108" s="123"/>
      <c r="AS108" s="123"/>
      <c r="AT108" s="124"/>
      <c r="AU108" s="125"/>
      <c r="AW108" s="123"/>
      <c r="AX108" s="123"/>
      <c r="AY108" s="123"/>
      <c r="AZ108" s="124"/>
      <c r="BA108" s="125"/>
    </row>
    <row r="109" spans="1:53" s="97" customFormat="1" ht="17.100000000000001" customHeight="1" x14ac:dyDescent="0.25">
      <c r="A109" s="137"/>
      <c r="B109" s="119"/>
      <c r="C109" s="103" t="s">
        <v>80</v>
      </c>
      <c r="D109" s="85" t="s">
        <v>896</v>
      </c>
      <c r="E109" s="75"/>
      <c r="F109" s="75"/>
      <c r="G109" s="75"/>
      <c r="H109" s="1310"/>
      <c r="I109" s="229"/>
      <c r="J109" s="1309"/>
      <c r="K109" s="1309"/>
      <c r="L109" s="1309"/>
      <c r="M109" s="1309"/>
      <c r="N109" s="1309"/>
      <c r="O109" s="1309"/>
      <c r="P109" s="1309">
        <f>IF(P108&gt;=0.5,1,0)</f>
        <v>0</v>
      </c>
      <c r="Q109" s="1309"/>
      <c r="R109" s="1309"/>
      <c r="S109" s="1309">
        <f>IF(S108&gt;=0.5,1,0)</f>
        <v>0</v>
      </c>
      <c r="T109" s="1309"/>
      <c r="U109" s="1309"/>
      <c r="V109" s="1309">
        <f>IF(V108&gt;=0.5,1,0)</f>
        <v>0</v>
      </c>
      <c r="W109" s="382"/>
      <c r="X109" s="1309"/>
      <c r="Y109" s="1309">
        <f t="shared" ref="Y109" si="86">M109+P109+S109+V109</f>
        <v>0</v>
      </c>
      <c r="Z109" s="91"/>
      <c r="AA109" s="91"/>
      <c r="AB109" s="91"/>
      <c r="AC109" s="84"/>
      <c r="AE109" s="1309"/>
      <c r="AF109" s="1309"/>
      <c r="AG109" s="1309"/>
      <c r="AH109" s="1309"/>
      <c r="AI109" s="91"/>
      <c r="AK109" s="1309"/>
      <c r="AL109" s="1309"/>
      <c r="AM109" s="1309"/>
      <c r="AN109" s="1309"/>
      <c r="AO109" s="91"/>
      <c r="AQ109" s="1309"/>
      <c r="AR109" s="1309"/>
      <c r="AS109" s="1309"/>
      <c r="AT109" s="1309"/>
      <c r="AU109" s="91"/>
      <c r="AW109" s="1309"/>
      <c r="AX109" s="1309"/>
      <c r="AY109" s="1309"/>
      <c r="AZ109" s="1309"/>
      <c r="BA109" s="91"/>
    </row>
    <row r="110" spans="1:53" s="97" customFormat="1" ht="17.100000000000001" customHeight="1" x14ac:dyDescent="0.25">
      <c r="A110" s="119"/>
      <c r="B110" s="119"/>
      <c r="C110" s="928"/>
      <c r="D110" s="121" t="s">
        <v>82</v>
      </c>
      <c r="E110" s="122"/>
      <c r="F110" s="122"/>
      <c r="G110" s="122"/>
      <c r="H110" s="928"/>
      <c r="I110" s="229"/>
      <c r="J110" s="123"/>
      <c r="K110" s="123"/>
      <c r="L110" s="123"/>
      <c r="M110" s="123"/>
      <c r="N110" s="123"/>
      <c r="O110" s="123"/>
      <c r="P110" s="123"/>
      <c r="Q110" s="123"/>
      <c r="R110" s="123"/>
      <c r="S110" s="123"/>
      <c r="T110" s="123"/>
      <c r="U110" s="123"/>
      <c r="V110" s="363"/>
      <c r="W110" s="383"/>
      <c r="X110" s="123"/>
      <c r="Y110" s="124"/>
      <c r="Z110" s="125"/>
      <c r="AA110" s="125"/>
      <c r="AB110" s="125"/>
      <c r="AC110" s="125"/>
      <c r="AE110" s="126"/>
      <c r="AF110" s="126"/>
      <c r="AG110" s="126"/>
      <c r="AH110" s="124"/>
      <c r="AI110" s="125"/>
      <c r="AK110" s="126"/>
      <c r="AL110" s="126"/>
      <c r="AM110" s="126"/>
      <c r="AN110" s="124"/>
      <c r="AO110" s="125"/>
      <c r="AQ110" s="126"/>
      <c r="AR110" s="126"/>
      <c r="AS110" s="126"/>
      <c r="AT110" s="124"/>
      <c r="AU110" s="125"/>
      <c r="AW110" s="126"/>
      <c r="AX110" s="126"/>
      <c r="AY110" s="126"/>
      <c r="AZ110" s="124"/>
      <c r="BA110" s="125"/>
    </row>
    <row r="111" spans="1:53" s="97" customFormat="1" ht="17.100000000000001" customHeight="1" x14ac:dyDescent="0.25">
      <c r="A111" s="119"/>
      <c r="B111" s="119"/>
      <c r="C111" s="928"/>
      <c r="D111" s="127" t="s">
        <v>910</v>
      </c>
      <c r="E111" s="122"/>
      <c r="F111" s="122"/>
      <c r="G111" s="122"/>
      <c r="H111" s="928"/>
      <c r="I111" s="229"/>
      <c r="J111" s="123"/>
      <c r="K111" s="123"/>
      <c r="L111" s="123"/>
      <c r="M111" s="123"/>
      <c r="N111" s="123"/>
      <c r="O111" s="123"/>
      <c r="P111" s="129">
        <f>P80</f>
        <v>0</v>
      </c>
      <c r="Q111" s="123"/>
      <c r="R111" s="123"/>
      <c r="S111" s="129">
        <f>S80</f>
        <v>0</v>
      </c>
      <c r="T111" s="123"/>
      <c r="U111" s="123"/>
      <c r="V111" s="129">
        <f>V80</f>
        <v>0</v>
      </c>
      <c r="W111" s="383"/>
      <c r="X111" s="123"/>
      <c r="Y111" s="124"/>
      <c r="Z111" s="125"/>
      <c r="AA111" s="125"/>
      <c r="AB111" s="125"/>
      <c r="AC111" s="125"/>
      <c r="AE111" s="126"/>
      <c r="AF111" s="126"/>
      <c r="AG111" s="126"/>
      <c r="AH111" s="124"/>
      <c r="AI111" s="125"/>
      <c r="AK111" s="126"/>
      <c r="AL111" s="126"/>
      <c r="AM111" s="126"/>
      <c r="AN111" s="124"/>
      <c r="AO111" s="125"/>
      <c r="AQ111" s="126"/>
      <c r="AR111" s="126"/>
      <c r="AS111" s="126"/>
      <c r="AT111" s="124"/>
      <c r="AU111" s="125"/>
      <c r="AW111" s="126"/>
      <c r="AX111" s="126"/>
      <c r="AY111" s="126"/>
      <c r="AZ111" s="124"/>
      <c r="BA111" s="125"/>
    </row>
    <row r="112" spans="1:53" s="97" customFormat="1" ht="17.100000000000001" customHeight="1" x14ac:dyDescent="0.25">
      <c r="A112" s="119"/>
      <c r="B112" s="119"/>
      <c r="C112" s="928"/>
      <c r="D112" s="127" t="s">
        <v>83</v>
      </c>
      <c r="E112" s="122"/>
      <c r="F112" s="122"/>
      <c r="G112" s="122"/>
      <c r="H112" s="928"/>
      <c r="I112" s="229"/>
      <c r="J112" s="123"/>
      <c r="K112" s="123"/>
      <c r="L112" s="123"/>
      <c r="M112" s="123"/>
      <c r="N112" s="123"/>
      <c r="O112" s="123"/>
      <c r="P112" s="129">
        <f>P85</f>
        <v>0</v>
      </c>
      <c r="Q112" s="123"/>
      <c r="R112" s="123"/>
      <c r="S112" s="129">
        <f>S85</f>
        <v>0</v>
      </c>
      <c r="T112" s="123"/>
      <c r="U112" s="123"/>
      <c r="V112" s="129">
        <f>V85</f>
        <v>0</v>
      </c>
      <c r="W112" s="383"/>
      <c r="X112" s="123"/>
      <c r="Y112" s="129"/>
      <c r="Z112" s="125"/>
      <c r="AA112" s="125"/>
      <c r="AB112" s="125"/>
      <c r="AC112" s="125"/>
      <c r="AE112" s="123"/>
      <c r="AF112" s="123"/>
      <c r="AG112" s="123"/>
      <c r="AH112" s="124"/>
      <c r="AI112" s="125"/>
      <c r="AK112" s="123"/>
      <c r="AL112" s="123"/>
      <c r="AM112" s="123"/>
      <c r="AN112" s="124"/>
      <c r="AO112" s="125"/>
      <c r="AQ112" s="123"/>
      <c r="AR112" s="123"/>
      <c r="AS112" s="123"/>
      <c r="AT112" s="124"/>
      <c r="AU112" s="125"/>
      <c r="AW112" s="123"/>
      <c r="AX112" s="123"/>
      <c r="AY112" s="123"/>
      <c r="AZ112" s="124"/>
      <c r="BA112" s="125"/>
    </row>
    <row r="113" spans="1:53" s="97" customFormat="1" ht="17.100000000000001" customHeight="1" x14ac:dyDescent="0.25">
      <c r="A113" s="119"/>
      <c r="B113" s="119"/>
      <c r="C113" s="928"/>
      <c r="D113" s="127" t="s">
        <v>84</v>
      </c>
      <c r="E113" s="122"/>
      <c r="F113" s="122"/>
      <c r="G113" s="122"/>
      <c r="H113" s="928"/>
      <c r="I113" s="229"/>
      <c r="J113" s="123"/>
      <c r="K113" s="123"/>
      <c r="L113" s="123"/>
      <c r="M113" s="123"/>
      <c r="N113" s="123"/>
      <c r="O113" s="123"/>
      <c r="P113" s="129">
        <f>P86</f>
        <v>0</v>
      </c>
      <c r="Q113" s="123"/>
      <c r="R113" s="123"/>
      <c r="S113" s="129">
        <f>S86</f>
        <v>0</v>
      </c>
      <c r="T113" s="123"/>
      <c r="U113" s="123"/>
      <c r="V113" s="129">
        <f>V86</f>
        <v>0</v>
      </c>
      <c r="W113" s="383"/>
      <c r="X113" s="123"/>
      <c r="Y113" s="129"/>
      <c r="Z113" s="125"/>
      <c r="AA113" s="125"/>
      <c r="AB113" s="125"/>
      <c r="AC113" s="125"/>
      <c r="AE113" s="123"/>
      <c r="AF113" s="123"/>
      <c r="AG113" s="123"/>
      <c r="AH113" s="124"/>
      <c r="AI113" s="125"/>
      <c r="AK113" s="123"/>
      <c r="AL113" s="123"/>
      <c r="AM113" s="123"/>
      <c r="AN113" s="124"/>
      <c r="AO113" s="125"/>
      <c r="AQ113" s="123"/>
      <c r="AR113" s="123"/>
      <c r="AS113" s="123"/>
      <c r="AT113" s="124"/>
      <c r="AU113" s="125"/>
      <c r="AW113" s="123"/>
      <c r="AX113" s="123"/>
      <c r="AY113" s="123"/>
      <c r="AZ113" s="124"/>
      <c r="BA113" s="125"/>
    </row>
    <row r="114" spans="1:53" s="97" customFormat="1" ht="17.100000000000001" customHeight="1" x14ac:dyDescent="0.25">
      <c r="A114" s="119"/>
      <c r="B114" s="119"/>
      <c r="C114" s="928"/>
      <c r="D114" s="127" t="s">
        <v>85</v>
      </c>
      <c r="E114" s="122"/>
      <c r="F114" s="122"/>
      <c r="G114" s="122"/>
      <c r="H114" s="928"/>
      <c r="I114" s="229"/>
      <c r="J114" s="123"/>
      <c r="K114" s="123"/>
      <c r="L114" s="123"/>
      <c r="M114" s="123"/>
      <c r="N114" s="123"/>
      <c r="O114" s="123"/>
      <c r="P114" s="129">
        <f>P87</f>
        <v>0</v>
      </c>
      <c r="Q114" s="123"/>
      <c r="R114" s="123"/>
      <c r="S114" s="129">
        <f>S87</f>
        <v>0</v>
      </c>
      <c r="T114" s="123"/>
      <c r="U114" s="123"/>
      <c r="V114" s="129">
        <f>V87</f>
        <v>0</v>
      </c>
      <c r="W114" s="383"/>
      <c r="X114" s="123"/>
      <c r="Y114" s="129"/>
      <c r="Z114" s="125"/>
      <c r="AA114" s="125"/>
      <c r="AB114" s="125"/>
      <c r="AC114" s="125"/>
      <c r="AE114" s="123"/>
      <c r="AF114" s="123"/>
      <c r="AG114" s="123"/>
      <c r="AH114" s="124"/>
      <c r="AI114" s="125"/>
      <c r="AK114" s="123"/>
      <c r="AL114" s="123"/>
      <c r="AM114" s="123"/>
      <c r="AN114" s="124"/>
      <c r="AO114" s="125"/>
      <c r="AQ114" s="123"/>
      <c r="AR114" s="123"/>
      <c r="AS114" s="123"/>
      <c r="AT114" s="124"/>
      <c r="AU114" s="125"/>
      <c r="AW114" s="123"/>
      <c r="AX114" s="123"/>
      <c r="AY114" s="123"/>
      <c r="AZ114" s="124"/>
      <c r="BA114" s="125"/>
    </row>
    <row r="115" spans="1:53" s="97" customFormat="1" ht="17.100000000000001" customHeight="1" x14ac:dyDescent="0.25">
      <c r="A115" s="119"/>
      <c r="B115" s="119"/>
      <c r="C115" s="103" t="s">
        <v>86</v>
      </c>
      <c r="D115" s="85" t="s">
        <v>907</v>
      </c>
      <c r="E115" s="75"/>
      <c r="F115" s="75"/>
      <c r="G115" s="75"/>
      <c r="H115" s="928"/>
      <c r="I115" s="229"/>
      <c r="J115" s="932"/>
      <c r="K115" s="932"/>
      <c r="L115" s="932"/>
      <c r="M115" s="932"/>
      <c r="N115" s="932"/>
      <c r="O115" s="932"/>
      <c r="P115" s="932"/>
      <c r="Q115" s="932"/>
      <c r="R115" s="932"/>
      <c r="S115" s="932"/>
      <c r="T115" s="932"/>
      <c r="U115" s="932"/>
      <c r="V115" s="932"/>
      <c r="W115" s="385"/>
      <c r="X115" s="932"/>
      <c r="Y115" s="932"/>
      <c r="Z115" s="131"/>
      <c r="AA115" s="131"/>
      <c r="AB115" s="131"/>
      <c r="AC115" s="113"/>
      <c r="AE115" s="927"/>
      <c r="AF115" s="927"/>
      <c r="AG115" s="927"/>
      <c r="AH115" s="927"/>
      <c r="AI115" s="91"/>
      <c r="AK115" s="927"/>
      <c r="AL115" s="927"/>
      <c r="AM115" s="927"/>
      <c r="AN115" s="927"/>
      <c r="AO115" s="91"/>
      <c r="AQ115" s="927"/>
      <c r="AR115" s="927"/>
      <c r="AS115" s="927"/>
      <c r="AT115" s="927"/>
      <c r="AU115" s="91"/>
      <c r="AW115" s="927"/>
      <c r="AX115" s="927"/>
      <c r="AY115" s="927"/>
      <c r="AZ115" s="927"/>
      <c r="BA115" s="91"/>
    </row>
    <row r="116" spans="1:53" s="97" customFormat="1" ht="17.100000000000001" customHeight="1" x14ac:dyDescent="0.25">
      <c r="A116" s="119"/>
      <c r="B116" s="119"/>
      <c r="C116" s="119"/>
      <c r="D116" s="74" t="s">
        <v>905</v>
      </c>
      <c r="E116" s="75" t="s">
        <v>908</v>
      </c>
      <c r="F116" s="75"/>
      <c r="G116" s="75"/>
      <c r="H116" s="928"/>
      <c r="I116" s="229"/>
      <c r="J116" s="927"/>
      <c r="K116" s="927"/>
      <c r="L116" s="927"/>
      <c r="M116" s="927"/>
      <c r="N116" s="927"/>
      <c r="O116" s="927"/>
      <c r="P116" s="927">
        <f>IF(SUM(P111:P112)&gt;=1,1,0)</f>
        <v>0</v>
      </c>
      <c r="Q116" s="927"/>
      <c r="R116" s="927"/>
      <c r="S116" s="927">
        <f>IF(SUM(S111:S112)&gt;=1,1,0)</f>
        <v>0</v>
      </c>
      <c r="T116" s="927"/>
      <c r="U116" s="927"/>
      <c r="V116" s="927">
        <f>IF(SUM(V111:V112)&gt;=1,1,0)</f>
        <v>0</v>
      </c>
      <c r="W116" s="382"/>
      <c r="X116" s="927"/>
      <c r="Y116" s="927">
        <f t="shared" ref="Y116:Y121" si="87">M116+P116+S116+V116</f>
        <v>0</v>
      </c>
      <c r="Z116" s="91"/>
      <c r="AA116" s="91"/>
      <c r="AB116" s="91"/>
      <c r="AC116" s="84"/>
      <c r="AE116" s="927"/>
      <c r="AF116" s="927"/>
      <c r="AG116" s="927"/>
      <c r="AH116" s="927"/>
      <c r="AI116" s="91"/>
      <c r="AK116" s="927"/>
      <c r="AL116" s="927"/>
      <c r="AM116" s="927"/>
      <c r="AN116" s="927"/>
      <c r="AO116" s="91"/>
      <c r="AQ116" s="927"/>
      <c r="AR116" s="927"/>
      <c r="AS116" s="927"/>
      <c r="AT116" s="927"/>
      <c r="AU116" s="91"/>
      <c r="AW116" s="927"/>
      <c r="AX116" s="927"/>
      <c r="AY116" s="927"/>
      <c r="AZ116" s="927"/>
      <c r="BA116" s="91"/>
    </row>
    <row r="117" spans="1:53" s="97" customFormat="1" ht="17.100000000000001" customHeight="1" x14ac:dyDescent="0.25">
      <c r="A117" s="119"/>
      <c r="B117" s="119"/>
      <c r="C117" s="119"/>
      <c r="D117" s="74" t="s">
        <v>906</v>
      </c>
      <c r="E117" s="75" t="s">
        <v>909</v>
      </c>
      <c r="F117" s="75"/>
      <c r="G117" s="75"/>
      <c r="H117" s="928"/>
      <c r="I117" s="229"/>
      <c r="J117" s="927"/>
      <c r="K117" s="927"/>
      <c r="L117" s="927"/>
      <c r="M117" s="927"/>
      <c r="N117" s="927"/>
      <c r="O117" s="927"/>
      <c r="P117" s="927">
        <f>IF(SUM(P113:P114)&gt;=1,1,0)</f>
        <v>0</v>
      </c>
      <c r="Q117" s="927"/>
      <c r="R117" s="927"/>
      <c r="S117" s="927">
        <f>IF(SUM(S113:S114)&gt;=1,1,0)</f>
        <v>0</v>
      </c>
      <c r="T117" s="927"/>
      <c r="U117" s="927"/>
      <c r="V117" s="927">
        <f>IF(SUM(V113:V114)&gt;=1,1,0)</f>
        <v>0</v>
      </c>
      <c r="W117" s="382"/>
      <c r="X117" s="927"/>
      <c r="Y117" s="927">
        <f t="shared" si="87"/>
        <v>0</v>
      </c>
      <c r="Z117" s="91"/>
      <c r="AA117" s="91"/>
      <c r="AB117" s="91"/>
      <c r="AC117" s="84"/>
      <c r="AE117" s="927"/>
      <c r="AF117" s="927"/>
      <c r="AG117" s="927"/>
      <c r="AH117" s="927"/>
      <c r="AI117" s="91"/>
      <c r="AK117" s="927"/>
      <c r="AL117" s="927"/>
      <c r="AM117" s="927"/>
      <c r="AN117" s="927"/>
      <c r="AO117" s="91"/>
      <c r="AQ117" s="927"/>
      <c r="AR117" s="927"/>
      <c r="AS117" s="927"/>
      <c r="AT117" s="927"/>
      <c r="AU117" s="91"/>
      <c r="AW117" s="927"/>
      <c r="AX117" s="927"/>
      <c r="AY117" s="927"/>
      <c r="AZ117" s="927"/>
      <c r="BA117" s="91"/>
    </row>
    <row r="118" spans="1:53" s="97" customFormat="1" ht="17.100000000000001" customHeight="1" x14ac:dyDescent="0.25">
      <c r="A118" s="119"/>
      <c r="B118" s="119"/>
      <c r="C118" s="928"/>
      <c r="D118" s="121" t="s">
        <v>88</v>
      </c>
      <c r="E118" s="122"/>
      <c r="F118" s="122"/>
      <c r="G118" s="122"/>
      <c r="H118" s="928"/>
      <c r="I118" s="229"/>
      <c r="J118" s="123"/>
      <c r="K118" s="123"/>
      <c r="L118" s="123"/>
      <c r="M118" s="123"/>
      <c r="N118" s="123"/>
      <c r="O118" s="123"/>
      <c r="P118" s="123"/>
      <c r="Q118" s="123"/>
      <c r="R118" s="123"/>
      <c r="S118" s="123"/>
      <c r="T118" s="123"/>
      <c r="U118" s="123"/>
      <c r="V118" s="363"/>
      <c r="W118" s="383"/>
      <c r="X118" s="123"/>
      <c r="Y118" s="124"/>
      <c r="Z118" s="125"/>
      <c r="AA118" s="125"/>
      <c r="AB118" s="125"/>
      <c r="AC118" s="125"/>
      <c r="AE118" s="126"/>
      <c r="AF118" s="126"/>
      <c r="AG118" s="126"/>
      <c r="AH118" s="124"/>
      <c r="AI118" s="125"/>
      <c r="AK118" s="126"/>
      <c r="AL118" s="126"/>
      <c r="AM118" s="126"/>
      <c r="AN118" s="124"/>
      <c r="AO118" s="125"/>
      <c r="AQ118" s="126"/>
      <c r="AR118" s="126"/>
      <c r="AS118" s="126"/>
      <c r="AT118" s="124"/>
      <c r="AU118" s="125"/>
      <c r="AW118" s="126"/>
      <c r="AX118" s="126"/>
      <c r="AY118" s="126"/>
      <c r="AZ118" s="124"/>
      <c r="BA118" s="125"/>
    </row>
    <row r="119" spans="1:53" s="97" customFormat="1" ht="17.100000000000001" customHeight="1" x14ac:dyDescent="0.25">
      <c r="A119" s="119"/>
      <c r="B119" s="119"/>
      <c r="C119" s="928"/>
      <c r="D119" s="127" t="s">
        <v>90</v>
      </c>
      <c r="E119" s="122"/>
      <c r="F119" s="122"/>
      <c r="G119" s="279"/>
      <c r="H119" s="928"/>
      <c r="I119" s="229"/>
      <c r="J119" s="123"/>
      <c r="K119" s="123"/>
      <c r="L119" s="123"/>
      <c r="M119" s="123"/>
      <c r="N119" s="123"/>
      <c r="O119" s="123"/>
      <c r="P119" s="123">
        <f>P92</f>
        <v>0</v>
      </c>
      <c r="Q119" s="123"/>
      <c r="R119" s="123"/>
      <c r="S119" s="123">
        <f>S92</f>
        <v>0</v>
      </c>
      <c r="T119" s="123"/>
      <c r="U119" s="123"/>
      <c r="V119" s="123">
        <f>V92</f>
        <v>0</v>
      </c>
      <c r="W119" s="383"/>
      <c r="X119" s="123"/>
      <c r="Y119" s="123">
        <f t="shared" si="87"/>
        <v>0</v>
      </c>
      <c r="Z119" s="125"/>
      <c r="AA119" s="125"/>
      <c r="AB119" s="125"/>
      <c r="AC119" s="125"/>
      <c r="AE119" s="123"/>
      <c r="AF119" s="123"/>
      <c r="AG119" s="123"/>
      <c r="AH119" s="124"/>
      <c r="AI119" s="125"/>
      <c r="AK119" s="123"/>
      <c r="AL119" s="123"/>
      <c r="AM119" s="123"/>
      <c r="AN119" s="124"/>
      <c r="AO119" s="125"/>
      <c r="AQ119" s="123"/>
      <c r="AR119" s="123"/>
      <c r="AS119" s="123"/>
      <c r="AT119" s="124"/>
      <c r="AU119" s="125"/>
      <c r="AW119" s="123"/>
      <c r="AX119" s="123"/>
      <c r="AY119" s="123"/>
      <c r="AZ119" s="124"/>
      <c r="BA119" s="125"/>
    </row>
    <row r="120" spans="1:53" s="97" customFormat="1" ht="17.100000000000001" customHeight="1" x14ac:dyDescent="0.25">
      <c r="A120" s="119"/>
      <c r="B120" s="119"/>
      <c r="C120" s="928"/>
      <c r="D120" s="127" t="s">
        <v>89</v>
      </c>
      <c r="E120" s="122"/>
      <c r="F120" s="128"/>
      <c r="G120" s="279"/>
      <c r="H120" s="928"/>
      <c r="I120" s="229"/>
      <c r="J120" s="123"/>
      <c r="K120" s="123"/>
      <c r="L120" s="123"/>
      <c r="M120" s="123"/>
      <c r="N120" s="123"/>
      <c r="O120" s="123"/>
      <c r="P120" s="123">
        <f>SUM(P93:P95)</f>
        <v>1</v>
      </c>
      <c r="Q120" s="123"/>
      <c r="R120" s="123"/>
      <c r="S120" s="123">
        <f>SUM(S93:S95)</f>
        <v>1</v>
      </c>
      <c r="T120" s="123"/>
      <c r="U120" s="123"/>
      <c r="V120" s="123">
        <f>SUM(V93:V95)</f>
        <v>1</v>
      </c>
      <c r="W120" s="383"/>
      <c r="X120" s="123"/>
      <c r="Y120" s="123">
        <f t="shared" si="87"/>
        <v>3</v>
      </c>
      <c r="Z120" s="125"/>
      <c r="AA120" s="125"/>
      <c r="AB120" s="125"/>
      <c r="AC120" s="125"/>
      <c r="AE120" s="123"/>
      <c r="AF120" s="123"/>
      <c r="AG120" s="123"/>
      <c r="AH120" s="124"/>
      <c r="AI120" s="125"/>
      <c r="AK120" s="123"/>
      <c r="AL120" s="123"/>
      <c r="AM120" s="123"/>
      <c r="AN120" s="124"/>
      <c r="AO120" s="125"/>
      <c r="AQ120" s="123"/>
      <c r="AR120" s="123"/>
      <c r="AS120" s="123"/>
      <c r="AT120" s="124"/>
      <c r="AU120" s="125"/>
      <c r="AW120" s="123"/>
      <c r="AX120" s="123"/>
      <c r="AY120" s="123"/>
      <c r="AZ120" s="124"/>
      <c r="BA120" s="125"/>
    </row>
    <row r="121" spans="1:53" s="97" customFormat="1" ht="17.100000000000001" customHeight="1" x14ac:dyDescent="0.25">
      <c r="A121" s="119"/>
      <c r="B121" s="119"/>
      <c r="C121" s="928"/>
      <c r="D121" s="127" t="s">
        <v>91</v>
      </c>
      <c r="E121" s="122"/>
      <c r="F121" s="122"/>
      <c r="G121" s="279"/>
      <c r="H121" s="928"/>
      <c r="I121" s="229"/>
      <c r="J121" s="129"/>
      <c r="K121" s="129"/>
      <c r="L121" s="129"/>
      <c r="M121" s="129"/>
      <c r="N121" s="129"/>
      <c r="O121" s="129"/>
      <c r="P121" s="129">
        <f t="shared" ref="P121" si="88">IF(P119=1,0,IF(P120=1,1,0))</f>
        <v>1</v>
      </c>
      <c r="Q121" s="129"/>
      <c r="R121" s="129"/>
      <c r="S121" s="129">
        <f t="shared" ref="S121" si="89">IF(S119=1,0,IF(S120=1,1,0))</f>
        <v>1</v>
      </c>
      <c r="T121" s="129"/>
      <c r="U121" s="129"/>
      <c r="V121" s="129">
        <f t="shared" ref="V121" si="90">IF(V119=1,0,IF(V120=1,1,0))</f>
        <v>1</v>
      </c>
      <c r="W121" s="384"/>
      <c r="X121" s="129"/>
      <c r="Y121" s="129">
        <f t="shared" si="87"/>
        <v>3</v>
      </c>
      <c r="Z121" s="130"/>
      <c r="AA121" s="130"/>
      <c r="AB121" s="130"/>
      <c r="AC121" s="125"/>
      <c r="AE121" s="129"/>
      <c r="AF121" s="129"/>
      <c r="AG121" s="129"/>
      <c r="AH121" s="129"/>
      <c r="AI121" s="130"/>
      <c r="AK121" s="129"/>
      <c r="AL121" s="129"/>
      <c r="AM121" s="129"/>
      <c r="AN121" s="129"/>
      <c r="AO121" s="130"/>
      <c r="AQ121" s="129"/>
      <c r="AR121" s="129"/>
      <c r="AS121" s="129"/>
      <c r="AT121" s="129"/>
      <c r="AU121" s="130"/>
      <c r="AW121" s="129"/>
      <c r="AX121" s="129"/>
      <c r="AY121" s="129"/>
      <c r="AZ121" s="129"/>
      <c r="BA121" s="130"/>
    </row>
    <row r="122" spans="1:53" s="97" customFormat="1" ht="17.100000000000001" customHeight="1" x14ac:dyDescent="0.25">
      <c r="A122" s="119"/>
      <c r="B122" s="119"/>
      <c r="C122" s="103" t="s">
        <v>92</v>
      </c>
      <c r="D122" s="85" t="s">
        <v>914</v>
      </c>
      <c r="E122" s="75"/>
      <c r="F122" s="75"/>
      <c r="G122" s="75"/>
      <c r="H122" s="928"/>
      <c r="I122" s="229"/>
      <c r="J122" s="927"/>
      <c r="K122" s="927"/>
      <c r="L122" s="927"/>
      <c r="M122" s="927"/>
      <c r="N122" s="927"/>
      <c r="O122" s="927"/>
      <c r="P122" s="927">
        <f>P121</f>
        <v>1</v>
      </c>
      <c r="Q122" s="927"/>
      <c r="R122" s="927"/>
      <c r="S122" s="927">
        <f>S121</f>
        <v>1</v>
      </c>
      <c r="T122" s="927"/>
      <c r="U122" s="927"/>
      <c r="V122" s="927">
        <f>V121</f>
        <v>1</v>
      </c>
      <c r="W122" s="382"/>
      <c r="X122" s="927"/>
      <c r="Y122" s="927">
        <f>SUM(J122:X122)</f>
        <v>3</v>
      </c>
      <c r="Z122" s="91"/>
      <c r="AA122" s="91"/>
      <c r="AB122" s="91"/>
      <c r="AC122" s="84"/>
      <c r="AE122" s="927"/>
      <c r="AF122" s="927"/>
      <c r="AG122" s="927"/>
      <c r="AH122" s="927"/>
      <c r="AI122" s="91"/>
      <c r="AK122" s="927"/>
      <c r="AL122" s="927"/>
      <c r="AM122" s="927"/>
      <c r="AN122" s="927"/>
      <c r="AO122" s="91"/>
      <c r="AQ122" s="927"/>
      <c r="AR122" s="927"/>
      <c r="AS122" s="927"/>
      <c r="AT122" s="927"/>
      <c r="AU122" s="91"/>
      <c r="AW122" s="927"/>
      <c r="AX122" s="927"/>
      <c r="AY122" s="927"/>
      <c r="AZ122" s="927"/>
      <c r="BA122" s="91"/>
    </row>
    <row r="123" spans="1:53" s="97" customFormat="1" ht="17.100000000000001" customHeight="1" x14ac:dyDescent="0.25">
      <c r="A123" s="119"/>
      <c r="B123" s="119"/>
      <c r="C123" s="103" t="s">
        <v>93</v>
      </c>
      <c r="D123" s="85" t="s">
        <v>94</v>
      </c>
      <c r="E123" s="75"/>
      <c r="F123" s="75"/>
      <c r="G123" s="75"/>
      <c r="H123" s="928"/>
      <c r="I123" s="229"/>
      <c r="J123" s="932"/>
      <c r="K123" s="932"/>
      <c r="L123" s="932"/>
      <c r="M123" s="932"/>
      <c r="N123" s="932"/>
      <c r="O123" s="932"/>
      <c r="P123" s="932"/>
      <c r="Q123" s="932"/>
      <c r="R123" s="932"/>
      <c r="S123" s="932"/>
      <c r="T123" s="932"/>
      <c r="U123" s="932"/>
      <c r="V123" s="364"/>
      <c r="W123" s="385"/>
      <c r="X123" s="932"/>
      <c r="Y123" s="932"/>
      <c r="Z123" s="131"/>
      <c r="AA123" s="131"/>
      <c r="AB123" s="131"/>
      <c r="AC123" s="113"/>
      <c r="AE123" s="114"/>
      <c r="AF123" s="114"/>
      <c r="AG123" s="114"/>
      <c r="AH123" s="112"/>
      <c r="AI123" s="113"/>
      <c r="AK123" s="114"/>
      <c r="AL123" s="114"/>
      <c r="AM123" s="114"/>
      <c r="AN123" s="112"/>
      <c r="AO123" s="113"/>
      <c r="AQ123" s="114"/>
      <c r="AR123" s="114"/>
      <c r="AS123" s="114"/>
      <c r="AT123" s="112"/>
      <c r="AU123" s="113"/>
      <c r="AW123" s="114"/>
      <c r="AX123" s="114"/>
      <c r="AY123" s="114"/>
      <c r="AZ123" s="112"/>
      <c r="BA123" s="113"/>
    </row>
    <row r="124" spans="1:53" s="97" customFormat="1" ht="17.100000000000001" customHeight="1" x14ac:dyDescent="0.25">
      <c r="A124" s="137"/>
      <c r="B124" s="119"/>
      <c r="C124" s="132"/>
      <c r="D124" s="133" t="s">
        <v>95</v>
      </c>
      <c r="E124" s="134"/>
      <c r="F124" s="134"/>
      <c r="G124" s="134"/>
      <c r="H124" s="928"/>
      <c r="I124" s="229"/>
      <c r="J124" s="82"/>
      <c r="K124" s="82"/>
      <c r="L124" s="82" t="str">
        <f>IF(SUM(L30:L32)=1,1-SUM(L125:L127),"")</f>
        <v/>
      </c>
      <c r="M124" s="82"/>
      <c r="N124" s="82"/>
      <c r="O124" s="82"/>
      <c r="P124" s="82">
        <f>IF(P20=0,0,IF(P109+P116+P117+P122=0,1,0))</f>
        <v>0</v>
      </c>
      <c r="Q124" s="82"/>
      <c r="R124" s="82"/>
      <c r="S124" s="82">
        <f>IF(S20=0,0,IF(S109+S116+S117+S122=0,1,0))</f>
        <v>0</v>
      </c>
      <c r="T124" s="82"/>
      <c r="U124" s="82"/>
      <c r="V124" s="82">
        <f>IF(V20=0,0,IF(V109+V116+V117+V122=0,1,0))</f>
        <v>0</v>
      </c>
      <c r="W124" s="381" t="str">
        <f>IF(SUM(W30:W32)=1,1-SUM(W125:W127),"")</f>
        <v/>
      </c>
      <c r="X124" s="82" t="str">
        <f>IF(SUM(X30:X32)=1,1-SUM(X125:X127),"")</f>
        <v/>
      </c>
      <c r="Y124" s="82">
        <f>P124+S124+V124</f>
        <v>0</v>
      </c>
      <c r="Z124" s="66">
        <f>IF(Y$128=0,0,Y124/Y$128)</f>
        <v>0</v>
      </c>
      <c r="AA124" s="66"/>
      <c r="AB124" s="66"/>
      <c r="AC124" s="83"/>
      <c r="AE124" s="82"/>
      <c r="AF124" s="82"/>
      <c r="AG124" s="82"/>
      <c r="AH124" s="82"/>
      <c r="AI124" s="66"/>
      <c r="AK124" s="82"/>
      <c r="AL124" s="82"/>
      <c r="AM124" s="82"/>
      <c r="AN124" s="82"/>
      <c r="AO124" s="66"/>
      <c r="AQ124" s="82"/>
      <c r="AR124" s="82"/>
      <c r="AS124" s="82"/>
      <c r="AT124" s="82"/>
      <c r="AU124" s="66"/>
      <c r="AW124" s="82"/>
      <c r="AX124" s="82"/>
      <c r="AY124" s="82"/>
      <c r="AZ124" s="82"/>
      <c r="BA124" s="66"/>
    </row>
    <row r="125" spans="1:53" s="97" customFormat="1" ht="17.100000000000001" customHeight="1" x14ac:dyDescent="0.25">
      <c r="A125" s="119"/>
      <c r="B125" s="119"/>
      <c r="C125" s="135"/>
      <c r="D125" s="133" t="s">
        <v>96</v>
      </c>
      <c r="E125" s="134"/>
      <c r="F125" s="134"/>
      <c r="G125" s="134"/>
      <c r="H125" s="928"/>
      <c r="I125" s="229"/>
      <c r="J125" s="82"/>
      <c r="K125" s="82"/>
      <c r="L125" s="82"/>
      <c r="M125" s="82"/>
      <c r="N125" s="82"/>
      <c r="O125" s="82"/>
      <c r="P125" s="82">
        <f>IF(P109+P116+P117+P122=1,1,0)</f>
        <v>1</v>
      </c>
      <c r="Q125" s="82"/>
      <c r="R125" s="82"/>
      <c r="S125" s="82">
        <f>IF(S109+S116+S117+S122=1,1,0)</f>
        <v>1</v>
      </c>
      <c r="T125" s="82"/>
      <c r="U125" s="82"/>
      <c r="V125" s="82">
        <f>IF(V109+V116+V117+V122=1,1,0)</f>
        <v>1</v>
      </c>
      <c r="W125" s="381"/>
      <c r="X125" s="82"/>
      <c r="Y125" s="82">
        <f t="shared" ref="Y125:Y127" si="91">P125+S125+V125</f>
        <v>3</v>
      </c>
      <c r="Z125" s="66">
        <f>IF(Y$128=0,0,Y125/Y$128)</f>
        <v>1</v>
      </c>
      <c r="AA125" s="66"/>
      <c r="AB125" s="66"/>
      <c r="AC125" s="83"/>
      <c r="AE125" s="82"/>
      <c r="AF125" s="82"/>
      <c r="AG125" s="82"/>
      <c r="AH125" s="82"/>
      <c r="AI125" s="66"/>
      <c r="AK125" s="82"/>
      <c r="AL125" s="82"/>
      <c r="AM125" s="82"/>
      <c r="AN125" s="82"/>
      <c r="AO125" s="66"/>
      <c r="AQ125" s="82"/>
      <c r="AR125" s="82"/>
      <c r="AS125" s="82"/>
      <c r="AT125" s="82"/>
      <c r="AU125" s="66"/>
      <c r="AW125" s="82"/>
      <c r="AX125" s="82"/>
      <c r="AY125" s="82"/>
      <c r="AZ125" s="82"/>
      <c r="BA125" s="66"/>
    </row>
    <row r="126" spans="1:53" s="97" customFormat="1" ht="17.100000000000001" customHeight="1" x14ac:dyDescent="0.25">
      <c r="A126" s="119"/>
      <c r="B126" s="119"/>
      <c r="C126" s="136"/>
      <c r="D126" s="133" t="s">
        <v>97</v>
      </c>
      <c r="E126" s="134"/>
      <c r="F126" s="134"/>
      <c r="G126" s="134"/>
      <c r="H126" s="928"/>
      <c r="I126" s="229"/>
      <c r="J126" s="82"/>
      <c r="K126" s="82"/>
      <c r="L126" s="82"/>
      <c r="M126" s="82"/>
      <c r="N126" s="82"/>
      <c r="O126" s="82"/>
      <c r="P126" s="82">
        <f>IF(P109+P116+P117+P122=2,1,0)</f>
        <v>0</v>
      </c>
      <c r="Q126" s="82"/>
      <c r="R126" s="82"/>
      <c r="S126" s="82">
        <f>IF(S109+S116+S117+S122=2,1,0)</f>
        <v>0</v>
      </c>
      <c r="T126" s="82"/>
      <c r="U126" s="82"/>
      <c r="V126" s="82">
        <f>IF(V109+V116+V117+V122=2,1,0)</f>
        <v>0</v>
      </c>
      <c r="W126" s="381"/>
      <c r="X126" s="82"/>
      <c r="Y126" s="82">
        <f t="shared" si="91"/>
        <v>0</v>
      </c>
      <c r="Z126" s="66">
        <f>IF(Y$128=0,0,Y126/Y$128)</f>
        <v>0</v>
      </c>
      <c r="AA126" s="66"/>
      <c r="AB126" s="66"/>
      <c r="AC126" s="83"/>
      <c r="AE126" s="82"/>
      <c r="AF126" s="82"/>
      <c r="AG126" s="82"/>
      <c r="AH126" s="82"/>
      <c r="AI126" s="66"/>
      <c r="AK126" s="82"/>
      <c r="AL126" s="82"/>
      <c r="AM126" s="82"/>
      <c r="AN126" s="82"/>
      <c r="AO126" s="66"/>
      <c r="AQ126" s="82"/>
      <c r="AR126" s="82"/>
      <c r="AS126" s="82"/>
      <c r="AT126" s="82"/>
      <c r="AU126" s="66"/>
      <c r="AW126" s="82"/>
      <c r="AX126" s="82"/>
      <c r="AY126" s="82"/>
      <c r="AZ126" s="82"/>
      <c r="BA126" s="66"/>
    </row>
    <row r="127" spans="1:53" s="97" customFormat="1" ht="17.100000000000001" customHeight="1" x14ac:dyDescent="0.25">
      <c r="A127" s="119"/>
      <c r="B127" s="119"/>
      <c r="C127" s="137"/>
      <c r="D127" s="133" t="s">
        <v>98</v>
      </c>
      <c r="E127" s="134"/>
      <c r="F127" s="134"/>
      <c r="G127" s="134"/>
      <c r="H127" s="928"/>
      <c r="I127" s="229"/>
      <c r="J127" s="82"/>
      <c r="K127" s="82"/>
      <c r="L127" s="82"/>
      <c r="M127" s="82"/>
      <c r="N127" s="82"/>
      <c r="O127" s="82"/>
      <c r="P127" s="82">
        <f>IF(P109+P116+P117+P122=3,1,0)</f>
        <v>0</v>
      </c>
      <c r="Q127" s="82"/>
      <c r="R127" s="82"/>
      <c r="S127" s="82">
        <f>IF(S109+S116+S117+S122=3,1,0)</f>
        <v>0</v>
      </c>
      <c r="T127" s="82"/>
      <c r="U127" s="82"/>
      <c r="V127" s="82">
        <f>IF(V109+V116+V117+V122=3,1,0)</f>
        <v>0</v>
      </c>
      <c r="W127" s="381"/>
      <c r="X127" s="82"/>
      <c r="Y127" s="82">
        <f t="shared" si="91"/>
        <v>0</v>
      </c>
      <c r="Z127" s="66">
        <f>IF(Y$128=0,0,Y127/Y$128)</f>
        <v>0</v>
      </c>
      <c r="AA127" s="66"/>
      <c r="AB127" s="66"/>
      <c r="AC127" s="83"/>
      <c r="AE127" s="82"/>
      <c r="AF127" s="82"/>
      <c r="AG127" s="82"/>
      <c r="AH127" s="82"/>
      <c r="AI127" s="66"/>
      <c r="AK127" s="82"/>
      <c r="AL127" s="82"/>
      <c r="AM127" s="82"/>
      <c r="AN127" s="82"/>
      <c r="AO127" s="66"/>
      <c r="AQ127" s="82"/>
      <c r="AR127" s="82"/>
      <c r="AS127" s="82"/>
      <c r="AT127" s="82"/>
      <c r="AU127" s="66"/>
      <c r="AW127" s="82"/>
      <c r="AX127" s="82"/>
      <c r="AY127" s="82"/>
      <c r="AZ127" s="82"/>
      <c r="BA127" s="66"/>
    </row>
    <row r="128" spans="1:53" s="97" customFormat="1" ht="17.100000000000001" customHeight="1" x14ac:dyDescent="0.25">
      <c r="A128" s="119"/>
      <c r="B128" s="119"/>
      <c r="C128" s="928"/>
      <c r="D128" s="133"/>
      <c r="E128" s="134"/>
      <c r="F128" s="134"/>
      <c r="G128" s="134"/>
      <c r="H128" s="928"/>
      <c r="I128" s="229"/>
      <c r="J128" s="82"/>
      <c r="K128" s="82"/>
      <c r="L128" s="82"/>
      <c r="M128" s="82"/>
      <c r="N128" s="82"/>
      <c r="O128" s="82"/>
      <c r="P128" s="82"/>
      <c r="Q128" s="82"/>
      <c r="R128" s="82"/>
      <c r="S128" s="82"/>
      <c r="T128" s="82"/>
      <c r="U128" s="82"/>
      <c r="V128" s="360"/>
      <c r="W128" s="381"/>
      <c r="X128" s="82"/>
      <c r="Y128" s="82">
        <f>SUM(Y124:Y127)</f>
        <v>3</v>
      </c>
      <c r="Z128" s="66">
        <f>IF(Y$128=0,0,Y128/Y$128)</f>
        <v>1</v>
      </c>
      <c r="AA128" s="66"/>
      <c r="AB128" s="66"/>
      <c r="AC128" s="83"/>
      <c r="AE128" s="82"/>
      <c r="AF128" s="82"/>
      <c r="AG128" s="82"/>
      <c r="AH128" s="82"/>
      <c r="AI128" s="66"/>
      <c r="AK128" s="82"/>
      <c r="AL128" s="82"/>
      <c r="AM128" s="82"/>
      <c r="AN128" s="82"/>
      <c r="AO128" s="66"/>
      <c r="AQ128" s="82"/>
      <c r="AR128" s="82"/>
      <c r="AS128" s="82"/>
      <c r="AT128" s="82"/>
      <c r="AU128" s="66"/>
      <c r="AW128" s="82"/>
      <c r="AX128" s="82"/>
      <c r="AY128" s="82"/>
      <c r="AZ128" s="82"/>
      <c r="BA128" s="66"/>
    </row>
    <row r="129" spans="1:53" s="97" customFormat="1" ht="17.100000000000001" customHeight="1" x14ac:dyDescent="0.25">
      <c r="A129" s="119"/>
      <c r="B129" s="119"/>
      <c r="C129" s="928"/>
      <c r="D129" s="127" t="s">
        <v>81</v>
      </c>
      <c r="E129" s="122"/>
      <c r="F129" s="122"/>
      <c r="G129" s="122"/>
      <c r="H129" s="928"/>
      <c r="I129" s="229"/>
      <c r="J129" s="123"/>
      <c r="K129" s="123"/>
      <c r="L129" s="123"/>
      <c r="M129" s="123"/>
      <c r="N129" s="123"/>
      <c r="O129" s="123"/>
      <c r="P129" s="123">
        <f t="shared" ref="P129" si="92">P109</f>
        <v>0</v>
      </c>
      <c r="Q129" s="123"/>
      <c r="R129" s="123"/>
      <c r="S129" s="123">
        <f t="shared" ref="S129" si="93">S109</f>
        <v>0</v>
      </c>
      <c r="T129" s="123"/>
      <c r="U129" s="123"/>
      <c r="V129" s="123">
        <f t="shared" ref="V129" si="94">V109</f>
        <v>0</v>
      </c>
      <c r="W129" s="383"/>
      <c r="X129" s="123"/>
      <c r="Y129" s="123">
        <f t="shared" ref="Y129" si="95">Y109</f>
        <v>0</v>
      </c>
      <c r="Z129" s="525"/>
      <c r="AA129" s="125"/>
      <c r="AB129" s="125"/>
      <c r="AC129" s="125"/>
      <c r="AE129" s="123"/>
      <c r="AF129" s="123"/>
      <c r="AG129" s="123"/>
      <c r="AH129" s="124"/>
      <c r="AI129" s="125"/>
      <c r="AK129" s="123"/>
      <c r="AL129" s="123"/>
      <c r="AM129" s="123"/>
      <c r="AN129" s="124"/>
      <c r="AO129" s="125"/>
      <c r="AQ129" s="123"/>
      <c r="AR129" s="123"/>
      <c r="AS129" s="123"/>
      <c r="AT129" s="124"/>
      <c r="AU129" s="125"/>
      <c r="AW129" s="123"/>
      <c r="AX129" s="123"/>
      <c r="AY129" s="123"/>
      <c r="AZ129" s="124"/>
      <c r="BA129" s="125"/>
    </row>
    <row r="130" spans="1:53" s="97" customFormat="1" ht="17.100000000000001" customHeight="1" x14ac:dyDescent="0.25">
      <c r="A130" s="119"/>
      <c r="B130" s="119"/>
      <c r="C130" s="1310"/>
      <c r="D130" s="127" t="s">
        <v>87</v>
      </c>
      <c r="E130" s="122"/>
      <c r="F130" s="122"/>
      <c r="G130" s="122"/>
      <c r="H130" s="1310"/>
      <c r="I130" s="229"/>
      <c r="J130" s="123"/>
      <c r="K130" s="123"/>
      <c r="L130" s="123"/>
      <c r="M130" s="123"/>
      <c r="N130" s="123"/>
      <c r="O130" s="123"/>
      <c r="P130" s="123">
        <f>P116+P117</f>
        <v>0</v>
      </c>
      <c r="Q130" s="123"/>
      <c r="R130" s="123"/>
      <c r="S130" s="123">
        <f>S116+S117</f>
        <v>0</v>
      </c>
      <c r="T130" s="123"/>
      <c r="U130" s="123"/>
      <c r="V130" s="123">
        <f>V116+V117</f>
        <v>0</v>
      </c>
      <c r="W130" s="383"/>
      <c r="X130" s="123"/>
      <c r="Y130" s="123">
        <f>Y116+Y117</f>
        <v>0</v>
      </c>
      <c r="Z130" s="525"/>
      <c r="AA130" s="125"/>
      <c r="AB130" s="125"/>
      <c r="AC130" s="125"/>
      <c r="AE130" s="123"/>
      <c r="AF130" s="123"/>
      <c r="AG130" s="123"/>
      <c r="AH130" s="124"/>
      <c r="AI130" s="125"/>
      <c r="AK130" s="123"/>
      <c r="AL130" s="123"/>
      <c r="AM130" s="123"/>
      <c r="AN130" s="124"/>
      <c r="AO130" s="125"/>
      <c r="AQ130" s="123"/>
      <c r="AR130" s="123"/>
      <c r="AS130" s="123"/>
      <c r="AT130" s="124"/>
      <c r="AU130" s="125"/>
      <c r="AW130" s="123"/>
      <c r="AX130" s="123"/>
      <c r="AY130" s="123"/>
      <c r="AZ130" s="124"/>
      <c r="BA130" s="125"/>
    </row>
    <row r="131" spans="1:53" s="97" customFormat="1" ht="17.100000000000001" customHeight="1" x14ac:dyDescent="0.25">
      <c r="A131" s="119"/>
      <c r="B131" s="119"/>
      <c r="C131" s="928"/>
      <c r="D131" s="127" t="s">
        <v>923</v>
      </c>
      <c r="E131" s="122"/>
      <c r="F131" s="122"/>
      <c r="G131" s="122"/>
      <c r="H131" s="928"/>
      <c r="I131" s="229"/>
      <c r="J131" s="123"/>
      <c r="K131" s="123"/>
      <c r="L131" s="123"/>
      <c r="M131" s="123"/>
      <c r="N131" s="123"/>
      <c r="O131" s="123"/>
      <c r="P131" s="123"/>
      <c r="Q131" s="123"/>
      <c r="R131" s="123"/>
      <c r="S131" s="123"/>
      <c r="T131" s="123"/>
      <c r="U131" s="123"/>
      <c r="V131" s="123"/>
      <c r="W131" s="383"/>
      <c r="X131" s="123"/>
      <c r="Y131" s="123"/>
      <c r="Z131" s="525"/>
      <c r="AA131" s="130"/>
      <c r="AB131" s="130"/>
      <c r="AC131" s="125"/>
      <c r="AE131" s="123"/>
      <c r="AF131" s="123"/>
      <c r="AG131" s="123"/>
      <c r="AH131" s="129"/>
      <c r="AI131" s="130"/>
      <c r="AK131" s="123"/>
      <c r="AL131" s="123"/>
      <c r="AM131" s="123"/>
      <c r="AN131" s="129"/>
      <c r="AO131" s="130"/>
      <c r="AQ131" s="123"/>
      <c r="AR131" s="123"/>
      <c r="AS131" s="123"/>
      <c r="AT131" s="129"/>
      <c r="AU131" s="130"/>
      <c r="AW131" s="123"/>
      <c r="AX131" s="123"/>
      <c r="AY131" s="123"/>
      <c r="AZ131" s="129"/>
      <c r="BA131" s="130"/>
    </row>
    <row r="132" spans="1:53" s="97" customFormat="1" ht="17.100000000000001" customHeight="1" x14ac:dyDescent="0.25">
      <c r="A132" s="119"/>
      <c r="B132" s="119"/>
      <c r="C132" s="928"/>
      <c r="D132" s="127" t="s">
        <v>922</v>
      </c>
      <c r="E132" s="122"/>
      <c r="F132" s="122"/>
      <c r="G132" s="122"/>
      <c r="H132" s="928"/>
      <c r="I132" s="229"/>
      <c r="J132" s="123"/>
      <c r="K132" s="123"/>
      <c r="L132" s="123"/>
      <c r="M132" s="123"/>
      <c r="N132" s="123"/>
      <c r="O132" s="123"/>
      <c r="P132" s="123">
        <f t="shared" ref="P132" si="96">SUM(P129:P131)</f>
        <v>0</v>
      </c>
      <c r="Q132" s="123"/>
      <c r="R132" s="123"/>
      <c r="S132" s="123">
        <f t="shared" ref="S132" si="97">SUM(S129:S131)</f>
        <v>0</v>
      </c>
      <c r="T132" s="123"/>
      <c r="U132" s="123"/>
      <c r="V132" s="123">
        <f t="shared" ref="V132" si="98">SUM(V129:V131)</f>
        <v>0</v>
      </c>
      <c r="W132" s="383"/>
      <c r="X132" s="123"/>
      <c r="Y132" s="123">
        <f t="shared" ref="Y132:Y133" si="99">SUM(Y129:Y131)</f>
        <v>0</v>
      </c>
      <c r="Z132" s="525"/>
      <c r="AA132" s="125"/>
      <c r="AB132" s="125"/>
      <c r="AC132" s="125"/>
      <c r="AE132" s="123"/>
      <c r="AF132" s="123"/>
      <c r="AG132" s="123"/>
      <c r="AH132" s="124"/>
      <c r="AI132" s="125"/>
      <c r="AK132" s="123"/>
      <c r="AL132" s="123"/>
      <c r="AM132" s="123"/>
      <c r="AN132" s="124"/>
      <c r="AO132" s="125"/>
      <c r="AQ132" s="123"/>
      <c r="AR132" s="123"/>
      <c r="AS132" s="123"/>
      <c r="AT132" s="124"/>
      <c r="AU132" s="125"/>
      <c r="AW132" s="123"/>
      <c r="AX132" s="123"/>
      <c r="AY132" s="123"/>
      <c r="AZ132" s="124"/>
      <c r="BA132" s="125"/>
    </row>
    <row r="133" spans="1:53" s="97" customFormat="1" ht="17.100000000000001" customHeight="1" x14ac:dyDescent="0.25">
      <c r="A133" s="119"/>
      <c r="B133" s="119"/>
      <c r="C133" s="103" t="s">
        <v>99</v>
      </c>
      <c r="D133" s="85" t="s">
        <v>921</v>
      </c>
      <c r="E133" s="75"/>
      <c r="F133" s="75"/>
      <c r="G133" s="75"/>
      <c r="H133" s="928"/>
      <c r="I133" s="229"/>
      <c r="J133" s="927"/>
      <c r="K133" s="927"/>
      <c r="L133" s="927"/>
      <c r="M133" s="927"/>
      <c r="N133" s="927"/>
      <c r="O133" s="927"/>
      <c r="P133" s="927">
        <f t="shared" ref="P133" si="100">IF(P132&gt;=1,1,0)</f>
        <v>0</v>
      </c>
      <c r="Q133" s="927"/>
      <c r="R133" s="927"/>
      <c r="S133" s="927">
        <f t="shared" ref="S133" si="101">IF(S132&gt;=1,1,0)</f>
        <v>0</v>
      </c>
      <c r="T133" s="927"/>
      <c r="U133" s="927"/>
      <c r="V133" s="927">
        <f t="shared" ref="V133" si="102">IF(V132&gt;=1,1,0)</f>
        <v>0</v>
      </c>
      <c r="W133" s="382"/>
      <c r="X133" s="927"/>
      <c r="Y133" s="927">
        <f t="shared" si="99"/>
        <v>0</v>
      </c>
      <c r="Z133" s="91"/>
      <c r="AA133" s="91"/>
      <c r="AB133" s="91"/>
      <c r="AC133" s="84"/>
      <c r="AE133" s="927"/>
      <c r="AF133" s="927"/>
      <c r="AG133" s="927"/>
      <c r="AH133" s="927"/>
      <c r="AI133" s="91"/>
      <c r="AK133" s="927"/>
      <c r="AL133" s="927"/>
      <c r="AM133" s="927"/>
      <c r="AN133" s="927"/>
      <c r="AO133" s="91"/>
      <c r="AQ133" s="927"/>
      <c r="AR133" s="927"/>
      <c r="AS133" s="927"/>
      <c r="AT133" s="927"/>
      <c r="AU133" s="91"/>
      <c r="AW133" s="927"/>
      <c r="AX133" s="927"/>
      <c r="AY133" s="927"/>
      <c r="AZ133" s="927"/>
      <c r="BA133" s="91"/>
    </row>
    <row r="134" spans="1:53" s="97" customFormat="1" ht="17.100000000000001" customHeight="1" x14ac:dyDescent="0.25">
      <c r="A134" s="138"/>
      <c r="B134" s="138"/>
      <c r="C134" s="139"/>
      <c r="D134" s="12"/>
      <c r="E134" s="12"/>
      <c r="F134" s="12"/>
      <c r="G134" s="12"/>
      <c r="H134" s="12"/>
      <c r="I134" s="12"/>
      <c r="J134" s="95"/>
      <c r="K134" s="95"/>
      <c r="L134" s="95"/>
      <c r="M134" s="95"/>
      <c r="N134" s="95"/>
      <c r="O134" s="95"/>
      <c r="P134" s="95"/>
      <c r="Q134" s="95"/>
      <c r="R134" s="95"/>
      <c r="S134" s="95"/>
      <c r="T134" s="95"/>
      <c r="U134" s="95"/>
      <c r="V134" s="95"/>
      <c r="W134" s="95"/>
      <c r="X134" s="95"/>
      <c r="Y134" s="95"/>
      <c r="AQ134" s="109"/>
      <c r="AR134" s="109"/>
      <c r="AS134" s="109"/>
      <c r="AT134" s="96"/>
    </row>
    <row r="135" spans="1:53" s="32" customFormat="1" ht="16.5" thickBot="1" x14ac:dyDescent="0.3">
      <c r="A135" s="24" t="s">
        <v>100</v>
      </c>
      <c r="B135" s="25" t="s">
        <v>562</v>
      </c>
      <c r="C135" s="26"/>
      <c r="D135" s="27"/>
      <c r="E135" s="27"/>
      <c r="F135" s="27"/>
      <c r="G135" s="28"/>
      <c r="H135" s="310"/>
      <c r="I135" s="228"/>
      <c r="J135" s="140"/>
      <c r="K135" s="140"/>
      <c r="L135" s="140"/>
      <c r="M135" s="140"/>
      <c r="N135" s="140"/>
      <c r="O135" s="140"/>
      <c r="P135" s="140"/>
      <c r="Q135" s="140"/>
      <c r="R135" s="140"/>
      <c r="S135" s="140"/>
      <c r="T135" s="140"/>
      <c r="U135" s="140"/>
      <c r="V135" s="140"/>
      <c r="W135" s="140"/>
      <c r="X135" s="140"/>
      <c r="Y135" s="140"/>
      <c r="Z135" s="31" t="s">
        <v>5</v>
      </c>
      <c r="AA135" s="31"/>
      <c r="AB135" s="31"/>
      <c r="AC135" s="24"/>
      <c r="AE135" s="33" t="s">
        <v>181</v>
      </c>
      <c r="AF135" s="33" t="s">
        <v>182</v>
      </c>
      <c r="AG135" s="33" t="s">
        <v>6</v>
      </c>
      <c r="AH135" s="33" t="s">
        <v>4</v>
      </c>
      <c r="AI135" s="34" t="s">
        <v>5</v>
      </c>
      <c r="AJ135" s="35"/>
      <c r="AK135" s="36" t="s">
        <v>181</v>
      </c>
      <c r="AL135" s="36" t="s">
        <v>182</v>
      </c>
      <c r="AM135" s="36" t="s">
        <v>6</v>
      </c>
      <c r="AN135" s="36" t="s">
        <v>4</v>
      </c>
      <c r="AO135" s="37" t="s">
        <v>5</v>
      </c>
      <c r="AQ135" s="36"/>
      <c r="AR135" s="36"/>
      <c r="AS135" s="36"/>
      <c r="AT135" s="36"/>
      <c r="AU135" s="37"/>
      <c r="AW135" s="38" t="s">
        <v>181</v>
      </c>
      <c r="AX135" s="38" t="s">
        <v>182</v>
      </c>
      <c r="AY135" s="38" t="s">
        <v>6</v>
      </c>
      <c r="AZ135" s="38" t="s">
        <v>4</v>
      </c>
      <c r="BA135" s="39" t="s">
        <v>5</v>
      </c>
    </row>
    <row r="136" spans="1:53" ht="17.100000000000001" customHeight="1" x14ac:dyDescent="0.25">
      <c r="A136" s="40"/>
      <c r="B136" s="41" t="s">
        <v>738</v>
      </c>
      <c r="C136" s="42" t="s">
        <v>563</v>
      </c>
      <c r="D136" s="43"/>
      <c r="E136" s="43"/>
      <c r="F136" s="43"/>
      <c r="G136" s="44"/>
      <c r="H136" s="263">
        <v>1</v>
      </c>
      <c r="I136" s="229"/>
      <c r="J136" s="71"/>
      <c r="K136" s="71"/>
      <c r="L136" s="71"/>
      <c r="M136" s="71"/>
      <c r="N136" s="71"/>
      <c r="O136" s="71"/>
      <c r="P136" s="71"/>
      <c r="Q136" s="71"/>
      <c r="R136" s="71"/>
      <c r="S136" s="71"/>
      <c r="T136" s="71"/>
      <c r="U136" s="71"/>
      <c r="V136" s="71"/>
      <c r="W136" s="71"/>
      <c r="X136" s="71"/>
      <c r="Y136" s="71"/>
      <c r="Z136" s="73"/>
      <c r="AA136" s="73"/>
      <c r="AB136" s="73"/>
      <c r="AC136" s="73"/>
      <c r="AE136" s="71"/>
      <c r="AF136" s="71"/>
      <c r="AG136" s="73"/>
      <c r="AH136" s="73"/>
      <c r="AI136" s="73"/>
      <c r="AK136" s="71"/>
      <c r="AL136" s="71"/>
      <c r="AM136" s="73"/>
      <c r="AN136" s="73"/>
      <c r="AO136" s="73"/>
      <c r="AQ136" s="71"/>
      <c r="AR136" s="71"/>
      <c r="AS136" s="71"/>
      <c r="AT136" s="72"/>
      <c r="AU136" s="73"/>
      <c r="AW136" s="71"/>
      <c r="AX136" s="71"/>
      <c r="AY136" s="73"/>
      <c r="AZ136" s="73"/>
      <c r="BA136" s="73"/>
    </row>
    <row r="137" spans="1:53" ht="17.100000000000001" customHeight="1" x14ac:dyDescent="0.25">
      <c r="A137" s="40"/>
      <c r="B137" s="40"/>
      <c r="C137" s="141" t="s">
        <v>739</v>
      </c>
      <c r="D137" s="648" t="s">
        <v>612</v>
      </c>
      <c r="E137" s="649"/>
      <c r="F137" s="649"/>
      <c r="G137" s="281"/>
      <c r="H137" s="647"/>
      <c r="I137" s="235"/>
      <c r="J137" s="581"/>
      <c r="K137" s="581"/>
      <c r="L137" s="582"/>
      <c r="M137" s="593">
        <f t="shared" ref="M137:M138" si="103">SUM(J137:L137)</f>
        <v>0</v>
      </c>
      <c r="N137" s="111"/>
      <c r="O137" s="111"/>
      <c r="P137" s="111"/>
      <c r="Q137" s="111"/>
      <c r="R137" s="111"/>
      <c r="S137" s="111"/>
      <c r="T137" s="111"/>
      <c r="U137" s="111"/>
      <c r="V137" s="111"/>
      <c r="W137" s="391">
        <f t="shared" ref="W137:W138" si="104">J137+K137+N137+Q137+T137</f>
        <v>0</v>
      </c>
      <c r="X137" s="17">
        <f t="shared" ref="X137:X138" si="105">L137+O137+R137+U137</f>
        <v>0</v>
      </c>
      <c r="Y137" s="18">
        <f t="shared" ref="Y137:Y138" si="106">SUM(W137:X137)</f>
        <v>0</v>
      </c>
      <c r="Z137" s="19">
        <f>IF(Y$139=0,0,Y137/Y$139)</f>
        <v>0</v>
      </c>
      <c r="AA137" s="19"/>
      <c r="AB137" s="19"/>
      <c r="AC137" s="20"/>
      <c r="AE137" s="17"/>
      <c r="AF137" s="17"/>
      <c r="AG137" s="17"/>
      <c r="AH137" s="18">
        <f>J137</f>
        <v>0</v>
      </c>
      <c r="AI137" s="19">
        <f>IF(AH$139=0,0,AH137/AH$139)</f>
        <v>0</v>
      </c>
      <c r="AK137" s="17"/>
      <c r="AL137" s="17"/>
      <c r="AM137" s="17"/>
      <c r="AN137" s="18">
        <f>K137</f>
        <v>0</v>
      </c>
      <c r="AO137" s="19">
        <f>IF(AN$139=0,0,AN137/AN$139)</f>
        <v>0</v>
      </c>
      <c r="AQ137" s="17"/>
      <c r="AR137" s="17"/>
      <c r="AS137" s="17"/>
      <c r="AT137" s="18">
        <f t="shared" ref="AT137:AT138" si="107">W137</f>
        <v>0</v>
      </c>
      <c r="AU137" s="19">
        <f>IF(AT$139=0,0,AT137/AT$139)</f>
        <v>0</v>
      </c>
      <c r="AW137" s="17"/>
      <c r="AX137" s="17"/>
      <c r="AY137" s="17"/>
      <c r="AZ137" s="424">
        <f>X137</f>
        <v>0</v>
      </c>
      <c r="BA137" s="19">
        <f>IF(AZ$139=0,0,AZ137/AZ$139)</f>
        <v>0</v>
      </c>
    </row>
    <row r="138" spans="1:53" ht="17.100000000000001" customHeight="1" x14ac:dyDescent="0.25">
      <c r="A138" s="40"/>
      <c r="B138" s="40"/>
      <c r="C138" s="141" t="s">
        <v>740</v>
      </c>
      <c r="D138" s="648" t="s">
        <v>564</v>
      </c>
      <c r="E138" s="649"/>
      <c r="F138" s="649"/>
      <c r="G138" s="281"/>
      <c r="H138" s="647"/>
      <c r="I138" s="235"/>
      <c r="J138" s="583"/>
      <c r="K138" s="583"/>
      <c r="L138" s="584"/>
      <c r="M138" s="593">
        <f t="shared" si="103"/>
        <v>0</v>
      </c>
      <c r="N138" s="111"/>
      <c r="O138" s="111"/>
      <c r="P138" s="111"/>
      <c r="Q138" s="111"/>
      <c r="R138" s="111"/>
      <c r="S138" s="111"/>
      <c r="T138" s="111"/>
      <c r="U138" s="111"/>
      <c r="V138" s="111"/>
      <c r="W138" s="391">
        <f t="shared" si="104"/>
        <v>0</v>
      </c>
      <c r="X138" s="17">
        <f t="shared" si="105"/>
        <v>0</v>
      </c>
      <c r="Y138" s="18">
        <f t="shared" si="106"/>
        <v>0</v>
      </c>
      <c r="Z138" s="19">
        <f t="shared" ref="Z138:Z139" si="108">IF(Y$139=0,0,Y138/Y$139)</f>
        <v>0</v>
      </c>
      <c r="AA138" s="19"/>
      <c r="AB138" s="19"/>
      <c r="AC138" s="20"/>
      <c r="AE138" s="17"/>
      <c r="AF138" s="17"/>
      <c r="AG138" s="17"/>
      <c r="AH138" s="18">
        <f>J138</f>
        <v>0</v>
      </c>
      <c r="AI138" s="19">
        <f t="shared" ref="AI138:AI139" si="109">IF(AH$139=0,0,AH138/AH$139)</f>
        <v>0</v>
      </c>
      <c r="AK138" s="17"/>
      <c r="AL138" s="17"/>
      <c r="AM138" s="17"/>
      <c r="AN138" s="18">
        <f>K138</f>
        <v>0</v>
      </c>
      <c r="AO138" s="19">
        <f t="shared" ref="AO138:AO139" si="110">IF(AN$139=0,0,AN138/AN$139)</f>
        <v>0</v>
      </c>
      <c r="AQ138" s="17"/>
      <c r="AR138" s="17"/>
      <c r="AS138" s="17"/>
      <c r="AT138" s="18">
        <f t="shared" si="107"/>
        <v>0</v>
      </c>
      <c r="AU138" s="19">
        <f t="shared" ref="AU138:AU139" si="111">IF(AT$139=0,0,AT138/AT$139)</f>
        <v>0</v>
      </c>
      <c r="AW138" s="17"/>
      <c r="AX138" s="17"/>
      <c r="AY138" s="17"/>
      <c r="AZ138" s="424">
        <f>X138</f>
        <v>0</v>
      </c>
      <c r="BA138" s="19">
        <f t="shared" ref="BA138:BA139" si="112">IF(AZ$139=0,0,AZ138/AZ$139)</f>
        <v>0</v>
      </c>
    </row>
    <row r="139" spans="1:53" ht="16.5" customHeight="1" x14ac:dyDescent="0.25">
      <c r="A139" s="40"/>
      <c r="B139" s="40"/>
      <c r="C139" s="77"/>
      <c r="D139" s="144"/>
      <c r="E139" s="144"/>
      <c r="F139" s="145"/>
      <c r="G139" s="283"/>
      <c r="H139" s="119"/>
      <c r="I139" s="236"/>
      <c r="J139" s="64">
        <f>SUM(J137:J138)</f>
        <v>0</v>
      </c>
      <c r="K139" s="64">
        <f t="shared" ref="K139:M139" si="113">SUM(K137:K138)</f>
        <v>0</v>
      </c>
      <c r="L139" s="64">
        <f t="shared" si="113"/>
        <v>0</v>
      </c>
      <c r="M139" s="64">
        <f t="shared" si="113"/>
        <v>0</v>
      </c>
      <c r="N139" s="81"/>
      <c r="O139" s="81"/>
      <c r="P139" s="81"/>
      <c r="Q139" s="81"/>
      <c r="R139" s="81"/>
      <c r="S139" s="81"/>
      <c r="T139" s="81"/>
      <c r="U139" s="81"/>
      <c r="V139" s="81"/>
      <c r="W139" s="82">
        <f>SUM(W137:W138)</f>
        <v>0</v>
      </c>
      <c r="X139" s="82">
        <f t="shared" ref="X139:Y139" si="114">SUM(X137:X138)</f>
        <v>0</v>
      </c>
      <c r="Y139" s="82">
        <f t="shared" si="114"/>
        <v>0</v>
      </c>
      <c r="Z139" s="205">
        <f t="shared" si="108"/>
        <v>0</v>
      </c>
      <c r="AA139" s="205"/>
      <c r="AB139" s="205"/>
      <c r="AC139" s="83"/>
      <c r="AE139" s="81"/>
      <c r="AF139" s="81"/>
      <c r="AG139" s="82"/>
      <c r="AH139" s="324">
        <f>SUM(AH137:AH138)</f>
        <v>0</v>
      </c>
      <c r="AI139" s="66">
        <f t="shared" si="109"/>
        <v>0</v>
      </c>
      <c r="AK139" s="81"/>
      <c r="AL139" s="81"/>
      <c r="AM139" s="82"/>
      <c r="AN139" s="324">
        <f>SUM(AN137:AN138)</f>
        <v>0</v>
      </c>
      <c r="AO139" s="66">
        <f t="shared" si="110"/>
        <v>0</v>
      </c>
      <c r="AQ139" s="81"/>
      <c r="AR139" s="81"/>
      <c r="AS139" s="82"/>
      <c r="AT139" s="324">
        <f>SUM(AT137:AT138)</f>
        <v>0</v>
      </c>
      <c r="AU139" s="66">
        <f t="shared" si="111"/>
        <v>0</v>
      </c>
      <c r="AW139" s="81"/>
      <c r="AX139" s="81"/>
      <c r="AY139" s="82"/>
      <c r="AZ139" s="324">
        <f>SUM(AZ137:AZ138)</f>
        <v>0</v>
      </c>
      <c r="BA139" s="66">
        <f t="shared" si="112"/>
        <v>0</v>
      </c>
    </row>
    <row r="140" spans="1:53" s="117" customFormat="1" ht="17.100000000000001" customHeight="1" x14ac:dyDescent="0.25">
      <c r="A140" s="119"/>
      <c r="B140" s="119"/>
      <c r="C140" s="647"/>
      <c r="D140" s="212"/>
      <c r="E140" s="212"/>
      <c r="F140" s="212"/>
      <c r="G140" s="212"/>
      <c r="H140" s="242"/>
      <c r="I140" s="230"/>
      <c r="J140" s="17" t="str">
        <f>IF(J139=J$15,"OK","NOK")</f>
        <v>OK</v>
      </c>
      <c r="K140" s="17" t="str">
        <f t="shared" ref="K140:L140" si="115">IF(K139=K$15,"OK","NOK")</f>
        <v>OK</v>
      </c>
      <c r="L140" s="17" t="str">
        <f t="shared" si="115"/>
        <v>OK</v>
      </c>
      <c r="M140" s="17"/>
      <c r="N140" s="17"/>
      <c r="O140" s="17"/>
      <c r="P140" s="17"/>
      <c r="Q140" s="17"/>
      <c r="R140" s="17"/>
      <c r="S140" s="17"/>
      <c r="T140" s="17"/>
      <c r="U140" s="17"/>
      <c r="V140" s="17"/>
      <c r="W140" s="646"/>
      <c r="X140" s="646"/>
      <c r="Y140" s="646"/>
      <c r="Z140" s="201"/>
      <c r="AA140" s="201"/>
      <c r="AB140" s="201"/>
      <c r="AC140" s="84"/>
      <c r="AE140" s="84"/>
      <c r="AF140" s="84"/>
      <c r="AG140" s="84"/>
      <c r="AH140" s="84"/>
      <c r="AI140" s="84"/>
      <c r="AK140" s="84"/>
      <c r="AL140" s="84"/>
      <c r="AM140" s="84"/>
      <c r="AN140" s="84"/>
      <c r="AO140" s="84"/>
      <c r="AW140" s="84"/>
      <c r="AX140" s="84"/>
      <c r="AY140" s="84"/>
      <c r="AZ140" s="84"/>
      <c r="BA140" s="84"/>
    </row>
    <row r="141" spans="1:53" ht="17.100000000000001" customHeight="1" x14ac:dyDescent="0.25">
      <c r="A141" s="40"/>
      <c r="B141" s="41" t="s">
        <v>102</v>
      </c>
      <c r="C141" s="42" t="s">
        <v>563</v>
      </c>
      <c r="D141" s="43"/>
      <c r="E141" s="43"/>
      <c r="F141" s="43"/>
      <c r="G141" s="44"/>
      <c r="H141" s="242"/>
      <c r="I141" s="229"/>
      <c r="J141" s="71"/>
      <c r="K141" s="71"/>
      <c r="L141" s="71"/>
      <c r="M141" s="71"/>
      <c r="N141" s="71"/>
      <c r="O141" s="71"/>
      <c r="P141" s="71"/>
      <c r="Q141" s="71"/>
      <c r="R141" s="71"/>
      <c r="S141" s="71"/>
      <c r="T141" s="71"/>
      <c r="U141" s="71"/>
      <c r="V141" s="71"/>
      <c r="W141" s="71"/>
      <c r="X141" s="71"/>
      <c r="Y141" s="71"/>
      <c r="Z141" s="73"/>
      <c r="AA141" s="73"/>
      <c r="AB141" s="73"/>
      <c r="AC141" s="73"/>
      <c r="AE141" s="71"/>
      <c r="AF141" s="71"/>
      <c r="AG141" s="73"/>
      <c r="AH141" s="73"/>
      <c r="AI141" s="73"/>
      <c r="AK141" s="71"/>
      <c r="AL141" s="71"/>
      <c r="AM141" s="73"/>
      <c r="AN141" s="73"/>
      <c r="AO141" s="73"/>
      <c r="AQ141" s="71"/>
      <c r="AR141" s="71"/>
      <c r="AS141" s="73"/>
      <c r="AT141" s="73"/>
      <c r="AU141" s="73"/>
      <c r="AW141" s="71"/>
      <c r="AX141" s="71"/>
      <c r="AY141" s="73"/>
      <c r="AZ141" s="73"/>
      <c r="BA141" s="73"/>
    </row>
    <row r="142" spans="1:53" s="117" customFormat="1" ht="17.100000000000001" customHeight="1" x14ac:dyDescent="0.25">
      <c r="A142" s="119"/>
      <c r="B142" s="40"/>
      <c r="C142" s="141" t="s">
        <v>104</v>
      </c>
      <c r="D142" s="85" t="s">
        <v>612</v>
      </c>
      <c r="E142" s="75"/>
      <c r="F142" s="75"/>
      <c r="G142" s="650"/>
      <c r="H142" s="242"/>
      <c r="I142" s="230"/>
      <c r="J142" s="111"/>
      <c r="K142" s="111"/>
      <c r="L142" s="111"/>
      <c r="M142" s="111"/>
      <c r="N142" s="60"/>
      <c r="O142" s="60"/>
      <c r="P142" s="593">
        <f t="shared" ref="P142:P144" si="116">SUM(N142:O142)</f>
        <v>0</v>
      </c>
      <c r="Q142" s="60"/>
      <c r="R142" s="60"/>
      <c r="S142" s="593">
        <f t="shared" ref="S142:S144" si="117">SUM(Q142:R142)</f>
        <v>0</v>
      </c>
      <c r="T142" s="60"/>
      <c r="U142" s="60"/>
      <c r="V142" s="593">
        <f t="shared" ref="V142:V144" si="118">SUM(T142:U142)</f>
        <v>0</v>
      </c>
      <c r="W142" s="391">
        <f t="shared" ref="W142:W144" si="119">J142+K142+N142+Q142+T142</f>
        <v>0</v>
      </c>
      <c r="X142" s="17">
        <f t="shared" ref="X142:X144" si="120">L142+O142+R142+U142</f>
        <v>0</v>
      </c>
      <c r="Y142" s="18">
        <f>SUM(W142:X142)</f>
        <v>0</v>
      </c>
      <c r="Z142" s="19">
        <f>IF(Y$145=0,0,Y142/Y$145)</f>
        <v>0</v>
      </c>
      <c r="AA142" s="201"/>
      <c r="AB142" s="201"/>
      <c r="AC142" s="84"/>
      <c r="AE142" s="113"/>
      <c r="AF142" s="113"/>
      <c r="AG142" s="113"/>
      <c r="AH142" s="113"/>
      <c r="AI142" s="113"/>
      <c r="AK142" s="113"/>
      <c r="AL142" s="113"/>
      <c r="AM142" s="113"/>
      <c r="AN142" s="113"/>
      <c r="AO142" s="113"/>
      <c r="AQ142" s="84"/>
      <c r="AR142" s="84"/>
      <c r="AS142" s="84"/>
      <c r="AT142" s="17">
        <f>W142</f>
        <v>0</v>
      </c>
      <c r="AU142" s="19">
        <f>IF(AT$145=0,0,AT142/AT$145)</f>
        <v>0</v>
      </c>
      <c r="AW142" s="84"/>
      <c r="AX142" s="84"/>
      <c r="AY142" s="84"/>
      <c r="AZ142" s="424">
        <f t="shared" ref="AZ142:AZ144" si="121">X142</f>
        <v>0</v>
      </c>
      <c r="BA142" s="19">
        <f>IF(AZ$145=0,0,AZ142/AZ$145)</f>
        <v>0</v>
      </c>
    </row>
    <row r="143" spans="1:53" s="117" customFormat="1" ht="17.100000000000001" customHeight="1" x14ac:dyDescent="0.25">
      <c r="A143" s="119"/>
      <c r="B143" s="40"/>
      <c r="C143" s="141" t="s">
        <v>105</v>
      </c>
      <c r="D143" s="85" t="s">
        <v>741</v>
      </c>
      <c r="E143" s="75"/>
      <c r="F143" s="75"/>
      <c r="G143" s="650"/>
      <c r="H143" s="242"/>
      <c r="I143" s="230"/>
      <c r="J143" s="111"/>
      <c r="K143" s="111"/>
      <c r="L143" s="111"/>
      <c r="M143" s="111"/>
      <c r="N143" s="61">
        <v>3</v>
      </c>
      <c r="O143" s="61">
        <v>6</v>
      </c>
      <c r="P143" s="593">
        <f t="shared" si="116"/>
        <v>9</v>
      </c>
      <c r="Q143" s="61">
        <v>7</v>
      </c>
      <c r="R143" s="61">
        <v>2</v>
      </c>
      <c r="S143" s="593">
        <f t="shared" si="117"/>
        <v>9</v>
      </c>
      <c r="T143" s="61">
        <v>5</v>
      </c>
      <c r="U143" s="61">
        <v>5</v>
      </c>
      <c r="V143" s="593">
        <f t="shared" si="118"/>
        <v>10</v>
      </c>
      <c r="W143" s="391">
        <f t="shared" si="119"/>
        <v>15</v>
      </c>
      <c r="X143" s="17">
        <f t="shared" si="120"/>
        <v>13</v>
      </c>
      <c r="Y143" s="18">
        <f t="shared" ref="Y143:Y144" si="122">SUM(W143:X143)</f>
        <v>28</v>
      </c>
      <c r="Z143" s="19">
        <f>IF(Y$145=0,0,Y143/Y$145)</f>
        <v>1</v>
      </c>
      <c r="AA143" s="201"/>
      <c r="AB143" s="201"/>
      <c r="AC143" s="84"/>
      <c r="AE143" s="113"/>
      <c r="AF143" s="113"/>
      <c r="AG143" s="113"/>
      <c r="AH143" s="113"/>
      <c r="AI143" s="113"/>
      <c r="AK143" s="113"/>
      <c r="AL143" s="113"/>
      <c r="AM143" s="113"/>
      <c r="AN143" s="113"/>
      <c r="AO143" s="113"/>
      <c r="AQ143" s="84"/>
      <c r="AR143" s="84"/>
      <c r="AS143" s="84"/>
      <c r="AT143" s="17">
        <f t="shared" ref="AT143:AT144" si="123">W143</f>
        <v>15</v>
      </c>
      <c r="AU143" s="19">
        <f>IF(AT$145=0,0,AT143/AT$145)</f>
        <v>1</v>
      </c>
      <c r="AW143" s="84"/>
      <c r="AX143" s="84"/>
      <c r="AY143" s="84"/>
      <c r="AZ143" s="424">
        <f t="shared" si="121"/>
        <v>13</v>
      </c>
      <c r="BA143" s="19">
        <f>IF(AZ$145=0,0,AZ143/AZ$145)</f>
        <v>1</v>
      </c>
    </row>
    <row r="144" spans="1:53" s="117" customFormat="1" ht="17.100000000000001" customHeight="1" x14ac:dyDescent="0.25">
      <c r="A144" s="119"/>
      <c r="B144" s="40"/>
      <c r="C144" s="141" t="s">
        <v>106</v>
      </c>
      <c r="D144" s="85" t="s">
        <v>742</v>
      </c>
      <c r="E144" s="75"/>
      <c r="F144" s="75"/>
      <c r="G144" s="650"/>
      <c r="H144" s="242"/>
      <c r="I144" s="230"/>
      <c r="J144" s="111"/>
      <c r="K144" s="111"/>
      <c r="L144" s="111"/>
      <c r="M144" s="111"/>
      <c r="N144" s="60"/>
      <c r="O144" s="60"/>
      <c r="P144" s="593">
        <f t="shared" si="116"/>
        <v>0</v>
      </c>
      <c r="Q144" s="60"/>
      <c r="R144" s="60"/>
      <c r="S144" s="593">
        <f t="shared" si="117"/>
        <v>0</v>
      </c>
      <c r="T144" s="60"/>
      <c r="U144" s="60"/>
      <c r="V144" s="593">
        <f t="shared" si="118"/>
        <v>0</v>
      </c>
      <c r="W144" s="391">
        <f t="shared" si="119"/>
        <v>0</v>
      </c>
      <c r="X144" s="17">
        <f t="shared" si="120"/>
        <v>0</v>
      </c>
      <c r="Y144" s="18">
        <f t="shared" si="122"/>
        <v>0</v>
      </c>
      <c r="Z144" s="19">
        <f>IF(Y$145=0,0,Y144/Y$145)</f>
        <v>0</v>
      </c>
      <c r="AA144" s="201"/>
      <c r="AB144" s="201"/>
      <c r="AC144" s="84"/>
      <c r="AE144" s="113"/>
      <c r="AF144" s="113"/>
      <c r="AG144" s="113"/>
      <c r="AH144" s="113"/>
      <c r="AI144" s="113"/>
      <c r="AK144" s="113"/>
      <c r="AL144" s="113"/>
      <c r="AM144" s="113"/>
      <c r="AN144" s="113"/>
      <c r="AO144" s="113"/>
      <c r="AQ144" s="84"/>
      <c r="AR144" s="84"/>
      <c r="AS144" s="84"/>
      <c r="AT144" s="17">
        <f t="shared" si="123"/>
        <v>0</v>
      </c>
      <c r="AU144" s="19">
        <f>IF(AT$145=0,0,AT144/AT$145)</f>
        <v>0</v>
      </c>
      <c r="AW144" s="84"/>
      <c r="AX144" s="84"/>
      <c r="AY144" s="84"/>
      <c r="AZ144" s="424">
        <f t="shared" si="121"/>
        <v>0</v>
      </c>
      <c r="BA144" s="19">
        <f>IF(AZ$145=0,0,AZ144/AZ$145)</f>
        <v>0</v>
      </c>
    </row>
    <row r="145" spans="1:53" ht="16.5" customHeight="1" x14ac:dyDescent="0.25">
      <c r="A145" s="40"/>
      <c r="B145" s="40"/>
      <c r="C145" s="77"/>
      <c r="D145" s="144"/>
      <c r="E145" s="144"/>
      <c r="F145" s="145"/>
      <c r="G145" s="283"/>
      <c r="H145" s="119"/>
      <c r="I145" s="236"/>
      <c r="J145" s="64"/>
      <c r="K145" s="64"/>
      <c r="L145" s="64"/>
      <c r="M145" s="64"/>
      <c r="N145" s="81">
        <f t="shared" ref="N145:Y145" si="124">SUM(N142:N144)</f>
        <v>3</v>
      </c>
      <c r="O145" s="81">
        <f t="shared" si="124"/>
        <v>6</v>
      </c>
      <c r="P145" s="81">
        <f t="shared" si="124"/>
        <v>9</v>
      </c>
      <c r="Q145" s="81">
        <f t="shared" si="124"/>
        <v>7</v>
      </c>
      <c r="R145" s="81">
        <f t="shared" si="124"/>
        <v>2</v>
      </c>
      <c r="S145" s="81">
        <f t="shared" si="124"/>
        <v>9</v>
      </c>
      <c r="T145" s="81">
        <f t="shared" si="124"/>
        <v>5</v>
      </c>
      <c r="U145" s="81">
        <f t="shared" si="124"/>
        <v>5</v>
      </c>
      <c r="V145" s="356">
        <f t="shared" si="124"/>
        <v>10</v>
      </c>
      <c r="W145" s="381">
        <f t="shared" si="124"/>
        <v>15</v>
      </c>
      <c r="X145" s="82">
        <f t="shared" si="124"/>
        <v>13</v>
      </c>
      <c r="Y145" s="82">
        <f t="shared" si="124"/>
        <v>28</v>
      </c>
      <c r="Z145" s="205">
        <f>IF(Y$145=0,0,Y145/Y$145)</f>
        <v>1</v>
      </c>
      <c r="AA145" s="205"/>
      <c r="AB145" s="205"/>
      <c r="AC145" s="83"/>
      <c r="AE145" s="81"/>
      <c r="AF145" s="81"/>
      <c r="AG145" s="82"/>
      <c r="AH145" s="324"/>
      <c r="AI145" s="66"/>
      <c r="AK145" s="81"/>
      <c r="AL145" s="81"/>
      <c r="AM145" s="82"/>
      <c r="AN145" s="324"/>
      <c r="AO145" s="66"/>
      <c r="AQ145" s="81"/>
      <c r="AR145" s="81"/>
      <c r="AS145" s="82"/>
      <c r="AT145" s="324">
        <f>SUM(AT142:AT144)</f>
        <v>15</v>
      </c>
      <c r="AU145" s="66">
        <f>IF(AT$145=0,0,AT145/AT$145)</f>
        <v>1</v>
      </c>
      <c r="AW145" s="81"/>
      <c r="AX145" s="81"/>
      <c r="AY145" s="82"/>
      <c r="AZ145" s="324">
        <f>SUM(AZ142:AZ144)</f>
        <v>13</v>
      </c>
      <c r="BA145" s="66">
        <f>IF(AZ$145=0,0,AZ145/AZ$145)</f>
        <v>1</v>
      </c>
    </row>
    <row r="146" spans="1:53" s="117" customFormat="1" ht="17.100000000000001" customHeight="1" x14ac:dyDescent="0.25">
      <c r="A146" s="119"/>
      <c r="B146" s="119"/>
      <c r="C146" s="647"/>
      <c r="D146" s="212"/>
      <c r="E146" s="212"/>
      <c r="F146" s="212"/>
      <c r="G146" s="212"/>
      <c r="H146" s="242"/>
      <c r="I146" s="230"/>
      <c r="J146" s="17"/>
      <c r="K146" s="17"/>
      <c r="L146" s="17"/>
      <c r="M146" s="17"/>
      <c r="N146" s="17" t="str">
        <f>IF(N145=N$20,"OK","NOK")</f>
        <v>OK</v>
      </c>
      <c r="O146" s="17" t="str">
        <f>IF(O145=O$20,"OK","NOK")</f>
        <v>OK</v>
      </c>
      <c r="P146" s="17"/>
      <c r="Q146" s="17" t="str">
        <f>IF(Q145=Q$20,"OK","NOK")</f>
        <v>OK</v>
      </c>
      <c r="R146" s="17" t="str">
        <f>IF(R145=R$20,"OK","NOK")</f>
        <v>OK</v>
      </c>
      <c r="S146" s="17"/>
      <c r="T146" s="17" t="str">
        <f>IF(T145=T$20,"OK","NOK")</f>
        <v>OK</v>
      </c>
      <c r="U146" s="17" t="str">
        <f>IF(U145=U$20,"OK","NOK")</f>
        <v>OK</v>
      </c>
      <c r="V146" s="359"/>
      <c r="W146" s="382"/>
      <c r="X146" s="646"/>
      <c r="Y146" s="646"/>
      <c r="Z146" s="201"/>
      <c r="AA146" s="201"/>
      <c r="AB146" s="201"/>
      <c r="AC146" s="84"/>
      <c r="AE146" s="17"/>
      <c r="AF146" s="17"/>
      <c r="AG146" s="17"/>
      <c r="AH146" s="646"/>
      <c r="AI146" s="91"/>
      <c r="AK146" s="17"/>
      <c r="AL146" s="17"/>
      <c r="AM146" s="17"/>
      <c r="AN146" s="646"/>
      <c r="AO146" s="91"/>
      <c r="AQ146" s="17"/>
      <c r="AR146" s="17"/>
      <c r="AS146" s="17"/>
      <c r="AT146" s="646"/>
      <c r="AU146" s="91"/>
      <c r="AW146" s="17"/>
      <c r="AX146" s="17"/>
      <c r="AY146" s="17"/>
      <c r="AZ146" s="17"/>
      <c r="BA146" s="91"/>
    </row>
    <row r="147" spans="1:53" ht="17.100000000000001" customHeight="1" x14ac:dyDescent="0.25">
      <c r="A147" s="40"/>
      <c r="B147" s="41" t="s">
        <v>110</v>
      </c>
      <c r="C147" s="42" t="s">
        <v>565</v>
      </c>
      <c r="D147" s="43"/>
      <c r="E147" s="43"/>
      <c r="F147" s="43"/>
      <c r="G147" s="44"/>
      <c r="H147" s="23"/>
      <c r="I147" s="229"/>
      <c r="J147" s="71"/>
      <c r="K147" s="71"/>
      <c r="L147" s="71"/>
      <c r="M147" s="71"/>
      <c r="N147" s="71"/>
      <c r="O147" s="71"/>
      <c r="P147" s="71"/>
      <c r="Q147" s="71"/>
      <c r="R147" s="71"/>
      <c r="S147" s="71"/>
      <c r="T147" s="71"/>
      <c r="U147" s="71"/>
      <c r="V147" s="71"/>
      <c r="W147" s="71"/>
      <c r="X147" s="71"/>
      <c r="Y147" s="71"/>
      <c r="Z147" s="73"/>
      <c r="AA147" s="73"/>
      <c r="AB147" s="73"/>
      <c r="AC147" s="73"/>
      <c r="AE147" s="71"/>
      <c r="AF147" s="71"/>
      <c r="AG147" s="73"/>
      <c r="AH147" s="73"/>
      <c r="AI147" s="73"/>
      <c r="AK147" s="71"/>
      <c r="AL147" s="71"/>
      <c r="AM147" s="73"/>
      <c r="AN147" s="73"/>
      <c r="AO147" s="73"/>
      <c r="AQ147" s="71"/>
      <c r="AR147" s="71"/>
      <c r="AS147" s="73"/>
      <c r="AT147" s="73"/>
      <c r="AU147" s="73"/>
      <c r="AW147" s="71"/>
      <c r="AX147" s="71"/>
      <c r="AY147" s="73"/>
      <c r="AZ147" s="73"/>
      <c r="BA147" s="73"/>
    </row>
    <row r="148" spans="1:53" ht="17.100000000000001" customHeight="1" x14ac:dyDescent="0.25">
      <c r="A148" s="40"/>
      <c r="B148" s="40"/>
      <c r="C148" s="141" t="s">
        <v>112</v>
      </c>
      <c r="D148" s="85" t="s">
        <v>566</v>
      </c>
      <c r="E148" s="75"/>
      <c r="F148" s="75"/>
      <c r="G148" s="76"/>
      <c r="H148" s="23"/>
      <c r="I148" s="229"/>
      <c r="J148" s="174"/>
      <c r="K148" s="174"/>
      <c r="L148" s="111"/>
      <c r="M148" s="111"/>
      <c r="N148" s="60"/>
      <c r="O148" s="60"/>
      <c r="P148" s="593">
        <f t="shared" ref="P148:P150" si="125">SUM(N148:O148)</f>
        <v>0</v>
      </c>
      <c r="Q148" s="60"/>
      <c r="R148" s="60"/>
      <c r="S148" s="593">
        <f t="shared" ref="S148:S150" si="126">SUM(Q148:R148)</f>
        <v>0</v>
      </c>
      <c r="T148" s="60"/>
      <c r="U148" s="60"/>
      <c r="V148" s="593">
        <f t="shared" ref="V148:V150" si="127">SUM(T148:U148)</f>
        <v>0</v>
      </c>
      <c r="W148" s="391">
        <f t="shared" ref="W148:W150" si="128">J148+K148+N148+Q148+T148</f>
        <v>0</v>
      </c>
      <c r="X148" s="17">
        <f t="shared" ref="X148:X150" si="129">L148+O148+R148+U148</f>
        <v>0</v>
      </c>
      <c r="Y148" s="18">
        <f t="shared" ref="Y148:Y150" si="130">SUM(W148:X148)</f>
        <v>0</v>
      </c>
      <c r="Z148" s="19">
        <f>IF(Y$151=0,0,Y148/Y$151)</f>
        <v>0</v>
      </c>
      <c r="AA148" s="19"/>
      <c r="AB148" s="19"/>
      <c r="AC148" s="20"/>
      <c r="AE148" s="111"/>
      <c r="AF148" s="111"/>
      <c r="AG148" s="111"/>
      <c r="AH148" s="651"/>
      <c r="AI148" s="131"/>
      <c r="AK148" s="111"/>
      <c r="AL148" s="111"/>
      <c r="AM148" s="111"/>
      <c r="AN148" s="651"/>
      <c r="AO148" s="131"/>
      <c r="AQ148" s="17"/>
      <c r="AR148" s="17"/>
      <c r="AS148" s="17"/>
      <c r="AT148" s="17">
        <f t="shared" ref="AT148:AT150" si="131">W148</f>
        <v>0</v>
      </c>
      <c r="AU148" s="19">
        <f>IF(AT$151=0,0,AT148/AT$151)</f>
        <v>0</v>
      </c>
      <c r="AW148" s="17"/>
      <c r="AX148" s="17"/>
      <c r="AY148" s="17"/>
      <c r="AZ148" s="424">
        <f>X148</f>
        <v>0</v>
      </c>
      <c r="BA148" s="19">
        <f>IF(AZ$151=0,0,AZ148/AZ$151)</f>
        <v>0</v>
      </c>
    </row>
    <row r="149" spans="1:53" ht="17.100000000000001" customHeight="1" x14ac:dyDescent="0.25">
      <c r="A149" s="40"/>
      <c r="B149" s="40"/>
      <c r="C149" s="141" t="s">
        <v>114</v>
      </c>
      <c r="D149" s="85" t="s">
        <v>567</v>
      </c>
      <c r="E149" s="75"/>
      <c r="F149" s="75"/>
      <c r="G149" s="76"/>
      <c r="H149" s="23"/>
      <c r="I149" s="229"/>
      <c r="J149" s="174"/>
      <c r="K149" s="174"/>
      <c r="L149" s="111"/>
      <c r="M149" s="111"/>
      <c r="N149" s="61"/>
      <c r="O149" s="61"/>
      <c r="P149" s="593">
        <f t="shared" si="125"/>
        <v>0</v>
      </c>
      <c r="Q149" s="61"/>
      <c r="R149" s="61"/>
      <c r="S149" s="593">
        <f t="shared" si="126"/>
        <v>0</v>
      </c>
      <c r="T149" s="61"/>
      <c r="U149" s="61"/>
      <c r="V149" s="593">
        <f t="shared" si="127"/>
        <v>0</v>
      </c>
      <c r="W149" s="391">
        <f t="shared" si="128"/>
        <v>0</v>
      </c>
      <c r="X149" s="17">
        <f t="shared" si="129"/>
        <v>0</v>
      </c>
      <c r="Y149" s="18">
        <f t="shared" si="130"/>
        <v>0</v>
      </c>
      <c r="Z149" s="19">
        <f t="shared" ref="Z149:Z151" si="132">IF(Y$151=0,0,Y149/Y$151)</f>
        <v>0</v>
      </c>
      <c r="AA149" s="19"/>
      <c r="AB149" s="19"/>
      <c r="AC149" s="20"/>
      <c r="AE149" s="111"/>
      <c r="AF149" s="111"/>
      <c r="AG149" s="111"/>
      <c r="AH149" s="651"/>
      <c r="AI149" s="131"/>
      <c r="AK149" s="111"/>
      <c r="AL149" s="111"/>
      <c r="AM149" s="111"/>
      <c r="AN149" s="651"/>
      <c r="AO149" s="131"/>
      <c r="AQ149" s="17"/>
      <c r="AR149" s="17"/>
      <c r="AS149" s="17"/>
      <c r="AT149" s="17">
        <f t="shared" si="131"/>
        <v>0</v>
      </c>
      <c r="AU149" s="19">
        <f t="shared" ref="AU149:AU151" si="133">IF(AT$151=0,0,AT149/AT$151)</f>
        <v>0</v>
      </c>
      <c r="AW149" s="17"/>
      <c r="AX149" s="17"/>
      <c r="AY149" s="17"/>
      <c r="AZ149" s="424">
        <f t="shared" ref="AZ149:AZ150" si="134">X149</f>
        <v>0</v>
      </c>
      <c r="BA149" s="19">
        <f t="shared" ref="BA149:BA151" si="135">IF(AZ$151=0,0,AZ149/AZ$151)</f>
        <v>0</v>
      </c>
    </row>
    <row r="150" spans="1:53" ht="17.100000000000001" customHeight="1" x14ac:dyDescent="0.25">
      <c r="A150" s="40"/>
      <c r="B150" s="40"/>
      <c r="C150" s="141" t="s">
        <v>568</v>
      </c>
      <c r="D150" s="85" t="s">
        <v>614</v>
      </c>
      <c r="E150" s="649"/>
      <c r="F150" s="649"/>
      <c r="G150" s="281"/>
      <c r="H150" s="254"/>
      <c r="I150" s="235"/>
      <c r="J150" s="111"/>
      <c r="K150" s="111"/>
      <c r="L150" s="111"/>
      <c r="M150" s="111"/>
      <c r="N150" s="60">
        <v>3</v>
      </c>
      <c r="O150" s="60">
        <v>6</v>
      </c>
      <c r="P150" s="593">
        <f t="shared" si="125"/>
        <v>9</v>
      </c>
      <c r="Q150" s="60">
        <v>7</v>
      </c>
      <c r="R150" s="60">
        <v>2</v>
      </c>
      <c r="S150" s="593">
        <f t="shared" si="126"/>
        <v>9</v>
      </c>
      <c r="T150" s="60">
        <v>5</v>
      </c>
      <c r="U150" s="60">
        <v>5</v>
      </c>
      <c r="V150" s="593">
        <f t="shared" si="127"/>
        <v>10</v>
      </c>
      <c r="W150" s="391">
        <f t="shared" si="128"/>
        <v>15</v>
      </c>
      <c r="X150" s="17">
        <f t="shared" si="129"/>
        <v>13</v>
      </c>
      <c r="Y150" s="18">
        <f t="shared" si="130"/>
        <v>28</v>
      </c>
      <c r="Z150" s="19">
        <f t="shared" si="132"/>
        <v>1</v>
      </c>
      <c r="AA150" s="91"/>
      <c r="AB150" s="91"/>
      <c r="AC150" s="84"/>
      <c r="AE150" s="111"/>
      <c r="AF150" s="111"/>
      <c r="AG150" s="111"/>
      <c r="AH150" s="651"/>
      <c r="AI150" s="131"/>
      <c r="AK150" s="111"/>
      <c r="AL150" s="111"/>
      <c r="AM150" s="111"/>
      <c r="AN150" s="651"/>
      <c r="AO150" s="131"/>
      <c r="AQ150" s="17"/>
      <c r="AR150" s="17"/>
      <c r="AS150" s="17"/>
      <c r="AT150" s="17">
        <f t="shared" si="131"/>
        <v>15</v>
      </c>
      <c r="AU150" s="19">
        <f t="shared" si="133"/>
        <v>1</v>
      </c>
      <c r="AW150" s="17"/>
      <c r="AX150" s="17"/>
      <c r="AY150" s="17"/>
      <c r="AZ150" s="424">
        <f t="shared" si="134"/>
        <v>13</v>
      </c>
      <c r="BA150" s="19">
        <f t="shared" si="135"/>
        <v>1</v>
      </c>
    </row>
    <row r="151" spans="1:53" ht="17.100000000000001" customHeight="1" x14ac:dyDescent="0.25">
      <c r="A151" s="40"/>
      <c r="B151" s="40"/>
      <c r="C151" s="77"/>
      <c r="D151" s="144"/>
      <c r="E151" s="144"/>
      <c r="F151" s="145"/>
      <c r="G151" s="283"/>
      <c r="H151" s="119"/>
      <c r="I151" s="236"/>
      <c r="J151" s="64"/>
      <c r="K151" s="64"/>
      <c r="L151" s="81"/>
      <c r="M151" s="81"/>
      <c r="N151" s="81">
        <f>SUM(N148:N150)</f>
        <v>3</v>
      </c>
      <c r="O151" s="81">
        <f t="shared" ref="O151:Y151" si="136">SUM(O148:O150)</f>
        <v>6</v>
      </c>
      <c r="P151" s="81">
        <f t="shared" si="136"/>
        <v>9</v>
      </c>
      <c r="Q151" s="81">
        <f t="shared" si="136"/>
        <v>7</v>
      </c>
      <c r="R151" s="81">
        <f t="shared" si="136"/>
        <v>2</v>
      </c>
      <c r="S151" s="81">
        <f t="shared" si="136"/>
        <v>9</v>
      </c>
      <c r="T151" s="81">
        <f t="shared" si="136"/>
        <v>5</v>
      </c>
      <c r="U151" s="81">
        <f t="shared" si="136"/>
        <v>5</v>
      </c>
      <c r="V151" s="81">
        <f t="shared" si="136"/>
        <v>10</v>
      </c>
      <c r="W151" s="82">
        <f t="shared" si="136"/>
        <v>15</v>
      </c>
      <c r="X151" s="82">
        <f t="shared" si="136"/>
        <v>13</v>
      </c>
      <c r="Y151" s="82">
        <f t="shared" si="136"/>
        <v>28</v>
      </c>
      <c r="Z151" s="205">
        <f t="shared" si="132"/>
        <v>1</v>
      </c>
      <c r="AA151" s="205"/>
      <c r="AB151" s="205"/>
      <c r="AC151" s="83"/>
      <c r="AE151" s="81"/>
      <c r="AF151" s="81"/>
      <c r="AG151" s="82"/>
      <c r="AH151" s="82"/>
      <c r="AI151" s="66"/>
      <c r="AK151" s="81"/>
      <c r="AL151" s="81"/>
      <c r="AM151" s="82"/>
      <c r="AN151" s="82"/>
      <c r="AO151" s="66"/>
      <c r="AQ151" s="81"/>
      <c r="AR151" s="81"/>
      <c r="AS151" s="82"/>
      <c r="AT151" s="82">
        <f>SUM(AT148:AT150)</f>
        <v>15</v>
      </c>
      <c r="AU151" s="66">
        <f t="shared" si="133"/>
        <v>1</v>
      </c>
      <c r="AW151" s="81"/>
      <c r="AX151" s="81"/>
      <c r="AY151" s="82"/>
      <c r="AZ151" s="82">
        <f>SUM(AZ148:AZ150)</f>
        <v>13</v>
      </c>
      <c r="BA151" s="66">
        <f t="shared" si="135"/>
        <v>1</v>
      </c>
    </row>
    <row r="152" spans="1:53" s="117" customFormat="1" ht="17.100000000000001" customHeight="1" x14ac:dyDescent="0.25">
      <c r="A152" s="119"/>
      <c r="B152" s="119"/>
      <c r="C152" s="647"/>
      <c r="D152" s="212"/>
      <c r="E152" s="212"/>
      <c r="F152" s="212"/>
      <c r="G152" s="212"/>
      <c r="H152" s="242"/>
      <c r="I152" s="230"/>
      <c r="J152" s="17"/>
      <c r="K152" s="17"/>
      <c r="L152" s="17"/>
      <c r="M152" s="17"/>
      <c r="N152" s="17" t="str">
        <f>IF(N151=N$20,"OK","NOK")</f>
        <v>OK</v>
      </c>
      <c r="O152" s="17" t="str">
        <f>IF(O151=O$20,"OK","NOK")</f>
        <v>OK</v>
      </c>
      <c r="P152" s="17"/>
      <c r="Q152" s="17" t="str">
        <f>IF(Q151=Q$20,"OK","NOK")</f>
        <v>OK</v>
      </c>
      <c r="R152" s="17" t="str">
        <f>IF(R151=R$20,"OK","NOK")</f>
        <v>OK</v>
      </c>
      <c r="S152" s="17"/>
      <c r="T152" s="17" t="str">
        <f>IF(T151=T$20,"OK","NOK")</f>
        <v>OK</v>
      </c>
      <c r="U152" s="17" t="str">
        <f>IF(U151=U$20,"OK","NOK")</f>
        <v>OK</v>
      </c>
      <c r="V152" s="359"/>
      <c r="W152" s="382"/>
      <c r="X152" s="646"/>
      <c r="Y152" s="646"/>
      <c r="Z152" s="201"/>
      <c r="AA152" s="201"/>
      <c r="AB152" s="201"/>
      <c r="AC152" s="84"/>
      <c r="AE152" s="17"/>
      <c r="AF152" s="17"/>
      <c r="AG152" s="17"/>
      <c r="AH152" s="646"/>
      <c r="AI152" s="91"/>
      <c r="AK152" s="17"/>
      <c r="AL152" s="17"/>
      <c r="AM152" s="17"/>
      <c r="AN152" s="646"/>
      <c r="AO152" s="91"/>
      <c r="AQ152" s="17"/>
      <c r="AR152" s="17"/>
      <c r="AS152" s="17"/>
      <c r="AT152" s="646"/>
      <c r="AU152" s="91"/>
      <c r="AW152" s="17"/>
      <c r="AX152" s="17"/>
      <c r="AY152" s="17"/>
      <c r="AZ152" s="17"/>
      <c r="BA152" s="91"/>
    </row>
    <row r="153" spans="1:53" ht="17.100000000000001" customHeight="1" x14ac:dyDescent="0.25">
      <c r="A153" s="40"/>
      <c r="B153" s="40"/>
      <c r="C153" s="40"/>
      <c r="D153" s="85" t="s">
        <v>613</v>
      </c>
      <c r="E153" s="150"/>
      <c r="F153" s="151"/>
      <c r="G153" s="318"/>
      <c r="H153" s="119"/>
      <c r="I153" s="236"/>
      <c r="J153" s="174"/>
      <c r="K153" s="174"/>
      <c r="L153" s="111"/>
      <c r="M153" s="111"/>
      <c r="N153" s="111"/>
      <c r="O153" s="111"/>
      <c r="P153" s="111"/>
      <c r="Q153" s="111"/>
      <c r="R153" s="111"/>
      <c r="S153" s="111"/>
      <c r="T153" s="111"/>
      <c r="U153" s="111"/>
      <c r="V153" s="111"/>
      <c r="W153" s="111"/>
      <c r="X153" s="111"/>
      <c r="Y153" s="111"/>
      <c r="Z153" s="131"/>
      <c r="AA153" s="131"/>
      <c r="AB153" s="131"/>
      <c r="AC153" s="113"/>
      <c r="AE153" s="111"/>
      <c r="AF153" s="111"/>
      <c r="AG153" s="651"/>
      <c r="AH153" s="131"/>
      <c r="AI153" s="113"/>
      <c r="AK153" s="111"/>
      <c r="AL153" s="111"/>
      <c r="AM153" s="651"/>
      <c r="AN153" s="131"/>
      <c r="AO153" s="113"/>
      <c r="AQ153" s="111"/>
      <c r="AR153" s="111"/>
      <c r="AS153" s="651"/>
      <c r="AT153" s="131"/>
      <c r="AU153" s="113"/>
      <c r="AW153" s="111"/>
      <c r="AX153" s="111"/>
      <c r="AY153" s="651"/>
      <c r="AZ153" s="131"/>
      <c r="BA153" s="113"/>
    </row>
    <row r="154" spans="1:53" ht="17.100000000000001" customHeight="1" x14ac:dyDescent="0.25">
      <c r="A154" s="40"/>
      <c r="B154" s="40"/>
      <c r="C154" s="40"/>
      <c r="D154" s="74" t="s">
        <v>569</v>
      </c>
      <c r="E154" s="85" t="s">
        <v>570</v>
      </c>
      <c r="F154" s="75"/>
      <c r="G154" s="76"/>
      <c r="H154" s="316"/>
      <c r="I154" s="230"/>
      <c r="J154" s="174"/>
      <c r="K154" s="174"/>
      <c r="L154" s="111"/>
      <c r="M154" s="111"/>
      <c r="N154" s="60"/>
      <c r="O154" s="60"/>
      <c r="P154" s="593">
        <f t="shared" ref="P154:P168" si="137">SUM(N154:O154)</f>
        <v>0</v>
      </c>
      <c r="Q154" s="60"/>
      <c r="R154" s="60"/>
      <c r="S154" s="593">
        <f t="shared" ref="S154:S163" si="138">SUM(Q154:R154)</f>
        <v>0</v>
      </c>
      <c r="T154" s="60"/>
      <c r="U154" s="60"/>
      <c r="V154" s="593">
        <f t="shared" ref="V154:V163" si="139">SUM(T154:U154)</f>
        <v>0</v>
      </c>
      <c r="W154" s="391">
        <f t="shared" ref="W154:W163" si="140">J154+K154+N154+Q154+T154</f>
        <v>0</v>
      </c>
      <c r="X154" s="17">
        <f t="shared" ref="X154:X163" si="141">L154+O154+R154+U154</f>
        <v>0</v>
      </c>
      <c r="Y154" s="18">
        <f t="shared" ref="Y154:Y163" si="142">SUM(W154:X154)</f>
        <v>0</v>
      </c>
      <c r="Z154" s="19">
        <f t="shared" ref="Z154:Z163" si="143">IF(Y$169=0,0,Y154/Y$169)</f>
        <v>0</v>
      </c>
      <c r="AA154" s="19"/>
      <c r="AB154" s="19"/>
      <c r="AC154" s="20"/>
      <c r="AE154" s="111"/>
      <c r="AF154" s="111"/>
      <c r="AG154" s="111"/>
      <c r="AH154" s="651"/>
      <c r="AI154" s="131"/>
      <c r="AK154" s="111"/>
      <c r="AL154" s="111"/>
      <c r="AM154" s="111"/>
      <c r="AN154" s="651"/>
      <c r="AO154" s="131"/>
      <c r="AQ154" s="20"/>
      <c r="AR154" s="20"/>
      <c r="AS154" s="20"/>
      <c r="AT154" s="17">
        <f t="shared" ref="AT154:AT163" si="144">W154</f>
        <v>0</v>
      </c>
      <c r="AU154" s="19">
        <f t="shared" ref="AU154:AU163" si="145">IF(AT$169=0,0,AT154/AT$169)</f>
        <v>0</v>
      </c>
      <c r="AW154" s="17"/>
      <c r="AX154" s="17"/>
      <c r="AY154" s="17"/>
      <c r="AZ154" s="424">
        <f>X154</f>
        <v>0</v>
      </c>
      <c r="BA154" s="19">
        <f t="shared" ref="BA154:BA163" si="146">IF(AZ$169=0,0,AZ154/AZ$169)</f>
        <v>0</v>
      </c>
    </row>
    <row r="155" spans="1:53" ht="17.100000000000001" customHeight="1" x14ac:dyDescent="0.25">
      <c r="A155" s="40"/>
      <c r="B155" s="40"/>
      <c r="C155" s="40"/>
      <c r="D155" s="74" t="s">
        <v>571</v>
      </c>
      <c r="E155" s="649" t="s">
        <v>572</v>
      </c>
      <c r="F155" s="649"/>
      <c r="G155" s="281"/>
      <c r="H155" s="254"/>
      <c r="I155" s="235"/>
      <c r="J155" s="174"/>
      <c r="K155" s="174"/>
      <c r="L155" s="111"/>
      <c r="M155" s="111"/>
      <c r="N155" s="61"/>
      <c r="O155" s="61"/>
      <c r="P155" s="593">
        <f t="shared" si="137"/>
        <v>0</v>
      </c>
      <c r="Q155" s="61"/>
      <c r="R155" s="61"/>
      <c r="S155" s="593">
        <f t="shared" si="138"/>
        <v>0</v>
      </c>
      <c r="T155" s="61">
        <v>3</v>
      </c>
      <c r="U155" s="61">
        <v>1</v>
      </c>
      <c r="V155" s="593">
        <f t="shared" si="139"/>
        <v>4</v>
      </c>
      <c r="W155" s="391">
        <f t="shared" si="140"/>
        <v>3</v>
      </c>
      <c r="X155" s="17">
        <f t="shared" si="141"/>
        <v>1</v>
      </c>
      <c r="Y155" s="18">
        <f t="shared" si="142"/>
        <v>4</v>
      </c>
      <c r="Z155" s="19">
        <f t="shared" si="143"/>
        <v>6.4516129032258063E-2</v>
      </c>
      <c r="AA155" s="19"/>
      <c r="AB155" s="19"/>
      <c r="AC155" s="20"/>
      <c r="AE155" s="111"/>
      <c r="AF155" s="111"/>
      <c r="AG155" s="111"/>
      <c r="AH155" s="651"/>
      <c r="AI155" s="131"/>
      <c r="AK155" s="111"/>
      <c r="AL155" s="111"/>
      <c r="AM155" s="111"/>
      <c r="AN155" s="651"/>
      <c r="AO155" s="131"/>
      <c r="AQ155" s="20"/>
      <c r="AR155" s="20"/>
      <c r="AS155" s="20"/>
      <c r="AT155" s="17">
        <f t="shared" si="144"/>
        <v>3</v>
      </c>
      <c r="AU155" s="19">
        <f t="shared" si="145"/>
        <v>9.0909090909090912E-2</v>
      </c>
      <c r="AW155" s="17"/>
      <c r="AX155" s="17"/>
      <c r="AY155" s="17"/>
      <c r="AZ155" s="424">
        <f t="shared" ref="AZ155:AZ163" si="147">X155</f>
        <v>1</v>
      </c>
      <c r="BA155" s="19">
        <f t="shared" si="146"/>
        <v>3.4482758620689655E-2</v>
      </c>
    </row>
    <row r="156" spans="1:53" ht="17.100000000000001" customHeight="1" x14ac:dyDescent="0.25">
      <c r="A156" s="40"/>
      <c r="B156" s="40"/>
      <c r="C156" s="40"/>
      <c r="D156" s="74" t="s">
        <v>573</v>
      </c>
      <c r="E156" s="649" t="s">
        <v>574</v>
      </c>
      <c r="F156" s="649"/>
      <c r="G156" s="281"/>
      <c r="H156" s="254"/>
      <c r="I156" s="235"/>
      <c r="J156" s="174"/>
      <c r="K156" s="174"/>
      <c r="L156" s="111"/>
      <c r="M156" s="111"/>
      <c r="N156" s="60"/>
      <c r="O156" s="60"/>
      <c r="P156" s="593">
        <f t="shared" si="137"/>
        <v>0</v>
      </c>
      <c r="Q156" s="60"/>
      <c r="R156" s="60"/>
      <c r="S156" s="593">
        <f t="shared" si="138"/>
        <v>0</v>
      </c>
      <c r="T156" s="60"/>
      <c r="U156" s="60"/>
      <c r="V156" s="593">
        <f t="shared" si="139"/>
        <v>0</v>
      </c>
      <c r="W156" s="391">
        <f t="shared" si="140"/>
        <v>0</v>
      </c>
      <c r="X156" s="17">
        <f t="shared" si="141"/>
        <v>0</v>
      </c>
      <c r="Y156" s="18">
        <f t="shared" si="142"/>
        <v>0</v>
      </c>
      <c r="Z156" s="19">
        <f t="shared" si="143"/>
        <v>0</v>
      </c>
      <c r="AA156" s="19"/>
      <c r="AB156" s="19"/>
      <c r="AC156" s="20"/>
      <c r="AE156" s="111"/>
      <c r="AF156" s="111"/>
      <c r="AG156" s="111"/>
      <c r="AH156" s="651"/>
      <c r="AI156" s="131"/>
      <c r="AK156" s="111"/>
      <c r="AL156" s="111"/>
      <c r="AM156" s="111"/>
      <c r="AN156" s="651"/>
      <c r="AO156" s="131"/>
      <c r="AQ156" s="20"/>
      <c r="AR156" s="20"/>
      <c r="AS156" s="20"/>
      <c r="AT156" s="17">
        <f t="shared" si="144"/>
        <v>0</v>
      </c>
      <c r="AU156" s="19">
        <f t="shared" si="145"/>
        <v>0</v>
      </c>
      <c r="AW156" s="17"/>
      <c r="AX156" s="17"/>
      <c r="AY156" s="17"/>
      <c r="AZ156" s="424">
        <f t="shared" si="147"/>
        <v>0</v>
      </c>
      <c r="BA156" s="19">
        <f t="shared" si="146"/>
        <v>0</v>
      </c>
    </row>
    <row r="157" spans="1:53" ht="17.100000000000001" customHeight="1" x14ac:dyDescent="0.25">
      <c r="A157" s="40"/>
      <c r="B157" s="40"/>
      <c r="C157" s="40"/>
      <c r="D157" s="74" t="s">
        <v>575</v>
      </c>
      <c r="E157" s="649" t="s">
        <v>576</v>
      </c>
      <c r="F157" s="649"/>
      <c r="G157" s="281"/>
      <c r="H157" s="254"/>
      <c r="I157" s="235"/>
      <c r="J157" s="174"/>
      <c r="K157" s="174"/>
      <c r="L157" s="111"/>
      <c r="M157" s="111"/>
      <c r="N157" s="61"/>
      <c r="O157" s="61"/>
      <c r="P157" s="593">
        <f t="shared" si="137"/>
        <v>0</v>
      </c>
      <c r="Q157" s="61"/>
      <c r="R157" s="61"/>
      <c r="S157" s="593">
        <f t="shared" si="138"/>
        <v>0</v>
      </c>
      <c r="T157" s="61"/>
      <c r="U157" s="61"/>
      <c r="V157" s="593">
        <f t="shared" si="139"/>
        <v>0</v>
      </c>
      <c r="W157" s="391">
        <f t="shared" si="140"/>
        <v>0</v>
      </c>
      <c r="X157" s="17">
        <f t="shared" si="141"/>
        <v>0</v>
      </c>
      <c r="Y157" s="18">
        <f t="shared" si="142"/>
        <v>0</v>
      </c>
      <c r="Z157" s="19">
        <f t="shared" si="143"/>
        <v>0</v>
      </c>
      <c r="AA157" s="19"/>
      <c r="AB157" s="19"/>
      <c r="AC157" s="20"/>
      <c r="AE157" s="111"/>
      <c r="AF157" s="111"/>
      <c r="AG157" s="111"/>
      <c r="AH157" s="651"/>
      <c r="AI157" s="131"/>
      <c r="AK157" s="111"/>
      <c r="AL157" s="111"/>
      <c r="AM157" s="111"/>
      <c r="AN157" s="651"/>
      <c r="AO157" s="131"/>
      <c r="AQ157" s="20"/>
      <c r="AR157" s="20"/>
      <c r="AS157" s="20"/>
      <c r="AT157" s="17">
        <f t="shared" si="144"/>
        <v>0</v>
      </c>
      <c r="AU157" s="19">
        <f t="shared" si="145"/>
        <v>0</v>
      </c>
      <c r="AW157" s="17"/>
      <c r="AX157" s="17"/>
      <c r="AY157" s="17"/>
      <c r="AZ157" s="424">
        <f t="shared" si="147"/>
        <v>0</v>
      </c>
      <c r="BA157" s="19">
        <f t="shared" si="146"/>
        <v>0</v>
      </c>
    </row>
    <row r="158" spans="1:53" ht="17.100000000000001" customHeight="1" x14ac:dyDescent="0.25">
      <c r="A158" s="40"/>
      <c r="B158" s="40"/>
      <c r="C158" s="40"/>
      <c r="D158" s="74" t="s">
        <v>577</v>
      </c>
      <c r="E158" s="85" t="s">
        <v>578</v>
      </c>
      <c r="F158" s="75"/>
      <c r="G158" s="76"/>
      <c r="H158" s="316"/>
      <c r="I158" s="230"/>
      <c r="J158" s="174"/>
      <c r="K158" s="174"/>
      <c r="L158" s="111"/>
      <c r="M158" s="111"/>
      <c r="N158" s="60">
        <v>2</v>
      </c>
      <c r="O158" s="60">
        <v>5</v>
      </c>
      <c r="P158" s="593">
        <f t="shared" si="137"/>
        <v>7</v>
      </c>
      <c r="Q158" s="60">
        <v>5</v>
      </c>
      <c r="R158" s="60">
        <v>1</v>
      </c>
      <c r="S158" s="593">
        <f t="shared" si="138"/>
        <v>6</v>
      </c>
      <c r="T158" s="60"/>
      <c r="U158" s="60">
        <v>5</v>
      </c>
      <c r="V158" s="593">
        <f t="shared" si="139"/>
        <v>5</v>
      </c>
      <c r="W158" s="391">
        <f t="shared" si="140"/>
        <v>7</v>
      </c>
      <c r="X158" s="17">
        <f t="shared" si="141"/>
        <v>11</v>
      </c>
      <c r="Y158" s="18">
        <f t="shared" si="142"/>
        <v>18</v>
      </c>
      <c r="Z158" s="19">
        <f t="shared" si="143"/>
        <v>0.29032258064516131</v>
      </c>
      <c r="AA158" s="19"/>
      <c r="AB158" s="19"/>
      <c r="AC158" s="20"/>
      <c r="AE158" s="111"/>
      <c r="AF158" s="111"/>
      <c r="AG158" s="111"/>
      <c r="AH158" s="651"/>
      <c r="AI158" s="131"/>
      <c r="AK158" s="111"/>
      <c r="AL158" s="111"/>
      <c r="AM158" s="111"/>
      <c r="AN158" s="651"/>
      <c r="AO158" s="131"/>
      <c r="AQ158" s="20"/>
      <c r="AR158" s="20"/>
      <c r="AS158" s="20"/>
      <c r="AT158" s="17">
        <f t="shared" si="144"/>
        <v>7</v>
      </c>
      <c r="AU158" s="19">
        <f t="shared" si="145"/>
        <v>0.21212121212121213</v>
      </c>
      <c r="AW158" s="17"/>
      <c r="AX158" s="17"/>
      <c r="AY158" s="17"/>
      <c r="AZ158" s="424">
        <f t="shared" si="147"/>
        <v>11</v>
      </c>
      <c r="BA158" s="19">
        <f t="shared" si="146"/>
        <v>0.37931034482758619</v>
      </c>
    </row>
    <row r="159" spans="1:53" ht="17.100000000000001" customHeight="1" x14ac:dyDescent="0.25">
      <c r="A159" s="40"/>
      <c r="B159" s="40"/>
      <c r="C159" s="40"/>
      <c r="D159" s="74" t="s">
        <v>579</v>
      </c>
      <c r="E159" s="85" t="s">
        <v>580</v>
      </c>
      <c r="F159" s="75"/>
      <c r="G159" s="76"/>
      <c r="H159" s="316"/>
      <c r="I159" s="230"/>
      <c r="J159" s="174"/>
      <c r="K159" s="174"/>
      <c r="L159" s="111"/>
      <c r="M159" s="111"/>
      <c r="N159" s="61"/>
      <c r="O159" s="61"/>
      <c r="P159" s="593">
        <f t="shared" si="137"/>
        <v>0</v>
      </c>
      <c r="Q159" s="61">
        <v>6</v>
      </c>
      <c r="R159" s="61">
        <v>1</v>
      </c>
      <c r="S159" s="593">
        <f t="shared" si="138"/>
        <v>7</v>
      </c>
      <c r="T159" s="61">
        <v>5</v>
      </c>
      <c r="U159" s="61">
        <v>2</v>
      </c>
      <c r="V159" s="593">
        <f t="shared" si="139"/>
        <v>7</v>
      </c>
      <c r="W159" s="391">
        <f t="shared" si="140"/>
        <v>11</v>
      </c>
      <c r="X159" s="17">
        <f t="shared" si="141"/>
        <v>3</v>
      </c>
      <c r="Y159" s="18">
        <f t="shared" si="142"/>
        <v>14</v>
      </c>
      <c r="Z159" s="19">
        <f t="shared" si="143"/>
        <v>0.22580645161290322</v>
      </c>
      <c r="AA159" s="19"/>
      <c r="AB159" s="19"/>
      <c r="AC159" s="20"/>
      <c r="AE159" s="111"/>
      <c r="AF159" s="111"/>
      <c r="AG159" s="111"/>
      <c r="AH159" s="651"/>
      <c r="AI159" s="131"/>
      <c r="AK159" s="111"/>
      <c r="AL159" s="111"/>
      <c r="AM159" s="111"/>
      <c r="AN159" s="651"/>
      <c r="AO159" s="131"/>
      <c r="AQ159" s="20"/>
      <c r="AR159" s="20"/>
      <c r="AS159" s="20"/>
      <c r="AT159" s="17">
        <f t="shared" si="144"/>
        <v>11</v>
      </c>
      <c r="AU159" s="19">
        <f t="shared" si="145"/>
        <v>0.33333333333333331</v>
      </c>
      <c r="AW159" s="17"/>
      <c r="AX159" s="17"/>
      <c r="AY159" s="17"/>
      <c r="AZ159" s="424">
        <f t="shared" si="147"/>
        <v>3</v>
      </c>
      <c r="BA159" s="19">
        <f t="shared" si="146"/>
        <v>0.10344827586206896</v>
      </c>
    </row>
    <row r="160" spans="1:53" ht="17.100000000000001" customHeight="1" x14ac:dyDescent="0.25">
      <c r="A160" s="40"/>
      <c r="B160" s="40"/>
      <c r="C160" s="40"/>
      <c r="D160" s="74" t="s">
        <v>581</v>
      </c>
      <c r="E160" s="85" t="s">
        <v>582</v>
      </c>
      <c r="F160" s="75"/>
      <c r="G160" s="76"/>
      <c r="H160" s="316"/>
      <c r="I160" s="230"/>
      <c r="J160" s="174"/>
      <c r="K160" s="174"/>
      <c r="L160" s="111"/>
      <c r="M160" s="111"/>
      <c r="N160" s="60"/>
      <c r="O160" s="60"/>
      <c r="P160" s="593">
        <f t="shared" si="137"/>
        <v>0</v>
      </c>
      <c r="Q160" s="60"/>
      <c r="R160" s="60"/>
      <c r="S160" s="593">
        <f t="shared" si="138"/>
        <v>0</v>
      </c>
      <c r="T160" s="60">
        <v>1</v>
      </c>
      <c r="U160" s="60"/>
      <c r="V160" s="593">
        <f t="shared" si="139"/>
        <v>1</v>
      </c>
      <c r="W160" s="391">
        <f t="shared" si="140"/>
        <v>1</v>
      </c>
      <c r="X160" s="17">
        <f t="shared" si="141"/>
        <v>0</v>
      </c>
      <c r="Y160" s="18">
        <f t="shared" si="142"/>
        <v>1</v>
      </c>
      <c r="Z160" s="19">
        <f t="shared" si="143"/>
        <v>1.6129032258064516E-2</v>
      </c>
      <c r="AA160" s="19"/>
      <c r="AB160" s="19"/>
      <c r="AC160" s="20"/>
      <c r="AE160" s="111"/>
      <c r="AF160" s="111"/>
      <c r="AG160" s="111"/>
      <c r="AH160" s="651"/>
      <c r="AI160" s="131"/>
      <c r="AK160" s="111"/>
      <c r="AL160" s="111"/>
      <c r="AM160" s="111"/>
      <c r="AN160" s="651"/>
      <c r="AO160" s="131"/>
      <c r="AQ160" s="20"/>
      <c r="AR160" s="20"/>
      <c r="AS160" s="20"/>
      <c r="AT160" s="17">
        <f t="shared" si="144"/>
        <v>1</v>
      </c>
      <c r="AU160" s="19">
        <f t="shared" si="145"/>
        <v>3.0303030303030304E-2</v>
      </c>
      <c r="AW160" s="17"/>
      <c r="AX160" s="17"/>
      <c r="AY160" s="17"/>
      <c r="AZ160" s="424">
        <f t="shared" si="147"/>
        <v>0</v>
      </c>
      <c r="BA160" s="19">
        <f t="shared" si="146"/>
        <v>0</v>
      </c>
    </row>
    <row r="161" spans="1:53" ht="17.100000000000001" customHeight="1" x14ac:dyDescent="0.25">
      <c r="A161" s="40"/>
      <c r="B161" s="40"/>
      <c r="C161" s="40"/>
      <c r="D161" s="74" t="s">
        <v>583</v>
      </c>
      <c r="E161" s="85" t="s">
        <v>584</v>
      </c>
      <c r="F161" s="75"/>
      <c r="G161" s="76"/>
      <c r="H161" s="316"/>
      <c r="I161" s="230"/>
      <c r="J161" s="174"/>
      <c r="K161" s="174"/>
      <c r="L161" s="111"/>
      <c r="M161" s="111"/>
      <c r="N161" s="61">
        <v>2</v>
      </c>
      <c r="O161" s="61">
        <v>3</v>
      </c>
      <c r="P161" s="593">
        <f t="shared" si="137"/>
        <v>5</v>
      </c>
      <c r="Q161" s="61">
        <v>1</v>
      </c>
      <c r="R161" s="61"/>
      <c r="S161" s="593">
        <f t="shared" si="138"/>
        <v>1</v>
      </c>
      <c r="T161" s="61"/>
      <c r="U161" s="61">
        <v>2</v>
      </c>
      <c r="V161" s="593">
        <f t="shared" si="139"/>
        <v>2</v>
      </c>
      <c r="W161" s="391">
        <f t="shared" si="140"/>
        <v>3</v>
      </c>
      <c r="X161" s="17">
        <f t="shared" si="141"/>
        <v>5</v>
      </c>
      <c r="Y161" s="18">
        <f t="shared" si="142"/>
        <v>8</v>
      </c>
      <c r="Z161" s="19">
        <f t="shared" si="143"/>
        <v>0.12903225806451613</v>
      </c>
      <c r="AA161" s="19"/>
      <c r="AB161" s="19"/>
      <c r="AC161" s="20"/>
      <c r="AE161" s="111"/>
      <c r="AF161" s="111"/>
      <c r="AG161" s="111"/>
      <c r="AH161" s="651"/>
      <c r="AI161" s="131"/>
      <c r="AK161" s="111"/>
      <c r="AL161" s="111"/>
      <c r="AM161" s="111"/>
      <c r="AN161" s="651"/>
      <c r="AO161" s="131"/>
      <c r="AQ161" s="20"/>
      <c r="AR161" s="20"/>
      <c r="AS161" s="20"/>
      <c r="AT161" s="17">
        <f t="shared" si="144"/>
        <v>3</v>
      </c>
      <c r="AU161" s="19">
        <f t="shared" si="145"/>
        <v>9.0909090909090912E-2</v>
      </c>
      <c r="AW161" s="17"/>
      <c r="AX161" s="17"/>
      <c r="AY161" s="17"/>
      <c r="AZ161" s="424">
        <f t="shared" si="147"/>
        <v>5</v>
      </c>
      <c r="BA161" s="19">
        <f t="shared" si="146"/>
        <v>0.17241379310344829</v>
      </c>
    </row>
    <row r="162" spans="1:53" ht="17.100000000000001" customHeight="1" x14ac:dyDescent="0.25">
      <c r="A162" s="40"/>
      <c r="B162" s="40"/>
      <c r="C162" s="40"/>
      <c r="D162" s="74" t="s">
        <v>585</v>
      </c>
      <c r="E162" s="85" t="s">
        <v>586</v>
      </c>
      <c r="F162" s="75"/>
      <c r="G162" s="76"/>
      <c r="H162" s="316"/>
      <c r="I162" s="230"/>
      <c r="J162" s="174"/>
      <c r="K162" s="174"/>
      <c r="L162" s="111"/>
      <c r="M162" s="111"/>
      <c r="N162" s="60">
        <v>3</v>
      </c>
      <c r="O162" s="60">
        <v>4</v>
      </c>
      <c r="P162" s="593">
        <f t="shared" si="137"/>
        <v>7</v>
      </c>
      <c r="Q162" s="60"/>
      <c r="R162" s="60"/>
      <c r="S162" s="593">
        <f t="shared" si="138"/>
        <v>0</v>
      </c>
      <c r="T162" s="60"/>
      <c r="U162" s="60"/>
      <c r="V162" s="593">
        <f t="shared" si="139"/>
        <v>0</v>
      </c>
      <c r="W162" s="391">
        <f t="shared" si="140"/>
        <v>3</v>
      </c>
      <c r="X162" s="17">
        <f t="shared" si="141"/>
        <v>4</v>
      </c>
      <c r="Y162" s="18">
        <f t="shared" si="142"/>
        <v>7</v>
      </c>
      <c r="Z162" s="19">
        <f t="shared" si="143"/>
        <v>0.11290322580645161</v>
      </c>
      <c r="AA162" s="19"/>
      <c r="AB162" s="19"/>
      <c r="AC162" s="20"/>
      <c r="AE162" s="111"/>
      <c r="AF162" s="111"/>
      <c r="AG162" s="111"/>
      <c r="AH162" s="651"/>
      <c r="AI162" s="131"/>
      <c r="AK162" s="111"/>
      <c r="AL162" s="111"/>
      <c r="AM162" s="111"/>
      <c r="AN162" s="651"/>
      <c r="AO162" s="131"/>
      <c r="AQ162" s="20"/>
      <c r="AR162" s="20"/>
      <c r="AS162" s="20"/>
      <c r="AT162" s="17">
        <f t="shared" si="144"/>
        <v>3</v>
      </c>
      <c r="AU162" s="19">
        <f t="shared" si="145"/>
        <v>9.0909090909090912E-2</v>
      </c>
      <c r="AW162" s="17"/>
      <c r="AX162" s="17"/>
      <c r="AY162" s="17"/>
      <c r="AZ162" s="424">
        <f t="shared" si="147"/>
        <v>4</v>
      </c>
      <c r="BA162" s="19">
        <f t="shared" si="146"/>
        <v>0.13793103448275862</v>
      </c>
    </row>
    <row r="163" spans="1:53" ht="17.100000000000001" customHeight="1" x14ac:dyDescent="0.25">
      <c r="A163" s="40"/>
      <c r="B163" s="40"/>
      <c r="C163" s="40"/>
      <c r="D163" s="56" t="s">
        <v>587</v>
      </c>
      <c r="E163" s="75" t="s">
        <v>588</v>
      </c>
      <c r="F163" s="284"/>
      <c r="G163" s="285"/>
      <c r="H163" s="319"/>
      <c r="I163" s="308"/>
      <c r="J163" s="111"/>
      <c r="K163" s="111"/>
      <c r="L163" s="111"/>
      <c r="M163" s="111"/>
      <c r="N163" s="111">
        <f t="shared" ref="N163:U163" si="148">SUM(N164:N168)</f>
        <v>0</v>
      </c>
      <c r="O163" s="111">
        <f t="shared" si="148"/>
        <v>0</v>
      </c>
      <c r="P163" s="111">
        <f t="shared" si="137"/>
        <v>0</v>
      </c>
      <c r="Q163" s="111">
        <f t="shared" si="148"/>
        <v>0</v>
      </c>
      <c r="R163" s="111">
        <f t="shared" si="148"/>
        <v>0</v>
      </c>
      <c r="S163" s="111">
        <f t="shared" si="138"/>
        <v>0</v>
      </c>
      <c r="T163" s="111">
        <f t="shared" si="148"/>
        <v>5</v>
      </c>
      <c r="U163" s="111">
        <f t="shared" si="148"/>
        <v>5</v>
      </c>
      <c r="V163" s="111">
        <f t="shared" si="139"/>
        <v>10</v>
      </c>
      <c r="W163" s="380">
        <f t="shared" si="140"/>
        <v>5</v>
      </c>
      <c r="X163" s="111">
        <f t="shared" si="141"/>
        <v>5</v>
      </c>
      <c r="Y163" s="651">
        <f t="shared" si="142"/>
        <v>10</v>
      </c>
      <c r="Z163" s="131">
        <f t="shared" si="143"/>
        <v>0.16129032258064516</v>
      </c>
      <c r="AA163" s="131"/>
      <c r="AB163" s="131"/>
      <c r="AC163" s="113"/>
      <c r="AE163" s="111"/>
      <c r="AF163" s="111"/>
      <c r="AG163" s="111"/>
      <c r="AH163" s="651"/>
      <c r="AI163" s="131"/>
      <c r="AK163" s="111"/>
      <c r="AL163" s="111"/>
      <c r="AM163" s="111"/>
      <c r="AN163" s="651"/>
      <c r="AO163" s="131"/>
      <c r="AQ163" s="111"/>
      <c r="AR163" s="111"/>
      <c r="AS163" s="111"/>
      <c r="AT163" s="111">
        <f t="shared" si="144"/>
        <v>5</v>
      </c>
      <c r="AU163" s="131">
        <f t="shared" si="145"/>
        <v>0.15151515151515152</v>
      </c>
      <c r="AW163" s="111"/>
      <c r="AX163" s="111"/>
      <c r="AY163" s="111"/>
      <c r="AZ163" s="111">
        <f t="shared" si="147"/>
        <v>5</v>
      </c>
      <c r="BA163" s="131">
        <f t="shared" si="146"/>
        <v>0.17241379310344829</v>
      </c>
    </row>
    <row r="164" spans="1:53" ht="17.100000000000001" customHeight="1" x14ac:dyDescent="0.25">
      <c r="A164" s="40"/>
      <c r="B164" s="40"/>
      <c r="C164" s="40"/>
      <c r="D164" s="74"/>
      <c r="E164" s="1335" t="s">
        <v>1838</v>
      </c>
      <c r="F164" s="287"/>
      <c r="G164" s="288"/>
      <c r="H164" s="46"/>
      <c r="I164" s="641"/>
      <c r="J164" s="174"/>
      <c r="K164" s="174"/>
      <c r="L164" s="111"/>
      <c r="M164" s="111"/>
      <c r="N164" s="60"/>
      <c r="O164" s="60"/>
      <c r="P164" s="593">
        <f t="shared" si="137"/>
        <v>0</v>
      </c>
      <c r="Q164" s="60"/>
      <c r="R164" s="60"/>
      <c r="S164" s="593">
        <f t="shared" ref="S164:S168" si="149">SUM(Q164:R164)</f>
        <v>0</v>
      </c>
      <c r="T164" s="60">
        <v>2</v>
      </c>
      <c r="U164" s="60">
        <v>2</v>
      </c>
      <c r="V164" s="593">
        <f t="shared" ref="V164:V168" si="150">SUM(T164:U164)</f>
        <v>4</v>
      </c>
      <c r="W164" s="391">
        <f t="shared" ref="W164:W168" si="151">J164+K164+N164+Q164+T164</f>
        <v>2</v>
      </c>
      <c r="X164" s="17">
        <f t="shared" ref="X164:X168" si="152">L164+O164+R164+U164</f>
        <v>2</v>
      </c>
      <c r="Y164" s="18">
        <f t="shared" ref="Y164:Y168" si="153">SUM(W164:X164)</f>
        <v>4</v>
      </c>
      <c r="Z164" s="19"/>
      <c r="AA164" s="19"/>
      <c r="AB164" s="19"/>
      <c r="AC164" s="20"/>
      <c r="AE164" s="111"/>
      <c r="AF164" s="111"/>
      <c r="AG164" s="113"/>
      <c r="AH164" s="131"/>
      <c r="AI164" s="113"/>
      <c r="AK164" s="111"/>
      <c r="AL164" s="111"/>
      <c r="AM164" s="113"/>
      <c r="AN164" s="131"/>
      <c r="AO164" s="113"/>
      <c r="AQ164" s="20"/>
      <c r="AR164" s="20"/>
      <c r="AS164" s="20"/>
      <c r="AT164" s="20"/>
      <c r="AU164" s="20"/>
      <c r="AW164" s="17"/>
      <c r="AX164" s="17"/>
      <c r="AY164" s="20"/>
      <c r="AZ164" s="19"/>
      <c r="BA164" s="20"/>
    </row>
    <row r="165" spans="1:53" ht="17.100000000000001" customHeight="1" x14ac:dyDescent="0.25">
      <c r="A165" s="40"/>
      <c r="B165" s="40"/>
      <c r="C165" s="40"/>
      <c r="D165" s="74"/>
      <c r="E165" s="1317" t="s">
        <v>1839</v>
      </c>
      <c r="F165" s="290"/>
      <c r="G165" s="291"/>
      <c r="H165" s="46"/>
      <c r="I165" s="641"/>
      <c r="J165" s="174"/>
      <c r="K165" s="174"/>
      <c r="L165" s="111"/>
      <c r="M165" s="111"/>
      <c r="N165" s="61"/>
      <c r="O165" s="61"/>
      <c r="P165" s="593">
        <f t="shared" si="137"/>
        <v>0</v>
      </c>
      <c r="Q165" s="61"/>
      <c r="R165" s="61"/>
      <c r="S165" s="593">
        <f t="shared" si="149"/>
        <v>0</v>
      </c>
      <c r="T165" s="61">
        <v>1</v>
      </c>
      <c r="U165" s="61">
        <v>1</v>
      </c>
      <c r="V165" s="593">
        <f t="shared" si="150"/>
        <v>2</v>
      </c>
      <c r="W165" s="391">
        <f t="shared" si="151"/>
        <v>1</v>
      </c>
      <c r="X165" s="17">
        <f t="shared" si="152"/>
        <v>1</v>
      </c>
      <c r="Y165" s="18">
        <f t="shared" si="153"/>
        <v>2</v>
      </c>
      <c r="Z165" s="19"/>
      <c r="AA165" s="19"/>
      <c r="AB165" s="19"/>
      <c r="AC165" s="20"/>
      <c r="AE165" s="111"/>
      <c r="AF165" s="111"/>
      <c r="AG165" s="113"/>
      <c r="AH165" s="131"/>
      <c r="AI165" s="113"/>
      <c r="AK165" s="111"/>
      <c r="AL165" s="111"/>
      <c r="AM165" s="113"/>
      <c r="AN165" s="131"/>
      <c r="AO165" s="113"/>
      <c r="AQ165" s="20"/>
      <c r="AR165" s="20"/>
      <c r="AS165" s="20"/>
      <c r="AT165" s="20"/>
      <c r="AU165" s="20"/>
      <c r="AW165" s="17"/>
      <c r="AX165" s="17"/>
      <c r="AY165" s="20"/>
      <c r="AZ165" s="19"/>
      <c r="BA165" s="20"/>
    </row>
    <row r="166" spans="1:53" ht="17.100000000000001" customHeight="1" x14ac:dyDescent="0.25">
      <c r="A166" s="40"/>
      <c r="B166" s="40"/>
      <c r="C166" s="40"/>
      <c r="D166" s="74"/>
      <c r="E166" s="298" t="s">
        <v>1841</v>
      </c>
      <c r="F166" s="287"/>
      <c r="G166" s="288"/>
      <c r="H166" s="46"/>
      <c r="I166" s="641"/>
      <c r="J166" s="174"/>
      <c r="K166" s="174"/>
      <c r="L166" s="111"/>
      <c r="M166" s="111"/>
      <c r="N166" s="60"/>
      <c r="O166" s="60"/>
      <c r="P166" s="593">
        <f t="shared" si="137"/>
        <v>0</v>
      </c>
      <c r="Q166" s="60"/>
      <c r="R166" s="60"/>
      <c r="S166" s="593">
        <f t="shared" si="149"/>
        <v>0</v>
      </c>
      <c r="T166" s="60"/>
      <c r="U166" s="60"/>
      <c r="V166" s="593">
        <f t="shared" si="150"/>
        <v>0</v>
      </c>
      <c r="W166" s="391">
        <f t="shared" si="151"/>
        <v>0</v>
      </c>
      <c r="X166" s="17">
        <f t="shared" si="152"/>
        <v>0</v>
      </c>
      <c r="Y166" s="18">
        <f t="shared" si="153"/>
        <v>0</v>
      </c>
      <c r="Z166" s="19"/>
      <c r="AA166" s="19"/>
      <c r="AB166" s="19"/>
      <c r="AC166" s="20"/>
      <c r="AE166" s="111"/>
      <c r="AF166" s="111"/>
      <c r="AG166" s="113"/>
      <c r="AH166" s="131"/>
      <c r="AI166" s="113"/>
      <c r="AK166" s="111"/>
      <c r="AL166" s="111"/>
      <c r="AM166" s="113"/>
      <c r="AN166" s="131"/>
      <c r="AO166" s="113"/>
      <c r="AQ166" s="20"/>
      <c r="AR166" s="20"/>
      <c r="AS166" s="20"/>
      <c r="AT166" s="20"/>
      <c r="AU166" s="20"/>
      <c r="AW166" s="17"/>
      <c r="AX166" s="17"/>
      <c r="AY166" s="20"/>
      <c r="AZ166" s="19"/>
      <c r="BA166" s="20"/>
    </row>
    <row r="167" spans="1:53" ht="17.100000000000001" customHeight="1" x14ac:dyDescent="0.25">
      <c r="A167" s="40"/>
      <c r="B167" s="40"/>
      <c r="C167" s="40"/>
      <c r="D167" s="74"/>
      <c r="E167" s="1317"/>
      <c r="F167" s="290"/>
      <c r="G167" s="291"/>
      <c r="H167" s="46"/>
      <c r="I167" s="641"/>
      <c r="J167" s="174"/>
      <c r="K167" s="174"/>
      <c r="L167" s="111"/>
      <c r="M167" s="111"/>
      <c r="N167" s="61"/>
      <c r="O167" s="61"/>
      <c r="P167" s="593">
        <f t="shared" si="137"/>
        <v>0</v>
      </c>
      <c r="Q167" s="61"/>
      <c r="R167" s="61"/>
      <c r="S167" s="593">
        <f t="shared" si="149"/>
        <v>0</v>
      </c>
      <c r="T167" s="61"/>
      <c r="U167" s="61"/>
      <c r="V167" s="593"/>
      <c r="W167" s="391"/>
      <c r="X167" s="17"/>
      <c r="Y167" s="18"/>
      <c r="Z167" s="19"/>
      <c r="AA167" s="19"/>
      <c r="AB167" s="19"/>
      <c r="AC167" s="20"/>
      <c r="AE167" s="111"/>
      <c r="AF167" s="111"/>
      <c r="AG167" s="113"/>
      <c r="AH167" s="131"/>
      <c r="AI167" s="113"/>
      <c r="AK167" s="111"/>
      <c r="AL167" s="111"/>
      <c r="AM167" s="113"/>
      <c r="AN167" s="131"/>
      <c r="AO167" s="113"/>
      <c r="AQ167" s="20"/>
      <c r="AR167" s="20"/>
      <c r="AS167" s="20"/>
      <c r="AT167" s="20"/>
      <c r="AU167" s="20"/>
      <c r="AW167" s="17"/>
      <c r="AX167" s="17"/>
      <c r="AY167" s="20"/>
      <c r="AZ167" s="19"/>
      <c r="BA167" s="20"/>
    </row>
    <row r="168" spans="1:53" ht="17.100000000000001" customHeight="1" x14ac:dyDescent="0.25">
      <c r="A168" s="40"/>
      <c r="B168" s="40"/>
      <c r="C168" s="40"/>
      <c r="D168" s="74"/>
      <c r="E168" s="298" t="s">
        <v>1840</v>
      </c>
      <c r="F168" s="287"/>
      <c r="G168" s="288"/>
      <c r="H168" s="46"/>
      <c r="I168" s="641"/>
      <c r="J168" s="174"/>
      <c r="K168" s="174"/>
      <c r="L168" s="111"/>
      <c r="M168" s="111"/>
      <c r="N168" s="60"/>
      <c r="O168" s="60"/>
      <c r="P168" s="593">
        <f t="shared" si="137"/>
        <v>0</v>
      </c>
      <c r="Q168" s="60"/>
      <c r="R168" s="60"/>
      <c r="S168" s="593">
        <f t="shared" si="149"/>
        <v>0</v>
      </c>
      <c r="T168" s="60">
        <v>2</v>
      </c>
      <c r="U168" s="60">
        <v>2</v>
      </c>
      <c r="V168" s="593">
        <f t="shared" si="150"/>
        <v>4</v>
      </c>
      <c r="W168" s="391">
        <f t="shared" si="151"/>
        <v>2</v>
      </c>
      <c r="X168" s="17">
        <f t="shared" si="152"/>
        <v>2</v>
      </c>
      <c r="Y168" s="18">
        <f t="shared" si="153"/>
        <v>4</v>
      </c>
      <c r="Z168" s="19"/>
      <c r="AA168" s="19"/>
      <c r="AB168" s="19"/>
      <c r="AC168" s="20"/>
      <c r="AE168" s="111"/>
      <c r="AF168" s="111"/>
      <c r="AG168" s="113"/>
      <c r="AH168" s="131"/>
      <c r="AI168" s="113"/>
      <c r="AK168" s="111"/>
      <c r="AL168" s="111"/>
      <c r="AM168" s="113"/>
      <c r="AN168" s="131"/>
      <c r="AO168" s="113"/>
      <c r="AQ168" s="20"/>
      <c r="AR168" s="20"/>
      <c r="AS168" s="20"/>
      <c r="AT168" s="20"/>
      <c r="AU168" s="20"/>
      <c r="AW168" s="17"/>
      <c r="AX168" s="17"/>
      <c r="AY168" s="20"/>
      <c r="AZ168" s="19"/>
      <c r="BA168" s="20"/>
    </row>
    <row r="169" spans="1:53" ht="17.100000000000001" customHeight="1" x14ac:dyDescent="0.25">
      <c r="A169" s="40"/>
      <c r="B169" s="40"/>
      <c r="C169" s="292"/>
      <c r="D169" s="144"/>
      <c r="E169" s="144"/>
      <c r="F169" s="145"/>
      <c r="G169" s="283"/>
      <c r="H169" s="119"/>
      <c r="I169" s="236"/>
      <c r="J169" s="64"/>
      <c r="K169" s="64"/>
      <c r="L169" s="81"/>
      <c r="M169" s="81"/>
      <c r="N169" s="81">
        <f>SUM(N154:N163)</f>
        <v>7</v>
      </c>
      <c r="O169" s="81">
        <f t="shared" ref="O169:Y169" si="154">SUM(O154:O163)</f>
        <v>12</v>
      </c>
      <c r="P169" s="81">
        <f t="shared" si="154"/>
        <v>19</v>
      </c>
      <c r="Q169" s="81">
        <f t="shared" si="154"/>
        <v>12</v>
      </c>
      <c r="R169" s="81">
        <f t="shared" si="154"/>
        <v>2</v>
      </c>
      <c r="S169" s="81">
        <f t="shared" si="154"/>
        <v>14</v>
      </c>
      <c r="T169" s="81">
        <f t="shared" si="154"/>
        <v>14</v>
      </c>
      <c r="U169" s="81">
        <f t="shared" si="154"/>
        <v>15</v>
      </c>
      <c r="V169" s="81">
        <f t="shared" si="154"/>
        <v>29</v>
      </c>
      <c r="W169" s="82">
        <f t="shared" si="154"/>
        <v>33</v>
      </c>
      <c r="X169" s="82">
        <f t="shared" si="154"/>
        <v>29</v>
      </c>
      <c r="Y169" s="82">
        <f t="shared" si="154"/>
        <v>62</v>
      </c>
      <c r="Z169" s="205">
        <f>IF(Y$169=0,0,Y169/Y$169)</f>
        <v>1</v>
      </c>
      <c r="AA169" s="205"/>
      <c r="AB169" s="205"/>
      <c r="AC169" s="83"/>
      <c r="AE169" s="81"/>
      <c r="AF169" s="81"/>
      <c r="AG169" s="82"/>
      <c r="AH169" s="82"/>
      <c r="AI169" s="66"/>
      <c r="AK169" s="81"/>
      <c r="AL169" s="81"/>
      <c r="AM169" s="82"/>
      <c r="AN169" s="82"/>
      <c r="AO169" s="66"/>
      <c r="AQ169" s="81"/>
      <c r="AR169" s="81"/>
      <c r="AS169" s="82"/>
      <c r="AT169" s="82">
        <f>SUM(AT154:AT163)</f>
        <v>33</v>
      </c>
      <c r="AU169" s="66">
        <f t="shared" ref="AU169" si="155">IF(AT$169=0,0,AT169/AT$169)</f>
        <v>1</v>
      </c>
      <c r="AW169" s="81"/>
      <c r="AX169" s="81"/>
      <c r="AY169" s="82"/>
      <c r="AZ169" s="82">
        <f>SUM(AZ154:AZ163)</f>
        <v>29</v>
      </c>
      <c r="BA169" s="66">
        <f t="shared" ref="BA169" si="156">IF(AZ$169=0,0,AZ169/AZ$169)</f>
        <v>1</v>
      </c>
    </row>
    <row r="170" spans="1:53" s="117" customFormat="1" ht="17.100000000000001" customHeight="1" x14ac:dyDescent="0.25">
      <c r="A170" s="119"/>
      <c r="B170" s="119"/>
      <c r="C170" s="420"/>
      <c r="D170" s="261"/>
      <c r="E170" s="261"/>
      <c r="F170" s="68"/>
      <c r="G170" s="210"/>
      <c r="H170" s="119"/>
      <c r="I170" s="236"/>
      <c r="J170" s="198"/>
      <c r="K170" s="198"/>
      <c r="L170" s="17"/>
      <c r="M170" s="17"/>
      <c r="N170" s="17"/>
      <c r="O170" s="17"/>
      <c r="P170" s="17"/>
      <c r="Q170" s="17"/>
      <c r="R170" s="17"/>
      <c r="S170" s="17"/>
      <c r="T170" s="17"/>
      <c r="U170" s="17"/>
      <c r="V170" s="17"/>
      <c r="W170" s="646"/>
      <c r="X170" s="646"/>
      <c r="Y170" s="646"/>
      <c r="Z170" s="201"/>
      <c r="AA170" s="201"/>
      <c r="AB170" s="201"/>
      <c r="AC170" s="84"/>
      <c r="AE170" s="17"/>
      <c r="AF170" s="17"/>
      <c r="AG170" s="646"/>
      <c r="AH170" s="646"/>
      <c r="AI170" s="91"/>
      <c r="AK170" s="17"/>
      <c r="AL170" s="17"/>
      <c r="AM170" s="646"/>
      <c r="AN170" s="646"/>
      <c r="AO170" s="91"/>
      <c r="AQ170" s="17"/>
      <c r="AR170" s="17"/>
      <c r="AS170" s="646"/>
      <c r="AT170" s="646"/>
      <c r="AU170" s="91"/>
      <c r="AW170" s="17"/>
      <c r="AX170" s="17"/>
      <c r="AY170" s="646"/>
      <c r="AZ170" s="17"/>
      <c r="BA170" s="91"/>
    </row>
    <row r="171" spans="1:53" ht="17.100000000000001" customHeight="1" x14ac:dyDescent="0.25">
      <c r="A171" s="40"/>
      <c r="B171" s="41" t="s">
        <v>116</v>
      </c>
      <c r="C171" s="42" t="s">
        <v>12</v>
      </c>
      <c r="D171" s="43"/>
      <c r="E171" s="43"/>
      <c r="F171" s="43"/>
      <c r="G171" s="44"/>
      <c r="H171" s="23"/>
      <c r="I171" s="229"/>
      <c r="J171" s="71"/>
      <c r="K171" s="71"/>
      <c r="L171" s="71"/>
      <c r="M171" s="71"/>
      <c r="N171" s="71"/>
      <c r="O171" s="71"/>
      <c r="P171" s="71"/>
      <c r="Q171" s="71"/>
      <c r="R171" s="71"/>
      <c r="S171" s="71"/>
      <c r="T171" s="71"/>
      <c r="U171" s="71"/>
      <c r="V171" s="71"/>
      <c r="W171" s="71"/>
      <c r="X171" s="71"/>
      <c r="Y171" s="71"/>
      <c r="Z171" s="73"/>
      <c r="AA171" s="73"/>
      <c r="AB171" s="73"/>
      <c r="AC171" s="73"/>
      <c r="AE171" s="71"/>
      <c r="AF171" s="71"/>
      <c r="AG171" s="73"/>
      <c r="AH171" s="73"/>
      <c r="AI171" s="73"/>
      <c r="AK171" s="71"/>
      <c r="AL171" s="71"/>
      <c r="AM171" s="73"/>
      <c r="AN171" s="73"/>
      <c r="AO171" s="73"/>
      <c r="AQ171" s="71"/>
      <c r="AR171" s="71"/>
      <c r="AS171" s="73"/>
      <c r="AT171" s="73"/>
      <c r="AU171" s="73"/>
      <c r="AW171" s="71"/>
      <c r="AX171" s="71"/>
      <c r="AY171" s="73"/>
      <c r="AZ171" s="73"/>
      <c r="BA171" s="73"/>
    </row>
    <row r="172" spans="1:53" s="97" customFormat="1" ht="17.100000000000001" customHeight="1" x14ac:dyDescent="0.25">
      <c r="A172" s="68"/>
      <c r="B172" s="68"/>
      <c r="C172" s="92"/>
      <c r="D172" s="93"/>
      <c r="E172" s="93"/>
      <c r="F172" s="93"/>
      <c r="G172" s="93"/>
      <c r="H172" s="12"/>
      <c r="I172" s="12"/>
    </row>
    <row r="173" spans="1:53" s="32" customFormat="1" ht="16.5" thickBot="1" x14ac:dyDescent="0.3">
      <c r="A173" s="24" t="s">
        <v>150</v>
      </c>
      <c r="B173" s="25" t="s">
        <v>589</v>
      </c>
      <c r="C173" s="26"/>
      <c r="D173" s="27"/>
      <c r="E173" s="27"/>
      <c r="F173" s="27"/>
      <c r="G173" s="27"/>
      <c r="H173" s="310"/>
      <c r="I173" s="14"/>
      <c r="J173" s="140"/>
      <c r="K173" s="140"/>
      <c r="L173" s="140"/>
      <c r="M173" s="140"/>
      <c r="N173" s="140"/>
      <c r="O173" s="140"/>
      <c r="P173" s="140"/>
      <c r="Q173" s="140"/>
      <c r="R173" s="140"/>
      <c r="S173" s="140"/>
      <c r="T173" s="140"/>
      <c r="U173" s="140"/>
      <c r="V173" s="140"/>
      <c r="W173" s="140"/>
      <c r="X173" s="140"/>
      <c r="Y173" s="140"/>
      <c r="Z173" s="31" t="s">
        <v>5</v>
      </c>
      <c r="AA173" s="31"/>
      <c r="AB173" s="31"/>
      <c r="AC173" s="24"/>
      <c r="AE173" s="33" t="s">
        <v>181</v>
      </c>
      <c r="AF173" s="33" t="s">
        <v>182</v>
      </c>
      <c r="AG173" s="33" t="s">
        <v>6</v>
      </c>
      <c r="AH173" s="33" t="s">
        <v>4</v>
      </c>
      <c r="AI173" s="34" t="s">
        <v>5</v>
      </c>
      <c r="AJ173" s="35"/>
      <c r="AK173" s="36" t="s">
        <v>181</v>
      </c>
      <c r="AL173" s="36" t="s">
        <v>182</v>
      </c>
      <c r="AM173" s="36" t="s">
        <v>6</v>
      </c>
      <c r="AN173" s="36" t="s">
        <v>4</v>
      </c>
      <c r="AO173" s="37" t="s">
        <v>5</v>
      </c>
      <c r="AQ173" s="398" t="s">
        <v>181</v>
      </c>
      <c r="AR173" s="398" t="s">
        <v>182</v>
      </c>
      <c r="AS173" s="398" t="s">
        <v>6</v>
      </c>
      <c r="AT173" s="398" t="s">
        <v>4</v>
      </c>
      <c r="AU173" s="399" t="s">
        <v>5</v>
      </c>
      <c r="AW173" s="38" t="s">
        <v>181</v>
      </c>
      <c r="AX173" s="38" t="s">
        <v>182</v>
      </c>
      <c r="AY173" s="38" t="s">
        <v>6</v>
      </c>
      <c r="AZ173" s="38" t="s">
        <v>4</v>
      </c>
      <c r="BA173" s="39" t="s">
        <v>5</v>
      </c>
    </row>
    <row r="174" spans="1:53" ht="17.100000000000001" customHeight="1" x14ac:dyDescent="0.25">
      <c r="A174" s="40"/>
      <c r="B174" s="41" t="s">
        <v>152</v>
      </c>
      <c r="C174" s="274" t="s">
        <v>615</v>
      </c>
      <c r="D174" s="43"/>
      <c r="E174" s="43"/>
      <c r="F174" s="43"/>
      <c r="G174" s="43"/>
      <c r="H174" s="321"/>
      <c r="I174" s="12"/>
      <c r="J174" s="73"/>
      <c r="K174" s="73"/>
      <c r="L174" s="73"/>
      <c r="M174" s="73"/>
      <c r="N174" s="73"/>
      <c r="O174" s="73"/>
      <c r="P174" s="73"/>
      <c r="Q174" s="73"/>
      <c r="R174" s="73"/>
      <c r="S174" s="73"/>
      <c r="T174" s="73"/>
      <c r="U174" s="73"/>
      <c r="V174" s="73"/>
      <c r="W174" s="73"/>
      <c r="X174" s="73"/>
      <c r="Y174" s="73"/>
      <c r="Z174" s="73"/>
      <c r="AA174" s="73"/>
      <c r="AB174" s="73"/>
      <c r="AC174" s="73"/>
      <c r="AE174" s="73"/>
      <c r="AF174" s="73"/>
      <c r="AG174" s="73"/>
      <c r="AH174" s="73"/>
      <c r="AI174" s="73"/>
      <c r="AK174" s="73"/>
      <c r="AL174" s="73"/>
      <c r="AM174" s="73"/>
      <c r="AN174" s="73"/>
      <c r="AO174" s="73"/>
      <c r="AQ174" s="71"/>
      <c r="AR174" s="71"/>
      <c r="AS174" s="71"/>
      <c r="AT174" s="72"/>
      <c r="AU174" s="73"/>
      <c r="AW174" s="73"/>
      <c r="AX174" s="73"/>
      <c r="AY174" s="73"/>
      <c r="AZ174" s="73"/>
      <c r="BA174" s="73"/>
    </row>
    <row r="175" spans="1:53" s="4" customFormat="1" ht="17.100000000000001" customHeight="1" x14ac:dyDescent="0.25">
      <c r="A175" s="102"/>
      <c r="B175" s="102"/>
      <c r="C175" s="74" t="s">
        <v>153</v>
      </c>
      <c r="D175" s="85" t="s">
        <v>590</v>
      </c>
      <c r="E175" s="75"/>
      <c r="F175" s="75"/>
      <c r="G175" s="106"/>
      <c r="H175" s="647"/>
      <c r="I175" s="231"/>
      <c r="J175" s="174"/>
      <c r="K175" s="174"/>
      <c r="L175" s="111"/>
      <c r="M175" s="111"/>
      <c r="N175" s="60"/>
      <c r="O175" s="60"/>
      <c r="P175" s="17">
        <f t="shared" ref="P175:P187" si="157">SUM(N175:O175)</f>
        <v>0</v>
      </c>
      <c r="Q175" s="60"/>
      <c r="R175" s="60"/>
      <c r="S175" s="17">
        <f t="shared" ref="S175:S187" si="158">SUM(Q175:R175)</f>
        <v>0</v>
      </c>
      <c r="T175" s="60"/>
      <c r="U175" s="60"/>
      <c r="V175" s="17">
        <f t="shared" ref="V175:V181" si="159">SUM(T175:U175)</f>
        <v>0</v>
      </c>
      <c r="W175" s="391">
        <f t="shared" ref="W175:W181" si="160">J175+K175+N175+Q175+T175</f>
        <v>0</v>
      </c>
      <c r="X175" s="17">
        <f t="shared" ref="X175:X181" si="161">L175+O175+R175+U175</f>
        <v>0</v>
      </c>
      <c r="Y175" s="18">
        <f t="shared" ref="Y175:Y181" si="162">SUM(W175:X175)</f>
        <v>0</v>
      </c>
      <c r="Z175" s="19">
        <f t="shared" ref="Z175:Z181" si="163">IF(Y$188=0,0,Y175/Y$188)</f>
        <v>0</v>
      </c>
      <c r="AA175" s="19"/>
      <c r="AB175" s="19"/>
      <c r="AC175" s="20"/>
      <c r="AE175" s="111"/>
      <c r="AF175" s="111"/>
      <c r="AG175" s="111"/>
      <c r="AH175" s="651"/>
      <c r="AI175" s="131"/>
      <c r="AJ175" s="3"/>
      <c r="AK175" s="111"/>
      <c r="AL175" s="111"/>
      <c r="AM175" s="111"/>
      <c r="AN175" s="651"/>
      <c r="AO175" s="131"/>
      <c r="AP175" s="3"/>
      <c r="AQ175" s="20"/>
      <c r="AR175" s="20"/>
      <c r="AS175" s="20"/>
      <c r="AT175" s="17">
        <f t="shared" ref="AT175:AT181" si="164">W175</f>
        <v>0</v>
      </c>
      <c r="AU175" s="19">
        <f>IF(AT$169=0,0,AT175/AT$169)</f>
        <v>0</v>
      </c>
      <c r="AV175" s="3"/>
      <c r="AW175" s="17"/>
      <c r="AX175" s="17"/>
      <c r="AY175" s="17"/>
      <c r="AZ175" s="424">
        <f>X175</f>
        <v>0</v>
      </c>
      <c r="BA175" s="19">
        <f>IF(AZ$169=0,0,AZ175/AZ$169)</f>
        <v>0</v>
      </c>
    </row>
    <row r="176" spans="1:53" s="4" customFormat="1" ht="17.100000000000001" customHeight="1" x14ac:dyDescent="0.25">
      <c r="A176" s="102"/>
      <c r="B176" s="102"/>
      <c r="C176" s="74" t="s">
        <v>154</v>
      </c>
      <c r="D176" s="85" t="s">
        <v>591</v>
      </c>
      <c r="E176" s="75"/>
      <c r="F176" s="75"/>
      <c r="G176" s="106"/>
      <c r="H176" s="647"/>
      <c r="I176" s="231"/>
      <c r="J176" s="174"/>
      <c r="K176" s="174"/>
      <c r="L176" s="111"/>
      <c r="M176" s="111"/>
      <c r="N176" s="61"/>
      <c r="O176" s="61"/>
      <c r="P176" s="17">
        <f t="shared" si="157"/>
        <v>0</v>
      </c>
      <c r="Q176" s="61"/>
      <c r="R176" s="61"/>
      <c r="S176" s="17">
        <f t="shared" si="158"/>
        <v>0</v>
      </c>
      <c r="T176" s="61"/>
      <c r="U176" s="61"/>
      <c r="V176" s="17">
        <f t="shared" si="159"/>
        <v>0</v>
      </c>
      <c r="W176" s="391">
        <f t="shared" si="160"/>
        <v>0</v>
      </c>
      <c r="X176" s="17">
        <f t="shared" si="161"/>
        <v>0</v>
      </c>
      <c r="Y176" s="18">
        <f t="shared" si="162"/>
        <v>0</v>
      </c>
      <c r="Z176" s="19">
        <f t="shared" si="163"/>
        <v>0</v>
      </c>
      <c r="AA176" s="19"/>
      <c r="AB176" s="19"/>
      <c r="AC176" s="20"/>
      <c r="AE176" s="111"/>
      <c r="AF176" s="111"/>
      <c r="AG176" s="111"/>
      <c r="AH176" s="651"/>
      <c r="AI176" s="131"/>
      <c r="AJ176" s="3"/>
      <c r="AK176" s="111"/>
      <c r="AL176" s="111"/>
      <c r="AM176" s="111"/>
      <c r="AN176" s="651"/>
      <c r="AO176" s="131"/>
      <c r="AP176" s="3"/>
      <c r="AQ176" s="20"/>
      <c r="AR176" s="20"/>
      <c r="AS176" s="20"/>
      <c r="AT176" s="17">
        <f t="shared" si="164"/>
        <v>0</v>
      </c>
      <c r="AU176" s="19">
        <f t="shared" ref="AU176:AU181" si="165">IF(AT$188=0,0,AT176/AT$188)</f>
        <v>0</v>
      </c>
      <c r="AV176" s="3"/>
      <c r="AW176" s="17"/>
      <c r="AX176" s="17"/>
      <c r="AY176" s="17"/>
      <c r="AZ176" s="424">
        <f t="shared" ref="AZ176:AZ181" si="166">Y176</f>
        <v>0</v>
      </c>
      <c r="BA176" s="19">
        <f t="shared" ref="BA176:BA181" si="167">IF(AZ$188=0,0,AZ176/AZ$188)</f>
        <v>0</v>
      </c>
    </row>
    <row r="177" spans="1:53" s="4" customFormat="1" ht="17.100000000000001" customHeight="1" x14ac:dyDescent="0.25">
      <c r="A177" s="102"/>
      <c r="B177" s="102"/>
      <c r="C177" s="74" t="s">
        <v>155</v>
      </c>
      <c r="D177" s="85" t="s">
        <v>592</v>
      </c>
      <c r="E177" s="75"/>
      <c r="F177" s="75"/>
      <c r="G177" s="105"/>
      <c r="H177" s="119"/>
      <c r="I177" s="231"/>
      <c r="J177" s="174"/>
      <c r="K177" s="174"/>
      <c r="L177" s="111"/>
      <c r="M177" s="111"/>
      <c r="N177" s="60">
        <v>3</v>
      </c>
      <c r="O177" s="60">
        <v>4</v>
      </c>
      <c r="P177" s="17">
        <f t="shared" si="157"/>
        <v>7</v>
      </c>
      <c r="Q177" s="60">
        <v>7</v>
      </c>
      <c r="R177" s="60">
        <v>2</v>
      </c>
      <c r="S177" s="17">
        <f t="shared" si="158"/>
        <v>9</v>
      </c>
      <c r="T177" s="60">
        <v>1</v>
      </c>
      <c r="U177" s="60">
        <v>3</v>
      </c>
      <c r="V177" s="17">
        <f t="shared" si="159"/>
        <v>4</v>
      </c>
      <c r="W177" s="391">
        <f t="shared" si="160"/>
        <v>11</v>
      </c>
      <c r="X177" s="17">
        <f t="shared" si="161"/>
        <v>9</v>
      </c>
      <c r="Y177" s="18">
        <f t="shared" si="162"/>
        <v>20</v>
      </c>
      <c r="Z177" s="19">
        <f t="shared" si="163"/>
        <v>0.7142857142857143</v>
      </c>
      <c r="AA177" s="19"/>
      <c r="AB177" s="19"/>
      <c r="AC177" s="20"/>
      <c r="AE177" s="111"/>
      <c r="AF177" s="111"/>
      <c r="AG177" s="111"/>
      <c r="AH177" s="651"/>
      <c r="AI177" s="131"/>
      <c r="AJ177" s="3"/>
      <c r="AK177" s="111"/>
      <c r="AL177" s="111"/>
      <c r="AM177" s="111"/>
      <c r="AN177" s="651"/>
      <c r="AO177" s="131"/>
      <c r="AP177" s="3"/>
      <c r="AQ177" s="20"/>
      <c r="AR177" s="20"/>
      <c r="AS177" s="20"/>
      <c r="AT177" s="17">
        <f t="shared" si="164"/>
        <v>11</v>
      </c>
      <c r="AU177" s="19">
        <f t="shared" si="165"/>
        <v>0.73333333333333328</v>
      </c>
      <c r="AV177" s="3"/>
      <c r="AW177" s="17"/>
      <c r="AX177" s="17"/>
      <c r="AY177" s="17"/>
      <c r="AZ177" s="424">
        <f t="shared" si="166"/>
        <v>20</v>
      </c>
      <c r="BA177" s="19">
        <f t="shared" si="167"/>
        <v>0.7142857142857143</v>
      </c>
    </row>
    <row r="178" spans="1:53" s="4" customFormat="1" ht="17.100000000000001" customHeight="1" x14ac:dyDescent="0.25">
      <c r="A178" s="102"/>
      <c r="B178" s="102"/>
      <c r="C178" s="74" t="s">
        <v>156</v>
      </c>
      <c r="D178" s="85" t="s">
        <v>593</v>
      </c>
      <c r="E178" s="75"/>
      <c r="F178" s="75"/>
      <c r="G178" s="105"/>
      <c r="H178" s="84"/>
      <c r="I178" s="231"/>
      <c r="J178" s="174"/>
      <c r="K178" s="174"/>
      <c r="L178" s="111"/>
      <c r="M178" s="111"/>
      <c r="N178" s="61"/>
      <c r="O178" s="61"/>
      <c r="P178" s="17">
        <f t="shared" si="157"/>
        <v>0</v>
      </c>
      <c r="Q178" s="61"/>
      <c r="R178" s="61"/>
      <c r="S178" s="17">
        <f t="shared" si="158"/>
        <v>0</v>
      </c>
      <c r="T178" s="61"/>
      <c r="U178" s="61"/>
      <c r="V178" s="17">
        <f t="shared" si="159"/>
        <v>0</v>
      </c>
      <c r="W178" s="391">
        <f t="shared" si="160"/>
        <v>0</v>
      </c>
      <c r="X178" s="17">
        <f t="shared" si="161"/>
        <v>0</v>
      </c>
      <c r="Y178" s="18">
        <f t="shared" si="162"/>
        <v>0</v>
      </c>
      <c r="Z178" s="19">
        <f t="shared" si="163"/>
        <v>0</v>
      </c>
      <c r="AA178" s="19"/>
      <c r="AB178" s="19"/>
      <c r="AC178" s="20"/>
      <c r="AE178" s="111"/>
      <c r="AF178" s="111"/>
      <c r="AG178" s="111"/>
      <c r="AH178" s="651"/>
      <c r="AI178" s="131"/>
      <c r="AJ178" s="3"/>
      <c r="AK178" s="111"/>
      <c r="AL178" s="111"/>
      <c r="AM178" s="111"/>
      <c r="AN178" s="651"/>
      <c r="AO178" s="131"/>
      <c r="AP178" s="3"/>
      <c r="AQ178" s="20"/>
      <c r="AR178" s="20"/>
      <c r="AS178" s="20"/>
      <c r="AT178" s="17">
        <f t="shared" si="164"/>
        <v>0</v>
      </c>
      <c r="AU178" s="19">
        <f t="shared" si="165"/>
        <v>0</v>
      </c>
      <c r="AV178" s="3"/>
      <c r="AW178" s="17"/>
      <c r="AX178" s="17"/>
      <c r="AY178" s="17"/>
      <c r="AZ178" s="424">
        <f t="shared" si="166"/>
        <v>0</v>
      </c>
      <c r="BA178" s="19">
        <f t="shared" si="167"/>
        <v>0</v>
      </c>
    </row>
    <row r="179" spans="1:53" s="4" customFormat="1" ht="17.100000000000001" customHeight="1" x14ac:dyDescent="0.25">
      <c r="A179" s="102"/>
      <c r="B179" s="102"/>
      <c r="C179" s="74" t="s">
        <v>157</v>
      </c>
      <c r="D179" s="85" t="s">
        <v>594</v>
      </c>
      <c r="E179" s="75"/>
      <c r="F179" s="75"/>
      <c r="G179" s="105"/>
      <c r="H179" s="84"/>
      <c r="I179" s="231"/>
      <c r="J179" s="174"/>
      <c r="K179" s="174"/>
      <c r="L179" s="111"/>
      <c r="M179" s="111"/>
      <c r="N179" s="60"/>
      <c r="O179" s="60"/>
      <c r="P179" s="17">
        <f t="shared" si="157"/>
        <v>0</v>
      </c>
      <c r="Q179" s="60"/>
      <c r="R179" s="60"/>
      <c r="S179" s="17">
        <f t="shared" si="158"/>
        <v>0</v>
      </c>
      <c r="T179" s="60"/>
      <c r="U179" s="60"/>
      <c r="V179" s="17">
        <f t="shared" si="159"/>
        <v>0</v>
      </c>
      <c r="W179" s="391">
        <f t="shared" si="160"/>
        <v>0</v>
      </c>
      <c r="X179" s="17">
        <f t="shared" si="161"/>
        <v>0</v>
      </c>
      <c r="Y179" s="18">
        <f t="shared" si="162"/>
        <v>0</v>
      </c>
      <c r="Z179" s="19">
        <f t="shared" si="163"/>
        <v>0</v>
      </c>
      <c r="AA179" s="19"/>
      <c r="AB179" s="19"/>
      <c r="AC179" s="20"/>
      <c r="AE179" s="111"/>
      <c r="AF179" s="111"/>
      <c r="AG179" s="111"/>
      <c r="AH179" s="651"/>
      <c r="AI179" s="131"/>
      <c r="AJ179" s="3"/>
      <c r="AK179" s="111"/>
      <c r="AL179" s="111"/>
      <c r="AM179" s="111"/>
      <c r="AN179" s="651"/>
      <c r="AO179" s="131"/>
      <c r="AP179" s="3"/>
      <c r="AQ179" s="20"/>
      <c r="AR179" s="20"/>
      <c r="AS179" s="20"/>
      <c r="AT179" s="17">
        <f t="shared" si="164"/>
        <v>0</v>
      </c>
      <c r="AU179" s="19">
        <f t="shared" si="165"/>
        <v>0</v>
      </c>
      <c r="AV179" s="3"/>
      <c r="AW179" s="17"/>
      <c r="AX179" s="17"/>
      <c r="AY179" s="17"/>
      <c r="AZ179" s="424">
        <f t="shared" si="166"/>
        <v>0</v>
      </c>
      <c r="BA179" s="19">
        <f t="shared" si="167"/>
        <v>0</v>
      </c>
    </row>
    <row r="180" spans="1:53" s="4" customFormat="1" ht="17.100000000000001" customHeight="1" x14ac:dyDescent="0.25">
      <c r="A180" s="102"/>
      <c r="B180" s="102"/>
      <c r="C180" s="74" t="s">
        <v>158</v>
      </c>
      <c r="D180" s="85" t="s">
        <v>595</v>
      </c>
      <c r="E180" s="75"/>
      <c r="F180" s="75"/>
      <c r="G180" s="105"/>
      <c r="H180" s="84"/>
      <c r="I180" s="231"/>
      <c r="J180" s="174"/>
      <c r="K180" s="174"/>
      <c r="L180" s="111"/>
      <c r="M180" s="111"/>
      <c r="N180" s="61"/>
      <c r="O180" s="61"/>
      <c r="P180" s="17">
        <f t="shared" si="157"/>
        <v>0</v>
      </c>
      <c r="Q180" s="61"/>
      <c r="R180" s="61"/>
      <c r="S180" s="17">
        <f t="shared" si="158"/>
        <v>0</v>
      </c>
      <c r="T180" s="61">
        <v>4</v>
      </c>
      <c r="U180" s="61">
        <v>2</v>
      </c>
      <c r="V180" s="17">
        <f t="shared" si="159"/>
        <v>6</v>
      </c>
      <c r="W180" s="391">
        <f t="shared" si="160"/>
        <v>4</v>
      </c>
      <c r="X180" s="17">
        <f t="shared" si="161"/>
        <v>2</v>
      </c>
      <c r="Y180" s="18">
        <f t="shared" si="162"/>
        <v>6</v>
      </c>
      <c r="Z180" s="19">
        <f t="shared" si="163"/>
        <v>0.21428571428571427</v>
      </c>
      <c r="AA180" s="19"/>
      <c r="AB180" s="19"/>
      <c r="AC180" s="20"/>
      <c r="AE180" s="111"/>
      <c r="AF180" s="111"/>
      <c r="AG180" s="111"/>
      <c r="AH180" s="651"/>
      <c r="AI180" s="131"/>
      <c r="AJ180" s="3"/>
      <c r="AK180" s="111"/>
      <c r="AL180" s="111"/>
      <c r="AM180" s="111"/>
      <c r="AN180" s="651"/>
      <c r="AO180" s="131"/>
      <c r="AP180" s="3"/>
      <c r="AQ180" s="20"/>
      <c r="AR180" s="20"/>
      <c r="AS180" s="20"/>
      <c r="AT180" s="17">
        <f t="shared" si="164"/>
        <v>4</v>
      </c>
      <c r="AU180" s="19">
        <f t="shared" si="165"/>
        <v>0.26666666666666666</v>
      </c>
      <c r="AV180" s="3"/>
      <c r="AW180" s="17"/>
      <c r="AX180" s="17"/>
      <c r="AY180" s="17"/>
      <c r="AZ180" s="424">
        <f t="shared" si="166"/>
        <v>6</v>
      </c>
      <c r="BA180" s="19">
        <f t="shared" si="167"/>
        <v>0.21428571428571427</v>
      </c>
    </row>
    <row r="181" spans="1:53" s="4" customFormat="1" ht="17.100000000000001" customHeight="1" x14ac:dyDescent="0.25">
      <c r="A181" s="102"/>
      <c r="B181" s="102"/>
      <c r="C181" s="74" t="s">
        <v>159</v>
      </c>
      <c r="D181" s="85" t="s">
        <v>596</v>
      </c>
      <c r="E181" s="75"/>
      <c r="F181" s="649"/>
      <c r="G181" s="246"/>
      <c r="H181" s="84"/>
      <c r="I181" s="97"/>
      <c r="J181" s="111"/>
      <c r="K181" s="111"/>
      <c r="L181" s="111"/>
      <c r="M181" s="111"/>
      <c r="N181" s="111">
        <f t="shared" ref="N181:U181" si="168">SUM(N182:N185)</f>
        <v>0</v>
      </c>
      <c r="O181" s="111">
        <f t="shared" si="168"/>
        <v>2</v>
      </c>
      <c r="P181" s="17">
        <f t="shared" si="157"/>
        <v>2</v>
      </c>
      <c r="Q181" s="111">
        <f t="shared" si="168"/>
        <v>0</v>
      </c>
      <c r="R181" s="111">
        <f t="shared" si="168"/>
        <v>0</v>
      </c>
      <c r="S181" s="17">
        <f t="shared" si="158"/>
        <v>0</v>
      </c>
      <c r="T181" s="111">
        <f t="shared" si="168"/>
        <v>0</v>
      </c>
      <c r="U181" s="111">
        <f t="shared" si="168"/>
        <v>0</v>
      </c>
      <c r="V181" s="17">
        <f t="shared" si="159"/>
        <v>0</v>
      </c>
      <c r="W181" s="380">
        <f t="shared" si="160"/>
        <v>0</v>
      </c>
      <c r="X181" s="111">
        <f t="shared" si="161"/>
        <v>2</v>
      </c>
      <c r="Y181" s="651">
        <f t="shared" si="162"/>
        <v>2</v>
      </c>
      <c r="Z181" s="131">
        <f t="shared" si="163"/>
        <v>7.1428571428571425E-2</v>
      </c>
      <c r="AA181" s="131"/>
      <c r="AB181" s="131"/>
      <c r="AC181" s="113"/>
      <c r="AE181" s="111"/>
      <c r="AF181" s="111"/>
      <c r="AG181" s="111"/>
      <c r="AH181" s="651"/>
      <c r="AI181" s="131"/>
      <c r="AJ181" s="3"/>
      <c r="AK181" s="111"/>
      <c r="AL181" s="111"/>
      <c r="AM181" s="111"/>
      <c r="AN181" s="651"/>
      <c r="AO181" s="131"/>
      <c r="AP181" s="3"/>
      <c r="AQ181" s="111"/>
      <c r="AR181" s="111"/>
      <c r="AS181" s="111"/>
      <c r="AT181" s="111">
        <f t="shared" si="164"/>
        <v>0</v>
      </c>
      <c r="AU181" s="131">
        <f t="shared" si="165"/>
        <v>0</v>
      </c>
      <c r="AV181" s="3"/>
      <c r="AW181" s="111"/>
      <c r="AX181" s="111"/>
      <c r="AY181" s="111"/>
      <c r="AZ181" s="111">
        <f t="shared" si="166"/>
        <v>2</v>
      </c>
      <c r="BA181" s="131">
        <f t="shared" si="167"/>
        <v>7.1428571428571425E-2</v>
      </c>
    </row>
    <row r="182" spans="1:53" s="4" customFormat="1" ht="17.100000000000001" customHeight="1" x14ac:dyDescent="0.25">
      <c r="A182" s="102"/>
      <c r="B182" s="102"/>
      <c r="C182" s="74"/>
      <c r="D182" s="294" t="s">
        <v>1842</v>
      </c>
      <c r="E182" s="295"/>
      <c r="F182" s="295"/>
      <c r="G182" s="295"/>
      <c r="H182" s="198"/>
      <c r="I182" s="642"/>
      <c r="J182" s="174"/>
      <c r="K182" s="174"/>
      <c r="L182" s="111"/>
      <c r="M182" s="111"/>
      <c r="N182" s="60"/>
      <c r="O182" s="60"/>
      <c r="P182" s="17">
        <f t="shared" si="157"/>
        <v>0</v>
      </c>
      <c r="Q182" s="60"/>
      <c r="R182" s="60"/>
      <c r="S182" s="17">
        <f t="shared" si="158"/>
        <v>0</v>
      </c>
      <c r="T182" s="60"/>
      <c r="U182" s="60"/>
      <c r="V182" s="17">
        <f t="shared" ref="V182:V185" si="169">SUM(T182:U182)</f>
        <v>0</v>
      </c>
      <c r="W182" s="391">
        <f t="shared" ref="W182:W185" si="170">J182+K182+N182+Q182+T182</f>
        <v>0</v>
      </c>
      <c r="X182" s="17">
        <f t="shared" ref="X182:X185" si="171">L182+O182+R182+U182</f>
        <v>0</v>
      </c>
      <c r="Y182" s="18">
        <f t="shared" ref="Y182:Y185" si="172">SUM(W182:X182)</f>
        <v>0</v>
      </c>
      <c r="Z182" s="20"/>
      <c r="AA182" s="20"/>
      <c r="AB182" s="20"/>
      <c r="AC182" s="20"/>
      <c r="AE182" s="111"/>
      <c r="AF182" s="111"/>
      <c r="AG182" s="113"/>
      <c r="AH182" s="113"/>
      <c r="AI182" s="131"/>
      <c r="AK182" s="111"/>
      <c r="AL182" s="111"/>
      <c r="AM182" s="113"/>
      <c r="AN182" s="113"/>
      <c r="AO182" s="131"/>
      <c r="AQ182" s="17"/>
      <c r="AR182" s="17"/>
      <c r="AS182" s="20"/>
      <c r="AT182" s="20"/>
      <c r="AU182" s="19"/>
      <c r="AW182" s="17"/>
      <c r="AX182" s="17"/>
      <c r="AY182" s="20"/>
      <c r="AZ182" s="20"/>
      <c r="BA182" s="19"/>
    </row>
    <row r="183" spans="1:53" s="4" customFormat="1" ht="17.100000000000001" customHeight="1" x14ac:dyDescent="0.25">
      <c r="A183" s="102"/>
      <c r="B183" s="102"/>
      <c r="C183" s="74"/>
      <c r="D183" s="296" t="s">
        <v>1843</v>
      </c>
      <c r="E183" s="297"/>
      <c r="F183" s="297"/>
      <c r="G183" s="297"/>
      <c r="H183" s="198"/>
      <c r="I183" s="642"/>
      <c r="J183" s="174"/>
      <c r="K183" s="174"/>
      <c r="L183" s="111"/>
      <c r="M183" s="111"/>
      <c r="N183" s="61"/>
      <c r="O183" s="61">
        <v>2</v>
      </c>
      <c r="P183" s="17">
        <f t="shared" si="157"/>
        <v>2</v>
      </c>
      <c r="Q183" s="61"/>
      <c r="R183" s="61"/>
      <c r="S183" s="17">
        <f t="shared" si="158"/>
        <v>0</v>
      </c>
      <c r="T183" s="61"/>
      <c r="U183" s="61"/>
      <c r="V183" s="17">
        <f t="shared" si="169"/>
        <v>0</v>
      </c>
      <c r="W183" s="391">
        <f t="shared" si="170"/>
        <v>0</v>
      </c>
      <c r="X183" s="17">
        <f t="shared" si="171"/>
        <v>2</v>
      </c>
      <c r="Y183" s="18">
        <f t="shared" si="172"/>
        <v>2</v>
      </c>
      <c r="Z183" s="20"/>
      <c r="AA183" s="20"/>
      <c r="AB183" s="20"/>
      <c r="AC183" s="20"/>
      <c r="AE183" s="111"/>
      <c r="AF183" s="111"/>
      <c r="AG183" s="113"/>
      <c r="AH183" s="113"/>
      <c r="AI183" s="131"/>
      <c r="AK183" s="111"/>
      <c r="AL183" s="111"/>
      <c r="AM183" s="113"/>
      <c r="AN183" s="113"/>
      <c r="AO183" s="131"/>
      <c r="AQ183" s="17"/>
      <c r="AR183" s="17"/>
      <c r="AS183" s="20"/>
      <c r="AT183" s="20"/>
      <c r="AU183" s="19"/>
      <c r="AW183" s="17"/>
      <c r="AX183" s="17"/>
      <c r="AY183" s="20"/>
      <c r="AZ183" s="20"/>
      <c r="BA183" s="19"/>
    </row>
    <row r="184" spans="1:53" s="4" customFormat="1" ht="17.100000000000001" customHeight="1" x14ac:dyDescent="0.25">
      <c r="A184" s="102"/>
      <c r="B184" s="102"/>
      <c r="C184" s="74"/>
      <c r="D184" s="294"/>
      <c r="E184" s="295"/>
      <c r="F184" s="295"/>
      <c r="G184" s="295"/>
      <c r="H184" s="198"/>
      <c r="I184" s="642"/>
      <c r="J184" s="174"/>
      <c r="K184" s="174"/>
      <c r="L184" s="111"/>
      <c r="M184" s="111"/>
      <c r="N184" s="60"/>
      <c r="O184" s="60"/>
      <c r="P184" s="17">
        <f t="shared" si="157"/>
        <v>0</v>
      </c>
      <c r="Q184" s="60"/>
      <c r="R184" s="60"/>
      <c r="S184" s="17">
        <f t="shared" si="158"/>
        <v>0</v>
      </c>
      <c r="T184" s="60"/>
      <c r="U184" s="60"/>
      <c r="V184" s="17">
        <f t="shared" si="169"/>
        <v>0</v>
      </c>
      <c r="W184" s="391">
        <f t="shared" si="170"/>
        <v>0</v>
      </c>
      <c r="X184" s="17">
        <f t="shared" si="171"/>
        <v>0</v>
      </c>
      <c r="Y184" s="18">
        <f t="shared" si="172"/>
        <v>0</v>
      </c>
      <c r="Z184" s="20"/>
      <c r="AA184" s="20"/>
      <c r="AB184" s="20"/>
      <c r="AC184" s="20"/>
      <c r="AE184" s="111"/>
      <c r="AF184" s="111"/>
      <c r="AG184" s="113"/>
      <c r="AH184" s="113"/>
      <c r="AI184" s="131"/>
      <c r="AK184" s="111"/>
      <c r="AL184" s="111"/>
      <c r="AM184" s="113"/>
      <c r="AN184" s="113"/>
      <c r="AO184" s="131"/>
      <c r="AQ184" s="17"/>
      <c r="AR184" s="17"/>
      <c r="AS184" s="20"/>
      <c r="AT184" s="20"/>
      <c r="AU184" s="19"/>
      <c r="AW184" s="17"/>
      <c r="AX184" s="17"/>
      <c r="AY184" s="20"/>
      <c r="AZ184" s="20"/>
      <c r="BA184" s="19"/>
    </row>
    <row r="185" spans="1:53" s="4" customFormat="1" ht="17.100000000000001" customHeight="1" x14ac:dyDescent="0.25">
      <c r="A185" s="102"/>
      <c r="B185" s="102"/>
      <c r="C185" s="74"/>
      <c r="D185" s="296"/>
      <c r="E185" s="297"/>
      <c r="F185" s="297"/>
      <c r="G185" s="297"/>
      <c r="H185" s="198"/>
      <c r="I185" s="642"/>
      <c r="J185" s="174"/>
      <c r="K185" s="174"/>
      <c r="L185" s="111"/>
      <c r="M185" s="111"/>
      <c r="N185" s="61"/>
      <c r="O185" s="61"/>
      <c r="P185" s="17">
        <f t="shared" si="157"/>
        <v>0</v>
      </c>
      <c r="Q185" s="61"/>
      <c r="R185" s="61"/>
      <c r="S185" s="17">
        <f t="shared" si="158"/>
        <v>0</v>
      </c>
      <c r="T185" s="61"/>
      <c r="U185" s="61"/>
      <c r="V185" s="17">
        <f t="shared" si="169"/>
        <v>0</v>
      </c>
      <c r="W185" s="391">
        <f t="shared" si="170"/>
        <v>0</v>
      </c>
      <c r="X185" s="17">
        <f t="shared" si="171"/>
        <v>0</v>
      </c>
      <c r="Y185" s="18">
        <f t="shared" si="172"/>
        <v>0</v>
      </c>
      <c r="Z185" s="20"/>
      <c r="AA185" s="20"/>
      <c r="AB185" s="20"/>
      <c r="AC185" s="20"/>
      <c r="AE185" s="111"/>
      <c r="AF185" s="111"/>
      <c r="AG185" s="113"/>
      <c r="AH185" s="113"/>
      <c r="AI185" s="131"/>
      <c r="AK185" s="111"/>
      <c r="AL185" s="111"/>
      <c r="AM185" s="113"/>
      <c r="AN185" s="113"/>
      <c r="AO185" s="131"/>
      <c r="AQ185" s="17"/>
      <c r="AR185" s="17"/>
      <c r="AS185" s="20"/>
      <c r="AT185" s="20"/>
      <c r="AU185" s="19"/>
      <c r="AW185" s="17"/>
      <c r="AX185" s="17"/>
      <c r="AY185" s="20"/>
      <c r="AZ185" s="20"/>
      <c r="BA185" s="19"/>
    </row>
    <row r="186" spans="1:53" s="4" customFormat="1" ht="17.100000000000001" customHeight="1" x14ac:dyDescent="0.25">
      <c r="A186" s="102"/>
      <c r="B186" s="102"/>
      <c r="C186" s="74"/>
      <c r="D186" s="294"/>
      <c r="E186" s="295"/>
      <c r="F186" s="295"/>
      <c r="G186" s="295"/>
      <c r="H186" s="198"/>
      <c r="I186" s="642"/>
      <c r="J186" s="174"/>
      <c r="K186" s="174"/>
      <c r="L186" s="111"/>
      <c r="M186" s="111"/>
      <c r="N186" s="60"/>
      <c r="O186" s="60"/>
      <c r="P186" s="17">
        <f t="shared" si="157"/>
        <v>0</v>
      </c>
      <c r="Q186" s="60"/>
      <c r="R186" s="60"/>
      <c r="S186" s="17">
        <f t="shared" si="158"/>
        <v>0</v>
      </c>
      <c r="T186" s="60"/>
      <c r="U186" s="60"/>
      <c r="V186" s="17">
        <f t="shared" ref="V186:V187" si="173">SUM(T186:U186)</f>
        <v>0</v>
      </c>
      <c r="W186" s="391">
        <f t="shared" ref="W186:W187" si="174">J186+K186+N186+Q186+T186</f>
        <v>0</v>
      </c>
      <c r="X186" s="17">
        <f t="shared" ref="X186:X187" si="175">L186+O186+R186+U186</f>
        <v>0</v>
      </c>
      <c r="Y186" s="18">
        <f t="shared" ref="Y186:Y187" si="176">SUM(W186:X186)</f>
        <v>0</v>
      </c>
      <c r="Z186" s="20"/>
      <c r="AA186" s="20"/>
      <c r="AB186" s="20"/>
      <c r="AC186" s="20"/>
      <c r="AE186" s="111"/>
      <c r="AF186" s="111"/>
      <c r="AG186" s="113"/>
      <c r="AH186" s="113"/>
      <c r="AI186" s="131"/>
      <c r="AK186" s="111"/>
      <c r="AL186" s="111"/>
      <c r="AM186" s="113"/>
      <c r="AN186" s="113"/>
      <c r="AO186" s="131"/>
      <c r="AQ186" s="17"/>
      <c r="AR186" s="17"/>
      <c r="AS186" s="20"/>
      <c r="AT186" s="20"/>
      <c r="AU186" s="19"/>
      <c r="AW186" s="17"/>
      <c r="AX186" s="17"/>
      <c r="AY186" s="20"/>
      <c r="AZ186" s="20"/>
      <c r="BA186" s="19"/>
    </row>
    <row r="187" spans="1:53" s="4" customFormat="1" ht="17.100000000000001" customHeight="1" x14ac:dyDescent="0.25">
      <c r="A187" s="102"/>
      <c r="B187" s="102"/>
      <c r="C187" s="74"/>
      <c r="D187" s="1317"/>
      <c r="E187" s="297"/>
      <c r="F187" s="297"/>
      <c r="G187" s="297"/>
      <c r="H187" s="198"/>
      <c r="I187" s="642"/>
      <c r="J187" s="174"/>
      <c r="K187" s="174"/>
      <c r="L187" s="111"/>
      <c r="M187" s="111"/>
      <c r="N187" s="61"/>
      <c r="O187" s="61"/>
      <c r="P187" s="17">
        <f t="shared" si="157"/>
        <v>0</v>
      </c>
      <c r="Q187" s="61"/>
      <c r="R187" s="61"/>
      <c r="S187" s="17">
        <f t="shared" si="158"/>
        <v>0</v>
      </c>
      <c r="T187" s="61"/>
      <c r="U187" s="61"/>
      <c r="V187" s="17">
        <f t="shared" si="173"/>
        <v>0</v>
      </c>
      <c r="W187" s="391">
        <f t="shared" si="174"/>
        <v>0</v>
      </c>
      <c r="X187" s="17">
        <f t="shared" si="175"/>
        <v>0</v>
      </c>
      <c r="Y187" s="18">
        <f t="shared" si="176"/>
        <v>0</v>
      </c>
      <c r="Z187" s="20"/>
      <c r="AA187" s="20"/>
      <c r="AB187" s="20"/>
      <c r="AC187" s="20"/>
      <c r="AE187" s="111"/>
      <c r="AF187" s="111"/>
      <c r="AG187" s="113"/>
      <c r="AH187" s="113"/>
      <c r="AI187" s="131"/>
      <c r="AK187" s="111"/>
      <c r="AL187" s="111"/>
      <c r="AM187" s="113"/>
      <c r="AN187" s="113"/>
      <c r="AO187" s="131"/>
      <c r="AQ187" s="17"/>
      <c r="AR187" s="17"/>
      <c r="AS187" s="20"/>
      <c r="AT187" s="20"/>
      <c r="AU187" s="19"/>
      <c r="AW187" s="17"/>
      <c r="AX187" s="17"/>
      <c r="AY187" s="20"/>
      <c r="AZ187" s="20"/>
      <c r="BA187" s="19"/>
    </row>
    <row r="188" spans="1:53" ht="17.100000000000001" customHeight="1" x14ac:dyDescent="0.25">
      <c r="A188" s="40"/>
      <c r="B188" s="40"/>
      <c r="C188" s="292"/>
      <c r="D188" s="144"/>
      <c r="E188" s="144"/>
      <c r="F188" s="145"/>
      <c r="G188" s="145"/>
      <c r="H188" s="119"/>
      <c r="I188" s="236"/>
      <c r="J188" s="64"/>
      <c r="K188" s="64"/>
      <c r="L188" s="81"/>
      <c r="M188" s="81"/>
      <c r="N188" s="81">
        <f>SUM(N175:N181)</f>
        <v>3</v>
      </c>
      <c r="O188" s="81">
        <f t="shared" ref="O188:Y188" si="177">SUM(O175:O181)</f>
        <v>6</v>
      </c>
      <c r="P188" s="81">
        <f t="shared" si="177"/>
        <v>9</v>
      </c>
      <c r="Q188" s="81">
        <f t="shared" si="177"/>
        <v>7</v>
      </c>
      <c r="R188" s="81">
        <f t="shared" si="177"/>
        <v>2</v>
      </c>
      <c r="S188" s="81">
        <f t="shared" si="177"/>
        <v>9</v>
      </c>
      <c r="T188" s="81">
        <f t="shared" si="177"/>
        <v>5</v>
      </c>
      <c r="U188" s="81">
        <f t="shared" si="177"/>
        <v>5</v>
      </c>
      <c r="V188" s="81">
        <f t="shared" si="177"/>
        <v>10</v>
      </c>
      <c r="W188" s="82">
        <f t="shared" si="177"/>
        <v>15</v>
      </c>
      <c r="X188" s="82">
        <f t="shared" si="177"/>
        <v>13</v>
      </c>
      <c r="Y188" s="82">
        <f t="shared" si="177"/>
        <v>28</v>
      </c>
      <c r="Z188" s="66">
        <f t="shared" ref="Z188" si="178">IF(Y$188=0,0,Y188/Y$188)</f>
        <v>1</v>
      </c>
      <c r="AA188" s="205"/>
      <c r="AB188" s="205"/>
      <c r="AC188" s="83"/>
      <c r="AE188" s="81"/>
      <c r="AF188" s="81"/>
      <c r="AG188" s="82"/>
      <c r="AH188" s="82"/>
      <c r="AI188" s="66"/>
      <c r="AK188" s="81"/>
      <c r="AL188" s="81"/>
      <c r="AM188" s="82"/>
      <c r="AN188" s="82"/>
      <c r="AO188" s="66"/>
      <c r="AQ188" s="81"/>
      <c r="AR188" s="81"/>
      <c r="AS188" s="82"/>
      <c r="AT188" s="82">
        <f>SUM(AT175:AT181)</f>
        <v>15</v>
      </c>
      <c r="AU188" s="66">
        <f>IF(AT$188=0,0,AT188/AT$188)</f>
        <v>1</v>
      </c>
      <c r="AW188" s="81"/>
      <c r="AX188" s="81"/>
      <c r="AY188" s="82"/>
      <c r="AZ188" s="82">
        <f>SUM(AZ175:AZ181)</f>
        <v>28</v>
      </c>
      <c r="BA188" s="66">
        <f>IF(AZ$188=0,0,AZ188/AZ$188)</f>
        <v>1</v>
      </c>
    </row>
    <row r="189" spans="1:53" s="117" customFormat="1" ht="17.100000000000001" customHeight="1" x14ac:dyDescent="0.25">
      <c r="A189" s="119"/>
      <c r="B189" s="119"/>
      <c r="C189" s="647"/>
      <c r="D189" s="212"/>
      <c r="E189" s="212"/>
      <c r="F189" s="212"/>
      <c r="G189" s="212"/>
      <c r="H189" s="242"/>
      <c r="I189" s="230"/>
      <c r="J189" s="17"/>
      <c r="K189" s="17"/>
      <c r="L189" s="17"/>
      <c r="M189" s="17"/>
      <c r="N189" s="17" t="str">
        <f>IF(N188&gt;=N$20,"OK","NOK")</f>
        <v>OK</v>
      </c>
      <c r="O189" s="17" t="str">
        <f>IF(O188&gt;=O$20,"OK","NOK")</f>
        <v>OK</v>
      </c>
      <c r="P189" s="17"/>
      <c r="Q189" s="17" t="str">
        <f>IF(Q188&gt;=Q$20,"OK","NOK")</f>
        <v>OK</v>
      </c>
      <c r="R189" s="17" t="str">
        <f>IF(R188&gt;=R$20,"OK","NOK")</f>
        <v>OK</v>
      </c>
      <c r="S189" s="17"/>
      <c r="T189" s="17" t="str">
        <f>IF(T188&gt;=T$20,"OK","NOK")</f>
        <v>OK</v>
      </c>
      <c r="U189" s="17" t="str">
        <f>IF(U188&gt;=U$20,"OK","NOK")</f>
        <v>OK</v>
      </c>
      <c r="V189" s="359"/>
      <c r="W189" s="382"/>
      <c r="X189" s="646"/>
      <c r="Y189" s="646"/>
      <c r="Z189" s="201"/>
      <c r="AA189" s="201"/>
      <c r="AB189" s="201"/>
      <c r="AC189" s="84"/>
      <c r="AE189" s="17"/>
      <c r="AF189" s="17"/>
      <c r="AG189" s="17"/>
      <c r="AH189" s="646"/>
      <c r="AI189" s="91"/>
      <c r="AK189" s="17"/>
      <c r="AL189" s="17"/>
      <c r="AM189" s="17"/>
      <c r="AN189" s="646"/>
      <c r="AO189" s="91"/>
      <c r="AQ189" s="17"/>
      <c r="AR189" s="17"/>
      <c r="AS189" s="17"/>
      <c r="AT189" s="646"/>
      <c r="AU189" s="91"/>
      <c r="AW189" s="17"/>
      <c r="AX189" s="17"/>
      <c r="AY189" s="17"/>
      <c r="AZ189" s="17"/>
      <c r="BA189" s="91"/>
    </row>
    <row r="190" spans="1:53" ht="17.100000000000001" customHeight="1" x14ac:dyDescent="0.25">
      <c r="A190" s="40"/>
      <c r="B190" s="41" t="s">
        <v>160</v>
      </c>
      <c r="C190" s="274" t="s">
        <v>597</v>
      </c>
      <c r="D190" s="43"/>
      <c r="E190" s="43"/>
      <c r="F190" s="43"/>
      <c r="G190" s="43"/>
      <c r="H190" s="23"/>
      <c r="I190" s="12"/>
      <c r="J190" s="73"/>
      <c r="K190" s="73"/>
      <c r="L190" s="73"/>
      <c r="M190" s="73"/>
      <c r="N190" s="73"/>
      <c r="O190" s="73"/>
      <c r="P190" s="73"/>
      <c r="Q190" s="73"/>
      <c r="R190" s="73"/>
      <c r="S190" s="73"/>
      <c r="T190" s="73"/>
      <c r="U190" s="73"/>
      <c r="V190" s="73"/>
      <c r="W190" s="73"/>
      <c r="X190" s="73"/>
      <c r="Y190" s="73"/>
      <c r="Z190" s="73"/>
      <c r="AA190" s="73"/>
      <c r="AB190" s="73"/>
      <c r="AC190" s="73"/>
      <c r="AE190" s="73"/>
      <c r="AF190" s="73"/>
      <c r="AG190" s="73"/>
      <c r="AH190" s="73"/>
      <c r="AI190" s="73"/>
      <c r="AK190" s="73"/>
      <c r="AL190" s="73"/>
      <c r="AM190" s="73"/>
      <c r="AN190" s="73"/>
      <c r="AO190" s="73"/>
      <c r="AQ190" s="73"/>
      <c r="AR190" s="73"/>
      <c r="AS190" s="73"/>
      <c r="AT190" s="73"/>
      <c r="AU190" s="73"/>
      <c r="AW190" s="73"/>
      <c r="AX190" s="73"/>
      <c r="AY190" s="73"/>
      <c r="AZ190" s="73"/>
      <c r="BA190" s="73"/>
    </row>
    <row r="191" spans="1:53" s="4" customFormat="1" ht="17.100000000000001" customHeight="1" x14ac:dyDescent="0.25">
      <c r="A191" s="102"/>
      <c r="B191" s="102"/>
      <c r="C191" s="74" t="s">
        <v>161</v>
      </c>
      <c r="D191" s="85" t="s">
        <v>9</v>
      </c>
      <c r="E191" s="75"/>
      <c r="F191" s="75"/>
      <c r="G191" s="105"/>
      <c r="H191" s="84"/>
      <c r="I191" s="231"/>
      <c r="J191" s="174"/>
      <c r="K191" s="174"/>
      <c r="L191" s="111"/>
      <c r="M191" s="111"/>
      <c r="N191" s="60">
        <v>3</v>
      </c>
      <c r="O191" s="60">
        <v>6</v>
      </c>
      <c r="P191" s="17">
        <f t="shared" ref="P191:P195" si="179">SUM(N191:O191)</f>
        <v>9</v>
      </c>
      <c r="Q191" s="60">
        <v>7</v>
      </c>
      <c r="R191" s="60">
        <v>2</v>
      </c>
      <c r="S191" s="17">
        <f t="shared" ref="S191:S195" si="180">SUM(Q191:R191)</f>
        <v>9</v>
      </c>
      <c r="T191" s="60">
        <v>5</v>
      </c>
      <c r="U191" s="60">
        <v>5</v>
      </c>
      <c r="V191" s="17">
        <f t="shared" ref="V191:V195" si="181">SUM(T191:U191)</f>
        <v>10</v>
      </c>
      <c r="W191" s="391">
        <f t="shared" ref="W191:W195" si="182">J191+K191+N191+Q191+T191</f>
        <v>15</v>
      </c>
      <c r="X191" s="17">
        <f t="shared" ref="X191:X195" si="183">L191+O191+R191+U191</f>
        <v>13</v>
      </c>
      <c r="Y191" s="18">
        <f t="shared" ref="Y191:Y195" si="184">SUM(W191:X191)</f>
        <v>28</v>
      </c>
      <c r="Z191" s="19">
        <f>IF(Y$196=0,0,Y191/Y$196)</f>
        <v>1</v>
      </c>
      <c r="AA191" s="19"/>
      <c r="AB191" s="19"/>
      <c r="AC191" s="20"/>
      <c r="AE191" s="111"/>
      <c r="AF191" s="111"/>
      <c r="AG191" s="111"/>
      <c r="AH191" s="651"/>
      <c r="AI191" s="131"/>
      <c r="AJ191" s="3"/>
      <c r="AK191" s="111"/>
      <c r="AL191" s="111"/>
      <c r="AM191" s="111"/>
      <c r="AN191" s="651"/>
      <c r="AO191" s="131"/>
      <c r="AP191" s="3"/>
      <c r="AQ191" s="17"/>
      <c r="AR191" s="17"/>
      <c r="AS191" s="17"/>
      <c r="AT191" s="424">
        <f>W191</f>
        <v>15</v>
      </c>
      <c r="AU191" s="19">
        <f>IF(AT$196=0,0,AT191/AT$196)</f>
        <v>1</v>
      </c>
      <c r="AV191" s="3"/>
      <c r="AW191" s="17"/>
      <c r="AX191" s="17"/>
      <c r="AY191" s="17"/>
      <c r="AZ191" s="424">
        <f>X191</f>
        <v>13</v>
      </c>
      <c r="BA191" s="19">
        <f>IF(AZ$196=0,0,AZ191/AZ$196)</f>
        <v>1</v>
      </c>
    </row>
    <row r="192" spans="1:53" s="4" customFormat="1" ht="17.100000000000001" customHeight="1" x14ac:dyDescent="0.25">
      <c r="A192" s="102"/>
      <c r="B192" s="102"/>
      <c r="C192" s="74" t="s">
        <v>163</v>
      </c>
      <c r="D192" s="85" t="s">
        <v>11</v>
      </c>
      <c r="E192" s="75"/>
      <c r="F192" s="75"/>
      <c r="G192" s="105"/>
      <c r="H192" s="84"/>
      <c r="I192" s="231"/>
      <c r="J192" s="174"/>
      <c r="K192" s="174"/>
      <c r="L192" s="111"/>
      <c r="M192" s="111"/>
      <c r="N192" s="61"/>
      <c r="O192" s="61"/>
      <c r="P192" s="17">
        <f t="shared" si="179"/>
        <v>0</v>
      </c>
      <c r="Q192" s="61"/>
      <c r="R192" s="61"/>
      <c r="S192" s="17">
        <f t="shared" si="180"/>
        <v>0</v>
      </c>
      <c r="T192" s="61"/>
      <c r="U192" s="61"/>
      <c r="V192" s="17">
        <f t="shared" si="181"/>
        <v>0</v>
      </c>
      <c r="W192" s="391">
        <f t="shared" si="182"/>
        <v>0</v>
      </c>
      <c r="X192" s="17">
        <f t="shared" si="183"/>
        <v>0</v>
      </c>
      <c r="Y192" s="18">
        <f t="shared" si="184"/>
        <v>0</v>
      </c>
      <c r="Z192" s="19">
        <f t="shared" ref="Z192:Z196" si="185">IF(Y$196=0,0,Y192/Y$196)</f>
        <v>0</v>
      </c>
      <c r="AA192" s="19"/>
      <c r="AB192" s="19"/>
      <c r="AC192" s="20"/>
      <c r="AE192" s="111"/>
      <c r="AF192" s="111"/>
      <c r="AG192" s="111"/>
      <c r="AH192" s="651"/>
      <c r="AI192" s="131"/>
      <c r="AJ192" s="3"/>
      <c r="AK192" s="111"/>
      <c r="AL192" s="111"/>
      <c r="AM192" s="111"/>
      <c r="AN192" s="651"/>
      <c r="AO192" s="131"/>
      <c r="AP192" s="3"/>
      <c r="AQ192" s="17"/>
      <c r="AR192" s="17"/>
      <c r="AS192" s="17"/>
      <c r="AT192" s="424">
        <f t="shared" ref="AT192:AT195" si="186">W192</f>
        <v>0</v>
      </c>
      <c r="AU192" s="19">
        <f t="shared" ref="AU192:AU196" si="187">IF(AT$196=0,0,AT192/AT$196)</f>
        <v>0</v>
      </c>
      <c r="AV192" s="3"/>
      <c r="AW192" s="17"/>
      <c r="AX192" s="17"/>
      <c r="AY192" s="17"/>
      <c r="AZ192" s="424">
        <f t="shared" ref="AZ192:AZ195" si="188">X192</f>
        <v>0</v>
      </c>
      <c r="BA192" s="19">
        <f t="shared" ref="BA192:BA196" si="189">IF(AZ$196=0,0,AZ192/AZ$196)</f>
        <v>0</v>
      </c>
    </row>
    <row r="193" spans="1:53" s="4" customFormat="1" ht="17.100000000000001" customHeight="1" x14ac:dyDescent="0.25">
      <c r="A193" s="102"/>
      <c r="B193" s="102"/>
      <c r="C193" s="74" t="s">
        <v>164</v>
      </c>
      <c r="D193" s="85" t="s">
        <v>129</v>
      </c>
      <c r="E193" s="75"/>
      <c r="F193" s="75"/>
      <c r="G193" s="105"/>
      <c r="H193" s="84"/>
      <c r="I193" s="231"/>
      <c r="J193" s="174"/>
      <c r="K193" s="174"/>
      <c r="L193" s="111"/>
      <c r="M193" s="111"/>
      <c r="N193" s="60"/>
      <c r="O193" s="60"/>
      <c r="P193" s="17">
        <f t="shared" si="179"/>
        <v>0</v>
      </c>
      <c r="Q193" s="60"/>
      <c r="R193" s="60"/>
      <c r="S193" s="17">
        <f t="shared" si="180"/>
        <v>0</v>
      </c>
      <c r="T193" s="60"/>
      <c r="U193" s="60"/>
      <c r="V193" s="17">
        <f t="shared" si="181"/>
        <v>0</v>
      </c>
      <c r="W193" s="391">
        <f t="shared" si="182"/>
        <v>0</v>
      </c>
      <c r="X193" s="17">
        <f t="shared" si="183"/>
        <v>0</v>
      </c>
      <c r="Y193" s="18">
        <f t="shared" si="184"/>
        <v>0</v>
      </c>
      <c r="Z193" s="19">
        <f t="shared" si="185"/>
        <v>0</v>
      </c>
      <c r="AA193" s="19"/>
      <c r="AB193" s="19"/>
      <c r="AC193" s="20"/>
      <c r="AE193" s="111"/>
      <c r="AF193" s="111"/>
      <c r="AG193" s="111"/>
      <c r="AH193" s="651"/>
      <c r="AI193" s="131"/>
      <c r="AJ193" s="3"/>
      <c r="AK193" s="111"/>
      <c r="AL193" s="111"/>
      <c r="AM193" s="111"/>
      <c r="AN193" s="651"/>
      <c r="AO193" s="131"/>
      <c r="AP193" s="3"/>
      <c r="AQ193" s="17"/>
      <c r="AR193" s="17"/>
      <c r="AS193" s="17"/>
      <c r="AT193" s="424">
        <f t="shared" si="186"/>
        <v>0</v>
      </c>
      <c r="AU193" s="19">
        <f t="shared" si="187"/>
        <v>0</v>
      </c>
      <c r="AV193" s="3"/>
      <c r="AW193" s="17"/>
      <c r="AX193" s="17"/>
      <c r="AY193" s="17"/>
      <c r="AZ193" s="424">
        <f t="shared" si="188"/>
        <v>0</v>
      </c>
      <c r="BA193" s="19">
        <f t="shared" si="189"/>
        <v>0</v>
      </c>
    </row>
    <row r="194" spans="1:53" s="4" customFormat="1" ht="17.100000000000001" customHeight="1" x14ac:dyDescent="0.25">
      <c r="A194" s="102"/>
      <c r="B194" s="102"/>
      <c r="C194" s="74" t="s">
        <v>166</v>
      </c>
      <c r="D194" s="85" t="s">
        <v>599</v>
      </c>
      <c r="E194" s="75"/>
      <c r="F194" s="75"/>
      <c r="G194" s="105"/>
      <c r="H194" s="84"/>
      <c r="I194" s="231"/>
      <c r="J194" s="174"/>
      <c r="K194" s="174"/>
      <c r="L194" s="111"/>
      <c r="M194" s="111"/>
      <c r="N194" s="61"/>
      <c r="O194" s="61"/>
      <c r="P194" s="17">
        <f t="shared" si="179"/>
        <v>0</v>
      </c>
      <c r="Q194" s="61"/>
      <c r="R194" s="61"/>
      <c r="S194" s="17">
        <f t="shared" si="180"/>
        <v>0</v>
      </c>
      <c r="T194" s="61"/>
      <c r="U194" s="61"/>
      <c r="V194" s="17">
        <f t="shared" si="181"/>
        <v>0</v>
      </c>
      <c r="W194" s="391">
        <f t="shared" si="182"/>
        <v>0</v>
      </c>
      <c r="X194" s="17">
        <f t="shared" si="183"/>
        <v>0</v>
      </c>
      <c r="Y194" s="18">
        <f t="shared" si="184"/>
        <v>0</v>
      </c>
      <c r="Z194" s="19">
        <f t="shared" si="185"/>
        <v>0</v>
      </c>
      <c r="AA194" s="19"/>
      <c r="AB194" s="19"/>
      <c r="AC194" s="20"/>
      <c r="AE194" s="111"/>
      <c r="AF194" s="111"/>
      <c r="AG194" s="111"/>
      <c r="AH194" s="651"/>
      <c r="AI194" s="131"/>
      <c r="AJ194" s="3"/>
      <c r="AK194" s="111"/>
      <c r="AL194" s="111"/>
      <c r="AM194" s="111"/>
      <c r="AN194" s="651"/>
      <c r="AO194" s="131"/>
      <c r="AP194" s="3"/>
      <c r="AQ194" s="17"/>
      <c r="AR194" s="17"/>
      <c r="AS194" s="17"/>
      <c r="AT194" s="424">
        <f t="shared" si="186"/>
        <v>0</v>
      </c>
      <c r="AU194" s="19">
        <f t="shared" si="187"/>
        <v>0</v>
      </c>
      <c r="AV194" s="3"/>
      <c r="AW194" s="17"/>
      <c r="AX194" s="17"/>
      <c r="AY194" s="17"/>
      <c r="AZ194" s="424">
        <f t="shared" si="188"/>
        <v>0</v>
      </c>
      <c r="BA194" s="19">
        <f t="shared" si="189"/>
        <v>0</v>
      </c>
    </row>
    <row r="195" spans="1:53" s="4" customFormat="1" ht="17.100000000000001" customHeight="1" x14ac:dyDescent="0.25">
      <c r="A195" s="102"/>
      <c r="B195" s="102"/>
      <c r="C195" s="74" t="s">
        <v>168</v>
      </c>
      <c r="D195" s="75" t="s">
        <v>600</v>
      </c>
      <c r="E195" s="75"/>
      <c r="F195" s="75"/>
      <c r="G195" s="105"/>
      <c r="H195" s="84"/>
      <c r="I195" s="231"/>
      <c r="J195" s="174"/>
      <c r="K195" s="174"/>
      <c r="L195" s="111"/>
      <c r="M195" s="111"/>
      <c r="N195" s="60"/>
      <c r="O195" s="60"/>
      <c r="P195" s="17">
        <f t="shared" si="179"/>
        <v>0</v>
      </c>
      <c r="Q195" s="60"/>
      <c r="R195" s="60"/>
      <c r="S195" s="17">
        <f t="shared" si="180"/>
        <v>0</v>
      </c>
      <c r="T195" s="60"/>
      <c r="U195" s="60"/>
      <c r="V195" s="17">
        <f t="shared" si="181"/>
        <v>0</v>
      </c>
      <c r="W195" s="391">
        <f t="shared" si="182"/>
        <v>0</v>
      </c>
      <c r="X195" s="17">
        <f t="shared" si="183"/>
        <v>0</v>
      </c>
      <c r="Y195" s="18">
        <f t="shared" si="184"/>
        <v>0</v>
      </c>
      <c r="Z195" s="19">
        <f t="shared" si="185"/>
        <v>0</v>
      </c>
      <c r="AA195" s="19"/>
      <c r="AB195" s="19"/>
      <c r="AC195" s="20"/>
      <c r="AE195" s="111"/>
      <c r="AF195" s="111"/>
      <c r="AG195" s="111"/>
      <c r="AH195" s="651"/>
      <c r="AI195" s="131"/>
      <c r="AJ195" s="3"/>
      <c r="AK195" s="111"/>
      <c r="AL195" s="111"/>
      <c r="AM195" s="111"/>
      <c r="AN195" s="651"/>
      <c r="AO195" s="131"/>
      <c r="AP195" s="3"/>
      <c r="AQ195" s="17"/>
      <c r="AR195" s="17"/>
      <c r="AS195" s="17"/>
      <c r="AT195" s="424">
        <f t="shared" si="186"/>
        <v>0</v>
      </c>
      <c r="AU195" s="19">
        <f t="shared" si="187"/>
        <v>0</v>
      </c>
      <c r="AV195" s="3"/>
      <c r="AW195" s="17"/>
      <c r="AX195" s="17"/>
      <c r="AY195" s="17"/>
      <c r="AZ195" s="424">
        <f t="shared" si="188"/>
        <v>0</v>
      </c>
      <c r="BA195" s="19">
        <f t="shared" si="189"/>
        <v>0</v>
      </c>
    </row>
    <row r="196" spans="1:53" ht="17.100000000000001" customHeight="1" x14ac:dyDescent="0.25">
      <c r="A196" s="40"/>
      <c r="B196" s="40"/>
      <c r="C196" s="292"/>
      <c r="D196" s="144"/>
      <c r="E196" s="144"/>
      <c r="F196" s="145"/>
      <c r="G196" s="145"/>
      <c r="H196" s="119"/>
      <c r="I196" s="138"/>
      <c r="J196" s="64"/>
      <c r="K196" s="64"/>
      <c r="L196" s="81"/>
      <c r="M196" s="81"/>
      <c r="N196" s="81">
        <f>SUM(N191:N195)</f>
        <v>3</v>
      </c>
      <c r="O196" s="81">
        <f t="shared" ref="O196:V196" si="190">SUM(O191:O195)</f>
        <v>6</v>
      </c>
      <c r="P196" s="81">
        <f t="shared" si="190"/>
        <v>9</v>
      </c>
      <c r="Q196" s="81">
        <f t="shared" si="190"/>
        <v>7</v>
      </c>
      <c r="R196" s="81">
        <f t="shared" si="190"/>
        <v>2</v>
      </c>
      <c r="S196" s="81">
        <f t="shared" si="190"/>
        <v>9</v>
      </c>
      <c r="T196" s="81">
        <f t="shared" si="190"/>
        <v>5</v>
      </c>
      <c r="U196" s="81">
        <f t="shared" si="190"/>
        <v>5</v>
      </c>
      <c r="V196" s="81">
        <f t="shared" si="190"/>
        <v>10</v>
      </c>
      <c r="W196" s="82">
        <f>SUM(W191:W195)</f>
        <v>15</v>
      </c>
      <c r="X196" s="82">
        <f t="shared" ref="X196:Y196" si="191">SUM(X191:X195)</f>
        <v>13</v>
      </c>
      <c r="Y196" s="82">
        <f t="shared" si="191"/>
        <v>28</v>
      </c>
      <c r="Z196" s="66">
        <f t="shared" si="185"/>
        <v>1</v>
      </c>
      <c r="AA196" s="66"/>
      <c r="AB196" s="66"/>
      <c r="AC196" s="83"/>
      <c r="AE196" s="81"/>
      <c r="AF196" s="81"/>
      <c r="AG196" s="82"/>
      <c r="AH196" s="82"/>
      <c r="AI196" s="66"/>
      <c r="AK196" s="81"/>
      <c r="AL196" s="81"/>
      <c r="AM196" s="82"/>
      <c r="AN196" s="82"/>
      <c r="AO196" s="66"/>
      <c r="AQ196" s="81"/>
      <c r="AR196" s="81"/>
      <c r="AS196" s="82"/>
      <c r="AT196" s="81">
        <f>SUM(AT191:AT195)</f>
        <v>15</v>
      </c>
      <c r="AU196" s="66">
        <f t="shared" si="187"/>
        <v>1</v>
      </c>
      <c r="AW196" s="81"/>
      <c r="AX196" s="81"/>
      <c r="AY196" s="82"/>
      <c r="AZ196" s="81">
        <f>SUM(AZ191:AZ195)</f>
        <v>13</v>
      </c>
      <c r="BA196" s="66">
        <f t="shared" si="189"/>
        <v>1</v>
      </c>
    </row>
    <row r="197" spans="1:53" s="117" customFormat="1" ht="17.100000000000001" customHeight="1" x14ac:dyDescent="0.25">
      <c r="A197" s="119"/>
      <c r="B197" s="119"/>
      <c r="C197" s="647"/>
      <c r="D197" s="212"/>
      <c r="E197" s="212"/>
      <c r="F197" s="212"/>
      <c r="G197" s="212"/>
      <c r="H197" s="242"/>
      <c r="I197" s="230"/>
      <c r="J197" s="17"/>
      <c r="K197" s="17"/>
      <c r="L197" s="17"/>
      <c r="M197" s="17"/>
      <c r="N197" s="17" t="str">
        <f>IF(N196=N$20,"OK","NOK")</f>
        <v>OK</v>
      </c>
      <c r="O197" s="17" t="str">
        <f>IF(O196=O$20,"OK","NOK")</f>
        <v>OK</v>
      </c>
      <c r="P197" s="17"/>
      <c r="Q197" s="17" t="str">
        <f>IF(Q196&gt;=Q$20,"OK","NOK")</f>
        <v>OK</v>
      </c>
      <c r="R197" s="17" t="str">
        <f>IF(R196&gt;=R$20,"OK","NOK")</f>
        <v>OK</v>
      </c>
      <c r="S197" s="17"/>
      <c r="T197" s="17" t="str">
        <f>IF(T196&gt;=T$20,"OK","NOK")</f>
        <v>OK</v>
      </c>
      <c r="U197" s="17" t="str">
        <f>IF(U196&gt;=U$20,"OK","NOK")</f>
        <v>OK</v>
      </c>
      <c r="V197" s="359"/>
      <c r="W197" s="382"/>
      <c r="X197" s="646"/>
      <c r="Y197" s="646"/>
      <c r="Z197" s="201"/>
      <c r="AA197" s="201"/>
      <c r="AB197" s="201"/>
      <c r="AC197" s="84"/>
      <c r="AE197" s="17"/>
      <c r="AF197" s="17"/>
      <c r="AG197" s="17"/>
      <c r="AH197" s="646"/>
      <c r="AI197" s="91"/>
      <c r="AK197" s="17"/>
      <c r="AL197" s="17"/>
      <c r="AM197" s="17"/>
      <c r="AN197" s="646"/>
      <c r="AO197" s="91"/>
      <c r="AQ197" s="17"/>
      <c r="AR197" s="17"/>
      <c r="AS197" s="17"/>
      <c r="AT197" s="646"/>
      <c r="AU197" s="91"/>
      <c r="AW197" s="17"/>
      <c r="AX197" s="17"/>
      <c r="AY197" s="17"/>
      <c r="AZ197" s="17"/>
      <c r="BA197" s="91"/>
    </row>
    <row r="198" spans="1:53" ht="17.100000000000001" customHeight="1" x14ac:dyDescent="0.25">
      <c r="A198" s="40"/>
      <c r="B198" s="41" t="s">
        <v>171</v>
      </c>
      <c r="C198" s="42" t="s">
        <v>601</v>
      </c>
      <c r="D198" s="43"/>
      <c r="E198" s="43"/>
      <c r="F198" s="43"/>
      <c r="G198" s="43"/>
      <c r="H198" s="23"/>
      <c r="I198" s="12"/>
      <c r="J198" s="73"/>
      <c r="K198" s="73"/>
      <c r="L198" s="73"/>
      <c r="M198" s="73"/>
      <c r="N198" s="71">
        <f>N191</f>
        <v>3</v>
      </c>
      <c r="O198" s="71">
        <f t="shared" ref="O198:U198" si="192">O191</f>
        <v>6</v>
      </c>
      <c r="P198" s="71"/>
      <c r="Q198" s="71">
        <f t="shared" si="192"/>
        <v>7</v>
      </c>
      <c r="R198" s="71">
        <f t="shared" si="192"/>
        <v>2</v>
      </c>
      <c r="S198" s="71"/>
      <c r="T198" s="71">
        <f t="shared" si="192"/>
        <v>5</v>
      </c>
      <c r="U198" s="71">
        <f t="shared" si="192"/>
        <v>5</v>
      </c>
      <c r="V198" s="71"/>
      <c r="W198" s="73"/>
      <c r="X198" s="73"/>
      <c r="Y198" s="73"/>
      <c r="Z198" s="73"/>
      <c r="AA198" s="73"/>
      <c r="AB198" s="73"/>
      <c r="AC198" s="73"/>
      <c r="AE198" s="73"/>
      <c r="AF198" s="73"/>
      <c r="AG198" s="73"/>
      <c r="AH198" s="73"/>
      <c r="AI198" s="73"/>
      <c r="AK198" s="73"/>
      <c r="AL198" s="73"/>
      <c r="AM198" s="73"/>
      <c r="AN198" s="73"/>
      <c r="AO198" s="73"/>
      <c r="AQ198" s="73"/>
      <c r="AR198" s="73"/>
      <c r="AS198" s="73"/>
      <c r="AT198" s="73"/>
      <c r="AU198" s="73"/>
      <c r="AW198" s="73"/>
      <c r="AX198" s="73"/>
      <c r="AY198" s="73"/>
      <c r="AZ198" s="73"/>
      <c r="BA198" s="73"/>
    </row>
    <row r="199" spans="1:53" s="4" customFormat="1" ht="17.100000000000001" customHeight="1" x14ac:dyDescent="0.25">
      <c r="A199" s="40"/>
      <c r="B199" s="40"/>
      <c r="C199" s="141" t="s">
        <v>172</v>
      </c>
      <c r="D199" s="648" t="s">
        <v>479</v>
      </c>
      <c r="E199" s="75"/>
      <c r="F199" s="75"/>
      <c r="G199" s="649"/>
      <c r="H199" s="254"/>
      <c r="I199" s="207"/>
      <c r="J199" s="174"/>
      <c r="K199" s="174"/>
      <c r="L199" s="111"/>
      <c r="M199" s="111"/>
      <c r="N199" s="60"/>
      <c r="O199" s="60"/>
      <c r="P199" s="17">
        <f t="shared" ref="P199:P203" si="193">SUM(N199:O199)</f>
        <v>0</v>
      </c>
      <c r="Q199" s="60"/>
      <c r="R199" s="60"/>
      <c r="S199" s="17">
        <f t="shared" ref="S199:S203" si="194">SUM(Q199:R199)</f>
        <v>0</v>
      </c>
      <c r="T199" s="60"/>
      <c r="U199" s="60"/>
      <c r="V199" s="17">
        <f t="shared" ref="V199:V203" si="195">SUM(T199:U199)</f>
        <v>0</v>
      </c>
      <c r="W199" s="391">
        <f t="shared" ref="W199:W207" si="196">J199+K199+N199+Q199+T199</f>
        <v>0</v>
      </c>
      <c r="X199" s="17">
        <f t="shared" ref="X199:X207" si="197">L199+O199+R199+U199</f>
        <v>0</v>
      </c>
      <c r="Y199" s="18">
        <f t="shared" ref="Y199:Y207" si="198">SUM(W199:X199)</f>
        <v>0</v>
      </c>
      <c r="Z199" s="19">
        <f>IF(Y$208=0,0,Y199/Y$208)</f>
        <v>0</v>
      </c>
      <c r="AA199" s="19"/>
      <c r="AB199" s="19"/>
      <c r="AC199" s="20"/>
      <c r="AE199" s="111"/>
      <c r="AF199" s="111"/>
      <c r="AG199" s="111"/>
      <c r="AH199" s="651"/>
      <c r="AI199" s="131"/>
      <c r="AJ199" s="3"/>
      <c r="AK199" s="111"/>
      <c r="AL199" s="111"/>
      <c r="AM199" s="111"/>
      <c r="AN199" s="651"/>
      <c r="AO199" s="131"/>
      <c r="AP199" s="3"/>
      <c r="AQ199" s="17"/>
      <c r="AR199" s="17"/>
      <c r="AS199" s="17"/>
      <c r="AT199" s="424">
        <f>W199</f>
        <v>0</v>
      </c>
      <c r="AU199" s="19">
        <f>IF(AT$208=0,0,AT199/AT$208)</f>
        <v>0</v>
      </c>
      <c r="AV199" s="3"/>
      <c r="AW199" s="17"/>
      <c r="AX199" s="17"/>
      <c r="AY199" s="17"/>
      <c r="AZ199" s="424">
        <f>X199</f>
        <v>0</v>
      </c>
      <c r="BA199" s="19">
        <f>IF(AZ$208=0,0,AZ199/AZ$208)</f>
        <v>0</v>
      </c>
    </row>
    <row r="200" spans="1:53" s="4" customFormat="1" ht="17.100000000000001" customHeight="1" x14ac:dyDescent="0.25">
      <c r="A200" s="40"/>
      <c r="B200" s="40"/>
      <c r="C200" s="141" t="s">
        <v>174</v>
      </c>
      <c r="D200" s="85" t="s">
        <v>405</v>
      </c>
      <c r="E200" s="75"/>
      <c r="F200" s="75"/>
      <c r="G200" s="649"/>
      <c r="H200" s="254"/>
      <c r="I200" s="207"/>
      <c r="J200" s="174"/>
      <c r="K200" s="174"/>
      <c r="L200" s="111"/>
      <c r="M200" s="111"/>
      <c r="N200" s="61"/>
      <c r="O200" s="61"/>
      <c r="P200" s="17">
        <f t="shared" si="193"/>
        <v>0</v>
      </c>
      <c r="Q200" s="61"/>
      <c r="R200" s="61"/>
      <c r="S200" s="17">
        <f t="shared" si="194"/>
        <v>0</v>
      </c>
      <c r="T200" s="61"/>
      <c r="U200" s="61"/>
      <c r="V200" s="17">
        <f t="shared" si="195"/>
        <v>0</v>
      </c>
      <c r="W200" s="391">
        <f t="shared" si="196"/>
        <v>0</v>
      </c>
      <c r="X200" s="17">
        <f t="shared" si="197"/>
        <v>0</v>
      </c>
      <c r="Y200" s="18">
        <f t="shared" si="198"/>
        <v>0</v>
      </c>
      <c r="Z200" s="19">
        <f t="shared" ref="Z200:Z208" si="199">IF(Y$208=0,0,Y200/Y$208)</f>
        <v>0</v>
      </c>
      <c r="AA200" s="19"/>
      <c r="AB200" s="19"/>
      <c r="AC200" s="20"/>
      <c r="AE200" s="111"/>
      <c r="AF200" s="111"/>
      <c r="AG200" s="111"/>
      <c r="AH200" s="651"/>
      <c r="AI200" s="131"/>
      <c r="AJ200" s="3"/>
      <c r="AK200" s="111"/>
      <c r="AL200" s="111"/>
      <c r="AM200" s="111"/>
      <c r="AN200" s="651"/>
      <c r="AO200" s="131"/>
      <c r="AP200" s="3"/>
      <c r="AQ200" s="17"/>
      <c r="AR200" s="17"/>
      <c r="AS200" s="17"/>
      <c r="AT200" s="424">
        <f t="shared" ref="AT200:AT207" si="200">W200</f>
        <v>0</v>
      </c>
      <c r="AU200" s="19">
        <f t="shared" ref="AU200:AU203" si="201">IF(AT$208=0,0,AT200/AT$208)</f>
        <v>0</v>
      </c>
      <c r="AV200" s="3"/>
      <c r="AW200" s="17"/>
      <c r="AX200" s="17"/>
      <c r="AY200" s="17"/>
      <c r="AZ200" s="424">
        <f t="shared" ref="AZ200:AZ207" si="202">X200</f>
        <v>0</v>
      </c>
      <c r="BA200" s="19">
        <f t="shared" ref="BA200:BA208" si="203">IF(AZ$208=0,0,AZ200/AZ$208)</f>
        <v>0</v>
      </c>
    </row>
    <row r="201" spans="1:53" s="4" customFormat="1" ht="17.100000000000001" customHeight="1" x14ac:dyDescent="0.25">
      <c r="A201" s="40"/>
      <c r="B201" s="40"/>
      <c r="C201" s="141" t="s">
        <v>175</v>
      </c>
      <c r="D201" s="85" t="s">
        <v>480</v>
      </c>
      <c r="E201" s="75"/>
      <c r="F201" s="75"/>
      <c r="G201" s="649"/>
      <c r="H201" s="254"/>
      <c r="I201" s="207"/>
      <c r="J201" s="174"/>
      <c r="K201" s="174"/>
      <c r="L201" s="111"/>
      <c r="M201" s="111"/>
      <c r="N201" s="60">
        <v>3</v>
      </c>
      <c r="O201" s="60">
        <v>6</v>
      </c>
      <c r="P201" s="17">
        <f t="shared" si="193"/>
        <v>9</v>
      </c>
      <c r="Q201" s="60">
        <v>7</v>
      </c>
      <c r="R201" s="60">
        <v>2</v>
      </c>
      <c r="S201" s="17">
        <f t="shared" si="194"/>
        <v>9</v>
      </c>
      <c r="T201" s="60">
        <v>5</v>
      </c>
      <c r="U201" s="60">
        <v>5</v>
      </c>
      <c r="V201" s="17">
        <f t="shared" si="195"/>
        <v>10</v>
      </c>
      <c r="W201" s="391">
        <f t="shared" si="196"/>
        <v>15</v>
      </c>
      <c r="X201" s="17">
        <f t="shared" si="197"/>
        <v>13</v>
      </c>
      <c r="Y201" s="18">
        <f t="shared" si="198"/>
        <v>28</v>
      </c>
      <c r="Z201" s="19">
        <f t="shared" si="199"/>
        <v>1</v>
      </c>
      <c r="AA201" s="19"/>
      <c r="AB201" s="19"/>
      <c r="AC201" s="20"/>
      <c r="AE201" s="111"/>
      <c r="AF201" s="111"/>
      <c r="AG201" s="111"/>
      <c r="AH201" s="651"/>
      <c r="AI201" s="131"/>
      <c r="AJ201" s="3"/>
      <c r="AK201" s="111"/>
      <c r="AL201" s="111"/>
      <c r="AM201" s="111"/>
      <c r="AN201" s="651"/>
      <c r="AO201" s="131"/>
      <c r="AP201" s="3"/>
      <c r="AQ201" s="17"/>
      <c r="AR201" s="17"/>
      <c r="AS201" s="17"/>
      <c r="AT201" s="424">
        <f t="shared" si="200"/>
        <v>15</v>
      </c>
      <c r="AU201" s="19">
        <f t="shared" si="201"/>
        <v>1</v>
      </c>
      <c r="AV201" s="3"/>
      <c r="AW201" s="17"/>
      <c r="AX201" s="17"/>
      <c r="AY201" s="17"/>
      <c r="AZ201" s="424">
        <f t="shared" si="202"/>
        <v>13</v>
      </c>
      <c r="BA201" s="19">
        <f t="shared" si="203"/>
        <v>1</v>
      </c>
    </row>
    <row r="202" spans="1:53" s="4" customFormat="1" ht="17.100000000000001" customHeight="1" x14ac:dyDescent="0.25">
      <c r="A202" s="40"/>
      <c r="B202" s="40"/>
      <c r="C202" s="141" t="s">
        <v>176</v>
      </c>
      <c r="D202" s="648" t="s">
        <v>481</v>
      </c>
      <c r="E202" s="75"/>
      <c r="F202" s="75"/>
      <c r="G202" s="649"/>
      <c r="H202" s="254"/>
      <c r="I202" s="207"/>
      <c r="J202" s="174"/>
      <c r="K202" s="174"/>
      <c r="L202" s="111"/>
      <c r="M202" s="111"/>
      <c r="N202" s="61"/>
      <c r="O202" s="61"/>
      <c r="P202" s="17">
        <f t="shared" si="193"/>
        <v>0</v>
      </c>
      <c r="Q202" s="61"/>
      <c r="R202" s="61"/>
      <c r="S202" s="17">
        <f t="shared" si="194"/>
        <v>0</v>
      </c>
      <c r="T202" s="61"/>
      <c r="U202" s="61"/>
      <c r="V202" s="17">
        <f t="shared" si="195"/>
        <v>0</v>
      </c>
      <c r="W202" s="391">
        <f t="shared" si="196"/>
        <v>0</v>
      </c>
      <c r="X202" s="17">
        <f t="shared" si="197"/>
        <v>0</v>
      </c>
      <c r="Y202" s="18">
        <f t="shared" si="198"/>
        <v>0</v>
      </c>
      <c r="Z202" s="19">
        <f t="shared" si="199"/>
        <v>0</v>
      </c>
      <c r="AA202" s="19"/>
      <c r="AB202" s="19"/>
      <c r="AC202" s="20"/>
      <c r="AE202" s="111"/>
      <c r="AF202" s="111"/>
      <c r="AG202" s="111"/>
      <c r="AH202" s="651"/>
      <c r="AI202" s="131"/>
      <c r="AJ202" s="3"/>
      <c r="AK202" s="111"/>
      <c r="AL202" s="111"/>
      <c r="AM202" s="111"/>
      <c r="AN202" s="651"/>
      <c r="AO202" s="131"/>
      <c r="AP202" s="3"/>
      <c r="AQ202" s="17"/>
      <c r="AR202" s="17"/>
      <c r="AS202" s="17"/>
      <c r="AT202" s="424">
        <f t="shared" si="200"/>
        <v>0</v>
      </c>
      <c r="AU202" s="19">
        <f t="shared" si="201"/>
        <v>0</v>
      </c>
      <c r="AV202" s="3"/>
      <c r="AW202" s="17"/>
      <c r="AX202" s="17"/>
      <c r="AY202" s="17"/>
      <c r="AZ202" s="424">
        <f t="shared" si="202"/>
        <v>0</v>
      </c>
      <c r="BA202" s="19">
        <f t="shared" si="203"/>
        <v>0</v>
      </c>
    </row>
    <row r="203" spans="1:53" s="4" customFormat="1" ht="17.100000000000001" customHeight="1" x14ac:dyDescent="0.25">
      <c r="A203" s="40"/>
      <c r="B203" s="40"/>
      <c r="C203" s="282" t="s">
        <v>177</v>
      </c>
      <c r="D203" s="648" t="s">
        <v>109</v>
      </c>
      <c r="E203" s="650"/>
      <c r="F203" s="650"/>
      <c r="G203" s="649"/>
      <c r="H203" s="254"/>
      <c r="I203" s="207"/>
      <c r="J203" s="111"/>
      <c r="K203" s="111"/>
      <c r="L203" s="111"/>
      <c r="M203" s="111"/>
      <c r="N203" s="111">
        <f>SUM(N204:N206)</f>
        <v>0</v>
      </c>
      <c r="O203" s="111">
        <f t="shared" ref="O203:U203" si="204">SUM(O204:O206)</f>
        <v>0</v>
      </c>
      <c r="P203" s="111">
        <f t="shared" si="193"/>
        <v>0</v>
      </c>
      <c r="Q203" s="111">
        <f t="shared" si="204"/>
        <v>0</v>
      </c>
      <c r="R203" s="111">
        <f t="shared" si="204"/>
        <v>0</v>
      </c>
      <c r="S203" s="111">
        <f t="shared" si="194"/>
        <v>0</v>
      </c>
      <c r="T203" s="111">
        <f t="shared" si="204"/>
        <v>0</v>
      </c>
      <c r="U203" s="111">
        <f t="shared" si="204"/>
        <v>0</v>
      </c>
      <c r="V203" s="111">
        <f t="shared" si="195"/>
        <v>0</v>
      </c>
      <c r="W203" s="380">
        <f t="shared" si="196"/>
        <v>0</v>
      </c>
      <c r="X203" s="111">
        <f t="shared" si="197"/>
        <v>0</v>
      </c>
      <c r="Y203" s="651">
        <f t="shared" si="198"/>
        <v>0</v>
      </c>
      <c r="Z203" s="131">
        <f t="shared" si="199"/>
        <v>0</v>
      </c>
      <c r="AA203" s="131"/>
      <c r="AB203" s="131"/>
      <c r="AC203" s="113"/>
      <c r="AE203" s="111"/>
      <c r="AF203" s="111"/>
      <c r="AG203" s="111"/>
      <c r="AH203" s="651"/>
      <c r="AI203" s="131"/>
      <c r="AJ203" s="3"/>
      <c r="AK203" s="111"/>
      <c r="AL203" s="111"/>
      <c r="AM203" s="111"/>
      <c r="AN203" s="651"/>
      <c r="AO203" s="131"/>
      <c r="AP203" s="3"/>
      <c r="AQ203" s="111"/>
      <c r="AR203" s="111"/>
      <c r="AS203" s="111"/>
      <c r="AT203" s="111">
        <f t="shared" si="200"/>
        <v>0</v>
      </c>
      <c r="AU203" s="131">
        <f t="shared" si="201"/>
        <v>0</v>
      </c>
      <c r="AV203" s="3"/>
      <c r="AW203" s="111"/>
      <c r="AX203" s="111"/>
      <c r="AY203" s="111"/>
      <c r="AZ203" s="111">
        <f t="shared" si="202"/>
        <v>0</v>
      </c>
      <c r="BA203" s="131">
        <f t="shared" si="203"/>
        <v>0</v>
      </c>
    </row>
    <row r="204" spans="1:53" s="4" customFormat="1" ht="16.5" customHeight="1" x14ac:dyDescent="0.25">
      <c r="A204" s="40"/>
      <c r="B204" s="40"/>
      <c r="C204" s="56"/>
      <c r="D204" s="294"/>
      <c r="E204" s="295"/>
      <c r="F204" s="295"/>
      <c r="G204" s="295"/>
      <c r="H204" s="198"/>
      <c r="I204" s="642"/>
      <c r="J204" s="174"/>
      <c r="K204" s="174"/>
      <c r="L204" s="111"/>
      <c r="M204" s="111"/>
      <c r="N204" s="60"/>
      <c r="O204" s="60"/>
      <c r="P204" s="17"/>
      <c r="Q204" s="60"/>
      <c r="R204" s="60"/>
      <c r="S204" s="17"/>
      <c r="T204" s="60"/>
      <c r="U204" s="60"/>
      <c r="V204" s="17"/>
      <c r="W204" s="391"/>
      <c r="X204" s="17"/>
      <c r="Y204" s="18"/>
      <c r="Z204" s="19"/>
      <c r="AA204" s="20"/>
      <c r="AB204" s="20"/>
      <c r="AC204" s="20"/>
      <c r="AE204" s="111"/>
      <c r="AF204" s="111"/>
      <c r="AG204" s="113"/>
      <c r="AH204" s="113"/>
      <c r="AI204" s="131"/>
      <c r="AK204" s="111"/>
      <c r="AL204" s="111"/>
      <c r="AM204" s="113"/>
      <c r="AN204" s="113"/>
      <c r="AO204" s="131"/>
      <c r="AQ204" s="17"/>
      <c r="AR204" s="17"/>
      <c r="AS204" s="20"/>
      <c r="AT204" s="424"/>
      <c r="AU204" s="19"/>
      <c r="AW204" s="17"/>
      <c r="AX204" s="17"/>
      <c r="AY204" s="20"/>
      <c r="AZ204" s="424"/>
      <c r="BA204" s="19"/>
    </row>
    <row r="205" spans="1:53" s="4" customFormat="1" ht="17.100000000000001" customHeight="1" x14ac:dyDescent="0.25">
      <c r="A205" s="40"/>
      <c r="B205" s="40"/>
      <c r="C205" s="56"/>
      <c r="D205" s="296"/>
      <c r="E205" s="297"/>
      <c r="F205" s="297"/>
      <c r="G205" s="297"/>
      <c r="H205" s="198"/>
      <c r="I205" s="642"/>
      <c r="J205" s="174"/>
      <c r="K205" s="174"/>
      <c r="L205" s="111"/>
      <c r="M205" s="111"/>
      <c r="N205" s="61"/>
      <c r="O205" s="61"/>
      <c r="P205" s="17"/>
      <c r="Q205" s="61"/>
      <c r="R205" s="61"/>
      <c r="S205" s="17"/>
      <c r="T205" s="61"/>
      <c r="U205" s="61"/>
      <c r="V205" s="17"/>
      <c r="W205" s="391"/>
      <c r="X205" s="17"/>
      <c r="Y205" s="18"/>
      <c r="Z205" s="19"/>
      <c r="AA205" s="20"/>
      <c r="AB205" s="20"/>
      <c r="AC205" s="20"/>
      <c r="AE205" s="111"/>
      <c r="AF205" s="111"/>
      <c r="AG205" s="113"/>
      <c r="AH205" s="113"/>
      <c r="AI205" s="131"/>
      <c r="AK205" s="111"/>
      <c r="AL205" s="111"/>
      <c r="AM205" s="113"/>
      <c r="AN205" s="113"/>
      <c r="AO205" s="131"/>
      <c r="AQ205" s="17"/>
      <c r="AR205" s="17"/>
      <c r="AS205" s="20"/>
      <c r="AT205" s="424"/>
      <c r="AU205" s="19"/>
      <c r="AW205" s="17"/>
      <c r="AX205" s="17"/>
      <c r="AY205" s="20"/>
      <c r="AZ205" s="424"/>
      <c r="BA205" s="19"/>
    </row>
    <row r="206" spans="1:53" s="4" customFormat="1" ht="16.5" customHeight="1" x14ac:dyDescent="0.25">
      <c r="A206" s="40"/>
      <c r="B206" s="40"/>
      <c r="C206" s="56"/>
      <c r="D206" s="294"/>
      <c r="E206" s="295"/>
      <c r="F206" s="295"/>
      <c r="G206" s="295"/>
      <c r="H206" s="198"/>
      <c r="I206" s="642"/>
      <c r="J206" s="174"/>
      <c r="K206" s="174"/>
      <c r="L206" s="111"/>
      <c r="M206" s="111"/>
      <c r="N206" s="60"/>
      <c r="O206" s="60"/>
      <c r="P206" s="17"/>
      <c r="Q206" s="60"/>
      <c r="R206" s="60"/>
      <c r="S206" s="17"/>
      <c r="T206" s="60"/>
      <c r="U206" s="60"/>
      <c r="V206" s="17"/>
      <c r="W206" s="391"/>
      <c r="X206" s="17"/>
      <c r="Y206" s="18"/>
      <c r="Z206" s="19"/>
      <c r="AA206" s="20"/>
      <c r="AB206" s="20"/>
      <c r="AC206" s="20"/>
      <c r="AE206" s="111"/>
      <c r="AF206" s="111"/>
      <c r="AG206" s="113"/>
      <c r="AH206" s="113"/>
      <c r="AI206" s="131"/>
      <c r="AK206" s="111"/>
      <c r="AL206" s="111"/>
      <c r="AM206" s="113"/>
      <c r="AN206" s="113"/>
      <c r="AO206" s="131"/>
      <c r="AQ206" s="17"/>
      <c r="AR206" s="17"/>
      <c r="AS206" s="20"/>
      <c r="AT206" s="424"/>
      <c r="AU206" s="19"/>
      <c r="AW206" s="17"/>
      <c r="AX206" s="17"/>
      <c r="AY206" s="20"/>
      <c r="AZ206" s="424"/>
      <c r="BA206" s="19"/>
    </row>
    <row r="207" spans="1:53" s="4" customFormat="1" ht="17.100000000000001" customHeight="1" x14ac:dyDescent="0.25">
      <c r="A207" s="40"/>
      <c r="B207" s="40"/>
      <c r="C207" s="56" t="s">
        <v>178</v>
      </c>
      <c r="D207" s="596" t="s">
        <v>598</v>
      </c>
      <c r="E207" s="649"/>
      <c r="F207" s="649"/>
      <c r="G207" s="649"/>
      <c r="H207" s="254"/>
      <c r="I207" s="207"/>
      <c r="J207" s="174"/>
      <c r="K207" s="174"/>
      <c r="L207" s="111"/>
      <c r="M207" s="111"/>
      <c r="N207" s="61"/>
      <c r="O207" s="61"/>
      <c r="P207" s="17">
        <f t="shared" ref="P207" si="205">SUM(N207:O207)</f>
        <v>0</v>
      </c>
      <c r="Q207" s="61"/>
      <c r="R207" s="61"/>
      <c r="S207" s="17">
        <f t="shared" ref="S207" si="206">SUM(Q207:R207)</f>
        <v>0</v>
      </c>
      <c r="T207" s="61"/>
      <c r="U207" s="61"/>
      <c r="V207" s="17">
        <f t="shared" ref="V207" si="207">SUM(T207:U207)</f>
        <v>0</v>
      </c>
      <c r="W207" s="391">
        <f t="shared" si="196"/>
        <v>0</v>
      </c>
      <c r="X207" s="17">
        <f t="shared" si="197"/>
        <v>0</v>
      </c>
      <c r="Y207" s="18">
        <f t="shared" si="198"/>
        <v>0</v>
      </c>
      <c r="Z207" s="19">
        <f t="shared" si="199"/>
        <v>0</v>
      </c>
      <c r="AA207" s="19"/>
      <c r="AB207" s="19"/>
      <c r="AC207" s="20"/>
      <c r="AE207" s="111"/>
      <c r="AF207" s="111"/>
      <c r="AG207" s="111"/>
      <c r="AH207" s="651"/>
      <c r="AI207" s="131"/>
      <c r="AJ207" s="3"/>
      <c r="AK207" s="111"/>
      <c r="AL207" s="111"/>
      <c r="AM207" s="111"/>
      <c r="AN207" s="651"/>
      <c r="AO207" s="131"/>
      <c r="AP207" s="3"/>
      <c r="AQ207" s="17"/>
      <c r="AR207" s="17"/>
      <c r="AS207" s="17"/>
      <c r="AT207" s="424">
        <f t="shared" si="200"/>
        <v>0</v>
      </c>
      <c r="AU207" s="19">
        <f t="shared" ref="AU207:AU208" si="208">IF(AT$208=0,0,AT207/AT$208)</f>
        <v>0</v>
      </c>
      <c r="AV207" s="3"/>
      <c r="AW207" s="17"/>
      <c r="AX207" s="17"/>
      <c r="AY207" s="17"/>
      <c r="AZ207" s="424">
        <f t="shared" si="202"/>
        <v>0</v>
      </c>
      <c r="BA207" s="19">
        <f t="shared" si="203"/>
        <v>0</v>
      </c>
    </row>
    <row r="208" spans="1:53" ht="17.100000000000001" customHeight="1" x14ac:dyDescent="0.25">
      <c r="A208" s="40"/>
      <c r="B208" s="40"/>
      <c r="C208" s="292"/>
      <c r="D208" s="144"/>
      <c r="E208" s="144"/>
      <c r="F208" s="145"/>
      <c r="G208" s="145"/>
      <c r="H208" s="119"/>
      <c r="I208" s="236"/>
      <c r="J208" s="64"/>
      <c r="K208" s="64"/>
      <c r="L208" s="81"/>
      <c r="M208" s="81"/>
      <c r="N208" s="81">
        <f>SUM(N199:N203)+N207</f>
        <v>3</v>
      </c>
      <c r="O208" s="81">
        <f t="shared" ref="O208:V208" si="209">SUM(O199:O203)+O207</f>
        <v>6</v>
      </c>
      <c r="P208" s="81">
        <f t="shared" si="209"/>
        <v>9</v>
      </c>
      <c r="Q208" s="81">
        <f t="shared" si="209"/>
        <v>7</v>
      </c>
      <c r="R208" s="81">
        <f t="shared" si="209"/>
        <v>2</v>
      </c>
      <c r="S208" s="81">
        <f t="shared" si="209"/>
        <v>9</v>
      </c>
      <c r="T208" s="81">
        <f t="shared" si="209"/>
        <v>5</v>
      </c>
      <c r="U208" s="81">
        <f t="shared" si="209"/>
        <v>5</v>
      </c>
      <c r="V208" s="81">
        <f t="shared" si="209"/>
        <v>10</v>
      </c>
      <c r="W208" s="82">
        <f>SUM(W199:W207)</f>
        <v>15</v>
      </c>
      <c r="X208" s="82">
        <f t="shared" ref="X208:Y208" si="210">SUM(X199:X207)</f>
        <v>13</v>
      </c>
      <c r="Y208" s="82">
        <f t="shared" si="210"/>
        <v>28</v>
      </c>
      <c r="Z208" s="66">
        <f t="shared" si="199"/>
        <v>1</v>
      </c>
      <c r="AA208" s="205"/>
      <c r="AB208" s="205"/>
      <c r="AC208" s="83"/>
      <c r="AE208" s="81"/>
      <c r="AF208" s="81"/>
      <c r="AG208" s="82"/>
      <c r="AH208" s="82"/>
      <c r="AI208" s="66"/>
      <c r="AK208" s="81"/>
      <c r="AL208" s="81"/>
      <c r="AM208" s="82"/>
      <c r="AN208" s="82"/>
      <c r="AO208" s="66"/>
      <c r="AQ208" s="81"/>
      <c r="AR208" s="81"/>
      <c r="AS208" s="82"/>
      <c r="AT208" s="81">
        <f>SUM(AT199:AT203)+AT207</f>
        <v>15</v>
      </c>
      <c r="AU208" s="66">
        <f t="shared" si="208"/>
        <v>1</v>
      </c>
      <c r="AW208" s="81"/>
      <c r="AX208" s="81"/>
      <c r="AY208" s="82"/>
      <c r="AZ208" s="81">
        <f>SUM(AZ199:AZ203)+AZ207</f>
        <v>13</v>
      </c>
      <c r="BA208" s="66">
        <f t="shared" si="203"/>
        <v>1</v>
      </c>
    </row>
    <row r="209" spans="1:53" s="117" customFormat="1" ht="17.100000000000001" customHeight="1" x14ac:dyDescent="0.25">
      <c r="A209" s="119"/>
      <c r="B209" s="119"/>
      <c r="C209" s="647"/>
      <c r="D209" s="212"/>
      <c r="E209" s="212"/>
      <c r="F209" s="212"/>
      <c r="G209" s="212"/>
      <c r="H209" s="242"/>
      <c r="I209" s="230"/>
      <c r="J209" s="17"/>
      <c r="K209" s="17"/>
      <c r="L209" s="17"/>
      <c r="M209" s="17"/>
      <c r="N209" s="17" t="str">
        <f>IF(N208=N$198,"OK","NOK")</f>
        <v>OK</v>
      </c>
      <c r="O209" s="17" t="str">
        <f>IF(O208=O$198,"OK","NOK")</f>
        <v>OK</v>
      </c>
      <c r="P209" s="17"/>
      <c r="Q209" s="17" t="str">
        <f>IF(Q208=Q$198,"OK","NOK")</f>
        <v>OK</v>
      </c>
      <c r="R209" s="17" t="str">
        <f>IF(R208=R$198,"OK","NOK")</f>
        <v>OK</v>
      </c>
      <c r="S209" s="17"/>
      <c r="T209" s="17" t="str">
        <f>IF(T208=T$198,"OK","NOK")</f>
        <v>OK</v>
      </c>
      <c r="U209" s="17" t="str">
        <f>IF(U208=U$198,"OK","NOK")</f>
        <v>OK</v>
      </c>
      <c r="V209" s="359"/>
      <c r="W209" s="382"/>
      <c r="X209" s="646"/>
      <c r="Y209" s="646"/>
      <c r="Z209" s="201"/>
      <c r="AA209" s="201"/>
      <c r="AB209" s="201"/>
      <c r="AC209" s="84"/>
      <c r="AE209" s="17"/>
      <c r="AF209" s="17"/>
      <c r="AG209" s="17"/>
      <c r="AH209" s="646"/>
      <c r="AI209" s="91"/>
      <c r="AK209" s="17"/>
      <c r="AL209" s="17"/>
      <c r="AM209" s="17"/>
      <c r="AN209" s="646"/>
      <c r="AO209" s="91"/>
      <c r="AQ209" s="17"/>
      <c r="AR209" s="17"/>
      <c r="AS209" s="17"/>
      <c r="AT209" s="646"/>
      <c r="AU209" s="91"/>
      <c r="AW209" s="17"/>
      <c r="AX209" s="17"/>
      <c r="AY209" s="17"/>
      <c r="AZ209" s="17"/>
      <c r="BA209" s="91"/>
    </row>
    <row r="210" spans="1:53" ht="17.100000000000001" customHeight="1" x14ac:dyDescent="0.25">
      <c r="A210" s="40"/>
      <c r="B210" s="41" t="s">
        <v>180</v>
      </c>
      <c r="C210" s="274" t="s">
        <v>255</v>
      </c>
      <c r="D210" s="43"/>
      <c r="E210" s="43"/>
      <c r="F210" s="43"/>
      <c r="G210" s="43"/>
      <c r="H210" s="23"/>
      <c r="I210" s="12"/>
      <c r="J210" s="73"/>
      <c r="K210" s="73"/>
      <c r="L210" s="73"/>
      <c r="M210" s="73"/>
      <c r="N210" s="73"/>
      <c r="O210" s="73"/>
      <c r="P210" s="73"/>
      <c r="Q210" s="73"/>
      <c r="R210" s="73"/>
      <c r="S210" s="73"/>
      <c r="T210" s="73"/>
      <c r="U210" s="73"/>
      <c r="V210" s="73"/>
      <c r="W210" s="73"/>
      <c r="X210" s="73"/>
      <c r="Y210" s="73"/>
      <c r="Z210" s="73"/>
      <c r="AA210" s="73"/>
      <c r="AB210" s="73"/>
      <c r="AC210" s="73"/>
      <c r="AE210" s="73"/>
      <c r="AF210" s="73"/>
      <c r="AG210" s="73"/>
      <c r="AH210" s="73"/>
      <c r="AI210" s="73"/>
      <c r="AK210" s="73"/>
      <c r="AL210" s="73"/>
      <c r="AM210" s="73"/>
      <c r="AN210" s="73"/>
      <c r="AO210" s="73"/>
      <c r="AQ210" s="73"/>
      <c r="AR210" s="73"/>
      <c r="AS210" s="73"/>
      <c r="AT210" s="73"/>
      <c r="AU210" s="73"/>
      <c r="AW210" s="73"/>
      <c r="AX210" s="73"/>
      <c r="AY210" s="73"/>
      <c r="AZ210" s="73"/>
      <c r="BA210" s="73"/>
    </row>
    <row r="211" spans="1:53" s="4" customFormat="1" ht="17.100000000000001" customHeight="1" x14ac:dyDescent="0.25">
      <c r="A211" s="40"/>
      <c r="B211" s="40"/>
      <c r="C211" s="141" t="s">
        <v>440</v>
      </c>
      <c r="D211" s="146" t="s">
        <v>113</v>
      </c>
      <c r="E211" s="75"/>
      <c r="F211" s="75"/>
      <c r="G211" s="75"/>
      <c r="H211" s="23"/>
      <c r="I211" s="12"/>
      <c r="J211" s="174"/>
      <c r="K211" s="174"/>
      <c r="L211" s="111"/>
      <c r="M211" s="111"/>
      <c r="N211" s="60"/>
      <c r="O211" s="60"/>
      <c r="P211" s="17">
        <f t="shared" ref="P211:P213" si="211">SUM(N211:O211)</f>
        <v>0</v>
      </c>
      <c r="Q211" s="60">
        <v>4</v>
      </c>
      <c r="R211" s="60">
        <v>2</v>
      </c>
      <c r="S211" s="17">
        <f t="shared" ref="S211:S213" si="212">SUM(Q211:R211)</f>
        <v>6</v>
      </c>
      <c r="T211" s="60"/>
      <c r="U211" s="60">
        <v>1</v>
      </c>
      <c r="V211" s="17">
        <f t="shared" ref="V211:V213" si="213">SUM(T211:U211)</f>
        <v>1</v>
      </c>
      <c r="W211" s="391">
        <f t="shared" ref="W211:W213" si="214">J211+K211+N211+Q211+T211</f>
        <v>4</v>
      </c>
      <c r="X211" s="17">
        <f t="shared" ref="X211:X213" si="215">L211+O211+R211+U211</f>
        <v>3</v>
      </c>
      <c r="Y211" s="18">
        <f t="shared" ref="Y211:Y213" si="216">SUM(W211:X211)</f>
        <v>7</v>
      </c>
      <c r="Z211" s="19">
        <f>IF(Y$214=0,0,Y211/Y$214)</f>
        <v>0.25</v>
      </c>
      <c r="AA211" s="19"/>
      <c r="AB211" s="19"/>
      <c r="AC211" s="20"/>
      <c r="AE211" s="111"/>
      <c r="AF211" s="111"/>
      <c r="AG211" s="111"/>
      <c r="AH211" s="651"/>
      <c r="AI211" s="131"/>
      <c r="AJ211" s="3"/>
      <c r="AK211" s="111"/>
      <c r="AL211" s="111"/>
      <c r="AM211" s="111"/>
      <c r="AN211" s="651"/>
      <c r="AO211" s="131"/>
      <c r="AP211" s="3"/>
      <c r="AQ211" s="17"/>
      <c r="AR211" s="17"/>
      <c r="AS211" s="17"/>
      <c r="AT211" s="424">
        <f>W211</f>
        <v>4</v>
      </c>
      <c r="AU211" s="19">
        <f>IF(AT$214=0,0,AT211/AT$214)</f>
        <v>0.26666666666666666</v>
      </c>
      <c r="AV211" s="3"/>
      <c r="AW211" s="17"/>
      <c r="AX211" s="17"/>
      <c r="AY211" s="17"/>
      <c r="AZ211" s="424">
        <f>X211</f>
        <v>3</v>
      </c>
      <c r="BA211" s="19">
        <f>IF(AZ$214=0,0,AZ211/AZ$214)</f>
        <v>0.23076923076923078</v>
      </c>
    </row>
    <row r="212" spans="1:53" s="4" customFormat="1" ht="17.100000000000001" customHeight="1" x14ac:dyDescent="0.25">
      <c r="A212" s="40"/>
      <c r="B212" s="40"/>
      <c r="C212" s="141" t="s">
        <v>441</v>
      </c>
      <c r="D212" s="146" t="s">
        <v>602</v>
      </c>
      <c r="E212" s="75"/>
      <c r="F212" s="75"/>
      <c r="G212" s="75"/>
      <c r="H212" s="23"/>
      <c r="I212" s="12"/>
      <c r="J212" s="174"/>
      <c r="K212" s="174"/>
      <c r="L212" s="111"/>
      <c r="M212" s="111"/>
      <c r="N212" s="61">
        <v>3</v>
      </c>
      <c r="O212" s="61">
        <v>6</v>
      </c>
      <c r="P212" s="17">
        <f t="shared" si="211"/>
        <v>9</v>
      </c>
      <c r="Q212" s="61">
        <v>3</v>
      </c>
      <c r="R212" s="61"/>
      <c r="S212" s="17">
        <f t="shared" si="212"/>
        <v>3</v>
      </c>
      <c r="T212" s="61">
        <v>5</v>
      </c>
      <c r="U212" s="61">
        <v>4</v>
      </c>
      <c r="V212" s="17">
        <f t="shared" si="213"/>
        <v>9</v>
      </c>
      <c r="W212" s="391">
        <f t="shared" si="214"/>
        <v>11</v>
      </c>
      <c r="X212" s="17">
        <f t="shared" si="215"/>
        <v>10</v>
      </c>
      <c r="Y212" s="18">
        <f t="shared" si="216"/>
        <v>21</v>
      </c>
      <c r="Z212" s="19">
        <f t="shared" ref="Z212:Z214" si="217">IF(Y$214=0,0,Y212/Y$214)</f>
        <v>0.75</v>
      </c>
      <c r="AA212" s="19"/>
      <c r="AB212" s="19"/>
      <c r="AC212" s="20"/>
      <c r="AE212" s="111"/>
      <c r="AF212" s="111"/>
      <c r="AG212" s="111"/>
      <c r="AH212" s="651"/>
      <c r="AI212" s="131"/>
      <c r="AJ212" s="3"/>
      <c r="AK212" s="111"/>
      <c r="AL212" s="111"/>
      <c r="AM212" s="111"/>
      <c r="AN212" s="651"/>
      <c r="AO212" s="131"/>
      <c r="AP212" s="3"/>
      <c r="AQ212" s="17"/>
      <c r="AR212" s="17"/>
      <c r="AS212" s="17"/>
      <c r="AT212" s="424">
        <f t="shared" ref="AT212:AT213" si="218">W212</f>
        <v>11</v>
      </c>
      <c r="AU212" s="19">
        <f t="shared" ref="AU212:AU214" si="219">IF(AT$214=0,0,AT212/AT$214)</f>
        <v>0.73333333333333328</v>
      </c>
      <c r="AV212" s="3"/>
      <c r="AW212" s="17"/>
      <c r="AX212" s="17"/>
      <c r="AY212" s="17"/>
      <c r="AZ212" s="424">
        <f t="shared" ref="AZ212:AZ213" si="220">X212</f>
        <v>10</v>
      </c>
      <c r="BA212" s="19">
        <f t="shared" ref="BA212:BA214" si="221">IF(AZ$214=0,0,AZ212/AZ$214)</f>
        <v>0.76923076923076927</v>
      </c>
    </row>
    <row r="213" spans="1:53" s="4" customFormat="1" ht="17.100000000000001" customHeight="1" x14ac:dyDescent="0.25">
      <c r="A213" s="40"/>
      <c r="B213" s="40"/>
      <c r="C213" s="141" t="s">
        <v>442</v>
      </c>
      <c r="D213" s="596" t="s">
        <v>598</v>
      </c>
      <c r="E213" s="649"/>
      <c r="F213" s="649"/>
      <c r="G213" s="649"/>
      <c r="H213" s="254"/>
      <c r="I213" s="207"/>
      <c r="J213" s="174"/>
      <c r="K213" s="174"/>
      <c r="L213" s="111"/>
      <c r="M213" s="111"/>
      <c r="N213" s="60"/>
      <c r="O213" s="60"/>
      <c r="P213" s="17">
        <f t="shared" si="211"/>
        <v>0</v>
      </c>
      <c r="Q213" s="60"/>
      <c r="R213" s="60"/>
      <c r="S213" s="17">
        <f t="shared" si="212"/>
        <v>0</v>
      </c>
      <c r="T213" s="60"/>
      <c r="U213" s="60"/>
      <c r="V213" s="17">
        <f t="shared" si="213"/>
        <v>0</v>
      </c>
      <c r="W213" s="391">
        <f t="shared" si="214"/>
        <v>0</v>
      </c>
      <c r="X213" s="17">
        <f t="shared" si="215"/>
        <v>0</v>
      </c>
      <c r="Y213" s="18">
        <f t="shared" si="216"/>
        <v>0</v>
      </c>
      <c r="Z213" s="19">
        <f t="shared" si="217"/>
        <v>0</v>
      </c>
      <c r="AA213" s="19"/>
      <c r="AB213" s="19"/>
      <c r="AC213" s="20"/>
      <c r="AE213" s="111"/>
      <c r="AF213" s="111"/>
      <c r="AG213" s="111"/>
      <c r="AH213" s="651"/>
      <c r="AI213" s="131"/>
      <c r="AJ213" s="3"/>
      <c r="AK213" s="111"/>
      <c r="AL213" s="111"/>
      <c r="AM213" s="111"/>
      <c r="AN213" s="651"/>
      <c r="AO213" s="131"/>
      <c r="AP213" s="3"/>
      <c r="AQ213" s="17"/>
      <c r="AR213" s="17"/>
      <c r="AS213" s="17"/>
      <c r="AT213" s="424">
        <f t="shared" si="218"/>
        <v>0</v>
      </c>
      <c r="AU213" s="19">
        <f t="shared" si="219"/>
        <v>0</v>
      </c>
      <c r="AV213" s="3"/>
      <c r="AW213" s="17"/>
      <c r="AX213" s="17"/>
      <c r="AY213" s="17"/>
      <c r="AZ213" s="424">
        <f t="shared" si="220"/>
        <v>0</v>
      </c>
      <c r="BA213" s="19">
        <f t="shared" si="221"/>
        <v>0</v>
      </c>
    </row>
    <row r="214" spans="1:53" ht="17.100000000000001" customHeight="1" x14ac:dyDescent="0.25">
      <c r="A214" s="40"/>
      <c r="B214" s="40"/>
      <c r="C214" s="292"/>
      <c r="D214" s="144"/>
      <c r="E214" s="144"/>
      <c r="F214" s="145"/>
      <c r="G214" s="145"/>
      <c r="H214" s="119"/>
      <c r="I214" s="236"/>
      <c r="J214" s="64"/>
      <c r="K214" s="64"/>
      <c r="L214" s="64"/>
      <c r="M214" s="64"/>
      <c r="N214" s="64">
        <f>SUM(N211:N213)</f>
        <v>3</v>
      </c>
      <c r="O214" s="64">
        <f t="shared" ref="O214:V214" si="222">SUM(O211:O213)</f>
        <v>6</v>
      </c>
      <c r="P214" s="64">
        <f t="shared" si="222"/>
        <v>9</v>
      </c>
      <c r="Q214" s="64">
        <f t="shared" si="222"/>
        <v>7</v>
      </c>
      <c r="R214" s="64">
        <f t="shared" si="222"/>
        <v>2</v>
      </c>
      <c r="S214" s="64">
        <f t="shared" si="222"/>
        <v>9</v>
      </c>
      <c r="T214" s="64">
        <f t="shared" si="222"/>
        <v>5</v>
      </c>
      <c r="U214" s="64">
        <f t="shared" si="222"/>
        <v>5</v>
      </c>
      <c r="V214" s="64">
        <f t="shared" si="222"/>
        <v>10</v>
      </c>
      <c r="W214" s="224">
        <f>SUM(W211:W213)</f>
        <v>15</v>
      </c>
      <c r="X214" s="224">
        <f t="shared" ref="X214:Y214" si="223">SUM(X211:X213)</f>
        <v>13</v>
      </c>
      <c r="Y214" s="224">
        <f t="shared" si="223"/>
        <v>28</v>
      </c>
      <c r="Z214" s="66">
        <f t="shared" si="217"/>
        <v>1</v>
      </c>
      <c r="AA214" s="205"/>
      <c r="AB214" s="205"/>
      <c r="AC214" s="83"/>
      <c r="AE214" s="81"/>
      <c r="AF214" s="81"/>
      <c r="AG214" s="82"/>
      <c r="AH214" s="82"/>
      <c r="AI214" s="66"/>
      <c r="AK214" s="81"/>
      <c r="AL214" s="81"/>
      <c r="AM214" s="82"/>
      <c r="AN214" s="82"/>
      <c r="AO214" s="66"/>
      <c r="AQ214" s="81"/>
      <c r="AR214" s="81"/>
      <c r="AS214" s="82"/>
      <c r="AT214" s="81">
        <f>SUM(AT211:AT213)</f>
        <v>15</v>
      </c>
      <c r="AU214" s="66">
        <f t="shared" si="219"/>
        <v>1</v>
      </c>
      <c r="AW214" s="81"/>
      <c r="AX214" s="81"/>
      <c r="AY214" s="82"/>
      <c r="AZ214" s="81">
        <f>SUM(AZ211:AZ213)</f>
        <v>13</v>
      </c>
      <c r="BA214" s="66">
        <f t="shared" si="221"/>
        <v>1</v>
      </c>
    </row>
    <row r="215" spans="1:53" s="117" customFormat="1" ht="17.100000000000001" customHeight="1" x14ac:dyDescent="0.25">
      <c r="A215" s="119"/>
      <c r="B215" s="119"/>
      <c r="C215" s="647"/>
      <c r="D215" s="212"/>
      <c r="E215" s="212"/>
      <c r="F215" s="212"/>
      <c r="G215" s="212"/>
      <c r="H215" s="242"/>
      <c r="I215" s="230"/>
      <c r="J215" s="17"/>
      <c r="K215" s="17"/>
      <c r="L215" s="17"/>
      <c r="M215" s="17"/>
      <c r="N215" s="17" t="str">
        <f>IF(N214=N$198,"OK","NOK")</f>
        <v>OK</v>
      </c>
      <c r="O215" s="17" t="str">
        <f>IF(O214=O$198,"OK","NOK")</f>
        <v>OK</v>
      </c>
      <c r="P215" s="17"/>
      <c r="Q215" s="17" t="str">
        <f>IF(Q214=Q$198,"OK","NOK")</f>
        <v>OK</v>
      </c>
      <c r="R215" s="17" t="str">
        <f>IF(R214=R$198,"OK","NOK")</f>
        <v>OK</v>
      </c>
      <c r="S215" s="17"/>
      <c r="T215" s="17" t="str">
        <f>IF(T214=T$198,"OK","NOK")</f>
        <v>OK</v>
      </c>
      <c r="U215" s="17" t="str">
        <f>IF(U214=U$198,"OK","NOK")</f>
        <v>OK</v>
      </c>
      <c r="V215" s="359"/>
      <c r="W215" s="382"/>
      <c r="X215" s="646"/>
      <c r="Y215" s="646"/>
      <c r="Z215" s="201"/>
      <c r="AA215" s="201"/>
      <c r="AB215" s="201"/>
      <c r="AC215" s="84"/>
      <c r="AE215" s="17"/>
      <c r="AF215" s="17"/>
      <c r="AG215" s="17"/>
      <c r="AH215" s="646"/>
      <c r="AI215" s="91"/>
      <c r="AK215" s="17"/>
      <c r="AL215" s="17"/>
      <c r="AM215" s="17"/>
      <c r="AN215" s="646"/>
      <c r="AO215" s="91"/>
      <c r="AQ215" s="17"/>
      <c r="AR215" s="17"/>
      <c r="AS215" s="17"/>
      <c r="AT215" s="646"/>
      <c r="AU215" s="91"/>
      <c r="AW215" s="17"/>
      <c r="AX215" s="17"/>
      <c r="AY215" s="17"/>
      <c r="AZ215" s="17"/>
      <c r="BA215" s="91"/>
    </row>
    <row r="216" spans="1:53" ht="17.100000000000001" customHeight="1" x14ac:dyDescent="0.25">
      <c r="A216" s="40"/>
      <c r="B216" s="299" t="s">
        <v>447</v>
      </c>
      <c r="C216" s="274" t="s">
        <v>606</v>
      </c>
      <c r="D216" s="300"/>
      <c r="E216" s="50"/>
      <c r="F216" s="50"/>
      <c r="G216" s="301"/>
      <c r="H216" s="119"/>
      <c r="I216" s="138"/>
      <c r="J216" s="88"/>
      <c r="K216" s="88"/>
      <c r="L216" s="71"/>
      <c r="M216" s="71"/>
      <c r="N216" s="71"/>
      <c r="O216" s="71"/>
      <c r="P216" s="71"/>
      <c r="Q216" s="71"/>
      <c r="R216" s="71"/>
      <c r="S216" s="71"/>
      <c r="T216" s="71"/>
      <c r="U216" s="71"/>
      <c r="V216" s="71"/>
      <c r="W216" s="71"/>
      <c r="X216" s="71"/>
      <c r="Y216" s="71"/>
      <c r="Z216" s="90"/>
      <c r="AA216" s="90"/>
      <c r="AB216" s="90"/>
      <c r="AC216" s="73"/>
      <c r="AE216" s="87"/>
      <c r="AF216" s="87"/>
      <c r="AG216" s="71"/>
      <c r="AH216" s="89"/>
      <c r="AI216" s="90"/>
      <c r="AJ216" s="117"/>
      <c r="AK216" s="87"/>
      <c r="AL216" s="87"/>
      <c r="AM216" s="71"/>
      <c r="AN216" s="89"/>
      <c r="AO216" s="90"/>
      <c r="AP216" s="117"/>
      <c r="AQ216" s="87"/>
      <c r="AR216" s="87"/>
      <c r="AS216" s="71"/>
      <c r="AT216" s="89"/>
      <c r="AU216" s="90"/>
      <c r="AV216" s="117"/>
      <c r="AW216" s="87"/>
      <c r="AX216" s="87"/>
      <c r="AY216" s="71"/>
      <c r="AZ216" s="89"/>
      <c r="BA216" s="90"/>
    </row>
    <row r="217" spans="1:53" ht="17.100000000000001" customHeight="1" x14ac:dyDescent="0.25">
      <c r="A217" s="40"/>
      <c r="B217" s="302"/>
      <c r="C217" s="56" t="s">
        <v>449</v>
      </c>
      <c r="D217" s="85" t="s">
        <v>173</v>
      </c>
      <c r="E217" s="167"/>
      <c r="F217" s="151"/>
      <c r="G217" s="151"/>
      <c r="H217" s="119"/>
      <c r="I217" s="138"/>
      <c r="J217" s="174"/>
      <c r="K217" s="174"/>
      <c r="L217" s="111"/>
      <c r="M217" s="111"/>
      <c r="N217" s="60"/>
      <c r="O217" s="60"/>
      <c r="P217" s="17">
        <f t="shared" ref="P217:P222" si="224">SUM(N217:O217)</f>
        <v>0</v>
      </c>
      <c r="Q217" s="60"/>
      <c r="R217" s="60"/>
      <c r="S217" s="17">
        <f t="shared" ref="S217:S222" si="225">SUM(Q217:R217)</f>
        <v>0</v>
      </c>
      <c r="T217" s="60"/>
      <c r="U217" s="60"/>
      <c r="V217" s="17">
        <f t="shared" ref="V217:V222" si="226">SUM(T217:U217)</f>
        <v>0</v>
      </c>
      <c r="W217" s="391">
        <f t="shared" ref="W217:W222" si="227">J217+K217+N217+Q217+T217</f>
        <v>0</v>
      </c>
      <c r="X217" s="17">
        <f t="shared" ref="X217:X222" si="228">L217+O217+R217+U217</f>
        <v>0</v>
      </c>
      <c r="Y217" s="18">
        <f t="shared" ref="Y217:Y222" si="229">SUM(W217:X217)</f>
        <v>0</v>
      </c>
      <c r="Z217" s="19">
        <f>IF(Y$223=0,0,Y217/Y$223)</f>
        <v>0</v>
      </c>
      <c r="AA217" s="91"/>
      <c r="AB217" s="91"/>
      <c r="AC217" s="84"/>
      <c r="AE217" s="111"/>
      <c r="AF217" s="111"/>
      <c r="AG217" s="111"/>
      <c r="AH217" s="112"/>
      <c r="AI217" s="113"/>
      <c r="AJ217" s="117"/>
      <c r="AK217" s="111"/>
      <c r="AL217" s="111"/>
      <c r="AM217" s="111"/>
      <c r="AN217" s="112"/>
      <c r="AO217" s="113"/>
      <c r="AP217" s="117"/>
      <c r="AQ217" s="17"/>
      <c r="AR217" s="17"/>
      <c r="AS217" s="17"/>
      <c r="AT217" s="18">
        <f t="shared" ref="AT217:AT218" si="230">W217</f>
        <v>0</v>
      </c>
      <c r="AU217" s="19">
        <f>IF(AT$444=0,0,AT217/AT$444)</f>
        <v>0</v>
      </c>
      <c r="AV217" s="117"/>
      <c r="AW217" s="17"/>
      <c r="AX217" s="17"/>
      <c r="AY217" s="17"/>
      <c r="AZ217" s="18">
        <f t="shared" ref="AZ217:AZ218" si="231">X217</f>
        <v>0</v>
      </c>
      <c r="BA217" s="19">
        <f>IF(AZ$444=0,0,AZ217/AZ$444)</f>
        <v>0</v>
      </c>
    </row>
    <row r="218" spans="1:53" ht="17.100000000000001" customHeight="1" x14ac:dyDescent="0.25">
      <c r="A218" s="40"/>
      <c r="B218" s="302"/>
      <c r="C218" s="56" t="s">
        <v>450</v>
      </c>
      <c r="D218" s="85" t="s">
        <v>544</v>
      </c>
      <c r="E218" s="167"/>
      <c r="F218" s="151"/>
      <c r="G218" s="151"/>
      <c r="H218" s="119"/>
      <c r="I218" s="138"/>
      <c r="J218" s="174"/>
      <c r="K218" s="174"/>
      <c r="L218" s="111"/>
      <c r="M218" s="111"/>
      <c r="N218" s="61">
        <v>3</v>
      </c>
      <c r="O218" s="61">
        <v>5</v>
      </c>
      <c r="P218" s="17">
        <f t="shared" si="224"/>
        <v>8</v>
      </c>
      <c r="Q218" s="61">
        <v>5</v>
      </c>
      <c r="R218" s="61">
        <v>2</v>
      </c>
      <c r="S218" s="17">
        <f t="shared" si="225"/>
        <v>7</v>
      </c>
      <c r="T218" s="61">
        <v>5</v>
      </c>
      <c r="U218" s="61">
        <v>5</v>
      </c>
      <c r="V218" s="17">
        <f t="shared" si="226"/>
        <v>10</v>
      </c>
      <c r="W218" s="391">
        <f t="shared" si="227"/>
        <v>13</v>
      </c>
      <c r="X218" s="17">
        <f t="shared" si="228"/>
        <v>12</v>
      </c>
      <c r="Y218" s="18">
        <f t="shared" si="229"/>
        <v>25</v>
      </c>
      <c r="Z218" s="19">
        <f t="shared" ref="Z218:Z223" si="232">IF(Y$223=0,0,Y218/Y$223)</f>
        <v>0.8928571428571429</v>
      </c>
      <c r="AA218" s="91"/>
      <c r="AB218" s="91"/>
      <c r="AC218" s="84"/>
      <c r="AE218" s="111"/>
      <c r="AF218" s="111"/>
      <c r="AG218" s="111"/>
      <c r="AH218" s="112"/>
      <c r="AI218" s="113"/>
      <c r="AJ218" s="117"/>
      <c r="AK218" s="111"/>
      <c r="AL218" s="111"/>
      <c r="AM218" s="111"/>
      <c r="AN218" s="112"/>
      <c r="AO218" s="113"/>
      <c r="AP218" s="117"/>
      <c r="AQ218" s="17"/>
      <c r="AR218" s="17"/>
      <c r="AS218" s="17"/>
      <c r="AT218" s="18">
        <f t="shared" si="230"/>
        <v>13</v>
      </c>
      <c r="AU218" s="19">
        <f>IF(AT$444=0,0,AT218/AT$444)</f>
        <v>0</v>
      </c>
      <c r="AV218" s="117"/>
      <c r="AW218" s="17"/>
      <c r="AX218" s="17"/>
      <c r="AY218" s="17"/>
      <c r="AZ218" s="18">
        <f t="shared" si="231"/>
        <v>12</v>
      </c>
      <c r="BA218" s="19">
        <f>IF(AZ$444=0,0,AZ218/AZ$444)</f>
        <v>0</v>
      </c>
    </row>
    <row r="219" spans="1:53" ht="17.100000000000001" customHeight="1" x14ac:dyDescent="0.25">
      <c r="A219" s="40"/>
      <c r="B219" s="40"/>
      <c r="C219" s="56" t="s">
        <v>451</v>
      </c>
      <c r="D219" s="146" t="s">
        <v>484</v>
      </c>
      <c r="E219" s="149"/>
      <c r="F219" s="151"/>
      <c r="G219" s="151"/>
      <c r="H219" s="119"/>
      <c r="I219" s="236"/>
      <c r="J219" s="174"/>
      <c r="K219" s="174"/>
      <c r="L219" s="111"/>
      <c r="M219" s="111"/>
      <c r="N219" s="60">
        <v>400000</v>
      </c>
      <c r="O219" s="60">
        <v>1000000</v>
      </c>
      <c r="P219" s="17"/>
      <c r="Q219" s="60">
        <v>200000</v>
      </c>
      <c r="R219" s="60">
        <v>400000</v>
      </c>
      <c r="S219" s="17"/>
      <c r="T219" s="60">
        <v>1500000</v>
      </c>
      <c r="U219" s="60">
        <v>1500000</v>
      </c>
      <c r="V219" s="17"/>
      <c r="W219" s="391">
        <f>MIN(N219,Q219,T219)</f>
        <v>200000</v>
      </c>
      <c r="X219" s="17">
        <f>MIN(O219,R219,U219)</f>
        <v>400000</v>
      </c>
      <c r="Y219" s="18"/>
      <c r="Z219" s="19"/>
      <c r="AA219" s="17">
        <f>MIN(N219:U219)</f>
        <v>200000</v>
      </c>
      <c r="AB219" s="17"/>
      <c r="AC219" s="17"/>
      <c r="AE219" s="111"/>
      <c r="AF219" s="111"/>
      <c r="AG219" s="111"/>
      <c r="AH219" s="651"/>
      <c r="AI219" s="131"/>
      <c r="AJ219" s="117"/>
      <c r="AK219" s="111"/>
      <c r="AL219" s="111"/>
      <c r="AM219" s="111"/>
      <c r="AN219" s="651"/>
      <c r="AO219" s="131"/>
      <c r="AP219" s="117"/>
      <c r="AQ219" s="17">
        <f>W219</f>
        <v>200000</v>
      </c>
      <c r="AR219" s="17"/>
      <c r="AS219" s="17"/>
      <c r="AT219" s="18"/>
      <c r="AU219" s="19"/>
      <c r="AV219" s="117"/>
      <c r="AW219" s="17">
        <f>X219</f>
        <v>400000</v>
      </c>
      <c r="AX219" s="17"/>
      <c r="AY219" s="17"/>
      <c r="AZ219" s="18"/>
      <c r="BA219" s="19"/>
    </row>
    <row r="220" spans="1:53" ht="17.100000000000001" customHeight="1" x14ac:dyDescent="0.25">
      <c r="A220" s="40"/>
      <c r="B220" s="40"/>
      <c r="C220" s="56" t="s">
        <v>603</v>
      </c>
      <c r="D220" s="146" t="s">
        <v>485</v>
      </c>
      <c r="E220" s="149"/>
      <c r="F220" s="151"/>
      <c r="G220" s="151"/>
      <c r="H220" s="119"/>
      <c r="I220" s="236"/>
      <c r="J220" s="174"/>
      <c r="K220" s="174"/>
      <c r="L220" s="111"/>
      <c r="M220" s="111"/>
      <c r="N220" s="61">
        <v>1500000</v>
      </c>
      <c r="O220" s="61">
        <v>1500000</v>
      </c>
      <c r="P220" s="17"/>
      <c r="Q220" s="61">
        <v>1000000</v>
      </c>
      <c r="R220" s="61">
        <v>500000</v>
      </c>
      <c r="S220" s="17"/>
      <c r="T220" s="61">
        <v>2000000</v>
      </c>
      <c r="U220" s="61">
        <v>2500000</v>
      </c>
      <c r="V220" s="17"/>
      <c r="W220" s="391">
        <f>MAX(N220,Q220,T220)</f>
        <v>2000000</v>
      </c>
      <c r="X220" s="17">
        <f>MAX(O220,R220,U220)</f>
        <v>2500000</v>
      </c>
      <c r="Y220" s="18"/>
      <c r="Z220" s="19"/>
      <c r="AA220" s="17"/>
      <c r="AB220" s="17">
        <f>MAX(N220:U220)</f>
        <v>2500000</v>
      </c>
      <c r="AC220" s="17"/>
      <c r="AE220" s="111"/>
      <c r="AF220" s="111"/>
      <c r="AG220" s="111"/>
      <c r="AH220" s="651"/>
      <c r="AI220" s="131"/>
      <c r="AJ220" s="117"/>
      <c r="AK220" s="111"/>
      <c r="AL220" s="111"/>
      <c r="AM220" s="111"/>
      <c r="AN220" s="651"/>
      <c r="AO220" s="131"/>
      <c r="AP220" s="117"/>
      <c r="AQ220" s="17"/>
      <c r="AR220" s="17">
        <f>W220</f>
        <v>2000000</v>
      </c>
      <c r="AS220" s="17"/>
      <c r="AT220" s="18"/>
      <c r="AU220" s="19"/>
      <c r="AV220" s="117"/>
      <c r="AW220" s="17"/>
      <c r="AX220" s="17">
        <f>X220</f>
        <v>2500000</v>
      </c>
      <c r="AY220" s="17"/>
      <c r="AZ220" s="18"/>
      <c r="BA220" s="19"/>
    </row>
    <row r="221" spans="1:53" ht="17.100000000000001" customHeight="1" x14ac:dyDescent="0.25">
      <c r="A221" s="40"/>
      <c r="B221" s="40"/>
      <c r="C221" s="56" t="s">
        <v>604</v>
      </c>
      <c r="D221" s="146" t="s">
        <v>543</v>
      </c>
      <c r="E221" s="149"/>
      <c r="F221" s="151"/>
      <c r="G221" s="151"/>
      <c r="H221" s="119"/>
      <c r="I221" s="236"/>
      <c r="J221" s="174"/>
      <c r="K221" s="174"/>
      <c r="L221" s="111"/>
      <c r="M221" s="111"/>
      <c r="N221" s="60">
        <v>833000</v>
      </c>
      <c r="O221" s="60">
        <v>1300000</v>
      </c>
      <c r="P221" s="17"/>
      <c r="Q221" s="60">
        <v>500000</v>
      </c>
      <c r="R221" s="60">
        <v>450000</v>
      </c>
      <c r="S221" s="17"/>
      <c r="T221" s="60">
        <v>1600000</v>
      </c>
      <c r="U221" s="60">
        <v>1700000</v>
      </c>
      <c r="V221" s="17"/>
      <c r="W221" s="391">
        <f>IF(N221+Q221+T221=0,0,AVERAGE(N221,Q221,T221))</f>
        <v>977666.66666666663</v>
      </c>
      <c r="X221" s="17">
        <f>IF(O221+R221+U221=0,0,AVERAGE(O221,R221,U221))</f>
        <v>1150000</v>
      </c>
      <c r="Y221" s="18"/>
      <c r="Z221" s="19"/>
      <c r="AA221" s="17"/>
      <c r="AB221" s="17"/>
      <c r="AC221" s="17">
        <f>IF(SUM(N221:U221)=0,0,AVERAGE(N221:U221))</f>
        <v>1063833.3333333333</v>
      </c>
      <c r="AE221" s="111"/>
      <c r="AF221" s="111"/>
      <c r="AG221" s="111"/>
      <c r="AH221" s="651"/>
      <c r="AI221" s="131"/>
      <c r="AJ221" s="117"/>
      <c r="AK221" s="111"/>
      <c r="AL221" s="111"/>
      <c r="AM221" s="111"/>
      <c r="AN221" s="651"/>
      <c r="AO221" s="131"/>
      <c r="AP221" s="117"/>
      <c r="AQ221" s="17"/>
      <c r="AR221" s="17"/>
      <c r="AS221" s="17">
        <f>W221</f>
        <v>977666.66666666663</v>
      </c>
      <c r="AT221" s="18"/>
      <c r="AU221" s="19"/>
      <c r="AV221" s="117"/>
      <c r="AW221" s="17"/>
      <c r="AX221" s="17"/>
      <c r="AY221" s="17">
        <f>X221</f>
        <v>1150000</v>
      </c>
      <c r="AZ221" s="18"/>
      <c r="BA221" s="19"/>
    </row>
    <row r="222" spans="1:53" ht="17.100000000000001" customHeight="1" x14ac:dyDescent="0.25">
      <c r="A222" s="40"/>
      <c r="B222" s="179"/>
      <c r="C222" s="56" t="s">
        <v>605</v>
      </c>
      <c r="D222" s="85" t="s">
        <v>129</v>
      </c>
      <c r="E222" s="167"/>
      <c r="F222" s="151"/>
      <c r="G222" s="151"/>
      <c r="H222" s="119"/>
      <c r="I222" s="138"/>
      <c r="J222" s="174"/>
      <c r="K222" s="174"/>
      <c r="L222" s="111"/>
      <c r="M222" s="111"/>
      <c r="N222" s="61"/>
      <c r="O222" s="61">
        <v>1</v>
      </c>
      <c r="P222" s="17">
        <f t="shared" si="224"/>
        <v>1</v>
      </c>
      <c r="Q222" s="61">
        <v>2</v>
      </c>
      <c r="R222" s="61"/>
      <c r="S222" s="17">
        <f t="shared" si="225"/>
        <v>2</v>
      </c>
      <c r="T222" s="61"/>
      <c r="U222" s="61"/>
      <c r="V222" s="17">
        <f t="shared" si="226"/>
        <v>0</v>
      </c>
      <c r="W222" s="391">
        <f t="shared" si="227"/>
        <v>2</v>
      </c>
      <c r="X222" s="17">
        <f t="shared" si="228"/>
        <v>1</v>
      </c>
      <c r="Y222" s="18">
        <f t="shared" si="229"/>
        <v>3</v>
      </c>
      <c r="Z222" s="19">
        <f t="shared" si="232"/>
        <v>0.10714285714285714</v>
      </c>
      <c r="AA222" s="91"/>
      <c r="AB222" s="91"/>
      <c r="AC222" s="84"/>
      <c r="AE222" s="111"/>
      <c r="AF222" s="111"/>
      <c r="AG222" s="111"/>
      <c r="AH222" s="112"/>
      <c r="AI222" s="113"/>
      <c r="AJ222" s="117"/>
      <c r="AK222" s="111"/>
      <c r="AL222" s="111"/>
      <c r="AM222" s="111"/>
      <c r="AN222" s="112"/>
      <c r="AO222" s="113"/>
      <c r="AP222" s="117"/>
      <c r="AQ222" s="17"/>
      <c r="AR222" s="17"/>
      <c r="AS222" s="17"/>
      <c r="AT222" s="18">
        <f t="shared" ref="AT222" si="233">W222</f>
        <v>2</v>
      </c>
      <c r="AU222" s="19">
        <f>IF(AT$444=0,0,AT222/AT$444)</f>
        <v>0</v>
      </c>
      <c r="AV222" s="117"/>
      <c r="AW222" s="17"/>
      <c r="AX222" s="17"/>
      <c r="AY222" s="17"/>
      <c r="AZ222" s="18">
        <f t="shared" ref="AZ222" si="234">X222</f>
        <v>1</v>
      </c>
      <c r="BA222" s="19">
        <f>IF(AZ$444=0,0,AZ222/AZ$444)</f>
        <v>0</v>
      </c>
    </row>
    <row r="223" spans="1:53" ht="17.100000000000001" customHeight="1" x14ac:dyDescent="0.25">
      <c r="A223" s="40"/>
      <c r="B223" s="179"/>
      <c r="C223" s="292"/>
      <c r="D223" s="144"/>
      <c r="E223" s="144"/>
      <c r="F223" s="145"/>
      <c r="G223" s="145"/>
      <c r="H223" s="119"/>
      <c r="I223" s="138"/>
      <c r="J223" s="64"/>
      <c r="K223" s="64"/>
      <c r="L223" s="64"/>
      <c r="M223" s="64"/>
      <c r="N223" s="64">
        <f>N217+N218+N222</f>
        <v>3</v>
      </c>
      <c r="O223" s="64">
        <f t="shared" ref="O223:V223" si="235">O217+O218+O222</f>
        <v>6</v>
      </c>
      <c r="P223" s="64">
        <f t="shared" si="235"/>
        <v>9</v>
      </c>
      <c r="Q223" s="64">
        <f t="shared" si="235"/>
        <v>7</v>
      </c>
      <c r="R223" s="64">
        <f t="shared" si="235"/>
        <v>2</v>
      </c>
      <c r="S223" s="64">
        <f t="shared" si="235"/>
        <v>9</v>
      </c>
      <c r="T223" s="64">
        <f t="shared" si="235"/>
        <v>5</v>
      </c>
      <c r="U223" s="64">
        <f t="shared" si="235"/>
        <v>5</v>
      </c>
      <c r="V223" s="64">
        <f t="shared" si="235"/>
        <v>10</v>
      </c>
      <c r="W223" s="224">
        <f>SUM(W217:W222)</f>
        <v>3177681.6666666665</v>
      </c>
      <c r="X223" s="224">
        <f t="shared" ref="X223:Y223" si="236">SUM(X217:X222)</f>
        <v>4050013</v>
      </c>
      <c r="Y223" s="224">
        <f t="shared" si="236"/>
        <v>28</v>
      </c>
      <c r="Z223" s="66">
        <f t="shared" si="232"/>
        <v>1</v>
      </c>
      <c r="AA223" s="205"/>
      <c r="AB223" s="205"/>
      <c r="AC223" s="83"/>
      <c r="AE223" s="80"/>
      <c r="AF223" s="80"/>
      <c r="AG223" s="81"/>
      <c r="AH223" s="82"/>
      <c r="AI223" s="66"/>
      <c r="AJ223" s="117"/>
      <c r="AK223" s="80"/>
      <c r="AL223" s="80"/>
      <c r="AM223" s="81"/>
      <c r="AN223" s="82"/>
      <c r="AO223" s="66"/>
      <c r="AP223" s="117"/>
      <c r="AQ223" s="80"/>
      <c r="AR223" s="80"/>
      <c r="AS223" s="81"/>
      <c r="AT223" s="82">
        <f>SUM(AT217:AT222)</f>
        <v>15</v>
      </c>
      <c r="AU223" s="66">
        <f>IF(AT$444=0,0,AT223/AT$444)</f>
        <v>0</v>
      </c>
      <c r="AV223" s="117"/>
      <c r="AW223" s="80"/>
      <c r="AX223" s="80"/>
      <c r="AY223" s="81"/>
      <c r="AZ223" s="82">
        <f>SUM(AZ217:AZ222)</f>
        <v>13</v>
      </c>
      <c r="BA223" s="66">
        <f>IF(AZ$444=0,0,AZ223/AZ$444)</f>
        <v>0</v>
      </c>
    </row>
    <row r="224" spans="1:53" s="117" customFormat="1" ht="17.100000000000001" customHeight="1" x14ac:dyDescent="0.25">
      <c r="A224" s="119"/>
      <c r="B224" s="119"/>
      <c r="C224" s="647"/>
      <c r="D224" s="212"/>
      <c r="E224" s="212"/>
      <c r="F224" s="212"/>
      <c r="G224" s="212"/>
      <c r="H224" s="242"/>
      <c r="I224" s="230"/>
      <c r="J224" s="17"/>
      <c r="K224" s="17"/>
      <c r="L224" s="17"/>
      <c r="M224" s="17"/>
      <c r="N224" s="17" t="str">
        <f>IF(N223=N$198,"OK","NOK")</f>
        <v>OK</v>
      </c>
      <c r="O224" s="17" t="str">
        <f>IF(O223=O$198,"OK","NOK")</f>
        <v>OK</v>
      </c>
      <c r="P224" s="17"/>
      <c r="Q224" s="17" t="str">
        <f>IF(Q223=Q$198,"OK","NOK")</f>
        <v>OK</v>
      </c>
      <c r="R224" s="17" t="str">
        <f>IF(R223=R$198,"OK","NOK")</f>
        <v>OK</v>
      </c>
      <c r="S224" s="17"/>
      <c r="T224" s="17" t="str">
        <f>IF(T223=T$198,"OK","NOK")</f>
        <v>OK</v>
      </c>
      <c r="U224" s="17" t="str">
        <f>IF(U223=U$198,"OK","NOK")</f>
        <v>OK</v>
      </c>
      <c r="V224" s="359"/>
      <c r="W224" s="382"/>
      <c r="X224" s="646"/>
      <c r="Y224" s="646"/>
      <c r="Z224" s="201"/>
      <c r="AA224" s="201"/>
      <c r="AB224" s="201"/>
      <c r="AC224" s="84"/>
      <c r="AE224" s="17"/>
      <c r="AF224" s="17"/>
      <c r="AG224" s="17"/>
      <c r="AH224" s="646"/>
      <c r="AI224" s="91"/>
      <c r="AK224" s="17"/>
      <c r="AL224" s="17"/>
      <c r="AM224" s="17"/>
      <c r="AN224" s="646"/>
      <c r="AO224" s="91"/>
      <c r="AQ224" s="17"/>
      <c r="AR224" s="17"/>
      <c r="AS224" s="17"/>
      <c r="AT224" s="646"/>
      <c r="AU224" s="91"/>
      <c r="AW224" s="17"/>
      <c r="AX224" s="17"/>
      <c r="AY224" s="17"/>
      <c r="AZ224" s="17"/>
      <c r="BA224" s="91"/>
    </row>
    <row r="225" spans="1:53" ht="17.100000000000001" customHeight="1" x14ac:dyDescent="0.25">
      <c r="A225" s="40"/>
      <c r="B225" s="299" t="s">
        <v>452</v>
      </c>
      <c r="C225" s="274" t="s">
        <v>1057</v>
      </c>
      <c r="D225" s="300"/>
      <c r="E225" s="50"/>
      <c r="F225" s="50"/>
      <c r="G225" s="301"/>
      <c r="H225" s="119"/>
      <c r="I225" s="138"/>
      <c r="J225" s="88"/>
      <c r="K225" s="88"/>
      <c r="L225" s="71"/>
      <c r="M225" s="71"/>
      <c r="N225" s="71"/>
      <c r="O225" s="71"/>
      <c r="P225" s="71"/>
      <c r="Q225" s="71"/>
      <c r="R225" s="71"/>
      <c r="S225" s="71"/>
      <c r="T225" s="71"/>
      <c r="U225" s="71"/>
      <c r="V225" s="71"/>
      <c r="W225" s="71"/>
      <c r="X225" s="71"/>
      <c r="Y225" s="71"/>
      <c r="Z225" s="90"/>
      <c r="AA225" s="90"/>
      <c r="AB225" s="90"/>
      <c r="AC225" s="73"/>
      <c r="AE225" s="87"/>
      <c r="AF225" s="87"/>
      <c r="AG225" s="71"/>
      <c r="AH225" s="89"/>
      <c r="AI225" s="90"/>
      <c r="AJ225" s="117"/>
      <c r="AK225" s="87"/>
      <c r="AL225" s="87"/>
      <c r="AM225" s="71"/>
      <c r="AN225" s="89"/>
      <c r="AO225" s="90"/>
      <c r="AP225" s="117"/>
      <c r="AQ225" s="87"/>
      <c r="AR225" s="87"/>
      <c r="AS225" s="71"/>
      <c r="AT225" s="89"/>
      <c r="AU225" s="90"/>
      <c r="AV225" s="117"/>
      <c r="AW225" s="87"/>
      <c r="AX225" s="87"/>
      <c r="AY225" s="71"/>
      <c r="AZ225" s="89"/>
      <c r="BA225" s="90"/>
    </row>
    <row r="226" spans="1:53" ht="17.100000000000001" customHeight="1" x14ac:dyDescent="0.25">
      <c r="A226" s="40"/>
      <c r="B226" s="302"/>
      <c r="C226" s="56" t="s">
        <v>454</v>
      </c>
      <c r="D226" s="85" t="s">
        <v>173</v>
      </c>
      <c r="E226" s="167"/>
      <c r="F226" s="151"/>
      <c r="G226" s="151"/>
      <c r="H226" s="119"/>
      <c r="I226" s="138"/>
      <c r="J226" s="174"/>
      <c r="K226" s="174"/>
      <c r="L226" s="111"/>
      <c r="M226" s="111"/>
      <c r="N226" s="60">
        <v>1</v>
      </c>
      <c r="O226" s="60">
        <v>4</v>
      </c>
      <c r="P226" s="17">
        <f t="shared" ref="P226:P227" si="237">SUM(N226:O226)</f>
        <v>5</v>
      </c>
      <c r="Q226" s="60"/>
      <c r="R226" s="60"/>
      <c r="S226" s="17">
        <f t="shared" ref="S226:S227" si="238">SUM(Q226:R226)</f>
        <v>0</v>
      </c>
      <c r="T226" s="60">
        <v>1</v>
      </c>
      <c r="U226" s="60"/>
      <c r="V226" s="17">
        <f t="shared" ref="V226:V227" si="239">SUM(T226:U226)</f>
        <v>1</v>
      </c>
      <c r="W226" s="391">
        <f t="shared" ref="W226:W227" si="240">J226+K226+N226+Q226+T226</f>
        <v>2</v>
      </c>
      <c r="X226" s="17">
        <f t="shared" ref="X226:X227" si="241">L226+O226+R226+U226</f>
        <v>4</v>
      </c>
      <c r="Y226" s="18">
        <f t="shared" ref="Y226:Y227" si="242">SUM(W226:X226)</f>
        <v>6</v>
      </c>
      <c r="Z226" s="19">
        <f>IF(Y$223=0,0,Y226/Y$223)</f>
        <v>0.21428571428571427</v>
      </c>
      <c r="AA226" s="91"/>
      <c r="AB226" s="91"/>
      <c r="AC226" s="84"/>
      <c r="AE226" s="111"/>
      <c r="AF226" s="111"/>
      <c r="AG226" s="111"/>
      <c r="AH226" s="112"/>
      <c r="AI226" s="113"/>
      <c r="AJ226" s="117"/>
      <c r="AK226" s="111"/>
      <c r="AL226" s="111"/>
      <c r="AM226" s="111"/>
      <c r="AN226" s="112"/>
      <c r="AO226" s="113"/>
      <c r="AP226" s="117"/>
      <c r="AQ226" s="17"/>
      <c r="AR226" s="17"/>
      <c r="AS226" s="17"/>
      <c r="AT226" s="18">
        <f t="shared" ref="AT226:AT227" si="243">W226</f>
        <v>2</v>
      </c>
      <c r="AU226" s="19">
        <f>IF(AT$444=0,0,AT226/AT$444)</f>
        <v>0</v>
      </c>
      <c r="AV226" s="117"/>
      <c r="AW226" s="17"/>
      <c r="AX226" s="17"/>
      <c r="AY226" s="17"/>
      <c r="AZ226" s="18">
        <f t="shared" ref="AZ226:AZ227" si="244">X226</f>
        <v>4</v>
      </c>
      <c r="BA226" s="19">
        <f>IF(AZ$444=0,0,AZ226/AZ$444)</f>
        <v>0</v>
      </c>
    </row>
    <row r="227" spans="1:53" ht="17.100000000000001" customHeight="1" x14ac:dyDescent="0.25">
      <c r="A227" s="40"/>
      <c r="B227" s="302"/>
      <c r="C227" s="56" t="s">
        <v>455</v>
      </c>
      <c r="D227" s="85" t="s">
        <v>544</v>
      </c>
      <c r="E227" s="167"/>
      <c r="F227" s="151"/>
      <c r="G227" s="151"/>
      <c r="H227" s="119"/>
      <c r="I227" s="138"/>
      <c r="J227" s="174"/>
      <c r="K227" s="174"/>
      <c r="L227" s="111"/>
      <c r="M227" s="111"/>
      <c r="N227" s="61">
        <v>2</v>
      </c>
      <c r="O227" s="61">
        <v>2</v>
      </c>
      <c r="P227" s="17">
        <f t="shared" si="237"/>
        <v>4</v>
      </c>
      <c r="Q227" s="60">
        <v>3</v>
      </c>
      <c r="R227" s="60">
        <v>2</v>
      </c>
      <c r="S227" s="17">
        <f t="shared" si="238"/>
        <v>5</v>
      </c>
      <c r="T227" s="61">
        <v>4</v>
      </c>
      <c r="U227" s="61">
        <v>5</v>
      </c>
      <c r="V227" s="17">
        <f t="shared" si="239"/>
        <v>9</v>
      </c>
      <c r="W227" s="391">
        <f t="shared" si="240"/>
        <v>9</v>
      </c>
      <c r="X227" s="17">
        <f t="shared" si="241"/>
        <v>9</v>
      </c>
      <c r="Y227" s="18">
        <f t="shared" si="242"/>
        <v>18</v>
      </c>
      <c r="Z227" s="19">
        <f t="shared" ref="Z227" si="245">IF(Y$223=0,0,Y227/Y$223)</f>
        <v>0.6428571428571429</v>
      </c>
      <c r="AA227" s="91"/>
      <c r="AB227" s="91"/>
      <c r="AC227" s="84"/>
      <c r="AE227" s="111"/>
      <c r="AF227" s="111"/>
      <c r="AG227" s="111"/>
      <c r="AH227" s="112"/>
      <c r="AI227" s="113"/>
      <c r="AJ227" s="117"/>
      <c r="AK227" s="111"/>
      <c r="AL227" s="111"/>
      <c r="AM227" s="111"/>
      <c r="AN227" s="112"/>
      <c r="AO227" s="113"/>
      <c r="AP227" s="117"/>
      <c r="AQ227" s="17"/>
      <c r="AR227" s="17"/>
      <c r="AS227" s="17"/>
      <c r="AT227" s="18">
        <f t="shared" si="243"/>
        <v>9</v>
      </c>
      <c r="AU227" s="19">
        <f>IF(AT$444=0,0,AT227/AT$444)</f>
        <v>0</v>
      </c>
      <c r="AV227" s="117"/>
      <c r="AW227" s="17"/>
      <c r="AX227" s="17"/>
      <c r="AY227" s="17"/>
      <c r="AZ227" s="18">
        <f t="shared" si="244"/>
        <v>9</v>
      </c>
      <c r="BA227" s="19">
        <f>IF(AZ$444=0,0,AZ227/AZ$444)</f>
        <v>0</v>
      </c>
    </row>
    <row r="228" spans="1:53" ht="17.100000000000001" customHeight="1" x14ac:dyDescent="0.25">
      <c r="A228" s="40"/>
      <c r="B228" s="40"/>
      <c r="C228" s="56" t="s">
        <v>456</v>
      </c>
      <c r="D228" s="146" t="s">
        <v>484</v>
      </c>
      <c r="E228" s="149"/>
      <c r="F228" s="151"/>
      <c r="G228" s="151"/>
      <c r="H228" s="119"/>
      <c r="I228" s="236"/>
      <c r="J228" s="174"/>
      <c r="K228" s="174"/>
      <c r="L228" s="111"/>
      <c r="M228" s="111"/>
      <c r="N228" s="60">
        <v>400000</v>
      </c>
      <c r="O228" s="60">
        <v>300000</v>
      </c>
      <c r="P228" s="17"/>
      <c r="Q228" s="61">
        <v>100000</v>
      </c>
      <c r="R228" s="61">
        <v>200000</v>
      </c>
      <c r="S228" s="17"/>
      <c r="T228" s="60">
        <v>100000</v>
      </c>
      <c r="U228" s="60">
        <v>500000</v>
      </c>
      <c r="V228" s="17"/>
      <c r="W228" s="391">
        <f>MIN(N228,Q228,T228)</f>
        <v>100000</v>
      </c>
      <c r="X228" s="17">
        <f>MIN(O228,R228,U228)</f>
        <v>200000</v>
      </c>
      <c r="Y228" s="18"/>
      <c r="Z228" s="19"/>
      <c r="AA228" s="17">
        <f>MIN(N228:U228)</f>
        <v>100000</v>
      </c>
      <c r="AB228" s="17"/>
      <c r="AC228" s="17"/>
      <c r="AE228" s="111"/>
      <c r="AF228" s="111"/>
      <c r="AG228" s="111"/>
      <c r="AH228" s="651"/>
      <c r="AI228" s="131"/>
      <c r="AJ228" s="117"/>
      <c r="AK228" s="111"/>
      <c r="AL228" s="111"/>
      <c r="AM228" s="111"/>
      <c r="AN228" s="651"/>
      <c r="AO228" s="131"/>
      <c r="AP228" s="117"/>
      <c r="AQ228" s="17">
        <f>W228</f>
        <v>100000</v>
      </c>
      <c r="AR228" s="17"/>
      <c r="AS228" s="17"/>
      <c r="AT228" s="18"/>
      <c r="AU228" s="19"/>
      <c r="AV228" s="117"/>
      <c r="AW228" s="17">
        <f>X228</f>
        <v>200000</v>
      </c>
      <c r="AX228" s="17"/>
      <c r="AY228" s="17"/>
      <c r="AZ228" s="18"/>
      <c r="BA228" s="19"/>
    </row>
    <row r="229" spans="1:53" ht="17.100000000000001" customHeight="1" x14ac:dyDescent="0.25">
      <c r="A229" s="40"/>
      <c r="B229" s="40"/>
      <c r="C229" s="56" t="s">
        <v>546</v>
      </c>
      <c r="D229" s="146" t="s">
        <v>485</v>
      </c>
      <c r="E229" s="149"/>
      <c r="F229" s="151"/>
      <c r="G229" s="151"/>
      <c r="H229" s="119"/>
      <c r="I229" s="236"/>
      <c r="J229" s="174"/>
      <c r="K229" s="174"/>
      <c r="L229" s="111"/>
      <c r="M229" s="111"/>
      <c r="N229" s="61">
        <v>600000</v>
      </c>
      <c r="O229" s="61">
        <v>1000000</v>
      </c>
      <c r="P229" s="17"/>
      <c r="Q229" s="60">
        <v>250000</v>
      </c>
      <c r="R229" s="60">
        <v>250000</v>
      </c>
      <c r="S229" s="17"/>
      <c r="T229" s="61">
        <v>1500000</v>
      </c>
      <c r="U229" s="61">
        <v>1000000</v>
      </c>
      <c r="V229" s="17"/>
      <c r="W229" s="391">
        <f>MAX(N229,Q229,T229)</f>
        <v>1500000</v>
      </c>
      <c r="X229" s="17">
        <f>MAX(O229,R229,U229)</f>
        <v>1000000</v>
      </c>
      <c r="Y229" s="18"/>
      <c r="Z229" s="19"/>
      <c r="AA229" s="17"/>
      <c r="AB229" s="17">
        <f>MAX(N229:U229)</f>
        <v>1500000</v>
      </c>
      <c r="AC229" s="17"/>
      <c r="AE229" s="111"/>
      <c r="AF229" s="111"/>
      <c r="AG229" s="111"/>
      <c r="AH229" s="651"/>
      <c r="AI229" s="131"/>
      <c r="AJ229" s="117"/>
      <c r="AK229" s="111"/>
      <c r="AL229" s="111"/>
      <c r="AM229" s="111"/>
      <c r="AN229" s="651"/>
      <c r="AO229" s="131"/>
      <c r="AP229" s="117"/>
      <c r="AQ229" s="17"/>
      <c r="AR229" s="17">
        <f>W229</f>
        <v>1500000</v>
      </c>
      <c r="AS229" s="17"/>
      <c r="AT229" s="18"/>
      <c r="AU229" s="19"/>
      <c r="AV229" s="117"/>
      <c r="AW229" s="17"/>
      <c r="AX229" s="17">
        <f>X229</f>
        <v>1000000</v>
      </c>
      <c r="AY229" s="17"/>
      <c r="AZ229" s="18"/>
      <c r="BA229" s="19"/>
    </row>
    <row r="230" spans="1:53" ht="17.100000000000001" customHeight="1" x14ac:dyDescent="0.25">
      <c r="A230" s="40"/>
      <c r="B230" s="40"/>
      <c r="C230" s="56" t="s">
        <v>547</v>
      </c>
      <c r="D230" s="146" t="s">
        <v>543</v>
      </c>
      <c r="E230" s="149"/>
      <c r="F230" s="151"/>
      <c r="G230" s="151"/>
      <c r="H230" s="119"/>
      <c r="I230" s="236"/>
      <c r="J230" s="174"/>
      <c r="K230" s="174"/>
      <c r="L230" s="111"/>
      <c r="M230" s="111"/>
      <c r="N230" s="60">
        <v>500000</v>
      </c>
      <c r="O230" s="60">
        <v>650000</v>
      </c>
      <c r="P230" s="17"/>
      <c r="Q230" s="61">
        <v>150000</v>
      </c>
      <c r="R230" s="61">
        <v>225000</v>
      </c>
      <c r="S230" s="17"/>
      <c r="T230" s="60">
        <v>1125000</v>
      </c>
      <c r="U230" s="60">
        <v>800000</v>
      </c>
      <c r="V230" s="17"/>
      <c r="W230" s="391">
        <f>IF(N230+Q230+T230=0,0,AVERAGE(N230,Q230,T230))</f>
        <v>591666.66666666663</v>
      </c>
      <c r="X230" s="17">
        <f>IF(O230+R230+U230=0,0,AVERAGE(O230,R230,U230))</f>
        <v>558333.33333333337</v>
      </c>
      <c r="Y230" s="18"/>
      <c r="Z230" s="19"/>
      <c r="AA230" s="17"/>
      <c r="AB230" s="17"/>
      <c r="AC230" s="17">
        <f>IF(SUM(N230:U230)=0,0,AVERAGE(N230:U230))</f>
        <v>575000</v>
      </c>
      <c r="AE230" s="111"/>
      <c r="AF230" s="111"/>
      <c r="AG230" s="111"/>
      <c r="AH230" s="651"/>
      <c r="AI230" s="131"/>
      <c r="AJ230" s="117"/>
      <c r="AK230" s="111"/>
      <c r="AL230" s="111"/>
      <c r="AM230" s="111"/>
      <c r="AN230" s="651"/>
      <c r="AO230" s="131"/>
      <c r="AP230" s="117"/>
      <c r="AQ230" s="17"/>
      <c r="AR230" s="17"/>
      <c r="AS230" s="17">
        <f>W230</f>
        <v>591666.66666666663</v>
      </c>
      <c r="AT230" s="18"/>
      <c r="AU230" s="19"/>
      <c r="AV230" s="117"/>
      <c r="AW230" s="17"/>
      <c r="AX230" s="17"/>
      <c r="AY230" s="17">
        <f>X230</f>
        <v>558333.33333333337</v>
      </c>
      <c r="AZ230" s="18"/>
      <c r="BA230" s="19"/>
    </row>
    <row r="231" spans="1:53" ht="17.100000000000001" customHeight="1" x14ac:dyDescent="0.25">
      <c r="A231" s="40"/>
      <c r="B231" s="179"/>
      <c r="C231" s="56" t="s">
        <v>548</v>
      </c>
      <c r="D231" s="85" t="s">
        <v>129</v>
      </c>
      <c r="E231" s="167"/>
      <c r="F231" s="151"/>
      <c r="G231" s="151"/>
      <c r="H231" s="119"/>
      <c r="I231" s="138"/>
      <c r="J231" s="174"/>
      <c r="K231" s="174"/>
      <c r="L231" s="111"/>
      <c r="M231" s="111"/>
      <c r="N231" s="61"/>
      <c r="O231" s="61"/>
      <c r="P231" s="17">
        <f t="shared" ref="P231" si="246">SUM(N231:O231)</f>
        <v>0</v>
      </c>
      <c r="Q231" s="60">
        <v>4</v>
      </c>
      <c r="R231" s="60"/>
      <c r="S231" s="17">
        <f t="shared" ref="S231" si="247">SUM(Q231:R231)</f>
        <v>4</v>
      </c>
      <c r="T231" s="61"/>
      <c r="U231" s="61"/>
      <c r="V231" s="17">
        <f t="shared" ref="V231" si="248">SUM(T231:U231)</f>
        <v>0</v>
      </c>
      <c r="W231" s="391">
        <f t="shared" ref="W231" si="249">J231+K231+N231+Q231+T231</f>
        <v>4</v>
      </c>
      <c r="X231" s="17">
        <f t="shared" ref="X231" si="250">L231+O231+R231+U231</f>
        <v>0</v>
      </c>
      <c r="Y231" s="18">
        <f t="shared" ref="Y231" si="251">SUM(W231:X231)</f>
        <v>4</v>
      </c>
      <c r="Z231" s="19">
        <f t="shared" ref="Z231:Z232" si="252">IF(Y$223=0,0,Y231/Y$223)</f>
        <v>0.14285714285714285</v>
      </c>
      <c r="AA231" s="91"/>
      <c r="AB231" s="91"/>
      <c r="AC231" s="84"/>
      <c r="AE231" s="111"/>
      <c r="AF231" s="111"/>
      <c r="AG231" s="111"/>
      <c r="AH231" s="112"/>
      <c r="AI231" s="113"/>
      <c r="AJ231" s="117"/>
      <c r="AK231" s="111"/>
      <c r="AL231" s="111"/>
      <c r="AM231" s="111"/>
      <c r="AN231" s="112"/>
      <c r="AO231" s="113"/>
      <c r="AP231" s="117"/>
      <c r="AQ231" s="17"/>
      <c r="AR231" s="17"/>
      <c r="AS231" s="17"/>
      <c r="AT231" s="18">
        <f t="shared" ref="AT231" si="253">W231</f>
        <v>4</v>
      </c>
      <c r="AU231" s="19">
        <f>IF(AT$444=0,0,AT231/AT$444)</f>
        <v>0</v>
      </c>
      <c r="AV231" s="117"/>
      <c r="AW231" s="17"/>
      <c r="AX231" s="17"/>
      <c r="AY231" s="17"/>
      <c r="AZ231" s="18">
        <f t="shared" ref="AZ231" si="254">X231</f>
        <v>0</v>
      </c>
      <c r="BA231" s="19">
        <f>IF(AZ$444=0,0,AZ231/AZ$444)</f>
        <v>0</v>
      </c>
    </row>
    <row r="232" spans="1:53" ht="17.100000000000001" customHeight="1" x14ac:dyDescent="0.25">
      <c r="A232" s="40"/>
      <c r="B232" s="179"/>
      <c r="C232" s="292"/>
      <c r="D232" s="144"/>
      <c r="E232" s="144"/>
      <c r="F232" s="145"/>
      <c r="G232" s="145"/>
      <c r="H232" s="119"/>
      <c r="I232" s="138"/>
      <c r="J232" s="64"/>
      <c r="K232" s="64"/>
      <c r="L232" s="64"/>
      <c r="M232" s="64"/>
      <c r="N232" s="64">
        <f>N226+N227+N231</f>
        <v>3</v>
      </c>
      <c r="O232" s="64">
        <f t="shared" ref="O232:V232" si="255">O226+O227+O231</f>
        <v>6</v>
      </c>
      <c r="P232" s="64">
        <f t="shared" si="255"/>
        <v>9</v>
      </c>
      <c r="Q232" s="64">
        <f t="shared" si="255"/>
        <v>7</v>
      </c>
      <c r="R232" s="64">
        <f t="shared" si="255"/>
        <v>2</v>
      </c>
      <c r="S232" s="64">
        <f t="shared" si="255"/>
        <v>9</v>
      </c>
      <c r="T232" s="64">
        <f t="shared" si="255"/>
        <v>5</v>
      </c>
      <c r="U232" s="64">
        <f t="shared" si="255"/>
        <v>5</v>
      </c>
      <c r="V232" s="64">
        <f t="shared" si="255"/>
        <v>10</v>
      </c>
      <c r="W232" s="224">
        <f>SUM(W226:W231)</f>
        <v>2191681.6666666665</v>
      </c>
      <c r="X232" s="224">
        <f t="shared" ref="X232:Y232" si="256">SUM(X226:X231)</f>
        <v>1758346.3333333335</v>
      </c>
      <c r="Y232" s="224">
        <f t="shared" si="256"/>
        <v>28</v>
      </c>
      <c r="Z232" s="66">
        <f t="shared" si="252"/>
        <v>1</v>
      </c>
      <c r="AA232" s="205"/>
      <c r="AB232" s="205"/>
      <c r="AC232" s="83"/>
      <c r="AE232" s="80"/>
      <c r="AF232" s="80"/>
      <c r="AG232" s="81"/>
      <c r="AH232" s="82"/>
      <c r="AI232" s="66"/>
      <c r="AJ232" s="117"/>
      <c r="AK232" s="80"/>
      <c r="AL232" s="80"/>
      <c r="AM232" s="81"/>
      <c r="AN232" s="82"/>
      <c r="AO232" s="66"/>
      <c r="AP232" s="117"/>
      <c r="AQ232" s="80"/>
      <c r="AR232" s="80"/>
      <c r="AS232" s="81"/>
      <c r="AT232" s="82">
        <f>SUM(AT226:AT231)</f>
        <v>15</v>
      </c>
      <c r="AU232" s="66">
        <f>IF(AT$444=0,0,AT232/AT$444)</f>
        <v>0</v>
      </c>
      <c r="AV232" s="117"/>
      <c r="AW232" s="80"/>
      <c r="AX232" s="80"/>
      <c r="AY232" s="81"/>
      <c r="AZ232" s="82">
        <f>SUM(AZ226:AZ231)</f>
        <v>13</v>
      </c>
      <c r="BA232" s="66">
        <f>IF(AZ$444=0,0,AZ232/AZ$444)</f>
        <v>0</v>
      </c>
    </row>
    <row r="233" spans="1:53" s="117" customFormat="1" ht="17.100000000000001" customHeight="1" x14ac:dyDescent="0.25">
      <c r="A233" s="119"/>
      <c r="B233" s="119"/>
      <c r="C233" s="647"/>
      <c r="D233" s="212"/>
      <c r="E233" s="212"/>
      <c r="F233" s="212"/>
      <c r="G233" s="212"/>
      <c r="H233" s="242"/>
      <c r="I233" s="230"/>
      <c r="J233" s="17"/>
      <c r="K233" s="17"/>
      <c r="L233" s="17"/>
      <c r="M233" s="17"/>
      <c r="N233" s="17" t="str">
        <f>IF(N232=N$198,"OK","NOK")</f>
        <v>OK</v>
      </c>
      <c r="O233" s="17" t="str">
        <f>IF(O232=O$198,"OK","NOK")</f>
        <v>OK</v>
      </c>
      <c r="P233" s="17"/>
      <c r="Q233" s="17" t="str">
        <f>IF(Q232=Q$198,"OK","NOK")</f>
        <v>OK</v>
      </c>
      <c r="R233" s="17" t="str">
        <f>IF(R232=R$198,"OK","NOK")</f>
        <v>OK</v>
      </c>
      <c r="S233" s="17"/>
      <c r="T233" s="17" t="str">
        <f>IF(T232=T$198,"OK","NOK")</f>
        <v>OK</v>
      </c>
      <c r="U233" s="17" t="str">
        <f>IF(U232=U$198,"OK","NOK")</f>
        <v>OK</v>
      </c>
      <c r="V233" s="359"/>
      <c r="W233" s="382"/>
      <c r="X233" s="646"/>
      <c r="Y233" s="646"/>
      <c r="Z233" s="201"/>
      <c r="AA233" s="201"/>
      <c r="AB233" s="201"/>
      <c r="AC233" s="84"/>
      <c r="AE233" s="17"/>
      <c r="AF233" s="17"/>
      <c r="AG233" s="17"/>
      <c r="AH233" s="646"/>
      <c r="AI233" s="91"/>
      <c r="AK233" s="17"/>
      <c r="AL233" s="17"/>
      <c r="AM233" s="17"/>
      <c r="AN233" s="646"/>
      <c r="AO233" s="91"/>
      <c r="AQ233" s="17"/>
      <c r="AR233" s="17"/>
      <c r="AS233" s="17"/>
      <c r="AT233" s="646"/>
      <c r="AU233" s="91"/>
      <c r="AW233" s="17"/>
      <c r="AX233" s="17"/>
      <c r="AY233" s="17"/>
      <c r="AZ233" s="17"/>
      <c r="BA233" s="91"/>
    </row>
    <row r="234" spans="1:53" ht="17.100000000000001" customHeight="1" x14ac:dyDescent="0.25">
      <c r="A234" s="40"/>
      <c r="B234" s="299" t="s">
        <v>1058</v>
      </c>
      <c r="C234" s="274" t="s">
        <v>759</v>
      </c>
      <c r="D234" s="50"/>
      <c r="E234" s="50"/>
      <c r="F234" s="50"/>
      <c r="G234" s="301"/>
      <c r="H234" s="119"/>
      <c r="I234" s="138"/>
      <c r="J234" s="88"/>
      <c r="K234" s="88"/>
      <c r="L234" s="71"/>
      <c r="M234" s="71"/>
      <c r="N234" s="71"/>
      <c r="O234" s="71"/>
      <c r="P234" s="71"/>
      <c r="Q234" s="71"/>
      <c r="R234" s="71"/>
      <c r="S234" s="71"/>
      <c r="T234" s="71"/>
      <c r="U234" s="71"/>
      <c r="V234" s="71"/>
      <c r="W234" s="71"/>
      <c r="X234" s="71"/>
      <c r="Y234" s="71"/>
      <c r="Z234" s="90"/>
      <c r="AA234" s="90"/>
      <c r="AB234" s="90"/>
      <c r="AC234" s="73"/>
      <c r="AE234" s="71"/>
      <c r="AF234" s="71"/>
      <c r="AG234" s="89"/>
      <c r="AH234" s="90"/>
      <c r="AI234" s="73"/>
      <c r="AK234" s="71"/>
      <c r="AL234" s="71"/>
      <c r="AM234" s="89"/>
      <c r="AN234" s="90"/>
      <c r="AO234" s="73"/>
      <c r="AQ234" s="71"/>
      <c r="AR234" s="71"/>
      <c r="AS234" s="89"/>
      <c r="AT234" s="90"/>
      <c r="AU234" s="73"/>
      <c r="AW234" s="71"/>
      <c r="AX234" s="71"/>
      <c r="AY234" s="89"/>
      <c r="AZ234" s="90"/>
      <c r="BA234" s="73"/>
    </row>
    <row r="235" spans="1:53" ht="17.100000000000001" customHeight="1" x14ac:dyDescent="0.25">
      <c r="A235" s="40"/>
      <c r="B235" s="55"/>
      <c r="C235" s="56" t="s">
        <v>1059</v>
      </c>
      <c r="D235" s="85" t="s">
        <v>478</v>
      </c>
      <c r="E235" s="149"/>
      <c r="F235" s="149"/>
      <c r="G235" s="151"/>
      <c r="H235" s="119"/>
      <c r="I235" s="138"/>
      <c r="J235" s="174"/>
      <c r="K235" s="174"/>
      <c r="L235" s="111"/>
      <c r="M235" s="111"/>
      <c r="N235" s="60"/>
      <c r="O235" s="60"/>
      <c r="P235" s="17">
        <f t="shared" ref="P235:P242" si="257">SUM(N235:O235)</f>
        <v>0</v>
      </c>
      <c r="Q235" s="60"/>
      <c r="R235" s="60"/>
      <c r="S235" s="17">
        <f t="shared" ref="S235:S242" si="258">SUM(Q235:R235)</f>
        <v>0</v>
      </c>
      <c r="T235" s="60"/>
      <c r="U235" s="60"/>
      <c r="V235" s="17">
        <f t="shared" ref="V235:V242" si="259">SUM(T235:U235)</f>
        <v>0</v>
      </c>
      <c r="W235" s="391">
        <f t="shared" ref="W235:W242" si="260">J235+K235+N235+Q235+T235</f>
        <v>0</v>
      </c>
      <c r="X235" s="17">
        <f t="shared" ref="X235:X242" si="261">L235+O235+R235+U235</f>
        <v>0</v>
      </c>
      <c r="Y235" s="18">
        <f t="shared" ref="Y235:Y242" si="262">SUM(W235:X235)</f>
        <v>0</v>
      </c>
      <c r="Z235" s="19">
        <f>IF(Y$243=0,0,Y235/Y$243)</f>
        <v>0</v>
      </c>
      <c r="AA235" s="19"/>
      <c r="AB235" s="19"/>
      <c r="AC235" s="84"/>
      <c r="AD235" s="117"/>
      <c r="AE235" s="111"/>
      <c r="AF235" s="111"/>
      <c r="AG235" s="111"/>
      <c r="AH235" s="651"/>
      <c r="AI235" s="131"/>
      <c r="AK235" s="111"/>
      <c r="AL235" s="111"/>
      <c r="AM235" s="111"/>
      <c r="AN235" s="651"/>
      <c r="AO235" s="131"/>
      <c r="AQ235" s="17"/>
      <c r="AR235" s="17"/>
      <c r="AS235" s="17"/>
      <c r="AT235" s="424">
        <f>W235</f>
        <v>0</v>
      </c>
      <c r="AU235" s="19">
        <f>IF(AT$243=0,0,AT235/AT$243)</f>
        <v>0</v>
      </c>
      <c r="AW235" s="17"/>
      <c r="AX235" s="17"/>
      <c r="AY235" s="17"/>
      <c r="AZ235" s="424">
        <f>X235</f>
        <v>0</v>
      </c>
      <c r="BA235" s="19">
        <f>IF(AZ$243=0,0,AZ235/AZ$243)</f>
        <v>0</v>
      </c>
    </row>
    <row r="236" spans="1:53" ht="17.100000000000001" customHeight="1" x14ac:dyDescent="0.25">
      <c r="A236" s="40"/>
      <c r="B236" s="55"/>
      <c r="C236" s="56" t="s">
        <v>1060</v>
      </c>
      <c r="D236" s="85" t="s">
        <v>165</v>
      </c>
      <c r="E236" s="149"/>
      <c r="F236" s="149"/>
      <c r="G236" s="151"/>
      <c r="H236" s="119"/>
      <c r="I236" s="138"/>
      <c r="J236" s="174"/>
      <c r="K236" s="174"/>
      <c r="L236" s="111"/>
      <c r="M236" s="111"/>
      <c r="N236" s="61">
        <v>3</v>
      </c>
      <c r="O236" s="61">
        <v>6</v>
      </c>
      <c r="P236" s="17">
        <f t="shared" si="257"/>
        <v>9</v>
      </c>
      <c r="Q236" s="61">
        <v>7</v>
      </c>
      <c r="R236" s="61">
        <v>2</v>
      </c>
      <c r="S236" s="17">
        <f t="shared" si="258"/>
        <v>9</v>
      </c>
      <c r="T236" s="61"/>
      <c r="U236" s="61"/>
      <c r="V236" s="17">
        <f t="shared" si="259"/>
        <v>0</v>
      </c>
      <c r="W236" s="391">
        <f t="shared" si="260"/>
        <v>10</v>
      </c>
      <c r="X236" s="17">
        <f t="shared" si="261"/>
        <v>8</v>
      </c>
      <c r="Y236" s="18">
        <f t="shared" si="262"/>
        <v>18</v>
      </c>
      <c r="Z236" s="19">
        <f t="shared" ref="Z236:Z243" si="263">IF(Y$243=0,0,Y236/Y$243)</f>
        <v>0.6428571428571429</v>
      </c>
      <c r="AA236" s="19"/>
      <c r="AB236" s="19"/>
      <c r="AC236" s="84"/>
      <c r="AD236" s="117"/>
      <c r="AE236" s="111"/>
      <c r="AF236" s="111"/>
      <c r="AG236" s="111"/>
      <c r="AH236" s="651"/>
      <c r="AI236" s="131"/>
      <c r="AK236" s="111"/>
      <c r="AL236" s="111"/>
      <c r="AM236" s="111"/>
      <c r="AN236" s="651"/>
      <c r="AO236" s="131"/>
      <c r="AQ236" s="17"/>
      <c r="AR236" s="17"/>
      <c r="AS236" s="17"/>
      <c r="AT236" s="424">
        <f t="shared" ref="AT236:AT242" si="264">W236</f>
        <v>10</v>
      </c>
      <c r="AU236" s="19">
        <f t="shared" ref="AU236:AU243" si="265">IF(AT$243=0,0,AT236/AT$243)</f>
        <v>0.66666666666666663</v>
      </c>
      <c r="AW236" s="17"/>
      <c r="AX236" s="17"/>
      <c r="AY236" s="17"/>
      <c r="AZ236" s="424">
        <f t="shared" ref="AZ236:AZ242" si="266">X236</f>
        <v>8</v>
      </c>
      <c r="BA236" s="19">
        <f t="shared" ref="BA236:BA243" si="267">IF(AZ$243=0,0,AZ236/AZ$243)</f>
        <v>0.61538461538461542</v>
      </c>
    </row>
    <row r="237" spans="1:53" ht="17.100000000000001" customHeight="1" x14ac:dyDescent="0.25">
      <c r="A237" s="40"/>
      <c r="B237" s="55"/>
      <c r="C237" s="56" t="s">
        <v>1061</v>
      </c>
      <c r="D237" s="85" t="s">
        <v>167</v>
      </c>
      <c r="E237" s="149"/>
      <c r="F237" s="149"/>
      <c r="G237" s="151"/>
      <c r="H237" s="119"/>
      <c r="I237" s="138"/>
      <c r="J237" s="174"/>
      <c r="K237" s="174"/>
      <c r="L237" s="111"/>
      <c r="M237" s="111"/>
      <c r="N237" s="60"/>
      <c r="O237" s="60"/>
      <c r="P237" s="17">
        <f t="shared" si="257"/>
        <v>0</v>
      </c>
      <c r="Q237" s="60"/>
      <c r="R237" s="60"/>
      <c r="S237" s="17">
        <f t="shared" si="258"/>
        <v>0</v>
      </c>
      <c r="T237" s="60"/>
      <c r="U237" s="60"/>
      <c r="V237" s="17">
        <f t="shared" si="259"/>
        <v>0</v>
      </c>
      <c r="W237" s="391">
        <f t="shared" si="260"/>
        <v>0</v>
      </c>
      <c r="X237" s="17">
        <f t="shared" si="261"/>
        <v>0</v>
      </c>
      <c r="Y237" s="18">
        <f t="shared" si="262"/>
        <v>0</v>
      </c>
      <c r="Z237" s="19">
        <f t="shared" si="263"/>
        <v>0</v>
      </c>
      <c r="AA237" s="19"/>
      <c r="AB237" s="19"/>
      <c r="AC237" s="84"/>
      <c r="AD237" s="117"/>
      <c r="AE237" s="111"/>
      <c r="AF237" s="111"/>
      <c r="AG237" s="111"/>
      <c r="AH237" s="651"/>
      <c r="AI237" s="131"/>
      <c r="AK237" s="111"/>
      <c r="AL237" s="111"/>
      <c r="AM237" s="111"/>
      <c r="AN237" s="651"/>
      <c r="AO237" s="131"/>
      <c r="AQ237" s="17"/>
      <c r="AR237" s="17"/>
      <c r="AS237" s="17"/>
      <c r="AT237" s="424">
        <f t="shared" si="264"/>
        <v>0</v>
      </c>
      <c r="AU237" s="19">
        <f t="shared" si="265"/>
        <v>0</v>
      </c>
      <c r="AW237" s="17"/>
      <c r="AX237" s="17"/>
      <c r="AY237" s="17"/>
      <c r="AZ237" s="424">
        <f t="shared" si="266"/>
        <v>0</v>
      </c>
      <c r="BA237" s="19">
        <f t="shared" si="267"/>
        <v>0</v>
      </c>
    </row>
    <row r="238" spans="1:53" ht="17.100000000000001" customHeight="1" x14ac:dyDescent="0.25">
      <c r="A238" s="40"/>
      <c r="B238" s="55"/>
      <c r="C238" s="56" t="s">
        <v>1062</v>
      </c>
      <c r="D238" s="146" t="s">
        <v>991</v>
      </c>
      <c r="E238" s="149"/>
      <c r="F238" s="149"/>
      <c r="G238" s="151"/>
      <c r="H238" s="119"/>
      <c r="I238" s="138"/>
      <c r="J238" s="174"/>
      <c r="K238" s="174"/>
      <c r="L238" s="111"/>
      <c r="M238" s="111"/>
      <c r="N238" s="61"/>
      <c r="O238" s="61"/>
      <c r="P238" s="17">
        <f t="shared" si="257"/>
        <v>0</v>
      </c>
      <c r="Q238" s="61"/>
      <c r="R238" s="61"/>
      <c r="S238" s="17">
        <f t="shared" si="258"/>
        <v>0</v>
      </c>
      <c r="T238" s="61"/>
      <c r="U238" s="61"/>
      <c r="V238" s="17">
        <f t="shared" si="259"/>
        <v>0</v>
      </c>
      <c r="W238" s="391">
        <f t="shared" si="260"/>
        <v>0</v>
      </c>
      <c r="X238" s="17">
        <f t="shared" si="261"/>
        <v>0</v>
      </c>
      <c r="Y238" s="18">
        <f t="shared" si="262"/>
        <v>0</v>
      </c>
      <c r="Z238" s="19">
        <f t="shared" si="263"/>
        <v>0</v>
      </c>
      <c r="AA238" s="19"/>
      <c r="AB238" s="19"/>
      <c r="AC238" s="84"/>
      <c r="AD238" s="117"/>
      <c r="AE238" s="111"/>
      <c r="AF238" s="111"/>
      <c r="AG238" s="111"/>
      <c r="AH238" s="651"/>
      <c r="AI238" s="131"/>
      <c r="AK238" s="111"/>
      <c r="AL238" s="111"/>
      <c r="AM238" s="111"/>
      <c r="AN238" s="651"/>
      <c r="AO238" s="131"/>
      <c r="AQ238" s="17"/>
      <c r="AR238" s="17"/>
      <c r="AS238" s="17"/>
      <c r="AT238" s="424">
        <f t="shared" si="264"/>
        <v>0</v>
      </c>
      <c r="AU238" s="19">
        <f t="shared" si="265"/>
        <v>0</v>
      </c>
      <c r="AW238" s="17"/>
      <c r="AX238" s="17"/>
      <c r="AY238" s="17"/>
      <c r="AZ238" s="424">
        <f t="shared" si="266"/>
        <v>0</v>
      </c>
      <c r="BA238" s="19">
        <f t="shared" si="267"/>
        <v>0</v>
      </c>
    </row>
    <row r="239" spans="1:53" ht="17.100000000000001" customHeight="1" x14ac:dyDescent="0.25">
      <c r="A239" s="40"/>
      <c r="B239" s="55"/>
      <c r="C239" s="56" t="s">
        <v>1063</v>
      </c>
      <c r="D239" s="85" t="s">
        <v>438</v>
      </c>
      <c r="E239" s="149"/>
      <c r="F239" s="149"/>
      <c r="G239" s="151"/>
      <c r="H239" s="119"/>
      <c r="I239" s="138"/>
      <c r="J239" s="174"/>
      <c r="K239" s="174"/>
      <c r="L239" s="111"/>
      <c r="M239" s="111"/>
      <c r="N239" s="60"/>
      <c r="O239" s="60"/>
      <c r="P239" s="17">
        <f t="shared" si="257"/>
        <v>0</v>
      </c>
      <c r="Q239" s="60"/>
      <c r="R239" s="60"/>
      <c r="S239" s="17">
        <f t="shared" si="258"/>
        <v>0</v>
      </c>
      <c r="T239" s="60"/>
      <c r="U239" s="60"/>
      <c r="V239" s="17">
        <f t="shared" si="259"/>
        <v>0</v>
      </c>
      <c r="W239" s="391">
        <f t="shared" si="260"/>
        <v>0</v>
      </c>
      <c r="X239" s="17">
        <f t="shared" si="261"/>
        <v>0</v>
      </c>
      <c r="Y239" s="18">
        <f t="shared" si="262"/>
        <v>0</v>
      </c>
      <c r="Z239" s="19">
        <f t="shared" si="263"/>
        <v>0</v>
      </c>
      <c r="AA239" s="19"/>
      <c r="AB239" s="19"/>
      <c r="AC239" s="84"/>
      <c r="AD239" s="117"/>
      <c r="AE239" s="111"/>
      <c r="AF239" s="111"/>
      <c r="AG239" s="111"/>
      <c r="AH239" s="651"/>
      <c r="AI239" s="131"/>
      <c r="AK239" s="111"/>
      <c r="AL239" s="111"/>
      <c r="AM239" s="111"/>
      <c r="AN239" s="651"/>
      <c r="AO239" s="131"/>
      <c r="AQ239" s="17"/>
      <c r="AR239" s="17"/>
      <c r="AS239" s="17"/>
      <c r="AT239" s="424">
        <f t="shared" si="264"/>
        <v>0</v>
      </c>
      <c r="AU239" s="19">
        <f t="shared" si="265"/>
        <v>0</v>
      </c>
      <c r="AW239" s="17"/>
      <c r="AX239" s="17"/>
      <c r="AY239" s="17"/>
      <c r="AZ239" s="424">
        <f t="shared" si="266"/>
        <v>0</v>
      </c>
      <c r="BA239" s="19">
        <f t="shared" si="267"/>
        <v>0</v>
      </c>
    </row>
    <row r="240" spans="1:53" ht="17.100000000000001" customHeight="1" x14ac:dyDescent="0.25">
      <c r="A240" s="40"/>
      <c r="B240" s="55"/>
      <c r="C240" s="56" t="s">
        <v>1064</v>
      </c>
      <c r="D240" s="85" t="s">
        <v>439</v>
      </c>
      <c r="E240" s="149"/>
      <c r="F240" s="149"/>
      <c r="G240" s="151"/>
      <c r="H240" s="119"/>
      <c r="I240" s="138"/>
      <c r="J240" s="174"/>
      <c r="K240" s="174"/>
      <c r="L240" s="111"/>
      <c r="M240" s="111"/>
      <c r="N240" s="61"/>
      <c r="O240" s="61"/>
      <c r="P240" s="17">
        <f t="shared" si="257"/>
        <v>0</v>
      </c>
      <c r="Q240" s="61"/>
      <c r="R240" s="61"/>
      <c r="S240" s="17">
        <f t="shared" si="258"/>
        <v>0</v>
      </c>
      <c r="T240" s="61"/>
      <c r="U240" s="61"/>
      <c r="V240" s="17">
        <f t="shared" si="259"/>
        <v>0</v>
      </c>
      <c r="W240" s="391">
        <f t="shared" si="260"/>
        <v>0</v>
      </c>
      <c r="X240" s="17">
        <f t="shared" si="261"/>
        <v>0</v>
      </c>
      <c r="Y240" s="18">
        <f t="shared" si="262"/>
        <v>0</v>
      </c>
      <c r="Z240" s="19">
        <f t="shared" si="263"/>
        <v>0</v>
      </c>
      <c r="AA240" s="19"/>
      <c r="AB240" s="19"/>
      <c r="AC240" s="84"/>
      <c r="AD240" s="117"/>
      <c r="AE240" s="111"/>
      <c r="AF240" s="111"/>
      <c r="AG240" s="111"/>
      <c r="AH240" s="651"/>
      <c r="AI240" s="131"/>
      <c r="AK240" s="111"/>
      <c r="AL240" s="111"/>
      <c r="AM240" s="111"/>
      <c r="AN240" s="651"/>
      <c r="AO240" s="131"/>
      <c r="AQ240" s="17"/>
      <c r="AR240" s="17"/>
      <c r="AS240" s="17"/>
      <c r="AT240" s="424">
        <f t="shared" si="264"/>
        <v>0</v>
      </c>
      <c r="AU240" s="19">
        <f t="shared" si="265"/>
        <v>0</v>
      </c>
      <c r="AW240" s="17"/>
      <c r="AX240" s="17"/>
      <c r="AY240" s="17"/>
      <c r="AZ240" s="424">
        <f t="shared" si="266"/>
        <v>0</v>
      </c>
      <c r="BA240" s="19">
        <f t="shared" si="267"/>
        <v>0</v>
      </c>
    </row>
    <row r="241" spans="1:53" ht="17.100000000000001" customHeight="1" x14ac:dyDescent="0.25">
      <c r="A241" s="40"/>
      <c r="B241" s="55"/>
      <c r="C241" s="56" t="s">
        <v>1065</v>
      </c>
      <c r="D241" s="85" t="s">
        <v>483</v>
      </c>
      <c r="E241" s="149"/>
      <c r="F241" s="149"/>
      <c r="G241" s="151"/>
      <c r="H241" s="119"/>
      <c r="I241" s="138"/>
      <c r="J241" s="174"/>
      <c r="K241" s="174"/>
      <c r="L241" s="111"/>
      <c r="M241" s="111"/>
      <c r="N241" s="60"/>
      <c r="O241" s="60"/>
      <c r="P241" s="17">
        <f t="shared" si="257"/>
        <v>0</v>
      </c>
      <c r="Q241" s="60"/>
      <c r="R241" s="60"/>
      <c r="S241" s="17">
        <f t="shared" si="258"/>
        <v>0</v>
      </c>
      <c r="T241" s="60">
        <v>5</v>
      </c>
      <c r="U241" s="60">
        <v>5</v>
      </c>
      <c r="V241" s="17">
        <f t="shared" si="259"/>
        <v>10</v>
      </c>
      <c r="W241" s="391">
        <f t="shared" si="260"/>
        <v>5</v>
      </c>
      <c r="X241" s="17">
        <f t="shared" si="261"/>
        <v>5</v>
      </c>
      <c r="Y241" s="18">
        <f t="shared" si="262"/>
        <v>10</v>
      </c>
      <c r="Z241" s="19">
        <f t="shared" si="263"/>
        <v>0.35714285714285715</v>
      </c>
      <c r="AA241" s="19"/>
      <c r="AB241" s="19"/>
      <c r="AC241" s="84"/>
      <c r="AD241" s="117"/>
      <c r="AE241" s="111"/>
      <c r="AF241" s="111"/>
      <c r="AG241" s="111"/>
      <c r="AH241" s="651"/>
      <c r="AI241" s="131"/>
      <c r="AK241" s="111"/>
      <c r="AL241" s="111"/>
      <c r="AM241" s="111"/>
      <c r="AN241" s="651"/>
      <c r="AO241" s="131"/>
      <c r="AQ241" s="17"/>
      <c r="AR241" s="17"/>
      <c r="AS241" s="17"/>
      <c r="AT241" s="424">
        <f t="shared" si="264"/>
        <v>5</v>
      </c>
      <c r="AU241" s="19">
        <f t="shared" si="265"/>
        <v>0.33333333333333331</v>
      </c>
      <c r="AW241" s="17"/>
      <c r="AX241" s="17"/>
      <c r="AY241" s="17"/>
      <c r="AZ241" s="424">
        <f t="shared" si="266"/>
        <v>5</v>
      </c>
      <c r="BA241" s="19">
        <f t="shared" si="267"/>
        <v>0.38461538461538464</v>
      </c>
    </row>
    <row r="242" spans="1:53" ht="17.100000000000001" customHeight="1" x14ac:dyDescent="0.25">
      <c r="A242" s="40"/>
      <c r="B242" s="55"/>
      <c r="C242" s="56" t="s">
        <v>1066</v>
      </c>
      <c r="D242" s="85" t="s">
        <v>129</v>
      </c>
      <c r="E242" s="149"/>
      <c r="F242" s="149"/>
      <c r="G242" s="151"/>
      <c r="H242" s="119"/>
      <c r="I242" s="138"/>
      <c r="J242" s="174"/>
      <c r="K242" s="174"/>
      <c r="L242" s="111"/>
      <c r="M242" s="111"/>
      <c r="N242" s="61"/>
      <c r="O242" s="61"/>
      <c r="P242" s="17">
        <f t="shared" si="257"/>
        <v>0</v>
      </c>
      <c r="Q242" s="61"/>
      <c r="R242" s="61"/>
      <c r="S242" s="17">
        <f t="shared" si="258"/>
        <v>0</v>
      </c>
      <c r="T242" s="61"/>
      <c r="U242" s="61"/>
      <c r="V242" s="17">
        <f t="shared" si="259"/>
        <v>0</v>
      </c>
      <c r="W242" s="391">
        <f t="shared" si="260"/>
        <v>0</v>
      </c>
      <c r="X242" s="17">
        <f t="shared" si="261"/>
        <v>0</v>
      </c>
      <c r="Y242" s="18">
        <f t="shared" si="262"/>
        <v>0</v>
      </c>
      <c r="Z242" s="19">
        <f t="shared" si="263"/>
        <v>0</v>
      </c>
      <c r="AA242" s="19"/>
      <c r="AB242" s="19"/>
      <c r="AC242" s="84"/>
      <c r="AD242" s="117"/>
      <c r="AE242" s="111"/>
      <c r="AF242" s="111"/>
      <c r="AG242" s="111"/>
      <c r="AH242" s="651"/>
      <c r="AI242" s="131"/>
      <c r="AK242" s="111"/>
      <c r="AL242" s="111"/>
      <c r="AM242" s="111"/>
      <c r="AN242" s="651"/>
      <c r="AO242" s="131"/>
      <c r="AQ242" s="17"/>
      <c r="AR242" s="17"/>
      <c r="AS242" s="17"/>
      <c r="AT242" s="424">
        <f t="shared" si="264"/>
        <v>0</v>
      </c>
      <c r="AU242" s="19">
        <f t="shared" si="265"/>
        <v>0</v>
      </c>
      <c r="AW242" s="17"/>
      <c r="AX242" s="17"/>
      <c r="AY242" s="17"/>
      <c r="AZ242" s="424">
        <f t="shared" si="266"/>
        <v>0</v>
      </c>
      <c r="BA242" s="19">
        <f t="shared" si="267"/>
        <v>0</v>
      </c>
    </row>
    <row r="243" spans="1:53" ht="17.100000000000001" customHeight="1" x14ac:dyDescent="0.25">
      <c r="A243" s="40"/>
      <c r="B243" s="40"/>
      <c r="C243" s="292"/>
      <c r="D243" s="144"/>
      <c r="E243" s="144"/>
      <c r="F243" s="145"/>
      <c r="G243" s="145"/>
      <c r="H243" s="119"/>
      <c r="I243" s="138"/>
      <c r="J243" s="64"/>
      <c r="K243" s="64"/>
      <c r="L243" s="64"/>
      <c r="M243" s="64"/>
      <c r="N243" s="64">
        <f>SUM(N235:N242)</f>
        <v>3</v>
      </c>
      <c r="O243" s="64">
        <f t="shared" ref="O243:V243" si="268">SUM(O235:O242)</f>
        <v>6</v>
      </c>
      <c r="P243" s="64">
        <f t="shared" si="268"/>
        <v>9</v>
      </c>
      <c r="Q243" s="64">
        <f t="shared" si="268"/>
        <v>7</v>
      </c>
      <c r="R243" s="64">
        <f t="shared" si="268"/>
        <v>2</v>
      </c>
      <c r="S243" s="64">
        <f t="shared" si="268"/>
        <v>9</v>
      </c>
      <c r="T243" s="64">
        <f t="shared" si="268"/>
        <v>5</v>
      </c>
      <c r="U243" s="64">
        <f t="shared" si="268"/>
        <v>5</v>
      </c>
      <c r="V243" s="64">
        <f t="shared" si="268"/>
        <v>10</v>
      </c>
      <c r="W243" s="224">
        <f>SUM(W235:W242)</f>
        <v>15</v>
      </c>
      <c r="X243" s="224">
        <f t="shared" ref="X243:Y243" si="269">SUM(X235:X242)</f>
        <v>13</v>
      </c>
      <c r="Y243" s="224">
        <f t="shared" si="269"/>
        <v>28</v>
      </c>
      <c r="Z243" s="66">
        <f t="shared" si="263"/>
        <v>1</v>
      </c>
      <c r="AA243" s="205"/>
      <c r="AB243" s="205"/>
      <c r="AC243" s="83"/>
      <c r="AE243" s="81"/>
      <c r="AF243" s="81"/>
      <c r="AG243" s="82"/>
      <c r="AH243" s="324"/>
      <c r="AI243" s="66"/>
      <c r="AK243" s="81"/>
      <c r="AL243" s="81"/>
      <c r="AM243" s="82"/>
      <c r="AN243" s="324"/>
      <c r="AO243" s="66"/>
      <c r="AQ243" s="81"/>
      <c r="AR243" s="81"/>
      <c r="AS243" s="82"/>
      <c r="AT243" s="426">
        <f>SUM(AT235:AT242)</f>
        <v>15</v>
      </c>
      <c r="AU243" s="66">
        <f t="shared" si="265"/>
        <v>1</v>
      </c>
      <c r="AW243" s="81"/>
      <c r="AX243" s="81"/>
      <c r="AY243" s="82"/>
      <c r="AZ243" s="426">
        <f>SUM(AZ235:AZ242)</f>
        <v>13</v>
      </c>
      <c r="BA243" s="66">
        <f t="shared" si="267"/>
        <v>1</v>
      </c>
    </row>
    <row r="244" spans="1:53" s="117" customFormat="1" ht="17.100000000000001" customHeight="1" x14ac:dyDescent="0.25">
      <c r="A244" s="68"/>
      <c r="B244" s="119"/>
      <c r="C244" s="647"/>
      <c r="D244" s="261"/>
      <c r="E244" s="261"/>
      <c r="F244" s="68"/>
      <c r="G244" s="68"/>
      <c r="H244" s="119"/>
      <c r="I244" s="138"/>
      <c r="J244" s="17"/>
      <c r="K244" s="17"/>
      <c r="L244" s="17"/>
      <c r="M244" s="17"/>
      <c r="N244" s="17" t="str">
        <f>IF(N243=N$450,"OK","NOK")</f>
        <v>NOK</v>
      </c>
      <c r="O244" s="17" t="str">
        <f>IF(O243=O$450,"OK","NOK")</f>
        <v>NOK</v>
      </c>
      <c r="P244" s="17"/>
      <c r="Q244" s="17" t="str">
        <f>IF(Q243=Q$450,"OK","NOK")</f>
        <v>NOK</v>
      </c>
      <c r="R244" s="17" t="str">
        <f>IF(R243=R$450,"OK","NOK")</f>
        <v>NOK</v>
      </c>
      <c r="S244" s="17"/>
      <c r="T244" s="17" t="str">
        <f>IF(T243=T$450,"OK","NOK")</f>
        <v>NOK</v>
      </c>
      <c r="U244" s="17" t="str">
        <f>IF(U243=U$450,"OK","NOK")</f>
        <v>NOK</v>
      </c>
      <c r="V244" s="359"/>
      <c r="W244" s="382"/>
      <c r="X244" s="646"/>
      <c r="Y244" s="646"/>
      <c r="Z244" s="201"/>
      <c r="AA244" s="201"/>
      <c r="AB244" s="201"/>
      <c r="AC244" s="84"/>
      <c r="AE244" s="46"/>
      <c r="AF244" s="46"/>
      <c r="AG244" s="17"/>
      <c r="AH244" s="646"/>
      <c r="AI244" s="91"/>
      <c r="AK244" s="46"/>
      <c r="AL244" s="46"/>
      <c r="AM244" s="17"/>
      <c r="AN244" s="646"/>
      <c r="AO244" s="91"/>
      <c r="AQ244" s="46"/>
      <c r="AR244" s="46"/>
      <c r="AS244" s="17"/>
      <c r="AT244" s="646"/>
      <c r="AU244" s="91"/>
      <c r="AW244" s="46"/>
      <c r="AX244" s="46"/>
      <c r="AY244" s="17"/>
      <c r="AZ244" s="646"/>
      <c r="BA244" s="91"/>
    </row>
    <row r="245" spans="1:53" s="117" customFormat="1" ht="17.100000000000001" customHeight="1" x14ac:dyDescent="0.25">
      <c r="A245" s="68"/>
      <c r="B245" s="119"/>
      <c r="C245" s="119"/>
      <c r="D245" s="56" t="s">
        <v>272</v>
      </c>
      <c r="E245" s="149" t="s">
        <v>751</v>
      </c>
      <c r="F245" s="149"/>
      <c r="G245" s="149"/>
      <c r="H245" s="182"/>
      <c r="I245" s="241"/>
      <c r="J245" s="152"/>
      <c r="K245" s="152"/>
      <c r="L245" s="111"/>
      <c r="M245" s="111"/>
      <c r="N245" s="111"/>
      <c r="O245" s="111"/>
      <c r="P245" s="111"/>
      <c r="Q245" s="111"/>
      <c r="R245" s="111"/>
      <c r="S245" s="111"/>
      <c r="T245" s="111"/>
      <c r="U245" s="111"/>
      <c r="V245" s="358"/>
      <c r="W245" s="380"/>
      <c r="X245" s="111"/>
      <c r="Y245" s="651"/>
      <c r="Z245" s="131"/>
      <c r="AA245" s="131"/>
      <c r="AB245" s="131"/>
      <c r="AC245" s="113"/>
      <c r="AE245" s="152"/>
      <c r="AF245" s="152"/>
      <c r="AG245" s="111"/>
      <c r="AH245" s="651"/>
      <c r="AI245" s="131"/>
      <c r="AK245" s="152"/>
      <c r="AL245" s="152"/>
      <c r="AM245" s="111"/>
      <c r="AN245" s="651"/>
      <c r="AO245" s="131"/>
      <c r="AQ245" s="152"/>
      <c r="AR245" s="152"/>
      <c r="AS245" s="111"/>
      <c r="AT245" s="651"/>
      <c r="AU245" s="131"/>
      <c r="AW245" s="152"/>
      <c r="AX245" s="152"/>
      <c r="AY245" s="111"/>
      <c r="AZ245" s="651"/>
      <c r="BA245" s="131"/>
    </row>
    <row r="246" spans="1:53" s="117" customFormat="1" ht="17.100000000000001" customHeight="1" x14ac:dyDescent="0.25">
      <c r="A246" s="68"/>
      <c r="B246" s="119"/>
      <c r="C246" s="55"/>
      <c r="D246" s="55"/>
      <c r="E246" s="74" t="s">
        <v>753</v>
      </c>
      <c r="F246" s="603" t="s">
        <v>752</v>
      </c>
      <c r="G246" s="603"/>
      <c r="H246" s="182"/>
      <c r="I246" s="241"/>
      <c r="J246" s="111"/>
      <c r="K246" s="152"/>
      <c r="L246" s="152"/>
      <c r="M246" s="152"/>
      <c r="N246" s="152"/>
      <c r="O246" s="111"/>
      <c r="P246" s="60"/>
      <c r="Q246" s="152"/>
      <c r="R246" s="111"/>
      <c r="S246" s="60"/>
      <c r="T246" s="152"/>
      <c r="U246" s="111"/>
      <c r="V246" s="361"/>
      <c r="W246" s="391"/>
      <c r="X246" s="17"/>
      <c r="Y246" s="18">
        <f t="shared" ref="Y246:Y248" si="270">M246+P246+S246+V246</f>
        <v>0</v>
      </c>
      <c r="Z246" s="19">
        <f>IF(Y$249=0,0,Y246/Y$249)</f>
        <v>0</v>
      </c>
      <c r="AA246" s="19"/>
      <c r="AB246" s="19"/>
      <c r="AC246" s="84"/>
      <c r="AE246" s="111"/>
      <c r="AF246" s="111"/>
      <c r="AG246" s="111"/>
      <c r="AH246" s="112"/>
      <c r="AI246" s="113"/>
      <c r="AK246" s="111"/>
      <c r="AL246" s="111"/>
      <c r="AM246" s="111"/>
      <c r="AN246" s="112"/>
      <c r="AO246" s="113"/>
      <c r="AQ246" s="111"/>
      <c r="AR246" s="111"/>
      <c r="AS246" s="111"/>
      <c r="AT246" s="651"/>
      <c r="AU246" s="131"/>
      <c r="AW246" s="111"/>
      <c r="AX246" s="111"/>
      <c r="AY246" s="111"/>
      <c r="AZ246" s="651"/>
      <c r="BA246" s="131"/>
    </row>
    <row r="247" spans="1:53" s="117" customFormat="1" ht="17.100000000000001" customHeight="1" x14ac:dyDescent="0.25">
      <c r="A247" s="68"/>
      <c r="B247" s="119"/>
      <c r="C247" s="55"/>
      <c r="D247" s="55"/>
      <c r="E247" s="74" t="s">
        <v>754</v>
      </c>
      <c r="F247" s="604"/>
      <c r="G247" s="604"/>
      <c r="H247" s="182"/>
      <c r="I247" s="241"/>
      <c r="J247" s="111"/>
      <c r="K247" s="152"/>
      <c r="L247" s="152"/>
      <c r="M247" s="152"/>
      <c r="N247" s="152"/>
      <c r="O247" s="111"/>
      <c r="P247" s="61"/>
      <c r="Q247" s="152"/>
      <c r="R247" s="111"/>
      <c r="S247" s="61"/>
      <c r="T247" s="152"/>
      <c r="U247" s="111"/>
      <c r="V247" s="362"/>
      <c r="W247" s="391"/>
      <c r="X247" s="17"/>
      <c r="Y247" s="18">
        <f t="shared" si="270"/>
        <v>0</v>
      </c>
      <c r="Z247" s="19">
        <f t="shared" ref="Z247:Z249" si="271">IF(Y$249=0,0,Y247/Y$249)</f>
        <v>0</v>
      </c>
      <c r="AA247" s="19"/>
      <c r="AB247" s="19"/>
      <c r="AC247" s="84"/>
      <c r="AE247" s="111"/>
      <c r="AF247" s="111"/>
      <c r="AG247" s="111"/>
      <c r="AH247" s="112"/>
      <c r="AI247" s="113"/>
      <c r="AK247" s="111"/>
      <c r="AL247" s="111"/>
      <c r="AM247" s="111"/>
      <c r="AN247" s="112"/>
      <c r="AO247" s="113"/>
      <c r="AQ247" s="111"/>
      <c r="AR247" s="111"/>
      <c r="AS247" s="111"/>
      <c r="AT247" s="651"/>
      <c r="AU247" s="131"/>
      <c r="AW247" s="111"/>
      <c r="AX247" s="111"/>
      <c r="AY247" s="111"/>
      <c r="AZ247" s="651"/>
      <c r="BA247" s="131"/>
    </row>
    <row r="248" spans="1:53" s="117" customFormat="1" ht="17.100000000000001" customHeight="1" x14ac:dyDescent="0.25">
      <c r="A248" s="68"/>
      <c r="B248" s="119"/>
      <c r="C248" s="55"/>
      <c r="D248" s="55"/>
      <c r="E248" s="74" t="s">
        <v>755</v>
      </c>
      <c r="F248" s="603"/>
      <c r="G248" s="603"/>
      <c r="H248" s="182"/>
      <c r="I248" s="241"/>
      <c r="J248" s="111"/>
      <c r="K248" s="152"/>
      <c r="L248" s="152"/>
      <c r="M248" s="152"/>
      <c r="N248" s="152"/>
      <c r="O248" s="111"/>
      <c r="P248" s="60"/>
      <c r="Q248" s="152"/>
      <c r="R248" s="111"/>
      <c r="S248" s="60"/>
      <c r="T248" s="152"/>
      <c r="U248" s="111"/>
      <c r="V248" s="361"/>
      <c r="W248" s="391"/>
      <c r="X248" s="17"/>
      <c r="Y248" s="18">
        <f t="shared" si="270"/>
        <v>0</v>
      </c>
      <c r="Z248" s="19">
        <f t="shared" si="271"/>
        <v>0</v>
      </c>
      <c r="AA248" s="19"/>
      <c r="AB248" s="19"/>
      <c r="AC248" s="84"/>
      <c r="AE248" s="111"/>
      <c r="AF248" s="111"/>
      <c r="AG248" s="111"/>
      <c r="AH248" s="112"/>
      <c r="AI248" s="113"/>
      <c r="AK248" s="111"/>
      <c r="AL248" s="111"/>
      <c r="AM248" s="111"/>
      <c r="AN248" s="112"/>
      <c r="AO248" s="113"/>
      <c r="AQ248" s="111"/>
      <c r="AR248" s="111"/>
      <c r="AS248" s="111"/>
      <c r="AT248" s="651"/>
      <c r="AU248" s="131"/>
      <c r="AW248" s="111"/>
      <c r="AX248" s="111"/>
      <c r="AY248" s="111"/>
      <c r="AZ248" s="651"/>
      <c r="BA248" s="131"/>
    </row>
    <row r="249" spans="1:53" s="117" customFormat="1" ht="17.100000000000001" customHeight="1" x14ac:dyDescent="0.25">
      <c r="A249" s="68"/>
      <c r="B249" s="119"/>
      <c r="C249" s="77"/>
      <c r="D249" s="134"/>
      <c r="E249" s="134"/>
      <c r="F249" s="134"/>
      <c r="G249" s="134"/>
      <c r="H249" s="647"/>
      <c r="I249" s="229"/>
      <c r="J249" s="80"/>
      <c r="K249" s="80"/>
      <c r="L249" s="81"/>
      <c r="M249" s="81"/>
      <c r="N249" s="81"/>
      <c r="O249" s="81"/>
      <c r="P249" s="81">
        <f>SUM(P246:P248)</f>
        <v>0</v>
      </c>
      <c r="Q249" s="81"/>
      <c r="R249" s="81"/>
      <c r="S249" s="81">
        <f>SUM(S246:S248)</f>
        <v>0</v>
      </c>
      <c r="T249" s="81"/>
      <c r="U249" s="81"/>
      <c r="V249" s="81">
        <f>SUM(V246:V248)</f>
        <v>0</v>
      </c>
      <c r="W249" s="381"/>
      <c r="X249" s="82"/>
      <c r="Y249" s="82">
        <f>SUM(Y246:Y248)</f>
        <v>0</v>
      </c>
      <c r="Z249" s="66">
        <f t="shared" si="271"/>
        <v>0</v>
      </c>
      <c r="AA249" s="205"/>
      <c r="AB249" s="205"/>
      <c r="AC249" s="83"/>
      <c r="AE249" s="80"/>
      <c r="AF249" s="80"/>
      <c r="AG249" s="81"/>
      <c r="AH249" s="82"/>
      <c r="AI249" s="66"/>
      <c r="AK249" s="80"/>
      <c r="AL249" s="80"/>
      <c r="AM249" s="81"/>
      <c r="AN249" s="82"/>
      <c r="AO249" s="66"/>
      <c r="AQ249" s="80"/>
      <c r="AR249" s="80"/>
      <c r="AS249" s="81"/>
      <c r="AT249" s="82"/>
      <c r="AU249" s="66"/>
      <c r="AW249" s="80"/>
      <c r="AX249" s="80"/>
      <c r="AY249" s="81"/>
      <c r="AZ249" s="82"/>
      <c r="BA249" s="66"/>
    </row>
    <row r="250" spans="1:53" s="117" customFormat="1" ht="17.100000000000001" customHeight="1" x14ac:dyDescent="0.25">
      <c r="A250" s="68"/>
      <c r="B250" s="119"/>
      <c r="C250" s="92"/>
      <c r="D250" s="93"/>
      <c r="E250" s="93"/>
      <c r="F250" s="93"/>
      <c r="G250" s="93"/>
      <c r="H250" s="647"/>
      <c r="I250" s="12"/>
      <c r="J250" s="46"/>
      <c r="K250" s="46"/>
      <c r="L250" s="17"/>
      <c r="M250" s="17"/>
      <c r="N250" s="17"/>
      <c r="O250" s="17"/>
      <c r="P250" s="17"/>
      <c r="Q250" s="17"/>
      <c r="R250" s="17"/>
      <c r="S250" s="17"/>
      <c r="T250" s="17"/>
      <c r="U250" s="17"/>
      <c r="V250" s="359"/>
      <c r="W250" s="382"/>
      <c r="X250" s="646"/>
      <c r="Y250" s="646"/>
      <c r="Z250" s="201"/>
      <c r="AA250" s="201"/>
      <c r="AB250" s="201"/>
      <c r="AC250" s="84"/>
      <c r="AE250" s="46"/>
      <c r="AF250" s="46"/>
      <c r="AG250" s="17"/>
      <c r="AH250" s="646"/>
      <c r="AI250" s="91"/>
      <c r="AK250" s="46"/>
      <c r="AL250" s="46"/>
      <c r="AM250" s="17"/>
      <c r="AN250" s="646"/>
      <c r="AO250" s="91"/>
      <c r="AQ250" s="46"/>
      <c r="AR250" s="46"/>
      <c r="AS250" s="17"/>
      <c r="AT250" s="646"/>
      <c r="AU250" s="91"/>
      <c r="AW250" s="46"/>
      <c r="AX250" s="46"/>
      <c r="AY250" s="17"/>
      <c r="AZ250" s="646"/>
      <c r="BA250" s="91"/>
    </row>
    <row r="251" spans="1:53" ht="17.100000000000001" customHeight="1" x14ac:dyDescent="0.25">
      <c r="A251" s="40"/>
      <c r="B251" s="41" t="s">
        <v>1446</v>
      </c>
      <c r="C251" s="49" t="s">
        <v>12</v>
      </c>
      <c r="D251" s="43"/>
      <c r="E251" s="43"/>
      <c r="F251" s="43"/>
      <c r="G251" s="43"/>
      <c r="H251" s="23"/>
      <c r="I251" s="12"/>
      <c r="J251" s="73"/>
      <c r="K251" s="73"/>
      <c r="L251" s="73"/>
      <c r="M251" s="73"/>
      <c r="N251" s="73"/>
      <c r="O251" s="73"/>
      <c r="P251" s="73"/>
      <c r="Q251" s="73"/>
      <c r="R251" s="73"/>
      <c r="S251" s="73"/>
      <c r="T251" s="73"/>
      <c r="U251" s="73"/>
      <c r="V251" s="970"/>
      <c r="W251" s="971"/>
      <c r="X251" s="73"/>
      <c r="Y251" s="73"/>
      <c r="Z251" s="73"/>
      <c r="AA251" s="73"/>
      <c r="AB251" s="73"/>
      <c r="AC251" s="73"/>
      <c r="AE251" s="73"/>
      <c r="AF251" s="73"/>
      <c r="AG251" s="73"/>
      <c r="AH251" s="73"/>
      <c r="AI251" s="73"/>
      <c r="AK251" s="73"/>
      <c r="AL251" s="73"/>
      <c r="AM251" s="73"/>
      <c r="AN251" s="73"/>
      <c r="AO251" s="73"/>
      <c r="AQ251" s="73"/>
      <c r="AR251" s="73"/>
      <c r="AS251" s="73"/>
      <c r="AT251" s="73"/>
      <c r="AU251" s="73"/>
      <c r="AW251" s="73"/>
      <c r="AX251" s="73"/>
      <c r="AY251" s="73"/>
      <c r="AZ251" s="73"/>
      <c r="BA251" s="73"/>
    </row>
    <row r="252" spans="1:53" s="4" customFormat="1" ht="17.100000000000001" customHeight="1" x14ac:dyDescent="0.25">
      <c r="A252" s="137"/>
      <c r="B252" s="40"/>
      <c r="C252" s="933" t="s">
        <v>1447</v>
      </c>
      <c r="D252" s="85" t="s">
        <v>1448</v>
      </c>
      <c r="E252" s="303"/>
      <c r="F252" s="303"/>
      <c r="G252" s="303"/>
      <c r="H252" s="320"/>
      <c r="I252" s="309"/>
      <c r="J252" s="174"/>
      <c r="K252" s="174"/>
      <c r="L252" s="174"/>
      <c r="M252" s="174"/>
      <c r="N252" s="174"/>
      <c r="O252" s="174"/>
      <c r="P252" s="174"/>
      <c r="Q252" s="174"/>
      <c r="R252" s="174"/>
      <c r="S252" s="174"/>
      <c r="T252" s="174"/>
      <c r="U252" s="174"/>
      <c r="V252" s="712"/>
      <c r="W252" s="972"/>
      <c r="X252" s="174"/>
      <c r="Y252" s="174"/>
      <c r="Z252" s="113"/>
      <c r="AA252" s="113"/>
      <c r="AB252" s="113"/>
      <c r="AC252" s="113"/>
      <c r="AE252" s="174"/>
      <c r="AF252" s="174"/>
      <c r="AG252" s="932"/>
      <c r="AH252" s="113"/>
      <c r="AI252" s="113"/>
      <c r="AK252" s="174"/>
      <c r="AL252" s="174"/>
      <c r="AM252" s="932"/>
      <c r="AN252" s="113"/>
      <c r="AO252" s="113"/>
      <c r="AQ252" s="174"/>
      <c r="AR252" s="174"/>
      <c r="AS252" s="932"/>
      <c r="AT252" s="113"/>
      <c r="AU252" s="113"/>
      <c r="AW252" s="174"/>
      <c r="AX252" s="174"/>
      <c r="AY252" s="932"/>
      <c r="AZ252" s="113"/>
      <c r="BA252" s="113"/>
    </row>
    <row r="253" spans="1:53" s="4" customFormat="1" ht="17.100000000000001" customHeight="1" x14ac:dyDescent="0.25">
      <c r="A253" s="137"/>
      <c r="B253" s="40"/>
      <c r="C253" s="40"/>
      <c r="D253" s="121" t="s">
        <v>129</v>
      </c>
      <c r="E253" s="304"/>
      <c r="F253" s="304"/>
      <c r="G253" s="304"/>
      <c r="H253" s="320"/>
      <c r="I253" s="309"/>
      <c r="J253" s="161"/>
      <c r="K253" s="161"/>
      <c r="L253" s="161"/>
      <c r="M253" s="161"/>
      <c r="N253" s="161">
        <f>N231</f>
        <v>0</v>
      </c>
      <c r="O253" s="161">
        <f>O231</f>
        <v>0</v>
      </c>
      <c r="P253" s="161"/>
      <c r="Q253" s="161">
        <f>Q231</f>
        <v>4</v>
      </c>
      <c r="R253" s="161">
        <f>R231</f>
        <v>0</v>
      </c>
      <c r="S253" s="161"/>
      <c r="T253" s="161">
        <f>T231</f>
        <v>0</v>
      </c>
      <c r="U253" s="161">
        <f>U231</f>
        <v>0</v>
      </c>
      <c r="V253" s="697"/>
      <c r="W253" s="973"/>
      <c r="X253" s="161"/>
      <c r="Y253" s="161"/>
      <c r="Z253" s="125"/>
      <c r="AA253" s="125"/>
      <c r="AB253" s="125"/>
      <c r="AC253" s="125"/>
      <c r="AD253" s="97"/>
      <c r="AE253" s="161"/>
      <c r="AF253" s="161"/>
      <c r="AG253" s="129"/>
      <c r="AH253" s="125"/>
      <c r="AI253" s="125"/>
      <c r="AJ253" s="97"/>
      <c r="AK253" s="161"/>
      <c r="AL253" s="161"/>
      <c r="AM253" s="129"/>
      <c r="AN253" s="125"/>
      <c r="AO253" s="125"/>
      <c r="AP253" s="97"/>
      <c r="AQ253" s="161"/>
      <c r="AR253" s="161"/>
      <c r="AS253" s="129"/>
      <c r="AT253" s="125"/>
      <c r="AU253" s="125"/>
      <c r="AV253" s="97"/>
      <c r="AW253" s="161"/>
      <c r="AX253" s="161"/>
      <c r="AY253" s="129"/>
      <c r="AZ253" s="125"/>
      <c r="BA253" s="125"/>
    </row>
    <row r="254" spans="1:53" s="4" customFormat="1" ht="17.100000000000001" customHeight="1" x14ac:dyDescent="0.25">
      <c r="A254" s="137"/>
      <c r="B254" s="40"/>
      <c r="C254" s="40"/>
      <c r="D254" s="121" t="s">
        <v>173</v>
      </c>
      <c r="E254" s="304"/>
      <c r="F254" s="304"/>
      <c r="G254" s="304"/>
      <c r="H254" s="320"/>
      <c r="I254" s="309"/>
      <c r="J254" s="161"/>
      <c r="K254" s="161"/>
      <c r="L254" s="161"/>
      <c r="M254" s="161"/>
      <c r="N254" s="161">
        <f>N226</f>
        <v>1</v>
      </c>
      <c r="O254" s="161">
        <v>2</v>
      </c>
      <c r="P254" s="161"/>
      <c r="Q254" s="161">
        <f>Q226</f>
        <v>0</v>
      </c>
      <c r="R254" s="161">
        <f>R226</f>
        <v>0</v>
      </c>
      <c r="S254" s="161"/>
      <c r="T254" s="161">
        <f>T226</f>
        <v>1</v>
      </c>
      <c r="U254" s="161">
        <f>U226</f>
        <v>0</v>
      </c>
      <c r="V254" s="697"/>
      <c r="W254" s="973"/>
      <c r="X254" s="161"/>
      <c r="Y254" s="161"/>
      <c r="Z254" s="125"/>
      <c r="AA254" s="125"/>
      <c r="AB254" s="125"/>
      <c r="AC254" s="125"/>
      <c r="AD254" s="97"/>
      <c r="AE254" s="161"/>
      <c r="AF254" s="161"/>
      <c r="AG254" s="129"/>
      <c r="AH254" s="125"/>
      <c r="AI254" s="125"/>
      <c r="AJ254" s="97"/>
      <c r="AK254" s="161"/>
      <c r="AL254" s="161"/>
      <c r="AM254" s="129"/>
      <c r="AN254" s="125"/>
      <c r="AO254" s="125"/>
      <c r="AP254" s="97"/>
      <c r="AQ254" s="161"/>
      <c r="AR254" s="161"/>
      <c r="AS254" s="129"/>
      <c r="AT254" s="125"/>
      <c r="AU254" s="125"/>
      <c r="AV254" s="97"/>
      <c r="AW254" s="161"/>
      <c r="AX254" s="161"/>
      <c r="AY254" s="129"/>
      <c r="AZ254" s="125"/>
      <c r="BA254" s="125"/>
    </row>
    <row r="255" spans="1:53" s="4" customFormat="1" ht="17.100000000000001" customHeight="1" x14ac:dyDescent="0.25">
      <c r="A255" s="137"/>
      <c r="B255" s="40"/>
      <c r="C255" s="40"/>
      <c r="D255" s="121" t="s">
        <v>544</v>
      </c>
      <c r="E255" s="304"/>
      <c r="F255" s="304"/>
      <c r="G255" s="304"/>
      <c r="H255" s="320"/>
      <c r="I255" s="309"/>
      <c r="J255" s="161"/>
      <c r="K255" s="161"/>
      <c r="L255" s="161"/>
      <c r="M255" s="161"/>
      <c r="N255" s="161">
        <f>N227</f>
        <v>2</v>
      </c>
      <c r="O255" s="161">
        <f>O227</f>
        <v>2</v>
      </c>
      <c r="P255" s="161"/>
      <c r="Q255" s="161">
        <f>Q227</f>
        <v>3</v>
      </c>
      <c r="R255" s="161">
        <f>R227</f>
        <v>2</v>
      </c>
      <c r="S255" s="161"/>
      <c r="T255" s="161">
        <f>T227</f>
        <v>4</v>
      </c>
      <c r="U255" s="161">
        <f>U227</f>
        <v>5</v>
      </c>
      <c r="V255" s="697"/>
      <c r="W255" s="973"/>
      <c r="X255" s="161"/>
      <c r="Y255" s="161"/>
      <c r="Z255" s="125"/>
      <c r="AA255" s="125"/>
      <c r="AB255" s="125"/>
      <c r="AC255" s="125"/>
      <c r="AD255" s="97"/>
      <c r="AE255" s="161"/>
      <c r="AF255" s="161"/>
      <c r="AG255" s="129"/>
      <c r="AH255" s="125"/>
      <c r="AI255" s="125"/>
      <c r="AJ255" s="97"/>
      <c r="AK255" s="161"/>
      <c r="AL255" s="161"/>
      <c r="AM255" s="129"/>
      <c r="AN255" s="125"/>
      <c r="AO255" s="125"/>
      <c r="AP255" s="97"/>
      <c r="AQ255" s="161"/>
      <c r="AR255" s="161"/>
      <c r="AS255" s="129"/>
      <c r="AT255" s="125"/>
      <c r="AU255" s="125"/>
      <c r="AV255" s="97"/>
      <c r="AW255" s="161"/>
      <c r="AX255" s="161"/>
      <c r="AY255" s="129"/>
      <c r="AZ255" s="125"/>
      <c r="BA255" s="125"/>
    </row>
    <row r="256" spans="1:53" s="4" customFormat="1" ht="17.100000000000001" customHeight="1" x14ac:dyDescent="0.25">
      <c r="A256" s="137"/>
      <c r="B256" s="40"/>
      <c r="C256" s="40"/>
      <c r="D256" s="121" t="s">
        <v>1449</v>
      </c>
      <c r="E256" s="304"/>
      <c r="F256" s="304"/>
      <c r="G256" s="304"/>
      <c r="H256" s="320"/>
      <c r="I256" s="309"/>
      <c r="J256" s="161"/>
      <c r="K256" s="161"/>
      <c r="L256" s="161"/>
      <c r="M256" s="161"/>
      <c r="N256" s="161">
        <f>N230</f>
        <v>500000</v>
      </c>
      <c r="O256" s="161">
        <f>O230</f>
        <v>650000</v>
      </c>
      <c r="P256" s="161"/>
      <c r="Q256" s="161">
        <f>Q230</f>
        <v>150000</v>
      </c>
      <c r="R256" s="161">
        <f>R230</f>
        <v>225000</v>
      </c>
      <c r="S256" s="161"/>
      <c r="T256" s="161">
        <f>T230</f>
        <v>1125000</v>
      </c>
      <c r="U256" s="161">
        <f>U230</f>
        <v>800000</v>
      </c>
      <c r="V256" s="697"/>
      <c r="W256" s="973"/>
      <c r="X256" s="161"/>
      <c r="Y256" s="161"/>
      <c r="Z256" s="125"/>
      <c r="AA256" s="125"/>
      <c r="AB256" s="125"/>
      <c r="AC256" s="125"/>
      <c r="AD256" s="97"/>
      <c r="AE256" s="161"/>
      <c r="AF256" s="161"/>
      <c r="AG256" s="129"/>
      <c r="AH256" s="125"/>
      <c r="AI256" s="125"/>
      <c r="AJ256" s="97"/>
      <c r="AK256" s="161"/>
      <c r="AL256" s="161"/>
      <c r="AM256" s="129"/>
      <c r="AN256" s="125"/>
      <c r="AO256" s="125"/>
      <c r="AP256" s="97"/>
      <c r="AQ256" s="161"/>
      <c r="AR256" s="161"/>
      <c r="AS256" s="129"/>
      <c r="AT256" s="125"/>
      <c r="AU256" s="125"/>
      <c r="AV256" s="97"/>
      <c r="AW256" s="161"/>
      <c r="AX256" s="161"/>
      <c r="AY256" s="129"/>
      <c r="AZ256" s="125"/>
      <c r="BA256" s="125"/>
    </row>
    <row r="257" spans="1:53" s="4" customFormat="1" ht="17.100000000000001" customHeight="1" x14ac:dyDescent="0.25">
      <c r="A257" s="137"/>
      <c r="B257" s="40"/>
      <c r="C257" s="40"/>
      <c r="D257" s="742"/>
      <c r="E257" s="304"/>
      <c r="F257" s="304"/>
      <c r="G257" s="304"/>
      <c r="H257" s="320"/>
      <c r="I257" s="309"/>
      <c r="J257" s="161"/>
      <c r="K257" s="161"/>
      <c r="L257" s="161"/>
      <c r="M257" s="161"/>
      <c r="N257" s="161"/>
      <c r="O257" s="161"/>
      <c r="P257" s="161"/>
      <c r="Q257" s="161"/>
      <c r="R257" s="161"/>
      <c r="S257" s="161"/>
      <c r="T257" s="161"/>
      <c r="U257" s="161"/>
      <c r="V257" s="697"/>
      <c r="W257" s="973"/>
      <c r="X257" s="161"/>
      <c r="Y257" s="161"/>
      <c r="Z257" s="125"/>
      <c r="AA257" s="125"/>
      <c r="AB257" s="125"/>
      <c r="AC257" s="125"/>
      <c r="AE257" s="161"/>
      <c r="AF257" s="161"/>
      <c r="AG257" s="123"/>
      <c r="AH257" s="125"/>
      <c r="AI257" s="125"/>
      <c r="AK257" s="161"/>
      <c r="AL257" s="161"/>
      <c r="AM257" s="123"/>
      <c r="AN257" s="125"/>
      <c r="AO257" s="125"/>
      <c r="AQ257" s="161"/>
      <c r="AR257" s="161"/>
      <c r="AS257" s="123"/>
      <c r="AT257" s="125"/>
      <c r="AU257" s="125"/>
      <c r="AW257" s="161"/>
      <c r="AX257" s="161"/>
      <c r="AY257" s="123"/>
      <c r="AZ257" s="125"/>
      <c r="BA257" s="125"/>
    </row>
    <row r="258" spans="1:53" s="4" customFormat="1" ht="17.100000000000001" customHeight="1" x14ac:dyDescent="0.25">
      <c r="A258" s="137"/>
      <c r="B258" s="40"/>
      <c r="C258" s="40">
        <v>1</v>
      </c>
      <c r="D258" s="700" t="s">
        <v>1450</v>
      </c>
      <c r="E258" s="974"/>
      <c r="F258" s="974"/>
      <c r="G258" s="974"/>
      <c r="H258" s="254"/>
      <c r="I258" s="207"/>
      <c r="J258" s="161"/>
      <c r="K258" s="161"/>
      <c r="L258" s="161"/>
      <c r="M258" s="161"/>
      <c r="N258" s="161">
        <f>IF(N$254&gt;0,0,"")</f>
        <v>0</v>
      </c>
      <c r="O258" s="161">
        <f>IF(O$254&gt;0,0,"")</f>
        <v>0</v>
      </c>
      <c r="P258" s="161"/>
      <c r="Q258" s="161" t="str">
        <f>IF(Q$254&gt;0,0,"")</f>
        <v/>
      </c>
      <c r="R258" s="161" t="str">
        <f>IF(R$254&gt;0,0,"")</f>
        <v/>
      </c>
      <c r="S258" s="161"/>
      <c r="T258" s="161">
        <f>IF(T$254&gt;0,0,"")</f>
        <v>0</v>
      </c>
      <c r="U258" s="161" t="str">
        <f>IF(U$254&gt;0,0,"")</f>
        <v/>
      </c>
      <c r="V258" s="697"/>
      <c r="W258" s="973"/>
      <c r="X258" s="161"/>
      <c r="Y258" s="161"/>
      <c r="Z258" s="125"/>
      <c r="AA258" s="125"/>
      <c r="AB258" s="125"/>
      <c r="AC258" s="125"/>
      <c r="AD258" s="97"/>
      <c r="AE258" s="161"/>
      <c r="AF258" s="161"/>
      <c r="AG258" s="129"/>
      <c r="AH258" s="125"/>
      <c r="AI258" s="125"/>
      <c r="AJ258" s="97"/>
      <c r="AK258" s="161"/>
      <c r="AL258" s="161"/>
      <c r="AM258" s="129"/>
      <c r="AN258" s="125"/>
      <c r="AO258" s="125"/>
      <c r="AP258" s="97"/>
      <c r="AQ258" s="161"/>
      <c r="AR258" s="161"/>
      <c r="AS258" s="129"/>
      <c r="AT258" s="125"/>
      <c r="AU258" s="125"/>
      <c r="AV258" s="97"/>
      <c r="AW258" s="161"/>
      <c r="AX258" s="161"/>
      <c r="AY258" s="129"/>
      <c r="AZ258" s="125"/>
      <c r="BA258" s="125"/>
    </row>
    <row r="259" spans="1:53" s="4" customFormat="1" ht="17.100000000000001" customHeight="1" x14ac:dyDescent="0.25">
      <c r="A259" s="137"/>
      <c r="B259" s="40"/>
      <c r="C259" s="40">
        <v>2</v>
      </c>
      <c r="D259" s="700" t="s">
        <v>1450</v>
      </c>
      <c r="E259" s="974"/>
      <c r="F259" s="974"/>
      <c r="G259" s="974"/>
      <c r="H259" s="254"/>
      <c r="I259" s="207"/>
      <c r="J259" s="161"/>
      <c r="K259" s="161"/>
      <c r="L259" s="161"/>
      <c r="M259" s="161"/>
      <c r="N259" s="161" t="str">
        <f>IF(N$254&gt;1,0,"")</f>
        <v/>
      </c>
      <c r="O259" s="161">
        <f>IF(O$254&gt;1,0,"")</f>
        <v>0</v>
      </c>
      <c r="P259" s="161"/>
      <c r="Q259" s="161" t="str">
        <f>IF(Q$254&gt;1,0,"")</f>
        <v/>
      </c>
      <c r="R259" s="161" t="str">
        <f>IF(R$254&gt;1,0,"")</f>
        <v/>
      </c>
      <c r="S259" s="161"/>
      <c r="T259" s="161" t="str">
        <f>IF(T$254&gt;1,0,"")</f>
        <v/>
      </c>
      <c r="U259" s="161" t="str">
        <f>IF(U$254&gt;1,0,"")</f>
        <v/>
      </c>
      <c r="V259" s="697"/>
      <c r="W259" s="973"/>
      <c r="X259" s="161"/>
      <c r="Y259" s="161"/>
      <c r="Z259" s="125"/>
      <c r="AA259" s="125"/>
      <c r="AB259" s="125"/>
      <c r="AC259" s="125"/>
      <c r="AE259" s="161"/>
      <c r="AF259" s="161"/>
      <c r="AG259" s="129"/>
      <c r="AH259" s="125"/>
      <c r="AI259" s="125"/>
      <c r="AK259" s="161"/>
      <c r="AL259" s="161"/>
      <c r="AM259" s="129"/>
      <c r="AN259" s="125"/>
      <c r="AO259" s="125"/>
      <c r="AQ259" s="161"/>
      <c r="AR259" s="161"/>
      <c r="AS259" s="129"/>
      <c r="AT259" s="125"/>
      <c r="AU259" s="125"/>
      <c r="AW259" s="161"/>
      <c r="AX259" s="161"/>
      <c r="AY259" s="129"/>
      <c r="AZ259" s="125"/>
      <c r="BA259" s="125"/>
    </row>
    <row r="260" spans="1:53" ht="17.100000000000001" customHeight="1" x14ac:dyDescent="0.25">
      <c r="A260" s="137"/>
      <c r="B260" s="40"/>
      <c r="C260" s="40">
        <v>3</v>
      </c>
      <c r="D260" s="700" t="s">
        <v>1450</v>
      </c>
      <c r="E260" s="122"/>
      <c r="F260" s="122"/>
      <c r="G260" s="122"/>
      <c r="H260" s="23"/>
      <c r="I260" s="12"/>
      <c r="J260" s="154"/>
      <c r="K260" s="154"/>
      <c r="L260" s="154"/>
      <c r="M260" s="154"/>
      <c r="N260" s="161" t="str">
        <f>IF(N$254&gt;2,0,"")</f>
        <v/>
      </c>
      <c r="O260" s="161" t="str">
        <f>IF(O$254&gt;2,0,"")</f>
        <v/>
      </c>
      <c r="P260" s="154"/>
      <c r="Q260" s="161" t="str">
        <f>IF(Q$254&gt;2,0,"")</f>
        <v/>
      </c>
      <c r="R260" s="161" t="str">
        <f>IF(R$254&gt;2,0,"")</f>
        <v/>
      </c>
      <c r="S260" s="154"/>
      <c r="T260" s="161" t="str">
        <f>IF(T$254&gt;2,0,"")</f>
        <v/>
      </c>
      <c r="U260" s="161" t="str">
        <f>IF(U$254&gt;2,0,"")</f>
        <v/>
      </c>
      <c r="V260" s="159"/>
      <c r="W260" s="387"/>
      <c r="X260" s="154"/>
      <c r="Y260" s="154"/>
      <c r="Z260" s="130"/>
      <c r="AA260" s="130"/>
      <c r="AB260" s="130"/>
      <c r="AC260" s="125"/>
      <c r="AE260" s="154"/>
      <c r="AF260" s="154"/>
      <c r="AG260" s="129"/>
      <c r="AH260" s="130"/>
      <c r="AI260" s="125"/>
      <c r="AK260" s="154"/>
      <c r="AL260" s="154"/>
      <c r="AM260" s="129"/>
      <c r="AN260" s="130"/>
      <c r="AO260" s="125"/>
      <c r="AQ260" s="154"/>
      <c r="AR260" s="154"/>
      <c r="AS260" s="129"/>
      <c r="AT260" s="130"/>
      <c r="AU260" s="125"/>
      <c r="AW260" s="154"/>
      <c r="AX260" s="154"/>
      <c r="AY260" s="129"/>
      <c r="AZ260" s="130"/>
      <c r="BA260" s="125"/>
    </row>
    <row r="261" spans="1:53" ht="17.100000000000001" customHeight="1" x14ac:dyDescent="0.25">
      <c r="A261" s="137"/>
      <c r="B261" s="40"/>
      <c r="C261" s="40">
        <v>4</v>
      </c>
      <c r="D261" s="700" t="s">
        <v>1450</v>
      </c>
      <c r="E261" s="122"/>
      <c r="F261" s="122"/>
      <c r="G261" s="122"/>
      <c r="H261" s="23"/>
      <c r="I261" s="12"/>
      <c r="J261" s="154"/>
      <c r="K261" s="154"/>
      <c r="L261" s="123"/>
      <c r="M261" s="123"/>
      <c r="N261" s="161" t="str">
        <f>IF(N$254&gt;3,0,"")</f>
        <v/>
      </c>
      <c r="O261" s="161" t="str">
        <f>IF(O$254&gt;3,0,"")</f>
        <v/>
      </c>
      <c r="P261" s="123"/>
      <c r="Q261" s="161" t="str">
        <f>IF(Q$254&gt;3,0,"")</f>
        <v/>
      </c>
      <c r="R261" s="161" t="str">
        <f>IF(R$254&gt;3,0,"")</f>
        <v/>
      </c>
      <c r="S261" s="123"/>
      <c r="T261" s="161" t="str">
        <f>IF(T$254&gt;3,0,"")</f>
        <v/>
      </c>
      <c r="U261" s="161" t="str">
        <f>IF(U$254&gt;3,0,"")</f>
        <v/>
      </c>
      <c r="V261" s="363"/>
      <c r="W261" s="383"/>
      <c r="X261" s="123"/>
      <c r="Y261" s="123"/>
      <c r="Z261" s="949"/>
      <c r="AA261" s="949"/>
      <c r="AB261" s="949"/>
      <c r="AC261" s="125"/>
      <c r="AE261" s="123"/>
      <c r="AF261" s="123"/>
      <c r="AG261" s="129"/>
      <c r="AH261" s="949"/>
      <c r="AI261" s="125"/>
      <c r="AK261" s="123"/>
      <c r="AL261" s="123"/>
      <c r="AM261" s="129"/>
      <c r="AN261" s="949"/>
      <c r="AO261" s="125"/>
      <c r="AQ261" s="123"/>
      <c r="AR261" s="123"/>
      <c r="AS261" s="129"/>
      <c r="AT261" s="949"/>
      <c r="AU261" s="125"/>
      <c r="AW261" s="123"/>
      <c r="AX261" s="123"/>
      <c r="AY261" s="129"/>
      <c r="AZ261" s="949"/>
      <c r="BA261" s="125"/>
    </row>
    <row r="262" spans="1:53" ht="17.100000000000001" customHeight="1" x14ac:dyDescent="0.25">
      <c r="A262" s="137"/>
      <c r="B262" s="40"/>
      <c r="C262" s="40">
        <v>5</v>
      </c>
      <c r="D262" s="700" t="s">
        <v>1450</v>
      </c>
      <c r="E262" s="122"/>
      <c r="F262" s="122"/>
      <c r="G262" s="122"/>
      <c r="H262" s="23"/>
      <c r="I262" s="12"/>
      <c r="J262" s="154"/>
      <c r="K262" s="154"/>
      <c r="L262" s="154"/>
      <c r="M262" s="154"/>
      <c r="N262" s="161" t="str">
        <f>IF(N$254&gt;4,0,"")</f>
        <v/>
      </c>
      <c r="O262" s="161" t="str">
        <f>IF(O$254&gt;4,0,"")</f>
        <v/>
      </c>
      <c r="P262" s="154"/>
      <c r="Q262" s="161" t="str">
        <f>IF(Q$254&gt;4,0,"")</f>
        <v/>
      </c>
      <c r="R262" s="161" t="str">
        <f>IF(R$254&gt;4,0,"")</f>
        <v/>
      </c>
      <c r="S262" s="154"/>
      <c r="T262" s="161" t="str">
        <f>IF(T$254&gt;4,0,"")</f>
        <v/>
      </c>
      <c r="U262" s="161" t="str">
        <f>IF(U$254&gt;4,0,"")</f>
        <v/>
      </c>
      <c r="V262" s="159"/>
      <c r="W262" s="387"/>
      <c r="X262" s="154"/>
      <c r="Y262" s="154"/>
      <c r="Z262" s="130"/>
      <c r="AA262" s="130"/>
      <c r="AB262" s="130"/>
      <c r="AC262" s="125"/>
      <c r="AE262" s="154"/>
      <c r="AF262" s="154"/>
      <c r="AG262" s="129"/>
      <c r="AH262" s="130"/>
      <c r="AI262" s="125"/>
      <c r="AK262" s="154"/>
      <c r="AL262" s="154"/>
      <c r="AM262" s="129"/>
      <c r="AN262" s="130"/>
      <c r="AO262" s="125"/>
      <c r="AQ262" s="154"/>
      <c r="AR262" s="154"/>
      <c r="AS262" s="129"/>
      <c r="AT262" s="130"/>
      <c r="AU262" s="125"/>
      <c r="AW262" s="154"/>
      <c r="AX262" s="154"/>
      <c r="AY262" s="129"/>
      <c r="AZ262" s="130"/>
      <c r="BA262" s="125"/>
    </row>
    <row r="263" spans="1:53" ht="17.100000000000001" customHeight="1" x14ac:dyDescent="0.25">
      <c r="A263" s="137"/>
      <c r="B263" s="40"/>
      <c r="C263" s="40">
        <v>6</v>
      </c>
      <c r="D263" s="700" t="s">
        <v>1450</v>
      </c>
      <c r="E263" s="122"/>
      <c r="F263" s="122"/>
      <c r="G263" s="122"/>
      <c r="H263" s="23"/>
      <c r="I263" s="12"/>
      <c r="J263" s="154"/>
      <c r="K263" s="154"/>
      <c r="L263" s="154"/>
      <c r="M263" s="154"/>
      <c r="N263" s="161" t="str">
        <f>IF(N$254&gt;5,0,"")</f>
        <v/>
      </c>
      <c r="O263" s="161" t="str">
        <f>IF(O$254&gt;5,0,"")</f>
        <v/>
      </c>
      <c r="P263" s="154"/>
      <c r="Q263" s="161" t="str">
        <f>IF(Q$254&gt;5,0,"")</f>
        <v/>
      </c>
      <c r="R263" s="161" t="str">
        <f>IF(R$254&gt;5,0,"")</f>
        <v/>
      </c>
      <c r="S263" s="154"/>
      <c r="T263" s="161" t="str">
        <f>IF(T$254&gt;5,0,"")</f>
        <v/>
      </c>
      <c r="U263" s="161" t="str">
        <f>IF(U$254&gt;5,0,"")</f>
        <v/>
      </c>
      <c r="V263" s="159"/>
      <c r="W263" s="387"/>
      <c r="X263" s="154"/>
      <c r="Y263" s="154"/>
      <c r="Z263" s="130"/>
      <c r="AA263" s="130"/>
      <c r="AB263" s="130"/>
      <c r="AC263" s="125"/>
      <c r="AE263" s="154"/>
      <c r="AF263" s="154"/>
      <c r="AG263" s="129"/>
      <c r="AH263" s="130"/>
      <c r="AI263" s="125"/>
      <c r="AK263" s="154"/>
      <c r="AL263" s="154"/>
      <c r="AM263" s="129"/>
      <c r="AN263" s="130"/>
      <c r="AO263" s="125"/>
      <c r="AQ263" s="154"/>
      <c r="AR263" s="154"/>
      <c r="AS263" s="129"/>
      <c r="AT263" s="130"/>
      <c r="AU263" s="125"/>
      <c r="AW263" s="154"/>
      <c r="AX263" s="154"/>
      <c r="AY263" s="129"/>
      <c r="AZ263" s="130"/>
      <c r="BA263" s="125"/>
    </row>
    <row r="264" spans="1:53" ht="17.100000000000001" customHeight="1" x14ac:dyDescent="0.25">
      <c r="A264" s="137"/>
      <c r="B264" s="40"/>
      <c r="C264" s="40">
        <v>7</v>
      </c>
      <c r="D264" s="700" t="s">
        <v>1450</v>
      </c>
      <c r="E264" s="122"/>
      <c r="F264" s="122"/>
      <c r="G264" s="122"/>
      <c r="H264" s="23"/>
      <c r="I264" s="12"/>
      <c r="J264" s="154"/>
      <c r="K264" s="154"/>
      <c r="L264" s="154"/>
      <c r="M264" s="154"/>
      <c r="N264" s="161" t="str">
        <f>IF(N$254&gt;6,0,"")</f>
        <v/>
      </c>
      <c r="O264" s="161" t="str">
        <f>IF(O$254&gt;6,0,"")</f>
        <v/>
      </c>
      <c r="P264" s="154"/>
      <c r="Q264" s="161" t="str">
        <f>IF(Q$254&gt;6,0,"")</f>
        <v/>
      </c>
      <c r="R264" s="161" t="str">
        <f>IF(R$254&gt;6,0,"")</f>
        <v/>
      </c>
      <c r="S264" s="154"/>
      <c r="T264" s="161" t="str">
        <f>IF(T$254&gt;6,0,"")</f>
        <v/>
      </c>
      <c r="U264" s="161" t="str">
        <f>IF(U$254&gt;6,0,"")</f>
        <v/>
      </c>
      <c r="V264" s="159"/>
      <c r="W264" s="387"/>
      <c r="X264" s="154"/>
      <c r="Y264" s="154"/>
      <c r="Z264" s="130"/>
      <c r="AA264" s="130"/>
      <c r="AB264" s="130"/>
      <c r="AC264" s="125"/>
      <c r="AE264" s="154"/>
      <c r="AF264" s="154"/>
      <c r="AG264" s="129"/>
      <c r="AH264" s="130"/>
      <c r="AI264" s="125"/>
      <c r="AK264" s="154"/>
      <c r="AL264" s="154"/>
      <c r="AM264" s="129"/>
      <c r="AN264" s="130"/>
      <c r="AO264" s="125"/>
      <c r="AQ264" s="154"/>
      <c r="AR264" s="154"/>
      <c r="AS264" s="129"/>
      <c r="AT264" s="130"/>
      <c r="AU264" s="125"/>
      <c r="AW264" s="154"/>
      <c r="AX264" s="154"/>
      <c r="AY264" s="129"/>
      <c r="AZ264" s="130"/>
      <c r="BA264" s="125"/>
    </row>
    <row r="265" spans="1:53" ht="17.100000000000001" customHeight="1" x14ac:dyDescent="0.25">
      <c r="A265" s="137"/>
      <c r="B265" s="40"/>
      <c r="C265" s="40">
        <v>8</v>
      </c>
      <c r="D265" s="700" t="s">
        <v>1450</v>
      </c>
      <c r="E265" s="122"/>
      <c r="F265" s="122"/>
      <c r="G265" s="122"/>
      <c r="H265" s="23"/>
      <c r="I265" s="12"/>
      <c r="J265" s="154"/>
      <c r="K265" s="154"/>
      <c r="L265" s="154"/>
      <c r="M265" s="154"/>
      <c r="N265" s="161" t="str">
        <f>IF(N$254&gt;7,0,"")</f>
        <v/>
      </c>
      <c r="O265" s="161" t="str">
        <f>IF(O$254&gt;7,0,"")</f>
        <v/>
      </c>
      <c r="P265" s="154"/>
      <c r="Q265" s="161" t="str">
        <f>IF(Q$254&gt;7,0,"")</f>
        <v/>
      </c>
      <c r="R265" s="161" t="str">
        <f>IF(R$254&gt;7,0,"")</f>
        <v/>
      </c>
      <c r="S265" s="154"/>
      <c r="T265" s="161" t="str">
        <f>IF(T$254&gt;7,0,"")</f>
        <v/>
      </c>
      <c r="U265" s="161" t="str">
        <f>IF(U$254&gt;7,0,"")</f>
        <v/>
      </c>
      <c r="V265" s="159"/>
      <c r="W265" s="387"/>
      <c r="X265" s="154"/>
      <c r="Y265" s="154"/>
      <c r="Z265" s="130"/>
      <c r="AA265" s="130"/>
      <c r="AB265" s="130"/>
      <c r="AC265" s="125"/>
      <c r="AE265" s="154"/>
      <c r="AF265" s="154"/>
      <c r="AG265" s="129"/>
      <c r="AH265" s="130"/>
      <c r="AI265" s="125"/>
      <c r="AK265" s="154"/>
      <c r="AL265" s="154"/>
      <c r="AM265" s="129"/>
      <c r="AN265" s="130"/>
      <c r="AO265" s="125"/>
      <c r="AQ265" s="154"/>
      <c r="AR265" s="154"/>
      <c r="AS265" s="129"/>
      <c r="AT265" s="130"/>
      <c r="AU265" s="125"/>
      <c r="AW265" s="154"/>
      <c r="AX265" s="154"/>
      <c r="AY265" s="129"/>
      <c r="AZ265" s="130"/>
      <c r="BA265" s="125"/>
    </row>
    <row r="266" spans="1:53" ht="17.100000000000001" customHeight="1" x14ac:dyDescent="0.25">
      <c r="A266" s="137"/>
      <c r="B266" s="40"/>
      <c r="C266" s="40">
        <v>9</v>
      </c>
      <c r="D266" s="700" t="s">
        <v>1450</v>
      </c>
      <c r="E266" s="122"/>
      <c r="F266" s="122"/>
      <c r="G266" s="122"/>
      <c r="H266" s="23"/>
      <c r="I266" s="12"/>
      <c r="J266" s="154"/>
      <c r="K266" s="154"/>
      <c r="L266" s="154"/>
      <c r="M266" s="154"/>
      <c r="N266" s="161" t="str">
        <f>IF(N$254&gt;8,0,"")</f>
        <v/>
      </c>
      <c r="O266" s="161" t="str">
        <f>IF(O$254&gt;8,0,"")</f>
        <v/>
      </c>
      <c r="P266" s="154"/>
      <c r="Q266" s="161" t="str">
        <f>IF(Q$254&gt;8,0,"")</f>
        <v/>
      </c>
      <c r="R266" s="161" t="str">
        <f>IF(R$254&gt;8,0,"")</f>
        <v/>
      </c>
      <c r="S266" s="154"/>
      <c r="T266" s="161" t="str">
        <f>IF(T$254&gt;8,0,"")</f>
        <v/>
      </c>
      <c r="U266" s="161" t="str">
        <f>IF(U$254&gt;8,0,"")</f>
        <v/>
      </c>
      <c r="V266" s="159"/>
      <c r="W266" s="387"/>
      <c r="X266" s="154"/>
      <c r="Y266" s="154"/>
      <c r="Z266" s="130"/>
      <c r="AA266" s="130"/>
      <c r="AB266" s="130"/>
      <c r="AC266" s="125"/>
      <c r="AE266" s="154"/>
      <c r="AF266" s="154"/>
      <c r="AG266" s="129"/>
      <c r="AH266" s="130"/>
      <c r="AI266" s="125"/>
      <c r="AK266" s="154"/>
      <c r="AL266" s="154"/>
      <c r="AM266" s="129"/>
      <c r="AN266" s="130"/>
      <c r="AO266" s="125"/>
      <c r="AQ266" s="154"/>
      <c r="AR266" s="154"/>
      <c r="AS266" s="129"/>
      <c r="AT266" s="130"/>
      <c r="AU266" s="125"/>
      <c r="AW266" s="154"/>
      <c r="AX266" s="154"/>
      <c r="AY266" s="129"/>
      <c r="AZ266" s="130"/>
      <c r="BA266" s="125"/>
    </row>
    <row r="267" spans="1:53" ht="17.100000000000001" customHeight="1" x14ac:dyDescent="0.25">
      <c r="A267" s="137"/>
      <c r="B267" s="40"/>
      <c r="C267" s="40">
        <v>10</v>
      </c>
      <c r="D267" s="700" t="s">
        <v>1450</v>
      </c>
      <c r="E267" s="122"/>
      <c r="F267" s="122"/>
      <c r="G267" s="122"/>
      <c r="H267" s="23"/>
      <c r="I267" s="12"/>
      <c r="J267" s="154"/>
      <c r="K267" s="154"/>
      <c r="L267" s="154"/>
      <c r="M267" s="154"/>
      <c r="N267" s="161" t="str">
        <f>IF(N$254&gt;9,0,"")</f>
        <v/>
      </c>
      <c r="O267" s="161" t="str">
        <f>IF(O$254&gt;9,0,"")</f>
        <v/>
      </c>
      <c r="P267" s="154"/>
      <c r="Q267" s="161" t="str">
        <f>IF(Q$254&gt;9,0,"")</f>
        <v/>
      </c>
      <c r="R267" s="161" t="str">
        <f>IF(R$254&gt;9,0,"")</f>
        <v/>
      </c>
      <c r="S267" s="154"/>
      <c r="T267" s="161" t="str">
        <f>IF(T$254&gt;9,0,"")</f>
        <v/>
      </c>
      <c r="U267" s="161" t="str">
        <f>IF(U$254&gt;9,0,"")</f>
        <v/>
      </c>
      <c r="V267" s="159"/>
      <c r="W267" s="387"/>
      <c r="X267" s="154"/>
      <c r="Y267" s="154"/>
      <c r="Z267" s="130"/>
      <c r="AA267" s="130"/>
      <c r="AB267" s="130"/>
      <c r="AC267" s="125"/>
      <c r="AE267" s="154"/>
      <c r="AF267" s="154"/>
      <c r="AG267" s="129"/>
      <c r="AH267" s="130"/>
      <c r="AI267" s="125"/>
      <c r="AK267" s="154"/>
      <c r="AL267" s="154"/>
      <c r="AM267" s="129"/>
      <c r="AN267" s="130"/>
      <c r="AO267" s="125"/>
      <c r="AQ267" s="154"/>
      <c r="AR267" s="154"/>
      <c r="AS267" s="129"/>
      <c r="AT267" s="130"/>
      <c r="AU267" s="125"/>
      <c r="AW267" s="154"/>
      <c r="AX267" s="154"/>
      <c r="AY267" s="129"/>
      <c r="AZ267" s="130"/>
      <c r="BA267" s="125"/>
    </row>
    <row r="268" spans="1:53" ht="17.100000000000001" customHeight="1" x14ac:dyDescent="0.25">
      <c r="A268" s="137"/>
      <c r="B268" s="40"/>
      <c r="C268" s="40">
        <v>1</v>
      </c>
      <c r="D268" s="128" t="s">
        <v>1449</v>
      </c>
      <c r="E268" s="122"/>
      <c r="F268" s="122"/>
      <c r="G268" s="122"/>
      <c r="H268" s="23"/>
      <c r="I268" s="12"/>
      <c r="J268" s="154"/>
      <c r="K268" s="154"/>
      <c r="L268" s="154"/>
      <c r="M268" s="154"/>
      <c r="N268" s="161">
        <f>IF(N$255&gt;0,N$256,"")</f>
        <v>500000</v>
      </c>
      <c r="O268" s="161">
        <f>IF(O$255&gt;0,O$256,"")</f>
        <v>650000</v>
      </c>
      <c r="P268" s="154"/>
      <c r="Q268" s="161">
        <f>IF(Q$255&gt;0,Q$256,"")</f>
        <v>150000</v>
      </c>
      <c r="R268" s="161">
        <f>IF(R$255&gt;0,R$256,"")</f>
        <v>225000</v>
      </c>
      <c r="S268" s="154"/>
      <c r="T268" s="161">
        <f>IF(T$255&gt;0,T$256,"")</f>
        <v>1125000</v>
      </c>
      <c r="U268" s="161">
        <f>IF(U$255&gt;0,U$256,"")</f>
        <v>800000</v>
      </c>
      <c r="V268" s="159"/>
      <c r="W268" s="387"/>
      <c r="X268" s="154"/>
      <c r="Y268" s="154"/>
      <c r="Z268" s="130"/>
      <c r="AA268" s="130"/>
      <c r="AB268" s="130"/>
      <c r="AC268" s="125"/>
      <c r="AE268" s="154"/>
      <c r="AF268" s="154"/>
      <c r="AG268" s="129"/>
      <c r="AH268" s="130"/>
      <c r="AI268" s="125"/>
      <c r="AK268" s="154"/>
      <c r="AL268" s="154"/>
      <c r="AM268" s="129"/>
      <c r="AN268" s="130"/>
      <c r="AO268" s="125"/>
      <c r="AQ268" s="154"/>
      <c r="AR268" s="154"/>
      <c r="AS268" s="129"/>
      <c r="AT268" s="130"/>
      <c r="AU268" s="125"/>
      <c r="AW268" s="154"/>
      <c r="AX268" s="154"/>
      <c r="AY268" s="129"/>
      <c r="AZ268" s="130"/>
      <c r="BA268" s="125"/>
    </row>
    <row r="269" spans="1:53" ht="17.100000000000001" customHeight="1" x14ac:dyDescent="0.25">
      <c r="A269" s="137"/>
      <c r="B269" s="40"/>
      <c r="C269" s="40">
        <v>2</v>
      </c>
      <c r="D269" s="128" t="s">
        <v>1449</v>
      </c>
      <c r="E269" s="122"/>
      <c r="F269" s="122"/>
      <c r="G269" s="122"/>
      <c r="H269" s="23"/>
      <c r="I269" s="12"/>
      <c r="J269" s="154"/>
      <c r="K269" s="154"/>
      <c r="L269" s="154"/>
      <c r="M269" s="154"/>
      <c r="N269" s="161">
        <f>IF(N$255&gt;1,N$256,"")</f>
        <v>500000</v>
      </c>
      <c r="O269" s="161">
        <f>IF(O$255&gt;1,O$256,"")</f>
        <v>650000</v>
      </c>
      <c r="P269" s="154"/>
      <c r="Q269" s="161">
        <f>IF(Q$255&gt;1,Q$256,"")</f>
        <v>150000</v>
      </c>
      <c r="R269" s="161">
        <f>IF(R$255&gt;1,R$256,"")</f>
        <v>225000</v>
      </c>
      <c r="S269" s="154"/>
      <c r="T269" s="161">
        <f>IF(T$255&gt;1,T$256,"")</f>
        <v>1125000</v>
      </c>
      <c r="U269" s="161">
        <f>IF(U$255&gt;1,U$256,"")</f>
        <v>800000</v>
      </c>
      <c r="V269" s="159"/>
      <c r="W269" s="387"/>
      <c r="X269" s="154"/>
      <c r="Y269" s="154"/>
      <c r="Z269" s="130"/>
      <c r="AA269" s="130"/>
      <c r="AB269" s="130"/>
      <c r="AC269" s="125"/>
      <c r="AE269" s="154"/>
      <c r="AF269" s="154"/>
      <c r="AG269" s="129"/>
      <c r="AH269" s="130"/>
      <c r="AI269" s="125"/>
      <c r="AK269" s="154"/>
      <c r="AL269" s="154"/>
      <c r="AM269" s="129"/>
      <c r="AN269" s="130"/>
      <c r="AO269" s="125"/>
      <c r="AQ269" s="154"/>
      <c r="AR269" s="154"/>
      <c r="AS269" s="129"/>
      <c r="AT269" s="130"/>
      <c r="AU269" s="125"/>
      <c r="AW269" s="154"/>
      <c r="AX269" s="154"/>
      <c r="AY269" s="129"/>
      <c r="AZ269" s="130"/>
      <c r="BA269" s="125"/>
    </row>
    <row r="270" spans="1:53" ht="17.100000000000001" customHeight="1" x14ac:dyDescent="0.25">
      <c r="A270" s="137"/>
      <c r="B270" s="40"/>
      <c r="C270" s="40">
        <v>3</v>
      </c>
      <c r="D270" s="128" t="s">
        <v>1449</v>
      </c>
      <c r="E270" s="122"/>
      <c r="F270" s="122"/>
      <c r="G270" s="122"/>
      <c r="H270" s="23"/>
      <c r="I270" s="12"/>
      <c r="J270" s="154"/>
      <c r="K270" s="154"/>
      <c r="L270" s="154"/>
      <c r="M270" s="154"/>
      <c r="N270" s="161" t="str">
        <f>IF(N$255&gt;2,N$256,"")</f>
        <v/>
      </c>
      <c r="O270" s="161" t="str">
        <f>IF(O$255&gt;2,O$256,"")</f>
        <v/>
      </c>
      <c r="P270" s="154"/>
      <c r="Q270" s="161">
        <f>IF(Q$255&gt;2,Q$256,"")</f>
        <v>150000</v>
      </c>
      <c r="R270" s="161" t="str">
        <f>IF(R$255&gt;2,R$256,"")</f>
        <v/>
      </c>
      <c r="S270" s="154"/>
      <c r="T270" s="161">
        <f>IF(T$255&gt;2,T$256,"")</f>
        <v>1125000</v>
      </c>
      <c r="U270" s="161">
        <f>IF(U$255&gt;2,U$256,"")</f>
        <v>800000</v>
      </c>
      <c r="V270" s="159"/>
      <c r="W270" s="387"/>
      <c r="X270" s="154"/>
      <c r="Y270" s="154"/>
      <c r="Z270" s="130"/>
      <c r="AA270" s="130"/>
      <c r="AB270" s="130"/>
      <c r="AC270" s="125"/>
      <c r="AE270" s="154"/>
      <c r="AF270" s="154"/>
      <c r="AG270" s="129"/>
      <c r="AH270" s="130"/>
      <c r="AI270" s="125"/>
      <c r="AK270" s="154"/>
      <c r="AL270" s="154"/>
      <c r="AM270" s="129"/>
      <c r="AN270" s="130"/>
      <c r="AO270" s="125"/>
      <c r="AQ270" s="154"/>
      <c r="AR270" s="154"/>
      <c r="AS270" s="129"/>
      <c r="AT270" s="130"/>
      <c r="AU270" s="125"/>
      <c r="AW270" s="154"/>
      <c r="AX270" s="154"/>
      <c r="AY270" s="129"/>
      <c r="AZ270" s="130"/>
      <c r="BA270" s="125"/>
    </row>
    <row r="271" spans="1:53" ht="17.100000000000001" customHeight="1" x14ac:dyDescent="0.25">
      <c r="A271" s="137"/>
      <c r="B271" s="40"/>
      <c r="C271" s="40">
        <v>4</v>
      </c>
      <c r="D271" s="128" t="s">
        <v>1449</v>
      </c>
      <c r="E271" s="122"/>
      <c r="F271" s="122"/>
      <c r="G271" s="122"/>
      <c r="H271" s="23"/>
      <c r="I271" s="12"/>
      <c r="J271" s="154"/>
      <c r="K271" s="154"/>
      <c r="L271" s="154"/>
      <c r="M271" s="154"/>
      <c r="N271" s="161" t="str">
        <f>IF(N$255&gt;3,N$256,"")</f>
        <v/>
      </c>
      <c r="O271" s="161" t="str">
        <f>IF(O$255&gt;3,O$256,"")</f>
        <v/>
      </c>
      <c r="P271" s="154"/>
      <c r="Q271" s="161" t="str">
        <f>IF(Q$255&gt;3,Q$256,"")</f>
        <v/>
      </c>
      <c r="R271" s="161" t="str">
        <f>IF(R$255&gt;3,R$256,"")</f>
        <v/>
      </c>
      <c r="S271" s="154"/>
      <c r="T271" s="161">
        <f>IF(T$255&gt;3,T$256,"")</f>
        <v>1125000</v>
      </c>
      <c r="U271" s="161">
        <f>IF(U$255&gt;3,U$256,"")</f>
        <v>800000</v>
      </c>
      <c r="V271" s="159"/>
      <c r="W271" s="387"/>
      <c r="X271" s="154"/>
      <c r="Y271" s="154"/>
      <c r="Z271" s="130"/>
      <c r="AA271" s="130"/>
      <c r="AB271" s="130"/>
      <c r="AC271" s="125"/>
      <c r="AE271" s="154"/>
      <c r="AF271" s="154"/>
      <c r="AG271" s="129"/>
      <c r="AH271" s="130"/>
      <c r="AI271" s="125"/>
      <c r="AK271" s="154"/>
      <c r="AL271" s="154"/>
      <c r="AM271" s="129"/>
      <c r="AN271" s="130"/>
      <c r="AO271" s="125"/>
      <c r="AQ271" s="154"/>
      <c r="AR271" s="154"/>
      <c r="AS271" s="129"/>
      <c r="AT271" s="130"/>
      <c r="AU271" s="125"/>
      <c r="AW271" s="154"/>
      <c r="AX271" s="154"/>
      <c r="AY271" s="129"/>
      <c r="AZ271" s="130"/>
      <c r="BA271" s="125"/>
    </row>
    <row r="272" spans="1:53" ht="17.100000000000001" customHeight="1" x14ac:dyDescent="0.25">
      <c r="A272" s="137"/>
      <c r="B272" s="40"/>
      <c r="C272" s="40">
        <v>5</v>
      </c>
      <c r="D272" s="128" t="s">
        <v>1449</v>
      </c>
      <c r="E272" s="122"/>
      <c r="F272" s="122"/>
      <c r="G272" s="122"/>
      <c r="H272" s="23"/>
      <c r="I272" s="12"/>
      <c r="J272" s="154"/>
      <c r="K272" s="154"/>
      <c r="L272" s="154"/>
      <c r="M272" s="154"/>
      <c r="N272" s="161" t="str">
        <f>IF(N$255&gt;4,N$256,"")</f>
        <v/>
      </c>
      <c r="O272" s="161" t="str">
        <f>IF(O$255&gt;4,O$256,"")</f>
        <v/>
      </c>
      <c r="P272" s="154"/>
      <c r="Q272" s="161" t="str">
        <f>IF(Q$255&gt;4,Q$256,"")</f>
        <v/>
      </c>
      <c r="R272" s="161" t="str">
        <f>IF(R$255&gt;4,R$256,"")</f>
        <v/>
      </c>
      <c r="S272" s="154"/>
      <c r="T272" s="161" t="str">
        <f>IF(T$255&gt;4,T$256,"")</f>
        <v/>
      </c>
      <c r="U272" s="161">
        <f>IF(U$255&gt;4,U$256,"")</f>
        <v>800000</v>
      </c>
      <c r="V272" s="159"/>
      <c r="W272" s="387"/>
      <c r="X272" s="154"/>
      <c r="Y272" s="154"/>
      <c r="Z272" s="130"/>
      <c r="AA272" s="130"/>
      <c r="AB272" s="130"/>
      <c r="AC272" s="125"/>
      <c r="AE272" s="154"/>
      <c r="AF272" s="154"/>
      <c r="AG272" s="129"/>
      <c r="AH272" s="130"/>
      <c r="AI272" s="125"/>
      <c r="AK272" s="154"/>
      <c r="AL272" s="154"/>
      <c r="AM272" s="129"/>
      <c r="AN272" s="130"/>
      <c r="AO272" s="125"/>
      <c r="AQ272" s="154"/>
      <c r="AR272" s="154"/>
      <c r="AS272" s="129"/>
      <c r="AT272" s="130"/>
      <c r="AU272" s="125"/>
      <c r="AW272" s="154"/>
      <c r="AX272" s="154"/>
      <c r="AY272" s="129"/>
      <c r="AZ272" s="130"/>
      <c r="BA272" s="125"/>
    </row>
    <row r="273" spans="1:53" ht="17.100000000000001" customHeight="1" x14ac:dyDescent="0.25">
      <c r="A273" s="137"/>
      <c r="B273" s="40"/>
      <c r="C273" s="40">
        <v>6</v>
      </c>
      <c r="D273" s="128" t="s">
        <v>1449</v>
      </c>
      <c r="E273" s="122"/>
      <c r="F273" s="122"/>
      <c r="G273" s="122"/>
      <c r="H273" s="23"/>
      <c r="I273" s="12"/>
      <c r="J273" s="154"/>
      <c r="K273" s="154"/>
      <c r="L273" s="154"/>
      <c r="M273" s="154"/>
      <c r="N273" s="161" t="str">
        <f>IF(N$255&gt;5,N$256,"")</f>
        <v/>
      </c>
      <c r="O273" s="161" t="str">
        <f>IF(O$255&gt;5,O$256,"")</f>
        <v/>
      </c>
      <c r="P273" s="154"/>
      <c r="Q273" s="161" t="str">
        <f>IF(Q$255&gt;5,Q$256,"")</f>
        <v/>
      </c>
      <c r="R273" s="161" t="str">
        <f>IF(R$255&gt;5,R$256,"")</f>
        <v/>
      </c>
      <c r="S273" s="154"/>
      <c r="T273" s="161" t="str">
        <f>IF(T$255&gt;5,T$256,"")</f>
        <v/>
      </c>
      <c r="U273" s="161" t="str">
        <f>IF(U$255&gt;5,U$256,"")</f>
        <v/>
      </c>
      <c r="V273" s="159"/>
      <c r="W273" s="387"/>
      <c r="X273" s="154"/>
      <c r="Y273" s="154"/>
      <c r="Z273" s="130"/>
      <c r="AA273" s="130"/>
      <c r="AB273" s="130"/>
      <c r="AC273" s="125"/>
      <c r="AE273" s="154"/>
      <c r="AF273" s="154"/>
      <c r="AG273" s="129"/>
      <c r="AH273" s="130"/>
      <c r="AI273" s="125"/>
      <c r="AK273" s="154"/>
      <c r="AL273" s="154"/>
      <c r="AM273" s="129"/>
      <c r="AN273" s="130"/>
      <c r="AO273" s="125"/>
      <c r="AQ273" s="154"/>
      <c r="AR273" s="154"/>
      <c r="AS273" s="129"/>
      <c r="AT273" s="130"/>
      <c r="AU273" s="125"/>
      <c r="AW273" s="154"/>
      <c r="AX273" s="154"/>
      <c r="AY273" s="129"/>
      <c r="AZ273" s="130"/>
      <c r="BA273" s="125"/>
    </row>
    <row r="274" spans="1:53" ht="17.100000000000001" customHeight="1" x14ac:dyDescent="0.25">
      <c r="A274" s="137"/>
      <c r="B274" s="40"/>
      <c r="C274" s="40">
        <v>7</v>
      </c>
      <c r="D274" s="128" t="s">
        <v>1449</v>
      </c>
      <c r="E274" s="122"/>
      <c r="F274" s="122"/>
      <c r="G274" s="122"/>
      <c r="H274" s="23"/>
      <c r="I274" s="12"/>
      <c r="J274" s="154"/>
      <c r="K274" s="154"/>
      <c r="L274" s="154"/>
      <c r="M274" s="154"/>
      <c r="N274" s="161" t="str">
        <f>IF(N$255&gt;6,N$256,"")</f>
        <v/>
      </c>
      <c r="O274" s="161" t="str">
        <f>IF(O$255&gt;6,O$256,"")</f>
        <v/>
      </c>
      <c r="P274" s="154"/>
      <c r="Q274" s="161" t="str">
        <f>IF(Q$255&gt;6,Q$256,"")</f>
        <v/>
      </c>
      <c r="R274" s="161" t="str">
        <f>IF(R$255&gt;6,R$256,"")</f>
        <v/>
      </c>
      <c r="S274" s="154"/>
      <c r="T274" s="161" t="str">
        <f>IF(T$255&gt;6,T$256,"")</f>
        <v/>
      </c>
      <c r="U274" s="161" t="str">
        <f>IF(U$255&gt;6,U$256,"")</f>
        <v/>
      </c>
      <c r="V274" s="159"/>
      <c r="W274" s="387"/>
      <c r="X274" s="154"/>
      <c r="Y274" s="154"/>
      <c r="Z274" s="130"/>
      <c r="AA274" s="130"/>
      <c r="AB274" s="130"/>
      <c r="AC274" s="125"/>
      <c r="AE274" s="154"/>
      <c r="AF274" s="154"/>
      <c r="AG274" s="129"/>
      <c r="AH274" s="130"/>
      <c r="AI274" s="125"/>
      <c r="AK274" s="154"/>
      <c r="AL274" s="154"/>
      <c r="AM274" s="129"/>
      <c r="AN274" s="130"/>
      <c r="AO274" s="125"/>
      <c r="AQ274" s="154"/>
      <c r="AR274" s="154"/>
      <c r="AS274" s="129"/>
      <c r="AT274" s="130"/>
      <c r="AU274" s="125"/>
      <c r="AW274" s="154"/>
      <c r="AX274" s="154"/>
      <c r="AY274" s="129"/>
      <c r="AZ274" s="130"/>
      <c r="BA274" s="125"/>
    </row>
    <row r="275" spans="1:53" ht="17.100000000000001" customHeight="1" x14ac:dyDescent="0.25">
      <c r="A275" s="137"/>
      <c r="B275" s="40"/>
      <c r="C275" s="40">
        <v>8</v>
      </c>
      <c r="D275" s="128" t="s">
        <v>1449</v>
      </c>
      <c r="E275" s="122"/>
      <c r="F275" s="122"/>
      <c r="G275" s="122"/>
      <c r="H275" s="23"/>
      <c r="I275" s="12"/>
      <c r="J275" s="154"/>
      <c r="K275" s="154"/>
      <c r="L275" s="154"/>
      <c r="M275" s="154"/>
      <c r="N275" s="161" t="str">
        <f>IF(N$255&gt;7,N$256,"")</f>
        <v/>
      </c>
      <c r="O275" s="161" t="str">
        <f>IF(O$255&gt;7,O$256,"")</f>
        <v/>
      </c>
      <c r="P275" s="154"/>
      <c r="Q275" s="161" t="str">
        <f>IF(Q$255&gt;7,Q$256,"")</f>
        <v/>
      </c>
      <c r="R275" s="161" t="str">
        <f>IF(R$255&gt;7,R$256,"")</f>
        <v/>
      </c>
      <c r="S275" s="154"/>
      <c r="T275" s="161" t="str">
        <f>IF(T$255&gt;7,T$256,"")</f>
        <v/>
      </c>
      <c r="U275" s="161" t="str">
        <f>IF(U$255&gt;7,U$256,"")</f>
        <v/>
      </c>
      <c r="V275" s="159"/>
      <c r="W275" s="387"/>
      <c r="X275" s="154"/>
      <c r="Y275" s="154"/>
      <c r="Z275" s="130"/>
      <c r="AA275" s="130"/>
      <c r="AB275" s="130"/>
      <c r="AC275" s="125"/>
      <c r="AE275" s="154"/>
      <c r="AF275" s="154"/>
      <c r="AG275" s="129"/>
      <c r="AH275" s="130"/>
      <c r="AI275" s="125"/>
      <c r="AK275" s="154"/>
      <c r="AL275" s="154"/>
      <c r="AM275" s="129"/>
      <c r="AN275" s="130"/>
      <c r="AO275" s="125"/>
      <c r="AQ275" s="154"/>
      <c r="AR275" s="154"/>
      <c r="AS275" s="129"/>
      <c r="AT275" s="130"/>
      <c r="AU275" s="125"/>
      <c r="AW275" s="154"/>
      <c r="AX275" s="154"/>
      <c r="AY275" s="129"/>
      <c r="AZ275" s="130"/>
      <c r="BA275" s="125"/>
    </row>
    <row r="276" spans="1:53" ht="17.100000000000001" customHeight="1" x14ac:dyDescent="0.25">
      <c r="A276" s="137"/>
      <c r="B276" s="40"/>
      <c r="C276" s="40">
        <v>9</v>
      </c>
      <c r="D276" s="128" t="s">
        <v>1449</v>
      </c>
      <c r="E276" s="122"/>
      <c r="F276" s="122"/>
      <c r="G276" s="122"/>
      <c r="H276" s="23"/>
      <c r="I276" s="12"/>
      <c r="J276" s="154"/>
      <c r="K276" s="154"/>
      <c r="L276" s="154"/>
      <c r="M276" s="154"/>
      <c r="N276" s="161" t="str">
        <f>IF(N$255&gt;8,N$256,"")</f>
        <v/>
      </c>
      <c r="O276" s="161" t="str">
        <f>IF(O$255&gt;8,O$256,"")</f>
        <v/>
      </c>
      <c r="P276" s="154"/>
      <c r="Q276" s="161" t="str">
        <f>IF(Q$255&gt;8,Q$256,"")</f>
        <v/>
      </c>
      <c r="R276" s="161" t="str">
        <f>IF(R$255&gt;8,R$256,"")</f>
        <v/>
      </c>
      <c r="S276" s="154"/>
      <c r="T276" s="161" t="str">
        <f>IF(T$255&gt;8,T$256,"")</f>
        <v/>
      </c>
      <c r="U276" s="161" t="str">
        <f>IF(U$255&gt;8,U$256,"")</f>
        <v/>
      </c>
      <c r="V276" s="159"/>
      <c r="W276" s="387"/>
      <c r="X276" s="154"/>
      <c r="Y276" s="154"/>
      <c r="Z276" s="130"/>
      <c r="AA276" s="130"/>
      <c r="AB276" s="130"/>
      <c r="AC276" s="125"/>
      <c r="AE276" s="154"/>
      <c r="AF276" s="154"/>
      <c r="AG276" s="129"/>
      <c r="AH276" s="130"/>
      <c r="AI276" s="125"/>
      <c r="AK276" s="154"/>
      <c r="AL276" s="154"/>
      <c r="AM276" s="129"/>
      <c r="AN276" s="130"/>
      <c r="AO276" s="125"/>
      <c r="AQ276" s="154"/>
      <c r="AR276" s="154"/>
      <c r="AS276" s="129"/>
      <c r="AT276" s="130"/>
      <c r="AU276" s="125"/>
      <c r="AW276" s="154"/>
      <c r="AX276" s="154"/>
      <c r="AY276" s="129"/>
      <c r="AZ276" s="130"/>
      <c r="BA276" s="125"/>
    </row>
    <row r="277" spans="1:53" ht="17.100000000000001" customHeight="1" x14ac:dyDescent="0.25">
      <c r="A277" s="137"/>
      <c r="B277" s="40"/>
      <c r="C277" s="40">
        <v>10</v>
      </c>
      <c r="D277" s="128" t="s">
        <v>1449</v>
      </c>
      <c r="E277" s="122"/>
      <c r="F277" s="122"/>
      <c r="G277" s="122"/>
      <c r="H277" s="23"/>
      <c r="I277" s="12"/>
      <c r="J277" s="154"/>
      <c r="K277" s="154"/>
      <c r="L277" s="154"/>
      <c r="M277" s="154"/>
      <c r="N277" s="161" t="str">
        <f>IF(N$255&gt;9,N$256,"")</f>
        <v/>
      </c>
      <c r="O277" s="161" t="str">
        <f>IF(O$255&gt;9,O$256,"")</f>
        <v/>
      </c>
      <c r="P277" s="154"/>
      <c r="Q277" s="161" t="str">
        <f>IF(Q$255&gt;9,Q$256,"")</f>
        <v/>
      </c>
      <c r="R277" s="161" t="str">
        <f>IF(R$255&gt;9,R$256,"")</f>
        <v/>
      </c>
      <c r="S277" s="154"/>
      <c r="T277" s="161" t="str">
        <f>IF(T$255&gt;9,T$256,"")</f>
        <v/>
      </c>
      <c r="U277" s="161" t="str">
        <f>IF(U$255&gt;9,U$256,"")</f>
        <v/>
      </c>
      <c r="V277" s="159"/>
      <c r="W277" s="387"/>
      <c r="X277" s="154"/>
      <c r="Y277" s="154"/>
      <c r="Z277" s="130"/>
      <c r="AA277" s="130"/>
      <c r="AB277" s="130"/>
      <c r="AC277" s="125"/>
      <c r="AE277" s="154"/>
      <c r="AF277" s="154"/>
      <c r="AG277" s="129"/>
      <c r="AH277" s="130"/>
      <c r="AI277" s="125"/>
      <c r="AK277" s="154"/>
      <c r="AL277" s="154"/>
      <c r="AM277" s="129"/>
      <c r="AN277" s="130"/>
      <c r="AO277" s="125"/>
      <c r="AQ277" s="154"/>
      <c r="AR277" s="154"/>
      <c r="AS277" s="129"/>
      <c r="AT277" s="130"/>
      <c r="AU277" s="125"/>
      <c r="AW277" s="154"/>
      <c r="AX277" s="154"/>
      <c r="AY277" s="129"/>
      <c r="AZ277" s="130"/>
      <c r="BA277" s="125"/>
    </row>
    <row r="278" spans="1:53" s="158" customFormat="1" ht="17.100000000000001" customHeight="1" x14ac:dyDescent="0.25">
      <c r="A278" s="967"/>
      <c r="B278" s="102"/>
      <c r="C278" s="102"/>
      <c r="D278" s="122" t="s">
        <v>1451</v>
      </c>
      <c r="E278" s="122"/>
      <c r="F278" s="122"/>
      <c r="G278" s="122"/>
      <c r="H278" s="23"/>
      <c r="I278" s="12"/>
      <c r="J278" s="160"/>
      <c r="K278" s="160"/>
      <c r="L278" s="160"/>
      <c r="M278" s="160"/>
      <c r="N278" s="160">
        <f>IF(SUM(N254:N255)=0,"",AVERAGE(N258:N277))</f>
        <v>333333.33333333331</v>
      </c>
      <c r="O278" s="160">
        <f>IF(SUM(O254:O255)=0,"",AVERAGE(O258:O277))</f>
        <v>325000</v>
      </c>
      <c r="P278" s="160"/>
      <c r="Q278" s="160">
        <f>IF(SUM(Q254:Q255)=0,"",AVERAGE(Q258:Q277))</f>
        <v>150000</v>
      </c>
      <c r="R278" s="160">
        <f>IF(SUM(R254:R255)=0,"",AVERAGE(R258:R277))</f>
        <v>225000</v>
      </c>
      <c r="S278" s="160"/>
      <c r="T278" s="160">
        <f>IF(SUM(T254:T255)=0,"",AVERAGE(T258:T277))</f>
        <v>900000</v>
      </c>
      <c r="U278" s="160">
        <f>IF(SUM(U254:U255)=0,"",AVERAGE(U258:U277))</f>
        <v>800000</v>
      </c>
      <c r="V278" s="947"/>
      <c r="W278" s="948"/>
      <c r="X278" s="160"/>
      <c r="Y278" s="160"/>
      <c r="Z278" s="949"/>
      <c r="AA278" s="975">
        <f>MIN(N278:U278)</f>
        <v>150000</v>
      </c>
      <c r="AB278" s="975">
        <f>MAX(N278:U278)</f>
        <v>900000</v>
      </c>
      <c r="AC278" s="124">
        <f>IF(SUM(N278:U278)=0,0,AVERAGE(N278:U278))</f>
        <v>455555.5555555555</v>
      </c>
      <c r="AE278" s="160"/>
      <c r="AF278" s="160"/>
      <c r="AG278" s="129"/>
      <c r="AH278" s="949"/>
      <c r="AI278" s="904"/>
      <c r="AK278" s="160"/>
      <c r="AL278" s="160"/>
      <c r="AM278" s="129"/>
      <c r="AN278" s="949"/>
      <c r="AO278" s="904"/>
      <c r="AQ278" s="160">
        <f>MIN(N278,Q278,T278)</f>
        <v>150000</v>
      </c>
      <c r="AR278" s="160">
        <f>MAX(N278,Q278,T278)</f>
        <v>900000</v>
      </c>
      <c r="AS278" s="129">
        <f>AVERAGE(N278,Q278,T278)</f>
        <v>461111.11111111107</v>
      </c>
      <c r="AT278" s="949"/>
      <c r="AU278" s="904"/>
      <c r="AW278" s="160">
        <f>MIN(O278,R278,U278)</f>
        <v>225000</v>
      </c>
      <c r="AX278" s="160">
        <f>MAX(O278,R278,U278)</f>
        <v>800000</v>
      </c>
      <c r="AY278" s="129">
        <f>AVERAGE(O278,R278,U278)</f>
        <v>450000</v>
      </c>
      <c r="AZ278" s="949"/>
      <c r="BA278" s="904"/>
    </row>
    <row r="279" spans="1:53" ht="17.100000000000001" customHeight="1" x14ac:dyDescent="0.25">
      <c r="A279" s="40"/>
      <c r="B279" s="40"/>
      <c r="C279" s="40"/>
      <c r="D279" s="128"/>
      <c r="E279" s="122"/>
      <c r="F279" s="122"/>
      <c r="G279" s="122"/>
      <c r="H279" s="23"/>
      <c r="I279" s="12"/>
      <c r="J279" s="154"/>
      <c r="K279" s="154"/>
      <c r="L279" s="154"/>
      <c r="M279" s="154"/>
      <c r="N279" s="154"/>
      <c r="O279" s="154"/>
      <c r="P279" s="154"/>
      <c r="Q279" s="154"/>
      <c r="R279" s="154"/>
      <c r="S279" s="154"/>
      <c r="T279" s="154"/>
      <c r="U279" s="154"/>
      <c r="V279" s="159"/>
      <c r="W279" s="387"/>
      <c r="X279" s="154"/>
      <c r="Y279" s="154"/>
      <c r="Z279" s="130"/>
      <c r="AA279" s="130"/>
      <c r="AB279" s="130"/>
      <c r="AC279" s="125"/>
      <c r="AE279" s="154"/>
      <c r="AF279" s="154"/>
      <c r="AG279" s="129"/>
      <c r="AH279" s="130"/>
      <c r="AI279" s="125"/>
      <c r="AK279" s="154"/>
      <c r="AL279" s="154"/>
      <c r="AM279" s="129"/>
      <c r="AN279" s="130"/>
      <c r="AO279" s="125"/>
      <c r="AQ279" s="154"/>
      <c r="AR279" s="154"/>
      <c r="AS279" s="129"/>
      <c r="AT279" s="130"/>
      <c r="AU279" s="125"/>
      <c r="AW279" s="154"/>
      <c r="AX279" s="154"/>
      <c r="AY279" s="129"/>
      <c r="AZ279" s="130"/>
      <c r="BA279" s="125"/>
    </row>
    <row r="280" spans="1:53" s="97" customFormat="1" ht="17.100000000000001" customHeight="1" x14ac:dyDescent="0.25">
      <c r="A280" s="68"/>
      <c r="B280" s="68"/>
      <c r="C280" s="92"/>
      <c r="D280" s="305"/>
      <c r="E280" s="305"/>
      <c r="F280" s="305"/>
      <c r="G280" s="305"/>
      <c r="H280" s="207"/>
      <c r="I280" s="207"/>
    </row>
    <row r="281" spans="1:53" s="32" customFormat="1" ht="16.5" thickBot="1" x14ac:dyDescent="0.3">
      <c r="A281" s="24" t="s">
        <v>287</v>
      </c>
      <c r="B281" s="25" t="s">
        <v>288</v>
      </c>
      <c r="C281" s="26"/>
      <c r="D281" s="27"/>
      <c r="E281" s="27"/>
      <c r="F281" s="27"/>
      <c r="G281" s="28"/>
      <c r="H281" s="310"/>
      <c r="I281" s="228"/>
      <c r="J281" s="140"/>
      <c r="K281" s="140"/>
      <c r="L281" s="140"/>
      <c r="M281" s="140"/>
      <c r="N281" s="140"/>
      <c r="O281" s="140"/>
      <c r="P281" s="140"/>
      <c r="Q281" s="140"/>
      <c r="R281" s="140"/>
      <c r="S281" s="140"/>
      <c r="T281" s="140"/>
      <c r="U281" s="140"/>
      <c r="V281" s="140"/>
      <c r="W281" s="140"/>
      <c r="X281" s="140"/>
      <c r="Y281" s="140"/>
      <c r="Z281" s="30" t="s">
        <v>5</v>
      </c>
      <c r="AA281" s="30"/>
      <c r="AB281" s="30"/>
      <c r="AC281" s="188"/>
      <c r="AE281" s="33" t="s">
        <v>181</v>
      </c>
      <c r="AF281" s="33" t="s">
        <v>182</v>
      </c>
      <c r="AG281" s="33" t="s">
        <v>6</v>
      </c>
      <c r="AH281" s="33" t="s">
        <v>4</v>
      </c>
      <c r="AI281" s="34" t="s">
        <v>5</v>
      </c>
      <c r="AJ281" s="35"/>
      <c r="AK281" s="36" t="s">
        <v>181</v>
      </c>
      <c r="AL281" s="36" t="s">
        <v>182</v>
      </c>
      <c r="AM281" s="36" t="s">
        <v>6</v>
      </c>
      <c r="AN281" s="36" t="s">
        <v>4</v>
      </c>
      <c r="AO281" s="37" t="s">
        <v>5</v>
      </c>
      <c r="AQ281" s="398" t="s">
        <v>181</v>
      </c>
      <c r="AR281" s="398" t="s">
        <v>182</v>
      </c>
      <c r="AS281" s="398" t="s">
        <v>6</v>
      </c>
      <c r="AT281" s="398" t="s">
        <v>4</v>
      </c>
      <c r="AU281" s="399" t="s">
        <v>5</v>
      </c>
      <c r="AW281" s="38" t="s">
        <v>181</v>
      </c>
      <c r="AX281" s="38" t="s">
        <v>182</v>
      </c>
      <c r="AY281" s="38" t="s">
        <v>6</v>
      </c>
      <c r="AZ281" s="423" t="s">
        <v>4</v>
      </c>
      <c r="BA281" s="39" t="s">
        <v>5</v>
      </c>
    </row>
    <row r="282" spans="1:53" ht="17.100000000000001" customHeight="1" x14ac:dyDescent="0.25">
      <c r="A282" s="40"/>
      <c r="B282" s="41" t="s">
        <v>289</v>
      </c>
      <c r="C282" s="69" t="s">
        <v>620</v>
      </c>
      <c r="D282" s="43"/>
      <c r="E282" s="43"/>
      <c r="F282" s="43"/>
      <c r="G282" s="44"/>
      <c r="H282" s="321"/>
      <c r="I282" s="229"/>
      <c r="J282" s="71"/>
      <c r="K282" s="71"/>
      <c r="L282" s="71"/>
      <c r="M282" s="71"/>
      <c r="N282" s="71"/>
      <c r="O282" s="71"/>
      <c r="P282" s="71"/>
      <c r="Q282" s="71"/>
      <c r="R282" s="71"/>
      <c r="S282" s="71"/>
      <c r="T282" s="71"/>
      <c r="U282" s="71"/>
      <c r="V282" s="71"/>
      <c r="W282" s="71"/>
      <c r="X282" s="71"/>
      <c r="Y282" s="71"/>
      <c r="Z282" s="73"/>
      <c r="AA282" s="73"/>
      <c r="AB282" s="73"/>
      <c r="AC282" s="73"/>
      <c r="AE282" s="71"/>
      <c r="AF282" s="71"/>
      <c r="AG282" s="273"/>
      <c r="AH282" s="73"/>
      <c r="AI282" s="73"/>
      <c r="AK282" s="71"/>
      <c r="AL282" s="71"/>
      <c r="AM282" s="273"/>
      <c r="AN282" s="73"/>
      <c r="AO282" s="73"/>
      <c r="AQ282" s="71"/>
      <c r="AR282" s="71"/>
      <c r="AS282" s="273"/>
      <c r="AT282" s="73"/>
      <c r="AU282" s="73"/>
      <c r="AW282" s="71"/>
      <c r="AX282" s="71"/>
      <c r="AY282" s="273"/>
      <c r="AZ282" s="73"/>
      <c r="BA282" s="73"/>
    </row>
    <row r="283" spans="1:53" ht="17.100000000000001" customHeight="1" x14ac:dyDescent="0.25">
      <c r="A283" s="40"/>
      <c r="B283" s="40"/>
      <c r="C283" s="74" t="s">
        <v>291</v>
      </c>
      <c r="D283" s="75" t="s">
        <v>292</v>
      </c>
      <c r="E283" s="105"/>
      <c r="F283" s="75"/>
      <c r="G283" s="76"/>
      <c r="H283" s="647"/>
      <c r="I283" s="229"/>
      <c r="J283" s="111"/>
      <c r="K283" s="111"/>
      <c r="L283" s="111"/>
      <c r="M283" s="111"/>
      <c r="N283" s="60">
        <v>1</v>
      </c>
      <c r="O283" s="60">
        <v>2</v>
      </c>
      <c r="P283" s="17">
        <f t="shared" ref="P283:P286" si="272">SUM(N283:O283)</f>
        <v>3</v>
      </c>
      <c r="Q283" s="60"/>
      <c r="R283" s="60"/>
      <c r="S283" s="17">
        <f t="shared" ref="S283:S286" si="273">SUM(Q283:R283)</f>
        <v>0</v>
      </c>
      <c r="T283" s="60"/>
      <c r="U283" s="60"/>
      <c r="V283" s="17">
        <f t="shared" ref="V283:V286" si="274">SUM(T283:U283)</f>
        <v>0</v>
      </c>
      <c r="W283" s="391">
        <f t="shared" ref="W283:W286" si="275">J283+K283+N283+Q283+T283</f>
        <v>1</v>
      </c>
      <c r="X283" s="17">
        <f t="shared" ref="X283:X286" si="276">L283+O283+R283+U283</f>
        <v>2</v>
      </c>
      <c r="Y283" s="18">
        <f t="shared" ref="Y283:Y286" si="277">SUM(W283:X283)</f>
        <v>3</v>
      </c>
      <c r="Z283" s="19">
        <f>IF(Y$287=0,0,Y283/Y$287)</f>
        <v>0.10714285714285714</v>
      </c>
      <c r="AA283" s="19"/>
      <c r="AB283" s="19"/>
      <c r="AC283" s="20"/>
      <c r="AE283" s="111"/>
      <c r="AF283" s="111"/>
      <c r="AG283" s="111"/>
      <c r="AH283" s="651"/>
      <c r="AI283" s="131"/>
      <c r="AK283" s="111"/>
      <c r="AL283" s="111"/>
      <c r="AM283" s="111"/>
      <c r="AN283" s="651"/>
      <c r="AO283" s="131"/>
      <c r="AQ283" s="17"/>
      <c r="AR283" s="17"/>
      <c r="AS283" s="17"/>
      <c r="AT283" s="424">
        <f>W283</f>
        <v>1</v>
      </c>
      <c r="AU283" s="19">
        <f>IF(AT$287=0,0,AT283/AT$287)</f>
        <v>6.6666666666666666E-2</v>
      </c>
      <c r="AW283" s="17"/>
      <c r="AX283" s="17"/>
      <c r="AY283" s="17"/>
      <c r="AZ283" s="424">
        <f>X283</f>
        <v>2</v>
      </c>
      <c r="BA283" s="19">
        <f>IF(AZ$287=0,0,AZ283/AZ$287)</f>
        <v>0.15384615384615385</v>
      </c>
    </row>
    <row r="284" spans="1:53" ht="17.100000000000001" customHeight="1" x14ac:dyDescent="0.25">
      <c r="A284" s="40"/>
      <c r="B284" s="40"/>
      <c r="C284" s="74" t="s">
        <v>293</v>
      </c>
      <c r="D284" s="75" t="s">
        <v>11</v>
      </c>
      <c r="E284" s="105"/>
      <c r="F284" s="75"/>
      <c r="G284" s="75"/>
      <c r="H284" s="647"/>
      <c r="I284" s="229"/>
      <c r="J284" s="111"/>
      <c r="K284" s="111"/>
      <c r="L284" s="111"/>
      <c r="M284" s="111"/>
      <c r="N284" s="61"/>
      <c r="O284" s="61"/>
      <c r="P284" s="17">
        <f t="shared" si="272"/>
        <v>0</v>
      </c>
      <c r="Q284" s="61">
        <v>6</v>
      </c>
      <c r="R284" s="61">
        <v>1</v>
      </c>
      <c r="S284" s="17">
        <f t="shared" si="273"/>
        <v>7</v>
      </c>
      <c r="T284" s="61"/>
      <c r="U284" s="61"/>
      <c r="V284" s="17">
        <f t="shared" si="274"/>
        <v>0</v>
      </c>
      <c r="W284" s="391">
        <f t="shared" si="275"/>
        <v>6</v>
      </c>
      <c r="X284" s="17">
        <f t="shared" si="276"/>
        <v>1</v>
      </c>
      <c r="Y284" s="18">
        <f t="shared" si="277"/>
        <v>7</v>
      </c>
      <c r="Z284" s="19">
        <f t="shared" ref="Z284:Z287" si="278">IF(Y$287=0,0,Y284/Y$287)</f>
        <v>0.25</v>
      </c>
      <c r="AA284" s="19"/>
      <c r="AB284" s="19"/>
      <c r="AC284" s="20"/>
      <c r="AE284" s="111"/>
      <c r="AF284" s="111"/>
      <c r="AG284" s="111"/>
      <c r="AH284" s="651"/>
      <c r="AI284" s="131"/>
      <c r="AK284" s="111"/>
      <c r="AL284" s="111"/>
      <c r="AM284" s="111"/>
      <c r="AN284" s="651"/>
      <c r="AO284" s="131"/>
      <c r="AQ284" s="17"/>
      <c r="AR284" s="17"/>
      <c r="AS284" s="17"/>
      <c r="AT284" s="424">
        <f t="shared" ref="AT284:AT286" si="279">W284</f>
        <v>6</v>
      </c>
      <c r="AU284" s="19">
        <f t="shared" ref="AU284:AU287" si="280">IF(AT$287=0,0,AT284/AT$287)</f>
        <v>0.4</v>
      </c>
      <c r="AW284" s="17"/>
      <c r="AX284" s="17"/>
      <c r="AY284" s="17"/>
      <c r="AZ284" s="424">
        <f t="shared" ref="AZ284:AZ286" si="281">X284</f>
        <v>1</v>
      </c>
      <c r="BA284" s="19">
        <f t="shared" ref="BA284:BA287" si="282">IF(AZ$287=0,0,AZ284/AZ$287)</f>
        <v>7.6923076923076927E-2</v>
      </c>
    </row>
    <row r="285" spans="1:53" ht="17.100000000000001" customHeight="1" x14ac:dyDescent="0.25">
      <c r="A285" s="40"/>
      <c r="B285" s="40"/>
      <c r="C285" s="74" t="s">
        <v>294</v>
      </c>
      <c r="D285" s="75" t="s">
        <v>295</v>
      </c>
      <c r="E285" s="105"/>
      <c r="F285" s="75"/>
      <c r="G285" s="75"/>
      <c r="H285" s="23"/>
      <c r="I285" s="229"/>
      <c r="J285" s="111"/>
      <c r="K285" s="111"/>
      <c r="L285" s="111"/>
      <c r="M285" s="111"/>
      <c r="N285" s="60"/>
      <c r="O285" s="60"/>
      <c r="P285" s="17">
        <f t="shared" si="272"/>
        <v>0</v>
      </c>
      <c r="Q285" s="60"/>
      <c r="R285" s="60"/>
      <c r="S285" s="17">
        <f t="shared" si="273"/>
        <v>0</v>
      </c>
      <c r="T285" s="60"/>
      <c r="U285" s="60"/>
      <c r="V285" s="17">
        <f t="shared" si="274"/>
        <v>0</v>
      </c>
      <c r="W285" s="391">
        <f t="shared" si="275"/>
        <v>0</v>
      </c>
      <c r="X285" s="17">
        <f t="shared" si="276"/>
        <v>0</v>
      </c>
      <c r="Y285" s="18">
        <f t="shared" si="277"/>
        <v>0</v>
      </c>
      <c r="Z285" s="19">
        <f t="shared" si="278"/>
        <v>0</v>
      </c>
      <c r="AA285" s="19"/>
      <c r="AB285" s="19"/>
      <c r="AC285" s="20"/>
      <c r="AE285" s="111"/>
      <c r="AF285" s="111"/>
      <c r="AG285" s="111"/>
      <c r="AH285" s="651"/>
      <c r="AI285" s="131"/>
      <c r="AK285" s="111"/>
      <c r="AL285" s="111"/>
      <c r="AM285" s="111"/>
      <c r="AN285" s="651"/>
      <c r="AO285" s="131"/>
      <c r="AQ285" s="17"/>
      <c r="AR285" s="17"/>
      <c r="AS285" s="17"/>
      <c r="AT285" s="424">
        <f t="shared" si="279"/>
        <v>0</v>
      </c>
      <c r="AU285" s="19">
        <f t="shared" si="280"/>
        <v>0</v>
      </c>
      <c r="AW285" s="17"/>
      <c r="AX285" s="17"/>
      <c r="AY285" s="17"/>
      <c r="AZ285" s="424">
        <f t="shared" si="281"/>
        <v>0</v>
      </c>
      <c r="BA285" s="19">
        <f t="shared" si="282"/>
        <v>0</v>
      </c>
    </row>
    <row r="286" spans="1:53" ht="17.100000000000001" customHeight="1" x14ac:dyDescent="0.25">
      <c r="A286" s="40"/>
      <c r="B286" s="40"/>
      <c r="C286" s="74" t="s">
        <v>296</v>
      </c>
      <c r="D286" s="75" t="s">
        <v>9</v>
      </c>
      <c r="E286" s="105"/>
      <c r="F286" s="75"/>
      <c r="G286" s="75"/>
      <c r="H286" s="23"/>
      <c r="I286" s="229"/>
      <c r="J286" s="111"/>
      <c r="K286" s="111"/>
      <c r="L286" s="111"/>
      <c r="M286" s="111"/>
      <c r="N286" s="61">
        <v>2</v>
      </c>
      <c r="O286" s="61">
        <v>4</v>
      </c>
      <c r="P286" s="17">
        <f t="shared" si="272"/>
        <v>6</v>
      </c>
      <c r="Q286" s="61">
        <v>1</v>
      </c>
      <c r="R286" s="61">
        <v>1</v>
      </c>
      <c r="S286" s="17">
        <f t="shared" si="273"/>
        <v>2</v>
      </c>
      <c r="T286" s="61">
        <v>5</v>
      </c>
      <c r="U286" s="61">
        <v>5</v>
      </c>
      <c r="V286" s="17">
        <f t="shared" si="274"/>
        <v>10</v>
      </c>
      <c r="W286" s="391">
        <f t="shared" si="275"/>
        <v>8</v>
      </c>
      <c r="X286" s="17">
        <f t="shared" si="276"/>
        <v>10</v>
      </c>
      <c r="Y286" s="18">
        <f t="shared" si="277"/>
        <v>18</v>
      </c>
      <c r="Z286" s="19">
        <f t="shared" si="278"/>
        <v>0.6428571428571429</v>
      </c>
      <c r="AA286" s="19"/>
      <c r="AB286" s="19"/>
      <c r="AC286" s="20"/>
      <c r="AE286" s="111"/>
      <c r="AF286" s="111"/>
      <c r="AG286" s="111"/>
      <c r="AH286" s="651"/>
      <c r="AI286" s="131"/>
      <c r="AK286" s="111"/>
      <c r="AL286" s="111"/>
      <c r="AM286" s="111"/>
      <c r="AN286" s="651"/>
      <c r="AO286" s="131"/>
      <c r="AQ286" s="17"/>
      <c r="AR286" s="17"/>
      <c r="AS286" s="17"/>
      <c r="AT286" s="424">
        <f t="shared" si="279"/>
        <v>8</v>
      </c>
      <c r="AU286" s="19">
        <f t="shared" si="280"/>
        <v>0.53333333333333333</v>
      </c>
      <c r="AW286" s="17"/>
      <c r="AX286" s="17"/>
      <c r="AY286" s="17"/>
      <c r="AZ286" s="424">
        <f t="shared" si="281"/>
        <v>10</v>
      </c>
      <c r="BA286" s="19">
        <f t="shared" si="282"/>
        <v>0.76923076923076927</v>
      </c>
    </row>
    <row r="287" spans="1:53" ht="17.100000000000001" customHeight="1" x14ac:dyDescent="0.25">
      <c r="A287" s="40"/>
      <c r="B287" s="40"/>
      <c r="C287" s="292"/>
      <c r="D287" s="144"/>
      <c r="E287" s="144"/>
      <c r="F287" s="145"/>
      <c r="G287" s="145"/>
      <c r="H287" s="119"/>
      <c r="I287" s="236"/>
      <c r="J287" s="80"/>
      <c r="K287" s="80"/>
      <c r="L287" s="81"/>
      <c r="M287" s="81"/>
      <c r="N287" s="81">
        <f>SUM(N283:N286)</f>
        <v>3</v>
      </c>
      <c r="O287" s="81">
        <f t="shared" ref="O287:V287" si="283">SUM(O283:O286)</f>
        <v>6</v>
      </c>
      <c r="P287" s="81">
        <f t="shared" si="283"/>
        <v>9</v>
      </c>
      <c r="Q287" s="81">
        <f t="shared" si="283"/>
        <v>7</v>
      </c>
      <c r="R287" s="81">
        <f t="shared" si="283"/>
        <v>2</v>
      </c>
      <c r="S287" s="81">
        <f t="shared" si="283"/>
        <v>9</v>
      </c>
      <c r="T287" s="81">
        <f t="shared" si="283"/>
        <v>5</v>
      </c>
      <c r="U287" s="81">
        <f t="shared" si="283"/>
        <v>5</v>
      </c>
      <c r="V287" s="81">
        <f t="shared" si="283"/>
        <v>10</v>
      </c>
      <c r="W287" s="82">
        <f>SUM(W283:W286)</f>
        <v>15</v>
      </c>
      <c r="X287" s="82">
        <f t="shared" ref="X287:Y287" si="284">SUM(X283:X286)</f>
        <v>13</v>
      </c>
      <c r="Y287" s="82">
        <f t="shared" si="284"/>
        <v>28</v>
      </c>
      <c r="Z287" s="66">
        <f t="shared" si="278"/>
        <v>1</v>
      </c>
      <c r="AA287" s="205"/>
      <c r="AB287" s="205"/>
      <c r="AC287" s="83"/>
      <c r="AE287" s="81"/>
      <c r="AF287" s="81"/>
      <c r="AG287" s="82"/>
      <c r="AH287" s="82"/>
      <c r="AI287" s="66"/>
      <c r="AK287" s="81"/>
      <c r="AL287" s="81"/>
      <c r="AM287" s="82"/>
      <c r="AN287" s="82"/>
      <c r="AO287" s="66"/>
      <c r="AQ287" s="81"/>
      <c r="AR287" s="81"/>
      <c r="AS287" s="82"/>
      <c r="AT287" s="81">
        <f>SUM(AT283:AT286)</f>
        <v>15</v>
      </c>
      <c r="AU287" s="66">
        <f t="shared" si="280"/>
        <v>1</v>
      </c>
      <c r="AW287" s="81"/>
      <c r="AX287" s="81"/>
      <c r="AY287" s="82"/>
      <c r="AZ287" s="81">
        <f>SUM(AZ283:AZ286)</f>
        <v>13</v>
      </c>
      <c r="BA287" s="66">
        <f t="shared" si="282"/>
        <v>1</v>
      </c>
    </row>
    <row r="288" spans="1:53" s="117" customFormat="1" ht="17.100000000000001" customHeight="1" x14ac:dyDescent="0.25">
      <c r="A288" s="68"/>
      <c r="B288" s="119"/>
      <c r="C288" s="647"/>
      <c r="D288" s="261"/>
      <c r="E288" s="261"/>
      <c r="F288" s="68"/>
      <c r="G288" s="68"/>
      <c r="H288" s="119"/>
      <c r="I288" s="138"/>
      <c r="J288" s="17"/>
      <c r="K288" s="17"/>
      <c r="L288" s="17"/>
      <c r="M288" s="17"/>
      <c r="N288" s="17" t="str">
        <f>IF(N287=N$20,"OK","NOK")</f>
        <v>OK</v>
      </c>
      <c r="O288" s="17" t="str">
        <f>IF(O287=O$20,"OK","NOK")</f>
        <v>OK</v>
      </c>
      <c r="P288" s="17"/>
      <c r="Q288" s="17" t="str">
        <f>IF(Q287=Q$20,"OK","NOK")</f>
        <v>OK</v>
      </c>
      <c r="R288" s="17" t="str">
        <f>IF(R287=R$20,"OK","NOK")</f>
        <v>OK</v>
      </c>
      <c r="S288" s="17"/>
      <c r="T288" s="17" t="str">
        <f>IF(T287=T$20,"OK","NOK")</f>
        <v>OK</v>
      </c>
      <c r="U288" s="17" t="str">
        <f>IF(U287=U$20,"OK","NOK")</f>
        <v>OK</v>
      </c>
      <c r="V288" s="359"/>
      <c r="W288" s="382"/>
      <c r="X288" s="646"/>
      <c r="Y288" s="646"/>
      <c r="Z288" s="201"/>
      <c r="AA288" s="201"/>
      <c r="AB288" s="201"/>
      <c r="AC288" s="84"/>
      <c r="AE288" s="46"/>
      <c r="AF288" s="46"/>
      <c r="AG288" s="17"/>
      <c r="AH288" s="646"/>
      <c r="AI288" s="91"/>
      <c r="AK288" s="46"/>
      <c r="AL288" s="46"/>
      <c r="AM288" s="17"/>
      <c r="AN288" s="646"/>
      <c r="AO288" s="91"/>
      <c r="AQ288" s="46"/>
      <c r="AR288" s="46"/>
      <c r="AS288" s="17"/>
      <c r="AT288" s="646"/>
      <c r="AU288" s="91"/>
      <c r="AW288" s="46"/>
      <c r="AX288" s="46"/>
      <c r="AY288" s="17"/>
      <c r="AZ288" s="646"/>
      <c r="BA288" s="91"/>
    </row>
    <row r="289" spans="1:53" ht="17.100000000000001" customHeight="1" x14ac:dyDescent="0.25">
      <c r="A289" s="40"/>
      <c r="B289" s="41" t="s">
        <v>297</v>
      </c>
      <c r="C289" s="69" t="s">
        <v>290</v>
      </c>
      <c r="D289" s="322"/>
      <c r="E289" s="322"/>
      <c r="F289" s="301"/>
      <c r="G289" s="301"/>
      <c r="H289" s="119"/>
      <c r="I289" s="236"/>
      <c r="J289" s="87"/>
      <c r="K289" s="87"/>
      <c r="L289" s="71"/>
      <c r="M289" s="71"/>
      <c r="N289" s="71"/>
      <c r="O289" s="71"/>
      <c r="P289" s="71"/>
      <c r="Q289" s="71"/>
      <c r="R289" s="71"/>
      <c r="S289" s="71"/>
      <c r="T289" s="71"/>
      <c r="U289" s="71"/>
      <c r="V289" s="71"/>
      <c r="W289" s="89"/>
      <c r="X289" s="89"/>
      <c r="Y289" s="89"/>
      <c r="Z289" s="323"/>
      <c r="AA289" s="323"/>
      <c r="AB289" s="323"/>
      <c r="AC289" s="73"/>
      <c r="AE289" s="71"/>
      <c r="AF289" s="71"/>
      <c r="AG289" s="89"/>
      <c r="AH289" s="90"/>
      <c r="AI289" s="73"/>
      <c r="AK289" s="71"/>
      <c r="AL289" s="71"/>
      <c r="AM289" s="89"/>
      <c r="AN289" s="90"/>
      <c r="AO289" s="73"/>
      <c r="AQ289" s="71"/>
      <c r="AR289" s="71"/>
      <c r="AS289" s="89"/>
      <c r="AT289" s="90"/>
      <c r="AU289" s="73"/>
      <c r="AW289" s="71"/>
      <c r="AX289" s="71"/>
      <c r="AY289" s="89"/>
      <c r="AZ289" s="90"/>
      <c r="BA289" s="73"/>
    </row>
    <row r="290" spans="1:53" ht="17.100000000000001" customHeight="1" x14ac:dyDescent="0.25">
      <c r="A290" s="40"/>
      <c r="B290" s="40"/>
      <c r="C290" s="74" t="s">
        <v>298</v>
      </c>
      <c r="D290" s="75" t="s">
        <v>292</v>
      </c>
      <c r="E290" s="105"/>
      <c r="F290" s="75"/>
      <c r="G290" s="76"/>
      <c r="H290" s="647"/>
      <c r="I290" s="229"/>
      <c r="J290" s="111"/>
      <c r="K290" s="111"/>
      <c r="L290" s="111"/>
      <c r="M290" s="111"/>
      <c r="N290" s="60">
        <v>1</v>
      </c>
      <c r="O290" s="60">
        <v>2</v>
      </c>
      <c r="P290" s="17">
        <f t="shared" ref="P290:P293" si="285">SUM(N290:O290)</f>
        <v>3</v>
      </c>
      <c r="Q290" s="60"/>
      <c r="R290" s="60"/>
      <c r="S290" s="17">
        <f t="shared" ref="S290:S293" si="286">SUM(Q290:R290)</f>
        <v>0</v>
      </c>
      <c r="T290" s="60"/>
      <c r="U290" s="60"/>
      <c r="V290" s="17">
        <f t="shared" ref="V290:V293" si="287">SUM(T290:U290)</f>
        <v>0</v>
      </c>
      <c r="W290" s="391">
        <f t="shared" ref="W290:W293" si="288">J290+K290+N290+Q290+T290</f>
        <v>1</v>
      </c>
      <c r="X290" s="17">
        <f t="shared" ref="X290:X293" si="289">L290+O290+R290+U290</f>
        <v>2</v>
      </c>
      <c r="Y290" s="18">
        <f t="shared" ref="Y290:Y293" si="290">SUM(W290:X290)</f>
        <v>3</v>
      </c>
      <c r="Z290" s="19">
        <f>IF(Y$294=0,0,Y290/Y$294)</f>
        <v>0.10714285714285714</v>
      </c>
      <c r="AA290" s="19"/>
      <c r="AB290" s="19"/>
      <c r="AC290" s="20"/>
      <c r="AE290" s="111"/>
      <c r="AF290" s="111"/>
      <c r="AG290" s="111"/>
      <c r="AH290" s="651"/>
      <c r="AI290" s="131"/>
      <c r="AK290" s="111"/>
      <c r="AL290" s="111"/>
      <c r="AM290" s="111"/>
      <c r="AN290" s="651"/>
      <c r="AO290" s="131"/>
      <c r="AQ290" s="17"/>
      <c r="AR290" s="17"/>
      <c r="AS290" s="17"/>
      <c r="AT290" s="424">
        <f>W290</f>
        <v>1</v>
      </c>
      <c r="AU290" s="19">
        <f>IF(AT$294=0,0,AT290/AT$294)</f>
        <v>6.6666666666666666E-2</v>
      </c>
      <c r="AW290" s="17"/>
      <c r="AX290" s="17"/>
      <c r="AY290" s="17"/>
      <c r="AZ290" s="424">
        <f>X290</f>
        <v>2</v>
      </c>
      <c r="BA290" s="19">
        <f>IF(AZ$294=0,0,AZ290/AZ$294)</f>
        <v>0.15384615384615385</v>
      </c>
    </row>
    <row r="291" spans="1:53" ht="17.100000000000001" customHeight="1" x14ac:dyDescent="0.25">
      <c r="A291" s="40"/>
      <c r="B291" s="40"/>
      <c r="C291" s="74" t="s">
        <v>299</v>
      </c>
      <c r="D291" s="75" t="s">
        <v>11</v>
      </c>
      <c r="E291" s="105"/>
      <c r="F291" s="75"/>
      <c r="G291" s="75"/>
      <c r="H291" s="647"/>
      <c r="I291" s="229"/>
      <c r="J291" s="111"/>
      <c r="K291" s="111"/>
      <c r="L291" s="111"/>
      <c r="M291" s="111"/>
      <c r="N291" s="61"/>
      <c r="O291" s="61"/>
      <c r="P291" s="17">
        <f t="shared" si="285"/>
        <v>0</v>
      </c>
      <c r="Q291" s="61">
        <v>2</v>
      </c>
      <c r="R291" s="61"/>
      <c r="S291" s="17">
        <f t="shared" si="286"/>
        <v>2</v>
      </c>
      <c r="T291" s="61">
        <v>5</v>
      </c>
      <c r="U291" s="61">
        <v>5</v>
      </c>
      <c r="V291" s="17">
        <f t="shared" si="287"/>
        <v>10</v>
      </c>
      <c r="W291" s="391">
        <f t="shared" si="288"/>
        <v>7</v>
      </c>
      <c r="X291" s="17">
        <f t="shared" si="289"/>
        <v>5</v>
      </c>
      <c r="Y291" s="18">
        <f t="shared" si="290"/>
        <v>12</v>
      </c>
      <c r="Z291" s="19">
        <f t="shared" ref="Z291:Z294" si="291">IF(Y$294=0,0,Y291/Y$294)</f>
        <v>0.42857142857142855</v>
      </c>
      <c r="AA291" s="19"/>
      <c r="AB291" s="19"/>
      <c r="AC291" s="20"/>
      <c r="AE291" s="111"/>
      <c r="AF291" s="111"/>
      <c r="AG291" s="111"/>
      <c r="AH291" s="651"/>
      <c r="AI291" s="131"/>
      <c r="AK291" s="111"/>
      <c r="AL291" s="111"/>
      <c r="AM291" s="111"/>
      <c r="AN291" s="651"/>
      <c r="AO291" s="131"/>
      <c r="AQ291" s="17"/>
      <c r="AR291" s="17"/>
      <c r="AS291" s="17"/>
      <c r="AT291" s="424">
        <f t="shared" ref="AT291:AT293" si="292">W291</f>
        <v>7</v>
      </c>
      <c r="AU291" s="19">
        <f t="shared" ref="AU291:AU294" si="293">IF(AT$294=0,0,AT291/AT$294)</f>
        <v>0.46666666666666667</v>
      </c>
      <c r="AW291" s="17"/>
      <c r="AX291" s="17"/>
      <c r="AY291" s="17"/>
      <c r="AZ291" s="424">
        <f t="shared" ref="AZ291:AZ293" si="294">X291</f>
        <v>5</v>
      </c>
      <c r="BA291" s="19">
        <f t="shared" ref="BA291:BA294" si="295">IF(AZ$294=0,0,AZ291/AZ$294)</f>
        <v>0.38461538461538464</v>
      </c>
    </row>
    <row r="292" spans="1:53" ht="17.100000000000001" customHeight="1" x14ac:dyDescent="0.25">
      <c r="A292" s="40"/>
      <c r="B292" s="40"/>
      <c r="C292" s="74" t="s">
        <v>301</v>
      </c>
      <c r="D292" s="75" t="s">
        <v>295</v>
      </c>
      <c r="E292" s="105"/>
      <c r="F292" s="75"/>
      <c r="G292" s="75"/>
      <c r="H292" s="23"/>
      <c r="I292" s="229"/>
      <c r="J292" s="111"/>
      <c r="K292" s="111"/>
      <c r="L292" s="111"/>
      <c r="M292" s="111"/>
      <c r="N292" s="60">
        <v>2</v>
      </c>
      <c r="O292" s="60">
        <v>4</v>
      </c>
      <c r="P292" s="17">
        <f t="shared" si="285"/>
        <v>6</v>
      </c>
      <c r="Q292" s="60"/>
      <c r="R292" s="60"/>
      <c r="S292" s="17">
        <f t="shared" si="286"/>
        <v>0</v>
      </c>
      <c r="T292" s="60"/>
      <c r="U292" s="60"/>
      <c r="V292" s="17">
        <f t="shared" si="287"/>
        <v>0</v>
      </c>
      <c r="W292" s="391">
        <f t="shared" si="288"/>
        <v>2</v>
      </c>
      <c r="X292" s="17">
        <f t="shared" si="289"/>
        <v>4</v>
      </c>
      <c r="Y292" s="18">
        <f t="shared" si="290"/>
        <v>6</v>
      </c>
      <c r="Z292" s="19">
        <f t="shared" si="291"/>
        <v>0.21428571428571427</v>
      </c>
      <c r="AA292" s="19"/>
      <c r="AB292" s="19"/>
      <c r="AC292" s="20"/>
      <c r="AE292" s="111"/>
      <c r="AF292" s="111"/>
      <c r="AG292" s="111"/>
      <c r="AH292" s="651"/>
      <c r="AI292" s="131"/>
      <c r="AK292" s="111"/>
      <c r="AL292" s="111"/>
      <c r="AM292" s="111"/>
      <c r="AN292" s="651"/>
      <c r="AO292" s="131"/>
      <c r="AQ292" s="17"/>
      <c r="AR292" s="17"/>
      <c r="AS292" s="17"/>
      <c r="AT292" s="424">
        <f t="shared" si="292"/>
        <v>2</v>
      </c>
      <c r="AU292" s="19">
        <f t="shared" si="293"/>
        <v>0.13333333333333333</v>
      </c>
      <c r="AW292" s="17"/>
      <c r="AX292" s="17"/>
      <c r="AY292" s="17"/>
      <c r="AZ292" s="424">
        <f t="shared" si="294"/>
        <v>4</v>
      </c>
      <c r="BA292" s="19">
        <f t="shared" si="295"/>
        <v>0.30769230769230771</v>
      </c>
    </row>
    <row r="293" spans="1:53" ht="17.100000000000001" customHeight="1" x14ac:dyDescent="0.25">
      <c r="A293" s="40"/>
      <c r="B293" s="40"/>
      <c r="C293" s="74" t="s">
        <v>303</v>
      </c>
      <c r="D293" s="75" t="s">
        <v>9</v>
      </c>
      <c r="E293" s="105"/>
      <c r="F293" s="75"/>
      <c r="G293" s="75"/>
      <c r="H293" s="23"/>
      <c r="I293" s="229"/>
      <c r="J293" s="111"/>
      <c r="K293" s="111"/>
      <c r="L293" s="111"/>
      <c r="M293" s="111"/>
      <c r="N293" s="61"/>
      <c r="O293" s="61"/>
      <c r="P293" s="17">
        <f t="shared" si="285"/>
        <v>0</v>
      </c>
      <c r="Q293" s="61">
        <v>5</v>
      </c>
      <c r="R293" s="61">
        <v>2</v>
      </c>
      <c r="S293" s="17">
        <f t="shared" si="286"/>
        <v>7</v>
      </c>
      <c r="T293" s="61"/>
      <c r="U293" s="61"/>
      <c r="V293" s="17">
        <f t="shared" si="287"/>
        <v>0</v>
      </c>
      <c r="W293" s="391">
        <f t="shared" si="288"/>
        <v>5</v>
      </c>
      <c r="X293" s="17">
        <f t="shared" si="289"/>
        <v>2</v>
      </c>
      <c r="Y293" s="18">
        <f t="shared" si="290"/>
        <v>7</v>
      </c>
      <c r="Z293" s="19">
        <f t="shared" si="291"/>
        <v>0.25</v>
      </c>
      <c r="AA293" s="19"/>
      <c r="AB293" s="19"/>
      <c r="AC293" s="20"/>
      <c r="AE293" s="111"/>
      <c r="AF293" s="111"/>
      <c r="AG293" s="111"/>
      <c r="AH293" s="651"/>
      <c r="AI293" s="131"/>
      <c r="AK293" s="111"/>
      <c r="AL293" s="111"/>
      <c r="AM293" s="111"/>
      <c r="AN293" s="651"/>
      <c r="AO293" s="131"/>
      <c r="AQ293" s="17"/>
      <c r="AR293" s="17"/>
      <c r="AS293" s="17"/>
      <c r="AT293" s="424">
        <f t="shared" si="292"/>
        <v>5</v>
      </c>
      <c r="AU293" s="19">
        <f t="shared" si="293"/>
        <v>0.33333333333333331</v>
      </c>
      <c r="AW293" s="17"/>
      <c r="AX293" s="17"/>
      <c r="AY293" s="17"/>
      <c r="AZ293" s="424">
        <f t="shared" si="294"/>
        <v>2</v>
      </c>
      <c r="BA293" s="19">
        <f t="shared" si="295"/>
        <v>0.15384615384615385</v>
      </c>
    </row>
    <row r="294" spans="1:53" ht="17.100000000000001" customHeight="1" x14ac:dyDescent="0.25">
      <c r="A294" s="40"/>
      <c r="B294" s="40"/>
      <c r="C294" s="292"/>
      <c r="D294" s="144"/>
      <c r="E294" s="144"/>
      <c r="F294" s="145"/>
      <c r="G294" s="145"/>
      <c r="H294" s="119"/>
      <c r="I294" s="236"/>
      <c r="J294" s="80"/>
      <c r="K294" s="80"/>
      <c r="L294" s="81"/>
      <c r="M294" s="81"/>
      <c r="N294" s="81">
        <f>SUM(N290:N293)</f>
        <v>3</v>
      </c>
      <c r="O294" s="81">
        <f t="shared" ref="O294:V294" si="296">SUM(O290:O293)</f>
        <v>6</v>
      </c>
      <c r="P294" s="81">
        <f t="shared" si="296"/>
        <v>9</v>
      </c>
      <c r="Q294" s="81">
        <f t="shared" si="296"/>
        <v>7</v>
      </c>
      <c r="R294" s="81">
        <f t="shared" si="296"/>
        <v>2</v>
      </c>
      <c r="S294" s="81">
        <f t="shared" si="296"/>
        <v>9</v>
      </c>
      <c r="T294" s="81">
        <f t="shared" si="296"/>
        <v>5</v>
      </c>
      <c r="U294" s="81">
        <f t="shared" si="296"/>
        <v>5</v>
      </c>
      <c r="V294" s="81">
        <f t="shared" si="296"/>
        <v>10</v>
      </c>
      <c r="W294" s="82">
        <f>SUM(W290:W293)</f>
        <v>15</v>
      </c>
      <c r="X294" s="82">
        <f t="shared" ref="X294:Y294" si="297">SUM(X290:X293)</f>
        <v>13</v>
      </c>
      <c r="Y294" s="82">
        <f t="shared" si="297"/>
        <v>28</v>
      </c>
      <c r="Z294" s="66">
        <f t="shared" si="291"/>
        <v>1</v>
      </c>
      <c r="AA294" s="205"/>
      <c r="AB294" s="205"/>
      <c r="AC294" s="83"/>
      <c r="AE294" s="81"/>
      <c r="AF294" s="81"/>
      <c r="AG294" s="82"/>
      <c r="AH294" s="82"/>
      <c r="AI294" s="66"/>
      <c r="AK294" s="81"/>
      <c r="AL294" s="81"/>
      <c r="AM294" s="82"/>
      <c r="AN294" s="82"/>
      <c r="AO294" s="66"/>
      <c r="AQ294" s="81"/>
      <c r="AR294" s="81"/>
      <c r="AS294" s="82"/>
      <c r="AT294" s="81">
        <f>SUM(AT290:AT293)</f>
        <v>15</v>
      </c>
      <c r="AU294" s="66">
        <f t="shared" si="293"/>
        <v>1</v>
      </c>
      <c r="AW294" s="81"/>
      <c r="AX294" s="81"/>
      <c r="AY294" s="82"/>
      <c r="AZ294" s="81">
        <f>SUM(AZ290:AZ293)</f>
        <v>13</v>
      </c>
      <c r="BA294" s="66">
        <f t="shared" si="295"/>
        <v>1</v>
      </c>
    </row>
    <row r="295" spans="1:53" s="117" customFormat="1" ht="17.100000000000001" customHeight="1" x14ac:dyDescent="0.25">
      <c r="A295" s="68"/>
      <c r="B295" s="119"/>
      <c r="C295" s="647"/>
      <c r="D295" s="261"/>
      <c r="E295" s="261"/>
      <c r="F295" s="68"/>
      <c r="G295" s="68"/>
      <c r="H295" s="119"/>
      <c r="I295" s="138"/>
      <c r="J295" s="17"/>
      <c r="K295" s="17"/>
      <c r="L295" s="17"/>
      <c r="M295" s="17"/>
      <c r="N295" s="17" t="str">
        <f>IF(N294=N$20,"OK","NOK")</f>
        <v>OK</v>
      </c>
      <c r="O295" s="17" t="str">
        <f>IF(O294=O$20,"OK","NOK")</f>
        <v>OK</v>
      </c>
      <c r="P295" s="17"/>
      <c r="Q295" s="17" t="str">
        <f>IF(Q294=Q$20,"OK","NOK")</f>
        <v>OK</v>
      </c>
      <c r="R295" s="17" t="str">
        <f>IF(R294=R$20,"OK","NOK")</f>
        <v>OK</v>
      </c>
      <c r="S295" s="17"/>
      <c r="T295" s="17" t="str">
        <f>IF(T294=T$20,"OK","NOK")</f>
        <v>OK</v>
      </c>
      <c r="U295" s="17" t="str">
        <f>IF(U294=U$20,"OK","NOK")</f>
        <v>OK</v>
      </c>
      <c r="V295" s="359"/>
      <c r="W295" s="382"/>
      <c r="X295" s="646"/>
      <c r="Y295" s="646"/>
      <c r="Z295" s="201"/>
      <c r="AA295" s="201"/>
      <c r="AB295" s="201"/>
      <c r="AC295" s="84"/>
      <c r="AE295" s="46"/>
      <c r="AF295" s="46"/>
      <c r="AG295" s="17"/>
      <c r="AH295" s="646"/>
      <c r="AI295" s="91"/>
      <c r="AK295" s="46"/>
      <c r="AL295" s="46"/>
      <c r="AM295" s="17"/>
      <c r="AN295" s="646"/>
      <c r="AO295" s="91"/>
      <c r="AQ295" s="46"/>
      <c r="AR295" s="46"/>
      <c r="AS295" s="17"/>
      <c r="AT295" s="646"/>
      <c r="AU295" s="91"/>
      <c r="AW295" s="46"/>
      <c r="AX295" s="46"/>
      <c r="AY295" s="17"/>
      <c r="AZ295" s="646"/>
      <c r="BA295" s="91"/>
    </row>
    <row r="296" spans="1:53" ht="17.100000000000001" customHeight="1" x14ac:dyDescent="0.25">
      <c r="A296" s="40"/>
      <c r="B296" s="41" t="s">
        <v>306</v>
      </c>
      <c r="C296" s="274" t="s">
        <v>607</v>
      </c>
      <c r="D296" s="43"/>
      <c r="E296" s="43"/>
      <c r="F296" s="43"/>
      <c r="G296" s="43"/>
      <c r="H296" s="23"/>
      <c r="I296" s="229"/>
      <c r="J296" s="71"/>
      <c r="K296" s="71"/>
      <c r="L296" s="71"/>
      <c r="M296" s="71"/>
      <c r="N296" s="71"/>
      <c r="O296" s="71"/>
      <c r="P296" s="71"/>
      <c r="Q296" s="71"/>
      <c r="R296" s="71"/>
      <c r="S296" s="71"/>
      <c r="T296" s="71"/>
      <c r="U296" s="71"/>
      <c r="V296" s="71"/>
      <c r="W296" s="71"/>
      <c r="X296" s="71"/>
      <c r="Y296" s="71"/>
      <c r="Z296" s="73"/>
      <c r="AA296" s="73"/>
      <c r="AB296" s="73"/>
      <c r="AC296" s="73"/>
      <c r="AE296" s="71"/>
      <c r="AF296" s="71"/>
      <c r="AG296" s="273"/>
      <c r="AH296" s="73"/>
      <c r="AI296" s="73"/>
      <c r="AK296" s="71"/>
      <c r="AL296" s="71"/>
      <c r="AM296" s="273"/>
      <c r="AN296" s="73"/>
      <c r="AO296" s="73"/>
      <c r="AQ296" s="71"/>
      <c r="AR296" s="71"/>
      <c r="AS296" s="273"/>
      <c r="AT296" s="73"/>
      <c r="AU296" s="73"/>
      <c r="AW296" s="71"/>
      <c r="AX296" s="71"/>
      <c r="AY296" s="273"/>
      <c r="AZ296" s="73"/>
      <c r="BA296" s="73"/>
    </row>
    <row r="297" spans="1:53" ht="17.100000000000001" customHeight="1" x14ac:dyDescent="0.25">
      <c r="A297" s="40"/>
      <c r="B297" s="40"/>
      <c r="C297" s="74" t="s">
        <v>308</v>
      </c>
      <c r="D297" s="85" t="s">
        <v>292</v>
      </c>
      <c r="E297" s="105"/>
      <c r="F297" s="105"/>
      <c r="G297" s="105"/>
      <c r="H297" s="84"/>
      <c r="I297" s="231"/>
      <c r="J297" s="111"/>
      <c r="K297" s="111"/>
      <c r="L297" s="111"/>
      <c r="M297" s="111"/>
      <c r="N297" s="60">
        <v>1</v>
      </c>
      <c r="O297" s="60">
        <v>2</v>
      </c>
      <c r="P297" s="17">
        <f t="shared" ref="P297:P307" si="298">SUM(N297:O297)</f>
        <v>3</v>
      </c>
      <c r="Q297" s="60"/>
      <c r="R297" s="60"/>
      <c r="S297" s="17">
        <f t="shared" ref="S297:S307" si="299">SUM(Q297:R297)</f>
        <v>0</v>
      </c>
      <c r="T297" s="60"/>
      <c r="U297" s="60"/>
      <c r="V297" s="17">
        <f t="shared" ref="V297:V307" si="300">SUM(T297:U297)</f>
        <v>0</v>
      </c>
      <c r="W297" s="391">
        <f t="shared" ref="W297:W307" si="301">J297+K297+N297+Q297+T297</f>
        <v>1</v>
      </c>
      <c r="X297" s="17">
        <f t="shared" ref="X297:X307" si="302">L297+O297+R297+U297</f>
        <v>2</v>
      </c>
      <c r="Y297" s="18">
        <f t="shared" ref="Y297:Y307" si="303">SUM(W297:X297)</f>
        <v>3</v>
      </c>
      <c r="Z297" s="19">
        <f>IF(Y$312=0,0,Y297/Y$312)</f>
        <v>0.10714285714285714</v>
      </c>
      <c r="AA297" s="19"/>
      <c r="AB297" s="19"/>
      <c r="AC297" s="20"/>
      <c r="AE297" s="111"/>
      <c r="AF297" s="111"/>
      <c r="AG297" s="111"/>
      <c r="AH297" s="651"/>
      <c r="AI297" s="131"/>
      <c r="AK297" s="111"/>
      <c r="AL297" s="111"/>
      <c r="AM297" s="111"/>
      <c r="AN297" s="651"/>
      <c r="AO297" s="131"/>
      <c r="AQ297" s="17"/>
      <c r="AR297" s="17"/>
      <c r="AS297" s="17"/>
      <c r="AT297" s="424">
        <f>W297</f>
        <v>1</v>
      </c>
      <c r="AU297" s="19">
        <f t="shared" ref="AU297:AU306" si="304">IF(AT$312=0,0,AT297/AT$312)</f>
        <v>6.6666666666666666E-2</v>
      </c>
      <c r="AW297" s="17"/>
      <c r="AX297" s="17"/>
      <c r="AY297" s="17"/>
      <c r="AZ297" s="424">
        <f>X297</f>
        <v>2</v>
      </c>
      <c r="BA297" s="19">
        <f t="shared" ref="BA297:BA306" si="305">IF(AZ$312=0,0,AZ297/AZ$312)</f>
        <v>0.15384615384615385</v>
      </c>
    </row>
    <row r="298" spans="1:53" ht="17.100000000000001" customHeight="1" x14ac:dyDescent="0.25">
      <c r="A298" s="40"/>
      <c r="B298" s="40"/>
      <c r="C298" s="74" t="s">
        <v>309</v>
      </c>
      <c r="D298" s="146" t="s">
        <v>757</v>
      </c>
      <c r="E298" s="105"/>
      <c r="F298" s="105"/>
      <c r="G298" s="105"/>
      <c r="H298" s="84"/>
      <c r="I298" s="231"/>
      <c r="J298" s="111"/>
      <c r="K298" s="111"/>
      <c r="L298" s="111"/>
      <c r="M298" s="111"/>
      <c r="N298" s="61"/>
      <c r="O298" s="61"/>
      <c r="P298" s="17">
        <f t="shared" si="298"/>
        <v>0</v>
      </c>
      <c r="Q298" s="61"/>
      <c r="R298" s="61"/>
      <c r="S298" s="17">
        <f t="shared" si="299"/>
        <v>0</v>
      </c>
      <c r="T298" s="61">
        <v>5</v>
      </c>
      <c r="U298" s="61">
        <v>5</v>
      </c>
      <c r="V298" s="17">
        <f t="shared" ref="V298:V306" si="306">SUM(T298:U298)</f>
        <v>10</v>
      </c>
      <c r="W298" s="391">
        <f t="shared" si="301"/>
        <v>5</v>
      </c>
      <c r="X298" s="17">
        <f t="shared" si="302"/>
        <v>5</v>
      </c>
      <c r="Y298" s="18">
        <f t="shared" si="303"/>
        <v>10</v>
      </c>
      <c r="Z298" s="19">
        <f t="shared" ref="Z298:Z306" si="307">IF(Y$312=0,0,Y298/Y$312)</f>
        <v>0.35714285714285715</v>
      </c>
      <c r="AA298" s="19"/>
      <c r="AB298" s="19"/>
      <c r="AC298" s="20"/>
      <c r="AE298" s="111"/>
      <c r="AF298" s="111"/>
      <c r="AG298" s="111"/>
      <c r="AH298" s="651"/>
      <c r="AI298" s="131"/>
      <c r="AK298" s="111"/>
      <c r="AL298" s="111"/>
      <c r="AM298" s="111"/>
      <c r="AN298" s="651"/>
      <c r="AO298" s="131"/>
      <c r="AQ298" s="17"/>
      <c r="AR298" s="17"/>
      <c r="AS298" s="17"/>
      <c r="AT298" s="424">
        <f t="shared" ref="AT298:AT307" si="308">W298</f>
        <v>5</v>
      </c>
      <c r="AU298" s="19">
        <f t="shared" si="304"/>
        <v>0.33333333333333331</v>
      </c>
      <c r="AW298" s="17"/>
      <c r="AX298" s="17"/>
      <c r="AY298" s="17"/>
      <c r="AZ298" s="424">
        <f t="shared" ref="AZ298:AZ307" si="309">X298</f>
        <v>5</v>
      </c>
      <c r="BA298" s="19">
        <f t="shared" si="305"/>
        <v>0.38461538461538464</v>
      </c>
    </row>
    <row r="299" spans="1:53" ht="17.100000000000001" customHeight="1" x14ac:dyDescent="0.25">
      <c r="A299" s="40"/>
      <c r="B299" s="40"/>
      <c r="C299" s="74" t="s">
        <v>489</v>
      </c>
      <c r="D299" s="85" t="s">
        <v>300</v>
      </c>
      <c r="E299" s="105"/>
      <c r="F299" s="105"/>
      <c r="G299" s="105"/>
      <c r="H299" s="84"/>
      <c r="I299" s="231"/>
      <c r="J299" s="111"/>
      <c r="K299" s="111"/>
      <c r="L299" s="111"/>
      <c r="M299" s="111"/>
      <c r="N299" s="60"/>
      <c r="O299" s="60"/>
      <c r="P299" s="17">
        <f t="shared" si="298"/>
        <v>0</v>
      </c>
      <c r="Q299" s="60"/>
      <c r="R299" s="60"/>
      <c r="S299" s="17">
        <f t="shared" si="299"/>
        <v>0</v>
      </c>
      <c r="T299" s="60"/>
      <c r="U299" s="60"/>
      <c r="V299" s="17">
        <f t="shared" si="306"/>
        <v>0</v>
      </c>
      <c r="W299" s="391">
        <f t="shared" si="301"/>
        <v>0</v>
      </c>
      <c r="X299" s="17">
        <f t="shared" si="302"/>
        <v>0</v>
      </c>
      <c r="Y299" s="18">
        <f t="shared" si="303"/>
        <v>0</v>
      </c>
      <c r="Z299" s="19">
        <f t="shared" si="307"/>
        <v>0</v>
      </c>
      <c r="AA299" s="19"/>
      <c r="AB299" s="19"/>
      <c r="AC299" s="20"/>
      <c r="AE299" s="111"/>
      <c r="AF299" s="111"/>
      <c r="AG299" s="111"/>
      <c r="AH299" s="651"/>
      <c r="AI299" s="131"/>
      <c r="AK299" s="111"/>
      <c r="AL299" s="111"/>
      <c r="AM299" s="111"/>
      <c r="AN299" s="651"/>
      <c r="AO299" s="131"/>
      <c r="AQ299" s="17"/>
      <c r="AR299" s="17"/>
      <c r="AS299" s="17"/>
      <c r="AT299" s="424">
        <f t="shared" si="308"/>
        <v>0</v>
      </c>
      <c r="AU299" s="19">
        <f t="shared" si="304"/>
        <v>0</v>
      </c>
      <c r="AW299" s="17"/>
      <c r="AX299" s="17"/>
      <c r="AY299" s="17"/>
      <c r="AZ299" s="424">
        <f t="shared" si="309"/>
        <v>0</v>
      </c>
      <c r="BA299" s="19">
        <f t="shared" si="305"/>
        <v>0</v>
      </c>
    </row>
    <row r="300" spans="1:53" ht="17.100000000000001" customHeight="1" x14ac:dyDescent="0.25">
      <c r="A300" s="40"/>
      <c r="B300" s="40"/>
      <c r="C300" s="74" t="s">
        <v>621</v>
      </c>
      <c r="D300" s="85" t="s">
        <v>670</v>
      </c>
      <c r="E300" s="105"/>
      <c r="F300" s="105"/>
      <c r="G300" s="105"/>
      <c r="H300" s="84"/>
      <c r="I300" s="231"/>
      <c r="J300" s="111"/>
      <c r="K300" s="111"/>
      <c r="L300" s="111"/>
      <c r="M300" s="111"/>
      <c r="N300" s="61"/>
      <c r="O300" s="61"/>
      <c r="P300" s="17">
        <f t="shared" si="298"/>
        <v>0</v>
      </c>
      <c r="Q300" s="61"/>
      <c r="R300" s="61"/>
      <c r="S300" s="17">
        <f t="shared" si="299"/>
        <v>0</v>
      </c>
      <c r="T300" s="61"/>
      <c r="U300" s="61"/>
      <c r="V300" s="17">
        <f t="shared" si="306"/>
        <v>0</v>
      </c>
      <c r="W300" s="391">
        <f t="shared" si="301"/>
        <v>0</v>
      </c>
      <c r="X300" s="17">
        <f t="shared" si="302"/>
        <v>0</v>
      </c>
      <c r="Y300" s="18">
        <f t="shared" si="303"/>
        <v>0</v>
      </c>
      <c r="Z300" s="19">
        <f t="shared" si="307"/>
        <v>0</v>
      </c>
      <c r="AA300" s="19"/>
      <c r="AB300" s="19"/>
      <c r="AC300" s="20"/>
      <c r="AE300" s="111"/>
      <c r="AF300" s="111"/>
      <c r="AG300" s="111"/>
      <c r="AH300" s="651"/>
      <c r="AI300" s="131"/>
      <c r="AK300" s="111"/>
      <c r="AL300" s="111"/>
      <c r="AM300" s="111"/>
      <c r="AN300" s="651"/>
      <c r="AO300" s="131"/>
      <c r="AQ300" s="17"/>
      <c r="AR300" s="17"/>
      <c r="AS300" s="17"/>
      <c r="AT300" s="424">
        <f t="shared" si="308"/>
        <v>0</v>
      </c>
      <c r="AU300" s="19">
        <f t="shared" si="304"/>
        <v>0</v>
      </c>
      <c r="AW300" s="17"/>
      <c r="AX300" s="17"/>
      <c r="AY300" s="17"/>
      <c r="AZ300" s="424">
        <f t="shared" si="309"/>
        <v>0</v>
      </c>
      <c r="BA300" s="19">
        <f t="shared" si="305"/>
        <v>0</v>
      </c>
    </row>
    <row r="301" spans="1:53" ht="17.100000000000001" customHeight="1" x14ac:dyDescent="0.25">
      <c r="A301" s="40"/>
      <c r="B301" s="40"/>
      <c r="C301" s="74" t="s">
        <v>622</v>
      </c>
      <c r="D301" s="85" t="s">
        <v>671</v>
      </c>
      <c r="E301" s="75"/>
      <c r="F301" s="75"/>
      <c r="G301" s="75"/>
      <c r="H301" s="23"/>
      <c r="I301" s="229"/>
      <c r="J301" s="111"/>
      <c r="K301" s="111"/>
      <c r="L301" s="111"/>
      <c r="M301" s="111"/>
      <c r="N301" s="60"/>
      <c r="O301" s="60"/>
      <c r="P301" s="17">
        <f t="shared" si="298"/>
        <v>0</v>
      </c>
      <c r="Q301" s="60"/>
      <c r="R301" s="60"/>
      <c r="S301" s="17">
        <f t="shared" si="299"/>
        <v>0</v>
      </c>
      <c r="T301" s="60"/>
      <c r="U301" s="60"/>
      <c r="V301" s="17">
        <f t="shared" si="306"/>
        <v>0</v>
      </c>
      <c r="W301" s="391">
        <f t="shared" si="301"/>
        <v>0</v>
      </c>
      <c r="X301" s="17">
        <f t="shared" si="302"/>
        <v>0</v>
      </c>
      <c r="Y301" s="18">
        <f t="shared" si="303"/>
        <v>0</v>
      </c>
      <c r="Z301" s="19">
        <f t="shared" si="307"/>
        <v>0</v>
      </c>
      <c r="AA301" s="19"/>
      <c r="AB301" s="19"/>
      <c r="AC301" s="20"/>
      <c r="AE301" s="111"/>
      <c r="AF301" s="111"/>
      <c r="AG301" s="111"/>
      <c r="AH301" s="651"/>
      <c r="AI301" s="131"/>
      <c r="AK301" s="111"/>
      <c r="AL301" s="111"/>
      <c r="AM301" s="111"/>
      <c r="AN301" s="651"/>
      <c r="AO301" s="131"/>
      <c r="AQ301" s="17"/>
      <c r="AR301" s="17"/>
      <c r="AS301" s="17"/>
      <c r="AT301" s="424">
        <f t="shared" si="308"/>
        <v>0</v>
      </c>
      <c r="AU301" s="19">
        <f t="shared" si="304"/>
        <v>0</v>
      </c>
      <c r="AW301" s="17"/>
      <c r="AX301" s="17"/>
      <c r="AY301" s="17"/>
      <c r="AZ301" s="424">
        <f t="shared" si="309"/>
        <v>0</v>
      </c>
      <c r="BA301" s="19">
        <f t="shared" si="305"/>
        <v>0</v>
      </c>
    </row>
    <row r="302" spans="1:53" ht="17.100000000000001" customHeight="1" x14ac:dyDescent="0.25">
      <c r="A302" s="40"/>
      <c r="B302" s="40"/>
      <c r="C302" s="74" t="s">
        <v>623</v>
      </c>
      <c r="D302" s="85" t="s">
        <v>302</v>
      </c>
      <c r="E302" s="649"/>
      <c r="F302" s="105"/>
      <c r="G302" s="105"/>
      <c r="H302" s="84"/>
      <c r="I302" s="231"/>
      <c r="J302" s="111"/>
      <c r="K302" s="111"/>
      <c r="L302" s="111"/>
      <c r="M302" s="111"/>
      <c r="N302" s="61"/>
      <c r="O302" s="61"/>
      <c r="P302" s="17">
        <f t="shared" si="298"/>
        <v>0</v>
      </c>
      <c r="Q302" s="61"/>
      <c r="R302" s="61"/>
      <c r="S302" s="17">
        <f t="shared" si="299"/>
        <v>0</v>
      </c>
      <c r="T302" s="61"/>
      <c r="U302" s="61"/>
      <c r="V302" s="17">
        <f t="shared" si="306"/>
        <v>0</v>
      </c>
      <c r="W302" s="391">
        <f t="shared" si="301"/>
        <v>0</v>
      </c>
      <c r="X302" s="17">
        <f t="shared" si="302"/>
        <v>0</v>
      </c>
      <c r="Y302" s="18">
        <f t="shared" si="303"/>
        <v>0</v>
      </c>
      <c r="Z302" s="19">
        <f t="shared" si="307"/>
        <v>0</v>
      </c>
      <c r="AA302" s="19"/>
      <c r="AB302" s="19"/>
      <c r="AC302" s="20"/>
      <c r="AE302" s="111"/>
      <c r="AF302" s="111"/>
      <c r="AG302" s="111"/>
      <c r="AH302" s="651"/>
      <c r="AI302" s="131"/>
      <c r="AK302" s="111"/>
      <c r="AL302" s="111"/>
      <c r="AM302" s="111"/>
      <c r="AN302" s="651"/>
      <c r="AO302" s="131"/>
      <c r="AQ302" s="17"/>
      <c r="AR302" s="17"/>
      <c r="AS302" s="17"/>
      <c r="AT302" s="424">
        <f t="shared" si="308"/>
        <v>0</v>
      </c>
      <c r="AU302" s="19">
        <f t="shared" si="304"/>
        <v>0</v>
      </c>
      <c r="AW302" s="17"/>
      <c r="AX302" s="17"/>
      <c r="AY302" s="17"/>
      <c r="AZ302" s="424">
        <f t="shared" si="309"/>
        <v>0</v>
      </c>
      <c r="BA302" s="19">
        <f t="shared" si="305"/>
        <v>0</v>
      </c>
    </row>
    <row r="303" spans="1:53" ht="17.100000000000001" customHeight="1" x14ac:dyDescent="0.25">
      <c r="A303" s="40"/>
      <c r="B303" s="40"/>
      <c r="C303" s="74" t="s">
        <v>624</v>
      </c>
      <c r="D303" s="85" t="s">
        <v>487</v>
      </c>
      <c r="E303" s="649"/>
      <c r="F303" s="105"/>
      <c r="G303" s="105"/>
      <c r="H303" s="84"/>
      <c r="I303" s="231"/>
      <c r="J303" s="111"/>
      <c r="K303" s="111"/>
      <c r="L303" s="111"/>
      <c r="M303" s="111"/>
      <c r="N303" s="60"/>
      <c r="O303" s="60"/>
      <c r="P303" s="17">
        <f t="shared" si="298"/>
        <v>0</v>
      </c>
      <c r="Q303" s="60">
        <v>7</v>
      </c>
      <c r="R303" s="60">
        <v>2</v>
      </c>
      <c r="S303" s="17">
        <f t="shared" si="299"/>
        <v>9</v>
      </c>
      <c r="T303" s="60"/>
      <c r="U303" s="60"/>
      <c r="V303" s="17">
        <f t="shared" si="306"/>
        <v>0</v>
      </c>
      <c r="W303" s="391">
        <f t="shared" si="301"/>
        <v>7</v>
      </c>
      <c r="X303" s="17">
        <f t="shared" si="302"/>
        <v>2</v>
      </c>
      <c r="Y303" s="18">
        <f t="shared" si="303"/>
        <v>9</v>
      </c>
      <c r="Z303" s="19">
        <f t="shared" si="307"/>
        <v>0.32142857142857145</v>
      </c>
      <c r="AA303" s="19"/>
      <c r="AB303" s="19"/>
      <c r="AC303" s="20"/>
      <c r="AE303" s="111"/>
      <c r="AF303" s="111"/>
      <c r="AG303" s="111"/>
      <c r="AH303" s="651"/>
      <c r="AI303" s="131"/>
      <c r="AK303" s="111"/>
      <c r="AL303" s="111"/>
      <c r="AM303" s="111"/>
      <c r="AN303" s="651"/>
      <c r="AO303" s="131"/>
      <c r="AQ303" s="17"/>
      <c r="AR303" s="17"/>
      <c r="AS303" s="17"/>
      <c r="AT303" s="424">
        <f t="shared" si="308"/>
        <v>7</v>
      </c>
      <c r="AU303" s="19">
        <f t="shared" si="304"/>
        <v>0.46666666666666667</v>
      </c>
      <c r="AW303" s="17"/>
      <c r="AX303" s="17"/>
      <c r="AY303" s="17"/>
      <c r="AZ303" s="424">
        <f t="shared" si="309"/>
        <v>2</v>
      </c>
      <c r="BA303" s="19">
        <f t="shared" si="305"/>
        <v>0.15384615384615385</v>
      </c>
    </row>
    <row r="304" spans="1:53" ht="17.100000000000001" customHeight="1" x14ac:dyDescent="0.25">
      <c r="A304" s="40"/>
      <c r="B304" s="40"/>
      <c r="C304" s="74" t="s">
        <v>625</v>
      </c>
      <c r="D304" s="85" t="s">
        <v>488</v>
      </c>
      <c r="E304" s="649"/>
      <c r="F304" s="105"/>
      <c r="G304" s="105"/>
      <c r="H304" s="84"/>
      <c r="I304" s="231"/>
      <c r="J304" s="111"/>
      <c r="K304" s="111"/>
      <c r="L304" s="111"/>
      <c r="M304" s="111"/>
      <c r="N304" s="61"/>
      <c r="O304" s="61"/>
      <c r="P304" s="17">
        <f t="shared" si="298"/>
        <v>0</v>
      </c>
      <c r="Q304" s="61"/>
      <c r="R304" s="61"/>
      <c r="S304" s="17">
        <f t="shared" si="299"/>
        <v>0</v>
      </c>
      <c r="T304" s="61"/>
      <c r="U304" s="61"/>
      <c r="V304" s="17">
        <f t="shared" si="306"/>
        <v>0</v>
      </c>
      <c r="W304" s="391">
        <f t="shared" si="301"/>
        <v>0</v>
      </c>
      <c r="X304" s="17">
        <f t="shared" si="302"/>
        <v>0</v>
      </c>
      <c r="Y304" s="18">
        <f t="shared" si="303"/>
        <v>0</v>
      </c>
      <c r="Z304" s="19">
        <f t="shared" si="307"/>
        <v>0</v>
      </c>
      <c r="AA304" s="19"/>
      <c r="AB304" s="19"/>
      <c r="AC304" s="20"/>
      <c r="AE304" s="111"/>
      <c r="AF304" s="111"/>
      <c r="AG304" s="111"/>
      <c r="AH304" s="651"/>
      <c r="AI304" s="131"/>
      <c r="AK304" s="111"/>
      <c r="AL304" s="111"/>
      <c r="AM304" s="111"/>
      <c r="AN304" s="651"/>
      <c r="AO304" s="131"/>
      <c r="AQ304" s="17"/>
      <c r="AR304" s="17"/>
      <c r="AS304" s="17"/>
      <c r="AT304" s="424">
        <f t="shared" si="308"/>
        <v>0</v>
      </c>
      <c r="AU304" s="19">
        <f t="shared" si="304"/>
        <v>0</v>
      </c>
      <c r="AW304" s="17"/>
      <c r="AX304" s="17"/>
      <c r="AY304" s="17"/>
      <c r="AZ304" s="424">
        <f t="shared" si="309"/>
        <v>0</v>
      </c>
      <c r="BA304" s="19">
        <f t="shared" si="305"/>
        <v>0</v>
      </c>
    </row>
    <row r="305" spans="1:53" ht="17.100000000000001" customHeight="1" x14ac:dyDescent="0.25">
      <c r="A305" s="40"/>
      <c r="B305" s="40"/>
      <c r="C305" s="74" t="s">
        <v>668</v>
      </c>
      <c r="D305" s="85" t="s">
        <v>304</v>
      </c>
      <c r="E305" s="649"/>
      <c r="F305" s="105"/>
      <c r="G305" s="105"/>
      <c r="H305" s="84"/>
      <c r="I305" s="231"/>
      <c r="J305" s="111"/>
      <c r="K305" s="111"/>
      <c r="L305" s="111"/>
      <c r="M305" s="111"/>
      <c r="N305" s="60"/>
      <c r="O305" s="60"/>
      <c r="P305" s="17">
        <f t="shared" si="298"/>
        <v>0</v>
      </c>
      <c r="Q305" s="60"/>
      <c r="R305" s="60"/>
      <c r="S305" s="17">
        <f t="shared" si="299"/>
        <v>0</v>
      </c>
      <c r="T305" s="60"/>
      <c r="U305" s="60"/>
      <c r="V305" s="17">
        <f t="shared" si="306"/>
        <v>0</v>
      </c>
      <c r="W305" s="391">
        <f t="shared" si="301"/>
        <v>0</v>
      </c>
      <c r="X305" s="17">
        <f t="shared" si="302"/>
        <v>0</v>
      </c>
      <c r="Y305" s="18">
        <f t="shared" si="303"/>
        <v>0</v>
      </c>
      <c r="Z305" s="19">
        <f t="shared" si="307"/>
        <v>0</v>
      </c>
      <c r="AA305" s="19"/>
      <c r="AB305" s="19"/>
      <c r="AC305" s="20"/>
      <c r="AE305" s="111"/>
      <c r="AF305" s="111"/>
      <c r="AG305" s="111"/>
      <c r="AH305" s="651"/>
      <c r="AI305" s="131"/>
      <c r="AK305" s="111"/>
      <c r="AL305" s="111"/>
      <c r="AM305" s="111"/>
      <c r="AN305" s="651"/>
      <c r="AO305" s="131"/>
      <c r="AQ305" s="17"/>
      <c r="AR305" s="17"/>
      <c r="AS305" s="17"/>
      <c r="AT305" s="424">
        <f t="shared" si="308"/>
        <v>0</v>
      </c>
      <c r="AU305" s="19">
        <f t="shared" si="304"/>
        <v>0</v>
      </c>
      <c r="AW305" s="17"/>
      <c r="AX305" s="17"/>
      <c r="AY305" s="17"/>
      <c r="AZ305" s="424">
        <f t="shared" si="309"/>
        <v>0</v>
      </c>
      <c r="BA305" s="19">
        <f t="shared" si="305"/>
        <v>0</v>
      </c>
    </row>
    <row r="306" spans="1:53" ht="17.100000000000001" customHeight="1" x14ac:dyDescent="0.25">
      <c r="A306" s="40"/>
      <c r="B306" s="40"/>
      <c r="C306" s="74" t="s">
        <v>669</v>
      </c>
      <c r="D306" s="85" t="s">
        <v>758</v>
      </c>
      <c r="E306" s="649"/>
      <c r="F306" s="105"/>
      <c r="G306" s="105"/>
      <c r="H306" s="84"/>
      <c r="I306" s="231"/>
      <c r="J306" s="111"/>
      <c r="K306" s="111"/>
      <c r="L306" s="111"/>
      <c r="M306" s="111"/>
      <c r="N306" s="61">
        <v>2</v>
      </c>
      <c r="O306" s="61">
        <v>4</v>
      </c>
      <c r="P306" s="17">
        <f t="shared" si="298"/>
        <v>6</v>
      </c>
      <c r="Q306" s="61"/>
      <c r="R306" s="61"/>
      <c r="S306" s="17">
        <f t="shared" si="299"/>
        <v>0</v>
      </c>
      <c r="T306" s="61"/>
      <c r="U306" s="61"/>
      <c r="V306" s="17">
        <f t="shared" si="306"/>
        <v>0</v>
      </c>
      <c r="W306" s="391">
        <f t="shared" si="301"/>
        <v>2</v>
      </c>
      <c r="X306" s="17">
        <f t="shared" si="302"/>
        <v>4</v>
      </c>
      <c r="Y306" s="18">
        <f t="shared" si="303"/>
        <v>6</v>
      </c>
      <c r="Z306" s="19">
        <f t="shared" si="307"/>
        <v>0.21428571428571427</v>
      </c>
      <c r="AA306" s="19"/>
      <c r="AB306" s="19"/>
      <c r="AC306" s="20"/>
      <c r="AE306" s="111"/>
      <c r="AF306" s="111"/>
      <c r="AG306" s="111"/>
      <c r="AH306" s="651"/>
      <c r="AI306" s="131"/>
      <c r="AK306" s="111"/>
      <c r="AL306" s="111"/>
      <c r="AM306" s="111"/>
      <c r="AN306" s="651"/>
      <c r="AO306" s="131"/>
      <c r="AQ306" s="17"/>
      <c r="AR306" s="17"/>
      <c r="AS306" s="17"/>
      <c r="AT306" s="424">
        <f t="shared" si="308"/>
        <v>2</v>
      </c>
      <c r="AU306" s="19">
        <f t="shared" si="304"/>
        <v>0.13333333333333333</v>
      </c>
      <c r="AW306" s="17"/>
      <c r="AX306" s="17"/>
      <c r="AY306" s="17"/>
      <c r="AZ306" s="424">
        <f t="shared" si="309"/>
        <v>4</v>
      </c>
      <c r="BA306" s="19">
        <f t="shared" si="305"/>
        <v>0.30769230769230771</v>
      </c>
    </row>
    <row r="307" spans="1:53" ht="17.100000000000001" customHeight="1" x14ac:dyDescent="0.25">
      <c r="A307" s="40"/>
      <c r="B307" s="40"/>
      <c r="C307" s="74" t="s">
        <v>756</v>
      </c>
      <c r="D307" s="85" t="s">
        <v>305</v>
      </c>
      <c r="E307" s="649"/>
      <c r="F307" s="105"/>
      <c r="G307" s="105"/>
      <c r="H307" s="84"/>
      <c r="I307" s="231"/>
      <c r="J307" s="111"/>
      <c r="K307" s="111"/>
      <c r="L307" s="111"/>
      <c r="M307" s="111"/>
      <c r="N307" s="111">
        <f t="shared" ref="N307:U307" si="310">SUM(N308:N311)</f>
        <v>0</v>
      </c>
      <c r="O307" s="111">
        <f t="shared" si="310"/>
        <v>0</v>
      </c>
      <c r="P307" s="111">
        <f t="shared" si="298"/>
        <v>0</v>
      </c>
      <c r="Q307" s="111">
        <f t="shared" si="310"/>
        <v>0</v>
      </c>
      <c r="R307" s="111">
        <f t="shared" si="310"/>
        <v>0</v>
      </c>
      <c r="S307" s="111">
        <f t="shared" si="299"/>
        <v>0</v>
      </c>
      <c r="T307" s="111">
        <f t="shared" si="310"/>
        <v>0</v>
      </c>
      <c r="U307" s="111">
        <f t="shared" si="310"/>
        <v>0</v>
      </c>
      <c r="V307" s="358">
        <f t="shared" si="300"/>
        <v>0</v>
      </c>
      <c r="W307" s="380">
        <f t="shared" si="301"/>
        <v>0</v>
      </c>
      <c r="X307" s="111">
        <f t="shared" si="302"/>
        <v>0</v>
      </c>
      <c r="Y307" s="651">
        <f t="shared" si="303"/>
        <v>0</v>
      </c>
      <c r="Z307" s="131">
        <f>IF(Y$312=0,0,Y307/Y$312)</f>
        <v>0</v>
      </c>
      <c r="AA307" s="131"/>
      <c r="AB307" s="131"/>
      <c r="AC307" s="113"/>
      <c r="AE307" s="111"/>
      <c r="AF307" s="111"/>
      <c r="AG307" s="111"/>
      <c r="AH307" s="651"/>
      <c r="AI307" s="131"/>
      <c r="AK307" s="111"/>
      <c r="AL307" s="111"/>
      <c r="AM307" s="111"/>
      <c r="AN307" s="651"/>
      <c r="AO307" s="131"/>
      <c r="AQ307" s="111"/>
      <c r="AR307" s="111"/>
      <c r="AS307" s="111"/>
      <c r="AT307" s="111">
        <f t="shared" si="308"/>
        <v>0</v>
      </c>
      <c r="AU307" s="131">
        <f>IF(AT$312=0,0,AT307/AT$312)</f>
        <v>0</v>
      </c>
      <c r="AW307" s="111"/>
      <c r="AX307" s="111"/>
      <c r="AY307" s="111"/>
      <c r="AZ307" s="111">
        <f t="shared" si="309"/>
        <v>0</v>
      </c>
      <c r="BA307" s="131">
        <f>IF(AZ$312=0,0,AZ307/AZ$312)</f>
        <v>0</v>
      </c>
    </row>
    <row r="308" spans="1:53" ht="17.100000000000001" customHeight="1" x14ac:dyDescent="0.25">
      <c r="A308" s="40"/>
      <c r="B308" s="40"/>
      <c r="C308" s="74"/>
      <c r="D308" s="298" t="s">
        <v>1826</v>
      </c>
      <c r="E308" s="295"/>
      <c r="F308" s="295"/>
      <c r="G308" s="295"/>
      <c r="H308" s="198"/>
      <c r="I308" s="642"/>
      <c r="J308" s="111"/>
      <c r="K308" s="111"/>
      <c r="L308" s="111"/>
      <c r="M308" s="111"/>
      <c r="N308" s="60"/>
      <c r="O308" s="60"/>
      <c r="P308" s="17"/>
      <c r="Q308" s="60"/>
      <c r="R308" s="60"/>
      <c r="S308" s="17"/>
      <c r="T308" s="60"/>
      <c r="U308" s="60"/>
      <c r="V308" s="359"/>
      <c r="W308" s="391"/>
      <c r="X308" s="17"/>
      <c r="Y308" s="17"/>
      <c r="Z308" s="19"/>
      <c r="AA308" s="20"/>
      <c r="AB308" s="20"/>
      <c r="AC308" s="20"/>
      <c r="AE308" s="111"/>
      <c r="AF308" s="111"/>
      <c r="AG308" s="114"/>
      <c r="AH308" s="113"/>
      <c r="AI308" s="113"/>
      <c r="AK308" s="111"/>
      <c r="AL308" s="111"/>
      <c r="AM308" s="114"/>
      <c r="AN308" s="113"/>
      <c r="AO308" s="113"/>
      <c r="AQ308" s="17"/>
      <c r="AR308" s="17"/>
      <c r="AS308" s="306"/>
      <c r="AT308" s="20"/>
      <c r="AU308" s="20"/>
      <c r="AW308" s="17"/>
      <c r="AX308" s="17"/>
      <c r="AY308" s="306"/>
      <c r="AZ308" s="20"/>
      <c r="BA308" s="20"/>
    </row>
    <row r="309" spans="1:53" ht="17.100000000000001" customHeight="1" x14ac:dyDescent="0.25">
      <c r="A309" s="40"/>
      <c r="B309" s="40"/>
      <c r="C309" s="74"/>
      <c r="D309" s="296"/>
      <c r="E309" s="297"/>
      <c r="F309" s="297"/>
      <c r="G309" s="297"/>
      <c r="H309" s="198"/>
      <c r="I309" s="642"/>
      <c r="J309" s="111"/>
      <c r="K309" s="111"/>
      <c r="L309" s="111"/>
      <c r="M309" s="111"/>
      <c r="N309" s="61"/>
      <c r="O309" s="61"/>
      <c r="P309" s="17"/>
      <c r="Q309" s="61"/>
      <c r="R309" s="61"/>
      <c r="S309" s="17"/>
      <c r="T309" s="61"/>
      <c r="U309" s="61"/>
      <c r="V309" s="359"/>
      <c r="W309" s="391"/>
      <c r="X309" s="17"/>
      <c r="Y309" s="17"/>
      <c r="Z309" s="19"/>
      <c r="AA309" s="20"/>
      <c r="AB309" s="20"/>
      <c r="AC309" s="20"/>
      <c r="AE309" s="111"/>
      <c r="AF309" s="111"/>
      <c r="AG309" s="114"/>
      <c r="AH309" s="113"/>
      <c r="AI309" s="113"/>
      <c r="AK309" s="111"/>
      <c r="AL309" s="111"/>
      <c r="AM309" s="114"/>
      <c r="AN309" s="113"/>
      <c r="AO309" s="113"/>
      <c r="AQ309" s="17"/>
      <c r="AR309" s="17"/>
      <c r="AS309" s="306"/>
      <c r="AT309" s="20"/>
      <c r="AU309" s="20"/>
      <c r="AW309" s="17"/>
      <c r="AX309" s="17"/>
      <c r="AY309" s="306"/>
      <c r="AZ309" s="20"/>
      <c r="BA309" s="20"/>
    </row>
    <row r="310" spans="1:53" ht="17.100000000000001" customHeight="1" x14ac:dyDescent="0.25">
      <c r="A310" s="40"/>
      <c r="B310" s="40"/>
      <c r="C310" s="74"/>
      <c r="D310" s="298"/>
      <c r="E310" s="295"/>
      <c r="F310" s="295"/>
      <c r="G310" s="295"/>
      <c r="H310" s="198"/>
      <c r="I310" s="642"/>
      <c r="J310" s="111"/>
      <c r="K310" s="111"/>
      <c r="L310" s="111"/>
      <c r="M310" s="111"/>
      <c r="N310" s="60"/>
      <c r="O310" s="60"/>
      <c r="P310" s="17"/>
      <c r="Q310" s="60"/>
      <c r="R310" s="60"/>
      <c r="S310" s="17"/>
      <c r="T310" s="60"/>
      <c r="U310" s="60"/>
      <c r="V310" s="359"/>
      <c r="W310" s="391"/>
      <c r="X310" s="17"/>
      <c r="Y310" s="17"/>
      <c r="Z310" s="19"/>
      <c r="AA310" s="20"/>
      <c r="AB310" s="20"/>
      <c r="AC310" s="20"/>
      <c r="AE310" s="111"/>
      <c r="AF310" s="111"/>
      <c r="AG310" s="114"/>
      <c r="AH310" s="113"/>
      <c r="AI310" s="113"/>
      <c r="AK310" s="111"/>
      <c r="AL310" s="111"/>
      <c r="AM310" s="114"/>
      <c r="AN310" s="113"/>
      <c r="AO310" s="113"/>
      <c r="AQ310" s="17"/>
      <c r="AR310" s="17"/>
      <c r="AS310" s="306"/>
      <c r="AT310" s="20"/>
      <c r="AU310" s="20"/>
      <c r="AW310" s="17"/>
      <c r="AX310" s="17"/>
      <c r="AY310" s="306"/>
      <c r="AZ310" s="20"/>
      <c r="BA310" s="20"/>
    </row>
    <row r="311" spans="1:53" ht="17.100000000000001" customHeight="1" x14ac:dyDescent="0.25">
      <c r="A311" s="40"/>
      <c r="B311" s="40"/>
      <c r="C311" s="74"/>
      <c r="D311" s="296"/>
      <c r="E311" s="297"/>
      <c r="F311" s="297"/>
      <c r="G311" s="297"/>
      <c r="H311" s="198"/>
      <c r="I311" s="642"/>
      <c r="J311" s="111"/>
      <c r="K311" s="111"/>
      <c r="L311" s="111"/>
      <c r="M311" s="111"/>
      <c r="N311" s="61"/>
      <c r="O311" s="61"/>
      <c r="P311" s="17"/>
      <c r="Q311" s="61"/>
      <c r="R311" s="61"/>
      <c r="S311" s="17"/>
      <c r="T311" s="61"/>
      <c r="U311" s="61"/>
      <c r="V311" s="359"/>
      <c r="W311" s="391"/>
      <c r="X311" s="17"/>
      <c r="Y311" s="17"/>
      <c r="Z311" s="19"/>
      <c r="AA311" s="20"/>
      <c r="AB311" s="20"/>
      <c r="AC311" s="20"/>
      <c r="AE311" s="111"/>
      <c r="AF311" s="111"/>
      <c r="AG311" s="114"/>
      <c r="AH311" s="113"/>
      <c r="AI311" s="113"/>
      <c r="AK311" s="111"/>
      <c r="AL311" s="111"/>
      <c r="AM311" s="114"/>
      <c r="AN311" s="113"/>
      <c r="AO311" s="113"/>
      <c r="AQ311" s="17"/>
      <c r="AR311" s="17"/>
      <c r="AS311" s="306"/>
      <c r="AT311" s="20"/>
      <c r="AU311" s="20"/>
      <c r="AW311" s="17"/>
      <c r="AX311" s="17"/>
      <c r="AY311" s="306"/>
      <c r="AZ311" s="20"/>
      <c r="BA311" s="20"/>
    </row>
    <row r="312" spans="1:53" ht="17.100000000000001" customHeight="1" x14ac:dyDescent="0.25">
      <c r="A312" s="40"/>
      <c r="B312" s="40"/>
      <c r="C312" s="292"/>
      <c r="D312" s="144"/>
      <c r="E312" s="144"/>
      <c r="F312" s="145"/>
      <c r="G312" s="145"/>
      <c r="H312" s="119"/>
      <c r="I312" s="236"/>
      <c r="J312" s="80"/>
      <c r="K312" s="80"/>
      <c r="L312" s="81"/>
      <c r="M312" s="81"/>
      <c r="N312" s="81">
        <f>SUM(N297:N307)</f>
        <v>3</v>
      </c>
      <c r="O312" s="81">
        <f t="shared" ref="O312:V312" si="311">SUM(O297:O307)</f>
        <v>6</v>
      </c>
      <c r="P312" s="81">
        <f t="shared" si="311"/>
        <v>9</v>
      </c>
      <c r="Q312" s="81">
        <f t="shared" si="311"/>
        <v>7</v>
      </c>
      <c r="R312" s="81">
        <f t="shared" si="311"/>
        <v>2</v>
      </c>
      <c r="S312" s="81">
        <f t="shared" si="311"/>
        <v>9</v>
      </c>
      <c r="T312" s="81">
        <f t="shared" si="311"/>
        <v>5</v>
      </c>
      <c r="U312" s="81">
        <f t="shared" si="311"/>
        <v>5</v>
      </c>
      <c r="V312" s="356">
        <f t="shared" si="311"/>
        <v>10</v>
      </c>
      <c r="W312" s="381">
        <f>SUM(W297:W307)</f>
        <v>15</v>
      </c>
      <c r="X312" s="82">
        <f t="shared" ref="X312:Y312" si="312">SUM(X297:X307)</f>
        <v>13</v>
      </c>
      <c r="Y312" s="82">
        <f t="shared" si="312"/>
        <v>28</v>
      </c>
      <c r="Z312" s="66">
        <f>IF(Y$312=0,0,Y312/Y$312)</f>
        <v>1</v>
      </c>
      <c r="AA312" s="205"/>
      <c r="AB312" s="205"/>
      <c r="AC312" s="83"/>
      <c r="AE312" s="81"/>
      <c r="AF312" s="81"/>
      <c r="AG312" s="82"/>
      <c r="AH312" s="82"/>
      <c r="AI312" s="66"/>
      <c r="AK312" s="81"/>
      <c r="AL312" s="81"/>
      <c r="AM312" s="82"/>
      <c r="AN312" s="82"/>
      <c r="AO312" s="66"/>
      <c r="AQ312" s="81"/>
      <c r="AR312" s="81"/>
      <c r="AS312" s="82"/>
      <c r="AT312" s="81">
        <f>SUM(AT297:AT307)</f>
        <v>15</v>
      </c>
      <c r="AU312" s="66">
        <f t="shared" ref="AU312" si="313">IF(AT$312=0,0,AT312/AT$312)</f>
        <v>1</v>
      </c>
      <c r="AW312" s="81"/>
      <c r="AX312" s="81"/>
      <c r="AY312" s="82"/>
      <c r="AZ312" s="81">
        <f>SUM(AZ297:AZ307)</f>
        <v>13</v>
      </c>
      <c r="BA312" s="66">
        <f t="shared" ref="BA312" si="314">IF(AZ$312=0,0,AZ312/AZ$312)</f>
        <v>1</v>
      </c>
    </row>
    <row r="313" spans="1:53" s="117" customFormat="1" ht="17.100000000000001" customHeight="1" x14ac:dyDescent="0.25">
      <c r="A313" s="68"/>
      <c r="B313" s="119"/>
      <c r="C313" s="647"/>
      <c r="D313" s="261"/>
      <c r="E313" s="261"/>
      <c r="F313" s="68"/>
      <c r="G313" s="68"/>
      <c r="H313" s="119"/>
      <c r="I313" s="138"/>
      <c r="J313" s="17"/>
      <c r="K313" s="17"/>
      <c r="L313" s="17"/>
      <c r="M313" s="17"/>
      <c r="N313" s="17" t="str">
        <f>IF(N312&gt;=N$20,"OK","NOK")</f>
        <v>OK</v>
      </c>
      <c r="O313" s="17" t="str">
        <f>IF(O312&gt;=O$20,"OK","NOK")</f>
        <v>OK</v>
      </c>
      <c r="P313" s="17"/>
      <c r="Q313" s="17" t="str">
        <f>IF(Q312&gt;=Q$20,"OK","NOK")</f>
        <v>OK</v>
      </c>
      <c r="R313" s="17" t="str">
        <f>IF(R312&gt;=R$20,"OK","NOK")</f>
        <v>OK</v>
      </c>
      <c r="S313" s="17"/>
      <c r="T313" s="17" t="str">
        <f>IF(T312&gt;=T$20,"OK","NOK")</f>
        <v>OK</v>
      </c>
      <c r="U313" s="17" t="str">
        <f>IF(U312&gt;=U$20,"OK","NOK")</f>
        <v>OK</v>
      </c>
      <c r="V313" s="359"/>
      <c r="W313" s="382"/>
      <c r="X313" s="646"/>
      <c r="Y313" s="646"/>
      <c r="Z313" s="201"/>
      <c r="AA313" s="201"/>
      <c r="AB313" s="201"/>
      <c r="AC313" s="84"/>
      <c r="AE313" s="46"/>
      <c r="AF313" s="46"/>
      <c r="AG313" s="17"/>
      <c r="AH313" s="646"/>
      <c r="AI313" s="91"/>
      <c r="AK313" s="46"/>
      <c r="AL313" s="46"/>
      <c r="AM313" s="17"/>
      <c r="AN313" s="646"/>
      <c r="AO313" s="91"/>
      <c r="AQ313" s="46"/>
      <c r="AR313" s="46"/>
      <c r="AS313" s="17"/>
      <c r="AT313" s="646"/>
      <c r="AU313" s="91"/>
      <c r="AW313" s="46"/>
      <c r="AX313" s="46"/>
      <c r="AY313" s="17"/>
      <c r="AZ313" s="646"/>
      <c r="BA313" s="91"/>
    </row>
    <row r="314" spans="1:53" ht="17.100000000000001" customHeight="1" x14ac:dyDescent="0.25">
      <c r="A314" s="40"/>
      <c r="B314" s="41" t="s">
        <v>310</v>
      </c>
      <c r="C314" s="49" t="s">
        <v>307</v>
      </c>
      <c r="D314" s="43"/>
      <c r="E314" s="43"/>
      <c r="F314" s="43"/>
      <c r="G314" s="43"/>
      <c r="H314" s="23"/>
      <c r="I314" s="229"/>
      <c r="J314" s="71"/>
      <c r="K314" s="71"/>
      <c r="L314" s="71"/>
      <c r="M314" s="71"/>
      <c r="N314" s="71"/>
      <c r="O314" s="71"/>
      <c r="P314" s="71"/>
      <c r="Q314" s="71"/>
      <c r="R314" s="71"/>
      <c r="S314" s="71"/>
      <c r="T314" s="71"/>
      <c r="U314" s="71"/>
      <c r="V314" s="71"/>
      <c r="W314" s="71"/>
      <c r="X314" s="71"/>
      <c r="Y314" s="71"/>
      <c r="Z314" s="73"/>
      <c r="AA314" s="73"/>
      <c r="AB314" s="73"/>
      <c r="AC314" s="73"/>
      <c r="AE314" s="71"/>
      <c r="AF314" s="71"/>
      <c r="AG314" s="273"/>
      <c r="AH314" s="73"/>
      <c r="AI314" s="73"/>
      <c r="AK314" s="71"/>
      <c r="AL314" s="71"/>
      <c r="AM314" s="273"/>
      <c r="AN314" s="73"/>
      <c r="AO314" s="73"/>
      <c r="AQ314" s="71"/>
      <c r="AR314" s="71"/>
      <c r="AS314" s="273"/>
      <c r="AT314" s="73"/>
      <c r="AU314" s="73"/>
      <c r="AW314" s="71"/>
      <c r="AX314" s="71"/>
      <c r="AY314" s="273"/>
      <c r="AZ314" s="73"/>
      <c r="BA314" s="73"/>
    </row>
    <row r="315" spans="1:53" ht="17.100000000000001" customHeight="1" x14ac:dyDescent="0.25">
      <c r="A315" s="119"/>
      <c r="B315" s="119"/>
      <c r="C315" s="56" t="s">
        <v>311</v>
      </c>
      <c r="D315" s="146" t="s">
        <v>9</v>
      </c>
      <c r="E315" s="105"/>
      <c r="F315" s="105"/>
      <c r="G315" s="105"/>
      <c r="H315" s="119"/>
      <c r="I315" s="231"/>
      <c r="J315" s="111"/>
      <c r="K315" s="111"/>
      <c r="L315" s="111"/>
      <c r="M315" s="111"/>
      <c r="N315" s="60">
        <v>3</v>
      </c>
      <c r="O315" s="60">
        <v>6</v>
      </c>
      <c r="P315" s="17">
        <f t="shared" ref="P315:P317" si="315">SUM(N315:O315)</f>
        <v>9</v>
      </c>
      <c r="Q315" s="60">
        <v>7</v>
      </c>
      <c r="R315" s="60">
        <v>2</v>
      </c>
      <c r="S315" s="17">
        <f t="shared" ref="S315:S317" si="316">SUM(Q315:R315)</f>
        <v>9</v>
      </c>
      <c r="T315" s="60">
        <v>5</v>
      </c>
      <c r="U315" s="60">
        <v>5</v>
      </c>
      <c r="V315" s="17">
        <f t="shared" ref="V315:V317" si="317">SUM(T315:U315)</f>
        <v>10</v>
      </c>
      <c r="W315" s="391">
        <f t="shared" ref="W315:W317" si="318">J315+K315+N315+Q315+T315</f>
        <v>15</v>
      </c>
      <c r="X315" s="17">
        <f t="shared" ref="X315:X317" si="319">L315+O315+R315+U315</f>
        <v>13</v>
      </c>
      <c r="Y315" s="18">
        <f t="shared" ref="Y315:Y317" si="320">SUM(W315:X315)</f>
        <v>28</v>
      </c>
      <c r="Z315" s="19">
        <f>IF(Y$318=0,0,Y315/Y$318)</f>
        <v>1</v>
      </c>
      <c r="AA315" s="19"/>
      <c r="AB315" s="19"/>
      <c r="AC315" s="20"/>
      <c r="AE315" s="111"/>
      <c r="AF315" s="111"/>
      <c r="AG315" s="111"/>
      <c r="AH315" s="651"/>
      <c r="AI315" s="131"/>
      <c r="AK315" s="111"/>
      <c r="AL315" s="111"/>
      <c r="AM315" s="111"/>
      <c r="AN315" s="651"/>
      <c r="AO315" s="131"/>
      <c r="AQ315" s="17"/>
      <c r="AR315" s="17"/>
      <c r="AS315" s="17"/>
      <c r="AT315" s="424">
        <f>W315</f>
        <v>15</v>
      </c>
      <c r="AU315" s="19">
        <f>IF(AT$318=0,0,AT315/AT$318)</f>
        <v>1</v>
      </c>
      <c r="AW315" s="17"/>
      <c r="AX315" s="17"/>
      <c r="AY315" s="17"/>
      <c r="AZ315" s="424">
        <f>X315</f>
        <v>13</v>
      </c>
      <c r="BA315" s="19">
        <f>IF(AZ$318=0,0,AZ315/AZ$318)</f>
        <v>1</v>
      </c>
    </row>
    <row r="316" spans="1:53" ht="17.100000000000001" customHeight="1" x14ac:dyDescent="0.25">
      <c r="A316" s="119"/>
      <c r="B316" s="119"/>
      <c r="C316" s="56" t="s">
        <v>312</v>
      </c>
      <c r="D316" s="146" t="s">
        <v>11</v>
      </c>
      <c r="E316" s="105"/>
      <c r="F316" s="105"/>
      <c r="G316" s="105"/>
      <c r="H316" s="119"/>
      <c r="I316" s="231"/>
      <c r="J316" s="111"/>
      <c r="K316" s="111"/>
      <c r="L316" s="111"/>
      <c r="M316" s="111"/>
      <c r="N316" s="61"/>
      <c r="O316" s="61"/>
      <c r="P316" s="17">
        <f t="shared" si="315"/>
        <v>0</v>
      </c>
      <c r="Q316" s="61"/>
      <c r="R316" s="61"/>
      <c r="S316" s="17">
        <f t="shared" si="316"/>
        <v>0</v>
      </c>
      <c r="T316" s="61"/>
      <c r="U316" s="61"/>
      <c r="V316" s="17">
        <f t="shared" si="317"/>
        <v>0</v>
      </c>
      <c r="W316" s="391">
        <f t="shared" si="318"/>
        <v>0</v>
      </c>
      <c r="X316" s="17">
        <f t="shared" si="319"/>
        <v>0</v>
      </c>
      <c r="Y316" s="18">
        <f t="shared" si="320"/>
        <v>0</v>
      </c>
      <c r="Z316" s="19">
        <f t="shared" ref="Z316:Z318" si="321">IF(Y$318=0,0,Y316/Y$318)</f>
        <v>0</v>
      </c>
      <c r="AA316" s="19"/>
      <c r="AB316" s="19"/>
      <c r="AC316" s="20"/>
      <c r="AE316" s="111"/>
      <c r="AF316" s="111"/>
      <c r="AG316" s="111"/>
      <c r="AH316" s="651"/>
      <c r="AI316" s="131"/>
      <c r="AK316" s="111"/>
      <c r="AL316" s="111"/>
      <c r="AM316" s="111"/>
      <c r="AN316" s="651"/>
      <c r="AO316" s="131"/>
      <c r="AQ316" s="17"/>
      <c r="AR316" s="17"/>
      <c r="AS316" s="17"/>
      <c r="AT316" s="424">
        <f t="shared" ref="AT316:AT317" si="322">W316</f>
        <v>0</v>
      </c>
      <c r="AU316" s="19">
        <f t="shared" ref="AU316:AU318" si="323">IF(AT$318=0,0,AT316/AT$318)</f>
        <v>0</v>
      </c>
      <c r="AW316" s="17"/>
      <c r="AX316" s="17"/>
      <c r="AY316" s="17"/>
      <c r="AZ316" s="424">
        <f t="shared" ref="AZ316:AZ317" si="324">X316</f>
        <v>0</v>
      </c>
      <c r="BA316" s="19">
        <f t="shared" ref="BA316:BA318" si="325">IF(AZ$318=0,0,AZ316/AZ$318)</f>
        <v>0</v>
      </c>
    </row>
    <row r="317" spans="1:53" ht="17.100000000000001" customHeight="1" x14ac:dyDescent="0.25">
      <c r="A317" s="119"/>
      <c r="B317" s="119"/>
      <c r="C317" s="56" t="s">
        <v>490</v>
      </c>
      <c r="D317" s="146" t="s">
        <v>617</v>
      </c>
      <c r="E317" s="105"/>
      <c r="F317" s="105"/>
      <c r="G317" s="105"/>
      <c r="H317" s="119"/>
      <c r="I317" s="231"/>
      <c r="J317" s="111"/>
      <c r="K317" s="111"/>
      <c r="L317" s="111"/>
      <c r="M317" s="111"/>
      <c r="N317" s="60"/>
      <c r="O317" s="60"/>
      <c r="P317" s="17">
        <f t="shared" si="315"/>
        <v>0</v>
      </c>
      <c r="Q317" s="60"/>
      <c r="R317" s="60"/>
      <c r="S317" s="17">
        <f t="shared" si="316"/>
        <v>0</v>
      </c>
      <c r="T317" s="60"/>
      <c r="U317" s="60"/>
      <c r="V317" s="17">
        <f t="shared" si="317"/>
        <v>0</v>
      </c>
      <c r="W317" s="391">
        <f t="shared" si="318"/>
        <v>0</v>
      </c>
      <c r="X317" s="17">
        <f t="shared" si="319"/>
        <v>0</v>
      </c>
      <c r="Y317" s="18">
        <f t="shared" si="320"/>
        <v>0</v>
      </c>
      <c r="Z317" s="19">
        <f t="shared" si="321"/>
        <v>0</v>
      </c>
      <c r="AA317" s="19"/>
      <c r="AB317" s="19"/>
      <c r="AC317" s="20"/>
      <c r="AE317" s="111"/>
      <c r="AF317" s="111"/>
      <c r="AG317" s="111"/>
      <c r="AH317" s="651"/>
      <c r="AI317" s="131"/>
      <c r="AK317" s="111"/>
      <c r="AL317" s="111"/>
      <c r="AM317" s="111"/>
      <c r="AN317" s="651"/>
      <c r="AO317" s="131"/>
      <c r="AQ317" s="17"/>
      <c r="AR317" s="17"/>
      <c r="AS317" s="17"/>
      <c r="AT317" s="424">
        <f t="shared" si="322"/>
        <v>0</v>
      </c>
      <c r="AU317" s="19">
        <f t="shared" si="323"/>
        <v>0</v>
      </c>
      <c r="AW317" s="17"/>
      <c r="AX317" s="17"/>
      <c r="AY317" s="17"/>
      <c r="AZ317" s="424">
        <f t="shared" si="324"/>
        <v>0</v>
      </c>
      <c r="BA317" s="19">
        <f t="shared" si="325"/>
        <v>0</v>
      </c>
    </row>
    <row r="318" spans="1:53" ht="17.100000000000001" customHeight="1" x14ac:dyDescent="0.25">
      <c r="A318" s="40"/>
      <c r="B318" s="40"/>
      <c r="C318" s="292"/>
      <c r="D318" s="144"/>
      <c r="E318" s="144"/>
      <c r="F318" s="145"/>
      <c r="G318" s="145"/>
      <c r="H318" s="119"/>
      <c r="I318" s="236"/>
      <c r="J318" s="80"/>
      <c r="K318" s="80"/>
      <c r="L318" s="81"/>
      <c r="M318" s="81"/>
      <c r="N318" s="81">
        <f>SUM(N315:N317)</f>
        <v>3</v>
      </c>
      <c r="O318" s="81">
        <f t="shared" ref="O318:V318" si="326">SUM(O315:O317)</f>
        <v>6</v>
      </c>
      <c r="P318" s="81">
        <f t="shared" si="326"/>
        <v>9</v>
      </c>
      <c r="Q318" s="81">
        <f t="shared" si="326"/>
        <v>7</v>
      </c>
      <c r="R318" s="81">
        <f t="shared" si="326"/>
        <v>2</v>
      </c>
      <c r="S318" s="81">
        <f t="shared" si="326"/>
        <v>9</v>
      </c>
      <c r="T318" s="81">
        <f t="shared" si="326"/>
        <v>5</v>
      </c>
      <c r="U318" s="81">
        <f t="shared" si="326"/>
        <v>5</v>
      </c>
      <c r="V318" s="81">
        <f t="shared" si="326"/>
        <v>10</v>
      </c>
      <c r="W318" s="82">
        <f>SUM(W315:W317)</f>
        <v>15</v>
      </c>
      <c r="X318" s="82">
        <f t="shared" ref="X318:Y318" si="327">SUM(X315:X317)</f>
        <v>13</v>
      </c>
      <c r="Y318" s="82">
        <f t="shared" si="327"/>
        <v>28</v>
      </c>
      <c r="Z318" s="66">
        <f t="shared" si="321"/>
        <v>1</v>
      </c>
      <c r="AA318" s="205"/>
      <c r="AB318" s="205"/>
      <c r="AC318" s="83"/>
      <c r="AE318" s="81"/>
      <c r="AF318" s="81"/>
      <c r="AG318" s="82"/>
      <c r="AH318" s="82"/>
      <c r="AI318" s="66"/>
      <c r="AK318" s="81"/>
      <c r="AL318" s="81"/>
      <c r="AM318" s="82"/>
      <c r="AN318" s="82"/>
      <c r="AO318" s="66"/>
      <c r="AQ318" s="81"/>
      <c r="AR318" s="81"/>
      <c r="AS318" s="82"/>
      <c r="AT318" s="81">
        <f>SUM(AT315:AT317)</f>
        <v>15</v>
      </c>
      <c r="AU318" s="66">
        <f t="shared" si="323"/>
        <v>1</v>
      </c>
      <c r="AW318" s="81"/>
      <c r="AX318" s="81"/>
      <c r="AY318" s="82"/>
      <c r="AZ318" s="81">
        <f>SUM(AZ315:AZ317)</f>
        <v>13</v>
      </c>
      <c r="BA318" s="66">
        <f t="shared" si="325"/>
        <v>1</v>
      </c>
    </row>
    <row r="319" spans="1:53" s="117" customFormat="1" ht="17.100000000000001" customHeight="1" x14ac:dyDescent="0.25">
      <c r="A319" s="68"/>
      <c r="B319" s="119"/>
      <c r="C319" s="647"/>
      <c r="D319" s="261"/>
      <c r="E319" s="261"/>
      <c r="F319" s="68"/>
      <c r="G319" s="68"/>
      <c r="H319" s="119"/>
      <c r="I319" s="138"/>
      <c r="J319" s="17"/>
      <c r="K319" s="17"/>
      <c r="L319" s="17"/>
      <c r="M319" s="17"/>
      <c r="N319" s="17" t="str">
        <f>IF(N318&gt;=N$20,"OK","NOK")</f>
        <v>OK</v>
      </c>
      <c r="O319" s="17" t="str">
        <f>IF(O318&gt;=O$20,"OK","NOK")</f>
        <v>OK</v>
      </c>
      <c r="P319" s="17"/>
      <c r="Q319" s="17" t="str">
        <f>IF(Q318&gt;=Q$20,"OK","NOK")</f>
        <v>OK</v>
      </c>
      <c r="R319" s="17" t="str">
        <f>IF(R318&gt;=R$20,"OK","NOK")</f>
        <v>OK</v>
      </c>
      <c r="S319" s="17"/>
      <c r="T319" s="17" t="str">
        <f>IF(T318&gt;=T$20,"OK","NOK")</f>
        <v>OK</v>
      </c>
      <c r="U319" s="17" t="str">
        <f>IF(U318&gt;=U$20,"OK","NOK")</f>
        <v>OK</v>
      </c>
      <c r="V319" s="359"/>
      <c r="W319" s="382"/>
      <c r="X319" s="646"/>
      <c r="Y319" s="646"/>
      <c r="Z319" s="201"/>
      <c r="AA319" s="201"/>
      <c r="AB319" s="201"/>
      <c r="AC319" s="84"/>
      <c r="AE319" s="46"/>
      <c r="AF319" s="46"/>
      <c r="AG319" s="17"/>
      <c r="AH319" s="646"/>
      <c r="AI319" s="91"/>
      <c r="AK319" s="46"/>
      <c r="AL319" s="46"/>
      <c r="AM319" s="17"/>
      <c r="AN319" s="646"/>
      <c r="AO319" s="91"/>
      <c r="AQ319" s="46"/>
      <c r="AR319" s="46"/>
      <c r="AS319" s="17"/>
      <c r="AT319" s="646"/>
      <c r="AU319" s="91"/>
      <c r="AW319" s="46"/>
      <c r="AX319" s="46"/>
      <c r="AY319" s="17"/>
      <c r="AZ319" s="646"/>
      <c r="BA319" s="91"/>
    </row>
    <row r="320" spans="1:53" s="117" customFormat="1" ht="17.100000000000001" customHeight="1" x14ac:dyDescent="0.25">
      <c r="A320" s="68"/>
      <c r="B320" s="119"/>
      <c r="C320" s="56" t="s">
        <v>672</v>
      </c>
      <c r="D320" s="146" t="s">
        <v>673</v>
      </c>
      <c r="E320" s="149"/>
      <c r="F320" s="149"/>
      <c r="G320" s="151"/>
      <c r="H320" s="119"/>
      <c r="I320" s="138"/>
      <c r="J320" s="111"/>
      <c r="K320" s="111"/>
      <c r="L320" s="111"/>
      <c r="M320" s="111"/>
      <c r="N320" s="111"/>
      <c r="O320" s="111"/>
      <c r="P320" s="336">
        <v>1</v>
      </c>
      <c r="Q320" s="341"/>
      <c r="R320" s="341"/>
      <c r="S320" s="336">
        <v>1.5</v>
      </c>
      <c r="T320" s="341"/>
      <c r="U320" s="341"/>
      <c r="V320" s="368">
        <v>0.5</v>
      </c>
      <c r="W320" s="382"/>
      <c r="X320" s="646"/>
      <c r="Y320" s="646"/>
      <c r="Z320" s="201"/>
      <c r="AA320" s="340">
        <f>MIN(P320,S320,V320)</f>
        <v>0.5</v>
      </c>
      <c r="AB320" s="340">
        <f>MAX(P320,S320,V320)</f>
        <v>1.5</v>
      </c>
      <c r="AC320" s="340">
        <f>IF(P320+S320+V320=0,0,AVERAGE(P320,S320,V320))</f>
        <v>1</v>
      </c>
      <c r="AE320" s="152"/>
      <c r="AF320" s="152"/>
      <c r="AG320" s="111"/>
      <c r="AH320" s="651"/>
      <c r="AI320" s="131"/>
      <c r="AK320" s="152"/>
      <c r="AL320" s="152"/>
      <c r="AM320" s="111"/>
      <c r="AN320" s="651"/>
      <c r="AO320" s="131"/>
      <c r="AQ320" s="152"/>
      <c r="AR320" s="152"/>
      <c r="AS320" s="111"/>
      <c r="AT320" s="651"/>
      <c r="AU320" s="131"/>
      <c r="AW320" s="152"/>
      <c r="AX320" s="152"/>
      <c r="AY320" s="111"/>
      <c r="AZ320" s="651"/>
      <c r="BA320" s="131"/>
    </row>
    <row r="321" spans="1:53" s="117" customFormat="1" ht="17.100000000000001" customHeight="1" x14ac:dyDescent="0.25">
      <c r="A321" s="68"/>
      <c r="B321" s="119"/>
      <c r="C321" s="647"/>
      <c r="D321" s="261"/>
      <c r="E321" s="261"/>
      <c r="F321" s="68"/>
      <c r="G321" s="68"/>
      <c r="H321" s="119"/>
      <c r="I321" s="138"/>
      <c r="J321" s="17"/>
      <c r="K321" s="17"/>
      <c r="L321" s="17"/>
      <c r="M321" s="17"/>
      <c r="N321" s="17"/>
      <c r="O321" s="17"/>
      <c r="P321" s="17"/>
      <c r="Q321" s="17"/>
      <c r="R321" s="17"/>
      <c r="S321" s="17"/>
      <c r="T321" s="17"/>
      <c r="U321" s="17"/>
      <c r="V321" s="359"/>
      <c r="W321" s="382"/>
      <c r="X321" s="646"/>
      <c r="Y321" s="646"/>
      <c r="Z321" s="201"/>
      <c r="AA321" s="201"/>
      <c r="AB321" s="201"/>
      <c r="AC321" s="84"/>
      <c r="AE321" s="46"/>
      <c r="AF321" s="46"/>
      <c r="AG321" s="17"/>
      <c r="AH321" s="646"/>
      <c r="AI321" s="91"/>
      <c r="AK321" s="46"/>
      <c r="AL321" s="46"/>
      <c r="AM321" s="17"/>
      <c r="AN321" s="646"/>
      <c r="AO321" s="91"/>
      <c r="AQ321" s="46"/>
      <c r="AR321" s="46"/>
      <c r="AS321" s="17"/>
      <c r="AT321" s="646"/>
      <c r="AU321" s="91"/>
      <c r="AW321" s="46"/>
      <c r="AX321" s="46"/>
      <c r="AY321" s="17"/>
      <c r="AZ321" s="646"/>
      <c r="BA321" s="91"/>
    </row>
    <row r="322" spans="1:53" ht="17.100000000000001" customHeight="1" x14ac:dyDescent="0.25">
      <c r="A322" s="68"/>
      <c r="B322" s="41" t="s">
        <v>313</v>
      </c>
      <c r="C322" s="69" t="s">
        <v>492</v>
      </c>
      <c r="D322" s="50"/>
      <c r="E322" s="70"/>
      <c r="F322" s="70"/>
      <c r="G322" s="70"/>
      <c r="H322" s="119"/>
      <c r="J322" s="71"/>
      <c r="K322" s="71"/>
      <c r="L322" s="71"/>
      <c r="M322" s="71"/>
      <c r="N322" s="71"/>
      <c r="O322" s="71"/>
      <c r="P322" s="71"/>
      <c r="Q322" s="71"/>
      <c r="R322" s="71"/>
      <c r="S322" s="71"/>
      <c r="T322" s="71"/>
      <c r="U322" s="71"/>
      <c r="V322" s="71"/>
      <c r="W322" s="71"/>
      <c r="X322" s="71"/>
      <c r="Y322" s="71"/>
      <c r="Z322" s="73"/>
      <c r="AA322" s="73"/>
      <c r="AB322" s="73"/>
      <c r="AC322" s="73"/>
      <c r="AE322" s="71"/>
      <c r="AF322" s="71"/>
      <c r="AG322" s="71"/>
      <c r="AH322" s="89"/>
      <c r="AI322" s="90"/>
      <c r="AK322" s="71"/>
      <c r="AL322" s="71"/>
      <c r="AM322" s="71"/>
      <c r="AN322" s="89"/>
      <c r="AO322" s="90"/>
      <c r="AQ322" s="71"/>
      <c r="AR322" s="71"/>
      <c r="AS322" s="71"/>
      <c r="AT322" s="71"/>
      <c r="AU322" s="90"/>
      <c r="AW322" s="71"/>
      <c r="AX322" s="71"/>
      <c r="AY322" s="71"/>
      <c r="AZ322" s="71"/>
      <c r="BA322" s="90"/>
    </row>
    <row r="323" spans="1:53" ht="17.100000000000001" customHeight="1" x14ac:dyDescent="0.25">
      <c r="A323" s="119"/>
      <c r="B323" s="119"/>
      <c r="C323" s="56" t="s">
        <v>314</v>
      </c>
      <c r="D323" s="149" t="s">
        <v>129</v>
      </c>
      <c r="E323" s="105"/>
      <c r="F323" s="105"/>
      <c r="G323" s="105"/>
      <c r="H323" s="119"/>
      <c r="J323" s="111"/>
      <c r="K323" s="111"/>
      <c r="L323" s="111"/>
      <c r="M323" s="111"/>
      <c r="N323" s="598"/>
      <c r="O323" s="598"/>
      <c r="P323" s="327"/>
      <c r="Q323" s="598"/>
      <c r="R323" s="598"/>
      <c r="S323" s="327"/>
      <c r="T323" s="598"/>
      <c r="U323" s="598"/>
      <c r="V323" s="327"/>
      <c r="W323" s="391"/>
      <c r="X323" s="17"/>
      <c r="Y323" s="18">
        <f t="shared" ref="Y323:Y325" si="328">M323+P323+S323+V323</f>
        <v>0</v>
      </c>
      <c r="Z323" s="19">
        <f>IF(Y$326=0,0,Y323/Y$326)</f>
        <v>0</v>
      </c>
      <c r="AA323" s="19"/>
      <c r="AB323" s="19"/>
      <c r="AC323" s="20"/>
      <c r="AE323" s="111"/>
      <c r="AF323" s="111"/>
      <c r="AG323" s="111"/>
      <c r="AH323" s="651"/>
      <c r="AI323" s="131"/>
      <c r="AK323" s="111"/>
      <c r="AL323" s="111"/>
      <c r="AM323" s="111"/>
      <c r="AN323" s="651"/>
      <c r="AO323" s="131"/>
      <c r="AQ323" s="111"/>
      <c r="AR323" s="111"/>
      <c r="AS323" s="111"/>
      <c r="AT323" s="651"/>
      <c r="AU323" s="131"/>
      <c r="AW323" s="111"/>
      <c r="AX323" s="111"/>
      <c r="AY323" s="111"/>
      <c r="AZ323" s="651"/>
      <c r="BA323" s="131"/>
    </row>
    <row r="324" spans="1:53" ht="17.100000000000001" customHeight="1" x14ac:dyDescent="0.25">
      <c r="A324" s="119"/>
      <c r="B324" s="119"/>
      <c r="C324" s="56" t="s">
        <v>327</v>
      </c>
      <c r="D324" s="149" t="s">
        <v>491</v>
      </c>
      <c r="E324" s="105"/>
      <c r="F324" s="105"/>
      <c r="G324" s="105"/>
      <c r="H324" s="119"/>
      <c r="J324" s="599"/>
      <c r="K324" s="599"/>
      <c r="L324" s="599"/>
      <c r="M324" s="599"/>
      <c r="N324" s="598"/>
      <c r="O324" s="598"/>
      <c r="P324" s="329"/>
      <c r="Q324" s="598"/>
      <c r="R324" s="598"/>
      <c r="S324" s="329">
        <v>1</v>
      </c>
      <c r="T324" s="598"/>
      <c r="U324" s="598"/>
      <c r="V324" s="329"/>
      <c r="W324" s="391"/>
      <c r="X324" s="17"/>
      <c r="Y324" s="18">
        <f t="shared" si="328"/>
        <v>1</v>
      </c>
      <c r="Z324" s="19">
        <f t="shared" ref="Z324:Z326" si="329">IF(Y$326=0,0,Y324/Y$326)</f>
        <v>0.33333333333333331</v>
      </c>
      <c r="AA324" s="19"/>
      <c r="AB324" s="19"/>
      <c r="AC324" s="189"/>
      <c r="AE324" s="111"/>
      <c r="AF324" s="111"/>
      <c r="AG324" s="111"/>
      <c r="AH324" s="651"/>
      <c r="AI324" s="131"/>
      <c r="AK324" s="111"/>
      <c r="AL324" s="111"/>
      <c r="AM324" s="111"/>
      <c r="AN324" s="651"/>
      <c r="AO324" s="131"/>
      <c r="AQ324" s="111"/>
      <c r="AR324" s="111"/>
      <c r="AS324" s="111"/>
      <c r="AT324" s="651"/>
      <c r="AU324" s="131"/>
      <c r="AW324" s="111"/>
      <c r="AX324" s="111"/>
      <c r="AY324" s="111"/>
      <c r="AZ324" s="651"/>
      <c r="BA324" s="131"/>
    </row>
    <row r="325" spans="1:53" ht="17.100000000000001" customHeight="1" x14ac:dyDescent="0.25">
      <c r="A325" s="119"/>
      <c r="B325" s="119"/>
      <c r="C325" s="56" t="s">
        <v>328</v>
      </c>
      <c r="D325" s="149" t="s">
        <v>493</v>
      </c>
      <c r="E325" s="105"/>
      <c r="F325" s="105"/>
      <c r="G325" s="105"/>
      <c r="H325" s="119"/>
      <c r="J325" s="111"/>
      <c r="K325" s="111"/>
      <c r="L325" s="111"/>
      <c r="M325" s="111"/>
      <c r="N325" s="598"/>
      <c r="O325" s="598"/>
      <c r="P325" s="327">
        <v>1</v>
      </c>
      <c r="Q325" s="598"/>
      <c r="R325" s="598"/>
      <c r="S325" s="327"/>
      <c r="T325" s="598"/>
      <c r="U325" s="598"/>
      <c r="V325" s="327">
        <v>1</v>
      </c>
      <c r="W325" s="391"/>
      <c r="X325" s="17"/>
      <c r="Y325" s="18">
        <f t="shared" si="328"/>
        <v>2</v>
      </c>
      <c r="Z325" s="19">
        <f t="shared" si="329"/>
        <v>0.66666666666666663</v>
      </c>
      <c r="AA325" s="19"/>
      <c r="AB325" s="19"/>
      <c r="AC325" s="20"/>
      <c r="AE325" s="111"/>
      <c r="AF325" s="111"/>
      <c r="AG325" s="111"/>
      <c r="AH325" s="651"/>
      <c r="AI325" s="131"/>
      <c r="AK325" s="111"/>
      <c r="AL325" s="111"/>
      <c r="AM325" s="111"/>
      <c r="AN325" s="651"/>
      <c r="AO325" s="131"/>
      <c r="AQ325" s="111"/>
      <c r="AR325" s="111"/>
      <c r="AS325" s="111"/>
      <c r="AT325" s="651"/>
      <c r="AU325" s="131"/>
      <c r="AW325" s="111"/>
      <c r="AX325" s="111"/>
      <c r="AY325" s="111"/>
      <c r="AZ325" s="651"/>
      <c r="BA325" s="131"/>
    </row>
    <row r="326" spans="1:53" ht="17.100000000000001" customHeight="1" x14ac:dyDescent="0.25">
      <c r="A326" s="119"/>
      <c r="B326" s="119"/>
      <c r="C326" s="325"/>
      <c r="D326" s="326"/>
      <c r="E326" s="184"/>
      <c r="F326" s="184"/>
      <c r="G326" s="184"/>
      <c r="H326" s="119"/>
      <c r="J326" s="600"/>
      <c r="K326" s="600"/>
      <c r="L326" s="600"/>
      <c r="M326" s="600"/>
      <c r="N326" s="600"/>
      <c r="O326" s="600"/>
      <c r="P326" s="81">
        <f>SUM(P323:P325)</f>
        <v>1</v>
      </c>
      <c r="Q326" s="600"/>
      <c r="R326" s="600"/>
      <c r="S326" s="81">
        <f>SUM(S323:S325)</f>
        <v>1</v>
      </c>
      <c r="T326" s="600"/>
      <c r="U326" s="600"/>
      <c r="V326" s="81">
        <f>SUM(V323:V325)</f>
        <v>1</v>
      </c>
      <c r="W326" s="381"/>
      <c r="X326" s="82"/>
      <c r="Y326" s="82">
        <f>SUM(Y323:Y325)</f>
        <v>3</v>
      </c>
      <c r="Z326" s="66">
        <f t="shared" si="329"/>
        <v>1</v>
      </c>
      <c r="AA326" s="205"/>
      <c r="AB326" s="205"/>
      <c r="AC326" s="204"/>
      <c r="AE326" s="81"/>
      <c r="AF326" s="81"/>
      <c r="AG326" s="81"/>
      <c r="AH326" s="82"/>
      <c r="AI326" s="66"/>
      <c r="AK326" s="81"/>
      <c r="AL326" s="81"/>
      <c r="AM326" s="81"/>
      <c r="AN326" s="82"/>
      <c r="AO326" s="66"/>
      <c r="AQ326" s="81"/>
      <c r="AR326" s="81"/>
      <c r="AS326" s="81"/>
      <c r="AT326" s="82"/>
      <c r="AU326" s="66"/>
      <c r="AW326" s="81"/>
      <c r="AX326" s="81"/>
      <c r="AY326" s="81"/>
      <c r="AZ326" s="82"/>
      <c r="BA326" s="66"/>
    </row>
    <row r="327" spans="1:53" s="117" customFormat="1" ht="17.100000000000001" customHeight="1" x14ac:dyDescent="0.25">
      <c r="A327" s="119"/>
      <c r="B327" s="119"/>
      <c r="C327" s="429"/>
      <c r="D327" s="427"/>
      <c r="E327" s="428"/>
      <c r="F327" s="428"/>
      <c r="G327" s="428"/>
      <c r="H327" s="119"/>
      <c r="I327" s="97"/>
      <c r="J327" s="643"/>
      <c r="K327" s="643"/>
      <c r="L327" s="643"/>
      <c r="M327" s="643"/>
      <c r="N327" s="643"/>
      <c r="O327" s="643"/>
      <c r="P327" s="643"/>
      <c r="Q327" s="643"/>
      <c r="R327" s="643"/>
      <c r="S327" s="643"/>
      <c r="T327" s="643"/>
      <c r="U327" s="643"/>
      <c r="V327" s="643"/>
      <c r="W327" s="646"/>
      <c r="X327" s="646"/>
      <c r="Y327" s="646"/>
      <c r="Z327" s="201"/>
      <c r="AA327" s="201"/>
      <c r="AB327" s="201"/>
      <c r="AC327" s="199"/>
      <c r="AE327" s="17"/>
      <c r="AF327" s="17"/>
      <c r="AG327" s="17"/>
      <c r="AH327" s="646"/>
      <c r="AI327" s="91"/>
      <c r="AK327" s="17"/>
      <c r="AL327" s="17"/>
      <c r="AM327" s="17"/>
      <c r="AN327" s="646"/>
      <c r="AO327" s="91"/>
      <c r="AQ327" s="17"/>
      <c r="AR327" s="17"/>
      <c r="AS327" s="17"/>
      <c r="AT327" s="17"/>
      <c r="AU327" s="91"/>
      <c r="AW327" s="17"/>
      <c r="AX327" s="17"/>
      <c r="AY327" s="17"/>
      <c r="AZ327" s="17"/>
      <c r="BA327" s="91"/>
    </row>
    <row r="328" spans="1:53" s="97" customFormat="1" ht="17.100000000000001" customHeight="1" x14ac:dyDescent="0.25">
      <c r="A328" s="119"/>
      <c r="B328" s="41" t="s">
        <v>1443</v>
      </c>
      <c r="C328" s="69" t="s">
        <v>12</v>
      </c>
      <c r="D328" s="50"/>
      <c r="E328" s="70"/>
      <c r="F328" s="70"/>
      <c r="G328" s="70"/>
      <c r="H328" s="84"/>
      <c r="J328" s="71"/>
      <c r="K328" s="71"/>
      <c r="L328" s="71"/>
      <c r="M328" s="71"/>
      <c r="N328" s="71"/>
      <c r="O328" s="71"/>
      <c r="P328" s="71"/>
      <c r="Q328" s="71"/>
      <c r="R328" s="71"/>
      <c r="S328" s="71"/>
      <c r="T328" s="71"/>
      <c r="U328" s="71"/>
      <c r="V328" s="355"/>
      <c r="W328" s="377"/>
      <c r="X328" s="71"/>
      <c r="Y328" s="71"/>
      <c r="Z328" s="73"/>
      <c r="AA328" s="73"/>
      <c r="AB328" s="73"/>
      <c r="AC328" s="73"/>
      <c r="AE328" s="71"/>
      <c r="AF328" s="71"/>
      <c r="AG328" s="273"/>
      <c r="AH328" s="73"/>
      <c r="AI328" s="73"/>
      <c r="AJ328" s="3"/>
      <c r="AK328" s="71"/>
      <c r="AL328" s="71"/>
      <c r="AM328" s="273"/>
      <c r="AN328" s="73"/>
      <c r="AO328" s="73"/>
      <c r="AP328" s="3"/>
      <c r="AQ328" s="71"/>
      <c r="AR328" s="71"/>
      <c r="AS328" s="273"/>
      <c r="AT328" s="73"/>
      <c r="AU328" s="73"/>
      <c r="AV328" s="3"/>
      <c r="AW328" s="71"/>
      <c r="AX328" s="71"/>
      <c r="AY328" s="273"/>
      <c r="AZ328" s="73"/>
      <c r="BA328" s="73"/>
    </row>
    <row r="329" spans="1:53" ht="17.100000000000001" customHeight="1" x14ac:dyDescent="0.25">
      <c r="A329" s="40"/>
      <c r="B329" s="40"/>
      <c r="C329" s="74" t="s">
        <v>1444</v>
      </c>
      <c r="D329" s="931" t="s">
        <v>315</v>
      </c>
      <c r="E329" s="75"/>
      <c r="F329" s="75"/>
      <c r="G329" s="75"/>
      <c r="H329" s="928"/>
      <c r="I329" s="12"/>
      <c r="J329" s="152"/>
      <c r="K329" s="152"/>
      <c r="L329" s="152"/>
      <c r="M329" s="152"/>
      <c r="N329" s="152">
        <f>IF(N20&gt;0,1,0)</f>
        <v>1</v>
      </c>
      <c r="O329" s="152">
        <f>IF(O20&gt;0,1,0)</f>
        <v>1</v>
      </c>
      <c r="P329" s="152"/>
      <c r="Q329" s="152">
        <f>IF(Q20&gt;0,1,0)</f>
        <v>1</v>
      </c>
      <c r="R329" s="152">
        <f>IF(R20&gt;0,1,0)</f>
        <v>1</v>
      </c>
      <c r="S329" s="152"/>
      <c r="T329" s="152">
        <f>IF(T20&gt;0,1,0)</f>
        <v>1</v>
      </c>
      <c r="U329" s="152">
        <f>IF(U20&gt;0,1,0)</f>
        <v>1</v>
      </c>
      <c r="V329" s="152"/>
      <c r="W329" s="389"/>
      <c r="X329" s="152"/>
      <c r="Y329" s="932"/>
      <c r="Z329" s="131"/>
      <c r="AA329" s="131"/>
      <c r="AB329" s="131"/>
      <c r="AC329" s="113"/>
      <c r="AE329" s="152"/>
      <c r="AF329" s="152"/>
      <c r="AG329" s="152"/>
      <c r="AH329" s="932"/>
      <c r="AI329" s="131"/>
      <c r="AJ329" s="117"/>
      <c r="AK329" s="152"/>
      <c r="AL329" s="152"/>
      <c r="AM329" s="152"/>
      <c r="AN329" s="932"/>
      <c r="AO329" s="131"/>
      <c r="AP329" s="117"/>
      <c r="AQ329" s="152"/>
      <c r="AR329" s="152"/>
      <c r="AS329" s="152"/>
      <c r="AT329" s="932"/>
      <c r="AU329" s="131"/>
      <c r="AV329" s="117"/>
      <c r="AW329" s="152"/>
      <c r="AX329" s="152"/>
      <c r="AY329" s="152"/>
      <c r="AZ329" s="932"/>
      <c r="BA329" s="131"/>
    </row>
    <row r="330" spans="1:53" ht="17.100000000000001" customHeight="1" x14ac:dyDescent="0.25">
      <c r="A330" s="137"/>
      <c r="B330" s="40"/>
      <c r="C330" s="40"/>
      <c r="D330" s="128" t="s">
        <v>1017</v>
      </c>
      <c r="E330" s="122"/>
      <c r="F330" s="122"/>
      <c r="G330" s="122"/>
      <c r="H330" s="928"/>
      <c r="I330" s="12"/>
      <c r="J330" s="190"/>
      <c r="K330" s="190"/>
      <c r="L330" s="190"/>
      <c r="M330" s="190"/>
      <c r="N330" s="570">
        <f>IF(N287=0,0,N285/N287)*0.5</f>
        <v>0</v>
      </c>
      <c r="O330" s="570">
        <f>IF(O287=0,0,O285/O287)*0.5</f>
        <v>0</v>
      </c>
      <c r="P330" s="190"/>
      <c r="Q330" s="570">
        <f>IF(Q287=0,0,Q285/Q287)*0.5</f>
        <v>0</v>
      </c>
      <c r="R330" s="570">
        <f>IF(R287=0,0,R285/R287)*0.5</f>
        <v>0</v>
      </c>
      <c r="S330" s="190"/>
      <c r="T330" s="570">
        <f>IF(T287=0,0,T285/T287)*0.5</f>
        <v>0</v>
      </c>
      <c r="U330" s="570">
        <f>IF(U287=0,0,U285/U287)*0.5</f>
        <v>0</v>
      </c>
      <c r="V330" s="371"/>
      <c r="W330" s="393"/>
      <c r="X330" s="190"/>
      <c r="Y330" s="129"/>
      <c r="Z330" s="130"/>
      <c r="AA330" s="130"/>
      <c r="AB330" s="130"/>
      <c r="AC330" s="125"/>
      <c r="AE330" s="190"/>
      <c r="AF330" s="190"/>
      <c r="AG330" s="190"/>
      <c r="AH330" s="129"/>
      <c r="AI330" s="130"/>
      <c r="AJ330" s="117"/>
      <c r="AK330" s="190"/>
      <c r="AL330" s="190"/>
      <c r="AM330" s="190"/>
      <c r="AN330" s="129"/>
      <c r="AO330" s="130"/>
      <c r="AP330" s="117"/>
      <c r="AQ330" s="190"/>
      <c r="AR330" s="190"/>
      <c r="AS330" s="190"/>
      <c r="AT330" s="129"/>
      <c r="AU330" s="130"/>
      <c r="AV330" s="117"/>
      <c r="AW330" s="190"/>
      <c r="AX330" s="190"/>
      <c r="AY330" s="190"/>
      <c r="AZ330" s="129"/>
      <c r="BA330" s="130"/>
    </row>
    <row r="331" spans="1:53" ht="17.100000000000001" customHeight="1" x14ac:dyDescent="0.25">
      <c r="A331" s="137"/>
      <c r="B331" s="40"/>
      <c r="C331" s="40"/>
      <c r="D331" s="128" t="s">
        <v>1018</v>
      </c>
      <c r="E331" s="122"/>
      <c r="F331" s="122"/>
      <c r="G331" s="122"/>
      <c r="H331" s="928"/>
      <c r="I331" s="12"/>
      <c r="J331" s="190"/>
      <c r="K331" s="190"/>
      <c r="L331" s="190"/>
      <c r="M331" s="190"/>
      <c r="N331" s="570">
        <f>IF(N287=0,0,N286/N287)*1</f>
        <v>0.66666666666666663</v>
      </c>
      <c r="O331" s="570">
        <f t="shared" ref="O331:U331" si="330">IF(O287=0,0,O286/O287)*1</f>
        <v>0.66666666666666663</v>
      </c>
      <c r="P331" s="570"/>
      <c r="Q331" s="570">
        <f t="shared" si="330"/>
        <v>0.14285714285714285</v>
      </c>
      <c r="R331" s="570">
        <f t="shared" si="330"/>
        <v>0.5</v>
      </c>
      <c r="S331" s="570"/>
      <c r="T331" s="570">
        <f t="shared" si="330"/>
        <v>1</v>
      </c>
      <c r="U331" s="570">
        <f t="shared" si="330"/>
        <v>1</v>
      </c>
      <c r="V331" s="371"/>
      <c r="W331" s="393"/>
      <c r="X331" s="190"/>
      <c r="Y331" s="129"/>
      <c r="Z331" s="130"/>
      <c r="AA331" s="130"/>
      <c r="AB331" s="130"/>
      <c r="AC331" s="125"/>
      <c r="AE331" s="190"/>
      <c r="AF331" s="190"/>
      <c r="AG331" s="190"/>
      <c r="AH331" s="129"/>
      <c r="AI331" s="130"/>
      <c r="AJ331" s="117"/>
      <c r="AK331" s="190"/>
      <c r="AL331" s="190"/>
      <c r="AM331" s="190"/>
      <c r="AN331" s="129"/>
      <c r="AO331" s="130"/>
      <c r="AP331" s="117"/>
      <c r="AQ331" s="190"/>
      <c r="AR331" s="190"/>
      <c r="AS331" s="190"/>
      <c r="AT331" s="129"/>
      <c r="AU331" s="130"/>
      <c r="AV331" s="117"/>
      <c r="AW331" s="190"/>
      <c r="AX331" s="190"/>
      <c r="AY331" s="190"/>
      <c r="AZ331" s="129"/>
      <c r="BA331" s="130"/>
    </row>
    <row r="332" spans="1:53" ht="17.100000000000001" customHeight="1" x14ac:dyDescent="0.25">
      <c r="A332" s="137"/>
      <c r="B332" s="40"/>
      <c r="C332" s="40"/>
      <c r="D332" s="128" t="s">
        <v>316</v>
      </c>
      <c r="E332" s="122"/>
      <c r="F332" s="122"/>
      <c r="G332" s="122"/>
      <c r="H332" s="928"/>
      <c r="I332" s="12"/>
      <c r="J332" s="190"/>
      <c r="K332" s="190"/>
      <c r="L332" s="190"/>
      <c r="M332" s="190"/>
      <c r="N332" s="570">
        <f>IF(N294=0,0,N292/N294)*0.5</f>
        <v>0.33333333333333331</v>
      </c>
      <c r="O332" s="570">
        <f>IF(O294=0,0,O292/O294)*0.5</f>
        <v>0.33333333333333331</v>
      </c>
      <c r="P332" s="190"/>
      <c r="Q332" s="570">
        <f>IF(Q294=0,0,Q292/Q294)*0.5</f>
        <v>0</v>
      </c>
      <c r="R332" s="570">
        <f>IF(R294=0,0,R292/R294)*0.5</f>
        <v>0</v>
      </c>
      <c r="S332" s="190"/>
      <c r="T332" s="570">
        <f>IF(T294=0,0,T292/T294)*0.5</f>
        <v>0</v>
      </c>
      <c r="U332" s="570">
        <f>IF(U294=0,0,U292/U294)*0.5</f>
        <v>0</v>
      </c>
      <c r="V332" s="371"/>
      <c r="W332" s="393"/>
      <c r="X332" s="190"/>
      <c r="Y332" s="129"/>
      <c r="Z332" s="130"/>
      <c r="AA332" s="130"/>
      <c r="AB332" s="130"/>
      <c r="AC332" s="125"/>
      <c r="AE332" s="190"/>
      <c r="AF332" s="190"/>
      <c r="AG332" s="190"/>
      <c r="AH332" s="129"/>
      <c r="AI332" s="130"/>
      <c r="AJ332" s="117"/>
      <c r="AK332" s="190"/>
      <c r="AL332" s="190"/>
      <c r="AM332" s="190"/>
      <c r="AN332" s="129"/>
      <c r="AO332" s="130"/>
      <c r="AP332" s="117"/>
      <c r="AQ332" s="190"/>
      <c r="AR332" s="190"/>
      <c r="AS332" s="190"/>
      <c r="AT332" s="129"/>
      <c r="AU332" s="130"/>
      <c r="AV332" s="117"/>
      <c r="AW332" s="190"/>
      <c r="AX332" s="190"/>
      <c r="AY332" s="190"/>
      <c r="AZ332" s="129"/>
      <c r="BA332" s="130"/>
    </row>
    <row r="333" spans="1:53" ht="17.100000000000001" customHeight="1" x14ac:dyDescent="0.25">
      <c r="A333" s="137"/>
      <c r="B333" s="40"/>
      <c r="C333" s="40"/>
      <c r="D333" s="128" t="s">
        <v>317</v>
      </c>
      <c r="E333" s="122"/>
      <c r="F333" s="122"/>
      <c r="G333" s="122"/>
      <c r="H333" s="928"/>
      <c r="I333" s="12"/>
      <c r="J333" s="190"/>
      <c r="K333" s="190"/>
      <c r="L333" s="190"/>
      <c r="M333" s="190"/>
      <c r="N333" s="570">
        <f>IF(N294=0,0,N293/N294)*1</f>
        <v>0</v>
      </c>
      <c r="O333" s="570">
        <f t="shared" ref="O333:U333" si="331">IF(O294=0,0,O293/O294)*1</f>
        <v>0</v>
      </c>
      <c r="P333" s="570"/>
      <c r="Q333" s="570">
        <f t="shared" si="331"/>
        <v>0.7142857142857143</v>
      </c>
      <c r="R333" s="570">
        <f t="shared" si="331"/>
        <v>1</v>
      </c>
      <c r="S333" s="570"/>
      <c r="T333" s="570">
        <f t="shared" si="331"/>
        <v>0</v>
      </c>
      <c r="U333" s="570">
        <f t="shared" si="331"/>
        <v>0</v>
      </c>
      <c r="V333" s="371"/>
      <c r="W333" s="393"/>
      <c r="X333" s="190"/>
      <c r="Y333" s="129"/>
      <c r="Z333" s="130"/>
      <c r="AA333" s="130"/>
      <c r="AB333" s="130"/>
      <c r="AC333" s="125"/>
      <c r="AE333" s="190"/>
      <c r="AF333" s="190"/>
      <c r="AG333" s="190"/>
      <c r="AH333" s="129"/>
      <c r="AI333" s="130"/>
      <c r="AJ333" s="117"/>
      <c r="AK333" s="190"/>
      <c r="AL333" s="190"/>
      <c r="AM333" s="190"/>
      <c r="AN333" s="129"/>
      <c r="AO333" s="130"/>
      <c r="AP333" s="117"/>
      <c r="AQ333" s="190"/>
      <c r="AR333" s="190"/>
      <c r="AS333" s="190"/>
      <c r="AT333" s="129"/>
      <c r="AU333" s="130"/>
      <c r="AV333" s="117"/>
      <c r="AW333" s="190"/>
      <c r="AX333" s="190"/>
      <c r="AY333" s="190"/>
      <c r="AZ333" s="129"/>
      <c r="BA333" s="130"/>
    </row>
    <row r="334" spans="1:53" ht="17.100000000000001" customHeight="1" x14ac:dyDescent="0.25">
      <c r="A334" s="137"/>
      <c r="B334" s="40"/>
      <c r="C334" s="40"/>
      <c r="D334" s="128" t="s">
        <v>1019</v>
      </c>
      <c r="E334" s="122"/>
      <c r="F334" s="122"/>
      <c r="G334" s="122"/>
      <c r="H334" s="928"/>
      <c r="I334" s="12"/>
      <c r="J334" s="190"/>
      <c r="K334" s="190"/>
      <c r="L334" s="190"/>
      <c r="M334" s="190"/>
      <c r="N334" s="570"/>
      <c r="O334" s="570"/>
      <c r="P334" s="190"/>
      <c r="Q334" s="570"/>
      <c r="R334" s="570"/>
      <c r="S334" s="190"/>
      <c r="T334" s="570"/>
      <c r="U334" s="570"/>
      <c r="V334" s="371"/>
      <c r="W334" s="393"/>
      <c r="X334" s="190"/>
      <c r="Y334" s="129"/>
      <c r="Z334" s="130"/>
      <c r="AA334" s="130"/>
      <c r="AB334" s="130"/>
      <c r="AC334" s="125"/>
      <c r="AE334" s="190"/>
      <c r="AF334" s="190"/>
      <c r="AG334" s="190"/>
      <c r="AH334" s="129"/>
      <c r="AI334" s="130"/>
      <c r="AJ334" s="117"/>
      <c r="AK334" s="190"/>
      <c r="AL334" s="190"/>
      <c r="AM334" s="190"/>
      <c r="AN334" s="129"/>
      <c r="AO334" s="130"/>
      <c r="AP334" s="117"/>
      <c r="AQ334" s="190"/>
      <c r="AR334" s="190"/>
      <c r="AS334" s="190"/>
      <c r="AT334" s="129"/>
      <c r="AU334" s="130"/>
      <c r="AV334" s="117"/>
      <c r="AW334" s="190"/>
      <c r="AX334" s="190"/>
      <c r="AY334" s="190"/>
      <c r="AZ334" s="129"/>
      <c r="BA334" s="130"/>
    </row>
    <row r="335" spans="1:53" ht="17.100000000000001" customHeight="1" x14ac:dyDescent="0.25">
      <c r="A335" s="137"/>
      <c r="B335" s="40"/>
      <c r="C335" s="40"/>
      <c r="D335" s="128" t="s">
        <v>318</v>
      </c>
      <c r="E335" s="122"/>
      <c r="F335" s="122"/>
      <c r="G335" s="122"/>
      <c r="H335" s="928"/>
      <c r="I335" s="12"/>
      <c r="J335" s="190"/>
      <c r="K335" s="190"/>
      <c r="L335" s="190"/>
      <c r="M335" s="190"/>
      <c r="N335" s="570">
        <f>IF(N312=0,0,(SUM(N303:N304)+N301+N306)/N312)</f>
        <v>0.66666666666666663</v>
      </c>
      <c r="O335" s="570">
        <f>IF(O312=0,0,(SUM(O303:O304)+O301+O306)/O312)</f>
        <v>0.66666666666666663</v>
      </c>
      <c r="P335" s="190"/>
      <c r="Q335" s="570">
        <f>IF(Q312=0,0,(SUM(Q303:Q304)+Q301+Q306)/Q312)</f>
        <v>1</v>
      </c>
      <c r="R335" s="570">
        <f>IF(R312=0,0,(SUM(R303:R304)+R301+R306)/R312)</f>
        <v>1</v>
      </c>
      <c r="S335" s="190"/>
      <c r="T335" s="570">
        <f>IF(T312=0,0,(SUM(T303:T304)+T301+T306)/T312)</f>
        <v>0</v>
      </c>
      <c r="U335" s="570">
        <f>IF(U312=0,0,(SUM(U303:U304)+U301+U306)/U312)</f>
        <v>0</v>
      </c>
      <c r="V335" s="371"/>
      <c r="W335" s="393"/>
      <c r="X335" s="190"/>
      <c r="Y335" s="129"/>
      <c r="Z335" s="130"/>
      <c r="AA335" s="130"/>
      <c r="AB335" s="130"/>
      <c r="AC335" s="125"/>
      <c r="AE335" s="190"/>
      <c r="AF335" s="190"/>
      <c r="AG335" s="190"/>
      <c r="AH335" s="129"/>
      <c r="AI335" s="130"/>
      <c r="AJ335" s="117"/>
      <c r="AK335" s="190"/>
      <c r="AL335" s="190"/>
      <c r="AM335" s="190"/>
      <c r="AN335" s="129"/>
      <c r="AO335" s="130"/>
      <c r="AP335" s="117"/>
      <c r="AQ335" s="190"/>
      <c r="AR335" s="190"/>
      <c r="AS335" s="190"/>
      <c r="AT335" s="129"/>
      <c r="AU335" s="130"/>
      <c r="AV335" s="117"/>
      <c r="AW335" s="190"/>
      <c r="AX335" s="190"/>
      <c r="AY335" s="190"/>
      <c r="AZ335" s="129"/>
      <c r="BA335" s="130"/>
    </row>
    <row r="336" spans="1:53" ht="17.100000000000001" customHeight="1" x14ac:dyDescent="0.25">
      <c r="A336" s="137"/>
      <c r="B336" s="40"/>
      <c r="C336" s="40"/>
      <c r="D336" s="128" t="s">
        <v>319</v>
      </c>
      <c r="E336" s="122"/>
      <c r="F336" s="122"/>
      <c r="G336" s="122"/>
      <c r="H336" s="928"/>
      <c r="I336" s="12"/>
      <c r="J336" s="190"/>
      <c r="K336" s="190"/>
      <c r="L336" s="190"/>
      <c r="M336" s="190"/>
      <c r="N336" s="570">
        <f>IF(N318=0,0,(N315/N318)*0.5)</f>
        <v>0.5</v>
      </c>
      <c r="O336" s="570">
        <f>IF(O318=0,0,(O315/O318)*0.5)</f>
        <v>0.5</v>
      </c>
      <c r="P336" s="190"/>
      <c r="Q336" s="570">
        <f>IF(Q318=0,0,(Q315/Q318)*0.5)</f>
        <v>0.5</v>
      </c>
      <c r="R336" s="570">
        <f>IF(R318=0,0,(R315/R318)*0.5)</f>
        <v>0.5</v>
      </c>
      <c r="S336" s="190"/>
      <c r="T336" s="570">
        <f>IF(T318=0,0,(T315/T318)*0.5)</f>
        <v>0.5</v>
      </c>
      <c r="U336" s="570">
        <f>IF(U318=0,0,(U315/U318)*0.5)</f>
        <v>0.5</v>
      </c>
      <c r="V336" s="371"/>
      <c r="W336" s="393"/>
      <c r="X336" s="190"/>
      <c r="Y336" s="129"/>
      <c r="Z336" s="130"/>
      <c r="AA336" s="130"/>
      <c r="AB336" s="130"/>
      <c r="AC336" s="125"/>
      <c r="AE336" s="190"/>
      <c r="AF336" s="190"/>
      <c r="AG336" s="190"/>
      <c r="AH336" s="129"/>
      <c r="AI336" s="130"/>
      <c r="AJ336" s="117"/>
      <c r="AK336" s="190"/>
      <c r="AL336" s="190"/>
      <c r="AM336" s="190"/>
      <c r="AN336" s="129"/>
      <c r="AO336" s="130"/>
      <c r="AP336" s="117"/>
      <c r="AQ336" s="190"/>
      <c r="AR336" s="190"/>
      <c r="AS336" s="190"/>
      <c r="AT336" s="129"/>
      <c r="AU336" s="130"/>
      <c r="AV336" s="117"/>
      <c r="AW336" s="190"/>
      <c r="AX336" s="190"/>
      <c r="AY336" s="190"/>
      <c r="AZ336" s="129"/>
      <c r="BA336" s="130"/>
    </row>
    <row r="337" spans="1:53" ht="17.100000000000001" customHeight="1" x14ac:dyDescent="0.25">
      <c r="A337" s="137"/>
      <c r="B337" s="40"/>
      <c r="C337" s="40"/>
      <c r="D337" s="128" t="s">
        <v>320</v>
      </c>
      <c r="E337" s="122"/>
      <c r="F337" s="122"/>
      <c r="G337" s="122"/>
      <c r="H337" s="928"/>
      <c r="I337" s="12"/>
      <c r="J337" s="190"/>
      <c r="K337" s="190"/>
      <c r="L337" s="190"/>
      <c r="M337" s="190"/>
      <c r="N337" s="570">
        <f>SUM(N330:N336)</f>
        <v>2.1666666666666665</v>
      </c>
      <c r="O337" s="570">
        <f>SUM(O330:O336)</f>
        <v>2.1666666666666665</v>
      </c>
      <c r="P337" s="190"/>
      <c r="Q337" s="570">
        <f>SUM(Q330:Q336)</f>
        <v>2.3571428571428572</v>
      </c>
      <c r="R337" s="570">
        <f>SUM(R330:R336)</f>
        <v>3</v>
      </c>
      <c r="S337" s="190"/>
      <c r="T337" s="570">
        <f>SUM(T330:T336)</f>
        <v>1.5</v>
      </c>
      <c r="U337" s="570">
        <f>SUM(U330:U336)</f>
        <v>1.5</v>
      </c>
      <c r="V337" s="371"/>
      <c r="W337" s="393"/>
      <c r="X337" s="190"/>
      <c r="Y337" s="129"/>
      <c r="Z337" s="130"/>
      <c r="AA337" s="130"/>
      <c r="AB337" s="130"/>
      <c r="AC337" s="125"/>
      <c r="AE337" s="190"/>
      <c r="AF337" s="190"/>
      <c r="AG337" s="190"/>
      <c r="AH337" s="129"/>
      <c r="AI337" s="130"/>
      <c r="AJ337" s="117"/>
      <c r="AK337" s="190"/>
      <c r="AL337" s="190"/>
      <c r="AM337" s="190"/>
      <c r="AN337" s="129"/>
      <c r="AO337" s="130"/>
      <c r="AP337" s="117"/>
      <c r="AQ337" s="190"/>
      <c r="AR337" s="190"/>
      <c r="AS337" s="190"/>
      <c r="AT337" s="129"/>
      <c r="AU337" s="130"/>
      <c r="AV337" s="117"/>
      <c r="AW337" s="190"/>
      <c r="AX337" s="190"/>
      <c r="AY337" s="190"/>
      <c r="AZ337" s="129"/>
      <c r="BA337" s="130"/>
    </row>
    <row r="338" spans="1:53" ht="17.100000000000001" customHeight="1" x14ac:dyDescent="0.25">
      <c r="A338" s="137"/>
      <c r="B338" s="40"/>
      <c r="C338" s="40"/>
      <c r="D338" s="128" t="s">
        <v>321</v>
      </c>
      <c r="E338" s="122"/>
      <c r="F338" s="122"/>
      <c r="G338" s="122"/>
      <c r="H338" s="928"/>
      <c r="I338" s="12"/>
      <c r="J338" s="190"/>
      <c r="K338" s="190"/>
      <c r="L338" s="190"/>
      <c r="M338" s="190"/>
      <c r="N338" s="190">
        <v>3.5</v>
      </c>
      <c r="O338" s="190">
        <v>3.5</v>
      </c>
      <c r="P338" s="190"/>
      <c r="Q338" s="190">
        <v>3.5</v>
      </c>
      <c r="R338" s="190">
        <v>3.5</v>
      </c>
      <c r="S338" s="190"/>
      <c r="T338" s="190">
        <v>3.5</v>
      </c>
      <c r="U338" s="190">
        <v>3.5</v>
      </c>
      <c r="V338" s="371"/>
      <c r="W338" s="393"/>
      <c r="X338" s="190"/>
      <c r="Y338" s="129"/>
      <c r="Z338" s="130"/>
      <c r="AA338" s="130"/>
      <c r="AB338" s="130"/>
      <c r="AC338" s="125"/>
      <c r="AE338" s="190"/>
      <c r="AF338" s="190"/>
      <c r="AG338" s="190"/>
      <c r="AH338" s="129"/>
      <c r="AI338" s="130"/>
      <c r="AJ338" s="117"/>
      <c r="AK338" s="190"/>
      <c r="AL338" s="190"/>
      <c r="AM338" s="190"/>
      <c r="AN338" s="129"/>
      <c r="AO338" s="130"/>
      <c r="AP338" s="117"/>
      <c r="AQ338" s="190"/>
      <c r="AR338" s="190"/>
      <c r="AS338" s="190"/>
      <c r="AT338" s="129"/>
      <c r="AU338" s="130"/>
      <c r="AV338" s="117"/>
      <c r="AW338" s="190"/>
      <c r="AX338" s="190"/>
      <c r="AY338" s="190"/>
      <c r="AZ338" s="129"/>
      <c r="BA338" s="130"/>
    </row>
    <row r="339" spans="1:53" ht="17.100000000000001" customHeight="1" x14ac:dyDescent="0.25">
      <c r="A339" s="137"/>
      <c r="B339" s="40"/>
      <c r="C339" s="40"/>
      <c r="D339" s="75" t="s">
        <v>322</v>
      </c>
      <c r="E339" s="75"/>
      <c r="F339" s="75"/>
      <c r="G339" s="75"/>
      <c r="H339" s="1322"/>
      <c r="I339" s="12"/>
      <c r="J339" s="191" t="str">
        <f>IF(J$506=0,"",J340)</f>
        <v/>
      </c>
      <c r="K339" s="191" t="str">
        <f>IF(K$506=0,"",K340)</f>
        <v/>
      </c>
      <c r="L339" s="191" t="str">
        <f>IF(L$506=0,"",L340)</f>
        <v/>
      </c>
      <c r="M339" s="191"/>
      <c r="N339" s="191">
        <f>IF(N329=0,"",IF(N340=0,0,N340))</f>
        <v>0.61904761904761896</v>
      </c>
      <c r="O339" s="191">
        <f>IF(O329=0,"",IF(O340=0,0,O340))</f>
        <v>0.61904761904761896</v>
      </c>
      <c r="P339" s="191"/>
      <c r="Q339" s="191">
        <f>IF(Q329=0,"",IF(Q340=0,0,Q340))</f>
        <v>0.67346938775510201</v>
      </c>
      <c r="R339" s="191">
        <f>IF(R329=0,"",IF(R340=0,0,R340))</f>
        <v>0.8571428571428571</v>
      </c>
      <c r="S339" s="191"/>
      <c r="T339" s="191">
        <f>IF(T329=0,"",IF(T340=0,0,T340))</f>
        <v>0.42857142857142855</v>
      </c>
      <c r="U339" s="191">
        <f>IF(U329=0,"",IF(U340=0,0,U340))</f>
        <v>0.42857142857142855</v>
      </c>
      <c r="V339" s="191"/>
      <c r="W339" s="394"/>
      <c r="X339" s="191"/>
      <c r="Y339" s="164"/>
      <c r="Z339" s="192"/>
      <c r="AA339" s="192"/>
      <c r="AB339" s="192"/>
      <c r="AC339" s="193">
        <f>IF(Y339=0,0,AVERAGE(J339:X339))</f>
        <v>0</v>
      </c>
      <c r="AE339" s="191"/>
      <c r="AF339" s="191"/>
      <c r="AG339" s="191"/>
      <c r="AH339" s="164"/>
      <c r="AI339" s="192"/>
      <c r="AJ339" s="117"/>
      <c r="AK339" s="191"/>
      <c r="AL339" s="191"/>
      <c r="AM339" s="191"/>
      <c r="AN339" s="164"/>
      <c r="AO339" s="192"/>
      <c r="AP339" s="117"/>
      <c r="AQ339" s="191"/>
      <c r="AR339" s="191"/>
      <c r="AS339" s="191"/>
      <c r="AT339" s="164"/>
      <c r="AU339" s="192"/>
      <c r="AV339" s="117"/>
      <c r="AW339" s="191"/>
      <c r="AX339" s="191"/>
      <c r="AY339" s="191"/>
      <c r="AZ339" s="164"/>
      <c r="BA339" s="192"/>
    </row>
    <row r="340" spans="1:53" ht="17.100000000000001" customHeight="1" x14ac:dyDescent="0.25">
      <c r="A340" s="137"/>
      <c r="B340" s="40"/>
      <c r="C340" s="40"/>
      <c r="D340" s="128" t="s">
        <v>323</v>
      </c>
      <c r="E340" s="122"/>
      <c r="F340" s="122"/>
      <c r="G340" s="122"/>
      <c r="H340" s="1322"/>
      <c r="I340" s="12"/>
      <c r="J340" s="194"/>
      <c r="K340" s="194"/>
      <c r="L340" s="194"/>
      <c r="M340" s="194"/>
      <c r="N340" s="194">
        <f>N337/N338</f>
        <v>0.61904761904761896</v>
      </c>
      <c r="O340" s="194">
        <f t="shared" ref="O340" si="332">O337/O338</f>
        <v>0.61904761904761896</v>
      </c>
      <c r="P340" s="194"/>
      <c r="Q340" s="194">
        <f>Q337/Q338</f>
        <v>0.67346938775510201</v>
      </c>
      <c r="R340" s="194">
        <f t="shared" ref="R340" si="333">R337/R338</f>
        <v>0.8571428571428571</v>
      </c>
      <c r="S340" s="194"/>
      <c r="T340" s="194">
        <f>T337/T338</f>
        <v>0.42857142857142855</v>
      </c>
      <c r="U340" s="194">
        <f t="shared" ref="U340" si="334">U337/U338</f>
        <v>0.42857142857142855</v>
      </c>
      <c r="V340" s="194"/>
      <c r="W340" s="969">
        <f>N340+Q340+T340</f>
        <v>1.7210884353741496</v>
      </c>
      <c r="X340" s="504">
        <f>O340+R340+U340</f>
        <v>1.9047619047619047</v>
      </c>
      <c r="Y340" s="504">
        <f>SUM(N340:U340)</f>
        <v>3.6258503401360538</v>
      </c>
      <c r="Z340" s="195"/>
      <c r="AA340" s="195"/>
      <c r="AB340" s="195"/>
      <c r="AC340" s="161"/>
      <c r="AE340" s="194"/>
      <c r="AF340" s="194"/>
      <c r="AG340" s="194"/>
      <c r="AH340" s="162"/>
      <c r="AI340" s="195"/>
      <c r="AJ340" s="117"/>
      <c r="AK340" s="194"/>
      <c r="AL340" s="194"/>
      <c r="AM340" s="194"/>
      <c r="AN340" s="162"/>
      <c r="AO340" s="195"/>
      <c r="AP340" s="117"/>
      <c r="AQ340" s="194"/>
      <c r="AR340" s="194"/>
      <c r="AS340" s="194"/>
      <c r="AT340" s="162"/>
      <c r="AU340" s="195"/>
      <c r="AV340" s="117"/>
      <c r="AW340" s="194"/>
      <c r="AX340" s="194"/>
      <c r="AY340" s="194"/>
      <c r="AZ340" s="162"/>
      <c r="BA340" s="195"/>
    </row>
    <row r="341" spans="1:53" ht="17.100000000000001" customHeight="1" x14ac:dyDescent="0.25">
      <c r="A341" s="137"/>
      <c r="B341" s="137"/>
      <c r="C341" s="40"/>
      <c r="D341" s="128"/>
      <c r="E341" s="122"/>
      <c r="F341" s="122"/>
      <c r="G341" s="122"/>
      <c r="H341" s="1322"/>
      <c r="I341" s="12"/>
      <c r="J341" s="194"/>
      <c r="K341" s="194"/>
      <c r="L341" s="194"/>
      <c r="M341" s="194"/>
      <c r="N341" s="194">
        <f>IF(N329=0,"",N340)</f>
        <v>0.61904761904761896</v>
      </c>
      <c r="O341" s="194">
        <f>IF(O329=0,"",O340)</f>
        <v>0.61904761904761896</v>
      </c>
      <c r="P341" s="194"/>
      <c r="Q341" s="194">
        <f>IF(Q329=0,"",Q340)</f>
        <v>0.67346938775510201</v>
      </c>
      <c r="R341" s="194">
        <f>IF(R329=0,"",R340)</f>
        <v>0.8571428571428571</v>
      </c>
      <c r="S341" s="194"/>
      <c r="T341" s="194">
        <f>IF(T329=0,"",T340)</f>
        <v>0.42857142857142855</v>
      </c>
      <c r="U341" s="194">
        <f>IF(U329=0,"",U340)</f>
        <v>0.42857142857142855</v>
      </c>
      <c r="V341" s="194"/>
      <c r="W341" s="969">
        <f>IF(W340=0,"",AVERAGE(N341,Q341,T341))</f>
        <v>0.57369614512471656</v>
      </c>
      <c r="X341" s="504">
        <f>IF(X340=0,"",AVERAGE(O341,R341,U341))</f>
        <v>0.63492063492063489</v>
      </c>
      <c r="Y341" s="504">
        <f>IF(Y340=0,"",AVERAGE(N341:U341))</f>
        <v>0.60430839002267567</v>
      </c>
      <c r="Z341" s="195"/>
      <c r="AA341" s="195"/>
      <c r="AB341" s="195"/>
      <c r="AC341" s="161"/>
      <c r="AE341" s="194"/>
      <c r="AF341" s="194"/>
      <c r="AG341" s="194"/>
      <c r="AH341" s="162"/>
      <c r="AI341" s="195"/>
      <c r="AJ341" s="117"/>
      <c r="AK341" s="194"/>
      <c r="AL341" s="194"/>
      <c r="AM341" s="194"/>
      <c r="AN341" s="162"/>
      <c r="AO341" s="195"/>
      <c r="AP341" s="117"/>
      <c r="AQ341" s="194"/>
      <c r="AR341" s="194"/>
      <c r="AS341" s="194"/>
      <c r="AT341" s="162"/>
      <c r="AU341" s="195"/>
      <c r="AV341" s="117"/>
      <c r="AW341" s="194"/>
      <c r="AX341" s="194"/>
      <c r="AY341" s="194"/>
      <c r="AZ341" s="162"/>
      <c r="BA341" s="195"/>
    </row>
    <row r="342" spans="1:53" s="117" customFormat="1" ht="17.100000000000001" customHeight="1" x14ac:dyDescent="0.25">
      <c r="A342" s="119"/>
      <c r="B342" s="119"/>
      <c r="C342" s="196"/>
      <c r="D342" s="75" t="s">
        <v>324</v>
      </c>
      <c r="E342" s="75"/>
      <c r="F342" s="75"/>
      <c r="G342" s="75"/>
      <c r="H342" s="1322"/>
      <c r="I342" s="12"/>
      <c r="J342" s="55" t="str">
        <f>IF(J$506=0,"",IF(J339&gt;=0.75,1,0))</f>
        <v/>
      </c>
      <c r="K342" s="55" t="str">
        <f>IF(K$506=0,"",IF(K339&gt;=0.75,1,0))</f>
        <v/>
      </c>
      <c r="L342" s="55" t="str">
        <f>IF(L$506=0,"",IF(L339&gt;=0.75,1,0))</f>
        <v/>
      </c>
      <c r="M342" s="55"/>
      <c r="N342" s="55">
        <f>IF(N$329=0,0,IF(N$339&gt;=0.75,1,0))</f>
        <v>0</v>
      </c>
      <c r="O342" s="55">
        <f t="shared" ref="O342:U342" si="335">IF(O$329=0,0,IF(O$339&gt;=0.75,1,0))</f>
        <v>0</v>
      </c>
      <c r="P342" s="55">
        <f>IF(SUM(N342:O342)=0,0,IF(SUM(N342:O342)=2,1,IF(AND(N$340=0,O342&gt;0),O342,SUM(N342:O342)/2)))</f>
        <v>0</v>
      </c>
      <c r="Q342" s="55">
        <f t="shared" si="335"/>
        <v>0</v>
      </c>
      <c r="R342" s="55">
        <f t="shared" si="335"/>
        <v>1</v>
      </c>
      <c r="S342" s="55">
        <f>IF(SUM(Q342:R342)=0,0,IF(SUM(Q342:R342)=2,1,IF(AND(Q$340=0,R342&gt;0),R342,SUM(Q342:R342)/2)))</f>
        <v>0.5</v>
      </c>
      <c r="T342" s="55">
        <f t="shared" si="335"/>
        <v>0</v>
      </c>
      <c r="U342" s="55">
        <f t="shared" si="335"/>
        <v>0</v>
      </c>
      <c r="V342" s="55">
        <f>IF(SUM(T342:U342)=0,0,IF(SUM(T342:U342)=2,1,IF(AND(T$340=0,U342&gt;0),U342,SUM(T342:U342)/2)))</f>
        <v>0</v>
      </c>
      <c r="W342" s="1324">
        <f>N342+Q342+T342</f>
        <v>0</v>
      </c>
      <c r="X342" s="1000">
        <f>O342+R342+U342</f>
        <v>1</v>
      </c>
      <c r="Y342" s="996">
        <f>P342+S342+V342</f>
        <v>0.5</v>
      </c>
      <c r="Z342" s="19">
        <f>IF(Y$569=0,0,Y342/Y$569)</f>
        <v>0</v>
      </c>
      <c r="AA342" s="197"/>
      <c r="AB342" s="197"/>
      <c r="AC342" s="198"/>
      <c r="AE342" s="55"/>
      <c r="AF342" s="55"/>
      <c r="AG342" s="55"/>
      <c r="AH342" s="164"/>
      <c r="AI342" s="197"/>
      <c r="AK342" s="55"/>
      <c r="AL342" s="55"/>
      <c r="AM342" s="55"/>
      <c r="AN342" s="164"/>
      <c r="AO342" s="197"/>
      <c r="AQ342" s="55"/>
      <c r="AR342" s="55"/>
      <c r="AS342" s="55"/>
      <c r="AT342" s="164"/>
      <c r="AU342" s="197"/>
      <c r="AW342" s="55"/>
      <c r="AX342" s="55"/>
      <c r="AY342" s="55"/>
      <c r="AZ342" s="164"/>
      <c r="BA342" s="197"/>
    </row>
    <row r="343" spans="1:53" s="117" customFormat="1" ht="17.100000000000001" customHeight="1" x14ac:dyDescent="0.25">
      <c r="A343" s="119"/>
      <c r="B343" s="119"/>
      <c r="C343" s="136"/>
      <c r="D343" s="75" t="s">
        <v>325</v>
      </c>
      <c r="E343" s="75"/>
      <c r="F343" s="75"/>
      <c r="G343" s="75"/>
      <c r="H343" s="1322"/>
      <c r="I343" s="12"/>
      <c r="J343" s="55" t="str">
        <f>IF(J$506=0,"",IF(AND(J340&gt;=0.5,J340&lt;0.75),1,0))</f>
        <v/>
      </c>
      <c r="K343" s="55" t="str">
        <f>IF(K$506=0,"",IF(AND(K340&gt;=0.5,K340&lt;0.75),1,0))</f>
        <v/>
      </c>
      <c r="L343" s="55" t="str">
        <f>IF(L$506=0,"",IF(AND(L340&gt;=0.5,L340&lt;0.75),1,0))</f>
        <v/>
      </c>
      <c r="M343" s="55"/>
      <c r="N343" s="55">
        <f>IF(N$329=0,0,IF(AND(N339&gt;=0.5,N339&lt;0.75),1,0))</f>
        <v>1</v>
      </c>
      <c r="O343" s="55">
        <f t="shared" ref="O343:U343" si="336">IF(O$329=0,0,IF(AND(O339&gt;=0.5,O339&lt;0.75),1,0))</f>
        <v>1</v>
      </c>
      <c r="P343" s="55">
        <f t="shared" ref="P343:P344" si="337">IF(SUM(N343:O343)=0,0,IF(SUM(N343:O343)=2,1,IF(AND(N$340=0,O343&gt;0),O343,SUM(N343:O343)/2)))</f>
        <v>1</v>
      </c>
      <c r="Q343" s="55">
        <f t="shared" si="336"/>
        <v>1</v>
      </c>
      <c r="R343" s="55">
        <f t="shared" si="336"/>
        <v>0</v>
      </c>
      <c r="S343" s="55">
        <f t="shared" ref="S343:S344" si="338">IF(SUM(Q343:R343)=0,0,IF(SUM(Q343:R343)=2,1,IF(AND(Q$340=0,R343&gt;0),R343,SUM(Q343:R343)/2)))</f>
        <v>0.5</v>
      </c>
      <c r="T343" s="55">
        <f t="shared" si="336"/>
        <v>0</v>
      </c>
      <c r="U343" s="55">
        <f t="shared" si="336"/>
        <v>0</v>
      </c>
      <c r="V343" s="55">
        <f t="shared" ref="V343:V344" si="339">IF(SUM(T343:U343)=0,0,IF(SUM(T343:U343)=2,1,IF(AND(T$340=0,U343&gt;0),U343,SUM(T343:U343)/2)))</f>
        <v>0</v>
      </c>
      <c r="W343" s="1324">
        <f t="shared" ref="W343:Y344" si="340">N343+Q343+T343</f>
        <v>2</v>
      </c>
      <c r="X343" s="1000">
        <f t="shared" si="340"/>
        <v>1</v>
      </c>
      <c r="Y343" s="996">
        <f t="shared" si="340"/>
        <v>1.5</v>
      </c>
      <c r="Z343" s="19">
        <f>IF(Y$569=0,0,Y343/Y$569)</f>
        <v>0</v>
      </c>
      <c r="AA343" s="197"/>
      <c r="AB343" s="197"/>
      <c r="AC343" s="198"/>
      <c r="AE343" s="55"/>
      <c r="AF343" s="55"/>
      <c r="AG343" s="55"/>
      <c r="AH343" s="164"/>
      <c r="AI343" s="197"/>
      <c r="AK343" s="55"/>
      <c r="AL343" s="55"/>
      <c r="AM343" s="55"/>
      <c r="AN343" s="164"/>
      <c r="AO343" s="197"/>
      <c r="AQ343" s="55"/>
      <c r="AR343" s="55"/>
      <c r="AS343" s="55"/>
      <c r="AT343" s="164"/>
      <c r="AU343" s="197"/>
      <c r="AW343" s="55"/>
      <c r="AX343" s="55"/>
      <c r="AY343" s="55"/>
      <c r="AZ343" s="164"/>
      <c r="BA343" s="197"/>
    </row>
    <row r="344" spans="1:53" s="97" customFormat="1" ht="17.100000000000001" customHeight="1" x14ac:dyDescent="0.25">
      <c r="A344" s="119"/>
      <c r="B344" s="119"/>
      <c r="C344" s="137"/>
      <c r="D344" s="75" t="s">
        <v>326</v>
      </c>
      <c r="E344" s="75"/>
      <c r="F344" s="75"/>
      <c r="G344" s="75"/>
      <c r="H344" s="1322"/>
      <c r="I344" s="12"/>
      <c r="J344" s="55" t="str">
        <f>IF(J$506=0,"",IF(J340&lt;0.5,1,0))</f>
        <v/>
      </c>
      <c r="K344" s="55" t="str">
        <f>IF(K$506=0,"",IF(K340&lt;0.5,1,0))</f>
        <v/>
      </c>
      <c r="L344" s="55" t="str">
        <f>IF(L$506=0,"",IF(L340&lt;0.5,1,0))</f>
        <v/>
      </c>
      <c r="M344" s="55"/>
      <c r="N344" s="55">
        <f>IF(N$329=0,0,IF(N339&lt;0.5,1,0))</f>
        <v>0</v>
      </c>
      <c r="O344" s="55">
        <f t="shared" ref="O344:U344" si="341">IF(O$329=0,0,IF(O339&lt;0.5,1,0))</f>
        <v>0</v>
      </c>
      <c r="P344" s="55">
        <f t="shared" si="337"/>
        <v>0</v>
      </c>
      <c r="Q344" s="55">
        <f t="shared" si="341"/>
        <v>0</v>
      </c>
      <c r="R344" s="55">
        <f t="shared" si="341"/>
        <v>0</v>
      </c>
      <c r="S344" s="55">
        <f t="shared" si="338"/>
        <v>0</v>
      </c>
      <c r="T344" s="55">
        <f t="shared" si="341"/>
        <v>1</v>
      </c>
      <c r="U344" s="55">
        <f t="shared" si="341"/>
        <v>1</v>
      </c>
      <c r="V344" s="55">
        <f t="shared" si="339"/>
        <v>1</v>
      </c>
      <c r="W344" s="1324">
        <f t="shared" si="340"/>
        <v>1</v>
      </c>
      <c r="X344" s="1000">
        <f t="shared" si="340"/>
        <v>1</v>
      </c>
      <c r="Y344" s="996">
        <f t="shared" si="340"/>
        <v>1</v>
      </c>
      <c r="Z344" s="19">
        <f>IF(Y$569=0,0,Y344/Y$569)</f>
        <v>0</v>
      </c>
      <c r="AA344" s="197"/>
      <c r="AB344" s="197"/>
      <c r="AC344" s="198"/>
      <c r="AE344" s="55"/>
      <c r="AF344" s="55"/>
      <c r="AG344" s="55"/>
      <c r="AH344" s="164"/>
      <c r="AI344" s="197"/>
      <c r="AK344" s="55"/>
      <c r="AL344" s="55"/>
      <c r="AM344" s="55"/>
      <c r="AN344" s="164"/>
      <c r="AO344" s="197"/>
      <c r="AQ344" s="55"/>
      <c r="AR344" s="55"/>
      <c r="AS344" s="55"/>
      <c r="AT344" s="164"/>
      <c r="AU344" s="197"/>
      <c r="AW344" s="55"/>
      <c r="AX344" s="55"/>
      <c r="AY344" s="55"/>
      <c r="AZ344" s="164"/>
      <c r="BA344" s="197"/>
    </row>
    <row r="345" spans="1:53" s="117" customFormat="1" ht="17.100000000000001" customHeight="1" x14ac:dyDescent="0.25">
      <c r="A345" s="119"/>
      <c r="B345" s="119"/>
      <c r="C345" s="119"/>
      <c r="D345" s="428"/>
      <c r="E345" s="93"/>
      <c r="F345" s="93"/>
      <c r="G345" s="93"/>
      <c r="H345" s="1322"/>
      <c r="I345" s="12"/>
      <c r="J345" s="191"/>
      <c r="K345" s="191"/>
      <c r="L345" s="191"/>
      <c r="M345" s="191"/>
      <c r="N345" s="191"/>
      <c r="O345" s="191"/>
      <c r="P345" s="191"/>
      <c r="Q345" s="191"/>
      <c r="R345" s="191"/>
      <c r="S345" s="191"/>
      <c r="T345" s="191"/>
      <c r="U345" s="191"/>
      <c r="V345" s="191"/>
      <c r="W345" s="394"/>
      <c r="X345" s="191"/>
      <c r="Y345" s="164">
        <f>SUM(Y342:Y344)</f>
        <v>3</v>
      </c>
      <c r="Z345" s="19">
        <f t="shared" ref="Z345" si="342">IF(Y$569=0,0,Y345/Y$569)</f>
        <v>0</v>
      </c>
      <c r="AA345" s="192"/>
      <c r="AB345" s="192"/>
      <c r="AC345" s="198"/>
      <c r="AE345" s="191"/>
      <c r="AF345" s="191"/>
      <c r="AG345" s="191"/>
      <c r="AH345" s="164"/>
      <c r="AI345" s="192"/>
      <c r="AK345" s="191"/>
      <c r="AL345" s="191"/>
      <c r="AM345" s="191"/>
      <c r="AN345" s="164"/>
      <c r="AO345" s="192"/>
      <c r="AQ345" s="191"/>
      <c r="AR345" s="191"/>
      <c r="AS345" s="191"/>
      <c r="AT345" s="164"/>
      <c r="AU345" s="192"/>
      <c r="AW345" s="191"/>
      <c r="AX345" s="191"/>
      <c r="AY345" s="191"/>
      <c r="AZ345" s="164"/>
      <c r="BA345" s="192"/>
    </row>
    <row r="358" spans="4:9" s="2" customFormat="1" ht="17.100000000000001" customHeight="1" x14ac:dyDescent="0.25">
      <c r="D358" s="3"/>
      <c r="E358" s="3"/>
      <c r="F358" s="4"/>
      <c r="G358" s="4"/>
      <c r="H358" s="4"/>
      <c r="I358" s="97"/>
    </row>
    <row r="359" spans="4:9" s="2" customFormat="1" ht="17.100000000000001" customHeight="1" x14ac:dyDescent="0.25">
      <c r="D359" s="3"/>
      <c r="E359" s="3"/>
      <c r="F359" s="4"/>
      <c r="G359" s="4"/>
      <c r="H359" s="4"/>
      <c r="I359" s="97"/>
    </row>
    <row r="360" spans="4:9" s="2" customFormat="1" ht="17.100000000000001" customHeight="1" x14ac:dyDescent="0.25">
      <c r="D360" s="3"/>
      <c r="E360" s="3"/>
      <c r="F360" s="4"/>
      <c r="G360" s="4"/>
      <c r="H360" s="4"/>
      <c r="I360" s="97"/>
    </row>
    <row r="361" spans="4:9" s="2" customFormat="1" ht="17.100000000000001" customHeight="1" x14ac:dyDescent="0.25">
      <c r="D361" s="3"/>
      <c r="E361" s="3"/>
      <c r="F361" s="4"/>
      <c r="G361" s="4"/>
      <c r="H361" s="4"/>
      <c r="I361" s="97"/>
    </row>
    <row r="362" spans="4:9" s="2" customFormat="1" ht="17.100000000000001" customHeight="1" x14ac:dyDescent="0.25">
      <c r="D362" s="3"/>
      <c r="E362" s="3"/>
      <c r="F362" s="4"/>
      <c r="G362" s="4"/>
      <c r="H362" s="4"/>
      <c r="I362" s="97"/>
    </row>
    <row r="363" spans="4:9" s="2" customFormat="1" ht="17.100000000000001" customHeight="1" x14ac:dyDescent="0.25">
      <c r="D363" s="3"/>
      <c r="E363" s="3"/>
      <c r="F363" s="4"/>
      <c r="G363" s="4"/>
      <c r="H363" s="4"/>
      <c r="I363" s="97"/>
    </row>
    <row r="364" spans="4:9" s="2" customFormat="1" ht="17.100000000000001" customHeight="1" x14ac:dyDescent="0.25">
      <c r="D364" s="3"/>
      <c r="E364" s="3"/>
      <c r="F364" s="4"/>
      <c r="G364" s="4"/>
      <c r="H364" s="4"/>
      <c r="I364" s="97"/>
    </row>
    <row r="365" spans="4:9" s="2" customFormat="1" ht="17.100000000000001" customHeight="1" x14ac:dyDescent="0.25">
      <c r="D365" s="3"/>
      <c r="E365" s="3"/>
      <c r="F365" s="4"/>
      <c r="G365" s="4"/>
      <c r="H365" s="4"/>
      <c r="I365" s="97"/>
    </row>
    <row r="366" spans="4:9" s="2" customFormat="1" ht="17.100000000000001" customHeight="1" x14ac:dyDescent="0.25">
      <c r="D366" s="3"/>
      <c r="E366" s="3"/>
      <c r="F366" s="4"/>
      <c r="G366" s="4"/>
      <c r="H366" s="4"/>
      <c r="I366" s="97"/>
    </row>
    <row r="367" spans="4:9" s="2" customFormat="1" ht="17.100000000000001" customHeight="1" x14ac:dyDescent="0.25">
      <c r="D367" s="3"/>
      <c r="E367" s="3"/>
      <c r="F367" s="4"/>
      <c r="G367" s="4"/>
      <c r="H367" s="4"/>
      <c r="I367" s="97"/>
    </row>
    <row r="368" spans="4:9" s="2" customFormat="1" ht="17.100000000000001" customHeight="1" x14ac:dyDescent="0.25">
      <c r="D368" s="3"/>
      <c r="E368" s="3"/>
      <c r="F368" s="4"/>
      <c r="G368" s="4"/>
      <c r="H368" s="4"/>
      <c r="I368" s="97"/>
    </row>
    <row r="369" spans="4:9" s="2" customFormat="1" ht="17.100000000000001" customHeight="1" x14ac:dyDescent="0.25">
      <c r="D369" s="3"/>
      <c r="E369" s="3"/>
      <c r="F369" s="4"/>
      <c r="G369" s="4"/>
      <c r="H369" s="4"/>
      <c r="I369" s="97"/>
    </row>
    <row r="370" spans="4:9" s="2" customFormat="1" ht="17.100000000000001" customHeight="1" x14ac:dyDescent="0.25">
      <c r="D370" s="3"/>
      <c r="E370" s="3"/>
      <c r="F370" s="4"/>
      <c r="G370" s="4"/>
      <c r="H370" s="4"/>
      <c r="I370" s="97"/>
    </row>
    <row r="371" spans="4:9" s="2" customFormat="1" ht="17.100000000000001" customHeight="1" x14ac:dyDescent="0.25">
      <c r="D371" s="3"/>
      <c r="E371" s="3"/>
      <c r="F371" s="4"/>
      <c r="G371" s="4"/>
      <c r="H371" s="4"/>
      <c r="I371" s="97"/>
    </row>
    <row r="372" spans="4:9" s="2" customFormat="1" ht="17.100000000000001" customHeight="1" x14ac:dyDescent="0.25">
      <c r="D372" s="3"/>
      <c r="E372" s="3"/>
      <c r="F372" s="4"/>
      <c r="G372" s="4"/>
      <c r="H372" s="4"/>
      <c r="I372" s="97"/>
    </row>
    <row r="373" spans="4:9" s="2" customFormat="1" ht="17.100000000000001" customHeight="1" x14ac:dyDescent="0.25">
      <c r="D373" s="3"/>
      <c r="E373" s="3"/>
      <c r="F373" s="4"/>
      <c r="G373" s="4"/>
      <c r="H373" s="4"/>
      <c r="I373" s="97"/>
    </row>
    <row r="374" spans="4:9" s="2" customFormat="1" ht="17.100000000000001" customHeight="1" x14ac:dyDescent="0.25">
      <c r="D374" s="3"/>
      <c r="E374" s="3"/>
      <c r="F374" s="4"/>
      <c r="G374" s="4"/>
      <c r="H374" s="4"/>
      <c r="I374" s="97"/>
    </row>
    <row r="375" spans="4:9" s="2" customFormat="1" ht="17.100000000000001" customHeight="1" x14ac:dyDescent="0.25">
      <c r="D375" s="3"/>
      <c r="E375" s="3"/>
      <c r="F375" s="4"/>
      <c r="G375" s="4"/>
      <c r="H375" s="4"/>
      <c r="I375" s="97"/>
    </row>
    <row r="376" spans="4:9" s="2" customFormat="1" ht="17.100000000000001" customHeight="1" x14ac:dyDescent="0.25">
      <c r="D376" s="3"/>
      <c r="E376" s="3"/>
      <c r="F376" s="4"/>
      <c r="G376" s="4"/>
      <c r="H376" s="4"/>
      <c r="I376" s="97"/>
    </row>
    <row r="377" spans="4:9" s="2" customFormat="1" ht="17.100000000000001" customHeight="1" x14ac:dyDescent="0.25">
      <c r="D377" s="3"/>
      <c r="E377" s="3"/>
      <c r="F377" s="4"/>
      <c r="G377" s="4"/>
      <c r="H377" s="4"/>
      <c r="I377" s="97"/>
    </row>
    <row r="378" spans="4:9" s="2" customFormat="1" ht="17.100000000000001" customHeight="1" x14ac:dyDescent="0.25">
      <c r="D378" s="3"/>
      <c r="E378" s="3"/>
      <c r="F378" s="4"/>
      <c r="G378" s="4"/>
      <c r="H378" s="4"/>
      <c r="I378" s="97"/>
    </row>
    <row r="379" spans="4:9" s="2" customFormat="1" ht="17.100000000000001" customHeight="1" x14ac:dyDescent="0.25">
      <c r="D379" s="3"/>
      <c r="E379" s="3"/>
      <c r="F379" s="4"/>
      <c r="G379" s="4"/>
      <c r="H379" s="4"/>
      <c r="I379" s="97"/>
    </row>
    <row r="380" spans="4:9" s="2" customFormat="1" ht="17.100000000000001" customHeight="1" x14ac:dyDescent="0.25">
      <c r="D380" s="3"/>
      <c r="E380" s="3"/>
      <c r="F380" s="4"/>
      <c r="G380" s="4"/>
      <c r="H380" s="4"/>
      <c r="I380" s="97"/>
    </row>
    <row r="381" spans="4:9" s="2" customFormat="1" ht="17.100000000000001" customHeight="1" x14ac:dyDescent="0.25">
      <c r="D381" s="3"/>
      <c r="E381" s="3"/>
      <c r="F381" s="4"/>
      <c r="G381" s="4"/>
      <c r="H381" s="4"/>
      <c r="I381" s="97"/>
    </row>
    <row r="382" spans="4:9" s="2" customFormat="1" ht="17.100000000000001" customHeight="1" x14ac:dyDescent="0.25">
      <c r="D382" s="3"/>
      <c r="E382" s="3"/>
      <c r="F382" s="4"/>
      <c r="G382" s="4"/>
      <c r="H382" s="4"/>
      <c r="I382" s="97"/>
    </row>
    <row r="383" spans="4:9" s="2" customFormat="1" ht="17.100000000000001" customHeight="1" x14ac:dyDescent="0.25">
      <c r="D383" s="3"/>
      <c r="E383" s="3"/>
      <c r="F383" s="4"/>
      <c r="G383" s="4"/>
      <c r="H383" s="4"/>
      <c r="I383" s="97"/>
    </row>
    <row r="384" spans="4:9" s="2" customFormat="1" ht="17.100000000000001" customHeight="1" x14ac:dyDescent="0.25">
      <c r="D384" s="3"/>
      <c r="E384" s="3"/>
      <c r="F384" s="4"/>
      <c r="G384" s="4"/>
      <c r="H384" s="4"/>
      <c r="I384" s="97"/>
    </row>
    <row r="385" spans="4:9" s="2" customFormat="1" ht="17.100000000000001" customHeight="1" x14ac:dyDescent="0.25">
      <c r="D385" s="3"/>
      <c r="E385" s="3"/>
      <c r="F385" s="4"/>
      <c r="G385" s="4"/>
      <c r="H385" s="4"/>
      <c r="I385" s="97"/>
    </row>
    <row r="386" spans="4:9" s="2" customFormat="1" ht="17.100000000000001" customHeight="1" x14ac:dyDescent="0.25">
      <c r="D386" s="3"/>
      <c r="E386" s="3"/>
      <c r="F386" s="4"/>
      <c r="G386" s="4"/>
      <c r="H386" s="4"/>
      <c r="I386" s="97"/>
    </row>
    <row r="387" spans="4:9" s="2" customFormat="1" ht="17.100000000000001" customHeight="1" x14ac:dyDescent="0.25">
      <c r="D387" s="3"/>
      <c r="E387" s="3"/>
      <c r="F387" s="4"/>
      <c r="G387" s="4"/>
      <c r="H387" s="4"/>
      <c r="I387" s="97"/>
    </row>
    <row r="388" spans="4:9" s="2" customFormat="1" ht="17.100000000000001" customHeight="1" x14ac:dyDescent="0.25">
      <c r="D388" s="3"/>
      <c r="E388" s="3"/>
      <c r="F388" s="4"/>
      <c r="G388" s="4"/>
      <c r="H388" s="4"/>
      <c r="I388" s="97"/>
    </row>
    <row r="389" spans="4:9" s="2" customFormat="1" ht="17.100000000000001" customHeight="1" x14ac:dyDescent="0.25">
      <c r="D389" s="3"/>
      <c r="E389" s="3"/>
      <c r="F389" s="4"/>
      <c r="G389" s="4"/>
      <c r="H389" s="4"/>
      <c r="I389" s="97"/>
    </row>
    <row r="390" spans="4:9" s="2" customFormat="1" ht="17.100000000000001" customHeight="1" x14ac:dyDescent="0.25">
      <c r="D390" s="3"/>
      <c r="E390" s="3"/>
      <c r="F390" s="4"/>
      <c r="G390" s="4"/>
      <c r="H390" s="4"/>
      <c r="I390" s="97"/>
    </row>
    <row r="391" spans="4:9" s="2" customFormat="1" ht="17.100000000000001" customHeight="1" x14ac:dyDescent="0.25">
      <c r="D391" s="3"/>
      <c r="E391" s="3"/>
      <c r="F391" s="4"/>
      <c r="G391" s="4"/>
      <c r="H391" s="4"/>
      <c r="I391" s="97"/>
    </row>
    <row r="392" spans="4:9" s="2" customFormat="1" ht="17.100000000000001" customHeight="1" x14ac:dyDescent="0.25">
      <c r="D392" s="3"/>
      <c r="E392" s="3"/>
      <c r="F392" s="4"/>
      <c r="G392" s="4"/>
      <c r="H392" s="4"/>
      <c r="I392" s="97"/>
    </row>
    <row r="393" spans="4:9" s="2" customFormat="1" ht="17.100000000000001" customHeight="1" x14ac:dyDescent="0.25">
      <c r="D393" s="3"/>
      <c r="E393" s="3"/>
      <c r="F393" s="4"/>
      <c r="G393" s="4"/>
      <c r="H393" s="4"/>
      <c r="I393" s="97"/>
    </row>
    <row r="394" spans="4:9" s="2" customFormat="1" ht="17.100000000000001" customHeight="1" x14ac:dyDescent="0.25">
      <c r="D394" s="3"/>
      <c r="E394" s="3"/>
      <c r="F394" s="4"/>
      <c r="G394" s="4"/>
      <c r="H394" s="4"/>
      <c r="I394" s="97"/>
    </row>
    <row r="395" spans="4:9" s="2" customFormat="1" ht="17.100000000000001" customHeight="1" x14ac:dyDescent="0.25">
      <c r="D395" s="3"/>
      <c r="E395" s="3"/>
      <c r="F395" s="4"/>
      <c r="G395" s="4"/>
      <c r="H395" s="4"/>
      <c r="I395" s="97"/>
    </row>
    <row r="396" spans="4:9" s="2" customFormat="1" ht="17.100000000000001" customHeight="1" x14ac:dyDescent="0.25">
      <c r="D396" s="3"/>
      <c r="E396" s="3"/>
      <c r="F396" s="4"/>
      <c r="G396" s="4"/>
      <c r="H396" s="4"/>
      <c r="I396" s="97"/>
    </row>
    <row r="397" spans="4:9" s="2" customFormat="1" ht="17.100000000000001" customHeight="1" x14ac:dyDescent="0.25">
      <c r="D397" s="3"/>
      <c r="E397" s="3"/>
      <c r="F397" s="4"/>
      <c r="G397" s="4"/>
      <c r="H397" s="4"/>
      <c r="I397" s="97"/>
    </row>
    <row r="398" spans="4:9" s="2" customFormat="1" ht="17.100000000000001" customHeight="1" x14ac:dyDescent="0.25">
      <c r="D398" s="3"/>
      <c r="E398" s="3"/>
      <c r="F398" s="4"/>
      <c r="G398" s="4"/>
      <c r="H398" s="4"/>
      <c r="I398" s="97"/>
    </row>
    <row r="399" spans="4:9" s="2" customFormat="1" ht="17.100000000000001" customHeight="1" x14ac:dyDescent="0.25">
      <c r="D399" s="3"/>
      <c r="E399" s="3"/>
      <c r="F399" s="4"/>
      <c r="G399" s="4"/>
      <c r="H399" s="4"/>
      <c r="I399" s="97"/>
    </row>
    <row r="400" spans="4:9" s="2" customFormat="1" ht="17.100000000000001" customHeight="1" x14ac:dyDescent="0.25">
      <c r="D400" s="3"/>
      <c r="E400" s="3"/>
      <c r="F400" s="4"/>
      <c r="G400" s="4"/>
      <c r="H400" s="4"/>
      <c r="I400" s="97"/>
    </row>
    <row r="401" spans="4:9" s="2" customFormat="1" ht="17.100000000000001" customHeight="1" x14ac:dyDescent="0.25">
      <c r="D401" s="3"/>
      <c r="E401" s="3"/>
      <c r="F401" s="4"/>
      <c r="G401" s="4"/>
      <c r="H401" s="4"/>
      <c r="I401" s="97"/>
    </row>
    <row r="402" spans="4:9" s="2" customFormat="1" ht="17.100000000000001" customHeight="1" x14ac:dyDescent="0.25">
      <c r="D402" s="3"/>
      <c r="E402" s="3"/>
      <c r="F402" s="4"/>
      <c r="G402" s="4"/>
      <c r="H402" s="4"/>
      <c r="I402" s="97"/>
    </row>
    <row r="403" spans="4:9" s="2" customFormat="1" ht="17.100000000000001" customHeight="1" x14ac:dyDescent="0.25">
      <c r="D403" s="3"/>
      <c r="E403" s="3"/>
      <c r="F403" s="4"/>
      <c r="G403" s="4"/>
      <c r="H403" s="4"/>
      <c r="I403" s="97"/>
    </row>
    <row r="404" spans="4:9" s="2" customFormat="1" ht="17.100000000000001" customHeight="1" x14ac:dyDescent="0.25">
      <c r="D404" s="3"/>
      <c r="E404" s="3"/>
      <c r="F404" s="4"/>
      <c r="G404" s="4"/>
      <c r="H404" s="4"/>
      <c r="I404" s="97"/>
    </row>
    <row r="405" spans="4:9" s="2" customFormat="1" ht="17.100000000000001" customHeight="1" x14ac:dyDescent="0.25">
      <c r="D405" s="3"/>
      <c r="E405" s="3"/>
      <c r="F405" s="4"/>
      <c r="G405" s="4"/>
      <c r="H405" s="4"/>
      <c r="I405" s="97"/>
    </row>
    <row r="406" spans="4:9" s="2" customFormat="1" ht="17.100000000000001" customHeight="1" x14ac:dyDescent="0.25">
      <c r="D406" s="3"/>
      <c r="E406" s="3"/>
      <c r="F406" s="4"/>
      <c r="G406" s="4"/>
      <c r="H406" s="4"/>
      <c r="I406" s="97"/>
    </row>
    <row r="407" spans="4:9" s="2" customFormat="1" ht="17.100000000000001" customHeight="1" x14ac:dyDescent="0.25">
      <c r="D407" s="3"/>
      <c r="E407" s="3"/>
      <c r="F407" s="4"/>
      <c r="G407" s="4"/>
      <c r="H407" s="4"/>
      <c r="I407" s="97"/>
    </row>
    <row r="408" spans="4:9" s="2" customFormat="1" ht="17.100000000000001" customHeight="1" x14ac:dyDescent="0.25">
      <c r="D408" s="3"/>
      <c r="E408" s="3"/>
      <c r="F408" s="4"/>
      <c r="G408" s="4"/>
      <c r="H408" s="4"/>
      <c r="I408" s="97"/>
    </row>
    <row r="409" spans="4:9" s="2" customFormat="1" ht="17.100000000000001" customHeight="1" x14ac:dyDescent="0.25">
      <c r="D409" s="3"/>
      <c r="E409" s="3"/>
      <c r="F409" s="4"/>
      <c r="G409" s="4"/>
      <c r="H409" s="4"/>
      <c r="I409" s="97"/>
    </row>
    <row r="410" spans="4:9" s="2" customFormat="1" ht="17.100000000000001" customHeight="1" x14ac:dyDescent="0.25">
      <c r="D410" s="3"/>
      <c r="E410" s="3"/>
      <c r="F410" s="4"/>
      <c r="G410" s="4"/>
      <c r="H410" s="4"/>
      <c r="I410" s="97"/>
    </row>
    <row r="411" spans="4:9" s="2" customFormat="1" ht="17.100000000000001" customHeight="1" x14ac:dyDescent="0.25">
      <c r="D411" s="3"/>
      <c r="E411" s="3"/>
      <c r="F411" s="4"/>
      <c r="G411" s="4"/>
      <c r="H411" s="4"/>
      <c r="I411" s="97"/>
    </row>
    <row r="412" spans="4:9" s="2" customFormat="1" ht="17.100000000000001" customHeight="1" x14ac:dyDescent="0.25">
      <c r="D412" s="3"/>
      <c r="E412" s="3"/>
      <c r="F412" s="4"/>
      <c r="G412" s="4"/>
      <c r="H412" s="4"/>
      <c r="I412" s="97"/>
    </row>
    <row r="413" spans="4:9" s="2" customFormat="1" ht="17.100000000000001" customHeight="1" x14ac:dyDescent="0.25">
      <c r="D413" s="3"/>
      <c r="E413" s="3"/>
      <c r="F413" s="4"/>
      <c r="G413" s="4"/>
      <c r="H413" s="4"/>
      <c r="I413" s="97"/>
    </row>
    <row r="414" spans="4:9" s="2" customFormat="1" ht="17.100000000000001" customHeight="1" x14ac:dyDescent="0.25">
      <c r="D414" s="3"/>
      <c r="E414" s="3"/>
      <c r="F414" s="4"/>
      <c r="G414" s="4"/>
      <c r="H414" s="4"/>
      <c r="I414" s="97"/>
    </row>
    <row r="415" spans="4:9" s="2" customFormat="1" ht="17.100000000000001" customHeight="1" x14ac:dyDescent="0.25">
      <c r="D415" s="3"/>
      <c r="E415" s="3"/>
      <c r="F415" s="4"/>
      <c r="G415" s="4"/>
      <c r="H415" s="4"/>
      <c r="I415" s="97"/>
    </row>
    <row r="416" spans="4:9" s="2" customFormat="1" ht="17.100000000000001" customHeight="1" x14ac:dyDescent="0.25">
      <c r="D416" s="3"/>
      <c r="E416" s="3"/>
      <c r="F416" s="4"/>
      <c r="G416" s="4"/>
      <c r="H416" s="4"/>
      <c r="I416" s="97"/>
    </row>
    <row r="417" spans="4:9" s="2" customFormat="1" ht="17.100000000000001" customHeight="1" x14ac:dyDescent="0.25">
      <c r="D417" s="3"/>
      <c r="E417" s="3"/>
      <c r="F417" s="4"/>
      <c r="G417" s="4"/>
      <c r="H417" s="4"/>
      <c r="I417" s="97"/>
    </row>
    <row r="418" spans="4:9" s="2" customFormat="1" ht="17.100000000000001" customHeight="1" x14ac:dyDescent="0.25">
      <c r="D418" s="3"/>
      <c r="E418" s="3"/>
      <c r="F418" s="4"/>
      <c r="G418" s="4"/>
      <c r="H418" s="4"/>
      <c r="I418" s="97"/>
    </row>
    <row r="419" spans="4:9" s="2" customFormat="1" ht="17.100000000000001" customHeight="1" x14ac:dyDescent="0.25">
      <c r="D419" s="3"/>
      <c r="E419" s="3"/>
      <c r="F419" s="4"/>
      <c r="G419" s="4"/>
      <c r="H419" s="4"/>
      <c r="I419" s="97"/>
    </row>
    <row r="420" spans="4:9" s="2" customFormat="1" ht="17.100000000000001" customHeight="1" x14ac:dyDescent="0.25">
      <c r="D420" s="3"/>
      <c r="E420" s="3"/>
      <c r="F420" s="4"/>
      <c r="G420" s="4"/>
      <c r="H420" s="4"/>
      <c r="I420" s="97"/>
    </row>
    <row r="421" spans="4:9" s="2" customFormat="1" ht="17.100000000000001" customHeight="1" x14ac:dyDescent="0.25">
      <c r="D421" s="3"/>
      <c r="E421" s="3"/>
      <c r="F421" s="4"/>
      <c r="G421" s="4"/>
      <c r="H421" s="4"/>
      <c r="I421" s="97"/>
    </row>
    <row r="422" spans="4:9" s="2" customFormat="1" ht="17.100000000000001" customHeight="1" x14ac:dyDescent="0.25">
      <c r="D422" s="3"/>
      <c r="E422" s="3"/>
      <c r="F422" s="4"/>
      <c r="G422" s="4"/>
      <c r="H422" s="4"/>
      <c r="I422" s="97"/>
    </row>
    <row r="423" spans="4:9" s="2" customFormat="1" ht="17.100000000000001" customHeight="1" x14ac:dyDescent="0.25">
      <c r="D423" s="3"/>
      <c r="E423" s="3"/>
      <c r="F423" s="4"/>
      <c r="G423" s="4"/>
      <c r="H423" s="4"/>
      <c r="I423" s="97"/>
    </row>
    <row r="424" spans="4:9" s="2" customFormat="1" ht="17.100000000000001" customHeight="1" x14ac:dyDescent="0.25">
      <c r="D424" s="3"/>
      <c r="E424" s="3"/>
      <c r="F424" s="4"/>
      <c r="G424" s="4"/>
      <c r="H424" s="4"/>
      <c r="I424" s="97"/>
    </row>
    <row r="425" spans="4:9" s="2" customFormat="1" ht="17.100000000000001" customHeight="1" x14ac:dyDescent="0.25">
      <c r="D425" s="3"/>
      <c r="E425" s="3"/>
      <c r="F425" s="4"/>
      <c r="G425" s="4"/>
      <c r="H425" s="4"/>
      <c r="I425" s="97"/>
    </row>
    <row r="426" spans="4:9" s="2" customFormat="1" ht="17.100000000000001" customHeight="1" x14ac:dyDescent="0.25">
      <c r="D426" s="3"/>
      <c r="E426" s="3"/>
      <c r="F426" s="4"/>
      <c r="G426" s="4"/>
      <c r="H426" s="4"/>
      <c r="I426" s="97"/>
    </row>
    <row r="427" spans="4:9" s="2" customFormat="1" ht="17.100000000000001" customHeight="1" x14ac:dyDescent="0.25">
      <c r="D427" s="3"/>
      <c r="E427" s="3"/>
      <c r="F427" s="4"/>
      <c r="G427" s="4"/>
      <c r="H427" s="4"/>
      <c r="I427" s="97"/>
    </row>
    <row r="428" spans="4:9" s="2" customFormat="1" ht="17.100000000000001" customHeight="1" x14ac:dyDescent="0.25">
      <c r="D428" s="3"/>
      <c r="E428" s="3"/>
      <c r="F428" s="4"/>
      <c r="G428" s="4"/>
      <c r="H428" s="4"/>
      <c r="I428" s="97"/>
    </row>
    <row r="429" spans="4:9" s="2" customFormat="1" ht="17.100000000000001" customHeight="1" x14ac:dyDescent="0.25">
      <c r="D429" s="3"/>
      <c r="E429" s="3"/>
      <c r="F429" s="4"/>
      <c r="G429" s="4"/>
      <c r="H429" s="4"/>
      <c r="I429" s="97"/>
    </row>
    <row r="430" spans="4:9" s="2" customFormat="1" ht="17.100000000000001" customHeight="1" x14ac:dyDescent="0.25">
      <c r="D430" s="3"/>
      <c r="E430" s="3"/>
      <c r="F430" s="4"/>
      <c r="G430" s="4"/>
      <c r="H430" s="4"/>
      <c r="I430" s="97"/>
    </row>
    <row r="431" spans="4:9" s="2" customFormat="1" ht="17.100000000000001" customHeight="1" x14ac:dyDescent="0.25">
      <c r="D431" s="3"/>
      <c r="E431" s="3"/>
      <c r="F431" s="4"/>
      <c r="G431" s="4"/>
      <c r="H431" s="4"/>
      <c r="I431" s="97"/>
    </row>
    <row r="432" spans="4:9" s="2" customFormat="1" ht="17.100000000000001" customHeight="1" x14ac:dyDescent="0.25">
      <c r="D432" s="3"/>
      <c r="E432" s="3"/>
      <c r="F432" s="4"/>
      <c r="G432" s="4"/>
      <c r="H432" s="4"/>
      <c r="I432" s="97"/>
    </row>
    <row r="433" spans="1:9" s="2" customFormat="1" ht="17.100000000000001" customHeight="1" x14ac:dyDescent="0.25">
      <c r="D433" s="3"/>
      <c r="E433" s="3"/>
      <c r="F433" s="4"/>
      <c r="G433" s="4"/>
      <c r="H433" s="4"/>
      <c r="I433" s="97"/>
    </row>
    <row r="434" spans="1:9" s="2" customFormat="1" ht="17.100000000000001" customHeight="1" x14ac:dyDescent="0.25">
      <c r="D434" s="3"/>
      <c r="E434" s="3"/>
      <c r="F434" s="4"/>
      <c r="G434" s="4"/>
      <c r="H434" s="4"/>
      <c r="I434" s="97"/>
    </row>
    <row r="435" spans="1:9" s="2" customFormat="1" ht="17.100000000000001" customHeight="1" x14ac:dyDescent="0.25">
      <c r="D435" s="3"/>
      <c r="E435" s="3"/>
      <c r="F435" s="4"/>
      <c r="G435" s="4"/>
      <c r="H435" s="4"/>
      <c r="I435" s="97"/>
    </row>
    <row r="436" spans="1:9" s="2" customFormat="1" ht="17.100000000000001" customHeight="1" x14ac:dyDescent="0.25">
      <c r="D436" s="3"/>
      <c r="E436" s="3"/>
      <c r="F436" s="4"/>
      <c r="G436" s="4"/>
      <c r="H436" s="4"/>
      <c r="I436" s="97"/>
    </row>
    <row r="437" spans="1:9" s="2" customFormat="1" ht="17.100000000000001" customHeight="1" x14ac:dyDescent="0.25">
      <c r="D437" s="3"/>
      <c r="E437" s="3"/>
      <c r="F437" s="4"/>
      <c r="G437" s="4"/>
      <c r="H437" s="4"/>
      <c r="I437" s="97"/>
    </row>
    <row r="438" spans="1:9" s="2" customFormat="1" ht="17.100000000000001" customHeight="1" x14ac:dyDescent="0.25">
      <c r="D438" s="3"/>
      <c r="E438" s="3"/>
      <c r="F438" s="4"/>
      <c r="G438" s="4"/>
      <c r="H438" s="4"/>
      <c r="I438" s="97"/>
    </row>
    <row r="439" spans="1:9" s="2" customFormat="1" ht="17.100000000000001" customHeight="1" x14ac:dyDescent="0.25">
      <c r="D439" s="3"/>
      <c r="E439" s="3"/>
      <c r="F439" s="4"/>
      <c r="G439" s="4"/>
      <c r="H439" s="4"/>
      <c r="I439" s="97"/>
    </row>
    <row r="440" spans="1:9" s="2" customFormat="1" ht="17.100000000000001" customHeight="1" x14ac:dyDescent="0.25">
      <c r="D440" s="3"/>
      <c r="E440" s="3"/>
      <c r="F440" s="4"/>
      <c r="G440" s="4"/>
      <c r="H440" s="4"/>
      <c r="I440" s="97"/>
    </row>
    <row r="441" spans="1:9" s="2" customFormat="1" ht="17.100000000000001" customHeight="1" x14ac:dyDescent="0.25">
      <c r="A441" s="2" t="s">
        <v>608</v>
      </c>
      <c r="D441" s="3"/>
      <c r="E441" s="3"/>
      <c r="F441" s="4"/>
      <c r="G441" s="4"/>
      <c r="H441" s="4"/>
      <c r="I441" s="97"/>
    </row>
    <row r="442" spans="1:9" s="2" customFormat="1" ht="17.100000000000001" customHeight="1" x14ac:dyDescent="0.25">
      <c r="D442" s="3"/>
      <c r="E442" s="3"/>
      <c r="F442" s="4"/>
      <c r="G442" s="4"/>
      <c r="H442" s="4"/>
      <c r="I442" s="97"/>
    </row>
    <row r="443" spans="1:9" s="2" customFormat="1" ht="17.100000000000001" customHeight="1" x14ac:dyDescent="0.25">
      <c r="D443" s="3"/>
      <c r="E443" s="3"/>
      <c r="F443" s="4"/>
      <c r="G443" s="4"/>
      <c r="H443" s="4"/>
      <c r="I443" s="97"/>
    </row>
    <row r="444" spans="1:9" s="2" customFormat="1" ht="17.100000000000001" customHeight="1" x14ac:dyDescent="0.25">
      <c r="D444" s="3"/>
      <c r="E444" s="3"/>
      <c r="F444" s="4"/>
      <c r="G444" s="4"/>
      <c r="H444" s="4"/>
      <c r="I444" s="97"/>
    </row>
    <row r="445" spans="1:9" s="2" customFormat="1" ht="17.100000000000001" customHeight="1" x14ac:dyDescent="0.25">
      <c r="D445" s="3"/>
      <c r="E445" s="3"/>
      <c r="F445" s="4"/>
      <c r="G445" s="4"/>
      <c r="H445" s="4"/>
      <c r="I445" s="97"/>
    </row>
    <row r="446" spans="1:9" s="2" customFormat="1" ht="17.100000000000001" customHeight="1" x14ac:dyDescent="0.25">
      <c r="D446" s="3"/>
      <c r="E446" s="3"/>
      <c r="F446" s="4"/>
      <c r="G446" s="4"/>
      <c r="H446" s="4"/>
      <c r="I446" s="97"/>
    </row>
    <row r="447" spans="1:9" s="2" customFormat="1" ht="17.100000000000001" customHeight="1" x14ac:dyDescent="0.25">
      <c r="D447" s="3"/>
      <c r="E447" s="3"/>
      <c r="F447" s="4"/>
      <c r="G447" s="4"/>
      <c r="H447" s="4"/>
      <c r="I447" s="97"/>
    </row>
    <row r="448" spans="1:9" s="2" customFormat="1" ht="17.100000000000001" customHeight="1" x14ac:dyDescent="0.25">
      <c r="D448" s="3"/>
      <c r="E448" s="3"/>
      <c r="F448" s="4"/>
      <c r="G448" s="4"/>
      <c r="H448" s="4"/>
      <c r="I448" s="97"/>
    </row>
    <row r="449" spans="4:9" s="2" customFormat="1" ht="17.100000000000001" customHeight="1" x14ac:dyDescent="0.25">
      <c r="D449" s="3"/>
      <c r="E449" s="3"/>
      <c r="F449" s="4"/>
      <c r="G449" s="4"/>
      <c r="H449" s="4"/>
      <c r="I449" s="97"/>
    </row>
    <row r="450" spans="4:9" s="2" customFormat="1" ht="17.100000000000001" customHeight="1" x14ac:dyDescent="0.25">
      <c r="D450" s="3"/>
      <c r="E450" s="3"/>
      <c r="F450" s="4"/>
      <c r="G450" s="4"/>
      <c r="H450" s="4"/>
      <c r="I450" s="97"/>
    </row>
    <row r="451" spans="4:9" s="2" customFormat="1" ht="17.100000000000001" customHeight="1" x14ac:dyDescent="0.25">
      <c r="D451" s="3"/>
      <c r="E451" s="3"/>
      <c r="F451" s="4"/>
      <c r="G451" s="4"/>
      <c r="H451" s="4"/>
      <c r="I451" s="97"/>
    </row>
    <row r="452" spans="4:9" s="2" customFormat="1" ht="17.100000000000001" customHeight="1" x14ac:dyDescent="0.25">
      <c r="D452" s="3"/>
      <c r="E452" s="3"/>
      <c r="F452" s="4"/>
      <c r="G452" s="4"/>
      <c r="H452" s="4"/>
      <c r="I452" s="97"/>
    </row>
    <row r="453" spans="4:9" s="2" customFormat="1" ht="17.100000000000001" customHeight="1" x14ac:dyDescent="0.25">
      <c r="D453" s="3"/>
      <c r="E453" s="3"/>
      <c r="F453" s="4"/>
      <c r="G453" s="4"/>
      <c r="H453" s="4"/>
      <c r="I453" s="97"/>
    </row>
    <row r="454" spans="4:9" s="2" customFormat="1" ht="17.100000000000001" customHeight="1" x14ac:dyDescent="0.25">
      <c r="D454" s="3"/>
      <c r="E454" s="3"/>
      <c r="F454" s="4"/>
      <c r="G454" s="4"/>
      <c r="H454" s="4"/>
      <c r="I454" s="97"/>
    </row>
    <row r="455" spans="4:9" s="2" customFormat="1" ht="17.100000000000001" customHeight="1" x14ac:dyDescent="0.25">
      <c r="D455" s="3"/>
      <c r="E455" s="3"/>
      <c r="F455" s="4"/>
      <c r="G455" s="4"/>
      <c r="H455" s="4"/>
      <c r="I455" s="97"/>
    </row>
    <row r="456" spans="4:9" s="2" customFormat="1" ht="17.100000000000001" customHeight="1" x14ac:dyDescent="0.25">
      <c r="D456" s="3"/>
      <c r="E456" s="3"/>
      <c r="F456" s="4"/>
      <c r="G456" s="4"/>
      <c r="H456" s="4"/>
      <c r="I456" s="97"/>
    </row>
    <row r="457" spans="4:9" s="2" customFormat="1" ht="17.100000000000001" customHeight="1" x14ac:dyDescent="0.25">
      <c r="D457" s="3"/>
      <c r="E457" s="3"/>
      <c r="F457" s="4"/>
      <c r="G457" s="4"/>
      <c r="H457" s="4"/>
      <c r="I457" s="97"/>
    </row>
    <row r="458" spans="4:9" s="2" customFormat="1" ht="17.100000000000001" customHeight="1" x14ac:dyDescent="0.25">
      <c r="D458" s="3"/>
      <c r="E458" s="3"/>
      <c r="F458" s="4"/>
      <c r="G458" s="4"/>
      <c r="H458" s="4"/>
      <c r="I458" s="97"/>
    </row>
    <row r="459" spans="4:9" s="2" customFormat="1" ht="17.100000000000001" customHeight="1" x14ac:dyDescent="0.25">
      <c r="D459" s="3"/>
      <c r="E459" s="3"/>
      <c r="F459" s="4"/>
      <c r="G459" s="4"/>
      <c r="H459" s="4"/>
      <c r="I459" s="97"/>
    </row>
    <row r="460" spans="4:9" s="2" customFormat="1" ht="17.100000000000001" customHeight="1" x14ac:dyDescent="0.25">
      <c r="D460" s="3"/>
      <c r="E460" s="3"/>
      <c r="F460" s="4"/>
      <c r="G460" s="4"/>
      <c r="H460" s="4"/>
      <c r="I460" s="97"/>
    </row>
    <row r="461" spans="4:9" s="2" customFormat="1" ht="17.100000000000001" customHeight="1" x14ac:dyDescent="0.25">
      <c r="D461" s="3"/>
      <c r="E461" s="3"/>
      <c r="F461" s="4"/>
      <c r="G461" s="4"/>
      <c r="H461" s="4"/>
      <c r="I461" s="97"/>
    </row>
    <row r="462" spans="4:9" s="2" customFormat="1" ht="17.100000000000001" customHeight="1" x14ac:dyDescent="0.25">
      <c r="D462" s="3"/>
      <c r="E462" s="3"/>
      <c r="F462" s="4"/>
      <c r="G462" s="4"/>
      <c r="H462" s="4"/>
      <c r="I462" s="97"/>
    </row>
    <row r="463" spans="4:9" s="2" customFormat="1" ht="17.100000000000001" customHeight="1" x14ac:dyDescent="0.25">
      <c r="D463" s="3"/>
      <c r="E463" s="3"/>
      <c r="F463" s="4"/>
      <c r="G463" s="4"/>
      <c r="H463" s="4"/>
      <c r="I463" s="97"/>
    </row>
    <row r="464" spans="4:9" s="2" customFormat="1" ht="17.100000000000001" customHeight="1" x14ac:dyDescent="0.25">
      <c r="D464" s="3"/>
      <c r="E464" s="3"/>
      <c r="F464" s="4"/>
      <c r="G464" s="4"/>
      <c r="H464" s="4"/>
      <c r="I464" s="97"/>
    </row>
    <row r="465" spans="4:9" s="2" customFormat="1" ht="17.100000000000001" customHeight="1" x14ac:dyDescent="0.25">
      <c r="D465" s="3"/>
      <c r="E465" s="3"/>
      <c r="F465" s="4"/>
      <c r="G465" s="4"/>
      <c r="H465" s="4"/>
      <c r="I465" s="97"/>
    </row>
    <row r="466" spans="4:9" s="2" customFormat="1" ht="17.100000000000001" customHeight="1" x14ac:dyDescent="0.25">
      <c r="D466" s="3"/>
      <c r="E466" s="3"/>
      <c r="F466" s="4"/>
      <c r="G466" s="4"/>
      <c r="H466" s="4"/>
      <c r="I466" s="97"/>
    </row>
    <row r="467" spans="4:9" s="2" customFormat="1" ht="17.100000000000001" customHeight="1" x14ac:dyDescent="0.25">
      <c r="D467" s="3"/>
      <c r="E467" s="3"/>
      <c r="F467" s="4"/>
      <c r="G467" s="4"/>
      <c r="H467" s="4"/>
      <c r="I467" s="97"/>
    </row>
    <row r="468" spans="4:9" s="2" customFormat="1" ht="17.100000000000001" customHeight="1" x14ac:dyDescent="0.25">
      <c r="D468" s="3"/>
      <c r="E468" s="3"/>
      <c r="F468" s="4"/>
      <c r="G468" s="4"/>
      <c r="H468" s="4"/>
      <c r="I468" s="97"/>
    </row>
    <row r="469" spans="4:9" s="2" customFormat="1" ht="17.100000000000001" customHeight="1" x14ac:dyDescent="0.25">
      <c r="D469" s="3"/>
      <c r="E469" s="3"/>
      <c r="F469" s="4"/>
      <c r="G469" s="4"/>
      <c r="H469" s="4"/>
      <c r="I469" s="97"/>
    </row>
    <row r="470" spans="4:9" s="2" customFormat="1" ht="17.100000000000001" customHeight="1" x14ac:dyDescent="0.25">
      <c r="D470" s="3"/>
      <c r="E470" s="3"/>
      <c r="F470" s="4"/>
      <c r="G470" s="4"/>
      <c r="H470" s="4"/>
      <c r="I470" s="97"/>
    </row>
    <row r="471" spans="4:9" s="2" customFormat="1" ht="17.100000000000001" customHeight="1" x14ac:dyDescent="0.25">
      <c r="D471" s="3"/>
      <c r="E471" s="3"/>
      <c r="F471" s="4"/>
      <c r="G471" s="4"/>
      <c r="H471" s="4"/>
      <c r="I471" s="97"/>
    </row>
    <row r="472" spans="4:9" s="2" customFormat="1" ht="17.100000000000001" customHeight="1" x14ac:dyDescent="0.25">
      <c r="D472" s="3"/>
      <c r="E472" s="3"/>
      <c r="F472" s="4"/>
      <c r="G472" s="4"/>
      <c r="H472" s="4"/>
      <c r="I472" s="97"/>
    </row>
    <row r="473" spans="4:9" s="2" customFormat="1" ht="17.100000000000001" customHeight="1" x14ac:dyDescent="0.25">
      <c r="D473" s="3"/>
      <c r="E473" s="3"/>
      <c r="F473" s="4"/>
      <c r="G473" s="4"/>
      <c r="H473" s="4"/>
      <c r="I473" s="97"/>
    </row>
    <row r="474" spans="4:9" s="2" customFormat="1" ht="17.100000000000001" customHeight="1" x14ac:dyDescent="0.25">
      <c r="D474" s="3"/>
      <c r="E474" s="3"/>
      <c r="F474" s="4"/>
      <c r="G474" s="4"/>
      <c r="H474" s="4"/>
      <c r="I474" s="97"/>
    </row>
    <row r="475" spans="4:9" s="2" customFormat="1" ht="17.100000000000001" customHeight="1" x14ac:dyDescent="0.25">
      <c r="D475" s="3"/>
      <c r="E475" s="3"/>
      <c r="F475" s="4"/>
      <c r="G475" s="4"/>
      <c r="H475" s="4"/>
      <c r="I475" s="97"/>
    </row>
    <row r="476" spans="4:9" s="2" customFormat="1" ht="17.100000000000001" customHeight="1" x14ac:dyDescent="0.25">
      <c r="D476" s="3"/>
      <c r="E476" s="3"/>
      <c r="F476" s="4"/>
      <c r="G476" s="4"/>
      <c r="H476" s="4"/>
      <c r="I476" s="97"/>
    </row>
    <row r="477" spans="4:9" s="2" customFormat="1" ht="17.100000000000001" customHeight="1" x14ac:dyDescent="0.25">
      <c r="D477" s="3"/>
      <c r="E477" s="3"/>
      <c r="F477" s="4"/>
      <c r="G477" s="4"/>
      <c r="H477" s="4"/>
      <c r="I477" s="97"/>
    </row>
    <row r="478" spans="4:9" s="2" customFormat="1" ht="17.100000000000001" customHeight="1" x14ac:dyDescent="0.25">
      <c r="D478" s="3"/>
      <c r="E478" s="3"/>
      <c r="F478" s="4"/>
      <c r="G478" s="4"/>
      <c r="H478" s="4"/>
      <c r="I478" s="97"/>
    </row>
    <row r="479" spans="4:9" s="2" customFormat="1" ht="17.100000000000001" customHeight="1" x14ac:dyDescent="0.25">
      <c r="D479" s="3"/>
      <c r="E479" s="3"/>
      <c r="F479" s="4"/>
      <c r="G479" s="4"/>
      <c r="H479" s="4"/>
      <c r="I479" s="97"/>
    </row>
    <row r="480" spans="4:9" s="2" customFormat="1" ht="17.100000000000001" customHeight="1" x14ac:dyDescent="0.25">
      <c r="D480" s="3"/>
      <c r="E480" s="3"/>
      <c r="F480" s="4"/>
      <c r="G480" s="4"/>
      <c r="H480" s="4"/>
      <c r="I480" s="97"/>
    </row>
    <row r="481" spans="4:9" s="2" customFormat="1" ht="17.100000000000001" customHeight="1" x14ac:dyDescent="0.25">
      <c r="D481" s="3"/>
      <c r="E481" s="3"/>
      <c r="F481" s="4"/>
      <c r="G481" s="4"/>
      <c r="H481" s="4"/>
      <c r="I481" s="97"/>
    </row>
    <row r="482" spans="4:9" s="2" customFormat="1" ht="17.100000000000001" customHeight="1" x14ac:dyDescent="0.25">
      <c r="D482" s="3"/>
      <c r="E482" s="3"/>
      <c r="F482" s="4"/>
      <c r="G482" s="4"/>
      <c r="H482" s="4"/>
      <c r="I482" s="97"/>
    </row>
    <row r="483" spans="4:9" s="2" customFormat="1" ht="17.100000000000001" customHeight="1" x14ac:dyDescent="0.25">
      <c r="D483" s="3"/>
      <c r="E483" s="3"/>
      <c r="F483" s="4"/>
      <c r="G483" s="4"/>
      <c r="H483" s="4"/>
      <c r="I483" s="97"/>
    </row>
    <row r="484" spans="4:9" s="2" customFormat="1" ht="17.100000000000001" customHeight="1" x14ac:dyDescent="0.25">
      <c r="D484" s="3"/>
      <c r="E484" s="3"/>
      <c r="F484" s="4"/>
      <c r="G484" s="4"/>
      <c r="H484" s="4"/>
      <c r="I484" s="97"/>
    </row>
    <row r="485" spans="4:9" s="2" customFormat="1" ht="17.100000000000001" customHeight="1" x14ac:dyDescent="0.25">
      <c r="D485" s="3"/>
      <c r="E485" s="3"/>
      <c r="F485" s="4"/>
      <c r="G485" s="4"/>
      <c r="H485" s="4"/>
      <c r="I485" s="97"/>
    </row>
    <row r="486" spans="4:9" s="2" customFormat="1" ht="17.100000000000001" customHeight="1" x14ac:dyDescent="0.25">
      <c r="D486" s="3"/>
      <c r="E486" s="3"/>
      <c r="F486" s="4"/>
      <c r="G486" s="4"/>
      <c r="H486" s="4"/>
      <c r="I486" s="97"/>
    </row>
    <row r="487" spans="4:9" s="2" customFormat="1" ht="17.100000000000001" customHeight="1" x14ac:dyDescent="0.25">
      <c r="D487" s="3"/>
      <c r="E487" s="3"/>
      <c r="F487" s="4"/>
      <c r="G487" s="4"/>
      <c r="H487" s="4"/>
      <c r="I487" s="97"/>
    </row>
    <row r="488" spans="4:9" s="2" customFormat="1" ht="17.100000000000001" customHeight="1" x14ac:dyDescent="0.25">
      <c r="D488" s="3"/>
      <c r="E488" s="3"/>
      <c r="F488" s="4"/>
      <c r="G488" s="4"/>
      <c r="H488" s="4"/>
      <c r="I488" s="97"/>
    </row>
    <row r="489" spans="4:9" s="2" customFormat="1" ht="17.100000000000001" customHeight="1" x14ac:dyDescent="0.25">
      <c r="D489" s="3"/>
      <c r="E489" s="3"/>
      <c r="F489" s="4"/>
      <c r="G489" s="4"/>
      <c r="H489" s="4"/>
      <c r="I489" s="97"/>
    </row>
    <row r="490" spans="4:9" s="2" customFormat="1" ht="17.100000000000001" customHeight="1" x14ac:dyDescent="0.25">
      <c r="D490" s="3"/>
      <c r="E490" s="3"/>
      <c r="F490" s="4"/>
      <c r="G490" s="4"/>
      <c r="H490" s="4"/>
      <c r="I490" s="97"/>
    </row>
    <row r="491" spans="4:9" s="2" customFormat="1" ht="17.100000000000001" customHeight="1" x14ac:dyDescent="0.25">
      <c r="D491" s="3"/>
      <c r="E491" s="3"/>
      <c r="F491" s="4"/>
      <c r="G491" s="4"/>
      <c r="H491" s="4"/>
      <c r="I491" s="97"/>
    </row>
    <row r="492" spans="4:9" s="2" customFormat="1" ht="17.100000000000001" customHeight="1" x14ac:dyDescent="0.25">
      <c r="D492" s="3"/>
      <c r="E492" s="3"/>
      <c r="F492" s="4"/>
      <c r="G492" s="4"/>
      <c r="H492" s="4"/>
      <c r="I492" s="97"/>
    </row>
    <row r="493" spans="4:9" s="2" customFormat="1" ht="17.100000000000001" customHeight="1" x14ac:dyDescent="0.25">
      <c r="D493" s="3"/>
      <c r="E493" s="3"/>
      <c r="F493" s="4"/>
      <c r="G493" s="4"/>
      <c r="H493" s="4"/>
      <c r="I493" s="97"/>
    </row>
    <row r="494" spans="4:9" s="2" customFormat="1" ht="17.100000000000001" customHeight="1" x14ac:dyDescent="0.25">
      <c r="D494" s="3"/>
      <c r="E494" s="3"/>
      <c r="F494" s="4"/>
      <c r="G494" s="4"/>
      <c r="H494" s="4"/>
      <c r="I494" s="97"/>
    </row>
    <row r="495" spans="4:9" s="2" customFormat="1" ht="17.100000000000001" customHeight="1" x14ac:dyDescent="0.25">
      <c r="D495" s="3"/>
      <c r="E495" s="3"/>
      <c r="F495" s="4"/>
      <c r="G495" s="4"/>
      <c r="H495" s="4"/>
      <c r="I495" s="97"/>
    </row>
    <row r="496" spans="4:9" s="2" customFormat="1" ht="17.100000000000001" customHeight="1" x14ac:dyDescent="0.25">
      <c r="D496" s="3"/>
      <c r="E496" s="3"/>
      <c r="F496" s="4"/>
      <c r="G496" s="4"/>
      <c r="H496" s="4"/>
      <c r="I496" s="97"/>
    </row>
    <row r="497" spans="4:9" s="2" customFormat="1" ht="17.100000000000001" customHeight="1" x14ac:dyDescent="0.25">
      <c r="D497" s="3"/>
      <c r="E497" s="3"/>
      <c r="F497" s="4"/>
      <c r="G497" s="4"/>
      <c r="H497" s="4"/>
      <c r="I497" s="97"/>
    </row>
    <row r="498" spans="4:9" s="2" customFormat="1" ht="17.100000000000001" customHeight="1" x14ac:dyDescent="0.25">
      <c r="D498" s="3"/>
      <c r="E498" s="3"/>
      <c r="F498" s="4"/>
      <c r="G498" s="4"/>
      <c r="H498" s="4"/>
      <c r="I498" s="97"/>
    </row>
    <row r="499" spans="4:9" s="2" customFormat="1" ht="17.100000000000001" customHeight="1" x14ac:dyDescent="0.25">
      <c r="D499" s="3"/>
      <c r="E499" s="3"/>
      <c r="F499" s="4"/>
      <c r="G499" s="4"/>
      <c r="H499" s="4"/>
      <c r="I499" s="97"/>
    </row>
    <row r="500" spans="4:9" s="2" customFormat="1" ht="17.100000000000001" customHeight="1" x14ac:dyDescent="0.25">
      <c r="D500" s="3"/>
      <c r="E500" s="3"/>
      <c r="F500" s="4"/>
      <c r="G500" s="4"/>
      <c r="H500" s="4"/>
      <c r="I500" s="97"/>
    </row>
    <row r="501" spans="4:9" s="2" customFormat="1" ht="17.100000000000001" customHeight="1" x14ac:dyDescent="0.25">
      <c r="D501" s="3"/>
      <c r="E501" s="3"/>
      <c r="F501" s="4"/>
      <c r="G501" s="4"/>
      <c r="H501" s="4"/>
      <c r="I501" s="97"/>
    </row>
    <row r="502" spans="4:9" s="2" customFormat="1" ht="17.100000000000001" customHeight="1" x14ac:dyDescent="0.25">
      <c r="D502" s="3"/>
      <c r="E502" s="3"/>
      <c r="F502" s="4"/>
      <c r="G502" s="4"/>
      <c r="H502" s="4"/>
      <c r="I502" s="97"/>
    </row>
    <row r="503" spans="4:9" s="2" customFormat="1" ht="17.100000000000001" customHeight="1" x14ac:dyDescent="0.25">
      <c r="D503" s="3"/>
      <c r="E503" s="3"/>
      <c r="F503" s="4"/>
      <c r="G503" s="4"/>
      <c r="H503" s="4"/>
      <c r="I503" s="97"/>
    </row>
    <row r="504" spans="4:9" s="2" customFormat="1" ht="17.100000000000001" customHeight="1" x14ac:dyDescent="0.25">
      <c r="D504" s="3"/>
      <c r="E504" s="3"/>
      <c r="F504" s="4"/>
      <c r="G504" s="4"/>
      <c r="H504" s="4"/>
      <c r="I504" s="97"/>
    </row>
    <row r="505" spans="4:9" s="2" customFormat="1" ht="17.100000000000001" customHeight="1" x14ac:dyDescent="0.25">
      <c r="D505" s="3"/>
      <c r="E505" s="3"/>
      <c r="F505" s="4"/>
      <c r="G505" s="4"/>
      <c r="H505" s="4"/>
      <c r="I505" s="97"/>
    </row>
    <row r="506" spans="4:9" s="2" customFormat="1" ht="17.100000000000001" customHeight="1" x14ac:dyDescent="0.25">
      <c r="D506" s="3"/>
      <c r="E506" s="3"/>
      <c r="F506" s="4"/>
      <c r="G506" s="4"/>
      <c r="H506" s="4"/>
      <c r="I506" s="97"/>
    </row>
  </sheetData>
  <mergeCells count="15">
    <mergeCell ref="AQ10:AU10"/>
    <mergeCell ref="AW10:BA10"/>
    <mergeCell ref="AE8:AO8"/>
    <mergeCell ref="J9:M9"/>
    <mergeCell ref="N9:P9"/>
    <mergeCell ref="Q9:S9"/>
    <mergeCell ref="T9:V9"/>
    <mergeCell ref="AE10:AI10"/>
    <mergeCell ref="AK10:AO10"/>
    <mergeCell ref="W8:Y9"/>
    <mergeCell ref="L6:M6"/>
    <mergeCell ref="J8:M8"/>
    <mergeCell ref="N8:P8"/>
    <mergeCell ref="Q8:S8"/>
    <mergeCell ref="T8:V8"/>
  </mergeCells>
  <pageMargins left="0.7" right="0.7" top="0.75" bottom="0.75" header="0.3" footer="0.3"/>
  <pageSetup paperSize="9" scale="70" fitToHeight="5" orientation="portrait" r:id="rId1"/>
  <headerFooter>
    <oddFooter>&amp;L&amp;10SANITATION DEMAND AND SUPPLY STUDY&amp;C&amp;10&amp;P&amp;R&amp;10HOUSEHOLDS WITHOUT TOILET</oddFooter>
  </headerFooter>
  <rowBreaks count="3" manualBreakCount="3">
    <brk id="89" max="10" man="1"/>
    <brk id="174" max="10" man="1"/>
    <brk id="281" max="10" man="1"/>
  </rowBreaks>
  <ignoredErrors>
    <ignoredError sqref="P101:S107"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BA506"/>
  <sheetViews>
    <sheetView zoomScale="80" zoomScaleNormal="80" workbookViewId="0">
      <pane xSplit="7" ySplit="11" topLeftCell="H12" activePane="bottomRight" state="frozen"/>
      <selection activeCell="V164" sqref="V164:Y168"/>
      <selection pane="topRight" activeCell="V164" sqref="V164:Y168"/>
      <selection pane="bottomLeft" activeCell="V164" sqref="V164:Y168"/>
      <selection pane="bottomRight" activeCell="O5" sqref="O5"/>
    </sheetView>
  </sheetViews>
  <sheetFormatPr defaultRowHeight="17.100000000000001" customHeight="1" x14ac:dyDescent="0.25"/>
  <cols>
    <col min="1" max="2" width="4.7109375" style="2" customWidth="1"/>
    <col min="3" max="3" width="6.7109375" style="2" customWidth="1"/>
    <col min="4" max="4" width="7.7109375" style="3" customWidth="1"/>
    <col min="5" max="5" width="4.7109375" style="3" customWidth="1"/>
    <col min="6" max="6" width="30.7109375" style="4" customWidth="1"/>
    <col min="7" max="7" width="3.7109375" style="4" customWidth="1"/>
    <col min="8" max="8" width="4.42578125" style="4" customWidth="1"/>
    <col min="9" max="9" width="3.7109375" style="97" customWidth="1"/>
    <col min="10" max="25" width="10.7109375" style="3" customWidth="1"/>
    <col min="26" max="29" width="9.7109375" style="3" customWidth="1"/>
    <col min="30" max="30" width="9.140625" style="3"/>
    <col min="31" max="35" width="9.7109375" style="3" customWidth="1"/>
    <col min="36" max="36" width="9.140625" style="3"/>
    <col min="37" max="41" width="9.7109375" style="3" customWidth="1"/>
    <col min="42" max="48" width="9.140625" style="3"/>
    <col min="49" max="53" width="9.7109375" style="3" customWidth="1"/>
    <col min="54" max="16384" width="9.140625" style="3"/>
  </cols>
  <sheetData>
    <row r="1" spans="1:53" ht="17.100000000000001" customHeight="1" x14ac:dyDescent="0.25">
      <c r="A1" s="1" t="s">
        <v>363</v>
      </c>
      <c r="J1" s="5" t="s">
        <v>883</v>
      </c>
      <c r="AE1" s="8"/>
      <c r="AF1" s="8"/>
      <c r="AG1" s="8"/>
      <c r="AH1" s="7"/>
      <c r="AK1" s="8"/>
      <c r="AL1" s="8"/>
      <c r="AM1" s="8"/>
      <c r="AN1" s="7"/>
      <c r="AW1" s="8"/>
      <c r="AX1" s="8"/>
      <c r="AY1" s="8"/>
      <c r="AZ1" s="8"/>
    </row>
    <row r="2" spans="1:53" ht="17.100000000000001" customHeight="1" x14ac:dyDescent="0.25">
      <c r="A2" s="1" t="str">
        <f>'STUDY VILLAGES'!U7</f>
        <v>KAMPOT PROVINCE</v>
      </c>
      <c r="J2" s="5"/>
      <c r="AE2" s="8"/>
      <c r="AF2" s="8"/>
      <c r="AG2" s="8"/>
      <c r="AH2" s="7"/>
      <c r="AK2" s="8"/>
      <c r="AL2" s="8"/>
      <c r="AM2" s="8"/>
      <c r="AN2" s="7"/>
      <c r="AW2" s="8"/>
      <c r="AX2" s="8"/>
      <c r="AY2" s="8"/>
      <c r="AZ2" s="8"/>
    </row>
    <row r="3" spans="1:53" ht="17.100000000000001" customHeight="1" x14ac:dyDescent="0.25">
      <c r="A3" s="1" t="str">
        <f>'STUDY VILLAGES'!U8</f>
        <v>BANTEAY MEAS DISTRICT</v>
      </c>
      <c r="J3" s="268" t="s">
        <v>555</v>
      </c>
      <c r="L3" s="267" t="str">
        <f>'STUDY VILLAGES'!B15</f>
        <v>V A KHANG CHEUNG</v>
      </c>
      <c r="M3" s="267"/>
      <c r="N3" s="6"/>
      <c r="O3" s="6"/>
      <c r="P3" s="6"/>
      <c r="Q3" s="6"/>
      <c r="R3" s="6"/>
      <c r="S3" s="6"/>
      <c r="T3" s="6"/>
      <c r="U3" s="6"/>
      <c r="V3" s="6"/>
      <c r="W3" s="6"/>
      <c r="X3" s="6"/>
      <c r="AE3" s="8"/>
      <c r="AF3" s="8"/>
      <c r="AG3" s="8"/>
      <c r="AH3" s="7"/>
      <c r="AK3" s="8"/>
      <c r="AL3" s="8"/>
      <c r="AM3" s="8"/>
      <c r="AN3" s="7"/>
      <c r="AW3" s="8"/>
      <c r="AX3" s="8"/>
      <c r="AY3" s="8"/>
      <c r="AZ3" s="8"/>
    </row>
    <row r="4" spans="1:53" ht="12.75" x14ac:dyDescent="0.25">
      <c r="N4" s="6"/>
      <c r="O4" s="6"/>
      <c r="P4" s="6"/>
      <c r="Q4" s="6"/>
      <c r="R4" s="6"/>
      <c r="S4" s="6"/>
      <c r="T4" s="6"/>
      <c r="U4" s="6"/>
      <c r="V4" s="6"/>
      <c r="W4" s="6"/>
      <c r="X4" s="6"/>
      <c r="AE4" s="8"/>
      <c r="AF4" s="8"/>
      <c r="AG4" s="8"/>
      <c r="AH4" s="7"/>
      <c r="AK4" s="8"/>
      <c r="AL4" s="8"/>
      <c r="AM4" s="8"/>
      <c r="AN4" s="7"/>
      <c r="AW4" s="8"/>
      <c r="AX4" s="8"/>
      <c r="AY4" s="8"/>
      <c r="AZ4" s="8"/>
    </row>
    <row r="5" spans="1:53" ht="21" x14ac:dyDescent="0.25">
      <c r="A5" s="1" t="s">
        <v>743</v>
      </c>
      <c r="J5" s="9" t="s">
        <v>1</v>
      </c>
      <c r="K5" s="10"/>
      <c r="L5" s="653"/>
      <c r="M5" s="397"/>
      <c r="N5" s="6"/>
      <c r="O5" s="652" t="s">
        <v>1073</v>
      </c>
      <c r="P5" s="6"/>
      <c r="Q5" s="6"/>
      <c r="R5" s="6"/>
      <c r="S5" s="6"/>
      <c r="T5" s="6"/>
      <c r="U5" s="6"/>
      <c r="V5" s="6"/>
      <c r="W5" s="6"/>
      <c r="X5" s="6"/>
      <c r="AE5" s="8"/>
      <c r="AF5" s="8"/>
      <c r="AG5" s="8"/>
      <c r="AH5" s="7"/>
      <c r="AK5" s="8"/>
      <c r="AL5" s="8"/>
      <c r="AM5" s="8"/>
      <c r="AN5" s="7"/>
      <c r="AW5" s="8"/>
      <c r="AX5" s="8"/>
      <c r="AY5" s="8"/>
      <c r="AZ5" s="8"/>
    </row>
    <row r="6" spans="1:53" ht="21" x14ac:dyDescent="0.25">
      <c r="A6" s="444" t="s">
        <v>619</v>
      </c>
      <c r="J6" s="11" t="s">
        <v>2</v>
      </c>
      <c r="K6" s="10"/>
      <c r="L6" s="1379"/>
      <c r="M6" s="1379"/>
      <c r="AE6" s="8"/>
      <c r="AF6" s="8"/>
      <c r="AG6" s="8"/>
      <c r="AH6" s="7"/>
      <c r="AK6" s="8"/>
      <c r="AL6" s="8"/>
      <c r="AM6" s="8"/>
      <c r="AN6" s="7"/>
      <c r="AW6" s="8"/>
      <c r="AX6" s="8"/>
      <c r="AY6" s="8"/>
      <c r="AZ6" s="8"/>
    </row>
    <row r="7" spans="1:53" ht="9.9499999999999993" customHeight="1" x14ac:dyDescent="0.25">
      <c r="A7" s="12"/>
      <c r="B7" s="13"/>
      <c r="C7" s="14"/>
      <c r="D7" s="15"/>
      <c r="E7" s="16"/>
      <c r="F7" s="16"/>
      <c r="G7" s="16"/>
      <c r="H7" s="16"/>
      <c r="I7" s="16"/>
      <c r="AE7" s="8"/>
      <c r="AF7" s="8"/>
      <c r="AG7" s="8"/>
      <c r="AH7" s="7"/>
      <c r="AK7" s="8"/>
      <c r="AL7" s="8"/>
      <c r="AM7" s="8"/>
      <c r="AN7" s="7"/>
      <c r="AW7" s="8"/>
      <c r="AX7" s="8"/>
      <c r="AY7" s="8"/>
      <c r="AZ7" s="8"/>
    </row>
    <row r="8" spans="1:53" ht="17.100000000000001" customHeight="1" x14ac:dyDescent="0.25">
      <c r="D8" s="2"/>
      <c r="E8" s="2"/>
      <c r="F8" s="21"/>
      <c r="G8" s="21"/>
      <c r="H8" s="21"/>
      <c r="I8" s="138"/>
      <c r="J8" s="1384" t="s">
        <v>541</v>
      </c>
      <c r="K8" s="1385"/>
      <c r="L8" s="1385"/>
      <c r="M8" s="1386"/>
      <c r="N8" s="1384" t="s">
        <v>364</v>
      </c>
      <c r="O8" s="1385"/>
      <c r="P8" s="1386"/>
      <c r="Q8" s="1384" t="s">
        <v>365</v>
      </c>
      <c r="R8" s="1385"/>
      <c r="S8" s="1386"/>
      <c r="T8" s="1384" t="s">
        <v>366</v>
      </c>
      <c r="U8" s="1385"/>
      <c r="V8" s="1386"/>
      <c r="W8" s="1408" t="s">
        <v>4</v>
      </c>
      <c r="X8" s="1408"/>
      <c r="Y8" s="1408"/>
      <c r="AE8" s="1383" t="s">
        <v>731</v>
      </c>
      <c r="AF8" s="1383"/>
      <c r="AG8" s="1383"/>
      <c r="AH8" s="1383"/>
      <c r="AI8" s="1383"/>
      <c r="AJ8" s="1383"/>
      <c r="AK8" s="1383"/>
      <c r="AL8" s="1383"/>
      <c r="AM8" s="1383"/>
      <c r="AN8" s="1383"/>
      <c r="AO8" s="1383"/>
      <c r="AW8" s="8"/>
      <c r="AX8" s="8"/>
      <c r="AY8" s="8"/>
      <c r="AZ8" s="8"/>
    </row>
    <row r="9" spans="1:53" ht="17.100000000000001" customHeight="1" x14ac:dyDescent="0.25">
      <c r="D9" s="2"/>
      <c r="E9" s="2"/>
      <c r="F9" s="21"/>
      <c r="G9" s="21"/>
      <c r="H9" s="21"/>
      <c r="I9" s="138"/>
      <c r="J9" s="1384" t="s">
        <v>542</v>
      </c>
      <c r="K9" s="1385"/>
      <c r="L9" s="1385"/>
      <c r="M9" s="1386"/>
      <c r="N9" s="1387" t="str">
        <f>'STUDY VILLAGES'!C15</f>
        <v>Ponhea Angkor</v>
      </c>
      <c r="O9" s="1388"/>
      <c r="P9" s="1389"/>
      <c r="Q9" s="1387" t="str">
        <f>'STUDY VILLAGES'!F15</f>
        <v>Svay Pa am (substitute)</v>
      </c>
      <c r="R9" s="1388"/>
      <c r="S9" s="1389"/>
      <c r="T9" s="1387">
        <f>'STUDY VILLAGES'!I15</f>
        <v>0</v>
      </c>
      <c r="U9" s="1388"/>
      <c r="V9" s="1389"/>
      <c r="W9" s="1408"/>
      <c r="X9" s="1408"/>
      <c r="Y9" s="1408"/>
      <c r="AE9" s="8"/>
      <c r="AF9" s="8"/>
      <c r="AG9" s="8"/>
      <c r="AH9" s="7"/>
      <c r="AK9" s="8"/>
      <c r="AL9" s="8"/>
      <c r="AM9" s="8"/>
      <c r="AN9" s="7"/>
      <c r="AW9" s="8"/>
      <c r="AX9" s="8"/>
      <c r="AY9" s="8"/>
      <c r="AZ9" s="8"/>
    </row>
    <row r="10" spans="1:53" ht="17.100000000000001" customHeight="1" x14ac:dyDescent="0.25">
      <c r="A10" s="21"/>
      <c r="B10" s="21"/>
      <c r="C10" s="21"/>
      <c r="D10" s="4"/>
      <c r="E10" s="4"/>
      <c r="G10" s="22"/>
      <c r="H10" s="22"/>
      <c r="I10" s="208"/>
      <c r="J10" s="334" t="s">
        <v>733</v>
      </c>
      <c r="K10" s="334" t="s">
        <v>734</v>
      </c>
      <c r="L10" s="334" t="s">
        <v>657</v>
      </c>
      <c r="M10" s="334" t="s">
        <v>320</v>
      </c>
      <c r="N10" s="334" t="s">
        <v>735</v>
      </c>
      <c r="O10" s="334" t="s">
        <v>657</v>
      </c>
      <c r="P10" s="334" t="s">
        <v>320</v>
      </c>
      <c r="Q10" s="334" t="s">
        <v>735</v>
      </c>
      <c r="R10" s="334" t="s">
        <v>657</v>
      </c>
      <c r="S10" s="334" t="s">
        <v>320</v>
      </c>
      <c r="T10" s="334" t="s">
        <v>735</v>
      </c>
      <c r="U10" s="334" t="s">
        <v>657</v>
      </c>
      <c r="V10" s="334" t="s">
        <v>320</v>
      </c>
      <c r="W10" s="375" t="s">
        <v>735</v>
      </c>
      <c r="X10" s="335" t="s">
        <v>657</v>
      </c>
      <c r="Y10" s="410" t="s">
        <v>4</v>
      </c>
      <c r="AE10" s="1400" t="s">
        <v>733</v>
      </c>
      <c r="AF10" s="1401"/>
      <c r="AG10" s="1401"/>
      <c r="AH10" s="1401"/>
      <c r="AI10" s="1402"/>
      <c r="AK10" s="1390" t="s">
        <v>734</v>
      </c>
      <c r="AL10" s="1391"/>
      <c r="AM10" s="1391"/>
      <c r="AN10" s="1391"/>
      <c r="AO10" s="1392"/>
      <c r="AQ10" s="1380" t="s">
        <v>732</v>
      </c>
      <c r="AR10" s="1381"/>
      <c r="AS10" s="1381"/>
      <c r="AT10" s="1381"/>
      <c r="AU10" s="1382"/>
      <c r="AW10" s="1405" t="s">
        <v>556</v>
      </c>
      <c r="AX10" s="1406"/>
      <c r="AY10" s="1406"/>
      <c r="AZ10" s="1406"/>
      <c r="BA10" s="1407"/>
    </row>
    <row r="11" spans="1:53" s="32" customFormat="1" ht="17.100000000000001" customHeight="1" thickBot="1" x14ac:dyDescent="0.3">
      <c r="A11" s="24">
        <v>0</v>
      </c>
      <c r="B11" s="25" t="s">
        <v>3</v>
      </c>
      <c r="C11" s="26"/>
      <c r="D11" s="27"/>
      <c r="E11" s="27"/>
      <c r="F11" s="27"/>
      <c r="G11" s="28"/>
      <c r="H11" s="310"/>
      <c r="I11" s="228"/>
      <c r="J11" s="29"/>
      <c r="K11" s="29"/>
      <c r="L11" s="29"/>
      <c r="M11" s="29"/>
      <c r="N11" s="29"/>
      <c r="O11" s="29"/>
      <c r="P11" s="29"/>
      <c r="Q11" s="29"/>
      <c r="R11" s="29"/>
      <c r="S11" s="29"/>
      <c r="T11" s="29"/>
      <c r="U11" s="29"/>
      <c r="V11" s="29"/>
      <c r="W11" s="29"/>
      <c r="X11" s="29"/>
      <c r="Y11" s="29"/>
      <c r="Z11" s="31" t="s">
        <v>5</v>
      </c>
      <c r="AA11" s="31" t="s">
        <v>181</v>
      </c>
      <c r="AB11" s="31" t="s">
        <v>182</v>
      </c>
      <c r="AC11" s="31" t="s">
        <v>6</v>
      </c>
      <c r="AE11" s="33" t="s">
        <v>181</v>
      </c>
      <c r="AF11" s="33" t="s">
        <v>182</v>
      </c>
      <c r="AG11" s="33" t="s">
        <v>6</v>
      </c>
      <c r="AH11" s="33" t="s">
        <v>4</v>
      </c>
      <c r="AI11" s="34" t="s">
        <v>5</v>
      </c>
      <c r="AJ11" s="35"/>
      <c r="AK11" s="36" t="s">
        <v>181</v>
      </c>
      <c r="AL11" s="36" t="s">
        <v>182</v>
      </c>
      <c r="AM11" s="36" t="s">
        <v>6</v>
      </c>
      <c r="AN11" s="36" t="s">
        <v>4</v>
      </c>
      <c r="AO11" s="37" t="s">
        <v>5</v>
      </c>
      <c r="AQ11" s="398" t="s">
        <v>181</v>
      </c>
      <c r="AR11" s="398" t="s">
        <v>182</v>
      </c>
      <c r="AS11" s="398" t="s">
        <v>6</v>
      </c>
      <c r="AT11" s="398" t="s">
        <v>4</v>
      </c>
      <c r="AU11" s="399" t="s">
        <v>5</v>
      </c>
      <c r="AW11" s="38" t="s">
        <v>181</v>
      </c>
      <c r="AX11" s="38" t="s">
        <v>182</v>
      </c>
      <c r="AY11" s="38" t="s">
        <v>6</v>
      </c>
      <c r="AZ11" s="38" t="s">
        <v>4</v>
      </c>
      <c r="BA11" s="39" t="s">
        <v>5</v>
      </c>
    </row>
    <row r="12" spans="1:53" ht="17.100000000000001" customHeight="1" x14ac:dyDescent="0.25">
      <c r="A12" s="47"/>
      <c r="B12" s="414">
        <v>0</v>
      </c>
      <c r="C12" s="42" t="s">
        <v>367</v>
      </c>
      <c r="D12" s="43"/>
      <c r="E12" s="269"/>
      <c r="F12" s="269"/>
      <c r="G12" s="270"/>
      <c r="H12" s="311">
        <v>1</v>
      </c>
      <c r="I12" s="229"/>
      <c r="J12" s="271"/>
      <c r="K12" s="271"/>
      <c r="L12" s="272"/>
      <c r="M12" s="272"/>
      <c r="N12" s="272"/>
      <c r="O12" s="272"/>
      <c r="P12" s="272"/>
      <c r="Q12" s="272"/>
      <c r="R12" s="272"/>
      <c r="S12" s="272"/>
      <c r="T12" s="272"/>
      <c r="U12" s="272"/>
      <c r="V12" s="272"/>
      <c r="W12" s="272"/>
      <c r="X12" s="272"/>
      <c r="Y12" s="272"/>
      <c r="Z12" s="51"/>
      <c r="AA12" s="51"/>
      <c r="AB12" s="51"/>
      <c r="AC12" s="51"/>
      <c r="AE12" s="52"/>
      <c r="AF12" s="52"/>
      <c r="AG12" s="53"/>
      <c r="AH12" s="54"/>
      <c r="AI12" s="51"/>
      <c r="AK12" s="52"/>
      <c r="AL12" s="52"/>
      <c r="AM12" s="53"/>
      <c r="AN12" s="54"/>
      <c r="AO12" s="51"/>
      <c r="AQ12" s="52"/>
      <c r="AR12" s="52"/>
      <c r="AS12" s="52"/>
      <c r="AT12" s="53"/>
      <c r="AU12" s="54"/>
      <c r="AW12" s="52"/>
      <c r="AX12" s="52"/>
      <c r="AY12" s="53"/>
      <c r="AZ12" s="54"/>
      <c r="BA12" s="51"/>
    </row>
    <row r="13" spans="1:53" ht="17.100000000000001" customHeight="1" x14ac:dyDescent="0.25">
      <c r="A13" s="47"/>
      <c r="B13" s="55"/>
      <c r="C13" s="56" t="s">
        <v>626</v>
      </c>
      <c r="D13" s="57" t="s">
        <v>368</v>
      </c>
      <c r="E13" s="58"/>
      <c r="F13" s="58"/>
      <c r="G13" s="59"/>
      <c r="H13" s="1318"/>
      <c r="I13" s="229"/>
      <c r="J13" s="581"/>
      <c r="K13" s="581"/>
      <c r="L13" s="582"/>
      <c r="M13" s="17">
        <f>SUM(J13:L13)</f>
        <v>0</v>
      </c>
      <c r="N13" s="111"/>
      <c r="O13" s="111"/>
      <c r="P13" s="111"/>
      <c r="Q13" s="111"/>
      <c r="R13" s="111"/>
      <c r="S13" s="111"/>
      <c r="T13" s="111"/>
      <c r="U13" s="111"/>
      <c r="V13" s="111"/>
      <c r="W13" s="391">
        <f>J13+K13+N13+Q13+T13</f>
        <v>0</v>
      </c>
      <c r="X13" s="17">
        <f>L13+O13+R13+U13</f>
        <v>0</v>
      </c>
      <c r="Y13" s="18">
        <f>SUM(W13:X13)</f>
        <v>0</v>
      </c>
      <c r="Z13" s="19">
        <f>IF(Y$15=0,0,Y13/Y$15)</f>
        <v>0</v>
      </c>
      <c r="AA13" s="411"/>
      <c r="AB13" s="411"/>
      <c r="AC13" s="45"/>
      <c r="AE13" s="17"/>
      <c r="AF13" s="17"/>
      <c r="AG13" s="17"/>
      <c r="AH13" s="18">
        <f>J13</f>
        <v>0</v>
      </c>
      <c r="AI13" s="19">
        <f>IF(AH$15=0,0,AH13/AH$15)</f>
        <v>0</v>
      </c>
      <c r="AK13" s="17"/>
      <c r="AL13" s="17"/>
      <c r="AM13" s="17"/>
      <c r="AN13" s="18">
        <f>K13</f>
        <v>0</v>
      </c>
      <c r="AO13" s="19">
        <f>IF(AN$15=0,0,AN13/AN$15)</f>
        <v>0</v>
      </c>
      <c r="AQ13" s="17"/>
      <c r="AR13" s="17"/>
      <c r="AS13" s="17"/>
      <c r="AT13" s="18">
        <f>W13</f>
        <v>0</v>
      </c>
      <c r="AU13" s="19">
        <f>IF(AT$15=0,0,AT13/AT$15)</f>
        <v>0</v>
      </c>
      <c r="AW13" s="17"/>
      <c r="AX13" s="17"/>
      <c r="AY13" s="17"/>
      <c r="AZ13" s="424">
        <f>X13</f>
        <v>0</v>
      </c>
      <c r="BA13" s="19">
        <f>IF(AZ$15=0,0,AZ13/AZ$15)</f>
        <v>0</v>
      </c>
    </row>
    <row r="14" spans="1:53" ht="17.100000000000001" customHeight="1" x14ac:dyDescent="0.25">
      <c r="A14" s="47"/>
      <c r="B14" s="55"/>
      <c r="C14" s="56" t="s">
        <v>627</v>
      </c>
      <c r="D14" s="57" t="s">
        <v>369</v>
      </c>
      <c r="E14" s="58"/>
      <c r="F14" s="58"/>
      <c r="G14" s="59"/>
      <c r="H14" s="1318"/>
      <c r="I14" s="229"/>
      <c r="J14" s="583"/>
      <c r="K14" s="583"/>
      <c r="L14" s="584"/>
      <c r="M14" s="17">
        <f>SUM(J14:L14)</f>
        <v>0</v>
      </c>
      <c r="N14" s="111"/>
      <c r="O14" s="111"/>
      <c r="P14" s="111"/>
      <c r="Q14" s="111"/>
      <c r="R14" s="111"/>
      <c r="S14" s="111"/>
      <c r="T14" s="111"/>
      <c r="U14" s="111"/>
      <c r="V14" s="111"/>
      <c r="W14" s="391">
        <f>J14+K14+N14+Q14+T14</f>
        <v>0</v>
      </c>
      <c r="X14" s="17">
        <f>L14+O14+R14+U14</f>
        <v>0</v>
      </c>
      <c r="Y14" s="18">
        <f>SUM(W14:X14)</f>
        <v>0</v>
      </c>
      <c r="Z14" s="19">
        <f>IF(Y$15=0,0,Y14/Y$15)</f>
        <v>0</v>
      </c>
      <c r="AA14" s="411"/>
      <c r="AB14" s="411"/>
      <c r="AC14" s="45"/>
      <c r="AE14" s="17"/>
      <c r="AF14" s="17"/>
      <c r="AG14" s="17"/>
      <c r="AH14" s="18">
        <f>J14</f>
        <v>0</v>
      </c>
      <c r="AI14" s="19">
        <f>IF(AH$15=0,0,AH14/AH$15)</f>
        <v>0</v>
      </c>
      <c r="AK14" s="17"/>
      <c r="AL14" s="17"/>
      <c r="AM14" s="17"/>
      <c r="AN14" s="18">
        <f>K14</f>
        <v>0</v>
      </c>
      <c r="AO14" s="19">
        <f>IF(AN$15=0,0,AN14/AN$15)</f>
        <v>0</v>
      </c>
      <c r="AQ14" s="17"/>
      <c r="AR14" s="17"/>
      <c r="AS14" s="17"/>
      <c r="AT14" s="18">
        <f>W14</f>
        <v>0</v>
      </c>
      <c r="AU14" s="19">
        <f>IF(AT$15=0,0,AT14/AT$15)</f>
        <v>0</v>
      </c>
      <c r="AW14" s="17"/>
      <c r="AX14" s="17"/>
      <c r="AY14" s="17"/>
      <c r="AZ14" s="424">
        <f>X14</f>
        <v>0</v>
      </c>
      <c r="BA14" s="19">
        <f>IF(AZ$15=0,0,AZ14/AZ$15)</f>
        <v>0</v>
      </c>
    </row>
    <row r="15" spans="1:53" ht="17.100000000000001" customHeight="1" x14ac:dyDescent="0.25">
      <c r="A15" s="47"/>
      <c r="B15" s="47"/>
      <c r="C15" s="252"/>
      <c r="D15" s="62"/>
      <c r="E15" s="62"/>
      <c r="F15" s="62"/>
      <c r="G15" s="63"/>
      <c r="H15" s="647"/>
      <c r="I15" s="229"/>
      <c r="J15" s="64">
        <f>SUM(J13:J14)</f>
        <v>0</v>
      </c>
      <c r="K15" s="64">
        <f t="shared" ref="K15:M15" si="0">SUM(K13:K14)</f>
        <v>0</v>
      </c>
      <c r="L15" s="64">
        <f t="shared" si="0"/>
        <v>0</v>
      </c>
      <c r="M15" s="64">
        <f t="shared" si="0"/>
        <v>0</v>
      </c>
      <c r="N15" s="637"/>
      <c r="O15" s="637"/>
      <c r="P15" s="637"/>
      <c r="Q15" s="637"/>
      <c r="R15" s="637"/>
      <c r="S15" s="637"/>
      <c r="T15" s="637"/>
      <c r="U15" s="637"/>
      <c r="V15" s="637"/>
      <c r="W15" s="381">
        <f>SUM(W13:W14)</f>
        <v>0</v>
      </c>
      <c r="X15" s="82">
        <f t="shared" ref="X15:Y15" si="1">SUM(X13:X14)</f>
        <v>0</v>
      </c>
      <c r="Y15" s="82">
        <f t="shared" si="1"/>
        <v>0</v>
      </c>
      <c r="Z15" s="205">
        <f>IF(Y$15=0,0,Y15/Y$15)</f>
        <v>0</v>
      </c>
      <c r="AA15" s="412"/>
      <c r="AB15" s="412"/>
      <c r="AC15" s="67"/>
      <c r="AE15" s="67"/>
      <c r="AF15" s="67"/>
      <c r="AG15" s="67"/>
      <c r="AH15" s="65">
        <f>SUM(AH13:AH14)</f>
        <v>0</v>
      </c>
      <c r="AI15" s="66">
        <f>IF(AH$15=0,0,AH15/AH$15)</f>
        <v>0</v>
      </c>
      <c r="AK15" s="67"/>
      <c r="AL15" s="67"/>
      <c r="AM15" s="67"/>
      <c r="AN15" s="65">
        <f>SUM(AN13:AN14)</f>
        <v>0</v>
      </c>
      <c r="AO15" s="66">
        <f>IF(AN$15=0,0,AN15/AN$15)</f>
        <v>0</v>
      </c>
      <c r="AQ15" s="67"/>
      <c r="AR15" s="67"/>
      <c r="AS15" s="67"/>
      <c r="AT15" s="65">
        <f>SUM(AT13:AT14)</f>
        <v>0</v>
      </c>
      <c r="AU15" s="66">
        <f>IF(AT$15=0,0,AT15/AT$15)</f>
        <v>0</v>
      </c>
      <c r="AW15" s="67"/>
      <c r="AX15" s="67"/>
      <c r="AY15" s="67"/>
      <c r="AZ15" s="65">
        <f>SUM(AZ13:AZ14)</f>
        <v>0</v>
      </c>
      <c r="BA15" s="66">
        <f>IF(AZ$15=0,0,AZ15/AZ$15)</f>
        <v>0</v>
      </c>
    </row>
    <row r="16" spans="1:53" s="117" customFormat="1" ht="17.100000000000001" customHeight="1" x14ac:dyDescent="0.25">
      <c r="A16" s="186"/>
      <c r="B16" s="253"/>
      <c r="C16" s="254"/>
      <c r="D16" s="255"/>
      <c r="E16" s="93"/>
      <c r="F16" s="93"/>
      <c r="G16" s="209"/>
      <c r="H16" s="647"/>
      <c r="I16" s="12"/>
      <c r="J16" s="198"/>
      <c r="K16" s="638"/>
      <c r="L16" s="425"/>
      <c r="M16" s="425"/>
      <c r="N16" s="425"/>
      <c r="O16" s="425"/>
      <c r="P16" s="425"/>
      <c r="Q16" s="425"/>
      <c r="R16" s="425"/>
      <c r="S16" s="425"/>
      <c r="T16" s="425"/>
      <c r="U16" s="425"/>
      <c r="V16" s="425"/>
      <c r="W16" s="395">
        <f>IF($Y$15=0,0,W15/$Y$15)</f>
        <v>0</v>
      </c>
      <c r="X16" s="91">
        <f>IF($Y$15=0,0,X15/$Y$15)</f>
        <v>0</v>
      </c>
      <c r="Y16" s="91">
        <f>IF($Y$15=0,0,Y15/$Y$15)</f>
        <v>0</v>
      </c>
      <c r="Z16" s="201"/>
      <c r="AA16" s="413"/>
      <c r="AB16" s="413"/>
      <c r="AC16" s="256"/>
      <c r="AE16" s="256"/>
      <c r="AF16" s="256"/>
      <c r="AG16" s="256"/>
      <c r="AH16" s="257"/>
      <c r="AI16" s="91"/>
      <c r="AK16" s="256"/>
      <c r="AL16" s="256"/>
      <c r="AM16" s="256"/>
      <c r="AN16" s="257"/>
      <c r="AO16" s="91"/>
      <c r="AQ16" s="256"/>
      <c r="AR16" s="256"/>
      <c r="AS16" s="256"/>
      <c r="AT16" s="257"/>
      <c r="AU16" s="91"/>
      <c r="AW16" s="256"/>
      <c r="AX16" s="256"/>
      <c r="AY16" s="256"/>
      <c r="AZ16" s="425"/>
      <c r="BA16" s="91"/>
    </row>
    <row r="17" spans="1:53" ht="17.100000000000001" customHeight="1" x14ac:dyDescent="0.25">
      <c r="A17" s="40"/>
      <c r="B17" s="41">
        <v>0.1</v>
      </c>
      <c r="C17" s="42" t="s">
        <v>628</v>
      </c>
      <c r="D17" s="43"/>
      <c r="E17" s="43"/>
      <c r="F17" s="43"/>
      <c r="G17" s="44"/>
      <c r="H17" s="219"/>
      <c r="I17" s="229"/>
      <c r="J17" s="586"/>
      <c r="K17" s="586"/>
      <c r="L17" s="71"/>
      <c r="M17" s="71"/>
      <c r="N17" s="71"/>
      <c r="O17" s="71"/>
      <c r="P17" s="71"/>
      <c r="Q17" s="71"/>
      <c r="R17" s="71"/>
      <c r="S17" s="71"/>
      <c r="T17" s="71"/>
      <c r="U17" s="71"/>
      <c r="V17" s="355"/>
      <c r="W17" s="377"/>
      <c r="X17" s="71"/>
      <c r="Y17" s="72"/>
      <c r="Z17" s="73"/>
      <c r="AA17" s="73"/>
      <c r="AB17" s="73"/>
      <c r="AC17" s="73"/>
      <c r="AE17" s="52"/>
      <c r="AF17" s="52"/>
      <c r="AG17" s="52"/>
      <c r="AH17" s="53"/>
      <c r="AI17" s="54"/>
      <c r="AJ17" s="117"/>
      <c r="AK17" s="52"/>
      <c r="AL17" s="52"/>
      <c r="AM17" s="52"/>
      <c r="AN17" s="53"/>
      <c r="AO17" s="54"/>
      <c r="AP17" s="117"/>
      <c r="AQ17" s="52"/>
      <c r="AR17" s="52"/>
      <c r="AS17" s="52"/>
      <c r="AT17" s="53"/>
      <c r="AU17" s="54"/>
      <c r="AV17" s="117"/>
      <c r="AW17" s="52"/>
      <c r="AX17" s="52"/>
      <c r="AY17" s="52"/>
      <c r="AZ17" s="272"/>
      <c r="BA17" s="54"/>
    </row>
    <row r="18" spans="1:53" ht="17.100000000000001" customHeight="1" x14ac:dyDescent="0.25">
      <c r="A18" s="47"/>
      <c r="B18" s="55"/>
      <c r="C18" s="56" t="s">
        <v>371</v>
      </c>
      <c r="D18" s="120" t="s">
        <v>629</v>
      </c>
      <c r="E18" s="58"/>
      <c r="F18" s="58"/>
      <c r="G18" s="59"/>
      <c r="H18" s="216"/>
      <c r="I18" s="229"/>
      <c r="J18" s="174"/>
      <c r="K18" s="174"/>
      <c r="L18" s="111"/>
      <c r="M18" s="111"/>
      <c r="N18" s="60"/>
      <c r="O18" s="60">
        <v>1</v>
      </c>
      <c r="P18" s="17">
        <f>SUM(N18:O18)</f>
        <v>1</v>
      </c>
      <c r="Q18" s="60">
        <v>1</v>
      </c>
      <c r="R18" s="60">
        <v>1</v>
      </c>
      <c r="S18" s="17">
        <f>SUM(Q18:R18)</f>
        <v>2</v>
      </c>
      <c r="T18" s="60"/>
      <c r="U18" s="60"/>
      <c r="V18" s="359">
        <f>SUM(T18:U18)</f>
        <v>0</v>
      </c>
      <c r="W18" s="391">
        <f t="shared" ref="W18:W19" si="2">J18+K18+N18+Q18+T18</f>
        <v>1</v>
      </c>
      <c r="X18" s="17">
        <f t="shared" ref="X18:X19" si="3">L18+O18+R18+U18</f>
        <v>2</v>
      </c>
      <c r="Y18" s="18">
        <f>SUM(W18:X18)</f>
        <v>3</v>
      </c>
      <c r="Z18" s="19">
        <f>IF(Y$20=0,0,Y18/Y$20)</f>
        <v>0.2</v>
      </c>
      <c r="AA18" s="19"/>
      <c r="AB18" s="19"/>
      <c r="AC18" s="20"/>
      <c r="AE18" s="111"/>
      <c r="AF18" s="111"/>
      <c r="AG18" s="111"/>
      <c r="AH18" s="651"/>
      <c r="AI18" s="131"/>
      <c r="AJ18" s="117"/>
      <c r="AK18" s="111"/>
      <c r="AL18" s="111"/>
      <c r="AM18" s="111"/>
      <c r="AN18" s="651"/>
      <c r="AO18" s="131"/>
      <c r="AP18" s="117"/>
      <c r="AQ18" s="17"/>
      <c r="AR18" s="17"/>
      <c r="AS18" s="17"/>
      <c r="AT18" s="18">
        <f>W18</f>
        <v>1</v>
      </c>
      <c r="AU18" s="19">
        <f>IF(AT$20=0,0,AT18/AT$20)</f>
        <v>0.5</v>
      </c>
      <c r="AV18" s="117"/>
      <c r="AW18" s="17"/>
      <c r="AX18" s="17"/>
      <c r="AY18" s="17"/>
      <c r="AZ18" s="424">
        <f>X18</f>
        <v>2</v>
      </c>
      <c r="BA18" s="19">
        <f>IF(AZ$20=0,0,AZ18/AZ$20)</f>
        <v>0.15384615384615385</v>
      </c>
    </row>
    <row r="19" spans="1:53" ht="17.100000000000001" customHeight="1" x14ac:dyDescent="0.25">
      <c r="A19" s="47"/>
      <c r="B19" s="55"/>
      <c r="C19" s="56" t="s">
        <v>372</v>
      </c>
      <c r="D19" s="120" t="s">
        <v>630</v>
      </c>
      <c r="E19" s="58"/>
      <c r="F19" s="58"/>
      <c r="G19" s="59"/>
      <c r="H19" s="216"/>
      <c r="I19" s="229"/>
      <c r="J19" s="174"/>
      <c r="K19" s="174"/>
      <c r="L19" s="111"/>
      <c r="M19" s="111"/>
      <c r="N19" s="61">
        <v>1</v>
      </c>
      <c r="O19" s="61">
        <v>6</v>
      </c>
      <c r="P19" s="17">
        <f>SUM(N19:O19)</f>
        <v>7</v>
      </c>
      <c r="Q19" s="61"/>
      <c r="R19" s="61">
        <v>5</v>
      </c>
      <c r="S19" s="17">
        <f>SUM(Q19:R19)</f>
        <v>5</v>
      </c>
      <c r="T19" s="61"/>
      <c r="U19" s="61"/>
      <c r="V19" s="359">
        <f>SUM(T19:U19)</f>
        <v>0</v>
      </c>
      <c r="W19" s="391">
        <f t="shared" si="2"/>
        <v>1</v>
      </c>
      <c r="X19" s="17">
        <f t="shared" si="3"/>
        <v>11</v>
      </c>
      <c r="Y19" s="18">
        <f>SUM(W19:X19)</f>
        <v>12</v>
      </c>
      <c r="Z19" s="19">
        <f t="shared" ref="Z19:Z20" si="4">IF(Y$20=0,0,Y19/Y$20)</f>
        <v>0.8</v>
      </c>
      <c r="AA19" s="19"/>
      <c r="AB19" s="19"/>
      <c r="AC19" s="20"/>
      <c r="AE19" s="111"/>
      <c r="AF19" s="111"/>
      <c r="AG19" s="111"/>
      <c r="AH19" s="651"/>
      <c r="AI19" s="131"/>
      <c r="AJ19" s="117"/>
      <c r="AK19" s="111"/>
      <c r="AL19" s="111"/>
      <c r="AM19" s="111"/>
      <c r="AN19" s="651"/>
      <c r="AO19" s="131"/>
      <c r="AP19" s="117"/>
      <c r="AQ19" s="17"/>
      <c r="AR19" s="17"/>
      <c r="AS19" s="17"/>
      <c r="AT19" s="18">
        <f>W19</f>
        <v>1</v>
      </c>
      <c r="AU19" s="19">
        <f t="shared" ref="AU19:AU20" si="5">IF(AT$20=0,0,AT19/AT$20)</f>
        <v>0.5</v>
      </c>
      <c r="AV19" s="117"/>
      <c r="AW19" s="17"/>
      <c r="AX19" s="17"/>
      <c r="AY19" s="17"/>
      <c r="AZ19" s="424">
        <f>X19</f>
        <v>11</v>
      </c>
      <c r="BA19" s="19">
        <f t="shared" ref="BA19:BA20" si="6">IF(AZ$20=0,0,AZ19/AZ$20)</f>
        <v>0.84615384615384615</v>
      </c>
    </row>
    <row r="20" spans="1:53" ht="17.100000000000001" customHeight="1" x14ac:dyDescent="0.25">
      <c r="A20" s="47"/>
      <c r="B20" s="47"/>
      <c r="C20" s="252"/>
      <c r="D20" s="62"/>
      <c r="E20" s="62"/>
      <c r="F20" s="62"/>
      <c r="G20" s="63"/>
      <c r="H20" s="216"/>
      <c r="I20" s="229"/>
      <c r="J20" s="64"/>
      <c r="K20" s="64"/>
      <c r="L20" s="64"/>
      <c r="M20" s="64"/>
      <c r="N20" s="64">
        <f>SUM(N18:N19)</f>
        <v>1</v>
      </c>
      <c r="O20" s="64">
        <f t="shared" ref="O20:V20" si="7">SUM(O18:O19)</f>
        <v>7</v>
      </c>
      <c r="P20" s="64">
        <f t="shared" si="7"/>
        <v>8</v>
      </c>
      <c r="Q20" s="64">
        <f t="shared" si="7"/>
        <v>1</v>
      </c>
      <c r="R20" s="64">
        <f t="shared" si="7"/>
        <v>6</v>
      </c>
      <c r="S20" s="64">
        <f t="shared" si="7"/>
        <v>7</v>
      </c>
      <c r="T20" s="64">
        <f t="shared" si="7"/>
        <v>0</v>
      </c>
      <c r="U20" s="64">
        <f t="shared" si="7"/>
        <v>0</v>
      </c>
      <c r="V20" s="64">
        <f t="shared" si="7"/>
        <v>0</v>
      </c>
      <c r="W20" s="381">
        <f>SUM(W18:W19)</f>
        <v>2</v>
      </c>
      <c r="X20" s="82">
        <f t="shared" ref="X20:Y20" si="8">SUM(X18:X19)</f>
        <v>13</v>
      </c>
      <c r="Y20" s="82">
        <f t="shared" si="8"/>
        <v>15</v>
      </c>
      <c r="Z20" s="205">
        <f t="shared" si="4"/>
        <v>1</v>
      </c>
      <c r="AA20" s="205"/>
      <c r="AB20" s="205"/>
      <c r="AC20" s="83"/>
      <c r="AE20" s="67"/>
      <c r="AF20" s="67"/>
      <c r="AG20" s="67"/>
      <c r="AH20" s="65"/>
      <c r="AI20" s="66"/>
      <c r="AJ20" s="117"/>
      <c r="AK20" s="67"/>
      <c r="AL20" s="67"/>
      <c r="AM20" s="67"/>
      <c r="AN20" s="65"/>
      <c r="AO20" s="66"/>
      <c r="AP20" s="117"/>
      <c r="AQ20" s="67"/>
      <c r="AR20" s="67"/>
      <c r="AS20" s="67"/>
      <c r="AT20" s="65">
        <f>SUM(AT18:AT19)</f>
        <v>2</v>
      </c>
      <c r="AU20" s="66">
        <f t="shared" si="5"/>
        <v>1</v>
      </c>
      <c r="AV20" s="117"/>
      <c r="AW20" s="67"/>
      <c r="AX20" s="67"/>
      <c r="AY20" s="67"/>
      <c r="AZ20" s="65">
        <f>SUM(AZ18:AZ19)</f>
        <v>13</v>
      </c>
      <c r="BA20" s="66">
        <f t="shared" si="6"/>
        <v>1</v>
      </c>
    </row>
    <row r="21" spans="1:53" s="117" customFormat="1" ht="17.100000000000001" customHeight="1" x14ac:dyDescent="0.25">
      <c r="A21" s="186"/>
      <c r="B21" s="253"/>
      <c r="C21" s="254"/>
      <c r="D21" s="93"/>
      <c r="E21" s="93"/>
      <c r="F21" s="93"/>
      <c r="G21" s="209"/>
      <c r="H21" s="647"/>
      <c r="I21" s="12"/>
      <c r="J21" s="198"/>
      <c r="K21" s="638"/>
      <c r="L21" s="425"/>
      <c r="M21" s="425"/>
      <c r="N21" s="425"/>
      <c r="O21" s="425"/>
      <c r="P21" s="425"/>
      <c r="Q21" s="425"/>
      <c r="R21" s="425"/>
      <c r="S21" s="425"/>
      <c r="T21" s="425"/>
      <c r="U21" s="425"/>
      <c r="V21" s="425"/>
      <c r="W21" s="639"/>
      <c r="X21" s="91"/>
      <c r="Y21" s="91"/>
      <c r="Z21" s="201"/>
      <c r="AA21" s="413"/>
      <c r="AB21" s="413"/>
      <c r="AC21" s="256"/>
      <c r="AE21" s="256"/>
      <c r="AF21" s="256"/>
      <c r="AG21" s="256"/>
      <c r="AH21" s="257"/>
      <c r="AI21" s="91"/>
      <c r="AK21" s="256"/>
      <c r="AL21" s="256"/>
      <c r="AM21" s="256"/>
      <c r="AN21" s="257"/>
      <c r="AO21" s="91"/>
      <c r="AQ21" s="256"/>
      <c r="AR21" s="256"/>
      <c r="AS21" s="256"/>
      <c r="AT21" s="257"/>
      <c r="AU21" s="91"/>
      <c r="AW21" s="256"/>
      <c r="AX21" s="256"/>
      <c r="AY21" s="256"/>
      <c r="AZ21" s="425"/>
      <c r="BA21" s="91"/>
    </row>
    <row r="22" spans="1:53" ht="17.100000000000001" customHeight="1" x14ac:dyDescent="0.25">
      <c r="A22" s="40"/>
      <c r="B22" s="41">
        <v>0.2</v>
      </c>
      <c r="C22" s="69" t="s">
        <v>370</v>
      </c>
      <c r="D22" s="50"/>
      <c r="E22" s="43"/>
      <c r="F22" s="43"/>
      <c r="G22" s="44"/>
      <c r="H22" s="640">
        <v>5</v>
      </c>
      <c r="I22" s="229"/>
      <c r="J22" s="71"/>
      <c r="K22" s="71"/>
      <c r="L22" s="71"/>
      <c r="M22" s="71"/>
      <c r="N22" s="71"/>
      <c r="O22" s="71"/>
      <c r="P22" s="71"/>
      <c r="Q22" s="71"/>
      <c r="R22" s="71"/>
      <c r="S22" s="71"/>
      <c r="T22" s="71"/>
      <c r="U22" s="71"/>
      <c r="V22" s="71"/>
      <c r="W22" s="71"/>
      <c r="X22" s="71"/>
      <c r="Y22" s="71"/>
      <c r="Z22" s="73"/>
      <c r="AA22" s="73"/>
      <c r="AB22" s="73"/>
      <c r="AC22" s="73"/>
      <c r="AE22" s="71"/>
      <c r="AF22" s="71"/>
      <c r="AG22" s="71"/>
      <c r="AH22" s="72"/>
      <c r="AI22" s="73"/>
      <c r="AK22" s="71"/>
      <c r="AL22" s="71"/>
      <c r="AM22" s="71"/>
      <c r="AN22" s="72"/>
      <c r="AO22" s="73"/>
      <c r="AQ22" s="71"/>
      <c r="AR22" s="71"/>
      <c r="AS22" s="71"/>
      <c r="AT22" s="72"/>
      <c r="AU22" s="73"/>
      <c r="AW22" s="71"/>
      <c r="AX22" s="71"/>
      <c r="AY22" s="71"/>
      <c r="AZ22" s="273"/>
      <c r="BA22" s="73"/>
    </row>
    <row r="23" spans="1:53" ht="17.100000000000001" customHeight="1" x14ac:dyDescent="0.25">
      <c r="A23" s="40"/>
      <c r="B23" s="40"/>
      <c r="C23" s="74" t="s">
        <v>7</v>
      </c>
      <c r="D23" s="649" t="s">
        <v>9</v>
      </c>
      <c r="E23" s="75"/>
      <c r="F23" s="75"/>
      <c r="G23" s="76"/>
      <c r="H23" s="1318"/>
      <c r="I23" s="229"/>
      <c r="J23" s="581"/>
      <c r="K23" s="581"/>
      <c r="L23" s="582"/>
      <c r="M23" s="17">
        <f t="shared" ref="M23:M25" si="9">SUM(J23:L23)</f>
        <v>0</v>
      </c>
      <c r="N23" s="111"/>
      <c r="O23" s="111"/>
      <c r="P23" s="111"/>
      <c r="Q23" s="111"/>
      <c r="R23" s="111"/>
      <c r="S23" s="111"/>
      <c r="T23" s="111"/>
      <c r="U23" s="111"/>
      <c r="V23" s="111"/>
      <c r="W23" s="391">
        <f t="shared" ref="W23:W25" si="10">J23+K23+N23+Q23+T23</f>
        <v>0</v>
      </c>
      <c r="X23" s="17">
        <f t="shared" ref="X23:X25" si="11">L23+O23+R23+U23</f>
        <v>0</v>
      </c>
      <c r="Y23" s="18">
        <f>SUM(W23:X23)</f>
        <v>0</v>
      </c>
      <c r="Z23" s="19">
        <f>IF(Y$26=0,0,Y23/Y$26)</f>
        <v>0</v>
      </c>
      <c r="AA23" s="411"/>
      <c r="AB23" s="411"/>
      <c r="AC23" s="45"/>
      <c r="AE23" s="17"/>
      <c r="AF23" s="17"/>
      <c r="AG23" s="17"/>
      <c r="AH23" s="18">
        <f>J23</f>
        <v>0</v>
      </c>
      <c r="AI23" s="19">
        <f>IF(AH$26=0,0,AH23/AH$26)</f>
        <v>0</v>
      </c>
      <c r="AK23" s="17"/>
      <c r="AL23" s="17"/>
      <c r="AM23" s="17"/>
      <c r="AN23" s="18">
        <f>K23</f>
        <v>0</v>
      </c>
      <c r="AO23" s="19">
        <f>IF(AN$26=0,0,AN23/AN$26)</f>
        <v>0</v>
      </c>
      <c r="AQ23" s="17"/>
      <c r="AR23" s="17"/>
      <c r="AS23" s="17"/>
      <c r="AT23" s="18">
        <f>W23</f>
        <v>0</v>
      </c>
      <c r="AU23" s="19">
        <f>IF(AT$26=0,0,AT23/AT$26)</f>
        <v>0</v>
      </c>
      <c r="AW23" s="17"/>
      <c r="AX23" s="17"/>
      <c r="AY23" s="17"/>
      <c r="AZ23" s="424">
        <f>X23</f>
        <v>0</v>
      </c>
      <c r="BA23" s="19">
        <f>IF(AZ$26=0,0,AZ23/AZ$26)</f>
        <v>0</v>
      </c>
    </row>
    <row r="24" spans="1:53" ht="17.100000000000001" customHeight="1" x14ac:dyDescent="0.25">
      <c r="A24" s="40"/>
      <c r="B24" s="40"/>
      <c r="C24" s="74" t="s">
        <v>8</v>
      </c>
      <c r="D24" s="649" t="s">
        <v>10</v>
      </c>
      <c r="E24" s="75"/>
      <c r="F24" s="75"/>
      <c r="G24" s="76"/>
      <c r="H24" s="647"/>
      <c r="I24" s="229"/>
      <c r="J24" s="583"/>
      <c r="K24" s="583"/>
      <c r="L24" s="584"/>
      <c r="M24" s="17">
        <f t="shared" si="9"/>
        <v>0</v>
      </c>
      <c r="N24" s="111"/>
      <c r="O24" s="111"/>
      <c r="P24" s="111"/>
      <c r="Q24" s="111"/>
      <c r="R24" s="111"/>
      <c r="S24" s="111"/>
      <c r="T24" s="111"/>
      <c r="U24" s="111"/>
      <c r="V24" s="111"/>
      <c r="W24" s="391">
        <f t="shared" si="10"/>
        <v>0</v>
      </c>
      <c r="X24" s="17">
        <f t="shared" si="11"/>
        <v>0</v>
      </c>
      <c r="Y24" s="18">
        <f>SUM(W24:X24)</f>
        <v>0</v>
      </c>
      <c r="Z24" s="19">
        <f t="shared" ref="Z24:Z25" si="12">IF(Y$26=0,0,Y24/Y$26)</f>
        <v>0</v>
      </c>
      <c r="AA24" s="411"/>
      <c r="AB24" s="411"/>
      <c r="AC24" s="45"/>
      <c r="AE24" s="17"/>
      <c r="AF24" s="17"/>
      <c r="AG24" s="17"/>
      <c r="AH24" s="18">
        <f t="shared" ref="AH24:AH25" si="13">J24</f>
        <v>0</v>
      </c>
      <c r="AI24" s="19">
        <f>IF(AH$26=0,0,AH24/AH$26)</f>
        <v>0</v>
      </c>
      <c r="AK24" s="17"/>
      <c r="AL24" s="17"/>
      <c r="AM24" s="17"/>
      <c r="AN24" s="18">
        <f t="shared" ref="AN24:AN25" si="14">K24</f>
        <v>0</v>
      </c>
      <c r="AO24" s="19">
        <f>IF(AN$26=0,0,AN24/AN$26)</f>
        <v>0</v>
      </c>
      <c r="AQ24" s="17"/>
      <c r="AR24" s="17"/>
      <c r="AS24" s="17"/>
      <c r="AT24" s="18">
        <f t="shared" ref="AT24:AT25" si="15">W24</f>
        <v>0</v>
      </c>
      <c r="AU24" s="19">
        <f t="shared" ref="AU24:AU26" si="16">IF(AT$26=0,0,AT24/AT$26)</f>
        <v>0</v>
      </c>
      <c r="AW24" s="17"/>
      <c r="AX24" s="17"/>
      <c r="AY24" s="17"/>
      <c r="AZ24" s="424">
        <f t="shared" ref="AZ24:AZ25" si="17">X24</f>
        <v>0</v>
      </c>
      <c r="BA24" s="19">
        <f>IF(AZ$26=0,0,AZ24/AZ$26)</f>
        <v>0</v>
      </c>
    </row>
    <row r="25" spans="1:53" ht="17.100000000000001" customHeight="1" x14ac:dyDescent="0.25">
      <c r="A25" s="40"/>
      <c r="B25" s="40"/>
      <c r="C25" s="74" t="s">
        <v>531</v>
      </c>
      <c r="D25" s="649" t="s">
        <v>530</v>
      </c>
      <c r="E25" s="75"/>
      <c r="F25" s="75"/>
      <c r="G25" s="76"/>
      <c r="H25" s="647"/>
      <c r="I25" s="229"/>
      <c r="J25" s="581"/>
      <c r="K25" s="581"/>
      <c r="L25" s="582"/>
      <c r="M25" s="17">
        <f t="shared" si="9"/>
        <v>0</v>
      </c>
      <c r="N25" s="111"/>
      <c r="O25" s="111"/>
      <c r="P25" s="111"/>
      <c r="Q25" s="111"/>
      <c r="R25" s="111"/>
      <c r="S25" s="111"/>
      <c r="T25" s="111"/>
      <c r="U25" s="111"/>
      <c r="V25" s="111"/>
      <c r="W25" s="391">
        <f t="shared" si="10"/>
        <v>0</v>
      </c>
      <c r="X25" s="17">
        <f t="shared" si="11"/>
        <v>0</v>
      </c>
      <c r="Y25" s="18">
        <f>SUM(W25:X25)</f>
        <v>0</v>
      </c>
      <c r="Z25" s="19">
        <f t="shared" si="12"/>
        <v>0</v>
      </c>
      <c r="AA25" s="411"/>
      <c r="AB25" s="411"/>
      <c r="AC25" s="45"/>
      <c r="AE25" s="17"/>
      <c r="AF25" s="17"/>
      <c r="AG25" s="17"/>
      <c r="AH25" s="18">
        <f t="shared" si="13"/>
        <v>0</v>
      </c>
      <c r="AI25" s="19">
        <f>IF(AH$26=0,0,AH25/AH$26)</f>
        <v>0</v>
      </c>
      <c r="AK25" s="17"/>
      <c r="AL25" s="17"/>
      <c r="AM25" s="17"/>
      <c r="AN25" s="18">
        <f t="shared" si="14"/>
        <v>0</v>
      </c>
      <c r="AO25" s="19">
        <f>IF(AN$26=0,0,AN25/AN$26)</f>
        <v>0</v>
      </c>
      <c r="AQ25" s="17"/>
      <c r="AR25" s="17"/>
      <c r="AS25" s="17"/>
      <c r="AT25" s="18">
        <f t="shared" si="15"/>
        <v>0</v>
      </c>
      <c r="AU25" s="19">
        <f t="shared" si="16"/>
        <v>0</v>
      </c>
      <c r="AW25" s="17"/>
      <c r="AX25" s="17"/>
      <c r="AY25" s="17"/>
      <c r="AZ25" s="424">
        <f t="shared" si="17"/>
        <v>0</v>
      </c>
      <c r="BA25" s="19">
        <f>IF(AZ$26=0,0,AZ25/AZ$26)</f>
        <v>0</v>
      </c>
    </row>
    <row r="26" spans="1:53" ht="17.100000000000001" customHeight="1" x14ac:dyDescent="0.25">
      <c r="A26" s="40"/>
      <c r="B26" s="40"/>
      <c r="C26" s="77"/>
      <c r="D26" s="78"/>
      <c r="E26" s="78"/>
      <c r="F26" s="78"/>
      <c r="G26" s="79"/>
      <c r="H26" s="647"/>
      <c r="I26" s="230"/>
      <c r="J26" s="80">
        <f>SUM(J23:J25)</f>
        <v>0</v>
      </c>
      <c r="K26" s="80">
        <f t="shared" ref="K26:M26" si="18">SUM(K23:K25)</f>
        <v>0</v>
      </c>
      <c r="L26" s="80">
        <f t="shared" si="18"/>
        <v>0</v>
      </c>
      <c r="M26" s="80">
        <f t="shared" si="18"/>
        <v>0</v>
      </c>
      <c r="N26" s="81"/>
      <c r="O26" s="81"/>
      <c r="P26" s="81"/>
      <c r="Q26" s="81"/>
      <c r="R26" s="81"/>
      <c r="S26" s="81"/>
      <c r="T26" s="81"/>
      <c r="U26" s="81"/>
      <c r="V26" s="81"/>
      <c r="W26" s="381">
        <f>SUM(W23:W25)</f>
        <v>0</v>
      </c>
      <c r="X26" s="82">
        <f t="shared" ref="X26:Y26" si="19">SUM(X23:X25)</f>
        <v>0</v>
      </c>
      <c r="Y26" s="82">
        <f t="shared" si="19"/>
        <v>0</v>
      </c>
      <c r="Z26" s="205">
        <f>IF(Y$26=0,0,Y26/Y$26)</f>
        <v>0</v>
      </c>
      <c r="AA26" s="205"/>
      <c r="AB26" s="205"/>
      <c r="AC26" s="83"/>
      <c r="AE26" s="81"/>
      <c r="AF26" s="81"/>
      <c r="AG26" s="81"/>
      <c r="AH26" s="82">
        <f>SUM(AH23:AH25)</f>
        <v>0</v>
      </c>
      <c r="AI26" s="66">
        <f>IF(AH$26=0,0,AH26/AH$26)</f>
        <v>0</v>
      </c>
      <c r="AK26" s="81"/>
      <c r="AL26" s="81"/>
      <c r="AM26" s="81"/>
      <c r="AN26" s="82">
        <f>SUM(AN23:AN25)</f>
        <v>0</v>
      </c>
      <c r="AO26" s="66">
        <f>IF(AN$26=0,0,AN26/AN$26)</f>
        <v>0</v>
      </c>
      <c r="AQ26" s="67"/>
      <c r="AR26" s="67"/>
      <c r="AS26" s="67"/>
      <c r="AT26" s="65">
        <f>SUM(AT23:AT25)</f>
        <v>0</v>
      </c>
      <c r="AU26" s="66">
        <f t="shared" si="16"/>
        <v>0</v>
      </c>
      <c r="AW26" s="81"/>
      <c r="AX26" s="81"/>
      <c r="AY26" s="81"/>
      <c r="AZ26" s="82">
        <f>SUM(AZ23:AZ25)</f>
        <v>0</v>
      </c>
      <c r="BA26" s="66">
        <f>IF(AZ$26=0,0,AZ26/AZ$26)</f>
        <v>0</v>
      </c>
    </row>
    <row r="27" spans="1:53" s="97" customFormat="1" ht="17.100000000000001" customHeight="1" x14ac:dyDescent="0.25">
      <c r="A27" s="68"/>
      <c r="B27" s="68"/>
      <c r="C27" s="92"/>
      <c r="D27" s="93"/>
      <c r="E27" s="93"/>
      <c r="F27" s="93"/>
      <c r="G27" s="93"/>
      <c r="H27" s="165"/>
      <c r="I27" s="12"/>
      <c r="J27" s="94" t="str">
        <f>IF(J26=J$15,"OK","NOK")</f>
        <v>OK</v>
      </c>
      <c r="K27" s="94" t="str">
        <f t="shared" ref="K27:L27" si="20">IF(K26=K$15,"OK","NOK")</f>
        <v>OK</v>
      </c>
      <c r="L27" s="94" t="str">
        <f t="shared" si="20"/>
        <v>OK</v>
      </c>
      <c r="M27" s="95"/>
      <c r="N27" s="95"/>
      <c r="O27" s="95"/>
      <c r="P27" s="95"/>
      <c r="Q27" s="95"/>
      <c r="R27" s="95"/>
      <c r="S27" s="95"/>
      <c r="T27" s="95"/>
      <c r="U27" s="95"/>
      <c r="V27" s="95"/>
      <c r="W27" s="95"/>
      <c r="X27" s="95"/>
      <c r="Y27" s="95"/>
      <c r="AQ27" s="98"/>
      <c r="AR27" s="98"/>
      <c r="AS27" s="98"/>
      <c r="AT27" s="99"/>
      <c r="AU27" s="100"/>
    </row>
    <row r="28" spans="1:53" s="32" customFormat="1" ht="16.5" thickBot="1" x14ac:dyDescent="0.3">
      <c r="A28" s="24" t="s">
        <v>13</v>
      </c>
      <c r="B28" s="25" t="s">
        <v>557</v>
      </c>
      <c r="C28" s="26"/>
      <c r="D28" s="27"/>
      <c r="E28" s="27"/>
      <c r="F28" s="27"/>
      <c r="G28" s="28"/>
      <c r="H28" s="310"/>
      <c r="I28" s="228"/>
      <c r="J28" s="101"/>
      <c r="K28" s="101"/>
      <c r="L28" s="101"/>
      <c r="M28" s="101"/>
      <c r="N28" s="101"/>
      <c r="O28" s="101"/>
      <c r="P28" s="101"/>
      <c r="Q28" s="101"/>
      <c r="R28" s="101"/>
      <c r="S28" s="101"/>
      <c r="T28" s="101"/>
      <c r="U28" s="101"/>
      <c r="V28" s="101"/>
      <c r="W28" s="101"/>
      <c r="X28" s="101"/>
      <c r="Y28" s="415" t="s">
        <v>4</v>
      </c>
      <c r="Z28" s="31" t="s">
        <v>5</v>
      </c>
      <c r="AA28" s="31" t="s">
        <v>181</v>
      </c>
      <c r="AB28" s="31" t="s">
        <v>182</v>
      </c>
      <c r="AC28" s="31" t="s">
        <v>6</v>
      </c>
      <c r="AE28" s="33" t="s">
        <v>181</v>
      </c>
      <c r="AF28" s="33" t="s">
        <v>182</v>
      </c>
      <c r="AG28" s="33" t="s">
        <v>6</v>
      </c>
      <c r="AH28" s="33" t="s">
        <v>4</v>
      </c>
      <c r="AI28" s="34" t="s">
        <v>5</v>
      </c>
      <c r="AK28" s="36" t="s">
        <v>181</v>
      </c>
      <c r="AL28" s="36" t="s">
        <v>182</v>
      </c>
      <c r="AM28" s="36" t="s">
        <v>6</v>
      </c>
      <c r="AN28" s="36" t="s">
        <v>4</v>
      </c>
      <c r="AO28" s="37" t="s">
        <v>5</v>
      </c>
      <c r="AQ28" s="398" t="s">
        <v>181</v>
      </c>
      <c r="AR28" s="398" t="s">
        <v>182</v>
      </c>
      <c r="AS28" s="398" t="s">
        <v>6</v>
      </c>
      <c r="AT28" s="398" t="s">
        <v>4</v>
      </c>
      <c r="AU28" s="399" t="s">
        <v>5</v>
      </c>
      <c r="AW28" s="38" t="s">
        <v>181</v>
      </c>
      <c r="AX28" s="38" t="s">
        <v>182</v>
      </c>
      <c r="AY28" s="38" t="s">
        <v>6</v>
      </c>
      <c r="AZ28" s="38" t="s">
        <v>4</v>
      </c>
      <c r="BA28" s="39" t="s">
        <v>5</v>
      </c>
    </row>
    <row r="29" spans="1:53" ht="17.100000000000001" customHeight="1" x14ac:dyDescent="0.25">
      <c r="A29" s="275"/>
      <c r="B29" s="41" t="s">
        <v>15</v>
      </c>
      <c r="C29" s="69" t="s">
        <v>16</v>
      </c>
      <c r="D29" s="276"/>
      <c r="E29" s="276"/>
      <c r="F29" s="276"/>
      <c r="G29" s="276"/>
      <c r="H29" s="589">
        <v>8</v>
      </c>
      <c r="I29" s="12"/>
      <c r="J29" s="277"/>
      <c r="K29" s="277"/>
      <c r="L29" s="277"/>
      <c r="M29" s="277"/>
      <c r="N29" s="277"/>
      <c r="O29" s="277"/>
      <c r="P29" s="277"/>
      <c r="Q29" s="277"/>
      <c r="R29" s="277"/>
      <c r="S29" s="277"/>
      <c r="T29" s="277"/>
      <c r="U29" s="277"/>
      <c r="V29" s="277"/>
      <c r="W29" s="277"/>
      <c r="X29" s="277"/>
      <c r="Y29" s="277"/>
      <c r="Z29" s="51"/>
      <c r="AA29" s="51"/>
      <c r="AB29" s="51"/>
      <c r="AC29" s="51"/>
      <c r="AE29" s="71"/>
      <c r="AF29" s="71"/>
      <c r="AG29" s="273"/>
      <c r="AH29" s="73"/>
      <c r="AI29" s="73"/>
      <c r="AK29" s="71"/>
      <c r="AL29" s="71"/>
      <c r="AM29" s="273"/>
      <c r="AN29" s="73"/>
      <c r="AO29" s="73"/>
      <c r="AQ29" s="71"/>
      <c r="AR29" s="71"/>
      <c r="AS29" s="71"/>
      <c r="AT29" s="72"/>
      <c r="AU29" s="73"/>
      <c r="AW29" s="71"/>
      <c r="AX29" s="71"/>
      <c r="AY29" s="273"/>
      <c r="AZ29" s="73"/>
      <c r="BA29" s="73"/>
    </row>
    <row r="30" spans="1:53" ht="17.100000000000001" customHeight="1" x14ac:dyDescent="0.25">
      <c r="A30" s="40"/>
      <c r="B30" s="40"/>
      <c r="C30" s="74" t="s">
        <v>17</v>
      </c>
      <c r="D30" s="104" t="s">
        <v>609</v>
      </c>
      <c r="E30" s="75"/>
      <c r="F30" s="75"/>
      <c r="G30" s="76"/>
      <c r="H30" s="210"/>
      <c r="I30" s="229"/>
      <c r="J30" s="46">
        <f>J15</f>
        <v>0</v>
      </c>
      <c r="K30" s="46"/>
      <c r="L30" s="17"/>
      <c r="M30" s="17">
        <f t="shared" ref="M30:M32" si="21">SUM(J30:L30)</f>
        <v>0</v>
      </c>
      <c r="N30" s="111"/>
      <c r="O30" s="111"/>
      <c r="P30" s="111"/>
      <c r="Q30" s="111"/>
      <c r="R30" s="111"/>
      <c r="S30" s="111"/>
      <c r="T30" s="111"/>
      <c r="U30" s="111"/>
      <c r="V30" s="111"/>
      <c r="W30" s="391">
        <f t="shared" ref="W30:W32" si="22">J30+K30+N30+Q30+T30</f>
        <v>0</v>
      </c>
      <c r="X30" s="17">
        <f t="shared" ref="X30:X32" si="23">L30+O30+R30+U30</f>
        <v>0</v>
      </c>
      <c r="Y30" s="18">
        <f>SUM(W30:X30)</f>
        <v>0</v>
      </c>
      <c r="Z30" s="19">
        <f>IF(Y$33=0,0,Y30/Y$33)</f>
        <v>0</v>
      </c>
      <c r="AA30" s="411"/>
      <c r="AB30" s="411"/>
      <c r="AC30" s="45"/>
      <c r="AE30" s="17"/>
      <c r="AF30" s="17"/>
      <c r="AG30" s="17"/>
      <c r="AH30" s="18">
        <f>J30</f>
        <v>0</v>
      </c>
      <c r="AI30" s="19">
        <f>IF(AH$33=0,0,AH30/AH$33)</f>
        <v>0</v>
      </c>
      <c r="AK30" s="17"/>
      <c r="AL30" s="17"/>
      <c r="AM30" s="17"/>
      <c r="AN30" s="18">
        <f>K30</f>
        <v>0</v>
      </c>
      <c r="AO30" s="19">
        <f>IF(AN$33=0,0,AN30/AN$33)</f>
        <v>0</v>
      </c>
      <c r="AQ30" s="17"/>
      <c r="AR30" s="17"/>
      <c r="AS30" s="17"/>
      <c r="AT30" s="18">
        <f t="shared" ref="AT30:AT32" si="24">W30</f>
        <v>0</v>
      </c>
      <c r="AU30" s="19">
        <f>IF(AT$33=0,0,AT30/AT$33)</f>
        <v>0</v>
      </c>
      <c r="AW30" s="17"/>
      <c r="AX30" s="17"/>
      <c r="AY30" s="17"/>
      <c r="AZ30" s="424">
        <f>X30</f>
        <v>0</v>
      </c>
      <c r="BA30" s="19">
        <f>IF(AZ$33=0,0,AZ30/AZ$33)</f>
        <v>0</v>
      </c>
    </row>
    <row r="31" spans="1:53" ht="17.100000000000001" customHeight="1" x14ac:dyDescent="0.25">
      <c r="A31" s="40"/>
      <c r="B31" s="40"/>
      <c r="C31" s="74" t="s">
        <v>18</v>
      </c>
      <c r="D31" s="104" t="s">
        <v>610</v>
      </c>
      <c r="E31" s="75"/>
      <c r="F31" s="75"/>
      <c r="G31" s="76"/>
      <c r="H31" s="210"/>
      <c r="I31" s="229"/>
      <c r="J31" s="46"/>
      <c r="K31" s="46">
        <f>K15</f>
        <v>0</v>
      </c>
      <c r="L31" s="17"/>
      <c r="M31" s="17">
        <f t="shared" si="21"/>
        <v>0</v>
      </c>
      <c r="N31" s="111"/>
      <c r="O31" s="111"/>
      <c r="P31" s="111"/>
      <c r="Q31" s="111"/>
      <c r="R31" s="111"/>
      <c r="S31" s="111"/>
      <c r="T31" s="111"/>
      <c r="U31" s="111"/>
      <c r="V31" s="111"/>
      <c r="W31" s="391">
        <f t="shared" si="22"/>
        <v>0</v>
      </c>
      <c r="X31" s="17">
        <f t="shared" si="23"/>
        <v>0</v>
      </c>
      <c r="Y31" s="18">
        <f>SUM(W31:X31)</f>
        <v>0</v>
      </c>
      <c r="Z31" s="19">
        <f t="shared" ref="Z31:Z33" si="25">IF(Y$33=0,0,Y31/Y$33)</f>
        <v>0</v>
      </c>
      <c r="AA31" s="411"/>
      <c r="AB31" s="411"/>
      <c r="AC31" s="45"/>
      <c r="AE31" s="17"/>
      <c r="AF31" s="17"/>
      <c r="AG31" s="17"/>
      <c r="AH31" s="18">
        <f t="shared" ref="AH31:AH32" si="26">J31</f>
        <v>0</v>
      </c>
      <c r="AI31" s="19">
        <f>IF(AH$33=0,0,AH31/AH$33)</f>
        <v>0</v>
      </c>
      <c r="AK31" s="17"/>
      <c r="AL31" s="17"/>
      <c r="AM31" s="17"/>
      <c r="AN31" s="18">
        <f t="shared" ref="AN31:AN32" si="27">K31</f>
        <v>0</v>
      </c>
      <c r="AO31" s="19">
        <f>IF(AN$33=0,0,AN31/AN$33)</f>
        <v>0</v>
      </c>
      <c r="AQ31" s="17"/>
      <c r="AR31" s="17"/>
      <c r="AS31" s="17"/>
      <c r="AT31" s="18">
        <f t="shared" si="24"/>
        <v>0</v>
      </c>
      <c r="AU31" s="19">
        <f>IF(AT$33=0,0,AT31/AT$33)</f>
        <v>0</v>
      </c>
      <c r="AW31" s="17"/>
      <c r="AX31" s="17"/>
      <c r="AY31" s="17"/>
      <c r="AZ31" s="424">
        <f t="shared" ref="AZ31:AZ32" si="28">X31</f>
        <v>0</v>
      </c>
      <c r="BA31" s="19">
        <f>IF(AZ$33=0,0,AZ31/AZ$33)</f>
        <v>0</v>
      </c>
    </row>
    <row r="32" spans="1:53" ht="17.100000000000001" customHeight="1" x14ac:dyDescent="0.25">
      <c r="A32" s="40"/>
      <c r="B32" s="40"/>
      <c r="C32" s="74" t="s">
        <v>19</v>
      </c>
      <c r="D32" s="104" t="s">
        <v>611</v>
      </c>
      <c r="E32" s="75"/>
      <c r="F32" s="75"/>
      <c r="G32" s="76"/>
      <c r="H32" s="210"/>
      <c r="I32" s="229"/>
      <c r="J32" s="46"/>
      <c r="K32" s="46"/>
      <c r="L32" s="17">
        <f>L15</f>
        <v>0</v>
      </c>
      <c r="M32" s="17">
        <f t="shared" si="21"/>
        <v>0</v>
      </c>
      <c r="N32" s="111"/>
      <c r="O32" s="111"/>
      <c r="P32" s="111"/>
      <c r="Q32" s="111"/>
      <c r="R32" s="111"/>
      <c r="S32" s="111"/>
      <c r="T32" s="111"/>
      <c r="U32" s="111"/>
      <c r="V32" s="111"/>
      <c r="W32" s="391">
        <f t="shared" si="22"/>
        <v>0</v>
      </c>
      <c r="X32" s="17">
        <f t="shared" si="23"/>
        <v>0</v>
      </c>
      <c r="Y32" s="18">
        <f>SUM(W32:X32)</f>
        <v>0</v>
      </c>
      <c r="Z32" s="19">
        <f t="shared" si="25"/>
        <v>0</v>
      </c>
      <c r="AA32" s="411"/>
      <c r="AB32" s="411"/>
      <c r="AC32" s="45"/>
      <c r="AE32" s="17"/>
      <c r="AF32" s="17"/>
      <c r="AG32" s="17"/>
      <c r="AH32" s="18">
        <f t="shared" si="26"/>
        <v>0</v>
      </c>
      <c r="AI32" s="19">
        <f>IF(AH$33=0,0,AH32/AH$33)</f>
        <v>0</v>
      </c>
      <c r="AK32" s="17"/>
      <c r="AL32" s="17"/>
      <c r="AM32" s="17"/>
      <c r="AN32" s="18">
        <f t="shared" si="27"/>
        <v>0</v>
      </c>
      <c r="AO32" s="19">
        <f>IF(AN$33=0,0,AN32/AN$33)</f>
        <v>0</v>
      </c>
      <c r="AQ32" s="17"/>
      <c r="AR32" s="17"/>
      <c r="AS32" s="17"/>
      <c r="AT32" s="18">
        <f t="shared" si="24"/>
        <v>0</v>
      </c>
      <c r="AU32" s="19">
        <f>IF(AT$33=0,0,AT32/AT$33)</f>
        <v>0</v>
      </c>
      <c r="AW32" s="17"/>
      <c r="AX32" s="17"/>
      <c r="AY32" s="17"/>
      <c r="AZ32" s="424">
        <f t="shared" si="28"/>
        <v>0</v>
      </c>
      <c r="BA32" s="19">
        <f>IF(AZ$33=0,0,AZ32/AZ$33)</f>
        <v>0</v>
      </c>
    </row>
    <row r="33" spans="1:53" ht="17.100000000000001" customHeight="1" x14ac:dyDescent="0.25">
      <c r="A33" s="40"/>
      <c r="B33" s="40"/>
      <c r="C33" s="77"/>
      <c r="D33" s="78"/>
      <c r="E33" s="78"/>
      <c r="F33" s="78"/>
      <c r="G33" s="79"/>
      <c r="H33" s="217"/>
      <c r="I33" s="230"/>
      <c r="J33" s="80">
        <f>SUM(J30:J32)</f>
        <v>0</v>
      </c>
      <c r="K33" s="80">
        <f t="shared" ref="K33:M33" si="29">SUM(K30:K32)</f>
        <v>0</v>
      </c>
      <c r="L33" s="80">
        <f t="shared" si="29"/>
        <v>0</v>
      </c>
      <c r="M33" s="80">
        <f t="shared" si="29"/>
        <v>0</v>
      </c>
      <c r="N33" s="81"/>
      <c r="O33" s="81"/>
      <c r="P33" s="81"/>
      <c r="Q33" s="81"/>
      <c r="R33" s="81"/>
      <c r="S33" s="81"/>
      <c r="T33" s="81"/>
      <c r="U33" s="81"/>
      <c r="V33" s="81"/>
      <c r="W33" s="381">
        <f>SUM(W30:W32)</f>
        <v>0</v>
      </c>
      <c r="X33" s="82">
        <f t="shared" ref="X33:Y33" si="30">SUM(X30:X32)</f>
        <v>0</v>
      </c>
      <c r="Y33" s="82">
        <f t="shared" si="30"/>
        <v>0</v>
      </c>
      <c r="Z33" s="205">
        <f t="shared" si="25"/>
        <v>0</v>
      </c>
      <c r="AA33" s="205"/>
      <c r="AB33" s="205"/>
      <c r="AC33" s="83"/>
      <c r="AE33" s="107"/>
      <c r="AF33" s="107"/>
      <c r="AG33" s="107"/>
      <c r="AH33" s="82">
        <f>SUM(AH30:AH32)</f>
        <v>0</v>
      </c>
      <c r="AI33" s="66">
        <f>IF(AH$33=0,0,AH33/AH$33)</f>
        <v>0</v>
      </c>
      <c r="AK33" s="107"/>
      <c r="AL33" s="107"/>
      <c r="AM33" s="107"/>
      <c r="AN33" s="82">
        <f>SUM(AN30:AN32)</f>
        <v>0</v>
      </c>
      <c r="AO33" s="66">
        <f>IF(AN$33=0,0,AN33/AN$33)</f>
        <v>0</v>
      </c>
      <c r="AQ33" s="107"/>
      <c r="AR33" s="107"/>
      <c r="AS33" s="107"/>
      <c r="AT33" s="82">
        <f>SUM(AT30:AT32)</f>
        <v>0</v>
      </c>
      <c r="AU33" s="66">
        <f>IF(AT$33=0,0,AT33/AT$33)</f>
        <v>0</v>
      </c>
      <c r="AW33" s="107"/>
      <c r="AX33" s="107"/>
      <c r="AY33" s="107"/>
      <c r="AZ33" s="82">
        <f>SUM(AZ30:AZ32)</f>
        <v>0</v>
      </c>
      <c r="BA33" s="66">
        <f>IF(AZ$33=0,0,AZ33/AZ$33)</f>
        <v>0</v>
      </c>
    </row>
    <row r="34" spans="1:53" s="97" customFormat="1" ht="17.100000000000001" customHeight="1" x14ac:dyDescent="0.25">
      <c r="A34" s="68"/>
      <c r="B34" s="68"/>
      <c r="C34" s="92"/>
      <c r="D34" s="93"/>
      <c r="E34" s="93"/>
      <c r="F34" s="93"/>
      <c r="G34" s="93"/>
      <c r="H34" s="12"/>
      <c r="I34" s="12"/>
      <c r="J34" s="109"/>
      <c r="K34" s="109"/>
      <c r="L34" s="109"/>
      <c r="M34" s="109"/>
      <c r="N34" s="109"/>
      <c r="O34" s="109"/>
      <c r="P34" s="109"/>
      <c r="Q34" s="109"/>
      <c r="R34" s="109"/>
      <c r="S34" s="109"/>
      <c r="T34" s="109"/>
      <c r="U34" s="109"/>
      <c r="V34" s="109"/>
      <c r="W34" s="109"/>
      <c r="X34" s="109"/>
      <c r="Y34" s="109"/>
      <c r="AQ34" s="109"/>
      <c r="AR34" s="109"/>
      <c r="AS34" s="109"/>
      <c r="AT34" s="96"/>
    </row>
    <row r="35" spans="1:53" s="32" customFormat="1" ht="16.5" thickBot="1" x14ac:dyDescent="0.3">
      <c r="A35" s="24" t="s">
        <v>20</v>
      </c>
      <c r="B35" s="25" t="s">
        <v>21</v>
      </c>
      <c r="C35" s="26"/>
      <c r="D35" s="27"/>
      <c r="E35" s="27"/>
      <c r="F35" s="27"/>
      <c r="G35" s="28"/>
      <c r="H35" s="28"/>
      <c r="I35" s="228"/>
      <c r="J35" s="101"/>
      <c r="K35" s="101"/>
      <c r="L35" s="101"/>
      <c r="M35" s="101"/>
      <c r="N35" s="101"/>
      <c r="O35" s="101"/>
      <c r="P35" s="101"/>
      <c r="Q35" s="101"/>
      <c r="R35" s="101"/>
      <c r="S35" s="101"/>
      <c r="T35" s="101"/>
      <c r="U35" s="101"/>
      <c r="V35" s="101"/>
      <c r="W35" s="101"/>
      <c r="X35" s="101"/>
      <c r="Y35" s="415" t="s">
        <v>4</v>
      </c>
      <c r="Z35" s="31" t="s">
        <v>5</v>
      </c>
      <c r="AA35" s="31" t="s">
        <v>181</v>
      </c>
      <c r="AB35" s="31" t="s">
        <v>182</v>
      </c>
      <c r="AC35" s="31" t="s">
        <v>6</v>
      </c>
      <c r="AE35" s="33" t="s">
        <v>181</v>
      </c>
      <c r="AF35" s="33" t="s">
        <v>182</v>
      </c>
      <c r="AG35" s="33" t="s">
        <v>6</v>
      </c>
      <c r="AH35" s="33" t="s">
        <v>4</v>
      </c>
      <c r="AI35" s="34" t="s">
        <v>5</v>
      </c>
      <c r="AK35" s="36" t="s">
        <v>181</v>
      </c>
      <c r="AL35" s="36" t="s">
        <v>182</v>
      </c>
      <c r="AM35" s="36" t="s">
        <v>6</v>
      </c>
      <c r="AN35" s="36" t="s">
        <v>4</v>
      </c>
      <c r="AO35" s="37" t="s">
        <v>5</v>
      </c>
      <c r="AQ35" s="36"/>
      <c r="AR35" s="36"/>
      <c r="AS35" s="36"/>
      <c r="AT35" s="36"/>
      <c r="AU35" s="37"/>
      <c r="AW35" s="38" t="s">
        <v>181</v>
      </c>
      <c r="AX35" s="38" t="s">
        <v>182</v>
      </c>
      <c r="AY35" s="38" t="s">
        <v>6</v>
      </c>
      <c r="AZ35" s="38" t="s">
        <v>4</v>
      </c>
      <c r="BA35" s="39" t="s">
        <v>5</v>
      </c>
    </row>
    <row r="36" spans="1:53" ht="17.100000000000001" customHeight="1" x14ac:dyDescent="0.25">
      <c r="A36" s="119"/>
      <c r="B36" s="41" t="s">
        <v>22</v>
      </c>
      <c r="C36" s="332" t="s">
        <v>23</v>
      </c>
      <c r="D36" s="50"/>
      <c r="E36" s="70"/>
      <c r="F36" s="70"/>
      <c r="G36" s="70"/>
      <c r="H36" s="589">
        <v>9</v>
      </c>
      <c r="J36" s="71"/>
      <c r="K36" s="71"/>
      <c r="L36" s="71"/>
      <c r="M36" s="71"/>
      <c r="N36" s="71"/>
      <c r="O36" s="71"/>
      <c r="P36" s="71"/>
      <c r="Q36" s="71"/>
      <c r="R36" s="71"/>
      <c r="S36" s="71"/>
      <c r="T36" s="71"/>
      <c r="U36" s="71"/>
      <c r="V36" s="355"/>
      <c r="W36" s="377"/>
      <c r="X36" s="71"/>
      <c r="Y36" s="72"/>
      <c r="Z36" s="73"/>
      <c r="AA36" s="73"/>
      <c r="AB36" s="73"/>
      <c r="AC36" s="73"/>
      <c r="AE36" s="71"/>
      <c r="AF36" s="71"/>
      <c r="AG36" s="71"/>
      <c r="AH36" s="72"/>
      <c r="AI36" s="73"/>
      <c r="AJ36" s="117"/>
      <c r="AK36" s="71"/>
      <c r="AL36" s="71"/>
      <c r="AM36" s="71"/>
      <c r="AN36" s="72"/>
      <c r="AO36" s="73"/>
      <c r="AP36" s="117"/>
      <c r="AQ36" s="71"/>
      <c r="AR36" s="71"/>
      <c r="AS36" s="71"/>
      <c r="AT36" s="72"/>
      <c r="AU36" s="73"/>
      <c r="AV36" s="117"/>
      <c r="AW36" s="71"/>
      <c r="AX36" s="71"/>
      <c r="AY36" s="71"/>
      <c r="AZ36" s="273"/>
      <c r="BA36" s="73"/>
    </row>
    <row r="37" spans="1:53" ht="17.100000000000001" customHeight="1" x14ac:dyDescent="0.25">
      <c r="A37" s="119"/>
      <c r="B37" s="647"/>
      <c r="C37" s="103" t="s">
        <v>631</v>
      </c>
      <c r="D37" s="313" t="s">
        <v>658</v>
      </c>
      <c r="E37" s="108"/>
      <c r="F37" s="108"/>
      <c r="G37" s="108"/>
      <c r="H37" s="119"/>
      <c r="J37" s="111"/>
      <c r="K37" s="111"/>
      <c r="L37" s="111"/>
      <c r="M37" s="111"/>
      <c r="N37" s="111"/>
      <c r="O37" s="111"/>
      <c r="P37" s="111"/>
      <c r="Q37" s="111"/>
      <c r="R37" s="111"/>
      <c r="S37" s="111"/>
      <c r="T37" s="111"/>
      <c r="U37" s="111"/>
      <c r="V37" s="358"/>
      <c r="W37" s="380"/>
      <c r="X37" s="111"/>
      <c r="Y37" s="112"/>
      <c r="Z37" s="113"/>
      <c r="AA37" s="113"/>
      <c r="AB37" s="113"/>
      <c r="AC37" s="113"/>
      <c r="AE37" s="111"/>
      <c r="AF37" s="111"/>
      <c r="AG37" s="111"/>
      <c r="AH37" s="112"/>
      <c r="AI37" s="113"/>
      <c r="AJ37" s="117"/>
      <c r="AK37" s="111"/>
      <c r="AL37" s="111"/>
      <c r="AM37" s="111"/>
      <c r="AN37" s="112"/>
      <c r="AO37" s="113"/>
      <c r="AP37" s="117"/>
      <c r="AQ37" s="111"/>
      <c r="AR37" s="111"/>
      <c r="AS37" s="111"/>
      <c r="AT37" s="112"/>
      <c r="AU37" s="113"/>
      <c r="AV37" s="117"/>
      <c r="AW37" s="111"/>
      <c r="AX37" s="111"/>
      <c r="AY37" s="111"/>
      <c r="AZ37" s="114"/>
      <c r="BA37" s="113"/>
    </row>
    <row r="38" spans="1:53" ht="17.100000000000001" customHeight="1" x14ac:dyDescent="0.25">
      <c r="A38" s="47"/>
      <c r="B38" s="55"/>
      <c r="C38" s="56"/>
      <c r="D38" s="120" t="s">
        <v>632</v>
      </c>
      <c r="E38" s="58" t="s">
        <v>659</v>
      </c>
      <c r="F38" s="58"/>
      <c r="G38" s="59"/>
      <c r="H38" s="216"/>
      <c r="I38" s="229"/>
      <c r="J38" s="174"/>
      <c r="K38" s="174"/>
      <c r="L38" s="111"/>
      <c r="M38" s="111"/>
      <c r="N38" s="60"/>
      <c r="O38" s="60">
        <v>1</v>
      </c>
      <c r="P38" s="17">
        <f>SUM(N38:O38)</f>
        <v>1</v>
      </c>
      <c r="Q38" s="60"/>
      <c r="R38" s="60"/>
      <c r="S38" s="17">
        <f>SUM(Q38:R38)</f>
        <v>0</v>
      </c>
      <c r="T38" s="60"/>
      <c r="U38" s="60"/>
      <c r="V38" s="17">
        <f>SUM(T38:U38)</f>
        <v>0</v>
      </c>
      <c r="W38" s="391">
        <f t="shared" ref="W38:W40" si="31">J38+K38+N38+Q38+T38</f>
        <v>0</v>
      </c>
      <c r="X38" s="17">
        <f t="shared" ref="X38:X40" si="32">L38+O38+R38+U38</f>
        <v>1</v>
      </c>
      <c r="Y38" s="18">
        <f>SUM(W38:X38)</f>
        <v>1</v>
      </c>
      <c r="Z38" s="19">
        <f>IF(Y$41=0,0,Y38/Y$41)</f>
        <v>6.6666666666666666E-2</v>
      </c>
      <c r="AA38" s="19"/>
      <c r="AB38" s="19"/>
      <c r="AC38" s="20"/>
      <c r="AE38" s="111"/>
      <c r="AF38" s="111"/>
      <c r="AG38" s="111"/>
      <c r="AH38" s="651"/>
      <c r="AI38" s="131"/>
      <c r="AJ38" s="117"/>
      <c r="AK38" s="111"/>
      <c r="AL38" s="111"/>
      <c r="AM38" s="111"/>
      <c r="AN38" s="651"/>
      <c r="AO38" s="131"/>
      <c r="AP38" s="117"/>
      <c r="AQ38" s="17"/>
      <c r="AR38" s="17"/>
      <c r="AS38" s="17"/>
      <c r="AT38" s="18">
        <f>W38</f>
        <v>0</v>
      </c>
      <c r="AU38" s="19">
        <f>IF(AT$41=0,0,AT38/AT$41)</f>
        <v>0</v>
      </c>
      <c r="AV38" s="117"/>
      <c r="AW38" s="17"/>
      <c r="AX38" s="17"/>
      <c r="AY38" s="17"/>
      <c r="AZ38" s="424">
        <f>X38</f>
        <v>1</v>
      </c>
      <c r="BA38" s="19">
        <f>IF(AZ$41=0,0,AZ38/AZ$41)</f>
        <v>7.6923076923076927E-2</v>
      </c>
    </row>
    <row r="39" spans="1:53" ht="17.100000000000001" customHeight="1" x14ac:dyDescent="0.25">
      <c r="A39" s="47"/>
      <c r="B39" s="55"/>
      <c r="C39" s="56"/>
      <c r="D39" s="120" t="s">
        <v>633</v>
      </c>
      <c r="E39" s="58" t="s">
        <v>634</v>
      </c>
      <c r="F39" s="58"/>
      <c r="G39" s="59"/>
      <c r="H39" s="216"/>
      <c r="I39" s="229"/>
      <c r="J39" s="174"/>
      <c r="K39" s="174"/>
      <c r="L39" s="111"/>
      <c r="M39" s="111"/>
      <c r="N39" s="61">
        <v>1</v>
      </c>
      <c r="O39" s="61">
        <v>6</v>
      </c>
      <c r="P39" s="17">
        <f t="shared" ref="P39:P40" si="33">SUM(N39:O39)</f>
        <v>7</v>
      </c>
      <c r="Q39" s="61">
        <v>1</v>
      </c>
      <c r="R39" s="61">
        <v>6</v>
      </c>
      <c r="S39" s="17">
        <f t="shared" ref="S39:S40" si="34">SUM(Q39:R39)</f>
        <v>7</v>
      </c>
      <c r="T39" s="61"/>
      <c r="U39" s="61"/>
      <c r="V39" s="17">
        <f t="shared" ref="V39:V40" si="35">SUM(T39:U39)</f>
        <v>0</v>
      </c>
      <c r="W39" s="391">
        <f t="shared" si="31"/>
        <v>2</v>
      </c>
      <c r="X39" s="17">
        <f t="shared" si="32"/>
        <v>12</v>
      </c>
      <c r="Y39" s="18">
        <f>SUM(W39:X39)</f>
        <v>14</v>
      </c>
      <c r="Z39" s="19">
        <f>IF(Y$41=0,0,Y39/Y$41)</f>
        <v>0.93333333333333335</v>
      </c>
      <c r="AA39" s="19"/>
      <c r="AB39" s="19"/>
      <c r="AC39" s="20"/>
      <c r="AE39" s="111"/>
      <c r="AF39" s="111"/>
      <c r="AG39" s="111"/>
      <c r="AH39" s="651"/>
      <c r="AI39" s="131"/>
      <c r="AJ39" s="117"/>
      <c r="AK39" s="111"/>
      <c r="AL39" s="111"/>
      <c r="AM39" s="111"/>
      <c r="AN39" s="651"/>
      <c r="AO39" s="131"/>
      <c r="AP39" s="117"/>
      <c r="AQ39" s="17"/>
      <c r="AR39" s="17"/>
      <c r="AS39" s="17"/>
      <c r="AT39" s="18">
        <f>W39</f>
        <v>2</v>
      </c>
      <c r="AU39" s="19">
        <f>IF(AT$41=0,0,AT39/AT$41)</f>
        <v>1</v>
      </c>
      <c r="AV39" s="117"/>
      <c r="AW39" s="17"/>
      <c r="AX39" s="17"/>
      <c r="AY39" s="17"/>
      <c r="AZ39" s="424">
        <f>X39</f>
        <v>12</v>
      </c>
      <c r="BA39" s="19">
        <f>IF(AZ$41=0,0,AZ39/AZ$41)</f>
        <v>0.92307692307692313</v>
      </c>
    </row>
    <row r="40" spans="1:53" ht="17.100000000000001" customHeight="1" x14ac:dyDescent="0.25">
      <c r="A40" s="47"/>
      <c r="B40" s="55"/>
      <c r="C40" s="56"/>
      <c r="D40" s="120" t="s">
        <v>744</v>
      </c>
      <c r="E40" s="58" t="s">
        <v>745</v>
      </c>
      <c r="F40" s="58"/>
      <c r="G40" s="59"/>
      <c r="H40" s="216"/>
      <c r="I40" s="229"/>
      <c r="J40" s="174"/>
      <c r="K40" s="174"/>
      <c r="L40" s="111"/>
      <c r="M40" s="111"/>
      <c r="N40" s="60"/>
      <c r="O40" s="60"/>
      <c r="P40" s="17">
        <f t="shared" si="33"/>
        <v>0</v>
      </c>
      <c r="Q40" s="60"/>
      <c r="R40" s="60"/>
      <c r="S40" s="17">
        <f t="shared" si="34"/>
        <v>0</v>
      </c>
      <c r="T40" s="60"/>
      <c r="U40" s="60"/>
      <c r="V40" s="17">
        <f t="shared" si="35"/>
        <v>0</v>
      </c>
      <c r="W40" s="391">
        <f t="shared" si="31"/>
        <v>0</v>
      </c>
      <c r="X40" s="17">
        <f t="shared" si="32"/>
        <v>0</v>
      </c>
      <c r="Y40" s="18">
        <f>SUM(W40:X40)</f>
        <v>0</v>
      </c>
      <c r="Z40" s="19">
        <f>IF(Y$41=0,0,Y40/Y$41)</f>
        <v>0</v>
      </c>
      <c r="AA40" s="19"/>
      <c r="AB40" s="19"/>
      <c r="AC40" s="20"/>
      <c r="AE40" s="111"/>
      <c r="AF40" s="111"/>
      <c r="AG40" s="111"/>
      <c r="AH40" s="651"/>
      <c r="AI40" s="131"/>
      <c r="AJ40" s="117"/>
      <c r="AK40" s="111"/>
      <c r="AL40" s="111"/>
      <c r="AM40" s="111"/>
      <c r="AN40" s="651"/>
      <c r="AO40" s="131"/>
      <c r="AP40" s="117"/>
      <c r="AQ40" s="17"/>
      <c r="AR40" s="17"/>
      <c r="AS40" s="17"/>
      <c r="AT40" s="18">
        <f>W40</f>
        <v>0</v>
      </c>
      <c r="AU40" s="19">
        <f>IF(AT$41=0,0,AT40/AT$41)</f>
        <v>0</v>
      </c>
      <c r="AV40" s="117"/>
      <c r="AW40" s="17"/>
      <c r="AX40" s="17"/>
      <c r="AY40" s="17"/>
      <c r="AZ40" s="424">
        <f>X40</f>
        <v>0</v>
      </c>
      <c r="BA40" s="19">
        <f>IF(AZ$41=0,0,AZ40/AZ$41)</f>
        <v>0</v>
      </c>
    </row>
    <row r="41" spans="1:53" ht="17.100000000000001" customHeight="1" x14ac:dyDescent="0.25">
      <c r="A41" s="40"/>
      <c r="B41" s="40"/>
      <c r="C41" s="77"/>
      <c r="D41" s="78"/>
      <c r="E41" s="78"/>
      <c r="F41" s="78"/>
      <c r="G41" s="78"/>
      <c r="H41" s="242"/>
      <c r="I41" s="230"/>
      <c r="J41" s="80"/>
      <c r="K41" s="80"/>
      <c r="L41" s="80"/>
      <c r="M41" s="80"/>
      <c r="N41" s="64">
        <f>SUM(N38:N40)</f>
        <v>1</v>
      </c>
      <c r="O41" s="64">
        <f t="shared" ref="O41:V41" si="36">SUM(O38:O40)</f>
        <v>7</v>
      </c>
      <c r="P41" s="64">
        <f t="shared" si="36"/>
        <v>8</v>
      </c>
      <c r="Q41" s="64">
        <f t="shared" si="36"/>
        <v>1</v>
      </c>
      <c r="R41" s="64">
        <f t="shared" si="36"/>
        <v>6</v>
      </c>
      <c r="S41" s="64">
        <f t="shared" si="36"/>
        <v>7</v>
      </c>
      <c r="T41" s="64">
        <f t="shared" si="36"/>
        <v>0</v>
      </c>
      <c r="U41" s="64">
        <f t="shared" si="36"/>
        <v>0</v>
      </c>
      <c r="V41" s="64">
        <f t="shared" si="36"/>
        <v>0</v>
      </c>
      <c r="W41" s="381">
        <f>SUM(W38:W40)</f>
        <v>2</v>
      </c>
      <c r="X41" s="82">
        <f t="shared" ref="X41:Y41" si="37">SUM(X38:X40)</f>
        <v>13</v>
      </c>
      <c r="Y41" s="82">
        <f t="shared" si="37"/>
        <v>15</v>
      </c>
      <c r="Z41" s="205">
        <f>IF(Y$41=0,0,Y41/Y$41)</f>
        <v>1</v>
      </c>
      <c r="AA41" s="205"/>
      <c r="AB41" s="205"/>
      <c r="AC41" s="83"/>
      <c r="AE41" s="81"/>
      <c r="AF41" s="81"/>
      <c r="AG41" s="81"/>
      <c r="AH41" s="82"/>
      <c r="AI41" s="66"/>
      <c r="AJ41" s="117"/>
      <c r="AK41" s="81"/>
      <c r="AL41" s="81"/>
      <c r="AM41" s="81"/>
      <c r="AN41" s="82"/>
      <c r="AO41" s="66"/>
      <c r="AP41" s="117"/>
      <c r="AQ41" s="81"/>
      <c r="AR41" s="81"/>
      <c r="AS41" s="81"/>
      <c r="AT41" s="82">
        <f>SUM(AT38:AT40)</f>
        <v>2</v>
      </c>
      <c r="AU41" s="66">
        <f>IF(AT$41=0,0,AT41/AT$41)</f>
        <v>1</v>
      </c>
      <c r="AV41" s="117"/>
      <c r="AW41" s="81"/>
      <c r="AX41" s="81"/>
      <c r="AY41" s="81"/>
      <c r="AZ41" s="82">
        <f>SUM(AZ38:AZ40)</f>
        <v>13</v>
      </c>
      <c r="BA41" s="66">
        <f>IF(AZ$41=0,0,AZ41/AZ$41)</f>
        <v>1</v>
      </c>
    </row>
    <row r="42" spans="1:53" s="117" customFormat="1" ht="17.100000000000001" customHeight="1" x14ac:dyDescent="0.25">
      <c r="A42" s="119"/>
      <c r="B42" s="119"/>
      <c r="C42" s="647"/>
      <c r="D42" s="212"/>
      <c r="E42" s="212"/>
      <c r="F42" s="212"/>
      <c r="G42" s="212"/>
      <c r="H42" s="242"/>
      <c r="I42" s="230"/>
      <c r="J42" s="17"/>
      <c r="K42" s="17"/>
      <c r="L42" s="17"/>
      <c r="M42" s="17"/>
      <c r="N42" s="17" t="str">
        <f>IF(N41=N$20,"OK","NOK")</f>
        <v>OK</v>
      </c>
      <c r="O42" s="17" t="str">
        <f>IF(O41=O$20,"OK","NOK")</f>
        <v>OK</v>
      </c>
      <c r="P42" s="17"/>
      <c r="Q42" s="17" t="str">
        <f>IF(Q41=Q$20,"OK","NOK")</f>
        <v>OK</v>
      </c>
      <c r="R42" s="17" t="str">
        <f>IF(R41=R$20,"OK","NOK")</f>
        <v>OK</v>
      </c>
      <c r="S42" s="17"/>
      <c r="T42" s="17" t="str">
        <f>IF(T41=T$20,"OK","NOK")</f>
        <v>OK</v>
      </c>
      <c r="U42" s="17" t="str">
        <f>IF(U41=U$20,"OK","NOK")</f>
        <v>OK</v>
      </c>
      <c r="V42" s="359"/>
      <c r="W42" s="395">
        <f>IF($Y$41=0,0,W41/$Y$41)</f>
        <v>0.13333333333333333</v>
      </c>
      <c r="X42" s="91">
        <f>IF($Y$41=0,0,X41/$Y$41)</f>
        <v>0.8666666666666667</v>
      </c>
      <c r="Y42" s="91">
        <f>IF($Y$41=0,0,Y41/$Y$41)</f>
        <v>1</v>
      </c>
      <c r="Z42" s="201"/>
      <c r="AA42" s="201"/>
      <c r="AB42" s="201"/>
      <c r="AC42" s="84"/>
      <c r="AE42" s="17"/>
      <c r="AF42" s="17"/>
      <c r="AG42" s="17"/>
      <c r="AH42" s="646"/>
      <c r="AI42" s="91"/>
      <c r="AK42" s="17"/>
      <c r="AL42" s="17"/>
      <c r="AM42" s="17"/>
      <c r="AN42" s="646"/>
      <c r="AO42" s="91"/>
      <c r="AQ42" s="17"/>
      <c r="AR42" s="17"/>
      <c r="AS42" s="17"/>
      <c r="AT42" s="646"/>
      <c r="AU42" s="91"/>
      <c r="AW42" s="17"/>
      <c r="AX42" s="17"/>
      <c r="AY42" s="17"/>
      <c r="AZ42" s="17"/>
      <c r="BA42" s="91"/>
    </row>
    <row r="43" spans="1:53" ht="17.100000000000001" customHeight="1" x14ac:dyDescent="0.25">
      <c r="A43" s="68"/>
      <c r="B43" s="647"/>
      <c r="C43" s="103" t="s">
        <v>24</v>
      </c>
      <c r="D43" s="110" t="s">
        <v>373</v>
      </c>
      <c r="E43" s="108"/>
      <c r="F43" s="108"/>
      <c r="G43" s="108"/>
      <c r="H43" s="119"/>
      <c r="J43" s="111"/>
      <c r="K43" s="111"/>
      <c r="L43" s="111"/>
      <c r="M43" s="111"/>
      <c r="N43" s="111"/>
      <c r="O43" s="111"/>
      <c r="P43" s="111"/>
      <c r="Q43" s="111"/>
      <c r="R43" s="111"/>
      <c r="S43" s="111"/>
      <c r="T43" s="111"/>
      <c r="U43" s="111"/>
      <c r="V43" s="111"/>
      <c r="W43" s="111"/>
      <c r="X43" s="111"/>
      <c r="Y43" s="111"/>
      <c r="Z43" s="113"/>
      <c r="AA43" s="113"/>
      <c r="AB43" s="113"/>
      <c r="AC43" s="113"/>
      <c r="AE43" s="111"/>
      <c r="AF43" s="111"/>
      <c r="AG43" s="111"/>
      <c r="AH43" s="112"/>
      <c r="AI43" s="113"/>
      <c r="AK43" s="111"/>
      <c r="AL43" s="111"/>
      <c r="AM43" s="111"/>
      <c r="AN43" s="112"/>
      <c r="AO43" s="113"/>
      <c r="AQ43" s="111"/>
      <c r="AR43" s="111"/>
      <c r="AS43" s="111"/>
      <c r="AT43" s="112"/>
      <c r="AU43" s="113"/>
      <c r="AW43" s="111"/>
      <c r="AX43" s="111"/>
      <c r="AY43" s="111"/>
      <c r="AZ43" s="114"/>
      <c r="BA43" s="113"/>
    </row>
    <row r="44" spans="1:53" ht="17.100000000000001" customHeight="1" x14ac:dyDescent="0.25">
      <c r="A44" s="68"/>
      <c r="B44" s="647"/>
      <c r="C44" s="23"/>
      <c r="D44" s="202" t="s">
        <v>25</v>
      </c>
      <c r="E44" s="85" t="s">
        <v>384</v>
      </c>
      <c r="F44" s="75"/>
      <c r="G44" s="75"/>
      <c r="H44" s="119"/>
      <c r="J44" s="581"/>
      <c r="K44" s="581"/>
      <c r="L44" s="582"/>
      <c r="M44" s="593">
        <f>SUM(J44:L44)</f>
        <v>0</v>
      </c>
      <c r="N44" s="111"/>
      <c r="O44" s="111"/>
      <c r="P44" s="111"/>
      <c r="Q44" s="111"/>
      <c r="R44" s="111"/>
      <c r="S44" s="111"/>
      <c r="T44" s="111"/>
      <c r="U44" s="111"/>
      <c r="V44" s="111"/>
      <c r="W44" s="391">
        <f t="shared" ref="W44:W57" si="38">J44+K44+N44+Q44+T44</f>
        <v>0</v>
      </c>
      <c r="X44" s="17">
        <f t="shared" ref="X44:X57" si="39">L44+O44+R44+U44</f>
        <v>0</v>
      </c>
      <c r="Y44" s="18">
        <f t="shared" ref="Y44:Y57" si="40">SUM(W44:X44)</f>
        <v>0</v>
      </c>
      <c r="Z44" s="19">
        <f>IF(Y$58=0,0,Y44/Y$58)</f>
        <v>0</v>
      </c>
      <c r="AA44" s="19"/>
      <c r="AB44" s="19"/>
      <c r="AC44" s="84"/>
      <c r="AE44" s="17"/>
      <c r="AF44" s="17"/>
      <c r="AG44" s="17"/>
      <c r="AH44" s="18">
        <f>J44</f>
        <v>0</v>
      </c>
      <c r="AI44" s="19">
        <f>IF(AH$58=0,0,AH44/AH$58)</f>
        <v>0</v>
      </c>
      <c r="AK44" s="17"/>
      <c r="AL44" s="17"/>
      <c r="AM44" s="17"/>
      <c r="AN44" s="18">
        <f>K44</f>
        <v>0</v>
      </c>
      <c r="AO44" s="19">
        <f>IF(AN$58=0,0,AN44/AN$58)</f>
        <v>0</v>
      </c>
      <c r="AQ44" s="17"/>
      <c r="AR44" s="17"/>
      <c r="AS44" s="17"/>
      <c r="AT44" s="18">
        <f t="shared" ref="AT44:AT57" si="41">W44</f>
        <v>0</v>
      </c>
      <c r="AU44" s="19">
        <f>IF(AT$58=0,0,AT44/AT$58)</f>
        <v>0</v>
      </c>
      <c r="AW44" s="17"/>
      <c r="AX44" s="17"/>
      <c r="AY44" s="17"/>
      <c r="AZ44" s="424">
        <f>X44</f>
        <v>0</v>
      </c>
      <c r="BA44" s="19">
        <f>IF(AZ$58=0,0,AZ44/AZ$58)</f>
        <v>0</v>
      </c>
    </row>
    <row r="45" spans="1:53" ht="17.100000000000001" customHeight="1" x14ac:dyDescent="0.25">
      <c r="A45" s="68"/>
      <c r="B45" s="647"/>
      <c r="C45" s="23"/>
      <c r="D45" s="202" t="s">
        <v>27</v>
      </c>
      <c r="E45" s="85" t="s">
        <v>385</v>
      </c>
      <c r="F45" s="75"/>
      <c r="G45" s="75"/>
      <c r="H45" s="119"/>
      <c r="J45" s="583"/>
      <c r="K45" s="583"/>
      <c r="L45" s="584"/>
      <c r="M45" s="593">
        <f t="shared" ref="M45:M57" si="42">SUM(J45:L45)</f>
        <v>0</v>
      </c>
      <c r="N45" s="111"/>
      <c r="O45" s="111"/>
      <c r="P45" s="111"/>
      <c r="Q45" s="111"/>
      <c r="R45" s="111"/>
      <c r="S45" s="111"/>
      <c r="T45" s="111"/>
      <c r="U45" s="111"/>
      <c r="V45" s="111"/>
      <c r="W45" s="391">
        <f t="shared" si="38"/>
        <v>0</v>
      </c>
      <c r="X45" s="17">
        <f t="shared" si="39"/>
        <v>0</v>
      </c>
      <c r="Y45" s="18">
        <f t="shared" si="40"/>
        <v>0</v>
      </c>
      <c r="Z45" s="19">
        <f t="shared" ref="Z45:Z58" si="43">IF(Y$58=0,0,Y45/Y$58)</f>
        <v>0</v>
      </c>
      <c r="AA45" s="19"/>
      <c r="AB45" s="19"/>
      <c r="AC45" s="84"/>
      <c r="AE45" s="17"/>
      <c r="AF45" s="17"/>
      <c r="AG45" s="17"/>
      <c r="AH45" s="18">
        <f t="shared" ref="AH45:AH57" si="44">J45</f>
        <v>0</v>
      </c>
      <c r="AI45" s="19">
        <f t="shared" ref="AI45:AI58" si="45">IF(AH$58=0,0,AH45/AH$58)</f>
        <v>0</v>
      </c>
      <c r="AK45" s="17"/>
      <c r="AL45" s="17"/>
      <c r="AM45" s="17"/>
      <c r="AN45" s="18">
        <f t="shared" ref="AN45:AN57" si="46">K45</f>
        <v>0</v>
      </c>
      <c r="AO45" s="19">
        <f t="shared" ref="AO45:AO58" si="47">IF(AN$58=0,0,AN45/AN$58)</f>
        <v>0</v>
      </c>
      <c r="AQ45" s="17"/>
      <c r="AR45" s="17"/>
      <c r="AS45" s="17"/>
      <c r="AT45" s="18">
        <f t="shared" si="41"/>
        <v>0</v>
      </c>
      <c r="AU45" s="19">
        <f t="shared" ref="AU45:AU58" si="48">IF(AT$58=0,0,AT45/AT$58)</f>
        <v>0</v>
      </c>
      <c r="AW45" s="17"/>
      <c r="AX45" s="17"/>
      <c r="AY45" s="17"/>
      <c r="AZ45" s="424">
        <f t="shared" ref="AZ45:AZ57" si="49">X45</f>
        <v>0</v>
      </c>
      <c r="BA45" s="19">
        <f t="shared" ref="BA45:BA58" si="50">IF(AZ$58=0,0,AZ45/AZ$58)</f>
        <v>0</v>
      </c>
    </row>
    <row r="46" spans="1:53" ht="17.100000000000001" customHeight="1" x14ac:dyDescent="0.25">
      <c r="A46" s="68"/>
      <c r="B46" s="647"/>
      <c r="C46" s="23"/>
      <c r="D46" s="202" t="s">
        <v>29</v>
      </c>
      <c r="E46" s="85" t="s">
        <v>386</v>
      </c>
      <c r="F46" s="75"/>
      <c r="G46" s="75"/>
      <c r="H46" s="119"/>
      <c r="J46" s="581"/>
      <c r="K46" s="581"/>
      <c r="L46" s="582"/>
      <c r="M46" s="593">
        <f t="shared" si="42"/>
        <v>0</v>
      </c>
      <c r="N46" s="111"/>
      <c r="O46" s="111"/>
      <c r="P46" s="111"/>
      <c r="Q46" s="111"/>
      <c r="R46" s="111"/>
      <c r="S46" s="111"/>
      <c r="T46" s="111"/>
      <c r="U46" s="111"/>
      <c r="V46" s="111"/>
      <c r="W46" s="391">
        <f t="shared" si="38"/>
        <v>0</v>
      </c>
      <c r="X46" s="17">
        <f t="shared" si="39"/>
        <v>0</v>
      </c>
      <c r="Y46" s="18">
        <f t="shared" si="40"/>
        <v>0</v>
      </c>
      <c r="Z46" s="19">
        <f t="shared" si="43"/>
        <v>0</v>
      </c>
      <c r="AA46" s="19"/>
      <c r="AB46" s="19"/>
      <c r="AC46" s="84"/>
      <c r="AE46" s="17"/>
      <c r="AF46" s="17"/>
      <c r="AG46" s="17"/>
      <c r="AH46" s="18">
        <f t="shared" si="44"/>
        <v>0</v>
      </c>
      <c r="AI46" s="19">
        <f t="shared" si="45"/>
        <v>0</v>
      </c>
      <c r="AK46" s="17"/>
      <c r="AL46" s="17"/>
      <c r="AM46" s="17"/>
      <c r="AN46" s="18">
        <f t="shared" si="46"/>
        <v>0</v>
      </c>
      <c r="AO46" s="19">
        <f t="shared" si="47"/>
        <v>0</v>
      </c>
      <c r="AQ46" s="17"/>
      <c r="AR46" s="17"/>
      <c r="AS46" s="17"/>
      <c r="AT46" s="18">
        <f t="shared" si="41"/>
        <v>0</v>
      </c>
      <c r="AU46" s="19">
        <f t="shared" si="48"/>
        <v>0</v>
      </c>
      <c r="AW46" s="17"/>
      <c r="AX46" s="17"/>
      <c r="AY46" s="17"/>
      <c r="AZ46" s="424">
        <f t="shared" si="49"/>
        <v>0</v>
      </c>
      <c r="BA46" s="19">
        <f t="shared" si="50"/>
        <v>0</v>
      </c>
    </row>
    <row r="47" spans="1:53" ht="17.100000000000001" customHeight="1" x14ac:dyDescent="0.25">
      <c r="A47" s="68"/>
      <c r="B47" s="647"/>
      <c r="C47" s="23"/>
      <c r="D47" s="202" t="s">
        <v>31</v>
      </c>
      <c r="E47" s="85" t="s">
        <v>533</v>
      </c>
      <c r="F47" s="75"/>
      <c r="G47" s="75"/>
      <c r="H47" s="119"/>
      <c r="J47" s="583"/>
      <c r="K47" s="583"/>
      <c r="L47" s="584"/>
      <c r="M47" s="593">
        <f t="shared" si="42"/>
        <v>0</v>
      </c>
      <c r="N47" s="111"/>
      <c r="O47" s="111"/>
      <c r="P47" s="111"/>
      <c r="Q47" s="111"/>
      <c r="R47" s="111"/>
      <c r="S47" s="111"/>
      <c r="T47" s="111"/>
      <c r="U47" s="111"/>
      <c r="V47" s="111"/>
      <c r="W47" s="391">
        <f t="shared" si="38"/>
        <v>0</v>
      </c>
      <c r="X47" s="17">
        <f t="shared" si="39"/>
        <v>0</v>
      </c>
      <c r="Y47" s="18">
        <f t="shared" si="40"/>
        <v>0</v>
      </c>
      <c r="Z47" s="19">
        <f t="shared" si="43"/>
        <v>0</v>
      </c>
      <c r="AA47" s="19"/>
      <c r="AB47" s="19"/>
      <c r="AC47" s="84"/>
      <c r="AE47" s="17"/>
      <c r="AF47" s="17"/>
      <c r="AG47" s="17"/>
      <c r="AH47" s="18">
        <f t="shared" si="44"/>
        <v>0</v>
      </c>
      <c r="AI47" s="19">
        <f t="shared" si="45"/>
        <v>0</v>
      </c>
      <c r="AK47" s="17"/>
      <c r="AL47" s="17"/>
      <c r="AM47" s="17"/>
      <c r="AN47" s="18">
        <f t="shared" si="46"/>
        <v>0</v>
      </c>
      <c r="AO47" s="19">
        <f t="shared" si="47"/>
        <v>0</v>
      </c>
      <c r="AQ47" s="17"/>
      <c r="AR47" s="17"/>
      <c r="AS47" s="17"/>
      <c r="AT47" s="18">
        <f t="shared" si="41"/>
        <v>0</v>
      </c>
      <c r="AU47" s="19">
        <f t="shared" si="48"/>
        <v>0</v>
      </c>
      <c r="AW47" s="17"/>
      <c r="AX47" s="17"/>
      <c r="AY47" s="17"/>
      <c r="AZ47" s="424">
        <f t="shared" si="49"/>
        <v>0</v>
      </c>
      <c r="BA47" s="19">
        <f t="shared" si="50"/>
        <v>0</v>
      </c>
    </row>
    <row r="48" spans="1:53" ht="17.100000000000001" customHeight="1" x14ac:dyDescent="0.25">
      <c r="A48" s="68"/>
      <c r="B48" s="647"/>
      <c r="C48" s="93"/>
      <c r="D48" s="202" t="s">
        <v>374</v>
      </c>
      <c r="E48" s="85" t="s">
        <v>534</v>
      </c>
      <c r="F48" s="75"/>
      <c r="G48" s="75"/>
      <c r="H48" s="119"/>
      <c r="J48" s="581"/>
      <c r="K48" s="581"/>
      <c r="L48" s="582"/>
      <c r="M48" s="593">
        <f t="shared" si="42"/>
        <v>0</v>
      </c>
      <c r="N48" s="111"/>
      <c r="O48" s="111"/>
      <c r="P48" s="111"/>
      <c r="Q48" s="111"/>
      <c r="R48" s="111"/>
      <c r="S48" s="111"/>
      <c r="T48" s="111"/>
      <c r="U48" s="111"/>
      <c r="V48" s="111"/>
      <c r="W48" s="391">
        <f t="shared" si="38"/>
        <v>0</v>
      </c>
      <c r="X48" s="17">
        <f t="shared" si="39"/>
        <v>0</v>
      </c>
      <c r="Y48" s="18">
        <f t="shared" si="40"/>
        <v>0</v>
      </c>
      <c r="Z48" s="19">
        <f t="shared" si="43"/>
        <v>0</v>
      </c>
      <c r="AA48" s="19"/>
      <c r="AB48" s="19"/>
      <c r="AC48" s="84"/>
      <c r="AE48" s="17"/>
      <c r="AF48" s="17"/>
      <c r="AG48" s="17"/>
      <c r="AH48" s="18">
        <f t="shared" si="44"/>
        <v>0</v>
      </c>
      <c r="AI48" s="19">
        <f t="shared" si="45"/>
        <v>0</v>
      </c>
      <c r="AK48" s="17"/>
      <c r="AL48" s="17"/>
      <c r="AM48" s="17"/>
      <c r="AN48" s="18">
        <f t="shared" si="46"/>
        <v>0</v>
      </c>
      <c r="AO48" s="19">
        <f t="shared" si="47"/>
        <v>0</v>
      </c>
      <c r="AQ48" s="17"/>
      <c r="AR48" s="17"/>
      <c r="AS48" s="17"/>
      <c r="AT48" s="18">
        <f t="shared" si="41"/>
        <v>0</v>
      </c>
      <c r="AU48" s="19">
        <f t="shared" si="48"/>
        <v>0</v>
      </c>
      <c r="AW48" s="17"/>
      <c r="AX48" s="17"/>
      <c r="AY48" s="17"/>
      <c r="AZ48" s="424">
        <f t="shared" si="49"/>
        <v>0</v>
      </c>
      <c r="BA48" s="19">
        <f t="shared" si="50"/>
        <v>0</v>
      </c>
    </row>
    <row r="49" spans="1:53" ht="17.100000000000001" customHeight="1" x14ac:dyDescent="0.25">
      <c r="A49" s="68"/>
      <c r="B49" s="647"/>
      <c r="C49" s="93"/>
      <c r="D49" s="202" t="s">
        <v>375</v>
      </c>
      <c r="E49" s="85" t="s">
        <v>535</v>
      </c>
      <c r="F49" s="75"/>
      <c r="G49" s="75"/>
      <c r="H49" s="119"/>
      <c r="J49" s="583"/>
      <c r="K49" s="583"/>
      <c r="L49" s="584"/>
      <c r="M49" s="593">
        <f t="shared" si="42"/>
        <v>0</v>
      </c>
      <c r="N49" s="111"/>
      <c r="O49" s="111"/>
      <c r="P49" s="111"/>
      <c r="Q49" s="111"/>
      <c r="R49" s="111"/>
      <c r="S49" s="111"/>
      <c r="T49" s="111"/>
      <c r="U49" s="111"/>
      <c r="V49" s="111"/>
      <c r="W49" s="391">
        <f t="shared" si="38"/>
        <v>0</v>
      </c>
      <c r="X49" s="17">
        <f t="shared" si="39"/>
        <v>0</v>
      </c>
      <c r="Y49" s="18">
        <f t="shared" si="40"/>
        <v>0</v>
      </c>
      <c r="Z49" s="19">
        <f t="shared" si="43"/>
        <v>0</v>
      </c>
      <c r="AA49" s="19"/>
      <c r="AB49" s="19"/>
      <c r="AC49" s="84"/>
      <c r="AE49" s="17"/>
      <c r="AF49" s="17"/>
      <c r="AG49" s="17"/>
      <c r="AH49" s="18">
        <f t="shared" si="44"/>
        <v>0</v>
      </c>
      <c r="AI49" s="19">
        <f t="shared" si="45"/>
        <v>0</v>
      </c>
      <c r="AK49" s="17"/>
      <c r="AL49" s="17"/>
      <c r="AM49" s="17"/>
      <c r="AN49" s="18">
        <f t="shared" si="46"/>
        <v>0</v>
      </c>
      <c r="AO49" s="19">
        <f t="shared" si="47"/>
        <v>0</v>
      </c>
      <c r="AQ49" s="17"/>
      <c r="AR49" s="17"/>
      <c r="AS49" s="17"/>
      <c r="AT49" s="18">
        <f t="shared" si="41"/>
        <v>0</v>
      </c>
      <c r="AU49" s="19">
        <f t="shared" si="48"/>
        <v>0</v>
      </c>
      <c r="AW49" s="17"/>
      <c r="AX49" s="17"/>
      <c r="AY49" s="17"/>
      <c r="AZ49" s="424">
        <f t="shared" si="49"/>
        <v>0</v>
      </c>
      <c r="BA49" s="19">
        <f t="shared" si="50"/>
        <v>0</v>
      </c>
    </row>
    <row r="50" spans="1:53" ht="17.100000000000001" customHeight="1" x14ac:dyDescent="0.25">
      <c r="A50" s="68"/>
      <c r="B50" s="647"/>
      <c r="C50" s="93"/>
      <c r="D50" s="202" t="s">
        <v>376</v>
      </c>
      <c r="E50" s="85" t="s">
        <v>387</v>
      </c>
      <c r="F50" s="75"/>
      <c r="G50" s="75"/>
      <c r="H50" s="119"/>
      <c r="J50" s="581"/>
      <c r="K50" s="581"/>
      <c r="L50" s="582"/>
      <c r="M50" s="593">
        <f t="shared" si="42"/>
        <v>0</v>
      </c>
      <c r="N50" s="111"/>
      <c r="O50" s="111"/>
      <c r="P50" s="111"/>
      <c r="Q50" s="111"/>
      <c r="R50" s="111"/>
      <c r="S50" s="111"/>
      <c r="T50" s="111"/>
      <c r="U50" s="111"/>
      <c r="V50" s="111"/>
      <c r="W50" s="391">
        <f t="shared" si="38"/>
        <v>0</v>
      </c>
      <c r="X50" s="17">
        <f t="shared" si="39"/>
        <v>0</v>
      </c>
      <c r="Y50" s="18">
        <f t="shared" si="40"/>
        <v>0</v>
      </c>
      <c r="Z50" s="19">
        <f t="shared" si="43"/>
        <v>0</v>
      </c>
      <c r="AA50" s="19"/>
      <c r="AB50" s="19"/>
      <c r="AC50" s="84"/>
      <c r="AE50" s="17"/>
      <c r="AF50" s="17"/>
      <c r="AG50" s="17"/>
      <c r="AH50" s="18">
        <f t="shared" si="44"/>
        <v>0</v>
      </c>
      <c r="AI50" s="19">
        <f t="shared" si="45"/>
        <v>0</v>
      </c>
      <c r="AK50" s="17"/>
      <c r="AL50" s="17"/>
      <c r="AM50" s="17"/>
      <c r="AN50" s="18">
        <f t="shared" si="46"/>
        <v>0</v>
      </c>
      <c r="AO50" s="19">
        <f t="shared" si="47"/>
        <v>0</v>
      </c>
      <c r="AQ50" s="17"/>
      <c r="AR50" s="17"/>
      <c r="AS50" s="17"/>
      <c r="AT50" s="18">
        <f t="shared" si="41"/>
        <v>0</v>
      </c>
      <c r="AU50" s="19">
        <f t="shared" si="48"/>
        <v>0</v>
      </c>
      <c r="AW50" s="17"/>
      <c r="AX50" s="17"/>
      <c r="AY50" s="17"/>
      <c r="AZ50" s="424">
        <f t="shared" si="49"/>
        <v>0</v>
      </c>
      <c r="BA50" s="19">
        <f t="shared" si="50"/>
        <v>0</v>
      </c>
    </row>
    <row r="51" spans="1:53" ht="17.100000000000001" customHeight="1" x14ac:dyDescent="0.25">
      <c r="A51" s="68"/>
      <c r="B51" s="647"/>
      <c r="C51" s="93"/>
      <c r="D51" s="202" t="s">
        <v>377</v>
      </c>
      <c r="E51" s="85" t="s">
        <v>388</v>
      </c>
      <c r="F51" s="75"/>
      <c r="G51" s="75"/>
      <c r="H51" s="119"/>
      <c r="J51" s="583"/>
      <c r="K51" s="583"/>
      <c r="L51" s="584"/>
      <c r="M51" s="593">
        <f t="shared" si="42"/>
        <v>0</v>
      </c>
      <c r="N51" s="111"/>
      <c r="O51" s="111"/>
      <c r="P51" s="111"/>
      <c r="Q51" s="111"/>
      <c r="R51" s="111"/>
      <c r="S51" s="111"/>
      <c r="T51" s="111"/>
      <c r="U51" s="111"/>
      <c r="V51" s="111"/>
      <c r="W51" s="391">
        <f t="shared" si="38"/>
        <v>0</v>
      </c>
      <c r="X51" s="17">
        <f t="shared" si="39"/>
        <v>0</v>
      </c>
      <c r="Y51" s="18">
        <f t="shared" si="40"/>
        <v>0</v>
      </c>
      <c r="Z51" s="19">
        <f t="shared" si="43"/>
        <v>0</v>
      </c>
      <c r="AA51" s="19"/>
      <c r="AB51" s="19"/>
      <c r="AC51" s="84"/>
      <c r="AE51" s="17"/>
      <c r="AF51" s="17"/>
      <c r="AG51" s="17"/>
      <c r="AH51" s="18">
        <f t="shared" si="44"/>
        <v>0</v>
      </c>
      <c r="AI51" s="19">
        <f t="shared" si="45"/>
        <v>0</v>
      </c>
      <c r="AK51" s="17"/>
      <c r="AL51" s="17"/>
      <c r="AM51" s="17"/>
      <c r="AN51" s="18">
        <f t="shared" si="46"/>
        <v>0</v>
      </c>
      <c r="AO51" s="19">
        <f t="shared" si="47"/>
        <v>0</v>
      </c>
      <c r="AQ51" s="17"/>
      <c r="AR51" s="17"/>
      <c r="AS51" s="17"/>
      <c r="AT51" s="18">
        <f t="shared" si="41"/>
        <v>0</v>
      </c>
      <c r="AU51" s="19">
        <f t="shared" si="48"/>
        <v>0</v>
      </c>
      <c r="AW51" s="17"/>
      <c r="AX51" s="17"/>
      <c r="AY51" s="17"/>
      <c r="AZ51" s="424">
        <f t="shared" si="49"/>
        <v>0</v>
      </c>
      <c r="BA51" s="19">
        <f t="shared" si="50"/>
        <v>0</v>
      </c>
    </row>
    <row r="52" spans="1:53" ht="17.100000000000001" customHeight="1" x14ac:dyDescent="0.25">
      <c r="A52" s="68"/>
      <c r="B52" s="647"/>
      <c r="C52" s="93"/>
      <c r="D52" s="202" t="s">
        <v>378</v>
      </c>
      <c r="E52" s="85" t="s">
        <v>532</v>
      </c>
      <c r="F52" s="75"/>
      <c r="G52" s="75"/>
      <c r="H52" s="119"/>
      <c r="J52" s="581"/>
      <c r="K52" s="581"/>
      <c r="L52" s="582"/>
      <c r="M52" s="593">
        <f t="shared" si="42"/>
        <v>0</v>
      </c>
      <c r="N52" s="111"/>
      <c r="O52" s="111"/>
      <c r="P52" s="111"/>
      <c r="Q52" s="111"/>
      <c r="R52" s="111"/>
      <c r="S52" s="111"/>
      <c r="T52" s="111"/>
      <c r="U52" s="111"/>
      <c r="V52" s="111"/>
      <c r="W52" s="391">
        <f t="shared" si="38"/>
        <v>0</v>
      </c>
      <c r="X52" s="17">
        <f t="shared" si="39"/>
        <v>0</v>
      </c>
      <c r="Y52" s="18">
        <f t="shared" si="40"/>
        <v>0</v>
      </c>
      <c r="Z52" s="19">
        <f t="shared" si="43"/>
        <v>0</v>
      </c>
      <c r="AA52" s="19"/>
      <c r="AB52" s="19"/>
      <c r="AC52" s="84"/>
      <c r="AE52" s="17"/>
      <c r="AF52" s="17"/>
      <c r="AG52" s="17"/>
      <c r="AH52" s="18">
        <f t="shared" si="44"/>
        <v>0</v>
      </c>
      <c r="AI52" s="19">
        <f t="shared" si="45"/>
        <v>0</v>
      </c>
      <c r="AK52" s="17"/>
      <c r="AL52" s="17"/>
      <c r="AM52" s="17"/>
      <c r="AN52" s="18">
        <f t="shared" si="46"/>
        <v>0</v>
      </c>
      <c r="AO52" s="19">
        <f t="shared" si="47"/>
        <v>0</v>
      </c>
      <c r="AQ52" s="17"/>
      <c r="AR52" s="17"/>
      <c r="AS52" s="17"/>
      <c r="AT52" s="18">
        <f t="shared" si="41"/>
        <v>0</v>
      </c>
      <c r="AU52" s="19">
        <f t="shared" si="48"/>
        <v>0</v>
      </c>
      <c r="AW52" s="17"/>
      <c r="AX52" s="17"/>
      <c r="AY52" s="17"/>
      <c r="AZ52" s="424">
        <f t="shared" si="49"/>
        <v>0</v>
      </c>
      <c r="BA52" s="19">
        <f t="shared" si="50"/>
        <v>0</v>
      </c>
    </row>
    <row r="53" spans="1:53" ht="17.100000000000001" customHeight="1" x14ac:dyDescent="0.25">
      <c r="A53" s="68"/>
      <c r="B53" s="647"/>
      <c r="C53" s="93"/>
      <c r="D53" s="202" t="s">
        <v>379</v>
      </c>
      <c r="E53" s="85" t="s">
        <v>389</v>
      </c>
      <c r="F53" s="75"/>
      <c r="G53" s="105"/>
      <c r="H53" s="119"/>
      <c r="J53" s="583"/>
      <c r="K53" s="583"/>
      <c r="L53" s="584"/>
      <c r="M53" s="593">
        <f t="shared" si="42"/>
        <v>0</v>
      </c>
      <c r="N53" s="111"/>
      <c r="O53" s="111"/>
      <c r="P53" s="111"/>
      <c r="Q53" s="111"/>
      <c r="R53" s="111"/>
      <c r="S53" s="111"/>
      <c r="T53" s="111"/>
      <c r="U53" s="111"/>
      <c r="V53" s="111"/>
      <c r="W53" s="391">
        <f t="shared" si="38"/>
        <v>0</v>
      </c>
      <c r="X53" s="17">
        <f t="shared" si="39"/>
        <v>0</v>
      </c>
      <c r="Y53" s="18">
        <f t="shared" si="40"/>
        <v>0</v>
      </c>
      <c r="Z53" s="19">
        <f t="shared" si="43"/>
        <v>0</v>
      </c>
      <c r="AA53" s="19"/>
      <c r="AB53" s="19"/>
      <c r="AC53" s="84"/>
      <c r="AE53" s="17"/>
      <c r="AF53" s="17"/>
      <c r="AG53" s="17"/>
      <c r="AH53" s="18">
        <f t="shared" si="44"/>
        <v>0</v>
      </c>
      <c r="AI53" s="19">
        <f t="shared" si="45"/>
        <v>0</v>
      </c>
      <c r="AK53" s="17"/>
      <c r="AL53" s="17"/>
      <c r="AM53" s="17"/>
      <c r="AN53" s="18">
        <f t="shared" si="46"/>
        <v>0</v>
      </c>
      <c r="AO53" s="19">
        <f t="shared" si="47"/>
        <v>0</v>
      </c>
      <c r="AQ53" s="17"/>
      <c r="AR53" s="17"/>
      <c r="AS53" s="17"/>
      <c r="AT53" s="18">
        <f t="shared" si="41"/>
        <v>0</v>
      </c>
      <c r="AU53" s="19">
        <f t="shared" si="48"/>
        <v>0</v>
      </c>
      <c r="AW53" s="17"/>
      <c r="AX53" s="17"/>
      <c r="AY53" s="17"/>
      <c r="AZ53" s="424">
        <f t="shared" si="49"/>
        <v>0</v>
      </c>
      <c r="BA53" s="19">
        <f t="shared" si="50"/>
        <v>0</v>
      </c>
    </row>
    <row r="54" spans="1:53" ht="17.100000000000001" customHeight="1" x14ac:dyDescent="0.25">
      <c r="A54" s="68"/>
      <c r="B54" s="647"/>
      <c r="C54" s="93"/>
      <c r="D54" s="202" t="s">
        <v>380</v>
      </c>
      <c r="E54" s="85" t="s">
        <v>390</v>
      </c>
      <c r="F54" s="75"/>
      <c r="G54" s="105"/>
      <c r="H54" s="119"/>
      <c r="J54" s="581"/>
      <c r="K54" s="581"/>
      <c r="L54" s="582"/>
      <c r="M54" s="593">
        <f t="shared" si="42"/>
        <v>0</v>
      </c>
      <c r="N54" s="111"/>
      <c r="O54" s="111"/>
      <c r="P54" s="111"/>
      <c r="Q54" s="111"/>
      <c r="R54" s="111"/>
      <c r="S54" s="111"/>
      <c r="T54" s="111"/>
      <c r="U54" s="111"/>
      <c r="V54" s="111"/>
      <c r="W54" s="391">
        <f t="shared" si="38"/>
        <v>0</v>
      </c>
      <c r="X54" s="17">
        <f t="shared" si="39"/>
        <v>0</v>
      </c>
      <c r="Y54" s="18">
        <f t="shared" si="40"/>
        <v>0</v>
      </c>
      <c r="Z54" s="19">
        <f t="shared" si="43"/>
        <v>0</v>
      </c>
      <c r="AA54" s="19"/>
      <c r="AB54" s="19"/>
      <c r="AC54" s="84"/>
      <c r="AE54" s="17"/>
      <c r="AF54" s="17"/>
      <c r="AG54" s="17"/>
      <c r="AH54" s="18">
        <f t="shared" si="44"/>
        <v>0</v>
      </c>
      <c r="AI54" s="19">
        <f t="shared" si="45"/>
        <v>0</v>
      </c>
      <c r="AK54" s="17"/>
      <c r="AL54" s="17"/>
      <c r="AM54" s="17"/>
      <c r="AN54" s="18">
        <f t="shared" si="46"/>
        <v>0</v>
      </c>
      <c r="AO54" s="19">
        <f t="shared" si="47"/>
        <v>0</v>
      </c>
      <c r="AQ54" s="17"/>
      <c r="AR54" s="17"/>
      <c r="AS54" s="17"/>
      <c r="AT54" s="18">
        <f t="shared" si="41"/>
        <v>0</v>
      </c>
      <c r="AU54" s="19">
        <f t="shared" si="48"/>
        <v>0</v>
      </c>
      <c r="AW54" s="17"/>
      <c r="AX54" s="17"/>
      <c r="AY54" s="17"/>
      <c r="AZ54" s="424">
        <f t="shared" si="49"/>
        <v>0</v>
      </c>
      <c r="BA54" s="19">
        <f t="shared" si="50"/>
        <v>0</v>
      </c>
    </row>
    <row r="55" spans="1:53" ht="17.100000000000001" customHeight="1" x14ac:dyDescent="0.25">
      <c r="A55" s="68"/>
      <c r="B55" s="647"/>
      <c r="C55" s="93"/>
      <c r="D55" s="202" t="s">
        <v>381</v>
      </c>
      <c r="E55" s="85" t="s">
        <v>536</v>
      </c>
      <c r="F55" s="75"/>
      <c r="G55" s="105"/>
      <c r="H55" s="119"/>
      <c r="J55" s="583"/>
      <c r="K55" s="583"/>
      <c r="L55" s="584"/>
      <c r="M55" s="593">
        <f t="shared" si="42"/>
        <v>0</v>
      </c>
      <c r="N55" s="111"/>
      <c r="O55" s="111"/>
      <c r="P55" s="111"/>
      <c r="Q55" s="111"/>
      <c r="R55" s="111"/>
      <c r="S55" s="111"/>
      <c r="T55" s="111"/>
      <c r="U55" s="111"/>
      <c r="V55" s="111"/>
      <c r="W55" s="391">
        <f t="shared" si="38"/>
        <v>0</v>
      </c>
      <c r="X55" s="17">
        <f t="shared" si="39"/>
        <v>0</v>
      </c>
      <c r="Y55" s="18">
        <f t="shared" si="40"/>
        <v>0</v>
      </c>
      <c r="Z55" s="19">
        <f t="shared" si="43"/>
        <v>0</v>
      </c>
      <c r="AA55" s="19"/>
      <c r="AB55" s="19"/>
      <c r="AC55" s="84"/>
      <c r="AE55" s="17"/>
      <c r="AF55" s="17"/>
      <c r="AG55" s="17"/>
      <c r="AH55" s="18">
        <f t="shared" si="44"/>
        <v>0</v>
      </c>
      <c r="AI55" s="19">
        <f t="shared" si="45"/>
        <v>0</v>
      </c>
      <c r="AK55" s="17"/>
      <c r="AL55" s="17"/>
      <c r="AM55" s="17"/>
      <c r="AN55" s="18">
        <f t="shared" si="46"/>
        <v>0</v>
      </c>
      <c r="AO55" s="19">
        <f t="shared" si="47"/>
        <v>0</v>
      </c>
      <c r="AQ55" s="17"/>
      <c r="AR55" s="17"/>
      <c r="AS55" s="17"/>
      <c r="AT55" s="18">
        <f t="shared" si="41"/>
        <v>0</v>
      </c>
      <c r="AU55" s="19">
        <f t="shared" si="48"/>
        <v>0</v>
      </c>
      <c r="AW55" s="17"/>
      <c r="AX55" s="17"/>
      <c r="AY55" s="17"/>
      <c r="AZ55" s="424">
        <f t="shared" si="49"/>
        <v>0</v>
      </c>
      <c r="BA55" s="19">
        <f t="shared" si="50"/>
        <v>0</v>
      </c>
    </row>
    <row r="56" spans="1:53" ht="17.100000000000001" customHeight="1" x14ac:dyDescent="0.25">
      <c r="A56" s="68"/>
      <c r="B56" s="647"/>
      <c r="C56" s="93"/>
      <c r="D56" s="202" t="s">
        <v>382</v>
      </c>
      <c r="E56" s="85" t="s">
        <v>391</v>
      </c>
      <c r="F56" s="75"/>
      <c r="G56" s="105"/>
      <c r="H56" s="119"/>
      <c r="J56" s="581"/>
      <c r="K56" s="581"/>
      <c r="L56" s="582"/>
      <c r="M56" s="593">
        <f t="shared" si="42"/>
        <v>0</v>
      </c>
      <c r="N56" s="111"/>
      <c r="O56" s="111"/>
      <c r="P56" s="111"/>
      <c r="Q56" s="111"/>
      <c r="R56" s="111"/>
      <c r="S56" s="111"/>
      <c r="T56" s="111"/>
      <c r="U56" s="111"/>
      <c r="V56" s="111"/>
      <c r="W56" s="391">
        <f t="shared" si="38"/>
        <v>0</v>
      </c>
      <c r="X56" s="17">
        <f t="shared" si="39"/>
        <v>0</v>
      </c>
      <c r="Y56" s="18">
        <f t="shared" si="40"/>
        <v>0</v>
      </c>
      <c r="Z56" s="19">
        <f t="shared" si="43"/>
        <v>0</v>
      </c>
      <c r="AA56" s="19"/>
      <c r="AB56" s="19"/>
      <c r="AC56" s="84"/>
      <c r="AE56" s="17"/>
      <c r="AF56" s="17"/>
      <c r="AG56" s="17"/>
      <c r="AH56" s="18">
        <f t="shared" si="44"/>
        <v>0</v>
      </c>
      <c r="AI56" s="19">
        <f t="shared" si="45"/>
        <v>0</v>
      </c>
      <c r="AK56" s="17"/>
      <c r="AL56" s="17"/>
      <c r="AM56" s="17"/>
      <c r="AN56" s="18">
        <f t="shared" si="46"/>
        <v>0</v>
      </c>
      <c r="AO56" s="19">
        <f t="shared" si="47"/>
        <v>0</v>
      </c>
      <c r="AQ56" s="17"/>
      <c r="AR56" s="17"/>
      <c r="AS56" s="17"/>
      <c r="AT56" s="18">
        <f t="shared" si="41"/>
        <v>0</v>
      </c>
      <c r="AU56" s="19">
        <f t="shared" si="48"/>
        <v>0</v>
      </c>
      <c r="AW56" s="17"/>
      <c r="AX56" s="17"/>
      <c r="AY56" s="17"/>
      <c r="AZ56" s="424">
        <f t="shared" si="49"/>
        <v>0</v>
      </c>
      <c r="BA56" s="19">
        <f t="shared" si="50"/>
        <v>0</v>
      </c>
    </row>
    <row r="57" spans="1:53" ht="17.100000000000001" customHeight="1" x14ac:dyDescent="0.25">
      <c r="A57" s="68"/>
      <c r="B57" s="647"/>
      <c r="C57" s="93"/>
      <c r="D57" s="202" t="s">
        <v>383</v>
      </c>
      <c r="E57" s="85" t="s">
        <v>392</v>
      </c>
      <c r="F57" s="75"/>
      <c r="G57" s="105"/>
      <c r="H57" s="119"/>
      <c r="J57" s="583"/>
      <c r="K57" s="583"/>
      <c r="L57" s="584"/>
      <c r="M57" s="593">
        <f t="shared" si="42"/>
        <v>0</v>
      </c>
      <c r="N57" s="111"/>
      <c r="O57" s="111"/>
      <c r="P57" s="111"/>
      <c r="Q57" s="111"/>
      <c r="R57" s="111"/>
      <c r="S57" s="111"/>
      <c r="T57" s="111"/>
      <c r="U57" s="111"/>
      <c r="V57" s="111"/>
      <c r="W57" s="391">
        <f t="shared" si="38"/>
        <v>0</v>
      </c>
      <c r="X57" s="17">
        <f t="shared" si="39"/>
        <v>0</v>
      </c>
      <c r="Y57" s="18">
        <f t="shared" si="40"/>
        <v>0</v>
      </c>
      <c r="Z57" s="19">
        <f t="shared" si="43"/>
        <v>0</v>
      </c>
      <c r="AA57" s="19"/>
      <c r="AB57" s="19"/>
      <c r="AC57" s="84"/>
      <c r="AE57" s="17"/>
      <c r="AF57" s="17"/>
      <c r="AG57" s="17"/>
      <c r="AH57" s="18">
        <f t="shared" si="44"/>
        <v>0</v>
      </c>
      <c r="AI57" s="19">
        <f t="shared" si="45"/>
        <v>0</v>
      </c>
      <c r="AK57" s="17"/>
      <c r="AL57" s="17"/>
      <c r="AM57" s="17"/>
      <c r="AN57" s="18">
        <f t="shared" si="46"/>
        <v>0</v>
      </c>
      <c r="AO57" s="19">
        <f t="shared" si="47"/>
        <v>0</v>
      </c>
      <c r="AQ57" s="17"/>
      <c r="AR57" s="17"/>
      <c r="AS57" s="17"/>
      <c r="AT57" s="18">
        <f t="shared" si="41"/>
        <v>0</v>
      </c>
      <c r="AU57" s="19">
        <f t="shared" si="48"/>
        <v>0</v>
      </c>
      <c r="AW57" s="17"/>
      <c r="AX57" s="17"/>
      <c r="AY57" s="17"/>
      <c r="AZ57" s="424">
        <f t="shared" si="49"/>
        <v>0</v>
      </c>
      <c r="BA57" s="19">
        <f t="shared" si="50"/>
        <v>0</v>
      </c>
    </row>
    <row r="58" spans="1:53" ht="17.100000000000001" customHeight="1" x14ac:dyDescent="0.25">
      <c r="A58" s="40"/>
      <c r="B58" s="40"/>
      <c r="C58" s="77"/>
      <c r="D58" s="78"/>
      <c r="E58" s="78"/>
      <c r="F58" s="78"/>
      <c r="G58" s="78"/>
      <c r="H58" s="242"/>
      <c r="I58" s="230"/>
      <c r="J58" s="80">
        <f>SUM(J44:J57)</f>
        <v>0</v>
      </c>
      <c r="K58" s="80">
        <f t="shared" ref="K58:M58" si="51">SUM(K44:K57)</f>
        <v>0</v>
      </c>
      <c r="L58" s="80">
        <f t="shared" si="51"/>
        <v>0</v>
      </c>
      <c r="M58" s="80">
        <f t="shared" si="51"/>
        <v>0</v>
      </c>
      <c r="N58" s="80"/>
      <c r="O58" s="80"/>
      <c r="P58" s="80"/>
      <c r="Q58" s="81"/>
      <c r="R58" s="81"/>
      <c r="S58" s="81"/>
      <c r="T58" s="81"/>
      <c r="U58" s="81"/>
      <c r="V58" s="81"/>
      <c r="W58" s="381">
        <f>SUM(W44:W57)</f>
        <v>0</v>
      </c>
      <c r="X58" s="82">
        <f t="shared" ref="X58:Y58" si="52">SUM(X44:X57)</f>
        <v>0</v>
      </c>
      <c r="Y58" s="82">
        <f t="shared" si="52"/>
        <v>0</v>
      </c>
      <c r="Z58" s="205">
        <f t="shared" si="43"/>
        <v>0</v>
      </c>
      <c r="AA58" s="205"/>
      <c r="AB58" s="205"/>
      <c r="AC58" s="83"/>
      <c r="AE58" s="81"/>
      <c r="AF58" s="81"/>
      <c r="AG58" s="81"/>
      <c r="AH58" s="82">
        <f>SUM(AH44:AH57)</f>
        <v>0</v>
      </c>
      <c r="AI58" s="66">
        <f t="shared" si="45"/>
        <v>0</v>
      </c>
      <c r="AK58" s="81"/>
      <c r="AL58" s="81"/>
      <c r="AM58" s="81"/>
      <c r="AN58" s="82">
        <f>SUM(AN44:AN57)</f>
        <v>0</v>
      </c>
      <c r="AO58" s="66">
        <f t="shared" si="47"/>
        <v>0</v>
      </c>
      <c r="AQ58" s="81"/>
      <c r="AR58" s="81"/>
      <c r="AS58" s="81"/>
      <c r="AT58" s="82">
        <f>SUM(AT44:AT57)</f>
        <v>0</v>
      </c>
      <c r="AU58" s="66">
        <f t="shared" si="48"/>
        <v>0</v>
      </c>
      <c r="AW58" s="81"/>
      <c r="AX58" s="81"/>
      <c r="AY58" s="81"/>
      <c r="AZ58" s="82">
        <f>SUM(AZ44:AZ57)</f>
        <v>0</v>
      </c>
      <c r="BA58" s="66">
        <f t="shared" si="50"/>
        <v>0</v>
      </c>
    </row>
    <row r="59" spans="1:53" s="117" customFormat="1" ht="17.100000000000001" customHeight="1" x14ac:dyDescent="0.25">
      <c r="A59" s="119"/>
      <c r="B59" s="119"/>
      <c r="C59" s="647"/>
      <c r="D59" s="212"/>
      <c r="E59" s="212"/>
      <c r="F59" s="212"/>
      <c r="G59" s="212"/>
      <c r="H59" s="242"/>
      <c r="I59" s="230"/>
      <c r="J59" s="17" t="str">
        <f>IF(J58=J$15,"OK","NOK")</f>
        <v>OK</v>
      </c>
      <c r="K59" s="17" t="str">
        <f t="shared" ref="K59:L59" si="53">IF(K58=K$15,"OK","NOK")</f>
        <v>OK</v>
      </c>
      <c r="L59" s="17" t="str">
        <f t="shared" si="53"/>
        <v>OK</v>
      </c>
      <c r="M59" s="17"/>
      <c r="N59" s="17"/>
      <c r="O59" s="17"/>
      <c r="P59" s="17"/>
      <c r="Q59" s="17"/>
      <c r="R59" s="17"/>
      <c r="S59" s="17"/>
      <c r="T59" s="17"/>
      <c r="U59" s="17"/>
      <c r="V59" s="17"/>
      <c r="W59" s="646"/>
      <c r="X59" s="646"/>
      <c r="Y59" s="646"/>
      <c r="Z59" s="201"/>
      <c r="AA59" s="201"/>
      <c r="AB59" s="201"/>
      <c r="AC59" s="84"/>
      <c r="AE59" s="17"/>
      <c r="AF59" s="17"/>
      <c r="AG59" s="17"/>
      <c r="AH59" s="646"/>
      <c r="AI59" s="91"/>
      <c r="AK59" s="17"/>
      <c r="AL59" s="17"/>
      <c r="AM59" s="17"/>
      <c r="AN59" s="646"/>
      <c r="AO59" s="91"/>
      <c r="AQ59" s="17"/>
      <c r="AR59" s="17"/>
      <c r="AS59" s="17"/>
      <c r="AT59" s="646"/>
      <c r="AU59" s="91"/>
      <c r="AW59" s="17"/>
      <c r="AX59" s="17"/>
      <c r="AY59" s="17"/>
      <c r="AZ59" s="17"/>
      <c r="BA59" s="91"/>
    </row>
    <row r="60" spans="1:53" ht="17.100000000000001" customHeight="1" x14ac:dyDescent="0.25">
      <c r="A60" s="102"/>
      <c r="B60" s="102"/>
      <c r="C60" s="103" t="s">
        <v>33</v>
      </c>
      <c r="D60" s="110" t="s">
        <v>736</v>
      </c>
      <c r="E60" s="108"/>
      <c r="F60" s="108"/>
      <c r="G60" s="108"/>
      <c r="H60" s="315"/>
      <c r="I60" s="232"/>
      <c r="J60" s="111"/>
      <c r="K60" s="111"/>
      <c r="L60" s="111"/>
      <c r="M60" s="111"/>
      <c r="N60" s="111"/>
      <c r="O60" s="111"/>
      <c r="P60" s="111"/>
      <c r="Q60" s="111"/>
      <c r="R60" s="111"/>
      <c r="S60" s="111"/>
      <c r="T60" s="111"/>
      <c r="U60" s="111"/>
      <c r="V60" s="111"/>
      <c r="W60" s="111"/>
      <c r="X60" s="111"/>
      <c r="Y60" s="111"/>
      <c r="Z60" s="113"/>
      <c r="AA60" s="113"/>
      <c r="AB60" s="113"/>
      <c r="AC60" s="113"/>
      <c r="AE60" s="114"/>
      <c r="AF60" s="114"/>
      <c r="AG60" s="114"/>
      <c r="AH60" s="112"/>
      <c r="AI60" s="113"/>
      <c r="AK60" s="114"/>
      <c r="AL60" s="114"/>
      <c r="AM60" s="114"/>
      <c r="AN60" s="112"/>
      <c r="AO60" s="113"/>
      <c r="AQ60" s="114"/>
      <c r="AR60" s="114"/>
      <c r="AS60" s="114"/>
      <c r="AT60" s="112"/>
      <c r="AU60" s="113"/>
      <c r="AW60" s="114"/>
      <c r="AX60" s="114"/>
      <c r="AY60" s="114"/>
      <c r="AZ60" s="114"/>
      <c r="BA60" s="113"/>
    </row>
    <row r="61" spans="1:53" s="117" customFormat="1" ht="17.100000000000001" customHeight="1" x14ac:dyDescent="0.25">
      <c r="A61" s="647"/>
      <c r="B61" s="23"/>
      <c r="C61" s="23"/>
      <c r="D61" s="74" t="s">
        <v>34</v>
      </c>
      <c r="E61" s="75" t="s">
        <v>26</v>
      </c>
      <c r="F61" s="75"/>
      <c r="G61" s="75"/>
      <c r="H61" s="23"/>
      <c r="I61" s="229"/>
      <c r="J61" s="152"/>
      <c r="K61" s="152"/>
      <c r="L61" s="111"/>
      <c r="M61" s="111"/>
      <c r="N61" s="60"/>
      <c r="O61" s="60">
        <v>1</v>
      </c>
      <c r="P61" s="593">
        <f>SUM(N61:O61)</f>
        <v>1</v>
      </c>
      <c r="Q61" s="60"/>
      <c r="R61" s="60"/>
      <c r="S61" s="593">
        <f>SUM(Q61:R61)</f>
        <v>0</v>
      </c>
      <c r="T61" s="60"/>
      <c r="U61" s="60"/>
      <c r="V61" s="593">
        <f>SUM(T61:U61)</f>
        <v>0</v>
      </c>
      <c r="W61" s="391">
        <f t="shared" ref="W61:W64" si="54">J61+K61+N61+Q61+T61</f>
        <v>0</v>
      </c>
      <c r="X61" s="17">
        <f t="shared" ref="X61:X64" si="55">L61+O61+R61+U61</f>
        <v>1</v>
      </c>
      <c r="Y61" s="18">
        <f>SUM(W61:X61)</f>
        <v>1</v>
      </c>
      <c r="Z61" s="19">
        <f>IF(Y$65=0,0,Y61/Y$65)</f>
        <v>6.6666666666666666E-2</v>
      </c>
      <c r="AA61" s="91"/>
      <c r="AB61" s="91"/>
      <c r="AC61" s="84"/>
      <c r="AE61" s="111"/>
      <c r="AF61" s="111"/>
      <c r="AG61" s="111"/>
      <c r="AH61" s="651"/>
      <c r="AI61" s="131"/>
      <c r="AK61" s="111"/>
      <c r="AL61" s="111"/>
      <c r="AM61" s="111"/>
      <c r="AN61" s="651"/>
      <c r="AO61" s="131"/>
      <c r="AQ61" s="17"/>
      <c r="AR61" s="17"/>
      <c r="AS61" s="17"/>
      <c r="AT61" s="18">
        <f>W61</f>
        <v>0</v>
      </c>
      <c r="AU61" s="19">
        <f>IF(AT$65=0,0,AT61/AT$65)</f>
        <v>0</v>
      </c>
      <c r="AW61" s="17"/>
      <c r="AX61" s="17"/>
      <c r="AY61" s="17"/>
      <c r="AZ61" s="424">
        <f>X61</f>
        <v>1</v>
      </c>
      <c r="BA61" s="91">
        <f>IF(AZ$65=0,0,AZ61/AZ$65)</f>
        <v>7.6923076923076927E-2</v>
      </c>
    </row>
    <row r="62" spans="1:53" s="117" customFormat="1" ht="17.100000000000001" customHeight="1" x14ac:dyDescent="0.25">
      <c r="A62" s="647"/>
      <c r="B62" s="23"/>
      <c r="C62" s="23"/>
      <c r="D62" s="74" t="s">
        <v>36</v>
      </c>
      <c r="E62" s="75" t="s">
        <v>28</v>
      </c>
      <c r="F62" s="75"/>
      <c r="G62" s="75"/>
      <c r="H62" s="23"/>
      <c r="I62" s="229"/>
      <c r="J62" s="152"/>
      <c r="K62" s="152"/>
      <c r="L62" s="111"/>
      <c r="M62" s="111"/>
      <c r="N62" s="61"/>
      <c r="O62" s="61">
        <v>2</v>
      </c>
      <c r="P62" s="593">
        <f t="shared" ref="P62:P64" si="56">SUM(N62:O62)</f>
        <v>2</v>
      </c>
      <c r="Q62" s="61">
        <v>1</v>
      </c>
      <c r="R62" s="61">
        <v>6</v>
      </c>
      <c r="S62" s="593">
        <f t="shared" ref="S62:S64" si="57">SUM(Q62:R62)</f>
        <v>7</v>
      </c>
      <c r="T62" s="61"/>
      <c r="U62" s="61"/>
      <c r="V62" s="593">
        <f t="shared" ref="V62:V64" si="58">SUM(T62:U62)</f>
        <v>0</v>
      </c>
      <c r="W62" s="391">
        <f t="shared" si="54"/>
        <v>1</v>
      </c>
      <c r="X62" s="17">
        <f t="shared" si="55"/>
        <v>8</v>
      </c>
      <c r="Y62" s="18">
        <f>SUM(W62:X62)</f>
        <v>9</v>
      </c>
      <c r="Z62" s="19">
        <f t="shared" ref="Z62:Z65" si="59">IF(Y$65=0,0,Y62/Y$65)</f>
        <v>0.6</v>
      </c>
      <c r="AA62" s="91"/>
      <c r="AB62" s="91"/>
      <c r="AC62" s="84"/>
      <c r="AE62" s="111"/>
      <c r="AF62" s="111"/>
      <c r="AG62" s="111"/>
      <c r="AH62" s="651"/>
      <c r="AI62" s="131"/>
      <c r="AK62" s="111"/>
      <c r="AL62" s="111"/>
      <c r="AM62" s="111"/>
      <c r="AN62" s="651"/>
      <c r="AO62" s="131"/>
      <c r="AQ62" s="17"/>
      <c r="AR62" s="17"/>
      <c r="AS62" s="17"/>
      <c r="AT62" s="18">
        <f t="shared" ref="AT62:AT64" si="60">W62</f>
        <v>1</v>
      </c>
      <c r="AU62" s="19">
        <f t="shared" ref="AU62:AU65" si="61">IF(AT$65=0,0,AT62/AT$65)</f>
        <v>0.5</v>
      </c>
      <c r="AW62" s="17"/>
      <c r="AX62" s="17"/>
      <c r="AY62" s="17"/>
      <c r="AZ62" s="424">
        <f t="shared" ref="AZ62:AZ64" si="62">X62</f>
        <v>8</v>
      </c>
      <c r="BA62" s="91">
        <f>IF(AZ$65=0,0,AZ62/AZ$65)</f>
        <v>0.61538461538461542</v>
      </c>
    </row>
    <row r="63" spans="1:53" s="117" customFormat="1" ht="17.100000000000001" customHeight="1" x14ac:dyDescent="0.25">
      <c r="A63" s="647"/>
      <c r="B63" s="23"/>
      <c r="C63" s="23"/>
      <c r="D63" s="74" t="s">
        <v>38</v>
      </c>
      <c r="E63" s="75" t="s">
        <v>30</v>
      </c>
      <c r="F63" s="75"/>
      <c r="G63" s="75"/>
      <c r="H63" s="23"/>
      <c r="I63" s="229"/>
      <c r="J63" s="152"/>
      <c r="K63" s="152"/>
      <c r="L63" s="111"/>
      <c r="M63" s="111"/>
      <c r="N63" s="60">
        <v>1</v>
      </c>
      <c r="O63" s="60">
        <v>4</v>
      </c>
      <c r="P63" s="593">
        <f t="shared" si="56"/>
        <v>5</v>
      </c>
      <c r="Q63" s="60"/>
      <c r="R63" s="60"/>
      <c r="S63" s="593">
        <f t="shared" si="57"/>
        <v>0</v>
      </c>
      <c r="T63" s="60"/>
      <c r="U63" s="60"/>
      <c r="V63" s="593">
        <f t="shared" si="58"/>
        <v>0</v>
      </c>
      <c r="W63" s="391">
        <f t="shared" si="54"/>
        <v>1</v>
      </c>
      <c r="X63" s="17">
        <f t="shared" si="55"/>
        <v>4</v>
      </c>
      <c r="Y63" s="18">
        <f>SUM(W63:X63)</f>
        <v>5</v>
      </c>
      <c r="Z63" s="19">
        <f t="shared" si="59"/>
        <v>0.33333333333333331</v>
      </c>
      <c r="AA63" s="91"/>
      <c r="AB63" s="91"/>
      <c r="AC63" s="84"/>
      <c r="AE63" s="111"/>
      <c r="AF63" s="111"/>
      <c r="AG63" s="111"/>
      <c r="AH63" s="651"/>
      <c r="AI63" s="131"/>
      <c r="AK63" s="111"/>
      <c r="AL63" s="111"/>
      <c r="AM63" s="111"/>
      <c r="AN63" s="651"/>
      <c r="AO63" s="131"/>
      <c r="AQ63" s="17"/>
      <c r="AR63" s="17"/>
      <c r="AS63" s="17"/>
      <c r="AT63" s="18">
        <f t="shared" si="60"/>
        <v>1</v>
      </c>
      <c r="AU63" s="19">
        <f t="shared" si="61"/>
        <v>0.5</v>
      </c>
      <c r="AW63" s="17"/>
      <c r="AX63" s="17"/>
      <c r="AY63" s="17"/>
      <c r="AZ63" s="424">
        <f t="shared" si="62"/>
        <v>4</v>
      </c>
      <c r="BA63" s="91">
        <f>IF(AZ$65=0,0,AZ63/AZ$65)</f>
        <v>0.30769230769230771</v>
      </c>
    </row>
    <row r="64" spans="1:53" s="117" customFormat="1" ht="17.100000000000001" customHeight="1" x14ac:dyDescent="0.25">
      <c r="A64" s="647"/>
      <c r="B64" s="23"/>
      <c r="C64" s="23"/>
      <c r="D64" s="74" t="s">
        <v>40</v>
      </c>
      <c r="E64" s="75" t="s">
        <v>32</v>
      </c>
      <c r="F64" s="75"/>
      <c r="G64" s="75"/>
      <c r="H64" s="23"/>
      <c r="I64" s="229"/>
      <c r="J64" s="152"/>
      <c r="K64" s="152"/>
      <c r="L64" s="111"/>
      <c r="M64" s="111"/>
      <c r="N64" s="61"/>
      <c r="O64" s="61"/>
      <c r="P64" s="593">
        <f t="shared" si="56"/>
        <v>0</v>
      </c>
      <c r="Q64" s="61"/>
      <c r="R64" s="61"/>
      <c r="S64" s="593">
        <f t="shared" si="57"/>
        <v>0</v>
      </c>
      <c r="T64" s="61"/>
      <c r="U64" s="61"/>
      <c r="V64" s="593">
        <f t="shared" si="58"/>
        <v>0</v>
      </c>
      <c r="W64" s="391">
        <f t="shared" si="54"/>
        <v>0</v>
      </c>
      <c r="X64" s="17">
        <f t="shared" si="55"/>
        <v>0</v>
      </c>
      <c r="Y64" s="18">
        <f>SUM(W64:X64)</f>
        <v>0</v>
      </c>
      <c r="Z64" s="19">
        <f t="shared" si="59"/>
        <v>0</v>
      </c>
      <c r="AA64" s="91"/>
      <c r="AB64" s="91"/>
      <c r="AC64" s="84"/>
      <c r="AE64" s="111"/>
      <c r="AF64" s="111"/>
      <c r="AG64" s="111"/>
      <c r="AH64" s="651"/>
      <c r="AI64" s="131"/>
      <c r="AK64" s="111"/>
      <c r="AL64" s="111"/>
      <c r="AM64" s="111"/>
      <c r="AN64" s="651"/>
      <c r="AO64" s="131"/>
      <c r="AQ64" s="17"/>
      <c r="AR64" s="17"/>
      <c r="AS64" s="17"/>
      <c r="AT64" s="18">
        <f t="shared" si="60"/>
        <v>0</v>
      </c>
      <c r="AU64" s="19">
        <f t="shared" si="61"/>
        <v>0</v>
      </c>
      <c r="AW64" s="17"/>
      <c r="AX64" s="17"/>
      <c r="AY64" s="17"/>
      <c r="AZ64" s="424">
        <f t="shared" si="62"/>
        <v>0</v>
      </c>
      <c r="BA64" s="91">
        <f>IF(AZ$65=0,0,AZ64/AZ$65)</f>
        <v>0</v>
      </c>
    </row>
    <row r="65" spans="1:53" s="117" customFormat="1" ht="17.100000000000001" customHeight="1" x14ac:dyDescent="0.25">
      <c r="A65" s="40"/>
      <c r="B65" s="40"/>
      <c r="C65" s="77"/>
      <c r="D65" s="78"/>
      <c r="E65" s="78"/>
      <c r="F65" s="78"/>
      <c r="G65" s="78"/>
      <c r="H65" s="316"/>
      <c r="I65" s="230"/>
      <c r="J65" s="80"/>
      <c r="K65" s="64"/>
      <c r="L65" s="81"/>
      <c r="M65" s="81"/>
      <c r="N65" s="81">
        <f>SUM(N61:N64)</f>
        <v>1</v>
      </c>
      <c r="O65" s="81">
        <f t="shared" ref="O65:Y65" si="63">SUM(O61:O64)</f>
        <v>7</v>
      </c>
      <c r="P65" s="81">
        <f t="shared" si="63"/>
        <v>8</v>
      </c>
      <c r="Q65" s="81">
        <f t="shared" si="63"/>
        <v>1</v>
      </c>
      <c r="R65" s="81">
        <f t="shared" si="63"/>
        <v>6</v>
      </c>
      <c r="S65" s="81">
        <f t="shared" si="63"/>
        <v>7</v>
      </c>
      <c r="T65" s="81">
        <f t="shared" si="63"/>
        <v>0</v>
      </c>
      <c r="U65" s="81">
        <f t="shared" si="63"/>
        <v>0</v>
      </c>
      <c r="V65" s="81">
        <f t="shared" si="63"/>
        <v>0</v>
      </c>
      <c r="W65" s="381">
        <f t="shared" si="63"/>
        <v>2</v>
      </c>
      <c r="X65" s="82">
        <f t="shared" si="63"/>
        <v>13</v>
      </c>
      <c r="Y65" s="82">
        <f t="shared" si="63"/>
        <v>15</v>
      </c>
      <c r="Z65" s="205">
        <f t="shared" si="59"/>
        <v>1</v>
      </c>
      <c r="AA65" s="205"/>
      <c r="AB65" s="205"/>
      <c r="AC65" s="83"/>
      <c r="AE65" s="81"/>
      <c r="AF65" s="81"/>
      <c r="AG65" s="81"/>
      <c r="AH65" s="82"/>
      <c r="AI65" s="66"/>
      <c r="AJ65" s="3"/>
      <c r="AK65" s="81"/>
      <c r="AL65" s="81"/>
      <c r="AM65" s="81"/>
      <c r="AN65" s="82"/>
      <c r="AO65" s="66"/>
      <c r="AP65" s="3"/>
      <c r="AQ65" s="81"/>
      <c r="AR65" s="81"/>
      <c r="AS65" s="81"/>
      <c r="AT65" s="82">
        <f>SUM(AT61:AT64)</f>
        <v>2</v>
      </c>
      <c r="AU65" s="66">
        <f t="shared" si="61"/>
        <v>1</v>
      </c>
      <c r="AV65" s="3"/>
      <c r="AW65" s="81"/>
      <c r="AX65" s="81"/>
      <c r="AY65" s="81"/>
      <c r="AZ65" s="82">
        <f>SUM(AZ61:AZ64)</f>
        <v>13</v>
      </c>
      <c r="BA65" s="66">
        <f>IF(AZ$65=0,0,AZ65/AZ$65)</f>
        <v>1</v>
      </c>
    </row>
    <row r="66" spans="1:53" s="117" customFormat="1" ht="17.100000000000001" customHeight="1" x14ac:dyDescent="0.25">
      <c r="A66" s="119"/>
      <c r="B66" s="119"/>
      <c r="C66" s="647"/>
      <c r="D66" s="212"/>
      <c r="E66" s="212"/>
      <c r="F66" s="212"/>
      <c r="G66" s="212"/>
      <c r="H66" s="242"/>
      <c r="I66" s="230"/>
      <c r="J66" s="17"/>
      <c r="K66" s="17"/>
      <c r="L66" s="17"/>
      <c r="M66" s="17"/>
      <c r="N66" s="17" t="str">
        <f>IF(N65=N$20,"OK","NOK")</f>
        <v>OK</v>
      </c>
      <c r="O66" s="17" t="str">
        <f>IF(O65=O$20,"OK","NOK")</f>
        <v>OK</v>
      </c>
      <c r="P66" s="17"/>
      <c r="Q66" s="17" t="str">
        <f>IF(Q65=Q$20,"OK","NOK")</f>
        <v>OK</v>
      </c>
      <c r="R66" s="17" t="str">
        <f>IF(R65=R$20,"OK","NOK")</f>
        <v>OK</v>
      </c>
      <c r="S66" s="17"/>
      <c r="T66" s="17" t="str">
        <f>IF(T65=T$20,"OK","NOK")</f>
        <v>OK</v>
      </c>
      <c r="U66" s="17" t="str">
        <f>IF(U65=U$20,"OK","NOK")</f>
        <v>OK</v>
      </c>
      <c r="V66" s="359"/>
      <c r="W66" s="382"/>
      <c r="X66" s="646"/>
      <c r="Y66" s="646"/>
      <c r="Z66" s="201"/>
      <c r="AA66" s="201"/>
      <c r="AB66" s="201"/>
      <c r="AC66" s="84"/>
      <c r="AE66" s="17"/>
      <c r="AF66" s="17"/>
      <c r="AG66" s="17"/>
      <c r="AH66" s="646"/>
      <c r="AI66" s="91"/>
      <c r="AK66" s="17"/>
      <c r="AL66" s="17"/>
      <c r="AM66" s="17"/>
      <c r="AN66" s="646"/>
      <c r="AO66" s="91"/>
      <c r="AQ66" s="17"/>
      <c r="AR66" s="17"/>
      <c r="AS66" s="17"/>
      <c r="AT66" s="646"/>
      <c r="AU66" s="91"/>
      <c r="AW66" s="17"/>
      <c r="AX66" s="17"/>
      <c r="AY66" s="17"/>
      <c r="AZ66" s="17"/>
      <c r="BA66" s="91"/>
    </row>
    <row r="67" spans="1:53" ht="17.100000000000001" customHeight="1" x14ac:dyDescent="0.25">
      <c r="A67" s="102"/>
      <c r="B67" s="23"/>
      <c r="C67" s="103" t="s">
        <v>393</v>
      </c>
      <c r="D67" s="110" t="s">
        <v>737</v>
      </c>
      <c r="E67" s="313"/>
      <c r="F67" s="313"/>
      <c r="G67" s="313"/>
      <c r="H67" s="313"/>
      <c r="I67" s="313"/>
      <c r="J67" s="314"/>
      <c r="K67" s="111"/>
      <c r="L67" s="111"/>
      <c r="M67" s="111"/>
      <c r="N67" s="111"/>
      <c r="O67" s="111"/>
      <c r="P67" s="111"/>
      <c r="Q67" s="111"/>
      <c r="R67" s="111"/>
      <c r="S67" s="111"/>
      <c r="T67" s="111"/>
      <c r="U67" s="111"/>
      <c r="V67" s="111"/>
      <c r="W67" s="111"/>
      <c r="X67" s="111"/>
      <c r="Y67" s="111"/>
      <c r="Z67" s="113"/>
      <c r="AA67" s="113"/>
      <c r="AB67" s="113"/>
      <c r="AC67" s="113"/>
      <c r="AE67" s="114"/>
      <c r="AF67" s="114"/>
      <c r="AG67" s="114"/>
      <c r="AH67" s="112"/>
      <c r="AI67" s="113"/>
      <c r="AK67" s="114"/>
      <c r="AL67" s="114"/>
      <c r="AM67" s="114"/>
      <c r="AN67" s="112"/>
      <c r="AO67" s="113"/>
      <c r="AQ67" s="114"/>
      <c r="AR67" s="114"/>
      <c r="AS67" s="114"/>
      <c r="AT67" s="112"/>
      <c r="AU67" s="113"/>
      <c r="AW67" s="114"/>
      <c r="AX67" s="114"/>
      <c r="AY67" s="114"/>
      <c r="AZ67" s="114"/>
      <c r="BA67" s="113"/>
    </row>
    <row r="68" spans="1:53" ht="17.100000000000001" customHeight="1" x14ac:dyDescent="0.25">
      <c r="A68" s="102"/>
      <c r="B68" s="118"/>
      <c r="C68" s="118"/>
      <c r="D68" s="103" t="s">
        <v>394</v>
      </c>
      <c r="E68" s="108" t="s">
        <v>35</v>
      </c>
      <c r="F68" s="108"/>
      <c r="G68" s="108"/>
      <c r="H68" s="315"/>
      <c r="I68" s="232"/>
      <c r="J68" s="152"/>
      <c r="K68" s="152"/>
      <c r="L68" s="111"/>
      <c r="M68" s="111"/>
      <c r="N68" s="60">
        <v>1</v>
      </c>
      <c r="O68" s="60">
        <v>7</v>
      </c>
      <c r="P68" s="593">
        <f t="shared" ref="P68:P72" si="64">SUM(N68:O68)</f>
        <v>8</v>
      </c>
      <c r="Q68" s="60">
        <v>1</v>
      </c>
      <c r="R68" s="60">
        <v>6</v>
      </c>
      <c r="S68" s="593">
        <f t="shared" ref="S68:S72" si="65">SUM(Q68:R68)</f>
        <v>7</v>
      </c>
      <c r="T68" s="60"/>
      <c r="U68" s="60"/>
      <c r="V68" s="593">
        <f t="shared" ref="V68:V72" si="66">SUM(T68:U68)</f>
        <v>0</v>
      </c>
      <c r="W68" s="391">
        <f t="shared" ref="W68:W72" si="67">J68+K68+N68+Q68+T68</f>
        <v>2</v>
      </c>
      <c r="X68" s="17">
        <f t="shared" ref="X68:X72" si="68">L68+O68+R68+U68</f>
        <v>13</v>
      </c>
      <c r="Y68" s="18">
        <f>SUM(W68:X68)</f>
        <v>15</v>
      </c>
      <c r="Z68" s="19">
        <f>IF(Y$73=0,0,Y68/Y$73)</f>
        <v>1</v>
      </c>
      <c r="AA68" s="19"/>
      <c r="AB68" s="19"/>
      <c r="AC68" s="20"/>
      <c r="AE68" s="111"/>
      <c r="AF68" s="111"/>
      <c r="AG68" s="111"/>
      <c r="AH68" s="651"/>
      <c r="AI68" s="131"/>
      <c r="AJ68" s="117"/>
      <c r="AK68" s="111"/>
      <c r="AL68" s="111"/>
      <c r="AM68" s="111"/>
      <c r="AN68" s="651"/>
      <c r="AO68" s="131"/>
      <c r="AQ68" s="17"/>
      <c r="AR68" s="17"/>
      <c r="AS68" s="17"/>
      <c r="AT68" s="18">
        <f t="shared" ref="AT68:AT72" si="69">W68</f>
        <v>2</v>
      </c>
      <c r="AU68" s="19">
        <f>IF(AT$73=0,0,AT68/AT$73)</f>
        <v>1</v>
      </c>
      <c r="AW68" s="17"/>
      <c r="AX68" s="17"/>
      <c r="AY68" s="17"/>
      <c r="AZ68" s="424">
        <f>X68</f>
        <v>13</v>
      </c>
      <c r="BA68" s="19">
        <f t="shared" ref="BA68:BA73" si="70">IF(AZ$73=0,0,AZ68/AZ$73)</f>
        <v>1</v>
      </c>
    </row>
    <row r="69" spans="1:53" ht="17.100000000000001" customHeight="1" x14ac:dyDescent="0.25">
      <c r="A69" s="102"/>
      <c r="B69" s="118"/>
      <c r="C69" s="118"/>
      <c r="D69" s="103" t="s">
        <v>395</v>
      </c>
      <c r="E69" s="108" t="s">
        <v>37</v>
      </c>
      <c r="F69" s="108"/>
      <c r="G69" s="108"/>
      <c r="H69" s="315"/>
      <c r="I69" s="232"/>
      <c r="J69" s="152"/>
      <c r="K69" s="152"/>
      <c r="L69" s="111"/>
      <c r="M69" s="111"/>
      <c r="N69" s="61"/>
      <c r="O69" s="61"/>
      <c r="P69" s="593">
        <f t="shared" si="64"/>
        <v>0</v>
      </c>
      <c r="Q69" s="61"/>
      <c r="R69" s="61"/>
      <c r="S69" s="593">
        <f t="shared" si="65"/>
        <v>0</v>
      </c>
      <c r="T69" s="61"/>
      <c r="U69" s="61"/>
      <c r="V69" s="593">
        <f t="shared" si="66"/>
        <v>0</v>
      </c>
      <c r="W69" s="391">
        <f t="shared" si="67"/>
        <v>0</v>
      </c>
      <c r="X69" s="17">
        <f t="shared" si="68"/>
        <v>0</v>
      </c>
      <c r="Y69" s="18">
        <f>SUM(W69:X69)</f>
        <v>0</v>
      </c>
      <c r="Z69" s="19">
        <f t="shared" ref="Z69:Z73" si="71">IF(Y$73=0,0,Y69/Y$73)</f>
        <v>0</v>
      </c>
      <c r="AA69" s="19"/>
      <c r="AB69" s="19"/>
      <c r="AC69" s="20"/>
      <c r="AE69" s="111"/>
      <c r="AF69" s="111"/>
      <c r="AG69" s="111"/>
      <c r="AH69" s="651"/>
      <c r="AI69" s="131"/>
      <c r="AJ69" s="117"/>
      <c r="AK69" s="111"/>
      <c r="AL69" s="111"/>
      <c r="AM69" s="111"/>
      <c r="AN69" s="651"/>
      <c r="AO69" s="131"/>
      <c r="AQ69" s="17"/>
      <c r="AR69" s="17"/>
      <c r="AS69" s="17"/>
      <c r="AT69" s="18">
        <f t="shared" si="69"/>
        <v>0</v>
      </c>
      <c r="AU69" s="19">
        <f t="shared" ref="AU69:AU73" si="72">IF(AT$73=0,0,AT69/AT$73)</f>
        <v>0</v>
      </c>
      <c r="AW69" s="17"/>
      <c r="AX69" s="17"/>
      <c r="AY69" s="17"/>
      <c r="AZ69" s="424">
        <f t="shared" ref="AZ69:AZ72" si="73">X69</f>
        <v>0</v>
      </c>
      <c r="BA69" s="19">
        <f t="shared" si="70"/>
        <v>0</v>
      </c>
    </row>
    <row r="70" spans="1:53" ht="17.100000000000001" customHeight="1" x14ac:dyDescent="0.25">
      <c r="A70" s="102"/>
      <c r="B70" s="118"/>
      <c r="C70" s="118"/>
      <c r="D70" s="103" t="s">
        <v>396</v>
      </c>
      <c r="E70" s="108" t="s">
        <v>39</v>
      </c>
      <c r="F70" s="108"/>
      <c r="G70" s="108"/>
      <c r="H70" s="315"/>
      <c r="I70" s="232"/>
      <c r="J70" s="152"/>
      <c r="K70" s="152"/>
      <c r="L70" s="111"/>
      <c r="M70" s="111"/>
      <c r="N70" s="60"/>
      <c r="O70" s="60"/>
      <c r="P70" s="593">
        <f t="shared" si="64"/>
        <v>0</v>
      </c>
      <c r="Q70" s="60"/>
      <c r="R70" s="60"/>
      <c r="S70" s="593">
        <f t="shared" si="65"/>
        <v>0</v>
      </c>
      <c r="T70" s="60"/>
      <c r="U70" s="60"/>
      <c r="V70" s="593">
        <f t="shared" si="66"/>
        <v>0</v>
      </c>
      <c r="W70" s="391">
        <f t="shared" si="67"/>
        <v>0</v>
      </c>
      <c r="X70" s="17">
        <f t="shared" si="68"/>
        <v>0</v>
      </c>
      <c r="Y70" s="18">
        <f>SUM(W70:X70)</f>
        <v>0</v>
      </c>
      <c r="Z70" s="19">
        <f t="shared" si="71"/>
        <v>0</v>
      </c>
      <c r="AA70" s="19"/>
      <c r="AB70" s="19"/>
      <c r="AC70" s="20"/>
      <c r="AE70" s="111"/>
      <c r="AF70" s="111"/>
      <c r="AG70" s="111"/>
      <c r="AH70" s="651"/>
      <c r="AI70" s="131"/>
      <c r="AJ70" s="117"/>
      <c r="AK70" s="111"/>
      <c r="AL70" s="111"/>
      <c r="AM70" s="111"/>
      <c r="AN70" s="651"/>
      <c r="AO70" s="131"/>
      <c r="AQ70" s="17"/>
      <c r="AR70" s="17"/>
      <c r="AS70" s="17"/>
      <c r="AT70" s="18">
        <f t="shared" si="69"/>
        <v>0</v>
      </c>
      <c r="AU70" s="19">
        <f t="shared" si="72"/>
        <v>0</v>
      </c>
      <c r="AW70" s="17"/>
      <c r="AX70" s="17"/>
      <c r="AY70" s="17"/>
      <c r="AZ70" s="424">
        <f t="shared" si="73"/>
        <v>0</v>
      </c>
      <c r="BA70" s="19">
        <f t="shared" si="70"/>
        <v>0</v>
      </c>
    </row>
    <row r="71" spans="1:53" ht="17.100000000000001" customHeight="1" x14ac:dyDescent="0.25">
      <c r="A71" s="102"/>
      <c r="B71" s="118"/>
      <c r="C71" s="118"/>
      <c r="D71" s="103" t="s">
        <v>397</v>
      </c>
      <c r="E71" s="108" t="s">
        <v>41</v>
      </c>
      <c r="F71" s="108"/>
      <c r="G71" s="108"/>
      <c r="H71" s="315"/>
      <c r="I71" s="232"/>
      <c r="J71" s="152"/>
      <c r="K71" s="152"/>
      <c r="L71" s="111"/>
      <c r="M71" s="111"/>
      <c r="N71" s="61"/>
      <c r="O71" s="61"/>
      <c r="P71" s="593">
        <f t="shared" si="64"/>
        <v>0</v>
      </c>
      <c r="Q71" s="61"/>
      <c r="R71" s="61"/>
      <c r="S71" s="593">
        <f t="shared" si="65"/>
        <v>0</v>
      </c>
      <c r="T71" s="61"/>
      <c r="U71" s="61"/>
      <c r="V71" s="593">
        <f t="shared" si="66"/>
        <v>0</v>
      </c>
      <c r="W71" s="391">
        <f t="shared" si="67"/>
        <v>0</v>
      </c>
      <c r="X71" s="17">
        <f t="shared" si="68"/>
        <v>0</v>
      </c>
      <c r="Y71" s="18">
        <f>SUM(W71:X71)</f>
        <v>0</v>
      </c>
      <c r="Z71" s="19">
        <f t="shared" si="71"/>
        <v>0</v>
      </c>
      <c r="AA71" s="19"/>
      <c r="AB71" s="19"/>
      <c r="AC71" s="20"/>
      <c r="AE71" s="111"/>
      <c r="AF71" s="111"/>
      <c r="AG71" s="111"/>
      <c r="AH71" s="651"/>
      <c r="AI71" s="131"/>
      <c r="AJ71" s="117"/>
      <c r="AK71" s="111"/>
      <c r="AL71" s="111"/>
      <c r="AM71" s="111"/>
      <c r="AN71" s="651"/>
      <c r="AO71" s="131"/>
      <c r="AQ71" s="17"/>
      <c r="AR71" s="17"/>
      <c r="AS71" s="17"/>
      <c r="AT71" s="18">
        <f t="shared" si="69"/>
        <v>0</v>
      </c>
      <c r="AU71" s="19">
        <f t="shared" si="72"/>
        <v>0</v>
      </c>
      <c r="AW71" s="17"/>
      <c r="AX71" s="17"/>
      <c r="AY71" s="17"/>
      <c r="AZ71" s="424">
        <f t="shared" si="73"/>
        <v>0</v>
      </c>
      <c r="BA71" s="19">
        <f t="shared" si="70"/>
        <v>0</v>
      </c>
    </row>
    <row r="72" spans="1:53" ht="17.100000000000001" customHeight="1" x14ac:dyDescent="0.25">
      <c r="A72" s="102"/>
      <c r="B72" s="118"/>
      <c r="C72" s="118"/>
      <c r="D72" s="103" t="s">
        <v>398</v>
      </c>
      <c r="E72" s="108" t="s">
        <v>42</v>
      </c>
      <c r="F72" s="108"/>
      <c r="G72" s="108"/>
      <c r="H72" s="315"/>
      <c r="I72" s="232"/>
      <c r="J72" s="174"/>
      <c r="K72" s="174"/>
      <c r="L72" s="111"/>
      <c r="M72" s="111"/>
      <c r="N72" s="60"/>
      <c r="O72" s="60"/>
      <c r="P72" s="593">
        <f t="shared" si="64"/>
        <v>0</v>
      </c>
      <c r="Q72" s="60"/>
      <c r="R72" s="60"/>
      <c r="S72" s="593">
        <f t="shared" si="65"/>
        <v>0</v>
      </c>
      <c r="T72" s="60"/>
      <c r="U72" s="60"/>
      <c r="V72" s="593">
        <f t="shared" si="66"/>
        <v>0</v>
      </c>
      <c r="W72" s="391">
        <f t="shared" si="67"/>
        <v>0</v>
      </c>
      <c r="X72" s="17">
        <f t="shared" si="68"/>
        <v>0</v>
      </c>
      <c r="Y72" s="18">
        <f>SUM(W72:X72)</f>
        <v>0</v>
      </c>
      <c r="Z72" s="19">
        <f t="shared" si="71"/>
        <v>0</v>
      </c>
      <c r="AA72" s="19"/>
      <c r="AB72" s="19"/>
      <c r="AC72" s="20"/>
      <c r="AE72" s="111"/>
      <c r="AF72" s="111"/>
      <c r="AG72" s="111"/>
      <c r="AH72" s="651"/>
      <c r="AI72" s="131"/>
      <c r="AJ72" s="117"/>
      <c r="AK72" s="111"/>
      <c r="AL72" s="111"/>
      <c r="AM72" s="111"/>
      <c r="AN72" s="651"/>
      <c r="AO72" s="131"/>
      <c r="AQ72" s="17"/>
      <c r="AR72" s="17"/>
      <c r="AS72" s="17"/>
      <c r="AT72" s="18">
        <f t="shared" si="69"/>
        <v>0</v>
      </c>
      <c r="AU72" s="19">
        <f t="shared" si="72"/>
        <v>0</v>
      </c>
      <c r="AW72" s="17"/>
      <c r="AX72" s="17"/>
      <c r="AY72" s="17"/>
      <c r="AZ72" s="424">
        <f t="shared" si="73"/>
        <v>0</v>
      </c>
      <c r="BA72" s="19">
        <f t="shared" si="70"/>
        <v>0</v>
      </c>
    </row>
    <row r="73" spans="1:53" ht="17.100000000000001" customHeight="1" x14ac:dyDescent="0.25">
      <c r="A73" s="40"/>
      <c r="B73" s="40"/>
      <c r="C73" s="77"/>
      <c r="D73" s="78"/>
      <c r="E73" s="78"/>
      <c r="F73" s="78"/>
      <c r="G73" s="78"/>
      <c r="H73" s="316"/>
      <c r="I73" s="230"/>
      <c r="J73" s="80"/>
      <c r="K73" s="80"/>
      <c r="L73" s="80"/>
      <c r="M73" s="80"/>
      <c r="N73" s="80">
        <f>SUM(N68:N72)</f>
        <v>1</v>
      </c>
      <c r="O73" s="80">
        <f t="shared" ref="O73:X73" si="74">SUM(O68:O72)</f>
        <v>7</v>
      </c>
      <c r="P73" s="80">
        <f t="shared" si="74"/>
        <v>8</v>
      </c>
      <c r="Q73" s="80">
        <f t="shared" si="74"/>
        <v>1</v>
      </c>
      <c r="R73" s="80">
        <f t="shared" si="74"/>
        <v>6</v>
      </c>
      <c r="S73" s="80">
        <f t="shared" si="74"/>
        <v>7</v>
      </c>
      <c r="T73" s="80">
        <f t="shared" si="74"/>
        <v>0</v>
      </c>
      <c r="U73" s="80">
        <f t="shared" si="74"/>
        <v>0</v>
      </c>
      <c r="V73" s="80">
        <f t="shared" si="74"/>
        <v>0</v>
      </c>
      <c r="W73" s="381">
        <f t="shared" si="74"/>
        <v>2</v>
      </c>
      <c r="X73" s="82">
        <f t="shared" si="74"/>
        <v>13</v>
      </c>
      <c r="Y73" s="82">
        <f>SUM(Y68:Y72)</f>
        <v>15</v>
      </c>
      <c r="Z73" s="205">
        <f t="shared" si="71"/>
        <v>1</v>
      </c>
      <c r="AA73" s="205"/>
      <c r="AB73" s="205"/>
      <c r="AC73" s="83"/>
      <c r="AE73" s="81"/>
      <c r="AF73" s="81"/>
      <c r="AG73" s="81"/>
      <c r="AH73" s="82"/>
      <c r="AI73" s="66"/>
      <c r="AK73" s="81"/>
      <c r="AL73" s="81"/>
      <c r="AM73" s="81"/>
      <c r="AN73" s="82"/>
      <c r="AO73" s="66"/>
      <c r="AQ73" s="81"/>
      <c r="AR73" s="81"/>
      <c r="AS73" s="81"/>
      <c r="AT73" s="82">
        <f>SUM(AT68:AT72)</f>
        <v>2</v>
      </c>
      <c r="AU73" s="66">
        <f t="shared" si="72"/>
        <v>1</v>
      </c>
      <c r="AW73" s="81"/>
      <c r="AX73" s="81"/>
      <c r="AY73" s="81"/>
      <c r="AZ73" s="82">
        <f>SUM(AZ68:AZ72)</f>
        <v>13</v>
      </c>
      <c r="BA73" s="66">
        <f t="shared" si="70"/>
        <v>1</v>
      </c>
    </row>
    <row r="74" spans="1:53" s="117" customFormat="1" ht="17.100000000000001" customHeight="1" x14ac:dyDescent="0.25">
      <c r="A74" s="119"/>
      <c r="B74" s="119"/>
      <c r="C74" s="647"/>
      <c r="D74" s="212"/>
      <c r="E74" s="212"/>
      <c r="F74" s="212"/>
      <c r="G74" s="212"/>
      <c r="H74" s="242"/>
      <c r="I74" s="230"/>
      <c r="J74" s="17"/>
      <c r="K74" s="17"/>
      <c r="L74" s="17"/>
      <c r="M74" s="17"/>
      <c r="N74" s="17" t="str">
        <f>IF(N73=N$20,"OK","NOK")</f>
        <v>OK</v>
      </c>
      <c r="O74" s="17" t="str">
        <f>IF(O73=O$20,"OK","NOK")</f>
        <v>OK</v>
      </c>
      <c r="P74" s="17"/>
      <c r="Q74" s="17" t="str">
        <f>IF(Q73=Q$20,"OK","NOK")</f>
        <v>OK</v>
      </c>
      <c r="R74" s="17" t="str">
        <f>IF(R73=R$20,"OK","NOK")</f>
        <v>OK</v>
      </c>
      <c r="S74" s="17"/>
      <c r="T74" s="17" t="str">
        <f>IF(T73=T$20,"OK","NOK")</f>
        <v>OK</v>
      </c>
      <c r="U74" s="17" t="str">
        <f>IF(U73=U$20,"OK","NOK")</f>
        <v>OK</v>
      </c>
      <c r="V74" s="359"/>
      <c r="W74" s="382"/>
      <c r="X74" s="646"/>
      <c r="Y74" s="646"/>
      <c r="Z74" s="201"/>
      <c r="AA74" s="201"/>
      <c r="AB74" s="201"/>
      <c r="AC74" s="84"/>
      <c r="AE74" s="17"/>
      <c r="AF74" s="17"/>
      <c r="AG74" s="17"/>
      <c r="AH74" s="646"/>
      <c r="AI74" s="91"/>
      <c r="AK74" s="17"/>
      <c r="AL74" s="17"/>
      <c r="AM74" s="17"/>
      <c r="AN74" s="646"/>
      <c r="AO74" s="91"/>
      <c r="AQ74" s="17"/>
      <c r="AR74" s="17"/>
      <c r="AS74" s="17"/>
      <c r="AT74" s="646"/>
      <c r="AU74" s="91"/>
      <c r="AW74" s="17"/>
      <c r="AX74" s="17"/>
      <c r="AY74" s="17"/>
      <c r="AZ74" s="17"/>
      <c r="BA74" s="91"/>
    </row>
    <row r="75" spans="1:53" ht="17.100000000000001" customHeight="1" x14ac:dyDescent="0.25">
      <c r="A75" s="68"/>
      <c r="B75" s="41" t="s">
        <v>43</v>
      </c>
      <c r="C75" s="69" t="s">
        <v>44</v>
      </c>
      <c r="D75" s="50"/>
      <c r="E75" s="70"/>
      <c r="F75" s="70"/>
      <c r="G75" s="70"/>
      <c r="H75" s="119"/>
      <c r="J75" s="71"/>
      <c r="K75" s="71"/>
      <c r="L75" s="71"/>
      <c r="M75" s="71"/>
      <c r="N75" s="71"/>
      <c r="O75" s="71"/>
      <c r="P75" s="71"/>
      <c r="Q75" s="71"/>
      <c r="R75" s="71"/>
      <c r="S75" s="71"/>
      <c r="T75" s="71"/>
      <c r="U75" s="71"/>
      <c r="V75" s="355"/>
      <c r="W75" s="377"/>
      <c r="X75" s="71"/>
      <c r="Y75" s="72"/>
      <c r="Z75" s="73"/>
      <c r="AA75" s="73"/>
      <c r="AB75" s="73"/>
      <c r="AC75" s="73"/>
      <c r="AE75" s="71"/>
      <c r="AF75" s="71"/>
      <c r="AG75" s="71"/>
      <c r="AH75" s="72"/>
      <c r="AI75" s="73"/>
      <c r="AJ75" s="117"/>
      <c r="AK75" s="71"/>
      <c r="AL75" s="71"/>
      <c r="AM75" s="71"/>
      <c r="AN75" s="72"/>
      <c r="AO75" s="73"/>
      <c r="AP75" s="117"/>
      <c r="AQ75" s="71"/>
      <c r="AR75" s="71"/>
      <c r="AS75" s="71"/>
      <c r="AT75" s="72"/>
      <c r="AU75" s="73"/>
      <c r="AV75" s="117"/>
      <c r="AW75" s="71"/>
      <c r="AX75" s="71"/>
      <c r="AY75" s="71"/>
      <c r="AZ75" s="273"/>
      <c r="BA75" s="73"/>
    </row>
    <row r="76" spans="1:53" ht="17.100000000000001" customHeight="1" x14ac:dyDescent="0.25">
      <c r="A76" s="102"/>
      <c r="B76" s="102"/>
      <c r="C76" s="103" t="s">
        <v>45</v>
      </c>
      <c r="D76" s="108" t="s">
        <v>46</v>
      </c>
      <c r="E76" s="108"/>
      <c r="F76" s="108"/>
      <c r="G76" s="108"/>
      <c r="H76" s="258"/>
      <c r="I76" s="232"/>
      <c r="J76" s="111"/>
      <c r="K76" s="111"/>
      <c r="L76" s="111"/>
      <c r="M76" s="111"/>
      <c r="N76" s="111"/>
      <c r="O76" s="111"/>
      <c r="P76" s="111"/>
      <c r="Q76" s="111"/>
      <c r="R76" s="111"/>
      <c r="S76" s="111"/>
      <c r="T76" s="111"/>
      <c r="U76" s="111"/>
      <c r="V76" s="358"/>
      <c r="W76" s="380"/>
      <c r="X76" s="111"/>
      <c r="Y76" s="112"/>
      <c r="Z76" s="113"/>
      <c r="AA76" s="113"/>
      <c r="AB76" s="113"/>
      <c r="AC76" s="113"/>
      <c r="AE76" s="114"/>
      <c r="AF76" s="114"/>
      <c r="AG76" s="114"/>
      <c r="AH76" s="112"/>
      <c r="AI76" s="113"/>
      <c r="AJ76" s="117"/>
      <c r="AK76" s="114"/>
      <c r="AL76" s="114"/>
      <c r="AM76" s="114"/>
      <c r="AN76" s="112"/>
      <c r="AO76" s="113"/>
      <c r="AP76" s="117"/>
      <c r="AQ76" s="114"/>
      <c r="AR76" s="114"/>
      <c r="AS76" s="114"/>
      <c r="AT76" s="112"/>
      <c r="AU76" s="113"/>
      <c r="AV76" s="117"/>
      <c r="AW76" s="114"/>
      <c r="AX76" s="114"/>
      <c r="AY76" s="114"/>
      <c r="AZ76" s="114"/>
      <c r="BA76" s="113"/>
    </row>
    <row r="77" spans="1:53" ht="17.100000000000001" customHeight="1" x14ac:dyDescent="0.25">
      <c r="A77" s="102"/>
      <c r="B77" s="102"/>
      <c r="C77" s="102"/>
      <c r="D77" s="103" t="s">
        <v>47</v>
      </c>
      <c r="E77" s="108" t="s">
        <v>35</v>
      </c>
      <c r="F77" s="108"/>
      <c r="G77" s="108"/>
      <c r="H77" s="258"/>
      <c r="I77" s="232"/>
      <c r="J77" s="152"/>
      <c r="K77" s="152"/>
      <c r="L77" s="111"/>
      <c r="M77" s="111"/>
      <c r="N77" s="152"/>
      <c r="O77" s="111"/>
      <c r="P77" s="60">
        <v>1</v>
      </c>
      <c r="Q77" s="152"/>
      <c r="R77" s="111"/>
      <c r="S77" s="60">
        <v>1</v>
      </c>
      <c r="T77" s="152"/>
      <c r="U77" s="111"/>
      <c r="V77" s="361"/>
      <c r="W77" s="391"/>
      <c r="X77" s="17"/>
      <c r="Y77" s="18">
        <f>M77+P77+S77+V77</f>
        <v>2</v>
      </c>
      <c r="Z77" s="19">
        <f>IF(Y$81=0,0,Y77/Y$81)</f>
        <v>1</v>
      </c>
      <c r="AA77" s="19"/>
      <c r="AB77" s="19"/>
      <c r="AC77" s="20"/>
      <c r="AE77" s="111"/>
      <c r="AF77" s="111"/>
      <c r="AG77" s="111"/>
      <c r="AH77" s="651"/>
      <c r="AI77" s="131"/>
      <c r="AJ77" s="117"/>
      <c r="AK77" s="111"/>
      <c r="AL77" s="111"/>
      <c r="AM77" s="111"/>
      <c r="AN77" s="651"/>
      <c r="AO77" s="131"/>
      <c r="AP77" s="117"/>
      <c r="AQ77" s="111"/>
      <c r="AR77" s="111"/>
      <c r="AS77" s="111"/>
      <c r="AT77" s="651"/>
      <c r="AU77" s="131"/>
      <c r="AV77" s="117"/>
      <c r="AW77" s="111"/>
      <c r="AX77" s="111"/>
      <c r="AY77" s="111"/>
      <c r="AZ77" s="111"/>
      <c r="BA77" s="131"/>
    </row>
    <row r="78" spans="1:53" ht="17.100000000000001" customHeight="1" x14ac:dyDescent="0.25">
      <c r="A78" s="102"/>
      <c r="B78" s="102"/>
      <c r="C78" s="102"/>
      <c r="D78" s="103" t="s">
        <v>48</v>
      </c>
      <c r="E78" s="108" t="s">
        <v>49</v>
      </c>
      <c r="F78" s="108"/>
      <c r="G78" s="108"/>
      <c r="H78" s="258"/>
      <c r="I78" s="232"/>
      <c r="J78" s="152"/>
      <c r="K78" s="152"/>
      <c r="L78" s="111"/>
      <c r="M78" s="111"/>
      <c r="N78" s="152"/>
      <c r="O78" s="111"/>
      <c r="P78" s="61"/>
      <c r="Q78" s="152"/>
      <c r="R78" s="111"/>
      <c r="S78" s="61"/>
      <c r="T78" s="152"/>
      <c r="U78" s="111"/>
      <c r="V78" s="362"/>
      <c r="W78" s="391"/>
      <c r="X78" s="17"/>
      <c r="Y78" s="18">
        <f t="shared" ref="Y78:Y80" si="75">M78+P78+S78+V78</f>
        <v>0</v>
      </c>
      <c r="Z78" s="19">
        <f t="shared" ref="Z78:Z81" si="76">IF(Y$81=0,0,Y78/Y$81)</f>
        <v>0</v>
      </c>
      <c r="AA78" s="19"/>
      <c r="AB78" s="19"/>
      <c r="AC78" s="20"/>
      <c r="AE78" s="111"/>
      <c r="AF78" s="111"/>
      <c r="AG78" s="111"/>
      <c r="AH78" s="651"/>
      <c r="AI78" s="131"/>
      <c r="AJ78" s="117"/>
      <c r="AK78" s="111"/>
      <c r="AL78" s="111"/>
      <c r="AM78" s="111"/>
      <c r="AN78" s="651"/>
      <c r="AO78" s="131"/>
      <c r="AP78" s="117"/>
      <c r="AQ78" s="111"/>
      <c r="AR78" s="111"/>
      <c r="AS78" s="111"/>
      <c r="AT78" s="651"/>
      <c r="AU78" s="131"/>
      <c r="AV78" s="117"/>
      <c r="AW78" s="111"/>
      <c r="AX78" s="111"/>
      <c r="AY78" s="111"/>
      <c r="AZ78" s="111"/>
      <c r="BA78" s="131"/>
    </row>
    <row r="79" spans="1:53" ht="17.100000000000001" customHeight="1" x14ac:dyDescent="0.25">
      <c r="A79" s="102"/>
      <c r="B79" s="102"/>
      <c r="C79" s="102"/>
      <c r="D79" s="103" t="s">
        <v>50</v>
      </c>
      <c r="E79" s="108" t="s">
        <v>51</v>
      </c>
      <c r="F79" s="108"/>
      <c r="G79" s="108"/>
      <c r="H79" s="258"/>
      <c r="I79" s="232"/>
      <c r="J79" s="152"/>
      <c r="K79" s="152"/>
      <c r="L79" s="111"/>
      <c r="M79" s="111"/>
      <c r="N79" s="152"/>
      <c r="O79" s="111"/>
      <c r="P79" s="60"/>
      <c r="Q79" s="152"/>
      <c r="R79" s="111"/>
      <c r="S79" s="60"/>
      <c r="T79" s="152"/>
      <c r="U79" s="111"/>
      <c r="V79" s="361"/>
      <c r="W79" s="391"/>
      <c r="X79" s="17"/>
      <c r="Y79" s="18">
        <f t="shared" si="75"/>
        <v>0</v>
      </c>
      <c r="Z79" s="19">
        <f t="shared" si="76"/>
        <v>0</v>
      </c>
      <c r="AA79" s="19"/>
      <c r="AB79" s="19"/>
      <c r="AC79" s="20"/>
      <c r="AE79" s="111"/>
      <c r="AF79" s="111"/>
      <c r="AG79" s="111"/>
      <c r="AH79" s="651"/>
      <c r="AI79" s="131"/>
      <c r="AJ79" s="117"/>
      <c r="AK79" s="111"/>
      <c r="AL79" s="111"/>
      <c r="AM79" s="111"/>
      <c r="AN79" s="651"/>
      <c r="AO79" s="131"/>
      <c r="AP79" s="117"/>
      <c r="AQ79" s="111"/>
      <c r="AR79" s="111"/>
      <c r="AS79" s="111"/>
      <c r="AT79" s="651"/>
      <c r="AU79" s="131"/>
      <c r="AV79" s="117"/>
      <c r="AW79" s="111"/>
      <c r="AX79" s="111"/>
      <c r="AY79" s="111"/>
      <c r="AZ79" s="111"/>
      <c r="BA79" s="131"/>
    </row>
    <row r="80" spans="1:53" ht="17.100000000000001" customHeight="1" x14ac:dyDescent="0.25">
      <c r="A80" s="102"/>
      <c r="B80" s="102"/>
      <c r="C80" s="102"/>
      <c r="D80" s="103" t="s">
        <v>52</v>
      </c>
      <c r="E80" s="108" t="s">
        <v>53</v>
      </c>
      <c r="F80" s="108"/>
      <c r="G80" s="108"/>
      <c r="H80" s="258"/>
      <c r="I80" s="232"/>
      <c r="J80" s="152"/>
      <c r="K80" s="152"/>
      <c r="L80" s="111"/>
      <c r="M80" s="111"/>
      <c r="N80" s="152"/>
      <c r="O80" s="111"/>
      <c r="P80" s="61"/>
      <c r="Q80" s="152"/>
      <c r="R80" s="111"/>
      <c r="S80" s="61"/>
      <c r="T80" s="152"/>
      <c r="U80" s="111"/>
      <c r="V80" s="362"/>
      <c r="W80" s="391"/>
      <c r="X80" s="17"/>
      <c r="Y80" s="18">
        <f t="shared" si="75"/>
        <v>0</v>
      </c>
      <c r="Z80" s="19">
        <f t="shared" si="76"/>
        <v>0</v>
      </c>
      <c r="AA80" s="19"/>
      <c r="AB80" s="19"/>
      <c r="AC80" s="20"/>
      <c r="AE80" s="111"/>
      <c r="AF80" s="111"/>
      <c r="AG80" s="111"/>
      <c r="AH80" s="651"/>
      <c r="AI80" s="131"/>
      <c r="AJ80" s="117"/>
      <c r="AK80" s="111"/>
      <c r="AL80" s="111"/>
      <c r="AM80" s="111"/>
      <c r="AN80" s="651"/>
      <c r="AO80" s="131"/>
      <c r="AP80" s="117"/>
      <c r="AQ80" s="111"/>
      <c r="AR80" s="111"/>
      <c r="AS80" s="111"/>
      <c r="AT80" s="651"/>
      <c r="AU80" s="131"/>
      <c r="AV80" s="117"/>
      <c r="AW80" s="111"/>
      <c r="AX80" s="111"/>
      <c r="AY80" s="111"/>
      <c r="AZ80" s="111"/>
      <c r="BA80" s="131"/>
    </row>
    <row r="81" spans="1:53" ht="17.100000000000001" customHeight="1" x14ac:dyDescent="0.25">
      <c r="A81" s="40"/>
      <c r="B81" s="40"/>
      <c r="C81" s="77"/>
      <c r="D81" s="78"/>
      <c r="E81" s="78"/>
      <c r="F81" s="78"/>
      <c r="G81" s="78"/>
      <c r="H81" s="242"/>
      <c r="I81" s="230"/>
      <c r="J81" s="80"/>
      <c r="K81" s="80"/>
      <c r="L81" s="81"/>
      <c r="M81" s="81"/>
      <c r="N81" s="81"/>
      <c r="O81" s="81"/>
      <c r="P81" s="82">
        <f>SUM(P77:P80)</f>
        <v>1</v>
      </c>
      <c r="Q81" s="81"/>
      <c r="R81" s="81"/>
      <c r="S81" s="82">
        <f>SUM(S77:S80)</f>
        <v>1</v>
      </c>
      <c r="T81" s="81"/>
      <c r="U81" s="81"/>
      <c r="V81" s="360">
        <f>SUM(V77:V80)</f>
        <v>0</v>
      </c>
      <c r="W81" s="381"/>
      <c r="X81" s="82"/>
      <c r="Y81" s="82">
        <f t="shared" ref="Y81" si="77">SUM(Y77:Y80)</f>
        <v>2</v>
      </c>
      <c r="Z81" s="205">
        <f t="shared" si="76"/>
        <v>1</v>
      </c>
      <c r="AA81" s="205"/>
      <c r="AB81" s="205"/>
      <c r="AC81" s="83"/>
      <c r="AE81" s="81"/>
      <c r="AF81" s="81"/>
      <c r="AG81" s="81"/>
      <c r="AH81" s="82"/>
      <c r="AI81" s="66"/>
      <c r="AJ81" s="117"/>
      <c r="AK81" s="81"/>
      <c r="AL81" s="81"/>
      <c r="AM81" s="81"/>
      <c r="AN81" s="82"/>
      <c r="AO81" s="66"/>
      <c r="AP81" s="117"/>
      <c r="AQ81" s="81"/>
      <c r="AR81" s="81"/>
      <c r="AS81" s="81"/>
      <c r="AT81" s="82"/>
      <c r="AU81" s="66"/>
      <c r="AV81" s="117"/>
      <c r="AW81" s="81"/>
      <c r="AX81" s="81"/>
      <c r="AY81" s="81"/>
      <c r="AZ81" s="81"/>
      <c r="BA81" s="66"/>
    </row>
    <row r="82" spans="1:53" s="117" customFormat="1" ht="17.100000000000001" customHeight="1" x14ac:dyDescent="0.25">
      <c r="A82" s="119"/>
      <c r="B82" s="119"/>
      <c r="C82" s="647"/>
      <c r="D82" s="212"/>
      <c r="E82" s="212"/>
      <c r="F82" s="212"/>
      <c r="G82" s="212"/>
      <c r="H82" s="242"/>
      <c r="I82" s="230"/>
      <c r="J82" s="17"/>
      <c r="K82" s="17"/>
      <c r="L82" s="17"/>
      <c r="M82" s="17"/>
      <c r="N82" s="17"/>
      <c r="O82" s="17"/>
      <c r="P82" s="17" t="str">
        <f>IF(P81=1,"OK","NOK")</f>
        <v>OK</v>
      </c>
      <c r="Q82" s="17"/>
      <c r="R82" s="17"/>
      <c r="S82" s="17" t="str">
        <f>IF(S81=1,"OK","NOK")</f>
        <v>OK</v>
      </c>
      <c r="T82" s="17"/>
      <c r="U82" s="17"/>
      <c r="V82" s="359" t="str">
        <f>IF(V81=1,"OK","NOK")</f>
        <v>NOK</v>
      </c>
      <c r="W82" s="382"/>
      <c r="X82" s="646"/>
      <c r="Y82" s="646"/>
      <c r="Z82" s="201"/>
      <c r="AA82" s="201"/>
      <c r="AB82" s="201"/>
      <c r="AC82" s="84"/>
      <c r="AE82" s="17"/>
      <c r="AF82" s="17"/>
      <c r="AG82" s="17"/>
      <c r="AH82" s="646"/>
      <c r="AI82" s="91"/>
      <c r="AK82" s="17"/>
      <c r="AL82" s="17"/>
      <c r="AM82" s="17"/>
      <c r="AN82" s="646"/>
      <c r="AO82" s="91"/>
      <c r="AQ82" s="17"/>
      <c r="AR82" s="17"/>
      <c r="AS82" s="17"/>
      <c r="AT82" s="646"/>
      <c r="AU82" s="91"/>
      <c r="AW82" s="17"/>
      <c r="AX82" s="17"/>
      <c r="AY82" s="17"/>
      <c r="AZ82" s="17"/>
      <c r="BA82" s="91"/>
    </row>
    <row r="83" spans="1:53" ht="17.100000000000001" customHeight="1" x14ac:dyDescent="0.25">
      <c r="A83" s="102"/>
      <c r="B83" s="102"/>
      <c r="C83" s="103"/>
      <c r="D83" s="108"/>
      <c r="E83" s="108"/>
      <c r="F83" s="108"/>
      <c r="G83" s="108"/>
      <c r="H83" s="258"/>
      <c r="I83" s="232"/>
      <c r="J83" s="111"/>
      <c r="K83" s="111"/>
      <c r="L83" s="111"/>
      <c r="M83" s="111"/>
      <c r="N83" s="111"/>
      <c r="O83" s="111"/>
      <c r="P83" s="111"/>
      <c r="Q83" s="111"/>
      <c r="R83" s="111"/>
      <c r="S83" s="111"/>
      <c r="T83" s="111"/>
      <c r="U83" s="111"/>
      <c r="V83" s="358"/>
      <c r="W83" s="380"/>
      <c r="X83" s="111"/>
      <c r="Y83" s="112"/>
      <c r="Z83" s="113"/>
      <c r="AA83" s="113"/>
      <c r="AB83" s="113"/>
      <c r="AC83" s="113"/>
      <c r="AE83" s="114"/>
      <c r="AF83" s="114"/>
      <c r="AG83" s="114"/>
      <c r="AH83" s="112"/>
      <c r="AI83" s="113"/>
      <c r="AJ83" s="117"/>
      <c r="AK83" s="114"/>
      <c r="AL83" s="114"/>
      <c r="AM83" s="114"/>
      <c r="AN83" s="112"/>
      <c r="AO83" s="113"/>
      <c r="AP83" s="117"/>
      <c r="AQ83" s="114"/>
      <c r="AR83" s="114"/>
      <c r="AS83" s="114"/>
      <c r="AT83" s="112"/>
      <c r="AU83" s="113"/>
      <c r="AV83" s="117"/>
      <c r="AW83" s="114"/>
      <c r="AX83" s="114"/>
      <c r="AY83" s="114"/>
      <c r="AZ83" s="114"/>
      <c r="BA83" s="113"/>
    </row>
    <row r="84" spans="1:53" ht="17.100000000000001" customHeight="1" x14ac:dyDescent="0.25">
      <c r="A84" s="102"/>
      <c r="B84" s="118"/>
      <c r="C84" s="118"/>
      <c r="D84" s="103"/>
      <c r="E84" s="108"/>
      <c r="F84" s="108"/>
      <c r="G84" s="108"/>
      <c r="H84" s="258"/>
      <c r="I84" s="232"/>
      <c r="J84" s="152"/>
      <c r="K84" s="152"/>
      <c r="L84" s="111"/>
      <c r="M84" s="111"/>
      <c r="N84" s="152"/>
      <c r="O84" s="111"/>
      <c r="P84" s="587"/>
      <c r="Q84" s="152"/>
      <c r="R84" s="111"/>
      <c r="S84" s="587"/>
      <c r="T84" s="152"/>
      <c r="U84" s="111"/>
      <c r="V84" s="590"/>
      <c r="W84" s="391"/>
      <c r="X84" s="17"/>
      <c r="Y84" s="18"/>
      <c r="Z84" s="19"/>
      <c r="AA84" s="19"/>
      <c r="AB84" s="19"/>
      <c r="AC84" s="20"/>
      <c r="AE84" s="111"/>
      <c r="AF84" s="111"/>
      <c r="AG84" s="111"/>
      <c r="AH84" s="651"/>
      <c r="AI84" s="131"/>
      <c r="AJ84" s="117"/>
      <c r="AK84" s="111"/>
      <c r="AL84" s="111"/>
      <c r="AM84" s="111"/>
      <c r="AN84" s="651"/>
      <c r="AO84" s="131"/>
      <c r="AP84" s="117"/>
      <c r="AQ84" s="111"/>
      <c r="AR84" s="111"/>
      <c r="AS84" s="111"/>
      <c r="AT84" s="651"/>
      <c r="AU84" s="131"/>
      <c r="AV84" s="117"/>
      <c r="AW84" s="111"/>
      <c r="AX84" s="111"/>
      <c r="AY84" s="111"/>
      <c r="AZ84" s="111"/>
      <c r="BA84" s="131"/>
    </row>
    <row r="85" spans="1:53" ht="17.100000000000001" customHeight="1" x14ac:dyDescent="0.25">
      <c r="A85" s="102"/>
      <c r="B85" s="118"/>
      <c r="C85" s="118"/>
      <c r="D85" s="103"/>
      <c r="E85" s="108"/>
      <c r="F85" s="108"/>
      <c r="G85" s="108"/>
      <c r="H85" s="258"/>
      <c r="I85" s="232"/>
      <c r="J85" s="152"/>
      <c r="K85" s="152"/>
      <c r="L85" s="111"/>
      <c r="M85" s="111"/>
      <c r="N85" s="152"/>
      <c r="O85" s="111"/>
      <c r="P85" s="588"/>
      <c r="Q85" s="152"/>
      <c r="R85" s="111"/>
      <c r="S85" s="588"/>
      <c r="T85" s="152"/>
      <c r="U85" s="111"/>
      <c r="V85" s="591"/>
      <c r="W85" s="391"/>
      <c r="X85" s="17"/>
      <c r="Y85" s="18"/>
      <c r="Z85" s="19"/>
      <c r="AA85" s="19"/>
      <c r="AB85" s="19"/>
      <c r="AC85" s="20"/>
      <c r="AE85" s="111"/>
      <c r="AF85" s="111"/>
      <c r="AG85" s="111"/>
      <c r="AH85" s="651"/>
      <c r="AI85" s="131"/>
      <c r="AJ85" s="117"/>
      <c r="AK85" s="111"/>
      <c r="AL85" s="111"/>
      <c r="AM85" s="111"/>
      <c r="AN85" s="651"/>
      <c r="AO85" s="131"/>
      <c r="AP85" s="117"/>
      <c r="AQ85" s="111"/>
      <c r="AR85" s="111"/>
      <c r="AS85" s="111"/>
      <c r="AT85" s="651"/>
      <c r="AU85" s="131"/>
      <c r="AV85" s="117"/>
      <c r="AW85" s="111"/>
      <c r="AX85" s="111"/>
      <c r="AY85" s="111"/>
      <c r="AZ85" s="111"/>
      <c r="BA85" s="131"/>
    </row>
    <row r="86" spans="1:53" ht="17.100000000000001" customHeight="1" x14ac:dyDescent="0.25">
      <c r="A86" s="102"/>
      <c r="B86" s="118"/>
      <c r="C86" s="118"/>
      <c r="D86" s="103"/>
      <c r="E86" s="108"/>
      <c r="F86" s="108"/>
      <c r="G86" s="108"/>
      <c r="H86" s="258"/>
      <c r="I86" s="232"/>
      <c r="J86" s="152"/>
      <c r="K86" s="152"/>
      <c r="L86" s="111"/>
      <c r="M86" s="111"/>
      <c r="N86" s="152"/>
      <c r="O86" s="111"/>
      <c r="P86" s="587"/>
      <c r="Q86" s="152"/>
      <c r="R86" s="111"/>
      <c r="S86" s="587"/>
      <c r="T86" s="152"/>
      <c r="U86" s="111"/>
      <c r="V86" s="590"/>
      <c r="W86" s="391"/>
      <c r="X86" s="17"/>
      <c r="Y86" s="18"/>
      <c r="Z86" s="19"/>
      <c r="AA86" s="19"/>
      <c r="AB86" s="19"/>
      <c r="AC86" s="20"/>
      <c r="AE86" s="111"/>
      <c r="AF86" s="111"/>
      <c r="AG86" s="111"/>
      <c r="AH86" s="651"/>
      <c r="AI86" s="131"/>
      <c r="AJ86" s="117"/>
      <c r="AK86" s="111"/>
      <c r="AL86" s="111"/>
      <c r="AM86" s="111"/>
      <c r="AN86" s="651"/>
      <c r="AO86" s="131"/>
      <c r="AP86" s="117"/>
      <c r="AQ86" s="111"/>
      <c r="AR86" s="111"/>
      <c r="AS86" s="111"/>
      <c r="AT86" s="651"/>
      <c r="AU86" s="131"/>
      <c r="AV86" s="117"/>
      <c r="AW86" s="111"/>
      <c r="AX86" s="111"/>
      <c r="AY86" s="111"/>
      <c r="AZ86" s="111"/>
      <c r="BA86" s="131"/>
    </row>
    <row r="87" spans="1:53" ht="17.100000000000001" customHeight="1" x14ac:dyDescent="0.25">
      <c r="A87" s="102"/>
      <c r="B87" s="118"/>
      <c r="C87" s="118"/>
      <c r="D87" s="103"/>
      <c r="E87" s="108"/>
      <c r="F87" s="108"/>
      <c r="G87" s="108"/>
      <c r="H87" s="258"/>
      <c r="I87" s="232"/>
      <c r="J87" s="152"/>
      <c r="K87" s="152"/>
      <c r="L87" s="111"/>
      <c r="M87" s="111"/>
      <c r="N87" s="152"/>
      <c r="O87" s="111"/>
      <c r="P87" s="588"/>
      <c r="Q87" s="152"/>
      <c r="R87" s="111"/>
      <c r="S87" s="588"/>
      <c r="T87" s="152"/>
      <c r="U87" s="111"/>
      <c r="V87" s="591"/>
      <c r="W87" s="391"/>
      <c r="X87" s="17"/>
      <c r="Y87" s="18"/>
      <c r="Z87" s="19"/>
      <c r="AA87" s="19"/>
      <c r="AB87" s="19"/>
      <c r="AC87" s="20"/>
      <c r="AE87" s="111"/>
      <c r="AF87" s="111"/>
      <c r="AG87" s="111"/>
      <c r="AH87" s="651"/>
      <c r="AI87" s="131"/>
      <c r="AJ87" s="117"/>
      <c r="AK87" s="111"/>
      <c r="AL87" s="111"/>
      <c r="AM87" s="111"/>
      <c r="AN87" s="651"/>
      <c r="AO87" s="131"/>
      <c r="AP87" s="117"/>
      <c r="AQ87" s="111"/>
      <c r="AR87" s="111"/>
      <c r="AS87" s="111"/>
      <c r="AT87" s="651"/>
      <c r="AU87" s="131"/>
      <c r="AV87" s="117"/>
      <c r="AW87" s="111"/>
      <c r="AX87" s="111"/>
      <c r="AY87" s="111"/>
      <c r="AZ87" s="111"/>
      <c r="BA87" s="131"/>
    </row>
    <row r="88" spans="1:53" ht="17.100000000000001" customHeight="1" x14ac:dyDescent="0.25">
      <c r="A88" s="40"/>
      <c r="B88" s="40"/>
      <c r="C88" s="77"/>
      <c r="D88" s="78"/>
      <c r="E88" s="78"/>
      <c r="F88" s="78"/>
      <c r="G88" s="78"/>
      <c r="H88" s="242"/>
      <c r="I88" s="230"/>
      <c r="J88" s="80"/>
      <c r="K88" s="80"/>
      <c r="L88" s="81"/>
      <c r="M88" s="81"/>
      <c r="N88" s="81"/>
      <c r="O88" s="81"/>
      <c r="P88" s="82"/>
      <c r="Q88" s="81"/>
      <c r="R88" s="81"/>
      <c r="S88" s="82"/>
      <c r="T88" s="81"/>
      <c r="U88" s="81"/>
      <c r="V88" s="360"/>
      <c r="W88" s="381"/>
      <c r="X88" s="82"/>
      <c r="Y88" s="82"/>
      <c r="Z88" s="205"/>
      <c r="AA88" s="205"/>
      <c r="AB88" s="205"/>
      <c r="AC88" s="83"/>
      <c r="AE88" s="81"/>
      <c r="AF88" s="81"/>
      <c r="AG88" s="81"/>
      <c r="AH88" s="82"/>
      <c r="AI88" s="66"/>
      <c r="AJ88" s="117"/>
      <c r="AK88" s="81"/>
      <c r="AL88" s="81"/>
      <c r="AM88" s="81"/>
      <c r="AN88" s="82"/>
      <c r="AO88" s="66"/>
      <c r="AP88" s="117"/>
      <c r="AQ88" s="81"/>
      <c r="AR88" s="81"/>
      <c r="AS88" s="81"/>
      <c r="AT88" s="82"/>
      <c r="AU88" s="66"/>
      <c r="AV88" s="117"/>
      <c r="AW88" s="81"/>
      <c r="AX88" s="81"/>
      <c r="AY88" s="81"/>
      <c r="AZ88" s="81"/>
      <c r="BA88" s="66"/>
    </row>
    <row r="89" spans="1:53" s="117" customFormat="1" ht="17.100000000000001" customHeight="1" x14ac:dyDescent="0.25">
      <c r="A89" s="119"/>
      <c r="B89" s="119"/>
      <c r="C89" s="647"/>
      <c r="D89" s="212"/>
      <c r="E89" s="212"/>
      <c r="F89" s="212"/>
      <c r="G89" s="212"/>
      <c r="H89" s="242"/>
      <c r="I89" s="230"/>
      <c r="J89" s="17"/>
      <c r="K89" s="17"/>
      <c r="L89" s="17"/>
      <c r="M89" s="17"/>
      <c r="N89" s="17"/>
      <c r="O89" s="17"/>
      <c r="P89" s="17"/>
      <c r="Q89" s="17"/>
      <c r="R89" s="17"/>
      <c r="S89" s="17"/>
      <c r="T89" s="17"/>
      <c r="U89" s="17"/>
      <c r="V89" s="359"/>
      <c r="W89" s="382"/>
      <c r="X89" s="646"/>
      <c r="Y89" s="646"/>
      <c r="Z89" s="201"/>
      <c r="AA89" s="201"/>
      <c r="AB89" s="201"/>
      <c r="AC89" s="84"/>
      <c r="AE89" s="17"/>
      <c r="AF89" s="17"/>
      <c r="AG89" s="17"/>
      <c r="AH89" s="646"/>
      <c r="AI89" s="91"/>
      <c r="AK89" s="17"/>
      <c r="AL89" s="17"/>
      <c r="AM89" s="17"/>
      <c r="AN89" s="646"/>
      <c r="AO89" s="91"/>
      <c r="AQ89" s="17"/>
      <c r="AR89" s="17"/>
      <c r="AS89" s="17"/>
      <c r="AT89" s="646"/>
      <c r="AU89" s="91"/>
      <c r="AW89" s="17"/>
      <c r="AX89" s="17"/>
      <c r="AY89" s="17"/>
      <c r="AZ89" s="17"/>
      <c r="BA89" s="91"/>
    </row>
    <row r="90" spans="1:53" ht="17.100000000000001" customHeight="1" x14ac:dyDescent="0.25">
      <c r="A90" s="68"/>
      <c r="B90" s="41" t="s">
        <v>63</v>
      </c>
      <c r="C90" s="69" t="s">
        <v>64</v>
      </c>
      <c r="D90" s="50"/>
      <c r="E90" s="70"/>
      <c r="F90" s="70"/>
      <c r="G90" s="70"/>
      <c r="H90" s="84"/>
      <c r="J90" s="71"/>
      <c r="K90" s="71"/>
      <c r="L90" s="71"/>
      <c r="M90" s="71"/>
      <c r="N90" s="71"/>
      <c r="O90" s="71"/>
      <c r="P90" s="71"/>
      <c r="Q90" s="71"/>
      <c r="R90" s="71"/>
      <c r="S90" s="71"/>
      <c r="T90" s="71"/>
      <c r="U90" s="71"/>
      <c r="V90" s="71"/>
      <c r="W90" s="71"/>
      <c r="X90" s="71"/>
      <c r="Y90" s="71"/>
      <c r="Z90" s="73"/>
      <c r="AA90" s="73"/>
      <c r="AB90" s="73"/>
      <c r="AC90" s="73"/>
      <c r="AE90" s="71"/>
      <c r="AF90" s="71"/>
      <c r="AG90" s="71"/>
      <c r="AH90" s="72"/>
      <c r="AI90" s="73"/>
      <c r="AJ90" s="117"/>
      <c r="AK90" s="71"/>
      <c r="AL90" s="71"/>
      <c r="AM90" s="71"/>
      <c r="AN90" s="72"/>
      <c r="AO90" s="73"/>
      <c r="AP90" s="117"/>
      <c r="AQ90" s="71"/>
      <c r="AR90" s="71"/>
      <c r="AS90" s="71"/>
      <c r="AT90" s="72"/>
      <c r="AU90" s="73"/>
      <c r="AV90" s="117"/>
      <c r="AW90" s="71"/>
      <c r="AX90" s="71"/>
      <c r="AY90" s="71"/>
      <c r="AZ90" s="273"/>
      <c r="BA90" s="73"/>
    </row>
    <row r="91" spans="1:53" ht="17.100000000000001" customHeight="1" x14ac:dyDescent="0.25">
      <c r="A91" s="102"/>
      <c r="B91" s="102"/>
      <c r="C91" s="103" t="s">
        <v>65</v>
      </c>
      <c r="D91" s="108" t="s">
        <v>66</v>
      </c>
      <c r="E91" s="108"/>
      <c r="F91" s="108"/>
      <c r="G91" s="108"/>
      <c r="H91" s="315"/>
      <c r="I91" s="232"/>
      <c r="J91" s="111"/>
      <c r="K91" s="111"/>
      <c r="L91" s="111"/>
      <c r="M91" s="111"/>
      <c r="N91" s="111"/>
      <c r="O91" s="111"/>
      <c r="P91" s="111"/>
      <c r="Q91" s="111"/>
      <c r="R91" s="111"/>
      <c r="S91" s="111"/>
      <c r="T91" s="111"/>
      <c r="U91" s="111"/>
      <c r="V91" s="111"/>
      <c r="W91" s="111"/>
      <c r="X91" s="111"/>
      <c r="Y91" s="111"/>
      <c r="Z91" s="113"/>
      <c r="AA91" s="113"/>
      <c r="AB91" s="113"/>
      <c r="AC91" s="113"/>
      <c r="AE91" s="114"/>
      <c r="AF91" s="114"/>
      <c r="AG91" s="114"/>
      <c r="AH91" s="112"/>
      <c r="AI91" s="113"/>
      <c r="AJ91" s="117"/>
      <c r="AK91" s="114"/>
      <c r="AL91" s="114"/>
      <c r="AM91" s="114"/>
      <c r="AN91" s="112"/>
      <c r="AO91" s="113"/>
      <c r="AP91" s="117"/>
      <c r="AQ91" s="114"/>
      <c r="AR91" s="114"/>
      <c r="AS91" s="114"/>
      <c r="AT91" s="112"/>
      <c r="AU91" s="113"/>
      <c r="AV91" s="117"/>
      <c r="AW91" s="114"/>
      <c r="AX91" s="114"/>
      <c r="AY91" s="114"/>
      <c r="AZ91" s="114"/>
      <c r="BA91" s="113"/>
    </row>
    <row r="92" spans="1:53" ht="17.100000000000001" customHeight="1" x14ac:dyDescent="0.25">
      <c r="A92" s="102"/>
      <c r="B92" s="118"/>
      <c r="C92" s="118"/>
      <c r="D92" s="103" t="s">
        <v>67</v>
      </c>
      <c r="E92" s="278" t="s">
        <v>558</v>
      </c>
      <c r="F92" s="312"/>
      <c r="G92" s="312"/>
      <c r="H92" s="317"/>
      <c r="I92" s="307"/>
      <c r="J92" s="152"/>
      <c r="K92" s="152"/>
      <c r="L92" s="111"/>
      <c r="M92" s="111"/>
      <c r="N92" s="152"/>
      <c r="O92" s="111"/>
      <c r="P92" s="60"/>
      <c r="Q92" s="152"/>
      <c r="R92" s="111"/>
      <c r="S92" s="60"/>
      <c r="T92" s="152"/>
      <c r="U92" s="111"/>
      <c r="V92" s="361"/>
      <c r="W92" s="391"/>
      <c r="X92" s="17"/>
      <c r="Y92" s="18">
        <f>M92+P92+S92+V92</f>
        <v>0</v>
      </c>
      <c r="Z92" s="19">
        <f>IF(Y$96=0,0,Y92/Y$96)</f>
        <v>0</v>
      </c>
      <c r="AA92" s="19"/>
      <c r="AB92" s="19"/>
      <c r="AC92" s="20"/>
      <c r="AE92" s="111"/>
      <c r="AF92" s="111"/>
      <c r="AG92" s="111"/>
      <c r="AH92" s="651"/>
      <c r="AI92" s="131"/>
      <c r="AJ92" s="117"/>
      <c r="AK92" s="111"/>
      <c r="AL92" s="111"/>
      <c r="AM92" s="111"/>
      <c r="AN92" s="651"/>
      <c r="AO92" s="131"/>
      <c r="AP92" s="117"/>
      <c r="AQ92" s="111"/>
      <c r="AR92" s="111"/>
      <c r="AS92" s="111"/>
      <c r="AT92" s="651"/>
      <c r="AU92" s="131"/>
      <c r="AV92" s="117"/>
      <c r="AW92" s="111"/>
      <c r="AX92" s="111"/>
      <c r="AY92" s="111"/>
      <c r="AZ92" s="111"/>
      <c r="BA92" s="131"/>
    </row>
    <row r="93" spans="1:53" ht="17.100000000000001" customHeight="1" x14ac:dyDescent="0.25">
      <c r="A93" s="102"/>
      <c r="B93" s="118"/>
      <c r="C93" s="118"/>
      <c r="D93" s="103" t="s">
        <v>69</v>
      </c>
      <c r="E93" s="278" t="s">
        <v>559</v>
      </c>
      <c r="F93" s="108"/>
      <c r="G93" s="108"/>
      <c r="H93" s="315"/>
      <c r="I93" s="232"/>
      <c r="J93" s="152"/>
      <c r="K93" s="152"/>
      <c r="L93" s="111"/>
      <c r="M93" s="111"/>
      <c r="N93" s="152"/>
      <c r="O93" s="111"/>
      <c r="P93" s="61">
        <v>1</v>
      </c>
      <c r="Q93" s="152"/>
      <c r="R93" s="111"/>
      <c r="S93" s="61">
        <v>1</v>
      </c>
      <c r="T93" s="152"/>
      <c r="U93" s="111"/>
      <c r="V93" s="362"/>
      <c r="W93" s="391"/>
      <c r="X93" s="17"/>
      <c r="Y93" s="18">
        <f t="shared" ref="Y93:Y95" si="78">M93+P93+S93+V93</f>
        <v>2</v>
      </c>
      <c r="Z93" s="19">
        <f t="shared" ref="Z93:Z96" si="79">IF(Y$96=0,0,Y93/Y$96)</f>
        <v>1</v>
      </c>
      <c r="AA93" s="19"/>
      <c r="AB93" s="19"/>
      <c r="AC93" s="20"/>
      <c r="AE93" s="111"/>
      <c r="AF93" s="111"/>
      <c r="AG93" s="111"/>
      <c r="AH93" s="651"/>
      <c r="AI93" s="131"/>
      <c r="AJ93" s="117"/>
      <c r="AK93" s="111"/>
      <c r="AL93" s="111"/>
      <c r="AM93" s="111"/>
      <c r="AN93" s="651"/>
      <c r="AO93" s="131"/>
      <c r="AP93" s="117"/>
      <c r="AQ93" s="111"/>
      <c r="AR93" s="111"/>
      <c r="AS93" s="111"/>
      <c r="AT93" s="651"/>
      <c r="AU93" s="131"/>
      <c r="AV93" s="117"/>
      <c r="AW93" s="111"/>
      <c r="AX93" s="111"/>
      <c r="AY93" s="111"/>
      <c r="AZ93" s="111"/>
      <c r="BA93" s="131"/>
    </row>
    <row r="94" spans="1:53" ht="17.100000000000001" customHeight="1" x14ac:dyDescent="0.25">
      <c r="A94" s="102"/>
      <c r="B94" s="118"/>
      <c r="C94" s="118"/>
      <c r="D94" s="103" t="s">
        <v>71</v>
      </c>
      <c r="E94" s="278" t="s">
        <v>560</v>
      </c>
      <c r="F94" s="108"/>
      <c r="G94" s="108"/>
      <c r="H94" s="315"/>
      <c r="I94" s="232"/>
      <c r="J94" s="152"/>
      <c r="K94" s="152"/>
      <c r="L94" s="111"/>
      <c r="M94" s="111"/>
      <c r="N94" s="152"/>
      <c r="O94" s="111"/>
      <c r="P94" s="60"/>
      <c r="Q94" s="152"/>
      <c r="R94" s="111"/>
      <c r="S94" s="60"/>
      <c r="T94" s="152"/>
      <c r="U94" s="111"/>
      <c r="V94" s="361"/>
      <c r="W94" s="391"/>
      <c r="X94" s="17"/>
      <c r="Y94" s="18">
        <f t="shared" si="78"/>
        <v>0</v>
      </c>
      <c r="Z94" s="19">
        <f t="shared" si="79"/>
        <v>0</v>
      </c>
      <c r="AA94" s="19"/>
      <c r="AB94" s="19"/>
      <c r="AC94" s="20"/>
      <c r="AE94" s="111"/>
      <c r="AF94" s="111"/>
      <c r="AG94" s="111"/>
      <c r="AH94" s="651"/>
      <c r="AI94" s="131"/>
      <c r="AJ94" s="117"/>
      <c r="AK94" s="111"/>
      <c r="AL94" s="111"/>
      <c r="AM94" s="111"/>
      <c r="AN94" s="651"/>
      <c r="AO94" s="131"/>
      <c r="AP94" s="117"/>
      <c r="AQ94" s="111"/>
      <c r="AR94" s="111"/>
      <c r="AS94" s="111"/>
      <c r="AT94" s="651"/>
      <c r="AU94" s="131"/>
      <c r="AV94" s="117"/>
      <c r="AW94" s="111"/>
      <c r="AX94" s="111"/>
      <c r="AY94" s="111"/>
      <c r="AZ94" s="111"/>
      <c r="BA94" s="131"/>
    </row>
    <row r="95" spans="1:53" ht="17.100000000000001" customHeight="1" x14ac:dyDescent="0.25">
      <c r="A95" s="102"/>
      <c r="B95" s="118"/>
      <c r="C95" s="118"/>
      <c r="D95" s="103" t="s">
        <v>73</v>
      </c>
      <c r="E95" s="278" t="s">
        <v>561</v>
      </c>
      <c r="F95" s="312"/>
      <c r="G95" s="312"/>
      <c r="H95" s="317"/>
      <c r="I95" s="307"/>
      <c r="J95" s="152"/>
      <c r="K95" s="152"/>
      <c r="L95" s="111"/>
      <c r="M95" s="111"/>
      <c r="N95" s="152"/>
      <c r="O95" s="111"/>
      <c r="P95" s="61"/>
      <c r="Q95" s="152"/>
      <c r="R95" s="111"/>
      <c r="S95" s="61"/>
      <c r="T95" s="152"/>
      <c r="U95" s="111"/>
      <c r="V95" s="362"/>
      <c r="W95" s="391"/>
      <c r="X95" s="17"/>
      <c r="Y95" s="18">
        <f t="shared" si="78"/>
        <v>0</v>
      </c>
      <c r="Z95" s="19">
        <f t="shared" si="79"/>
        <v>0</v>
      </c>
      <c r="AA95" s="19"/>
      <c r="AB95" s="19"/>
      <c r="AC95" s="20"/>
      <c r="AE95" s="111"/>
      <c r="AF95" s="111"/>
      <c r="AG95" s="111"/>
      <c r="AH95" s="651"/>
      <c r="AI95" s="131"/>
      <c r="AJ95" s="117"/>
      <c r="AK95" s="111"/>
      <c r="AL95" s="111"/>
      <c r="AM95" s="111"/>
      <c r="AN95" s="651"/>
      <c r="AO95" s="131"/>
      <c r="AP95" s="117"/>
      <c r="AQ95" s="111"/>
      <c r="AR95" s="111"/>
      <c r="AS95" s="111"/>
      <c r="AT95" s="651"/>
      <c r="AU95" s="131"/>
      <c r="AV95" s="117"/>
      <c r="AW95" s="111"/>
      <c r="AX95" s="111"/>
      <c r="AY95" s="111"/>
      <c r="AZ95" s="111"/>
      <c r="BA95" s="131"/>
    </row>
    <row r="96" spans="1:53" ht="17.100000000000001" customHeight="1" x14ac:dyDescent="0.25">
      <c r="A96" s="40"/>
      <c r="B96" s="40"/>
      <c r="C96" s="77"/>
      <c r="D96" s="78"/>
      <c r="E96" s="78"/>
      <c r="F96" s="78"/>
      <c r="G96" s="78"/>
      <c r="H96" s="316"/>
      <c r="I96" s="230"/>
      <c r="J96" s="80"/>
      <c r="K96" s="80"/>
      <c r="L96" s="81"/>
      <c r="M96" s="81"/>
      <c r="N96" s="81"/>
      <c r="O96" s="81"/>
      <c r="P96" s="82">
        <f>SUM(P92:P95)</f>
        <v>1</v>
      </c>
      <c r="Q96" s="81"/>
      <c r="R96" s="81"/>
      <c r="S96" s="82">
        <f>SUM(S92:S95)</f>
        <v>1</v>
      </c>
      <c r="T96" s="81"/>
      <c r="U96" s="81"/>
      <c r="V96" s="360">
        <f>SUM(V92:V95)</f>
        <v>0</v>
      </c>
      <c r="W96" s="381"/>
      <c r="X96" s="82"/>
      <c r="Y96" s="82">
        <f t="shared" ref="Y96" si="80">SUM(Y92:Y95)</f>
        <v>2</v>
      </c>
      <c r="Z96" s="205">
        <f t="shared" si="79"/>
        <v>1</v>
      </c>
      <c r="AA96" s="205"/>
      <c r="AB96" s="205"/>
      <c r="AC96" s="83"/>
      <c r="AE96" s="81"/>
      <c r="AF96" s="81"/>
      <c r="AG96" s="81"/>
      <c r="AH96" s="82"/>
      <c r="AI96" s="66"/>
      <c r="AJ96" s="117"/>
      <c r="AK96" s="81"/>
      <c r="AL96" s="81"/>
      <c r="AM96" s="81"/>
      <c r="AN96" s="82"/>
      <c r="AO96" s="66"/>
      <c r="AP96" s="117"/>
      <c r="AQ96" s="81"/>
      <c r="AR96" s="81"/>
      <c r="AS96" s="81"/>
      <c r="AT96" s="82"/>
      <c r="AU96" s="66"/>
      <c r="AV96" s="117"/>
      <c r="AW96" s="81"/>
      <c r="AX96" s="81"/>
      <c r="AY96" s="81"/>
      <c r="AZ96" s="81"/>
      <c r="BA96" s="66"/>
    </row>
    <row r="97" spans="1:53" s="117" customFormat="1" ht="17.100000000000001" customHeight="1" x14ac:dyDescent="0.25">
      <c r="A97" s="119"/>
      <c r="B97" s="119"/>
      <c r="C97" s="647"/>
      <c r="D97" s="212"/>
      <c r="E97" s="212"/>
      <c r="F97" s="212"/>
      <c r="G97" s="212"/>
      <c r="H97" s="242"/>
      <c r="I97" s="230"/>
      <c r="J97" s="17"/>
      <c r="K97" s="17"/>
      <c r="L97" s="17"/>
      <c r="M97" s="17"/>
      <c r="N97" s="17"/>
      <c r="O97" s="17"/>
      <c r="P97" s="17" t="str">
        <f>IF(P96=1,"OK","NOK")</f>
        <v>OK</v>
      </c>
      <c r="Q97" s="17"/>
      <c r="R97" s="17"/>
      <c r="S97" s="17" t="str">
        <f>IF(S96=1,"OK","NOK")</f>
        <v>OK</v>
      </c>
      <c r="T97" s="17"/>
      <c r="U97" s="17"/>
      <c r="V97" s="359" t="str">
        <f>IF(V96=1,"OK","NOK")</f>
        <v>NOK</v>
      </c>
      <c r="W97" s="382"/>
      <c r="X97" s="646"/>
      <c r="Y97" s="646"/>
      <c r="Z97" s="201"/>
      <c r="AA97" s="201"/>
      <c r="AB97" s="201"/>
      <c r="AC97" s="84"/>
      <c r="AE97" s="17"/>
      <c r="AF97" s="17"/>
      <c r="AG97" s="17"/>
      <c r="AH97" s="646"/>
      <c r="AI97" s="91"/>
      <c r="AK97" s="17"/>
      <c r="AL97" s="17"/>
      <c r="AM97" s="17"/>
      <c r="AN97" s="646"/>
      <c r="AO97" s="91"/>
      <c r="AQ97" s="17"/>
      <c r="AR97" s="17"/>
      <c r="AS97" s="17"/>
      <c r="AT97" s="646"/>
      <c r="AU97" s="91"/>
      <c r="AW97" s="17"/>
      <c r="AX97" s="17"/>
      <c r="AY97" s="17"/>
      <c r="AZ97" s="17"/>
      <c r="BA97" s="91"/>
    </row>
    <row r="98" spans="1:53" s="97" customFormat="1" ht="17.100000000000001" customHeight="1" x14ac:dyDescent="0.25">
      <c r="A98" s="68"/>
      <c r="B98" s="41" t="s">
        <v>74</v>
      </c>
      <c r="C98" s="69" t="s">
        <v>12</v>
      </c>
      <c r="D98" s="50"/>
      <c r="E98" s="70"/>
      <c r="F98" s="70"/>
      <c r="G98" s="70"/>
      <c r="H98" s="84"/>
      <c r="J98" s="71"/>
      <c r="K98" s="71"/>
      <c r="L98" s="71"/>
      <c r="M98" s="71"/>
      <c r="N98" s="71"/>
      <c r="O98" s="71"/>
      <c r="P98" s="71"/>
      <c r="Q98" s="71"/>
      <c r="R98" s="71"/>
      <c r="S98" s="71"/>
      <c r="T98" s="71"/>
      <c r="U98" s="71"/>
      <c r="V98" s="355"/>
      <c r="W98" s="377"/>
      <c r="X98" s="71"/>
      <c r="Y98" s="71"/>
      <c r="Z98" s="73"/>
      <c r="AA98" s="73"/>
      <c r="AB98" s="73"/>
      <c r="AC98" s="73"/>
      <c r="AE98" s="273"/>
      <c r="AF98" s="273"/>
      <c r="AG98" s="273"/>
      <c r="AH98" s="72"/>
      <c r="AI98" s="73"/>
      <c r="AJ98" s="3"/>
      <c r="AK98" s="273"/>
      <c r="AL98" s="273"/>
      <c r="AM98" s="273"/>
      <c r="AN98" s="72"/>
      <c r="AO98" s="73"/>
      <c r="AP98" s="3"/>
      <c r="AQ98" s="71"/>
      <c r="AR98" s="71"/>
      <c r="AS98" s="71"/>
      <c r="AT98" s="89"/>
      <c r="AU98" s="421"/>
      <c r="AV98" s="3"/>
      <c r="AW98" s="71"/>
      <c r="AX98" s="71"/>
      <c r="AY98" s="71"/>
      <c r="AZ98" s="71"/>
      <c r="BA98" s="421"/>
    </row>
    <row r="99" spans="1:53" s="97" customFormat="1" ht="17.100000000000001" customHeight="1" x14ac:dyDescent="0.25">
      <c r="A99" s="119"/>
      <c r="B99" s="119"/>
      <c r="C99" s="120" t="s">
        <v>895</v>
      </c>
      <c r="D99" s="85"/>
      <c r="E99" s="75"/>
      <c r="F99" s="75"/>
      <c r="G99" s="75"/>
      <c r="H99" s="928"/>
      <c r="I99" s="229"/>
      <c r="J99" s="111"/>
      <c r="K99" s="111"/>
      <c r="L99" s="111"/>
      <c r="M99" s="111"/>
      <c r="N99" s="111"/>
      <c r="O99" s="111"/>
      <c r="P99" s="111"/>
      <c r="Q99" s="111"/>
      <c r="R99" s="111"/>
      <c r="S99" s="111"/>
      <c r="T99" s="111"/>
      <c r="U99" s="111"/>
      <c r="V99" s="358"/>
      <c r="W99" s="380"/>
      <c r="X99" s="111"/>
      <c r="Y99" s="112"/>
      <c r="Z99" s="113"/>
      <c r="AA99" s="113"/>
      <c r="AB99" s="113"/>
      <c r="AC99" s="113"/>
      <c r="AE99" s="114"/>
      <c r="AF99" s="114"/>
      <c r="AG99" s="114"/>
      <c r="AH99" s="112"/>
      <c r="AI99" s="113"/>
      <c r="AK99" s="114"/>
      <c r="AL99" s="114"/>
      <c r="AM99" s="114"/>
      <c r="AN99" s="112"/>
      <c r="AO99" s="113"/>
      <c r="AQ99" s="114"/>
      <c r="AR99" s="114"/>
      <c r="AS99" s="114"/>
      <c r="AT99" s="112"/>
      <c r="AU99" s="113"/>
      <c r="AW99" s="114"/>
      <c r="AX99" s="114"/>
      <c r="AY99" s="114"/>
      <c r="AZ99" s="112"/>
      <c r="BA99" s="113"/>
    </row>
    <row r="100" spans="1:53" s="97" customFormat="1" ht="17.100000000000001" customHeight="1" x14ac:dyDescent="0.25">
      <c r="A100" s="119"/>
      <c r="B100" s="119"/>
      <c r="C100" s="928"/>
      <c r="D100" s="121" t="s">
        <v>75</v>
      </c>
      <c r="E100" s="122"/>
      <c r="F100" s="122"/>
      <c r="G100" s="122"/>
      <c r="H100" s="928"/>
      <c r="I100" s="229"/>
      <c r="J100" s="123"/>
      <c r="K100" s="123"/>
      <c r="L100" s="123"/>
      <c r="M100" s="123"/>
      <c r="N100" s="123"/>
      <c r="O100" s="123"/>
      <c r="P100" s="123"/>
      <c r="Q100" s="123"/>
      <c r="R100" s="123"/>
      <c r="S100" s="123"/>
      <c r="T100" s="123"/>
      <c r="U100" s="123"/>
      <c r="V100" s="363"/>
      <c r="W100" s="383"/>
      <c r="X100" s="123"/>
      <c r="Y100" s="124"/>
      <c r="Z100" s="125"/>
      <c r="AA100" s="125"/>
      <c r="AB100" s="125"/>
      <c r="AC100" s="125"/>
      <c r="AE100" s="126"/>
      <c r="AF100" s="126"/>
      <c r="AG100" s="126"/>
      <c r="AH100" s="124"/>
      <c r="AI100" s="125"/>
      <c r="AK100" s="126"/>
      <c r="AL100" s="126"/>
      <c r="AM100" s="126"/>
      <c r="AN100" s="124"/>
      <c r="AO100" s="125"/>
      <c r="AQ100" s="126"/>
      <c r="AR100" s="126"/>
      <c r="AS100" s="126"/>
      <c r="AT100" s="124"/>
      <c r="AU100" s="125"/>
      <c r="AW100" s="126"/>
      <c r="AX100" s="126"/>
      <c r="AY100" s="126"/>
      <c r="AZ100" s="124"/>
      <c r="BA100" s="125"/>
    </row>
    <row r="101" spans="1:53" s="97" customFormat="1" ht="17.100000000000001" customHeight="1" x14ac:dyDescent="0.25">
      <c r="A101" s="137"/>
      <c r="B101" s="119"/>
      <c r="C101" s="928"/>
      <c r="D101" s="941" t="s">
        <v>1438</v>
      </c>
      <c r="E101" s="122"/>
      <c r="F101" s="122"/>
      <c r="G101" s="122"/>
      <c r="H101" s="928"/>
      <c r="I101" s="229"/>
      <c r="J101" s="123"/>
      <c r="K101" s="123"/>
      <c r="L101" s="123"/>
      <c r="M101" s="123"/>
      <c r="N101" s="943">
        <f>N40</f>
        <v>0</v>
      </c>
      <c r="O101" s="943">
        <f>O40</f>
        <v>0</v>
      </c>
      <c r="P101" s="942">
        <f>SUM(N101:O101)</f>
        <v>0</v>
      </c>
      <c r="Q101" s="943">
        <f>Q40</f>
        <v>0</v>
      </c>
      <c r="R101" s="943">
        <f>R40</f>
        <v>0</v>
      </c>
      <c r="S101" s="942">
        <f>SUM(Q101:R101)</f>
        <v>0</v>
      </c>
      <c r="T101" s="943">
        <f>T40</f>
        <v>0</v>
      </c>
      <c r="U101" s="943">
        <f>U40</f>
        <v>0</v>
      </c>
      <c r="V101" s="942">
        <f>SUM(T101:U101)</f>
        <v>0</v>
      </c>
      <c r="W101" s="383"/>
      <c r="X101" s="123"/>
      <c r="Y101" s="124"/>
      <c r="Z101" s="125"/>
      <c r="AA101" s="125"/>
      <c r="AB101" s="125"/>
      <c r="AC101" s="125"/>
      <c r="AE101" s="126"/>
      <c r="AF101" s="126"/>
      <c r="AG101" s="126"/>
      <c r="AH101" s="124"/>
      <c r="AI101" s="125"/>
      <c r="AK101" s="126"/>
      <c r="AL101" s="126"/>
      <c r="AM101" s="126"/>
      <c r="AN101" s="124"/>
      <c r="AO101" s="125"/>
      <c r="AQ101" s="126"/>
      <c r="AR101" s="126"/>
      <c r="AS101" s="126"/>
      <c r="AT101" s="124"/>
      <c r="AU101" s="125"/>
      <c r="AW101" s="126"/>
      <c r="AX101" s="126"/>
      <c r="AY101" s="126"/>
      <c r="AZ101" s="124"/>
      <c r="BA101" s="125"/>
    </row>
    <row r="102" spans="1:53" s="97" customFormat="1" ht="17.100000000000001" customHeight="1" x14ac:dyDescent="0.25">
      <c r="A102" s="137"/>
      <c r="B102" s="119"/>
      <c r="C102" s="928"/>
      <c r="D102" s="127" t="s">
        <v>76</v>
      </c>
      <c r="E102" s="128"/>
      <c r="F102" s="122"/>
      <c r="G102" s="122"/>
      <c r="H102" s="928"/>
      <c r="I102" s="229"/>
      <c r="J102" s="123"/>
      <c r="K102" s="123"/>
      <c r="L102" s="123"/>
      <c r="M102" s="123"/>
      <c r="N102" s="943">
        <f>N63</f>
        <v>1</v>
      </c>
      <c r="O102" s="943">
        <f>O63</f>
        <v>4</v>
      </c>
      <c r="P102" s="942">
        <f>SUM(N102:O102)</f>
        <v>5</v>
      </c>
      <c r="Q102" s="943">
        <f>Q63</f>
        <v>0</v>
      </c>
      <c r="R102" s="943">
        <f>R63</f>
        <v>0</v>
      </c>
      <c r="S102" s="942">
        <f>SUM(Q102:R102)</f>
        <v>0</v>
      </c>
      <c r="T102" s="943">
        <f>T63</f>
        <v>0</v>
      </c>
      <c r="U102" s="943">
        <f>U63</f>
        <v>0</v>
      </c>
      <c r="V102" s="942">
        <f>SUM(T102:U102)</f>
        <v>0</v>
      </c>
      <c r="W102" s="383"/>
      <c r="X102" s="123"/>
      <c r="Y102" s="129">
        <f t="shared" ref="Y102:Y105" si="81">M102+P102+S102+V102</f>
        <v>5</v>
      </c>
      <c r="Z102" s="125"/>
      <c r="AA102" s="125"/>
      <c r="AB102" s="125"/>
      <c r="AC102" s="125"/>
      <c r="AE102" s="123"/>
      <c r="AF102" s="123"/>
      <c r="AG102" s="123"/>
      <c r="AH102" s="124"/>
      <c r="AI102" s="125"/>
      <c r="AK102" s="123"/>
      <c r="AL102" s="123"/>
      <c r="AM102" s="123"/>
      <c r="AN102" s="124"/>
      <c r="AO102" s="125"/>
      <c r="AQ102" s="123"/>
      <c r="AR102" s="123"/>
      <c r="AS102" s="123"/>
      <c r="AT102" s="124"/>
      <c r="AU102" s="125"/>
      <c r="AW102" s="123"/>
      <c r="AX102" s="123"/>
      <c r="AY102" s="123"/>
      <c r="AZ102" s="124"/>
      <c r="BA102" s="125"/>
    </row>
    <row r="103" spans="1:53" s="97" customFormat="1" ht="17.100000000000001" customHeight="1" x14ac:dyDescent="0.25">
      <c r="A103" s="137"/>
      <c r="B103" s="119"/>
      <c r="C103" s="928"/>
      <c r="D103" s="127" t="s">
        <v>77</v>
      </c>
      <c r="E103" s="128"/>
      <c r="F103" s="122"/>
      <c r="G103" s="122"/>
      <c r="H103" s="928"/>
      <c r="I103" s="229"/>
      <c r="J103" s="123"/>
      <c r="K103" s="123"/>
      <c r="L103" s="123"/>
      <c r="M103" s="123"/>
      <c r="N103" s="943">
        <f>N64</f>
        <v>0</v>
      </c>
      <c r="O103" s="943">
        <f>O64</f>
        <v>0</v>
      </c>
      <c r="P103" s="942">
        <f t="shared" ref="P103:P107" si="82">SUM(N103:O103)</f>
        <v>0</v>
      </c>
      <c r="Q103" s="943">
        <f>Q64</f>
        <v>0</v>
      </c>
      <c r="R103" s="943">
        <f>R64</f>
        <v>0</v>
      </c>
      <c r="S103" s="942">
        <f t="shared" ref="S103:S107" si="83">SUM(Q103:R103)</f>
        <v>0</v>
      </c>
      <c r="T103" s="943">
        <f>T64</f>
        <v>0</v>
      </c>
      <c r="U103" s="943">
        <f>U64</f>
        <v>0</v>
      </c>
      <c r="V103" s="942">
        <f t="shared" ref="V103:V107" si="84">SUM(T103:U103)</f>
        <v>0</v>
      </c>
      <c r="W103" s="383"/>
      <c r="X103" s="123"/>
      <c r="Y103" s="129">
        <f t="shared" si="81"/>
        <v>0</v>
      </c>
      <c r="Z103" s="125"/>
      <c r="AA103" s="125"/>
      <c r="AB103" s="125"/>
      <c r="AC103" s="125"/>
      <c r="AE103" s="123"/>
      <c r="AF103" s="123"/>
      <c r="AG103" s="123"/>
      <c r="AH103" s="124"/>
      <c r="AI103" s="125"/>
      <c r="AK103" s="123"/>
      <c r="AL103" s="123"/>
      <c r="AM103" s="123"/>
      <c r="AN103" s="124"/>
      <c r="AO103" s="125"/>
      <c r="AQ103" s="123"/>
      <c r="AR103" s="123"/>
      <c r="AS103" s="123"/>
      <c r="AT103" s="124"/>
      <c r="AU103" s="125"/>
      <c r="AW103" s="123"/>
      <c r="AX103" s="123"/>
      <c r="AY103" s="123"/>
      <c r="AZ103" s="124"/>
      <c r="BA103" s="125"/>
    </row>
    <row r="104" spans="1:53" s="97" customFormat="1" ht="17.100000000000001" customHeight="1" x14ac:dyDescent="0.25">
      <c r="A104" s="137"/>
      <c r="B104" s="137"/>
      <c r="C104" s="928"/>
      <c r="D104" s="127" t="s">
        <v>78</v>
      </c>
      <c r="E104" s="128"/>
      <c r="F104" s="122"/>
      <c r="G104" s="122"/>
      <c r="H104" s="928"/>
      <c r="I104" s="229"/>
      <c r="J104" s="123"/>
      <c r="K104" s="123"/>
      <c r="L104" s="123"/>
      <c r="M104" s="123"/>
      <c r="N104" s="943">
        <f>N71</f>
        <v>0</v>
      </c>
      <c r="O104" s="943">
        <f>O71</f>
        <v>0</v>
      </c>
      <c r="P104" s="942">
        <f t="shared" si="82"/>
        <v>0</v>
      </c>
      <c r="Q104" s="943">
        <f>Q71</f>
        <v>0</v>
      </c>
      <c r="R104" s="943">
        <f>R71</f>
        <v>0</v>
      </c>
      <c r="S104" s="942">
        <f t="shared" si="83"/>
        <v>0</v>
      </c>
      <c r="T104" s="943">
        <f>T71</f>
        <v>0</v>
      </c>
      <c r="U104" s="943">
        <f>U71</f>
        <v>0</v>
      </c>
      <c r="V104" s="942">
        <f t="shared" si="84"/>
        <v>0</v>
      </c>
      <c r="W104" s="383"/>
      <c r="X104" s="123"/>
      <c r="Y104" s="129">
        <f t="shared" si="81"/>
        <v>0</v>
      </c>
      <c r="Z104" s="125"/>
      <c r="AA104" s="125"/>
      <c r="AB104" s="125"/>
      <c r="AC104" s="125"/>
      <c r="AE104" s="123"/>
      <c r="AF104" s="123"/>
      <c r="AG104" s="123"/>
      <c r="AH104" s="124"/>
      <c r="AI104" s="125"/>
      <c r="AK104" s="123"/>
      <c r="AL104" s="123"/>
      <c r="AM104" s="123"/>
      <c r="AN104" s="124"/>
      <c r="AO104" s="125"/>
      <c r="AQ104" s="123"/>
      <c r="AR104" s="123"/>
      <c r="AS104" s="123"/>
      <c r="AT104" s="124"/>
      <c r="AU104" s="125"/>
      <c r="AW104" s="123"/>
      <c r="AX104" s="123"/>
      <c r="AY104" s="123"/>
      <c r="AZ104" s="124"/>
      <c r="BA104" s="125"/>
    </row>
    <row r="105" spans="1:53" s="97" customFormat="1" ht="17.100000000000001" customHeight="1" x14ac:dyDescent="0.25">
      <c r="A105" s="137"/>
      <c r="B105" s="137"/>
      <c r="C105" s="928"/>
      <c r="D105" s="127" t="s">
        <v>79</v>
      </c>
      <c r="E105" s="122"/>
      <c r="F105" s="122"/>
      <c r="G105" s="122"/>
      <c r="H105" s="928"/>
      <c r="I105" s="229"/>
      <c r="J105" s="123"/>
      <c r="K105" s="123"/>
      <c r="L105" s="123"/>
      <c r="M105" s="123"/>
      <c r="N105" s="943">
        <f>N72</f>
        <v>0</v>
      </c>
      <c r="O105" s="943">
        <f>O72</f>
        <v>0</v>
      </c>
      <c r="P105" s="942">
        <f t="shared" si="82"/>
        <v>0</v>
      </c>
      <c r="Q105" s="943">
        <f>Q72</f>
        <v>0</v>
      </c>
      <c r="R105" s="943">
        <f>R72</f>
        <v>0</v>
      </c>
      <c r="S105" s="942">
        <f t="shared" si="83"/>
        <v>0</v>
      </c>
      <c r="T105" s="943">
        <f>T72</f>
        <v>0</v>
      </c>
      <c r="U105" s="943">
        <f>U72</f>
        <v>0</v>
      </c>
      <c r="V105" s="942">
        <f t="shared" si="84"/>
        <v>0</v>
      </c>
      <c r="W105" s="383"/>
      <c r="X105" s="123"/>
      <c r="Y105" s="129">
        <f t="shared" si="81"/>
        <v>0</v>
      </c>
      <c r="Z105" s="125"/>
      <c r="AA105" s="125"/>
      <c r="AB105" s="125"/>
      <c r="AC105" s="125"/>
      <c r="AE105" s="123"/>
      <c r="AF105" s="123"/>
      <c r="AG105" s="123"/>
      <c r="AH105" s="124"/>
      <c r="AI105" s="125"/>
      <c r="AK105" s="123"/>
      <c r="AL105" s="123"/>
      <c r="AM105" s="123"/>
      <c r="AN105" s="124"/>
      <c r="AO105" s="125"/>
      <c r="AQ105" s="123"/>
      <c r="AR105" s="123"/>
      <c r="AS105" s="123"/>
      <c r="AT105" s="124"/>
      <c r="AU105" s="125"/>
      <c r="AW105" s="123"/>
      <c r="AX105" s="123"/>
      <c r="AY105" s="123"/>
      <c r="AZ105" s="124"/>
      <c r="BA105" s="125"/>
    </row>
    <row r="106" spans="1:53" s="97" customFormat="1" ht="17.100000000000001" customHeight="1" x14ac:dyDescent="0.25">
      <c r="A106" s="137"/>
      <c r="B106" s="137"/>
      <c r="C106" s="928"/>
      <c r="D106" s="127" t="s">
        <v>81</v>
      </c>
      <c r="E106" s="122"/>
      <c r="F106" s="122"/>
      <c r="G106" s="122"/>
      <c r="H106" s="928"/>
      <c r="I106" s="229"/>
      <c r="J106" s="123"/>
      <c r="K106" s="123"/>
      <c r="L106" s="123"/>
      <c r="M106" s="123"/>
      <c r="N106" s="943">
        <f>SUM(N101:N105)</f>
        <v>1</v>
      </c>
      <c r="O106" s="943">
        <f>SUM(O101:O105)</f>
        <v>4</v>
      </c>
      <c r="P106" s="942">
        <f t="shared" si="82"/>
        <v>5</v>
      </c>
      <c r="Q106" s="943">
        <f>SUM(Q101:Q105)</f>
        <v>0</v>
      </c>
      <c r="R106" s="943">
        <f>SUM(R101:R105)</f>
        <v>0</v>
      </c>
      <c r="S106" s="942">
        <f t="shared" si="83"/>
        <v>0</v>
      </c>
      <c r="T106" s="943">
        <f>SUM(T101:T105)</f>
        <v>0</v>
      </c>
      <c r="U106" s="943">
        <f>SUM(U101:U105)</f>
        <v>0</v>
      </c>
      <c r="V106" s="942">
        <f t="shared" si="84"/>
        <v>0</v>
      </c>
      <c r="W106" s="383"/>
      <c r="X106" s="123"/>
      <c r="Y106" s="129"/>
      <c r="Z106" s="125"/>
      <c r="AA106" s="125"/>
      <c r="AB106" s="125"/>
      <c r="AC106" s="125"/>
      <c r="AE106" s="123"/>
      <c r="AF106" s="123"/>
      <c r="AG106" s="123"/>
      <c r="AH106" s="124"/>
      <c r="AI106" s="125"/>
      <c r="AK106" s="123"/>
      <c r="AL106" s="123"/>
      <c r="AM106" s="123"/>
      <c r="AN106" s="124"/>
      <c r="AO106" s="125"/>
      <c r="AQ106" s="123"/>
      <c r="AR106" s="123"/>
      <c r="AS106" s="123"/>
      <c r="AT106" s="124"/>
      <c r="AU106" s="125"/>
      <c r="AW106" s="123"/>
      <c r="AX106" s="123"/>
      <c r="AY106" s="123"/>
      <c r="AZ106" s="124"/>
      <c r="BA106" s="125"/>
    </row>
    <row r="107" spans="1:53" s="97" customFormat="1" ht="17.100000000000001" customHeight="1" x14ac:dyDescent="0.25">
      <c r="A107" s="137"/>
      <c r="B107" s="137"/>
      <c r="C107" s="928"/>
      <c r="D107" s="127" t="s">
        <v>1439</v>
      </c>
      <c r="E107" s="122"/>
      <c r="F107" s="122"/>
      <c r="G107" s="122"/>
      <c r="H107" s="928"/>
      <c r="I107" s="229"/>
      <c r="J107" s="123"/>
      <c r="K107" s="123"/>
      <c r="L107" s="123"/>
      <c r="M107" s="123"/>
      <c r="N107" s="943">
        <f>N20*3</f>
        <v>3</v>
      </c>
      <c r="O107" s="943">
        <f>O20*3</f>
        <v>21</v>
      </c>
      <c r="P107" s="942">
        <f t="shared" si="82"/>
        <v>24</v>
      </c>
      <c r="Q107" s="943">
        <f>Q20*3</f>
        <v>3</v>
      </c>
      <c r="R107" s="943">
        <f>R20*3</f>
        <v>18</v>
      </c>
      <c r="S107" s="942">
        <f t="shared" si="83"/>
        <v>21</v>
      </c>
      <c r="T107" s="943">
        <f>T20*3</f>
        <v>0</v>
      </c>
      <c r="U107" s="943">
        <f>U20*3</f>
        <v>0</v>
      </c>
      <c r="V107" s="942">
        <f t="shared" si="84"/>
        <v>0</v>
      </c>
      <c r="W107" s="383"/>
      <c r="X107" s="123"/>
      <c r="Y107" s="129"/>
      <c r="Z107" s="125"/>
      <c r="AA107" s="125"/>
      <c r="AB107" s="125"/>
      <c r="AC107" s="125"/>
      <c r="AE107" s="123"/>
      <c r="AF107" s="123"/>
      <c r="AG107" s="123"/>
      <c r="AH107" s="124"/>
      <c r="AI107" s="125"/>
      <c r="AK107" s="123"/>
      <c r="AL107" s="123"/>
      <c r="AM107" s="123"/>
      <c r="AN107" s="124"/>
      <c r="AO107" s="125"/>
      <c r="AQ107" s="123"/>
      <c r="AR107" s="123"/>
      <c r="AS107" s="123"/>
      <c r="AT107" s="124"/>
      <c r="AU107" s="125"/>
      <c r="AW107" s="123"/>
      <c r="AX107" s="123"/>
      <c r="AY107" s="123"/>
      <c r="AZ107" s="124"/>
      <c r="BA107" s="125"/>
    </row>
    <row r="108" spans="1:53" s="97" customFormat="1" ht="17.100000000000001" customHeight="1" x14ac:dyDescent="0.25">
      <c r="A108" s="137"/>
      <c r="B108" s="119"/>
      <c r="C108" s="928"/>
      <c r="D108" s="127" t="s">
        <v>1440</v>
      </c>
      <c r="E108" s="122"/>
      <c r="F108" s="122"/>
      <c r="G108" s="122"/>
      <c r="H108" s="928"/>
      <c r="I108" s="229"/>
      <c r="J108" s="123"/>
      <c r="K108" s="123"/>
      <c r="L108" s="123"/>
      <c r="M108" s="123"/>
      <c r="N108" s="130">
        <f>IF(N107=0,0,N106/N107)</f>
        <v>0.33333333333333331</v>
      </c>
      <c r="O108" s="130">
        <f t="shared" ref="O108:V108" si="85">IF(O107=0,0,O106/O107)</f>
        <v>0.19047619047619047</v>
      </c>
      <c r="P108" s="130">
        <f t="shared" si="85"/>
        <v>0.20833333333333334</v>
      </c>
      <c r="Q108" s="130">
        <f t="shared" si="85"/>
        <v>0</v>
      </c>
      <c r="R108" s="130">
        <f t="shared" si="85"/>
        <v>0</v>
      </c>
      <c r="S108" s="130">
        <f t="shared" si="85"/>
        <v>0</v>
      </c>
      <c r="T108" s="130">
        <f t="shared" si="85"/>
        <v>0</v>
      </c>
      <c r="U108" s="130">
        <f t="shared" si="85"/>
        <v>0</v>
      </c>
      <c r="V108" s="130">
        <f t="shared" si="85"/>
        <v>0</v>
      </c>
      <c r="W108" s="383"/>
      <c r="X108" s="123"/>
      <c r="Y108" s="129"/>
      <c r="Z108" s="125"/>
      <c r="AA108" s="125"/>
      <c r="AB108" s="125"/>
      <c r="AC108" s="125"/>
      <c r="AE108" s="123"/>
      <c r="AF108" s="123"/>
      <c r="AG108" s="123"/>
      <c r="AH108" s="124"/>
      <c r="AI108" s="125"/>
      <c r="AK108" s="123"/>
      <c r="AL108" s="123"/>
      <c r="AM108" s="123"/>
      <c r="AN108" s="124"/>
      <c r="AO108" s="125"/>
      <c r="AQ108" s="123"/>
      <c r="AR108" s="123"/>
      <c r="AS108" s="123"/>
      <c r="AT108" s="124"/>
      <c r="AU108" s="125"/>
      <c r="AW108" s="123"/>
      <c r="AX108" s="123"/>
      <c r="AY108" s="123"/>
      <c r="AZ108" s="124"/>
      <c r="BA108" s="125"/>
    </row>
    <row r="109" spans="1:53" s="97" customFormat="1" ht="17.100000000000001" customHeight="1" x14ac:dyDescent="0.25">
      <c r="A109" s="137"/>
      <c r="B109" s="119"/>
      <c r="C109" s="103" t="s">
        <v>80</v>
      </c>
      <c r="D109" s="85" t="s">
        <v>896</v>
      </c>
      <c r="E109" s="75"/>
      <c r="F109" s="75"/>
      <c r="G109" s="75"/>
      <c r="H109" s="1310"/>
      <c r="I109" s="229"/>
      <c r="J109" s="1309"/>
      <c r="K109" s="1309"/>
      <c r="L109" s="1309"/>
      <c r="M109" s="1309"/>
      <c r="N109" s="1309"/>
      <c r="O109" s="1309"/>
      <c r="P109" s="1309">
        <f>IF(P108&gt;=0.5,1,0)</f>
        <v>0</v>
      </c>
      <c r="Q109" s="1309"/>
      <c r="R109" s="1309"/>
      <c r="S109" s="1309">
        <f>IF(S108&gt;=0.5,1,0)</f>
        <v>0</v>
      </c>
      <c r="T109" s="1309"/>
      <c r="U109" s="1309"/>
      <c r="V109" s="1309">
        <f>IF(V108&gt;=0.5,1,0)</f>
        <v>0</v>
      </c>
      <c r="W109" s="382"/>
      <c r="X109" s="1309"/>
      <c r="Y109" s="1309">
        <f t="shared" ref="Y109" si="86">M109+P109+S109+V109</f>
        <v>0</v>
      </c>
      <c r="Z109" s="91"/>
      <c r="AA109" s="91"/>
      <c r="AB109" s="91"/>
      <c r="AC109" s="84"/>
      <c r="AE109" s="1309"/>
      <c r="AF109" s="1309"/>
      <c r="AG109" s="1309"/>
      <c r="AH109" s="1309"/>
      <c r="AI109" s="91"/>
      <c r="AK109" s="1309"/>
      <c r="AL109" s="1309"/>
      <c r="AM109" s="1309"/>
      <c r="AN109" s="1309"/>
      <c r="AO109" s="91"/>
      <c r="AQ109" s="1309"/>
      <c r="AR109" s="1309"/>
      <c r="AS109" s="1309"/>
      <c r="AT109" s="1309"/>
      <c r="AU109" s="91"/>
      <c r="AW109" s="1309"/>
      <c r="AX109" s="1309"/>
      <c r="AY109" s="1309"/>
      <c r="AZ109" s="1309"/>
      <c r="BA109" s="91"/>
    </row>
    <row r="110" spans="1:53" s="97" customFormat="1" ht="17.100000000000001" customHeight="1" x14ac:dyDescent="0.25">
      <c r="A110" s="119"/>
      <c r="B110" s="119"/>
      <c r="C110" s="928"/>
      <c r="D110" s="121" t="s">
        <v>82</v>
      </c>
      <c r="E110" s="122"/>
      <c r="F110" s="122"/>
      <c r="G110" s="122"/>
      <c r="H110" s="928"/>
      <c r="I110" s="229"/>
      <c r="J110" s="123"/>
      <c r="K110" s="123"/>
      <c r="L110" s="123"/>
      <c r="M110" s="123"/>
      <c r="N110" s="123"/>
      <c r="O110" s="123"/>
      <c r="P110" s="123"/>
      <c r="Q110" s="123"/>
      <c r="R110" s="123"/>
      <c r="S110" s="123"/>
      <c r="T110" s="123"/>
      <c r="U110" s="123"/>
      <c r="V110" s="363"/>
      <c r="W110" s="383"/>
      <c r="X110" s="123"/>
      <c r="Y110" s="124"/>
      <c r="Z110" s="125"/>
      <c r="AA110" s="125"/>
      <c r="AB110" s="125"/>
      <c r="AC110" s="125"/>
      <c r="AE110" s="126"/>
      <c r="AF110" s="126"/>
      <c r="AG110" s="126"/>
      <c r="AH110" s="124"/>
      <c r="AI110" s="125"/>
      <c r="AK110" s="126"/>
      <c r="AL110" s="126"/>
      <c r="AM110" s="126"/>
      <c r="AN110" s="124"/>
      <c r="AO110" s="125"/>
      <c r="AQ110" s="126"/>
      <c r="AR110" s="126"/>
      <c r="AS110" s="126"/>
      <c r="AT110" s="124"/>
      <c r="AU110" s="125"/>
      <c r="AW110" s="126"/>
      <c r="AX110" s="126"/>
      <c r="AY110" s="126"/>
      <c r="AZ110" s="124"/>
      <c r="BA110" s="125"/>
    </row>
    <row r="111" spans="1:53" s="97" customFormat="1" ht="17.100000000000001" customHeight="1" x14ac:dyDescent="0.25">
      <c r="A111" s="119"/>
      <c r="B111" s="119"/>
      <c r="C111" s="928"/>
      <c r="D111" s="127" t="s">
        <v>910</v>
      </c>
      <c r="E111" s="122"/>
      <c r="F111" s="122"/>
      <c r="G111" s="122"/>
      <c r="H111" s="928"/>
      <c r="I111" s="229"/>
      <c r="J111" s="123"/>
      <c r="K111" s="123"/>
      <c r="L111" s="123"/>
      <c r="M111" s="123"/>
      <c r="N111" s="123"/>
      <c r="O111" s="123"/>
      <c r="P111" s="129">
        <f>P80</f>
        <v>0</v>
      </c>
      <c r="Q111" s="123"/>
      <c r="R111" s="123"/>
      <c r="S111" s="129">
        <f>S80</f>
        <v>0</v>
      </c>
      <c r="T111" s="123"/>
      <c r="U111" s="123"/>
      <c r="V111" s="129">
        <f>V80</f>
        <v>0</v>
      </c>
      <c r="W111" s="383"/>
      <c r="X111" s="123"/>
      <c r="Y111" s="124"/>
      <c r="Z111" s="125"/>
      <c r="AA111" s="125"/>
      <c r="AB111" s="125"/>
      <c r="AC111" s="125"/>
      <c r="AE111" s="126"/>
      <c r="AF111" s="126"/>
      <c r="AG111" s="126"/>
      <c r="AH111" s="124"/>
      <c r="AI111" s="125"/>
      <c r="AK111" s="126"/>
      <c r="AL111" s="126"/>
      <c r="AM111" s="126"/>
      <c r="AN111" s="124"/>
      <c r="AO111" s="125"/>
      <c r="AQ111" s="126"/>
      <c r="AR111" s="126"/>
      <c r="AS111" s="126"/>
      <c r="AT111" s="124"/>
      <c r="AU111" s="125"/>
      <c r="AW111" s="126"/>
      <c r="AX111" s="126"/>
      <c r="AY111" s="126"/>
      <c r="AZ111" s="124"/>
      <c r="BA111" s="125"/>
    </row>
    <row r="112" spans="1:53" s="97" customFormat="1" ht="17.100000000000001" customHeight="1" x14ac:dyDescent="0.25">
      <c r="A112" s="119"/>
      <c r="B112" s="119"/>
      <c r="C112" s="928"/>
      <c r="D112" s="127" t="s">
        <v>83</v>
      </c>
      <c r="E112" s="122"/>
      <c r="F112" s="122"/>
      <c r="G112" s="122"/>
      <c r="H112" s="928"/>
      <c r="I112" s="229"/>
      <c r="J112" s="123"/>
      <c r="K112" s="123"/>
      <c r="L112" s="123"/>
      <c r="M112" s="123"/>
      <c r="N112" s="123"/>
      <c r="O112" s="123"/>
      <c r="P112" s="129">
        <f>P85</f>
        <v>0</v>
      </c>
      <c r="Q112" s="123"/>
      <c r="R112" s="123"/>
      <c r="S112" s="129">
        <f>S85</f>
        <v>0</v>
      </c>
      <c r="T112" s="123"/>
      <c r="U112" s="123"/>
      <c r="V112" s="129">
        <f>V85</f>
        <v>0</v>
      </c>
      <c r="W112" s="383"/>
      <c r="X112" s="123"/>
      <c r="Y112" s="129"/>
      <c r="Z112" s="125"/>
      <c r="AA112" s="125"/>
      <c r="AB112" s="125"/>
      <c r="AC112" s="125"/>
      <c r="AE112" s="123"/>
      <c r="AF112" s="123"/>
      <c r="AG112" s="123"/>
      <c r="AH112" s="124"/>
      <c r="AI112" s="125"/>
      <c r="AK112" s="123"/>
      <c r="AL112" s="123"/>
      <c r="AM112" s="123"/>
      <c r="AN112" s="124"/>
      <c r="AO112" s="125"/>
      <c r="AQ112" s="123"/>
      <c r="AR112" s="123"/>
      <c r="AS112" s="123"/>
      <c r="AT112" s="124"/>
      <c r="AU112" s="125"/>
      <c r="AW112" s="123"/>
      <c r="AX112" s="123"/>
      <c r="AY112" s="123"/>
      <c r="AZ112" s="124"/>
      <c r="BA112" s="125"/>
    </row>
    <row r="113" spans="1:53" s="97" customFormat="1" ht="17.100000000000001" customHeight="1" x14ac:dyDescent="0.25">
      <c r="A113" s="119"/>
      <c r="B113" s="119"/>
      <c r="C113" s="928"/>
      <c r="D113" s="127" t="s">
        <v>84</v>
      </c>
      <c r="E113" s="122"/>
      <c r="F113" s="122"/>
      <c r="G113" s="122"/>
      <c r="H113" s="928"/>
      <c r="I113" s="229"/>
      <c r="J113" s="123"/>
      <c r="K113" s="123"/>
      <c r="L113" s="123"/>
      <c r="M113" s="123"/>
      <c r="N113" s="123"/>
      <c r="O113" s="123"/>
      <c r="P113" s="129">
        <f>P86</f>
        <v>0</v>
      </c>
      <c r="Q113" s="123"/>
      <c r="R113" s="123"/>
      <c r="S113" s="129">
        <f>S86</f>
        <v>0</v>
      </c>
      <c r="T113" s="123"/>
      <c r="U113" s="123"/>
      <c r="V113" s="129">
        <f>V86</f>
        <v>0</v>
      </c>
      <c r="W113" s="383"/>
      <c r="X113" s="123"/>
      <c r="Y113" s="129"/>
      <c r="Z113" s="125"/>
      <c r="AA113" s="125"/>
      <c r="AB113" s="125"/>
      <c r="AC113" s="125"/>
      <c r="AE113" s="123"/>
      <c r="AF113" s="123"/>
      <c r="AG113" s="123"/>
      <c r="AH113" s="124"/>
      <c r="AI113" s="125"/>
      <c r="AK113" s="123"/>
      <c r="AL113" s="123"/>
      <c r="AM113" s="123"/>
      <c r="AN113" s="124"/>
      <c r="AO113" s="125"/>
      <c r="AQ113" s="123"/>
      <c r="AR113" s="123"/>
      <c r="AS113" s="123"/>
      <c r="AT113" s="124"/>
      <c r="AU113" s="125"/>
      <c r="AW113" s="123"/>
      <c r="AX113" s="123"/>
      <c r="AY113" s="123"/>
      <c r="AZ113" s="124"/>
      <c r="BA113" s="125"/>
    </row>
    <row r="114" spans="1:53" s="97" customFormat="1" ht="17.100000000000001" customHeight="1" x14ac:dyDescent="0.25">
      <c r="A114" s="119"/>
      <c r="B114" s="119"/>
      <c r="C114" s="928"/>
      <c r="D114" s="127" t="s">
        <v>85</v>
      </c>
      <c r="E114" s="122"/>
      <c r="F114" s="122"/>
      <c r="G114" s="122"/>
      <c r="H114" s="928"/>
      <c r="I114" s="229"/>
      <c r="J114" s="123"/>
      <c r="K114" s="123"/>
      <c r="L114" s="123"/>
      <c r="M114" s="123"/>
      <c r="N114" s="123"/>
      <c r="O114" s="123"/>
      <c r="P114" s="129">
        <f>P87</f>
        <v>0</v>
      </c>
      <c r="Q114" s="123"/>
      <c r="R114" s="123"/>
      <c r="S114" s="129">
        <f>S87</f>
        <v>0</v>
      </c>
      <c r="T114" s="123"/>
      <c r="U114" s="123"/>
      <c r="V114" s="129">
        <f>V87</f>
        <v>0</v>
      </c>
      <c r="W114" s="383"/>
      <c r="X114" s="123"/>
      <c r="Y114" s="129"/>
      <c r="Z114" s="125"/>
      <c r="AA114" s="125"/>
      <c r="AB114" s="125"/>
      <c r="AC114" s="125"/>
      <c r="AE114" s="123"/>
      <c r="AF114" s="123"/>
      <c r="AG114" s="123"/>
      <c r="AH114" s="124"/>
      <c r="AI114" s="125"/>
      <c r="AK114" s="123"/>
      <c r="AL114" s="123"/>
      <c r="AM114" s="123"/>
      <c r="AN114" s="124"/>
      <c r="AO114" s="125"/>
      <c r="AQ114" s="123"/>
      <c r="AR114" s="123"/>
      <c r="AS114" s="123"/>
      <c r="AT114" s="124"/>
      <c r="AU114" s="125"/>
      <c r="AW114" s="123"/>
      <c r="AX114" s="123"/>
      <c r="AY114" s="123"/>
      <c r="AZ114" s="124"/>
      <c r="BA114" s="125"/>
    </row>
    <row r="115" spans="1:53" s="97" customFormat="1" ht="17.100000000000001" customHeight="1" x14ac:dyDescent="0.25">
      <c r="A115" s="119"/>
      <c r="B115" s="119"/>
      <c r="C115" s="103" t="s">
        <v>86</v>
      </c>
      <c r="D115" s="85" t="s">
        <v>907</v>
      </c>
      <c r="E115" s="75"/>
      <c r="F115" s="75"/>
      <c r="G115" s="75"/>
      <c r="H115" s="928"/>
      <c r="I115" s="229"/>
      <c r="J115" s="932"/>
      <c r="K115" s="932"/>
      <c r="L115" s="932"/>
      <c r="M115" s="932"/>
      <c r="N115" s="932"/>
      <c r="O115" s="932"/>
      <c r="P115" s="932"/>
      <c r="Q115" s="932"/>
      <c r="R115" s="932"/>
      <c r="S115" s="932"/>
      <c r="T115" s="932"/>
      <c r="U115" s="932"/>
      <c r="V115" s="932"/>
      <c r="W115" s="385"/>
      <c r="X115" s="932"/>
      <c r="Y115" s="932"/>
      <c r="Z115" s="131"/>
      <c r="AA115" s="131"/>
      <c r="AB115" s="131"/>
      <c r="AC115" s="113"/>
      <c r="AE115" s="927"/>
      <c r="AF115" s="927"/>
      <c r="AG115" s="927"/>
      <c r="AH115" s="927"/>
      <c r="AI115" s="91"/>
      <c r="AK115" s="927"/>
      <c r="AL115" s="927"/>
      <c r="AM115" s="927"/>
      <c r="AN115" s="927"/>
      <c r="AO115" s="91"/>
      <c r="AQ115" s="927"/>
      <c r="AR115" s="927"/>
      <c r="AS115" s="927"/>
      <c r="AT115" s="927"/>
      <c r="AU115" s="91"/>
      <c r="AW115" s="927"/>
      <c r="AX115" s="927"/>
      <c r="AY115" s="927"/>
      <c r="AZ115" s="927"/>
      <c r="BA115" s="91"/>
    </row>
    <row r="116" spans="1:53" s="97" customFormat="1" ht="17.100000000000001" customHeight="1" x14ac:dyDescent="0.25">
      <c r="A116" s="119"/>
      <c r="B116" s="119"/>
      <c r="C116" s="119"/>
      <c r="D116" s="74" t="s">
        <v>905</v>
      </c>
      <c r="E116" s="75" t="s">
        <v>908</v>
      </c>
      <c r="F116" s="75"/>
      <c r="G116" s="75"/>
      <c r="H116" s="928"/>
      <c r="I116" s="229"/>
      <c r="J116" s="927"/>
      <c r="K116" s="927"/>
      <c r="L116" s="927"/>
      <c r="M116" s="927"/>
      <c r="N116" s="927"/>
      <c r="O116" s="927"/>
      <c r="P116" s="927">
        <f>IF(SUM(P111:P112)&gt;=1,1,0)</f>
        <v>0</v>
      </c>
      <c r="Q116" s="927"/>
      <c r="R116" s="927"/>
      <c r="S116" s="927">
        <f>IF(SUM(S111:S112)&gt;=1,1,0)</f>
        <v>0</v>
      </c>
      <c r="T116" s="927"/>
      <c r="U116" s="927"/>
      <c r="V116" s="927">
        <f>IF(SUM(V111:V112)&gt;=1,1,0)</f>
        <v>0</v>
      </c>
      <c r="W116" s="382"/>
      <c r="X116" s="927"/>
      <c r="Y116" s="927">
        <f t="shared" ref="Y116:Y121" si="87">M116+P116+S116+V116</f>
        <v>0</v>
      </c>
      <c r="Z116" s="91"/>
      <c r="AA116" s="91"/>
      <c r="AB116" s="91"/>
      <c r="AC116" s="84"/>
      <c r="AE116" s="927"/>
      <c r="AF116" s="927"/>
      <c r="AG116" s="927"/>
      <c r="AH116" s="927"/>
      <c r="AI116" s="91"/>
      <c r="AK116" s="927"/>
      <c r="AL116" s="927"/>
      <c r="AM116" s="927"/>
      <c r="AN116" s="927"/>
      <c r="AO116" s="91"/>
      <c r="AQ116" s="927"/>
      <c r="AR116" s="927"/>
      <c r="AS116" s="927"/>
      <c r="AT116" s="927"/>
      <c r="AU116" s="91"/>
      <c r="AW116" s="927"/>
      <c r="AX116" s="927"/>
      <c r="AY116" s="927"/>
      <c r="AZ116" s="927"/>
      <c r="BA116" s="91"/>
    </row>
    <row r="117" spans="1:53" s="97" customFormat="1" ht="17.100000000000001" customHeight="1" x14ac:dyDescent="0.25">
      <c r="A117" s="119"/>
      <c r="B117" s="119"/>
      <c r="C117" s="119"/>
      <c r="D117" s="74" t="s">
        <v>906</v>
      </c>
      <c r="E117" s="75" t="s">
        <v>909</v>
      </c>
      <c r="F117" s="75"/>
      <c r="G117" s="75"/>
      <c r="H117" s="928"/>
      <c r="I117" s="229"/>
      <c r="J117" s="927"/>
      <c r="K117" s="927"/>
      <c r="L117" s="927"/>
      <c r="M117" s="927"/>
      <c r="N117" s="927"/>
      <c r="O117" s="927"/>
      <c r="P117" s="927">
        <f>IF(SUM(P113:P114)&gt;=1,1,0)</f>
        <v>0</v>
      </c>
      <c r="Q117" s="927"/>
      <c r="R117" s="927"/>
      <c r="S117" s="927">
        <f>IF(SUM(S113:S114)&gt;=1,1,0)</f>
        <v>0</v>
      </c>
      <c r="T117" s="927"/>
      <c r="U117" s="927"/>
      <c r="V117" s="927">
        <f>IF(SUM(V113:V114)&gt;=1,1,0)</f>
        <v>0</v>
      </c>
      <c r="W117" s="382"/>
      <c r="X117" s="927"/>
      <c r="Y117" s="927">
        <f t="shared" si="87"/>
        <v>0</v>
      </c>
      <c r="Z117" s="91"/>
      <c r="AA117" s="91"/>
      <c r="AB117" s="91"/>
      <c r="AC117" s="84"/>
      <c r="AE117" s="927"/>
      <c r="AF117" s="927"/>
      <c r="AG117" s="927"/>
      <c r="AH117" s="927"/>
      <c r="AI117" s="91"/>
      <c r="AK117" s="927"/>
      <c r="AL117" s="927"/>
      <c r="AM117" s="927"/>
      <c r="AN117" s="927"/>
      <c r="AO117" s="91"/>
      <c r="AQ117" s="927"/>
      <c r="AR117" s="927"/>
      <c r="AS117" s="927"/>
      <c r="AT117" s="927"/>
      <c r="AU117" s="91"/>
      <c r="AW117" s="927"/>
      <c r="AX117" s="927"/>
      <c r="AY117" s="927"/>
      <c r="AZ117" s="927"/>
      <c r="BA117" s="91"/>
    </row>
    <row r="118" spans="1:53" s="97" customFormat="1" ht="17.100000000000001" customHeight="1" x14ac:dyDescent="0.25">
      <c r="A118" s="119"/>
      <c r="B118" s="119"/>
      <c r="C118" s="928"/>
      <c r="D118" s="121" t="s">
        <v>88</v>
      </c>
      <c r="E118" s="122"/>
      <c r="F118" s="122"/>
      <c r="G118" s="122"/>
      <c r="H118" s="928"/>
      <c r="I118" s="229"/>
      <c r="J118" s="123"/>
      <c r="K118" s="123"/>
      <c r="L118" s="123"/>
      <c r="M118" s="123"/>
      <c r="N118" s="123"/>
      <c r="O118" s="123"/>
      <c r="P118" s="123"/>
      <c r="Q118" s="123"/>
      <c r="R118" s="123"/>
      <c r="S118" s="123"/>
      <c r="T118" s="123"/>
      <c r="U118" s="123"/>
      <c r="V118" s="363"/>
      <c r="W118" s="383"/>
      <c r="X118" s="123"/>
      <c r="Y118" s="124"/>
      <c r="Z118" s="125"/>
      <c r="AA118" s="125"/>
      <c r="AB118" s="125"/>
      <c r="AC118" s="125"/>
      <c r="AE118" s="126"/>
      <c r="AF118" s="126"/>
      <c r="AG118" s="126"/>
      <c r="AH118" s="124"/>
      <c r="AI118" s="125"/>
      <c r="AK118" s="126"/>
      <c r="AL118" s="126"/>
      <c r="AM118" s="126"/>
      <c r="AN118" s="124"/>
      <c r="AO118" s="125"/>
      <c r="AQ118" s="126"/>
      <c r="AR118" s="126"/>
      <c r="AS118" s="126"/>
      <c r="AT118" s="124"/>
      <c r="AU118" s="125"/>
      <c r="AW118" s="126"/>
      <c r="AX118" s="126"/>
      <c r="AY118" s="126"/>
      <c r="AZ118" s="124"/>
      <c r="BA118" s="125"/>
    </row>
    <row r="119" spans="1:53" s="97" customFormat="1" ht="17.100000000000001" customHeight="1" x14ac:dyDescent="0.25">
      <c r="A119" s="119"/>
      <c r="B119" s="119"/>
      <c r="C119" s="928"/>
      <c r="D119" s="127" t="s">
        <v>90</v>
      </c>
      <c r="E119" s="122"/>
      <c r="F119" s="122"/>
      <c r="G119" s="279"/>
      <c r="H119" s="928"/>
      <c r="I119" s="229"/>
      <c r="J119" s="123"/>
      <c r="K119" s="123"/>
      <c r="L119" s="123"/>
      <c r="M119" s="123"/>
      <c r="N119" s="123"/>
      <c r="O119" s="123"/>
      <c r="P119" s="123">
        <f>P92</f>
        <v>0</v>
      </c>
      <c r="Q119" s="123"/>
      <c r="R119" s="123"/>
      <c r="S119" s="123">
        <f>S92</f>
        <v>0</v>
      </c>
      <c r="T119" s="123"/>
      <c r="U119" s="123"/>
      <c r="V119" s="123">
        <f>V92</f>
        <v>0</v>
      </c>
      <c r="W119" s="383"/>
      <c r="X119" s="123"/>
      <c r="Y119" s="123">
        <f t="shared" si="87"/>
        <v>0</v>
      </c>
      <c r="Z119" s="125"/>
      <c r="AA119" s="125"/>
      <c r="AB119" s="125"/>
      <c r="AC119" s="125"/>
      <c r="AE119" s="123"/>
      <c r="AF119" s="123"/>
      <c r="AG119" s="123"/>
      <c r="AH119" s="124"/>
      <c r="AI119" s="125"/>
      <c r="AK119" s="123"/>
      <c r="AL119" s="123"/>
      <c r="AM119" s="123"/>
      <c r="AN119" s="124"/>
      <c r="AO119" s="125"/>
      <c r="AQ119" s="123"/>
      <c r="AR119" s="123"/>
      <c r="AS119" s="123"/>
      <c r="AT119" s="124"/>
      <c r="AU119" s="125"/>
      <c r="AW119" s="123"/>
      <c r="AX119" s="123"/>
      <c r="AY119" s="123"/>
      <c r="AZ119" s="124"/>
      <c r="BA119" s="125"/>
    </row>
    <row r="120" spans="1:53" s="97" customFormat="1" ht="17.100000000000001" customHeight="1" x14ac:dyDescent="0.25">
      <c r="A120" s="119"/>
      <c r="B120" s="119"/>
      <c r="C120" s="928"/>
      <c r="D120" s="127" t="s">
        <v>89</v>
      </c>
      <c r="E120" s="122"/>
      <c r="F120" s="128"/>
      <c r="G120" s="279"/>
      <c r="H120" s="928"/>
      <c r="I120" s="229"/>
      <c r="J120" s="123"/>
      <c r="K120" s="123"/>
      <c r="L120" s="123"/>
      <c r="M120" s="123"/>
      <c r="N120" s="123"/>
      <c r="O120" s="123"/>
      <c r="P120" s="123">
        <f>SUM(P93:P95)</f>
        <v>1</v>
      </c>
      <c r="Q120" s="123"/>
      <c r="R120" s="123"/>
      <c r="S120" s="123">
        <f>SUM(S93:S95)</f>
        <v>1</v>
      </c>
      <c r="T120" s="123"/>
      <c r="U120" s="123"/>
      <c r="V120" s="123">
        <f>SUM(V93:V95)</f>
        <v>0</v>
      </c>
      <c r="W120" s="383"/>
      <c r="X120" s="123"/>
      <c r="Y120" s="123">
        <f t="shared" si="87"/>
        <v>2</v>
      </c>
      <c r="Z120" s="125"/>
      <c r="AA120" s="125"/>
      <c r="AB120" s="125"/>
      <c r="AC120" s="125"/>
      <c r="AE120" s="123"/>
      <c r="AF120" s="123"/>
      <c r="AG120" s="123"/>
      <c r="AH120" s="124"/>
      <c r="AI120" s="125"/>
      <c r="AK120" s="123"/>
      <c r="AL120" s="123"/>
      <c r="AM120" s="123"/>
      <c r="AN120" s="124"/>
      <c r="AO120" s="125"/>
      <c r="AQ120" s="123"/>
      <c r="AR120" s="123"/>
      <c r="AS120" s="123"/>
      <c r="AT120" s="124"/>
      <c r="AU120" s="125"/>
      <c r="AW120" s="123"/>
      <c r="AX120" s="123"/>
      <c r="AY120" s="123"/>
      <c r="AZ120" s="124"/>
      <c r="BA120" s="125"/>
    </row>
    <row r="121" spans="1:53" s="97" customFormat="1" ht="17.100000000000001" customHeight="1" x14ac:dyDescent="0.25">
      <c r="A121" s="119"/>
      <c r="B121" s="119"/>
      <c r="C121" s="928"/>
      <c r="D121" s="127" t="s">
        <v>91</v>
      </c>
      <c r="E121" s="122"/>
      <c r="F121" s="122"/>
      <c r="G121" s="279"/>
      <c r="H121" s="928"/>
      <c r="I121" s="229"/>
      <c r="J121" s="129"/>
      <c r="K121" s="129"/>
      <c r="L121" s="129"/>
      <c r="M121" s="129"/>
      <c r="N121" s="129"/>
      <c r="O121" s="129"/>
      <c r="P121" s="129">
        <f t="shared" ref="P121" si="88">IF(P119=1,0,IF(P120=1,1,0))</f>
        <v>1</v>
      </c>
      <c r="Q121" s="129"/>
      <c r="R121" s="129"/>
      <c r="S121" s="129">
        <f t="shared" ref="S121" si="89">IF(S119=1,0,IF(S120=1,1,0))</f>
        <v>1</v>
      </c>
      <c r="T121" s="129"/>
      <c r="U121" s="129"/>
      <c r="V121" s="129">
        <f t="shared" ref="V121" si="90">IF(V119=1,0,IF(V120=1,1,0))</f>
        <v>0</v>
      </c>
      <c r="W121" s="384"/>
      <c r="X121" s="129"/>
      <c r="Y121" s="129">
        <f t="shared" si="87"/>
        <v>2</v>
      </c>
      <c r="Z121" s="130"/>
      <c r="AA121" s="130"/>
      <c r="AB121" s="130"/>
      <c r="AC121" s="125"/>
      <c r="AE121" s="129"/>
      <c r="AF121" s="129"/>
      <c r="AG121" s="129"/>
      <c r="AH121" s="129"/>
      <c r="AI121" s="130"/>
      <c r="AK121" s="129"/>
      <c r="AL121" s="129"/>
      <c r="AM121" s="129"/>
      <c r="AN121" s="129"/>
      <c r="AO121" s="130"/>
      <c r="AQ121" s="129"/>
      <c r="AR121" s="129"/>
      <c r="AS121" s="129"/>
      <c r="AT121" s="129"/>
      <c r="AU121" s="130"/>
      <c r="AW121" s="129"/>
      <c r="AX121" s="129"/>
      <c r="AY121" s="129"/>
      <c r="AZ121" s="129"/>
      <c r="BA121" s="130"/>
    </row>
    <row r="122" spans="1:53" s="97" customFormat="1" ht="17.100000000000001" customHeight="1" x14ac:dyDescent="0.25">
      <c r="A122" s="119"/>
      <c r="B122" s="119"/>
      <c r="C122" s="103" t="s">
        <v>92</v>
      </c>
      <c r="D122" s="85" t="s">
        <v>914</v>
      </c>
      <c r="E122" s="75"/>
      <c r="F122" s="75"/>
      <c r="G122" s="75"/>
      <c r="H122" s="928"/>
      <c r="I122" s="229"/>
      <c r="J122" s="927"/>
      <c r="K122" s="927"/>
      <c r="L122" s="927"/>
      <c r="M122" s="927"/>
      <c r="N122" s="927"/>
      <c r="O122" s="927"/>
      <c r="P122" s="927">
        <f>P121</f>
        <v>1</v>
      </c>
      <c r="Q122" s="927"/>
      <c r="R122" s="927"/>
      <c r="S122" s="927">
        <f>S121</f>
        <v>1</v>
      </c>
      <c r="T122" s="927"/>
      <c r="U122" s="927"/>
      <c r="V122" s="927">
        <f>V121</f>
        <v>0</v>
      </c>
      <c r="W122" s="382"/>
      <c r="X122" s="927"/>
      <c r="Y122" s="927">
        <f>SUM(J122:X122)</f>
        <v>2</v>
      </c>
      <c r="Z122" s="91"/>
      <c r="AA122" s="91"/>
      <c r="AB122" s="91"/>
      <c r="AC122" s="84"/>
      <c r="AE122" s="927"/>
      <c r="AF122" s="927"/>
      <c r="AG122" s="927"/>
      <c r="AH122" s="927"/>
      <c r="AI122" s="91"/>
      <c r="AK122" s="927"/>
      <c r="AL122" s="927"/>
      <c r="AM122" s="927"/>
      <c r="AN122" s="927"/>
      <c r="AO122" s="91"/>
      <c r="AQ122" s="927"/>
      <c r="AR122" s="927"/>
      <c r="AS122" s="927"/>
      <c r="AT122" s="927"/>
      <c r="AU122" s="91"/>
      <c r="AW122" s="927"/>
      <c r="AX122" s="927"/>
      <c r="AY122" s="927"/>
      <c r="AZ122" s="927"/>
      <c r="BA122" s="91"/>
    </row>
    <row r="123" spans="1:53" s="97" customFormat="1" ht="17.100000000000001" customHeight="1" x14ac:dyDescent="0.25">
      <c r="A123" s="119"/>
      <c r="B123" s="119"/>
      <c r="C123" s="103" t="s">
        <v>93</v>
      </c>
      <c r="D123" s="85" t="s">
        <v>94</v>
      </c>
      <c r="E123" s="75"/>
      <c r="F123" s="75"/>
      <c r="G123" s="75"/>
      <c r="H123" s="928"/>
      <c r="I123" s="229"/>
      <c r="J123" s="932"/>
      <c r="K123" s="932"/>
      <c r="L123" s="932"/>
      <c r="M123" s="932"/>
      <c r="N123" s="932"/>
      <c r="O123" s="932"/>
      <c r="P123" s="932"/>
      <c r="Q123" s="932"/>
      <c r="R123" s="932"/>
      <c r="S123" s="932"/>
      <c r="T123" s="932"/>
      <c r="U123" s="932"/>
      <c r="V123" s="364"/>
      <c r="W123" s="385"/>
      <c r="X123" s="932"/>
      <c r="Y123" s="932"/>
      <c r="Z123" s="131"/>
      <c r="AA123" s="131"/>
      <c r="AB123" s="131"/>
      <c r="AC123" s="113"/>
      <c r="AE123" s="114"/>
      <c r="AF123" s="114"/>
      <c r="AG123" s="114"/>
      <c r="AH123" s="112"/>
      <c r="AI123" s="113"/>
      <c r="AK123" s="114"/>
      <c r="AL123" s="114"/>
      <c r="AM123" s="114"/>
      <c r="AN123" s="112"/>
      <c r="AO123" s="113"/>
      <c r="AQ123" s="114"/>
      <c r="AR123" s="114"/>
      <c r="AS123" s="114"/>
      <c r="AT123" s="112"/>
      <c r="AU123" s="113"/>
      <c r="AW123" s="114"/>
      <c r="AX123" s="114"/>
      <c r="AY123" s="114"/>
      <c r="AZ123" s="112"/>
      <c r="BA123" s="113"/>
    </row>
    <row r="124" spans="1:53" s="97" customFormat="1" ht="17.100000000000001" customHeight="1" x14ac:dyDescent="0.25">
      <c r="A124" s="137"/>
      <c r="B124" s="119"/>
      <c r="C124" s="132"/>
      <c r="D124" s="133" t="s">
        <v>95</v>
      </c>
      <c r="E124" s="134"/>
      <c r="F124" s="134"/>
      <c r="G124" s="134"/>
      <c r="H124" s="928"/>
      <c r="I124" s="229"/>
      <c r="J124" s="82"/>
      <c r="K124" s="82"/>
      <c r="L124" s="82" t="str">
        <f>IF(SUM(L30:L32)=1,1-SUM(L125:L127),"")</f>
        <v/>
      </c>
      <c r="M124" s="82"/>
      <c r="N124" s="82"/>
      <c r="O124" s="82"/>
      <c r="P124" s="82">
        <f>IF(P20=0,0,IF(P109+P116+P117+P122=0,1,0))</f>
        <v>0</v>
      </c>
      <c r="Q124" s="82"/>
      <c r="R124" s="82"/>
      <c r="S124" s="82">
        <f>IF(S20=0,0,IF(S109+S116+S117+S122=0,1,0))</f>
        <v>0</v>
      </c>
      <c r="T124" s="82"/>
      <c r="U124" s="82"/>
      <c r="V124" s="82">
        <f>IF(V20=0,0,IF(V109+V116+V117+V122=0,1,0))</f>
        <v>0</v>
      </c>
      <c r="W124" s="381" t="str">
        <f>IF(SUM(W30:W32)=1,1-SUM(W125:W127),"")</f>
        <v/>
      </c>
      <c r="X124" s="82" t="str">
        <f>IF(SUM(X30:X32)=1,1-SUM(X125:X127),"")</f>
        <v/>
      </c>
      <c r="Y124" s="82">
        <f>P124+S124+V124</f>
        <v>0</v>
      </c>
      <c r="Z124" s="66">
        <f>IF(Y$128=0,0,Y124/Y$128)</f>
        <v>0</v>
      </c>
      <c r="AA124" s="66"/>
      <c r="AB124" s="66"/>
      <c r="AC124" s="83"/>
      <c r="AE124" s="82"/>
      <c r="AF124" s="82"/>
      <c r="AG124" s="82"/>
      <c r="AH124" s="82"/>
      <c r="AI124" s="66"/>
      <c r="AK124" s="82"/>
      <c r="AL124" s="82"/>
      <c r="AM124" s="82"/>
      <c r="AN124" s="82"/>
      <c r="AO124" s="66"/>
      <c r="AQ124" s="82"/>
      <c r="AR124" s="82"/>
      <c r="AS124" s="82"/>
      <c r="AT124" s="82"/>
      <c r="AU124" s="66"/>
      <c r="AW124" s="82"/>
      <c r="AX124" s="82"/>
      <c r="AY124" s="82"/>
      <c r="AZ124" s="82"/>
      <c r="BA124" s="66"/>
    </row>
    <row r="125" spans="1:53" s="97" customFormat="1" ht="17.100000000000001" customHeight="1" x14ac:dyDescent="0.25">
      <c r="A125" s="119"/>
      <c r="B125" s="119"/>
      <c r="C125" s="135"/>
      <c r="D125" s="133" t="s">
        <v>96</v>
      </c>
      <c r="E125" s="134"/>
      <c r="F125" s="134"/>
      <c r="G125" s="134"/>
      <c r="H125" s="928"/>
      <c r="I125" s="229"/>
      <c r="J125" s="82"/>
      <c r="K125" s="82"/>
      <c r="L125" s="82"/>
      <c r="M125" s="82"/>
      <c r="N125" s="82"/>
      <c r="O125" s="82"/>
      <c r="P125" s="82">
        <f>IF(P109+P116+P117+P122=1,1,0)</f>
        <v>1</v>
      </c>
      <c r="Q125" s="82"/>
      <c r="R125" s="82"/>
      <c r="S125" s="82">
        <f>IF(S109+S116+S117+S122=1,1,0)</f>
        <v>1</v>
      </c>
      <c r="T125" s="82"/>
      <c r="U125" s="82"/>
      <c r="V125" s="82">
        <f>IF(V109+V116+V117+V122=1,1,0)</f>
        <v>0</v>
      </c>
      <c r="W125" s="381"/>
      <c r="X125" s="82"/>
      <c r="Y125" s="82">
        <f t="shared" ref="Y125:Y127" si="91">P125+S125+V125</f>
        <v>2</v>
      </c>
      <c r="Z125" s="66">
        <f>IF(Y$128=0,0,Y125/Y$128)</f>
        <v>1</v>
      </c>
      <c r="AA125" s="66"/>
      <c r="AB125" s="66"/>
      <c r="AC125" s="83"/>
      <c r="AE125" s="82"/>
      <c r="AF125" s="82"/>
      <c r="AG125" s="82"/>
      <c r="AH125" s="82"/>
      <c r="AI125" s="66"/>
      <c r="AK125" s="82"/>
      <c r="AL125" s="82"/>
      <c r="AM125" s="82"/>
      <c r="AN125" s="82"/>
      <c r="AO125" s="66"/>
      <c r="AQ125" s="82"/>
      <c r="AR125" s="82"/>
      <c r="AS125" s="82"/>
      <c r="AT125" s="82"/>
      <c r="AU125" s="66"/>
      <c r="AW125" s="82"/>
      <c r="AX125" s="82"/>
      <c r="AY125" s="82"/>
      <c r="AZ125" s="82"/>
      <c r="BA125" s="66"/>
    </row>
    <row r="126" spans="1:53" s="97" customFormat="1" ht="17.100000000000001" customHeight="1" x14ac:dyDescent="0.25">
      <c r="A126" s="119"/>
      <c r="B126" s="119"/>
      <c r="C126" s="136"/>
      <c r="D126" s="133" t="s">
        <v>97</v>
      </c>
      <c r="E126" s="134"/>
      <c r="F126" s="134"/>
      <c r="G126" s="134"/>
      <c r="H126" s="928"/>
      <c r="I126" s="229"/>
      <c r="J126" s="82"/>
      <c r="K126" s="82"/>
      <c r="L126" s="82"/>
      <c r="M126" s="82"/>
      <c r="N126" s="82"/>
      <c r="O126" s="82"/>
      <c r="P126" s="82">
        <f>IF(P109+P116+P117+P122=2,1,0)</f>
        <v>0</v>
      </c>
      <c r="Q126" s="82"/>
      <c r="R126" s="82"/>
      <c r="S126" s="82">
        <f>IF(S109+S116+S117+S122=2,1,0)</f>
        <v>0</v>
      </c>
      <c r="T126" s="82"/>
      <c r="U126" s="82"/>
      <c r="V126" s="82">
        <f>IF(V109+V116+V117+V122=2,1,0)</f>
        <v>0</v>
      </c>
      <c r="W126" s="381"/>
      <c r="X126" s="82"/>
      <c r="Y126" s="82">
        <f t="shared" si="91"/>
        <v>0</v>
      </c>
      <c r="Z126" s="66">
        <f>IF(Y$128=0,0,Y126/Y$128)</f>
        <v>0</v>
      </c>
      <c r="AA126" s="66"/>
      <c r="AB126" s="66"/>
      <c r="AC126" s="83"/>
      <c r="AE126" s="82"/>
      <c r="AF126" s="82"/>
      <c r="AG126" s="82"/>
      <c r="AH126" s="82"/>
      <c r="AI126" s="66"/>
      <c r="AK126" s="82"/>
      <c r="AL126" s="82"/>
      <c r="AM126" s="82"/>
      <c r="AN126" s="82"/>
      <c r="AO126" s="66"/>
      <c r="AQ126" s="82"/>
      <c r="AR126" s="82"/>
      <c r="AS126" s="82"/>
      <c r="AT126" s="82"/>
      <c r="AU126" s="66"/>
      <c r="AW126" s="82"/>
      <c r="AX126" s="82"/>
      <c r="AY126" s="82"/>
      <c r="AZ126" s="82"/>
      <c r="BA126" s="66"/>
    </row>
    <row r="127" spans="1:53" s="97" customFormat="1" ht="17.100000000000001" customHeight="1" x14ac:dyDescent="0.25">
      <c r="A127" s="119"/>
      <c r="B127" s="119"/>
      <c r="C127" s="137"/>
      <c r="D127" s="133" t="s">
        <v>98</v>
      </c>
      <c r="E127" s="134"/>
      <c r="F127" s="134"/>
      <c r="G127" s="134"/>
      <c r="H127" s="928"/>
      <c r="I127" s="229"/>
      <c r="J127" s="82"/>
      <c r="K127" s="82"/>
      <c r="L127" s="82"/>
      <c r="M127" s="82"/>
      <c r="N127" s="82"/>
      <c r="O127" s="82"/>
      <c r="P127" s="82">
        <f>IF(P109+P116+P117+P122=3,1,0)</f>
        <v>0</v>
      </c>
      <c r="Q127" s="82"/>
      <c r="R127" s="82"/>
      <c r="S127" s="82">
        <f>IF(S109+S116+S117+S122=3,1,0)</f>
        <v>0</v>
      </c>
      <c r="T127" s="82"/>
      <c r="U127" s="82"/>
      <c r="V127" s="82">
        <f>IF(V109+V116+V117+V122=3,1,0)</f>
        <v>0</v>
      </c>
      <c r="W127" s="381"/>
      <c r="X127" s="82"/>
      <c r="Y127" s="82">
        <f t="shared" si="91"/>
        <v>0</v>
      </c>
      <c r="Z127" s="66">
        <f>IF(Y$128=0,0,Y127/Y$128)</f>
        <v>0</v>
      </c>
      <c r="AA127" s="66"/>
      <c r="AB127" s="66"/>
      <c r="AC127" s="83"/>
      <c r="AE127" s="82"/>
      <c r="AF127" s="82"/>
      <c r="AG127" s="82"/>
      <c r="AH127" s="82"/>
      <c r="AI127" s="66"/>
      <c r="AK127" s="82"/>
      <c r="AL127" s="82"/>
      <c r="AM127" s="82"/>
      <c r="AN127" s="82"/>
      <c r="AO127" s="66"/>
      <c r="AQ127" s="82"/>
      <c r="AR127" s="82"/>
      <c r="AS127" s="82"/>
      <c r="AT127" s="82"/>
      <c r="AU127" s="66"/>
      <c r="AW127" s="82"/>
      <c r="AX127" s="82"/>
      <c r="AY127" s="82"/>
      <c r="AZ127" s="82"/>
      <c r="BA127" s="66"/>
    </row>
    <row r="128" spans="1:53" s="97" customFormat="1" ht="17.100000000000001" customHeight="1" x14ac:dyDescent="0.25">
      <c r="A128" s="119"/>
      <c r="B128" s="119"/>
      <c r="C128" s="928"/>
      <c r="D128" s="133"/>
      <c r="E128" s="134"/>
      <c r="F128" s="134"/>
      <c r="G128" s="134"/>
      <c r="H128" s="928"/>
      <c r="I128" s="229"/>
      <c r="J128" s="82"/>
      <c r="K128" s="82"/>
      <c r="L128" s="82"/>
      <c r="M128" s="82"/>
      <c r="N128" s="82"/>
      <c r="O128" s="82"/>
      <c r="P128" s="82"/>
      <c r="Q128" s="82"/>
      <c r="R128" s="82"/>
      <c r="S128" s="82"/>
      <c r="T128" s="82"/>
      <c r="U128" s="82"/>
      <c r="V128" s="360"/>
      <c r="W128" s="381"/>
      <c r="X128" s="82"/>
      <c r="Y128" s="82">
        <f>SUM(Y124:Y127)</f>
        <v>2</v>
      </c>
      <c r="Z128" s="66">
        <f>IF(Y$128=0,0,Y128/Y$128)</f>
        <v>1</v>
      </c>
      <c r="AA128" s="66"/>
      <c r="AB128" s="66"/>
      <c r="AC128" s="83"/>
      <c r="AE128" s="82"/>
      <c r="AF128" s="82"/>
      <c r="AG128" s="82"/>
      <c r="AH128" s="82"/>
      <c r="AI128" s="66"/>
      <c r="AK128" s="82"/>
      <c r="AL128" s="82"/>
      <c r="AM128" s="82"/>
      <c r="AN128" s="82"/>
      <c r="AO128" s="66"/>
      <c r="AQ128" s="82"/>
      <c r="AR128" s="82"/>
      <c r="AS128" s="82"/>
      <c r="AT128" s="82"/>
      <c r="AU128" s="66"/>
      <c r="AW128" s="82"/>
      <c r="AX128" s="82"/>
      <c r="AY128" s="82"/>
      <c r="AZ128" s="82"/>
      <c r="BA128" s="66"/>
    </row>
    <row r="129" spans="1:53" s="97" customFormat="1" ht="17.100000000000001" customHeight="1" x14ac:dyDescent="0.25">
      <c r="A129" s="119"/>
      <c r="B129" s="119"/>
      <c r="C129" s="928"/>
      <c r="D129" s="127" t="s">
        <v>81</v>
      </c>
      <c r="E129" s="122"/>
      <c r="F129" s="122"/>
      <c r="G129" s="122"/>
      <c r="H129" s="928"/>
      <c r="I129" s="229"/>
      <c r="J129" s="123"/>
      <c r="K129" s="123"/>
      <c r="L129" s="123"/>
      <c r="M129" s="123"/>
      <c r="N129" s="123"/>
      <c r="O129" s="123"/>
      <c r="P129" s="123">
        <f t="shared" ref="P129" si="92">P109</f>
        <v>0</v>
      </c>
      <c r="Q129" s="123"/>
      <c r="R129" s="123"/>
      <c r="S129" s="123">
        <f t="shared" ref="S129" si="93">S109</f>
        <v>0</v>
      </c>
      <c r="T129" s="123"/>
      <c r="U129" s="123"/>
      <c r="V129" s="123">
        <f t="shared" ref="V129" si="94">V109</f>
        <v>0</v>
      </c>
      <c r="W129" s="383"/>
      <c r="X129" s="123"/>
      <c r="Y129" s="123">
        <f t="shared" ref="Y129" si="95">Y109</f>
        <v>0</v>
      </c>
      <c r="Z129" s="525"/>
      <c r="AA129" s="125"/>
      <c r="AB129" s="125"/>
      <c r="AC129" s="125"/>
      <c r="AE129" s="123"/>
      <c r="AF129" s="123"/>
      <c r="AG129" s="123"/>
      <c r="AH129" s="124"/>
      <c r="AI129" s="125"/>
      <c r="AK129" s="123"/>
      <c r="AL129" s="123"/>
      <c r="AM129" s="123"/>
      <c r="AN129" s="124"/>
      <c r="AO129" s="125"/>
      <c r="AQ129" s="123"/>
      <c r="AR129" s="123"/>
      <c r="AS129" s="123"/>
      <c r="AT129" s="124"/>
      <c r="AU129" s="125"/>
      <c r="AW129" s="123"/>
      <c r="AX129" s="123"/>
      <c r="AY129" s="123"/>
      <c r="AZ129" s="124"/>
      <c r="BA129" s="125"/>
    </row>
    <row r="130" spans="1:53" s="97" customFormat="1" ht="17.100000000000001" customHeight="1" x14ac:dyDescent="0.25">
      <c r="A130" s="119"/>
      <c r="B130" s="119"/>
      <c r="C130" s="1310"/>
      <c r="D130" s="127" t="s">
        <v>87</v>
      </c>
      <c r="E130" s="122"/>
      <c r="F130" s="122"/>
      <c r="G130" s="122"/>
      <c r="H130" s="1310"/>
      <c r="I130" s="229"/>
      <c r="J130" s="123"/>
      <c r="K130" s="123"/>
      <c r="L130" s="123"/>
      <c r="M130" s="123"/>
      <c r="N130" s="123"/>
      <c r="O130" s="123"/>
      <c r="P130" s="123">
        <f>P116+P117</f>
        <v>0</v>
      </c>
      <c r="Q130" s="123"/>
      <c r="R130" s="123"/>
      <c r="S130" s="123">
        <f>S116+S117</f>
        <v>0</v>
      </c>
      <c r="T130" s="123"/>
      <c r="U130" s="123"/>
      <c r="V130" s="123">
        <f>V116+V117</f>
        <v>0</v>
      </c>
      <c r="W130" s="383"/>
      <c r="X130" s="123"/>
      <c r="Y130" s="123">
        <f>Y116+Y117</f>
        <v>0</v>
      </c>
      <c r="Z130" s="525"/>
      <c r="AA130" s="125"/>
      <c r="AB130" s="125"/>
      <c r="AC130" s="125"/>
      <c r="AE130" s="123"/>
      <c r="AF130" s="123"/>
      <c r="AG130" s="123"/>
      <c r="AH130" s="124"/>
      <c r="AI130" s="125"/>
      <c r="AK130" s="123"/>
      <c r="AL130" s="123"/>
      <c r="AM130" s="123"/>
      <c r="AN130" s="124"/>
      <c r="AO130" s="125"/>
      <c r="AQ130" s="123"/>
      <c r="AR130" s="123"/>
      <c r="AS130" s="123"/>
      <c r="AT130" s="124"/>
      <c r="AU130" s="125"/>
      <c r="AW130" s="123"/>
      <c r="AX130" s="123"/>
      <c r="AY130" s="123"/>
      <c r="AZ130" s="124"/>
      <c r="BA130" s="125"/>
    </row>
    <row r="131" spans="1:53" s="97" customFormat="1" ht="17.100000000000001" customHeight="1" x14ac:dyDescent="0.25">
      <c r="A131" s="119"/>
      <c r="B131" s="119"/>
      <c r="C131" s="928"/>
      <c r="D131" s="127" t="s">
        <v>923</v>
      </c>
      <c r="E131" s="122"/>
      <c r="F131" s="122"/>
      <c r="G131" s="122"/>
      <c r="H131" s="928"/>
      <c r="I131" s="229"/>
      <c r="J131" s="123"/>
      <c r="K131" s="123"/>
      <c r="L131" s="123"/>
      <c r="M131" s="123"/>
      <c r="N131" s="123"/>
      <c r="O131" s="123"/>
      <c r="P131" s="123"/>
      <c r="Q131" s="123"/>
      <c r="R131" s="123"/>
      <c r="S131" s="123"/>
      <c r="T131" s="123"/>
      <c r="U131" s="123"/>
      <c r="V131" s="123"/>
      <c r="W131" s="383"/>
      <c r="X131" s="123"/>
      <c r="Y131" s="123"/>
      <c r="Z131" s="525"/>
      <c r="AA131" s="130"/>
      <c r="AB131" s="130"/>
      <c r="AC131" s="125"/>
      <c r="AE131" s="123"/>
      <c r="AF131" s="123"/>
      <c r="AG131" s="123"/>
      <c r="AH131" s="129"/>
      <c r="AI131" s="130"/>
      <c r="AK131" s="123"/>
      <c r="AL131" s="123"/>
      <c r="AM131" s="123"/>
      <c r="AN131" s="129"/>
      <c r="AO131" s="130"/>
      <c r="AQ131" s="123"/>
      <c r="AR131" s="123"/>
      <c r="AS131" s="123"/>
      <c r="AT131" s="129"/>
      <c r="AU131" s="130"/>
      <c r="AW131" s="123"/>
      <c r="AX131" s="123"/>
      <c r="AY131" s="123"/>
      <c r="AZ131" s="129"/>
      <c r="BA131" s="130"/>
    </row>
    <row r="132" spans="1:53" s="97" customFormat="1" ht="17.100000000000001" customHeight="1" x14ac:dyDescent="0.25">
      <c r="A132" s="119"/>
      <c r="B132" s="119"/>
      <c r="C132" s="928"/>
      <c r="D132" s="127" t="s">
        <v>922</v>
      </c>
      <c r="E132" s="122"/>
      <c r="F132" s="122"/>
      <c r="G132" s="122"/>
      <c r="H132" s="928"/>
      <c r="I132" s="229"/>
      <c r="J132" s="123"/>
      <c r="K132" s="123"/>
      <c r="L132" s="123"/>
      <c r="M132" s="123"/>
      <c r="N132" s="123"/>
      <c r="O132" s="123"/>
      <c r="P132" s="123">
        <f t="shared" ref="P132" si="96">SUM(P129:P131)</f>
        <v>0</v>
      </c>
      <c r="Q132" s="123"/>
      <c r="R132" s="123"/>
      <c r="S132" s="123">
        <f t="shared" ref="S132" si="97">SUM(S129:S131)</f>
        <v>0</v>
      </c>
      <c r="T132" s="123"/>
      <c r="U132" s="123"/>
      <c r="V132" s="123">
        <f t="shared" ref="V132" si="98">SUM(V129:V131)</f>
        <v>0</v>
      </c>
      <c r="W132" s="383"/>
      <c r="X132" s="123"/>
      <c r="Y132" s="123">
        <f t="shared" ref="Y132:Y133" si="99">SUM(Y129:Y131)</f>
        <v>0</v>
      </c>
      <c r="Z132" s="525"/>
      <c r="AA132" s="125"/>
      <c r="AB132" s="125"/>
      <c r="AC132" s="125"/>
      <c r="AE132" s="123"/>
      <c r="AF132" s="123"/>
      <c r="AG132" s="123"/>
      <c r="AH132" s="124"/>
      <c r="AI132" s="125"/>
      <c r="AK132" s="123"/>
      <c r="AL132" s="123"/>
      <c r="AM132" s="123"/>
      <c r="AN132" s="124"/>
      <c r="AO132" s="125"/>
      <c r="AQ132" s="123"/>
      <c r="AR132" s="123"/>
      <c r="AS132" s="123"/>
      <c r="AT132" s="124"/>
      <c r="AU132" s="125"/>
      <c r="AW132" s="123"/>
      <c r="AX132" s="123"/>
      <c r="AY132" s="123"/>
      <c r="AZ132" s="124"/>
      <c r="BA132" s="125"/>
    </row>
    <row r="133" spans="1:53" s="97" customFormat="1" ht="17.100000000000001" customHeight="1" x14ac:dyDescent="0.25">
      <c r="A133" s="119"/>
      <c r="B133" s="119"/>
      <c r="C133" s="103" t="s">
        <v>99</v>
      </c>
      <c r="D133" s="85" t="s">
        <v>921</v>
      </c>
      <c r="E133" s="75"/>
      <c r="F133" s="75"/>
      <c r="G133" s="75"/>
      <c r="H133" s="928"/>
      <c r="I133" s="229"/>
      <c r="J133" s="927"/>
      <c r="K133" s="927"/>
      <c r="L133" s="927"/>
      <c r="M133" s="927"/>
      <c r="N133" s="927"/>
      <c r="O133" s="927"/>
      <c r="P133" s="927">
        <f t="shared" ref="P133" si="100">IF(P132&gt;=1,1,0)</f>
        <v>0</v>
      </c>
      <c r="Q133" s="927"/>
      <c r="R133" s="927"/>
      <c r="S133" s="927">
        <f t="shared" ref="S133" si="101">IF(S132&gt;=1,1,0)</f>
        <v>0</v>
      </c>
      <c r="T133" s="927"/>
      <c r="U133" s="927"/>
      <c r="V133" s="927">
        <f t="shared" ref="V133" si="102">IF(V132&gt;=1,1,0)</f>
        <v>0</v>
      </c>
      <c r="W133" s="382"/>
      <c r="X133" s="927"/>
      <c r="Y133" s="927">
        <f t="shared" si="99"/>
        <v>0</v>
      </c>
      <c r="Z133" s="91"/>
      <c r="AA133" s="91"/>
      <c r="AB133" s="91"/>
      <c r="AC133" s="84"/>
      <c r="AE133" s="927"/>
      <c r="AF133" s="927"/>
      <c r="AG133" s="927"/>
      <c r="AH133" s="927"/>
      <c r="AI133" s="91"/>
      <c r="AK133" s="927"/>
      <c r="AL133" s="927"/>
      <c r="AM133" s="927"/>
      <c r="AN133" s="927"/>
      <c r="AO133" s="91"/>
      <c r="AQ133" s="927"/>
      <c r="AR133" s="927"/>
      <c r="AS133" s="927"/>
      <c r="AT133" s="927"/>
      <c r="AU133" s="91"/>
      <c r="AW133" s="927"/>
      <c r="AX133" s="927"/>
      <c r="AY133" s="927"/>
      <c r="AZ133" s="927"/>
      <c r="BA133" s="91"/>
    </row>
    <row r="134" spans="1:53" s="97" customFormat="1" ht="17.100000000000001" customHeight="1" x14ac:dyDescent="0.25">
      <c r="A134" s="138"/>
      <c r="B134" s="138"/>
      <c r="C134" s="139"/>
      <c r="D134" s="12"/>
      <c r="E134" s="12"/>
      <c r="F134" s="12"/>
      <c r="G134" s="12"/>
      <c r="H134" s="12"/>
      <c r="I134" s="12"/>
      <c r="J134" s="95"/>
      <c r="K134" s="95"/>
      <c r="L134" s="95"/>
      <c r="M134" s="95"/>
      <c r="N134" s="95"/>
      <c r="O134" s="95"/>
      <c r="P134" s="95"/>
      <c r="Q134" s="95"/>
      <c r="R134" s="95"/>
      <c r="S134" s="95"/>
      <c r="T134" s="95"/>
      <c r="U134" s="95"/>
      <c r="V134" s="95"/>
      <c r="W134" s="95"/>
      <c r="X134" s="95"/>
      <c r="Y134" s="95"/>
      <c r="AQ134" s="109"/>
      <c r="AR134" s="109"/>
      <c r="AS134" s="109"/>
      <c r="AT134" s="96"/>
    </row>
    <row r="135" spans="1:53" s="32" customFormat="1" ht="16.5" thickBot="1" x14ac:dyDescent="0.3">
      <c r="A135" s="24" t="s">
        <v>100</v>
      </c>
      <c r="B135" s="25" t="s">
        <v>562</v>
      </c>
      <c r="C135" s="26"/>
      <c r="D135" s="27"/>
      <c r="E135" s="27"/>
      <c r="F135" s="27"/>
      <c r="G135" s="28"/>
      <c r="H135" s="310"/>
      <c r="I135" s="228"/>
      <c r="J135" s="140"/>
      <c r="K135" s="140"/>
      <c r="L135" s="140"/>
      <c r="M135" s="140"/>
      <c r="N135" s="140"/>
      <c r="O135" s="140"/>
      <c r="P135" s="140"/>
      <c r="Q135" s="140"/>
      <c r="R135" s="140"/>
      <c r="S135" s="140"/>
      <c r="T135" s="140"/>
      <c r="U135" s="140"/>
      <c r="V135" s="140"/>
      <c r="W135" s="140"/>
      <c r="X135" s="140"/>
      <c r="Y135" s="140"/>
      <c r="Z135" s="31" t="s">
        <v>5</v>
      </c>
      <c r="AA135" s="31"/>
      <c r="AB135" s="31"/>
      <c r="AC135" s="24"/>
      <c r="AE135" s="33" t="s">
        <v>181</v>
      </c>
      <c r="AF135" s="33" t="s">
        <v>182</v>
      </c>
      <c r="AG135" s="33" t="s">
        <v>6</v>
      </c>
      <c r="AH135" s="33" t="s">
        <v>4</v>
      </c>
      <c r="AI135" s="34" t="s">
        <v>5</v>
      </c>
      <c r="AJ135" s="35"/>
      <c r="AK135" s="36" t="s">
        <v>181</v>
      </c>
      <c r="AL135" s="36" t="s">
        <v>182</v>
      </c>
      <c r="AM135" s="36" t="s">
        <v>6</v>
      </c>
      <c r="AN135" s="36" t="s">
        <v>4</v>
      </c>
      <c r="AO135" s="37" t="s">
        <v>5</v>
      </c>
      <c r="AQ135" s="36"/>
      <c r="AR135" s="36"/>
      <c r="AS135" s="36"/>
      <c r="AT135" s="36"/>
      <c r="AU135" s="37"/>
      <c r="AW135" s="38" t="s">
        <v>181</v>
      </c>
      <c r="AX135" s="38" t="s">
        <v>182</v>
      </c>
      <c r="AY135" s="38" t="s">
        <v>6</v>
      </c>
      <c r="AZ135" s="38" t="s">
        <v>4</v>
      </c>
      <c r="BA135" s="39" t="s">
        <v>5</v>
      </c>
    </row>
    <row r="136" spans="1:53" ht="17.100000000000001" customHeight="1" x14ac:dyDescent="0.25">
      <c r="A136" s="40"/>
      <c r="B136" s="41" t="s">
        <v>738</v>
      </c>
      <c r="C136" s="42" t="s">
        <v>563</v>
      </c>
      <c r="D136" s="43"/>
      <c r="E136" s="43"/>
      <c r="F136" s="43"/>
      <c r="G136" s="44"/>
      <c r="H136" s="263">
        <v>1</v>
      </c>
      <c r="I136" s="229"/>
      <c r="J136" s="71"/>
      <c r="K136" s="71"/>
      <c r="L136" s="71"/>
      <c r="M136" s="71"/>
      <c r="N136" s="71"/>
      <c r="O136" s="71"/>
      <c r="P136" s="71"/>
      <c r="Q136" s="71"/>
      <c r="R136" s="71"/>
      <c r="S136" s="71"/>
      <c r="T136" s="71"/>
      <c r="U136" s="71"/>
      <c r="V136" s="71"/>
      <c r="W136" s="71"/>
      <c r="X136" s="71"/>
      <c r="Y136" s="71"/>
      <c r="Z136" s="73"/>
      <c r="AA136" s="73"/>
      <c r="AB136" s="73"/>
      <c r="AC136" s="73"/>
      <c r="AE136" s="71"/>
      <c r="AF136" s="71"/>
      <c r="AG136" s="73"/>
      <c r="AH136" s="73"/>
      <c r="AI136" s="73"/>
      <c r="AK136" s="71"/>
      <c r="AL136" s="71"/>
      <c r="AM136" s="73"/>
      <c r="AN136" s="73"/>
      <c r="AO136" s="73"/>
      <c r="AQ136" s="71"/>
      <c r="AR136" s="71"/>
      <c r="AS136" s="71"/>
      <c r="AT136" s="72"/>
      <c r="AU136" s="73"/>
      <c r="AW136" s="71"/>
      <c r="AX136" s="71"/>
      <c r="AY136" s="73"/>
      <c r="AZ136" s="73"/>
      <c r="BA136" s="73"/>
    </row>
    <row r="137" spans="1:53" ht="17.100000000000001" customHeight="1" x14ac:dyDescent="0.25">
      <c r="A137" s="40"/>
      <c r="B137" s="40"/>
      <c r="C137" s="141" t="s">
        <v>739</v>
      </c>
      <c r="D137" s="648" t="s">
        <v>612</v>
      </c>
      <c r="E137" s="649"/>
      <c r="F137" s="649"/>
      <c r="G137" s="281"/>
      <c r="H137" s="647"/>
      <c r="I137" s="235"/>
      <c r="J137" s="581"/>
      <c r="K137" s="581"/>
      <c r="L137" s="582"/>
      <c r="M137" s="593">
        <f t="shared" ref="M137:M138" si="103">SUM(J137:L137)</f>
        <v>0</v>
      </c>
      <c r="N137" s="111"/>
      <c r="O137" s="111"/>
      <c r="P137" s="111"/>
      <c r="Q137" s="111"/>
      <c r="R137" s="111"/>
      <c r="S137" s="111"/>
      <c r="T137" s="111"/>
      <c r="U137" s="111"/>
      <c r="V137" s="111"/>
      <c r="W137" s="391">
        <f t="shared" ref="W137:W138" si="104">J137+K137+N137+Q137+T137</f>
        <v>0</v>
      </c>
      <c r="X137" s="17">
        <f t="shared" ref="X137:X138" si="105">L137+O137+R137+U137</f>
        <v>0</v>
      </c>
      <c r="Y137" s="18">
        <f t="shared" ref="Y137:Y138" si="106">SUM(W137:X137)</f>
        <v>0</v>
      </c>
      <c r="Z137" s="19">
        <f>IF(Y$139=0,0,Y137/Y$139)</f>
        <v>0</v>
      </c>
      <c r="AA137" s="19"/>
      <c r="AB137" s="19"/>
      <c r="AC137" s="20"/>
      <c r="AE137" s="17"/>
      <c r="AF137" s="17"/>
      <c r="AG137" s="17"/>
      <c r="AH137" s="18">
        <f>J137</f>
        <v>0</v>
      </c>
      <c r="AI137" s="19">
        <f>IF(AH$139=0,0,AH137/AH$139)</f>
        <v>0</v>
      </c>
      <c r="AK137" s="17"/>
      <c r="AL137" s="17"/>
      <c r="AM137" s="17"/>
      <c r="AN137" s="18">
        <f>K137</f>
        <v>0</v>
      </c>
      <c r="AO137" s="19">
        <f>IF(AN$139=0,0,AN137/AN$139)</f>
        <v>0</v>
      </c>
      <c r="AQ137" s="17"/>
      <c r="AR137" s="17"/>
      <c r="AS137" s="17"/>
      <c r="AT137" s="18">
        <f t="shared" ref="AT137:AT138" si="107">W137</f>
        <v>0</v>
      </c>
      <c r="AU137" s="19">
        <f>IF(AT$139=0,0,AT137/AT$139)</f>
        <v>0</v>
      </c>
      <c r="AW137" s="17"/>
      <c r="AX137" s="17"/>
      <c r="AY137" s="17"/>
      <c r="AZ137" s="424">
        <f>X137</f>
        <v>0</v>
      </c>
      <c r="BA137" s="19">
        <f>IF(AZ$139=0,0,AZ137/AZ$139)</f>
        <v>0</v>
      </c>
    </row>
    <row r="138" spans="1:53" ht="17.100000000000001" customHeight="1" x14ac:dyDescent="0.25">
      <c r="A138" s="40"/>
      <c r="B138" s="40"/>
      <c r="C138" s="141" t="s">
        <v>740</v>
      </c>
      <c r="D138" s="648" t="s">
        <v>564</v>
      </c>
      <c r="E138" s="649"/>
      <c r="F138" s="649"/>
      <c r="G138" s="281"/>
      <c r="H138" s="647"/>
      <c r="I138" s="235"/>
      <c r="J138" s="583"/>
      <c r="K138" s="583"/>
      <c r="L138" s="584"/>
      <c r="M138" s="593">
        <f t="shared" si="103"/>
        <v>0</v>
      </c>
      <c r="N138" s="111"/>
      <c r="O138" s="111"/>
      <c r="P138" s="111"/>
      <c r="Q138" s="111"/>
      <c r="R138" s="111"/>
      <c r="S138" s="111"/>
      <c r="T138" s="111"/>
      <c r="U138" s="111"/>
      <c r="V138" s="111"/>
      <c r="W138" s="391">
        <f t="shared" si="104"/>
        <v>0</v>
      </c>
      <c r="X138" s="17">
        <f t="shared" si="105"/>
        <v>0</v>
      </c>
      <c r="Y138" s="18">
        <f t="shared" si="106"/>
        <v>0</v>
      </c>
      <c r="Z138" s="19">
        <f t="shared" ref="Z138:Z139" si="108">IF(Y$139=0,0,Y138/Y$139)</f>
        <v>0</v>
      </c>
      <c r="AA138" s="19"/>
      <c r="AB138" s="19"/>
      <c r="AC138" s="20"/>
      <c r="AE138" s="17"/>
      <c r="AF138" s="17"/>
      <c r="AG138" s="17"/>
      <c r="AH138" s="18">
        <f>J138</f>
        <v>0</v>
      </c>
      <c r="AI138" s="19">
        <f t="shared" ref="AI138:AI139" si="109">IF(AH$139=0,0,AH138/AH$139)</f>
        <v>0</v>
      </c>
      <c r="AK138" s="17"/>
      <c r="AL138" s="17"/>
      <c r="AM138" s="17"/>
      <c r="AN138" s="18">
        <f>K138</f>
        <v>0</v>
      </c>
      <c r="AO138" s="19">
        <f t="shared" ref="AO138:AO139" si="110">IF(AN$139=0,0,AN138/AN$139)</f>
        <v>0</v>
      </c>
      <c r="AQ138" s="17"/>
      <c r="AR138" s="17"/>
      <c r="AS138" s="17"/>
      <c r="AT138" s="18">
        <f t="shared" si="107"/>
        <v>0</v>
      </c>
      <c r="AU138" s="19">
        <f t="shared" ref="AU138:AU139" si="111">IF(AT$139=0,0,AT138/AT$139)</f>
        <v>0</v>
      </c>
      <c r="AW138" s="17"/>
      <c r="AX138" s="17"/>
      <c r="AY138" s="17"/>
      <c r="AZ138" s="424">
        <f>X138</f>
        <v>0</v>
      </c>
      <c r="BA138" s="19">
        <f t="shared" ref="BA138:BA139" si="112">IF(AZ$139=0,0,AZ138/AZ$139)</f>
        <v>0</v>
      </c>
    </row>
    <row r="139" spans="1:53" ht="16.5" customHeight="1" x14ac:dyDescent="0.25">
      <c r="A139" s="40"/>
      <c r="B139" s="40"/>
      <c r="C139" s="77"/>
      <c r="D139" s="144"/>
      <c r="E139" s="144"/>
      <c r="F139" s="145"/>
      <c r="G139" s="283"/>
      <c r="H139" s="119"/>
      <c r="I139" s="236"/>
      <c r="J139" s="64">
        <f>SUM(J137:J138)</f>
        <v>0</v>
      </c>
      <c r="K139" s="64">
        <f t="shared" ref="K139:M139" si="113">SUM(K137:K138)</f>
        <v>0</v>
      </c>
      <c r="L139" s="64">
        <f t="shared" si="113"/>
        <v>0</v>
      </c>
      <c r="M139" s="64">
        <f t="shared" si="113"/>
        <v>0</v>
      </c>
      <c r="N139" s="81"/>
      <c r="O139" s="81"/>
      <c r="P139" s="81"/>
      <c r="Q139" s="81"/>
      <c r="R139" s="81"/>
      <c r="S139" s="81"/>
      <c r="T139" s="81"/>
      <c r="U139" s="81"/>
      <c r="V139" s="81"/>
      <c r="W139" s="82">
        <f>SUM(W137:W138)</f>
        <v>0</v>
      </c>
      <c r="X139" s="82">
        <f t="shared" ref="X139:Y139" si="114">SUM(X137:X138)</f>
        <v>0</v>
      </c>
      <c r="Y139" s="82">
        <f t="shared" si="114"/>
        <v>0</v>
      </c>
      <c r="Z139" s="205">
        <f t="shared" si="108"/>
        <v>0</v>
      </c>
      <c r="AA139" s="205"/>
      <c r="AB139" s="205"/>
      <c r="AC139" s="83"/>
      <c r="AE139" s="81"/>
      <c r="AF139" s="81"/>
      <c r="AG139" s="82"/>
      <c r="AH139" s="324">
        <f>SUM(AH137:AH138)</f>
        <v>0</v>
      </c>
      <c r="AI139" s="66">
        <f t="shared" si="109"/>
        <v>0</v>
      </c>
      <c r="AK139" s="81"/>
      <c r="AL139" s="81"/>
      <c r="AM139" s="82"/>
      <c r="AN139" s="324">
        <f>SUM(AN137:AN138)</f>
        <v>0</v>
      </c>
      <c r="AO139" s="66">
        <f t="shared" si="110"/>
        <v>0</v>
      </c>
      <c r="AQ139" s="81"/>
      <c r="AR139" s="81"/>
      <c r="AS139" s="82"/>
      <c r="AT139" s="324">
        <f>SUM(AT137:AT138)</f>
        <v>0</v>
      </c>
      <c r="AU139" s="66">
        <f t="shared" si="111"/>
        <v>0</v>
      </c>
      <c r="AW139" s="81"/>
      <c r="AX139" s="81"/>
      <c r="AY139" s="82"/>
      <c r="AZ139" s="324">
        <f>SUM(AZ137:AZ138)</f>
        <v>0</v>
      </c>
      <c r="BA139" s="66">
        <f t="shared" si="112"/>
        <v>0</v>
      </c>
    </row>
    <row r="140" spans="1:53" s="117" customFormat="1" ht="17.100000000000001" customHeight="1" x14ac:dyDescent="0.25">
      <c r="A140" s="119"/>
      <c r="B140" s="119"/>
      <c r="C140" s="647"/>
      <c r="D140" s="212"/>
      <c r="E140" s="212"/>
      <c r="F140" s="212"/>
      <c r="G140" s="212"/>
      <c r="H140" s="242"/>
      <c r="I140" s="230"/>
      <c r="J140" s="17" t="str">
        <f>IF(J139=J$15,"OK","NOK")</f>
        <v>OK</v>
      </c>
      <c r="K140" s="17" t="str">
        <f t="shared" ref="K140:L140" si="115">IF(K139=K$15,"OK","NOK")</f>
        <v>OK</v>
      </c>
      <c r="L140" s="17" t="str">
        <f t="shared" si="115"/>
        <v>OK</v>
      </c>
      <c r="M140" s="17"/>
      <c r="N140" s="17"/>
      <c r="O140" s="17"/>
      <c r="P140" s="17"/>
      <c r="Q140" s="17"/>
      <c r="R140" s="17"/>
      <c r="S140" s="17"/>
      <c r="T140" s="17"/>
      <c r="U140" s="17"/>
      <c r="V140" s="17"/>
      <c r="W140" s="646"/>
      <c r="X140" s="646"/>
      <c r="Y140" s="646"/>
      <c r="Z140" s="201"/>
      <c r="AA140" s="201"/>
      <c r="AB140" s="201"/>
      <c r="AC140" s="84"/>
      <c r="AE140" s="84"/>
      <c r="AF140" s="84"/>
      <c r="AG140" s="84"/>
      <c r="AH140" s="84"/>
      <c r="AI140" s="84"/>
      <c r="AK140" s="84"/>
      <c r="AL140" s="84"/>
      <c r="AM140" s="84"/>
      <c r="AN140" s="84"/>
      <c r="AO140" s="84"/>
      <c r="AW140" s="84"/>
      <c r="AX140" s="84"/>
      <c r="AY140" s="84"/>
      <c r="AZ140" s="84"/>
      <c r="BA140" s="84"/>
    </row>
    <row r="141" spans="1:53" ht="17.100000000000001" customHeight="1" x14ac:dyDescent="0.25">
      <c r="A141" s="40"/>
      <c r="B141" s="41" t="s">
        <v>102</v>
      </c>
      <c r="C141" s="42" t="s">
        <v>563</v>
      </c>
      <c r="D141" s="43"/>
      <c r="E141" s="43"/>
      <c r="F141" s="43"/>
      <c r="G141" s="44"/>
      <c r="H141" s="242"/>
      <c r="I141" s="229"/>
      <c r="J141" s="71"/>
      <c r="K141" s="71"/>
      <c r="L141" s="71"/>
      <c r="M141" s="71"/>
      <c r="N141" s="71"/>
      <c r="O141" s="71"/>
      <c r="P141" s="71"/>
      <c r="Q141" s="71"/>
      <c r="R141" s="71"/>
      <c r="S141" s="71"/>
      <c r="T141" s="71"/>
      <c r="U141" s="71"/>
      <c r="V141" s="71"/>
      <c r="W141" s="71"/>
      <c r="X141" s="71"/>
      <c r="Y141" s="71"/>
      <c r="Z141" s="73"/>
      <c r="AA141" s="73"/>
      <c r="AB141" s="73"/>
      <c r="AC141" s="73"/>
      <c r="AE141" s="71"/>
      <c r="AF141" s="71"/>
      <c r="AG141" s="73"/>
      <c r="AH141" s="73"/>
      <c r="AI141" s="73"/>
      <c r="AK141" s="71"/>
      <c r="AL141" s="71"/>
      <c r="AM141" s="73"/>
      <c r="AN141" s="73"/>
      <c r="AO141" s="73"/>
      <c r="AQ141" s="71"/>
      <c r="AR141" s="71"/>
      <c r="AS141" s="73"/>
      <c r="AT141" s="73"/>
      <c r="AU141" s="73"/>
      <c r="AW141" s="71"/>
      <c r="AX141" s="71"/>
      <c r="AY141" s="73"/>
      <c r="AZ141" s="73"/>
      <c r="BA141" s="73"/>
    </row>
    <row r="142" spans="1:53" s="117" customFormat="1" ht="17.100000000000001" customHeight="1" x14ac:dyDescent="0.25">
      <c r="A142" s="119"/>
      <c r="B142" s="40"/>
      <c r="C142" s="141" t="s">
        <v>104</v>
      </c>
      <c r="D142" s="85" t="s">
        <v>612</v>
      </c>
      <c r="E142" s="75"/>
      <c r="F142" s="75"/>
      <c r="G142" s="650"/>
      <c r="H142" s="242"/>
      <c r="I142" s="230"/>
      <c r="J142" s="111"/>
      <c r="K142" s="111"/>
      <c r="L142" s="111"/>
      <c r="M142" s="111"/>
      <c r="N142" s="60"/>
      <c r="O142" s="60"/>
      <c r="P142" s="593">
        <f t="shared" ref="P142:P144" si="116">SUM(N142:O142)</f>
        <v>0</v>
      </c>
      <c r="Q142" s="60"/>
      <c r="R142" s="60"/>
      <c r="S142" s="593">
        <f t="shared" ref="S142:S144" si="117">SUM(Q142:R142)</f>
        <v>0</v>
      </c>
      <c r="T142" s="60"/>
      <c r="U142" s="60"/>
      <c r="V142" s="593">
        <f t="shared" ref="V142:V144" si="118">SUM(T142:U142)</f>
        <v>0</v>
      </c>
      <c r="W142" s="391">
        <f t="shared" ref="W142:W144" si="119">J142+K142+N142+Q142+T142</f>
        <v>0</v>
      </c>
      <c r="X142" s="17">
        <f t="shared" ref="X142:X144" si="120">L142+O142+R142+U142</f>
        <v>0</v>
      </c>
      <c r="Y142" s="18">
        <f>SUM(W142:X142)</f>
        <v>0</v>
      </c>
      <c r="Z142" s="19">
        <f>IF(Y$145=0,0,Y142/Y$145)</f>
        <v>0</v>
      </c>
      <c r="AA142" s="201"/>
      <c r="AB142" s="201"/>
      <c r="AC142" s="84"/>
      <c r="AE142" s="113"/>
      <c r="AF142" s="113"/>
      <c r="AG142" s="113"/>
      <c r="AH142" s="113"/>
      <c r="AI142" s="113"/>
      <c r="AK142" s="113"/>
      <c r="AL142" s="113"/>
      <c r="AM142" s="113"/>
      <c r="AN142" s="113"/>
      <c r="AO142" s="113"/>
      <c r="AQ142" s="84"/>
      <c r="AR142" s="84"/>
      <c r="AS142" s="84"/>
      <c r="AT142" s="17">
        <f>W142</f>
        <v>0</v>
      </c>
      <c r="AU142" s="19">
        <f>IF(AT$145=0,0,AT142/AT$145)</f>
        <v>0</v>
      </c>
      <c r="AW142" s="84"/>
      <c r="AX142" s="84"/>
      <c r="AY142" s="84"/>
      <c r="AZ142" s="424">
        <f t="shared" ref="AZ142:AZ144" si="121">X142</f>
        <v>0</v>
      </c>
      <c r="BA142" s="19">
        <f>IF(AZ$145=0,0,AZ142/AZ$145)</f>
        <v>0</v>
      </c>
    </row>
    <row r="143" spans="1:53" s="117" customFormat="1" ht="17.100000000000001" customHeight="1" x14ac:dyDescent="0.25">
      <c r="A143" s="119"/>
      <c r="B143" s="40"/>
      <c r="C143" s="141" t="s">
        <v>105</v>
      </c>
      <c r="D143" s="85" t="s">
        <v>741</v>
      </c>
      <c r="E143" s="75"/>
      <c r="F143" s="75"/>
      <c r="G143" s="650"/>
      <c r="H143" s="242"/>
      <c r="I143" s="230"/>
      <c r="J143" s="111"/>
      <c r="K143" s="111"/>
      <c r="L143" s="111"/>
      <c r="M143" s="111"/>
      <c r="N143" s="61">
        <v>1</v>
      </c>
      <c r="O143" s="61">
        <v>7</v>
      </c>
      <c r="P143" s="593">
        <f t="shared" si="116"/>
        <v>8</v>
      </c>
      <c r="Q143" s="61">
        <v>1</v>
      </c>
      <c r="R143" s="61">
        <v>6</v>
      </c>
      <c r="S143" s="593">
        <f t="shared" si="117"/>
        <v>7</v>
      </c>
      <c r="T143" s="61"/>
      <c r="U143" s="61"/>
      <c r="V143" s="593">
        <f t="shared" si="118"/>
        <v>0</v>
      </c>
      <c r="W143" s="391">
        <f t="shared" si="119"/>
        <v>2</v>
      </c>
      <c r="X143" s="17">
        <f t="shared" si="120"/>
        <v>13</v>
      </c>
      <c r="Y143" s="18">
        <f t="shared" ref="Y143:Y144" si="122">SUM(W143:X143)</f>
        <v>15</v>
      </c>
      <c r="Z143" s="19">
        <f>IF(Y$145=0,0,Y143/Y$145)</f>
        <v>1</v>
      </c>
      <c r="AA143" s="201"/>
      <c r="AB143" s="201"/>
      <c r="AC143" s="84"/>
      <c r="AE143" s="113"/>
      <c r="AF143" s="113"/>
      <c r="AG143" s="113"/>
      <c r="AH143" s="113"/>
      <c r="AI143" s="113"/>
      <c r="AK143" s="113"/>
      <c r="AL143" s="113"/>
      <c r="AM143" s="113"/>
      <c r="AN143" s="113"/>
      <c r="AO143" s="113"/>
      <c r="AQ143" s="84"/>
      <c r="AR143" s="84"/>
      <c r="AS143" s="84"/>
      <c r="AT143" s="17">
        <f t="shared" ref="AT143:AT144" si="123">W143</f>
        <v>2</v>
      </c>
      <c r="AU143" s="19">
        <f>IF(AT$145=0,0,AT143/AT$145)</f>
        <v>1</v>
      </c>
      <c r="AW143" s="84"/>
      <c r="AX143" s="84"/>
      <c r="AY143" s="84"/>
      <c r="AZ143" s="424">
        <f t="shared" si="121"/>
        <v>13</v>
      </c>
      <c r="BA143" s="19">
        <f>IF(AZ$145=0,0,AZ143/AZ$145)</f>
        <v>1</v>
      </c>
    </row>
    <row r="144" spans="1:53" s="117" customFormat="1" ht="17.100000000000001" customHeight="1" x14ac:dyDescent="0.25">
      <c r="A144" s="119"/>
      <c r="B144" s="40"/>
      <c r="C144" s="141" t="s">
        <v>106</v>
      </c>
      <c r="D144" s="85" t="s">
        <v>742</v>
      </c>
      <c r="E144" s="75"/>
      <c r="F144" s="75"/>
      <c r="G144" s="650"/>
      <c r="H144" s="242"/>
      <c r="I144" s="230"/>
      <c r="J144" s="111"/>
      <c r="K144" s="111"/>
      <c r="L144" s="111"/>
      <c r="M144" s="111"/>
      <c r="N144" s="60"/>
      <c r="O144" s="60"/>
      <c r="P144" s="593">
        <f t="shared" si="116"/>
        <v>0</v>
      </c>
      <c r="Q144" s="60"/>
      <c r="R144" s="60"/>
      <c r="S144" s="593">
        <f t="shared" si="117"/>
        <v>0</v>
      </c>
      <c r="T144" s="60"/>
      <c r="U144" s="60"/>
      <c r="V144" s="593">
        <f t="shared" si="118"/>
        <v>0</v>
      </c>
      <c r="W144" s="391">
        <f t="shared" si="119"/>
        <v>0</v>
      </c>
      <c r="X144" s="17">
        <f t="shared" si="120"/>
        <v>0</v>
      </c>
      <c r="Y144" s="18">
        <f t="shared" si="122"/>
        <v>0</v>
      </c>
      <c r="Z144" s="19">
        <f>IF(Y$145=0,0,Y144/Y$145)</f>
        <v>0</v>
      </c>
      <c r="AA144" s="201"/>
      <c r="AB144" s="201"/>
      <c r="AC144" s="84"/>
      <c r="AE144" s="113"/>
      <c r="AF144" s="113"/>
      <c r="AG144" s="113"/>
      <c r="AH144" s="113"/>
      <c r="AI144" s="113"/>
      <c r="AK144" s="113"/>
      <c r="AL144" s="113"/>
      <c r="AM144" s="113"/>
      <c r="AN144" s="113"/>
      <c r="AO144" s="113"/>
      <c r="AQ144" s="84"/>
      <c r="AR144" s="84"/>
      <c r="AS144" s="84"/>
      <c r="AT144" s="17">
        <f t="shared" si="123"/>
        <v>0</v>
      </c>
      <c r="AU144" s="19">
        <f>IF(AT$145=0,0,AT144/AT$145)</f>
        <v>0</v>
      </c>
      <c r="AW144" s="84"/>
      <c r="AX144" s="84"/>
      <c r="AY144" s="84"/>
      <c r="AZ144" s="424">
        <f t="shared" si="121"/>
        <v>0</v>
      </c>
      <c r="BA144" s="19">
        <f>IF(AZ$145=0,0,AZ144/AZ$145)</f>
        <v>0</v>
      </c>
    </row>
    <row r="145" spans="1:53" ht="16.5" customHeight="1" x14ac:dyDescent="0.25">
      <c r="A145" s="40"/>
      <c r="B145" s="40"/>
      <c r="C145" s="77"/>
      <c r="D145" s="144"/>
      <c r="E145" s="144"/>
      <c r="F145" s="145"/>
      <c r="G145" s="283"/>
      <c r="H145" s="119"/>
      <c r="I145" s="236"/>
      <c r="J145" s="64"/>
      <c r="K145" s="64"/>
      <c r="L145" s="64"/>
      <c r="M145" s="64"/>
      <c r="N145" s="81">
        <f t="shared" ref="N145:Y145" si="124">SUM(N142:N144)</f>
        <v>1</v>
      </c>
      <c r="O145" s="81">
        <f t="shared" si="124"/>
        <v>7</v>
      </c>
      <c r="P145" s="81">
        <f t="shared" si="124"/>
        <v>8</v>
      </c>
      <c r="Q145" s="81">
        <f t="shared" si="124"/>
        <v>1</v>
      </c>
      <c r="R145" s="81">
        <f t="shared" si="124"/>
        <v>6</v>
      </c>
      <c r="S145" s="81">
        <f t="shared" si="124"/>
        <v>7</v>
      </c>
      <c r="T145" s="81">
        <f t="shared" si="124"/>
        <v>0</v>
      </c>
      <c r="U145" s="81">
        <f t="shared" si="124"/>
        <v>0</v>
      </c>
      <c r="V145" s="356">
        <f t="shared" si="124"/>
        <v>0</v>
      </c>
      <c r="W145" s="381">
        <f t="shared" si="124"/>
        <v>2</v>
      </c>
      <c r="X145" s="82">
        <f t="shared" si="124"/>
        <v>13</v>
      </c>
      <c r="Y145" s="82">
        <f t="shared" si="124"/>
        <v>15</v>
      </c>
      <c r="Z145" s="205">
        <f>IF(Y$145=0,0,Y145/Y$145)</f>
        <v>1</v>
      </c>
      <c r="AA145" s="205"/>
      <c r="AB145" s="205"/>
      <c r="AC145" s="83"/>
      <c r="AE145" s="81"/>
      <c r="AF145" s="81"/>
      <c r="AG145" s="82"/>
      <c r="AH145" s="324"/>
      <c r="AI145" s="66"/>
      <c r="AK145" s="81"/>
      <c r="AL145" s="81"/>
      <c r="AM145" s="82"/>
      <c r="AN145" s="324"/>
      <c r="AO145" s="66"/>
      <c r="AQ145" s="81"/>
      <c r="AR145" s="81"/>
      <c r="AS145" s="82"/>
      <c r="AT145" s="324">
        <f>SUM(AT142:AT144)</f>
        <v>2</v>
      </c>
      <c r="AU145" s="66">
        <f>IF(AT$145=0,0,AT145/AT$145)</f>
        <v>1</v>
      </c>
      <c r="AW145" s="81"/>
      <c r="AX145" s="81"/>
      <c r="AY145" s="82"/>
      <c r="AZ145" s="324">
        <f>SUM(AZ142:AZ144)</f>
        <v>13</v>
      </c>
      <c r="BA145" s="66">
        <f>IF(AZ$145=0,0,AZ145/AZ$145)</f>
        <v>1</v>
      </c>
    </row>
    <row r="146" spans="1:53" s="117" customFormat="1" ht="17.100000000000001" customHeight="1" x14ac:dyDescent="0.25">
      <c r="A146" s="119"/>
      <c r="B146" s="119"/>
      <c r="C146" s="647"/>
      <c r="D146" s="212"/>
      <c r="E146" s="212"/>
      <c r="F146" s="212"/>
      <c r="G146" s="212"/>
      <c r="H146" s="242"/>
      <c r="I146" s="230"/>
      <c r="J146" s="17"/>
      <c r="K146" s="17"/>
      <c r="L146" s="17"/>
      <c r="M146" s="17"/>
      <c r="N146" s="17" t="str">
        <f>IF(N145=N$20,"OK","NOK")</f>
        <v>OK</v>
      </c>
      <c r="O146" s="17" t="str">
        <f>IF(O145=O$20,"OK","NOK")</f>
        <v>OK</v>
      </c>
      <c r="P146" s="17"/>
      <c r="Q146" s="17" t="str">
        <f>IF(Q145=Q$20,"OK","NOK")</f>
        <v>OK</v>
      </c>
      <c r="R146" s="17" t="str">
        <f>IF(R145=R$20,"OK","NOK")</f>
        <v>OK</v>
      </c>
      <c r="S146" s="17"/>
      <c r="T146" s="17" t="str">
        <f>IF(T145=T$20,"OK","NOK")</f>
        <v>OK</v>
      </c>
      <c r="U146" s="17" t="str">
        <f>IF(U145=U$20,"OK","NOK")</f>
        <v>OK</v>
      </c>
      <c r="V146" s="359"/>
      <c r="W146" s="382"/>
      <c r="X146" s="646"/>
      <c r="Y146" s="646"/>
      <c r="Z146" s="201"/>
      <c r="AA146" s="201"/>
      <c r="AB146" s="201"/>
      <c r="AC146" s="84"/>
      <c r="AE146" s="17"/>
      <c r="AF146" s="17"/>
      <c r="AG146" s="17"/>
      <c r="AH146" s="646"/>
      <c r="AI146" s="91"/>
      <c r="AK146" s="17"/>
      <c r="AL146" s="17"/>
      <c r="AM146" s="17"/>
      <c r="AN146" s="646"/>
      <c r="AO146" s="91"/>
      <c r="AQ146" s="17"/>
      <c r="AR146" s="17"/>
      <c r="AS146" s="17"/>
      <c r="AT146" s="646"/>
      <c r="AU146" s="91"/>
      <c r="AW146" s="17"/>
      <c r="AX146" s="17"/>
      <c r="AY146" s="17"/>
      <c r="AZ146" s="17"/>
      <c r="BA146" s="91"/>
    </row>
    <row r="147" spans="1:53" ht="17.100000000000001" customHeight="1" x14ac:dyDescent="0.25">
      <c r="A147" s="40"/>
      <c r="B147" s="41" t="s">
        <v>110</v>
      </c>
      <c r="C147" s="42" t="s">
        <v>565</v>
      </c>
      <c r="D147" s="43"/>
      <c r="E147" s="43"/>
      <c r="F147" s="43"/>
      <c r="G147" s="44"/>
      <c r="H147" s="23"/>
      <c r="I147" s="229"/>
      <c r="J147" s="71"/>
      <c r="K147" s="71"/>
      <c r="L147" s="71"/>
      <c r="M147" s="71"/>
      <c r="N147" s="71"/>
      <c r="O147" s="71"/>
      <c r="P147" s="71"/>
      <c r="Q147" s="71"/>
      <c r="R147" s="71"/>
      <c r="S147" s="71"/>
      <c r="T147" s="71"/>
      <c r="U147" s="71"/>
      <c r="V147" s="71"/>
      <c r="W147" s="71"/>
      <c r="X147" s="71"/>
      <c r="Y147" s="71"/>
      <c r="Z147" s="73"/>
      <c r="AA147" s="73"/>
      <c r="AB147" s="73"/>
      <c r="AC147" s="73"/>
      <c r="AE147" s="71"/>
      <c r="AF147" s="71"/>
      <c r="AG147" s="73"/>
      <c r="AH147" s="73"/>
      <c r="AI147" s="73"/>
      <c r="AK147" s="71"/>
      <c r="AL147" s="71"/>
      <c r="AM147" s="73"/>
      <c r="AN147" s="73"/>
      <c r="AO147" s="73"/>
      <c r="AQ147" s="71"/>
      <c r="AR147" s="71"/>
      <c r="AS147" s="73"/>
      <c r="AT147" s="73"/>
      <c r="AU147" s="73"/>
      <c r="AW147" s="71"/>
      <c r="AX147" s="71"/>
      <c r="AY147" s="73"/>
      <c r="AZ147" s="73"/>
      <c r="BA147" s="73"/>
    </row>
    <row r="148" spans="1:53" ht="17.100000000000001" customHeight="1" x14ac:dyDescent="0.25">
      <c r="A148" s="40"/>
      <c r="B148" s="40"/>
      <c r="C148" s="141" t="s">
        <v>112</v>
      </c>
      <c r="D148" s="85" t="s">
        <v>566</v>
      </c>
      <c r="E148" s="75"/>
      <c r="F148" s="75"/>
      <c r="G148" s="76"/>
      <c r="H148" s="23"/>
      <c r="I148" s="229"/>
      <c r="J148" s="174"/>
      <c r="K148" s="174"/>
      <c r="L148" s="111"/>
      <c r="M148" s="111"/>
      <c r="N148" s="60"/>
      <c r="O148" s="60"/>
      <c r="P148" s="593">
        <f t="shared" ref="P148:P150" si="125">SUM(N148:O148)</f>
        <v>0</v>
      </c>
      <c r="Q148" s="60"/>
      <c r="R148" s="60"/>
      <c r="S148" s="593">
        <f t="shared" ref="S148:S150" si="126">SUM(Q148:R148)</f>
        <v>0</v>
      </c>
      <c r="T148" s="60"/>
      <c r="U148" s="60"/>
      <c r="V148" s="593">
        <f t="shared" ref="V148:V150" si="127">SUM(T148:U148)</f>
        <v>0</v>
      </c>
      <c r="W148" s="391">
        <f t="shared" ref="W148:W150" si="128">J148+K148+N148+Q148+T148</f>
        <v>0</v>
      </c>
      <c r="X148" s="17">
        <f t="shared" ref="X148:X150" si="129">L148+O148+R148+U148</f>
        <v>0</v>
      </c>
      <c r="Y148" s="18">
        <f t="shared" ref="Y148:Y150" si="130">SUM(W148:X148)</f>
        <v>0</v>
      </c>
      <c r="Z148" s="19">
        <f>IF(Y$151=0,0,Y148/Y$151)</f>
        <v>0</v>
      </c>
      <c r="AA148" s="19"/>
      <c r="AB148" s="19"/>
      <c r="AC148" s="20"/>
      <c r="AE148" s="111"/>
      <c r="AF148" s="111"/>
      <c r="AG148" s="111"/>
      <c r="AH148" s="651"/>
      <c r="AI148" s="131"/>
      <c r="AK148" s="111"/>
      <c r="AL148" s="111"/>
      <c r="AM148" s="111"/>
      <c r="AN148" s="651"/>
      <c r="AO148" s="131"/>
      <c r="AQ148" s="17"/>
      <c r="AR148" s="17"/>
      <c r="AS148" s="17"/>
      <c r="AT148" s="17">
        <f t="shared" ref="AT148:AT150" si="131">W148</f>
        <v>0</v>
      </c>
      <c r="AU148" s="19">
        <f>IF(AT$151=0,0,AT148/AT$151)</f>
        <v>0</v>
      </c>
      <c r="AW148" s="17"/>
      <c r="AX148" s="17"/>
      <c r="AY148" s="17"/>
      <c r="AZ148" s="424">
        <f>X148</f>
        <v>0</v>
      </c>
      <c r="BA148" s="19">
        <f>IF(AZ$151=0,0,AZ148/AZ$151)</f>
        <v>0</v>
      </c>
    </row>
    <row r="149" spans="1:53" ht="17.100000000000001" customHeight="1" x14ac:dyDescent="0.25">
      <c r="A149" s="40"/>
      <c r="B149" s="40"/>
      <c r="C149" s="141" t="s">
        <v>114</v>
      </c>
      <c r="D149" s="85" t="s">
        <v>567</v>
      </c>
      <c r="E149" s="75"/>
      <c r="F149" s="75"/>
      <c r="G149" s="76"/>
      <c r="H149" s="23"/>
      <c r="I149" s="229"/>
      <c r="J149" s="174"/>
      <c r="K149" s="174"/>
      <c r="L149" s="111"/>
      <c r="M149" s="111"/>
      <c r="N149" s="61"/>
      <c r="O149" s="61"/>
      <c r="P149" s="593">
        <f t="shared" si="125"/>
        <v>0</v>
      </c>
      <c r="Q149" s="61"/>
      <c r="R149" s="61"/>
      <c r="S149" s="593">
        <f t="shared" si="126"/>
        <v>0</v>
      </c>
      <c r="T149" s="61"/>
      <c r="U149" s="61"/>
      <c r="V149" s="593">
        <f t="shared" si="127"/>
        <v>0</v>
      </c>
      <c r="W149" s="391">
        <f t="shared" si="128"/>
        <v>0</v>
      </c>
      <c r="X149" s="17">
        <f t="shared" si="129"/>
        <v>0</v>
      </c>
      <c r="Y149" s="18">
        <f t="shared" si="130"/>
        <v>0</v>
      </c>
      <c r="Z149" s="19">
        <f t="shared" ref="Z149:Z151" si="132">IF(Y$151=0,0,Y149/Y$151)</f>
        <v>0</v>
      </c>
      <c r="AA149" s="19"/>
      <c r="AB149" s="19"/>
      <c r="AC149" s="20"/>
      <c r="AE149" s="111"/>
      <c r="AF149" s="111"/>
      <c r="AG149" s="111"/>
      <c r="AH149" s="651"/>
      <c r="AI149" s="131"/>
      <c r="AK149" s="111"/>
      <c r="AL149" s="111"/>
      <c r="AM149" s="111"/>
      <c r="AN149" s="651"/>
      <c r="AO149" s="131"/>
      <c r="AQ149" s="17"/>
      <c r="AR149" s="17"/>
      <c r="AS149" s="17"/>
      <c r="AT149" s="17">
        <f t="shared" si="131"/>
        <v>0</v>
      </c>
      <c r="AU149" s="19">
        <f t="shared" ref="AU149:AU151" si="133">IF(AT$151=0,0,AT149/AT$151)</f>
        <v>0</v>
      </c>
      <c r="AW149" s="17"/>
      <c r="AX149" s="17"/>
      <c r="AY149" s="17"/>
      <c r="AZ149" s="424">
        <f t="shared" ref="AZ149:AZ150" si="134">X149</f>
        <v>0</v>
      </c>
      <c r="BA149" s="19">
        <f t="shared" ref="BA149:BA151" si="135">IF(AZ$151=0,0,AZ149/AZ$151)</f>
        <v>0</v>
      </c>
    </row>
    <row r="150" spans="1:53" ht="17.100000000000001" customHeight="1" x14ac:dyDescent="0.25">
      <c r="A150" s="40"/>
      <c r="B150" s="40"/>
      <c r="C150" s="141" t="s">
        <v>568</v>
      </c>
      <c r="D150" s="85" t="s">
        <v>614</v>
      </c>
      <c r="E150" s="649"/>
      <c r="F150" s="649"/>
      <c r="G150" s="281"/>
      <c r="H150" s="254"/>
      <c r="I150" s="235"/>
      <c r="J150" s="111"/>
      <c r="K150" s="111"/>
      <c r="L150" s="111"/>
      <c r="M150" s="111"/>
      <c r="N150" s="60">
        <v>1</v>
      </c>
      <c r="O150" s="60">
        <v>7</v>
      </c>
      <c r="P150" s="593">
        <f t="shared" si="125"/>
        <v>8</v>
      </c>
      <c r="Q150" s="60">
        <v>1</v>
      </c>
      <c r="R150" s="60">
        <v>6</v>
      </c>
      <c r="S150" s="593">
        <f t="shared" si="126"/>
        <v>7</v>
      </c>
      <c r="T150" s="60"/>
      <c r="U150" s="60"/>
      <c r="V150" s="593">
        <f t="shared" si="127"/>
        <v>0</v>
      </c>
      <c r="W150" s="391">
        <f t="shared" si="128"/>
        <v>2</v>
      </c>
      <c r="X150" s="17">
        <f t="shared" si="129"/>
        <v>13</v>
      </c>
      <c r="Y150" s="18">
        <f t="shared" si="130"/>
        <v>15</v>
      </c>
      <c r="Z150" s="19">
        <f t="shared" si="132"/>
        <v>1</v>
      </c>
      <c r="AA150" s="91"/>
      <c r="AB150" s="91"/>
      <c r="AC150" s="84"/>
      <c r="AE150" s="111"/>
      <c r="AF150" s="111"/>
      <c r="AG150" s="111"/>
      <c r="AH150" s="651"/>
      <c r="AI150" s="131"/>
      <c r="AK150" s="111"/>
      <c r="AL150" s="111"/>
      <c r="AM150" s="111"/>
      <c r="AN150" s="651"/>
      <c r="AO150" s="131"/>
      <c r="AQ150" s="17"/>
      <c r="AR150" s="17"/>
      <c r="AS150" s="17"/>
      <c r="AT150" s="17">
        <f t="shared" si="131"/>
        <v>2</v>
      </c>
      <c r="AU150" s="19">
        <f t="shared" si="133"/>
        <v>1</v>
      </c>
      <c r="AW150" s="17"/>
      <c r="AX150" s="17"/>
      <c r="AY150" s="17"/>
      <c r="AZ150" s="424">
        <f t="shared" si="134"/>
        <v>13</v>
      </c>
      <c r="BA150" s="19">
        <f t="shared" si="135"/>
        <v>1</v>
      </c>
    </row>
    <row r="151" spans="1:53" ht="17.100000000000001" customHeight="1" x14ac:dyDescent="0.25">
      <c r="A151" s="40"/>
      <c r="B151" s="40"/>
      <c r="C151" s="77"/>
      <c r="D151" s="144"/>
      <c r="E151" s="144"/>
      <c r="F151" s="145"/>
      <c r="G151" s="283"/>
      <c r="H151" s="119"/>
      <c r="I151" s="236"/>
      <c r="J151" s="64"/>
      <c r="K151" s="64"/>
      <c r="L151" s="81"/>
      <c r="M151" s="81"/>
      <c r="N151" s="81">
        <f>SUM(N148:N150)</f>
        <v>1</v>
      </c>
      <c r="O151" s="81">
        <f t="shared" ref="O151:Y151" si="136">SUM(O148:O150)</f>
        <v>7</v>
      </c>
      <c r="P151" s="81">
        <f t="shared" si="136"/>
        <v>8</v>
      </c>
      <c r="Q151" s="81">
        <f t="shared" si="136"/>
        <v>1</v>
      </c>
      <c r="R151" s="81">
        <f t="shared" si="136"/>
        <v>6</v>
      </c>
      <c r="S151" s="81">
        <f t="shared" si="136"/>
        <v>7</v>
      </c>
      <c r="T151" s="81">
        <f t="shared" si="136"/>
        <v>0</v>
      </c>
      <c r="U151" s="81">
        <f t="shared" si="136"/>
        <v>0</v>
      </c>
      <c r="V151" s="81">
        <f t="shared" si="136"/>
        <v>0</v>
      </c>
      <c r="W151" s="82">
        <f t="shared" si="136"/>
        <v>2</v>
      </c>
      <c r="X151" s="82">
        <f t="shared" si="136"/>
        <v>13</v>
      </c>
      <c r="Y151" s="82">
        <f t="shared" si="136"/>
        <v>15</v>
      </c>
      <c r="Z151" s="205">
        <f t="shared" si="132"/>
        <v>1</v>
      </c>
      <c r="AA151" s="205"/>
      <c r="AB151" s="205"/>
      <c r="AC151" s="83"/>
      <c r="AE151" s="81"/>
      <c r="AF151" s="81"/>
      <c r="AG151" s="82"/>
      <c r="AH151" s="82"/>
      <c r="AI151" s="66"/>
      <c r="AK151" s="81"/>
      <c r="AL151" s="81"/>
      <c r="AM151" s="82"/>
      <c r="AN151" s="82"/>
      <c r="AO151" s="66"/>
      <c r="AQ151" s="81"/>
      <c r="AR151" s="81"/>
      <c r="AS151" s="82"/>
      <c r="AT151" s="82">
        <f>SUM(AT148:AT150)</f>
        <v>2</v>
      </c>
      <c r="AU151" s="66">
        <f t="shared" si="133"/>
        <v>1</v>
      </c>
      <c r="AW151" s="81"/>
      <c r="AX151" s="81"/>
      <c r="AY151" s="82"/>
      <c r="AZ151" s="82">
        <f>SUM(AZ148:AZ150)</f>
        <v>13</v>
      </c>
      <c r="BA151" s="66">
        <f t="shared" si="135"/>
        <v>1</v>
      </c>
    </row>
    <row r="152" spans="1:53" s="117" customFormat="1" ht="17.100000000000001" customHeight="1" x14ac:dyDescent="0.25">
      <c r="A152" s="119"/>
      <c r="B152" s="119"/>
      <c r="C152" s="647"/>
      <c r="D152" s="212"/>
      <c r="E152" s="212"/>
      <c r="F152" s="212"/>
      <c r="G152" s="212"/>
      <c r="H152" s="242"/>
      <c r="I152" s="230"/>
      <c r="J152" s="17"/>
      <c r="K152" s="17"/>
      <c r="L152" s="17"/>
      <c r="M152" s="17"/>
      <c r="N152" s="17" t="str">
        <f>IF(N151=N$20,"OK","NOK")</f>
        <v>OK</v>
      </c>
      <c r="O152" s="17" t="str">
        <f>IF(O151=O$20,"OK","NOK")</f>
        <v>OK</v>
      </c>
      <c r="P152" s="17"/>
      <c r="Q152" s="17" t="str">
        <f>IF(Q151=Q$20,"OK","NOK")</f>
        <v>OK</v>
      </c>
      <c r="R152" s="17" t="str">
        <f>IF(R151=R$20,"OK","NOK")</f>
        <v>OK</v>
      </c>
      <c r="S152" s="17"/>
      <c r="T152" s="17" t="str">
        <f>IF(T151=T$20,"OK","NOK")</f>
        <v>OK</v>
      </c>
      <c r="U152" s="17" t="str">
        <f>IF(U151=U$20,"OK","NOK")</f>
        <v>OK</v>
      </c>
      <c r="V152" s="359"/>
      <c r="W152" s="382"/>
      <c r="X152" s="646"/>
      <c r="Y152" s="646"/>
      <c r="Z152" s="201"/>
      <c r="AA152" s="201"/>
      <c r="AB152" s="201"/>
      <c r="AC152" s="84"/>
      <c r="AE152" s="17"/>
      <c r="AF152" s="17"/>
      <c r="AG152" s="17"/>
      <c r="AH152" s="646"/>
      <c r="AI152" s="91"/>
      <c r="AK152" s="17"/>
      <c r="AL152" s="17"/>
      <c r="AM152" s="17"/>
      <c r="AN152" s="646"/>
      <c r="AO152" s="91"/>
      <c r="AQ152" s="17"/>
      <c r="AR152" s="17"/>
      <c r="AS152" s="17"/>
      <c r="AT152" s="646"/>
      <c r="AU152" s="91"/>
      <c r="AW152" s="17"/>
      <c r="AX152" s="17"/>
      <c r="AY152" s="17"/>
      <c r="AZ152" s="17"/>
      <c r="BA152" s="91"/>
    </row>
    <row r="153" spans="1:53" ht="17.100000000000001" customHeight="1" x14ac:dyDescent="0.25">
      <c r="A153" s="40"/>
      <c r="B153" s="40"/>
      <c r="C153" s="40"/>
      <c r="D153" s="85" t="s">
        <v>613</v>
      </c>
      <c r="E153" s="150"/>
      <c r="F153" s="151"/>
      <c r="G153" s="318"/>
      <c r="H153" s="119"/>
      <c r="I153" s="236"/>
      <c r="J153" s="174"/>
      <c r="K153" s="174"/>
      <c r="L153" s="111"/>
      <c r="M153" s="111"/>
      <c r="N153" s="111"/>
      <c r="O153" s="111"/>
      <c r="P153" s="111"/>
      <c r="Q153" s="111"/>
      <c r="R153" s="111"/>
      <c r="S153" s="111"/>
      <c r="T153" s="111"/>
      <c r="U153" s="111"/>
      <c r="V153" s="111"/>
      <c r="W153" s="111"/>
      <c r="X153" s="111"/>
      <c r="Y153" s="111"/>
      <c r="Z153" s="131"/>
      <c r="AA153" s="131"/>
      <c r="AB153" s="131"/>
      <c r="AC153" s="113"/>
      <c r="AE153" s="111"/>
      <c r="AF153" s="111"/>
      <c r="AG153" s="651"/>
      <c r="AH153" s="131"/>
      <c r="AI153" s="113"/>
      <c r="AK153" s="111"/>
      <c r="AL153" s="111"/>
      <c r="AM153" s="651"/>
      <c r="AN153" s="131"/>
      <c r="AO153" s="113"/>
      <c r="AQ153" s="111"/>
      <c r="AR153" s="111"/>
      <c r="AS153" s="651"/>
      <c r="AT153" s="131"/>
      <c r="AU153" s="113"/>
      <c r="AW153" s="111"/>
      <c r="AX153" s="111"/>
      <c r="AY153" s="651"/>
      <c r="AZ153" s="131"/>
      <c r="BA153" s="113"/>
    </row>
    <row r="154" spans="1:53" ht="17.100000000000001" customHeight="1" x14ac:dyDescent="0.25">
      <c r="A154" s="40"/>
      <c r="B154" s="40"/>
      <c r="C154" s="40"/>
      <c r="D154" s="74" t="s">
        <v>569</v>
      </c>
      <c r="E154" s="85" t="s">
        <v>570</v>
      </c>
      <c r="F154" s="75"/>
      <c r="G154" s="76"/>
      <c r="H154" s="316"/>
      <c r="I154" s="230"/>
      <c r="J154" s="174"/>
      <c r="K154" s="174"/>
      <c r="L154" s="111"/>
      <c r="M154" s="111"/>
      <c r="N154" s="60"/>
      <c r="O154" s="60"/>
      <c r="P154" s="593">
        <f t="shared" ref="P154:P168" si="137">SUM(N154:O154)</f>
        <v>0</v>
      </c>
      <c r="Q154" s="60"/>
      <c r="R154" s="60"/>
      <c r="S154" s="593">
        <f t="shared" ref="S154:S163" si="138">SUM(Q154:R154)</f>
        <v>0</v>
      </c>
      <c r="T154" s="60"/>
      <c r="U154" s="60"/>
      <c r="V154" s="593">
        <f t="shared" ref="V154:V163" si="139">SUM(T154:U154)</f>
        <v>0</v>
      </c>
      <c r="W154" s="391">
        <f t="shared" ref="W154:W163" si="140">J154+K154+N154+Q154+T154</f>
        <v>0</v>
      </c>
      <c r="X154" s="17">
        <f t="shared" ref="X154:X163" si="141">L154+O154+R154+U154</f>
        <v>0</v>
      </c>
      <c r="Y154" s="18">
        <f t="shared" ref="Y154:Y163" si="142">SUM(W154:X154)</f>
        <v>0</v>
      </c>
      <c r="Z154" s="19">
        <f t="shared" ref="Z154:Z163" si="143">IF(Y$169=0,0,Y154/Y$169)</f>
        <v>0</v>
      </c>
      <c r="AA154" s="19"/>
      <c r="AB154" s="19"/>
      <c r="AC154" s="20"/>
      <c r="AE154" s="111"/>
      <c r="AF154" s="111"/>
      <c r="AG154" s="111"/>
      <c r="AH154" s="651"/>
      <c r="AI154" s="131"/>
      <c r="AK154" s="111"/>
      <c r="AL154" s="111"/>
      <c r="AM154" s="111"/>
      <c r="AN154" s="651"/>
      <c r="AO154" s="131"/>
      <c r="AQ154" s="20"/>
      <c r="AR154" s="20"/>
      <c r="AS154" s="20"/>
      <c r="AT154" s="17">
        <f t="shared" ref="AT154:AT163" si="144">W154</f>
        <v>0</v>
      </c>
      <c r="AU154" s="19">
        <f t="shared" ref="AU154:AU163" si="145">IF(AT$169=0,0,AT154/AT$169)</f>
        <v>0</v>
      </c>
      <c r="AW154" s="17"/>
      <c r="AX154" s="17"/>
      <c r="AY154" s="17"/>
      <c r="AZ154" s="424">
        <f>X154</f>
        <v>0</v>
      </c>
      <c r="BA154" s="19">
        <f t="shared" ref="BA154:BA163" si="146">IF(AZ$169=0,0,AZ154/AZ$169)</f>
        <v>0</v>
      </c>
    </row>
    <row r="155" spans="1:53" ht="17.100000000000001" customHeight="1" x14ac:dyDescent="0.25">
      <c r="A155" s="40"/>
      <c r="B155" s="40"/>
      <c r="C155" s="40"/>
      <c r="D155" s="74" t="s">
        <v>571</v>
      </c>
      <c r="E155" s="649" t="s">
        <v>572</v>
      </c>
      <c r="F155" s="649"/>
      <c r="G155" s="281"/>
      <c r="H155" s="254"/>
      <c r="I155" s="235"/>
      <c r="J155" s="174"/>
      <c r="K155" s="174"/>
      <c r="L155" s="111"/>
      <c r="M155" s="111"/>
      <c r="N155" s="61">
        <v>1</v>
      </c>
      <c r="O155" s="61">
        <v>5</v>
      </c>
      <c r="P155" s="593">
        <f t="shared" si="137"/>
        <v>6</v>
      </c>
      <c r="Q155" s="61"/>
      <c r="R155" s="61">
        <v>3</v>
      </c>
      <c r="S155" s="593">
        <f t="shared" si="138"/>
        <v>3</v>
      </c>
      <c r="T155" s="61"/>
      <c r="U155" s="61"/>
      <c r="V155" s="593">
        <f t="shared" si="139"/>
        <v>0</v>
      </c>
      <c r="W155" s="391">
        <f t="shared" si="140"/>
        <v>1</v>
      </c>
      <c r="X155" s="17">
        <f t="shared" si="141"/>
        <v>8</v>
      </c>
      <c r="Y155" s="18">
        <f t="shared" si="142"/>
        <v>9</v>
      </c>
      <c r="Z155" s="19">
        <f t="shared" si="143"/>
        <v>0.33333333333333331</v>
      </c>
      <c r="AA155" s="19"/>
      <c r="AB155" s="19"/>
      <c r="AC155" s="20"/>
      <c r="AE155" s="111"/>
      <c r="AF155" s="111"/>
      <c r="AG155" s="111"/>
      <c r="AH155" s="651"/>
      <c r="AI155" s="131"/>
      <c r="AK155" s="111"/>
      <c r="AL155" s="111"/>
      <c r="AM155" s="111"/>
      <c r="AN155" s="651"/>
      <c r="AO155" s="131"/>
      <c r="AQ155" s="20"/>
      <c r="AR155" s="20"/>
      <c r="AS155" s="20"/>
      <c r="AT155" s="17">
        <f t="shared" si="144"/>
        <v>1</v>
      </c>
      <c r="AU155" s="19">
        <f t="shared" si="145"/>
        <v>0.33333333333333331</v>
      </c>
      <c r="AW155" s="17"/>
      <c r="AX155" s="17"/>
      <c r="AY155" s="17"/>
      <c r="AZ155" s="424">
        <f t="shared" ref="AZ155:AZ163" si="147">X155</f>
        <v>8</v>
      </c>
      <c r="BA155" s="19">
        <f t="shared" si="146"/>
        <v>0.33333333333333331</v>
      </c>
    </row>
    <row r="156" spans="1:53" ht="17.100000000000001" customHeight="1" x14ac:dyDescent="0.25">
      <c r="A156" s="40"/>
      <c r="B156" s="40"/>
      <c r="C156" s="40"/>
      <c r="D156" s="74" t="s">
        <v>573</v>
      </c>
      <c r="E156" s="649" t="s">
        <v>574</v>
      </c>
      <c r="F156" s="649"/>
      <c r="G156" s="281"/>
      <c r="H156" s="254"/>
      <c r="I156" s="235"/>
      <c r="J156" s="174"/>
      <c r="K156" s="174"/>
      <c r="L156" s="111"/>
      <c r="M156" s="111"/>
      <c r="N156" s="60"/>
      <c r="O156" s="60"/>
      <c r="P156" s="593">
        <f t="shared" si="137"/>
        <v>0</v>
      </c>
      <c r="Q156" s="60"/>
      <c r="R156" s="60"/>
      <c r="S156" s="593">
        <f t="shared" si="138"/>
        <v>0</v>
      </c>
      <c r="T156" s="60"/>
      <c r="U156" s="60"/>
      <c r="V156" s="593">
        <f t="shared" si="139"/>
        <v>0</v>
      </c>
      <c r="W156" s="391">
        <f t="shared" si="140"/>
        <v>0</v>
      </c>
      <c r="X156" s="17">
        <f t="shared" si="141"/>
        <v>0</v>
      </c>
      <c r="Y156" s="18">
        <f t="shared" si="142"/>
        <v>0</v>
      </c>
      <c r="Z156" s="19">
        <f t="shared" si="143"/>
        <v>0</v>
      </c>
      <c r="AA156" s="19"/>
      <c r="AB156" s="19"/>
      <c r="AC156" s="20"/>
      <c r="AE156" s="111"/>
      <c r="AF156" s="111"/>
      <c r="AG156" s="111"/>
      <c r="AH156" s="651"/>
      <c r="AI156" s="131"/>
      <c r="AK156" s="111"/>
      <c r="AL156" s="111"/>
      <c r="AM156" s="111"/>
      <c r="AN156" s="651"/>
      <c r="AO156" s="131"/>
      <c r="AQ156" s="20"/>
      <c r="AR156" s="20"/>
      <c r="AS156" s="20"/>
      <c r="AT156" s="17">
        <f t="shared" si="144"/>
        <v>0</v>
      </c>
      <c r="AU156" s="19">
        <f t="shared" si="145"/>
        <v>0</v>
      </c>
      <c r="AW156" s="17"/>
      <c r="AX156" s="17"/>
      <c r="AY156" s="17"/>
      <c r="AZ156" s="424">
        <f t="shared" si="147"/>
        <v>0</v>
      </c>
      <c r="BA156" s="19">
        <f t="shared" si="146"/>
        <v>0</v>
      </c>
    </row>
    <row r="157" spans="1:53" ht="17.100000000000001" customHeight="1" x14ac:dyDescent="0.25">
      <c r="A157" s="40"/>
      <c r="B157" s="40"/>
      <c r="C157" s="40"/>
      <c r="D157" s="74" t="s">
        <v>575</v>
      </c>
      <c r="E157" s="649" t="s">
        <v>576</v>
      </c>
      <c r="F157" s="649"/>
      <c r="G157" s="281"/>
      <c r="H157" s="254"/>
      <c r="I157" s="235"/>
      <c r="J157" s="174"/>
      <c r="K157" s="174"/>
      <c r="L157" s="111"/>
      <c r="M157" s="111"/>
      <c r="N157" s="61"/>
      <c r="O157" s="61"/>
      <c r="P157" s="593">
        <f t="shared" si="137"/>
        <v>0</v>
      </c>
      <c r="Q157" s="61"/>
      <c r="R157" s="61"/>
      <c r="S157" s="593">
        <f t="shared" si="138"/>
        <v>0</v>
      </c>
      <c r="T157" s="61"/>
      <c r="U157" s="61"/>
      <c r="V157" s="593">
        <f t="shared" si="139"/>
        <v>0</v>
      </c>
      <c r="W157" s="391">
        <f t="shared" si="140"/>
        <v>0</v>
      </c>
      <c r="X157" s="17">
        <f t="shared" si="141"/>
        <v>0</v>
      </c>
      <c r="Y157" s="18">
        <f t="shared" si="142"/>
        <v>0</v>
      </c>
      <c r="Z157" s="19">
        <f t="shared" si="143"/>
        <v>0</v>
      </c>
      <c r="AA157" s="19"/>
      <c r="AB157" s="19"/>
      <c r="AC157" s="20"/>
      <c r="AE157" s="111"/>
      <c r="AF157" s="111"/>
      <c r="AG157" s="111"/>
      <c r="AH157" s="651"/>
      <c r="AI157" s="131"/>
      <c r="AK157" s="111"/>
      <c r="AL157" s="111"/>
      <c r="AM157" s="111"/>
      <c r="AN157" s="651"/>
      <c r="AO157" s="131"/>
      <c r="AQ157" s="20"/>
      <c r="AR157" s="20"/>
      <c r="AS157" s="20"/>
      <c r="AT157" s="17">
        <f t="shared" si="144"/>
        <v>0</v>
      </c>
      <c r="AU157" s="19">
        <f t="shared" si="145"/>
        <v>0</v>
      </c>
      <c r="AW157" s="17"/>
      <c r="AX157" s="17"/>
      <c r="AY157" s="17"/>
      <c r="AZ157" s="424">
        <f t="shared" si="147"/>
        <v>0</v>
      </c>
      <c r="BA157" s="19">
        <f t="shared" si="146"/>
        <v>0</v>
      </c>
    </row>
    <row r="158" spans="1:53" ht="17.100000000000001" customHeight="1" x14ac:dyDescent="0.25">
      <c r="A158" s="40"/>
      <c r="B158" s="40"/>
      <c r="C158" s="40"/>
      <c r="D158" s="74" t="s">
        <v>577</v>
      </c>
      <c r="E158" s="85" t="s">
        <v>578</v>
      </c>
      <c r="F158" s="75"/>
      <c r="G158" s="76"/>
      <c r="H158" s="316"/>
      <c r="I158" s="230"/>
      <c r="J158" s="174"/>
      <c r="K158" s="174"/>
      <c r="L158" s="111"/>
      <c r="M158" s="111"/>
      <c r="N158" s="60"/>
      <c r="O158" s="60"/>
      <c r="P158" s="593">
        <f t="shared" si="137"/>
        <v>0</v>
      </c>
      <c r="Q158" s="60"/>
      <c r="R158" s="60">
        <v>1</v>
      </c>
      <c r="S158" s="593">
        <f t="shared" si="138"/>
        <v>1</v>
      </c>
      <c r="T158" s="60"/>
      <c r="U158" s="60"/>
      <c r="V158" s="593">
        <f t="shared" si="139"/>
        <v>0</v>
      </c>
      <c r="W158" s="391">
        <f t="shared" si="140"/>
        <v>0</v>
      </c>
      <c r="X158" s="17">
        <f t="shared" si="141"/>
        <v>1</v>
      </c>
      <c r="Y158" s="18">
        <f t="shared" si="142"/>
        <v>1</v>
      </c>
      <c r="Z158" s="19">
        <f t="shared" si="143"/>
        <v>3.7037037037037035E-2</v>
      </c>
      <c r="AA158" s="19"/>
      <c r="AB158" s="19"/>
      <c r="AC158" s="20"/>
      <c r="AE158" s="111"/>
      <c r="AF158" s="111"/>
      <c r="AG158" s="111"/>
      <c r="AH158" s="651"/>
      <c r="AI158" s="131"/>
      <c r="AK158" s="111"/>
      <c r="AL158" s="111"/>
      <c r="AM158" s="111"/>
      <c r="AN158" s="651"/>
      <c r="AO158" s="131"/>
      <c r="AQ158" s="20"/>
      <c r="AR158" s="20"/>
      <c r="AS158" s="20"/>
      <c r="AT158" s="17">
        <f t="shared" si="144"/>
        <v>0</v>
      </c>
      <c r="AU158" s="19">
        <f t="shared" si="145"/>
        <v>0</v>
      </c>
      <c r="AW158" s="17"/>
      <c r="AX158" s="17"/>
      <c r="AY158" s="17"/>
      <c r="AZ158" s="424">
        <f t="shared" si="147"/>
        <v>1</v>
      </c>
      <c r="BA158" s="19">
        <f t="shared" si="146"/>
        <v>4.1666666666666664E-2</v>
      </c>
    </row>
    <row r="159" spans="1:53" ht="17.100000000000001" customHeight="1" x14ac:dyDescent="0.25">
      <c r="A159" s="40"/>
      <c r="B159" s="40"/>
      <c r="C159" s="40"/>
      <c r="D159" s="74" t="s">
        <v>579</v>
      </c>
      <c r="E159" s="85" t="s">
        <v>580</v>
      </c>
      <c r="F159" s="75"/>
      <c r="G159" s="76"/>
      <c r="H159" s="316"/>
      <c r="I159" s="230"/>
      <c r="J159" s="174"/>
      <c r="K159" s="174"/>
      <c r="L159" s="111"/>
      <c r="M159" s="111"/>
      <c r="N159" s="61">
        <v>1</v>
      </c>
      <c r="O159" s="61">
        <v>7</v>
      </c>
      <c r="P159" s="593">
        <f t="shared" si="137"/>
        <v>8</v>
      </c>
      <c r="Q159" s="61">
        <v>1</v>
      </c>
      <c r="R159" s="61">
        <v>2</v>
      </c>
      <c r="S159" s="593">
        <f t="shared" si="138"/>
        <v>3</v>
      </c>
      <c r="T159" s="61"/>
      <c r="U159" s="61"/>
      <c r="V159" s="593">
        <f t="shared" si="139"/>
        <v>0</v>
      </c>
      <c r="W159" s="391">
        <f t="shared" si="140"/>
        <v>2</v>
      </c>
      <c r="X159" s="17">
        <f t="shared" si="141"/>
        <v>9</v>
      </c>
      <c r="Y159" s="18">
        <f t="shared" si="142"/>
        <v>11</v>
      </c>
      <c r="Z159" s="19">
        <f t="shared" si="143"/>
        <v>0.40740740740740738</v>
      </c>
      <c r="AA159" s="19"/>
      <c r="AB159" s="19"/>
      <c r="AC159" s="20"/>
      <c r="AE159" s="111"/>
      <c r="AF159" s="111"/>
      <c r="AG159" s="111"/>
      <c r="AH159" s="651"/>
      <c r="AI159" s="131"/>
      <c r="AK159" s="111"/>
      <c r="AL159" s="111"/>
      <c r="AM159" s="111"/>
      <c r="AN159" s="651"/>
      <c r="AO159" s="131"/>
      <c r="AQ159" s="20"/>
      <c r="AR159" s="20"/>
      <c r="AS159" s="20"/>
      <c r="AT159" s="17">
        <f t="shared" si="144"/>
        <v>2</v>
      </c>
      <c r="AU159" s="19">
        <f t="shared" si="145"/>
        <v>0.66666666666666663</v>
      </c>
      <c r="AW159" s="17"/>
      <c r="AX159" s="17"/>
      <c r="AY159" s="17"/>
      <c r="AZ159" s="424">
        <f t="shared" si="147"/>
        <v>9</v>
      </c>
      <c r="BA159" s="19">
        <f t="shared" si="146"/>
        <v>0.375</v>
      </c>
    </row>
    <row r="160" spans="1:53" ht="17.100000000000001" customHeight="1" x14ac:dyDescent="0.25">
      <c r="A160" s="40"/>
      <c r="B160" s="40"/>
      <c r="C160" s="40"/>
      <c r="D160" s="74" t="s">
        <v>581</v>
      </c>
      <c r="E160" s="85" t="s">
        <v>582</v>
      </c>
      <c r="F160" s="75"/>
      <c r="G160" s="76"/>
      <c r="H160" s="316"/>
      <c r="I160" s="230"/>
      <c r="J160" s="174"/>
      <c r="K160" s="174"/>
      <c r="L160" s="111"/>
      <c r="M160" s="111"/>
      <c r="N160" s="60"/>
      <c r="O160" s="60"/>
      <c r="P160" s="593">
        <f t="shared" si="137"/>
        <v>0</v>
      </c>
      <c r="Q160" s="60"/>
      <c r="R160" s="60"/>
      <c r="S160" s="593">
        <f t="shared" si="138"/>
        <v>0</v>
      </c>
      <c r="T160" s="60"/>
      <c r="U160" s="60"/>
      <c r="V160" s="593">
        <f t="shared" si="139"/>
        <v>0</v>
      </c>
      <c r="W160" s="391">
        <f t="shared" si="140"/>
        <v>0</v>
      </c>
      <c r="X160" s="17">
        <f t="shared" si="141"/>
        <v>0</v>
      </c>
      <c r="Y160" s="18">
        <f t="shared" si="142"/>
        <v>0</v>
      </c>
      <c r="Z160" s="19">
        <f t="shared" si="143"/>
        <v>0</v>
      </c>
      <c r="AA160" s="19"/>
      <c r="AB160" s="19"/>
      <c r="AC160" s="20"/>
      <c r="AE160" s="111"/>
      <c r="AF160" s="111"/>
      <c r="AG160" s="111"/>
      <c r="AH160" s="651"/>
      <c r="AI160" s="131"/>
      <c r="AK160" s="111"/>
      <c r="AL160" s="111"/>
      <c r="AM160" s="111"/>
      <c r="AN160" s="651"/>
      <c r="AO160" s="131"/>
      <c r="AQ160" s="20"/>
      <c r="AR160" s="20"/>
      <c r="AS160" s="20"/>
      <c r="AT160" s="17">
        <f t="shared" si="144"/>
        <v>0</v>
      </c>
      <c r="AU160" s="19">
        <f t="shared" si="145"/>
        <v>0</v>
      </c>
      <c r="AW160" s="17"/>
      <c r="AX160" s="17"/>
      <c r="AY160" s="17"/>
      <c r="AZ160" s="424">
        <f t="shared" si="147"/>
        <v>0</v>
      </c>
      <c r="BA160" s="19">
        <f t="shared" si="146"/>
        <v>0</v>
      </c>
    </row>
    <row r="161" spans="1:53" ht="17.100000000000001" customHeight="1" x14ac:dyDescent="0.25">
      <c r="A161" s="40"/>
      <c r="B161" s="40"/>
      <c r="C161" s="40"/>
      <c r="D161" s="74" t="s">
        <v>583</v>
      </c>
      <c r="E161" s="85" t="s">
        <v>584</v>
      </c>
      <c r="F161" s="75"/>
      <c r="G161" s="76"/>
      <c r="H161" s="316"/>
      <c r="I161" s="230"/>
      <c r="J161" s="174"/>
      <c r="K161" s="174"/>
      <c r="L161" s="111"/>
      <c r="M161" s="111"/>
      <c r="N161" s="61"/>
      <c r="O161" s="61">
        <v>4</v>
      </c>
      <c r="P161" s="593">
        <f t="shared" si="137"/>
        <v>4</v>
      </c>
      <c r="Q161" s="61"/>
      <c r="R161" s="61">
        <v>1</v>
      </c>
      <c r="S161" s="593">
        <f t="shared" si="138"/>
        <v>1</v>
      </c>
      <c r="T161" s="61"/>
      <c r="U161" s="61"/>
      <c r="V161" s="593">
        <f t="shared" si="139"/>
        <v>0</v>
      </c>
      <c r="W161" s="391">
        <f t="shared" si="140"/>
        <v>0</v>
      </c>
      <c r="X161" s="17">
        <f t="shared" si="141"/>
        <v>5</v>
      </c>
      <c r="Y161" s="18">
        <f t="shared" si="142"/>
        <v>5</v>
      </c>
      <c r="Z161" s="19">
        <f t="shared" si="143"/>
        <v>0.18518518518518517</v>
      </c>
      <c r="AA161" s="19"/>
      <c r="AB161" s="19"/>
      <c r="AC161" s="20"/>
      <c r="AE161" s="111"/>
      <c r="AF161" s="111"/>
      <c r="AG161" s="111"/>
      <c r="AH161" s="651"/>
      <c r="AI161" s="131"/>
      <c r="AK161" s="111"/>
      <c r="AL161" s="111"/>
      <c r="AM161" s="111"/>
      <c r="AN161" s="651"/>
      <c r="AO161" s="131"/>
      <c r="AQ161" s="20"/>
      <c r="AR161" s="20"/>
      <c r="AS161" s="20"/>
      <c r="AT161" s="17">
        <f t="shared" si="144"/>
        <v>0</v>
      </c>
      <c r="AU161" s="19">
        <f t="shared" si="145"/>
        <v>0</v>
      </c>
      <c r="AW161" s="17"/>
      <c r="AX161" s="17"/>
      <c r="AY161" s="17"/>
      <c r="AZ161" s="424">
        <f t="shared" si="147"/>
        <v>5</v>
      </c>
      <c r="BA161" s="19">
        <f t="shared" si="146"/>
        <v>0.20833333333333334</v>
      </c>
    </row>
    <row r="162" spans="1:53" ht="17.100000000000001" customHeight="1" x14ac:dyDescent="0.25">
      <c r="A162" s="40"/>
      <c r="B162" s="40"/>
      <c r="C162" s="40"/>
      <c r="D162" s="74" t="s">
        <v>585</v>
      </c>
      <c r="E162" s="85" t="s">
        <v>586</v>
      </c>
      <c r="F162" s="75"/>
      <c r="G162" s="76"/>
      <c r="H162" s="316"/>
      <c r="I162" s="230"/>
      <c r="J162" s="174"/>
      <c r="K162" s="174"/>
      <c r="L162" s="111"/>
      <c r="M162" s="111"/>
      <c r="N162" s="60"/>
      <c r="O162" s="60"/>
      <c r="P162" s="593">
        <f t="shared" si="137"/>
        <v>0</v>
      </c>
      <c r="Q162" s="60"/>
      <c r="R162" s="60"/>
      <c r="S162" s="593">
        <f t="shared" si="138"/>
        <v>0</v>
      </c>
      <c r="T162" s="60"/>
      <c r="U162" s="60"/>
      <c r="V162" s="593">
        <f t="shared" si="139"/>
        <v>0</v>
      </c>
      <c r="W162" s="391">
        <f t="shared" si="140"/>
        <v>0</v>
      </c>
      <c r="X162" s="17">
        <f t="shared" si="141"/>
        <v>0</v>
      </c>
      <c r="Y162" s="18">
        <f t="shared" si="142"/>
        <v>0</v>
      </c>
      <c r="Z162" s="19">
        <f t="shared" si="143"/>
        <v>0</v>
      </c>
      <c r="AA162" s="19"/>
      <c r="AB162" s="19"/>
      <c r="AC162" s="20"/>
      <c r="AE162" s="111"/>
      <c r="AF162" s="111"/>
      <c r="AG162" s="111"/>
      <c r="AH162" s="651"/>
      <c r="AI162" s="131"/>
      <c r="AK162" s="111"/>
      <c r="AL162" s="111"/>
      <c r="AM162" s="111"/>
      <c r="AN162" s="651"/>
      <c r="AO162" s="131"/>
      <c r="AQ162" s="20"/>
      <c r="AR162" s="20"/>
      <c r="AS162" s="20"/>
      <c r="AT162" s="17">
        <f t="shared" si="144"/>
        <v>0</v>
      </c>
      <c r="AU162" s="19">
        <f t="shared" si="145"/>
        <v>0</v>
      </c>
      <c r="AW162" s="17"/>
      <c r="AX162" s="17"/>
      <c r="AY162" s="17"/>
      <c r="AZ162" s="424">
        <f t="shared" si="147"/>
        <v>0</v>
      </c>
      <c r="BA162" s="19">
        <f t="shared" si="146"/>
        <v>0</v>
      </c>
    </row>
    <row r="163" spans="1:53" ht="17.100000000000001" customHeight="1" x14ac:dyDescent="0.25">
      <c r="A163" s="40"/>
      <c r="B163" s="40"/>
      <c r="C163" s="40"/>
      <c r="D163" s="56" t="s">
        <v>587</v>
      </c>
      <c r="E163" s="75" t="s">
        <v>588</v>
      </c>
      <c r="F163" s="284"/>
      <c r="G163" s="285"/>
      <c r="H163" s="319"/>
      <c r="I163" s="308"/>
      <c r="J163" s="111"/>
      <c r="K163" s="111"/>
      <c r="L163" s="111"/>
      <c r="M163" s="111"/>
      <c r="N163" s="111">
        <f t="shared" ref="N163:U163" si="148">SUM(N164:N168)</f>
        <v>0</v>
      </c>
      <c r="O163" s="111">
        <f t="shared" si="148"/>
        <v>0</v>
      </c>
      <c r="P163" s="111">
        <f t="shared" si="137"/>
        <v>0</v>
      </c>
      <c r="Q163" s="111">
        <f t="shared" si="148"/>
        <v>0</v>
      </c>
      <c r="R163" s="111">
        <f t="shared" si="148"/>
        <v>1</v>
      </c>
      <c r="S163" s="111">
        <f t="shared" si="138"/>
        <v>1</v>
      </c>
      <c r="T163" s="111">
        <f t="shared" si="148"/>
        <v>0</v>
      </c>
      <c r="U163" s="111">
        <f t="shared" si="148"/>
        <v>0</v>
      </c>
      <c r="V163" s="111">
        <f t="shared" si="139"/>
        <v>0</v>
      </c>
      <c r="W163" s="380">
        <f t="shared" si="140"/>
        <v>0</v>
      </c>
      <c r="X163" s="111">
        <f t="shared" si="141"/>
        <v>1</v>
      </c>
      <c r="Y163" s="651">
        <f t="shared" si="142"/>
        <v>1</v>
      </c>
      <c r="Z163" s="131">
        <f t="shared" si="143"/>
        <v>3.7037037037037035E-2</v>
      </c>
      <c r="AA163" s="131"/>
      <c r="AB163" s="131"/>
      <c r="AC163" s="113"/>
      <c r="AE163" s="111"/>
      <c r="AF163" s="111"/>
      <c r="AG163" s="111"/>
      <c r="AH163" s="651"/>
      <c r="AI163" s="131"/>
      <c r="AK163" s="111"/>
      <c r="AL163" s="111"/>
      <c r="AM163" s="111"/>
      <c r="AN163" s="651"/>
      <c r="AO163" s="131"/>
      <c r="AQ163" s="111"/>
      <c r="AR163" s="111"/>
      <c r="AS163" s="111"/>
      <c r="AT163" s="111">
        <f t="shared" si="144"/>
        <v>0</v>
      </c>
      <c r="AU163" s="131">
        <f t="shared" si="145"/>
        <v>0</v>
      </c>
      <c r="AW163" s="111"/>
      <c r="AX163" s="111"/>
      <c r="AY163" s="111"/>
      <c r="AZ163" s="111">
        <f t="shared" si="147"/>
        <v>1</v>
      </c>
      <c r="BA163" s="131">
        <f t="shared" si="146"/>
        <v>4.1666666666666664E-2</v>
      </c>
    </row>
    <row r="164" spans="1:53" ht="17.100000000000001" customHeight="1" x14ac:dyDescent="0.25">
      <c r="A164" s="40"/>
      <c r="B164" s="40"/>
      <c r="C164" s="40"/>
      <c r="D164" s="74"/>
      <c r="E164" s="1335" t="s">
        <v>1838</v>
      </c>
      <c r="F164" s="287"/>
      <c r="G164" s="288"/>
      <c r="H164" s="46"/>
      <c r="I164" s="641"/>
      <c r="J164" s="174"/>
      <c r="K164" s="174"/>
      <c r="L164" s="111"/>
      <c r="M164" s="111"/>
      <c r="N164" s="60"/>
      <c r="O164" s="60"/>
      <c r="P164" s="593">
        <f t="shared" si="137"/>
        <v>0</v>
      </c>
      <c r="Q164" s="60"/>
      <c r="R164" s="60">
        <v>1</v>
      </c>
      <c r="S164" s="593">
        <f t="shared" ref="S164:S168" si="149">SUM(Q164:R164)</f>
        <v>1</v>
      </c>
      <c r="T164" s="60"/>
      <c r="U164" s="60"/>
      <c r="V164" s="593">
        <f t="shared" ref="V164:V168" si="150">SUM(T164:U164)</f>
        <v>0</v>
      </c>
      <c r="W164" s="391">
        <f t="shared" ref="W164:W168" si="151">J164+K164+N164+Q164+T164</f>
        <v>0</v>
      </c>
      <c r="X164" s="17">
        <f t="shared" ref="X164:X168" si="152">L164+O164+R164+U164</f>
        <v>1</v>
      </c>
      <c r="Y164" s="18">
        <f t="shared" ref="Y164:Y168" si="153">SUM(W164:X164)</f>
        <v>1</v>
      </c>
      <c r="Z164" s="19"/>
      <c r="AA164" s="19"/>
      <c r="AB164" s="19"/>
      <c r="AC164" s="20"/>
      <c r="AE164" s="111"/>
      <c r="AF164" s="111"/>
      <c r="AG164" s="113"/>
      <c r="AH164" s="131"/>
      <c r="AI164" s="113"/>
      <c r="AK164" s="111"/>
      <c r="AL164" s="111"/>
      <c r="AM164" s="113"/>
      <c r="AN164" s="131"/>
      <c r="AO164" s="113"/>
      <c r="AQ164" s="20"/>
      <c r="AR164" s="20"/>
      <c r="AS164" s="20"/>
      <c r="AT164" s="20"/>
      <c r="AU164" s="20"/>
      <c r="AW164" s="17"/>
      <c r="AX164" s="17"/>
      <c r="AY164" s="20"/>
      <c r="AZ164" s="19"/>
      <c r="BA164" s="20"/>
    </row>
    <row r="165" spans="1:53" ht="17.100000000000001" customHeight="1" x14ac:dyDescent="0.25">
      <c r="A165" s="40"/>
      <c r="B165" s="40"/>
      <c r="C165" s="40"/>
      <c r="D165" s="74"/>
      <c r="E165" s="1317" t="s">
        <v>1839</v>
      </c>
      <c r="F165" s="290"/>
      <c r="G165" s="291"/>
      <c r="H165" s="46"/>
      <c r="I165" s="641"/>
      <c r="J165" s="174"/>
      <c r="K165" s="174"/>
      <c r="L165" s="111"/>
      <c r="M165" s="111"/>
      <c r="N165" s="61"/>
      <c r="O165" s="61"/>
      <c r="P165" s="593">
        <f t="shared" si="137"/>
        <v>0</v>
      </c>
      <c r="Q165" s="61"/>
      <c r="R165" s="61"/>
      <c r="S165" s="593">
        <f t="shared" si="149"/>
        <v>0</v>
      </c>
      <c r="T165" s="61"/>
      <c r="U165" s="61"/>
      <c r="V165" s="593">
        <f t="shared" si="150"/>
        <v>0</v>
      </c>
      <c r="W165" s="391">
        <f t="shared" si="151"/>
        <v>0</v>
      </c>
      <c r="X165" s="17">
        <f t="shared" si="152"/>
        <v>0</v>
      </c>
      <c r="Y165" s="18">
        <f t="shared" si="153"/>
        <v>0</v>
      </c>
      <c r="Z165" s="19"/>
      <c r="AA165" s="19"/>
      <c r="AB165" s="19"/>
      <c r="AC165" s="20"/>
      <c r="AE165" s="111"/>
      <c r="AF165" s="111"/>
      <c r="AG165" s="113"/>
      <c r="AH165" s="131"/>
      <c r="AI165" s="113"/>
      <c r="AK165" s="111"/>
      <c r="AL165" s="111"/>
      <c r="AM165" s="113"/>
      <c r="AN165" s="131"/>
      <c r="AO165" s="113"/>
      <c r="AQ165" s="20"/>
      <c r="AR165" s="20"/>
      <c r="AS165" s="20"/>
      <c r="AT165" s="20"/>
      <c r="AU165" s="20"/>
      <c r="AW165" s="17"/>
      <c r="AX165" s="17"/>
      <c r="AY165" s="20"/>
      <c r="AZ165" s="19"/>
      <c r="BA165" s="20"/>
    </row>
    <row r="166" spans="1:53" ht="17.100000000000001" customHeight="1" x14ac:dyDescent="0.25">
      <c r="A166" s="40"/>
      <c r="B166" s="40"/>
      <c r="C166" s="40"/>
      <c r="D166" s="74"/>
      <c r="E166" s="298" t="s">
        <v>1841</v>
      </c>
      <c r="F166" s="287"/>
      <c r="G166" s="288"/>
      <c r="H166" s="46"/>
      <c r="I166" s="641"/>
      <c r="J166" s="174"/>
      <c r="K166" s="174"/>
      <c r="L166" s="111"/>
      <c r="M166" s="111"/>
      <c r="N166" s="60"/>
      <c r="O166" s="60"/>
      <c r="P166" s="593">
        <f t="shared" si="137"/>
        <v>0</v>
      </c>
      <c r="Q166" s="60"/>
      <c r="R166" s="60"/>
      <c r="S166" s="593">
        <f t="shared" si="149"/>
        <v>0</v>
      </c>
      <c r="T166" s="60"/>
      <c r="U166" s="60"/>
      <c r="V166" s="593">
        <f t="shared" si="150"/>
        <v>0</v>
      </c>
      <c r="W166" s="391">
        <f t="shared" si="151"/>
        <v>0</v>
      </c>
      <c r="X166" s="17">
        <f t="shared" si="152"/>
        <v>0</v>
      </c>
      <c r="Y166" s="18">
        <f t="shared" si="153"/>
        <v>0</v>
      </c>
      <c r="Z166" s="19"/>
      <c r="AA166" s="19"/>
      <c r="AB166" s="19"/>
      <c r="AC166" s="20"/>
      <c r="AE166" s="111"/>
      <c r="AF166" s="111"/>
      <c r="AG166" s="113"/>
      <c r="AH166" s="131"/>
      <c r="AI166" s="113"/>
      <c r="AK166" s="111"/>
      <c r="AL166" s="111"/>
      <c r="AM166" s="113"/>
      <c r="AN166" s="131"/>
      <c r="AO166" s="113"/>
      <c r="AQ166" s="20"/>
      <c r="AR166" s="20"/>
      <c r="AS166" s="20"/>
      <c r="AT166" s="20"/>
      <c r="AU166" s="20"/>
      <c r="AW166" s="17"/>
      <c r="AX166" s="17"/>
      <c r="AY166" s="20"/>
      <c r="AZ166" s="19"/>
      <c r="BA166" s="20"/>
    </row>
    <row r="167" spans="1:53" ht="17.100000000000001" customHeight="1" x14ac:dyDescent="0.25">
      <c r="A167" s="40"/>
      <c r="B167" s="40"/>
      <c r="C167" s="40"/>
      <c r="D167" s="74"/>
      <c r="E167" s="1317"/>
      <c r="F167" s="290"/>
      <c r="G167" s="291"/>
      <c r="H167" s="46"/>
      <c r="I167" s="641"/>
      <c r="J167" s="174"/>
      <c r="K167" s="174"/>
      <c r="L167" s="111"/>
      <c r="M167" s="111"/>
      <c r="N167" s="61"/>
      <c r="O167" s="61"/>
      <c r="P167" s="593">
        <f t="shared" si="137"/>
        <v>0</v>
      </c>
      <c r="Q167" s="61"/>
      <c r="R167" s="61"/>
      <c r="S167" s="593">
        <f t="shared" si="149"/>
        <v>0</v>
      </c>
      <c r="T167" s="61"/>
      <c r="U167" s="61"/>
      <c r="V167" s="593"/>
      <c r="W167" s="391"/>
      <c r="X167" s="17"/>
      <c r="Y167" s="18"/>
      <c r="Z167" s="19"/>
      <c r="AA167" s="19"/>
      <c r="AB167" s="19"/>
      <c r="AC167" s="20"/>
      <c r="AE167" s="111"/>
      <c r="AF167" s="111"/>
      <c r="AG167" s="113"/>
      <c r="AH167" s="131"/>
      <c r="AI167" s="113"/>
      <c r="AK167" s="111"/>
      <c r="AL167" s="111"/>
      <c r="AM167" s="113"/>
      <c r="AN167" s="131"/>
      <c r="AO167" s="113"/>
      <c r="AQ167" s="20"/>
      <c r="AR167" s="20"/>
      <c r="AS167" s="20"/>
      <c r="AT167" s="20"/>
      <c r="AU167" s="20"/>
      <c r="AW167" s="17"/>
      <c r="AX167" s="17"/>
      <c r="AY167" s="20"/>
      <c r="AZ167" s="19"/>
      <c r="BA167" s="20"/>
    </row>
    <row r="168" spans="1:53" ht="17.100000000000001" customHeight="1" x14ac:dyDescent="0.25">
      <c r="A168" s="40"/>
      <c r="B168" s="40"/>
      <c r="C168" s="40"/>
      <c r="D168" s="74"/>
      <c r="E168" s="298" t="s">
        <v>1840</v>
      </c>
      <c r="F168" s="287"/>
      <c r="G168" s="288"/>
      <c r="H168" s="46"/>
      <c r="I168" s="641"/>
      <c r="J168" s="174"/>
      <c r="K168" s="174"/>
      <c r="L168" s="111"/>
      <c r="M168" s="111"/>
      <c r="N168" s="60"/>
      <c r="O168" s="60"/>
      <c r="P168" s="593">
        <f t="shared" si="137"/>
        <v>0</v>
      </c>
      <c r="Q168" s="60"/>
      <c r="R168" s="60"/>
      <c r="S168" s="593">
        <f t="shared" si="149"/>
        <v>0</v>
      </c>
      <c r="T168" s="60"/>
      <c r="U168" s="60"/>
      <c r="V168" s="593">
        <f t="shared" si="150"/>
        <v>0</v>
      </c>
      <c r="W168" s="391">
        <f t="shared" si="151"/>
        <v>0</v>
      </c>
      <c r="X168" s="17">
        <f t="shared" si="152"/>
        <v>0</v>
      </c>
      <c r="Y168" s="18">
        <f t="shared" si="153"/>
        <v>0</v>
      </c>
      <c r="Z168" s="19"/>
      <c r="AA168" s="19"/>
      <c r="AB168" s="19"/>
      <c r="AC168" s="20"/>
      <c r="AE168" s="111"/>
      <c r="AF168" s="111"/>
      <c r="AG168" s="113"/>
      <c r="AH168" s="131"/>
      <c r="AI168" s="113"/>
      <c r="AK168" s="111"/>
      <c r="AL168" s="111"/>
      <c r="AM168" s="113"/>
      <c r="AN168" s="131"/>
      <c r="AO168" s="113"/>
      <c r="AQ168" s="20"/>
      <c r="AR168" s="20"/>
      <c r="AS168" s="20"/>
      <c r="AT168" s="20"/>
      <c r="AU168" s="20"/>
      <c r="AW168" s="17"/>
      <c r="AX168" s="17"/>
      <c r="AY168" s="20"/>
      <c r="AZ168" s="19"/>
      <c r="BA168" s="20"/>
    </row>
    <row r="169" spans="1:53" ht="17.100000000000001" customHeight="1" x14ac:dyDescent="0.25">
      <c r="A169" s="40"/>
      <c r="B169" s="40"/>
      <c r="C169" s="292"/>
      <c r="D169" s="144"/>
      <c r="E169" s="144"/>
      <c r="F169" s="145"/>
      <c r="G169" s="283"/>
      <c r="H169" s="119"/>
      <c r="I169" s="236"/>
      <c r="J169" s="64"/>
      <c r="K169" s="64"/>
      <c r="L169" s="81"/>
      <c r="M169" s="81"/>
      <c r="N169" s="81">
        <f>SUM(N154:N163)</f>
        <v>2</v>
      </c>
      <c r="O169" s="81">
        <f t="shared" ref="O169:Y169" si="154">SUM(O154:O163)</f>
        <v>16</v>
      </c>
      <c r="P169" s="81">
        <f t="shared" si="154"/>
        <v>18</v>
      </c>
      <c r="Q169" s="81">
        <f t="shared" si="154"/>
        <v>1</v>
      </c>
      <c r="R169" s="81">
        <f t="shared" si="154"/>
        <v>8</v>
      </c>
      <c r="S169" s="81">
        <f t="shared" si="154"/>
        <v>9</v>
      </c>
      <c r="T169" s="81">
        <f t="shared" si="154"/>
        <v>0</v>
      </c>
      <c r="U169" s="81">
        <f t="shared" si="154"/>
        <v>0</v>
      </c>
      <c r="V169" s="81">
        <f t="shared" si="154"/>
        <v>0</v>
      </c>
      <c r="W169" s="82">
        <f t="shared" si="154"/>
        <v>3</v>
      </c>
      <c r="X169" s="82">
        <f t="shared" si="154"/>
        <v>24</v>
      </c>
      <c r="Y169" s="82">
        <f t="shared" si="154"/>
        <v>27</v>
      </c>
      <c r="Z169" s="205">
        <f>IF(Y$169=0,0,Y169/Y$169)</f>
        <v>1</v>
      </c>
      <c r="AA169" s="205"/>
      <c r="AB169" s="205"/>
      <c r="AC169" s="83"/>
      <c r="AE169" s="81"/>
      <c r="AF169" s="81"/>
      <c r="AG169" s="82"/>
      <c r="AH169" s="82"/>
      <c r="AI169" s="66"/>
      <c r="AK169" s="81"/>
      <c r="AL169" s="81"/>
      <c r="AM169" s="82"/>
      <c r="AN169" s="82"/>
      <c r="AO169" s="66"/>
      <c r="AQ169" s="81"/>
      <c r="AR169" s="81"/>
      <c r="AS169" s="82"/>
      <c r="AT169" s="82">
        <f>SUM(AT154:AT163)</f>
        <v>3</v>
      </c>
      <c r="AU169" s="66">
        <f t="shared" ref="AU169" si="155">IF(AT$169=0,0,AT169/AT$169)</f>
        <v>1</v>
      </c>
      <c r="AW169" s="81"/>
      <c r="AX169" s="81"/>
      <c r="AY169" s="82"/>
      <c r="AZ169" s="82">
        <f>SUM(AZ154:AZ163)</f>
        <v>24</v>
      </c>
      <c r="BA169" s="66">
        <f t="shared" ref="BA169" si="156">IF(AZ$169=0,0,AZ169/AZ$169)</f>
        <v>1</v>
      </c>
    </row>
    <row r="170" spans="1:53" s="117" customFormat="1" ht="17.100000000000001" customHeight="1" x14ac:dyDescent="0.25">
      <c r="A170" s="119"/>
      <c r="B170" s="119"/>
      <c r="C170" s="420"/>
      <c r="D170" s="261"/>
      <c r="E170" s="261"/>
      <c r="F170" s="68"/>
      <c r="G170" s="210"/>
      <c r="H170" s="119"/>
      <c r="I170" s="236"/>
      <c r="J170" s="198"/>
      <c r="K170" s="198"/>
      <c r="L170" s="17"/>
      <c r="M170" s="17"/>
      <c r="N170" s="17"/>
      <c r="O170" s="17"/>
      <c r="P170" s="17"/>
      <c r="Q170" s="17"/>
      <c r="R170" s="17"/>
      <c r="S170" s="17"/>
      <c r="T170" s="17"/>
      <c r="U170" s="17"/>
      <c r="V170" s="17"/>
      <c r="W170" s="646"/>
      <c r="X170" s="646"/>
      <c r="Y170" s="646"/>
      <c r="Z170" s="201"/>
      <c r="AA170" s="201"/>
      <c r="AB170" s="201"/>
      <c r="AC170" s="84"/>
      <c r="AE170" s="17"/>
      <c r="AF170" s="17"/>
      <c r="AG170" s="646"/>
      <c r="AH170" s="646"/>
      <c r="AI170" s="91"/>
      <c r="AK170" s="17"/>
      <c r="AL170" s="17"/>
      <c r="AM170" s="646"/>
      <c r="AN170" s="646"/>
      <c r="AO170" s="91"/>
      <c r="AQ170" s="17"/>
      <c r="AR170" s="17"/>
      <c r="AS170" s="646"/>
      <c r="AT170" s="646"/>
      <c r="AU170" s="91"/>
      <c r="AW170" s="17"/>
      <c r="AX170" s="17"/>
      <c r="AY170" s="646"/>
      <c r="AZ170" s="17"/>
      <c r="BA170" s="91"/>
    </row>
    <row r="171" spans="1:53" ht="17.100000000000001" customHeight="1" x14ac:dyDescent="0.25">
      <c r="A171" s="40"/>
      <c r="B171" s="41" t="s">
        <v>116</v>
      </c>
      <c r="C171" s="42" t="s">
        <v>12</v>
      </c>
      <c r="D171" s="43"/>
      <c r="E171" s="43"/>
      <c r="F171" s="43"/>
      <c r="G171" s="44"/>
      <c r="H171" s="23"/>
      <c r="I171" s="229"/>
      <c r="J171" s="71"/>
      <c r="K171" s="71"/>
      <c r="L171" s="71"/>
      <c r="M171" s="71"/>
      <c r="N171" s="71"/>
      <c r="O171" s="71"/>
      <c r="P171" s="71"/>
      <c r="Q171" s="71"/>
      <c r="R171" s="71"/>
      <c r="S171" s="71"/>
      <c r="T171" s="71"/>
      <c r="U171" s="71"/>
      <c r="V171" s="71"/>
      <c r="W171" s="71"/>
      <c r="X171" s="71"/>
      <c r="Y171" s="71"/>
      <c r="Z171" s="73"/>
      <c r="AA171" s="73"/>
      <c r="AB171" s="73"/>
      <c r="AC171" s="73"/>
      <c r="AE171" s="71"/>
      <c r="AF171" s="71"/>
      <c r="AG171" s="73"/>
      <c r="AH171" s="73"/>
      <c r="AI171" s="73"/>
      <c r="AK171" s="71"/>
      <c r="AL171" s="71"/>
      <c r="AM171" s="73"/>
      <c r="AN171" s="73"/>
      <c r="AO171" s="73"/>
      <c r="AQ171" s="71"/>
      <c r="AR171" s="71"/>
      <c r="AS171" s="73"/>
      <c r="AT171" s="73"/>
      <c r="AU171" s="73"/>
      <c r="AW171" s="71"/>
      <c r="AX171" s="71"/>
      <c r="AY171" s="73"/>
      <c r="AZ171" s="73"/>
      <c r="BA171" s="73"/>
    </row>
    <row r="172" spans="1:53" s="97" customFormat="1" ht="17.100000000000001" customHeight="1" x14ac:dyDescent="0.25">
      <c r="A172" s="68"/>
      <c r="B172" s="68"/>
      <c r="C172" s="92"/>
      <c r="D172" s="93"/>
      <c r="E172" s="93"/>
      <c r="F172" s="93"/>
      <c r="G172" s="93"/>
      <c r="H172" s="12"/>
      <c r="I172" s="12"/>
    </row>
    <row r="173" spans="1:53" s="32" customFormat="1" ht="16.5" thickBot="1" x14ac:dyDescent="0.3">
      <c r="A173" s="24" t="s">
        <v>150</v>
      </c>
      <c r="B173" s="25" t="s">
        <v>589</v>
      </c>
      <c r="C173" s="26"/>
      <c r="D173" s="27"/>
      <c r="E173" s="27"/>
      <c r="F173" s="27"/>
      <c r="G173" s="27"/>
      <c r="H173" s="310"/>
      <c r="I173" s="14"/>
      <c r="J173" s="140"/>
      <c r="K173" s="140"/>
      <c r="L173" s="140"/>
      <c r="M173" s="140"/>
      <c r="N173" s="140"/>
      <c r="O173" s="140"/>
      <c r="P173" s="140"/>
      <c r="Q173" s="140"/>
      <c r="R173" s="140"/>
      <c r="S173" s="140"/>
      <c r="T173" s="140"/>
      <c r="U173" s="140"/>
      <c r="V173" s="140"/>
      <c r="W173" s="140"/>
      <c r="X173" s="140"/>
      <c r="Y173" s="140"/>
      <c r="Z173" s="31" t="s">
        <v>5</v>
      </c>
      <c r="AA173" s="31"/>
      <c r="AB173" s="31"/>
      <c r="AC173" s="24"/>
      <c r="AE173" s="33" t="s">
        <v>181</v>
      </c>
      <c r="AF173" s="33" t="s">
        <v>182</v>
      </c>
      <c r="AG173" s="33" t="s">
        <v>6</v>
      </c>
      <c r="AH173" s="33" t="s">
        <v>4</v>
      </c>
      <c r="AI173" s="34" t="s">
        <v>5</v>
      </c>
      <c r="AJ173" s="35"/>
      <c r="AK173" s="36" t="s">
        <v>181</v>
      </c>
      <c r="AL173" s="36" t="s">
        <v>182</v>
      </c>
      <c r="AM173" s="36" t="s">
        <v>6</v>
      </c>
      <c r="AN173" s="36" t="s">
        <v>4</v>
      </c>
      <c r="AO173" s="37" t="s">
        <v>5</v>
      </c>
      <c r="AQ173" s="398" t="s">
        <v>181</v>
      </c>
      <c r="AR173" s="398" t="s">
        <v>182</v>
      </c>
      <c r="AS173" s="398" t="s">
        <v>6</v>
      </c>
      <c r="AT173" s="398" t="s">
        <v>4</v>
      </c>
      <c r="AU173" s="399" t="s">
        <v>5</v>
      </c>
      <c r="AW173" s="38" t="s">
        <v>181</v>
      </c>
      <c r="AX173" s="38" t="s">
        <v>182</v>
      </c>
      <c r="AY173" s="38" t="s">
        <v>6</v>
      </c>
      <c r="AZ173" s="38" t="s">
        <v>4</v>
      </c>
      <c r="BA173" s="39" t="s">
        <v>5</v>
      </c>
    </row>
    <row r="174" spans="1:53" ht="17.100000000000001" customHeight="1" x14ac:dyDescent="0.25">
      <c r="A174" s="40"/>
      <c r="B174" s="41" t="s">
        <v>152</v>
      </c>
      <c r="C174" s="274" t="s">
        <v>615</v>
      </c>
      <c r="D174" s="43"/>
      <c r="E174" s="43"/>
      <c r="F174" s="43"/>
      <c r="G174" s="43"/>
      <c r="H174" s="321"/>
      <c r="I174" s="12"/>
      <c r="J174" s="73"/>
      <c r="K174" s="73"/>
      <c r="L174" s="73"/>
      <c r="M174" s="73"/>
      <c r="N174" s="73"/>
      <c r="O174" s="73"/>
      <c r="P174" s="73"/>
      <c r="Q174" s="73"/>
      <c r="R174" s="73"/>
      <c r="S174" s="73"/>
      <c r="T174" s="73"/>
      <c r="U174" s="73"/>
      <c r="V174" s="73"/>
      <c r="W174" s="73"/>
      <c r="X174" s="73"/>
      <c r="Y174" s="73"/>
      <c r="Z174" s="73"/>
      <c r="AA174" s="73"/>
      <c r="AB174" s="73"/>
      <c r="AC174" s="73"/>
      <c r="AE174" s="73"/>
      <c r="AF174" s="73"/>
      <c r="AG174" s="73"/>
      <c r="AH174" s="73"/>
      <c r="AI174" s="73"/>
      <c r="AK174" s="73"/>
      <c r="AL174" s="73"/>
      <c r="AM174" s="73"/>
      <c r="AN174" s="73"/>
      <c r="AO174" s="73"/>
      <c r="AQ174" s="71"/>
      <c r="AR174" s="71"/>
      <c r="AS174" s="71"/>
      <c r="AT174" s="72"/>
      <c r="AU174" s="73"/>
      <c r="AW174" s="73"/>
      <c r="AX174" s="73"/>
      <c r="AY174" s="73"/>
      <c r="AZ174" s="73"/>
      <c r="BA174" s="73"/>
    </row>
    <row r="175" spans="1:53" s="4" customFormat="1" ht="17.100000000000001" customHeight="1" x14ac:dyDescent="0.25">
      <c r="A175" s="102"/>
      <c r="B175" s="102"/>
      <c r="C175" s="74" t="s">
        <v>153</v>
      </c>
      <c r="D175" s="85" t="s">
        <v>590</v>
      </c>
      <c r="E175" s="75"/>
      <c r="F175" s="75"/>
      <c r="G175" s="106"/>
      <c r="H175" s="647"/>
      <c r="I175" s="231"/>
      <c r="J175" s="174"/>
      <c r="K175" s="174"/>
      <c r="L175" s="111"/>
      <c r="M175" s="111"/>
      <c r="N175" s="60"/>
      <c r="O175" s="60"/>
      <c r="P175" s="17">
        <f t="shared" ref="P175:P187" si="157">SUM(N175:O175)</f>
        <v>0</v>
      </c>
      <c r="Q175" s="60"/>
      <c r="R175" s="60"/>
      <c r="S175" s="17">
        <f t="shared" ref="S175:S187" si="158">SUM(Q175:R175)</f>
        <v>0</v>
      </c>
      <c r="T175" s="60"/>
      <c r="U175" s="60"/>
      <c r="V175" s="17">
        <f t="shared" ref="V175:V181" si="159">SUM(T175:U175)</f>
        <v>0</v>
      </c>
      <c r="W175" s="391">
        <f t="shared" ref="W175:W181" si="160">J175+K175+N175+Q175+T175</f>
        <v>0</v>
      </c>
      <c r="X175" s="17">
        <f t="shared" ref="X175:X181" si="161">L175+O175+R175+U175</f>
        <v>0</v>
      </c>
      <c r="Y175" s="18">
        <f t="shared" ref="Y175:Y181" si="162">SUM(W175:X175)</f>
        <v>0</v>
      </c>
      <c r="Z175" s="19">
        <f t="shared" ref="Z175:Z181" si="163">IF(Y$188=0,0,Y175/Y$188)</f>
        <v>0</v>
      </c>
      <c r="AA175" s="19"/>
      <c r="AB175" s="19"/>
      <c r="AC175" s="20"/>
      <c r="AE175" s="111"/>
      <c r="AF175" s="111"/>
      <c r="AG175" s="111"/>
      <c r="AH175" s="651"/>
      <c r="AI175" s="131"/>
      <c r="AJ175" s="3"/>
      <c r="AK175" s="111"/>
      <c r="AL175" s="111"/>
      <c r="AM175" s="111"/>
      <c r="AN175" s="651"/>
      <c r="AO175" s="131"/>
      <c r="AP175" s="3"/>
      <c r="AQ175" s="20"/>
      <c r="AR175" s="20"/>
      <c r="AS175" s="20"/>
      <c r="AT175" s="17">
        <f t="shared" ref="AT175:AT181" si="164">W175</f>
        <v>0</v>
      </c>
      <c r="AU175" s="19">
        <f>IF(AT$169=0,0,AT175/AT$169)</f>
        <v>0</v>
      </c>
      <c r="AV175" s="3"/>
      <c r="AW175" s="17"/>
      <c r="AX175" s="17"/>
      <c r="AY175" s="17"/>
      <c r="AZ175" s="424">
        <f>X175</f>
        <v>0</v>
      </c>
      <c r="BA175" s="19">
        <f>IF(AZ$169=0,0,AZ175/AZ$169)</f>
        <v>0</v>
      </c>
    </row>
    <row r="176" spans="1:53" s="4" customFormat="1" ht="17.100000000000001" customHeight="1" x14ac:dyDescent="0.25">
      <c r="A176" s="102"/>
      <c r="B176" s="102"/>
      <c r="C176" s="74" t="s">
        <v>154</v>
      </c>
      <c r="D176" s="85" t="s">
        <v>591</v>
      </c>
      <c r="E176" s="75"/>
      <c r="F176" s="75"/>
      <c r="G176" s="106"/>
      <c r="H176" s="647"/>
      <c r="I176" s="231"/>
      <c r="J176" s="174"/>
      <c r="K176" s="174"/>
      <c r="L176" s="111"/>
      <c r="M176" s="111"/>
      <c r="N176" s="61"/>
      <c r="O176" s="61"/>
      <c r="P176" s="17">
        <f t="shared" si="157"/>
        <v>0</v>
      </c>
      <c r="Q176" s="61"/>
      <c r="R176" s="61"/>
      <c r="S176" s="17">
        <f t="shared" si="158"/>
        <v>0</v>
      </c>
      <c r="T176" s="61"/>
      <c r="U176" s="61"/>
      <c r="V176" s="17">
        <f t="shared" si="159"/>
        <v>0</v>
      </c>
      <c r="W176" s="391">
        <f t="shared" si="160"/>
        <v>0</v>
      </c>
      <c r="X176" s="17">
        <f t="shared" si="161"/>
        <v>0</v>
      </c>
      <c r="Y176" s="18">
        <f t="shared" si="162"/>
        <v>0</v>
      </c>
      <c r="Z176" s="19">
        <f t="shared" si="163"/>
        <v>0</v>
      </c>
      <c r="AA176" s="19"/>
      <c r="AB176" s="19"/>
      <c r="AC176" s="20"/>
      <c r="AE176" s="111"/>
      <c r="AF176" s="111"/>
      <c r="AG176" s="111"/>
      <c r="AH176" s="651"/>
      <c r="AI176" s="131"/>
      <c r="AJ176" s="3"/>
      <c r="AK176" s="111"/>
      <c r="AL176" s="111"/>
      <c r="AM176" s="111"/>
      <c r="AN176" s="651"/>
      <c r="AO176" s="131"/>
      <c r="AP176" s="3"/>
      <c r="AQ176" s="20"/>
      <c r="AR176" s="20"/>
      <c r="AS176" s="20"/>
      <c r="AT176" s="17">
        <f t="shared" si="164"/>
        <v>0</v>
      </c>
      <c r="AU176" s="19">
        <f t="shared" ref="AU176:AU181" si="165">IF(AT$188=0,0,AT176/AT$188)</f>
        <v>0</v>
      </c>
      <c r="AV176" s="3"/>
      <c r="AW176" s="17"/>
      <c r="AX176" s="17"/>
      <c r="AY176" s="17"/>
      <c r="AZ176" s="424">
        <f t="shared" ref="AZ176:AZ181" si="166">Y176</f>
        <v>0</v>
      </c>
      <c r="BA176" s="19">
        <f t="shared" ref="BA176:BA181" si="167">IF(AZ$188=0,0,AZ176/AZ$188)</f>
        <v>0</v>
      </c>
    </row>
    <row r="177" spans="1:53" s="4" customFormat="1" ht="17.100000000000001" customHeight="1" x14ac:dyDescent="0.25">
      <c r="A177" s="102"/>
      <c r="B177" s="102"/>
      <c r="C177" s="74" t="s">
        <v>155</v>
      </c>
      <c r="D177" s="85" t="s">
        <v>592</v>
      </c>
      <c r="E177" s="75"/>
      <c r="F177" s="75"/>
      <c r="G177" s="105"/>
      <c r="H177" s="119"/>
      <c r="I177" s="231"/>
      <c r="J177" s="174"/>
      <c r="K177" s="174"/>
      <c r="L177" s="111"/>
      <c r="M177" s="111"/>
      <c r="N177" s="60">
        <v>1</v>
      </c>
      <c r="O177" s="60">
        <v>7</v>
      </c>
      <c r="P177" s="17">
        <f t="shared" si="157"/>
        <v>8</v>
      </c>
      <c r="Q177" s="60">
        <v>1</v>
      </c>
      <c r="R177" s="60">
        <v>6</v>
      </c>
      <c r="S177" s="17">
        <f t="shared" si="158"/>
        <v>7</v>
      </c>
      <c r="T177" s="60"/>
      <c r="U177" s="60"/>
      <c r="V177" s="17">
        <f t="shared" si="159"/>
        <v>0</v>
      </c>
      <c r="W177" s="391">
        <f t="shared" si="160"/>
        <v>2</v>
      </c>
      <c r="X177" s="17">
        <f t="shared" si="161"/>
        <v>13</v>
      </c>
      <c r="Y177" s="18">
        <f t="shared" si="162"/>
        <v>15</v>
      </c>
      <c r="Z177" s="19">
        <f t="shared" si="163"/>
        <v>1</v>
      </c>
      <c r="AA177" s="19"/>
      <c r="AB177" s="19"/>
      <c r="AC177" s="20"/>
      <c r="AE177" s="111"/>
      <c r="AF177" s="111"/>
      <c r="AG177" s="111"/>
      <c r="AH177" s="651"/>
      <c r="AI177" s="131"/>
      <c r="AJ177" s="3"/>
      <c r="AK177" s="111"/>
      <c r="AL177" s="111"/>
      <c r="AM177" s="111"/>
      <c r="AN177" s="651"/>
      <c r="AO177" s="131"/>
      <c r="AP177" s="3"/>
      <c r="AQ177" s="20"/>
      <c r="AR177" s="20"/>
      <c r="AS177" s="20"/>
      <c r="AT177" s="17">
        <f t="shared" si="164"/>
        <v>2</v>
      </c>
      <c r="AU177" s="19">
        <f t="shared" si="165"/>
        <v>1</v>
      </c>
      <c r="AV177" s="3"/>
      <c r="AW177" s="17"/>
      <c r="AX177" s="17"/>
      <c r="AY177" s="17"/>
      <c r="AZ177" s="424">
        <f t="shared" si="166"/>
        <v>15</v>
      </c>
      <c r="BA177" s="19">
        <f t="shared" si="167"/>
        <v>1</v>
      </c>
    </row>
    <row r="178" spans="1:53" s="4" customFormat="1" ht="17.100000000000001" customHeight="1" x14ac:dyDescent="0.25">
      <c r="A178" s="102"/>
      <c r="B178" s="102"/>
      <c r="C178" s="74" t="s">
        <v>156</v>
      </c>
      <c r="D178" s="85" t="s">
        <v>593</v>
      </c>
      <c r="E178" s="75"/>
      <c r="F178" s="75"/>
      <c r="G178" s="105"/>
      <c r="H178" s="84"/>
      <c r="I178" s="231"/>
      <c r="J178" s="174"/>
      <c r="K178" s="174"/>
      <c r="L178" s="111"/>
      <c r="M178" s="111"/>
      <c r="N178" s="61"/>
      <c r="O178" s="61"/>
      <c r="P178" s="17">
        <f t="shared" si="157"/>
        <v>0</v>
      </c>
      <c r="Q178" s="61"/>
      <c r="R178" s="61"/>
      <c r="S178" s="17">
        <f t="shared" si="158"/>
        <v>0</v>
      </c>
      <c r="T178" s="61"/>
      <c r="U178" s="61"/>
      <c r="V178" s="17">
        <f t="shared" si="159"/>
        <v>0</v>
      </c>
      <c r="W178" s="391">
        <f t="shared" si="160"/>
        <v>0</v>
      </c>
      <c r="X178" s="17">
        <f t="shared" si="161"/>
        <v>0</v>
      </c>
      <c r="Y178" s="18">
        <f t="shared" si="162"/>
        <v>0</v>
      </c>
      <c r="Z178" s="19">
        <f t="shared" si="163"/>
        <v>0</v>
      </c>
      <c r="AA178" s="19"/>
      <c r="AB178" s="19"/>
      <c r="AC178" s="20"/>
      <c r="AE178" s="111"/>
      <c r="AF178" s="111"/>
      <c r="AG178" s="111"/>
      <c r="AH178" s="651"/>
      <c r="AI178" s="131"/>
      <c r="AJ178" s="3"/>
      <c r="AK178" s="111"/>
      <c r="AL178" s="111"/>
      <c r="AM178" s="111"/>
      <c r="AN178" s="651"/>
      <c r="AO178" s="131"/>
      <c r="AP178" s="3"/>
      <c r="AQ178" s="20"/>
      <c r="AR178" s="20"/>
      <c r="AS178" s="20"/>
      <c r="AT178" s="17">
        <f t="shared" si="164"/>
        <v>0</v>
      </c>
      <c r="AU178" s="19">
        <f t="shared" si="165"/>
        <v>0</v>
      </c>
      <c r="AV178" s="3"/>
      <c r="AW178" s="17"/>
      <c r="AX178" s="17"/>
      <c r="AY178" s="17"/>
      <c r="AZ178" s="424">
        <f t="shared" si="166"/>
        <v>0</v>
      </c>
      <c r="BA178" s="19">
        <f t="shared" si="167"/>
        <v>0</v>
      </c>
    </row>
    <row r="179" spans="1:53" s="4" customFormat="1" ht="17.100000000000001" customHeight="1" x14ac:dyDescent="0.25">
      <c r="A179" s="102"/>
      <c r="B179" s="102"/>
      <c r="C179" s="74" t="s">
        <v>157</v>
      </c>
      <c r="D179" s="85" t="s">
        <v>594</v>
      </c>
      <c r="E179" s="75"/>
      <c r="F179" s="75"/>
      <c r="G179" s="105"/>
      <c r="H179" s="84"/>
      <c r="I179" s="231"/>
      <c r="J179" s="174"/>
      <c r="K179" s="174"/>
      <c r="L179" s="111"/>
      <c r="M179" s="111"/>
      <c r="N179" s="60"/>
      <c r="O179" s="60"/>
      <c r="P179" s="17">
        <f t="shared" si="157"/>
        <v>0</v>
      </c>
      <c r="Q179" s="60"/>
      <c r="R179" s="60"/>
      <c r="S179" s="17">
        <f t="shared" si="158"/>
        <v>0</v>
      </c>
      <c r="T179" s="60"/>
      <c r="U179" s="60"/>
      <c r="V179" s="17">
        <f t="shared" si="159"/>
        <v>0</v>
      </c>
      <c r="W179" s="391">
        <f t="shared" si="160"/>
        <v>0</v>
      </c>
      <c r="X179" s="17">
        <f t="shared" si="161"/>
        <v>0</v>
      </c>
      <c r="Y179" s="18">
        <f t="shared" si="162"/>
        <v>0</v>
      </c>
      <c r="Z179" s="19">
        <f t="shared" si="163"/>
        <v>0</v>
      </c>
      <c r="AA179" s="19"/>
      <c r="AB179" s="19"/>
      <c r="AC179" s="20"/>
      <c r="AE179" s="111"/>
      <c r="AF179" s="111"/>
      <c r="AG179" s="111"/>
      <c r="AH179" s="651"/>
      <c r="AI179" s="131"/>
      <c r="AJ179" s="3"/>
      <c r="AK179" s="111"/>
      <c r="AL179" s="111"/>
      <c r="AM179" s="111"/>
      <c r="AN179" s="651"/>
      <c r="AO179" s="131"/>
      <c r="AP179" s="3"/>
      <c r="AQ179" s="20"/>
      <c r="AR179" s="20"/>
      <c r="AS179" s="20"/>
      <c r="AT179" s="17">
        <f t="shared" si="164"/>
        <v>0</v>
      </c>
      <c r="AU179" s="19">
        <f t="shared" si="165"/>
        <v>0</v>
      </c>
      <c r="AV179" s="3"/>
      <c r="AW179" s="17"/>
      <c r="AX179" s="17"/>
      <c r="AY179" s="17"/>
      <c r="AZ179" s="424">
        <f t="shared" si="166"/>
        <v>0</v>
      </c>
      <c r="BA179" s="19">
        <f t="shared" si="167"/>
        <v>0</v>
      </c>
    </row>
    <row r="180" spans="1:53" s="4" customFormat="1" ht="17.100000000000001" customHeight="1" x14ac:dyDescent="0.25">
      <c r="A180" s="102"/>
      <c r="B180" s="102"/>
      <c r="C180" s="74" t="s">
        <v>158</v>
      </c>
      <c r="D180" s="85" t="s">
        <v>595</v>
      </c>
      <c r="E180" s="75"/>
      <c r="F180" s="75"/>
      <c r="G180" s="105"/>
      <c r="H180" s="84"/>
      <c r="I180" s="231"/>
      <c r="J180" s="174"/>
      <c r="K180" s="174"/>
      <c r="L180" s="111"/>
      <c r="M180" s="111"/>
      <c r="N180" s="61"/>
      <c r="O180" s="61"/>
      <c r="P180" s="17">
        <f t="shared" si="157"/>
        <v>0</v>
      </c>
      <c r="Q180" s="61"/>
      <c r="R180" s="61"/>
      <c r="S180" s="17">
        <f t="shared" si="158"/>
        <v>0</v>
      </c>
      <c r="T180" s="61"/>
      <c r="U180" s="61"/>
      <c r="V180" s="17">
        <f t="shared" si="159"/>
        <v>0</v>
      </c>
      <c r="W180" s="391">
        <f t="shared" si="160"/>
        <v>0</v>
      </c>
      <c r="X180" s="17">
        <f t="shared" si="161"/>
        <v>0</v>
      </c>
      <c r="Y180" s="18">
        <f t="shared" si="162"/>
        <v>0</v>
      </c>
      <c r="Z180" s="19">
        <f t="shared" si="163"/>
        <v>0</v>
      </c>
      <c r="AA180" s="19"/>
      <c r="AB180" s="19"/>
      <c r="AC180" s="20"/>
      <c r="AE180" s="111"/>
      <c r="AF180" s="111"/>
      <c r="AG180" s="111"/>
      <c r="AH180" s="651"/>
      <c r="AI180" s="131"/>
      <c r="AJ180" s="3"/>
      <c r="AK180" s="111"/>
      <c r="AL180" s="111"/>
      <c r="AM180" s="111"/>
      <c r="AN180" s="651"/>
      <c r="AO180" s="131"/>
      <c r="AP180" s="3"/>
      <c r="AQ180" s="20"/>
      <c r="AR180" s="20"/>
      <c r="AS180" s="20"/>
      <c r="AT180" s="17">
        <f t="shared" si="164"/>
        <v>0</v>
      </c>
      <c r="AU180" s="19">
        <f t="shared" si="165"/>
        <v>0</v>
      </c>
      <c r="AV180" s="3"/>
      <c r="AW180" s="17"/>
      <c r="AX180" s="17"/>
      <c r="AY180" s="17"/>
      <c r="AZ180" s="424">
        <f t="shared" si="166"/>
        <v>0</v>
      </c>
      <c r="BA180" s="19">
        <f t="shared" si="167"/>
        <v>0</v>
      </c>
    </row>
    <row r="181" spans="1:53" s="4" customFormat="1" ht="17.100000000000001" customHeight="1" x14ac:dyDescent="0.25">
      <c r="A181" s="102"/>
      <c r="B181" s="102"/>
      <c r="C181" s="74" t="s">
        <v>159</v>
      </c>
      <c r="D181" s="85" t="s">
        <v>596</v>
      </c>
      <c r="E181" s="75"/>
      <c r="F181" s="649"/>
      <c r="G181" s="246"/>
      <c r="H181" s="84"/>
      <c r="I181" s="97"/>
      <c r="J181" s="111"/>
      <c r="K181" s="111"/>
      <c r="L181" s="111"/>
      <c r="M181" s="111"/>
      <c r="N181" s="111">
        <f t="shared" ref="N181:U181" si="168">SUM(N182:N185)</f>
        <v>0</v>
      </c>
      <c r="O181" s="111">
        <f t="shared" si="168"/>
        <v>0</v>
      </c>
      <c r="P181" s="17">
        <f t="shared" si="157"/>
        <v>0</v>
      </c>
      <c r="Q181" s="111">
        <f t="shared" si="168"/>
        <v>0</v>
      </c>
      <c r="R181" s="111">
        <f t="shared" si="168"/>
        <v>0</v>
      </c>
      <c r="S181" s="17">
        <f t="shared" si="158"/>
        <v>0</v>
      </c>
      <c r="T181" s="111">
        <f t="shared" si="168"/>
        <v>0</v>
      </c>
      <c r="U181" s="111">
        <f t="shared" si="168"/>
        <v>0</v>
      </c>
      <c r="V181" s="17">
        <f t="shared" si="159"/>
        <v>0</v>
      </c>
      <c r="W181" s="380">
        <f t="shared" si="160"/>
        <v>0</v>
      </c>
      <c r="X181" s="111">
        <f t="shared" si="161"/>
        <v>0</v>
      </c>
      <c r="Y181" s="651">
        <f t="shared" si="162"/>
        <v>0</v>
      </c>
      <c r="Z181" s="131">
        <f t="shared" si="163"/>
        <v>0</v>
      </c>
      <c r="AA181" s="131"/>
      <c r="AB181" s="131"/>
      <c r="AC181" s="113"/>
      <c r="AE181" s="111"/>
      <c r="AF181" s="111"/>
      <c r="AG181" s="111"/>
      <c r="AH181" s="651"/>
      <c r="AI181" s="131"/>
      <c r="AJ181" s="3"/>
      <c r="AK181" s="111"/>
      <c r="AL181" s="111"/>
      <c r="AM181" s="111"/>
      <c r="AN181" s="651"/>
      <c r="AO181" s="131"/>
      <c r="AP181" s="3"/>
      <c r="AQ181" s="111"/>
      <c r="AR181" s="111"/>
      <c r="AS181" s="111"/>
      <c r="AT181" s="111">
        <f t="shared" si="164"/>
        <v>0</v>
      </c>
      <c r="AU181" s="131">
        <f t="shared" si="165"/>
        <v>0</v>
      </c>
      <c r="AV181" s="3"/>
      <c r="AW181" s="111"/>
      <c r="AX181" s="111"/>
      <c r="AY181" s="111"/>
      <c r="AZ181" s="111">
        <f t="shared" si="166"/>
        <v>0</v>
      </c>
      <c r="BA181" s="131">
        <f t="shared" si="167"/>
        <v>0</v>
      </c>
    </row>
    <row r="182" spans="1:53" s="4" customFormat="1" ht="17.100000000000001" customHeight="1" x14ac:dyDescent="0.25">
      <c r="A182" s="102"/>
      <c r="B182" s="102"/>
      <c r="C182" s="74"/>
      <c r="D182" s="294"/>
      <c r="E182" s="295"/>
      <c r="F182" s="295"/>
      <c r="G182" s="295"/>
      <c r="H182" s="198"/>
      <c r="I182" s="642"/>
      <c r="J182" s="174"/>
      <c r="K182" s="174"/>
      <c r="L182" s="111"/>
      <c r="M182" s="111"/>
      <c r="N182" s="60"/>
      <c r="O182" s="60"/>
      <c r="P182" s="17">
        <f t="shared" si="157"/>
        <v>0</v>
      </c>
      <c r="Q182" s="60"/>
      <c r="R182" s="60"/>
      <c r="S182" s="17">
        <f t="shared" si="158"/>
        <v>0</v>
      </c>
      <c r="T182" s="60"/>
      <c r="U182" s="60"/>
      <c r="V182" s="17">
        <f t="shared" ref="V182:V185" si="169">SUM(T182:U182)</f>
        <v>0</v>
      </c>
      <c r="W182" s="391">
        <f t="shared" ref="W182:W185" si="170">J182+K182+N182+Q182+T182</f>
        <v>0</v>
      </c>
      <c r="X182" s="17">
        <f t="shared" ref="X182:X185" si="171">L182+O182+R182+U182</f>
        <v>0</v>
      </c>
      <c r="Y182" s="18">
        <f t="shared" ref="Y182:Y185" si="172">SUM(W182:X182)</f>
        <v>0</v>
      </c>
      <c r="Z182" s="20"/>
      <c r="AA182" s="20"/>
      <c r="AB182" s="20"/>
      <c r="AC182" s="20"/>
      <c r="AE182" s="111"/>
      <c r="AF182" s="111"/>
      <c r="AG182" s="113"/>
      <c r="AH182" s="113"/>
      <c r="AI182" s="131"/>
      <c r="AK182" s="111"/>
      <c r="AL182" s="111"/>
      <c r="AM182" s="113"/>
      <c r="AN182" s="113"/>
      <c r="AO182" s="131"/>
      <c r="AQ182" s="17"/>
      <c r="AR182" s="17"/>
      <c r="AS182" s="20"/>
      <c r="AT182" s="20"/>
      <c r="AU182" s="19"/>
      <c r="AW182" s="17"/>
      <c r="AX182" s="17"/>
      <c r="AY182" s="20"/>
      <c r="AZ182" s="20"/>
      <c r="BA182" s="19"/>
    </row>
    <row r="183" spans="1:53" s="4" customFormat="1" ht="17.100000000000001" customHeight="1" x14ac:dyDescent="0.25">
      <c r="A183" s="102"/>
      <c r="B183" s="102"/>
      <c r="C183" s="74"/>
      <c r="D183" s="296"/>
      <c r="E183" s="297"/>
      <c r="F183" s="297"/>
      <c r="G183" s="297"/>
      <c r="H183" s="198"/>
      <c r="I183" s="642"/>
      <c r="J183" s="174"/>
      <c r="K183" s="174"/>
      <c r="L183" s="111"/>
      <c r="M183" s="111"/>
      <c r="N183" s="61"/>
      <c r="O183" s="61"/>
      <c r="P183" s="17">
        <f t="shared" si="157"/>
        <v>0</v>
      </c>
      <c r="Q183" s="61"/>
      <c r="R183" s="61"/>
      <c r="S183" s="17">
        <f t="shared" si="158"/>
        <v>0</v>
      </c>
      <c r="T183" s="61"/>
      <c r="U183" s="61"/>
      <c r="V183" s="17">
        <f t="shared" si="169"/>
        <v>0</v>
      </c>
      <c r="W183" s="391">
        <f t="shared" si="170"/>
        <v>0</v>
      </c>
      <c r="X183" s="17">
        <f t="shared" si="171"/>
        <v>0</v>
      </c>
      <c r="Y183" s="18">
        <f t="shared" si="172"/>
        <v>0</v>
      </c>
      <c r="Z183" s="20"/>
      <c r="AA183" s="20"/>
      <c r="AB183" s="20"/>
      <c r="AC183" s="20"/>
      <c r="AE183" s="111"/>
      <c r="AF183" s="111"/>
      <c r="AG183" s="113"/>
      <c r="AH183" s="113"/>
      <c r="AI183" s="131"/>
      <c r="AK183" s="111"/>
      <c r="AL183" s="111"/>
      <c r="AM183" s="113"/>
      <c r="AN183" s="113"/>
      <c r="AO183" s="131"/>
      <c r="AQ183" s="17"/>
      <c r="AR183" s="17"/>
      <c r="AS183" s="20"/>
      <c r="AT183" s="20"/>
      <c r="AU183" s="19"/>
      <c r="AW183" s="17"/>
      <c r="AX183" s="17"/>
      <c r="AY183" s="20"/>
      <c r="AZ183" s="20"/>
      <c r="BA183" s="19"/>
    </row>
    <row r="184" spans="1:53" s="4" customFormat="1" ht="17.100000000000001" customHeight="1" x14ac:dyDescent="0.25">
      <c r="A184" s="102"/>
      <c r="B184" s="102"/>
      <c r="C184" s="74"/>
      <c r="D184" s="294"/>
      <c r="E184" s="295"/>
      <c r="F184" s="295"/>
      <c r="G184" s="295"/>
      <c r="H184" s="198"/>
      <c r="I184" s="642"/>
      <c r="J184" s="174"/>
      <c r="K184" s="174"/>
      <c r="L184" s="111"/>
      <c r="M184" s="111"/>
      <c r="N184" s="60"/>
      <c r="O184" s="60"/>
      <c r="P184" s="17">
        <f t="shared" si="157"/>
        <v>0</v>
      </c>
      <c r="Q184" s="60"/>
      <c r="R184" s="60"/>
      <c r="S184" s="17">
        <f t="shared" si="158"/>
        <v>0</v>
      </c>
      <c r="T184" s="60"/>
      <c r="U184" s="60"/>
      <c r="V184" s="17">
        <f t="shared" si="169"/>
        <v>0</v>
      </c>
      <c r="W184" s="391">
        <f t="shared" si="170"/>
        <v>0</v>
      </c>
      <c r="X184" s="17">
        <f t="shared" si="171"/>
        <v>0</v>
      </c>
      <c r="Y184" s="18">
        <f t="shared" si="172"/>
        <v>0</v>
      </c>
      <c r="Z184" s="20"/>
      <c r="AA184" s="20"/>
      <c r="AB184" s="20"/>
      <c r="AC184" s="20"/>
      <c r="AE184" s="111"/>
      <c r="AF184" s="111"/>
      <c r="AG184" s="113"/>
      <c r="AH184" s="113"/>
      <c r="AI184" s="131"/>
      <c r="AK184" s="111"/>
      <c r="AL184" s="111"/>
      <c r="AM184" s="113"/>
      <c r="AN184" s="113"/>
      <c r="AO184" s="131"/>
      <c r="AQ184" s="17"/>
      <c r="AR184" s="17"/>
      <c r="AS184" s="20"/>
      <c r="AT184" s="20"/>
      <c r="AU184" s="19"/>
      <c r="AW184" s="17"/>
      <c r="AX184" s="17"/>
      <c r="AY184" s="20"/>
      <c r="AZ184" s="20"/>
      <c r="BA184" s="19"/>
    </row>
    <row r="185" spans="1:53" s="4" customFormat="1" ht="17.100000000000001" customHeight="1" x14ac:dyDescent="0.25">
      <c r="A185" s="102"/>
      <c r="B185" s="102"/>
      <c r="C185" s="74"/>
      <c r="D185" s="296"/>
      <c r="E185" s="297"/>
      <c r="F185" s="297"/>
      <c r="G185" s="297"/>
      <c r="H185" s="198"/>
      <c r="I185" s="642"/>
      <c r="J185" s="174"/>
      <c r="K185" s="174"/>
      <c r="L185" s="111"/>
      <c r="M185" s="111"/>
      <c r="N185" s="61"/>
      <c r="O185" s="61"/>
      <c r="P185" s="17">
        <f t="shared" si="157"/>
        <v>0</v>
      </c>
      <c r="Q185" s="61"/>
      <c r="R185" s="61"/>
      <c r="S185" s="17">
        <f t="shared" si="158"/>
        <v>0</v>
      </c>
      <c r="T185" s="61"/>
      <c r="U185" s="61"/>
      <c r="V185" s="17">
        <f t="shared" si="169"/>
        <v>0</v>
      </c>
      <c r="W185" s="391">
        <f t="shared" si="170"/>
        <v>0</v>
      </c>
      <c r="X185" s="17">
        <f t="shared" si="171"/>
        <v>0</v>
      </c>
      <c r="Y185" s="18">
        <f t="shared" si="172"/>
        <v>0</v>
      </c>
      <c r="Z185" s="20"/>
      <c r="AA185" s="20"/>
      <c r="AB185" s="20"/>
      <c r="AC185" s="20"/>
      <c r="AE185" s="111"/>
      <c r="AF185" s="111"/>
      <c r="AG185" s="113"/>
      <c r="AH185" s="113"/>
      <c r="AI185" s="131"/>
      <c r="AK185" s="111"/>
      <c r="AL185" s="111"/>
      <c r="AM185" s="113"/>
      <c r="AN185" s="113"/>
      <c r="AO185" s="131"/>
      <c r="AQ185" s="17"/>
      <c r="AR185" s="17"/>
      <c r="AS185" s="20"/>
      <c r="AT185" s="20"/>
      <c r="AU185" s="19"/>
      <c r="AW185" s="17"/>
      <c r="AX185" s="17"/>
      <c r="AY185" s="20"/>
      <c r="AZ185" s="20"/>
      <c r="BA185" s="19"/>
    </row>
    <row r="186" spans="1:53" s="4" customFormat="1" ht="17.100000000000001" customHeight="1" x14ac:dyDescent="0.25">
      <c r="A186" s="102"/>
      <c r="B186" s="102"/>
      <c r="C186" s="74"/>
      <c r="D186" s="294"/>
      <c r="E186" s="295"/>
      <c r="F186" s="295"/>
      <c r="G186" s="295"/>
      <c r="H186" s="198"/>
      <c r="I186" s="642"/>
      <c r="J186" s="174"/>
      <c r="K186" s="174"/>
      <c r="L186" s="111"/>
      <c r="M186" s="111"/>
      <c r="N186" s="60"/>
      <c r="O186" s="60"/>
      <c r="P186" s="17">
        <f t="shared" si="157"/>
        <v>0</v>
      </c>
      <c r="Q186" s="60"/>
      <c r="R186" s="60"/>
      <c r="S186" s="17">
        <f t="shared" si="158"/>
        <v>0</v>
      </c>
      <c r="T186" s="60"/>
      <c r="U186" s="60"/>
      <c r="V186" s="17">
        <f t="shared" ref="V186:V187" si="173">SUM(T186:U186)</f>
        <v>0</v>
      </c>
      <c r="W186" s="391">
        <f t="shared" ref="W186:W187" si="174">J186+K186+N186+Q186+T186</f>
        <v>0</v>
      </c>
      <c r="X186" s="17">
        <f t="shared" ref="X186:X187" si="175">L186+O186+R186+U186</f>
        <v>0</v>
      </c>
      <c r="Y186" s="18">
        <f t="shared" ref="Y186:Y187" si="176">SUM(W186:X186)</f>
        <v>0</v>
      </c>
      <c r="Z186" s="20"/>
      <c r="AA186" s="20"/>
      <c r="AB186" s="20"/>
      <c r="AC186" s="20"/>
      <c r="AE186" s="111"/>
      <c r="AF186" s="111"/>
      <c r="AG186" s="113"/>
      <c r="AH186" s="113"/>
      <c r="AI186" s="131"/>
      <c r="AK186" s="111"/>
      <c r="AL186" s="111"/>
      <c r="AM186" s="113"/>
      <c r="AN186" s="113"/>
      <c r="AO186" s="131"/>
      <c r="AQ186" s="17"/>
      <c r="AR186" s="17"/>
      <c r="AS186" s="20"/>
      <c r="AT186" s="20"/>
      <c r="AU186" s="19"/>
      <c r="AW186" s="17"/>
      <c r="AX186" s="17"/>
      <c r="AY186" s="20"/>
      <c r="AZ186" s="20"/>
      <c r="BA186" s="19"/>
    </row>
    <row r="187" spans="1:53" s="4" customFormat="1" ht="17.100000000000001" customHeight="1" x14ac:dyDescent="0.25">
      <c r="A187" s="102"/>
      <c r="B187" s="102"/>
      <c r="C187" s="74"/>
      <c r="D187" s="1317"/>
      <c r="E187" s="297"/>
      <c r="F187" s="297"/>
      <c r="G187" s="297"/>
      <c r="H187" s="198"/>
      <c r="I187" s="642"/>
      <c r="J187" s="174"/>
      <c r="K187" s="174"/>
      <c r="L187" s="111"/>
      <c r="M187" s="111"/>
      <c r="N187" s="61"/>
      <c r="O187" s="61"/>
      <c r="P187" s="17">
        <f t="shared" si="157"/>
        <v>0</v>
      </c>
      <c r="Q187" s="61"/>
      <c r="R187" s="61"/>
      <c r="S187" s="17">
        <f t="shared" si="158"/>
        <v>0</v>
      </c>
      <c r="T187" s="61"/>
      <c r="U187" s="61"/>
      <c r="V187" s="17">
        <f t="shared" si="173"/>
        <v>0</v>
      </c>
      <c r="W187" s="391">
        <f t="shared" si="174"/>
        <v>0</v>
      </c>
      <c r="X187" s="17">
        <f t="shared" si="175"/>
        <v>0</v>
      </c>
      <c r="Y187" s="18">
        <f t="shared" si="176"/>
        <v>0</v>
      </c>
      <c r="Z187" s="20"/>
      <c r="AA187" s="20"/>
      <c r="AB187" s="20"/>
      <c r="AC187" s="20"/>
      <c r="AE187" s="111"/>
      <c r="AF187" s="111"/>
      <c r="AG187" s="113"/>
      <c r="AH187" s="113"/>
      <c r="AI187" s="131"/>
      <c r="AK187" s="111"/>
      <c r="AL187" s="111"/>
      <c r="AM187" s="113"/>
      <c r="AN187" s="113"/>
      <c r="AO187" s="131"/>
      <c r="AQ187" s="17"/>
      <c r="AR187" s="17"/>
      <c r="AS187" s="20"/>
      <c r="AT187" s="20"/>
      <c r="AU187" s="19"/>
      <c r="AW187" s="17"/>
      <c r="AX187" s="17"/>
      <c r="AY187" s="20"/>
      <c r="AZ187" s="20"/>
      <c r="BA187" s="19"/>
    </row>
    <row r="188" spans="1:53" ht="17.100000000000001" customHeight="1" x14ac:dyDescent="0.25">
      <c r="A188" s="40"/>
      <c r="B188" s="40"/>
      <c r="C188" s="292"/>
      <c r="D188" s="144"/>
      <c r="E188" s="144"/>
      <c r="F188" s="145"/>
      <c r="G188" s="145"/>
      <c r="H188" s="119"/>
      <c r="I188" s="236"/>
      <c r="J188" s="64"/>
      <c r="K188" s="64"/>
      <c r="L188" s="81"/>
      <c r="M188" s="81"/>
      <c r="N188" s="81">
        <f>SUM(N175:N181)</f>
        <v>1</v>
      </c>
      <c r="O188" s="81">
        <f t="shared" ref="O188:Y188" si="177">SUM(O175:O181)</f>
        <v>7</v>
      </c>
      <c r="P188" s="81">
        <f t="shared" si="177"/>
        <v>8</v>
      </c>
      <c r="Q188" s="81">
        <f t="shared" si="177"/>
        <v>1</v>
      </c>
      <c r="R188" s="81">
        <f t="shared" si="177"/>
        <v>6</v>
      </c>
      <c r="S188" s="81">
        <f t="shared" si="177"/>
        <v>7</v>
      </c>
      <c r="T188" s="81">
        <f t="shared" si="177"/>
        <v>0</v>
      </c>
      <c r="U188" s="81">
        <f t="shared" si="177"/>
        <v>0</v>
      </c>
      <c r="V188" s="81">
        <f t="shared" si="177"/>
        <v>0</v>
      </c>
      <c r="W188" s="82">
        <f t="shared" si="177"/>
        <v>2</v>
      </c>
      <c r="X188" s="82">
        <f t="shared" si="177"/>
        <v>13</v>
      </c>
      <c r="Y188" s="82">
        <f t="shared" si="177"/>
        <v>15</v>
      </c>
      <c r="Z188" s="66">
        <f t="shared" ref="Z188" si="178">IF(Y$188=0,0,Y188/Y$188)</f>
        <v>1</v>
      </c>
      <c r="AA188" s="205"/>
      <c r="AB188" s="205"/>
      <c r="AC188" s="83"/>
      <c r="AE188" s="81"/>
      <c r="AF188" s="81"/>
      <c r="AG188" s="82"/>
      <c r="AH188" s="82"/>
      <c r="AI188" s="66"/>
      <c r="AK188" s="81"/>
      <c r="AL188" s="81"/>
      <c r="AM188" s="82"/>
      <c r="AN188" s="82"/>
      <c r="AO188" s="66"/>
      <c r="AQ188" s="81"/>
      <c r="AR188" s="81"/>
      <c r="AS188" s="82"/>
      <c r="AT188" s="82">
        <f>SUM(AT175:AT181)</f>
        <v>2</v>
      </c>
      <c r="AU188" s="66">
        <f>IF(AT$188=0,0,AT188/AT$188)</f>
        <v>1</v>
      </c>
      <c r="AW188" s="81"/>
      <c r="AX188" s="81"/>
      <c r="AY188" s="82"/>
      <c r="AZ188" s="82">
        <f>SUM(AZ175:AZ181)</f>
        <v>15</v>
      </c>
      <c r="BA188" s="66">
        <f>IF(AZ$188=0,0,AZ188/AZ$188)</f>
        <v>1</v>
      </c>
    </row>
    <row r="189" spans="1:53" s="117" customFormat="1" ht="17.100000000000001" customHeight="1" x14ac:dyDescent="0.25">
      <c r="A189" s="119"/>
      <c r="B189" s="119"/>
      <c r="C189" s="647"/>
      <c r="D189" s="212"/>
      <c r="E189" s="212"/>
      <c r="F189" s="212"/>
      <c r="G189" s="212"/>
      <c r="H189" s="242"/>
      <c r="I189" s="230"/>
      <c r="J189" s="17"/>
      <c r="K189" s="17"/>
      <c r="L189" s="17"/>
      <c r="M189" s="17"/>
      <c r="N189" s="17" t="str">
        <f>IF(N188&gt;=N$20,"OK","NOK")</f>
        <v>OK</v>
      </c>
      <c r="O189" s="17" t="str">
        <f>IF(O188&gt;=O$20,"OK","NOK")</f>
        <v>OK</v>
      </c>
      <c r="P189" s="17"/>
      <c r="Q189" s="17" t="str">
        <f>IF(Q188&gt;=Q$20,"OK","NOK")</f>
        <v>OK</v>
      </c>
      <c r="R189" s="17" t="str">
        <f>IF(R188&gt;=R$20,"OK","NOK")</f>
        <v>OK</v>
      </c>
      <c r="S189" s="17"/>
      <c r="T189" s="17" t="str">
        <f>IF(T188&gt;=T$20,"OK","NOK")</f>
        <v>OK</v>
      </c>
      <c r="U189" s="17" t="str">
        <f>IF(U188&gt;=U$20,"OK","NOK")</f>
        <v>OK</v>
      </c>
      <c r="V189" s="359"/>
      <c r="W189" s="382"/>
      <c r="X189" s="646"/>
      <c r="Y189" s="646"/>
      <c r="Z189" s="201"/>
      <c r="AA189" s="201"/>
      <c r="AB189" s="201"/>
      <c r="AC189" s="84"/>
      <c r="AE189" s="17"/>
      <c r="AF189" s="17"/>
      <c r="AG189" s="17"/>
      <c r="AH189" s="646"/>
      <c r="AI189" s="91"/>
      <c r="AK189" s="17"/>
      <c r="AL189" s="17"/>
      <c r="AM189" s="17"/>
      <c r="AN189" s="646"/>
      <c r="AO189" s="91"/>
      <c r="AQ189" s="17"/>
      <c r="AR189" s="17"/>
      <c r="AS189" s="17"/>
      <c r="AT189" s="646"/>
      <c r="AU189" s="91"/>
      <c r="AW189" s="17"/>
      <c r="AX189" s="17"/>
      <c r="AY189" s="17"/>
      <c r="AZ189" s="17"/>
      <c r="BA189" s="91"/>
    </row>
    <row r="190" spans="1:53" ht="17.100000000000001" customHeight="1" x14ac:dyDescent="0.25">
      <c r="A190" s="40"/>
      <c r="B190" s="41" t="s">
        <v>160</v>
      </c>
      <c r="C190" s="274" t="s">
        <v>597</v>
      </c>
      <c r="D190" s="43"/>
      <c r="E190" s="43"/>
      <c r="F190" s="43"/>
      <c r="G190" s="43"/>
      <c r="H190" s="23"/>
      <c r="I190" s="12"/>
      <c r="J190" s="73"/>
      <c r="K190" s="73"/>
      <c r="L190" s="73"/>
      <c r="M190" s="73"/>
      <c r="N190" s="73"/>
      <c r="O190" s="73"/>
      <c r="P190" s="73"/>
      <c r="Q190" s="73"/>
      <c r="R190" s="73"/>
      <c r="S190" s="73"/>
      <c r="T190" s="73"/>
      <c r="U190" s="73"/>
      <c r="V190" s="73"/>
      <c r="W190" s="73"/>
      <c r="X190" s="73"/>
      <c r="Y190" s="73"/>
      <c r="Z190" s="73"/>
      <c r="AA190" s="73"/>
      <c r="AB190" s="73"/>
      <c r="AC190" s="73"/>
      <c r="AE190" s="73"/>
      <c r="AF190" s="73"/>
      <c r="AG190" s="73"/>
      <c r="AH190" s="73"/>
      <c r="AI190" s="73"/>
      <c r="AK190" s="73"/>
      <c r="AL190" s="73"/>
      <c r="AM190" s="73"/>
      <c r="AN190" s="73"/>
      <c r="AO190" s="73"/>
      <c r="AQ190" s="73"/>
      <c r="AR190" s="73"/>
      <c r="AS190" s="73"/>
      <c r="AT190" s="73"/>
      <c r="AU190" s="73"/>
      <c r="AW190" s="73"/>
      <c r="AX190" s="73"/>
      <c r="AY190" s="73"/>
      <c r="AZ190" s="73"/>
      <c r="BA190" s="73"/>
    </row>
    <row r="191" spans="1:53" s="4" customFormat="1" ht="17.100000000000001" customHeight="1" x14ac:dyDescent="0.25">
      <c r="A191" s="102"/>
      <c r="B191" s="102"/>
      <c r="C191" s="74" t="s">
        <v>161</v>
      </c>
      <c r="D191" s="85" t="s">
        <v>9</v>
      </c>
      <c r="E191" s="75"/>
      <c r="F191" s="75"/>
      <c r="G191" s="105"/>
      <c r="H191" s="84"/>
      <c r="I191" s="231"/>
      <c r="J191" s="174"/>
      <c r="K191" s="174"/>
      <c r="L191" s="111"/>
      <c r="M191" s="111"/>
      <c r="N191" s="60">
        <v>1</v>
      </c>
      <c r="O191" s="60">
        <v>7</v>
      </c>
      <c r="P191" s="17">
        <f t="shared" ref="P191:P195" si="179">SUM(N191:O191)</f>
        <v>8</v>
      </c>
      <c r="Q191" s="60">
        <v>1</v>
      </c>
      <c r="R191" s="60">
        <v>6</v>
      </c>
      <c r="S191" s="17">
        <f t="shared" ref="S191:S195" si="180">SUM(Q191:R191)</f>
        <v>7</v>
      </c>
      <c r="T191" s="60"/>
      <c r="U191" s="60"/>
      <c r="V191" s="17">
        <f t="shared" ref="V191:V195" si="181">SUM(T191:U191)</f>
        <v>0</v>
      </c>
      <c r="W191" s="391">
        <f t="shared" ref="W191:W195" si="182">J191+K191+N191+Q191+T191</f>
        <v>2</v>
      </c>
      <c r="X191" s="17">
        <f t="shared" ref="X191:X195" si="183">L191+O191+R191+U191</f>
        <v>13</v>
      </c>
      <c r="Y191" s="18">
        <f t="shared" ref="Y191:Y195" si="184">SUM(W191:X191)</f>
        <v>15</v>
      </c>
      <c r="Z191" s="19">
        <f>IF(Y$196=0,0,Y191/Y$196)</f>
        <v>1</v>
      </c>
      <c r="AA191" s="19"/>
      <c r="AB191" s="19"/>
      <c r="AC191" s="20"/>
      <c r="AE191" s="111"/>
      <c r="AF191" s="111"/>
      <c r="AG191" s="111"/>
      <c r="AH191" s="651"/>
      <c r="AI191" s="131"/>
      <c r="AJ191" s="3"/>
      <c r="AK191" s="111"/>
      <c r="AL191" s="111"/>
      <c r="AM191" s="111"/>
      <c r="AN191" s="651"/>
      <c r="AO191" s="131"/>
      <c r="AP191" s="3"/>
      <c r="AQ191" s="17"/>
      <c r="AR191" s="17"/>
      <c r="AS191" s="17"/>
      <c r="AT191" s="424">
        <f>W191</f>
        <v>2</v>
      </c>
      <c r="AU191" s="19">
        <f>IF(AT$196=0,0,AT191/AT$196)</f>
        <v>1</v>
      </c>
      <c r="AV191" s="3"/>
      <c r="AW191" s="17"/>
      <c r="AX191" s="17"/>
      <c r="AY191" s="17"/>
      <c r="AZ191" s="424">
        <f>X191</f>
        <v>13</v>
      </c>
      <c r="BA191" s="19">
        <f>IF(AZ$196=0,0,AZ191/AZ$196)</f>
        <v>1</v>
      </c>
    </row>
    <row r="192" spans="1:53" s="4" customFormat="1" ht="17.100000000000001" customHeight="1" x14ac:dyDescent="0.25">
      <c r="A192" s="102"/>
      <c r="B192" s="102"/>
      <c r="C192" s="74" t="s">
        <v>163</v>
      </c>
      <c r="D192" s="85" t="s">
        <v>11</v>
      </c>
      <c r="E192" s="75"/>
      <c r="F192" s="75"/>
      <c r="G192" s="105"/>
      <c r="H192" s="84"/>
      <c r="I192" s="231"/>
      <c r="J192" s="174"/>
      <c r="K192" s="174"/>
      <c r="L192" s="111"/>
      <c r="M192" s="111"/>
      <c r="N192" s="61"/>
      <c r="O192" s="61"/>
      <c r="P192" s="17">
        <f t="shared" si="179"/>
        <v>0</v>
      </c>
      <c r="Q192" s="61"/>
      <c r="R192" s="61"/>
      <c r="S192" s="17">
        <f t="shared" si="180"/>
        <v>0</v>
      </c>
      <c r="T192" s="61"/>
      <c r="U192" s="61"/>
      <c r="V192" s="17">
        <f t="shared" si="181"/>
        <v>0</v>
      </c>
      <c r="W192" s="391">
        <f t="shared" si="182"/>
        <v>0</v>
      </c>
      <c r="X192" s="17">
        <f t="shared" si="183"/>
        <v>0</v>
      </c>
      <c r="Y192" s="18">
        <f t="shared" si="184"/>
        <v>0</v>
      </c>
      <c r="Z192" s="19">
        <f t="shared" ref="Z192:Z196" si="185">IF(Y$196=0,0,Y192/Y$196)</f>
        <v>0</v>
      </c>
      <c r="AA192" s="19"/>
      <c r="AB192" s="19"/>
      <c r="AC192" s="20"/>
      <c r="AE192" s="111"/>
      <c r="AF192" s="111"/>
      <c r="AG192" s="111"/>
      <c r="AH192" s="651"/>
      <c r="AI192" s="131"/>
      <c r="AJ192" s="3"/>
      <c r="AK192" s="111"/>
      <c r="AL192" s="111"/>
      <c r="AM192" s="111"/>
      <c r="AN192" s="651"/>
      <c r="AO192" s="131"/>
      <c r="AP192" s="3"/>
      <c r="AQ192" s="17"/>
      <c r="AR192" s="17"/>
      <c r="AS192" s="17"/>
      <c r="AT192" s="424">
        <f t="shared" ref="AT192:AT195" si="186">W192</f>
        <v>0</v>
      </c>
      <c r="AU192" s="19">
        <f t="shared" ref="AU192:AU196" si="187">IF(AT$196=0,0,AT192/AT$196)</f>
        <v>0</v>
      </c>
      <c r="AV192" s="3"/>
      <c r="AW192" s="17"/>
      <c r="AX192" s="17"/>
      <c r="AY192" s="17"/>
      <c r="AZ192" s="424">
        <f t="shared" ref="AZ192:AZ195" si="188">X192</f>
        <v>0</v>
      </c>
      <c r="BA192" s="19">
        <f t="shared" ref="BA192:BA196" si="189">IF(AZ$196=0,0,AZ192/AZ$196)</f>
        <v>0</v>
      </c>
    </row>
    <row r="193" spans="1:53" s="4" customFormat="1" ht="17.100000000000001" customHeight="1" x14ac:dyDescent="0.25">
      <c r="A193" s="102"/>
      <c r="B193" s="102"/>
      <c r="C193" s="74" t="s">
        <v>164</v>
      </c>
      <c r="D193" s="85" t="s">
        <v>129</v>
      </c>
      <c r="E193" s="75"/>
      <c r="F193" s="75"/>
      <c r="G193" s="105"/>
      <c r="H193" s="84"/>
      <c r="I193" s="231"/>
      <c r="J193" s="174"/>
      <c r="K193" s="174"/>
      <c r="L193" s="111"/>
      <c r="M193" s="111"/>
      <c r="N193" s="60"/>
      <c r="O193" s="60"/>
      <c r="P193" s="17">
        <f t="shared" si="179"/>
        <v>0</v>
      </c>
      <c r="Q193" s="60"/>
      <c r="R193" s="60"/>
      <c r="S193" s="17">
        <f t="shared" si="180"/>
        <v>0</v>
      </c>
      <c r="T193" s="60"/>
      <c r="U193" s="60"/>
      <c r="V193" s="17">
        <f t="shared" si="181"/>
        <v>0</v>
      </c>
      <c r="W193" s="391">
        <f t="shared" si="182"/>
        <v>0</v>
      </c>
      <c r="X193" s="17">
        <f t="shared" si="183"/>
        <v>0</v>
      </c>
      <c r="Y193" s="18">
        <f t="shared" si="184"/>
        <v>0</v>
      </c>
      <c r="Z193" s="19">
        <f t="shared" si="185"/>
        <v>0</v>
      </c>
      <c r="AA193" s="19"/>
      <c r="AB193" s="19"/>
      <c r="AC193" s="20"/>
      <c r="AE193" s="111"/>
      <c r="AF193" s="111"/>
      <c r="AG193" s="111"/>
      <c r="AH193" s="651"/>
      <c r="AI193" s="131"/>
      <c r="AJ193" s="3"/>
      <c r="AK193" s="111"/>
      <c r="AL193" s="111"/>
      <c r="AM193" s="111"/>
      <c r="AN193" s="651"/>
      <c r="AO193" s="131"/>
      <c r="AP193" s="3"/>
      <c r="AQ193" s="17"/>
      <c r="AR193" s="17"/>
      <c r="AS193" s="17"/>
      <c r="AT193" s="424">
        <f t="shared" si="186"/>
        <v>0</v>
      </c>
      <c r="AU193" s="19">
        <f t="shared" si="187"/>
        <v>0</v>
      </c>
      <c r="AV193" s="3"/>
      <c r="AW193" s="17"/>
      <c r="AX193" s="17"/>
      <c r="AY193" s="17"/>
      <c r="AZ193" s="424">
        <f t="shared" si="188"/>
        <v>0</v>
      </c>
      <c r="BA193" s="19">
        <f t="shared" si="189"/>
        <v>0</v>
      </c>
    </row>
    <row r="194" spans="1:53" s="4" customFormat="1" ht="17.100000000000001" customHeight="1" x14ac:dyDescent="0.25">
      <c r="A194" s="102"/>
      <c r="B194" s="102"/>
      <c r="C194" s="74" t="s">
        <v>166</v>
      </c>
      <c r="D194" s="85" t="s">
        <v>599</v>
      </c>
      <c r="E194" s="75"/>
      <c r="F194" s="75"/>
      <c r="G194" s="105"/>
      <c r="H194" s="84"/>
      <c r="I194" s="231"/>
      <c r="J194" s="174"/>
      <c r="K194" s="174"/>
      <c r="L194" s="111"/>
      <c r="M194" s="111"/>
      <c r="N194" s="61"/>
      <c r="O194" s="61"/>
      <c r="P194" s="17">
        <f t="shared" si="179"/>
        <v>0</v>
      </c>
      <c r="Q194" s="61"/>
      <c r="R194" s="61"/>
      <c r="S194" s="17">
        <f t="shared" si="180"/>
        <v>0</v>
      </c>
      <c r="T194" s="61"/>
      <c r="U194" s="61"/>
      <c r="V194" s="17">
        <f t="shared" si="181"/>
        <v>0</v>
      </c>
      <c r="W194" s="391">
        <f t="shared" si="182"/>
        <v>0</v>
      </c>
      <c r="X194" s="17">
        <f t="shared" si="183"/>
        <v>0</v>
      </c>
      <c r="Y194" s="18">
        <f t="shared" si="184"/>
        <v>0</v>
      </c>
      <c r="Z194" s="19">
        <f t="shared" si="185"/>
        <v>0</v>
      </c>
      <c r="AA194" s="19"/>
      <c r="AB194" s="19"/>
      <c r="AC194" s="20"/>
      <c r="AE194" s="111"/>
      <c r="AF194" s="111"/>
      <c r="AG194" s="111"/>
      <c r="AH194" s="651"/>
      <c r="AI194" s="131"/>
      <c r="AJ194" s="3"/>
      <c r="AK194" s="111"/>
      <c r="AL194" s="111"/>
      <c r="AM194" s="111"/>
      <c r="AN194" s="651"/>
      <c r="AO194" s="131"/>
      <c r="AP194" s="3"/>
      <c r="AQ194" s="17"/>
      <c r="AR194" s="17"/>
      <c r="AS194" s="17"/>
      <c r="AT194" s="424">
        <f t="shared" si="186"/>
        <v>0</v>
      </c>
      <c r="AU194" s="19">
        <f t="shared" si="187"/>
        <v>0</v>
      </c>
      <c r="AV194" s="3"/>
      <c r="AW194" s="17"/>
      <c r="AX194" s="17"/>
      <c r="AY194" s="17"/>
      <c r="AZ194" s="424">
        <f t="shared" si="188"/>
        <v>0</v>
      </c>
      <c r="BA194" s="19">
        <f t="shared" si="189"/>
        <v>0</v>
      </c>
    </row>
    <row r="195" spans="1:53" s="4" customFormat="1" ht="17.100000000000001" customHeight="1" x14ac:dyDescent="0.25">
      <c r="A195" s="102"/>
      <c r="B195" s="102"/>
      <c r="C195" s="74" t="s">
        <v>168</v>
      </c>
      <c r="D195" s="75" t="s">
        <v>600</v>
      </c>
      <c r="E195" s="75"/>
      <c r="F195" s="75"/>
      <c r="G195" s="105"/>
      <c r="H195" s="84"/>
      <c r="I195" s="231"/>
      <c r="J195" s="174"/>
      <c r="K195" s="174"/>
      <c r="L195" s="111"/>
      <c r="M195" s="111"/>
      <c r="N195" s="60"/>
      <c r="O195" s="60"/>
      <c r="P195" s="17">
        <f t="shared" si="179"/>
        <v>0</v>
      </c>
      <c r="Q195" s="60"/>
      <c r="R195" s="60"/>
      <c r="S195" s="17">
        <f t="shared" si="180"/>
        <v>0</v>
      </c>
      <c r="T195" s="60"/>
      <c r="U195" s="60"/>
      <c r="V195" s="17">
        <f t="shared" si="181"/>
        <v>0</v>
      </c>
      <c r="W195" s="391">
        <f t="shared" si="182"/>
        <v>0</v>
      </c>
      <c r="X195" s="17">
        <f t="shared" si="183"/>
        <v>0</v>
      </c>
      <c r="Y195" s="18">
        <f t="shared" si="184"/>
        <v>0</v>
      </c>
      <c r="Z195" s="19">
        <f t="shared" si="185"/>
        <v>0</v>
      </c>
      <c r="AA195" s="19"/>
      <c r="AB195" s="19"/>
      <c r="AC195" s="20"/>
      <c r="AE195" s="111"/>
      <c r="AF195" s="111"/>
      <c r="AG195" s="111"/>
      <c r="AH195" s="651"/>
      <c r="AI195" s="131"/>
      <c r="AJ195" s="3"/>
      <c r="AK195" s="111"/>
      <c r="AL195" s="111"/>
      <c r="AM195" s="111"/>
      <c r="AN195" s="651"/>
      <c r="AO195" s="131"/>
      <c r="AP195" s="3"/>
      <c r="AQ195" s="17"/>
      <c r="AR195" s="17"/>
      <c r="AS195" s="17"/>
      <c r="AT195" s="424">
        <f t="shared" si="186"/>
        <v>0</v>
      </c>
      <c r="AU195" s="19">
        <f t="shared" si="187"/>
        <v>0</v>
      </c>
      <c r="AV195" s="3"/>
      <c r="AW195" s="17"/>
      <c r="AX195" s="17"/>
      <c r="AY195" s="17"/>
      <c r="AZ195" s="424">
        <f t="shared" si="188"/>
        <v>0</v>
      </c>
      <c r="BA195" s="19">
        <f t="shared" si="189"/>
        <v>0</v>
      </c>
    </row>
    <row r="196" spans="1:53" ht="17.100000000000001" customHeight="1" x14ac:dyDescent="0.25">
      <c r="A196" s="40"/>
      <c r="B196" s="40"/>
      <c r="C196" s="292"/>
      <c r="D196" s="144"/>
      <c r="E196" s="144"/>
      <c r="F196" s="145"/>
      <c r="G196" s="145"/>
      <c r="H196" s="119"/>
      <c r="I196" s="138"/>
      <c r="J196" s="64"/>
      <c r="K196" s="64"/>
      <c r="L196" s="81"/>
      <c r="M196" s="81"/>
      <c r="N196" s="81">
        <f>SUM(N191:N195)</f>
        <v>1</v>
      </c>
      <c r="O196" s="81">
        <f t="shared" ref="O196:V196" si="190">SUM(O191:O195)</f>
        <v>7</v>
      </c>
      <c r="P196" s="81">
        <f t="shared" si="190"/>
        <v>8</v>
      </c>
      <c r="Q196" s="81">
        <f t="shared" si="190"/>
        <v>1</v>
      </c>
      <c r="R196" s="81">
        <f t="shared" si="190"/>
        <v>6</v>
      </c>
      <c r="S196" s="81">
        <f t="shared" si="190"/>
        <v>7</v>
      </c>
      <c r="T196" s="81">
        <f t="shared" si="190"/>
        <v>0</v>
      </c>
      <c r="U196" s="81">
        <f t="shared" si="190"/>
        <v>0</v>
      </c>
      <c r="V196" s="81">
        <f t="shared" si="190"/>
        <v>0</v>
      </c>
      <c r="W196" s="82">
        <f>SUM(W191:W195)</f>
        <v>2</v>
      </c>
      <c r="X196" s="82">
        <f t="shared" ref="X196:Y196" si="191">SUM(X191:X195)</f>
        <v>13</v>
      </c>
      <c r="Y196" s="82">
        <f t="shared" si="191"/>
        <v>15</v>
      </c>
      <c r="Z196" s="66">
        <f t="shared" si="185"/>
        <v>1</v>
      </c>
      <c r="AA196" s="66"/>
      <c r="AB196" s="66"/>
      <c r="AC196" s="83"/>
      <c r="AE196" s="81"/>
      <c r="AF196" s="81"/>
      <c r="AG196" s="82"/>
      <c r="AH196" s="82"/>
      <c r="AI196" s="66"/>
      <c r="AK196" s="81"/>
      <c r="AL196" s="81"/>
      <c r="AM196" s="82"/>
      <c r="AN196" s="82"/>
      <c r="AO196" s="66"/>
      <c r="AQ196" s="81"/>
      <c r="AR196" s="81"/>
      <c r="AS196" s="82"/>
      <c r="AT196" s="81">
        <f>SUM(AT191:AT195)</f>
        <v>2</v>
      </c>
      <c r="AU196" s="66">
        <f t="shared" si="187"/>
        <v>1</v>
      </c>
      <c r="AW196" s="81"/>
      <c r="AX196" s="81"/>
      <c r="AY196" s="82"/>
      <c r="AZ196" s="81">
        <f>SUM(AZ191:AZ195)</f>
        <v>13</v>
      </c>
      <c r="BA196" s="66">
        <f t="shared" si="189"/>
        <v>1</v>
      </c>
    </row>
    <row r="197" spans="1:53" s="117" customFormat="1" ht="17.100000000000001" customHeight="1" x14ac:dyDescent="0.25">
      <c r="A197" s="119"/>
      <c r="B197" s="119"/>
      <c r="C197" s="647"/>
      <c r="D197" s="212"/>
      <c r="E197" s="212"/>
      <c r="F197" s="212"/>
      <c r="G197" s="212"/>
      <c r="H197" s="242"/>
      <c r="I197" s="230"/>
      <c r="J197" s="17"/>
      <c r="K197" s="17"/>
      <c r="L197" s="17"/>
      <c r="M197" s="17"/>
      <c r="N197" s="17" t="str">
        <f>IF(N196=N$20,"OK","NOK")</f>
        <v>OK</v>
      </c>
      <c r="O197" s="17" t="str">
        <f>IF(O196=O$20,"OK","NOK")</f>
        <v>OK</v>
      </c>
      <c r="P197" s="17"/>
      <c r="Q197" s="17" t="str">
        <f>IF(Q196&gt;=Q$20,"OK","NOK")</f>
        <v>OK</v>
      </c>
      <c r="R197" s="17" t="str">
        <f>IF(R196&gt;=R$20,"OK","NOK")</f>
        <v>OK</v>
      </c>
      <c r="S197" s="17"/>
      <c r="T197" s="17" t="str">
        <f>IF(T196&gt;=T$20,"OK","NOK")</f>
        <v>OK</v>
      </c>
      <c r="U197" s="17" t="str">
        <f>IF(U196&gt;=U$20,"OK","NOK")</f>
        <v>OK</v>
      </c>
      <c r="V197" s="359"/>
      <c r="W197" s="382"/>
      <c r="X197" s="646"/>
      <c r="Y197" s="646"/>
      <c r="Z197" s="201"/>
      <c r="AA197" s="201"/>
      <c r="AB197" s="201"/>
      <c r="AC197" s="84"/>
      <c r="AE197" s="17"/>
      <c r="AF197" s="17"/>
      <c r="AG197" s="17"/>
      <c r="AH197" s="646"/>
      <c r="AI197" s="91"/>
      <c r="AK197" s="17"/>
      <c r="AL197" s="17"/>
      <c r="AM197" s="17"/>
      <c r="AN197" s="646"/>
      <c r="AO197" s="91"/>
      <c r="AQ197" s="17"/>
      <c r="AR197" s="17"/>
      <c r="AS197" s="17"/>
      <c r="AT197" s="646"/>
      <c r="AU197" s="91"/>
      <c r="AW197" s="17"/>
      <c r="AX197" s="17"/>
      <c r="AY197" s="17"/>
      <c r="AZ197" s="17"/>
      <c r="BA197" s="91"/>
    </row>
    <row r="198" spans="1:53" ht="17.100000000000001" customHeight="1" x14ac:dyDescent="0.25">
      <c r="A198" s="40"/>
      <c r="B198" s="41" t="s">
        <v>171</v>
      </c>
      <c r="C198" s="42" t="s">
        <v>601</v>
      </c>
      <c r="D198" s="43"/>
      <c r="E198" s="43"/>
      <c r="F198" s="43"/>
      <c r="G198" s="43"/>
      <c r="H198" s="23"/>
      <c r="I198" s="12"/>
      <c r="J198" s="73"/>
      <c r="K198" s="73"/>
      <c r="L198" s="73"/>
      <c r="M198" s="73"/>
      <c r="N198" s="71">
        <f>N191</f>
        <v>1</v>
      </c>
      <c r="O198" s="71">
        <f t="shared" ref="O198:U198" si="192">O191</f>
        <v>7</v>
      </c>
      <c r="P198" s="71"/>
      <c r="Q198" s="71">
        <f t="shared" si="192"/>
        <v>1</v>
      </c>
      <c r="R198" s="71">
        <f t="shared" si="192"/>
        <v>6</v>
      </c>
      <c r="S198" s="71"/>
      <c r="T198" s="71">
        <f t="shared" si="192"/>
        <v>0</v>
      </c>
      <c r="U198" s="71">
        <f t="shared" si="192"/>
        <v>0</v>
      </c>
      <c r="V198" s="71"/>
      <c r="W198" s="73"/>
      <c r="X198" s="73"/>
      <c r="Y198" s="73"/>
      <c r="Z198" s="73"/>
      <c r="AA198" s="73"/>
      <c r="AB198" s="73"/>
      <c r="AC198" s="73"/>
      <c r="AE198" s="73"/>
      <c r="AF198" s="73"/>
      <c r="AG198" s="73"/>
      <c r="AH198" s="73"/>
      <c r="AI198" s="73"/>
      <c r="AK198" s="73"/>
      <c r="AL198" s="73"/>
      <c r="AM198" s="73"/>
      <c r="AN198" s="73"/>
      <c r="AO198" s="73"/>
      <c r="AQ198" s="73"/>
      <c r="AR198" s="73"/>
      <c r="AS198" s="73"/>
      <c r="AT198" s="73"/>
      <c r="AU198" s="73"/>
      <c r="AW198" s="73"/>
      <c r="AX198" s="73"/>
      <c r="AY198" s="73"/>
      <c r="AZ198" s="73"/>
      <c r="BA198" s="73"/>
    </row>
    <row r="199" spans="1:53" s="4" customFormat="1" ht="17.100000000000001" customHeight="1" x14ac:dyDescent="0.25">
      <c r="A199" s="40"/>
      <c r="B199" s="40"/>
      <c r="C199" s="141" t="s">
        <v>172</v>
      </c>
      <c r="D199" s="648" t="s">
        <v>479</v>
      </c>
      <c r="E199" s="75"/>
      <c r="F199" s="75"/>
      <c r="G199" s="649"/>
      <c r="H199" s="254"/>
      <c r="I199" s="207"/>
      <c r="J199" s="174"/>
      <c r="K199" s="174"/>
      <c r="L199" s="111"/>
      <c r="M199" s="111"/>
      <c r="N199" s="60"/>
      <c r="O199" s="60"/>
      <c r="P199" s="17">
        <f t="shared" ref="P199:P203" si="193">SUM(N199:O199)</f>
        <v>0</v>
      </c>
      <c r="Q199" s="60"/>
      <c r="R199" s="60"/>
      <c r="S199" s="17">
        <f t="shared" ref="S199:S203" si="194">SUM(Q199:R199)</f>
        <v>0</v>
      </c>
      <c r="T199" s="60"/>
      <c r="U199" s="60"/>
      <c r="V199" s="17">
        <f t="shared" ref="V199:V203" si="195">SUM(T199:U199)</f>
        <v>0</v>
      </c>
      <c r="W199" s="391">
        <f t="shared" ref="W199:W207" si="196">J199+K199+N199+Q199+T199</f>
        <v>0</v>
      </c>
      <c r="X199" s="17">
        <f t="shared" ref="X199:X207" si="197">L199+O199+R199+U199</f>
        <v>0</v>
      </c>
      <c r="Y199" s="18">
        <f t="shared" ref="Y199:Y207" si="198">SUM(W199:X199)</f>
        <v>0</v>
      </c>
      <c r="Z199" s="19">
        <f>IF(Y$208=0,0,Y199/Y$208)</f>
        <v>0</v>
      </c>
      <c r="AA199" s="19"/>
      <c r="AB199" s="19"/>
      <c r="AC199" s="20"/>
      <c r="AE199" s="111"/>
      <c r="AF199" s="111"/>
      <c r="AG199" s="111"/>
      <c r="AH199" s="651"/>
      <c r="AI199" s="131"/>
      <c r="AJ199" s="3"/>
      <c r="AK199" s="111"/>
      <c r="AL199" s="111"/>
      <c r="AM199" s="111"/>
      <c r="AN199" s="651"/>
      <c r="AO199" s="131"/>
      <c r="AP199" s="3"/>
      <c r="AQ199" s="17"/>
      <c r="AR199" s="17"/>
      <c r="AS199" s="17"/>
      <c r="AT199" s="424">
        <f>W199</f>
        <v>0</v>
      </c>
      <c r="AU199" s="19">
        <f>IF(AT$208=0,0,AT199/AT$208)</f>
        <v>0</v>
      </c>
      <c r="AV199" s="3"/>
      <c r="AW199" s="17"/>
      <c r="AX199" s="17"/>
      <c r="AY199" s="17"/>
      <c r="AZ199" s="424">
        <f>X199</f>
        <v>0</v>
      </c>
      <c r="BA199" s="19">
        <f>IF(AZ$208=0,0,AZ199/AZ$208)</f>
        <v>0</v>
      </c>
    </row>
    <row r="200" spans="1:53" s="4" customFormat="1" ht="17.100000000000001" customHeight="1" x14ac:dyDescent="0.25">
      <c r="A200" s="40"/>
      <c r="B200" s="40"/>
      <c r="C200" s="141" t="s">
        <v>174</v>
      </c>
      <c r="D200" s="85" t="s">
        <v>405</v>
      </c>
      <c r="E200" s="75"/>
      <c r="F200" s="75"/>
      <c r="G200" s="649"/>
      <c r="H200" s="254"/>
      <c r="I200" s="207"/>
      <c r="J200" s="174"/>
      <c r="K200" s="174"/>
      <c r="L200" s="111"/>
      <c r="M200" s="111"/>
      <c r="N200" s="61"/>
      <c r="O200" s="61"/>
      <c r="P200" s="17">
        <f t="shared" si="193"/>
        <v>0</v>
      </c>
      <c r="Q200" s="61"/>
      <c r="R200" s="61"/>
      <c r="S200" s="17">
        <f t="shared" si="194"/>
        <v>0</v>
      </c>
      <c r="T200" s="61"/>
      <c r="U200" s="61"/>
      <c r="V200" s="17">
        <f t="shared" si="195"/>
        <v>0</v>
      </c>
      <c r="W200" s="391">
        <f t="shared" si="196"/>
        <v>0</v>
      </c>
      <c r="X200" s="17">
        <f t="shared" si="197"/>
        <v>0</v>
      </c>
      <c r="Y200" s="18">
        <f t="shared" si="198"/>
        <v>0</v>
      </c>
      <c r="Z200" s="19">
        <f t="shared" ref="Z200:Z208" si="199">IF(Y$208=0,0,Y200/Y$208)</f>
        <v>0</v>
      </c>
      <c r="AA200" s="19"/>
      <c r="AB200" s="19"/>
      <c r="AC200" s="20"/>
      <c r="AE200" s="111"/>
      <c r="AF200" s="111"/>
      <c r="AG200" s="111"/>
      <c r="AH200" s="651"/>
      <c r="AI200" s="131"/>
      <c r="AJ200" s="3"/>
      <c r="AK200" s="111"/>
      <c r="AL200" s="111"/>
      <c r="AM200" s="111"/>
      <c r="AN200" s="651"/>
      <c r="AO200" s="131"/>
      <c r="AP200" s="3"/>
      <c r="AQ200" s="17"/>
      <c r="AR200" s="17"/>
      <c r="AS200" s="17"/>
      <c r="AT200" s="424">
        <f t="shared" ref="AT200:AT207" si="200">W200</f>
        <v>0</v>
      </c>
      <c r="AU200" s="19">
        <f t="shared" ref="AU200:AU203" si="201">IF(AT$208=0,0,AT200/AT$208)</f>
        <v>0</v>
      </c>
      <c r="AV200" s="3"/>
      <c r="AW200" s="17"/>
      <c r="AX200" s="17"/>
      <c r="AY200" s="17"/>
      <c r="AZ200" s="424">
        <f t="shared" ref="AZ200:AZ207" si="202">X200</f>
        <v>0</v>
      </c>
      <c r="BA200" s="19">
        <f t="shared" ref="BA200:BA208" si="203">IF(AZ$208=0,0,AZ200/AZ$208)</f>
        <v>0</v>
      </c>
    </row>
    <row r="201" spans="1:53" s="4" customFormat="1" ht="17.100000000000001" customHeight="1" x14ac:dyDescent="0.25">
      <c r="A201" s="40"/>
      <c r="B201" s="40"/>
      <c r="C201" s="141" t="s">
        <v>175</v>
      </c>
      <c r="D201" s="85" t="s">
        <v>480</v>
      </c>
      <c r="E201" s="75"/>
      <c r="F201" s="75"/>
      <c r="G201" s="649"/>
      <c r="H201" s="254"/>
      <c r="I201" s="207"/>
      <c r="J201" s="174"/>
      <c r="K201" s="174"/>
      <c r="L201" s="111"/>
      <c r="M201" s="111"/>
      <c r="N201" s="60">
        <v>1</v>
      </c>
      <c r="O201" s="60">
        <v>7</v>
      </c>
      <c r="P201" s="17">
        <f t="shared" si="193"/>
        <v>8</v>
      </c>
      <c r="Q201" s="60">
        <v>1</v>
      </c>
      <c r="R201" s="60">
        <v>6</v>
      </c>
      <c r="S201" s="17">
        <f t="shared" si="194"/>
        <v>7</v>
      </c>
      <c r="T201" s="60"/>
      <c r="U201" s="60"/>
      <c r="V201" s="17">
        <f t="shared" si="195"/>
        <v>0</v>
      </c>
      <c r="W201" s="391">
        <f t="shared" si="196"/>
        <v>2</v>
      </c>
      <c r="X201" s="17">
        <f t="shared" si="197"/>
        <v>13</v>
      </c>
      <c r="Y201" s="18">
        <f t="shared" si="198"/>
        <v>15</v>
      </c>
      <c r="Z201" s="19">
        <f t="shared" si="199"/>
        <v>1</v>
      </c>
      <c r="AA201" s="19"/>
      <c r="AB201" s="19"/>
      <c r="AC201" s="20"/>
      <c r="AE201" s="111"/>
      <c r="AF201" s="111"/>
      <c r="AG201" s="111"/>
      <c r="AH201" s="651"/>
      <c r="AI201" s="131"/>
      <c r="AJ201" s="3"/>
      <c r="AK201" s="111"/>
      <c r="AL201" s="111"/>
      <c r="AM201" s="111"/>
      <c r="AN201" s="651"/>
      <c r="AO201" s="131"/>
      <c r="AP201" s="3"/>
      <c r="AQ201" s="17"/>
      <c r="AR201" s="17"/>
      <c r="AS201" s="17"/>
      <c r="AT201" s="424">
        <f t="shared" si="200"/>
        <v>2</v>
      </c>
      <c r="AU201" s="19">
        <f t="shared" si="201"/>
        <v>1</v>
      </c>
      <c r="AV201" s="3"/>
      <c r="AW201" s="17"/>
      <c r="AX201" s="17"/>
      <c r="AY201" s="17"/>
      <c r="AZ201" s="424">
        <f t="shared" si="202"/>
        <v>13</v>
      </c>
      <c r="BA201" s="19">
        <f t="shared" si="203"/>
        <v>1</v>
      </c>
    </row>
    <row r="202" spans="1:53" s="4" customFormat="1" ht="17.100000000000001" customHeight="1" x14ac:dyDescent="0.25">
      <c r="A202" s="40"/>
      <c r="B202" s="40"/>
      <c r="C202" s="141" t="s">
        <v>176</v>
      </c>
      <c r="D202" s="648" t="s">
        <v>481</v>
      </c>
      <c r="E202" s="75"/>
      <c r="F202" s="75"/>
      <c r="G202" s="649"/>
      <c r="H202" s="254"/>
      <c r="I202" s="207"/>
      <c r="J202" s="174"/>
      <c r="K202" s="174"/>
      <c r="L202" s="111"/>
      <c r="M202" s="111"/>
      <c r="N202" s="61"/>
      <c r="O202" s="61"/>
      <c r="P202" s="17">
        <f t="shared" si="193"/>
        <v>0</v>
      </c>
      <c r="Q202" s="61"/>
      <c r="R202" s="61"/>
      <c r="S202" s="17">
        <f t="shared" si="194"/>
        <v>0</v>
      </c>
      <c r="T202" s="61"/>
      <c r="U202" s="61"/>
      <c r="V202" s="17">
        <f t="shared" si="195"/>
        <v>0</v>
      </c>
      <c r="W202" s="391">
        <f t="shared" si="196"/>
        <v>0</v>
      </c>
      <c r="X202" s="17">
        <f t="shared" si="197"/>
        <v>0</v>
      </c>
      <c r="Y202" s="18">
        <f t="shared" si="198"/>
        <v>0</v>
      </c>
      <c r="Z202" s="19">
        <f t="shared" si="199"/>
        <v>0</v>
      </c>
      <c r="AA202" s="19"/>
      <c r="AB202" s="19"/>
      <c r="AC202" s="20"/>
      <c r="AE202" s="111"/>
      <c r="AF202" s="111"/>
      <c r="AG202" s="111"/>
      <c r="AH202" s="651"/>
      <c r="AI202" s="131"/>
      <c r="AJ202" s="3"/>
      <c r="AK202" s="111"/>
      <c r="AL202" s="111"/>
      <c r="AM202" s="111"/>
      <c r="AN202" s="651"/>
      <c r="AO202" s="131"/>
      <c r="AP202" s="3"/>
      <c r="AQ202" s="17"/>
      <c r="AR202" s="17"/>
      <c r="AS202" s="17"/>
      <c r="AT202" s="424">
        <f t="shared" si="200"/>
        <v>0</v>
      </c>
      <c r="AU202" s="19">
        <f t="shared" si="201"/>
        <v>0</v>
      </c>
      <c r="AV202" s="3"/>
      <c r="AW202" s="17"/>
      <c r="AX202" s="17"/>
      <c r="AY202" s="17"/>
      <c r="AZ202" s="424">
        <f t="shared" si="202"/>
        <v>0</v>
      </c>
      <c r="BA202" s="19">
        <f t="shared" si="203"/>
        <v>0</v>
      </c>
    </row>
    <row r="203" spans="1:53" s="4" customFormat="1" ht="17.100000000000001" customHeight="1" x14ac:dyDescent="0.25">
      <c r="A203" s="40"/>
      <c r="B203" s="40"/>
      <c r="C203" s="282" t="s">
        <v>177</v>
      </c>
      <c r="D203" s="648" t="s">
        <v>109</v>
      </c>
      <c r="E203" s="650"/>
      <c r="F203" s="650"/>
      <c r="G203" s="649"/>
      <c r="H203" s="254"/>
      <c r="I203" s="207"/>
      <c r="J203" s="111"/>
      <c r="K203" s="111"/>
      <c r="L203" s="111"/>
      <c r="M203" s="111"/>
      <c r="N203" s="111">
        <f>SUM(N204:N206)</f>
        <v>0</v>
      </c>
      <c r="O203" s="111">
        <f t="shared" ref="O203:U203" si="204">SUM(O204:O206)</f>
        <v>0</v>
      </c>
      <c r="P203" s="111">
        <f t="shared" si="193"/>
        <v>0</v>
      </c>
      <c r="Q203" s="111">
        <f t="shared" si="204"/>
        <v>0</v>
      </c>
      <c r="R203" s="111">
        <f t="shared" si="204"/>
        <v>0</v>
      </c>
      <c r="S203" s="111">
        <f t="shared" si="194"/>
        <v>0</v>
      </c>
      <c r="T203" s="111">
        <f t="shared" si="204"/>
        <v>0</v>
      </c>
      <c r="U203" s="111">
        <f t="shared" si="204"/>
        <v>0</v>
      </c>
      <c r="V203" s="111">
        <f t="shared" si="195"/>
        <v>0</v>
      </c>
      <c r="W203" s="380">
        <f t="shared" si="196"/>
        <v>0</v>
      </c>
      <c r="X203" s="111">
        <f t="shared" si="197"/>
        <v>0</v>
      </c>
      <c r="Y203" s="651">
        <f t="shared" si="198"/>
        <v>0</v>
      </c>
      <c r="Z203" s="131">
        <f t="shared" si="199"/>
        <v>0</v>
      </c>
      <c r="AA203" s="131"/>
      <c r="AB203" s="131"/>
      <c r="AC203" s="113"/>
      <c r="AE203" s="111"/>
      <c r="AF203" s="111"/>
      <c r="AG203" s="111"/>
      <c r="AH203" s="651"/>
      <c r="AI203" s="131"/>
      <c r="AJ203" s="3"/>
      <c r="AK203" s="111"/>
      <c r="AL203" s="111"/>
      <c r="AM203" s="111"/>
      <c r="AN203" s="651"/>
      <c r="AO203" s="131"/>
      <c r="AP203" s="3"/>
      <c r="AQ203" s="111"/>
      <c r="AR203" s="111"/>
      <c r="AS203" s="111"/>
      <c r="AT203" s="111">
        <f t="shared" si="200"/>
        <v>0</v>
      </c>
      <c r="AU203" s="131">
        <f t="shared" si="201"/>
        <v>0</v>
      </c>
      <c r="AV203" s="3"/>
      <c r="AW203" s="111"/>
      <c r="AX203" s="111"/>
      <c r="AY203" s="111"/>
      <c r="AZ203" s="111">
        <f t="shared" si="202"/>
        <v>0</v>
      </c>
      <c r="BA203" s="131">
        <f t="shared" si="203"/>
        <v>0</v>
      </c>
    </row>
    <row r="204" spans="1:53" s="4" customFormat="1" ht="16.5" customHeight="1" x14ac:dyDescent="0.25">
      <c r="A204" s="40"/>
      <c r="B204" s="40"/>
      <c r="C204" s="56"/>
      <c r="D204" s="294"/>
      <c r="E204" s="295"/>
      <c r="F204" s="295"/>
      <c r="G204" s="295"/>
      <c r="H204" s="198"/>
      <c r="I204" s="642"/>
      <c r="J204" s="174"/>
      <c r="K204" s="174"/>
      <c r="L204" s="111"/>
      <c r="M204" s="111"/>
      <c r="N204" s="60"/>
      <c r="O204" s="60"/>
      <c r="P204" s="17"/>
      <c r="Q204" s="60"/>
      <c r="R204" s="60"/>
      <c r="S204" s="17"/>
      <c r="T204" s="60"/>
      <c r="U204" s="60"/>
      <c r="V204" s="17"/>
      <c r="W204" s="391"/>
      <c r="X204" s="17"/>
      <c r="Y204" s="18"/>
      <c r="Z204" s="19"/>
      <c r="AA204" s="20"/>
      <c r="AB204" s="20"/>
      <c r="AC204" s="20"/>
      <c r="AE204" s="111"/>
      <c r="AF204" s="111"/>
      <c r="AG204" s="113"/>
      <c r="AH204" s="113"/>
      <c r="AI204" s="131"/>
      <c r="AK204" s="111"/>
      <c r="AL204" s="111"/>
      <c r="AM204" s="113"/>
      <c r="AN204" s="113"/>
      <c r="AO204" s="131"/>
      <c r="AQ204" s="17"/>
      <c r="AR204" s="17"/>
      <c r="AS204" s="20"/>
      <c r="AT204" s="424"/>
      <c r="AU204" s="19"/>
      <c r="AW204" s="17"/>
      <c r="AX204" s="17"/>
      <c r="AY204" s="20"/>
      <c r="AZ204" s="424"/>
      <c r="BA204" s="19"/>
    </row>
    <row r="205" spans="1:53" s="4" customFormat="1" ht="17.100000000000001" customHeight="1" x14ac:dyDescent="0.25">
      <c r="A205" s="40"/>
      <c r="B205" s="40"/>
      <c r="C205" s="56"/>
      <c r="D205" s="296"/>
      <c r="E205" s="297"/>
      <c r="F205" s="297"/>
      <c r="G205" s="297"/>
      <c r="H205" s="198"/>
      <c r="I205" s="642"/>
      <c r="J205" s="174"/>
      <c r="K205" s="174"/>
      <c r="L205" s="111"/>
      <c r="M205" s="111"/>
      <c r="N205" s="61"/>
      <c r="O205" s="61"/>
      <c r="P205" s="17"/>
      <c r="Q205" s="61"/>
      <c r="R205" s="61"/>
      <c r="S205" s="17"/>
      <c r="T205" s="61"/>
      <c r="U205" s="61"/>
      <c r="V205" s="17"/>
      <c r="W205" s="391"/>
      <c r="X205" s="17"/>
      <c r="Y205" s="18"/>
      <c r="Z205" s="19"/>
      <c r="AA205" s="20"/>
      <c r="AB205" s="20"/>
      <c r="AC205" s="20"/>
      <c r="AE205" s="111"/>
      <c r="AF205" s="111"/>
      <c r="AG205" s="113"/>
      <c r="AH205" s="113"/>
      <c r="AI205" s="131"/>
      <c r="AK205" s="111"/>
      <c r="AL205" s="111"/>
      <c r="AM205" s="113"/>
      <c r="AN205" s="113"/>
      <c r="AO205" s="131"/>
      <c r="AQ205" s="17"/>
      <c r="AR205" s="17"/>
      <c r="AS205" s="20"/>
      <c r="AT205" s="424"/>
      <c r="AU205" s="19"/>
      <c r="AW205" s="17"/>
      <c r="AX205" s="17"/>
      <c r="AY205" s="20"/>
      <c r="AZ205" s="424"/>
      <c r="BA205" s="19"/>
    </row>
    <row r="206" spans="1:53" s="4" customFormat="1" ht="16.5" customHeight="1" x14ac:dyDescent="0.25">
      <c r="A206" s="40"/>
      <c r="B206" s="40"/>
      <c r="C206" s="56"/>
      <c r="D206" s="294"/>
      <c r="E206" s="295"/>
      <c r="F206" s="295"/>
      <c r="G206" s="295"/>
      <c r="H206" s="198"/>
      <c r="I206" s="642"/>
      <c r="J206" s="174"/>
      <c r="K206" s="174"/>
      <c r="L206" s="111"/>
      <c r="M206" s="111"/>
      <c r="N206" s="60"/>
      <c r="O206" s="60"/>
      <c r="P206" s="17"/>
      <c r="Q206" s="60"/>
      <c r="R206" s="60"/>
      <c r="S206" s="17"/>
      <c r="T206" s="60"/>
      <c r="U206" s="60"/>
      <c r="V206" s="17"/>
      <c r="W206" s="391"/>
      <c r="X206" s="17"/>
      <c r="Y206" s="18"/>
      <c r="Z206" s="19"/>
      <c r="AA206" s="20"/>
      <c r="AB206" s="20"/>
      <c r="AC206" s="20"/>
      <c r="AE206" s="111"/>
      <c r="AF206" s="111"/>
      <c r="AG206" s="113"/>
      <c r="AH206" s="113"/>
      <c r="AI206" s="131"/>
      <c r="AK206" s="111"/>
      <c r="AL206" s="111"/>
      <c r="AM206" s="113"/>
      <c r="AN206" s="113"/>
      <c r="AO206" s="131"/>
      <c r="AQ206" s="17"/>
      <c r="AR206" s="17"/>
      <c r="AS206" s="20"/>
      <c r="AT206" s="424"/>
      <c r="AU206" s="19"/>
      <c r="AW206" s="17"/>
      <c r="AX206" s="17"/>
      <c r="AY206" s="20"/>
      <c r="AZ206" s="424"/>
      <c r="BA206" s="19"/>
    </row>
    <row r="207" spans="1:53" s="4" customFormat="1" ht="17.100000000000001" customHeight="1" x14ac:dyDescent="0.25">
      <c r="A207" s="40"/>
      <c r="B207" s="40"/>
      <c r="C207" s="56" t="s">
        <v>178</v>
      </c>
      <c r="D207" s="596" t="s">
        <v>598</v>
      </c>
      <c r="E207" s="649"/>
      <c r="F207" s="649"/>
      <c r="G207" s="649"/>
      <c r="H207" s="254"/>
      <c r="I207" s="207"/>
      <c r="J207" s="174"/>
      <c r="K207" s="174"/>
      <c r="L207" s="111"/>
      <c r="M207" s="111"/>
      <c r="N207" s="61"/>
      <c r="O207" s="61"/>
      <c r="P207" s="17">
        <f t="shared" ref="P207" si="205">SUM(N207:O207)</f>
        <v>0</v>
      </c>
      <c r="Q207" s="61"/>
      <c r="R207" s="61"/>
      <c r="S207" s="17">
        <f t="shared" ref="S207" si="206">SUM(Q207:R207)</f>
        <v>0</v>
      </c>
      <c r="T207" s="61"/>
      <c r="U207" s="61"/>
      <c r="V207" s="17">
        <f t="shared" ref="V207" si="207">SUM(T207:U207)</f>
        <v>0</v>
      </c>
      <c r="W207" s="391">
        <f t="shared" si="196"/>
        <v>0</v>
      </c>
      <c r="X207" s="17">
        <f t="shared" si="197"/>
        <v>0</v>
      </c>
      <c r="Y207" s="18">
        <f t="shared" si="198"/>
        <v>0</v>
      </c>
      <c r="Z207" s="19">
        <f t="shared" si="199"/>
        <v>0</v>
      </c>
      <c r="AA207" s="19"/>
      <c r="AB207" s="19"/>
      <c r="AC207" s="20"/>
      <c r="AE207" s="111"/>
      <c r="AF207" s="111"/>
      <c r="AG207" s="111"/>
      <c r="AH207" s="651"/>
      <c r="AI207" s="131"/>
      <c r="AJ207" s="3"/>
      <c r="AK207" s="111"/>
      <c r="AL207" s="111"/>
      <c r="AM207" s="111"/>
      <c r="AN207" s="651"/>
      <c r="AO207" s="131"/>
      <c r="AP207" s="3"/>
      <c r="AQ207" s="17"/>
      <c r="AR207" s="17"/>
      <c r="AS207" s="17"/>
      <c r="AT207" s="424">
        <f t="shared" si="200"/>
        <v>0</v>
      </c>
      <c r="AU207" s="19">
        <f t="shared" ref="AU207:AU208" si="208">IF(AT$208=0,0,AT207/AT$208)</f>
        <v>0</v>
      </c>
      <c r="AV207" s="3"/>
      <c r="AW207" s="17"/>
      <c r="AX207" s="17"/>
      <c r="AY207" s="17"/>
      <c r="AZ207" s="424">
        <f t="shared" si="202"/>
        <v>0</v>
      </c>
      <c r="BA207" s="19">
        <f t="shared" si="203"/>
        <v>0</v>
      </c>
    </row>
    <row r="208" spans="1:53" ht="17.100000000000001" customHeight="1" x14ac:dyDescent="0.25">
      <c r="A208" s="40"/>
      <c r="B208" s="40"/>
      <c r="C208" s="292"/>
      <c r="D208" s="144"/>
      <c r="E208" s="144"/>
      <c r="F208" s="145"/>
      <c r="G208" s="145"/>
      <c r="H208" s="119"/>
      <c r="I208" s="236"/>
      <c r="J208" s="64"/>
      <c r="K208" s="64"/>
      <c r="L208" s="81"/>
      <c r="M208" s="81"/>
      <c r="N208" s="81">
        <f>SUM(N199:N203)+N207</f>
        <v>1</v>
      </c>
      <c r="O208" s="81">
        <f t="shared" ref="O208:V208" si="209">SUM(O199:O203)+O207</f>
        <v>7</v>
      </c>
      <c r="P208" s="81">
        <f t="shared" si="209"/>
        <v>8</v>
      </c>
      <c r="Q208" s="81">
        <f t="shared" si="209"/>
        <v>1</v>
      </c>
      <c r="R208" s="81">
        <f t="shared" si="209"/>
        <v>6</v>
      </c>
      <c r="S208" s="81">
        <f t="shared" si="209"/>
        <v>7</v>
      </c>
      <c r="T208" s="81">
        <f t="shared" si="209"/>
        <v>0</v>
      </c>
      <c r="U208" s="81">
        <f t="shared" si="209"/>
        <v>0</v>
      </c>
      <c r="V208" s="81">
        <f t="shared" si="209"/>
        <v>0</v>
      </c>
      <c r="W208" s="82">
        <f>SUM(W199:W207)</f>
        <v>2</v>
      </c>
      <c r="X208" s="82">
        <f t="shared" ref="X208:Y208" si="210">SUM(X199:X207)</f>
        <v>13</v>
      </c>
      <c r="Y208" s="82">
        <f t="shared" si="210"/>
        <v>15</v>
      </c>
      <c r="Z208" s="66">
        <f t="shared" si="199"/>
        <v>1</v>
      </c>
      <c r="AA208" s="205"/>
      <c r="AB208" s="205"/>
      <c r="AC208" s="83"/>
      <c r="AE208" s="81"/>
      <c r="AF208" s="81"/>
      <c r="AG208" s="82"/>
      <c r="AH208" s="82"/>
      <c r="AI208" s="66"/>
      <c r="AK208" s="81"/>
      <c r="AL208" s="81"/>
      <c r="AM208" s="82"/>
      <c r="AN208" s="82"/>
      <c r="AO208" s="66"/>
      <c r="AQ208" s="81"/>
      <c r="AR208" s="81"/>
      <c r="AS208" s="82"/>
      <c r="AT208" s="81">
        <f>SUM(AT199:AT203)+AT207</f>
        <v>2</v>
      </c>
      <c r="AU208" s="66">
        <f t="shared" si="208"/>
        <v>1</v>
      </c>
      <c r="AW208" s="81"/>
      <c r="AX208" s="81"/>
      <c r="AY208" s="82"/>
      <c r="AZ208" s="81">
        <f>SUM(AZ199:AZ203)+AZ207</f>
        <v>13</v>
      </c>
      <c r="BA208" s="66">
        <f t="shared" si="203"/>
        <v>1</v>
      </c>
    </row>
    <row r="209" spans="1:53" s="117" customFormat="1" ht="17.100000000000001" customHeight="1" x14ac:dyDescent="0.25">
      <c r="A209" s="119"/>
      <c r="B209" s="119"/>
      <c r="C209" s="647"/>
      <c r="D209" s="212"/>
      <c r="E209" s="212"/>
      <c r="F209" s="212"/>
      <c r="G209" s="212"/>
      <c r="H209" s="242"/>
      <c r="I209" s="230"/>
      <c r="J209" s="17"/>
      <c r="K209" s="17"/>
      <c r="L209" s="17"/>
      <c r="M209" s="17"/>
      <c r="N209" s="17" t="str">
        <f>IF(N208=N$198,"OK","NOK")</f>
        <v>OK</v>
      </c>
      <c r="O209" s="17" t="str">
        <f>IF(O208=O$198,"OK","NOK")</f>
        <v>OK</v>
      </c>
      <c r="P209" s="17"/>
      <c r="Q209" s="17" t="str">
        <f>IF(Q208=Q$198,"OK","NOK")</f>
        <v>OK</v>
      </c>
      <c r="R209" s="17" t="str">
        <f>IF(R208=R$198,"OK","NOK")</f>
        <v>OK</v>
      </c>
      <c r="S209" s="17"/>
      <c r="T209" s="17" t="str">
        <f>IF(T208=T$198,"OK","NOK")</f>
        <v>OK</v>
      </c>
      <c r="U209" s="17" t="str">
        <f>IF(U208=U$198,"OK","NOK")</f>
        <v>OK</v>
      </c>
      <c r="V209" s="359"/>
      <c r="W209" s="382"/>
      <c r="X209" s="646"/>
      <c r="Y209" s="646"/>
      <c r="Z209" s="201"/>
      <c r="AA209" s="201"/>
      <c r="AB209" s="201"/>
      <c r="AC209" s="84"/>
      <c r="AE209" s="17"/>
      <c r="AF209" s="17"/>
      <c r="AG209" s="17"/>
      <c r="AH209" s="646"/>
      <c r="AI209" s="91"/>
      <c r="AK209" s="17"/>
      <c r="AL209" s="17"/>
      <c r="AM209" s="17"/>
      <c r="AN209" s="646"/>
      <c r="AO209" s="91"/>
      <c r="AQ209" s="17"/>
      <c r="AR209" s="17"/>
      <c r="AS209" s="17"/>
      <c r="AT209" s="646"/>
      <c r="AU209" s="91"/>
      <c r="AW209" s="17"/>
      <c r="AX209" s="17"/>
      <c r="AY209" s="17"/>
      <c r="AZ209" s="17"/>
      <c r="BA209" s="91"/>
    </row>
    <row r="210" spans="1:53" ht="17.100000000000001" customHeight="1" x14ac:dyDescent="0.25">
      <c r="A210" s="40"/>
      <c r="B210" s="41" t="s">
        <v>180</v>
      </c>
      <c r="C210" s="274" t="s">
        <v>255</v>
      </c>
      <c r="D210" s="43"/>
      <c r="E210" s="43"/>
      <c r="F210" s="43"/>
      <c r="G210" s="43"/>
      <c r="H210" s="23"/>
      <c r="I210" s="12"/>
      <c r="J210" s="73"/>
      <c r="K210" s="73"/>
      <c r="L210" s="73"/>
      <c r="M210" s="73"/>
      <c r="N210" s="73"/>
      <c r="O210" s="73"/>
      <c r="P210" s="73"/>
      <c r="Q210" s="73"/>
      <c r="R210" s="73"/>
      <c r="S210" s="73"/>
      <c r="T210" s="73"/>
      <c r="U210" s="73"/>
      <c r="V210" s="73"/>
      <c r="W210" s="73"/>
      <c r="X210" s="73"/>
      <c r="Y210" s="73"/>
      <c r="Z210" s="73"/>
      <c r="AA210" s="73"/>
      <c r="AB210" s="73"/>
      <c r="AC210" s="73"/>
      <c r="AE210" s="73"/>
      <c r="AF210" s="73"/>
      <c r="AG210" s="73"/>
      <c r="AH210" s="73"/>
      <c r="AI210" s="73"/>
      <c r="AK210" s="73"/>
      <c r="AL210" s="73"/>
      <c r="AM210" s="73"/>
      <c r="AN210" s="73"/>
      <c r="AO210" s="73"/>
      <c r="AQ210" s="73"/>
      <c r="AR210" s="73"/>
      <c r="AS210" s="73"/>
      <c r="AT210" s="73"/>
      <c r="AU210" s="73"/>
      <c r="AW210" s="73"/>
      <c r="AX210" s="73"/>
      <c r="AY210" s="73"/>
      <c r="AZ210" s="73"/>
      <c r="BA210" s="73"/>
    </row>
    <row r="211" spans="1:53" s="4" customFormat="1" ht="17.100000000000001" customHeight="1" x14ac:dyDescent="0.25">
      <c r="A211" s="40"/>
      <c r="B211" s="40"/>
      <c r="C211" s="141" t="s">
        <v>440</v>
      </c>
      <c r="D211" s="146" t="s">
        <v>113</v>
      </c>
      <c r="E211" s="75"/>
      <c r="F211" s="75"/>
      <c r="G211" s="75"/>
      <c r="H211" s="23"/>
      <c r="I211" s="12"/>
      <c r="J211" s="174"/>
      <c r="K211" s="174"/>
      <c r="L211" s="111"/>
      <c r="M211" s="111"/>
      <c r="N211" s="60"/>
      <c r="O211" s="60"/>
      <c r="P211" s="17">
        <f t="shared" ref="P211:P213" si="211">SUM(N211:O211)</f>
        <v>0</v>
      </c>
      <c r="Q211" s="60"/>
      <c r="R211" s="60"/>
      <c r="S211" s="17">
        <f t="shared" ref="S211:S213" si="212">SUM(Q211:R211)</f>
        <v>0</v>
      </c>
      <c r="T211" s="60"/>
      <c r="U211" s="60"/>
      <c r="V211" s="17">
        <f t="shared" ref="V211:V213" si="213">SUM(T211:U211)</f>
        <v>0</v>
      </c>
      <c r="W211" s="391">
        <f t="shared" ref="W211:W213" si="214">J211+K211+N211+Q211+T211</f>
        <v>0</v>
      </c>
      <c r="X211" s="17">
        <f t="shared" ref="X211:X213" si="215">L211+O211+R211+U211</f>
        <v>0</v>
      </c>
      <c r="Y211" s="18">
        <f t="shared" ref="Y211:Y213" si="216">SUM(W211:X211)</f>
        <v>0</v>
      </c>
      <c r="Z211" s="19">
        <f>IF(Y$214=0,0,Y211/Y$214)</f>
        <v>0</v>
      </c>
      <c r="AA211" s="19"/>
      <c r="AB211" s="19"/>
      <c r="AC211" s="20"/>
      <c r="AE211" s="111"/>
      <c r="AF211" s="111"/>
      <c r="AG211" s="111"/>
      <c r="AH211" s="651"/>
      <c r="AI211" s="131"/>
      <c r="AJ211" s="3"/>
      <c r="AK211" s="111"/>
      <c r="AL211" s="111"/>
      <c r="AM211" s="111"/>
      <c r="AN211" s="651"/>
      <c r="AO211" s="131"/>
      <c r="AP211" s="3"/>
      <c r="AQ211" s="17"/>
      <c r="AR211" s="17"/>
      <c r="AS211" s="17"/>
      <c r="AT211" s="424">
        <f>W211</f>
        <v>0</v>
      </c>
      <c r="AU211" s="19">
        <f>IF(AT$214=0,0,AT211/AT$214)</f>
        <v>0</v>
      </c>
      <c r="AV211" s="3"/>
      <c r="AW211" s="17"/>
      <c r="AX211" s="17"/>
      <c r="AY211" s="17"/>
      <c r="AZ211" s="424">
        <f>X211</f>
        <v>0</v>
      </c>
      <c r="BA211" s="19">
        <f>IF(AZ$214=0,0,AZ211/AZ$214)</f>
        <v>0</v>
      </c>
    </row>
    <row r="212" spans="1:53" s="4" customFormat="1" ht="17.100000000000001" customHeight="1" x14ac:dyDescent="0.25">
      <c r="A212" s="40"/>
      <c r="B212" s="40"/>
      <c r="C212" s="141" t="s">
        <v>441</v>
      </c>
      <c r="D212" s="146" t="s">
        <v>602</v>
      </c>
      <c r="E212" s="75"/>
      <c r="F212" s="75"/>
      <c r="G212" s="75"/>
      <c r="H212" s="23"/>
      <c r="I212" s="12"/>
      <c r="J212" s="174"/>
      <c r="K212" s="174"/>
      <c r="L212" s="111"/>
      <c r="M212" s="111"/>
      <c r="N212" s="61">
        <v>1</v>
      </c>
      <c r="O212" s="61">
        <v>7</v>
      </c>
      <c r="P212" s="17">
        <f t="shared" si="211"/>
        <v>8</v>
      </c>
      <c r="Q212" s="61">
        <v>1</v>
      </c>
      <c r="R212" s="61">
        <v>6</v>
      </c>
      <c r="S212" s="17">
        <f t="shared" si="212"/>
        <v>7</v>
      </c>
      <c r="T212" s="61"/>
      <c r="U212" s="61"/>
      <c r="V212" s="17">
        <f t="shared" si="213"/>
        <v>0</v>
      </c>
      <c r="W212" s="391">
        <f t="shared" si="214"/>
        <v>2</v>
      </c>
      <c r="X212" s="17">
        <f t="shared" si="215"/>
        <v>13</v>
      </c>
      <c r="Y212" s="18">
        <f t="shared" si="216"/>
        <v>15</v>
      </c>
      <c r="Z212" s="19">
        <f t="shared" ref="Z212:Z214" si="217">IF(Y$214=0,0,Y212/Y$214)</f>
        <v>1</v>
      </c>
      <c r="AA212" s="19"/>
      <c r="AB212" s="19"/>
      <c r="AC212" s="20"/>
      <c r="AE212" s="111"/>
      <c r="AF212" s="111"/>
      <c r="AG212" s="111"/>
      <c r="AH212" s="651"/>
      <c r="AI212" s="131"/>
      <c r="AJ212" s="3"/>
      <c r="AK212" s="111"/>
      <c r="AL212" s="111"/>
      <c r="AM212" s="111"/>
      <c r="AN212" s="651"/>
      <c r="AO212" s="131"/>
      <c r="AP212" s="3"/>
      <c r="AQ212" s="17"/>
      <c r="AR212" s="17"/>
      <c r="AS212" s="17"/>
      <c r="AT212" s="424">
        <f t="shared" ref="AT212:AT213" si="218">W212</f>
        <v>2</v>
      </c>
      <c r="AU212" s="19">
        <f t="shared" ref="AU212:AU214" si="219">IF(AT$214=0,0,AT212/AT$214)</f>
        <v>1</v>
      </c>
      <c r="AV212" s="3"/>
      <c r="AW212" s="17"/>
      <c r="AX212" s="17"/>
      <c r="AY212" s="17"/>
      <c r="AZ212" s="424">
        <f t="shared" ref="AZ212:AZ213" si="220">X212</f>
        <v>13</v>
      </c>
      <c r="BA212" s="19">
        <f t="shared" ref="BA212:BA214" si="221">IF(AZ$214=0,0,AZ212/AZ$214)</f>
        <v>1</v>
      </c>
    </row>
    <row r="213" spans="1:53" s="4" customFormat="1" ht="17.100000000000001" customHeight="1" x14ac:dyDescent="0.25">
      <c r="A213" s="40"/>
      <c r="B213" s="40"/>
      <c r="C213" s="141" t="s">
        <v>442</v>
      </c>
      <c r="D213" s="596" t="s">
        <v>598</v>
      </c>
      <c r="E213" s="649"/>
      <c r="F213" s="649"/>
      <c r="G213" s="649"/>
      <c r="H213" s="254"/>
      <c r="I213" s="207"/>
      <c r="J213" s="174"/>
      <c r="K213" s="174"/>
      <c r="L213" s="111"/>
      <c r="M213" s="111"/>
      <c r="N213" s="60"/>
      <c r="O213" s="60"/>
      <c r="P213" s="17">
        <f t="shared" si="211"/>
        <v>0</v>
      </c>
      <c r="Q213" s="60"/>
      <c r="R213" s="60"/>
      <c r="S213" s="17">
        <f t="shared" si="212"/>
        <v>0</v>
      </c>
      <c r="T213" s="60"/>
      <c r="U213" s="60"/>
      <c r="V213" s="17">
        <f t="shared" si="213"/>
        <v>0</v>
      </c>
      <c r="W213" s="391">
        <f t="shared" si="214"/>
        <v>0</v>
      </c>
      <c r="X213" s="17">
        <f t="shared" si="215"/>
        <v>0</v>
      </c>
      <c r="Y213" s="18">
        <f t="shared" si="216"/>
        <v>0</v>
      </c>
      <c r="Z213" s="19">
        <f t="shared" si="217"/>
        <v>0</v>
      </c>
      <c r="AA213" s="19"/>
      <c r="AB213" s="19"/>
      <c r="AC213" s="20"/>
      <c r="AE213" s="111"/>
      <c r="AF213" s="111"/>
      <c r="AG213" s="111"/>
      <c r="AH213" s="651"/>
      <c r="AI213" s="131"/>
      <c r="AJ213" s="3"/>
      <c r="AK213" s="111"/>
      <c r="AL213" s="111"/>
      <c r="AM213" s="111"/>
      <c r="AN213" s="651"/>
      <c r="AO213" s="131"/>
      <c r="AP213" s="3"/>
      <c r="AQ213" s="17"/>
      <c r="AR213" s="17"/>
      <c r="AS213" s="17"/>
      <c r="AT213" s="424">
        <f t="shared" si="218"/>
        <v>0</v>
      </c>
      <c r="AU213" s="19">
        <f t="shared" si="219"/>
        <v>0</v>
      </c>
      <c r="AV213" s="3"/>
      <c r="AW213" s="17"/>
      <c r="AX213" s="17"/>
      <c r="AY213" s="17"/>
      <c r="AZ213" s="424">
        <f t="shared" si="220"/>
        <v>0</v>
      </c>
      <c r="BA213" s="19">
        <f t="shared" si="221"/>
        <v>0</v>
      </c>
    </row>
    <row r="214" spans="1:53" ht="17.100000000000001" customHeight="1" x14ac:dyDescent="0.25">
      <c r="A214" s="40"/>
      <c r="B214" s="40"/>
      <c r="C214" s="292"/>
      <c r="D214" s="144"/>
      <c r="E214" s="144"/>
      <c r="F214" s="145"/>
      <c r="G214" s="145"/>
      <c r="H214" s="119"/>
      <c r="I214" s="236"/>
      <c r="J214" s="64"/>
      <c r="K214" s="64"/>
      <c r="L214" s="64"/>
      <c r="M214" s="64"/>
      <c r="N214" s="64">
        <f>SUM(N211:N213)</f>
        <v>1</v>
      </c>
      <c r="O214" s="64">
        <f t="shared" ref="O214:V214" si="222">SUM(O211:O213)</f>
        <v>7</v>
      </c>
      <c r="P214" s="64">
        <f t="shared" si="222"/>
        <v>8</v>
      </c>
      <c r="Q214" s="64">
        <f t="shared" si="222"/>
        <v>1</v>
      </c>
      <c r="R214" s="64">
        <f t="shared" si="222"/>
        <v>6</v>
      </c>
      <c r="S214" s="64">
        <f t="shared" si="222"/>
        <v>7</v>
      </c>
      <c r="T214" s="64">
        <f t="shared" si="222"/>
        <v>0</v>
      </c>
      <c r="U214" s="64">
        <f t="shared" si="222"/>
        <v>0</v>
      </c>
      <c r="V214" s="64">
        <f t="shared" si="222"/>
        <v>0</v>
      </c>
      <c r="W214" s="224">
        <f>SUM(W211:W213)</f>
        <v>2</v>
      </c>
      <c r="X214" s="224">
        <f t="shared" ref="X214:Y214" si="223">SUM(X211:X213)</f>
        <v>13</v>
      </c>
      <c r="Y214" s="224">
        <f t="shared" si="223"/>
        <v>15</v>
      </c>
      <c r="Z214" s="66">
        <f t="shared" si="217"/>
        <v>1</v>
      </c>
      <c r="AA214" s="205"/>
      <c r="AB214" s="205"/>
      <c r="AC214" s="83"/>
      <c r="AE214" s="81"/>
      <c r="AF214" s="81"/>
      <c r="AG214" s="82"/>
      <c r="AH214" s="82"/>
      <c r="AI214" s="66"/>
      <c r="AK214" s="81"/>
      <c r="AL214" s="81"/>
      <c r="AM214" s="82"/>
      <c r="AN214" s="82"/>
      <c r="AO214" s="66"/>
      <c r="AQ214" s="81"/>
      <c r="AR214" s="81"/>
      <c r="AS214" s="82"/>
      <c r="AT214" s="81">
        <f>SUM(AT211:AT213)</f>
        <v>2</v>
      </c>
      <c r="AU214" s="66">
        <f t="shared" si="219"/>
        <v>1</v>
      </c>
      <c r="AW214" s="81"/>
      <c r="AX214" s="81"/>
      <c r="AY214" s="82"/>
      <c r="AZ214" s="81">
        <f>SUM(AZ211:AZ213)</f>
        <v>13</v>
      </c>
      <c r="BA214" s="66">
        <f t="shared" si="221"/>
        <v>1</v>
      </c>
    </row>
    <row r="215" spans="1:53" s="117" customFormat="1" ht="17.100000000000001" customHeight="1" x14ac:dyDescent="0.25">
      <c r="A215" s="119"/>
      <c r="B215" s="119"/>
      <c r="C215" s="647"/>
      <c r="D215" s="212"/>
      <c r="E215" s="212"/>
      <c r="F215" s="212"/>
      <c r="G215" s="212"/>
      <c r="H215" s="242"/>
      <c r="I215" s="230"/>
      <c r="J215" s="17"/>
      <c r="K215" s="17"/>
      <c r="L215" s="17"/>
      <c r="M215" s="17"/>
      <c r="N215" s="17" t="str">
        <f>IF(N214=N$198,"OK","NOK")</f>
        <v>OK</v>
      </c>
      <c r="O215" s="17" t="str">
        <f>IF(O214=O$198,"OK","NOK")</f>
        <v>OK</v>
      </c>
      <c r="P215" s="17"/>
      <c r="Q215" s="17" t="str">
        <f>IF(Q214=Q$198,"OK","NOK")</f>
        <v>OK</v>
      </c>
      <c r="R215" s="17" t="str">
        <f>IF(R214=R$198,"OK","NOK")</f>
        <v>OK</v>
      </c>
      <c r="S215" s="17"/>
      <c r="T215" s="17" t="str">
        <f>IF(T214=T$198,"OK","NOK")</f>
        <v>OK</v>
      </c>
      <c r="U215" s="17" t="str">
        <f>IF(U214=U$198,"OK","NOK")</f>
        <v>OK</v>
      </c>
      <c r="V215" s="359"/>
      <c r="W215" s="382"/>
      <c r="X215" s="646"/>
      <c r="Y215" s="646"/>
      <c r="Z215" s="201"/>
      <c r="AA215" s="201"/>
      <c r="AB215" s="201"/>
      <c r="AC215" s="84"/>
      <c r="AE215" s="17"/>
      <c r="AF215" s="17"/>
      <c r="AG215" s="17"/>
      <c r="AH215" s="646"/>
      <c r="AI215" s="91"/>
      <c r="AK215" s="17"/>
      <c r="AL215" s="17"/>
      <c r="AM215" s="17"/>
      <c r="AN215" s="646"/>
      <c r="AO215" s="91"/>
      <c r="AQ215" s="17"/>
      <c r="AR215" s="17"/>
      <c r="AS215" s="17"/>
      <c r="AT215" s="646"/>
      <c r="AU215" s="91"/>
      <c r="AW215" s="17"/>
      <c r="AX215" s="17"/>
      <c r="AY215" s="17"/>
      <c r="AZ215" s="17"/>
      <c r="BA215" s="91"/>
    </row>
    <row r="216" spans="1:53" ht="17.100000000000001" customHeight="1" x14ac:dyDescent="0.25">
      <c r="A216" s="40"/>
      <c r="B216" s="299" t="s">
        <v>447</v>
      </c>
      <c r="C216" s="274" t="s">
        <v>606</v>
      </c>
      <c r="D216" s="300"/>
      <c r="E216" s="50"/>
      <c r="F216" s="50"/>
      <c r="G216" s="301"/>
      <c r="H216" s="119"/>
      <c r="I216" s="138"/>
      <c r="J216" s="88"/>
      <c r="K216" s="88"/>
      <c r="L216" s="71"/>
      <c r="M216" s="71"/>
      <c r="N216" s="71"/>
      <c r="O216" s="71"/>
      <c r="P216" s="71"/>
      <c r="Q216" s="71"/>
      <c r="R216" s="71"/>
      <c r="S216" s="71"/>
      <c r="T216" s="71"/>
      <c r="U216" s="71"/>
      <c r="V216" s="71"/>
      <c r="W216" s="71"/>
      <c r="X216" s="71"/>
      <c r="Y216" s="71"/>
      <c r="Z216" s="90"/>
      <c r="AA216" s="90"/>
      <c r="AB216" s="90"/>
      <c r="AC216" s="73"/>
      <c r="AE216" s="87"/>
      <c r="AF216" s="87"/>
      <c r="AG216" s="71"/>
      <c r="AH216" s="89"/>
      <c r="AI216" s="90"/>
      <c r="AJ216" s="117"/>
      <c r="AK216" s="87"/>
      <c r="AL216" s="87"/>
      <c r="AM216" s="71"/>
      <c r="AN216" s="89"/>
      <c r="AO216" s="90"/>
      <c r="AP216" s="117"/>
      <c r="AQ216" s="87"/>
      <c r="AR216" s="87"/>
      <c r="AS216" s="71"/>
      <c r="AT216" s="89"/>
      <c r="AU216" s="90"/>
      <c r="AV216" s="117"/>
      <c r="AW216" s="87"/>
      <c r="AX216" s="87"/>
      <c r="AY216" s="71"/>
      <c r="AZ216" s="89"/>
      <c r="BA216" s="90"/>
    </row>
    <row r="217" spans="1:53" ht="17.100000000000001" customHeight="1" x14ac:dyDescent="0.25">
      <c r="A217" s="40"/>
      <c r="B217" s="302"/>
      <c r="C217" s="56" t="s">
        <v>449</v>
      </c>
      <c r="D217" s="85" t="s">
        <v>173</v>
      </c>
      <c r="E217" s="167"/>
      <c r="F217" s="151"/>
      <c r="G217" s="151"/>
      <c r="H217" s="119"/>
      <c r="I217" s="138"/>
      <c r="J217" s="174"/>
      <c r="K217" s="174"/>
      <c r="L217" s="111"/>
      <c r="M217" s="111"/>
      <c r="N217" s="60"/>
      <c r="O217" s="60"/>
      <c r="P217" s="17">
        <f t="shared" ref="P217:P222" si="224">SUM(N217:O217)</f>
        <v>0</v>
      </c>
      <c r="Q217" s="60"/>
      <c r="R217" s="60"/>
      <c r="S217" s="17">
        <f t="shared" ref="S217:S222" si="225">SUM(Q217:R217)</f>
        <v>0</v>
      </c>
      <c r="T217" s="60"/>
      <c r="U217" s="60"/>
      <c r="V217" s="17">
        <f t="shared" ref="V217:V222" si="226">SUM(T217:U217)</f>
        <v>0</v>
      </c>
      <c r="W217" s="391">
        <f t="shared" ref="W217:W222" si="227">J217+K217+N217+Q217+T217</f>
        <v>0</v>
      </c>
      <c r="X217" s="17">
        <f t="shared" ref="X217:X222" si="228">L217+O217+R217+U217</f>
        <v>0</v>
      </c>
      <c r="Y217" s="18">
        <f t="shared" ref="Y217:Y222" si="229">SUM(W217:X217)</f>
        <v>0</v>
      </c>
      <c r="Z217" s="19">
        <f>IF(Y$223=0,0,Y217/Y$223)</f>
        <v>0</v>
      </c>
      <c r="AA217" s="91"/>
      <c r="AB217" s="91"/>
      <c r="AC217" s="84"/>
      <c r="AE217" s="111"/>
      <c r="AF217" s="111"/>
      <c r="AG217" s="111"/>
      <c r="AH217" s="112"/>
      <c r="AI217" s="113"/>
      <c r="AJ217" s="117"/>
      <c r="AK217" s="111"/>
      <c r="AL217" s="111"/>
      <c r="AM217" s="111"/>
      <c r="AN217" s="112"/>
      <c r="AO217" s="113"/>
      <c r="AP217" s="117"/>
      <c r="AQ217" s="17"/>
      <c r="AR217" s="17"/>
      <c r="AS217" s="17"/>
      <c r="AT217" s="18">
        <f t="shared" ref="AT217:AT218" si="230">W217</f>
        <v>0</v>
      </c>
      <c r="AU217" s="19">
        <f>IF(AT$444=0,0,AT217/AT$444)</f>
        <v>0</v>
      </c>
      <c r="AV217" s="117"/>
      <c r="AW217" s="17"/>
      <c r="AX217" s="17"/>
      <c r="AY217" s="17"/>
      <c r="AZ217" s="18">
        <f t="shared" ref="AZ217:AZ218" si="231">X217</f>
        <v>0</v>
      </c>
      <c r="BA217" s="19">
        <f>IF(AZ$444=0,0,AZ217/AZ$444)</f>
        <v>0</v>
      </c>
    </row>
    <row r="218" spans="1:53" ht="17.100000000000001" customHeight="1" x14ac:dyDescent="0.25">
      <c r="A218" s="40"/>
      <c r="B218" s="302"/>
      <c r="C218" s="56" t="s">
        <v>450</v>
      </c>
      <c r="D218" s="85" t="s">
        <v>544</v>
      </c>
      <c r="E218" s="167"/>
      <c r="F218" s="151"/>
      <c r="G218" s="151"/>
      <c r="H218" s="119"/>
      <c r="I218" s="138"/>
      <c r="J218" s="174"/>
      <c r="K218" s="174"/>
      <c r="L218" s="111"/>
      <c r="M218" s="111"/>
      <c r="N218" s="61">
        <v>1</v>
      </c>
      <c r="O218" s="61">
        <v>7</v>
      </c>
      <c r="P218" s="17">
        <f t="shared" si="224"/>
        <v>8</v>
      </c>
      <c r="Q218" s="61">
        <v>1</v>
      </c>
      <c r="R218" s="61">
        <v>5</v>
      </c>
      <c r="S218" s="17">
        <f t="shared" si="225"/>
        <v>6</v>
      </c>
      <c r="T218" s="61"/>
      <c r="U218" s="61"/>
      <c r="V218" s="17">
        <f t="shared" si="226"/>
        <v>0</v>
      </c>
      <c r="W218" s="391">
        <f t="shared" si="227"/>
        <v>2</v>
      </c>
      <c r="X218" s="17">
        <f t="shared" si="228"/>
        <v>12</v>
      </c>
      <c r="Y218" s="18">
        <f t="shared" si="229"/>
        <v>14</v>
      </c>
      <c r="Z218" s="19">
        <f t="shared" ref="Z218:Z223" si="232">IF(Y$223=0,0,Y218/Y$223)</f>
        <v>0.93333333333333335</v>
      </c>
      <c r="AA218" s="91"/>
      <c r="AB218" s="91"/>
      <c r="AC218" s="84"/>
      <c r="AE218" s="111"/>
      <c r="AF218" s="111"/>
      <c r="AG218" s="111"/>
      <c r="AH218" s="112"/>
      <c r="AI218" s="113"/>
      <c r="AJ218" s="117"/>
      <c r="AK218" s="111"/>
      <c r="AL218" s="111"/>
      <c r="AM218" s="111"/>
      <c r="AN218" s="112"/>
      <c r="AO218" s="113"/>
      <c r="AP218" s="117"/>
      <c r="AQ218" s="17"/>
      <c r="AR218" s="17"/>
      <c r="AS218" s="17"/>
      <c r="AT218" s="18">
        <f t="shared" si="230"/>
        <v>2</v>
      </c>
      <c r="AU218" s="19">
        <f>IF(AT$444=0,0,AT218/AT$444)</f>
        <v>0</v>
      </c>
      <c r="AV218" s="117"/>
      <c r="AW218" s="17"/>
      <c r="AX218" s="17"/>
      <c r="AY218" s="17"/>
      <c r="AZ218" s="18">
        <f t="shared" si="231"/>
        <v>12</v>
      </c>
      <c r="BA218" s="19">
        <f>IF(AZ$444=0,0,AZ218/AZ$444)</f>
        <v>0</v>
      </c>
    </row>
    <row r="219" spans="1:53" ht="17.100000000000001" customHeight="1" x14ac:dyDescent="0.25">
      <c r="A219" s="40"/>
      <c r="B219" s="40"/>
      <c r="C219" s="56" t="s">
        <v>451</v>
      </c>
      <c r="D219" s="146" t="s">
        <v>484</v>
      </c>
      <c r="E219" s="149"/>
      <c r="F219" s="151"/>
      <c r="G219" s="151"/>
      <c r="H219" s="119"/>
      <c r="I219" s="236"/>
      <c r="J219" s="174"/>
      <c r="K219" s="174"/>
      <c r="L219" s="111"/>
      <c r="M219" s="111"/>
      <c r="N219" s="60">
        <v>1500000</v>
      </c>
      <c r="O219" s="60">
        <v>1000000</v>
      </c>
      <c r="P219" s="17"/>
      <c r="Q219" s="60">
        <v>1000000</v>
      </c>
      <c r="R219" s="60">
        <v>1000000</v>
      </c>
      <c r="S219" s="17"/>
      <c r="T219" s="60"/>
      <c r="U219" s="60"/>
      <c r="V219" s="17"/>
      <c r="W219" s="391">
        <f>MIN(N219,Q219,T219)</f>
        <v>1000000</v>
      </c>
      <c r="X219" s="17">
        <f>MIN(O219,R219,U219)</f>
        <v>1000000</v>
      </c>
      <c r="Y219" s="18"/>
      <c r="Z219" s="19"/>
      <c r="AA219" s="17">
        <f>MIN(N219:U219)</f>
        <v>1000000</v>
      </c>
      <c r="AB219" s="17"/>
      <c r="AC219" s="17"/>
      <c r="AE219" s="111"/>
      <c r="AF219" s="111"/>
      <c r="AG219" s="111"/>
      <c r="AH219" s="651"/>
      <c r="AI219" s="131"/>
      <c r="AJ219" s="117"/>
      <c r="AK219" s="111"/>
      <c r="AL219" s="111"/>
      <c r="AM219" s="111"/>
      <c r="AN219" s="651"/>
      <c r="AO219" s="131"/>
      <c r="AP219" s="117"/>
      <c r="AQ219" s="17">
        <f>W219</f>
        <v>1000000</v>
      </c>
      <c r="AR219" s="17"/>
      <c r="AS219" s="17"/>
      <c r="AT219" s="18"/>
      <c r="AU219" s="19"/>
      <c r="AV219" s="117"/>
      <c r="AW219" s="17">
        <f>X219</f>
        <v>1000000</v>
      </c>
      <c r="AX219" s="17"/>
      <c r="AY219" s="17"/>
      <c r="AZ219" s="18"/>
      <c r="BA219" s="19"/>
    </row>
    <row r="220" spans="1:53" ht="17.100000000000001" customHeight="1" x14ac:dyDescent="0.25">
      <c r="A220" s="40"/>
      <c r="B220" s="40"/>
      <c r="C220" s="56" t="s">
        <v>603</v>
      </c>
      <c r="D220" s="146" t="s">
        <v>485</v>
      </c>
      <c r="E220" s="149"/>
      <c r="F220" s="151"/>
      <c r="G220" s="151"/>
      <c r="H220" s="119"/>
      <c r="I220" s="236"/>
      <c r="J220" s="174"/>
      <c r="K220" s="174"/>
      <c r="L220" s="111"/>
      <c r="M220" s="111"/>
      <c r="N220" s="61">
        <v>1500000</v>
      </c>
      <c r="O220" s="61">
        <v>2000000</v>
      </c>
      <c r="P220" s="17"/>
      <c r="Q220" s="61">
        <v>1000000</v>
      </c>
      <c r="R220" s="61">
        <v>1400000</v>
      </c>
      <c r="S220" s="17"/>
      <c r="T220" s="61"/>
      <c r="U220" s="61"/>
      <c r="V220" s="17"/>
      <c r="W220" s="391">
        <f>MAX(N220,Q220,T220)</f>
        <v>1500000</v>
      </c>
      <c r="X220" s="17">
        <f>MAX(O220,R220,U220)</f>
        <v>2000000</v>
      </c>
      <c r="Y220" s="18"/>
      <c r="Z220" s="19"/>
      <c r="AA220" s="17"/>
      <c r="AB220" s="17">
        <f>MAX(N220:U220)</f>
        <v>2000000</v>
      </c>
      <c r="AC220" s="17"/>
      <c r="AE220" s="111"/>
      <c r="AF220" s="111"/>
      <c r="AG220" s="111"/>
      <c r="AH220" s="651"/>
      <c r="AI220" s="131"/>
      <c r="AJ220" s="117"/>
      <c r="AK220" s="111"/>
      <c r="AL220" s="111"/>
      <c r="AM220" s="111"/>
      <c r="AN220" s="651"/>
      <c r="AO220" s="131"/>
      <c r="AP220" s="117"/>
      <c r="AQ220" s="17"/>
      <c r="AR220" s="17">
        <f>W220</f>
        <v>1500000</v>
      </c>
      <c r="AS220" s="17"/>
      <c r="AT220" s="18"/>
      <c r="AU220" s="19"/>
      <c r="AV220" s="117"/>
      <c r="AW220" s="17"/>
      <c r="AX220" s="17">
        <f>X220</f>
        <v>2000000</v>
      </c>
      <c r="AY220" s="17"/>
      <c r="AZ220" s="18"/>
      <c r="BA220" s="19"/>
    </row>
    <row r="221" spans="1:53" ht="17.100000000000001" customHeight="1" x14ac:dyDescent="0.25">
      <c r="A221" s="40"/>
      <c r="B221" s="40"/>
      <c r="C221" s="56" t="s">
        <v>604</v>
      </c>
      <c r="D221" s="146" t="s">
        <v>543</v>
      </c>
      <c r="E221" s="149"/>
      <c r="F221" s="151"/>
      <c r="G221" s="151"/>
      <c r="H221" s="119"/>
      <c r="I221" s="236"/>
      <c r="J221" s="174"/>
      <c r="K221" s="174"/>
      <c r="L221" s="111"/>
      <c r="M221" s="111"/>
      <c r="N221" s="60">
        <v>1500000</v>
      </c>
      <c r="O221" s="60">
        <v>1500000</v>
      </c>
      <c r="P221" s="17"/>
      <c r="Q221" s="60">
        <v>1000000</v>
      </c>
      <c r="R221" s="60">
        <v>1260000</v>
      </c>
      <c r="S221" s="17"/>
      <c r="T221" s="60"/>
      <c r="U221" s="60"/>
      <c r="V221" s="17"/>
      <c r="W221" s="391">
        <f>IF(N221+Q221+T221=0,0,AVERAGE(N221,Q221,T221))</f>
        <v>1250000</v>
      </c>
      <c r="X221" s="17">
        <f>IF(O221+R221+U221=0,0,AVERAGE(O221,R221,U221))</f>
        <v>1380000</v>
      </c>
      <c r="Y221" s="18"/>
      <c r="Z221" s="19"/>
      <c r="AA221" s="17"/>
      <c r="AB221" s="17"/>
      <c r="AC221" s="17">
        <f>IF(SUM(N221:U221)=0,0,AVERAGE(N221:U221))</f>
        <v>1315000</v>
      </c>
      <c r="AE221" s="111"/>
      <c r="AF221" s="111"/>
      <c r="AG221" s="111"/>
      <c r="AH221" s="651"/>
      <c r="AI221" s="131"/>
      <c r="AJ221" s="117"/>
      <c r="AK221" s="111"/>
      <c r="AL221" s="111"/>
      <c r="AM221" s="111"/>
      <c r="AN221" s="651"/>
      <c r="AO221" s="131"/>
      <c r="AP221" s="117"/>
      <c r="AQ221" s="17"/>
      <c r="AR221" s="17"/>
      <c r="AS221" s="17">
        <f>W221</f>
        <v>1250000</v>
      </c>
      <c r="AT221" s="18"/>
      <c r="AU221" s="19"/>
      <c r="AV221" s="117"/>
      <c r="AW221" s="17"/>
      <c r="AX221" s="17"/>
      <c r="AY221" s="17">
        <f>X221</f>
        <v>1380000</v>
      </c>
      <c r="AZ221" s="18"/>
      <c r="BA221" s="19"/>
    </row>
    <row r="222" spans="1:53" ht="17.100000000000001" customHeight="1" x14ac:dyDescent="0.25">
      <c r="A222" s="40"/>
      <c r="B222" s="179"/>
      <c r="C222" s="56" t="s">
        <v>605</v>
      </c>
      <c r="D222" s="85" t="s">
        <v>129</v>
      </c>
      <c r="E222" s="167"/>
      <c r="F222" s="151"/>
      <c r="G222" s="151"/>
      <c r="H222" s="119"/>
      <c r="I222" s="138"/>
      <c r="J222" s="174"/>
      <c r="K222" s="174"/>
      <c r="L222" s="111"/>
      <c r="M222" s="111"/>
      <c r="N222" s="61"/>
      <c r="O222" s="61"/>
      <c r="P222" s="17">
        <f t="shared" si="224"/>
        <v>0</v>
      </c>
      <c r="Q222" s="61"/>
      <c r="R222" s="61">
        <v>1</v>
      </c>
      <c r="S222" s="17">
        <f t="shared" si="225"/>
        <v>1</v>
      </c>
      <c r="T222" s="61"/>
      <c r="U222" s="61"/>
      <c r="V222" s="17">
        <f t="shared" si="226"/>
        <v>0</v>
      </c>
      <c r="W222" s="391">
        <f t="shared" si="227"/>
        <v>0</v>
      </c>
      <c r="X222" s="17">
        <f t="shared" si="228"/>
        <v>1</v>
      </c>
      <c r="Y222" s="18">
        <f t="shared" si="229"/>
        <v>1</v>
      </c>
      <c r="Z222" s="19">
        <f t="shared" si="232"/>
        <v>6.6666666666666666E-2</v>
      </c>
      <c r="AA222" s="91"/>
      <c r="AB222" s="91"/>
      <c r="AC222" s="84"/>
      <c r="AE222" s="111"/>
      <c r="AF222" s="111"/>
      <c r="AG222" s="111"/>
      <c r="AH222" s="112"/>
      <c r="AI222" s="113"/>
      <c r="AJ222" s="117"/>
      <c r="AK222" s="111"/>
      <c r="AL222" s="111"/>
      <c r="AM222" s="111"/>
      <c r="AN222" s="112"/>
      <c r="AO222" s="113"/>
      <c r="AP222" s="117"/>
      <c r="AQ222" s="17"/>
      <c r="AR222" s="17"/>
      <c r="AS222" s="17"/>
      <c r="AT222" s="18">
        <f t="shared" ref="AT222" si="233">W222</f>
        <v>0</v>
      </c>
      <c r="AU222" s="19">
        <f>IF(AT$444=0,0,AT222/AT$444)</f>
        <v>0</v>
      </c>
      <c r="AV222" s="117"/>
      <c r="AW222" s="17"/>
      <c r="AX222" s="17"/>
      <c r="AY222" s="17"/>
      <c r="AZ222" s="18">
        <f t="shared" ref="AZ222" si="234">X222</f>
        <v>1</v>
      </c>
      <c r="BA222" s="19">
        <f>IF(AZ$444=0,0,AZ222/AZ$444)</f>
        <v>0</v>
      </c>
    </row>
    <row r="223" spans="1:53" ht="17.100000000000001" customHeight="1" x14ac:dyDescent="0.25">
      <c r="A223" s="40"/>
      <c r="B223" s="179"/>
      <c r="C223" s="292"/>
      <c r="D223" s="144"/>
      <c r="E223" s="144"/>
      <c r="F223" s="145"/>
      <c r="G223" s="145"/>
      <c r="H223" s="119"/>
      <c r="I223" s="138"/>
      <c r="J223" s="64"/>
      <c r="K223" s="64"/>
      <c r="L223" s="64"/>
      <c r="M223" s="64"/>
      <c r="N223" s="64">
        <f>N217+N218+N222</f>
        <v>1</v>
      </c>
      <c r="O223" s="64">
        <f t="shared" ref="O223:V223" si="235">O217+O218+O222</f>
        <v>7</v>
      </c>
      <c r="P223" s="64">
        <f t="shared" si="235"/>
        <v>8</v>
      </c>
      <c r="Q223" s="64">
        <f t="shared" si="235"/>
        <v>1</v>
      </c>
      <c r="R223" s="64">
        <f t="shared" si="235"/>
        <v>6</v>
      </c>
      <c r="S223" s="64">
        <f t="shared" si="235"/>
        <v>7</v>
      </c>
      <c r="T223" s="64">
        <f t="shared" si="235"/>
        <v>0</v>
      </c>
      <c r="U223" s="64">
        <f t="shared" si="235"/>
        <v>0</v>
      </c>
      <c r="V223" s="64">
        <f t="shared" si="235"/>
        <v>0</v>
      </c>
      <c r="W223" s="224">
        <f>SUM(W217:W222)</f>
        <v>3750002</v>
      </c>
      <c r="X223" s="224">
        <f t="shared" ref="X223:Y223" si="236">SUM(X217:X222)</f>
        <v>4380013</v>
      </c>
      <c r="Y223" s="224">
        <f t="shared" si="236"/>
        <v>15</v>
      </c>
      <c r="Z223" s="66">
        <f t="shared" si="232"/>
        <v>1</v>
      </c>
      <c r="AA223" s="205"/>
      <c r="AB223" s="205"/>
      <c r="AC223" s="83"/>
      <c r="AE223" s="80"/>
      <c r="AF223" s="80"/>
      <c r="AG223" s="81"/>
      <c r="AH223" s="82"/>
      <c r="AI223" s="66"/>
      <c r="AJ223" s="117"/>
      <c r="AK223" s="80"/>
      <c r="AL223" s="80"/>
      <c r="AM223" s="81"/>
      <c r="AN223" s="82"/>
      <c r="AO223" s="66"/>
      <c r="AP223" s="117"/>
      <c r="AQ223" s="80"/>
      <c r="AR223" s="80"/>
      <c r="AS223" s="81"/>
      <c r="AT223" s="82">
        <f>SUM(AT217:AT222)</f>
        <v>2</v>
      </c>
      <c r="AU223" s="66">
        <f>IF(AT$444=0,0,AT223/AT$444)</f>
        <v>0</v>
      </c>
      <c r="AV223" s="117"/>
      <c r="AW223" s="80"/>
      <c r="AX223" s="80"/>
      <c r="AY223" s="81"/>
      <c r="AZ223" s="82">
        <f>SUM(AZ217:AZ222)</f>
        <v>13</v>
      </c>
      <c r="BA223" s="66">
        <f>IF(AZ$444=0,0,AZ223/AZ$444)</f>
        <v>0</v>
      </c>
    </row>
    <row r="224" spans="1:53" s="117" customFormat="1" ht="17.100000000000001" customHeight="1" x14ac:dyDescent="0.25">
      <c r="A224" s="119"/>
      <c r="B224" s="119"/>
      <c r="C224" s="647"/>
      <c r="D224" s="212"/>
      <c r="E224" s="212"/>
      <c r="F224" s="212"/>
      <c r="G224" s="212"/>
      <c r="H224" s="242"/>
      <c r="I224" s="230"/>
      <c r="J224" s="17"/>
      <c r="K224" s="17"/>
      <c r="L224" s="17"/>
      <c r="M224" s="17"/>
      <c r="N224" s="17" t="str">
        <f>IF(N223=N$198,"OK","NOK")</f>
        <v>OK</v>
      </c>
      <c r="O224" s="17" t="str">
        <f>IF(O223=O$198,"OK","NOK")</f>
        <v>OK</v>
      </c>
      <c r="P224" s="17"/>
      <c r="Q224" s="17" t="str">
        <f>IF(Q223=Q$198,"OK","NOK")</f>
        <v>OK</v>
      </c>
      <c r="R224" s="17" t="str">
        <f>IF(R223=R$198,"OK","NOK")</f>
        <v>OK</v>
      </c>
      <c r="S224" s="17"/>
      <c r="T224" s="17" t="str">
        <f>IF(T223=T$198,"OK","NOK")</f>
        <v>OK</v>
      </c>
      <c r="U224" s="17" t="str">
        <f>IF(U223=U$198,"OK","NOK")</f>
        <v>OK</v>
      </c>
      <c r="V224" s="359"/>
      <c r="W224" s="382"/>
      <c r="X224" s="646"/>
      <c r="Y224" s="646"/>
      <c r="Z224" s="201"/>
      <c r="AA224" s="201"/>
      <c r="AB224" s="201"/>
      <c r="AC224" s="84"/>
      <c r="AE224" s="17"/>
      <c r="AF224" s="17"/>
      <c r="AG224" s="17"/>
      <c r="AH224" s="646"/>
      <c r="AI224" s="91"/>
      <c r="AK224" s="17"/>
      <c r="AL224" s="17"/>
      <c r="AM224" s="17"/>
      <c r="AN224" s="646"/>
      <c r="AO224" s="91"/>
      <c r="AQ224" s="17"/>
      <c r="AR224" s="17"/>
      <c r="AS224" s="17"/>
      <c r="AT224" s="646"/>
      <c r="AU224" s="91"/>
      <c r="AW224" s="17"/>
      <c r="AX224" s="17"/>
      <c r="AY224" s="17"/>
      <c r="AZ224" s="17"/>
      <c r="BA224" s="91"/>
    </row>
    <row r="225" spans="1:53" ht="17.100000000000001" customHeight="1" x14ac:dyDescent="0.25">
      <c r="A225" s="40"/>
      <c r="B225" s="299" t="s">
        <v>452</v>
      </c>
      <c r="C225" s="274" t="s">
        <v>1057</v>
      </c>
      <c r="D225" s="300"/>
      <c r="E225" s="50"/>
      <c r="F225" s="50"/>
      <c r="G225" s="301"/>
      <c r="H225" s="119"/>
      <c r="I225" s="138"/>
      <c r="J225" s="88"/>
      <c r="K225" s="88"/>
      <c r="L225" s="71"/>
      <c r="M225" s="71"/>
      <c r="N225" s="71"/>
      <c r="O225" s="71"/>
      <c r="P225" s="71"/>
      <c r="Q225" s="71"/>
      <c r="R225" s="71"/>
      <c r="S225" s="71"/>
      <c r="T225" s="71"/>
      <c r="U225" s="71"/>
      <c r="V225" s="71"/>
      <c r="W225" s="71"/>
      <c r="X225" s="71"/>
      <c r="Y225" s="71"/>
      <c r="Z225" s="90"/>
      <c r="AA225" s="90"/>
      <c r="AB225" s="90"/>
      <c r="AC225" s="73"/>
      <c r="AE225" s="87"/>
      <c r="AF225" s="87"/>
      <c r="AG225" s="71"/>
      <c r="AH225" s="89"/>
      <c r="AI225" s="90"/>
      <c r="AJ225" s="117"/>
      <c r="AK225" s="87"/>
      <c r="AL225" s="87"/>
      <c r="AM225" s="71"/>
      <c r="AN225" s="89"/>
      <c r="AO225" s="90"/>
      <c r="AP225" s="117"/>
      <c r="AQ225" s="87"/>
      <c r="AR225" s="87"/>
      <c r="AS225" s="71"/>
      <c r="AT225" s="89"/>
      <c r="AU225" s="90"/>
      <c r="AV225" s="117"/>
      <c r="AW225" s="87"/>
      <c r="AX225" s="87"/>
      <c r="AY225" s="71"/>
      <c r="AZ225" s="89"/>
      <c r="BA225" s="90"/>
    </row>
    <row r="226" spans="1:53" ht="17.100000000000001" customHeight="1" x14ac:dyDescent="0.25">
      <c r="A226" s="40"/>
      <c r="B226" s="302"/>
      <c r="C226" s="56" t="s">
        <v>454</v>
      </c>
      <c r="D226" s="85" t="s">
        <v>173</v>
      </c>
      <c r="E226" s="167"/>
      <c r="F226" s="151"/>
      <c r="G226" s="151"/>
      <c r="H226" s="119"/>
      <c r="I226" s="138"/>
      <c r="J226" s="174"/>
      <c r="K226" s="174"/>
      <c r="L226" s="111"/>
      <c r="M226" s="111"/>
      <c r="N226" s="60"/>
      <c r="O226" s="60"/>
      <c r="P226" s="17">
        <f t="shared" ref="P226:P227" si="237">SUM(N226:O226)</f>
        <v>0</v>
      </c>
      <c r="Q226" s="60"/>
      <c r="R226" s="60"/>
      <c r="S226" s="17">
        <f t="shared" ref="S226:S227" si="238">SUM(Q226:R226)</f>
        <v>0</v>
      </c>
      <c r="T226" s="60"/>
      <c r="U226" s="60"/>
      <c r="V226" s="17">
        <f t="shared" ref="V226:V227" si="239">SUM(T226:U226)</f>
        <v>0</v>
      </c>
      <c r="W226" s="391">
        <f t="shared" ref="W226:W227" si="240">J226+K226+N226+Q226+T226</f>
        <v>0</v>
      </c>
      <c r="X226" s="17">
        <f t="shared" ref="X226:X227" si="241">L226+O226+R226+U226</f>
        <v>0</v>
      </c>
      <c r="Y226" s="18">
        <f t="shared" ref="Y226:Y227" si="242">SUM(W226:X226)</f>
        <v>0</v>
      </c>
      <c r="Z226" s="19">
        <f>IF(Y$223=0,0,Y226/Y$223)</f>
        <v>0</v>
      </c>
      <c r="AA226" s="91"/>
      <c r="AB226" s="91"/>
      <c r="AC226" s="84"/>
      <c r="AE226" s="111"/>
      <c r="AF226" s="111"/>
      <c r="AG226" s="111"/>
      <c r="AH226" s="112"/>
      <c r="AI226" s="113"/>
      <c r="AJ226" s="117"/>
      <c r="AK226" s="111"/>
      <c r="AL226" s="111"/>
      <c r="AM226" s="111"/>
      <c r="AN226" s="112"/>
      <c r="AO226" s="113"/>
      <c r="AP226" s="117"/>
      <c r="AQ226" s="17"/>
      <c r="AR226" s="17"/>
      <c r="AS226" s="17"/>
      <c r="AT226" s="18">
        <f t="shared" ref="AT226:AT227" si="243">W226</f>
        <v>0</v>
      </c>
      <c r="AU226" s="19">
        <f>IF(AT$444=0,0,AT226/AT$444)</f>
        <v>0</v>
      </c>
      <c r="AV226" s="117"/>
      <c r="AW226" s="17"/>
      <c r="AX226" s="17"/>
      <c r="AY226" s="17"/>
      <c r="AZ226" s="18">
        <f t="shared" ref="AZ226:AZ227" si="244">X226</f>
        <v>0</v>
      </c>
      <c r="BA226" s="19">
        <f>IF(AZ$444=0,0,AZ226/AZ$444)</f>
        <v>0</v>
      </c>
    </row>
    <row r="227" spans="1:53" ht="17.100000000000001" customHeight="1" x14ac:dyDescent="0.25">
      <c r="A227" s="40"/>
      <c r="B227" s="302"/>
      <c r="C227" s="56" t="s">
        <v>455</v>
      </c>
      <c r="D227" s="85" t="s">
        <v>544</v>
      </c>
      <c r="E227" s="167"/>
      <c r="F227" s="151"/>
      <c r="G227" s="151"/>
      <c r="H227" s="119"/>
      <c r="I227" s="138"/>
      <c r="J227" s="174"/>
      <c r="K227" s="174"/>
      <c r="L227" s="111"/>
      <c r="M227" s="111"/>
      <c r="N227" s="61">
        <v>1</v>
      </c>
      <c r="O227" s="61">
        <v>7</v>
      </c>
      <c r="P227" s="17">
        <f t="shared" si="237"/>
        <v>8</v>
      </c>
      <c r="Q227" s="61"/>
      <c r="R227" s="61">
        <v>4</v>
      </c>
      <c r="S227" s="17">
        <f t="shared" si="238"/>
        <v>4</v>
      </c>
      <c r="T227" s="61"/>
      <c r="U227" s="61"/>
      <c r="V227" s="17">
        <f t="shared" si="239"/>
        <v>0</v>
      </c>
      <c r="W227" s="391">
        <f t="shared" si="240"/>
        <v>1</v>
      </c>
      <c r="X227" s="17">
        <f t="shared" si="241"/>
        <v>11</v>
      </c>
      <c r="Y227" s="18">
        <f t="shared" si="242"/>
        <v>12</v>
      </c>
      <c r="Z227" s="19">
        <f t="shared" ref="Z227" si="245">IF(Y$223=0,0,Y227/Y$223)</f>
        <v>0.8</v>
      </c>
      <c r="AA227" s="91"/>
      <c r="AB227" s="91"/>
      <c r="AC227" s="84"/>
      <c r="AE227" s="111"/>
      <c r="AF227" s="111"/>
      <c r="AG227" s="111"/>
      <c r="AH227" s="112"/>
      <c r="AI227" s="113"/>
      <c r="AJ227" s="117"/>
      <c r="AK227" s="111"/>
      <c r="AL227" s="111"/>
      <c r="AM227" s="111"/>
      <c r="AN227" s="112"/>
      <c r="AO227" s="113"/>
      <c r="AP227" s="117"/>
      <c r="AQ227" s="17"/>
      <c r="AR227" s="17"/>
      <c r="AS227" s="17"/>
      <c r="AT227" s="18">
        <f t="shared" si="243"/>
        <v>1</v>
      </c>
      <c r="AU227" s="19">
        <f>IF(AT$444=0,0,AT227/AT$444)</f>
        <v>0</v>
      </c>
      <c r="AV227" s="117"/>
      <c r="AW227" s="17"/>
      <c r="AX227" s="17"/>
      <c r="AY227" s="17"/>
      <c r="AZ227" s="18">
        <f t="shared" si="244"/>
        <v>11</v>
      </c>
      <c r="BA227" s="19">
        <f>IF(AZ$444=0,0,AZ227/AZ$444)</f>
        <v>0</v>
      </c>
    </row>
    <row r="228" spans="1:53" ht="17.100000000000001" customHeight="1" x14ac:dyDescent="0.25">
      <c r="A228" s="40"/>
      <c r="B228" s="40"/>
      <c r="C228" s="56" t="s">
        <v>456</v>
      </c>
      <c r="D228" s="146" t="s">
        <v>484</v>
      </c>
      <c r="E228" s="149"/>
      <c r="F228" s="151"/>
      <c r="G228" s="151"/>
      <c r="H228" s="119"/>
      <c r="I228" s="236"/>
      <c r="J228" s="174"/>
      <c r="K228" s="174"/>
      <c r="L228" s="111"/>
      <c r="M228" s="111"/>
      <c r="N228" s="60">
        <v>500000</v>
      </c>
      <c r="O228" s="60">
        <v>200000</v>
      </c>
      <c r="P228" s="17"/>
      <c r="Q228" s="60"/>
      <c r="R228" s="60">
        <v>50000</v>
      </c>
      <c r="S228" s="17"/>
      <c r="T228" s="60"/>
      <c r="U228" s="60"/>
      <c r="V228" s="17"/>
      <c r="W228" s="391">
        <f>MIN(N228,Q228,T228)</f>
        <v>500000</v>
      </c>
      <c r="X228" s="17">
        <f>MIN(O228,R228,U228)</f>
        <v>50000</v>
      </c>
      <c r="Y228" s="18"/>
      <c r="Z228" s="19"/>
      <c r="AA228" s="17">
        <f>MIN(N228:U228)</f>
        <v>50000</v>
      </c>
      <c r="AB228" s="17"/>
      <c r="AC228" s="17"/>
      <c r="AE228" s="111"/>
      <c r="AF228" s="111"/>
      <c r="AG228" s="111"/>
      <c r="AH228" s="651"/>
      <c r="AI228" s="131"/>
      <c r="AJ228" s="117"/>
      <c r="AK228" s="111"/>
      <c r="AL228" s="111"/>
      <c r="AM228" s="111"/>
      <c r="AN228" s="651"/>
      <c r="AO228" s="131"/>
      <c r="AP228" s="117"/>
      <c r="AQ228" s="17">
        <f>W228</f>
        <v>500000</v>
      </c>
      <c r="AR228" s="17"/>
      <c r="AS228" s="17"/>
      <c r="AT228" s="18"/>
      <c r="AU228" s="19"/>
      <c r="AV228" s="117"/>
      <c r="AW228" s="17">
        <f>X228</f>
        <v>50000</v>
      </c>
      <c r="AX228" s="17"/>
      <c r="AY228" s="17"/>
      <c r="AZ228" s="18"/>
      <c r="BA228" s="19"/>
    </row>
    <row r="229" spans="1:53" ht="17.100000000000001" customHeight="1" x14ac:dyDescent="0.25">
      <c r="A229" s="40"/>
      <c r="B229" s="40"/>
      <c r="C229" s="56" t="s">
        <v>546</v>
      </c>
      <c r="D229" s="146" t="s">
        <v>485</v>
      </c>
      <c r="E229" s="149"/>
      <c r="F229" s="151"/>
      <c r="G229" s="151"/>
      <c r="H229" s="119"/>
      <c r="I229" s="236"/>
      <c r="J229" s="174"/>
      <c r="K229" s="174"/>
      <c r="L229" s="111"/>
      <c r="M229" s="111"/>
      <c r="N229" s="61">
        <v>500000</v>
      </c>
      <c r="O229" s="61">
        <v>600000</v>
      </c>
      <c r="P229" s="17"/>
      <c r="Q229" s="61"/>
      <c r="R229" s="61">
        <v>100000</v>
      </c>
      <c r="S229" s="17"/>
      <c r="T229" s="61"/>
      <c r="U229" s="61"/>
      <c r="V229" s="17"/>
      <c r="W229" s="391">
        <f>MAX(N229,Q229,T229)</f>
        <v>500000</v>
      </c>
      <c r="X229" s="17">
        <f>MAX(O229,R229,U229)</f>
        <v>600000</v>
      </c>
      <c r="Y229" s="18"/>
      <c r="Z229" s="19"/>
      <c r="AA229" s="17"/>
      <c r="AB229" s="17">
        <f>MAX(N229:U229)</f>
        <v>600000</v>
      </c>
      <c r="AC229" s="17"/>
      <c r="AE229" s="111"/>
      <c r="AF229" s="111"/>
      <c r="AG229" s="111"/>
      <c r="AH229" s="651"/>
      <c r="AI229" s="131"/>
      <c r="AJ229" s="117"/>
      <c r="AK229" s="111"/>
      <c r="AL229" s="111"/>
      <c r="AM229" s="111"/>
      <c r="AN229" s="651"/>
      <c r="AO229" s="131"/>
      <c r="AP229" s="117"/>
      <c r="AQ229" s="17"/>
      <c r="AR229" s="17">
        <f>W229</f>
        <v>500000</v>
      </c>
      <c r="AS229" s="17"/>
      <c r="AT229" s="18"/>
      <c r="AU229" s="19"/>
      <c r="AV229" s="117"/>
      <c r="AW229" s="17"/>
      <c r="AX229" s="17">
        <f>X229</f>
        <v>600000</v>
      </c>
      <c r="AY229" s="17"/>
      <c r="AZ229" s="18"/>
      <c r="BA229" s="19"/>
    </row>
    <row r="230" spans="1:53" ht="17.100000000000001" customHeight="1" x14ac:dyDescent="0.25">
      <c r="A230" s="40"/>
      <c r="B230" s="40"/>
      <c r="C230" s="56" t="s">
        <v>547</v>
      </c>
      <c r="D230" s="146" t="s">
        <v>543</v>
      </c>
      <c r="E230" s="149"/>
      <c r="F230" s="151"/>
      <c r="G230" s="151"/>
      <c r="H230" s="119"/>
      <c r="I230" s="236"/>
      <c r="J230" s="174"/>
      <c r="K230" s="174"/>
      <c r="L230" s="111"/>
      <c r="M230" s="111"/>
      <c r="N230" s="60">
        <v>500000</v>
      </c>
      <c r="O230" s="60">
        <v>400000</v>
      </c>
      <c r="P230" s="17"/>
      <c r="Q230" s="60"/>
      <c r="R230" s="60">
        <v>65000</v>
      </c>
      <c r="S230" s="17"/>
      <c r="T230" s="60"/>
      <c r="U230" s="60"/>
      <c r="V230" s="17"/>
      <c r="W230" s="391">
        <f>IF(N230+Q230+T230=0,0,AVERAGE(N230,Q230,T230))</f>
        <v>500000</v>
      </c>
      <c r="X230" s="17">
        <f>IF(O230+R230+U230=0,0,AVERAGE(O230,R230,U230))</f>
        <v>232500</v>
      </c>
      <c r="Y230" s="18"/>
      <c r="Z230" s="19"/>
      <c r="AA230" s="17"/>
      <c r="AB230" s="17"/>
      <c r="AC230" s="17">
        <f>IF(SUM(N230:U230)=0,0,AVERAGE(N230:U230))</f>
        <v>321666.66666666669</v>
      </c>
      <c r="AE230" s="111"/>
      <c r="AF230" s="111"/>
      <c r="AG230" s="111"/>
      <c r="AH230" s="651"/>
      <c r="AI230" s="131"/>
      <c r="AJ230" s="117"/>
      <c r="AK230" s="111"/>
      <c r="AL230" s="111"/>
      <c r="AM230" s="111"/>
      <c r="AN230" s="651"/>
      <c r="AO230" s="131"/>
      <c r="AP230" s="117"/>
      <c r="AQ230" s="17"/>
      <c r="AR230" s="17"/>
      <c r="AS230" s="17">
        <f>W230</f>
        <v>500000</v>
      </c>
      <c r="AT230" s="18"/>
      <c r="AU230" s="19"/>
      <c r="AV230" s="117"/>
      <c r="AW230" s="17"/>
      <c r="AX230" s="17"/>
      <c r="AY230" s="17">
        <f>X230</f>
        <v>232500</v>
      </c>
      <c r="AZ230" s="18"/>
      <c r="BA230" s="19"/>
    </row>
    <row r="231" spans="1:53" ht="17.100000000000001" customHeight="1" x14ac:dyDescent="0.25">
      <c r="A231" s="40"/>
      <c r="B231" s="179"/>
      <c r="C231" s="56" t="s">
        <v>548</v>
      </c>
      <c r="D231" s="85" t="s">
        <v>129</v>
      </c>
      <c r="E231" s="167"/>
      <c r="F231" s="151"/>
      <c r="G231" s="151"/>
      <c r="H231" s="119"/>
      <c r="I231" s="138"/>
      <c r="J231" s="174"/>
      <c r="K231" s="174"/>
      <c r="L231" s="111"/>
      <c r="M231" s="111"/>
      <c r="N231" s="61"/>
      <c r="O231" s="61"/>
      <c r="P231" s="17">
        <f t="shared" ref="P231" si="246">SUM(N231:O231)</f>
        <v>0</v>
      </c>
      <c r="Q231" s="61">
        <v>1</v>
      </c>
      <c r="R231" s="61">
        <v>2</v>
      </c>
      <c r="S231" s="17">
        <f t="shared" ref="S231" si="247">SUM(Q231:R231)</f>
        <v>3</v>
      </c>
      <c r="T231" s="61"/>
      <c r="U231" s="61"/>
      <c r="V231" s="17">
        <f t="shared" ref="V231" si="248">SUM(T231:U231)</f>
        <v>0</v>
      </c>
      <c r="W231" s="391">
        <f t="shared" ref="W231" si="249">J231+K231+N231+Q231+T231</f>
        <v>1</v>
      </c>
      <c r="X231" s="17">
        <f t="shared" ref="X231" si="250">L231+O231+R231+U231</f>
        <v>2</v>
      </c>
      <c r="Y231" s="18">
        <f t="shared" ref="Y231" si="251">SUM(W231:X231)</f>
        <v>3</v>
      </c>
      <c r="Z231" s="19">
        <f t="shared" ref="Z231:Z232" si="252">IF(Y$223=0,0,Y231/Y$223)</f>
        <v>0.2</v>
      </c>
      <c r="AA231" s="91"/>
      <c r="AB231" s="91"/>
      <c r="AC231" s="84"/>
      <c r="AE231" s="111"/>
      <c r="AF231" s="111"/>
      <c r="AG231" s="111"/>
      <c r="AH231" s="112"/>
      <c r="AI231" s="113"/>
      <c r="AJ231" s="117"/>
      <c r="AK231" s="111"/>
      <c r="AL231" s="111"/>
      <c r="AM231" s="111"/>
      <c r="AN231" s="112"/>
      <c r="AO231" s="113"/>
      <c r="AP231" s="117"/>
      <c r="AQ231" s="17"/>
      <c r="AR231" s="17"/>
      <c r="AS231" s="17"/>
      <c r="AT231" s="18">
        <f t="shared" ref="AT231" si="253">W231</f>
        <v>1</v>
      </c>
      <c r="AU231" s="19">
        <f>IF(AT$444=0,0,AT231/AT$444)</f>
        <v>0</v>
      </c>
      <c r="AV231" s="117"/>
      <c r="AW231" s="17"/>
      <c r="AX231" s="17"/>
      <c r="AY231" s="17"/>
      <c r="AZ231" s="18">
        <f t="shared" ref="AZ231" si="254">X231</f>
        <v>2</v>
      </c>
      <c r="BA231" s="19">
        <f>IF(AZ$444=0,0,AZ231/AZ$444)</f>
        <v>0</v>
      </c>
    </row>
    <row r="232" spans="1:53" ht="17.100000000000001" customHeight="1" x14ac:dyDescent="0.25">
      <c r="A232" s="40"/>
      <c r="B232" s="179"/>
      <c r="C232" s="292"/>
      <c r="D232" s="144"/>
      <c r="E232" s="144"/>
      <c r="F232" s="145"/>
      <c r="G232" s="145"/>
      <c r="H232" s="119"/>
      <c r="I232" s="138"/>
      <c r="J232" s="64"/>
      <c r="K232" s="64"/>
      <c r="L232" s="64"/>
      <c r="M232" s="64"/>
      <c r="N232" s="64">
        <f>N226+N227+N231</f>
        <v>1</v>
      </c>
      <c r="O232" s="64">
        <f t="shared" ref="O232:V232" si="255">O226+O227+O231</f>
        <v>7</v>
      </c>
      <c r="P232" s="64">
        <f t="shared" si="255"/>
        <v>8</v>
      </c>
      <c r="Q232" s="64">
        <f t="shared" si="255"/>
        <v>1</v>
      </c>
      <c r="R232" s="64">
        <f t="shared" si="255"/>
        <v>6</v>
      </c>
      <c r="S232" s="64">
        <f t="shared" si="255"/>
        <v>7</v>
      </c>
      <c r="T232" s="64">
        <f t="shared" si="255"/>
        <v>0</v>
      </c>
      <c r="U232" s="64">
        <f t="shared" si="255"/>
        <v>0</v>
      </c>
      <c r="V232" s="64">
        <f t="shared" si="255"/>
        <v>0</v>
      </c>
      <c r="W232" s="224">
        <f>SUM(W226:W231)</f>
        <v>1500002</v>
      </c>
      <c r="X232" s="224">
        <f t="shared" ref="X232:Y232" si="256">SUM(X226:X231)</f>
        <v>882513</v>
      </c>
      <c r="Y232" s="224">
        <f t="shared" si="256"/>
        <v>15</v>
      </c>
      <c r="Z232" s="66">
        <f t="shared" si="252"/>
        <v>1</v>
      </c>
      <c r="AA232" s="205"/>
      <c r="AB232" s="205"/>
      <c r="AC232" s="83"/>
      <c r="AE232" s="80"/>
      <c r="AF232" s="80"/>
      <c r="AG232" s="81"/>
      <c r="AH232" s="82"/>
      <c r="AI232" s="66"/>
      <c r="AJ232" s="117"/>
      <c r="AK232" s="80"/>
      <c r="AL232" s="80"/>
      <c r="AM232" s="81"/>
      <c r="AN232" s="82"/>
      <c r="AO232" s="66"/>
      <c r="AP232" s="117"/>
      <c r="AQ232" s="80"/>
      <c r="AR232" s="80"/>
      <c r="AS232" s="81"/>
      <c r="AT232" s="82">
        <f>SUM(AT226:AT231)</f>
        <v>2</v>
      </c>
      <c r="AU232" s="66">
        <f>IF(AT$444=0,0,AT232/AT$444)</f>
        <v>0</v>
      </c>
      <c r="AV232" s="117"/>
      <c r="AW232" s="80"/>
      <c r="AX232" s="80"/>
      <c r="AY232" s="81"/>
      <c r="AZ232" s="82">
        <f>SUM(AZ226:AZ231)</f>
        <v>13</v>
      </c>
      <c r="BA232" s="66">
        <f>IF(AZ$444=0,0,AZ232/AZ$444)</f>
        <v>0</v>
      </c>
    </row>
    <row r="233" spans="1:53" s="117" customFormat="1" ht="17.100000000000001" customHeight="1" x14ac:dyDescent="0.25">
      <c r="A233" s="119"/>
      <c r="B233" s="119"/>
      <c r="C233" s="647"/>
      <c r="D233" s="212"/>
      <c r="E233" s="212"/>
      <c r="F233" s="212"/>
      <c r="G233" s="212"/>
      <c r="H233" s="242"/>
      <c r="I233" s="230"/>
      <c r="J233" s="17"/>
      <c r="K233" s="17"/>
      <c r="L233" s="17"/>
      <c r="M233" s="17"/>
      <c r="N233" s="17" t="str">
        <f>IF(N232=N$198,"OK","NOK")</f>
        <v>OK</v>
      </c>
      <c r="O233" s="17" t="str">
        <f>IF(O232=O$198,"OK","NOK")</f>
        <v>OK</v>
      </c>
      <c r="P233" s="17"/>
      <c r="Q233" s="17" t="str">
        <f>IF(Q232=Q$198,"OK","NOK")</f>
        <v>OK</v>
      </c>
      <c r="R233" s="17" t="str">
        <f>IF(R232=R$198,"OK","NOK")</f>
        <v>OK</v>
      </c>
      <c r="S233" s="17"/>
      <c r="T233" s="17" t="str">
        <f>IF(T232=T$198,"OK","NOK")</f>
        <v>OK</v>
      </c>
      <c r="U233" s="17" t="str">
        <f>IF(U232=U$198,"OK","NOK")</f>
        <v>OK</v>
      </c>
      <c r="V233" s="359"/>
      <c r="W233" s="382"/>
      <c r="X233" s="646"/>
      <c r="Y233" s="646"/>
      <c r="Z233" s="201"/>
      <c r="AA233" s="201"/>
      <c r="AB233" s="201"/>
      <c r="AC233" s="84"/>
      <c r="AE233" s="17"/>
      <c r="AF233" s="17"/>
      <c r="AG233" s="17"/>
      <c r="AH233" s="646"/>
      <c r="AI233" s="91"/>
      <c r="AK233" s="17"/>
      <c r="AL233" s="17"/>
      <c r="AM233" s="17"/>
      <c r="AN233" s="646"/>
      <c r="AO233" s="91"/>
      <c r="AQ233" s="17"/>
      <c r="AR233" s="17"/>
      <c r="AS233" s="17"/>
      <c r="AT233" s="646"/>
      <c r="AU233" s="91"/>
      <c r="AW233" s="17"/>
      <c r="AX233" s="17"/>
      <c r="AY233" s="17"/>
      <c r="AZ233" s="17"/>
      <c r="BA233" s="91"/>
    </row>
    <row r="234" spans="1:53" ht="17.100000000000001" customHeight="1" x14ac:dyDescent="0.25">
      <c r="A234" s="40"/>
      <c r="B234" s="299" t="s">
        <v>1058</v>
      </c>
      <c r="C234" s="274" t="s">
        <v>759</v>
      </c>
      <c r="D234" s="50"/>
      <c r="E234" s="50"/>
      <c r="F234" s="50"/>
      <c r="G234" s="301"/>
      <c r="H234" s="119"/>
      <c r="I234" s="138"/>
      <c r="J234" s="88"/>
      <c r="K234" s="88"/>
      <c r="L234" s="71"/>
      <c r="M234" s="71"/>
      <c r="N234" s="71"/>
      <c r="O234" s="71"/>
      <c r="P234" s="71"/>
      <c r="Q234" s="71"/>
      <c r="R234" s="71"/>
      <c r="S234" s="71"/>
      <c r="T234" s="71"/>
      <c r="U234" s="71"/>
      <c r="V234" s="71"/>
      <c r="W234" s="71"/>
      <c r="X234" s="71"/>
      <c r="Y234" s="71"/>
      <c r="Z234" s="90"/>
      <c r="AA234" s="90"/>
      <c r="AB234" s="90"/>
      <c r="AC234" s="73"/>
      <c r="AE234" s="71"/>
      <c r="AF234" s="71"/>
      <c r="AG234" s="89"/>
      <c r="AH234" s="90"/>
      <c r="AI234" s="73"/>
      <c r="AK234" s="71"/>
      <c r="AL234" s="71"/>
      <c r="AM234" s="89"/>
      <c r="AN234" s="90"/>
      <c r="AO234" s="73"/>
      <c r="AQ234" s="71"/>
      <c r="AR234" s="71"/>
      <c r="AS234" s="89"/>
      <c r="AT234" s="90"/>
      <c r="AU234" s="73"/>
      <c r="AW234" s="71"/>
      <c r="AX234" s="71"/>
      <c r="AY234" s="89"/>
      <c r="AZ234" s="90"/>
      <c r="BA234" s="73"/>
    </row>
    <row r="235" spans="1:53" ht="17.100000000000001" customHeight="1" x14ac:dyDescent="0.25">
      <c r="A235" s="40"/>
      <c r="B235" s="55"/>
      <c r="C235" s="56" t="s">
        <v>1059</v>
      </c>
      <c r="D235" s="85" t="s">
        <v>478</v>
      </c>
      <c r="E235" s="149"/>
      <c r="F235" s="149"/>
      <c r="G235" s="151"/>
      <c r="H235" s="119"/>
      <c r="I235" s="138"/>
      <c r="J235" s="174"/>
      <c r="K235" s="174"/>
      <c r="L235" s="111"/>
      <c r="M235" s="111"/>
      <c r="N235" s="60"/>
      <c r="O235" s="60"/>
      <c r="P235" s="17">
        <f t="shared" ref="P235:P242" si="257">SUM(N235:O235)</f>
        <v>0</v>
      </c>
      <c r="Q235" s="60"/>
      <c r="R235" s="60"/>
      <c r="S235" s="17">
        <f t="shared" ref="S235:S242" si="258">SUM(Q235:R235)</f>
        <v>0</v>
      </c>
      <c r="T235" s="60"/>
      <c r="U235" s="60"/>
      <c r="V235" s="17">
        <f t="shared" ref="V235:V242" si="259">SUM(T235:U235)</f>
        <v>0</v>
      </c>
      <c r="W235" s="391">
        <f t="shared" ref="W235:W242" si="260">J235+K235+N235+Q235+T235</f>
        <v>0</v>
      </c>
      <c r="X235" s="17">
        <f t="shared" ref="X235:X242" si="261">L235+O235+R235+U235</f>
        <v>0</v>
      </c>
      <c r="Y235" s="18">
        <f t="shared" ref="Y235:Y242" si="262">SUM(W235:X235)</f>
        <v>0</v>
      </c>
      <c r="Z235" s="19">
        <f>IF(Y$243=0,0,Y235/Y$243)</f>
        <v>0</v>
      </c>
      <c r="AA235" s="19"/>
      <c r="AB235" s="19"/>
      <c r="AC235" s="84"/>
      <c r="AD235" s="117"/>
      <c r="AE235" s="111"/>
      <c r="AF235" s="111"/>
      <c r="AG235" s="111"/>
      <c r="AH235" s="651"/>
      <c r="AI235" s="131"/>
      <c r="AK235" s="111"/>
      <c r="AL235" s="111"/>
      <c r="AM235" s="111"/>
      <c r="AN235" s="651"/>
      <c r="AO235" s="131"/>
      <c r="AQ235" s="17"/>
      <c r="AR235" s="17"/>
      <c r="AS235" s="17"/>
      <c r="AT235" s="424">
        <f>W235</f>
        <v>0</v>
      </c>
      <c r="AU235" s="19">
        <f>IF(AT$243=0,0,AT235/AT$243)</f>
        <v>0</v>
      </c>
      <c r="AW235" s="17"/>
      <c r="AX235" s="17"/>
      <c r="AY235" s="17"/>
      <c r="AZ235" s="424">
        <f>X235</f>
        <v>0</v>
      </c>
      <c r="BA235" s="19">
        <f>IF(AZ$243=0,0,AZ235/AZ$243)</f>
        <v>0</v>
      </c>
    </row>
    <row r="236" spans="1:53" ht="17.100000000000001" customHeight="1" x14ac:dyDescent="0.25">
      <c r="A236" s="40"/>
      <c r="B236" s="55"/>
      <c r="C236" s="56" t="s">
        <v>1060</v>
      </c>
      <c r="D236" s="85" t="s">
        <v>165</v>
      </c>
      <c r="E236" s="149"/>
      <c r="F236" s="149"/>
      <c r="G236" s="151"/>
      <c r="H236" s="119"/>
      <c r="I236" s="138"/>
      <c r="J236" s="174"/>
      <c r="K236" s="174"/>
      <c r="L236" s="111"/>
      <c r="M236" s="111"/>
      <c r="N236" s="61">
        <v>1</v>
      </c>
      <c r="O236" s="61">
        <v>7</v>
      </c>
      <c r="P236" s="17">
        <f t="shared" si="257"/>
        <v>8</v>
      </c>
      <c r="Q236" s="61">
        <v>1</v>
      </c>
      <c r="R236" s="61">
        <v>6</v>
      </c>
      <c r="S236" s="17">
        <f t="shared" si="258"/>
        <v>7</v>
      </c>
      <c r="T236" s="61"/>
      <c r="U236" s="61"/>
      <c r="V236" s="17">
        <f t="shared" si="259"/>
        <v>0</v>
      </c>
      <c r="W236" s="391">
        <f t="shared" si="260"/>
        <v>2</v>
      </c>
      <c r="X236" s="17">
        <f t="shared" si="261"/>
        <v>13</v>
      </c>
      <c r="Y236" s="18">
        <f t="shared" si="262"/>
        <v>15</v>
      </c>
      <c r="Z236" s="19">
        <f t="shared" ref="Z236:Z243" si="263">IF(Y$243=0,0,Y236/Y$243)</f>
        <v>1</v>
      </c>
      <c r="AA236" s="19"/>
      <c r="AB236" s="19"/>
      <c r="AC236" s="84"/>
      <c r="AD236" s="117"/>
      <c r="AE236" s="111"/>
      <c r="AF236" s="111"/>
      <c r="AG236" s="111"/>
      <c r="AH236" s="651"/>
      <c r="AI236" s="131"/>
      <c r="AK236" s="111"/>
      <c r="AL236" s="111"/>
      <c r="AM236" s="111"/>
      <c r="AN236" s="651"/>
      <c r="AO236" s="131"/>
      <c r="AQ236" s="17"/>
      <c r="AR236" s="17"/>
      <c r="AS236" s="17"/>
      <c r="AT236" s="424">
        <f t="shared" ref="AT236:AT242" si="264">W236</f>
        <v>2</v>
      </c>
      <c r="AU236" s="19">
        <f t="shared" ref="AU236:AU243" si="265">IF(AT$243=0,0,AT236/AT$243)</f>
        <v>1</v>
      </c>
      <c r="AW236" s="17"/>
      <c r="AX236" s="17"/>
      <c r="AY236" s="17"/>
      <c r="AZ236" s="424">
        <f t="shared" ref="AZ236:AZ242" si="266">X236</f>
        <v>13</v>
      </c>
      <c r="BA236" s="19">
        <f t="shared" ref="BA236:BA243" si="267">IF(AZ$243=0,0,AZ236/AZ$243)</f>
        <v>1</v>
      </c>
    </row>
    <row r="237" spans="1:53" ht="17.100000000000001" customHeight="1" x14ac:dyDescent="0.25">
      <c r="A237" s="40"/>
      <c r="B237" s="55"/>
      <c r="C237" s="56" t="s">
        <v>1061</v>
      </c>
      <c r="D237" s="85" t="s">
        <v>167</v>
      </c>
      <c r="E237" s="149"/>
      <c r="F237" s="149"/>
      <c r="G237" s="151"/>
      <c r="H237" s="119"/>
      <c r="I237" s="138"/>
      <c r="J237" s="174"/>
      <c r="K237" s="174"/>
      <c r="L237" s="111"/>
      <c r="M237" s="111"/>
      <c r="N237" s="60"/>
      <c r="O237" s="60"/>
      <c r="P237" s="17">
        <f t="shared" si="257"/>
        <v>0</v>
      </c>
      <c r="Q237" s="60"/>
      <c r="R237" s="60"/>
      <c r="S237" s="17">
        <f t="shared" si="258"/>
        <v>0</v>
      </c>
      <c r="T237" s="60"/>
      <c r="U237" s="60"/>
      <c r="V237" s="17">
        <f t="shared" si="259"/>
        <v>0</v>
      </c>
      <c r="W237" s="391">
        <f t="shared" si="260"/>
        <v>0</v>
      </c>
      <c r="X237" s="17">
        <f t="shared" si="261"/>
        <v>0</v>
      </c>
      <c r="Y237" s="18">
        <f t="shared" si="262"/>
        <v>0</v>
      </c>
      <c r="Z237" s="19">
        <f t="shared" si="263"/>
        <v>0</v>
      </c>
      <c r="AA237" s="19"/>
      <c r="AB237" s="19"/>
      <c r="AC237" s="84"/>
      <c r="AD237" s="117"/>
      <c r="AE237" s="111"/>
      <c r="AF237" s="111"/>
      <c r="AG237" s="111"/>
      <c r="AH237" s="651"/>
      <c r="AI237" s="131"/>
      <c r="AK237" s="111"/>
      <c r="AL237" s="111"/>
      <c r="AM237" s="111"/>
      <c r="AN237" s="651"/>
      <c r="AO237" s="131"/>
      <c r="AQ237" s="17"/>
      <c r="AR237" s="17"/>
      <c r="AS237" s="17"/>
      <c r="AT237" s="424">
        <f t="shared" si="264"/>
        <v>0</v>
      </c>
      <c r="AU237" s="19">
        <f t="shared" si="265"/>
        <v>0</v>
      </c>
      <c r="AW237" s="17"/>
      <c r="AX237" s="17"/>
      <c r="AY237" s="17"/>
      <c r="AZ237" s="424">
        <f t="shared" si="266"/>
        <v>0</v>
      </c>
      <c r="BA237" s="19">
        <f t="shared" si="267"/>
        <v>0</v>
      </c>
    </row>
    <row r="238" spans="1:53" ht="17.100000000000001" customHeight="1" x14ac:dyDescent="0.25">
      <c r="A238" s="40"/>
      <c r="B238" s="55"/>
      <c r="C238" s="56" t="s">
        <v>1062</v>
      </c>
      <c r="D238" s="146" t="s">
        <v>991</v>
      </c>
      <c r="E238" s="149"/>
      <c r="F238" s="149"/>
      <c r="G238" s="151"/>
      <c r="H238" s="119"/>
      <c r="I238" s="138"/>
      <c r="J238" s="174"/>
      <c r="K238" s="174"/>
      <c r="L238" s="111"/>
      <c r="M238" s="111"/>
      <c r="N238" s="61"/>
      <c r="O238" s="61"/>
      <c r="P238" s="17">
        <f t="shared" si="257"/>
        <v>0</v>
      </c>
      <c r="Q238" s="61"/>
      <c r="R238" s="61"/>
      <c r="S238" s="17">
        <f t="shared" si="258"/>
        <v>0</v>
      </c>
      <c r="T238" s="61"/>
      <c r="U238" s="61"/>
      <c r="V238" s="17">
        <f t="shared" si="259"/>
        <v>0</v>
      </c>
      <c r="W238" s="391">
        <f t="shared" si="260"/>
        <v>0</v>
      </c>
      <c r="X238" s="17">
        <f t="shared" si="261"/>
        <v>0</v>
      </c>
      <c r="Y238" s="18">
        <f t="shared" si="262"/>
        <v>0</v>
      </c>
      <c r="Z238" s="19">
        <f t="shared" si="263"/>
        <v>0</v>
      </c>
      <c r="AA238" s="19"/>
      <c r="AB238" s="19"/>
      <c r="AC238" s="84"/>
      <c r="AD238" s="117"/>
      <c r="AE238" s="111"/>
      <c r="AF238" s="111"/>
      <c r="AG238" s="111"/>
      <c r="AH238" s="651"/>
      <c r="AI238" s="131"/>
      <c r="AK238" s="111"/>
      <c r="AL238" s="111"/>
      <c r="AM238" s="111"/>
      <c r="AN238" s="651"/>
      <c r="AO238" s="131"/>
      <c r="AQ238" s="17"/>
      <c r="AR238" s="17"/>
      <c r="AS238" s="17"/>
      <c r="AT238" s="424">
        <f t="shared" si="264"/>
        <v>0</v>
      </c>
      <c r="AU238" s="19">
        <f t="shared" si="265"/>
        <v>0</v>
      </c>
      <c r="AW238" s="17"/>
      <c r="AX238" s="17"/>
      <c r="AY238" s="17"/>
      <c r="AZ238" s="424">
        <f t="shared" si="266"/>
        <v>0</v>
      </c>
      <c r="BA238" s="19">
        <f t="shared" si="267"/>
        <v>0</v>
      </c>
    </row>
    <row r="239" spans="1:53" ht="17.100000000000001" customHeight="1" x14ac:dyDescent="0.25">
      <c r="A239" s="40"/>
      <c r="B239" s="55"/>
      <c r="C239" s="56" t="s">
        <v>1063</v>
      </c>
      <c r="D239" s="85" t="s">
        <v>438</v>
      </c>
      <c r="E239" s="149"/>
      <c r="F239" s="149"/>
      <c r="G239" s="151"/>
      <c r="H239" s="119"/>
      <c r="I239" s="138"/>
      <c r="J239" s="174"/>
      <c r="K239" s="174"/>
      <c r="L239" s="111"/>
      <c r="M239" s="111"/>
      <c r="N239" s="60"/>
      <c r="O239" s="60"/>
      <c r="P239" s="17">
        <f t="shared" si="257"/>
        <v>0</v>
      </c>
      <c r="Q239" s="60"/>
      <c r="R239" s="60"/>
      <c r="S239" s="17">
        <f t="shared" si="258"/>
        <v>0</v>
      </c>
      <c r="T239" s="60"/>
      <c r="U239" s="60"/>
      <c r="V239" s="17">
        <f t="shared" si="259"/>
        <v>0</v>
      </c>
      <c r="W239" s="391">
        <f t="shared" si="260"/>
        <v>0</v>
      </c>
      <c r="X239" s="17">
        <f t="shared" si="261"/>
        <v>0</v>
      </c>
      <c r="Y239" s="18">
        <f t="shared" si="262"/>
        <v>0</v>
      </c>
      <c r="Z239" s="19">
        <f t="shared" si="263"/>
        <v>0</v>
      </c>
      <c r="AA239" s="19"/>
      <c r="AB239" s="19"/>
      <c r="AC239" s="84"/>
      <c r="AD239" s="117"/>
      <c r="AE239" s="111"/>
      <c r="AF239" s="111"/>
      <c r="AG239" s="111"/>
      <c r="AH239" s="651"/>
      <c r="AI239" s="131"/>
      <c r="AK239" s="111"/>
      <c r="AL239" s="111"/>
      <c r="AM239" s="111"/>
      <c r="AN239" s="651"/>
      <c r="AO239" s="131"/>
      <c r="AQ239" s="17"/>
      <c r="AR239" s="17"/>
      <c r="AS239" s="17"/>
      <c r="AT239" s="424">
        <f t="shared" si="264"/>
        <v>0</v>
      </c>
      <c r="AU239" s="19">
        <f t="shared" si="265"/>
        <v>0</v>
      </c>
      <c r="AW239" s="17"/>
      <c r="AX239" s="17"/>
      <c r="AY239" s="17"/>
      <c r="AZ239" s="424">
        <f t="shared" si="266"/>
        <v>0</v>
      </c>
      <c r="BA239" s="19">
        <f t="shared" si="267"/>
        <v>0</v>
      </c>
    </row>
    <row r="240" spans="1:53" ht="17.100000000000001" customHeight="1" x14ac:dyDescent="0.25">
      <c r="A240" s="40"/>
      <c r="B240" s="55"/>
      <c r="C240" s="56" t="s">
        <v>1064</v>
      </c>
      <c r="D240" s="85" t="s">
        <v>439</v>
      </c>
      <c r="E240" s="149"/>
      <c r="F240" s="149"/>
      <c r="G240" s="151"/>
      <c r="H240" s="119"/>
      <c r="I240" s="138"/>
      <c r="J240" s="174"/>
      <c r="K240" s="174"/>
      <c r="L240" s="111"/>
      <c r="M240" s="111"/>
      <c r="N240" s="61"/>
      <c r="O240" s="61"/>
      <c r="P240" s="17">
        <f t="shared" si="257"/>
        <v>0</v>
      </c>
      <c r="Q240" s="61"/>
      <c r="R240" s="61"/>
      <c r="S240" s="17">
        <f t="shared" si="258"/>
        <v>0</v>
      </c>
      <c r="T240" s="61"/>
      <c r="U240" s="61"/>
      <c r="V240" s="17">
        <f t="shared" si="259"/>
        <v>0</v>
      </c>
      <c r="W240" s="391">
        <f t="shared" si="260"/>
        <v>0</v>
      </c>
      <c r="X240" s="17">
        <f t="shared" si="261"/>
        <v>0</v>
      </c>
      <c r="Y240" s="18">
        <f t="shared" si="262"/>
        <v>0</v>
      </c>
      <c r="Z240" s="19">
        <f t="shared" si="263"/>
        <v>0</v>
      </c>
      <c r="AA240" s="19"/>
      <c r="AB240" s="19"/>
      <c r="AC240" s="84"/>
      <c r="AD240" s="117"/>
      <c r="AE240" s="111"/>
      <c r="AF240" s="111"/>
      <c r="AG240" s="111"/>
      <c r="AH240" s="651"/>
      <c r="AI240" s="131"/>
      <c r="AK240" s="111"/>
      <c r="AL240" s="111"/>
      <c r="AM240" s="111"/>
      <c r="AN240" s="651"/>
      <c r="AO240" s="131"/>
      <c r="AQ240" s="17"/>
      <c r="AR240" s="17"/>
      <c r="AS240" s="17"/>
      <c r="AT240" s="424">
        <f t="shared" si="264"/>
        <v>0</v>
      </c>
      <c r="AU240" s="19">
        <f t="shared" si="265"/>
        <v>0</v>
      </c>
      <c r="AW240" s="17"/>
      <c r="AX240" s="17"/>
      <c r="AY240" s="17"/>
      <c r="AZ240" s="424">
        <f t="shared" si="266"/>
        <v>0</v>
      </c>
      <c r="BA240" s="19">
        <f t="shared" si="267"/>
        <v>0</v>
      </c>
    </row>
    <row r="241" spans="1:53" ht="17.100000000000001" customHeight="1" x14ac:dyDescent="0.25">
      <c r="A241" s="40"/>
      <c r="B241" s="55"/>
      <c r="C241" s="56" t="s">
        <v>1065</v>
      </c>
      <c r="D241" s="85" t="s">
        <v>483</v>
      </c>
      <c r="E241" s="149"/>
      <c r="F241" s="149"/>
      <c r="G241" s="151"/>
      <c r="H241" s="119"/>
      <c r="I241" s="138"/>
      <c r="J241" s="174"/>
      <c r="K241" s="174"/>
      <c r="L241" s="111"/>
      <c r="M241" s="111"/>
      <c r="N241" s="60"/>
      <c r="O241" s="60"/>
      <c r="P241" s="17">
        <f t="shared" si="257"/>
        <v>0</v>
      </c>
      <c r="Q241" s="60"/>
      <c r="R241" s="60"/>
      <c r="S241" s="17">
        <f t="shared" si="258"/>
        <v>0</v>
      </c>
      <c r="T241" s="60"/>
      <c r="U241" s="60"/>
      <c r="V241" s="17">
        <f t="shared" si="259"/>
        <v>0</v>
      </c>
      <c r="W241" s="391">
        <f t="shared" si="260"/>
        <v>0</v>
      </c>
      <c r="X241" s="17">
        <f t="shared" si="261"/>
        <v>0</v>
      </c>
      <c r="Y241" s="18">
        <f t="shared" si="262"/>
        <v>0</v>
      </c>
      <c r="Z241" s="19">
        <f t="shared" si="263"/>
        <v>0</v>
      </c>
      <c r="AA241" s="19"/>
      <c r="AB241" s="19"/>
      <c r="AC241" s="84"/>
      <c r="AD241" s="117"/>
      <c r="AE241" s="111"/>
      <c r="AF241" s="111"/>
      <c r="AG241" s="111"/>
      <c r="AH241" s="651"/>
      <c r="AI241" s="131"/>
      <c r="AK241" s="111"/>
      <c r="AL241" s="111"/>
      <c r="AM241" s="111"/>
      <c r="AN241" s="651"/>
      <c r="AO241" s="131"/>
      <c r="AQ241" s="17"/>
      <c r="AR241" s="17"/>
      <c r="AS241" s="17"/>
      <c r="AT241" s="424">
        <f t="shared" si="264"/>
        <v>0</v>
      </c>
      <c r="AU241" s="19">
        <f t="shared" si="265"/>
        <v>0</v>
      </c>
      <c r="AW241" s="17"/>
      <c r="AX241" s="17"/>
      <c r="AY241" s="17"/>
      <c r="AZ241" s="424">
        <f t="shared" si="266"/>
        <v>0</v>
      </c>
      <c r="BA241" s="19">
        <f t="shared" si="267"/>
        <v>0</v>
      </c>
    </row>
    <row r="242" spans="1:53" ht="17.100000000000001" customHeight="1" x14ac:dyDescent="0.25">
      <c r="A242" s="40"/>
      <c r="B242" s="55"/>
      <c r="C242" s="56" t="s">
        <v>1066</v>
      </c>
      <c r="D242" s="85" t="s">
        <v>129</v>
      </c>
      <c r="E242" s="149"/>
      <c r="F242" s="149"/>
      <c r="G242" s="151"/>
      <c r="H242" s="119"/>
      <c r="I242" s="138"/>
      <c r="J242" s="174"/>
      <c r="K242" s="174"/>
      <c r="L242" s="111"/>
      <c r="M242" s="111"/>
      <c r="N242" s="61"/>
      <c r="O242" s="61"/>
      <c r="P242" s="17">
        <f t="shared" si="257"/>
        <v>0</v>
      </c>
      <c r="Q242" s="61"/>
      <c r="R242" s="61"/>
      <c r="S242" s="17">
        <f t="shared" si="258"/>
        <v>0</v>
      </c>
      <c r="T242" s="61"/>
      <c r="U242" s="61"/>
      <c r="V242" s="17">
        <f t="shared" si="259"/>
        <v>0</v>
      </c>
      <c r="W242" s="391">
        <f t="shared" si="260"/>
        <v>0</v>
      </c>
      <c r="X242" s="17">
        <f t="shared" si="261"/>
        <v>0</v>
      </c>
      <c r="Y242" s="18">
        <f t="shared" si="262"/>
        <v>0</v>
      </c>
      <c r="Z242" s="19">
        <f t="shared" si="263"/>
        <v>0</v>
      </c>
      <c r="AA242" s="19"/>
      <c r="AB242" s="19"/>
      <c r="AC242" s="84"/>
      <c r="AD242" s="117"/>
      <c r="AE242" s="111"/>
      <c r="AF242" s="111"/>
      <c r="AG242" s="111"/>
      <c r="AH242" s="651"/>
      <c r="AI242" s="131"/>
      <c r="AK242" s="111"/>
      <c r="AL242" s="111"/>
      <c r="AM242" s="111"/>
      <c r="AN242" s="651"/>
      <c r="AO242" s="131"/>
      <c r="AQ242" s="17"/>
      <c r="AR242" s="17"/>
      <c r="AS242" s="17"/>
      <c r="AT242" s="424">
        <f t="shared" si="264"/>
        <v>0</v>
      </c>
      <c r="AU242" s="19">
        <f t="shared" si="265"/>
        <v>0</v>
      </c>
      <c r="AW242" s="17"/>
      <c r="AX242" s="17"/>
      <c r="AY242" s="17"/>
      <c r="AZ242" s="424">
        <f t="shared" si="266"/>
        <v>0</v>
      </c>
      <c r="BA242" s="19">
        <f t="shared" si="267"/>
        <v>0</v>
      </c>
    </row>
    <row r="243" spans="1:53" ht="17.100000000000001" customHeight="1" x14ac:dyDescent="0.25">
      <c r="A243" s="40"/>
      <c r="B243" s="40"/>
      <c r="C243" s="292"/>
      <c r="D243" s="144"/>
      <c r="E243" s="144"/>
      <c r="F243" s="145"/>
      <c r="G243" s="145"/>
      <c r="H243" s="119"/>
      <c r="I243" s="138"/>
      <c r="J243" s="64"/>
      <c r="K243" s="64"/>
      <c r="L243" s="64"/>
      <c r="M243" s="64"/>
      <c r="N243" s="64">
        <f>SUM(N235:N242)</f>
        <v>1</v>
      </c>
      <c r="O243" s="64">
        <f t="shared" ref="O243:V243" si="268">SUM(O235:O242)</f>
        <v>7</v>
      </c>
      <c r="P243" s="64">
        <f t="shared" si="268"/>
        <v>8</v>
      </c>
      <c r="Q243" s="64">
        <f t="shared" si="268"/>
        <v>1</v>
      </c>
      <c r="R243" s="64">
        <f t="shared" si="268"/>
        <v>6</v>
      </c>
      <c r="S243" s="64">
        <f t="shared" si="268"/>
        <v>7</v>
      </c>
      <c r="T243" s="64">
        <f t="shared" si="268"/>
        <v>0</v>
      </c>
      <c r="U243" s="64">
        <f t="shared" si="268"/>
        <v>0</v>
      </c>
      <c r="V243" s="64">
        <f t="shared" si="268"/>
        <v>0</v>
      </c>
      <c r="W243" s="224">
        <f>SUM(W235:W242)</f>
        <v>2</v>
      </c>
      <c r="X243" s="224">
        <f t="shared" ref="X243:Y243" si="269">SUM(X235:X242)</f>
        <v>13</v>
      </c>
      <c r="Y243" s="224">
        <f t="shared" si="269"/>
        <v>15</v>
      </c>
      <c r="Z243" s="66">
        <f t="shared" si="263"/>
        <v>1</v>
      </c>
      <c r="AA243" s="205"/>
      <c r="AB243" s="205"/>
      <c r="AC243" s="83"/>
      <c r="AE243" s="81"/>
      <c r="AF243" s="81"/>
      <c r="AG243" s="82"/>
      <c r="AH243" s="324"/>
      <c r="AI243" s="66"/>
      <c r="AK243" s="81"/>
      <c r="AL243" s="81"/>
      <c r="AM243" s="82"/>
      <c r="AN243" s="324"/>
      <c r="AO243" s="66"/>
      <c r="AQ243" s="81"/>
      <c r="AR243" s="81"/>
      <c r="AS243" s="82"/>
      <c r="AT243" s="426">
        <f>SUM(AT235:AT242)</f>
        <v>2</v>
      </c>
      <c r="AU243" s="66">
        <f t="shared" si="265"/>
        <v>1</v>
      </c>
      <c r="AW243" s="81"/>
      <c r="AX243" s="81"/>
      <c r="AY243" s="82"/>
      <c r="AZ243" s="426">
        <f>SUM(AZ235:AZ242)</f>
        <v>13</v>
      </c>
      <c r="BA243" s="66">
        <f t="shared" si="267"/>
        <v>1</v>
      </c>
    </row>
    <row r="244" spans="1:53" s="117" customFormat="1" ht="17.100000000000001" customHeight="1" x14ac:dyDescent="0.25">
      <c r="A244" s="68"/>
      <c r="B244" s="119"/>
      <c r="C244" s="647"/>
      <c r="D244" s="261"/>
      <c r="E244" s="261"/>
      <c r="F244" s="68"/>
      <c r="G244" s="68"/>
      <c r="H244" s="119"/>
      <c r="I244" s="138"/>
      <c r="J244" s="17"/>
      <c r="K244" s="17"/>
      <c r="L244" s="17"/>
      <c r="M244" s="17"/>
      <c r="N244" s="17" t="str">
        <f>IF(N243=N$450,"OK","NOK")</f>
        <v>NOK</v>
      </c>
      <c r="O244" s="17" t="str">
        <f>IF(O243=O$450,"OK","NOK")</f>
        <v>NOK</v>
      </c>
      <c r="P244" s="17"/>
      <c r="Q244" s="17" t="str">
        <f>IF(Q243=Q$450,"OK","NOK")</f>
        <v>NOK</v>
      </c>
      <c r="R244" s="17" t="str">
        <f>IF(R243=R$450,"OK","NOK")</f>
        <v>NOK</v>
      </c>
      <c r="S244" s="17"/>
      <c r="T244" s="17" t="str">
        <f>IF(T243=T$450,"OK","NOK")</f>
        <v>OK</v>
      </c>
      <c r="U244" s="17" t="str">
        <f>IF(U243=U$450,"OK","NOK")</f>
        <v>OK</v>
      </c>
      <c r="V244" s="359"/>
      <c r="W244" s="382"/>
      <c r="X244" s="646"/>
      <c r="Y244" s="646"/>
      <c r="Z244" s="201"/>
      <c r="AA244" s="201"/>
      <c r="AB244" s="201"/>
      <c r="AC244" s="84"/>
      <c r="AE244" s="46"/>
      <c r="AF244" s="46"/>
      <c r="AG244" s="17"/>
      <c r="AH244" s="646"/>
      <c r="AI244" s="91"/>
      <c r="AK244" s="46"/>
      <c r="AL244" s="46"/>
      <c r="AM244" s="17"/>
      <c r="AN244" s="646"/>
      <c r="AO244" s="91"/>
      <c r="AQ244" s="46"/>
      <c r="AR244" s="46"/>
      <c r="AS244" s="17"/>
      <c r="AT244" s="646"/>
      <c r="AU244" s="91"/>
      <c r="AW244" s="46"/>
      <c r="AX244" s="46"/>
      <c r="AY244" s="17"/>
      <c r="AZ244" s="646"/>
      <c r="BA244" s="91"/>
    </row>
    <row r="245" spans="1:53" s="117" customFormat="1" ht="17.100000000000001" customHeight="1" x14ac:dyDescent="0.25">
      <c r="A245" s="68"/>
      <c r="B245" s="119"/>
      <c r="C245" s="119"/>
      <c r="D245" s="56" t="s">
        <v>272</v>
      </c>
      <c r="E245" s="149" t="s">
        <v>751</v>
      </c>
      <c r="F245" s="149"/>
      <c r="G245" s="149"/>
      <c r="H245" s="182"/>
      <c r="I245" s="241"/>
      <c r="J245" s="152"/>
      <c r="K245" s="152"/>
      <c r="L245" s="111"/>
      <c r="M245" s="111"/>
      <c r="N245" s="111"/>
      <c r="O245" s="111"/>
      <c r="P245" s="111"/>
      <c r="Q245" s="111"/>
      <c r="R245" s="111"/>
      <c r="S245" s="111"/>
      <c r="T245" s="111"/>
      <c r="U245" s="111"/>
      <c r="V245" s="358"/>
      <c r="W245" s="380"/>
      <c r="X245" s="111"/>
      <c r="Y245" s="651"/>
      <c r="Z245" s="131"/>
      <c r="AA245" s="131"/>
      <c r="AB245" s="131"/>
      <c r="AC245" s="113"/>
      <c r="AE245" s="152"/>
      <c r="AF245" s="152"/>
      <c r="AG245" s="111"/>
      <c r="AH245" s="651"/>
      <c r="AI245" s="131"/>
      <c r="AK245" s="152"/>
      <c r="AL245" s="152"/>
      <c r="AM245" s="111"/>
      <c r="AN245" s="651"/>
      <c r="AO245" s="131"/>
      <c r="AQ245" s="152"/>
      <c r="AR245" s="152"/>
      <c r="AS245" s="111"/>
      <c r="AT245" s="651"/>
      <c r="AU245" s="131"/>
      <c r="AW245" s="152"/>
      <c r="AX245" s="152"/>
      <c r="AY245" s="111"/>
      <c r="AZ245" s="651"/>
      <c r="BA245" s="131"/>
    </row>
    <row r="246" spans="1:53" s="117" customFormat="1" ht="17.100000000000001" customHeight="1" x14ac:dyDescent="0.25">
      <c r="A246" s="68"/>
      <c r="B246" s="119"/>
      <c r="C246" s="55"/>
      <c r="D246" s="55"/>
      <c r="E246" s="74" t="s">
        <v>753</v>
      </c>
      <c r="F246" s="603" t="s">
        <v>752</v>
      </c>
      <c r="G246" s="603"/>
      <c r="H246" s="182"/>
      <c r="I246" s="241"/>
      <c r="J246" s="111"/>
      <c r="K246" s="152"/>
      <c r="L246" s="152"/>
      <c r="M246" s="152"/>
      <c r="N246" s="152"/>
      <c r="O246" s="111"/>
      <c r="P246" s="60"/>
      <c r="Q246" s="152"/>
      <c r="R246" s="111"/>
      <c r="S246" s="60"/>
      <c r="T246" s="152"/>
      <c r="U246" s="111"/>
      <c r="V246" s="361"/>
      <c r="W246" s="391"/>
      <c r="X246" s="17"/>
      <c r="Y246" s="18">
        <f t="shared" ref="Y246:Y248" si="270">M246+P246+S246+V246</f>
        <v>0</v>
      </c>
      <c r="Z246" s="19">
        <f>IF(Y$249=0,0,Y246/Y$249)</f>
        <v>0</v>
      </c>
      <c r="AA246" s="19"/>
      <c r="AB246" s="19"/>
      <c r="AC246" s="84"/>
      <c r="AE246" s="111"/>
      <c r="AF246" s="111"/>
      <c r="AG246" s="111"/>
      <c r="AH246" s="112"/>
      <c r="AI246" s="113"/>
      <c r="AK246" s="111"/>
      <c r="AL246" s="111"/>
      <c r="AM246" s="111"/>
      <c r="AN246" s="112"/>
      <c r="AO246" s="113"/>
      <c r="AQ246" s="111"/>
      <c r="AR246" s="111"/>
      <c r="AS246" s="111"/>
      <c r="AT246" s="651"/>
      <c r="AU246" s="131"/>
      <c r="AW246" s="111"/>
      <c r="AX246" s="111"/>
      <c r="AY246" s="111"/>
      <c r="AZ246" s="651"/>
      <c r="BA246" s="131"/>
    </row>
    <row r="247" spans="1:53" s="117" customFormat="1" ht="17.100000000000001" customHeight="1" x14ac:dyDescent="0.25">
      <c r="A247" s="68"/>
      <c r="B247" s="119"/>
      <c r="C247" s="55"/>
      <c r="D247" s="55"/>
      <c r="E247" s="74" t="s">
        <v>754</v>
      </c>
      <c r="F247" s="604"/>
      <c r="G247" s="604"/>
      <c r="H247" s="182"/>
      <c r="I247" s="241"/>
      <c r="J247" s="111"/>
      <c r="K247" s="152"/>
      <c r="L247" s="152"/>
      <c r="M247" s="152"/>
      <c r="N247" s="152"/>
      <c r="O247" s="111"/>
      <c r="P247" s="61"/>
      <c r="Q247" s="152"/>
      <c r="R247" s="111"/>
      <c r="S247" s="61"/>
      <c r="T247" s="152"/>
      <c r="U247" s="111"/>
      <c r="V247" s="362"/>
      <c r="W247" s="391"/>
      <c r="X247" s="17"/>
      <c r="Y247" s="18">
        <f t="shared" si="270"/>
        <v>0</v>
      </c>
      <c r="Z247" s="19">
        <f t="shared" ref="Z247:Z249" si="271">IF(Y$249=0,0,Y247/Y$249)</f>
        <v>0</v>
      </c>
      <c r="AA247" s="19"/>
      <c r="AB247" s="19"/>
      <c r="AC247" s="84"/>
      <c r="AE247" s="111"/>
      <c r="AF247" s="111"/>
      <c r="AG247" s="111"/>
      <c r="AH247" s="112"/>
      <c r="AI247" s="113"/>
      <c r="AK247" s="111"/>
      <c r="AL247" s="111"/>
      <c r="AM247" s="111"/>
      <c r="AN247" s="112"/>
      <c r="AO247" s="113"/>
      <c r="AQ247" s="111"/>
      <c r="AR247" s="111"/>
      <c r="AS247" s="111"/>
      <c r="AT247" s="651"/>
      <c r="AU247" s="131"/>
      <c r="AW247" s="111"/>
      <c r="AX247" s="111"/>
      <c r="AY247" s="111"/>
      <c r="AZ247" s="651"/>
      <c r="BA247" s="131"/>
    </row>
    <row r="248" spans="1:53" s="117" customFormat="1" ht="17.100000000000001" customHeight="1" x14ac:dyDescent="0.25">
      <c r="A248" s="68"/>
      <c r="B248" s="119"/>
      <c r="C248" s="55"/>
      <c r="D248" s="55"/>
      <c r="E248" s="74" t="s">
        <v>755</v>
      </c>
      <c r="F248" s="603"/>
      <c r="G248" s="603"/>
      <c r="H248" s="182"/>
      <c r="I248" s="241"/>
      <c r="J248" s="111"/>
      <c r="K248" s="152"/>
      <c r="L248" s="152"/>
      <c r="M248" s="152"/>
      <c r="N248" s="152"/>
      <c r="O248" s="111"/>
      <c r="P248" s="60"/>
      <c r="Q248" s="152"/>
      <c r="R248" s="111"/>
      <c r="S248" s="60"/>
      <c r="T248" s="152"/>
      <c r="U248" s="111"/>
      <c r="V248" s="361"/>
      <c r="W248" s="391"/>
      <c r="X248" s="17"/>
      <c r="Y248" s="18">
        <f t="shared" si="270"/>
        <v>0</v>
      </c>
      <c r="Z248" s="19">
        <f t="shared" si="271"/>
        <v>0</v>
      </c>
      <c r="AA248" s="19"/>
      <c r="AB248" s="19"/>
      <c r="AC248" s="84"/>
      <c r="AE248" s="111"/>
      <c r="AF248" s="111"/>
      <c r="AG248" s="111"/>
      <c r="AH248" s="112"/>
      <c r="AI248" s="113"/>
      <c r="AK248" s="111"/>
      <c r="AL248" s="111"/>
      <c r="AM248" s="111"/>
      <c r="AN248" s="112"/>
      <c r="AO248" s="113"/>
      <c r="AQ248" s="111"/>
      <c r="AR248" s="111"/>
      <c r="AS248" s="111"/>
      <c r="AT248" s="651"/>
      <c r="AU248" s="131"/>
      <c r="AW248" s="111"/>
      <c r="AX248" s="111"/>
      <c r="AY248" s="111"/>
      <c r="AZ248" s="651"/>
      <c r="BA248" s="131"/>
    </row>
    <row r="249" spans="1:53" s="117" customFormat="1" ht="17.100000000000001" customHeight="1" x14ac:dyDescent="0.25">
      <c r="A249" s="68"/>
      <c r="B249" s="119"/>
      <c r="C249" s="77"/>
      <c r="D249" s="134"/>
      <c r="E249" s="134"/>
      <c r="F249" s="134"/>
      <c r="G249" s="134"/>
      <c r="H249" s="647"/>
      <c r="I249" s="229"/>
      <c r="J249" s="80"/>
      <c r="K249" s="80"/>
      <c r="L249" s="81"/>
      <c r="M249" s="81"/>
      <c r="N249" s="81"/>
      <c r="O249" s="81"/>
      <c r="P249" s="81">
        <f>SUM(P246:P248)</f>
        <v>0</v>
      </c>
      <c r="Q249" s="81"/>
      <c r="R249" s="81"/>
      <c r="S249" s="81">
        <f>SUM(S246:S248)</f>
        <v>0</v>
      </c>
      <c r="T249" s="81"/>
      <c r="U249" s="81"/>
      <c r="V249" s="81">
        <f>SUM(V246:V248)</f>
        <v>0</v>
      </c>
      <c r="W249" s="381"/>
      <c r="X249" s="82"/>
      <c r="Y249" s="82">
        <f>SUM(Y246:Y248)</f>
        <v>0</v>
      </c>
      <c r="Z249" s="66">
        <f t="shared" si="271"/>
        <v>0</v>
      </c>
      <c r="AA249" s="205"/>
      <c r="AB249" s="205"/>
      <c r="AC249" s="83"/>
      <c r="AE249" s="80"/>
      <c r="AF249" s="80"/>
      <c r="AG249" s="81"/>
      <c r="AH249" s="82"/>
      <c r="AI249" s="66"/>
      <c r="AK249" s="80"/>
      <c r="AL249" s="80"/>
      <c r="AM249" s="81"/>
      <c r="AN249" s="82"/>
      <c r="AO249" s="66"/>
      <c r="AQ249" s="80"/>
      <c r="AR249" s="80"/>
      <c r="AS249" s="81"/>
      <c r="AT249" s="82"/>
      <c r="AU249" s="66"/>
      <c r="AW249" s="80"/>
      <c r="AX249" s="80"/>
      <c r="AY249" s="81"/>
      <c r="AZ249" s="82"/>
      <c r="BA249" s="66"/>
    </row>
    <row r="250" spans="1:53" s="117" customFormat="1" ht="17.100000000000001" customHeight="1" x14ac:dyDescent="0.25">
      <c r="A250" s="68"/>
      <c r="B250" s="119"/>
      <c r="C250" s="92"/>
      <c r="D250" s="93"/>
      <c r="E250" s="93"/>
      <c r="F250" s="93"/>
      <c r="G250" s="93"/>
      <c r="H250" s="647"/>
      <c r="I250" s="12"/>
      <c r="J250" s="46"/>
      <c r="K250" s="46"/>
      <c r="L250" s="17"/>
      <c r="M250" s="17"/>
      <c r="N250" s="17"/>
      <c r="O250" s="17"/>
      <c r="P250" s="17"/>
      <c r="Q250" s="17"/>
      <c r="R250" s="17"/>
      <c r="S250" s="17"/>
      <c r="T250" s="17"/>
      <c r="U250" s="17"/>
      <c r="V250" s="359"/>
      <c r="W250" s="382"/>
      <c r="X250" s="646"/>
      <c r="Y250" s="646"/>
      <c r="Z250" s="201"/>
      <c r="AA250" s="201"/>
      <c r="AB250" s="201"/>
      <c r="AC250" s="84"/>
      <c r="AE250" s="46"/>
      <c r="AF250" s="46"/>
      <c r="AG250" s="17"/>
      <c r="AH250" s="646"/>
      <c r="AI250" s="91"/>
      <c r="AK250" s="46"/>
      <c r="AL250" s="46"/>
      <c r="AM250" s="17"/>
      <c r="AN250" s="646"/>
      <c r="AO250" s="91"/>
      <c r="AQ250" s="46"/>
      <c r="AR250" s="46"/>
      <c r="AS250" s="17"/>
      <c r="AT250" s="646"/>
      <c r="AU250" s="91"/>
      <c r="AW250" s="46"/>
      <c r="AX250" s="46"/>
      <c r="AY250" s="17"/>
      <c r="AZ250" s="646"/>
      <c r="BA250" s="91"/>
    </row>
    <row r="251" spans="1:53" ht="17.100000000000001" customHeight="1" x14ac:dyDescent="0.25">
      <c r="A251" s="40"/>
      <c r="B251" s="41" t="s">
        <v>1446</v>
      </c>
      <c r="C251" s="49" t="s">
        <v>12</v>
      </c>
      <c r="D251" s="43"/>
      <c r="E251" s="43"/>
      <c r="F251" s="43"/>
      <c r="G251" s="43"/>
      <c r="H251" s="23"/>
      <c r="I251" s="12"/>
      <c r="J251" s="73"/>
      <c r="K251" s="73"/>
      <c r="L251" s="73"/>
      <c r="M251" s="73"/>
      <c r="N251" s="73"/>
      <c r="O251" s="73"/>
      <c r="P251" s="73"/>
      <c r="Q251" s="73"/>
      <c r="R251" s="73"/>
      <c r="S251" s="73"/>
      <c r="T251" s="73"/>
      <c r="U251" s="73"/>
      <c r="V251" s="970"/>
      <c r="W251" s="971"/>
      <c r="X251" s="73"/>
      <c r="Y251" s="73"/>
      <c r="Z251" s="73"/>
      <c r="AA251" s="73"/>
      <c r="AB251" s="73"/>
      <c r="AC251" s="73"/>
      <c r="AE251" s="73"/>
      <c r="AF251" s="73"/>
      <c r="AG251" s="73"/>
      <c r="AH251" s="73"/>
      <c r="AI251" s="73"/>
      <c r="AK251" s="73"/>
      <c r="AL251" s="73"/>
      <c r="AM251" s="73"/>
      <c r="AN251" s="73"/>
      <c r="AO251" s="73"/>
      <c r="AQ251" s="73"/>
      <c r="AR251" s="73"/>
      <c r="AS251" s="73"/>
      <c r="AT251" s="73"/>
      <c r="AU251" s="73"/>
      <c r="AW251" s="73"/>
      <c r="AX251" s="73"/>
      <c r="AY251" s="73"/>
      <c r="AZ251" s="73"/>
      <c r="BA251" s="73"/>
    </row>
    <row r="252" spans="1:53" s="4" customFormat="1" ht="17.100000000000001" customHeight="1" x14ac:dyDescent="0.25">
      <c r="A252" s="137"/>
      <c r="B252" s="40"/>
      <c r="C252" s="933" t="s">
        <v>1447</v>
      </c>
      <c r="D252" s="85" t="s">
        <v>1448</v>
      </c>
      <c r="E252" s="303"/>
      <c r="F252" s="303"/>
      <c r="G252" s="303"/>
      <c r="H252" s="320"/>
      <c r="I252" s="309"/>
      <c r="J252" s="174"/>
      <c r="K252" s="174"/>
      <c r="L252" s="174"/>
      <c r="M252" s="174"/>
      <c r="N252" s="174"/>
      <c r="O252" s="174"/>
      <c r="P252" s="174"/>
      <c r="Q252" s="174"/>
      <c r="R252" s="174"/>
      <c r="S252" s="174"/>
      <c r="T252" s="174"/>
      <c r="U252" s="174"/>
      <c r="V252" s="712"/>
      <c r="W252" s="972"/>
      <c r="X252" s="174"/>
      <c r="Y252" s="174"/>
      <c r="Z252" s="113"/>
      <c r="AA252" s="113"/>
      <c r="AB252" s="113"/>
      <c r="AC252" s="113"/>
      <c r="AE252" s="174"/>
      <c r="AF252" s="174"/>
      <c r="AG252" s="932"/>
      <c r="AH252" s="113"/>
      <c r="AI252" s="113"/>
      <c r="AK252" s="174"/>
      <c r="AL252" s="174"/>
      <c r="AM252" s="932"/>
      <c r="AN252" s="113"/>
      <c r="AO252" s="113"/>
      <c r="AQ252" s="174"/>
      <c r="AR252" s="174"/>
      <c r="AS252" s="932"/>
      <c r="AT252" s="113"/>
      <c r="AU252" s="113"/>
      <c r="AW252" s="174"/>
      <c r="AX252" s="174"/>
      <c r="AY252" s="932"/>
      <c r="AZ252" s="113"/>
      <c r="BA252" s="113"/>
    </row>
    <row r="253" spans="1:53" s="4" customFormat="1" ht="17.100000000000001" customHeight="1" x14ac:dyDescent="0.25">
      <c r="A253" s="137"/>
      <c r="B253" s="40"/>
      <c r="C253" s="40"/>
      <c r="D253" s="121" t="s">
        <v>129</v>
      </c>
      <c r="E253" s="304"/>
      <c r="F253" s="304"/>
      <c r="G253" s="304"/>
      <c r="H253" s="320"/>
      <c r="I253" s="309"/>
      <c r="J253" s="161"/>
      <c r="K253" s="161"/>
      <c r="L253" s="161"/>
      <c r="M253" s="161"/>
      <c r="N253" s="161">
        <f>N231</f>
        <v>0</v>
      </c>
      <c r="O253" s="161">
        <f>O231</f>
        <v>0</v>
      </c>
      <c r="P253" s="161"/>
      <c r="Q253" s="161">
        <f>Q231</f>
        <v>1</v>
      </c>
      <c r="R253" s="161">
        <f>R231</f>
        <v>2</v>
      </c>
      <c r="S253" s="161"/>
      <c r="T253" s="161">
        <f>T231</f>
        <v>0</v>
      </c>
      <c r="U253" s="161">
        <f>U231</f>
        <v>0</v>
      </c>
      <c r="V253" s="697"/>
      <c r="W253" s="973"/>
      <c r="X253" s="161"/>
      <c r="Y253" s="161"/>
      <c r="Z253" s="125"/>
      <c r="AA253" s="125"/>
      <c r="AB253" s="125"/>
      <c r="AC253" s="125"/>
      <c r="AD253" s="97"/>
      <c r="AE253" s="161"/>
      <c r="AF253" s="161"/>
      <c r="AG253" s="129"/>
      <c r="AH253" s="125"/>
      <c r="AI253" s="125"/>
      <c r="AJ253" s="97"/>
      <c r="AK253" s="161"/>
      <c r="AL253" s="161"/>
      <c r="AM253" s="129"/>
      <c r="AN253" s="125"/>
      <c r="AO253" s="125"/>
      <c r="AP253" s="97"/>
      <c r="AQ253" s="161"/>
      <c r="AR253" s="161"/>
      <c r="AS253" s="129"/>
      <c r="AT253" s="125"/>
      <c r="AU253" s="125"/>
      <c r="AV253" s="97"/>
      <c r="AW253" s="161"/>
      <c r="AX253" s="161"/>
      <c r="AY253" s="129"/>
      <c r="AZ253" s="125"/>
      <c r="BA253" s="125"/>
    </row>
    <row r="254" spans="1:53" s="4" customFormat="1" ht="17.100000000000001" customHeight="1" x14ac:dyDescent="0.25">
      <c r="A254" s="137"/>
      <c r="B254" s="40"/>
      <c r="C254" s="40"/>
      <c r="D254" s="121" t="s">
        <v>173</v>
      </c>
      <c r="E254" s="304"/>
      <c r="F254" s="304"/>
      <c r="G254" s="304"/>
      <c r="H254" s="320"/>
      <c r="I254" s="309"/>
      <c r="J254" s="161"/>
      <c r="K254" s="161"/>
      <c r="L254" s="161"/>
      <c r="M254" s="161"/>
      <c r="N254" s="161">
        <f>N226</f>
        <v>0</v>
      </c>
      <c r="O254" s="161">
        <v>2</v>
      </c>
      <c r="P254" s="161"/>
      <c r="Q254" s="161">
        <f>Q226</f>
        <v>0</v>
      </c>
      <c r="R254" s="161">
        <f>R226</f>
        <v>0</v>
      </c>
      <c r="S254" s="161"/>
      <c r="T254" s="161">
        <f>T226</f>
        <v>0</v>
      </c>
      <c r="U254" s="161">
        <f>U226</f>
        <v>0</v>
      </c>
      <c r="V254" s="697"/>
      <c r="W254" s="973"/>
      <c r="X254" s="161"/>
      <c r="Y254" s="161"/>
      <c r="Z254" s="125"/>
      <c r="AA254" s="125"/>
      <c r="AB254" s="125"/>
      <c r="AC254" s="125"/>
      <c r="AD254" s="97"/>
      <c r="AE254" s="161"/>
      <c r="AF254" s="161"/>
      <c r="AG254" s="129"/>
      <c r="AH254" s="125"/>
      <c r="AI254" s="125"/>
      <c r="AJ254" s="97"/>
      <c r="AK254" s="161"/>
      <c r="AL254" s="161"/>
      <c r="AM254" s="129"/>
      <c r="AN254" s="125"/>
      <c r="AO254" s="125"/>
      <c r="AP254" s="97"/>
      <c r="AQ254" s="161"/>
      <c r="AR254" s="161"/>
      <c r="AS254" s="129"/>
      <c r="AT254" s="125"/>
      <c r="AU254" s="125"/>
      <c r="AV254" s="97"/>
      <c r="AW254" s="161"/>
      <c r="AX254" s="161"/>
      <c r="AY254" s="129"/>
      <c r="AZ254" s="125"/>
      <c r="BA254" s="125"/>
    </row>
    <row r="255" spans="1:53" s="4" customFormat="1" ht="17.100000000000001" customHeight="1" x14ac:dyDescent="0.25">
      <c r="A255" s="137"/>
      <c r="B255" s="40"/>
      <c r="C255" s="40"/>
      <c r="D255" s="121" t="s">
        <v>544</v>
      </c>
      <c r="E255" s="304"/>
      <c r="F255" s="304"/>
      <c r="G255" s="304"/>
      <c r="H255" s="320"/>
      <c r="I255" s="309"/>
      <c r="J255" s="161"/>
      <c r="K255" s="161"/>
      <c r="L255" s="161"/>
      <c r="M255" s="161"/>
      <c r="N255" s="161">
        <f>N227</f>
        <v>1</v>
      </c>
      <c r="O255" s="161">
        <f>O227</f>
        <v>7</v>
      </c>
      <c r="P255" s="161"/>
      <c r="Q255" s="161">
        <f>Q227</f>
        <v>0</v>
      </c>
      <c r="R255" s="161">
        <f>R227</f>
        <v>4</v>
      </c>
      <c r="S255" s="161"/>
      <c r="T255" s="161">
        <f>T227</f>
        <v>0</v>
      </c>
      <c r="U255" s="161">
        <f>U227</f>
        <v>0</v>
      </c>
      <c r="V255" s="697"/>
      <c r="W255" s="973"/>
      <c r="X255" s="161"/>
      <c r="Y255" s="161"/>
      <c r="Z255" s="125"/>
      <c r="AA255" s="125"/>
      <c r="AB255" s="125"/>
      <c r="AC255" s="125"/>
      <c r="AD255" s="97"/>
      <c r="AE255" s="161"/>
      <c r="AF255" s="161"/>
      <c r="AG255" s="129"/>
      <c r="AH255" s="125"/>
      <c r="AI255" s="125"/>
      <c r="AJ255" s="97"/>
      <c r="AK255" s="161"/>
      <c r="AL255" s="161"/>
      <c r="AM255" s="129"/>
      <c r="AN255" s="125"/>
      <c r="AO255" s="125"/>
      <c r="AP255" s="97"/>
      <c r="AQ255" s="161"/>
      <c r="AR255" s="161"/>
      <c r="AS255" s="129"/>
      <c r="AT255" s="125"/>
      <c r="AU255" s="125"/>
      <c r="AV255" s="97"/>
      <c r="AW255" s="161"/>
      <c r="AX255" s="161"/>
      <c r="AY255" s="129"/>
      <c r="AZ255" s="125"/>
      <c r="BA255" s="125"/>
    </row>
    <row r="256" spans="1:53" s="4" customFormat="1" ht="17.100000000000001" customHeight="1" x14ac:dyDescent="0.25">
      <c r="A256" s="137"/>
      <c r="B256" s="40"/>
      <c r="C256" s="40"/>
      <c r="D256" s="121" t="s">
        <v>1449</v>
      </c>
      <c r="E256" s="304"/>
      <c r="F256" s="304"/>
      <c r="G256" s="304"/>
      <c r="H256" s="320"/>
      <c r="I256" s="309"/>
      <c r="J256" s="161"/>
      <c r="K256" s="161"/>
      <c r="L256" s="161"/>
      <c r="M256" s="161"/>
      <c r="N256" s="161">
        <f>N230</f>
        <v>500000</v>
      </c>
      <c r="O256" s="161">
        <f>O230</f>
        <v>400000</v>
      </c>
      <c r="P256" s="161"/>
      <c r="Q256" s="161">
        <f>Q230</f>
        <v>0</v>
      </c>
      <c r="R256" s="161">
        <f>R230</f>
        <v>65000</v>
      </c>
      <c r="S256" s="161"/>
      <c r="T256" s="161">
        <f>T230</f>
        <v>0</v>
      </c>
      <c r="U256" s="161">
        <f>U230</f>
        <v>0</v>
      </c>
      <c r="V256" s="697"/>
      <c r="W256" s="973"/>
      <c r="X256" s="161"/>
      <c r="Y256" s="161"/>
      <c r="Z256" s="125"/>
      <c r="AA256" s="125"/>
      <c r="AB256" s="125"/>
      <c r="AC256" s="125"/>
      <c r="AD256" s="97"/>
      <c r="AE256" s="161"/>
      <c r="AF256" s="161"/>
      <c r="AG256" s="129"/>
      <c r="AH256" s="125"/>
      <c r="AI256" s="125"/>
      <c r="AJ256" s="97"/>
      <c r="AK256" s="161"/>
      <c r="AL256" s="161"/>
      <c r="AM256" s="129"/>
      <c r="AN256" s="125"/>
      <c r="AO256" s="125"/>
      <c r="AP256" s="97"/>
      <c r="AQ256" s="161"/>
      <c r="AR256" s="161"/>
      <c r="AS256" s="129"/>
      <c r="AT256" s="125"/>
      <c r="AU256" s="125"/>
      <c r="AV256" s="97"/>
      <c r="AW256" s="161"/>
      <c r="AX256" s="161"/>
      <c r="AY256" s="129"/>
      <c r="AZ256" s="125"/>
      <c r="BA256" s="125"/>
    </row>
    <row r="257" spans="1:53" s="4" customFormat="1" ht="17.100000000000001" customHeight="1" x14ac:dyDescent="0.25">
      <c r="A257" s="137"/>
      <c r="B257" s="40"/>
      <c r="C257" s="40"/>
      <c r="D257" s="742"/>
      <c r="E257" s="304"/>
      <c r="F257" s="304"/>
      <c r="G257" s="304"/>
      <c r="H257" s="320"/>
      <c r="I257" s="309"/>
      <c r="J257" s="161"/>
      <c r="K257" s="161"/>
      <c r="L257" s="161"/>
      <c r="M257" s="161"/>
      <c r="N257" s="161"/>
      <c r="O257" s="161"/>
      <c r="P257" s="161"/>
      <c r="Q257" s="161"/>
      <c r="R257" s="161"/>
      <c r="S257" s="161"/>
      <c r="T257" s="161"/>
      <c r="U257" s="161"/>
      <c r="V257" s="697"/>
      <c r="W257" s="973"/>
      <c r="X257" s="161"/>
      <c r="Y257" s="161"/>
      <c r="Z257" s="125"/>
      <c r="AA257" s="125"/>
      <c r="AB257" s="125"/>
      <c r="AC257" s="125"/>
      <c r="AE257" s="161"/>
      <c r="AF257" s="161"/>
      <c r="AG257" s="123"/>
      <c r="AH257" s="125"/>
      <c r="AI257" s="125"/>
      <c r="AK257" s="161"/>
      <c r="AL257" s="161"/>
      <c r="AM257" s="123"/>
      <c r="AN257" s="125"/>
      <c r="AO257" s="125"/>
      <c r="AQ257" s="161"/>
      <c r="AR257" s="161"/>
      <c r="AS257" s="123"/>
      <c r="AT257" s="125"/>
      <c r="AU257" s="125"/>
      <c r="AW257" s="161"/>
      <c r="AX257" s="161"/>
      <c r="AY257" s="123"/>
      <c r="AZ257" s="125"/>
      <c r="BA257" s="125"/>
    </row>
    <row r="258" spans="1:53" s="4" customFormat="1" ht="17.100000000000001" customHeight="1" x14ac:dyDescent="0.25">
      <c r="A258" s="137"/>
      <c r="B258" s="40"/>
      <c r="C258" s="40">
        <v>1</v>
      </c>
      <c r="D258" s="700" t="s">
        <v>1450</v>
      </c>
      <c r="E258" s="974"/>
      <c r="F258" s="974"/>
      <c r="G258" s="974"/>
      <c r="H258" s="254"/>
      <c r="I258" s="207"/>
      <c r="J258" s="161"/>
      <c r="K258" s="161"/>
      <c r="L258" s="161"/>
      <c r="M258" s="161"/>
      <c r="N258" s="161" t="str">
        <f>IF(N$254&gt;0,0,"")</f>
        <v/>
      </c>
      <c r="O258" s="161">
        <f>IF(O$254&gt;0,0,"")</f>
        <v>0</v>
      </c>
      <c r="P258" s="161"/>
      <c r="Q258" s="161" t="str">
        <f>IF(Q$254&gt;0,0,"")</f>
        <v/>
      </c>
      <c r="R258" s="161" t="str">
        <f>IF(R$254&gt;0,0,"")</f>
        <v/>
      </c>
      <c r="S258" s="161"/>
      <c r="T258" s="161" t="str">
        <f>IF(T$254&gt;0,0,"")</f>
        <v/>
      </c>
      <c r="U258" s="161" t="str">
        <f>IF(U$254&gt;0,0,"")</f>
        <v/>
      </c>
      <c r="V258" s="697"/>
      <c r="W258" s="973"/>
      <c r="X258" s="161"/>
      <c r="Y258" s="161"/>
      <c r="Z258" s="125"/>
      <c r="AA258" s="125"/>
      <c r="AB258" s="125"/>
      <c r="AC258" s="125"/>
      <c r="AD258" s="97"/>
      <c r="AE258" s="161"/>
      <c r="AF258" s="161"/>
      <c r="AG258" s="129"/>
      <c r="AH258" s="125"/>
      <c r="AI258" s="125"/>
      <c r="AJ258" s="97"/>
      <c r="AK258" s="161"/>
      <c r="AL258" s="161"/>
      <c r="AM258" s="129"/>
      <c r="AN258" s="125"/>
      <c r="AO258" s="125"/>
      <c r="AP258" s="97"/>
      <c r="AQ258" s="161"/>
      <c r="AR258" s="161"/>
      <c r="AS258" s="129"/>
      <c r="AT258" s="125"/>
      <c r="AU258" s="125"/>
      <c r="AV258" s="97"/>
      <c r="AW258" s="161"/>
      <c r="AX258" s="161"/>
      <c r="AY258" s="129"/>
      <c r="AZ258" s="125"/>
      <c r="BA258" s="125"/>
    </row>
    <row r="259" spans="1:53" s="4" customFormat="1" ht="17.100000000000001" customHeight="1" x14ac:dyDescent="0.25">
      <c r="A259" s="137"/>
      <c r="B259" s="40"/>
      <c r="C259" s="40">
        <v>2</v>
      </c>
      <c r="D259" s="700" t="s">
        <v>1450</v>
      </c>
      <c r="E259" s="974"/>
      <c r="F259" s="974"/>
      <c r="G259" s="974"/>
      <c r="H259" s="254"/>
      <c r="I259" s="207"/>
      <c r="J259" s="161"/>
      <c r="K259" s="161"/>
      <c r="L259" s="161"/>
      <c r="M259" s="161"/>
      <c r="N259" s="161" t="str">
        <f>IF(N$254&gt;1,0,"")</f>
        <v/>
      </c>
      <c r="O259" s="161">
        <f>IF(O$254&gt;1,0,"")</f>
        <v>0</v>
      </c>
      <c r="P259" s="161"/>
      <c r="Q259" s="161" t="str">
        <f>IF(Q$254&gt;1,0,"")</f>
        <v/>
      </c>
      <c r="R259" s="161" t="str">
        <f>IF(R$254&gt;1,0,"")</f>
        <v/>
      </c>
      <c r="S259" s="161"/>
      <c r="T259" s="161" t="str">
        <f>IF(T$254&gt;1,0,"")</f>
        <v/>
      </c>
      <c r="U259" s="161" t="str">
        <f>IF(U$254&gt;1,0,"")</f>
        <v/>
      </c>
      <c r="V259" s="697"/>
      <c r="W259" s="973"/>
      <c r="X259" s="161"/>
      <c r="Y259" s="161"/>
      <c r="Z259" s="125"/>
      <c r="AA259" s="125"/>
      <c r="AB259" s="125"/>
      <c r="AC259" s="125"/>
      <c r="AE259" s="161"/>
      <c r="AF259" s="161"/>
      <c r="AG259" s="129"/>
      <c r="AH259" s="125"/>
      <c r="AI259" s="125"/>
      <c r="AK259" s="161"/>
      <c r="AL259" s="161"/>
      <c r="AM259" s="129"/>
      <c r="AN259" s="125"/>
      <c r="AO259" s="125"/>
      <c r="AQ259" s="161"/>
      <c r="AR259" s="161"/>
      <c r="AS259" s="129"/>
      <c r="AT259" s="125"/>
      <c r="AU259" s="125"/>
      <c r="AW259" s="161"/>
      <c r="AX259" s="161"/>
      <c r="AY259" s="129"/>
      <c r="AZ259" s="125"/>
      <c r="BA259" s="125"/>
    </row>
    <row r="260" spans="1:53" ht="17.100000000000001" customHeight="1" x14ac:dyDescent="0.25">
      <c r="A260" s="137"/>
      <c r="B260" s="40"/>
      <c r="C260" s="40">
        <v>3</v>
      </c>
      <c r="D260" s="700" t="s">
        <v>1450</v>
      </c>
      <c r="E260" s="122"/>
      <c r="F260" s="122"/>
      <c r="G260" s="122"/>
      <c r="H260" s="23"/>
      <c r="I260" s="12"/>
      <c r="J260" s="154"/>
      <c r="K260" s="154"/>
      <c r="L260" s="154"/>
      <c r="M260" s="154"/>
      <c r="N260" s="161" t="str">
        <f>IF(N$254&gt;2,0,"")</f>
        <v/>
      </c>
      <c r="O260" s="161" t="str">
        <f>IF(O$254&gt;2,0,"")</f>
        <v/>
      </c>
      <c r="P260" s="154"/>
      <c r="Q260" s="161" t="str">
        <f>IF(Q$254&gt;2,0,"")</f>
        <v/>
      </c>
      <c r="R260" s="161" t="str">
        <f>IF(R$254&gt;2,0,"")</f>
        <v/>
      </c>
      <c r="S260" s="154"/>
      <c r="T260" s="161" t="str">
        <f>IF(T$254&gt;2,0,"")</f>
        <v/>
      </c>
      <c r="U260" s="161" t="str">
        <f>IF(U$254&gt;2,0,"")</f>
        <v/>
      </c>
      <c r="V260" s="159"/>
      <c r="W260" s="387"/>
      <c r="X260" s="154"/>
      <c r="Y260" s="154"/>
      <c r="Z260" s="130"/>
      <c r="AA260" s="130"/>
      <c r="AB260" s="130"/>
      <c r="AC260" s="125"/>
      <c r="AE260" s="154"/>
      <c r="AF260" s="154"/>
      <c r="AG260" s="129"/>
      <c r="AH260" s="130"/>
      <c r="AI260" s="125"/>
      <c r="AK260" s="154"/>
      <c r="AL260" s="154"/>
      <c r="AM260" s="129"/>
      <c r="AN260" s="130"/>
      <c r="AO260" s="125"/>
      <c r="AQ260" s="154"/>
      <c r="AR260" s="154"/>
      <c r="AS260" s="129"/>
      <c r="AT260" s="130"/>
      <c r="AU260" s="125"/>
      <c r="AW260" s="154"/>
      <c r="AX260" s="154"/>
      <c r="AY260" s="129"/>
      <c r="AZ260" s="130"/>
      <c r="BA260" s="125"/>
    </row>
    <row r="261" spans="1:53" ht="17.100000000000001" customHeight="1" x14ac:dyDescent="0.25">
      <c r="A261" s="137"/>
      <c r="B261" s="40"/>
      <c r="C261" s="40">
        <v>4</v>
      </c>
      <c r="D261" s="700" t="s">
        <v>1450</v>
      </c>
      <c r="E261" s="122"/>
      <c r="F261" s="122"/>
      <c r="G261" s="122"/>
      <c r="H261" s="23"/>
      <c r="I261" s="12"/>
      <c r="J261" s="154"/>
      <c r="K261" s="154"/>
      <c r="L261" s="123"/>
      <c r="M261" s="123"/>
      <c r="N261" s="161" t="str">
        <f>IF(N$254&gt;3,0,"")</f>
        <v/>
      </c>
      <c r="O261" s="161" t="str">
        <f>IF(O$254&gt;3,0,"")</f>
        <v/>
      </c>
      <c r="P261" s="123"/>
      <c r="Q261" s="161" t="str">
        <f>IF(Q$254&gt;3,0,"")</f>
        <v/>
      </c>
      <c r="R261" s="161" t="str">
        <f>IF(R$254&gt;3,0,"")</f>
        <v/>
      </c>
      <c r="S261" s="123"/>
      <c r="T261" s="161" t="str">
        <f>IF(T$254&gt;3,0,"")</f>
        <v/>
      </c>
      <c r="U261" s="161" t="str">
        <f>IF(U$254&gt;3,0,"")</f>
        <v/>
      </c>
      <c r="V261" s="363"/>
      <c r="W261" s="383"/>
      <c r="X261" s="123"/>
      <c r="Y261" s="123"/>
      <c r="Z261" s="949"/>
      <c r="AA261" s="949"/>
      <c r="AB261" s="949"/>
      <c r="AC261" s="125"/>
      <c r="AE261" s="123"/>
      <c r="AF261" s="123"/>
      <c r="AG261" s="129"/>
      <c r="AH261" s="949"/>
      <c r="AI261" s="125"/>
      <c r="AK261" s="123"/>
      <c r="AL261" s="123"/>
      <c r="AM261" s="129"/>
      <c r="AN261" s="949"/>
      <c r="AO261" s="125"/>
      <c r="AQ261" s="123"/>
      <c r="AR261" s="123"/>
      <c r="AS261" s="129"/>
      <c r="AT261" s="949"/>
      <c r="AU261" s="125"/>
      <c r="AW261" s="123"/>
      <c r="AX261" s="123"/>
      <c r="AY261" s="129"/>
      <c r="AZ261" s="949"/>
      <c r="BA261" s="125"/>
    </row>
    <row r="262" spans="1:53" ht="17.100000000000001" customHeight="1" x14ac:dyDescent="0.25">
      <c r="A262" s="137"/>
      <c r="B262" s="40"/>
      <c r="C262" s="40">
        <v>5</v>
      </c>
      <c r="D262" s="700" t="s">
        <v>1450</v>
      </c>
      <c r="E262" s="122"/>
      <c r="F262" s="122"/>
      <c r="G262" s="122"/>
      <c r="H262" s="23"/>
      <c r="I262" s="12"/>
      <c r="J262" s="154"/>
      <c r="K262" s="154"/>
      <c r="L262" s="154"/>
      <c r="M262" s="154"/>
      <c r="N262" s="161" t="str">
        <f>IF(N$254&gt;4,0,"")</f>
        <v/>
      </c>
      <c r="O262" s="161" t="str">
        <f>IF(O$254&gt;4,0,"")</f>
        <v/>
      </c>
      <c r="P262" s="154"/>
      <c r="Q262" s="161" t="str">
        <f>IF(Q$254&gt;4,0,"")</f>
        <v/>
      </c>
      <c r="R262" s="161" t="str">
        <f>IF(R$254&gt;4,0,"")</f>
        <v/>
      </c>
      <c r="S262" s="154"/>
      <c r="T262" s="161" t="str">
        <f>IF(T$254&gt;4,0,"")</f>
        <v/>
      </c>
      <c r="U262" s="161" t="str">
        <f>IF(U$254&gt;4,0,"")</f>
        <v/>
      </c>
      <c r="V262" s="159"/>
      <c r="W262" s="387"/>
      <c r="X262" s="154"/>
      <c r="Y262" s="154"/>
      <c r="Z262" s="130"/>
      <c r="AA262" s="130"/>
      <c r="AB262" s="130"/>
      <c r="AC262" s="125"/>
      <c r="AE262" s="154"/>
      <c r="AF262" s="154"/>
      <c r="AG262" s="129"/>
      <c r="AH262" s="130"/>
      <c r="AI262" s="125"/>
      <c r="AK262" s="154"/>
      <c r="AL262" s="154"/>
      <c r="AM262" s="129"/>
      <c r="AN262" s="130"/>
      <c r="AO262" s="125"/>
      <c r="AQ262" s="154"/>
      <c r="AR262" s="154"/>
      <c r="AS262" s="129"/>
      <c r="AT262" s="130"/>
      <c r="AU262" s="125"/>
      <c r="AW262" s="154"/>
      <c r="AX262" s="154"/>
      <c r="AY262" s="129"/>
      <c r="AZ262" s="130"/>
      <c r="BA262" s="125"/>
    </row>
    <row r="263" spans="1:53" ht="17.100000000000001" customHeight="1" x14ac:dyDescent="0.25">
      <c r="A263" s="137"/>
      <c r="B263" s="40"/>
      <c r="C263" s="40">
        <v>6</v>
      </c>
      <c r="D263" s="700" t="s">
        <v>1450</v>
      </c>
      <c r="E263" s="122"/>
      <c r="F263" s="122"/>
      <c r="G263" s="122"/>
      <c r="H263" s="23"/>
      <c r="I263" s="12"/>
      <c r="J263" s="154"/>
      <c r="K263" s="154"/>
      <c r="L263" s="154"/>
      <c r="M263" s="154"/>
      <c r="N263" s="161" t="str">
        <f>IF(N$254&gt;5,0,"")</f>
        <v/>
      </c>
      <c r="O263" s="161" t="str">
        <f>IF(O$254&gt;5,0,"")</f>
        <v/>
      </c>
      <c r="P263" s="154"/>
      <c r="Q263" s="161" t="str">
        <f>IF(Q$254&gt;5,0,"")</f>
        <v/>
      </c>
      <c r="R263" s="161" t="str">
        <f>IF(R$254&gt;5,0,"")</f>
        <v/>
      </c>
      <c r="S263" s="154"/>
      <c r="T263" s="161" t="str">
        <f>IF(T$254&gt;5,0,"")</f>
        <v/>
      </c>
      <c r="U263" s="161" t="str">
        <f>IF(U$254&gt;5,0,"")</f>
        <v/>
      </c>
      <c r="V263" s="159"/>
      <c r="W263" s="387"/>
      <c r="X263" s="154"/>
      <c r="Y263" s="154"/>
      <c r="Z263" s="130"/>
      <c r="AA263" s="130"/>
      <c r="AB263" s="130"/>
      <c r="AC263" s="125"/>
      <c r="AE263" s="154"/>
      <c r="AF263" s="154"/>
      <c r="AG263" s="129"/>
      <c r="AH263" s="130"/>
      <c r="AI263" s="125"/>
      <c r="AK263" s="154"/>
      <c r="AL263" s="154"/>
      <c r="AM263" s="129"/>
      <c r="AN263" s="130"/>
      <c r="AO263" s="125"/>
      <c r="AQ263" s="154"/>
      <c r="AR263" s="154"/>
      <c r="AS263" s="129"/>
      <c r="AT263" s="130"/>
      <c r="AU263" s="125"/>
      <c r="AW263" s="154"/>
      <c r="AX263" s="154"/>
      <c r="AY263" s="129"/>
      <c r="AZ263" s="130"/>
      <c r="BA263" s="125"/>
    </row>
    <row r="264" spans="1:53" ht="17.100000000000001" customHeight="1" x14ac:dyDescent="0.25">
      <c r="A264" s="137"/>
      <c r="B264" s="40"/>
      <c r="C264" s="40">
        <v>7</v>
      </c>
      <c r="D264" s="700" t="s">
        <v>1450</v>
      </c>
      <c r="E264" s="122"/>
      <c r="F264" s="122"/>
      <c r="G264" s="122"/>
      <c r="H264" s="23"/>
      <c r="I264" s="12"/>
      <c r="J264" s="154"/>
      <c r="K264" s="154"/>
      <c r="L264" s="154"/>
      <c r="M264" s="154"/>
      <c r="N264" s="161" t="str">
        <f>IF(N$254&gt;6,0,"")</f>
        <v/>
      </c>
      <c r="O264" s="161" t="str">
        <f>IF(O$254&gt;6,0,"")</f>
        <v/>
      </c>
      <c r="P264" s="154"/>
      <c r="Q264" s="161" t="str">
        <f>IF(Q$254&gt;6,0,"")</f>
        <v/>
      </c>
      <c r="R264" s="161" t="str">
        <f>IF(R$254&gt;6,0,"")</f>
        <v/>
      </c>
      <c r="S264" s="154"/>
      <c r="T264" s="161" t="str">
        <f>IF(T$254&gt;6,0,"")</f>
        <v/>
      </c>
      <c r="U264" s="161" t="str">
        <f>IF(U$254&gt;6,0,"")</f>
        <v/>
      </c>
      <c r="V264" s="159"/>
      <c r="W264" s="387"/>
      <c r="X264" s="154"/>
      <c r="Y264" s="154"/>
      <c r="Z264" s="130"/>
      <c r="AA264" s="130"/>
      <c r="AB264" s="130"/>
      <c r="AC264" s="125"/>
      <c r="AE264" s="154"/>
      <c r="AF264" s="154"/>
      <c r="AG264" s="129"/>
      <c r="AH264" s="130"/>
      <c r="AI264" s="125"/>
      <c r="AK264" s="154"/>
      <c r="AL264" s="154"/>
      <c r="AM264" s="129"/>
      <c r="AN264" s="130"/>
      <c r="AO264" s="125"/>
      <c r="AQ264" s="154"/>
      <c r="AR264" s="154"/>
      <c r="AS264" s="129"/>
      <c r="AT264" s="130"/>
      <c r="AU264" s="125"/>
      <c r="AW264" s="154"/>
      <c r="AX264" s="154"/>
      <c r="AY264" s="129"/>
      <c r="AZ264" s="130"/>
      <c r="BA264" s="125"/>
    </row>
    <row r="265" spans="1:53" ht="17.100000000000001" customHeight="1" x14ac:dyDescent="0.25">
      <c r="A265" s="137"/>
      <c r="B265" s="40"/>
      <c r="C265" s="40">
        <v>8</v>
      </c>
      <c r="D265" s="700" t="s">
        <v>1450</v>
      </c>
      <c r="E265" s="122"/>
      <c r="F265" s="122"/>
      <c r="G265" s="122"/>
      <c r="H265" s="23"/>
      <c r="I265" s="12"/>
      <c r="J265" s="154"/>
      <c r="K265" s="154"/>
      <c r="L265" s="154"/>
      <c r="M265" s="154"/>
      <c r="N265" s="161" t="str">
        <f>IF(N$254&gt;7,0,"")</f>
        <v/>
      </c>
      <c r="O265" s="161" t="str">
        <f>IF(O$254&gt;7,0,"")</f>
        <v/>
      </c>
      <c r="P265" s="154"/>
      <c r="Q265" s="161" t="str">
        <f>IF(Q$254&gt;7,0,"")</f>
        <v/>
      </c>
      <c r="R265" s="161" t="str">
        <f>IF(R$254&gt;7,0,"")</f>
        <v/>
      </c>
      <c r="S265" s="154"/>
      <c r="T265" s="161" t="str">
        <f>IF(T$254&gt;7,0,"")</f>
        <v/>
      </c>
      <c r="U265" s="161" t="str">
        <f>IF(U$254&gt;7,0,"")</f>
        <v/>
      </c>
      <c r="V265" s="159"/>
      <c r="W265" s="387"/>
      <c r="X265" s="154"/>
      <c r="Y265" s="154"/>
      <c r="Z265" s="130"/>
      <c r="AA265" s="130"/>
      <c r="AB265" s="130"/>
      <c r="AC265" s="125"/>
      <c r="AE265" s="154"/>
      <c r="AF265" s="154"/>
      <c r="AG265" s="129"/>
      <c r="AH265" s="130"/>
      <c r="AI265" s="125"/>
      <c r="AK265" s="154"/>
      <c r="AL265" s="154"/>
      <c r="AM265" s="129"/>
      <c r="AN265" s="130"/>
      <c r="AO265" s="125"/>
      <c r="AQ265" s="154"/>
      <c r="AR265" s="154"/>
      <c r="AS265" s="129"/>
      <c r="AT265" s="130"/>
      <c r="AU265" s="125"/>
      <c r="AW265" s="154"/>
      <c r="AX265" s="154"/>
      <c r="AY265" s="129"/>
      <c r="AZ265" s="130"/>
      <c r="BA265" s="125"/>
    </row>
    <row r="266" spans="1:53" ht="17.100000000000001" customHeight="1" x14ac:dyDescent="0.25">
      <c r="A266" s="137"/>
      <c r="B266" s="40"/>
      <c r="C266" s="40">
        <v>9</v>
      </c>
      <c r="D266" s="700" t="s">
        <v>1450</v>
      </c>
      <c r="E266" s="122"/>
      <c r="F266" s="122"/>
      <c r="G266" s="122"/>
      <c r="H266" s="23"/>
      <c r="I266" s="12"/>
      <c r="J266" s="154"/>
      <c r="K266" s="154"/>
      <c r="L266" s="154"/>
      <c r="M266" s="154"/>
      <c r="N266" s="161" t="str">
        <f>IF(N$254&gt;8,0,"")</f>
        <v/>
      </c>
      <c r="O266" s="161" t="str">
        <f>IF(O$254&gt;8,0,"")</f>
        <v/>
      </c>
      <c r="P266" s="154"/>
      <c r="Q266" s="161" t="str">
        <f>IF(Q$254&gt;8,0,"")</f>
        <v/>
      </c>
      <c r="R266" s="161" t="str">
        <f>IF(R$254&gt;8,0,"")</f>
        <v/>
      </c>
      <c r="S266" s="154"/>
      <c r="T266" s="161" t="str">
        <f>IF(T$254&gt;8,0,"")</f>
        <v/>
      </c>
      <c r="U266" s="161" t="str">
        <f>IF(U$254&gt;8,0,"")</f>
        <v/>
      </c>
      <c r="V266" s="159"/>
      <c r="W266" s="387"/>
      <c r="X266" s="154"/>
      <c r="Y266" s="154"/>
      <c r="Z266" s="130"/>
      <c r="AA266" s="130"/>
      <c r="AB266" s="130"/>
      <c r="AC266" s="125"/>
      <c r="AE266" s="154"/>
      <c r="AF266" s="154"/>
      <c r="AG266" s="129"/>
      <c r="AH266" s="130"/>
      <c r="AI266" s="125"/>
      <c r="AK266" s="154"/>
      <c r="AL266" s="154"/>
      <c r="AM266" s="129"/>
      <c r="AN266" s="130"/>
      <c r="AO266" s="125"/>
      <c r="AQ266" s="154"/>
      <c r="AR266" s="154"/>
      <c r="AS266" s="129"/>
      <c r="AT266" s="130"/>
      <c r="AU266" s="125"/>
      <c r="AW266" s="154"/>
      <c r="AX266" s="154"/>
      <c r="AY266" s="129"/>
      <c r="AZ266" s="130"/>
      <c r="BA266" s="125"/>
    </row>
    <row r="267" spans="1:53" ht="17.100000000000001" customHeight="1" x14ac:dyDescent="0.25">
      <c r="A267" s="137"/>
      <c r="B267" s="40"/>
      <c r="C267" s="40">
        <v>10</v>
      </c>
      <c r="D267" s="700" t="s">
        <v>1450</v>
      </c>
      <c r="E267" s="122"/>
      <c r="F267" s="122"/>
      <c r="G267" s="122"/>
      <c r="H267" s="23"/>
      <c r="I267" s="12"/>
      <c r="J267" s="154"/>
      <c r="K267" s="154"/>
      <c r="L267" s="154"/>
      <c r="M267" s="154"/>
      <c r="N267" s="161" t="str">
        <f>IF(N$254&gt;9,0,"")</f>
        <v/>
      </c>
      <c r="O267" s="161" t="str">
        <f>IF(O$254&gt;9,0,"")</f>
        <v/>
      </c>
      <c r="P267" s="154"/>
      <c r="Q267" s="161" t="str">
        <f>IF(Q$254&gt;9,0,"")</f>
        <v/>
      </c>
      <c r="R267" s="161" t="str">
        <f>IF(R$254&gt;9,0,"")</f>
        <v/>
      </c>
      <c r="S267" s="154"/>
      <c r="T267" s="161" t="str">
        <f>IF(T$254&gt;9,0,"")</f>
        <v/>
      </c>
      <c r="U267" s="161" t="str">
        <f>IF(U$254&gt;9,0,"")</f>
        <v/>
      </c>
      <c r="V267" s="159"/>
      <c r="W267" s="387"/>
      <c r="X267" s="154"/>
      <c r="Y267" s="154"/>
      <c r="Z267" s="130"/>
      <c r="AA267" s="130"/>
      <c r="AB267" s="130"/>
      <c r="AC267" s="125"/>
      <c r="AE267" s="154"/>
      <c r="AF267" s="154"/>
      <c r="AG267" s="129"/>
      <c r="AH267" s="130"/>
      <c r="AI267" s="125"/>
      <c r="AK267" s="154"/>
      <c r="AL267" s="154"/>
      <c r="AM267" s="129"/>
      <c r="AN267" s="130"/>
      <c r="AO267" s="125"/>
      <c r="AQ267" s="154"/>
      <c r="AR267" s="154"/>
      <c r="AS267" s="129"/>
      <c r="AT267" s="130"/>
      <c r="AU267" s="125"/>
      <c r="AW267" s="154"/>
      <c r="AX267" s="154"/>
      <c r="AY267" s="129"/>
      <c r="AZ267" s="130"/>
      <c r="BA267" s="125"/>
    </row>
    <row r="268" spans="1:53" ht="17.100000000000001" customHeight="1" x14ac:dyDescent="0.25">
      <c r="A268" s="137"/>
      <c r="B268" s="40"/>
      <c r="C268" s="40">
        <v>1</v>
      </c>
      <c r="D268" s="128" t="s">
        <v>1449</v>
      </c>
      <c r="E268" s="122"/>
      <c r="F268" s="122"/>
      <c r="G268" s="122"/>
      <c r="H268" s="23"/>
      <c r="I268" s="12"/>
      <c r="J268" s="154"/>
      <c r="K268" s="154"/>
      <c r="L268" s="154"/>
      <c r="M268" s="154"/>
      <c r="N268" s="161">
        <f>IF(N$255&gt;0,N$256,"")</f>
        <v>500000</v>
      </c>
      <c r="O268" s="161">
        <f>IF(O$255&gt;0,O$256,"")</f>
        <v>400000</v>
      </c>
      <c r="P268" s="154"/>
      <c r="Q268" s="161" t="str">
        <f>IF(Q$255&gt;0,Q$256,"")</f>
        <v/>
      </c>
      <c r="R268" s="161">
        <f>IF(R$255&gt;0,R$256,"")</f>
        <v>65000</v>
      </c>
      <c r="S268" s="154"/>
      <c r="T268" s="161" t="str">
        <f>IF(T$255&gt;0,T$256,"")</f>
        <v/>
      </c>
      <c r="U268" s="161" t="str">
        <f>IF(U$255&gt;0,U$256,"")</f>
        <v/>
      </c>
      <c r="V268" s="159"/>
      <c r="W268" s="387"/>
      <c r="X268" s="154"/>
      <c r="Y268" s="154"/>
      <c r="Z268" s="130"/>
      <c r="AA268" s="130"/>
      <c r="AB268" s="130"/>
      <c r="AC268" s="125"/>
      <c r="AE268" s="154"/>
      <c r="AF268" s="154"/>
      <c r="AG268" s="129"/>
      <c r="AH268" s="130"/>
      <c r="AI268" s="125"/>
      <c r="AK268" s="154"/>
      <c r="AL268" s="154"/>
      <c r="AM268" s="129"/>
      <c r="AN268" s="130"/>
      <c r="AO268" s="125"/>
      <c r="AQ268" s="154"/>
      <c r="AR268" s="154"/>
      <c r="AS268" s="129"/>
      <c r="AT268" s="130"/>
      <c r="AU268" s="125"/>
      <c r="AW268" s="154"/>
      <c r="AX268" s="154"/>
      <c r="AY268" s="129"/>
      <c r="AZ268" s="130"/>
      <c r="BA268" s="125"/>
    </row>
    <row r="269" spans="1:53" ht="17.100000000000001" customHeight="1" x14ac:dyDescent="0.25">
      <c r="A269" s="137"/>
      <c r="B269" s="40"/>
      <c r="C269" s="40">
        <v>2</v>
      </c>
      <c r="D269" s="128" t="s">
        <v>1449</v>
      </c>
      <c r="E269" s="122"/>
      <c r="F269" s="122"/>
      <c r="G269" s="122"/>
      <c r="H269" s="23"/>
      <c r="I269" s="12"/>
      <c r="J269" s="154"/>
      <c r="K269" s="154"/>
      <c r="L269" s="154"/>
      <c r="M269" s="154"/>
      <c r="N269" s="161" t="str">
        <f>IF(N$255&gt;1,N$256,"")</f>
        <v/>
      </c>
      <c r="O269" s="161">
        <f>IF(O$255&gt;1,O$256,"")</f>
        <v>400000</v>
      </c>
      <c r="P269" s="154"/>
      <c r="Q269" s="161" t="str">
        <f>IF(Q$255&gt;1,Q$256,"")</f>
        <v/>
      </c>
      <c r="R269" s="161">
        <f>IF(R$255&gt;1,R$256,"")</f>
        <v>65000</v>
      </c>
      <c r="S269" s="154"/>
      <c r="T269" s="161" t="str">
        <f>IF(T$255&gt;1,T$256,"")</f>
        <v/>
      </c>
      <c r="U269" s="161" t="str">
        <f>IF(U$255&gt;1,U$256,"")</f>
        <v/>
      </c>
      <c r="V269" s="159"/>
      <c r="W269" s="387"/>
      <c r="X269" s="154"/>
      <c r="Y269" s="154"/>
      <c r="Z269" s="130"/>
      <c r="AA269" s="130"/>
      <c r="AB269" s="130"/>
      <c r="AC269" s="125"/>
      <c r="AE269" s="154"/>
      <c r="AF269" s="154"/>
      <c r="AG269" s="129"/>
      <c r="AH269" s="130"/>
      <c r="AI269" s="125"/>
      <c r="AK269" s="154"/>
      <c r="AL269" s="154"/>
      <c r="AM269" s="129"/>
      <c r="AN269" s="130"/>
      <c r="AO269" s="125"/>
      <c r="AQ269" s="154"/>
      <c r="AR269" s="154"/>
      <c r="AS269" s="129"/>
      <c r="AT269" s="130"/>
      <c r="AU269" s="125"/>
      <c r="AW269" s="154"/>
      <c r="AX269" s="154"/>
      <c r="AY269" s="129"/>
      <c r="AZ269" s="130"/>
      <c r="BA269" s="125"/>
    </row>
    <row r="270" spans="1:53" ht="17.100000000000001" customHeight="1" x14ac:dyDescent="0.25">
      <c r="A270" s="137"/>
      <c r="B270" s="40"/>
      <c r="C270" s="40">
        <v>3</v>
      </c>
      <c r="D270" s="128" t="s">
        <v>1449</v>
      </c>
      <c r="E270" s="122"/>
      <c r="F270" s="122"/>
      <c r="G270" s="122"/>
      <c r="H270" s="23"/>
      <c r="I270" s="12"/>
      <c r="J270" s="154"/>
      <c r="K270" s="154"/>
      <c r="L270" s="154"/>
      <c r="M270" s="154"/>
      <c r="N270" s="161" t="str">
        <f>IF(N$255&gt;2,N$256,"")</f>
        <v/>
      </c>
      <c r="O270" s="161">
        <f>IF(O$255&gt;2,O$256,"")</f>
        <v>400000</v>
      </c>
      <c r="P270" s="154"/>
      <c r="Q270" s="161" t="str">
        <f>IF(Q$255&gt;2,Q$256,"")</f>
        <v/>
      </c>
      <c r="R270" s="161">
        <f>IF(R$255&gt;2,R$256,"")</f>
        <v>65000</v>
      </c>
      <c r="S270" s="154"/>
      <c r="T270" s="161" t="str">
        <f>IF(T$255&gt;2,T$256,"")</f>
        <v/>
      </c>
      <c r="U270" s="161" t="str">
        <f>IF(U$255&gt;2,U$256,"")</f>
        <v/>
      </c>
      <c r="V270" s="159"/>
      <c r="W270" s="387"/>
      <c r="X270" s="154"/>
      <c r="Y270" s="154"/>
      <c r="Z270" s="130"/>
      <c r="AA270" s="130"/>
      <c r="AB270" s="130"/>
      <c r="AC270" s="125"/>
      <c r="AE270" s="154"/>
      <c r="AF270" s="154"/>
      <c r="AG270" s="129"/>
      <c r="AH270" s="130"/>
      <c r="AI270" s="125"/>
      <c r="AK270" s="154"/>
      <c r="AL270" s="154"/>
      <c r="AM270" s="129"/>
      <c r="AN270" s="130"/>
      <c r="AO270" s="125"/>
      <c r="AQ270" s="154"/>
      <c r="AR270" s="154"/>
      <c r="AS270" s="129"/>
      <c r="AT270" s="130"/>
      <c r="AU270" s="125"/>
      <c r="AW270" s="154"/>
      <c r="AX270" s="154"/>
      <c r="AY270" s="129"/>
      <c r="AZ270" s="130"/>
      <c r="BA270" s="125"/>
    </row>
    <row r="271" spans="1:53" ht="17.100000000000001" customHeight="1" x14ac:dyDescent="0.25">
      <c r="A271" s="137"/>
      <c r="B271" s="40"/>
      <c r="C271" s="40">
        <v>4</v>
      </c>
      <c r="D271" s="128" t="s">
        <v>1449</v>
      </c>
      <c r="E271" s="122"/>
      <c r="F271" s="122"/>
      <c r="G271" s="122"/>
      <c r="H271" s="23"/>
      <c r="I271" s="12"/>
      <c r="J271" s="154"/>
      <c r="K271" s="154"/>
      <c r="L271" s="154"/>
      <c r="M271" s="154"/>
      <c r="N271" s="161" t="str">
        <f>IF(N$255&gt;3,N$256,"")</f>
        <v/>
      </c>
      <c r="O271" s="161">
        <f>IF(O$255&gt;3,O$256,"")</f>
        <v>400000</v>
      </c>
      <c r="P271" s="154"/>
      <c r="Q271" s="161" t="str">
        <f>IF(Q$255&gt;3,Q$256,"")</f>
        <v/>
      </c>
      <c r="R271" s="161">
        <f>IF(R$255&gt;3,R$256,"")</f>
        <v>65000</v>
      </c>
      <c r="S271" s="154"/>
      <c r="T271" s="161" t="str">
        <f>IF(T$255&gt;3,T$256,"")</f>
        <v/>
      </c>
      <c r="U271" s="161" t="str">
        <f>IF(U$255&gt;3,U$256,"")</f>
        <v/>
      </c>
      <c r="V271" s="159"/>
      <c r="W271" s="387"/>
      <c r="X271" s="154"/>
      <c r="Y271" s="154"/>
      <c r="Z271" s="130"/>
      <c r="AA271" s="130"/>
      <c r="AB271" s="130"/>
      <c r="AC271" s="125"/>
      <c r="AE271" s="154"/>
      <c r="AF271" s="154"/>
      <c r="AG271" s="129"/>
      <c r="AH271" s="130"/>
      <c r="AI271" s="125"/>
      <c r="AK271" s="154"/>
      <c r="AL271" s="154"/>
      <c r="AM271" s="129"/>
      <c r="AN271" s="130"/>
      <c r="AO271" s="125"/>
      <c r="AQ271" s="154"/>
      <c r="AR271" s="154"/>
      <c r="AS271" s="129"/>
      <c r="AT271" s="130"/>
      <c r="AU271" s="125"/>
      <c r="AW271" s="154"/>
      <c r="AX271" s="154"/>
      <c r="AY271" s="129"/>
      <c r="AZ271" s="130"/>
      <c r="BA271" s="125"/>
    </row>
    <row r="272" spans="1:53" ht="17.100000000000001" customHeight="1" x14ac:dyDescent="0.25">
      <c r="A272" s="137"/>
      <c r="B272" s="40"/>
      <c r="C272" s="40">
        <v>5</v>
      </c>
      <c r="D272" s="128" t="s">
        <v>1449</v>
      </c>
      <c r="E272" s="122"/>
      <c r="F272" s="122"/>
      <c r="G272" s="122"/>
      <c r="H272" s="23"/>
      <c r="I272" s="12"/>
      <c r="J272" s="154"/>
      <c r="K272" s="154"/>
      <c r="L272" s="154"/>
      <c r="M272" s="154"/>
      <c r="N272" s="161" t="str">
        <f>IF(N$255&gt;4,N$256,"")</f>
        <v/>
      </c>
      <c r="O272" s="161">
        <f>IF(O$255&gt;4,O$256,"")</f>
        <v>400000</v>
      </c>
      <c r="P272" s="154"/>
      <c r="Q272" s="161" t="str">
        <f>IF(Q$255&gt;4,Q$256,"")</f>
        <v/>
      </c>
      <c r="R272" s="161" t="str">
        <f>IF(R$255&gt;4,R$256,"")</f>
        <v/>
      </c>
      <c r="S272" s="154"/>
      <c r="T272" s="161" t="str">
        <f>IF(T$255&gt;4,T$256,"")</f>
        <v/>
      </c>
      <c r="U272" s="161" t="str">
        <f>IF(U$255&gt;4,U$256,"")</f>
        <v/>
      </c>
      <c r="V272" s="159"/>
      <c r="W272" s="387"/>
      <c r="X272" s="154"/>
      <c r="Y272" s="154"/>
      <c r="Z272" s="130"/>
      <c r="AA272" s="130"/>
      <c r="AB272" s="130"/>
      <c r="AC272" s="125"/>
      <c r="AE272" s="154"/>
      <c r="AF272" s="154"/>
      <c r="AG272" s="129"/>
      <c r="AH272" s="130"/>
      <c r="AI272" s="125"/>
      <c r="AK272" s="154"/>
      <c r="AL272" s="154"/>
      <c r="AM272" s="129"/>
      <c r="AN272" s="130"/>
      <c r="AO272" s="125"/>
      <c r="AQ272" s="154"/>
      <c r="AR272" s="154"/>
      <c r="AS272" s="129"/>
      <c r="AT272" s="130"/>
      <c r="AU272" s="125"/>
      <c r="AW272" s="154"/>
      <c r="AX272" s="154"/>
      <c r="AY272" s="129"/>
      <c r="AZ272" s="130"/>
      <c r="BA272" s="125"/>
    </row>
    <row r="273" spans="1:53" ht="17.100000000000001" customHeight="1" x14ac:dyDescent="0.25">
      <c r="A273" s="137"/>
      <c r="B273" s="40"/>
      <c r="C273" s="40">
        <v>6</v>
      </c>
      <c r="D273" s="128" t="s">
        <v>1449</v>
      </c>
      <c r="E273" s="122"/>
      <c r="F273" s="122"/>
      <c r="G273" s="122"/>
      <c r="H273" s="23"/>
      <c r="I273" s="12"/>
      <c r="J273" s="154"/>
      <c r="K273" s="154"/>
      <c r="L273" s="154"/>
      <c r="M273" s="154"/>
      <c r="N273" s="161" t="str">
        <f>IF(N$255&gt;5,N$256,"")</f>
        <v/>
      </c>
      <c r="O273" s="161">
        <f>IF(O$255&gt;5,O$256,"")</f>
        <v>400000</v>
      </c>
      <c r="P273" s="154"/>
      <c r="Q273" s="161" t="str">
        <f>IF(Q$255&gt;5,Q$256,"")</f>
        <v/>
      </c>
      <c r="R273" s="161" t="str">
        <f>IF(R$255&gt;5,R$256,"")</f>
        <v/>
      </c>
      <c r="S273" s="154"/>
      <c r="T273" s="161" t="str">
        <f>IF(T$255&gt;5,T$256,"")</f>
        <v/>
      </c>
      <c r="U273" s="161" t="str">
        <f>IF(U$255&gt;5,U$256,"")</f>
        <v/>
      </c>
      <c r="V273" s="159"/>
      <c r="W273" s="387"/>
      <c r="X273" s="154"/>
      <c r="Y273" s="154"/>
      <c r="Z273" s="130"/>
      <c r="AA273" s="130"/>
      <c r="AB273" s="130"/>
      <c r="AC273" s="125"/>
      <c r="AE273" s="154"/>
      <c r="AF273" s="154"/>
      <c r="AG273" s="129"/>
      <c r="AH273" s="130"/>
      <c r="AI273" s="125"/>
      <c r="AK273" s="154"/>
      <c r="AL273" s="154"/>
      <c r="AM273" s="129"/>
      <c r="AN273" s="130"/>
      <c r="AO273" s="125"/>
      <c r="AQ273" s="154"/>
      <c r="AR273" s="154"/>
      <c r="AS273" s="129"/>
      <c r="AT273" s="130"/>
      <c r="AU273" s="125"/>
      <c r="AW273" s="154"/>
      <c r="AX273" s="154"/>
      <c r="AY273" s="129"/>
      <c r="AZ273" s="130"/>
      <c r="BA273" s="125"/>
    </row>
    <row r="274" spans="1:53" ht="17.100000000000001" customHeight="1" x14ac:dyDescent="0.25">
      <c r="A274" s="137"/>
      <c r="B274" s="40"/>
      <c r="C274" s="40">
        <v>7</v>
      </c>
      <c r="D274" s="128" t="s">
        <v>1449</v>
      </c>
      <c r="E274" s="122"/>
      <c r="F274" s="122"/>
      <c r="G274" s="122"/>
      <c r="H274" s="23"/>
      <c r="I274" s="12"/>
      <c r="J274" s="154"/>
      <c r="K274" s="154"/>
      <c r="L274" s="154"/>
      <c r="M274" s="154"/>
      <c r="N274" s="161" t="str">
        <f>IF(N$255&gt;6,N$256,"")</f>
        <v/>
      </c>
      <c r="O274" s="161">
        <f>IF(O$255&gt;6,O$256,"")</f>
        <v>400000</v>
      </c>
      <c r="P274" s="154"/>
      <c r="Q274" s="161" t="str">
        <f>IF(Q$255&gt;6,Q$256,"")</f>
        <v/>
      </c>
      <c r="R274" s="161" t="str">
        <f>IF(R$255&gt;6,R$256,"")</f>
        <v/>
      </c>
      <c r="S274" s="154"/>
      <c r="T274" s="161" t="str">
        <f>IF(T$255&gt;6,T$256,"")</f>
        <v/>
      </c>
      <c r="U274" s="161" t="str">
        <f>IF(U$255&gt;6,U$256,"")</f>
        <v/>
      </c>
      <c r="V274" s="159"/>
      <c r="W274" s="387"/>
      <c r="X274" s="154"/>
      <c r="Y274" s="154"/>
      <c r="Z274" s="130"/>
      <c r="AA274" s="130"/>
      <c r="AB274" s="130"/>
      <c r="AC274" s="125"/>
      <c r="AE274" s="154"/>
      <c r="AF274" s="154"/>
      <c r="AG274" s="129"/>
      <c r="AH274" s="130"/>
      <c r="AI274" s="125"/>
      <c r="AK274" s="154"/>
      <c r="AL274" s="154"/>
      <c r="AM274" s="129"/>
      <c r="AN274" s="130"/>
      <c r="AO274" s="125"/>
      <c r="AQ274" s="154"/>
      <c r="AR274" s="154"/>
      <c r="AS274" s="129"/>
      <c r="AT274" s="130"/>
      <c r="AU274" s="125"/>
      <c r="AW274" s="154"/>
      <c r="AX274" s="154"/>
      <c r="AY274" s="129"/>
      <c r="AZ274" s="130"/>
      <c r="BA274" s="125"/>
    </row>
    <row r="275" spans="1:53" ht="17.100000000000001" customHeight="1" x14ac:dyDescent="0.25">
      <c r="A275" s="137"/>
      <c r="B275" s="40"/>
      <c r="C275" s="40">
        <v>8</v>
      </c>
      <c r="D275" s="128" t="s">
        <v>1449</v>
      </c>
      <c r="E275" s="122"/>
      <c r="F275" s="122"/>
      <c r="G275" s="122"/>
      <c r="H275" s="23"/>
      <c r="I275" s="12"/>
      <c r="J275" s="154"/>
      <c r="K275" s="154"/>
      <c r="L275" s="154"/>
      <c r="M275" s="154"/>
      <c r="N275" s="161" t="str">
        <f>IF(N$255&gt;7,N$256,"")</f>
        <v/>
      </c>
      <c r="O275" s="161" t="str">
        <f>IF(O$255&gt;7,O$256,"")</f>
        <v/>
      </c>
      <c r="P275" s="154"/>
      <c r="Q275" s="161" t="str">
        <f>IF(Q$255&gt;7,Q$256,"")</f>
        <v/>
      </c>
      <c r="R275" s="161" t="str">
        <f>IF(R$255&gt;7,R$256,"")</f>
        <v/>
      </c>
      <c r="S275" s="154"/>
      <c r="T275" s="161" t="str">
        <f>IF(T$255&gt;7,T$256,"")</f>
        <v/>
      </c>
      <c r="U275" s="161" t="str">
        <f>IF(U$255&gt;7,U$256,"")</f>
        <v/>
      </c>
      <c r="V275" s="159"/>
      <c r="W275" s="387"/>
      <c r="X275" s="154"/>
      <c r="Y275" s="154"/>
      <c r="Z275" s="130"/>
      <c r="AA275" s="130"/>
      <c r="AB275" s="130"/>
      <c r="AC275" s="125"/>
      <c r="AE275" s="154"/>
      <c r="AF275" s="154"/>
      <c r="AG275" s="129"/>
      <c r="AH275" s="130"/>
      <c r="AI275" s="125"/>
      <c r="AK275" s="154"/>
      <c r="AL275" s="154"/>
      <c r="AM275" s="129"/>
      <c r="AN275" s="130"/>
      <c r="AO275" s="125"/>
      <c r="AQ275" s="154"/>
      <c r="AR275" s="154"/>
      <c r="AS275" s="129"/>
      <c r="AT275" s="130"/>
      <c r="AU275" s="125"/>
      <c r="AW275" s="154"/>
      <c r="AX275" s="154"/>
      <c r="AY275" s="129"/>
      <c r="AZ275" s="130"/>
      <c r="BA275" s="125"/>
    </row>
    <row r="276" spans="1:53" ht="17.100000000000001" customHeight="1" x14ac:dyDescent="0.25">
      <c r="A276" s="137"/>
      <c r="B276" s="40"/>
      <c r="C276" s="40">
        <v>9</v>
      </c>
      <c r="D276" s="128" t="s">
        <v>1449</v>
      </c>
      <c r="E276" s="122"/>
      <c r="F276" s="122"/>
      <c r="G276" s="122"/>
      <c r="H276" s="23"/>
      <c r="I276" s="12"/>
      <c r="J276" s="154"/>
      <c r="K276" s="154"/>
      <c r="L276" s="154"/>
      <c r="M276" s="154"/>
      <c r="N276" s="161" t="str">
        <f>IF(N$255&gt;8,N$256,"")</f>
        <v/>
      </c>
      <c r="O276" s="161" t="str">
        <f>IF(O$255&gt;8,O$256,"")</f>
        <v/>
      </c>
      <c r="P276" s="154"/>
      <c r="Q276" s="161" t="str">
        <f>IF(Q$255&gt;8,Q$256,"")</f>
        <v/>
      </c>
      <c r="R276" s="161" t="str">
        <f>IF(R$255&gt;8,R$256,"")</f>
        <v/>
      </c>
      <c r="S276" s="154"/>
      <c r="T276" s="161" t="str">
        <f>IF(T$255&gt;8,T$256,"")</f>
        <v/>
      </c>
      <c r="U276" s="161" t="str">
        <f>IF(U$255&gt;8,U$256,"")</f>
        <v/>
      </c>
      <c r="V276" s="159"/>
      <c r="W276" s="387"/>
      <c r="X276" s="154"/>
      <c r="Y276" s="154"/>
      <c r="Z276" s="130"/>
      <c r="AA276" s="130"/>
      <c r="AB276" s="130"/>
      <c r="AC276" s="125"/>
      <c r="AE276" s="154"/>
      <c r="AF276" s="154"/>
      <c r="AG276" s="129"/>
      <c r="AH276" s="130"/>
      <c r="AI276" s="125"/>
      <c r="AK276" s="154"/>
      <c r="AL276" s="154"/>
      <c r="AM276" s="129"/>
      <c r="AN276" s="130"/>
      <c r="AO276" s="125"/>
      <c r="AQ276" s="154"/>
      <c r="AR276" s="154"/>
      <c r="AS276" s="129"/>
      <c r="AT276" s="130"/>
      <c r="AU276" s="125"/>
      <c r="AW276" s="154"/>
      <c r="AX276" s="154"/>
      <c r="AY276" s="129"/>
      <c r="AZ276" s="130"/>
      <c r="BA276" s="125"/>
    </row>
    <row r="277" spans="1:53" ht="17.100000000000001" customHeight="1" x14ac:dyDescent="0.25">
      <c r="A277" s="137"/>
      <c r="B277" s="40"/>
      <c r="C277" s="40">
        <v>10</v>
      </c>
      <c r="D277" s="128" t="s">
        <v>1449</v>
      </c>
      <c r="E277" s="122"/>
      <c r="F277" s="122"/>
      <c r="G277" s="122"/>
      <c r="H277" s="23"/>
      <c r="I277" s="12"/>
      <c r="J277" s="154"/>
      <c r="K277" s="154"/>
      <c r="L277" s="154"/>
      <c r="M277" s="154"/>
      <c r="N277" s="161" t="str">
        <f>IF(N$255&gt;9,N$256,"")</f>
        <v/>
      </c>
      <c r="O277" s="161" t="str">
        <f>IF(O$255&gt;9,O$256,"")</f>
        <v/>
      </c>
      <c r="P277" s="154"/>
      <c r="Q277" s="161" t="str">
        <f>IF(Q$255&gt;9,Q$256,"")</f>
        <v/>
      </c>
      <c r="R277" s="161" t="str">
        <f>IF(R$255&gt;9,R$256,"")</f>
        <v/>
      </c>
      <c r="S277" s="154"/>
      <c r="T277" s="161" t="str">
        <f>IF(T$255&gt;9,T$256,"")</f>
        <v/>
      </c>
      <c r="U277" s="161" t="str">
        <f>IF(U$255&gt;9,U$256,"")</f>
        <v/>
      </c>
      <c r="V277" s="159"/>
      <c r="W277" s="387"/>
      <c r="X277" s="154"/>
      <c r="Y277" s="154"/>
      <c r="Z277" s="130"/>
      <c r="AA277" s="130"/>
      <c r="AB277" s="130"/>
      <c r="AC277" s="125"/>
      <c r="AE277" s="154"/>
      <c r="AF277" s="154"/>
      <c r="AG277" s="129"/>
      <c r="AH277" s="130"/>
      <c r="AI277" s="125"/>
      <c r="AK277" s="154"/>
      <c r="AL277" s="154"/>
      <c r="AM277" s="129"/>
      <c r="AN277" s="130"/>
      <c r="AO277" s="125"/>
      <c r="AQ277" s="154"/>
      <c r="AR277" s="154"/>
      <c r="AS277" s="129"/>
      <c r="AT277" s="130"/>
      <c r="AU277" s="125"/>
      <c r="AW277" s="154"/>
      <c r="AX277" s="154"/>
      <c r="AY277" s="129"/>
      <c r="AZ277" s="130"/>
      <c r="BA277" s="125"/>
    </row>
    <row r="278" spans="1:53" s="158" customFormat="1" ht="17.100000000000001" customHeight="1" x14ac:dyDescent="0.25">
      <c r="A278" s="967"/>
      <c r="B278" s="102"/>
      <c r="C278" s="102"/>
      <c r="D278" s="122" t="s">
        <v>1451</v>
      </c>
      <c r="E278" s="122"/>
      <c r="F278" s="122"/>
      <c r="G278" s="122"/>
      <c r="H278" s="23"/>
      <c r="I278" s="12"/>
      <c r="J278" s="160"/>
      <c r="K278" s="160"/>
      <c r="L278" s="160"/>
      <c r="M278" s="160"/>
      <c r="N278" s="160">
        <f>IF(SUM(N254:N255)=0,"",AVERAGE(N258:N277))</f>
        <v>500000</v>
      </c>
      <c r="O278" s="160">
        <f>IF(SUM(O254:O255)=0,"",AVERAGE(O258:O277))</f>
        <v>311111.11111111112</v>
      </c>
      <c r="P278" s="160"/>
      <c r="Q278" s="160" t="str">
        <f>IF(SUM(Q254:Q255)=0,"",AVERAGE(Q258:Q277))</f>
        <v/>
      </c>
      <c r="R278" s="160">
        <f>IF(SUM(R254:R255)=0,"",AVERAGE(R258:R277))</f>
        <v>65000</v>
      </c>
      <c r="S278" s="160"/>
      <c r="T278" s="160" t="str">
        <f>IF(SUM(T254:T255)=0,"",AVERAGE(T258:T277))</f>
        <v/>
      </c>
      <c r="U278" s="160" t="str">
        <f>IF(SUM(U254:U255)=0,"",AVERAGE(U258:U277))</f>
        <v/>
      </c>
      <c r="V278" s="947"/>
      <c r="W278" s="948"/>
      <c r="X278" s="160"/>
      <c r="Y278" s="160"/>
      <c r="Z278" s="949"/>
      <c r="AA278" s="975">
        <f>MIN(N278:U278)</f>
        <v>65000</v>
      </c>
      <c r="AB278" s="975">
        <f>MAX(N278:U278)</f>
        <v>500000</v>
      </c>
      <c r="AC278" s="124">
        <f>IF(SUM(N278:U278)=0,0,AVERAGE(N278:U278))</f>
        <v>292037.03703703702</v>
      </c>
      <c r="AE278" s="160"/>
      <c r="AF278" s="160"/>
      <c r="AG278" s="129"/>
      <c r="AH278" s="949"/>
      <c r="AI278" s="904"/>
      <c r="AK278" s="160"/>
      <c r="AL278" s="160"/>
      <c r="AM278" s="129"/>
      <c r="AN278" s="949"/>
      <c r="AO278" s="904"/>
      <c r="AQ278" s="160">
        <f>MIN(N278,Q278,T278)</f>
        <v>500000</v>
      </c>
      <c r="AR278" s="160">
        <f>MAX(N278,Q278,T278)</f>
        <v>500000</v>
      </c>
      <c r="AS278" s="129">
        <f>AVERAGE(N278,Q278,T278)</f>
        <v>500000</v>
      </c>
      <c r="AT278" s="949"/>
      <c r="AU278" s="904"/>
      <c r="AW278" s="160">
        <f>MIN(O278,R278,U278)</f>
        <v>65000</v>
      </c>
      <c r="AX278" s="160">
        <f>MAX(O278,R278,U278)</f>
        <v>311111.11111111112</v>
      </c>
      <c r="AY278" s="129">
        <f>AVERAGE(O278,R278,U278)</f>
        <v>188055.55555555556</v>
      </c>
      <c r="AZ278" s="949"/>
      <c r="BA278" s="904"/>
    </row>
    <row r="279" spans="1:53" ht="17.100000000000001" customHeight="1" x14ac:dyDescent="0.25">
      <c r="A279" s="40"/>
      <c r="B279" s="40"/>
      <c r="C279" s="40"/>
      <c r="D279" s="128"/>
      <c r="E279" s="122"/>
      <c r="F279" s="122"/>
      <c r="G279" s="122"/>
      <c r="H279" s="23"/>
      <c r="I279" s="12"/>
      <c r="J279" s="154"/>
      <c r="K279" s="154"/>
      <c r="L279" s="154"/>
      <c r="M279" s="154"/>
      <c r="N279" s="154"/>
      <c r="O279" s="154"/>
      <c r="P279" s="154"/>
      <c r="Q279" s="154"/>
      <c r="R279" s="154"/>
      <c r="S279" s="154"/>
      <c r="T279" s="154"/>
      <c r="U279" s="154"/>
      <c r="V279" s="159"/>
      <c r="W279" s="387"/>
      <c r="X279" s="154"/>
      <c r="Y279" s="154"/>
      <c r="Z279" s="130"/>
      <c r="AA279" s="130"/>
      <c r="AB279" s="130"/>
      <c r="AC279" s="125"/>
      <c r="AE279" s="154"/>
      <c r="AF279" s="154"/>
      <c r="AG279" s="129"/>
      <c r="AH279" s="130"/>
      <c r="AI279" s="125"/>
      <c r="AK279" s="154"/>
      <c r="AL279" s="154"/>
      <c r="AM279" s="129"/>
      <c r="AN279" s="130"/>
      <c r="AO279" s="125"/>
      <c r="AQ279" s="154"/>
      <c r="AR279" s="154"/>
      <c r="AS279" s="129"/>
      <c r="AT279" s="130"/>
      <c r="AU279" s="125"/>
      <c r="AW279" s="154"/>
      <c r="AX279" s="154"/>
      <c r="AY279" s="129"/>
      <c r="AZ279" s="130"/>
      <c r="BA279" s="125"/>
    </row>
    <row r="280" spans="1:53" s="97" customFormat="1" ht="17.100000000000001" customHeight="1" x14ac:dyDescent="0.25">
      <c r="A280" s="68"/>
      <c r="B280" s="68"/>
      <c r="C280" s="92"/>
      <c r="D280" s="305"/>
      <c r="E280" s="305"/>
      <c r="F280" s="305"/>
      <c r="G280" s="305"/>
      <c r="H280" s="207"/>
      <c r="I280" s="207"/>
    </row>
    <row r="281" spans="1:53" s="32" customFormat="1" ht="16.5" thickBot="1" x14ac:dyDescent="0.3">
      <c r="A281" s="24" t="s">
        <v>287</v>
      </c>
      <c r="B281" s="25" t="s">
        <v>288</v>
      </c>
      <c r="C281" s="26"/>
      <c r="D281" s="27"/>
      <c r="E281" s="27"/>
      <c r="F281" s="27"/>
      <c r="G281" s="28"/>
      <c r="H281" s="310"/>
      <c r="I281" s="228"/>
      <c r="J281" s="140"/>
      <c r="K281" s="140"/>
      <c r="L281" s="140"/>
      <c r="M281" s="140"/>
      <c r="N281" s="140"/>
      <c r="O281" s="140"/>
      <c r="P281" s="140"/>
      <c r="Q281" s="140"/>
      <c r="R281" s="140"/>
      <c r="S281" s="140"/>
      <c r="T281" s="140"/>
      <c r="U281" s="140"/>
      <c r="V281" s="140"/>
      <c r="W281" s="140"/>
      <c r="X281" s="140"/>
      <c r="Y281" s="140"/>
      <c r="Z281" s="30" t="s">
        <v>5</v>
      </c>
      <c r="AA281" s="30"/>
      <c r="AB281" s="30"/>
      <c r="AC281" s="188"/>
      <c r="AE281" s="33" t="s">
        <v>181</v>
      </c>
      <c r="AF281" s="33" t="s">
        <v>182</v>
      </c>
      <c r="AG281" s="33" t="s">
        <v>6</v>
      </c>
      <c r="AH281" s="33" t="s">
        <v>4</v>
      </c>
      <c r="AI281" s="34" t="s">
        <v>5</v>
      </c>
      <c r="AJ281" s="35"/>
      <c r="AK281" s="36" t="s">
        <v>181</v>
      </c>
      <c r="AL281" s="36" t="s">
        <v>182</v>
      </c>
      <c r="AM281" s="36" t="s">
        <v>6</v>
      </c>
      <c r="AN281" s="36" t="s">
        <v>4</v>
      </c>
      <c r="AO281" s="37" t="s">
        <v>5</v>
      </c>
      <c r="AQ281" s="398" t="s">
        <v>181</v>
      </c>
      <c r="AR281" s="398" t="s">
        <v>182</v>
      </c>
      <c r="AS281" s="398" t="s">
        <v>6</v>
      </c>
      <c r="AT281" s="398" t="s">
        <v>4</v>
      </c>
      <c r="AU281" s="399" t="s">
        <v>5</v>
      </c>
      <c r="AW281" s="38" t="s">
        <v>181</v>
      </c>
      <c r="AX281" s="38" t="s">
        <v>182</v>
      </c>
      <c r="AY281" s="38" t="s">
        <v>6</v>
      </c>
      <c r="AZ281" s="423" t="s">
        <v>4</v>
      </c>
      <c r="BA281" s="39" t="s">
        <v>5</v>
      </c>
    </row>
    <row r="282" spans="1:53" ht="17.100000000000001" customHeight="1" x14ac:dyDescent="0.25">
      <c r="A282" s="40"/>
      <c r="B282" s="41" t="s">
        <v>289</v>
      </c>
      <c r="C282" s="69" t="s">
        <v>620</v>
      </c>
      <c r="D282" s="43"/>
      <c r="E282" s="43"/>
      <c r="F282" s="43"/>
      <c r="G282" s="44"/>
      <c r="H282" s="321"/>
      <c r="I282" s="229"/>
      <c r="J282" s="71"/>
      <c r="K282" s="71"/>
      <c r="L282" s="71"/>
      <c r="M282" s="71"/>
      <c r="N282" s="71"/>
      <c r="O282" s="71"/>
      <c r="P282" s="71"/>
      <c r="Q282" s="71"/>
      <c r="R282" s="71"/>
      <c r="S282" s="71"/>
      <c r="T282" s="71"/>
      <c r="U282" s="71"/>
      <c r="V282" s="71"/>
      <c r="W282" s="71"/>
      <c r="X282" s="71"/>
      <c r="Y282" s="71"/>
      <c r="Z282" s="73"/>
      <c r="AA282" s="73"/>
      <c r="AB282" s="73"/>
      <c r="AC282" s="73"/>
      <c r="AE282" s="71"/>
      <c r="AF282" s="71"/>
      <c r="AG282" s="273"/>
      <c r="AH282" s="73"/>
      <c r="AI282" s="73"/>
      <c r="AK282" s="71"/>
      <c r="AL282" s="71"/>
      <c r="AM282" s="273"/>
      <c r="AN282" s="73"/>
      <c r="AO282" s="73"/>
      <c r="AQ282" s="71"/>
      <c r="AR282" s="71"/>
      <c r="AS282" s="273"/>
      <c r="AT282" s="73"/>
      <c r="AU282" s="73"/>
      <c r="AW282" s="71"/>
      <c r="AX282" s="71"/>
      <c r="AY282" s="273"/>
      <c r="AZ282" s="73"/>
      <c r="BA282" s="73"/>
    </row>
    <row r="283" spans="1:53" ht="17.100000000000001" customHeight="1" x14ac:dyDescent="0.25">
      <c r="A283" s="40"/>
      <c r="B283" s="40"/>
      <c r="C283" s="74" t="s">
        <v>291</v>
      </c>
      <c r="D283" s="75" t="s">
        <v>292</v>
      </c>
      <c r="E283" s="105"/>
      <c r="F283" s="75"/>
      <c r="G283" s="76"/>
      <c r="H283" s="647"/>
      <c r="I283" s="229"/>
      <c r="J283" s="111"/>
      <c r="K283" s="111"/>
      <c r="L283" s="111"/>
      <c r="M283" s="111"/>
      <c r="N283" s="60"/>
      <c r="O283" s="60"/>
      <c r="P283" s="17">
        <f t="shared" ref="P283:P286" si="272">SUM(N283:O283)</f>
        <v>0</v>
      </c>
      <c r="Q283" s="60">
        <v>1</v>
      </c>
      <c r="R283" s="60">
        <v>2</v>
      </c>
      <c r="S283" s="17">
        <f t="shared" ref="S283:S286" si="273">SUM(Q283:R283)</f>
        <v>3</v>
      </c>
      <c r="T283" s="60"/>
      <c r="U283" s="60"/>
      <c r="V283" s="17">
        <f t="shared" ref="V283:V286" si="274">SUM(T283:U283)</f>
        <v>0</v>
      </c>
      <c r="W283" s="391">
        <f t="shared" ref="W283:W286" si="275">J283+K283+N283+Q283+T283</f>
        <v>1</v>
      </c>
      <c r="X283" s="17">
        <f t="shared" ref="X283:X286" si="276">L283+O283+R283+U283</f>
        <v>2</v>
      </c>
      <c r="Y283" s="18">
        <f t="shared" ref="Y283:Y286" si="277">SUM(W283:X283)</f>
        <v>3</v>
      </c>
      <c r="Z283" s="19">
        <f>IF(Y$287=0,0,Y283/Y$287)</f>
        <v>0.2</v>
      </c>
      <c r="AA283" s="19"/>
      <c r="AB283" s="19"/>
      <c r="AC283" s="20"/>
      <c r="AE283" s="111"/>
      <c r="AF283" s="111"/>
      <c r="AG283" s="111"/>
      <c r="AH283" s="651"/>
      <c r="AI283" s="131"/>
      <c r="AK283" s="111"/>
      <c r="AL283" s="111"/>
      <c r="AM283" s="111"/>
      <c r="AN283" s="651"/>
      <c r="AO283" s="131"/>
      <c r="AQ283" s="17"/>
      <c r="AR283" s="17"/>
      <c r="AS283" s="17"/>
      <c r="AT283" s="424">
        <f>W283</f>
        <v>1</v>
      </c>
      <c r="AU283" s="19">
        <f>IF(AT$287=0,0,AT283/AT$287)</f>
        <v>0.5</v>
      </c>
      <c r="AW283" s="17"/>
      <c r="AX283" s="17"/>
      <c r="AY283" s="17"/>
      <c r="AZ283" s="424">
        <f>X283</f>
        <v>2</v>
      </c>
      <c r="BA283" s="19">
        <f>IF(AZ$287=0,0,AZ283/AZ$287)</f>
        <v>0.15384615384615385</v>
      </c>
    </row>
    <row r="284" spans="1:53" ht="17.100000000000001" customHeight="1" x14ac:dyDescent="0.25">
      <c r="A284" s="40"/>
      <c r="B284" s="40"/>
      <c r="C284" s="74" t="s">
        <v>293</v>
      </c>
      <c r="D284" s="75" t="s">
        <v>11</v>
      </c>
      <c r="E284" s="105"/>
      <c r="F284" s="75"/>
      <c r="G284" s="75"/>
      <c r="H284" s="647"/>
      <c r="I284" s="229"/>
      <c r="J284" s="111"/>
      <c r="K284" s="111"/>
      <c r="L284" s="111"/>
      <c r="M284" s="111"/>
      <c r="N284" s="61"/>
      <c r="O284" s="61"/>
      <c r="P284" s="17">
        <f t="shared" si="272"/>
        <v>0</v>
      </c>
      <c r="Q284" s="61"/>
      <c r="R284" s="61"/>
      <c r="S284" s="17">
        <f t="shared" si="273"/>
        <v>0</v>
      </c>
      <c r="T284" s="61"/>
      <c r="U284" s="61"/>
      <c r="V284" s="17">
        <f t="shared" si="274"/>
        <v>0</v>
      </c>
      <c r="W284" s="391">
        <f t="shared" si="275"/>
        <v>0</v>
      </c>
      <c r="X284" s="17">
        <f t="shared" si="276"/>
        <v>0</v>
      </c>
      <c r="Y284" s="18">
        <f t="shared" si="277"/>
        <v>0</v>
      </c>
      <c r="Z284" s="19">
        <f t="shared" ref="Z284:Z287" si="278">IF(Y$287=0,0,Y284/Y$287)</f>
        <v>0</v>
      </c>
      <c r="AA284" s="19"/>
      <c r="AB284" s="19"/>
      <c r="AC284" s="20"/>
      <c r="AE284" s="111"/>
      <c r="AF284" s="111"/>
      <c r="AG284" s="111"/>
      <c r="AH284" s="651"/>
      <c r="AI284" s="131"/>
      <c r="AK284" s="111"/>
      <c r="AL284" s="111"/>
      <c r="AM284" s="111"/>
      <c r="AN284" s="651"/>
      <c r="AO284" s="131"/>
      <c r="AQ284" s="17"/>
      <c r="AR284" s="17"/>
      <c r="AS284" s="17"/>
      <c r="AT284" s="424">
        <f t="shared" ref="AT284:AT286" si="279">W284</f>
        <v>0</v>
      </c>
      <c r="AU284" s="19">
        <f t="shared" ref="AU284:AU287" si="280">IF(AT$287=0,0,AT284/AT$287)</f>
        <v>0</v>
      </c>
      <c r="AW284" s="17"/>
      <c r="AX284" s="17"/>
      <c r="AY284" s="17"/>
      <c r="AZ284" s="424">
        <f t="shared" ref="AZ284:AZ286" si="281">X284</f>
        <v>0</v>
      </c>
      <c r="BA284" s="19">
        <f t="shared" ref="BA284:BA287" si="282">IF(AZ$287=0,0,AZ284/AZ$287)</f>
        <v>0</v>
      </c>
    </row>
    <row r="285" spans="1:53" ht="17.100000000000001" customHeight="1" x14ac:dyDescent="0.25">
      <c r="A285" s="40"/>
      <c r="B285" s="40"/>
      <c r="C285" s="74" t="s">
        <v>294</v>
      </c>
      <c r="D285" s="75" t="s">
        <v>295</v>
      </c>
      <c r="E285" s="105"/>
      <c r="F285" s="75"/>
      <c r="G285" s="75"/>
      <c r="H285" s="23"/>
      <c r="I285" s="229"/>
      <c r="J285" s="111"/>
      <c r="K285" s="111"/>
      <c r="L285" s="111"/>
      <c r="M285" s="111"/>
      <c r="N285" s="60">
        <v>1</v>
      </c>
      <c r="O285" s="60">
        <v>7</v>
      </c>
      <c r="P285" s="17">
        <f t="shared" si="272"/>
        <v>8</v>
      </c>
      <c r="Q285" s="60"/>
      <c r="R285" s="60"/>
      <c r="S285" s="17">
        <f t="shared" si="273"/>
        <v>0</v>
      </c>
      <c r="T285" s="60"/>
      <c r="U285" s="60"/>
      <c r="V285" s="17">
        <f t="shared" si="274"/>
        <v>0</v>
      </c>
      <c r="W285" s="391">
        <f t="shared" si="275"/>
        <v>1</v>
      </c>
      <c r="X285" s="17">
        <f t="shared" si="276"/>
        <v>7</v>
      </c>
      <c r="Y285" s="18">
        <f t="shared" si="277"/>
        <v>8</v>
      </c>
      <c r="Z285" s="19">
        <f t="shared" si="278"/>
        <v>0.53333333333333333</v>
      </c>
      <c r="AA285" s="19"/>
      <c r="AB285" s="19"/>
      <c r="AC285" s="20"/>
      <c r="AE285" s="111"/>
      <c r="AF285" s="111"/>
      <c r="AG285" s="111"/>
      <c r="AH285" s="651"/>
      <c r="AI285" s="131"/>
      <c r="AK285" s="111"/>
      <c r="AL285" s="111"/>
      <c r="AM285" s="111"/>
      <c r="AN285" s="651"/>
      <c r="AO285" s="131"/>
      <c r="AQ285" s="17"/>
      <c r="AR285" s="17"/>
      <c r="AS285" s="17"/>
      <c r="AT285" s="424">
        <f t="shared" si="279"/>
        <v>1</v>
      </c>
      <c r="AU285" s="19">
        <f t="shared" si="280"/>
        <v>0.5</v>
      </c>
      <c r="AW285" s="17"/>
      <c r="AX285" s="17"/>
      <c r="AY285" s="17"/>
      <c r="AZ285" s="424">
        <f t="shared" si="281"/>
        <v>7</v>
      </c>
      <c r="BA285" s="19">
        <f t="shared" si="282"/>
        <v>0.53846153846153844</v>
      </c>
    </row>
    <row r="286" spans="1:53" ht="17.100000000000001" customHeight="1" x14ac:dyDescent="0.25">
      <c r="A286" s="40"/>
      <c r="B286" s="40"/>
      <c r="C286" s="74" t="s">
        <v>296</v>
      </c>
      <c r="D286" s="75" t="s">
        <v>9</v>
      </c>
      <c r="E286" s="105"/>
      <c r="F286" s="75"/>
      <c r="G286" s="75"/>
      <c r="H286" s="23"/>
      <c r="I286" s="229"/>
      <c r="J286" s="111"/>
      <c r="K286" s="111"/>
      <c r="L286" s="111"/>
      <c r="M286" s="111"/>
      <c r="N286" s="61"/>
      <c r="O286" s="61"/>
      <c r="P286" s="17">
        <f t="shared" si="272"/>
        <v>0</v>
      </c>
      <c r="Q286" s="61"/>
      <c r="R286" s="61">
        <v>4</v>
      </c>
      <c r="S286" s="17">
        <f t="shared" si="273"/>
        <v>4</v>
      </c>
      <c r="T286" s="61"/>
      <c r="U286" s="61"/>
      <c r="V286" s="17">
        <f t="shared" si="274"/>
        <v>0</v>
      </c>
      <c r="W286" s="391">
        <f t="shared" si="275"/>
        <v>0</v>
      </c>
      <c r="X286" s="17">
        <f t="shared" si="276"/>
        <v>4</v>
      </c>
      <c r="Y286" s="18">
        <f t="shared" si="277"/>
        <v>4</v>
      </c>
      <c r="Z286" s="19">
        <f t="shared" si="278"/>
        <v>0.26666666666666666</v>
      </c>
      <c r="AA286" s="19"/>
      <c r="AB286" s="19"/>
      <c r="AC286" s="20"/>
      <c r="AE286" s="111"/>
      <c r="AF286" s="111"/>
      <c r="AG286" s="111"/>
      <c r="AH286" s="651"/>
      <c r="AI286" s="131"/>
      <c r="AK286" s="111"/>
      <c r="AL286" s="111"/>
      <c r="AM286" s="111"/>
      <c r="AN286" s="651"/>
      <c r="AO286" s="131"/>
      <c r="AQ286" s="17"/>
      <c r="AR286" s="17"/>
      <c r="AS286" s="17"/>
      <c r="AT286" s="424">
        <f t="shared" si="279"/>
        <v>0</v>
      </c>
      <c r="AU286" s="19">
        <f t="shared" si="280"/>
        <v>0</v>
      </c>
      <c r="AW286" s="17"/>
      <c r="AX286" s="17"/>
      <c r="AY286" s="17"/>
      <c r="AZ286" s="424">
        <f t="shared" si="281"/>
        <v>4</v>
      </c>
      <c r="BA286" s="19">
        <f t="shared" si="282"/>
        <v>0.30769230769230771</v>
      </c>
    </row>
    <row r="287" spans="1:53" ht="17.100000000000001" customHeight="1" x14ac:dyDescent="0.25">
      <c r="A287" s="40"/>
      <c r="B287" s="40"/>
      <c r="C287" s="292"/>
      <c r="D287" s="144"/>
      <c r="E287" s="144"/>
      <c r="F287" s="145"/>
      <c r="G287" s="145"/>
      <c r="H287" s="119"/>
      <c r="I287" s="236"/>
      <c r="J287" s="80"/>
      <c r="K287" s="80"/>
      <c r="L287" s="81"/>
      <c r="M287" s="81"/>
      <c r="N287" s="81">
        <f>SUM(N283:N286)</f>
        <v>1</v>
      </c>
      <c r="O287" s="81">
        <f t="shared" ref="O287:V287" si="283">SUM(O283:O286)</f>
        <v>7</v>
      </c>
      <c r="P287" s="81">
        <f t="shared" si="283"/>
        <v>8</v>
      </c>
      <c r="Q287" s="81">
        <f t="shared" si="283"/>
        <v>1</v>
      </c>
      <c r="R287" s="81">
        <f t="shared" si="283"/>
        <v>6</v>
      </c>
      <c r="S287" s="81">
        <f t="shared" si="283"/>
        <v>7</v>
      </c>
      <c r="T287" s="81">
        <f t="shared" si="283"/>
        <v>0</v>
      </c>
      <c r="U287" s="81">
        <f t="shared" si="283"/>
        <v>0</v>
      </c>
      <c r="V287" s="81">
        <f t="shared" si="283"/>
        <v>0</v>
      </c>
      <c r="W287" s="82">
        <f>SUM(W283:W286)</f>
        <v>2</v>
      </c>
      <c r="X287" s="82">
        <f t="shared" ref="X287:Y287" si="284">SUM(X283:X286)</f>
        <v>13</v>
      </c>
      <c r="Y287" s="82">
        <f t="shared" si="284"/>
        <v>15</v>
      </c>
      <c r="Z287" s="66">
        <f t="shared" si="278"/>
        <v>1</v>
      </c>
      <c r="AA287" s="205"/>
      <c r="AB287" s="205"/>
      <c r="AC287" s="83"/>
      <c r="AE287" s="81"/>
      <c r="AF287" s="81"/>
      <c r="AG287" s="82"/>
      <c r="AH287" s="82"/>
      <c r="AI287" s="66"/>
      <c r="AK287" s="81"/>
      <c r="AL287" s="81"/>
      <c r="AM287" s="82"/>
      <c r="AN287" s="82"/>
      <c r="AO287" s="66"/>
      <c r="AQ287" s="81"/>
      <c r="AR287" s="81"/>
      <c r="AS287" s="82"/>
      <c r="AT287" s="81">
        <f>SUM(AT283:AT286)</f>
        <v>2</v>
      </c>
      <c r="AU287" s="66">
        <f t="shared" si="280"/>
        <v>1</v>
      </c>
      <c r="AW287" s="81"/>
      <c r="AX287" s="81"/>
      <c r="AY287" s="82"/>
      <c r="AZ287" s="81">
        <f>SUM(AZ283:AZ286)</f>
        <v>13</v>
      </c>
      <c r="BA287" s="66">
        <f t="shared" si="282"/>
        <v>1</v>
      </c>
    </row>
    <row r="288" spans="1:53" s="117" customFormat="1" ht="17.100000000000001" customHeight="1" x14ac:dyDescent="0.25">
      <c r="A288" s="68"/>
      <c r="B288" s="119"/>
      <c r="C288" s="647"/>
      <c r="D288" s="261"/>
      <c r="E288" s="261"/>
      <c r="F288" s="68"/>
      <c r="G288" s="68"/>
      <c r="H288" s="119"/>
      <c r="I288" s="138"/>
      <c r="J288" s="17"/>
      <c r="K288" s="17"/>
      <c r="L288" s="17"/>
      <c r="M288" s="17"/>
      <c r="N288" s="17" t="str">
        <f>IF(N287=N$20,"OK","NOK")</f>
        <v>OK</v>
      </c>
      <c r="O288" s="17" t="str">
        <f>IF(O287=O$20,"OK","NOK")</f>
        <v>OK</v>
      </c>
      <c r="P288" s="17"/>
      <c r="Q288" s="17" t="str">
        <f>IF(Q287=Q$20,"OK","NOK")</f>
        <v>OK</v>
      </c>
      <c r="R288" s="17" t="str">
        <f>IF(R287=R$20,"OK","NOK")</f>
        <v>OK</v>
      </c>
      <c r="S288" s="17"/>
      <c r="T288" s="17" t="str">
        <f>IF(T287=T$20,"OK","NOK")</f>
        <v>OK</v>
      </c>
      <c r="U288" s="17" t="str">
        <f>IF(U287=U$20,"OK","NOK")</f>
        <v>OK</v>
      </c>
      <c r="V288" s="359"/>
      <c r="W288" s="382"/>
      <c r="X288" s="646"/>
      <c r="Y288" s="646"/>
      <c r="Z288" s="201"/>
      <c r="AA288" s="201"/>
      <c r="AB288" s="201"/>
      <c r="AC288" s="84"/>
      <c r="AE288" s="46"/>
      <c r="AF288" s="46"/>
      <c r="AG288" s="17"/>
      <c r="AH288" s="646"/>
      <c r="AI288" s="91"/>
      <c r="AK288" s="46"/>
      <c r="AL288" s="46"/>
      <c r="AM288" s="17"/>
      <c r="AN288" s="646"/>
      <c r="AO288" s="91"/>
      <c r="AQ288" s="46"/>
      <c r="AR288" s="46"/>
      <c r="AS288" s="17"/>
      <c r="AT288" s="646"/>
      <c r="AU288" s="91"/>
      <c r="AW288" s="46"/>
      <c r="AX288" s="46"/>
      <c r="AY288" s="17"/>
      <c r="AZ288" s="646"/>
      <c r="BA288" s="91"/>
    </row>
    <row r="289" spans="1:53" ht="17.100000000000001" customHeight="1" x14ac:dyDescent="0.25">
      <c r="A289" s="40"/>
      <c r="B289" s="41" t="s">
        <v>297</v>
      </c>
      <c r="C289" s="69" t="s">
        <v>290</v>
      </c>
      <c r="D289" s="322"/>
      <c r="E289" s="322"/>
      <c r="F289" s="301"/>
      <c r="G289" s="301"/>
      <c r="H289" s="119"/>
      <c r="I289" s="236"/>
      <c r="J289" s="87"/>
      <c r="K289" s="87"/>
      <c r="L289" s="71"/>
      <c r="M289" s="71"/>
      <c r="N289" s="71"/>
      <c r="O289" s="71"/>
      <c r="P289" s="71"/>
      <c r="Q289" s="71"/>
      <c r="R289" s="71"/>
      <c r="S289" s="71"/>
      <c r="T289" s="71"/>
      <c r="U289" s="71"/>
      <c r="V289" s="71"/>
      <c r="W289" s="89"/>
      <c r="X289" s="89"/>
      <c r="Y289" s="89"/>
      <c r="Z289" s="323"/>
      <c r="AA289" s="323"/>
      <c r="AB289" s="323"/>
      <c r="AC289" s="73"/>
      <c r="AE289" s="71"/>
      <c r="AF289" s="71"/>
      <c r="AG289" s="89"/>
      <c r="AH289" s="90"/>
      <c r="AI289" s="73"/>
      <c r="AK289" s="71"/>
      <c r="AL289" s="71"/>
      <c r="AM289" s="89"/>
      <c r="AN289" s="90"/>
      <c r="AO289" s="73"/>
      <c r="AQ289" s="71"/>
      <c r="AR289" s="71"/>
      <c r="AS289" s="89"/>
      <c r="AT289" s="90"/>
      <c r="AU289" s="73"/>
      <c r="AW289" s="71"/>
      <c r="AX289" s="71"/>
      <c r="AY289" s="89"/>
      <c r="AZ289" s="90"/>
      <c r="BA289" s="73"/>
    </row>
    <row r="290" spans="1:53" ht="17.100000000000001" customHeight="1" x14ac:dyDescent="0.25">
      <c r="A290" s="40"/>
      <c r="B290" s="40"/>
      <c r="C290" s="74" t="s">
        <v>298</v>
      </c>
      <c r="D290" s="75" t="s">
        <v>292</v>
      </c>
      <c r="E290" s="105"/>
      <c r="F290" s="75"/>
      <c r="G290" s="76"/>
      <c r="H290" s="647"/>
      <c r="I290" s="229"/>
      <c r="J290" s="111"/>
      <c r="K290" s="111"/>
      <c r="L290" s="111"/>
      <c r="M290" s="111"/>
      <c r="N290" s="60"/>
      <c r="O290" s="60"/>
      <c r="P290" s="17">
        <f t="shared" ref="P290:P293" si="285">SUM(N290:O290)</f>
        <v>0</v>
      </c>
      <c r="Q290" s="60"/>
      <c r="R290" s="60"/>
      <c r="S290" s="17">
        <f t="shared" ref="S290:S293" si="286">SUM(Q290:R290)</f>
        <v>0</v>
      </c>
      <c r="T290" s="60"/>
      <c r="U290" s="60"/>
      <c r="V290" s="17">
        <f t="shared" ref="V290:V293" si="287">SUM(T290:U290)</f>
        <v>0</v>
      </c>
      <c r="W290" s="391">
        <f t="shared" ref="W290:W293" si="288">J290+K290+N290+Q290+T290</f>
        <v>0</v>
      </c>
      <c r="X290" s="17">
        <f t="shared" ref="X290:X293" si="289">L290+O290+R290+U290</f>
        <v>0</v>
      </c>
      <c r="Y290" s="18">
        <f t="shared" ref="Y290:Y293" si="290">SUM(W290:X290)</f>
        <v>0</v>
      </c>
      <c r="Z290" s="19">
        <f>IF(Y$294=0,0,Y290/Y$294)</f>
        <v>0</v>
      </c>
      <c r="AA290" s="19"/>
      <c r="AB290" s="19"/>
      <c r="AC290" s="20"/>
      <c r="AE290" s="111"/>
      <c r="AF290" s="111"/>
      <c r="AG290" s="111"/>
      <c r="AH290" s="651"/>
      <c r="AI290" s="131"/>
      <c r="AK290" s="111"/>
      <c r="AL290" s="111"/>
      <c r="AM290" s="111"/>
      <c r="AN290" s="651"/>
      <c r="AO290" s="131"/>
      <c r="AQ290" s="17"/>
      <c r="AR290" s="17"/>
      <c r="AS290" s="17"/>
      <c r="AT290" s="424">
        <f>W290</f>
        <v>0</v>
      </c>
      <c r="AU290" s="19">
        <f>IF(AT$294=0,0,AT290/AT$294)</f>
        <v>0</v>
      </c>
      <c r="AW290" s="17"/>
      <c r="AX290" s="17"/>
      <c r="AY290" s="17"/>
      <c r="AZ290" s="424">
        <f>X290</f>
        <v>0</v>
      </c>
      <c r="BA290" s="19">
        <f>IF(AZ$294=0,0,AZ290/AZ$294)</f>
        <v>0</v>
      </c>
    </row>
    <row r="291" spans="1:53" ht="17.100000000000001" customHeight="1" x14ac:dyDescent="0.25">
      <c r="A291" s="40"/>
      <c r="B291" s="40"/>
      <c r="C291" s="74" t="s">
        <v>299</v>
      </c>
      <c r="D291" s="75" t="s">
        <v>11</v>
      </c>
      <c r="E291" s="105"/>
      <c r="F291" s="75"/>
      <c r="G291" s="75"/>
      <c r="H291" s="647"/>
      <c r="I291" s="229"/>
      <c r="J291" s="111"/>
      <c r="K291" s="111"/>
      <c r="L291" s="111"/>
      <c r="M291" s="111"/>
      <c r="N291" s="61"/>
      <c r="O291" s="61"/>
      <c r="P291" s="17">
        <f t="shared" si="285"/>
        <v>0</v>
      </c>
      <c r="Q291" s="61">
        <v>1</v>
      </c>
      <c r="R291" s="61">
        <v>4</v>
      </c>
      <c r="S291" s="17">
        <f t="shared" si="286"/>
        <v>5</v>
      </c>
      <c r="T291" s="61"/>
      <c r="U291" s="61"/>
      <c r="V291" s="17">
        <f t="shared" si="287"/>
        <v>0</v>
      </c>
      <c r="W291" s="391">
        <f t="shared" si="288"/>
        <v>1</v>
      </c>
      <c r="X291" s="17">
        <f t="shared" si="289"/>
        <v>4</v>
      </c>
      <c r="Y291" s="18">
        <f t="shared" si="290"/>
        <v>5</v>
      </c>
      <c r="Z291" s="19">
        <f t="shared" ref="Z291:Z294" si="291">IF(Y$294=0,0,Y291/Y$294)</f>
        <v>0.33333333333333331</v>
      </c>
      <c r="AA291" s="19"/>
      <c r="AB291" s="19"/>
      <c r="AC291" s="20"/>
      <c r="AE291" s="111"/>
      <c r="AF291" s="111"/>
      <c r="AG291" s="111"/>
      <c r="AH291" s="651"/>
      <c r="AI291" s="131"/>
      <c r="AK291" s="111"/>
      <c r="AL291" s="111"/>
      <c r="AM291" s="111"/>
      <c r="AN291" s="651"/>
      <c r="AO291" s="131"/>
      <c r="AQ291" s="17"/>
      <c r="AR291" s="17"/>
      <c r="AS291" s="17"/>
      <c r="AT291" s="424">
        <f t="shared" ref="AT291:AT293" si="292">W291</f>
        <v>1</v>
      </c>
      <c r="AU291" s="19">
        <f t="shared" ref="AU291:AU294" si="293">IF(AT$294=0,0,AT291/AT$294)</f>
        <v>0.5</v>
      </c>
      <c r="AW291" s="17"/>
      <c r="AX291" s="17"/>
      <c r="AY291" s="17"/>
      <c r="AZ291" s="424">
        <f t="shared" ref="AZ291:AZ293" si="294">X291</f>
        <v>4</v>
      </c>
      <c r="BA291" s="19">
        <f t="shared" ref="BA291:BA294" si="295">IF(AZ$294=0,0,AZ291/AZ$294)</f>
        <v>0.30769230769230771</v>
      </c>
    </row>
    <row r="292" spans="1:53" ht="17.100000000000001" customHeight="1" x14ac:dyDescent="0.25">
      <c r="A292" s="40"/>
      <c r="B292" s="40"/>
      <c r="C292" s="74" t="s">
        <v>301</v>
      </c>
      <c r="D292" s="75" t="s">
        <v>295</v>
      </c>
      <c r="E292" s="105"/>
      <c r="F292" s="75"/>
      <c r="G292" s="75"/>
      <c r="H292" s="23"/>
      <c r="I292" s="229"/>
      <c r="J292" s="111"/>
      <c r="K292" s="111"/>
      <c r="L292" s="111"/>
      <c r="M292" s="111"/>
      <c r="N292" s="60">
        <v>1</v>
      </c>
      <c r="O292" s="60">
        <v>7</v>
      </c>
      <c r="P292" s="17">
        <f t="shared" si="285"/>
        <v>8</v>
      </c>
      <c r="Q292" s="60"/>
      <c r="R292" s="60"/>
      <c r="S292" s="17">
        <f t="shared" si="286"/>
        <v>0</v>
      </c>
      <c r="T292" s="60"/>
      <c r="U292" s="60"/>
      <c r="V292" s="17">
        <f t="shared" si="287"/>
        <v>0</v>
      </c>
      <c r="W292" s="391">
        <f t="shared" si="288"/>
        <v>1</v>
      </c>
      <c r="X292" s="17">
        <f t="shared" si="289"/>
        <v>7</v>
      </c>
      <c r="Y292" s="18">
        <f t="shared" si="290"/>
        <v>8</v>
      </c>
      <c r="Z292" s="19">
        <f t="shared" si="291"/>
        <v>0.53333333333333333</v>
      </c>
      <c r="AA292" s="19"/>
      <c r="AB292" s="19"/>
      <c r="AC292" s="20"/>
      <c r="AE292" s="111"/>
      <c r="AF292" s="111"/>
      <c r="AG292" s="111"/>
      <c r="AH292" s="651"/>
      <c r="AI292" s="131"/>
      <c r="AK292" s="111"/>
      <c r="AL292" s="111"/>
      <c r="AM292" s="111"/>
      <c r="AN292" s="651"/>
      <c r="AO292" s="131"/>
      <c r="AQ292" s="17"/>
      <c r="AR292" s="17"/>
      <c r="AS292" s="17"/>
      <c r="AT292" s="424">
        <f t="shared" si="292"/>
        <v>1</v>
      </c>
      <c r="AU292" s="19">
        <f t="shared" si="293"/>
        <v>0.5</v>
      </c>
      <c r="AW292" s="17"/>
      <c r="AX292" s="17"/>
      <c r="AY292" s="17"/>
      <c r="AZ292" s="424">
        <f t="shared" si="294"/>
        <v>7</v>
      </c>
      <c r="BA292" s="19">
        <f t="shared" si="295"/>
        <v>0.53846153846153844</v>
      </c>
    </row>
    <row r="293" spans="1:53" ht="17.100000000000001" customHeight="1" x14ac:dyDescent="0.25">
      <c r="A293" s="40"/>
      <c r="B293" s="40"/>
      <c r="C293" s="74" t="s">
        <v>303</v>
      </c>
      <c r="D293" s="75" t="s">
        <v>9</v>
      </c>
      <c r="E293" s="105"/>
      <c r="F293" s="75"/>
      <c r="G293" s="75"/>
      <c r="H293" s="23"/>
      <c r="I293" s="229"/>
      <c r="J293" s="111"/>
      <c r="K293" s="111"/>
      <c r="L293" s="111"/>
      <c r="M293" s="111"/>
      <c r="N293" s="61"/>
      <c r="O293" s="61"/>
      <c r="P293" s="17">
        <f t="shared" si="285"/>
        <v>0</v>
      </c>
      <c r="Q293" s="61"/>
      <c r="R293" s="61">
        <v>2</v>
      </c>
      <c r="S293" s="17">
        <f t="shared" si="286"/>
        <v>2</v>
      </c>
      <c r="T293" s="61"/>
      <c r="U293" s="61"/>
      <c r="V293" s="17">
        <f t="shared" si="287"/>
        <v>0</v>
      </c>
      <c r="W293" s="391">
        <f t="shared" si="288"/>
        <v>0</v>
      </c>
      <c r="X293" s="17">
        <f t="shared" si="289"/>
        <v>2</v>
      </c>
      <c r="Y293" s="18">
        <f t="shared" si="290"/>
        <v>2</v>
      </c>
      <c r="Z293" s="19">
        <f t="shared" si="291"/>
        <v>0.13333333333333333</v>
      </c>
      <c r="AA293" s="19"/>
      <c r="AB293" s="19"/>
      <c r="AC293" s="20"/>
      <c r="AE293" s="111"/>
      <c r="AF293" s="111"/>
      <c r="AG293" s="111"/>
      <c r="AH293" s="651"/>
      <c r="AI293" s="131"/>
      <c r="AK293" s="111"/>
      <c r="AL293" s="111"/>
      <c r="AM293" s="111"/>
      <c r="AN293" s="651"/>
      <c r="AO293" s="131"/>
      <c r="AQ293" s="17"/>
      <c r="AR293" s="17"/>
      <c r="AS293" s="17"/>
      <c r="AT293" s="424">
        <f t="shared" si="292"/>
        <v>0</v>
      </c>
      <c r="AU293" s="19">
        <f t="shared" si="293"/>
        <v>0</v>
      </c>
      <c r="AW293" s="17"/>
      <c r="AX293" s="17"/>
      <c r="AY293" s="17"/>
      <c r="AZ293" s="424">
        <f t="shared" si="294"/>
        <v>2</v>
      </c>
      <c r="BA293" s="19">
        <f t="shared" si="295"/>
        <v>0.15384615384615385</v>
      </c>
    </row>
    <row r="294" spans="1:53" ht="17.100000000000001" customHeight="1" x14ac:dyDescent="0.25">
      <c r="A294" s="40"/>
      <c r="B294" s="40"/>
      <c r="C294" s="292"/>
      <c r="D294" s="144"/>
      <c r="E294" s="144"/>
      <c r="F294" s="145"/>
      <c r="G294" s="145"/>
      <c r="H294" s="119"/>
      <c r="I294" s="236"/>
      <c r="J294" s="80"/>
      <c r="K294" s="80"/>
      <c r="L294" s="81"/>
      <c r="M294" s="81"/>
      <c r="N294" s="81">
        <f>SUM(N290:N293)</f>
        <v>1</v>
      </c>
      <c r="O294" s="81">
        <f t="shared" ref="O294:V294" si="296">SUM(O290:O293)</f>
        <v>7</v>
      </c>
      <c r="P294" s="81">
        <f t="shared" si="296"/>
        <v>8</v>
      </c>
      <c r="Q294" s="81">
        <f t="shared" si="296"/>
        <v>1</v>
      </c>
      <c r="R294" s="81">
        <f t="shared" si="296"/>
        <v>6</v>
      </c>
      <c r="S294" s="81">
        <f t="shared" si="296"/>
        <v>7</v>
      </c>
      <c r="T294" s="81">
        <f t="shared" si="296"/>
        <v>0</v>
      </c>
      <c r="U294" s="81">
        <f t="shared" si="296"/>
        <v>0</v>
      </c>
      <c r="V294" s="81">
        <f t="shared" si="296"/>
        <v>0</v>
      </c>
      <c r="W294" s="82">
        <f>SUM(W290:W293)</f>
        <v>2</v>
      </c>
      <c r="X294" s="82">
        <f t="shared" ref="X294:Y294" si="297">SUM(X290:X293)</f>
        <v>13</v>
      </c>
      <c r="Y294" s="82">
        <f t="shared" si="297"/>
        <v>15</v>
      </c>
      <c r="Z294" s="66">
        <f t="shared" si="291"/>
        <v>1</v>
      </c>
      <c r="AA294" s="205"/>
      <c r="AB294" s="205"/>
      <c r="AC294" s="83"/>
      <c r="AE294" s="81"/>
      <c r="AF294" s="81"/>
      <c r="AG294" s="82"/>
      <c r="AH294" s="82"/>
      <c r="AI294" s="66"/>
      <c r="AK294" s="81"/>
      <c r="AL294" s="81"/>
      <c r="AM294" s="82"/>
      <c r="AN294" s="82"/>
      <c r="AO294" s="66"/>
      <c r="AQ294" s="81"/>
      <c r="AR294" s="81"/>
      <c r="AS294" s="82"/>
      <c r="AT294" s="81">
        <f>SUM(AT290:AT293)</f>
        <v>2</v>
      </c>
      <c r="AU294" s="66">
        <f t="shared" si="293"/>
        <v>1</v>
      </c>
      <c r="AW294" s="81"/>
      <c r="AX294" s="81"/>
      <c r="AY294" s="82"/>
      <c r="AZ294" s="81">
        <f>SUM(AZ290:AZ293)</f>
        <v>13</v>
      </c>
      <c r="BA294" s="66">
        <f t="shared" si="295"/>
        <v>1</v>
      </c>
    </row>
    <row r="295" spans="1:53" s="117" customFormat="1" ht="17.100000000000001" customHeight="1" x14ac:dyDescent="0.25">
      <c r="A295" s="68"/>
      <c r="B295" s="119"/>
      <c r="C295" s="647"/>
      <c r="D295" s="261"/>
      <c r="E295" s="261"/>
      <c r="F295" s="68"/>
      <c r="G295" s="68"/>
      <c r="H295" s="119"/>
      <c r="I295" s="138"/>
      <c r="J295" s="17"/>
      <c r="K295" s="17"/>
      <c r="L295" s="17"/>
      <c r="M295" s="17"/>
      <c r="N295" s="17" t="str">
        <f>IF(N294=N$20,"OK","NOK")</f>
        <v>OK</v>
      </c>
      <c r="O295" s="17" t="str">
        <f>IF(O294=O$20,"OK","NOK")</f>
        <v>OK</v>
      </c>
      <c r="P295" s="17"/>
      <c r="Q295" s="17" t="str">
        <f>IF(Q294=Q$20,"OK","NOK")</f>
        <v>OK</v>
      </c>
      <c r="R295" s="17" t="str">
        <f>IF(R294=R$20,"OK","NOK")</f>
        <v>OK</v>
      </c>
      <c r="S295" s="17"/>
      <c r="T295" s="17" t="str">
        <f>IF(T294=T$20,"OK","NOK")</f>
        <v>OK</v>
      </c>
      <c r="U295" s="17" t="str">
        <f>IF(U294=U$20,"OK","NOK")</f>
        <v>OK</v>
      </c>
      <c r="V295" s="359"/>
      <c r="W295" s="382"/>
      <c r="X295" s="646"/>
      <c r="Y295" s="646"/>
      <c r="Z295" s="201"/>
      <c r="AA295" s="201"/>
      <c r="AB295" s="201"/>
      <c r="AC295" s="84"/>
      <c r="AE295" s="46"/>
      <c r="AF295" s="46"/>
      <c r="AG295" s="17"/>
      <c r="AH295" s="646"/>
      <c r="AI295" s="91"/>
      <c r="AK295" s="46"/>
      <c r="AL295" s="46"/>
      <c r="AM295" s="17"/>
      <c r="AN295" s="646"/>
      <c r="AO295" s="91"/>
      <c r="AQ295" s="46"/>
      <c r="AR295" s="46"/>
      <c r="AS295" s="17"/>
      <c r="AT295" s="646"/>
      <c r="AU295" s="91"/>
      <c r="AW295" s="46"/>
      <c r="AX295" s="46"/>
      <c r="AY295" s="17"/>
      <c r="AZ295" s="646"/>
      <c r="BA295" s="91"/>
    </row>
    <row r="296" spans="1:53" ht="17.100000000000001" customHeight="1" x14ac:dyDescent="0.25">
      <c r="A296" s="40"/>
      <c r="B296" s="41" t="s">
        <v>306</v>
      </c>
      <c r="C296" s="274" t="s">
        <v>607</v>
      </c>
      <c r="D296" s="43"/>
      <c r="E296" s="43"/>
      <c r="F296" s="43"/>
      <c r="G296" s="43"/>
      <c r="H296" s="23"/>
      <c r="I296" s="229"/>
      <c r="J296" s="71"/>
      <c r="K296" s="71"/>
      <c r="L296" s="71"/>
      <c r="M296" s="71"/>
      <c r="N296" s="71"/>
      <c r="O296" s="71"/>
      <c r="P296" s="71"/>
      <c r="Q296" s="71"/>
      <c r="R296" s="71"/>
      <c r="S296" s="71"/>
      <c r="T296" s="71"/>
      <c r="U296" s="71"/>
      <c r="V296" s="71"/>
      <c r="W296" s="71"/>
      <c r="X296" s="71"/>
      <c r="Y296" s="71"/>
      <c r="Z296" s="73"/>
      <c r="AA296" s="73"/>
      <c r="AB296" s="73"/>
      <c r="AC296" s="73"/>
      <c r="AE296" s="71"/>
      <c r="AF296" s="71"/>
      <c r="AG296" s="273"/>
      <c r="AH296" s="73"/>
      <c r="AI296" s="73"/>
      <c r="AK296" s="71"/>
      <c r="AL296" s="71"/>
      <c r="AM296" s="273"/>
      <c r="AN296" s="73"/>
      <c r="AO296" s="73"/>
      <c r="AQ296" s="71"/>
      <c r="AR296" s="71"/>
      <c r="AS296" s="273"/>
      <c r="AT296" s="73"/>
      <c r="AU296" s="73"/>
      <c r="AW296" s="71"/>
      <c r="AX296" s="71"/>
      <c r="AY296" s="273"/>
      <c r="AZ296" s="73"/>
      <c r="BA296" s="73"/>
    </row>
    <row r="297" spans="1:53" ht="17.100000000000001" customHeight="1" x14ac:dyDescent="0.25">
      <c r="A297" s="40"/>
      <c r="B297" s="40"/>
      <c r="C297" s="74" t="s">
        <v>308</v>
      </c>
      <c r="D297" s="85" t="s">
        <v>292</v>
      </c>
      <c r="E297" s="105"/>
      <c r="F297" s="105"/>
      <c r="G297" s="105"/>
      <c r="H297" s="84"/>
      <c r="I297" s="231"/>
      <c r="J297" s="111"/>
      <c r="K297" s="111"/>
      <c r="L297" s="111"/>
      <c r="M297" s="111"/>
      <c r="N297" s="60"/>
      <c r="O297" s="60"/>
      <c r="P297" s="17">
        <f t="shared" ref="P297:P307" si="298">SUM(N297:O297)</f>
        <v>0</v>
      </c>
      <c r="Q297" s="60">
        <v>1</v>
      </c>
      <c r="R297" s="60">
        <v>4</v>
      </c>
      <c r="S297" s="17">
        <f t="shared" ref="S297:S307" si="299">SUM(Q297:R297)</f>
        <v>5</v>
      </c>
      <c r="T297" s="60"/>
      <c r="U297" s="60"/>
      <c r="V297" s="17">
        <f t="shared" ref="V297:V307" si="300">SUM(T297:U297)</f>
        <v>0</v>
      </c>
      <c r="W297" s="391">
        <f t="shared" ref="W297:W307" si="301">J297+K297+N297+Q297+T297</f>
        <v>1</v>
      </c>
      <c r="X297" s="17">
        <f t="shared" ref="X297:X307" si="302">L297+O297+R297+U297</f>
        <v>4</v>
      </c>
      <c r="Y297" s="18">
        <f t="shared" ref="Y297:Y307" si="303">SUM(W297:X297)</f>
        <v>5</v>
      </c>
      <c r="Z297" s="19">
        <f>IF(Y$312=0,0,Y297/Y$312)</f>
        <v>0.33333333333333331</v>
      </c>
      <c r="AA297" s="19"/>
      <c r="AB297" s="19"/>
      <c r="AC297" s="20"/>
      <c r="AE297" s="111"/>
      <c r="AF297" s="111"/>
      <c r="AG297" s="111"/>
      <c r="AH297" s="651"/>
      <c r="AI297" s="131"/>
      <c r="AK297" s="111"/>
      <c r="AL297" s="111"/>
      <c r="AM297" s="111"/>
      <c r="AN297" s="651"/>
      <c r="AO297" s="131"/>
      <c r="AQ297" s="17"/>
      <c r="AR297" s="17"/>
      <c r="AS297" s="17"/>
      <c r="AT297" s="424">
        <f>W297</f>
        <v>1</v>
      </c>
      <c r="AU297" s="19">
        <f t="shared" ref="AU297:AU306" si="304">IF(AT$312=0,0,AT297/AT$312)</f>
        <v>0.5</v>
      </c>
      <c r="AW297" s="17"/>
      <c r="AX297" s="17"/>
      <c r="AY297" s="17"/>
      <c r="AZ297" s="424">
        <f>X297</f>
        <v>4</v>
      </c>
      <c r="BA297" s="19">
        <f t="shared" ref="BA297:BA306" si="305">IF(AZ$312=0,0,AZ297/AZ$312)</f>
        <v>0.30769230769230771</v>
      </c>
    </row>
    <row r="298" spans="1:53" ht="17.100000000000001" customHeight="1" x14ac:dyDescent="0.25">
      <c r="A298" s="40"/>
      <c r="B298" s="40"/>
      <c r="C298" s="74" t="s">
        <v>309</v>
      </c>
      <c r="D298" s="146" t="s">
        <v>757</v>
      </c>
      <c r="E298" s="105"/>
      <c r="F298" s="105"/>
      <c r="G298" s="105"/>
      <c r="H298" s="84"/>
      <c r="I298" s="231"/>
      <c r="J298" s="111"/>
      <c r="K298" s="111"/>
      <c r="L298" s="111"/>
      <c r="M298" s="111"/>
      <c r="N298" s="61"/>
      <c r="O298" s="61"/>
      <c r="P298" s="17">
        <f t="shared" si="298"/>
        <v>0</v>
      </c>
      <c r="Q298" s="61"/>
      <c r="R298" s="61"/>
      <c r="S298" s="17">
        <f t="shared" si="299"/>
        <v>0</v>
      </c>
      <c r="T298" s="61"/>
      <c r="U298" s="61"/>
      <c r="V298" s="17">
        <f t="shared" ref="V298:V306" si="306">SUM(T298:U298)</f>
        <v>0</v>
      </c>
      <c r="W298" s="391">
        <f t="shared" si="301"/>
        <v>0</v>
      </c>
      <c r="X298" s="17">
        <f t="shared" si="302"/>
        <v>0</v>
      </c>
      <c r="Y298" s="18">
        <f t="shared" si="303"/>
        <v>0</v>
      </c>
      <c r="Z298" s="19">
        <f t="shared" ref="Z298:Z306" si="307">IF(Y$312=0,0,Y298/Y$312)</f>
        <v>0</v>
      </c>
      <c r="AA298" s="19"/>
      <c r="AB298" s="19"/>
      <c r="AC298" s="20"/>
      <c r="AE298" s="111"/>
      <c r="AF298" s="111"/>
      <c r="AG298" s="111"/>
      <c r="AH298" s="651"/>
      <c r="AI298" s="131"/>
      <c r="AK298" s="111"/>
      <c r="AL298" s="111"/>
      <c r="AM298" s="111"/>
      <c r="AN298" s="651"/>
      <c r="AO298" s="131"/>
      <c r="AQ298" s="17"/>
      <c r="AR298" s="17"/>
      <c r="AS298" s="17"/>
      <c r="AT298" s="424">
        <f t="shared" ref="AT298:AT307" si="308">W298</f>
        <v>0</v>
      </c>
      <c r="AU298" s="19">
        <f t="shared" si="304"/>
        <v>0</v>
      </c>
      <c r="AW298" s="17"/>
      <c r="AX298" s="17"/>
      <c r="AY298" s="17"/>
      <c r="AZ298" s="424">
        <f t="shared" ref="AZ298:AZ307" si="309">X298</f>
        <v>0</v>
      </c>
      <c r="BA298" s="19">
        <f t="shared" si="305"/>
        <v>0</v>
      </c>
    </row>
    <row r="299" spans="1:53" ht="17.100000000000001" customHeight="1" x14ac:dyDescent="0.25">
      <c r="A299" s="40"/>
      <c r="B299" s="40"/>
      <c r="C299" s="74" t="s">
        <v>489</v>
      </c>
      <c r="D299" s="85" t="s">
        <v>300</v>
      </c>
      <c r="E299" s="105"/>
      <c r="F299" s="105"/>
      <c r="G299" s="105"/>
      <c r="H299" s="84"/>
      <c r="I299" s="231"/>
      <c r="J299" s="111"/>
      <c r="K299" s="111"/>
      <c r="L299" s="111"/>
      <c r="M299" s="111"/>
      <c r="N299" s="60"/>
      <c r="O299" s="60"/>
      <c r="P299" s="17">
        <f t="shared" si="298"/>
        <v>0</v>
      </c>
      <c r="Q299" s="60"/>
      <c r="R299" s="60"/>
      <c r="S299" s="17">
        <f t="shared" si="299"/>
        <v>0</v>
      </c>
      <c r="T299" s="60"/>
      <c r="U299" s="60"/>
      <c r="V299" s="17">
        <f t="shared" si="306"/>
        <v>0</v>
      </c>
      <c r="W299" s="391">
        <f t="shared" si="301"/>
        <v>0</v>
      </c>
      <c r="X299" s="17">
        <f t="shared" si="302"/>
        <v>0</v>
      </c>
      <c r="Y299" s="18">
        <f t="shared" si="303"/>
        <v>0</v>
      </c>
      <c r="Z299" s="19">
        <f t="shared" si="307"/>
        <v>0</v>
      </c>
      <c r="AA299" s="19"/>
      <c r="AB299" s="19"/>
      <c r="AC299" s="20"/>
      <c r="AE299" s="111"/>
      <c r="AF299" s="111"/>
      <c r="AG299" s="111"/>
      <c r="AH299" s="651"/>
      <c r="AI299" s="131"/>
      <c r="AK299" s="111"/>
      <c r="AL299" s="111"/>
      <c r="AM299" s="111"/>
      <c r="AN299" s="651"/>
      <c r="AO299" s="131"/>
      <c r="AQ299" s="17"/>
      <c r="AR299" s="17"/>
      <c r="AS299" s="17"/>
      <c r="AT299" s="424">
        <f t="shared" si="308"/>
        <v>0</v>
      </c>
      <c r="AU299" s="19">
        <f t="shared" si="304"/>
        <v>0</v>
      </c>
      <c r="AW299" s="17"/>
      <c r="AX299" s="17"/>
      <c r="AY299" s="17"/>
      <c r="AZ299" s="424">
        <f t="shared" si="309"/>
        <v>0</v>
      </c>
      <c r="BA299" s="19">
        <f t="shared" si="305"/>
        <v>0</v>
      </c>
    </row>
    <row r="300" spans="1:53" ht="17.100000000000001" customHeight="1" x14ac:dyDescent="0.25">
      <c r="A300" s="40"/>
      <c r="B300" s="40"/>
      <c r="C300" s="74" t="s">
        <v>621</v>
      </c>
      <c r="D300" s="85" t="s">
        <v>670</v>
      </c>
      <c r="E300" s="105"/>
      <c r="F300" s="105"/>
      <c r="G300" s="105"/>
      <c r="H300" s="84"/>
      <c r="I300" s="231"/>
      <c r="J300" s="111"/>
      <c r="K300" s="111"/>
      <c r="L300" s="111"/>
      <c r="M300" s="111"/>
      <c r="N300" s="61"/>
      <c r="O300" s="61"/>
      <c r="P300" s="17">
        <f t="shared" si="298"/>
        <v>0</v>
      </c>
      <c r="Q300" s="61"/>
      <c r="R300" s="61">
        <v>2</v>
      </c>
      <c r="S300" s="17">
        <f t="shared" si="299"/>
        <v>2</v>
      </c>
      <c r="T300" s="61"/>
      <c r="U300" s="61"/>
      <c r="V300" s="17">
        <f t="shared" si="306"/>
        <v>0</v>
      </c>
      <c r="W300" s="391">
        <f t="shared" si="301"/>
        <v>0</v>
      </c>
      <c r="X300" s="17">
        <f t="shared" si="302"/>
        <v>2</v>
      </c>
      <c r="Y300" s="18">
        <f t="shared" si="303"/>
        <v>2</v>
      </c>
      <c r="Z300" s="19">
        <f t="shared" si="307"/>
        <v>0.13333333333333333</v>
      </c>
      <c r="AA300" s="19"/>
      <c r="AB300" s="19"/>
      <c r="AC300" s="20"/>
      <c r="AE300" s="111"/>
      <c r="AF300" s="111"/>
      <c r="AG300" s="111"/>
      <c r="AH300" s="651"/>
      <c r="AI300" s="131"/>
      <c r="AK300" s="111"/>
      <c r="AL300" s="111"/>
      <c r="AM300" s="111"/>
      <c r="AN300" s="651"/>
      <c r="AO300" s="131"/>
      <c r="AQ300" s="17"/>
      <c r="AR300" s="17"/>
      <c r="AS300" s="17"/>
      <c r="AT300" s="424">
        <f t="shared" si="308"/>
        <v>0</v>
      </c>
      <c r="AU300" s="19">
        <f t="shared" si="304"/>
        <v>0</v>
      </c>
      <c r="AW300" s="17"/>
      <c r="AX300" s="17"/>
      <c r="AY300" s="17"/>
      <c r="AZ300" s="424">
        <f t="shared" si="309"/>
        <v>2</v>
      </c>
      <c r="BA300" s="19">
        <f t="shared" si="305"/>
        <v>0.15384615384615385</v>
      </c>
    </row>
    <row r="301" spans="1:53" ht="17.100000000000001" customHeight="1" x14ac:dyDescent="0.25">
      <c r="A301" s="40"/>
      <c r="B301" s="40"/>
      <c r="C301" s="74" t="s">
        <v>622</v>
      </c>
      <c r="D301" s="85" t="s">
        <v>671</v>
      </c>
      <c r="E301" s="75"/>
      <c r="F301" s="75"/>
      <c r="G301" s="75"/>
      <c r="H301" s="23"/>
      <c r="I301" s="229"/>
      <c r="J301" s="111"/>
      <c r="K301" s="111"/>
      <c r="L301" s="111"/>
      <c r="M301" s="111"/>
      <c r="N301" s="60"/>
      <c r="O301" s="60"/>
      <c r="P301" s="17">
        <f t="shared" si="298"/>
        <v>0</v>
      </c>
      <c r="Q301" s="60"/>
      <c r="R301" s="60"/>
      <c r="S301" s="17">
        <f t="shared" si="299"/>
        <v>0</v>
      </c>
      <c r="T301" s="60"/>
      <c r="U301" s="60"/>
      <c r="V301" s="17">
        <f t="shared" si="306"/>
        <v>0</v>
      </c>
      <c r="W301" s="391">
        <f t="shared" si="301"/>
        <v>0</v>
      </c>
      <c r="X301" s="17">
        <f t="shared" si="302"/>
        <v>0</v>
      </c>
      <c r="Y301" s="18">
        <f t="shared" si="303"/>
        <v>0</v>
      </c>
      <c r="Z301" s="19">
        <f t="shared" si="307"/>
        <v>0</v>
      </c>
      <c r="AA301" s="19"/>
      <c r="AB301" s="19"/>
      <c r="AC301" s="20"/>
      <c r="AE301" s="111"/>
      <c r="AF301" s="111"/>
      <c r="AG301" s="111"/>
      <c r="AH301" s="651"/>
      <c r="AI301" s="131"/>
      <c r="AK301" s="111"/>
      <c r="AL301" s="111"/>
      <c r="AM301" s="111"/>
      <c r="AN301" s="651"/>
      <c r="AO301" s="131"/>
      <c r="AQ301" s="17"/>
      <c r="AR301" s="17"/>
      <c r="AS301" s="17"/>
      <c r="AT301" s="424">
        <f t="shared" si="308"/>
        <v>0</v>
      </c>
      <c r="AU301" s="19">
        <f t="shared" si="304"/>
        <v>0</v>
      </c>
      <c r="AW301" s="17"/>
      <c r="AX301" s="17"/>
      <c r="AY301" s="17"/>
      <c r="AZ301" s="424">
        <f t="shared" si="309"/>
        <v>0</v>
      </c>
      <c r="BA301" s="19">
        <f t="shared" si="305"/>
        <v>0</v>
      </c>
    </row>
    <row r="302" spans="1:53" ht="17.100000000000001" customHeight="1" x14ac:dyDescent="0.25">
      <c r="A302" s="40"/>
      <c r="B302" s="40"/>
      <c r="C302" s="74" t="s">
        <v>623</v>
      </c>
      <c r="D302" s="85" t="s">
        <v>302</v>
      </c>
      <c r="E302" s="649"/>
      <c r="F302" s="105"/>
      <c r="G302" s="105"/>
      <c r="H302" s="84"/>
      <c r="I302" s="231"/>
      <c r="J302" s="111"/>
      <c r="K302" s="111"/>
      <c r="L302" s="111"/>
      <c r="M302" s="111"/>
      <c r="N302" s="61">
        <v>1</v>
      </c>
      <c r="O302" s="61">
        <v>7</v>
      </c>
      <c r="P302" s="17">
        <f t="shared" si="298"/>
        <v>8</v>
      </c>
      <c r="Q302" s="61"/>
      <c r="R302" s="61"/>
      <c r="S302" s="17">
        <f t="shared" si="299"/>
        <v>0</v>
      </c>
      <c r="T302" s="61"/>
      <c r="U302" s="61"/>
      <c r="V302" s="17">
        <f t="shared" si="306"/>
        <v>0</v>
      </c>
      <c r="W302" s="391">
        <f t="shared" si="301"/>
        <v>1</v>
      </c>
      <c r="X302" s="17">
        <f t="shared" si="302"/>
        <v>7</v>
      </c>
      <c r="Y302" s="18">
        <f t="shared" si="303"/>
        <v>8</v>
      </c>
      <c r="Z302" s="19">
        <f t="shared" si="307"/>
        <v>0.53333333333333333</v>
      </c>
      <c r="AA302" s="19"/>
      <c r="AB302" s="19"/>
      <c r="AC302" s="20"/>
      <c r="AE302" s="111"/>
      <c r="AF302" s="111"/>
      <c r="AG302" s="111"/>
      <c r="AH302" s="651"/>
      <c r="AI302" s="131"/>
      <c r="AK302" s="111"/>
      <c r="AL302" s="111"/>
      <c r="AM302" s="111"/>
      <c r="AN302" s="651"/>
      <c r="AO302" s="131"/>
      <c r="AQ302" s="17"/>
      <c r="AR302" s="17"/>
      <c r="AS302" s="17"/>
      <c r="AT302" s="424">
        <f t="shared" si="308"/>
        <v>1</v>
      </c>
      <c r="AU302" s="19">
        <f t="shared" si="304"/>
        <v>0.5</v>
      </c>
      <c r="AW302" s="17"/>
      <c r="AX302" s="17"/>
      <c r="AY302" s="17"/>
      <c r="AZ302" s="424">
        <f t="shared" si="309"/>
        <v>7</v>
      </c>
      <c r="BA302" s="19">
        <f t="shared" si="305"/>
        <v>0.53846153846153844</v>
      </c>
    </row>
    <row r="303" spans="1:53" ht="17.100000000000001" customHeight="1" x14ac:dyDescent="0.25">
      <c r="A303" s="40"/>
      <c r="B303" s="40"/>
      <c r="C303" s="74" t="s">
        <v>624</v>
      </c>
      <c r="D303" s="85" t="s">
        <v>487</v>
      </c>
      <c r="E303" s="649"/>
      <c r="F303" s="105"/>
      <c r="G303" s="105"/>
      <c r="H303" s="84"/>
      <c r="I303" s="231"/>
      <c r="J303" s="111"/>
      <c r="K303" s="111"/>
      <c r="L303" s="111"/>
      <c r="M303" s="111"/>
      <c r="N303" s="60"/>
      <c r="O303" s="60"/>
      <c r="P303" s="17">
        <f t="shared" si="298"/>
        <v>0</v>
      </c>
      <c r="Q303" s="60"/>
      <c r="R303" s="60"/>
      <c r="S303" s="17">
        <f t="shared" si="299"/>
        <v>0</v>
      </c>
      <c r="T303" s="60"/>
      <c r="U303" s="60"/>
      <c r="V303" s="17">
        <f t="shared" si="306"/>
        <v>0</v>
      </c>
      <c r="W303" s="391">
        <f t="shared" si="301"/>
        <v>0</v>
      </c>
      <c r="X303" s="17">
        <f t="shared" si="302"/>
        <v>0</v>
      </c>
      <c r="Y303" s="18">
        <f t="shared" si="303"/>
        <v>0</v>
      </c>
      <c r="Z303" s="19">
        <f t="shared" si="307"/>
        <v>0</v>
      </c>
      <c r="AA303" s="19"/>
      <c r="AB303" s="19"/>
      <c r="AC303" s="20"/>
      <c r="AE303" s="111"/>
      <c r="AF303" s="111"/>
      <c r="AG303" s="111"/>
      <c r="AH303" s="651"/>
      <c r="AI303" s="131"/>
      <c r="AK303" s="111"/>
      <c r="AL303" s="111"/>
      <c r="AM303" s="111"/>
      <c r="AN303" s="651"/>
      <c r="AO303" s="131"/>
      <c r="AQ303" s="17"/>
      <c r="AR303" s="17"/>
      <c r="AS303" s="17"/>
      <c r="AT303" s="424">
        <f t="shared" si="308"/>
        <v>0</v>
      </c>
      <c r="AU303" s="19">
        <f t="shared" si="304"/>
        <v>0</v>
      </c>
      <c r="AW303" s="17"/>
      <c r="AX303" s="17"/>
      <c r="AY303" s="17"/>
      <c r="AZ303" s="424">
        <f t="shared" si="309"/>
        <v>0</v>
      </c>
      <c r="BA303" s="19">
        <f t="shared" si="305"/>
        <v>0</v>
      </c>
    </row>
    <row r="304" spans="1:53" ht="17.100000000000001" customHeight="1" x14ac:dyDescent="0.25">
      <c r="A304" s="40"/>
      <c r="B304" s="40"/>
      <c r="C304" s="74" t="s">
        <v>625</v>
      </c>
      <c r="D304" s="85" t="s">
        <v>488</v>
      </c>
      <c r="E304" s="649"/>
      <c r="F304" s="105"/>
      <c r="G304" s="105"/>
      <c r="H304" s="84"/>
      <c r="I304" s="231"/>
      <c r="J304" s="111"/>
      <c r="K304" s="111"/>
      <c r="L304" s="111"/>
      <c r="M304" s="111"/>
      <c r="N304" s="61"/>
      <c r="O304" s="61"/>
      <c r="P304" s="17">
        <f t="shared" si="298"/>
        <v>0</v>
      </c>
      <c r="Q304" s="61"/>
      <c r="R304" s="61"/>
      <c r="S304" s="17">
        <f t="shared" si="299"/>
        <v>0</v>
      </c>
      <c r="T304" s="61"/>
      <c r="U304" s="61"/>
      <c r="V304" s="17">
        <f t="shared" si="306"/>
        <v>0</v>
      </c>
      <c r="W304" s="391">
        <f t="shared" si="301"/>
        <v>0</v>
      </c>
      <c r="X304" s="17">
        <f t="shared" si="302"/>
        <v>0</v>
      </c>
      <c r="Y304" s="18">
        <f t="shared" si="303"/>
        <v>0</v>
      </c>
      <c r="Z304" s="19">
        <f t="shared" si="307"/>
        <v>0</v>
      </c>
      <c r="AA304" s="19"/>
      <c r="AB304" s="19"/>
      <c r="AC304" s="20"/>
      <c r="AE304" s="111"/>
      <c r="AF304" s="111"/>
      <c r="AG304" s="111"/>
      <c r="AH304" s="651"/>
      <c r="AI304" s="131"/>
      <c r="AK304" s="111"/>
      <c r="AL304" s="111"/>
      <c r="AM304" s="111"/>
      <c r="AN304" s="651"/>
      <c r="AO304" s="131"/>
      <c r="AQ304" s="17"/>
      <c r="AR304" s="17"/>
      <c r="AS304" s="17"/>
      <c r="AT304" s="424">
        <f t="shared" si="308"/>
        <v>0</v>
      </c>
      <c r="AU304" s="19">
        <f t="shared" si="304"/>
        <v>0</v>
      </c>
      <c r="AW304" s="17"/>
      <c r="AX304" s="17"/>
      <c r="AY304" s="17"/>
      <c r="AZ304" s="424">
        <f t="shared" si="309"/>
        <v>0</v>
      </c>
      <c r="BA304" s="19">
        <f t="shared" si="305"/>
        <v>0</v>
      </c>
    </row>
    <row r="305" spans="1:53" ht="17.100000000000001" customHeight="1" x14ac:dyDescent="0.25">
      <c r="A305" s="40"/>
      <c r="B305" s="40"/>
      <c r="C305" s="74" t="s">
        <v>668</v>
      </c>
      <c r="D305" s="85" t="s">
        <v>304</v>
      </c>
      <c r="E305" s="649"/>
      <c r="F305" s="105"/>
      <c r="G305" s="105"/>
      <c r="H305" s="84"/>
      <c r="I305" s="231"/>
      <c r="J305" s="111"/>
      <c r="K305" s="111"/>
      <c r="L305" s="111"/>
      <c r="M305" s="111"/>
      <c r="N305" s="60"/>
      <c r="O305" s="60"/>
      <c r="P305" s="17">
        <f t="shared" si="298"/>
        <v>0</v>
      </c>
      <c r="Q305" s="60"/>
      <c r="R305" s="60"/>
      <c r="S305" s="17">
        <f t="shared" si="299"/>
        <v>0</v>
      </c>
      <c r="T305" s="60"/>
      <c r="U305" s="60"/>
      <c r="V305" s="17">
        <f t="shared" si="306"/>
        <v>0</v>
      </c>
      <c r="W305" s="391">
        <f t="shared" si="301"/>
        <v>0</v>
      </c>
      <c r="X305" s="17">
        <f t="shared" si="302"/>
        <v>0</v>
      </c>
      <c r="Y305" s="18">
        <f t="shared" si="303"/>
        <v>0</v>
      </c>
      <c r="Z305" s="19">
        <f t="shared" si="307"/>
        <v>0</v>
      </c>
      <c r="AA305" s="19"/>
      <c r="AB305" s="19"/>
      <c r="AC305" s="20"/>
      <c r="AE305" s="111"/>
      <c r="AF305" s="111"/>
      <c r="AG305" s="111"/>
      <c r="AH305" s="651"/>
      <c r="AI305" s="131"/>
      <c r="AK305" s="111"/>
      <c r="AL305" s="111"/>
      <c r="AM305" s="111"/>
      <c r="AN305" s="651"/>
      <c r="AO305" s="131"/>
      <c r="AQ305" s="17"/>
      <c r="AR305" s="17"/>
      <c r="AS305" s="17"/>
      <c r="AT305" s="424">
        <f t="shared" si="308"/>
        <v>0</v>
      </c>
      <c r="AU305" s="19">
        <f t="shared" si="304"/>
        <v>0</v>
      </c>
      <c r="AW305" s="17"/>
      <c r="AX305" s="17"/>
      <c r="AY305" s="17"/>
      <c r="AZ305" s="424">
        <f t="shared" si="309"/>
        <v>0</v>
      </c>
      <c r="BA305" s="19">
        <f t="shared" si="305"/>
        <v>0</v>
      </c>
    </row>
    <row r="306" spans="1:53" ht="17.100000000000001" customHeight="1" x14ac:dyDescent="0.25">
      <c r="A306" s="40"/>
      <c r="B306" s="40"/>
      <c r="C306" s="74" t="s">
        <v>669</v>
      </c>
      <c r="D306" s="85" t="s">
        <v>758</v>
      </c>
      <c r="E306" s="649"/>
      <c r="F306" s="105"/>
      <c r="G306" s="105"/>
      <c r="H306" s="84"/>
      <c r="I306" s="231"/>
      <c r="J306" s="111"/>
      <c r="K306" s="111"/>
      <c r="L306" s="111"/>
      <c r="M306" s="111"/>
      <c r="N306" s="61"/>
      <c r="O306" s="61"/>
      <c r="P306" s="17">
        <f t="shared" si="298"/>
        <v>0</v>
      </c>
      <c r="Q306" s="61"/>
      <c r="R306" s="61"/>
      <c r="S306" s="17">
        <f t="shared" si="299"/>
        <v>0</v>
      </c>
      <c r="T306" s="61"/>
      <c r="U306" s="61"/>
      <c r="V306" s="17">
        <f t="shared" si="306"/>
        <v>0</v>
      </c>
      <c r="W306" s="391">
        <f t="shared" si="301"/>
        <v>0</v>
      </c>
      <c r="X306" s="17">
        <f t="shared" si="302"/>
        <v>0</v>
      </c>
      <c r="Y306" s="18">
        <f t="shared" si="303"/>
        <v>0</v>
      </c>
      <c r="Z306" s="19">
        <f t="shared" si="307"/>
        <v>0</v>
      </c>
      <c r="AA306" s="19"/>
      <c r="AB306" s="19"/>
      <c r="AC306" s="20"/>
      <c r="AE306" s="111"/>
      <c r="AF306" s="111"/>
      <c r="AG306" s="111"/>
      <c r="AH306" s="651"/>
      <c r="AI306" s="131"/>
      <c r="AK306" s="111"/>
      <c r="AL306" s="111"/>
      <c r="AM306" s="111"/>
      <c r="AN306" s="651"/>
      <c r="AO306" s="131"/>
      <c r="AQ306" s="17"/>
      <c r="AR306" s="17"/>
      <c r="AS306" s="17"/>
      <c r="AT306" s="424">
        <f t="shared" si="308"/>
        <v>0</v>
      </c>
      <c r="AU306" s="19">
        <f t="shared" si="304"/>
        <v>0</v>
      </c>
      <c r="AW306" s="17"/>
      <c r="AX306" s="17"/>
      <c r="AY306" s="17"/>
      <c r="AZ306" s="424">
        <f t="shared" si="309"/>
        <v>0</v>
      </c>
      <c r="BA306" s="19">
        <f t="shared" si="305"/>
        <v>0</v>
      </c>
    </row>
    <row r="307" spans="1:53" ht="17.100000000000001" customHeight="1" x14ac:dyDescent="0.25">
      <c r="A307" s="40"/>
      <c r="B307" s="40"/>
      <c r="C307" s="74" t="s">
        <v>756</v>
      </c>
      <c r="D307" s="85" t="s">
        <v>305</v>
      </c>
      <c r="E307" s="649"/>
      <c r="F307" s="105"/>
      <c r="G307" s="105"/>
      <c r="H307" s="84"/>
      <c r="I307" s="231"/>
      <c r="J307" s="111"/>
      <c r="K307" s="111"/>
      <c r="L307" s="111"/>
      <c r="M307" s="111"/>
      <c r="N307" s="111">
        <f t="shared" ref="N307:U307" si="310">SUM(N308:N311)</f>
        <v>0</v>
      </c>
      <c r="O307" s="111">
        <f t="shared" si="310"/>
        <v>0</v>
      </c>
      <c r="P307" s="111">
        <f t="shared" si="298"/>
        <v>0</v>
      </c>
      <c r="Q307" s="111">
        <f t="shared" si="310"/>
        <v>0</v>
      </c>
      <c r="R307" s="111">
        <f t="shared" si="310"/>
        <v>0</v>
      </c>
      <c r="S307" s="111">
        <f t="shared" si="299"/>
        <v>0</v>
      </c>
      <c r="T307" s="111">
        <f t="shared" si="310"/>
        <v>0</v>
      </c>
      <c r="U307" s="111">
        <f t="shared" si="310"/>
        <v>0</v>
      </c>
      <c r="V307" s="358">
        <f t="shared" si="300"/>
        <v>0</v>
      </c>
      <c r="W307" s="380">
        <f t="shared" si="301"/>
        <v>0</v>
      </c>
      <c r="X307" s="111">
        <f t="shared" si="302"/>
        <v>0</v>
      </c>
      <c r="Y307" s="651">
        <f t="shared" si="303"/>
        <v>0</v>
      </c>
      <c r="Z307" s="131">
        <f>IF(Y$312=0,0,Y307/Y$312)</f>
        <v>0</v>
      </c>
      <c r="AA307" s="131"/>
      <c r="AB307" s="131"/>
      <c r="AC307" s="113"/>
      <c r="AE307" s="111"/>
      <c r="AF307" s="111"/>
      <c r="AG307" s="111"/>
      <c r="AH307" s="651"/>
      <c r="AI307" s="131"/>
      <c r="AK307" s="111"/>
      <c r="AL307" s="111"/>
      <c r="AM307" s="111"/>
      <c r="AN307" s="651"/>
      <c r="AO307" s="131"/>
      <c r="AQ307" s="111"/>
      <c r="AR307" s="111"/>
      <c r="AS307" s="111"/>
      <c r="AT307" s="111">
        <f t="shared" si="308"/>
        <v>0</v>
      </c>
      <c r="AU307" s="131">
        <f>IF(AT$312=0,0,AT307/AT$312)</f>
        <v>0</v>
      </c>
      <c r="AW307" s="111"/>
      <c r="AX307" s="111"/>
      <c r="AY307" s="111"/>
      <c r="AZ307" s="111">
        <f t="shared" si="309"/>
        <v>0</v>
      </c>
      <c r="BA307" s="131">
        <f>IF(AZ$312=0,0,AZ307/AZ$312)</f>
        <v>0</v>
      </c>
    </row>
    <row r="308" spans="1:53" ht="17.100000000000001" customHeight="1" x14ac:dyDescent="0.25">
      <c r="A308" s="40"/>
      <c r="B308" s="40"/>
      <c r="C308" s="74"/>
      <c r="D308" s="298"/>
      <c r="E308" s="295"/>
      <c r="F308" s="295"/>
      <c r="G308" s="295"/>
      <c r="H308" s="198"/>
      <c r="I308" s="642"/>
      <c r="J308" s="111"/>
      <c r="K308" s="111"/>
      <c r="L308" s="111"/>
      <c r="M308" s="111"/>
      <c r="N308" s="60"/>
      <c r="O308" s="60"/>
      <c r="P308" s="17"/>
      <c r="Q308" s="60"/>
      <c r="R308" s="60"/>
      <c r="S308" s="17"/>
      <c r="T308" s="60"/>
      <c r="U308" s="60"/>
      <c r="V308" s="359"/>
      <c r="W308" s="391"/>
      <c r="X308" s="17"/>
      <c r="Y308" s="17"/>
      <c r="Z308" s="19"/>
      <c r="AA308" s="20"/>
      <c r="AB308" s="20"/>
      <c r="AC308" s="20"/>
      <c r="AE308" s="111"/>
      <c r="AF308" s="111"/>
      <c r="AG308" s="114"/>
      <c r="AH308" s="113"/>
      <c r="AI308" s="113"/>
      <c r="AK308" s="111"/>
      <c r="AL308" s="111"/>
      <c r="AM308" s="114"/>
      <c r="AN308" s="113"/>
      <c r="AO308" s="113"/>
      <c r="AQ308" s="17"/>
      <c r="AR308" s="17"/>
      <c r="AS308" s="306"/>
      <c r="AT308" s="20"/>
      <c r="AU308" s="20"/>
      <c r="AW308" s="17"/>
      <c r="AX308" s="17"/>
      <c r="AY308" s="306"/>
      <c r="AZ308" s="20"/>
      <c r="BA308" s="20"/>
    </row>
    <row r="309" spans="1:53" ht="17.100000000000001" customHeight="1" x14ac:dyDescent="0.25">
      <c r="A309" s="40"/>
      <c r="B309" s="40"/>
      <c r="C309" s="74"/>
      <c r="D309" s="296"/>
      <c r="E309" s="297"/>
      <c r="F309" s="297"/>
      <c r="G309" s="297"/>
      <c r="H309" s="198"/>
      <c r="I309" s="642"/>
      <c r="J309" s="111"/>
      <c r="K309" s="111"/>
      <c r="L309" s="111"/>
      <c r="M309" s="111"/>
      <c r="N309" s="61"/>
      <c r="O309" s="61"/>
      <c r="P309" s="17"/>
      <c r="Q309" s="61"/>
      <c r="R309" s="61"/>
      <c r="S309" s="17"/>
      <c r="T309" s="61"/>
      <c r="U309" s="61"/>
      <c r="V309" s="359"/>
      <c r="W309" s="391"/>
      <c r="X309" s="17"/>
      <c r="Y309" s="17"/>
      <c r="Z309" s="19"/>
      <c r="AA309" s="20"/>
      <c r="AB309" s="20"/>
      <c r="AC309" s="20"/>
      <c r="AE309" s="111"/>
      <c r="AF309" s="111"/>
      <c r="AG309" s="114"/>
      <c r="AH309" s="113"/>
      <c r="AI309" s="113"/>
      <c r="AK309" s="111"/>
      <c r="AL309" s="111"/>
      <c r="AM309" s="114"/>
      <c r="AN309" s="113"/>
      <c r="AO309" s="113"/>
      <c r="AQ309" s="17"/>
      <c r="AR309" s="17"/>
      <c r="AS309" s="306"/>
      <c r="AT309" s="20"/>
      <c r="AU309" s="20"/>
      <c r="AW309" s="17"/>
      <c r="AX309" s="17"/>
      <c r="AY309" s="306"/>
      <c r="AZ309" s="20"/>
      <c r="BA309" s="20"/>
    </row>
    <row r="310" spans="1:53" ht="17.100000000000001" customHeight="1" x14ac:dyDescent="0.25">
      <c r="A310" s="40"/>
      <c r="B310" s="40"/>
      <c r="C310" s="74"/>
      <c r="D310" s="298"/>
      <c r="E310" s="295"/>
      <c r="F310" s="295"/>
      <c r="G310" s="295"/>
      <c r="H310" s="198"/>
      <c r="I310" s="642"/>
      <c r="J310" s="111"/>
      <c r="K310" s="111"/>
      <c r="L310" s="111"/>
      <c r="M310" s="111"/>
      <c r="N310" s="60"/>
      <c r="O310" s="60"/>
      <c r="P310" s="17"/>
      <c r="Q310" s="60"/>
      <c r="R310" s="60"/>
      <c r="S310" s="17"/>
      <c r="T310" s="60"/>
      <c r="U310" s="60"/>
      <c r="V310" s="359"/>
      <c r="W310" s="391"/>
      <c r="X310" s="17"/>
      <c r="Y310" s="17"/>
      <c r="Z310" s="19"/>
      <c r="AA310" s="20"/>
      <c r="AB310" s="20"/>
      <c r="AC310" s="20"/>
      <c r="AE310" s="111"/>
      <c r="AF310" s="111"/>
      <c r="AG310" s="114"/>
      <c r="AH310" s="113"/>
      <c r="AI310" s="113"/>
      <c r="AK310" s="111"/>
      <c r="AL310" s="111"/>
      <c r="AM310" s="114"/>
      <c r="AN310" s="113"/>
      <c r="AO310" s="113"/>
      <c r="AQ310" s="17"/>
      <c r="AR310" s="17"/>
      <c r="AS310" s="306"/>
      <c r="AT310" s="20"/>
      <c r="AU310" s="20"/>
      <c r="AW310" s="17"/>
      <c r="AX310" s="17"/>
      <c r="AY310" s="306"/>
      <c r="AZ310" s="20"/>
      <c r="BA310" s="20"/>
    </row>
    <row r="311" spans="1:53" ht="17.100000000000001" customHeight="1" x14ac:dyDescent="0.25">
      <c r="A311" s="40"/>
      <c r="B311" s="40"/>
      <c r="C311" s="74"/>
      <c r="D311" s="296"/>
      <c r="E311" s="297"/>
      <c r="F311" s="297"/>
      <c r="G311" s="297"/>
      <c r="H311" s="198"/>
      <c r="I311" s="642"/>
      <c r="J311" s="111"/>
      <c r="K311" s="111"/>
      <c r="L311" s="111"/>
      <c r="M311" s="111"/>
      <c r="N311" s="61"/>
      <c r="O311" s="61"/>
      <c r="P311" s="17"/>
      <c r="Q311" s="61"/>
      <c r="R311" s="61"/>
      <c r="S311" s="17"/>
      <c r="T311" s="61"/>
      <c r="U311" s="61"/>
      <c r="V311" s="359"/>
      <c r="W311" s="391"/>
      <c r="X311" s="17"/>
      <c r="Y311" s="17"/>
      <c r="Z311" s="19"/>
      <c r="AA311" s="20"/>
      <c r="AB311" s="20"/>
      <c r="AC311" s="20"/>
      <c r="AE311" s="111"/>
      <c r="AF311" s="111"/>
      <c r="AG311" s="114"/>
      <c r="AH311" s="113"/>
      <c r="AI311" s="113"/>
      <c r="AK311" s="111"/>
      <c r="AL311" s="111"/>
      <c r="AM311" s="114"/>
      <c r="AN311" s="113"/>
      <c r="AO311" s="113"/>
      <c r="AQ311" s="17"/>
      <c r="AR311" s="17"/>
      <c r="AS311" s="306"/>
      <c r="AT311" s="20"/>
      <c r="AU311" s="20"/>
      <c r="AW311" s="17"/>
      <c r="AX311" s="17"/>
      <c r="AY311" s="306"/>
      <c r="AZ311" s="20"/>
      <c r="BA311" s="20"/>
    </row>
    <row r="312" spans="1:53" ht="17.100000000000001" customHeight="1" x14ac:dyDescent="0.25">
      <c r="A312" s="40"/>
      <c r="B312" s="40"/>
      <c r="C312" s="292"/>
      <c r="D312" s="144"/>
      <c r="E312" s="144"/>
      <c r="F312" s="145"/>
      <c r="G312" s="145"/>
      <c r="H312" s="119"/>
      <c r="I312" s="236"/>
      <c r="J312" s="80"/>
      <c r="K312" s="80"/>
      <c r="L312" s="81"/>
      <c r="M312" s="81"/>
      <c r="N312" s="81">
        <f>SUM(N297:N307)</f>
        <v>1</v>
      </c>
      <c r="O312" s="81">
        <f t="shared" ref="O312:V312" si="311">SUM(O297:O307)</f>
        <v>7</v>
      </c>
      <c r="P312" s="81">
        <f t="shared" si="311"/>
        <v>8</v>
      </c>
      <c r="Q312" s="81">
        <f t="shared" si="311"/>
        <v>1</v>
      </c>
      <c r="R312" s="81">
        <f t="shared" si="311"/>
        <v>6</v>
      </c>
      <c r="S312" s="81">
        <f t="shared" si="311"/>
        <v>7</v>
      </c>
      <c r="T312" s="81">
        <f t="shared" si="311"/>
        <v>0</v>
      </c>
      <c r="U312" s="81">
        <f t="shared" si="311"/>
        <v>0</v>
      </c>
      <c r="V312" s="356">
        <f t="shared" si="311"/>
        <v>0</v>
      </c>
      <c r="W312" s="381">
        <f>SUM(W297:W307)</f>
        <v>2</v>
      </c>
      <c r="X312" s="82">
        <f t="shared" ref="X312:Y312" si="312">SUM(X297:X307)</f>
        <v>13</v>
      </c>
      <c r="Y312" s="82">
        <f t="shared" si="312"/>
        <v>15</v>
      </c>
      <c r="Z312" s="66">
        <f>IF(Y$312=0,0,Y312/Y$312)</f>
        <v>1</v>
      </c>
      <c r="AA312" s="205"/>
      <c r="AB312" s="205"/>
      <c r="AC312" s="83"/>
      <c r="AE312" s="81"/>
      <c r="AF312" s="81"/>
      <c r="AG312" s="82"/>
      <c r="AH312" s="82"/>
      <c r="AI312" s="66"/>
      <c r="AK312" s="81"/>
      <c r="AL312" s="81"/>
      <c r="AM312" s="82"/>
      <c r="AN312" s="82"/>
      <c r="AO312" s="66"/>
      <c r="AQ312" s="81"/>
      <c r="AR312" s="81"/>
      <c r="AS312" s="82"/>
      <c r="AT312" s="81">
        <f>SUM(AT297:AT307)</f>
        <v>2</v>
      </c>
      <c r="AU312" s="66">
        <f t="shared" ref="AU312" si="313">IF(AT$312=0,0,AT312/AT$312)</f>
        <v>1</v>
      </c>
      <c r="AW312" s="81"/>
      <c r="AX312" s="81"/>
      <c r="AY312" s="82"/>
      <c r="AZ312" s="81">
        <f>SUM(AZ297:AZ307)</f>
        <v>13</v>
      </c>
      <c r="BA312" s="66">
        <f t="shared" ref="BA312" si="314">IF(AZ$312=0,0,AZ312/AZ$312)</f>
        <v>1</v>
      </c>
    </row>
    <row r="313" spans="1:53" s="117" customFormat="1" ht="17.100000000000001" customHeight="1" x14ac:dyDescent="0.25">
      <c r="A313" s="68"/>
      <c r="B313" s="119"/>
      <c r="C313" s="647"/>
      <c r="D313" s="261"/>
      <c r="E313" s="261"/>
      <c r="F313" s="68"/>
      <c r="G313" s="68"/>
      <c r="H313" s="119"/>
      <c r="I313" s="138"/>
      <c r="J313" s="17"/>
      <c r="K313" s="17"/>
      <c r="L313" s="17"/>
      <c r="M313" s="17"/>
      <c r="N313" s="17" t="str">
        <f>IF(N312&gt;=N$20,"OK","NOK")</f>
        <v>OK</v>
      </c>
      <c r="O313" s="17" t="str">
        <f>IF(O312&gt;=O$20,"OK","NOK")</f>
        <v>OK</v>
      </c>
      <c r="P313" s="17"/>
      <c r="Q313" s="17" t="str">
        <f>IF(Q312&gt;=Q$20,"OK","NOK")</f>
        <v>OK</v>
      </c>
      <c r="R313" s="17" t="str">
        <f>IF(R312&gt;=R$20,"OK","NOK")</f>
        <v>OK</v>
      </c>
      <c r="S313" s="17"/>
      <c r="T313" s="17" t="str">
        <f>IF(T312&gt;=T$20,"OK","NOK")</f>
        <v>OK</v>
      </c>
      <c r="U313" s="17" t="str">
        <f>IF(U312&gt;=U$20,"OK","NOK")</f>
        <v>OK</v>
      </c>
      <c r="V313" s="359"/>
      <c r="W313" s="382"/>
      <c r="X313" s="646"/>
      <c r="Y313" s="646"/>
      <c r="Z313" s="201"/>
      <c r="AA313" s="201"/>
      <c r="AB313" s="201"/>
      <c r="AC313" s="84"/>
      <c r="AE313" s="46"/>
      <c r="AF313" s="46"/>
      <c r="AG313" s="17"/>
      <c r="AH313" s="646"/>
      <c r="AI313" s="91"/>
      <c r="AK313" s="46"/>
      <c r="AL313" s="46"/>
      <c r="AM313" s="17"/>
      <c r="AN313" s="646"/>
      <c r="AO313" s="91"/>
      <c r="AQ313" s="46"/>
      <c r="AR313" s="46"/>
      <c r="AS313" s="17"/>
      <c r="AT313" s="646"/>
      <c r="AU313" s="91"/>
      <c r="AW313" s="46"/>
      <c r="AX313" s="46"/>
      <c r="AY313" s="17"/>
      <c r="AZ313" s="646"/>
      <c r="BA313" s="91"/>
    </row>
    <row r="314" spans="1:53" ht="17.100000000000001" customHeight="1" x14ac:dyDescent="0.25">
      <c r="A314" s="40"/>
      <c r="B314" s="41" t="s">
        <v>310</v>
      </c>
      <c r="C314" s="49" t="s">
        <v>307</v>
      </c>
      <c r="D314" s="43"/>
      <c r="E314" s="43"/>
      <c r="F314" s="43"/>
      <c r="G314" s="43"/>
      <c r="H314" s="23"/>
      <c r="I314" s="229"/>
      <c r="J314" s="71"/>
      <c r="K314" s="71"/>
      <c r="L314" s="71"/>
      <c r="M314" s="71"/>
      <c r="N314" s="71"/>
      <c r="O314" s="71"/>
      <c r="P314" s="71"/>
      <c r="Q314" s="71"/>
      <c r="R314" s="71"/>
      <c r="S314" s="71"/>
      <c r="T314" s="71"/>
      <c r="U314" s="71"/>
      <c r="V314" s="71"/>
      <c r="W314" s="71"/>
      <c r="X314" s="71"/>
      <c r="Y314" s="71"/>
      <c r="Z314" s="73"/>
      <c r="AA314" s="73"/>
      <c r="AB314" s="73"/>
      <c r="AC314" s="73"/>
      <c r="AE314" s="71"/>
      <c r="AF314" s="71"/>
      <c r="AG314" s="273"/>
      <c r="AH314" s="73"/>
      <c r="AI314" s="73"/>
      <c r="AK314" s="71"/>
      <c r="AL314" s="71"/>
      <c r="AM314" s="273"/>
      <c r="AN314" s="73"/>
      <c r="AO314" s="73"/>
      <c r="AQ314" s="71"/>
      <c r="AR314" s="71"/>
      <c r="AS314" s="273"/>
      <c r="AT314" s="73"/>
      <c r="AU314" s="73"/>
      <c r="AW314" s="71"/>
      <c r="AX314" s="71"/>
      <c r="AY314" s="273"/>
      <c r="AZ314" s="73"/>
      <c r="BA314" s="73"/>
    </row>
    <row r="315" spans="1:53" ht="17.100000000000001" customHeight="1" x14ac:dyDescent="0.25">
      <c r="A315" s="119"/>
      <c r="B315" s="119"/>
      <c r="C315" s="56" t="s">
        <v>311</v>
      </c>
      <c r="D315" s="146" t="s">
        <v>9</v>
      </c>
      <c r="E315" s="105"/>
      <c r="F315" s="105"/>
      <c r="G315" s="105"/>
      <c r="H315" s="119"/>
      <c r="I315" s="231"/>
      <c r="J315" s="111"/>
      <c r="K315" s="111"/>
      <c r="L315" s="111"/>
      <c r="M315" s="111"/>
      <c r="N315" s="60">
        <v>1</v>
      </c>
      <c r="O315" s="60">
        <v>7</v>
      </c>
      <c r="P315" s="17">
        <f t="shared" ref="P315:P317" si="315">SUM(N315:O315)</f>
        <v>8</v>
      </c>
      <c r="Q315" s="60">
        <v>1</v>
      </c>
      <c r="R315" s="60">
        <v>4</v>
      </c>
      <c r="S315" s="17">
        <f t="shared" ref="S315:S317" si="316">SUM(Q315:R315)</f>
        <v>5</v>
      </c>
      <c r="T315" s="60"/>
      <c r="U315" s="60"/>
      <c r="V315" s="17">
        <f t="shared" ref="V315:V317" si="317">SUM(T315:U315)</f>
        <v>0</v>
      </c>
      <c r="W315" s="391">
        <f t="shared" ref="W315:W317" si="318">J315+K315+N315+Q315+T315</f>
        <v>2</v>
      </c>
      <c r="X315" s="17">
        <f t="shared" ref="X315:X317" si="319">L315+O315+R315+U315</f>
        <v>11</v>
      </c>
      <c r="Y315" s="18">
        <f t="shared" ref="Y315:Y317" si="320">SUM(W315:X315)</f>
        <v>13</v>
      </c>
      <c r="Z315" s="19">
        <f>IF(Y$318=0,0,Y315/Y$318)</f>
        <v>0.8666666666666667</v>
      </c>
      <c r="AA315" s="19"/>
      <c r="AB315" s="19"/>
      <c r="AC315" s="20"/>
      <c r="AE315" s="111"/>
      <c r="AF315" s="111"/>
      <c r="AG315" s="111"/>
      <c r="AH315" s="651"/>
      <c r="AI315" s="131"/>
      <c r="AK315" s="111"/>
      <c r="AL315" s="111"/>
      <c r="AM315" s="111"/>
      <c r="AN315" s="651"/>
      <c r="AO315" s="131"/>
      <c r="AQ315" s="17"/>
      <c r="AR315" s="17"/>
      <c r="AS315" s="17"/>
      <c r="AT315" s="424">
        <f>W315</f>
        <v>2</v>
      </c>
      <c r="AU315" s="19">
        <f>IF(AT$318=0,0,AT315/AT$318)</f>
        <v>1</v>
      </c>
      <c r="AW315" s="17"/>
      <c r="AX315" s="17"/>
      <c r="AY315" s="17"/>
      <c r="AZ315" s="424">
        <f>X315</f>
        <v>11</v>
      </c>
      <c r="BA315" s="19">
        <f>IF(AZ$318=0,0,AZ315/AZ$318)</f>
        <v>0.84615384615384615</v>
      </c>
    </row>
    <row r="316" spans="1:53" ht="17.100000000000001" customHeight="1" x14ac:dyDescent="0.25">
      <c r="A316" s="119"/>
      <c r="B316" s="119"/>
      <c r="C316" s="56" t="s">
        <v>312</v>
      </c>
      <c r="D316" s="146" t="s">
        <v>11</v>
      </c>
      <c r="E316" s="105"/>
      <c r="F316" s="105"/>
      <c r="G316" s="105"/>
      <c r="H316" s="119"/>
      <c r="I316" s="231"/>
      <c r="J316" s="111"/>
      <c r="K316" s="111"/>
      <c r="L316" s="111"/>
      <c r="M316" s="111"/>
      <c r="N316" s="61"/>
      <c r="O316" s="61"/>
      <c r="P316" s="17">
        <f t="shared" si="315"/>
        <v>0</v>
      </c>
      <c r="Q316" s="61"/>
      <c r="R316" s="61"/>
      <c r="S316" s="17">
        <f t="shared" si="316"/>
        <v>0</v>
      </c>
      <c r="T316" s="61"/>
      <c r="U316" s="61"/>
      <c r="V316" s="17">
        <f t="shared" si="317"/>
        <v>0</v>
      </c>
      <c r="W316" s="391">
        <f t="shared" si="318"/>
        <v>0</v>
      </c>
      <c r="X316" s="17">
        <f t="shared" si="319"/>
        <v>0</v>
      </c>
      <c r="Y316" s="18">
        <f t="shared" si="320"/>
        <v>0</v>
      </c>
      <c r="Z316" s="19">
        <f t="shared" ref="Z316:Z318" si="321">IF(Y$318=0,0,Y316/Y$318)</f>
        <v>0</v>
      </c>
      <c r="AA316" s="19"/>
      <c r="AB316" s="19"/>
      <c r="AC316" s="20"/>
      <c r="AE316" s="111"/>
      <c r="AF316" s="111"/>
      <c r="AG316" s="111"/>
      <c r="AH316" s="651"/>
      <c r="AI316" s="131"/>
      <c r="AK316" s="111"/>
      <c r="AL316" s="111"/>
      <c r="AM316" s="111"/>
      <c r="AN316" s="651"/>
      <c r="AO316" s="131"/>
      <c r="AQ316" s="17"/>
      <c r="AR316" s="17"/>
      <c r="AS316" s="17"/>
      <c r="AT316" s="424">
        <f t="shared" ref="AT316:AT317" si="322">W316</f>
        <v>0</v>
      </c>
      <c r="AU316" s="19">
        <f t="shared" ref="AU316:AU318" si="323">IF(AT$318=0,0,AT316/AT$318)</f>
        <v>0</v>
      </c>
      <c r="AW316" s="17"/>
      <c r="AX316" s="17"/>
      <c r="AY316" s="17"/>
      <c r="AZ316" s="424">
        <f t="shared" ref="AZ316:AZ317" si="324">X316</f>
        <v>0</v>
      </c>
      <c r="BA316" s="19">
        <f t="shared" ref="BA316:BA318" si="325">IF(AZ$318=0,0,AZ316/AZ$318)</f>
        <v>0</v>
      </c>
    </row>
    <row r="317" spans="1:53" ht="17.100000000000001" customHeight="1" x14ac:dyDescent="0.25">
      <c r="A317" s="119"/>
      <c r="B317" s="119"/>
      <c r="C317" s="56" t="s">
        <v>490</v>
      </c>
      <c r="D317" s="146" t="s">
        <v>617</v>
      </c>
      <c r="E317" s="105"/>
      <c r="F317" s="105"/>
      <c r="G317" s="105"/>
      <c r="H317" s="119"/>
      <c r="I317" s="231"/>
      <c r="J317" s="111"/>
      <c r="K317" s="111"/>
      <c r="L317" s="111"/>
      <c r="M317" s="111"/>
      <c r="N317" s="60"/>
      <c r="O317" s="60"/>
      <c r="P317" s="17">
        <f t="shared" si="315"/>
        <v>0</v>
      </c>
      <c r="Q317" s="60"/>
      <c r="R317" s="60">
        <v>2</v>
      </c>
      <c r="S317" s="17">
        <f t="shared" si="316"/>
        <v>2</v>
      </c>
      <c r="T317" s="60"/>
      <c r="U317" s="60"/>
      <c r="V317" s="17">
        <f t="shared" si="317"/>
        <v>0</v>
      </c>
      <c r="W317" s="391">
        <f t="shared" si="318"/>
        <v>0</v>
      </c>
      <c r="X317" s="17">
        <f t="shared" si="319"/>
        <v>2</v>
      </c>
      <c r="Y317" s="18">
        <f t="shared" si="320"/>
        <v>2</v>
      </c>
      <c r="Z317" s="19">
        <f t="shared" si="321"/>
        <v>0.13333333333333333</v>
      </c>
      <c r="AA317" s="19"/>
      <c r="AB317" s="19"/>
      <c r="AC317" s="20"/>
      <c r="AE317" s="111"/>
      <c r="AF317" s="111"/>
      <c r="AG317" s="111"/>
      <c r="AH317" s="651"/>
      <c r="AI317" s="131"/>
      <c r="AK317" s="111"/>
      <c r="AL317" s="111"/>
      <c r="AM317" s="111"/>
      <c r="AN317" s="651"/>
      <c r="AO317" s="131"/>
      <c r="AQ317" s="17"/>
      <c r="AR317" s="17"/>
      <c r="AS317" s="17"/>
      <c r="AT317" s="424">
        <f t="shared" si="322"/>
        <v>0</v>
      </c>
      <c r="AU317" s="19">
        <f t="shared" si="323"/>
        <v>0</v>
      </c>
      <c r="AW317" s="17"/>
      <c r="AX317" s="17"/>
      <c r="AY317" s="17"/>
      <c r="AZ317" s="424">
        <f t="shared" si="324"/>
        <v>2</v>
      </c>
      <c r="BA317" s="19">
        <f t="shared" si="325"/>
        <v>0.15384615384615385</v>
      </c>
    </row>
    <row r="318" spans="1:53" ht="17.100000000000001" customHeight="1" x14ac:dyDescent="0.25">
      <c r="A318" s="40"/>
      <c r="B318" s="40"/>
      <c r="C318" s="292"/>
      <c r="D318" s="144"/>
      <c r="E318" s="144"/>
      <c r="F318" s="145"/>
      <c r="G318" s="145"/>
      <c r="H318" s="119"/>
      <c r="I318" s="236"/>
      <c r="J318" s="80"/>
      <c r="K318" s="80"/>
      <c r="L318" s="81"/>
      <c r="M318" s="81"/>
      <c r="N318" s="81">
        <f>SUM(N315:N317)</f>
        <v>1</v>
      </c>
      <c r="O318" s="81">
        <f t="shared" ref="O318:V318" si="326">SUM(O315:O317)</f>
        <v>7</v>
      </c>
      <c r="P318" s="81">
        <f t="shared" si="326"/>
        <v>8</v>
      </c>
      <c r="Q318" s="81">
        <f t="shared" si="326"/>
        <v>1</v>
      </c>
      <c r="R318" s="81">
        <f t="shared" si="326"/>
        <v>6</v>
      </c>
      <c r="S318" s="81">
        <f t="shared" si="326"/>
        <v>7</v>
      </c>
      <c r="T318" s="81">
        <f t="shared" si="326"/>
        <v>0</v>
      </c>
      <c r="U318" s="81">
        <f t="shared" si="326"/>
        <v>0</v>
      </c>
      <c r="V318" s="81">
        <f t="shared" si="326"/>
        <v>0</v>
      </c>
      <c r="W318" s="82">
        <f>SUM(W315:W317)</f>
        <v>2</v>
      </c>
      <c r="X318" s="82">
        <f t="shared" ref="X318:Y318" si="327">SUM(X315:X317)</f>
        <v>13</v>
      </c>
      <c r="Y318" s="82">
        <f t="shared" si="327"/>
        <v>15</v>
      </c>
      <c r="Z318" s="66">
        <f t="shared" si="321"/>
        <v>1</v>
      </c>
      <c r="AA318" s="205"/>
      <c r="AB318" s="205"/>
      <c r="AC318" s="83"/>
      <c r="AE318" s="81"/>
      <c r="AF318" s="81"/>
      <c r="AG318" s="82"/>
      <c r="AH318" s="82"/>
      <c r="AI318" s="66"/>
      <c r="AK318" s="81"/>
      <c r="AL318" s="81"/>
      <c r="AM318" s="82"/>
      <c r="AN318" s="82"/>
      <c r="AO318" s="66"/>
      <c r="AQ318" s="81"/>
      <c r="AR318" s="81"/>
      <c r="AS318" s="82"/>
      <c r="AT318" s="81">
        <f>SUM(AT315:AT317)</f>
        <v>2</v>
      </c>
      <c r="AU318" s="66">
        <f t="shared" si="323"/>
        <v>1</v>
      </c>
      <c r="AW318" s="81"/>
      <c r="AX318" s="81"/>
      <c r="AY318" s="82"/>
      <c r="AZ318" s="81">
        <f>SUM(AZ315:AZ317)</f>
        <v>13</v>
      </c>
      <c r="BA318" s="66">
        <f t="shared" si="325"/>
        <v>1</v>
      </c>
    </row>
    <row r="319" spans="1:53" s="117" customFormat="1" ht="17.100000000000001" customHeight="1" x14ac:dyDescent="0.25">
      <c r="A319" s="68"/>
      <c r="B319" s="119"/>
      <c r="C319" s="647"/>
      <c r="D319" s="261"/>
      <c r="E319" s="261"/>
      <c r="F319" s="68"/>
      <c r="G319" s="68"/>
      <c r="H319" s="119"/>
      <c r="I319" s="138"/>
      <c r="J319" s="17"/>
      <c r="K319" s="17"/>
      <c r="L319" s="17"/>
      <c r="M319" s="17"/>
      <c r="N319" s="17" t="str">
        <f>IF(N318&gt;=N$20,"OK","NOK")</f>
        <v>OK</v>
      </c>
      <c r="O319" s="17" t="str">
        <f>IF(O318&gt;=O$20,"OK","NOK")</f>
        <v>OK</v>
      </c>
      <c r="P319" s="17"/>
      <c r="Q319" s="17" t="str">
        <f>IF(Q318&gt;=Q$20,"OK","NOK")</f>
        <v>OK</v>
      </c>
      <c r="R319" s="17" t="str">
        <f>IF(R318&gt;=R$20,"OK","NOK")</f>
        <v>OK</v>
      </c>
      <c r="S319" s="17"/>
      <c r="T319" s="17" t="str">
        <f>IF(T318&gt;=T$20,"OK","NOK")</f>
        <v>OK</v>
      </c>
      <c r="U319" s="17" t="str">
        <f>IF(U318&gt;=U$20,"OK","NOK")</f>
        <v>OK</v>
      </c>
      <c r="V319" s="359"/>
      <c r="W319" s="382"/>
      <c r="X319" s="646"/>
      <c r="Y319" s="646"/>
      <c r="Z319" s="201"/>
      <c r="AA319" s="201"/>
      <c r="AB319" s="201"/>
      <c r="AC319" s="84"/>
      <c r="AE319" s="46"/>
      <c r="AF319" s="46"/>
      <c r="AG319" s="17"/>
      <c r="AH319" s="646"/>
      <c r="AI319" s="91"/>
      <c r="AK319" s="46"/>
      <c r="AL319" s="46"/>
      <c r="AM319" s="17"/>
      <c r="AN319" s="646"/>
      <c r="AO319" s="91"/>
      <c r="AQ319" s="46"/>
      <c r="AR319" s="46"/>
      <c r="AS319" s="17"/>
      <c r="AT319" s="646"/>
      <c r="AU319" s="91"/>
      <c r="AW319" s="46"/>
      <c r="AX319" s="46"/>
      <c r="AY319" s="17"/>
      <c r="AZ319" s="646"/>
      <c r="BA319" s="91"/>
    </row>
    <row r="320" spans="1:53" s="117" customFormat="1" ht="17.100000000000001" customHeight="1" x14ac:dyDescent="0.25">
      <c r="A320" s="68"/>
      <c r="B320" s="119"/>
      <c r="C320" s="56" t="s">
        <v>672</v>
      </c>
      <c r="D320" s="146" t="s">
        <v>673</v>
      </c>
      <c r="E320" s="149"/>
      <c r="F320" s="149"/>
      <c r="G320" s="151"/>
      <c r="H320" s="119"/>
      <c r="I320" s="138"/>
      <c r="J320" s="111"/>
      <c r="K320" s="111"/>
      <c r="L320" s="111"/>
      <c r="M320" s="111"/>
      <c r="N320" s="111"/>
      <c r="O320" s="111"/>
      <c r="P320" s="336">
        <v>0.5</v>
      </c>
      <c r="Q320" s="341"/>
      <c r="R320" s="341"/>
      <c r="S320" s="336">
        <v>1</v>
      </c>
      <c r="T320" s="341"/>
      <c r="U320" s="341"/>
      <c r="V320" s="368"/>
      <c r="W320" s="382"/>
      <c r="X320" s="646"/>
      <c r="Y320" s="646"/>
      <c r="Z320" s="201"/>
      <c r="AA320" s="340">
        <f>MIN(P320,S320,V320)</f>
        <v>0.5</v>
      </c>
      <c r="AB320" s="340">
        <f>MAX(P320,S320,V320)</f>
        <v>1</v>
      </c>
      <c r="AC320" s="340">
        <f>IF(P320+S320+V320=0,0,AVERAGE(P320,S320,V320))</f>
        <v>0.75</v>
      </c>
      <c r="AE320" s="152"/>
      <c r="AF320" s="152"/>
      <c r="AG320" s="111"/>
      <c r="AH320" s="651"/>
      <c r="AI320" s="131"/>
      <c r="AK320" s="152"/>
      <c r="AL320" s="152"/>
      <c r="AM320" s="111"/>
      <c r="AN320" s="651"/>
      <c r="AO320" s="131"/>
      <c r="AQ320" s="152"/>
      <c r="AR320" s="152"/>
      <c r="AS320" s="111"/>
      <c r="AT320" s="651"/>
      <c r="AU320" s="131"/>
      <c r="AW320" s="152"/>
      <c r="AX320" s="152"/>
      <c r="AY320" s="111"/>
      <c r="AZ320" s="651"/>
      <c r="BA320" s="131"/>
    </row>
    <row r="321" spans="1:53" s="117" customFormat="1" ht="17.100000000000001" customHeight="1" x14ac:dyDescent="0.25">
      <c r="A321" s="68"/>
      <c r="B321" s="119"/>
      <c r="C321" s="647"/>
      <c r="D321" s="261"/>
      <c r="E321" s="261"/>
      <c r="F321" s="68"/>
      <c r="G321" s="68"/>
      <c r="H321" s="119"/>
      <c r="I321" s="138"/>
      <c r="J321" s="17"/>
      <c r="K321" s="17"/>
      <c r="L321" s="17"/>
      <c r="M321" s="17"/>
      <c r="N321" s="17"/>
      <c r="O321" s="17"/>
      <c r="P321" s="17"/>
      <c r="Q321" s="17"/>
      <c r="R321" s="17"/>
      <c r="S321" s="17"/>
      <c r="T321" s="17"/>
      <c r="U321" s="17"/>
      <c r="V321" s="359"/>
      <c r="W321" s="382"/>
      <c r="X321" s="646"/>
      <c r="Y321" s="646"/>
      <c r="Z321" s="201"/>
      <c r="AA321" s="201"/>
      <c r="AB321" s="201"/>
      <c r="AC321" s="84"/>
      <c r="AE321" s="46"/>
      <c r="AF321" s="46"/>
      <c r="AG321" s="17"/>
      <c r="AH321" s="646"/>
      <c r="AI321" s="91"/>
      <c r="AK321" s="46"/>
      <c r="AL321" s="46"/>
      <c r="AM321" s="17"/>
      <c r="AN321" s="646"/>
      <c r="AO321" s="91"/>
      <c r="AQ321" s="46"/>
      <c r="AR321" s="46"/>
      <c r="AS321" s="17"/>
      <c r="AT321" s="646"/>
      <c r="AU321" s="91"/>
      <c r="AW321" s="46"/>
      <c r="AX321" s="46"/>
      <c r="AY321" s="17"/>
      <c r="AZ321" s="646"/>
      <c r="BA321" s="91"/>
    </row>
    <row r="322" spans="1:53" ht="17.100000000000001" customHeight="1" x14ac:dyDescent="0.25">
      <c r="A322" s="68"/>
      <c r="B322" s="41" t="s">
        <v>313</v>
      </c>
      <c r="C322" s="69" t="s">
        <v>492</v>
      </c>
      <c r="D322" s="50"/>
      <c r="E322" s="70"/>
      <c r="F322" s="70"/>
      <c r="G322" s="70"/>
      <c r="H322" s="119"/>
      <c r="J322" s="71"/>
      <c r="K322" s="71"/>
      <c r="L322" s="71"/>
      <c r="M322" s="71"/>
      <c r="N322" s="71"/>
      <c r="O322" s="71"/>
      <c r="P322" s="71"/>
      <c r="Q322" s="71"/>
      <c r="R322" s="71"/>
      <c r="S322" s="71"/>
      <c r="T322" s="71"/>
      <c r="U322" s="71"/>
      <c r="V322" s="71"/>
      <c r="W322" s="71"/>
      <c r="X322" s="71"/>
      <c r="Y322" s="71"/>
      <c r="Z322" s="73"/>
      <c r="AA322" s="73"/>
      <c r="AB322" s="73"/>
      <c r="AC322" s="73"/>
      <c r="AE322" s="71"/>
      <c r="AF322" s="71"/>
      <c r="AG322" s="71"/>
      <c r="AH322" s="89"/>
      <c r="AI322" s="90"/>
      <c r="AK322" s="71"/>
      <c r="AL322" s="71"/>
      <c r="AM322" s="71"/>
      <c r="AN322" s="89"/>
      <c r="AO322" s="90"/>
      <c r="AQ322" s="71"/>
      <c r="AR322" s="71"/>
      <c r="AS322" s="71"/>
      <c r="AT322" s="71"/>
      <c r="AU322" s="90"/>
      <c r="AW322" s="71"/>
      <c r="AX322" s="71"/>
      <c r="AY322" s="71"/>
      <c r="AZ322" s="71"/>
      <c r="BA322" s="90"/>
    </row>
    <row r="323" spans="1:53" ht="17.100000000000001" customHeight="1" x14ac:dyDescent="0.25">
      <c r="A323" s="119"/>
      <c r="B323" s="119"/>
      <c r="C323" s="56" t="s">
        <v>314</v>
      </c>
      <c r="D323" s="149" t="s">
        <v>129</v>
      </c>
      <c r="E323" s="105"/>
      <c r="F323" s="105"/>
      <c r="G323" s="105"/>
      <c r="H323" s="119"/>
      <c r="J323" s="111"/>
      <c r="K323" s="111"/>
      <c r="L323" s="111"/>
      <c r="M323" s="111"/>
      <c r="N323" s="598"/>
      <c r="O323" s="598"/>
      <c r="P323" s="327"/>
      <c r="Q323" s="598"/>
      <c r="R323" s="598"/>
      <c r="S323" s="327"/>
      <c r="T323" s="598"/>
      <c r="U323" s="598"/>
      <c r="V323" s="327"/>
      <c r="W323" s="391"/>
      <c r="X323" s="17"/>
      <c r="Y323" s="18">
        <f t="shared" ref="Y323:Y325" si="328">M323+P323+S323+V323</f>
        <v>0</v>
      </c>
      <c r="Z323" s="19">
        <f>IF(Y$326=0,0,Y323/Y$326)</f>
        <v>0</v>
      </c>
      <c r="AA323" s="19"/>
      <c r="AB323" s="19"/>
      <c r="AC323" s="20"/>
      <c r="AE323" s="111"/>
      <c r="AF323" s="111"/>
      <c r="AG323" s="111"/>
      <c r="AH323" s="651"/>
      <c r="AI323" s="131"/>
      <c r="AK323" s="111"/>
      <c r="AL323" s="111"/>
      <c r="AM323" s="111"/>
      <c r="AN323" s="651"/>
      <c r="AO323" s="131"/>
      <c r="AQ323" s="111"/>
      <c r="AR323" s="111"/>
      <c r="AS323" s="111"/>
      <c r="AT323" s="651"/>
      <c r="AU323" s="131"/>
      <c r="AW323" s="111"/>
      <c r="AX323" s="111"/>
      <c r="AY323" s="111"/>
      <c r="AZ323" s="651"/>
      <c r="BA323" s="131"/>
    </row>
    <row r="324" spans="1:53" ht="17.100000000000001" customHeight="1" x14ac:dyDescent="0.25">
      <c r="A324" s="119"/>
      <c r="B324" s="119"/>
      <c r="C324" s="56" t="s">
        <v>327</v>
      </c>
      <c r="D324" s="149" t="s">
        <v>491</v>
      </c>
      <c r="E324" s="105"/>
      <c r="F324" s="105"/>
      <c r="G324" s="105"/>
      <c r="H324" s="119"/>
      <c r="J324" s="599"/>
      <c r="K324" s="599"/>
      <c r="L324" s="599"/>
      <c r="M324" s="599"/>
      <c r="N324" s="598"/>
      <c r="O324" s="598"/>
      <c r="P324" s="329"/>
      <c r="Q324" s="598"/>
      <c r="R324" s="598"/>
      <c r="S324" s="329">
        <v>1</v>
      </c>
      <c r="T324" s="598"/>
      <c r="U324" s="598"/>
      <c r="V324" s="329"/>
      <c r="W324" s="391"/>
      <c r="X324" s="17"/>
      <c r="Y324" s="18">
        <f t="shared" si="328"/>
        <v>1</v>
      </c>
      <c r="Z324" s="19">
        <f t="shared" ref="Z324:Z326" si="329">IF(Y$326=0,0,Y324/Y$326)</f>
        <v>0.5</v>
      </c>
      <c r="AA324" s="19"/>
      <c r="AB324" s="19"/>
      <c r="AC324" s="189"/>
      <c r="AE324" s="111"/>
      <c r="AF324" s="111"/>
      <c r="AG324" s="111"/>
      <c r="AH324" s="651"/>
      <c r="AI324" s="131"/>
      <c r="AK324" s="111"/>
      <c r="AL324" s="111"/>
      <c r="AM324" s="111"/>
      <c r="AN324" s="651"/>
      <c r="AO324" s="131"/>
      <c r="AQ324" s="111"/>
      <c r="AR324" s="111"/>
      <c r="AS324" s="111"/>
      <c r="AT324" s="651"/>
      <c r="AU324" s="131"/>
      <c r="AW324" s="111"/>
      <c r="AX324" s="111"/>
      <c r="AY324" s="111"/>
      <c r="AZ324" s="651"/>
      <c r="BA324" s="131"/>
    </row>
    <row r="325" spans="1:53" ht="17.100000000000001" customHeight="1" x14ac:dyDescent="0.25">
      <c r="A325" s="119"/>
      <c r="B325" s="119"/>
      <c r="C325" s="56" t="s">
        <v>328</v>
      </c>
      <c r="D325" s="149" t="s">
        <v>493</v>
      </c>
      <c r="E325" s="105"/>
      <c r="F325" s="105"/>
      <c r="G325" s="105"/>
      <c r="H325" s="119"/>
      <c r="J325" s="111"/>
      <c r="K325" s="111"/>
      <c r="L325" s="111"/>
      <c r="M325" s="111"/>
      <c r="N325" s="598"/>
      <c r="O325" s="598"/>
      <c r="P325" s="327">
        <v>1</v>
      </c>
      <c r="Q325" s="598"/>
      <c r="R325" s="598"/>
      <c r="S325" s="327"/>
      <c r="T325" s="598"/>
      <c r="U325" s="598"/>
      <c r="V325" s="327"/>
      <c r="W325" s="391"/>
      <c r="X325" s="17"/>
      <c r="Y325" s="18">
        <f t="shared" si="328"/>
        <v>1</v>
      </c>
      <c r="Z325" s="19">
        <f t="shared" si="329"/>
        <v>0.5</v>
      </c>
      <c r="AA325" s="19"/>
      <c r="AB325" s="19"/>
      <c r="AC325" s="20"/>
      <c r="AE325" s="111"/>
      <c r="AF325" s="111"/>
      <c r="AG325" s="111"/>
      <c r="AH325" s="651"/>
      <c r="AI325" s="131"/>
      <c r="AK325" s="111"/>
      <c r="AL325" s="111"/>
      <c r="AM325" s="111"/>
      <c r="AN325" s="651"/>
      <c r="AO325" s="131"/>
      <c r="AQ325" s="111"/>
      <c r="AR325" s="111"/>
      <c r="AS325" s="111"/>
      <c r="AT325" s="651"/>
      <c r="AU325" s="131"/>
      <c r="AW325" s="111"/>
      <c r="AX325" s="111"/>
      <c r="AY325" s="111"/>
      <c r="AZ325" s="651"/>
      <c r="BA325" s="131"/>
    </row>
    <row r="326" spans="1:53" ht="17.100000000000001" customHeight="1" x14ac:dyDescent="0.25">
      <c r="A326" s="119"/>
      <c r="B326" s="119"/>
      <c r="C326" s="325"/>
      <c r="D326" s="326"/>
      <c r="E326" s="184"/>
      <c r="F326" s="184"/>
      <c r="G326" s="184"/>
      <c r="H326" s="119"/>
      <c r="J326" s="600"/>
      <c r="K326" s="600"/>
      <c r="L326" s="600"/>
      <c r="M326" s="600"/>
      <c r="N326" s="600"/>
      <c r="O326" s="600"/>
      <c r="P326" s="81">
        <f>SUM(P323:P325)</f>
        <v>1</v>
      </c>
      <c r="Q326" s="600"/>
      <c r="R326" s="600"/>
      <c r="S326" s="81">
        <f>SUM(S323:S325)</f>
        <v>1</v>
      </c>
      <c r="T326" s="600"/>
      <c r="U326" s="600"/>
      <c r="V326" s="81">
        <f>SUM(V323:V325)</f>
        <v>0</v>
      </c>
      <c r="W326" s="381"/>
      <c r="X326" s="82"/>
      <c r="Y326" s="82">
        <f>SUM(Y323:Y325)</f>
        <v>2</v>
      </c>
      <c r="Z326" s="66">
        <f t="shared" si="329"/>
        <v>1</v>
      </c>
      <c r="AA326" s="205"/>
      <c r="AB326" s="205"/>
      <c r="AC326" s="204"/>
      <c r="AE326" s="81"/>
      <c r="AF326" s="81"/>
      <c r="AG326" s="81"/>
      <c r="AH326" s="82"/>
      <c r="AI326" s="66"/>
      <c r="AK326" s="81"/>
      <c r="AL326" s="81"/>
      <c r="AM326" s="81"/>
      <c r="AN326" s="82"/>
      <c r="AO326" s="66"/>
      <c r="AQ326" s="81"/>
      <c r="AR326" s="81"/>
      <c r="AS326" s="81"/>
      <c r="AT326" s="82"/>
      <c r="AU326" s="66"/>
      <c r="AW326" s="81"/>
      <c r="AX326" s="81"/>
      <c r="AY326" s="81"/>
      <c r="AZ326" s="82"/>
      <c r="BA326" s="66"/>
    </row>
    <row r="327" spans="1:53" s="117" customFormat="1" ht="17.100000000000001" customHeight="1" x14ac:dyDescent="0.25">
      <c r="A327" s="119"/>
      <c r="B327" s="119"/>
      <c r="C327" s="429"/>
      <c r="D327" s="427"/>
      <c r="E327" s="428"/>
      <c r="F327" s="428"/>
      <c r="G327" s="428"/>
      <c r="H327" s="119"/>
      <c r="I327" s="97"/>
      <c r="J327" s="643"/>
      <c r="K327" s="643"/>
      <c r="L327" s="643"/>
      <c r="M327" s="643"/>
      <c r="N327" s="643"/>
      <c r="O327" s="643"/>
      <c r="P327" s="643"/>
      <c r="Q327" s="643"/>
      <c r="R327" s="643"/>
      <c r="S327" s="643"/>
      <c r="T327" s="643"/>
      <c r="U327" s="643"/>
      <c r="V327" s="643"/>
      <c r="W327" s="646"/>
      <c r="X327" s="646"/>
      <c r="Y327" s="646"/>
      <c r="Z327" s="201"/>
      <c r="AA327" s="201"/>
      <c r="AB327" s="201"/>
      <c r="AC327" s="199"/>
      <c r="AE327" s="17"/>
      <c r="AF327" s="17"/>
      <c r="AG327" s="17"/>
      <c r="AH327" s="646"/>
      <c r="AI327" s="91"/>
      <c r="AK327" s="17"/>
      <c r="AL327" s="17"/>
      <c r="AM327" s="17"/>
      <c r="AN327" s="646"/>
      <c r="AO327" s="91"/>
      <c r="AQ327" s="17"/>
      <c r="AR327" s="17"/>
      <c r="AS327" s="17"/>
      <c r="AT327" s="17"/>
      <c r="AU327" s="91"/>
      <c r="AW327" s="17"/>
      <c r="AX327" s="17"/>
      <c r="AY327" s="17"/>
      <c r="AZ327" s="17"/>
      <c r="BA327" s="91"/>
    </row>
    <row r="328" spans="1:53" s="97" customFormat="1" ht="17.100000000000001" customHeight="1" x14ac:dyDescent="0.25">
      <c r="A328" s="119"/>
      <c r="B328" s="41" t="s">
        <v>1443</v>
      </c>
      <c r="C328" s="69" t="s">
        <v>12</v>
      </c>
      <c r="D328" s="50"/>
      <c r="E328" s="70"/>
      <c r="F328" s="70"/>
      <c r="G328" s="70"/>
      <c r="H328" s="84"/>
      <c r="J328" s="71"/>
      <c r="K328" s="71"/>
      <c r="L328" s="71"/>
      <c r="M328" s="71"/>
      <c r="N328" s="71"/>
      <c r="O328" s="71"/>
      <c r="P328" s="71"/>
      <c r="Q328" s="71"/>
      <c r="R328" s="71"/>
      <c r="S328" s="71"/>
      <c r="T328" s="71"/>
      <c r="U328" s="71"/>
      <c r="V328" s="355"/>
      <c r="W328" s="377"/>
      <c r="X328" s="71"/>
      <c r="Y328" s="71"/>
      <c r="Z328" s="73"/>
      <c r="AA328" s="73"/>
      <c r="AB328" s="73"/>
      <c r="AC328" s="73"/>
      <c r="AE328" s="71"/>
      <c r="AF328" s="71"/>
      <c r="AG328" s="273"/>
      <c r="AH328" s="73"/>
      <c r="AI328" s="73"/>
      <c r="AJ328" s="3"/>
      <c r="AK328" s="71"/>
      <c r="AL328" s="71"/>
      <c r="AM328" s="273"/>
      <c r="AN328" s="73"/>
      <c r="AO328" s="73"/>
      <c r="AP328" s="3"/>
      <c r="AQ328" s="71"/>
      <c r="AR328" s="71"/>
      <c r="AS328" s="273"/>
      <c r="AT328" s="73"/>
      <c r="AU328" s="73"/>
      <c r="AV328" s="3"/>
      <c r="AW328" s="71"/>
      <c r="AX328" s="71"/>
      <c r="AY328" s="273"/>
      <c r="AZ328" s="73"/>
      <c r="BA328" s="73"/>
    </row>
    <row r="329" spans="1:53" ht="17.100000000000001" customHeight="1" x14ac:dyDescent="0.25">
      <c r="A329" s="40"/>
      <c r="B329" s="40"/>
      <c r="C329" s="74" t="s">
        <v>1444</v>
      </c>
      <c r="D329" s="931" t="s">
        <v>315</v>
      </c>
      <c r="E329" s="75"/>
      <c r="F329" s="75"/>
      <c r="G329" s="75"/>
      <c r="H329" s="928"/>
      <c r="I329" s="12"/>
      <c r="J329" s="152"/>
      <c r="K329" s="152"/>
      <c r="L329" s="152"/>
      <c r="M329" s="152"/>
      <c r="N329" s="152">
        <f>IF(N20&gt;0,1,0)</f>
        <v>1</v>
      </c>
      <c r="O329" s="152">
        <f>IF(O20&gt;0,1,0)</f>
        <v>1</v>
      </c>
      <c r="P329" s="152"/>
      <c r="Q329" s="152">
        <f>IF(Q20&gt;0,1,0)</f>
        <v>1</v>
      </c>
      <c r="R329" s="152">
        <f>IF(R20&gt;0,1,0)</f>
        <v>1</v>
      </c>
      <c r="S329" s="152"/>
      <c r="T329" s="152">
        <f>IF(T20&gt;0,1,0)</f>
        <v>0</v>
      </c>
      <c r="U329" s="152">
        <f>IF(U20&gt;0,1,0)</f>
        <v>0</v>
      </c>
      <c r="V329" s="152"/>
      <c r="W329" s="389"/>
      <c r="X329" s="152"/>
      <c r="Y329" s="932"/>
      <c r="Z329" s="131"/>
      <c r="AA329" s="131"/>
      <c r="AB329" s="131"/>
      <c r="AC329" s="113"/>
      <c r="AE329" s="152"/>
      <c r="AF329" s="152"/>
      <c r="AG329" s="152"/>
      <c r="AH329" s="932"/>
      <c r="AI329" s="131"/>
      <c r="AJ329" s="117"/>
      <c r="AK329" s="152"/>
      <c r="AL329" s="152"/>
      <c r="AM329" s="152"/>
      <c r="AN329" s="932"/>
      <c r="AO329" s="131"/>
      <c r="AP329" s="117"/>
      <c r="AQ329" s="152"/>
      <c r="AR329" s="152"/>
      <c r="AS329" s="152"/>
      <c r="AT329" s="932"/>
      <c r="AU329" s="131"/>
      <c r="AV329" s="117"/>
      <c r="AW329" s="152"/>
      <c r="AX329" s="152"/>
      <c r="AY329" s="152"/>
      <c r="AZ329" s="932"/>
      <c r="BA329" s="131"/>
    </row>
    <row r="330" spans="1:53" ht="17.100000000000001" customHeight="1" x14ac:dyDescent="0.25">
      <c r="A330" s="137"/>
      <c r="B330" s="40"/>
      <c r="C330" s="40"/>
      <c r="D330" s="128" t="s">
        <v>1017</v>
      </c>
      <c r="E330" s="122"/>
      <c r="F330" s="122"/>
      <c r="G330" s="122"/>
      <c r="H330" s="928"/>
      <c r="I330" s="12"/>
      <c r="J330" s="190"/>
      <c r="K330" s="190"/>
      <c r="L330" s="190"/>
      <c r="M330" s="190"/>
      <c r="N330" s="570">
        <f>IF(N287=0,0,N285/N287)*0.5</f>
        <v>0.5</v>
      </c>
      <c r="O330" s="570">
        <f>IF(O287=0,0,O285/O287)*0.5</f>
        <v>0.5</v>
      </c>
      <c r="P330" s="190"/>
      <c r="Q330" s="570">
        <f>IF(Q287=0,0,Q285/Q287)*0.5</f>
        <v>0</v>
      </c>
      <c r="R330" s="570">
        <f>IF(R287=0,0,R285/R287)*0.5</f>
        <v>0</v>
      </c>
      <c r="S330" s="190"/>
      <c r="T330" s="570">
        <f>IF(T287=0,0,T285/T287)*0.5</f>
        <v>0</v>
      </c>
      <c r="U330" s="570">
        <f>IF(U287=0,0,U285/U287)*0.5</f>
        <v>0</v>
      </c>
      <c r="V330" s="371"/>
      <c r="W330" s="393"/>
      <c r="X330" s="190"/>
      <c r="Y330" s="129"/>
      <c r="Z330" s="130"/>
      <c r="AA330" s="130"/>
      <c r="AB330" s="130"/>
      <c r="AC330" s="125"/>
      <c r="AE330" s="190"/>
      <c r="AF330" s="190"/>
      <c r="AG330" s="190"/>
      <c r="AH330" s="129"/>
      <c r="AI330" s="130"/>
      <c r="AJ330" s="117"/>
      <c r="AK330" s="190"/>
      <c r="AL330" s="190"/>
      <c r="AM330" s="190"/>
      <c r="AN330" s="129"/>
      <c r="AO330" s="130"/>
      <c r="AP330" s="117"/>
      <c r="AQ330" s="190"/>
      <c r="AR330" s="190"/>
      <c r="AS330" s="190"/>
      <c r="AT330" s="129"/>
      <c r="AU330" s="130"/>
      <c r="AV330" s="117"/>
      <c r="AW330" s="190"/>
      <c r="AX330" s="190"/>
      <c r="AY330" s="190"/>
      <c r="AZ330" s="129"/>
      <c r="BA330" s="130"/>
    </row>
    <row r="331" spans="1:53" ht="17.100000000000001" customHeight="1" x14ac:dyDescent="0.25">
      <c r="A331" s="137"/>
      <c r="B331" s="40"/>
      <c r="C331" s="40"/>
      <c r="D331" s="128" t="s">
        <v>1018</v>
      </c>
      <c r="E331" s="122"/>
      <c r="F331" s="122"/>
      <c r="G331" s="122"/>
      <c r="H331" s="928"/>
      <c r="I331" s="12"/>
      <c r="J331" s="190"/>
      <c r="K331" s="190"/>
      <c r="L331" s="190"/>
      <c r="M331" s="190"/>
      <c r="N331" s="570">
        <f>IF(N287=0,0,N286/N287)*1</f>
        <v>0</v>
      </c>
      <c r="O331" s="570">
        <f t="shared" ref="O331:U331" si="330">IF(O287=0,0,O286/O287)*1</f>
        <v>0</v>
      </c>
      <c r="P331" s="570"/>
      <c r="Q331" s="570">
        <f t="shared" si="330"/>
        <v>0</v>
      </c>
      <c r="R331" s="570">
        <f t="shared" si="330"/>
        <v>0.66666666666666663</v>
      </c>
      <c r="S331" s="570"/>
      <c r="T331" s="570">
        <f t="shared" si="330"/>
        <v>0</v>
      </c>
      <c r="U331" s="570">
        <f t="shared" si="330"/>
        <v>0</v>
      </c>
      <c r="V331" s="371"/>
      <c r="W331" s="393"/>
      <c r="X331" s="190"/>
      <c r="Y331" s="129"/>
      <c r="Z331" s="130"/>
      <c r="AA331" s="130"/>
      <c r="AB331" s="130"/>
      <c r="AC331" s="125"/>
      <c r="AE331" s="190"/>
      <c r="AF331" s="190"/>
      <c r="AG331" s="190"/>
      <c r="AH331" s="129"/>
      <c r="AI331" s="130"/>
      <c r="AJ331" s="117"/>
      <c r="AK331" s="190"/>
      <c r="AL331" s="190"/>
      <c r="AM331" s="190"/>
      <c r="AN331" s="129"/>
      <c r="AO331" s="130"/>
      <c r="AP331" s="117"/>
      <c r="AQ331" s="190"/>
      <c r="AR331" s="190"/>
      <c r="AS331" s="190"/>
      <c r="AT331" s="129"/>
      <c r="AU331" s="130"/>
      <c r="AV331" s="117"/>
      <c r="AW331" s="190"/>
      <c r="AX331" s="190"/>
      <c r="AY331" s="190"/>
      <c r="AZ331" s="129"/>
      <c r="BA331" s="130"/>
    </row>
    <row r="332" spans="1:53" ht="17.100000000000001" customHeight="1" x14ac:dyDescent="0.25">
      <c r="A332" s="137"/>
      <c r="B332" s="40"/>
      <c r="C332" s="40"/>
      <c r="D332" s="128" t="s">
        <v>316</v>
      </c>
      <c r="E332" s="122"/>
      <c r="F332" s="122"/>
      <c r="G332" s="122"/>
      <c r="H332" s="928"/>
      <c r="I332" s="12"/>
      <c r="J332" s="190"/>
      <c r="K332" s="190"/>
      <c r="L332" s="190"/>
      <c r="M332" s="190"/>
      <c r="N332" s="570">
        <f>IF(N294=0,0,N292/N294)*0.5</f>
        <v>0.5</v>
      </c>
      <c r="O332" s="570">
        <f>IF(O294=0,0,O292/O294)*0.5</f>
        <v>0.5</v>
      </c>
      <c r="P332" s="190"/>
      <c r="Q332" s="570">
        <f>IF(Q294=0,0,Q292/Q294)*0.5</f>
        <v>0</v>
      </c>
      <c r="R332" s="570">
        <f>IF(R294=0,0,R292/R294)*0.5</f>
        <v>0</v>
      </c>
      <c r="S332" s="190"/>
      <c r="T332" s="570">
        <f>IF(T294=0,0,T292/T294)*0.5</f>
        <v>0</v>
      </c>
      <c r="U332" s="570">
        <f>IF(U294=0,0,U292/U294)*0.5</f>
        <v>0</v>
      </c>
      <c r="V332" s="371"/>
      <c r="W332" s="393"/>
      <c r="X332" s="190"/>
      <c r="Y332" s="129"/>
      <c r="Z332" s="130"/>
      <c r="AA332" s="130"/>
      <c r="AB332" s="130"/>
      <c r="AC332" s="125"/>
      <c r="AE332" s="190"/>
      <c r="AF332" s="190"/>
      <c r="AG332" s="190"/>
      <c r="AH332" s="129"/>
      <c r="AI332" s="130"/>
      <c r="AJ332" s="117"/>
      <c r="AK332" s="190"/>
      <c r="AL332" s="190"/>
      <c r="AM332" s="190"/>
      <c r="AN332" s="129"/>
      <c r="AO332" s="130"/>
      <c r="AP332" s="117"/>
      <c r="AQ332" s="190"/>
      <c r="AR332" s="190"/>
      <c r="AS332" s="190"/>
      <c r="AT332" s="129"/>
      <c r="AU332" s="130"/>
      <c r="AV332" s="117"/>
      <c r="AW332" s="190"/>
      <c r="AX332" s="190"/>
      <c r="AY332" s="190"/>
      <c r="AZ332" s="129"/>
      <c r="BA332" s="130"/>
    </row>
    <row r="333" spans="1:53" ht="17.100000000000001" customHeight="1" x14ac:dyDescent="0.25">
      <c r="A333" s="137"/>
      <c r="B333" s="40"/>
      <c r="C333" s="40"/>
      <c r="D333" s="128" t="s">
        <v>317</v>
      </c>
      <c r="E333" s="122"/>
      <c r="F333" s="122"/>
      <c r="G333" s="122"/>
      <c r="H333" s="928"/>
      <c r="I333" s="12"/>
      <c r="J333" s="190"/>
      <c r="K333" s="190"/>
      <c r="L333" s="190"/>
      <c r="M333" s="190"/>
      <c r="N333" s="570">
        <f>IF(N294=0,0,N293/N294)*1</f>
        <v>0</v>
      </c>
      <c r="O333" s="570">
        <f t="shared" ref="O333:U333" si="331">IF(O294=0,0,O293/O294)*1</f>
        <v>0</v>
      </c>
      <c r="P333" s="570"/>
      <c r="Q333" s="570">
        <f t="shared" si="331"/>
        <v>0</v>
      </c>
      <c r="R333" s="570">
        <f t="shared" si="331"/>
        <v>0.33333333333333331</v>
      </c>
      <c r="S333" s="570"/>
      <c r="T333" s="570">
        <f t="shared" si="331"/>
        <v>0</v>
      </c>
      <c r="U333" s="570">
        <f t="shared" si="331"/>
        <v>0</v>
      </c>
      <c r="V333" s="371"/>
      <c r="W333" s="393"/>
      <c r="X333" s="190"/>
      <c r="Y333" s="129"/>
      <c r="Z333" s="130"/>
      <c r="AA333" s="130"/>
      <c r="AB333" s="130"/>
      <c r="AC333" s="125"/>
      <c r="AE333" s="190"/>
      <c r="AF333" s="190"/>
      <c r="AG333" s="190"/>
      <c r="AH333" s="129"/>
      <c r="AI333" s="130"/>
      <c r="AJ333" s="117"/>
      <c r="AK333" s="190"/>
      <c r="AL333" s="190"/>
      <c r="AM333" s="190"/>
      <c r="AN333" s="129"/>
      <c r="AO333" s="130"/>
      <c r="AP333" s="117"/>
      <c r="AQ333" s="190"/>
      <c r="AR333" s="190"/>
      <c r="AS333" s="190"/>
      <c r="AT333" s="129"/>
      <c r="AU333" s="130"/>
      <c r="AV333" s="117"/>
      <c r="AW333" s="190"/>
      <c r="AX333" s="190"/>
      <c r="AY333" s="190"/>
      <c r="AZ333" s="129"/>
      <c r="BA333" s="130"/>
    </row>
    <row r="334" spans="1:53" ht="17.100000000000001" customHeight="1" x14ac:dyDescent="0.25">
      <c r="A334" s="137"/>
      <c r="B334" s="40"/>
      <c r="C334" s="40"/>
      <c r="D334" s="128" t="s">
        <v>1019</v>
      </c>
      <c r="E334" s="122"/>
      <c r="F334" s="122"/>
      <c r="G334" s="122"/>
      <c r="H334" s="928"/>
      <c r="I334" s="12"/>
      <c r="J334" s="190"/>
      <c r="K334" s="190"/>
      <c r="L334" s="190"/>
      <c r="M334" s="190"/>
      <c r="N334" s="570"/>
      <c r="O334" s="570"/>
      <c r="P334" s="190"/>
      <c r="Q334" s="570"/>
      <c r="R334" s="570"/>
      <c r="S334" s="190"/>
      <c r="T334" s="570"/>
      <c r="U334" s="570"/>
      <c r="V334" s="371"/>
      <c r="W334" s="393"/>
      <c r="X334" s="190"/>
      <c r="Y334" s="129"/>
      <c r="Z334" s="130"/>
      <c r="AA334" s="130"/>
      <c r="AB334" s="130"/>
      <c r="AC334" s="125"/>
      <c r="AE334" s="190"/>
      <c r="AF334" s="190"/>
      <c r="AG334" s="190"/>
      <c r="AH334" s="129"/>
      <c r="AI334" s="130"/>
      <c r="AJ334" s="117"/>
      <c r="AK334" s="190"/>
      <c r="AL334" s="190"/>
      <c r="AM334" s="190"/>
      <c r="AN334" s="129"/>
      <c r="AO334" s="130"/>
      <c r="AP334" s="117"/>
      <c r="AQ334" s="190"/>
      <c r="AR334" s="190"/>
      <c r="AS334" s="190"/>
      <c r="AT334" s="129"/>
      <c r="AU334" s="130"/>
      <c r="AV334" s="117"/>
      <c r="AW334" s="190"/>
      <c r="AX334" s="190"/>
      <c r="AY334" s="190"/>
      <c r="AZ334" s="129"/>
      <c r="BA334" s="130"/>
    </row>
    <row r="335" spans="1:53" ht="17.100000000000001" customHeight="1" x14ac:dyDescent="0.25">
      <c r="A335" s="137"/>
      <c r="B335" s="40"/>
      <c r="C335" s="40"/>
      <c r="D335" s="128" t="s">
        <v>318</v>
      </c>
      <c r="E335" s="122"/>
      <c r="F335" s="122"/>
      <c r="G335" s="122"/>
      <c r="H335" s="928"/>
      <c r="I335" s="12"/>
      <c r="J335" s="190"/>
      <c r="K335" s="190"/>
      <c r="L335" s="190"/>
      <c r="M335" s="190"/>
      <c r="N335" s="570">
        <f>IF(N312=0,0,(SUM(N303:N304)+N301+N306)/N312)</f>
        <v>0</v>
      </c>
      <c r="O335" s="570">
        <f>IF(O312=0,0,(SUM(O303:O304)+O301+O306)/O312)</f>
        <v>0</v>
      </c>
      <c r="P335" s="190"/>
      <c r="Q335" s="570">
        <f>IF(Q312=0,0,(SUM(Q303:Q304)+Q301+Q306)/Q312)</f>
        <v>0</v>
      </c>
      <c r="R335" s="570">
        <f>IF(R312=0,0,(SUM(R303:R304)+R301+R306)/R312)</f>
        <v>0</v>
      </c>
      <c r="S335" s="190"/>
      <c r="T335" s="570">
        <f>IF(T312=0,0,(SUM(T303:T304)+T301+T306)/T312)</f>
        <v>0</v>
      </c>
      <c r="U335" s="570">
        <f>IF(U312=0,0,(SUM(U303:U304)+U301+U306)/U312)</f>
        <v>0</v>
      </c>
      <c r="V335" s="371"/>
      <c r="W335" s="393"/>
      <c r="X335" s="190"/>
      <c r="Y335" s="129"/>
      <c r="Z335" s="130"/>
      <c r="AA335" s="130"/>
      <c r="AB335" s="130"/>
      <c r="AC335" s="125"/>
      <c r="AE335" s="190"/>
      <c r="AF335" s="190"/>
      <c r="AG335" s="190"/>
      <c r="AH335" s="129"/>
      <c r="AI335" s="130"/>
      <c r="AJ335" s="117"/>
      <c r="AK335" s="190"/>
      <c r="AL335" s="190"/>
      <c r="AM335" s="190"/>
      <c r="AN335" s="129"/>
      <c r="AO335" s="130"/>
      <c r="AP335" s="117"/>
      <c r="AQ335" s="190"/>
      <c r="AR335" s="190"/>
      <c r="AS335" s="190"/>
      <c r="AT335" s="129"/>
      <c r="AU335" s="130"/>
      <c r="AV335" s="117"/>
      <c r="AW335" s="190"/>
      <c r="AX335" s="190"/>
      <c r="AY335" s="190"/>
      <c r="AZ335" s="129"/>
      <c r="BA335" s="130"/>
    </row>
    <row r="336" spans="1:53" ht="17.100000000000001" customHeight="1" x14ac:dyDescent="0.25">
      <c r="A336" s="137"/>
      <c r="B336" s="40"/>
      <c r="C336" s="40"/>
      <c r="D336" s="128" t="s">
        <v>319</v>
      </c>
      <c r="E336" s="122"/>
      <c r="F336" s="122"/>
      <c r="G336" s="122"/>
      <c r="H336" s="928"/>
      <c r="I336" s="12"/>
      <c r="J336" s="190"/>
      <c r="K336" s="190"/>
      <c r="L336" s="190"/>
      <c r="M336" s="190"/>
      <c r="N336" s="570">
        <f>IF(N318=0,0,(N315/N318)*0.5)</f>
        <v>0.5</v>
      </c>
      <c r="O336" s="570">
        <f>IF(O318=0,0,(O315/O318)*0.5)</f>
        <v>0.5</v>
      </c>
      <c r="P336" s="190"/>
      <c r="Q336" s="570">
        <f>IF(Q318=0,0,(Q315/Q318)*0.5)</f>
        <v>0.5</v>
      </c>
      <c r="R336" s="570">
        <f>IF(R318=0,0,(R315/R318)*0.5)</f>
        <v>0.33333333333333331</v>
      </c>
      <c r="S336" s="190"/>
      <c r="T336" s="570">
        <f>IF(T318=0,0,(T315/T318)*0.5)</f>
        <v>0</v>
      </c>
      <c r="U336" s="570">
        <f>IF(U318=0,0,(U315/U318)*0.5)</f>
        <v>0</v>
      </c>
      <c r="V336" s="371"/>
      <c r="W336" s="393"/>
      <c r="X336" s="190"/>
      <c r="Y336" s="129"/>
      <c r="Z336" s="130"/>
      <c r="AA336" s="130"/>
      <c r="AB336" s="130"/>
      <c r="AC336" s="125"/>
      <c r="AE336" s="190"/>
      <c r="AF336" s="190"/>
      <c r="AG336" s="190"/>
      <c r="AH336" s="129"/>
      <c r="AI336" s="130"/>
      <c r="AJ336" s="117"/>
      <c r="AK336" s="190"/>
      <c r="AL336" s="190"/>
      <c r="AM336" s="190"/>
      <c r="AN336" s="129"/>
      <c r="AO336" s="130"/>
      <c r="AP336" s="117"/>
      <c r="AQ336" s="190"/>
      <c r="AR336" s="190"/>
      <c r="AS336" s="190"/>
      <c r="AT336" s="129"/>
      <c r="AU336" s="130"/>
      <c r="AV336" s="117"/>
      <c r="AW336" s="190"/>
      <c r="AX336" s="190"/>
      <c r="AY336" s="190"/>
      <c r="AZ336" s="129"/>
      <c r="BA336" s="130"/>
    </row>
    <row r="337" spans="1:53" ht="17.100000000000001" customHeight="1" x14ac:dyDescent="0.25">
      <c r="A337" s="137"/>
      <c r="B337" s="40"/>
      <c r="C337" s="40"/>
      <c r="D337" s="128" t="s">
        <v>320</v>
      </c>
      <c r="E337" s="122"/>
      <c r="F337" s="122"/>
      <c r="G337" s="122"/>
      <c r="H337" s="928"/>
      <c r="I337" s="12"/>
      <c r="J337" s="190"/>
      <c r="K337" s="190"/>
      <c r="L337" s="190"/>
      <c r="M337" s="190"/>
      <c r="N337" s="570">
        <f>SUM(N330:N336)</f>
        <v>1.5</v>
      </c>
      <c r="O337" s="570">
        <f>SUM(O330:O336)</f>
        <v>1.5</v>
      </c>
      <c r="P337" s="190"/>
      <c r="Q337" s="570">
        <f>SUM(Q330:Q336)</f>
        <v>0.5</v>
      </c>
      <c r="R337" s="570">
        <f>SUM(R330:R336)</f>
        <v>1.3333333333333333</v>
      </c>
      <c r="S337" s="190"/>
      <c r="T337" s="570">
        <f>SUM(T330:T336)</f>
        <v>0</v>
      </c>
      <c r="U337" s="570">
        <f>SUM(U330:U336)</f>
        <v>0</v>
      </c>
      <c r="V337" s="371"/>
      <c r="W337" s="393"/>
      <c r="X337" s="190"/>
      <c r="Y337" s="129"/>
      <c r="Z337" s="130"/>
      <c r="AA337" s="130"/>
      <c r="AB337" s="130"/>
      <c r="AC337" s="125"/>
      <c r="AE337" s="190"/>
      <c r="AF337" s="190"/>
      <c r="AG337" s="190"/>
      <c r="AH337" s="129"/>
      <c r="AI337" s="130"/>
      <c r="AJ337" s="117"/>
      <c r="AK337" s="190"/>
      <c r="AL337" s="190"/>
      <c r="AM337" s="190"/>
      <c r="AN337" s="129"/>
      <c r="AO337" s="130"/>
      <c r="AP337" s="117"/>
      <c r="AQ337" s="190"/>
      <c r="AR337" s="190"/>
      <c r="AS337" s="190"/>
      <c r="AT337" s="129"/>
      <c r="AU337" s="130"/>
      <c r="AV337" s="117"/>
      <c r="AW337" s="190"/>
      <c r="AX337" s="190"/>
      <c r="AY337" s="190"/>
      <c r="AZ337" s="129"/>
      <c r="BA337" s="130"/>
    </row>
    <row r="338" spans="1:53" ht="17.100000000000001" customHeight="1" x14ac:dyDescent="0.25">
      <c r="A338" s="137"/>
      <c r="B338" s="40"/>
      <c r="C338" s="40"/>
      <c r="D338" s="128" t="s">
        <v>321</v>
      </c>
      <c r="E338" s="122"/>
      <c r="F338" s="122"/>
      <c r="G338" s="122"/>
      <c r="H338" s="928"/>
      <c r="I338" s="12"/>
      <c r="J338" s="190"/>
      <c r="K338" s="190"/>
      <c r="L338" s="190"/>
      <c r="M338" s="190"/>
      <c r="N338" s="190">
        <v>3.5</v>
      </c>
      <c r="O338" s="190">
        <v>3.5</v>
      </c>
      <c r="P338" s="190"/>
      <c r="Q338" s="190">
        <v>3.5</v>
      </c>
      <c r="R338" s="190">
        <v>3.5</v>
      </c>
      <c r="S338" s="190"/>
      <c r="T338" s="190">
        <v>3.5</v>
      </c>
      <c r="U338" s="190">
        <v>3.5</v>
      </c>
      <c r="V338" s="371"/>
      <c r="W338" s="393"/>
      <c r="X338" s="190"/>
      <c r="Y338" s="129"/>
      <c r="Z338" s="130"/>
      <c r="AA338" s="130"/>
      <c r="AB338" s="130"/>
      <c r="AC338" s="125"/>
      <c r="AE338" s="190"/>
      <c r="AF338" s="190"/>
      <c r="AG338" s="190"/>
      <c r="AH338" s="129"/>
      <c r="AI338" s="130"/>
      <c r="AJ338" s="117"/>
      <c r="AK338" s="190"/>
      <c r="AL338" s="190"/>
      <c r="AM338" s="190"/>
      <c r="AN338" s="129"/>
      <c r="AO338" s="130"/>
      <c r="AP338" s="117"/>
      <c r="AQ338" s="190"/>
      <c r="AR338" s="190"/>
      <c r="AS338" s="190"/>
      <c r="AT338" s="129"/>
      <c r="AU338" s="130"/>
      <c r="AV338" s="117"/>
      <c r="AW338" s="190"/>
      <c r="AX338" s="190"/>
      <c r="AY338" s="190"/>
      <c r="AZ338" s="129"/>
      <c r="BA338" s="130"/>
    </row>
    <row r="339" spans="1:53" ht="17.100000000000001" customHeight="1" x14ac:dyDescent="0.25">
      <c r="A339" s="137"/>
      <c r="B339" s="40"/>
      <c r="C339" s="40"/>
      <c r="D339" s="75" t="s">
        <v>322</v>
      </c>
      <c r="E339" s="75"/>
      <c r="F339" s="75"/>
      <c r="G339" s="75"/>
      <c r="H339" s="1322"/>
      <c r="I339" s="12"/>
      <c r="J339" s="191" t="str">
        <f>IF(J$506=0,"",J340)</f>
        <v/>
      </c>
      <c r="K339" s="191" t="str">
        <f>IF(K$506=0,"",K340)</f>
        <v/>
      </c>
      <c r="L339" s="191" t="str">
        <f>IF(L$506=0,"",L340)</f>
        <v/>
      </c>
      <c r="M339" s="191"/>
      <c r="N339" s="191">
        <f>IF(N329=0,"",IF(N340=0,0,N340))</f>
        <v>0.42857142857142855</v>
      </c>
      <c r="O339" s="191">
        <f>IF(O329=0,"",IF(O340=0,0,O340))</f>
        <v>0.42857142857142855</v>
      </c>
      <c r="P339" s="191"/>
      <c r="Q339" s="191">
        <f>IF(Q329=0,"",IF(Q340=0,0,Q340))</f>
        <v>0.14285714285714285</v>
      </c>
      <c r="R339" s="191">
        <f>IF(R329=0,"",IF(R340=0,0,R340))</f>
        <v>0.38095238095238093</v>
      </c>
      <c r="S339" s="191"/>
      <c r="T339" s="191" t="str">
        <f>IF(T329=0,"",IF(T340=0,0,T340))</f>
        <v/>
      </c>
      <c r="U339" s="191" t="str">
        <f>IF(U329=0,"",IF(U340=0,0,U340))</f>
        <v/>
      </c>
      <c r="V339" s="191"/>
      <c r="W339" s="394"/>
      <c r="X339" s="191"/>
      <c r="Y339" s="164"/>
      <c r="Z339" s="192"/>
      <c r="AA339" s="192"/>
      <c r="AB339" s="192"/>
      <c r="AC339" s="193">
        <f>IF(Y339=0,0,AVERAGE(J339:X339))</f>
        <v>0</v>
      </c>
      <c r="AE339" s="191"/>
      <c r="AF339" s="191"/>
      <c r="AG339" s="191"/>
      <c r="AH339" s="164"/>
      <c r="AI339" s="192"/>
      <c r="AJ339" s="117"/>
      <c r="AK339" s="191"/>
      <c r="AL339" s="191"/>
      <c r="AM339" s="191"/>
      <c r="AN339" s="164"/>
      <c r="AO339" s="192"/>
      <c r="AP339" s="117"/>
      <c r="AQ339" s="191"/>
      <c r="AR339" s="191"/>
      <c r="AS339" s="191"/>
      <c r="AT339" s="164"/>
      <c r="AU339" s="192"/>
      <c r="AV339" s="117"/>
      <c r="AW339" s="191"/>
      <c r="AX339" s="191"/>
      <c r="AY339" s="191"/>
      <c r="AZ339" s="164"/>
      <c r="BA339" s="192"/>
    </row>
    <row r="340" spans="1:53" ht="17.100000000000001" customHeight="1" x14ac:dyDescent="0.25">
      <c r="A340" s="137"/>
      <c r="B340" s="40"/>
      <c r="C340" s="40"/>
      <c r="D340" s="128" t="s">
        <v>323</v>
      </c>
      <c r="E340" s="122"/>
      <c r="F340" s="122"/>
      <c r="G340" s="122"/>
      <c r="H340" s="1322"/>
      <c r="I340" s="12"/>
      <c r="J340" s="194"/>
      <c r="K340" s="194"/>
      <c r="L340" s="194"/>
      <c r="M340" s="194"/>
      <c r="N340" s="194">
        <f>N337/N338</f>
        <v>0.42857142857142855</v>
      </c>
      <c r="O340" s="194">
        <f t="shared" ref="O340" si="332">O337/O338</f>
        <v>0.42857142857142855</v>
      </c>
      <c r="P340" s="194"/>
      <c r="Q340" s="194">
        <f>Q337/Q338</f>
        <v>0.14285714285714285</v>
      </c>
      <c r="R340" s="194">
        <f t="shared" ref="R340" si="333">R337/R338</f>
        <v>0.38095238095238093</v>
      </c>
      <c r="S340" s="194"/>
      <c r="T340" s="194">
        <f>T337/T338</f>
        <v>0</v>
      </c>
      <c r="U340" s="194">
        <f t="shared" ref="U340" si="334">U337/U338</f>
        <v>0</v>
      </c>
      <c r="V340" s="194"/>
      <c r="W340" s="969">
        <f>N340+Q340+T340</f>
        <v>0.5714285714285714</v>
      </c>
      <c r="X340" s="504">
        <f>O340+R340+U340</f>
        <v>0.80952380952380953</v>
      </c>
      <c r="Y340" s="504">
        <f>SUM(N340:U340)</f>
        <v>1.3809523809523809</v>
      </c>
      <c r="Z340" s="195"/>
      <c r="AA340" s="195"/>
      <c r="AB340" s="195"/>
      <c r="AC340" s="161"/>
      <c r="AE340" s="194"/>
      <c r="AF340" s="194"/>
      <c r="AG340" s="194"/>
      <c r="AH340" s="162"/>
      <c r="AI340" s="195"/>
      <c r="AJ340" s="117"/>
      <c r="AK340" s="194"/>
      <c r="AL340" s="194"/>
      <c r="AM340" s="194"/>
      <c r="AN340" s="162"/>
      <c r="AO340" s="195"/>
      <c r="AP340" s="117"/>
      <c r="AQ340" s="194"/>
      <c r="AR340" s="194"/>
      <c r="AS340" s="194"/>
      <c r="AT340" s="162"/>
      <c r="AU340" s="195"/>
      <c r="AV340" s="117"/>
      <c r="AW340" s="194"/>
      <c r="AX340" s="194"/>
      <c r="AY340" s="194"/>
      <c r="AZ340" s="162"/>
      <c r="BA340" s="195"/>
    </row>
    <row r="341" spans="1:53" ht="17.100000000000001" customHeight="1" x14ac:dyDescent="0.25">
      <c r="A341" s="137"/>
      <c r="B341" s="137"/>
      <c r="C341" s="40"/>
      <c r="D341" s="128"/>
      <c r="E341" s="122"/>
      <c r="F341" s="122"/>
      <c r="G341" s="122"/>
      <c r="H341" s="1322"/>
      <c r="I341" s="12"/>
      <c r="J341" s="194"/>
      <c r="K341" s="194"/>
      <c r="L341" s="194"/>
      <c r="M341" s="194"/>
      <c r="N341" s="194">
        <f>IF(N329=0,"",N340)</f>
        <v>0.42857142857142855</v>
      </c>
      <c r="O341" s="194">
        <f>IF(O329=0,"",O340)</f>
        <v>0.42857142857142855</v>
      </c>
      <c r="P341" s="194"/>
      <c r="Q341" s="194">
        <f>IF(Q329=0,"",Q340)</f>
        <v>0.14285714285714285</v>
      </c>
      <c r="R341" s="194">
        <f>IF(R329=0,"",R340)</f>
        <v>0.38095238095238093</v>
      </c>
      <c r="S341" s="194"/>
      <c r="T341" s="194" t="str">
        <f>IF(T329=0,"",T340)</f>
        <v/>
      </c>
      <c r="U341" s="194" t="str">
        <f>IF(U329=0,"",U340)</f>
        <v/>
      </c>
      <c r="V341" s="194"/>
      <c r="W341" s="969">
        <f>IF(W340=0,"",AVERAGE(N341,Q341,T341))</f>
        <v>0.2857142857142857</v>
      </c>
      <c r="X341" s="504">
        <f>IF(X340=0,"",AVERAGE(O341,R341,U341))</f>
        <v>0.40476190476190477</v>
      </c>
      <c r="Y341" s="504">
        <f>IF(Y340=0,"",AVERAGE(N341:U341))</f>
        <v>0.34523809523809523</v>
      </c>
      <c r="Z341" s="195"/>
      <c r="AA341" s="195"/>
      <c r="AB341" s="195"/>
      <c r="AC341" s="161"/>
      <c r="AE341" s="194"/>
      <c r="AF341" s="194"/>
      <c r="AG341" s="194"/>
      <c r="AH341" s="162"/>
      <c r="AI341" s="195"/>
      <c r="AJ341" s="117"/>
      <c r="AK341" s="194"/>
      <c r="AL341" s="194"/>
      <c r="AM341" s="194"/>
      <c r="AN341" s="162"/>
      <c r="AO341" s="195"/>
      <c r="AP341" s="117"/>
      <c r="AQ341" s="194"/>
      <c r="AR341" s="194"/>
      <c r="AS341" s="194"/>
      <c r="AT341" s="162"/>
      <c r="AU341" s="195"/>
      <c r="AV341" s="117"/>
      <c r="AW341" s="194"/>
      <c r="AX341" s="194"/>
      <c r="AY341" s="194"/>
      <c r="AZ341" s="162"/>
      <c r="BA341" s="195"/>
    </row>
    <row r="342" spans="1:53" s="117" customFormat="1" ht="17.100000000000001" customHeight="1" x14ac:dyDescent="0.25">
      <c r="A342" s="119"/>
      <c r="B342" s="119"/>
      <c r="C342" s="196"/>
      <c r="D342" s="75" t="s">
        <v>324</v>
      </c>
      <c r="E342" s="75"/>
      <c r="F342" s="75"/>
      <c r="G342" s="75"/>
      <c r="H342" s="1322"/>
      <c r="I342" s="12"/>
      <c r="J342" s="55" t="str">
        <f>IF(J$506=0,"",IF(J339&gt;=0.75,1,0))</f>
        <v/>
      </c>
      <c r="K342" s="55" t="str">
        <f>IF(K$506=0,"",IF(K339&gt;=0.75,1,0))</f>
        <v/>
      </c>
      <c r="L342" s="55" t="str">
        <f>IF(L$506=0,"",IF(L339&gt;=0.75,1,0))</f>
        <v/>
      </c>
      <c r="M342" s="55"/>
      <c r="N342" s="55">
        <f>IF(N$329=0,0,IF(N$339&gt;=0.75,1,0))</f>
        <v>0</v>
      </c>
      <c r="O342" s="55">
        <f t="shared" ref="O342:U342" si="335">IF(O$329=0,0,IF(O$339&gt;=0.75,1,0))</f>
        <v>0</v>
      </c>
      <c r="P342" s="55">
        <f>IF(SUM(N342:O342)=0,0,IF(SUM(N342:O342)=2,1,IF(AND(N$340=0,O342&gt;0),O342,SUM(N342:O342)/2)))</f>
        <v>0</v>
      </c>
      <c r="Q342" s="55">
        <f t="shared" si="335"/>
        <v>0</v>
      </c>
      <c r="R342" s="55">
        <f t="shared" si="335"/>
        <v>0</v>
      </c>
      <c r="S342" s="55">
        <f>IF(SUM(Q342:R342)=0,0,IF(SUM(Q342:R342)=2,1,IF(AND(Q$340=0,R342&gt;0),R342,SUM(Q342:R342)/2)))</f>
        <v>0</v>
      </c>
      <c r="T342" s="55">
        <f t="shared" si="335"/>
        <v>0</v>
      </c>
      <c r="U342" s="55">
        <f t="shared" si="335"/>
        <v>0</v>
      </c>
      <c r="V342" s="55">
        <f>IF(SUM(T342:U342)=0,0,IF(SUM(T342:U342)=2,1,IF(AND(T$340=0,U342&gt;0),U342,SUM(T342:U342)/2)))</f>
        <v>0</v>
      </c>
      <c r="W342" s="1324">
        <f>N342+Q342+T342</f>
        <v>0</v>
      </c>
      <c r="X342" s="1000">
        <f>O342+R342+U342</f>
        <v>0</v>
      </c>
      <c r="Y342" s="996">
        <f>P342+S342+V342</f>
        <v>0</v>
      </c>
      <c r="Z342" s="19">
        <f>IF(Y$569=0,0,Y342/Y$569)</f>
        <v>0</v>
      </c>
      <c r="AA342" s="197"/>
      <c r="AB342" s="197"/>
      <c r="AC342" s="198"/>
      <c r="AE342" s="55"/>
      <c r="AF342" s="55"/>
      <c r="AG342" s="55"/>
      <c r="AH342" s="164"/>
      <c r="AI342" s="197"/>
      <c r="AK342" s="55"/>
      <c r="AL342" s="55"/>
      <c r="AM342" s="55"/>
      <c r="AN342" s="164"/>
      <c r="AO342" s="197"/>
      <c r="AQ342" s="55"/>
      <c r="AR342" s="55"/>
      <c r="AS342" s="55"/>
      <c r="AT342" s="164"/>
      <c r="AU342" s="197"/>
      <c r="AW342" s="55"/>
      <c r="AX342" s="55"/>
      <c r="AY342" s="55"/>
      <c r="AZ342" s="164"/>
      <c r="BA342" s="197"/>
    </row>
    <row r="343" spans="1:53" s="117" customFormat="1" ht="17.100000000000001" customHeight="1" x14ac:dyDescent="0.25">
      <c r="A343" s="119"/>
      <c r="B343" s="119"/>
      <c r="C343" s="136"/>
      <c r="D343" s="75" t="s">
        <v>325</v>
      </c>
      <c r="E343" s="75"/>
      <c r="F343" s="75"/>
      <c r="G343" s="75"/>
      <c r="H343" s="1322"/>
      <c r="I343" s="12"/>
      <c r="J343" s="55" t="str">
        <f>IF(J$506=0,"",IF(AND(J340&gt;=0.5,J340&lt;0.75),1,0))</f>
        <v/>
      </c>
      <c r="K343" s="55" t="str">
        <f>IF(K$506=0,"",IF(AND(K340&gt;=0.5,K340&lt;0.75),1,0))</f>
        <v/>
      </c>
      <c r="L343" s="55" t="str">
        <f>IF(L$506=0,"",IF(AND(L340&gt;=0.5,L340&lt;0.75),1,0))</f>
        <v/>
      </c>
      <c r="M343" s="55"/>
      <c r="N343" s="55">
        <f>IF(N$329=0,0,IF(AND(N339&gt;=0.5,N339&lt;0.75),1,0))</f>
        <v>0</v>
      </c>
      <c r="O343" s="55">
        <f t="shared" ref="O343:U343" si="336">IF(O$329=0,0,IF(AND(O339&gt;=0.5,O339&lt;0.75),1,0))</f>
        <v>0</v>
      </c>
      <c r="P343" s="55">
        <f t="shared" ref="P343:P344" si="337">IF(SUM(N343:O343)=0,0,IF(SUM(N343:O343)=2,1,IF(AND(N$340=0,O343&gt;0),O343,SUM(N343:O343)/2)))</f>
        <v>0</v>
      </c>
      <c r="Q343" s="55">
        <f t="shared" si="336"/>
        <v>0</v>
      </c>
      <c r="R343" s="55">
        <f t="shared" si="336"/>
        <v>0</v>
      </c>
      <c r="S343" s="55">
        <f t="shared" ref="S343:S344" si="338">IF(SUM(Q343:R343)=0,0,IF(SUM(Q343:R343)=2,1,IF(AND(Q$340=0,R343&gt;0),R343,SUM(Q343:R343)/2)))</f>
        <v>0</v>
      </c>
      <c r="T343" s="55">
        <f t="shared" si="336"/>
        <v>0</v>
      </c>
      <c r="U343" s="55">
        <f t="shared" si="336"/>
        <v>0</v>
      </c>
      <c r="V343" s="55">
        <f t="shared" ref="V343:V344" si="339">IF(SUM(T343:U343)=0,0,IF(SUM(T343:U343)=2,1,IF(AND(T$340=0,U343&gt;0),U343,SUM(T343:U343)/2)))</f>
        <v>0</v>
      </c>
      <c r="W343" s="1324">
        <f t="shared" ref="W343:Y344" si="340">N343+Q343+T343</f>
        <v>0</v>
      </c>
      <c r="X343" s="1000">
        <f t="shared" si="340"/>
        <v>0</v>
      </c>
      <c r="Y343" s="996">
        <f t="shared" si="340"/>
        <v>0</v>
      </c>
      <c r="Z343" s="19">
        <f>IF(Y$569=0,0,Y343/Y$569)</f>
        <v>0</v>
      </c>
      <c r="AA343" s="197"/>
      <c r="AB343" s="197"/>
      <c r="AC343" s="198"/>
      <c r="AE343" s="55"/>
      <c r="AF343" s="55"/>
      <c r="AG343" s="55"/>
      <c r="AH343" s="164"/>
      <c r="AI343" s="197"/>
      <c r="AK343" s="55"/>
      <c r="AL343" s="55"/>
      <c r="AM343" s="55"/>
      <c r="AN343" s="164"/>
      <c r="AO343" s="197"/>
      <c r="AQ343" s="55"/>
      <c r="AR343" s="55"/>
      <c r="AS343" s="55"/>
      <c r="AT343" s="164"/>
      <c r="AU343" s="197"/>
      <c r="AW343" s="55"/>
      <c r="AX343" s="55"/>
      <c r="AY343" s="55"/>
      <c r="AZ343" s="164"/>
      <c r="BA343" s="197"/>
    </row>
    <row r="344" spans="1:53" s="97" customFormat="1" ht="17.100000000000001" customHeight="1" x14ac:dyDescent="0.25">
      <c r="A344" s="119"/>
      <c r="B344" s="119"/>
      <c r="C344" s="137"/>
      <c r="D344" s="75" t="s">
        <v>326</v>
      </c>
      <c r="E344" s="75"/>
      <c r="F344" s="75"/>
      <c r="G344" s="75"/>
      <c r="H344" s="1322"/>
      <c r="I344" s="12"/>
      <c r="J344" s="55" t="str">
        <f>IF(J$506=0,"",IF(J340&lt;0.5,1,0))</f>
        <v/>
      </c>
      <c r="K344" s="55" t="str">
        <f>IF(K$506=0,"",IF(K340&lt;0.5,1,0))</f>
        <v/>
      </c>
      <c r="L344" s="55" t="str">
        <f>IF(L$506=0,"",IF(L340&lt;0.5,1,0))</f>
        <v/>
      </c>
      <c r="M344" s="55"/>
      <c r="N344" s="55">
        <f>IF(N$329=0,0,IF(N339&lt;0.5,1,0))</f>
        <v>1</v>
      </c>
      <c r="O344" s="55">
        <f t="shared" ref="O344:U344" si="341">IF(O$329=0,0,IF(O339&lt;0.5,1,0))</f>
        <v>1</v>
      </c>
      <c r="P344" s="55">
        <f t="shared" si="337"/>
        <v>1</v>
      </c>
      <c r="Q344" s="55">
        <f t="shared" si="341"/>
        <v>1</v>
      </c>
      <c r="R344" s="55">
        <f t="shared" si="341"/>
        <v>1</v>
      </c>
      <c r="S344" s="55">
        <f t="shared" si="338"/>
        <v>1</v>
      </c>
      <c r="T344" s="55">
        <f t="shared" si="341"/>
        <v>0</v>
      </c>
      <c r="U344" s="55">
        <f t="shared" si="341"/>
        <v>0</v>
      </c>
      <c r="V344" s="55">
        <f t="shared" si="339"/>
        <v>0</v>
      </c>
      <c r="W344" s="1324">
        <f t="shared" si="340"/>
        <v>2</v>
      </c>
      <c r="X344" s="1000">
        <f t="shared" si="340"/>
        <v>2</v>
      </c>
      <c r="Y344" s="996">
        <f t="shared" si="340"/>
        <v>2</v>
      </c>
      <c r="Z344" s="19">
        <f>IF(Y$569=0,0,Y344/Y$569)</f>
        <v>0</v>
      </c>
      <c r="AA344" s="197"/>
      <c r="AB344" s="197"/>
      <c r="AC344" s="198"/>
      <c r="AE344" s="55"/>
      <c r="AF344" s="55"/>
      <c r="AG344" s="55"/>
      <c r="AH344" s="164"/>
      <c r="AI344" s="197"/>
      <c r="AK344" s="55"/>
      <c r="AL344" s="55"/>
      <c r="AM344" s="55"/>
      <c r="AN344" s="164"/>
      <c r="AO344" s="197"/>
      <c r="AQ344" s="55"/>
      <c r="AR344" s="55"/>
      <c r="AS344" s="55"/>
      <c r="AT344" s="164"/>
      <c r="AU344" s="197"/>
      <c r="AW344" s="55"/>
      <c r="AX344" s="55"/>
      <c r="AY344" s="55"/>
      <c r="AZ344" s="164"/>
      <c r="BA344" s="197"/>
    </row>
    <row r="345" spans="1:53" s="117" customFormat="1" ht="17.100000000000001" customHeight="1" x14ac:dyDescent="0.25">
      <c r="A345" s="119"/>
      <c r="B345" s="119"/>
      <c r="C345" s="119"/>
      <c r="D345" s="428"/>
      <c r="E345" s="93"/>
      <c r="F345" s="93"/>
      <c r="G345" s="93"/>
      <c r="H345" s="1322"/>
      <c r="I345" s="12"/>
      <c r="J345" s="191"/>
      <c r="K345" s="191"/>
      <c r="L345" s="191"/>
      <c r="M345" s="191"/>
      <c r="N345" s="191"/>
      <c r="O345" s="191"/>
      <c r="P345" s="191"/>
      <c r="Q345" s="191"/>
      <c r="R345" s="191"/>
      <c r="S345" s="191"/>
      <c r="T345" s="191"/>
      <c r="U345" s="191"/>
      <c r="V345" s="191"/>
      <c r="W345" s="394"/>
      <c r="X345" s="191"/>
      <c r="Y345" s="164">
        <f>SUM(Y342:Y344)</f>
        <v>2</v>
      </c>
      <c r="Z345" s="19">
        <f t="shared" ref="Z345" si="342">IF(Y$569=0,0,Y345/Y$569)</f>
        <v>0</v>
      </c>
      <c r="AA345" s="192"/>
      <c r="AB345" s="192"/>
      <c r="AC345" s="198"/>
      <c r="AE345" s="191"/>
      <c r="AF345" s="191"/>
      <c r="AG345" s="191"/>
      <c r="AH345" s="164"/>
      <c r="AI345" s="192"/>
      <c r="AK345" s="191"/>
      <c r="AL345" s="191"/>
      <c r="AM345" s="191"/>
      <c r="AN345" s="164"/>
      <c r="AO345" s="192"/>
      <c r="AQ345" s="191"/>
      <c r="AR345" s="191"/>
      <c r="AS345" s="191"/>
      <c r="AT345" s="164"/>
      <c r="AU345" s="192"/>
      <c r="AW345" s="191"/>
      <c r="AX345" s="191"/>
      <c r="AY345" s="191"/>
      <c r="AZ345" s="164"/>
      <c r="BA345" s="192"/>
    </row>
    <row r="358" spans="4:9" s="2" customFormat="1" ht="17.100000000000001" customHeight="1" x14ac:dyDescent="0.25">
      <c r="D358" s="3"/>
      <c r="E358" s="3"/>
      <c r="F358" s="4"/>
      <c r="G358" s="4"/>
      <c r="H358" s="4"/>
      <c r="I358" s="97"/>
    </row>
    <row r="359" spans="4:9" s="2" customFormat="1" ht="17.100000000000001" customHeight="1" x14ac:dyDescent="0.25">
      <c r="D359" s="3"/>
      <c r="E359" s="3"/>
      <c r="F359" s="4"/>
      <c r="G359" s="4"/>
      <c r="H359" s="4"/>
      <c r="I359" s="97"/>
    </row>
    <row r="360" spans="4:9" s="2" customFormat="1" ht="17.100000000000001" customHeight="1" x14ac:dyDescent="0.25">
      <c r="D360" s="3"/>
      <c r="E360" s="3"/>
      <c r="F360" s="4"/>
      <c r="G360" s="4"/>
      <c r="H360" s="4"/>
      <c r="I360" s="97"/>
    </row>
    <row r="361" spans="4:9" s="2" customFormat="1" ht="17.100000000000001" customHeight="1" x14ac:dyDescent="0.25">
      <c r="D361" s="3"/>
      <c r="E361" s="3"/>
      <c r="F361" s="4"/>
      <c r="G361" s="4"/>
      <c r="H361" s="4"/>
      <c r="I361" s="97"/>
    </row>
    <row r="362" spans="4:9" s="2" customFormat="1" ht="17.100000000000001" customHeight="1" x14ac:dyDescent="0.25">
      <c r="D362" s="3"/>
      <c r="E362" s="3"/>
      <c r="F362" s="4"/>
      <c r="G362" s="4"/>
      <c r="H362" s="4"/>
      <c r="I362" s="97"/>
    </row>
    <row r="363" spans="4:9" s="2" customFormat="1" ht="17.100000000000001" customHeight="1" x14ac:dyDescent="0.25">
      <c r="D363" s="3"/>
      <c r="E363" s="3"/>
      <c r="F363" s="4"/>
      <c r="G363" s="4"/>
      <c r="H363" s="4"/>
      <c r="I363" s="97"/>
    </row>
    <row r="364" spans="4:9" s="2" customFormat="1" ht="17.100000000000001" customHeight="1" x14ac:dyDescent="0.25">
      <c r="D364" s="3"/>
      <c r="E364" s="3"/>
      <c r="F364" s="4"/>
      <c r="G364" s="4"/>
      <c r="H364" s="4"/>
      <c r="I364" s="97"/>
    </row>
    <row r="365" spans="4:9" s="2" customFormat="1" ht="17.100000000000001" customHeight="1" x14ac:dyDescent="0.25">
      <c r="D365" s="3"/>
      <c r="E365" s="3"/>
      <c r="F365" s="4"/>
      <c r="G365" s="4"/>
      <c r="H365" s="4"/>
      <c r="I365" s="97"/>
    </row>
    <row r="366" spans="4:9" s="2" customFormat="1" ht="17.100000000000001" customHeight="1" x14ac:dyDescent="0.25">
      <c r="D366" s="3"/>
      <c r="E366" s="3"/>
      <c r="F366" s="4"/>
      <c r="G366" s="4"/>
      <c r="H366" s="4"/>
      <c r="I366" s="97"/>
    </row>
    <row r="367" spans="4:9" s="2" customFormat="1" ht="17.100000000000001" customHeight="1" x14ac:dyDescent="0.25">
      <c r="D367" s="3"/>
      <c r="E367" s="3"/>
      <c r="F367" s="4"/>
      <c r="G367" s="4"/>
      <c r="H367" s="4"/>
      <c r="I367" s="97"/>
    </row>
    <row r="368" spans="4:9" s="2" customFormat="1" ht="17.100000000000001" customHeight="1" x14ac:dyDescent="0.25">
      <c r="D368" s="3"/>
      <c r="E368" s="3"/>
      <c r="F368" s="4"/>
      <c r="G368" s="4"/>
      <c r="H368" s="4"/>
      <c r="I368" s="97"/>
    </row>
    <row r="369" spans="4:9" s="2" customFormat="1" ht="17.100000000000001" customHeight="1" x14ac:dyDescent="0.25">
      <c r="D369" s="3"/>
      <c r="E369" s="3"/>
      <c r="F369" s="4"/>
      <c r="G369" s="4"/>
      <c r="H369" s="4"/>
      <c r="I369" s="97"/>
    </row>
    <row r="370" spans="4:9" s="2" customFormat="1" ht="17.100000000000001" customHeight="1" x14ac:dyDescent="0.25">
      <c r="D370" s="3"/>
      <c r="E370" s="3"/>
      <c r="F370" s="4"/>
      <c r="G370" s="4"/>
      <c r="H370" s="4"/>
      <c r="I370" s="97"/>
    </row>
    <row r="371" spans="4:9" s="2" customFormat="1" ht="17.100000000000001" customHeight="1" x14ac:dyDescent="0.25">
      <c r="D371" s="3"/>
      <c r="E371" s="3"/>
      <c r="F371" s="4"/>
      <c r="G371" s="4"/>
      <c r="H371" s="4"/>
      <c r="I371" s="97"/>
    </row>
    <row r="372" spans="4:9" s="2" customFormat="1" ht="17.100000000000001" customHeight="1" x14ac:dyDescent="0.25">
      <c r="D372" s="3"/>
      <c r="E372" s="3"/>
      <c r="F372" s="4"/>
      <c r="G372" s="4"/>
      <c r="H372" s="4"/>
      <c r="I372" s="97"/>
    </row>
    <row r="373" spans="4:9" s="2" customFormat="1" ht="17.100000000000001" customHeight="1" x14ac:dyDescent="0.25">
      <c r="D373" s="3"/>
      <c r="E373" s="3"/>
      <c r="F373" s="4"/>
      <c r="G373" s="4"/>
      <c r="H373" s="4"/>
      <c r="I373" s="97"/>
    </row>
    <row r="374" spans="4:9" s="2" customFormat="1" ht="17.100000000000001" customHeight="1" x14ac:dyDescent="0.25">
      <c r="D374" s="3"/>
      <c r="E374" s="3"/>
      <c r="F374" s="4"/>
      <c r="G374" s="4"/>
      <c r="H374" s="4"/>
      <c r="I374" s="97"/>
    </row>
    <row r="375" spans="4:9" s="2" customFormat="1" ht="17.100000000000001" customHeight="1" x14ac:dyDescent="0.25">
      <c r="D375" s="3"/>
      <c r="E375" s="3"/>
      <c r="F375" s="4"/>
      <c r="G375" s="4"/>
      <c r="H375" s="4"/>
      <c r="I375" s="97"/>
    </row>
    <row r="376" spans="4:9" s="2" customFormat="1" ht="17.100000000000001" customHeight="1" x14ac:dyDescent="0.25">
      <c r="D376" s="3"/>
      <c r="E376" s="3"/>
      <c r="F376" s="4"/>
      <c r="G376" s="4"/>
      <c r="H376" s="4"/>
      <c r="I376" s="97"/>
    </row>
    <row r="377" spans="4:9" s="2" customFormat="1" ht="17.100000000000001" customHeight="1" x14ac:dyDescent="0.25">
      <c r="D377" s="3"/>
      <c r="E377" s="3"/>
      <c r="F377" s="4"/>
      <c r="G377" s="4"/>
      <c r="H377" s="4"/>
      <c r="I377" s="97"/>
    </row>
    <row r="378" spans="4:9" s="2" customFormat="1" ht="17.100000000000001" customHeight="1" x14ac:dyDescent="0.25">
      <c r="D378" s="3"/>
      <c r="E378" s="3"/>
      <c r="F378" s="4"/>
      <c r="G378" s="4"/>
      <c r="H378" s="4"/>
      <c r="I378" s="97"/>
    </row>
    <row r="379" spans="4:9" s="2" customFormat="1" ht="17.100000000000001" customHeight="1" x14ac:dyDescent="0.25">
      <c r="D379" s="3"/>
      <c r="E379" s="3"/>
      <c r="F379" s="4"/>
      <c r="G379" s="4"/>
      <c r="H379" s="4"/>
      <c r="I379" s="97"/>
    </row>
    <row r="380" spans="4:9" s="2" customFormat="1" ht="17.100000000000001" customHeight="1" x14ac:dyDescent="0.25">
      <c r="D380" s="3"/>
      <c r="E380" s="3"/>
      <c r="F380" s="4"/>
      <c r="G380" s="4"/>
      <c r="H380" s="4"/>
      <c r="I380" s="97"/>
    </row>
    <row r="381" spans="4:9" s="2" customFormat="1" ht="17.100000000000001" customHeight="1" x14ac:dyDescent="0.25">
      <c r="D381" s="3"/>
      <c r="E381" s="3"/>
      <c r="F381" s="4"/>
      <c r="G381" s="4"/>
      <c r="H381" s="4"/>
      <c r="I381" s="97"/>
    </row>
    <row r="382" spans="4:9" s="2" customFormat="1" ht="17.100000000000001" customHeight="1" x14ac:dyDescent="0.25">
      <c r="D382" s="3"/>
      <c r="E382" s="3"/>
      <c r="F382" s="4"/>
      <c r="G382" s="4"/>
      <c r="H382" s="4"/>
      <c r="I382" s="97"/>
    </row>
    <row r="383" spans="4:9" s="2" customFormat="1" ht="17.100000000000001" customHeight="1" x14ac:dyDescent="0.25">
      <c r="D383" s="3"/>
      <c r="E383" s="3"/>
      <c r="F383" s="4"/>
      <c r="G383" s="4"/>
      <c r="H383" s="4"/>
      <c r="I383" s="97"/>
    </row>
    <row r="384" spans="4:9" s="2" customFormat="1" ht="17.100000000000001" customHeight="1" x14ac:dyDescent="0.25">
      <c r="D384" s="3"/>
      <c r="E384" s="3"/>
      <c r="F384" s="4"/>
      <c r="G384" s="4"/>
      <c r="H384" s="4"/>
      <c r="I384" s="97"/>
    </row>
    <row r="385" spans="4:9" s="2" customFormat="1" ht="17.100000000000001" customHeight="1" x14ac:dyDescent="0.25">
      <c r="D385" s="3"/>
      <c r="E385" s="3"/>
      <c r="F385" s="4"/>
      <c r="G385" s="4"/>
      <c r="H385" s="4"/>
      <c r="I385" s="97"/>
    </row>
    <row r="386" spans="4:9" s="2" customFormat="1" ht="17.100000000000001" customHeight="1" x14ac:dyDescent="0.25">
      <c r="D386" s="3"/>
      <c r="E386" s="3"/>
      <c r="F386" s="4"/>
      <c r="G386" s="4"/>
      <c r="H386" s="4"/>
      <c r="I386" s="97"/>
    </row>
    <row r="387" spans="4:9" s="2" customFormat="1" ht="17.100000000000001" customHeight="1" x14ac:dyDescent="0.25">
      <c r="D387" s="3"/>
      <c r="E387" s="3"/>
      <c r="F387" s="4"/>
      <c r="G387" s="4"/>
      <c r="H387" s="4"/>
      <c r="I387" s="97"/>
    </row>
    <row r="388" spans="4:9" s="2" customFormat="1" ht="17.100000000000001" customHeight="1" x14ac:dyDescent="0.25">
      <c r="D388" s="3"/>
      <c r="E388" s="3"/>
      <c r="F388" s="4"/>
      <c r="G388" s="4"/>
      <c r="H388" s="4"/>
      <c r="I388" s="97"/>
    </row>
    <row r="389" spans="4:9" s="2" customFormat="1" ht="17.100000000000001" customHeight="1" x14ac:dyDescent="0.25">
      <c r="D389" s="3"/>
      <c r="E389" s="3"/>
      <c r="F389" s="4"/>
      <c r="G389" s="4"/>
      <c r="H389" s="4"/>
      <c r="I389" s="97"/>
    </row>
    <row r="390" spans="4:9" s="2" customFormat="1" ht="17.100000000000001" customHeight="1" x14ac:dyDescent="0.25">
      <c r="D390" s="3"/>
      <c r="E390" s="3"/>
      <c r="F390" s="4"/>
      <c r="G390" s="4"/>
      <c r="H390" s="4"/>
      <c r="I390" s="97"/>
    </row>
    <row r="391" spans="4:9" s="2" customFormat="1" ht="17.100000000000001" customHeight="1" x14ac:dyDescent="0.25">
      <c r="D391" s="3"/>
      <c r="E391" s="3"/>
      <c r="F391" s="4"/>
      <c r="G391" s="4"/>
      <c r="H391" s="4"/>
      <c r="I391" s="97"/>
    </row>
    <row r="392" spans="4:9" s="2" customFormat="1" ht="17.100000000000001" customHeight="1" x14ac:dyDescent="0.25">
      <c r="D392" s="3"/>
      <c r="E392" s="3"/>
      <c r="F392" s="4"/>
      <c r="G392" s="4"/>
      <c r="H392" s="4"/>
      <c r="I392" s="97"/>
    </row>
    <row r="393" spans="4:9" s="2" customFormat="1" ht="17.100000000000001" customHeight="1" x14ac:dyDescent="0.25">
      <c r="D393" s="3"/>
      <c r="E393" s="3"/>
      <c r="F393" s="4"/>
      <c r="G393" s="4"/>
      <c r="H393" s="4"/>
      <c r="I393" s="97"/>
    </row>
    <row r="394" spans="4:9" s="2" customFormat="1" ht="17.100000000000001" customHeight="1" x14ac:dyDescent="0.25">
      <c r="D394" s="3"/>
      <c r="E394" s="3"/>
      <c r="F394" s="4"/>
      <c r="G394" s="4"/>
      <c r="H394" s="4"/>
      <c r="I394" s="97"/>
    </row>
    <row r="395" spans="4:9" s="2" customFormat="1" ht="17.100000000000001" customHeight="1" x14ac:dyDescent="0.25">
      <c r="D395" s="3"/>
      <c r="E395" s="3"/>
      <c r="F395" s="4"/>
      <c r="G395" s="4"/>
      <c r="H395" s="4"/>
      <c r="I395" s="97"/>
    </row>
    <row r="396" spans="4:9" s="2" customFormat="1" ht="17.100000000000001" customHeight="1" x14ac:dyDescent="0.25">
      <c r="D396" s="3"/>
      <c r="E396" s="3"/>
      <c r="F396" s="4"/>
      <c r="G396" s="4"/>
      <c r="H396" s="4"/>
      <c r="I396" s="97"/>
    </row>
    <row r="397" spans="4:9" s="2" customFormat="1" ht="17.100000000000001" customHeight="1" x14ac:dyDescent="0.25">
      <c r="D397" s="3"/>
      <c r="E397" s="3"/>
      <c r="F397" s="4"/>
      <c r="G397" s="4"/>
      <c r="H397" s="4"/>
      <c r="I397" s="97"/>
    </row>
    <row r="398" spans="4:9" s="2" customFormat="1" ht="17.100000000000001" customHeight="1" x14ac:dyDescent="0.25">
      <c r="D398" s="3"/>
      <c r="E398" s="3"/>
      <c r="F398" s="4"/>
      <c r="G398" s="4"/>
      <c r="H398" s="4"/>
      <c r="I398" s="97"/>
    </row>
    <row r="399" spans="4:9" s="2" customFormat="1" ht="17.100000000000001" customHeight="1" x14ac:dyDescent="0.25">
      <c r="D399" s="3"/>
      <c r="E399" s="3"/>
      <c r="F399" s="4"/>
      <c r="G399" s="4"/>
      <c r="H399" s="4"/>
      <c r="I399" s="97"/>
    </row>
    <row r="400" spans="4:9" s="2" customFormat="1" ht="17.100000000000001" customHeight="1" x14ac:dyDescent="0.25">
      <c r="D400" s="3"/>
      <c r="E400" s="3"/>
      <c r="F400" s="4"/>
      <c r="G400" s="4"/>
      <c r="H400" s="4"/>
      <c r="I400" s="97"/>
    </row>
    <row r="401" spans="4:9" s="2" customFormat="1" ht="17.100000000000001" customHeight="1" x14ac:dyDescent="0.25">
      <c r="D401" s="3"/>
      <c r="E401" s="3"/>
      <c r="F401" s="4"/>
      <c r="G401" s="4"/>
      <c r="H401" s="4"/>
      <c r="I401" s="97"/>
    </row>
    <row r="402" spans="4:9" s="2" customFormat="1" ht="17.100000000000001" customHeight="1" x14ac:dyDescent="0.25">
      <c r="D402" s="3"/>
      <c r="E402" s="3"/>
      <c r="F402" s="4"/>
      <c r="G402" s="4"/>
      <c r="H402" s="4"/>
      <c r="I402" s="97"/>
    </row>
    <row r="403" spans="4:9" s="2" customFormat="1" ht="17.100000000000001" customHeight="1" x14ac:dyDescent="0.25">
      <c r="D403" s="3"/>
      <c r="E403" s="3"/>
      <c r="F403" s="4"/>
      <c r="G403" s="4"/>
      <c r="H403" s="4"/>
      <c r="I403" s="97"/>
    </row>
    <row r="404" spans="4:9" s="2" customFormat="1" ht="17.100000000000001" customHeight="1" x14ac:dyDescent="0.25">
      <c r="D404" s="3"/>
      <c r="E404" s="3"/>
      <c r="F404" s="4"/>
      <c r="G404" s="4"/>
      <c r="H404" s="4"/>
      <c r="I404" s="97"/>
    </row>
    <row r="405" spans="4:9" s="2" customFormat="1" ht="17.100000000000001" customHeight="1" x14ac:dyDescent="0.25">
      <c r="D405" s="3"/>
      <c r="E405" s="3"/>
      <c r="F405" s="4"/>
      <c r="G405" s="4"/>
      <c r="H405" s="4"/>
      <c r="I405" s="97"/>
    </row>
    <row r="406" spans="4:9" s="2" customFormat="1" ht="17.100000000000001" customHeight="1" x14ac:dyDescent="0.25">
      <c r="D406" s="3"/>
      <c r="E406" s="3"/>
      <c r="F406" s="4"/>
      <c r="G406" s="4"/>
      <c r="H406" s="4"/>
      <c r="I406" s="97"/>
    </row>
    <row r="407" spans="4:9" s="2" customFormat="1" ht="17.100000000000001" customHeight="1" x14ac:dyDescent="0.25">
      <c r="D407" s="3"/>
      <c r="E407" s="3"/>
      <c r="F407" s="4"/>
      <c r="G407" s="4"/>
      <c r="H407" s="4"/>
      <c r="I407" s="97"/>
    </row>
    <row r="408" spans="4:9" s="2" customFormat="1" ht="17.100000000000001" customHeight="1" x14ac:dyDescent="0.25">
      <c r="D408" s="3"/>
      <c r="E408" s="3"/>
      <c r="F408" s="4"/>
      <c r="G408" s="4"/>
      <c r="H408" s="4"/>
      <c r="I408" s="97"/>
    </row>
    <row r="409" spans="4:9" s="2" customFormat="1" ht="17.100000000000001" customHeight="1" x14ac:dyDescent="0.25">
      <c r="D409" s="3"/>
      <c r="E409" s="3"/>
      <c r="F409" s="4"/>
      <c r="G409" s="4"/>
      <c r="H409" s="4"/>
      <c r="I409" s="97"/>
    </row>
    <row r="410" spans="4:9" s="2" customFormat="1" ht="17.100000000000001" customHeight="1" x14ac:dyDescent="0.25">
      <c r="D410" s="3"/>
      <c r="E410" s="3"/>
      <c r="F410" s="4"/>
      <c r="G410" s="4"/>
      <c r="H410" s="4"/>
      <c r="I410" s="97"/>
    </row>
    <row r="411" spans="4:9" s="2" customFormat="1" ht="17.100000000000001" customHeight="1" x14ac:dyDescent="0.25">
      <c r="D411" s="3"/>
      <c r="E411" s="3"/>
      <c r="F411" s="4"/>
      <c r="G411" s="4"/>
      <c r="H411" s="4"/>
      <c r="I411" s="97"/>
    </row>
    <row r="412" spans="4:9" s="2" customFormat="1" ht="17.100000000000001" customHeight="1" x14ac:dyDescent="0.25">
      <c r="D412" s="3"/>
      <c r="E412" s="3"/>
      <c r="F412" s="4"/>
      <c r="G412" s="4"/>
      <c r="H412" s="4"/>
      <c r="I412" s="97"/>
    </row>
    <row r="413" spans="4:9" s="2" customFormat="1" ht="17.100000000000001" customHeight="1" x14ac:dyDescent="0.25">
      <c r="D413" s="3"/>
      <c r="E413" s="3"/>
      <c r="F413" s="4"/>
      <c r="G413" s="4"/>
      <c r="H413" s="4"/>
      <c r="I413" s="97"/>
    </row>
    <row r="414" spans="4:9" s="2" customFormat="1" ht="17.100000000000001" customHeight="1" x14ac:dyDescent="0.25">
      <c r="D414" s="3"/>
      <c r="E414" s="3"/>
      <c r="F414" s="4"/>
      <c r="G414" s="4"/>
      <c r="H414" s="4"/>
      <c r="I414" s="97"/>
    </row>
    <row r="415" spans="4:9" s="2" customFormat="1" ht="17.100000000000001" customHeight="1" x14ac:dyDescent="0.25">
      <c r="D415" s="3"/>
      <c r="E415" s="3"/>
      <c r="F415" s="4"/>
      <c r="G415" s="4"/>
      <c r="H415" s="4"/>
      <c r="I415" s="97"/>
    </row>
    <row r="416" spans="4:9" s="2" customFormat="1" ht="17.100000000000001" customHeight="1" x14ac:dyDescent="0.25">
      <c r="D416" s="3"/>
      <c r="E416" s="3"/>
      <c r="F416" s="4"/>
      <c r="G416" s="4"/>
      <c r="H416" s="4"/>
      <c r="I416" s="97"/>
    </row>
    <row r="417" spans="4:9" s="2" customFormat="1" ht="17.100000000000001" customHeight="1" x14ac:dyDescent="0.25">
      <c r="D417" s="3"/>
      <c r="E417" s="3"/>
      <c r="F417" s="4"/>
      <c r="G417" s="4"/>
      <c r="H417" s="4"/>
      <c r="I417" s="97"/>
    </row>
    <row r="418" spans="4:9" s="2" customFormat="1" ht="17.100000000000001" customHeight="1" x14ac:dyDescent="0.25">
      <c r="D418" s="3"/>
      <c r="E418" s="3"/>
      <c r="F418" s="4"/>
      <c r="G418" s="4"/>
      <c r="H418" s="4"/>
      <c r="I418" s="97"/>
    </row>
    <row r="419" spans="4:9" s="2" customFormat="1" ht="17.100000000000001" customHeight="1" x14ac:dyDescent="0.25">
      <c r="D419" s="3"/>
      <c r="E419" s="3"/>
      <c r="F419" s="4"/>
      <c r="G419" s="4"/>
      <c r="H419" s="4"/>
      <c r="I419" s="97"/>
    </row>
    <row r="420" spans="4:9" s="2" customFormat="1" ht="17.100000000000001" customHeight="1" x14ac:dyDescent="0.25">
      <c r="D420" s="3"/>
      <c r="E420" s="3"/>
      <c r="F420" s="4"/>
      <c r="G420" s="4"/>
      <c r="H420" s="4"/>
      <c r="I420" s="97"/>
    </row>
    <row r="421" spans="4:9" s="2" customFormat="1" ht="17.100000000000001" customHeight="1" x14ac:dyDescent="0.25">
      <c r="D421" s="3"/>
      <c r="E421" s="3"/>
      <c r="F421" s="4"/>
      <c r="G421" s="4"/>
      <c r="H421" s="4"/>
      <c r="I421" s="97"/>
    </row>
    <row r="422" spans="4:9" s="2" customFormat="1" ht="17.100000000000001" customHeight="1" x14ac:dyDescent="0.25">
      <c r="D422" s="3"/>
      <c r="E422" s="3"/>
      <c r="F422" s="4"/>
      <c r="G422" s="4"/>
      <c r="H422" s="4"/>
      <c r="I422" s="97"/>
    </row>
    <row r="423" spans="4:9" s="2" customFormat="1" ht="17.100000000000001" customHeight="1" x14ac:dyDescent="0.25">
      <c r="D423" s="3"/>
      <c r="E423" s="3"/>
      <c r="F423" s="4"/>
      <c r="G423" s="4"/>
      <c r="H423" s="4"/>
      <c r="I423" s="97"/>
    </row>
    <row r="424" spans="4:9" s="2" customFormat="1" ht="17.100000000000001" customHeight="1" x14ac:dyDescent="0.25">
      <c r="D424" s="3"/>
      <c r="E424" s="3"/>
      <c r="F424" s="4"/>
      <c r="G424" s="4"/>
      <c r="H424" s="4"/>
      <c r="I424" s="97"/>
    </row>
    <row r="425" spans="4:9" s="2" customFormat="1" ht="17.100000000000001" customHeight="1" x14ac:dyDescent="0.25">
      <c r="D425" s="3"/>
      <c r="E425" s="3"/>
      <c r="F425" s="4"/>
      <c r="G425" s="4"/>
      <c r="H425" s="4"/>
      <c r="I425" s="97"/>
    </row>
    <row r="426" spans="4:9" s="2" customFormat="1" ht="17.100000000000001" customHeight="1" x14ac:dyDescent="0.25">
      <c r="D426" s="3"/>
      <c r="E426" s="3"/>
      <c r="F426" s="4"/>
      <c r="G426" s="4"/>
      <c r="H426" s="4"/>
      <c r="I426" s="97"/>
    </row>
    <row r="427" spans="4:9" s="2" customFormat="1" ht="17.100000000000001" customHeight="1" x14ac:dyDescent="0.25">
      <c r="D427" s="3"/>
      <c r="E427" s="3"/>
      <c r="F427" s="4"/>
      <c r="G427" s="4"/>
      <c r="H427" s="4"/>
      <c r="I427" s="97"/>
    </row>
    <row r="428" spans="4:9" s="2" customFormat="1" ht="17.100000000000001" customHeight="1" x14ac:dyDescent="0.25">
      <c r="D428" s="3"/>
      <c r="E428" s="3"/>
      <c r="F428" s="4"/>
      <c r="G428" s="4"/>
      <c r="H428" s="4"/>
      <c r="I428" s="97"/>
    </row>
    <row r="429" spans="4:9" s="2" customFormat="1" ht="17.100000000000001" customHeight="1" x14ac:dyDescent="0.25">
      <c r="D429" s="3"/>
      <c r="E429" s="3"/>
      <c r="F429" s="4"/>
      <c r="G429" s="4"/>
      <c r="H429" s="4"/>
      <c r="I429" s="97"/>
    </row>
    <row r="430" spans="4:9" s="2" customFormat="1" ht="17.100000000000001" customHeight="1" x14ac:dyDescent="0.25">
      <c r="D430" s="3"/>
      <c r="E430" s="3"/>
      <c r="F430" s="4"/>
      <c r="G430" s="4"/>
      <c r="H430" s="4"/>
      <c r="I430" s="97"/>
    </row>
    <row r="431" spans="4:9" s="2" customFormat="1" ht="17.100000000000001" customHeight="1" x14ac:dyDescent="0.25">
      <c r="D431" s="3"/>
      <c r="E431" s="3"/>
      <c r="F431" s="4"/>
      <c r="G431" s="4"/>
      <c r="H431" s="4"/>
      <c r="I431" s="97"/>
    </row>
    <row r="432" spans="4:9" s="2" customFormat="1" ht="17.100000000000001" customHeight="1" x14ac:dyDescent="0.25">
      <c r="D432" s="3"/>
      <c r="E432" s="3"/>
      <c r="F432" s="4"/>
      <c r="G432" s="4"/>
      <c r="H432" s="4"/>
      <c r="I432" s="97"/>
    </row>
    <row r="433" spans="1:9" s="2" customFormat="1" ht="17.100000000000001" customHeight="1" x14ac:dyDescent="0.25">
      <c r="D433" s="3"/>
      <c r="E433" s="3"/>
      <c r="F433" s="4"/>
      <c r="G433" s="4"/>
      <c r="H433" s="4"/>
      <c r="I433" s="97"/>
    </row>
    <row r="434" spans="1:9" s="2" customFormat="1" ht="17.100000000000001" customHeight="1" x14ac:dyDescent="0.25">
      <c r="D434" s="3"/>
      <c r="E434" s="3"/>
      <c r="F434" s="4"/>
      <c r="G434" s="4"/>
      <c r="H434" s="4"/>
      <c r="I434" s="97"/>
    </row>
    <row r="435" spans="1:9" s="2" customFormat="1" ht="17.100000000000001" customHeight="1" x14ac:dyDescent="0.25">
      <c r="D435" s="3"/>
      <c r="E435" s="3"/>
      <c r="F435" s="4"/>
      <c r="G435" s="4"/>
      <c r="H435" s="4"/>
      <c r="I435" s="97"/>
    </row>
    <row r="436" spans="1:9" s="2" customFormat="1" ht="17.100000000000001" customHeight="1" x14ac:dyDescent="0.25">
      <c r="D436" s="3"/>
      <c r="E436" s="3"/>
      <c r="F436" s="4"/>
      <c r="G436" s="4"/>
      <c r="H436" s="4"/>
      <c r="I436" s="97"/>
    </row>
    <row r="437" spans="1:9" s="2" customFormat="1" ht="17.100000000000001" customHeight="1" x14ac:dyDescent="0.25">
      <c r="D437" s="3"/>
      <c r="E437" s="3"/>
      <c r="F437" s="4"/>
      <c r="G437" s="4"/>
      <c r="H437" s="4"/>
      <c r="I437" s="97"/>
    </row>
    <row r="438" spans="1:9" s="2" customFormat="1" ht="17.100000000000001" customHeight="1" x14ac:dyDescent="0.25">
      <c r="D438" s="3"/>
      <c r="E438" s="3"/>
      <c r="F438" s="4"/>
      <c r="G438" s="4"/>
      <c r="H438" s="4"/>
      <c r="I438" s="97"/>
    </row>
    <row r="439" spans="1:9" s="2" customFormat="1" ht="17.100000000000001" customHeight="1" x14ac:dyDescent="0.25">
      <c r="D439" s="3"/>
      <c r="E439" s="3"/>
      <c r="F439" s="4"/>
      <c r="G439" s="4"/>
      <c r="H439" s="4"/>
      <c r="I439" s="97"/>
    </row>
    <row r="440" spans="1:9" s="2" customFormat="1" ht="17.100000000000001" customHeight="1" x14ac:dyDescent="0.25">
      <c r="D440" s="3"/>
      <c r="E440" s="3"/>
      <c r="F440" s="4"/>
      <c r="G440" s="4"/>
      <c r="H440" s="4"/>
      <c r="I440" s="97"/>
    </row>
    <row r="441" spans="1:9" s="2" customFormat="1" ht="17.100000000000001" customHeight="1" x14ac:dyDescent="0.25">
      <c r="A441" s="2" t="s">
        <v>608</v>
      </c>
      <c r="D441" s="3"/>
      <c r="E441" s="3"/>
      <c r="F441" s="4"/>
      <c r="G441" s="4"/>
      <c r="H441" s="4"/>
      <c r="I441" s="97"/>
    </row>
    <row r="442" spans="1:9" s="2" customFormat="1" ht="17.100000000000001" customHeight="1" x14ac:dyDescent="0.25">
      <c r="D442" s="3"/>
      <c r="E442" s="3"/>
      <c r="F442" s="4"/>
      <c r="G442" s="4"/>
      <c r="H442" s="4"/>
      <c r="I442" s="97"/>
    </row>
    <row r="443" spans="1:9" s="2" customFormat="1" ht="17.100000000000001" customHeight="1" x14ac:dyDescent="0.25">
      <c r="D443" s="3"/>
      <c r="E443" s="3"/>
      <c r="F443" s="4"/>
      <c r="G443" s="4"/>
      <c r="H443" s="4"/>
      <c r="I443" s="97"/>
    </row>
    <row r="444" spans="1:9" s="2" customFormat="1" ht="17.100000000000001" customHeight="1" x14ac:dyDescent="0.25">
      <c r="D444" s="3"/>
      <c r="E444" s="3"/>
      <c r="F444" s="4"/>
      <c r="G444" s="4"/>
      <c r="H444" s="4"/>
      <c r="I444" s="97"/>
    </row>
    <row r="445" spans="1:9" s="2" customFormat="1" ht="17.100000000000001" customHeight="1" x14ac:dyDescent="0.25">
      <c r="D445" s="3"/>
      <c r="E445" s="3"/>
      <c r="F445" s="4"/>
      <c r="G445" s="4"/>
      <c r="H445" s="4"/>
      <c r="I445" s="97"/>
    </row>
    <row r="446" spans="1:9" s="2" customFormat="1" ht="17.100000000000001" customHeight="1" x14ac:dyDescent="0.25">
      <c r="D446" s="3"/>
      <c r="E446" s="3"/>
      <c r="F446" s="4"/>
      <c r="G446" s="4"/>
      <c r="H446" s="4"/>
      <c r="I446" s="97"/>
    </row>
    <row r="447" spans="1:9" s="2" customFormat="1" ht="17.100000000000001" customHeight="1" x14ac:dyDescent="0.25">
      <c r="D447" s="3"/>
      <c r="E447" s="3"/>
      <c r="F447" s="4"/>
      <c r="G447" s="4"/>
      <c r="H447" s="4"/>
      <c r="I447" s="97"/>
    </row>
    <row r="448" spans="1:9" s="2" customFormat="1" ht="17.100000000000001" customHeight="1" x14ac:dyDescent="0.25">
      <c r="D448" s="3"/>
      <c r="E448" s="3"/>
      <c r="F448" s="4"/>
      <c r="G448" s="4"/>
      <c r="H448" s="4"/>
      <c r="I448" s="97"/>
    </row>
    <row r="449" spans="4:9" s="2" customFormat="1" ht="17.100000000000001" customHeight="1" x14ac:dyDescent="0.25">
      <c r="D449" s="3"/>
      <c r="E449" s="3"/>
      <c r="F449" s="4"/>
      <c r="G449" s="4"/>
      <c r="H449" s="4"/>
      <c r="I449" s="97"/>
    </row>
    <row r="450" spans="4:9" s="2" customFormat="1" ht="17.100000000000001" customHeight="1" x14ac:dyDescent="0.25">
      <c r="D450" s="3"/>
      <c r="E450" s="3"/>
      <c r="F450" s="4"/>
      <c r="G450" s="4"/>
      <c r="H450" s="4"/>
      <c r="I450" s="97"/>
    </row>
    <row r="451" spans="4:9" s="2" customFormat="1" ht="17.100000000000001" customHeight="1" x14ac:dyDescent="0.25">
      <c r="D451" s="3"/>
      <c r="E451" s="3"/>
      <c r="F451" s="4"/>
      <c r="G451" s="4"/>
      <c r="H451" s="4"/>
      <c r="I451" s="97"/>
    </row>
    <row r="452" spans="4:9" s="2" customFormat="1" ht="17.100000000000001" customHeight="1" x14ac:dyDescent="0.25">
      <c r="D452" s="3"/>
      <c r="E452" s="3"/>
      <c r="F452" s="4"/>
      <c r="G452" s="4"/>
      <c r="H452" s="4"/>
      <c r="I452" s="97"/>
    </row>
    <row r="453" spans="4:9" s="2" customFormat="1" ht="17.100000000000001" customHeight="1" x14ac:dyDescent="0.25">
      <c r="D453" s="3"/>
      <c r="E453" s="3"/>
      <c r="F453" s="4"/>
      <c r="G453" s="4"/>
      <c r="H453" s="4"/>
      <c r="I453" s="97"/>
    </row>
    <row r="454" spans="4:9" s="2" customFormat="1" ht="17.100000000000001" customHeight="1" x14ac:dyDescent="0.25">
      <c r="D454" s="3"/>
      <c r="E454" s="3"/>
      <c r="F454" s="4"/>
      <c r="G454" s="4"/>
      <c r="H454" s="4"/>
      <c r="I454" s="97"/>
    </row>
    <row r="455" spans="4:9" s="2" customFormat="1" ht="17.100000000000001" customHeight="1" x14ac:dyDescent="0.25">
      <c r="D455" s="3"/>
      <c r="E455" s="3"/>
      <c r="F455" s="4"/>
      <c r="G455" s="4"/>
      <c r="H455" s="4"/>
      <c r="I455" s="97"/>
    </row>
    <row r="456" spans="4:9" s="2" customFormat="1" ht="17.100000000000001" customHeight="1" x14ac:dyDescent="0.25">
      <c r="D456" s="3"/>
      <c r="E456" s="3"/>
      <c r="F456" s="4"/>
      <c r="G456" s="4"/>
      <c r="H456" s="4"/>
      <c r="I456" s="97"/>
    </row>
    <row r="457" spans="4:9" s="2" customFormat="1" ht="17.100000000000001" customHeight="1" x14ac:dyDescent="0.25">
      <c r="D457" s="3"/>
      <c r="E457" s="3"/>
      <c r="F457" s="4"/>
      <c r="G457" s="4"/>
      <c r="H457" s="4"/>
      <c r="I457" s="97"/>
    </row>
    <row r="458" spans="4:9" s="2" customFormat="1" ht="17.100000000000001" customHeight="1" x14ac:dyDescent="0.25">
      <c r="D458" s="3"/>
      <c r="E458" s="3"/>
      <c r="F458" s="4"/>
      <c r="G458" s="4"/>
      <c r="H458" s="4"/>
      <c r="I458" s="97"/>
    </row>
    <row r="459" spans="4:9" s="2" customFormat="1" ht="17.100000000000001" customHeight="1" x14ac:dyDescent="0.25">
      <c r="D459" s="3"/>
      <c r="E459" s="3"/>
      <c r="F459" s="4"/>
      <c r="G459" s="4"/>
      <c r="H459" s="4"/>
      <c r="I459" s="97"/>
    </row>
    <row r="460" spans="4:9" s="2" customFormat="1" ht="17.100000000000001" customHeight="1" x14ac:dyDescent="0.25">
      <c r="D460" s="3"/>
      <c r="E460" s="3"/>
      <c r="F460" s="4"/>
      <c r="G460" s="4"/>
      <c r="H460" s="4"/>
      <c r="I460" s="97"/>
    </row>
    <row r="461" spans="4:9" s="2" customFormat="1" ht="17.100000000000001" customHeight="1" x14ac:dyDescent="0.25">
      <c r="D461" s="3"/>
      <c r="E461" s="3"/>
      <c r="F461" s="4"/>
      <c r="G461" s="4"/>
      <c r="H461" s="4"/>
      <c r="I461" s="97"/>
    </row>
    <row r="462" spans="4:9" s="2" customFormat="1" ht="17.100000000000001" customHeight="1" x14ac:dyDescent="0.25">
      <c r="D462" s="3"/>
      <c r="E462" s="3"/>
      <c r="F462" s="4"/>
      <c r="G462" s="4"/>
      <c r="H462" s="4"/>
      <c r="I462" s="97"/>
    </row>
    <row r="463" spans="4:9" s="2" customFormat="1" ht="17.100000000000001" customHeight="1" x14ac:dyDescent="0.25">
      <c r="D463" s="3"/>
      <c r="E463" s="3"/>
      <c r="F463" s="4"/>
      <c r="G463" s="4"/>
      <c r="H463" s="4"/>
      <c r="I463" s="97"/>
    </row>
    <row r="464" spans="4:9" s="2" customFormat="1" ht="17.100000000000001" customHeight="1" x14ac:dyDescent="0.25">
      <c r="D464" s="3"/>
      <c r="E464" s="3"/>
      <c r="F464" s="4"/>
      <c r="G464" s="4"/>
      <c r="H464" s="4"/>
      <c r="I464" s="97"/>
    </row>
    <row r="465" spans="4:9" s="2" customFormat="1" ht="17.100000000000001" customHeight="1" x14ac:dyDescent="0.25">
      <c r="D465" s="3"/>
      <c r="E465" s="3"/>
      <c r="F465" s="4"/>
      <c r="G465" s="4"/>
      <c r="H465" s="4"/>
      <c r="I465" s="97"/>
    </row>
    <row r="466" spans="4:9" s="2" customFormat="1" ht="17.100000000000001" customHeight="1" x14ac:dyDescent="0.25">
      <c r="D466" s="3"/>
      <c r="E466" s="3"/>
      <c r="F466" s="4"/>
      <c r="G466" s="4"/>
      <c r="H466" s="4"/>
      <c r="I466" s="97"/>
    </row>
    <row r="467" spans="4:9" s="2" customFormat="1" ht="17.100000000000001" customHeight="1" x14ac:dyDescent="0.25">
      <c r="D467" s="3"/>
      <c r="E467" s="3"/>
      <c r="F467" s="4"/>
      <c r="G467" s="4"/>
      <c r="H467" s="4"/>
      <c r="I467" s="97"/>
    </row>
    <row r="468" spans="4:9" s="2" customFormat="1" ht="17.100000000000001" customHeight="1" x14ac:dyDescent="0.25">
      <c r="D468" s="3"/>
      <c r="E468" s="3"/>
      <c r="F468" s="4"/>
      <c r="G468" s="4"/>
      <c r="H468" s="4"/>
      <c r="I468" s="97"/>
    </row>
    <row r="469" spans="4:9" s="2" customFormat="1" ht="17.100000000000001" customHeight="1" x14ac:dyDescent="0.25">
      <c r="D469" s="3"/>
      <c r="E469" s="3"/>
      <c r="F469" s="4"/>
      <c r="G469" s="4"/>
      <c r="H469" s="4"/>
      <c r="I469" s="97"/>
    </row>
    <row r="470" spans="4:9" s="2" customFormat="1" ht="17.100000000000001" customHeight="1" x14ac:dyDescent="0.25">
      <c r="D470" s="3"/>
      <c r="E470" s="3"/>
      <c r="F470" s="4"/>
      <c r="G470" s="4"/>
      <c r="H470" s="4"/>
      <c r="I470" s="97"/>
    </row>
    <row r="471" spans="4:9" s="2" customFormat="1" ht="17.100000000000001" customHeight="1" x14ac:dyDescent="0.25">
      <c r="D471" s="3"/>
      <c r="E471" s="3"/>
      <c r="F471" s="4"/>
      <c r="G471" s="4"/>
      <c r="H471" s="4"/>
      <c r="I471" s="97"/>
    </row>
    <row r="472" spans="4:9" s="2" customFormat="1" ht="17.100000000000001" customHeight="1" x14ac:dyDescent="0.25">
      <c r="D472" s="3"/>
      <c r="E472" s="3"/>
      <c r="F472" s="4"/>
      <c r="G472" s="4"/>
      <c r="H472" s="4"/>
      <c r="I472" s="97"/>
    </row>
    <row r="473" spans="4:9" s="2" customFormat="1" ht="17.100000000000001" customHeight="1" x14ac:dyDescent="0.25">
      <c r="D473" s="3"/>
      <c r="E473" s="3"/>
      <c r="F473" s="4"/>
      <c r="G473" s="4"/>
      <c r="H473" s="4"/>
      <c r="I473" s="97"/>
    </row>
    <row r="474" spans="4:9" s="2" customFormat="1" ht="17.100000000000001" customHeight="1" x14ac:dyDescent="0.25">
      <c r="D474" s="3"/>
      <c r="E474" s="3"/>
      <c r="F474" s="4"/>
      <c r="G474" s="4"/>
      <c r="H474" s="4"/>
      <c r="I474" s="97"/>
    </row>
    <row r="475" spans="4:9" s="2" customFormat="1" ht="17.100000000000001" customHeight="1" x14ac:dyDescent="0.25">
      <c r="D475" s="3"/>
      <c r="E475" s="3"/>
      <c r="F475" s="4"/>
      <c r="G475" s="4"/>
      <c r="H475" s="4"/>
      <c r="I475" s="97"/>
    </row>
    <row r="476" spans="4:9" s="2" customFormat="1" ht="17.100000000000001" customHeight="1" x14ac:dyDescent="0.25">
      <c r="D476" s="3"/>
      <c r="E476" s="3"/>
      <c r="F476" s="4"/>
      <c r="G476" s="4"/>
      <c r="H476" s="4"/>
      <c r="I476" s="97"/>
    </row>
    <row r="477" spans="4:9" s="2" customFormat="1" ht="17.100000000000001" customHeight="1" x14ac:dyDescent="0.25">
      <c r="D477" s="3"/>
      <c r="E477" s="3"/>
      <c r="F477" s="4"/>
      <c r="G477" s="4"/>
      <c r="H477" s="4"/>
      <c r="I477" s="97"/>
    </row>
    <row r="478" spans="4:9" s="2" customFormat="1" ht="17.100000000000001" customHeight="1" x14ac:dyDescent="0.25">
      <c r="D478" s="3"/>
      <c r="E478" s="3"/>
      <c r="F478" s="4"/>
      <c r="G478" s="4"/>
      <c r="H478" s="4"/>
      <c r="I478" s="97"/>
    </row>
    <row r="479" spans="4:9" s="2" customFormat="1" ht="17.100000000000001" customHeight="1" x14ac:dyDescent="0.25">
      <c r="D479" s="3"/>
      <c r="E479" s="3"/>
      <c r="F479" s="4"/>
      <c r="G479" s="4"/>
      <c r="H479" s="4"/>
      <c r="I479" s="97"/>
    </row>
    <row r="480" spans="4:9" s="2" customFormat="1" ht="17.100000000000001" customHeight="1" x14ac:dyDescent="0.25">
      <c r="D480" s="3"/>
      <c r="E480" s="3"/>
      <c r="F480" s="4"/>
      <c r="G480" s="4"/>
      <c r="H480" s="4"/>
      <c r="I480" s="97"/>
    </row>
    <row r="481" spans="4:9" s="2" customFormat="1" ht="17.100000000000001" customHeight="1" x14ac:dyDescent="0.25">
      <c r="D481" s="3"/>
      <c r="E481" s="3"/>
      <c r="F481" s="4"/>
      <c r="G481" s="4"/>
      <c r="H481" s="4"/>
      <c r="I481" s="97"/>
    </row>
    <row r="482" spans="4:9" s="2" customFormat="1" ht="17.100000000000001" customHeight="1" x14ac:dyDescent="0.25">
      <c r="D482" s="3"/>
      <c r="E482" s="3"/>
      <c r="F482" s="4"/>
      <c r="G482" s="4"/>
      <c r="H482" s="4"/>
      <c r="I482" s="97"/>
    </row>
    <row r="483" spans="4:9" s="2" customFormat="1" ht="17.100000000000001" customHeight="1" x14ac:dyDescent="0.25">
      <c r="D483" s="3"/>
      <c r="E483" s="3"/>
      <c r="F483" s="4"/>
      <c r="G483" s="4"/>
      <c r="H483" s="4"/>
      <c r="I483" s="97"/>
    </row>
    <row r="484" spans="4:9" s="2" customFormat="1" ht="17.100000000000001" customHeight="1" x14ac:dyDescent="0.25">
      <c r="D484" s="3"/>
      <c r="E484" s="3"/>
      <c r="F484" s="4"/>
      <c r="G484" s="4"/>
      <c r="H484" s="4"/>
      <c r="I484" s="97"/>
    </row>
    <row r="485" spans="4:9" s="2" customFormat="1" ht="17.100000000000001" customHeight="1" x14ac:dyDescent="0.25">
      <c r="D485" s="3"/>
      <c r="E485" s="3"/>
      <c r="F485" s="4"/>
      <c r="G485" s="4"/>
      <c r="H485" s="4"/>
      <c r="I485" s="97"/>
    </row>
    <row r="486" spans="4:9" s="2" customFormat="1" ht="17.100000000000001" customHeight="1" x14ac:dyDescent="0.25">
      <c r="D486" s="3"/>
      <c r="E486" s="3"/>
      <c r="F486" s="4"/>
      <c r="G486" s="4"/>
      <c r="H486" s="4"/>
      <c r="I486" s="97"/>
    </row>
    <row r="487" spans="4:9" s="2" customFormat="1" ht="17.100000000000001" customHeight="1" x14ac:dyDescent="0.25">
      <c r="D487" s="3"/>
      <c r="E487" s="3"/>
      <c r="F487" s="4"/>
      <c r="G487" s="4"/>
      <c r="H487" s="4"/>
      <c r="I487" s="97"/>
    </row>
    <row r="488" spans="4:9" s="2" customFormat="1" ht="17.100000000000001" customHeight="1" x14ac:dyDescent="0.25">
      <c r="D488" s="3"/>
      <c r="E488" s="3"/>
      <c r="F488" s="4"/>
      <c r="G488" s="4"/>
      <c r="H488" s="4"/>
      <c r="I488" s="97"/>
    </row>
    <row r="489" spans="4:9" s="2" customFormat="1" ht="17.100000000000001" customHeight="1" x14ac:dyDescent="0.25">
      <c r="D489" s="3"/>
      <c r="E489" s="3"/>
      <c r="F489" s="4"/>
      <c r="G489" s="4"/>
      <c r="H489" s="4"/>
      <c r="I489" s="97"/>
    </row>
    <row r="490" spans="4:9" s="2" customFormat="1" ht="17.100000000000001" customHeight="1" x14ac:dyDescent="0.25">
      <c r="D490" s="3"/>
      <c r="E490" s="3"/>
      <c r="F490" s="4"/>
      <c r="G490" s="4"/>
      <c r="H490" s="4"/>
      <c r="I490" s="97"/>
    </row>
    <row r="491" spans="4:9" s="2" customFormat="1" ht="17.100000000000001" customHeight="1" x14ac:dyDescent="0.25">
      <c r="D491" s="3"/>
      <c r="E491" s="3"/>
      <c r="F491" s="4"/>
      <c r="G491" s="4"/>
      <c r="H491" s="4"/>
      <c r="I491" s="97"/>
    </row>
    <row r="492" spans="4:9" s="2" customFormat="1" ht="17.100000000000001" customHeight="1" x14ac:dyDescent="0.25">
      <c r="D492" s="3"/>
      <c r="E492" s="3"/>
      <c r="F492" s="4"/>
      <c r="G492" s="4"/>
      <c r="H492" s="4"/>
      <c r="I492" s="97"/>
    </row>
    <row r="493" spans="4:9" s="2" customFormat="1" ht="17.100000000000001" customHeight="1" x14ac:dyDescent="0.25">
      <c r="D493" s="3"/>
      <c r="E493" s="3"/>
      <c r="F493" s="4"/>
      <c r="G493" s="4"/>
      <c r="H493" s="4"/>
      <c r="I493" s="97"/>
    </row>
    <row r="494" spans="4:9" s="2" customFormat="1" ht="17.100000000000001" customHeight="1" x14ac:dyDescent="0.25">
      <c r="D494" s="3"/>
      <c r="E494" s="3"/>
      <c r="F494" s="4"/>
      <c r="G494" s="4"/>
      <c r="H494" s="4"/>
      <c r="I494" s="97"/>
    </row>
    <row r="495" spans="4:9" s="2" customFormat="1" ht="17.100000000000001" customHeight="1" x14ac:dyDescent="0.25">
      <c r="D495" s="3"/>
      <c r="E495" s="3"/>
      <c r="F495" s="4"/>
      <c r="G495" s="4"/>
      <c r="H495" s="4"/>
      <c r="I495" s="97"/>
    </row>
    <row r="496" spans="4:9" s="2" customFormat="1" ht="17.100000000000001" customHeight="1" x14ac:dyDescent="0.25">
      <c r="D496" s="3"/>
      <c r="E496" s="3"/>
      <c r="F496" s="4"/>
      <c r="G496" s="4"/>
      <c r="H496" s="4"/>
      <c r="I496" s="97"/>
    </row>
    <row r="497" spans="4:9" s="2" customFormat="1" ht="17.100000000000001" customHeight="1" x14ac:dyDescent="0.25">
      <c r="D497" s="3"/>
      <c r="E497" s="3"/>
      <c r="F497" s="4"/>
      <c r="G497" s="4"/>
      <c r="H497" s="4"/>
      <c r="I497" s="97"/>
    </row>
    <row r="498" spans="4:9" s="2" customFormat="1" ht="17.100000000000001" customHeight="1" x14ac:dyDescent="0.25">
      <c r="D498" s="3"/>
      <c r="E498" s="3"/>
      <c r="F498" s="4"/>
      <c r="G498" s="4"/>
      <c r="H498" s="4"/>
      <c r="I498" s="97"/>
    </row>
    <row r="499" spans="4:9" s="2" customFormat="1" ht="17.100000000000001" customHeight="1" x14ac:dyDescent="0.25">
      <c r="D499" s="3"/>
      <c r="E499" s="3"/>
      <c r="F499" s="4"/>
      <c r="G499" s="4"/>
      <c r="H499" s="4"/>
      <c r="I499" s="97"/>
    </row>
    <row r="500" spans="4:9" s="2" customFormat="1" ht="17.100000000000001" customHeight="1" x14ac:dyDescent="0.25">
      <c r="D500" s="3"/>
      <c r="E500" s="3"/>
      <c r="F500" s="4"/>
      <c r="G500" s="4"/>
      <c r="H500" s="4"/>
      <c r="I500" s="97"/>
    </row>
    <row r="501" spans="4:9" s="2" customFormat="1" ht="17.100000000000001" customHeight="1" x14ac:dyDescent="0.25">
      <c r="D501" s="3"/>
      <c r="E501" s="3"/>
      <c r="F501" s="4"/>
      <c r="G501" s="4"/>
      <c r="H501" s="4"/>
      <c r="I501" s="97"/>
    </row>
    <row r="502" spans="4:9" s="2" customFormat="1" ht="17.100000000000001" customHeight="1" x14ac:dyDescent="0.25">
      <c r="D502" s="3"/>
      <c r="E502" s="3"/>
      <c r="F502" s="4"/>
      <c r="G502" s="4"/>
      <c r="H502" s="4"/>
      <c r="I502" s="97"/>
    </row>
    <row r="503" spans="4:9" s="2" customFormat="1" ht="17.100000000000001" customHeight="1" x14ac:dyDescent="0.25">
      <c r="D503" s="3"/>
      <c r="E503" s="3"/>
      <c r="F503" s="4"/>
      <c r="G503" s="4"/>
      <c r="H503" s="4"/>
      <c r="I503" s="97"/>
    </row>
    <row r="504" spans="4:9" s="2" customFormat="1" ht="17.100000000000001" customHeight="1" x14ac:dyDescent="0.25">
      <c r="D504" s="3"/>
      <c r="E504" s="3"/>
      <c r="F504" s="4"/>
      <c r="G504" s="4"/>
      <c r="H504" s="4"/>
      <c r="I504" s="97"/>
    </row>
    <row r="505" spans="4:9" s="2" customFormat="1" ht="17.100000000000001" customHeight="1" x14ac:dyDescent="0.25">
      <c r="D505" s="3"/>
      <c r="E505" s="3"/>
      <c r="F505" s="4"/>
      <c r="G505" s="4"/>
      <c r="H505" s="4"/>
      <c r="I505" s="97"/>
    </row>
    <row r="506" spans="4:9" s="2" customFormat="1" ht="17.100000000000001" customHeight="1" x14ac:dyDescent="0.25">
      <c r="D506" s="3"/>
      <c r="E506" s="3"/>
      <c r="F506" s="4"/>
      <c r="G506" s="4"/>
      <c r="H506" s="4"/>
      <c r="I506" s="97"/>
    </row>
  </sheetData>
  <mergeCells count="15">
    <mergeCell ref="AQ10:AU10"/>
    <mergeCell ref="AW10:BA10"/>
    <mergeCell ref="AE8:AO8"/>
    <mergeCell ref="J9:M9"/>
    <mergeCell ref="N9:P9"/>
    <mergeCell ref="Q9:S9"/>
    <mergeCell ref="T9:V9"/>
    <mergeCell ref="AE10:AI10"/>
    <mergeCell ref="AK10:AO10"/>
    <mergeCell ref="W8:Y9"/>
    <mergeCell ref="L6:M6"/>
    <mergeCell ref="J8:M8"/>
    <mergeCell ref="N8:P8"/>
    <mergeCell ref="Q8:S8"/>
    <mergeCell ref="T8:V8"/>
  </mergeCells>
  <pageMargins left="0.7" right="0.7" top="0.75" bottom="0.75" header="0.3" footer="0.3"/>
  <pageSetup paperSize="9" scale="70" fitToHeight="5" orientation="portrait" r:id="rId1"/>
  <headerFooter>
    <oddFooter>&amp;L&amp;10SANITATION DEMAND AND SUPPLY STUDY&amp;C&amp;10&amp;P&amp;R&amp;10HOUSEHOLDS WITHOUT TOILET</oddFooter>
  </headerFooter>
  <rowBreaks count="3" manualBreakCount="3">
    <brk id="89" max="10" man="1"/>
    <brk id="174" max="10" man="1"/>
    <brk id="281" max="10" man="1"/>
  </rowBreaks>
  <ignoredErrors>
    <ignoredError sqref="P101:S107"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BA506"/>
  <sheetViews>
    <sheetView zoomScale="80" zoomScaleNormal="80" workbookViewId="0">
      <pane xSplit="7" ySplit="11" topLeftCell="H12" activePane="bottomRight" state="frozen"/>
      <selection activeCell="V164" sqref="V164:Y168"/>
      <selection pane="topRight" activeCell="V164" sqref="V164:Y168"/>
      <selection pane="bottomLeft" activeCell="V164" sqref="V164:Y168"/>
      <selection pane="bottomRight" activeCell="O5" sqref="O5"/>
    </sheetView>
  </sheetViews>
  <sheetFormatPr defaultRowHeight="17.100000000000001" customHeight="1" x14ac:dyDescent="0.25"/>
  <cols>
    <col min="1" max="2" width="4.7109375" style="2" customWidth="1"/>
    <col min="3" max="3" width="6.7109375" style="2" customWidth="1"/>
    <col min="4" max="4" width="7.7109375" style="3" customWidth="1"/>
    <col min="5" max="5" width="4.7109375" style="3" customWidth="1"/>
    <col min="6" max="6" width="30.7109375" style="4" customWidth="1"/>
    <col min="7" max="7" width="3.7109375" style="4" customWidth="1"/>
    <col min="8" max="8" width="4.42578125" style="4" customWidth="1"/>
    <col min="9" max="9" width="3.7109375" style="97" customWidth="1"/>
    <col min="10" max="25" width="10.7109375" style="3" customWidth="1"/>
    <col min="26" max="29" width="9.7109375" style="3" customWidth="1"/>
    <col min="30" max="30" width="9.140625" style="3"/>
    <col min="31" max="35" width="9.7109375" style="3" customWidth="1"/>
    <col min="36" max="36" width="9.140625" style="3"/>
    <col min="37" max="41" width="9.7109375" style="3" customWidth="1"/>
    <col min="42" max="48" width="9.140625" style="3"/>
    <col min="49" max="53" width="9.7109375" style="3" customWidth="1"/>
    <col min="54" max="16384" width="9.140625" style="3"/>
  </cols>
  <sheetData>
    <row r="1" spans="1:53" ht="17.100000000000001" customHeight="1" x14ac:dyDescent="0.25">
      <c r="A1" s="1" t="s">
        <v>363</v>
      </c>
      <c r="J1" s="5" t="s">
        <v>883</v>
      </c>
      <c r="AE1" s="8"/>
      <c r="AF1" s="8"/>
      <c r="AG1" s="8"/>
      <c r="AH1" s="7"/>
      <c r="AK1" s="8"/>
      <c r="AL1" s="8"/>
      <c r="AM1" s="8"/>
      <c r="AN1" s="7"/>
      <c r="AW1" s="8"/>
      <c r="AX1" s="8"/>
      <c r="AY1" s="8"/>
      <c r="AZ1" s="8"/>
    </row>
    <row r="2" spans="1:53" ht="17.100000000000001" customHeight="1" x14ac:dyDescent="0.25">
      <c r="A2" s="1" t="str">
        <f>'STUDY VILLAGES'!U7</f>
        <v>KAMPOT PROVINCE</v>
      </c>
      <c r="J2" s="5"/>
      <c r="AE2" s="8"/>
      <c r="AF2" s="8"/>
      <c r="AG2" s="8"/>
      <c r="AH2" s="7"/>
      <c r="AK2" s="8"/>
      <c r="AL2" s="8"/>
      <c r="AM2" s="8"/>
      <c r="AN2" s="7"/>
      <c r="AW2" s="8"/>
      <c r="AX2" s="8"/>
      <c r="AY2" s="8"/>
      <c r="AZ2" s="8"/>
    </row>
    <row r="3" spans="1:53" ht="17.100000000000001" customHeight="1" x14ac:dyDescent="0.25">
      <c r="A3" s="1" t="str">
        <f>'STUDY VILLAGES'!U8</f>
        <v>BANTEAY MEAS DISTRICT</v>
      </c>
      <c r="J3" s="268" t="s">
        <v>555</v>
      </c>
      <c r="L3" s="267">
        <f>'STUDY VILLAGES'!B16</f>
        <v>0</v>
      </c>
      <c r="M3" s="267"/>
      <c r="N3" s="6"/>
      <c r="O3" s="6"/>
      <c r="P3" s="6"/>
      <c r="Q3" s="6"/>
      <c r="R3" s="6"/>
      <c r="S3" s="6"/>
      <c r="T3" s="6"/>
      <c r="U3" s="6"/>
      <c r="V3" s="6"/>
      <c r="W3" s="6"/>
      <c r="X3" s="6"/>
      <c r="AE3" s="8"/>
      <c r="AF3" s="8"/>
      <c r="AG3" s="8"/>
      <c r="AH3" s="7"/>
      <c r="AK3" s="8"/>
      <c r="AL3" s="8"/>
      <c r="AM3" s="8"/>
      <c r="AN3" s="7"/>
      <c r="AW3" s="8"/>
      <c r="AX3" s="8"/>
      <c r="AY3" s="8"/>
      <c r="AZ3" s="8"/>
    </row>
    <row r="4" spans="1:53" ht="12.75" x14ac:dyDescent="0.25">
      <c r="N4" s="6"/>
      <c r="O4" s="6"/>
      <c r="P4" s="6"/>
      <c r="Q4" s="6"/>
      <c r="R4" s="6"/>
      <c r="S4" s="6"/>
      <c r="T4" s="6"/>
      <c r="U4" s="6"/>
      <c r="V4" s="6"/>
      <c r="W4" s="6"/>
      <c r="X4" s="6"/>
      <c r="AE4" s="8"/>
      <c r="AF4" s="8"/>
      <c r="AG4" s="8"/>
      <c r="AH4" s="7"/>
      <c r="AK4" s="8"/>
      <c r="AL4" s="8"/>
      <c r="AM4" s="8"/>
      <c r="AN4" s="7"/>
      <c r="AW4" s="8"/>
      <c r="AX4" s="8"/>
      <c r="AY4" s="8"/>
      <c r="AZ4" s="8"/>
    </row>
    <row r="5" spans="1:53" ht="21" x14ac:dyDescent="0.25">
      <c r="A5" s="1" t="s">
        <v>743</v>
      </c>
      <c r="J5" s="9" t="s">
        <v>1</v>
      </c>
      <c r="K5" s="10"/>
      <c r="L5" s="653"/>
      <c r="M5" s="397"/>
      <c r="N5" s="6"/>
      <c r="O5" s="652" t="s">
        <v>1074</v>
      </c>
      <c r="P5" s="6"/>
      <c r="Q5" s="6"/>
      <c r="R5" s="6"/>
      <c r="S5" s="6"/>
      <c r="T5" s="6"/>
      <c r="U5" s="6"/>
      <c r="V5" s="6"/>
      <c r="W5" s="6"/>
      <c r="X5" s="6"/>
      <c r="AE5" s="8"/>
      <c r="AF5" s="8"/>
      <c r="AG5" s="8"/>
      <c r="AH5" s="7"/>
      <c r="AK5" s="8"/>
      <c r="AL5" s="8"/>
      <c r="AM5" s="8"/>
      <c r="AN5" s="7"/>
      <c r="AW5" s="8"/>
      <c r="AX5" s="8"/>
      <c r="AY5" s="8"/>
      <c r="AZ5" s="8"/>
    </row>
    <row r="6" spans="1:53" ht="21" x14ac:dyDescent="0.25">
      <c r="A6" s="444" t="s">
        <v>619</v>
      </c>
      <c r="J6" s="11" t="s">
        <v>2</v>
      </c>
      <c r="K6" s="10"/>
      <c r="L6" s="1379"/>
      <c r="M6" s="1379"/>
      <c r="AE6" s="8"/>
      <c r="AF6" s="8"/>
      <c r="AG6" s="8"/>
      <c r="AH6" s="7"/>
      <c r="AK6" s="8"/>
      <c r="AL6" s="8"/>
      <c r="AM6" s="8"/>
      <c r="AN6" s="7"/>
      <c r="AW6" s="8"/>
      <c r="AX6" s="8"/>
      <c r="AY6" s="8"/>
      <c r="AZ6" s="8"/>
    </row>
    <row r="7" spans="1:53" ht="9.9499999999999993" customHeight="1" x14ac:dyDescent="0.25">
      <c r="A7" s="12"/>
      <c r="B7" s="13"/>
      <c r="C7" s="14"/>
      <c r="D7" s="15"/>
      <c r="E7" s="16"/>
      <c r="F7" s="16"/>
      <c r="G7" s="16"/>
      <c r="H7" s="16"/>
      <c r="I7" s="16"/>
      <c r="AE7" s="8"/>
      <c r="AF7" s="8"/>
      <c r="AG7" s="8"/>
      <c r="AH7" s="7"/>
      <c r="AK7" s="8"/>
      <c r="AL7" s="8"/>
      <c r="AM7" s="8"/>
      <c r="AN7" s="7"/>
      <c r="AW7" s="8"/>
      <c r="AX7" s="8"/>
      <c r="AY7" s="8"/>
      <c r="AZ7" s="8"/>
    </row>
    <row r="8" spans="1:53" ht="17.100000000000001" customHeight="1" x14ac:dyDescent="0.25">
      <c r="D8" s="2"/>
      <c r="E8" s="2"/>
      <c r="F8" s="21"/>
      <c r="G8" s="21"/>
      <c r="H8" s="21"/>
      <c r="I8" s="138"/>
      <c r="J8" s="1384" t="s">
        <v>541</v>
      </c>
      <c r="K8" s="1385"/>
      <c r="L8" s="1385"/>
      <c r="M8" s="1386"/>
      <c r="N8" s="1384" t="s">
        <v>364</v>
      </c>
      <c r="O8" s="1385"/>
      <c r="P8" s="1386"/>
      <c r="Q8" s="1384" t="s">
        <v>365</v>
      </c>
      <c r="R8" s="1385"/>
      <c r="S8" s="1386"/>
      <c r="T8" s="1384" t="s">
        <v>366</v>
      </c>
      <c r="U8" s="1385"/>
      <c r="V8" s="1386"/>
      <c r="W8" s="1408" t="s">
        <v>4</v>
      </c>
      <c r="X8" s="1408"/>
      <c r="Y8" s="1408"/>
      <c r="AE8" s="1383" t="s">
        <v>731</v>
      </c>
      <c r="AF8" s="1383"/>
      <c r="AG8" s="1383"/>
      <c r="AH8" s="1383"/>
      <c r="AI8" s="1383"/>
      <c r="AJ8" s="1383"/>
      <c r="AK8" s="1383"/>
      <c r="AL8" s="1383"/>
      <c r="AM8" s="1383"/>
      <c r="AN8" s="1383"/>
      <c r="AO8" s="1383"/>
      <c r="AW8" s="8"/>
      <c r="AX8" s="8"/>
      <c r="AY8" s="8"/>
      <c r="AZ8" s="8"/>
    </row>
    <row r="9" spans="1:53" ht="17.100000000000001" customHeight="1" x14ac:dyDescent="0.25">
      <c r="D9" s="2"/>
      <c r="E9" s="2"/>
      <c r="F9" s="21"/>
      <c r="G9" s="21"/>
      <c r="H9" s="21"/>
      <c r="I9" s="138"/>
      <c r="J9" s="1384" t="s">
        <v>542</v>
      </c>
      <c r="K9" s="1385"/>
      <c r="L9" s="1385"/>
      <c r="M9" s="1386"/>
      <c r="N9" s="1387">
        <f>'STUDY VILLAGES'!C16</f>
        <v>0</v>
      </c>
      <c r="O9" s="1388"/>
      <c r="P9" s="1389"/>
      <c r="Q9" s="1387">
        <f>'STUDY VILLAGES'!F16</f>
        <v>0</v>
      </c>
      <c r="R9" s="1388"/>
      <c r="S9" s="1389"/>
      <c r="T9" s="1387">
        <f>'STUDY VILLAGES'!I16</f>
        <v>0</v>
      </c>
      <c r="U9" s="1388"/>
      <c r="V9" s="1389"/>
      <c r="W9" s="1408"/>
      <c r="X9" s="1408"/>
      <c r="Y9" s="1408"/>
      <c r="AE9" s="8"/>
      <c r="AF9" s="8"/>
      <c r="AG9" s="8"/>
      <c r="AH9" s="7"/>
      <c r="AK9" s="8"/>
      <c r="AL9" s="8"/>
      <c r="AM9" s="8"/>
      <c r="AN9" s="7"/>
      <c r="AW9" s="8"/>
      <c r="AX9" s="8"/>
      <c r="AY9" s="8"/>
      <c r="AZ9" s="8"/>
    </row>
    <row r="10" spans="1:53" ht="17.100000000000001" customHeight="1" x14ac:dyDescent="0.25">
      <c r="A10" s="21"/>
      <c r="B10" s="21"/>
      <c r="C10" s="21"/>
      <c r="D10" s="4"/>
      <c r="E10" s="4"/>
      <c r="G10" s="22"/>
      <c r="H10" s="22"/>
      <c r="I10" s="208"/>
      <c r="J10" s="334" t="s">
        <v>733</v>
      </c>
      <c r="K10" s="334" t="s">
        <v>734</v>
      </c>
      <c r="L10" s="334" t="s">
        <v>657</v>
      </c>
      <c r="M10" s="334" t="s">
        <v>320</v>
      </c>
      <c r="N10" s="334" t="s">
        <v>735</v>
      </c>
      <c r="O10" s="334" t="s">
        <v>657</v>
      </c>
      <c r="P10" s="334" t="s">
        <v>320</v>
      </c>
      <c r="Q10" s="334" t="s">
        <v>735</v>
      </c>
      <c r="R10" s="334" t="s">
        <v>657</v>
      </c>
      <c r="S10" s="334" t="s">
        <v>320</v>
      </c>
      <c r="T10" s="334" t="s">
        <v>735</v>
      </c>
      <c r="U10" s="334" t="s">
        <v>657</v>
      </c>
      <c r="V10" s="334" t="s">
        <v>320</v>
      </c>
      <c r="W10" s="375" t="s">
        <v>735</v>
      </c>
      <c r="X10" s="335" t="s">
        <v>657</v>
      </c>
      <c r="Y10" s="410" t="s">
        <v>4</v>
      </c>
      <c r="AE10" s="1400" t="s">
        <v>733</v>
      </c>
      <c r="AF10" s="1401"/>
      <c r="AG10" s="1401"/>
      <c r="AH10" s="1401"/>
      <c r="AI10" s="1402"/>
      <c r="AK10" s="1390" t="s">
        <v>734</v>
      </c>
      <c r="AL10" s="1391"/>
      <c r="AM10" s="1391"/>
      <c r="AN10" s="1391"/>
      <c r="AO10" s="1392"/>
      <c r="AQ10" s="1380" t="s">
        <v>732</v>
      </c>
      <c r="AR10" s="1381"/>
      <c r="AS10" s="1381"/>
      <c r="AT10" s="1381"/>
      <c r="AU10" s="1382"/>
      <c r="AW10" s="1405" t="s">
        <v>556</v>
      </c>
      <c r="AX10" s="1406"/>
      <c r="AY10" s="1406"/>
      <c r="AZ10" s="1406"/>
      <c r="BA10" s="1407"/>
    </row>
    <row r="11" spans="1:53" s="32" customFormat="1" ht="17.100000000000001" customHeight="1" thickBot="1" x14ac:dyDescent="0.3">
      <c r="A11" s="24">
        <v>0</v>
      </c>
      <c r="B11" s="25" t="s">
        <v>3</v>
      </c>
      <c r="C11" s="26"/>
      <c r="D11" s="27"/>
      <c r="E11" s="27"/>
      <c r="F11" s="27"/>
      <c r="G11" s="28"/>
      <c r="H11" s="310"/>
      <c r="I11" s="228"/>
      <c r="J11" s="29"/>
      <c r="K11" s="29"/>
      <c r="L11" s="29"/>
      <c r="M11" s="29"/>
      <c r="N11" s="29"/>
      <c r="O11" s="29"/>
      <c r="P11" s="29"/>
      <c r="Q11" s="29"/>
      <c r="R11" s="29"/>
      <c r="S11" s="29"/>
      <c r="T11" s="29"/>
      <c r="U11" s="29"/>
      <c r="V11" s="29"/>
      <c r="W11" s="29"/>
      <c r="X11" s="29"/>
      <c r="Y11" s="29"/>
      <c r="Z11" s="31" t="s">
        <v>5</v>
      </c>
      <c r="AA11" s="31" t="s">
        <v>181</v>
      </c>
      <c r="AB11" s="31" t="s">
        <v>182</v>
      </c>
      <c r="AC11" s="31" t="s">
        <v>6</v>
      </c>
      <c r="AE11" s="33" t="s">
        <v>181</v>
      </c>
      <c r="AF11" s="33" t="s">
        <v>182</v>
      </c>
      <c r="AG11" s="33" t="s">
        <v>6</v>
      </c>
      <c r="AH11" s="33" t="s">
        <v>4</v>
      </c>
      <c r="AI11" s="34" t="s">
        <v>5</v>
      </c>
      <c r="AJ11" s="35"/>
      <c r="AK11" s="36" t="s">
        <v>181</v>
      </c>
      <c r="AL11" s="36" t="s">
        <v>182</v>
      </c>
      <c r="AM11" s="36" t="s">
        <v>6</v>
      </c>
      <c r="AN11" s="36" t="s">
        <v>4</v>
      </c>
      <c r="AO11" s="37" t="s">
        <v>5</v>
      </c>
      <c r="AQ11" s="398" t="s">
        <v>181</v>
      </c>
      <c r="AR11" s="398" t="s">
        <v>182</v>
      </c>
      <c r="AS11" s="398" t="s">
        <v>6</v>
      </c>
      <c r="AT11" s="398" t="s">
        <v>4</v>
      </c>
      <c r="AU11" s="399" t="s">
        <v>5</v>
      </c>
      <c r="AW11" s="38" t="s">
        <v>181</v>
      </c>
      <c r="AX11" s="38" t="s">
        <v>182</v>
      </c>
      <c r="AY11" s="38" t="s">
        <v>6</v>
      </c>
      <c r="AZ11" s="38" t="s">
        <v>4</v>
      </c>
      <c r="BA11" s="39" t="s">
        <v>5</v>
      </c>
    </row>
    <row r="12" spans="1:53" ht="17.100000000000001" customHeight="1" x14ac:dyDescent="0.25">
      <c r="A12" s="47"/>
      <c r="B12" s="414">
        <v>0</v>
      </c>
      <c r="C12" s="42" t="s">
        <v>367</v>
      </c>
      <c r="D12" s="43"/>
      <c r="E12" s="269"/>
      <c r="F12" s="269"/>
      <c r="G12" s="270"/>
      <c r="H12" s="311">
        <v>1</v>
      </c>
      <c r="I12" s="229"/>
      <c r="J12" s="271"/>
      <c r="K12" s="271"/>
      <c r="L12" s="272"/>
      <c r="M12" s="272"/>
      <c r="N12" s="272"/>
      <c r="O12" s="272"/>
      <c r="P12" s="272"/>
      <c r="Q12" s="272"/>
      <c r="R12" s="272"/>
      <c r="S12" s="272"/>
      <c r="T12" s="272"/>
      <c r="U12" s="272"/>
      <c r="V12" s="272"/>
      <c r="W12" s="272"/>
      <c r="X12" s="272"/>
      <c r="Y12" s="272"/>
      <c r="Z12" s="51"/>
      <c r="AA12" s="51"/>
      <c r="AB12" s="51"/>
      <c r="AC12" s="51"/>
      <c r="AE12" s="52"/>
      <c r="AF12" s="52"/>
      <c r="AG12" s="53"/>
      <c r="AH12" s="54"/>
      <c r="AI12" s="51"/>
      <c r="AK12" s="52"/>
      <c r="AL12" s="52"/>
      <c r="AM12" s="53"/>
      <c r="AN12" s="54"/>
      <c r="AO12" s="51"/>
      <c r="AQ12" s="52"/>
      <c r="AR12" s="52"/>
      <c r="AS12" s="52"/>
      <c r="AT12" s="53"/>
      <c r="AU12" s="54"/>
      <c r="AW12" s="52"/>
      <c r="AX12" s="52"/>
      <c r="AY12" s="53"/>
      <c r="AZ12" s="54"/>
      <c r="BA12" s="51"/>
    </row>
    <row r="13" spans="1:53" ht="17.100000000000001" customHeight="1" x14ac:dyDescent="0.25">
      <c r="A13" s="47"/>
      <c r="B13" s="55"/>
      <c r="C13" s="56" t="s">
        <v>626</v>
      </c>
      <c r="D13" s="57" t="s">
        <v>368</v>
      </c>
      <c r="E13" s="58"/>
      <c r="F13" s="58"/>
      <c r="G13" s="59"/>
      <c r="H13" s="1318"/>
      <c r="I13" s="229"/>
      <c r="J13" s="581"/>
      <c r="K13" s="581"/>
      <c r="L13" s="582"/>
      <c r="M13" s="17">
        <f>SUM(J13:L13)</f>
        <v>0</v>
      </c>
      <c r="N13" s="111"/>
      <c r="O13" s="111"/>
      <c r="P13" s="111"/>
      <c r="Q13" s="111"/>
      <c r="R13" s="111"/>
      <c r="S13" s="111"/>
      <c r="T13" s="111"/>
      <c r="U13" s="111"/>
      <c r="V13" s="111"/>
      <c r="W13" s="391">
        <f>J13+K13+N13+Q13+T13</f>
        <v>0</v>
      </c>
      <c r="X13" s="17">
        <f>L13+O13+R13+U13</f>
        <v>0</v>
      </c>
      <c r="Y13" s="18">
        <f>SUM(W13:X13)</f>
        <v>0</v>
      </c>
      <c r="Z13" s="19">
        <f>IF(Y$15=0,0,Y13/Y$15)</f>
        <v>0</v>
      </c>
      <c r="AA13" s="411"/>
      <c r="AB13" s="411"/>
      <c r="AC13" s="45"/>
      <c r="AE13" s="17"/>
      <c r="AF13" s="17"/>
      <c r="AG13" s="17"/>
      <c r="AH13" s="18">
        <f>J13</f>
        <v>0</v>
      </c>
      <c r="AI13" s="19">
        <f>IF(AH$15=0,0,AH13/AH$15)</f>
        <v>0</v>
      </c>
      <c r="AK13" s="17"/>
      <c r="AL13" s="17"/>
      <c r="AM13" s="17"/>
      <c r="AN13" s="18">
        <f>K13</f>
        <v>0</v>
      </c>
      <c r="AO13" s="19">
        <f>IF(AN$15=0,0,AN13/AN$15)</f>
        <v>0</v>
      </c>
      <c r="AQ13" s="17"/>
      <c r="AR13" s="17"/>
      <c r="AS13" s="17"/>
      <c r="AT13" s="18">
        <f>W13</f>
        <v>0</v>
      </c>
      <c r="AU13" s="19">
        <f>IF(AT$15=0,0,AT13/AT$15)</f>
        <v>0</v>
      </c>
      <c r="AW13" s="17"/>
      <c r="AX13" s="17"/>
      <c r="AY13" s="17"/>
      <c r="AZ13" s="424">
        <f>X13</f>
        <v>0</v>
      </c>
      <c r="BA13" s="19">
        <f>IF(AZ$15=0,0,AZ13/AZ$15)</f>
        <v>0</v>
      </c>
    </row>
    <row r="14" spans="1:53" ht="17.100000000000001" customHeight="1" x14ac:dyDescent="0.25">
      <c r="A14" s="47"/>
      <c r="B14" s="55"/>
      <c r="C14" s="56" t="s">
        <v>627</v>
      </c>
      <c r="D14" s="57" t="s">
        <v>369</v>
      </c>
      <c r="E14" s="58"/>
      <c r="F14" s="58"/>
      <c r="G14" s="59"/>
      <c r="H14" s="1318"/>
      <c r="I14" s="229"/>
      <c r="J14" s="583"/>
      <c r="K14" s="583"/>
      <c r="L14" s="584"/>
      <c r="M14" s="17">
        <f>SUM(J14:L14)</f>
        <v>0</v>
      </c>
      <c r="N14" s="111"/>
      <c r="O14" s="111"/>
      <c r="P14" s="111"/>
      <c r="Q14" s="111"/>
      <c r="R14" s="111"/>
      <c r="S14" s="111"/>
      <c r="T14" s="111"/>
      <c r="U14" s="111"/>
      <c r="V14" s="111"/>
      <c r="W14" s="391">
        <f>J14+K14+N14+Q14+T14</f>
        <v>0</v>
      </c>
      <c r="X14" s="17">
        <f>L14+O14+R14+U14</f>
        <v>0</v>
      </c>
      <c r="Y14" s="18">
        <f>SUM(W14:X14)</f>
        <v>0</v>
      </c>
      <c r="Z14" s="19">
        <f>IF(Y$15=0,0,Y14/Y$15)</f>
        <v>0</v>
      </c>
      <c r="AA14" s="411"/>
      <c r="AB14" s="411"/>
      <c r="AC14" s="45"/>
      <c r="AE14" s="17"/>
      <c r="AF14" s="17"/>
      <c r="AG14" s="17"/>
      <c r="AH14" s="18">
        <f>J14</f>
        <v>0</v>
      </c>
      <c r="AI14" s="19">
        <f>IF(AH$15=0,0,AH14/AH$15)</f>
        <v>0</v>
      </c>
      <c r="AK14" s="17"/>
      <c r="AL14" s="17"/>
      <c r="AM14" s="17"/>
      <c r="AN14" s="18">
        <f>K14</f>
        <v>0</v>
      </c>
      <c r="AO14" s="19">
        <f>IF(AN$15=0,0,AN14/AN$15)</f>
        <v>0</v>
      </c>
      <c r="AQ14" s="17"/>
      <c r="AR14" s="17"/>
      <c r="AS14" s="17"/>
      <c r="AT14" s="18">
        <f>W14</f>
        <v>0</v>
      </c>
      <c r="AU14" s="19">
        <f>IF(AT$15=0,0,AT14/AT$15)</f>
        <v>0</v>
      </c>
      <c r="AW14" s="17"/>
      <c r="AX14" s="17"/>
      <c r="AY14" s="17"/>
      <c r="AZ14" s="424">
        <f>X14</f>
        <v>0</v>
      </c>
      <c r="BA14" s="19">
        <f>IF(AZ$15=0,0,AZ14/AZ$15)</f>
        <v>0</v>
      </c>
    </row>
    <row r="15" spans="1:53" ht="17.100000000000001" customHeight="1" x14ac:dyDescent="0.25">
      <c r="A15" s="47"/>
      <c r="B15" s="47"/>
      <c r="C15" s="252"/>
      <c r="D15" s="62"/>
      <c r="E15" s="62"/>
      <c r="F15" s="62"/>
      <c r="G15" s="63"/>
      <c r="H15" s="647"/>
      <c r="I15" s="229"/>
      <c r="J15" s="64">
        <f>SUM(J13:J14)</f>
        <v>0</v>
      </c>
      <c r="K15" s="64">
        <f t="shared" ref="K15:M15" si="0">SUM(K13:K14)</f>
        <v>0</v>
      </c>
      <c r="L15" s="64">
        <f t="shared" si="0"/>
        <v>0</v>
      </c>
      <c r="M15" s="64">
        <f t="shared" si="0"/>
        <v>0</v>
      </c>
      <c r="N15" s="637"/>
      <c r="O15" s="637"/>
      <c r="P15" s="637"/>
      <c r="Q15" s="637"/>
      <c r="R15" s="637"/>
      <c r="S15" s="637"/>
      <c r="T15" s="637"/>
      <c r="U15" s="637"/>
      <c r="V15" s="637"/>
      <c r="W15" s="381">
        <f>SUM(W13:W14)</f>
        <v>0</v>
      </c>
      <c r="X15" s="82">
        <f t="shared" ref="X15:Y15" si="1">SUM(X13:X14)</f>
        <v>0</v>
      </c>
      <c r="Y15" s="82">
        <f t="shared" si="1"/>
        <v>0</v>
      </c>
      <c r="Z15" s="205">
        <f>IF(Y$15=0,0,Y15/Y$15)</f>
        <v>0</v>
      </c>
      <c r="AA15" s="412"/>
      <c r="AB15" s="412"/>
      <c r="AC15" s="67"/>
      <c r="AE15" s="67"/>
      <c r="AF15" s="67"/>
      <c r="AG15" s="67"/>
      <c r="AH15" s="65">
        <f>SUM(AH13:AH14)</f>
        <v>0</v>
      </c>
      <c r="AI15" s="66">
        <f>IF(AH$15=0,0,AH15/AH$15)</f>
        <v>0</v>
      </c>
      <c r="AK15" s="67"/>
      <c r="AL15" s="67"/>
      <c r="AM15" s="67"/>
      <c r="AN15" s="65">
        <f>SUM(AN13:AN14)</f>
        <v>0</v>
      </c>
      <c r="AO15" s="66">
        <f>IF(AN$15=0,0,AN15/AN$15)</f>
        <v>0</v>
      </c>
      <c r="AQ15" s="67"/>
      <c r="AR15" s="67"/>
      <c r="AS15" s="67"/>
      <c r="AT15" s="65">
        <f>SUM(AT13:AT14)</f>
        <v>0</v>
      </c>
      <c r="AU15" s="66">
        <f>IF(AT$15=0,0,AT15/AT$15)</f>
        <v>0</v>
      </c>
      <c r="AW15" s="67"/>
      <c r="AX15" s="67"/>
      <c r="AY15" s="67"/>
      <c r="AZ15" s="65">
        <f>SUM(AZ13:AZ14)</f>
        <v>0</v>
      </c>
      <c r="BA15" s="66">
        <f>IF(AZ$15=0,0,AZ15/AZ$15)</f>
        <v>0</v>
      </c>
    </row>
    <row r="16" spans="1:53" s="117" customFormat="1" ht="17.100000000000001" customHeight="1" x14ac:dyDescent="0.25">
      <c r="A16" s="186"/>
      <c r="B16" s="253"/>
      <c r="C16" s="254"/>
      <c r="D16" s="255"/>
      <c r="E16" s="93"/>
      <c r="F16" s="93"/>
      <c r="G16" s="209"/>
      <c r="H16" s="647"/>
      <c r="I16" s="12"/>
      <c r="J16" s="198"/>
      <c r="K16" s="638"/>
      <c r="L16" s="425"/>
      <c r="M16" s="425"/>
      <c r="N16" s="425"/>
      <c r="O16" s="425"/>
      <c r="P16" s="425"/>
      <c r="Q16" s="425"/>
      <c r="R16" s="425"/>
      <c r="S16" s="425"/>
      <c r="T16" s="425"/>
      <c r="U16" s="425"/>
      <c r="V16" s="425"/>
      <c r="W16" s="395">
        <f>IF($Y$15=0,0,W15/$Y$15)</f>
        <v>0</v>
      </c>
      <c r="X16" s="91">
        <f>IF($Y$15=0,0,X15/$Y$15)</f>
        <v>0</v>
      </c>
      <c r="Y16" s="91">
        <f>IF($Y$15=0,0,Y15/$Y$15)</f>
        <v>0</v>
      </c>
      <c r="Z16" s="201"/>
      <c r="AA16" s="413"/>
      <c r="AB16" s="413"/>
      <c r="AC16" s="256"/>
      <c r="AE16" s="256"/>
      <c r="AF16" s="256"/>
      <c r="AG16" s="256"/>
      <c r="AH16" s="257"/>
      <c r="AI16" s="91"/>
      <c r="AK16" s="256"/>
      <c r="AL16" s="256"/>
      <c r="AM16" s="256"/>
      <c r="AN16" s="257"/>
      <c r="AO16" s="91"/>
      <c r="AQ16" s="256"/>
      <c r="AR16" s="256"/>
      <c r="AS16" s="256"/>
      <c r="AT16" s="257"/>
      <c r="AU16" s="91"/>
      <c r="AW16" s="256"/>
      <c r="AX16" s="256"/>
      <c r="AY16" s="256"/>
      <c r="AZ16" s="425"/>
      <c r="BA16" s="91"/>
    </row>
    <row r="17" spans="1:53" ht="17.100000000000001" customHeight="1" x14ac:dyDescent="0.25">
      <c r="A17" s="40"/>
      <c r="B17" s="41">
        <v>0.1</v>
      </c>
      <c r="C17" s="42" t="s">
        <v>628</v>
      </c>
      <c r="D17" s="43"/>
      <c r="E17" s="43"/>
      <c r="F17" s="43"/>
      <c r="G17" s="44"/>
      <c r="H17" s="219"/>
      <c r="I17" s="229"/>
      <c r="J17" s="586"/>
      <c r="K17" s="586"/>
      <c r="L17" s="71"/>
      <c r="M17" s="71"/>
      <c r="N17" s="71"/>
      <c r="O17" s="71"/>
      <c r="P17" s="71"/>
      <c r="Q17" s="71"/>
      <c r="R17" s="71"/>
      <c r="S17" s="71"/>
      <c r="T17" s="71"/>
      <c r="U17" s="71"/>
      <c r="V17" s="355"/>
      <c r="W17" s="377"/>
      <c r="X17" s="71"/>
      <c r="Y17" s="72"/>
      <c r="Z17" s="73"/>
      <c r="AA17" s="73"/>
      <c r="AB17" s="73"/>
      <c r="AC17" s="73"/>
      <c r="AE17" s="52"/>
      <c r="AF17" s="52"/>
      <c r="AG17" s="52"/>
      <c r="AH17" s="53"/>
      <c r="AI17" s="54"/>
      <c r="AJ17" s="117"/>
      <c r="AK17" s="52"/>
      <c r="AL17" s="52"/>
      <c r="AM17" s="52"/>
      <c r="AN17" s="53"/>
      <c r="AO17" s="54"/>
      <c r="AP17" s="117"/>
      <c r="AQ17" s="52"/>
      <c r="AR17" s="52"/>
      <c r="AS17" s="52"/>
      <c r="AT17" s="53"/>
      <c r="AU17" s="54"/>
      <c r="AV17" s="117"/>
      <c r="AW17" s="52"/>
      <c r="AX17" s="52"/>
      <c r="AY17" s="52"/>
      <c r="AZ17" s="272"/>
      <c r="BA17" s="54"/>
    </row>
    <row r="18" spans="1:53" ht="17.100000000000001" customHeight="1" x14ac:dyDescent="0.25">
      <c r="A18" s="47"/>
      <c r="B18" s="55"/>
      <c r="C18" s="56" t="s">
        <v>371</v>
      </c>
      <c r="D18" s="120" t="s">
        <v>629</v>
      </c>
      <c r="E18" s="58"/>
      <c r="F18" s="58"/>
      <c r="G18" s="59"/>
      <c r="H18" s="216"/>
      <c r="I18" s="229"/>
      <c r="J18" s="174"/>
      <c r="K18" s="174"/>
      <c r="L18" s="111"/>
      <c r="M18" s="111"/>
      <c r="N18" s="60"/>
      <c r="O18" s="60"/>
      <c r="P18" s="17">
        <f>SUM(N18:O18)</f>
        <v>0</v>
      </c>
      <c r="Q18" s="60"/>
      <c r="R18" s="60"/>
      <c r="S18" s="17">
        <f>SUM(Q18:R18)</f>
        <v>0</v>
      </c>
      <c r="T18" s="60"/>
      <c r="U18" s="60"/>
      <c r="V18" s="359">
        <f>SUM(T18:U18)</f>
        <v>0</v>
      </c>
      <c r="W18" s="391">
        <f t="shared" ref="W18:W19" si="2">J18+K18+N18+Q18+T18</f>
        <v>0</v>
      </c>
      <c r="X18" s="17">
        <f t="shared" ref="X18:X19" si="3">L18+O18+R18+U18</f>
        <v>0</v>
      </c>
      <c r="Y18" s="18">
        <f>SUM(W18:X18)</f>
        <v>0</v>
      </c>
      <c r="Z18" s="19">
        <f>IF(Y$20=0,0,Y18/Y$20)</f>
        <v>0</v>
      </c>
      <c r="AA18" s="19"/>
      <c r="AB18" s="19"/>
      <c r="AC18" s="20"/>
      <c r="AE18" s="111"/>
      <c r="AF18" s="111"/>
      <c r="AG18" s="111"/>
      <c r="AH18" s="651"/>
      <c r="AI18" s="131"/>
      <c r="AJ18" s="117"/>
      <c r="AK18" s="111"/>
      <c r="AL18" s="111"/>
      <c r="AM18" s="111"/>
      <c r="AN18" s="651"/>
      <c r="AO18" s="131"/>
      <c r="AP18" s="117"/>
      <c r="AQ18" s="17"/>
      <c r="AR18" s="17"/>
      <c r="AS18" s="17"/>
      <c r="AT18" s="18">
        <f>W18</f>
        <v>0</v>
      </c>
      <c r="AU18" s="19">
        <f>IF(AT$20=0,0,AT18/AT$20)</f>
        <v>0</v>
      </c>
      <c r="AV18" s="117"/>
      <c r="AW18" s="17"/>
      <c r="AX18" s="17"/>
      <c r="AY18" s="17"/>
      <c r="AZ18" s="424">
        <f>X18</f>
        <v>0</v>
      </c>
      <c r="BA18" s="19">
        <f>IF(AZ$20=0,0,AZ18/AZ$20)</f>
        <v>0</v>
      </c>
    </row>
    <row r="19" spans="1:53" ht="17.100000000000001" customHeight="1" x14ac:dyDescent="0.25">
      <c r="A19" s="47"/>
      <c r="B19" s="55"/>
      <c r="C19" s="56" t="s">
        <v>372</v>
      </c>
      <c r="D19" s="120" t="s">
        <v>630</v>
      </c>
      <c r="E19" s="58"/>
      <c r="F19" s="58"/>
      <c r="G19" s="59"/>
      <c r="H19" s="216"/>
      <c r="I19" s="229"/>
      <c r="J19" s="174"/>
      <c r="K19" s="174"/>
      <c r="L19" s="111"/>
      <c r="M19" s="111"/>
      <c r="N19" s="61"/>
      <c r="O19" s="61"/>
      <c r="P19" s="17">
        <f>SUM(N19:O19)</f>
        <v>0</v>
      </c>
      <c r="Q19" s="61"/>
      <c r="R19" s="61"/>
      <c r="S19" s="17">
        <f>SUM(Q19:R19)</f>
        <v>0</v>
      </c>
      <c r="T19" s="61"/>
      <c r="U19" s="61"/>
      <c r="V19" s="359">
        <f>SUM(T19:U19)</f>
        <v>0</v>
      </c>
      <c r="W19" s="391">
        <f t="shared" si="2"/>
        <v>0</v>
      </c>
      <c r="X19" s="17">
        <f t="shared" si="3"/>
        <v>0</v>
      </c>
      <c r="Y19" s="18">
        <f>SUM(W19:X19)</f>
        <v>0</v>
      </c>
      <c r="Z19" s="19">
        <f t="shared" ref="Z19:Z20" si="4">IF(Y$20=0,0,Y19/Y$20)</f>
        <v>0</v>
      </c>
      <c r="AA19" s="19"/>
      <c r="AB19" s="19"/>
      <c r="AC19" s="20"/>
      <c r="AE19" s="111"/>
      <c r="AF19" s="111"/>
      <c r="AG19" s="111"/>
      <c r="AH19" s="651"/>
      <c r="AI19" s="131"/>
      <c r="AJ19" s="117"/>
      <c r="AK19" s="111"/>
      <c r="AL19" s="111"/>
      <c r="AM19" s="111"/>
      <c r="AN19" s="651"/>
      <c r="AO19" s="131"/>
      <c r="AP19" s="117"/>
      <c r="AQ19" s="17"/>
      <c r="AR19" s="17"/>
      <c r="AS19" s="17"/>
      <c r="AT19" s="18">
        <f>W19</f>
        <v>0</v>
      </c>
      <c r="AU19" s="19">
        <f t="shared" ref="AU19:AU20" si="5">IF(AT$20=0,0,AT19/AT$20)</f>
        <v>0</v>
      </c>
      <c r="AV19" s="117"/>
      <c r="AW19" s="17"/>
      <c r="AX19" s="17"/>
      <c r="AY19" s="17"/>
      <c r="AZ19" s="424">
        <f>X19</f>
        <v>0</v>
      </c>
      <c r="BA19" s="19">
        <f t="shared" ref="BA19:BA20" si="6">IF(AZ$20=0,0,AZ19/AZ$20)</f>
        <v>0</v>
      </c>
    </row>
    <row r="20" spans="1:53" ht="17.100000000000001" customHeight="1" x14ac:dyDescent="0.25">
      <c r="A20" s="47"/>
      <c r="B20" s="47"/>
      <c r="C20" s="252"/>
      <c r="D20" s="62"/>
      <c r="E20" s="62"/>
      <c r="F20" s="62"/>
      <c r="G20" s="63"/>
      <c r="H20" s="216"/>
      <c r="I20" s="229"/>
      <c r="J20" s="64"/>
      <c r="K20" s="64"/>
      <c r="L20" s="64"/>
      <c r="M20" s="64"/>
      <c r="N20" s="64">
        <f>SUM(N18:N19)</f>
        <v>0</v>
      </c>
      <c r="O20" s="64">
        <f t="shared" ref="O20:V20" si="7">SUM(O18:O19)</f>
        <v>0</v>
      </c>
      <c r="P20" s="64">
        <f t="shared" si="7"/>
        <v>0</v>
      </c>
      <c r="Q20" s="64">
        <f t="shared" si="7"/>
        <v>0</v>
      </c>
      <c r="R20" s="64">
        <f t="shared" si="7"/>
        <v>0</v>
      </c>
      <c r="S20" s="64">
        <f t="shared" si="7"/>
        <v>0</v>
      </c>
      <c r="T20" s="64">
        <f t="shared" si="7"/>
        <v>0</v>
      </c>
      <c r="U20" s="64">
        <f t="shared" si="7"/>
        <v>0</v>
      </c>
      <c r="V20" s="64">
        <f t="shared" si="7"/>
        <v>0</v>
      </c>
      <c r="W20" s="381">
        <f>SUM(W18:W19)</f>
        <v>0</v>
      </c>
      <c r="X20" s="82">
        <f t="shared" ref="X20:Y20" si="8">SUM(X18:X19)</f>
        <v>0</v>
      </c>
      <c r="Y20" s="82">
        <f t="shared" si="8"/>
        <v>0</v>
      </c>
      <c r="Z20" s="205">
        <f t="shared" si="4"/>
        <v>0</v>
      </c>
      <c r="AA20" s="205"/>
      <c r="AB20" s="205"/>
      <c r="AC20" s="83"/>
      <c r="AE20" s="67"/>
      <c r="AF20" s="67"/>
      <c r="AG20" s="67"/>
      <c r="AH20" s="65"/>
      <c r="AI20" s="66"/>
      <c r="AJ20" s="117"/>
      <c r="AK20" s="67"/>
      <c r="AL20" s="67"/>
      <c r="AM20" s="67"/>
      <c r="AN20" s="65"/>
      <c r="AO20" s="66"/>
      <c r="AP20" s="117"/>
      <c r="AQ20" s="67"/>
      <c r="AR20" s="67"/>
      <c r="AS20" s="67"/>
      <c r="AT20" s="65">
        <f>SUM(AT18:AT19)</f>
        <v>0</v>
      </c>
      <c r="AU20" s="66">
        <f t="shared" si="5"/>
        <v>0</v>
      </c>
      <c r="AV20" s="117"/>
      <c r="AW20" s="67"/>
      <c r="AX20" s="67"/>
      <c r="AY20" s="67"/>
      <c r="AZ20" s="65">
        <f>SUM(AZ18:AZ19)</f>
        <v>0</v>
      </c>
      <c r="BA20" s="66">
        <f t="shared" si="6"/>
        <v>0</v>
      </c>
    </row>
    <row r="21" spans="1:53" s="117" customFormat="1" ht="17.100000000000001" customHeight="1" x14ac:dyDescent="0.25">
      <c r="A21" s="186"/>
      <c r="B21" s="253"/>
      <c r="C21" s="254"/>
      <c r="D21" s="93"/>
      <c r="E21" s="93"/>
      <c r="F21" s="93"/>
      <c r="G21" s="209"/>
      <c r="H21" s="647"/>
      <c r="I21" s="12"/>
      <c r="J21" s="198"/>
      <c r="K21" s="638"/>
      <c r="L21" s="425"/>
      <c r="M21" s="425"/>
      <c r="N21" s="425"/>
      <c r="O21" s="425"/>
      <c r="P21" s="425"/>
      <c r="Q21" s="425"/>
      <c r="R21" s="425"/>
      <c r="S21" s="425"/>
      <c r="T21" s="425"/>
      <c r="U21" s="425"/>
      <c r="V21" s="425"/>
      <c r="W21" s="639"/>
      <c r="X21" s="91"/>
      <c r="Y21" s="91"/>
      <c r="Z21" s="201"/>
      <c r="AA21" s="413"/>
      <c r="AB21" s="413"/>
      <c r="AC21" s="256"/>
      <c r="AE21" s="256"/>
      <c r="AF21" s="256"/>
      <c r="AG21" s="256"/>
      <c r="AH21" s="257"/>
      <c r="AI21" s="91"/>
      <c r="AK21" s="256"/>
      <c r="AL21" s="256"/>
      <c r="AM21" s="256"/>
      <c r="AN21" s="257"/>
      <c r="AO21" s="91"/>
      <c r="AQ21" s="256"/>
      <c r="AR21" s="256"/>
      <c r="AS21" s="256"/>
      <c r="AT21" s="257"/>
      <c r="AU21" s="91"/>
      <c r="AW21" s="256"/>
      <c r="AX21" s="256"/>
      <c r="AY21" s="256"/>
      <c r="AZ21" s="425"/>
      <c r="BA21" s="91"/>
    </row>
    <row r="22" spans="1:53" ht="17.100000000000001" customHeight="1" x14ac:dyDescent="0.25">
      <c r="A22" s="40"/>
      <c r="B22" s="41">
        <v>0.2</v>
      </c>
      <c r="C22" s="69" t="s">
        <v>370</v>
      </c>
      <c r="D22" s="50"/>
      <c r="E22" s="43"/>
      <c r="F22" s="43"/>
      <c r="G22" s="44"/>
      <c r="H22" s="640">
        <v>5</v>
      </c>
      <c r="I22" s="229"/>
      <c r="J22" s="71"/>
      <c r="K22" s="71"/>
      <c r="L22" s="71"/>
      <c r="M22" s="71"/>
      <c r="N22" s="71"/>
      <c r="O22" s="71"/>
      <c r="P22" s="71"/>
      <c r="Q22" s="71"/>
      <c r="R22" s="71"/>
      <c r="S22" s="71"/>
      <c r="T22" s="71"/>
      <c r="U22" s="71"/>
      <c r="V22" s="71"/>
      <c r="W22" s="71"/>
      <c r="X22" s="71"/>
      <c r="Y22" s="71"/>
      <c r="Z22" s="73"/>
      <c r="AA22" s="73"/>
      <c r="AB22" s="73"/>
      <c r="AC22" s="73"/>
      <c r="AE22" s="71"/>
      <c r="AF22" s="71"/>
      <c r="AG22" s="71"/>
      <c r="AH22" s="72"/>
      <c r="AI22" s="73"/>
      <c r="AK22" s="71"/>
      <c r="AL22" s="71"/>
      <c r="AM22" s="71"/>
      <c r="AN22" s="72"/>
      <c r="AO22" s="73"/>
      <c r="AQ22" s="71"/>
      <c r="AR22" s="71"/>
      <c r="AS22" s="71"/>
      <c r="AT22" s="72"/>
      <c r="AU22" s="73"/>
      <c r="AW22" s="71"/>
      <c r="AX22" s="71"/>
      <c r="AY22" s="71"/>
      <c r="AZ22" s="273"/>
      <c r="BA22" s="73"/>
    </row>
    <row r="23" spans="1:53" ht="17.100000000000001" customHeight="1" x14ac:dyDescent="0.25">
      <c r="A23" s="40"/>
      <c r="B23" s="40"/>
      <c r="C23" s="74" t="s">
        <v>7</v>
      </c>
      <c r="D23" s="649" t="s">
        <v>9</v>
      </c>
      <c r="E23" s="75"/>
      <c r="F23" s="75"/>
      <c r="G23" s="76"/>
      <c r="H23" s="1318"/>
      <c r="I23" s="229"/>
      <c r="J23" s="581"/>
      <c r="K23" s="581"/>
      <c r="L23" s="582"/>
      <c r="M23" s="17">
        <f t="shared" ref="M23:M25" si="9">SUM(J23:L23)</f>
        <v>0</v>
      </c>
      <c r="N23" s="111"/>
      <c r="O23" s="111"/>
      <c r="P23" s="111"/>
      <c r="Q23" s="111"/>
      <c r="R23" s="111"/>
      <c r="S23" s="111"/>
      <c r="T23" s="111"/>
      <c r="U23" s="111"/>
      <c r="V23" s="111"/>
      <c r="W23" s="391">
        <f t="shared" ref="W23:W25" si="10">J23+K23+N23+Q23+T23</f>
        <v>0</v>
      </c>
      <c r="X23" s="17">
        <f t="shared" ref="X23:X25" si="11">L23+O23+R23+U23</f>
        <v>0</v>
      </c>
      <c r="Y23" s="18">
        <f>SUM(W23:X23)</f>
        <v>0</v>
      </c>
      <c r="Z23" s="19">
        <f>IF(Y$26=0,0,Y23/Y$26)</f>
        <v>0</v>
      </c>
      <c r="AA23" s="411"/>
      <c r="AB23" s="411"/>
      <c r="AC23" s="45"/>
      <c r="AE23" s="17"/>
      <c r="AF23" s="17"/>
      <c r="AG23" s="17"/>
      <c r="AH23" s="18">
        <f>J23</f>
        <v>0</v>
      </c>
      <c r="AI23" s="19">
        <f>IF(AH$26=0,0,AH23/AH$26)</f>
        <v>0</v>
      </c>
      <c r="AK23" s="17"/>
      <c r="AL23" s="17"/>
      <c r="AM23" s="17"/>
      <c r="AN23" s="18">
        <f>K23</f>
        <v>0</v>
      </c>
      <c r="AO23" s="19">
        <f>IF(AN$26=0,0,AN23/AN$26)</f>
        <v>0</v>
      </c>
      <c r="AQ23" s="17"/>
      <c r="AR23" s="17"/>
      <c r="AS23" s="17"/>
      <c r="AT23" s="18">
        <f>W23</f>
        <v>0</v>
      </c>
      <c r="AU23" s="19">
        <f>IF(AT$26=0,0,AT23/AT$26)</f>
        <v>0</v>
      </c>
      <c r="AW23" s="17"/>
      <c r="AX23" s="17"/>
      <c r="AY23" s="17"/>
      <c r="AZ23" s="424">
        <f>X23</f>
        <v>0</v>
      </c>
      <c r="BA23" s="19">
        <f>IF(AZ$26=0,0,AZ23/AZ$26)</f>
        <v>0</v>
      </c>
    </row>
    <row r="24" spans="1:53" ht="17.100000000000001" customHeight="1" x14ac:dyDescent="0.25">
      <c r="A24" s="40"/>
      <c r="B24" s="40"/>
      <c r="C24" s="74" t="s">
        <v>8</v>
      </c>
      <c r="D24" s="649" t="s">
        <v>10</v>
      </c>
      <c r="E24" s="75"/>
      <c r="F24" s="75"/>
      <c r="G24" s="76"/>
      <c r="H24" s="647"/>
      <c r="I24" s="229"/>
      <c r="J24" s="583"/>
      <c r="K24" s="583"/>
      <c r="L24" s="584"/>
      <c r="M24" s="17">
        <f t="shared" si="9"/>
        <v>0</v>
      </c>
      <c r="N24" s="111"/>
      <c r="O24" s="111"/>
      <c r="P24" s="111"/>
      <c r="Q24" s="111"/>
      <c r="R24" s="111"/>
      <c r="S24" s="111"/>
      <c r="T24" s="111"/>
      <c r="U24" s="111"/>
      <c r="V24" s="111"/>
      <c r="W24" s="391">
        <f t="shared" si="10"/>
        <v>0</v>
      </c>
      <c r="X24" s="17">
        <f t="shared" si="11"/>
        <v>0</v>
      </c>
      <c r="Y24" s="18">
        <f>SUM(W24:X24)</f>
        <v>0</v>
      </c>
      <c r="Z24" s="19">
        <f t="shared" ref="Z24:Z25" si="12">IF(Y$26=0,0,Y24/Y$26)</f>
        <v>0</v>
      </c>
      <c r="AA24" s="411"/>
      <c r="AB24" s="411"/>
      <c r="AC24" s="45"/>
      <c r="AE24" s="17"/>
      <c r="AF24" s="17"/>
      <c r="AG24" s="17"/>
      <c r="AH24" s="18">
        <f t="shared" ref="AH24:AH25" si="13">J24</f>
        <v>0</v>
      </c>
      <c r="AI24" s="19">
        <f>IF(AH$26=0,0,AH24/AH$26)</f>
        <v>0</v>
      </c>
      <c r="AK24" s="17"/>
      <c r="AL24" s="17"/>
      <c r="AM24" s="17"/>
      <c r="AN24" s="18">
        <f t="shared" ref="AN24:AN25" si="14">K24</f>
        <v>0</v>
      </c>
      <c r="AO24" s="19">
        <f>IF(AN$26=0,0,AN24/AN$26)</f>
        <v>0</v>
      </c>
      <c r="AQ24" s="17"/>
      <c r="AR24" s="17"/>
      <c r="AS24" s="17"/>
      <c r="AT24" s="18">
        <f t="shared" ref="AT24:AT25" si="15">W24</f>
        <v>0</v>
      </c>
      <c r="AU24" s="19">
        <f t="shared" ref="AU24:AU26" si="16">IF(AT$26=0,0,AT24/AT$26)</f>
        <v>0</v>
      </c>
      <c r="AW24" s="17"/>
      <c r="AX24" s="17"/>
      <c r="AY24" s="17"/>
      <c r="AZ24" s="424">
        <f t="shared" ref="AZ24:AZ25" si="17">X24</f>
        <v>0</v>
      </c>
      <c r="BA24" s="19">
        <f>IF(AZ$26=0,0,AZ24/AZ$26)</f>
        <v>0</v>
      </c>
    </row>
    <row r="25" spans="1:53" ht="17.100000000000001" customHeight="1" x14ac:dyDescent="0.25">
      <c r="A25" s="40"/>
      <c r="B25" s="40"/>
      <c r="C25" s="74" t="s">
        <v>531</v>
      </c>
      <c r="D25" s="649" t="s">
        <v>530</v>
      </c>
      <c r="E25" s="75"/>
      <c r="F25" s="75"/>
      <c r="G25" s="76"/>
      <c r="H25" s="647"/>
      <c r="I25" s="229"/>
      <c r="J25" s="581"/>
      <c r="K25" s="581"/>
      <c r="L25" s="582"/>
      <c r="M25" s="17">
        <f t="shared" si="9"/>
        <v>0</v>
      </c>
      <c r="N25" s="111"/>
      <c r="O25" s="111"/>
      <c r="P25" s="111"/>
      <c r="Q25" s="111"/>
      <c r="R25" s="111"/>
      <c r="S25" s="111"/>
      <c r="T25" s="111"/>
      <c r="U25" s="111"/>
      <c r="V25" s="111"/>
      <c r="W25" s="391">
        <f t="shared" si="10"/>
        <v>0</v>
      </c>
      <c r="X25" s="17">
        <f t="shared" si="11"/>
        <v>0</v>
      </c>
      <c r="Y25" s="18">
        <f>SUM(W25:X25)</f>
        <v>0</v>
      </c>
      <c r="Z25" s="19">
        <f t="shared" si="12"/>
        <v>0</v>
      </c>
      <c r="AA25" s="411"/>
      <c r="AB25" s="411"/>
      <c r="AC25" s="45"/>
      <c r="AE25" s="17"/>
      <c r="AF25" s="17"/>
      <c r="AG25" s="17"/>
      <c r="AH25" s="18">
        <f t="shared" si="13"/>
        <v>0</v>
      </c>
      <c r="AI25" s="19">
        <f>IF(AH$26=0,0,AH25/AH$26)</f>
        <v>0</v>
      </c>
      <c r="AK25" s="17"/>
      <c r="AL25" s="17"/>
      <c r="AM25" s="17"/>
      <c r="AN25" s="18">
        <f t="shared" si="14"/>
        <v>0</v>
      </c>
      <c r="AO25" s="19">
        <f>IF(AN$26=0,0,AN25/AN$26)</f>
        <v>0</v>
      </c>
      <c r="AQ25" s="17"/>
      <c r="AR25" s="17"/>
      <c r="AS25" s="17"/>
      <c r="AT25" s="18">
        <f t="shared" si="15"/>
        <v>0</v>
      </c>
      <c r="AU25" s="19">
        <f t="shared" si="16"/>
        <v>0</v>
      </c>
      <c r="AW25" s="17"/>
      <c r="AX25" s="17"/>
      <c r="AY25" s="17"/>
      <c r="AZ25" s="424">
        <f t="shared" si="17"/>
        <v>0</v>
      </c>
      <c r="BA25" s="19">
        <f>IF(AZ$26=0,0,AZ25/AZ$26)</f>
        <v>0</v>
      </c>
    </row>
    <row r="26" spans="1:53" ht="17.100000000000001" customHeight="1" x14ac:dyDescent="0.25">
      <c r="A26" s="40"/>
      <c r="B26" s="40"/>
      <c r="C26" s="77"/>
      <c r="D26" s="78"/>
      <c r="E26" s="78"/>
      <c r="F26" s="78"/>
      <c r="G26" s="79"/>
      <c r="H26" s="647"/>
      <c r="I26" s="230"/>
      <c r="J26" s="80">
        <f>SUM(J23:J25)</f>
        <v>0</v>
      </c>
      <c r="K26" s="80">
        <f t="shared" ref="K26:M26" si="18">SUM(K23:K25)</f>
        <v>0</v>
      </c>
      <c r="L26" s="80">
        <f t="shared" si="18"/>
        <v>0</v>
      </c>
      <c r="M26" s="80">
        <f t="shared" si="18"/>
        <v>0</v>
      </c>
      <c r="N26" s="81"/>
      <c r="O26" s="81"/>
      <c r="P26" s="81"/>
      <c r="Q26" s="81"/>
      <c r="R26" s="81"/>
      <c r="S26" s="81"/>
      <c r="T26" s="81"/>
      <c r="U26" s="81"/>
      <c r="V26" s="81"/>
      <c r="W26" s="381">
        <f>SUM(W23:W25)</f>
        <v>0</v>
      </c>
      <c r="X26" s="82">
        <f t="shared" ref="X26:Y26" si="19">SUM(X23:X25)</f>
        <v>0</v>
      </c>
      <c r="Y26" s="82">
        <f t="shared" si="19"/>
        <v>0</v>
      </c>
      <c r="Z26" s="205">
        <f>IF(Y$26=0,0,Y26/Y$26)</f>
        <v>0</v>
      </c>
      <c r="AA26" s="205"/>
      <c r="AB26" s="205"/>
      <c r="AC26" s="83"/>
      <c r="AE26" s="81"/>
      <c r="AF26" s="81"/>
      <c r="AG26" s="81"/>
      <c r="AH26" s="82">
        <f>SUM(AH23:AH25)</f>
        <v>0</v>
      </c>
      <c r="AI26" s="66">
        <f>IF(AH$26=0,0,AH26/AH$26)</f>
        <v>0</v>
      </c>
      <c r="AK26" s="81"/>
      <c r="AL26" s="81"/>
      <c r="AM26" s="81"/>
      <c r="AN26" s="82">
        <f>SUM(AN23:AN25)</f>
        <v>0</v>
      </c>
      <c r="AO26" s="66">
        <f>IF(AN$26=0,0,AN26/AN$26)</f>
        <v>0</v>
      </c>
      <c r="AQ26" s="67"/>
      <c r="AR26" s="67"/>
      <c r="AS26" s="67"/>
      <c r="AT26" s="65">
        <f>SUM(AT23:AT25)</f>
        <v>0</v>
      </c>
      <c r="AU26" s="66">
        <f t="shared" si="16"/>
        <v>0</v>
      </c>
      <c r="AW26" s="81"/>
      <c r="AX26" s="81"/>
      <c r="AY26" s="81"/>
      <c r="AZ26" s="82">
        <f>SUM(AZ23:AZ25)</f>
        <v>0</v>
      </c>
      <c r="BA26" s="66">
        <f>IF(AZ$26=0,0,AZ26/AZ$26)</f>
        <v>0</v>
      </c>
    </row>
    <row r="27" spans="1:53" s="97" customFormat="1" ht="17.100000000000001" customHeight="1" x14ac:dyDescent="0.25">
      <c r="A27" s="68"/>
      <c r="B27" s="68"/>
      <c r="C27" s="92"/>
      <c r="D27" s="93"/>
      <c r="E27" s="93"/>
      <c r="F27" s="93"/>
      <c r="G27" s="93"/>
      <c r="H27" s="165"/>
      <c r="I27" s="12"/>
      <c r="J27" s="94" t="str">
        <f>IF(J26=J$15,"OK","NOK")</f>
        <v>OK</v>
      </c>
      <c r="K27" s="94" t="str">
        <f t="shared" ref="K27:L27" si="20">IF(K26=K$15,"OK","NOK")</f>
        <v>OK</v>
      </c>
      <c r="L27" s="94" t="str">
        <f t="shared" si="20"/>
        <v>OK</v>
      </c>
      <c r="M27" s="95"/>
      <c r="N27" s="95"/>
      <c r="O27" s="95"/>
      <c r="P27" s="95"/>
      <c r="Q27" s="95"/>
      <c r="R27" s="95"/>
      <c r="S27" s="95"/>
      <c r="T27" s="95"/>
      <c r="U27" s="95"/>
      <c r="V27" s="95"/>
      <c r="W27" s="95"/>
      <c r="X27" s="95"/>
      <c r="Y27" s="95"/>
      <c r="AQ27" s="98"/>
      <c r="AR27" s="98"/>
      <c r="AS27" s="98"/>
      <c r="AT27" s="99"/>
      <c r="AU27" s="100"/>
    </row>
    <row r="28" spans="1:53" s="32" customFormat="1" ht="16.5" thickBot="1" x14ac:dyDescent="0.3">
      <c r="A28" s="24" t="s">
        <v>13</v>
      </c>
      <c r="B28" s="25" t="s">
        <v>557</v>
      </c>
      <c r="C28" s="26"/>
      <c r="D28" s="27"/>
      <c r="E28" s="27"/>
      <c r="F28" s="27"/>
      <c r="G28" s="28"/>
      <c r="H28" s="310"/>
      <c r="I28" s="228"/>
      <c r="J28" s="101"/>
      <c r="K28" s="101"/>
      <c r="L28" s="101"/>
      <c r="M28" s="101"/>
      <c r="N28" s="101"/>
      <c r="O28" s="101"/>
      <c r="P28" s="101"/>
      <c r="Q28" s="101"/>
      <c r="R28" s="101"/>
      <c r="S28" s="101"/>
      <c r="T28" s="101"/>
      <c r="U28" s="101"/>
      <c r="V28" s="101"/>
      <c r="W28" s="101"/>
      <c r="X28" s="101"/>
      <c r="Y28" s="415" t="s">
        <v>4</v>
      </c>
      <c r="Z28" s="31" t="s">
        <v>5</v>
      </c>
      <c r="AA28" s="31" t="s">
        <v>181</v>
      </c>
      <c r="AB28" s="31" t="s">
        <v>182</v>
      </c>
      <c r="AC28" s="31" t="s">
        <v>6</v>
      </c>
      <c r="AE28" s="33" t="s">
        <v>181</v>
      </c>
      <c r="AF28" s="33" t="s">
        <v>182</v>
      </c>
      <c r="AG28" s="33" t="s">
        <v>6</v>
      </c>
      <c r="AH28" s="33" t="s">
        <v>4</v>
      </c>
      <c r="AI28" s="34" t="s">
        <v>5</v>
      </c>
      <c r="AK28" s="36" t="s">
        <v>181</v>
      </c>
      <c r="AL28" s="36" t="s">
        <v>182</v>
      </c>
      <c r="AM28" s="36" t="s">
        <v>6</v>
      </c>
      <c r="AN28" s="36" t="s">
        <v>4</v>
      </c>
      <c r="AO28" s="37" t="s">
        <v>5</v>
      </c>
      <c r="AQ28" s="398" t="s">
        <v>181</v>
      </c>
      <c r="AR28" s="398" t="s">
        <v>182</v>
      </c>
      <c r="AS28" s="398" t="s">
        <v>6</v>
      </c>
      <c r="AT28" s="398" t="s">
        <v>4</v>
      </c>
      <c r="AU28" s="399" t="s">
        <v>5</v>
      </c>
      <c r="AW28" s="38" t="s">
        <v>181</v>
      </c>
      <c r="AX28" s="38" t="s">
        <v>182</v>
      </c>
      <c r="AY28" s="38" t="s">
        <v>6</v>
      </c>
      <c r="AZ28" s="38" t="s">
        <v>4</v>
      </c>
      <c r="BA28" s="39" t="s">
        <v>5</v>
      </c>
    </row>
    <row r="29" spans="1:53" ht="17.100000000000001" customHeight="1" x14ac:dyDescent="0.25">
      <c r="A29" s="275"/>
      <c r="B29" s="41" t="s">
        <v>15</v>
      </c>
      <c r="C29" s="69" t="s">
        <v>16</v>
      </c>
      <c r="D29" s="276"/>
      <c r="E29" s="276"/>
      <c r="F29" s="276"/>
      <c r="G29" s="276"/>
      <c r="H29" s="589">
        <v>8</v>
      </c>
      <c r="I29" s="12"/>
      <c r="J29" s="277"/>
      <c r="K29" s="277"/>
      <c r="L29" s="277"/>
      <c r="M29" s="277"/>
      <c r="N29" s="277"/>
      <c r="O29" s="277"/>
      <c r="P29" s="277"/>
      <c r="Q29" s="277"/>
      <c r="R29" s="277"/>
      <c r="S29" s="277"/>
      <c r="T29" s="277"/>
      <c r="U29" s="277"/>
      <c r="V29" s="277"/>
      <c r="W29" s="277"/>
      <c r="X29" s="277"/>
      <c r="Y29" s="277"/>
      <c r="Z29" s="51"/>
      <c r="AA29" s="51"/>
      <c r="AB29" s="51"/>
      <c r="AC29" s="51"/>
      <c r="AE29" s="71"/>
      <c r="AF29" s="71"/>
      <c r="AG29" s="273"/>
      <c r="AH29" s="73"/>
      <c r="AI29" s="73"/>
      <c r="AK29" s="71"/>
      <c r="AL29" s="71"/>
      <c r="AM29" s="273"/>
      <c r="AN29" s="73"/>
      <c r="AO29" s="73"/>
      <c r="AQ29" s="71"/>
      <c r="AR29" s="71"/>
      <c r="AS29" s="71"/>
      <c r="AT29" s="72"/>
      <c r="AU29" s="73"/>
      <c r="AW29" s="71"/>
      <c r="AX29" s="71"/>
      <c r="AY29" s="273"/>
      <c r="AZ29" s="73"/>
      <c r="BA29" s="73"/>
    </row>
    <row r="30" spans="1:53" ht="17.100000000000001" customHeight="1" x14ac:dyDescent="0.25">
      <c r="A30" s="40"/>
      <c r="B30" s="40"/>
      <c r="C30" s="74" t="s">
        <v>17</v>
      </c>
      <c r="D30" s="104" t="s">
        <v>609</v>
      </c>
      <c r="E30" s="75"/>
      <c r="F30" s="75"/>
      <c r="G30" s="76"/>
      <c r="H30" s="210"/>
      <c r="I30" s="229"/>
      <c r="J30" s="46">
        <f>J15</f>
        <v>0</v>
      </c>
      <c r="K30" s="46"/>
      <c r="L30" s="17"/>
      <c r="M30" s="17">
        <f t="shared" ref="M30:M32" si="21">SUM(J30:L30)</f>
        <v>0</v>
      </c>
      <c r="N30" s="111"/>
      <c r="O30" s="111"/>
      <c r="P30" s="111"/>
      <c r="Q30" s="111"/>
      <c r="R30" s="111"/>
      <c r="S30" s="111"/>
      <c r="T30" s="111"/>
      <c r="U30" s="111"/>
      <c r="V30" s="111"/>
      <c r="W30" s="391">
        <f t="shared" ref="W30:W32" si="22">J30+K30+N30+Q30+T30</f>
        <v>0</v>
      </c>
      <c r="X30" s="17">
        <f t="shared" ref="X30:X32" si="23">L30+O30+R30+U30</f>
        <v>0</v>
      </c>
      <c r="Y30" s="18">
        <f>SUM(W30:X30)</f>
        <v>0</v>
      </c>
      <c r="Z30" s="19">
        <f>IF(Y$33=0,0,Y30/Y$33)</f>
        <v>0</v>
      </c>
      <c r="AA30" s="411"/>
      <c r="AB30" s="411"/>
      <c r="AC30" s="45"/>
      <c r="AE30" s="17"/>
      <c r="AF30" s="17"/>
      <c r="AG30" s="17"/>
      <c r="AH30" s="18">
        <f>J30</f>
        <v>0</v>
      </c>
      <c r="AI30" s="19">
        <f>IF(AH$33=0,0,AH30/AH$33)</f>
        <v>0</v>
      </c>
      <c r="AK30" s="17"/>
      <c r="AL30" s="17"/>
      <c r="AM30" s="17"/>
      <c r="AN30" s="18">
        <f>K30</f>
        <v>0</v>
      </c>
      <c r="AO30" s="19">
        <f>IF(AN$33=0,0,AN30/AN$33)</f>
        <v>0</v>
      </c>
      <c r="AQ30" s="17"/>
      <c r="AR30" s="17"/>
      <c r="AS30" s="17"/>
      <c r="AT30" s="18">
        <f t="shared" ref="AT30:AT32" si="24">W30</f>
        <v>0</v>
      </c>
      <c r="AU30" s="19">
        <f>IF(AT$33=0,0,AT30/AT$33)</f>
        <v>0</v>
      </c>
      <c r="AW30" s="17"/>
      <c r="AX30" s="17"/>
      <c r="AY30" s="17"/>
      <c r="AZ30" s="424">
        <f>X30</f>
        <v>0</v>
      </c>
      <c r="BA30" s="19">
        <f>IF(AZ$33=0,0,AZ30/AZ$33)</f>
        <v>0</v>
      </c>
    </row>
    <row r="31" spans="1:53" ht="17.100000000000001" customHeight="1" x14ac:dyDescent="0.25">
      <c r="A31" s="40"/>
      <c r="B31" s="40"/>
      <c r="C31" s="74" t="s">
        <v>18</v>
      </c>
      <c r="D31" s="104" t="s">
        <v>610</v>
      </c>
      <c r="E31" s="75"/>
      <c r="F31" s="75"/>
      <c r="G31" s="76"/>
      <c r="H31" s="210"/>
      <c r="I31" s="229"/>
      <c r="J31" s="46"/>
      <c r="K31" s="46">
        <f>K15</f>
        <v>0</v>
      </c>
      <c r="L31" s="17"/>
      <c r="M31" s="17">
        <f t="shared" si="21"/>
        <v>0</v>
      </c>
      <c r="N31" s="111"/>
      <c r="O31" s="111"/>
      <c r="P31" s="111"/>
      <c r="Q31" s="111"/>
      <c r="R31" s="111"/>
      <c r="S31" s="111"/>
      <c r="T31" s="111"/>
      <c r="U31" s="111"/>
      <c r="V31" s="111"/>
      <c r="W31" s="391">
        <f t="shared" si="22"/>
        <v>0</v>
      </c>
      <c r="X31" s="17">
        <f t="shared" si="23"/>
        <v>0</v>
      </c>
      <c r="Y31" s="18">
        <f>SUM(W31:X31)</f>
        <v>0</v>
      </c>
      <c r="Z31" s="19">
        <f t="shared" ref="Z31:Z33" si="25">IF(Y$33=0,0,Y31/Y$33)</f>
        <v>0</v>
      </c>
      <c r="AA31" s="411"/>
      <c r="AB31" s="411"/>
      <c r="AC31" s="45"/>
      <c r="AE31" s="17"/>
      <c r="AF31" s="17"/>
      <c r="AG31" s="17"/>
      <c r="AH31" s="18">
        <f t="shared" ref="AH31:AH32" si="26">J31</f>
        <v>0</v>
      </c>
      <c r="AI31" s="19">
        <f>IF(AH$33=0,0,AH31/AH$33)</f>
        <v>0</v>
      </c>
      <c r="AK31" s="17"/>
      <c r="AL31" s="17"/>
      <c r="AM31" s="17"/>
      <c r="AN31" s="18">
        <f t="shared" ref="AN31:AN32" si="27">K31</f>
        <v>0</v>
      </c>
      <c r="AO31" s="19">
        <f>IF(AN$33=0,0,AN31/AN$33)</f>
        <v>0</v>
      </c>
      <c r="AQ31" s="17"/>
      <c r="AR31" s="17"/>
      <c r="AS31" s="17"/>
      <c r="AT31" s="18">
        <f t="shared" si="24"/>
        <v>0</v>
      </c>
      <c r="AU31" s="19">
        <f>IF(AT$33=0,0,AT31/AT$33)</f>
        <v>0</v>
      </c>
      <c r="AW31" s="17"/>
      <c r="AX31" s="17"/>
      <c r="AY31" s="17"/>
      <c r="AZ31" s="424">
        <f t="shared" ref="AZ31:AZ32" si="28">X31</f>
        <v>0</v>
      </c>
      <c r="BA31" s="19">
        <f>IF(AZ$33=0,0,AZ31/AZ$33)</f>
        <v>0</v>
      </c>
    </row>
    <row r="32" spans="1:53" ht="17.100000000000001" customHeight="1" x14ac:dyDescent="0.25">
      <c r="A32" s="40"/>
      <c r="B32" s="40"/>
      <c r="C32" s="74" t="s">
        <v>19</v>
      </c>
      <c r="D32" s="104" t="s">
        <v>611</v>
      </c>
      <c r="E32" s="75"/>
      <c r="F32" s="75"/>
      <c r="G32" s="76"/>
      <c r="H32" s="210"/>
      <c r="I32" s="229"/>
      <c r="J32" s="46"/>
      <c r="K32" s="46"/>
      <c r="L32" s="17">
        <f>L15</f>
        <v>0</v>
      </c>
      <c r="M32" s="17">
        <f t="shared" si="21"/>
        <v>0</v>
      </c>
      <c r="N32" s="111"/>
      <c r="O32" s="111"/>
      <c r="P32" s="111"/>
      <c r="Q32" s="111"/>
      <c r="R32" s="111"/>
      <c r="S32" s="111"/>
      <c r="T32" s="111"/>
      <c r="U32" s="111"/>
      <c r="V32" s="111"/>
      <c r="W32" s="391">
        <f t="shared" si="22"/>
        <v>0</v>
      </c>
      <c r="X32" s="17">
        <f t="shared" si="23"/>
        <v>0</v>
      </c>
      <c r="Y32" s="18">
        <f>SUM(W32:X32)</f>
        <v>0</v>
      </c>
      <c r="Z32" s="19">
        <f t="shared" si="25"/>
        <v>0</v>
      </c>
      <c r="AA32" s="411"/>
      <c r="AB32" s="411"/>
      <c r="AC32" s="45"/>
      <c r="AE32" s="17"/>
      <c r="AF32" s="17"/>
      <c r="AG32" s="17"/>
      <c r="AH32" s="18">
        <f t="shared" si="26"/>
        <v>0</v>
      </c>
      <c r="AI32" s="19">
        <f>IF(AH$33=0,0,AH32/AH$33)</f>
        <v>0</v>
      </c>
      <c r="AK32" s="17"/>
      <c r="AL32" s="17"/>
      <c r="AM32" s="17"/>
      <c r="AN32" s="18">
        <f t="shared" si="27"/>
        <v>0</v>
      </c>
      <c r="AO32" s="19">
        <f>IF(AN$33=0,0,AN32/AN$33)</f>
        <v>0</v>
      </c>
      <c r="AQ32" s="17"/>
      <c r="AR32" s="17"/>
      <c r="AS32" s="17"/>
      <c r="AT32" s="18">
        <f t="shared" si="24"/>
        <v>0</v>
      </c>
      <c r="AU32" s="19">
        <f>IF(AT$33=0,0,AT32/AT$33)</f>
        <v>0</v>
      </c>
      <c r="AW32" s="17"/>
      <c r="AX32" s="17"/>
      <c r="AY32" s="17"/>
      <c r="AZ32" s="424">
        <f t="shared" si="28"/>
        <v>0</v>
      </c>
      <c r="BA32" s="19">
        <f>IF(AZ$33=0,0,AZ32/AZ$33)</f>
        <v>0</v>
      </c>
    </row>
    <row r="33" spans="1:53" ht="17.100000000000001" customHeight="1" x14ac:dyDescent="0.25">
      <c r="A33" s="40"/>
      <c r="B33" s="40"/>
      <c r="C33" s="77"/>
      <c r="D33" s="78"/>
      <c r="E33" s="78"/>
      <c r="F33" s="78"/>
      <c r="G33" s="79"/>
      <c r="H33" s="217"/>
      <c r="I33" s="230"/>
      <c r="J33" s="80">
        <f>SUM(J30:J32)</f>
        <v>0</v>
      </c>
      <c r="K33" s="80">
        <f t="shared" ref="K33:M33" si="29">SUM(K30:K32)</f>
        <v>0</v>
      </c>
      <c r="L33" s="80">
        <f t="shared" si="29"/>
        <v>0</v>
      </c>
      <c r="M33" s="80">
        <f t="shared" si="29"/>
        <v>0</v>
      </c>
      <c r="N33" s="81"/>
      <c r="O33" s="81"/>
      <c r="P33" s="81"/>
      <c r="Q33" s="81"/>
      <c r="R33" s="81"/>
      <c r="S33" s="81"/>
      <c r="T33" s="81"/>
      <c r="U33" s="81"/>
      <c r="V33" s="81"/>
      <c r="W33" s="381">
        <f>SUM(W30:W32)</f>
        <v>0</v>
      </c>
      <c r="X33" s="82">
        <f t="shared" ref="X33:Y33" si="30">SUM(X30:X32)</f>
        <v>0</v>
      </c>
      <c r="Y33" s="82">
        <f t="shared" si="30"/>
        <v>0</v>
      </c>
      <c r="Z33" s="205">
        <f t="shared" si="25"/>
        <v>0</v>
      </c>
      <c r="AA33" s="205"/>
      <c r="AB33" s="205"/>
      <c r="AC33" s="83"/>
      <c r="AE33" s="107"/>
      <c r="AF33" s="107"/>
      <c r="AG33" s="107"/>
      <c r="AH33" s="82">
        <f>SUM(AH30:AH32)</f>
        <v>0</v>
      </c>
      <c r="AI33" s="66">
        <f>IF(AH$33=0,0,AH33/AH$33)</f>
        <v>0</v>
      </c>
      <c r="AK33" s="107"/>
      <c r="AL33" s="107"/>
      <c r="AM33" s="107"/>
      <c r="AN33" s="82">
        <f>SUM(AN30:AN32)</f>
        <v>0</v>
      </c>
      <c r="AO33" s="66">
        <f>IF(AN$33=0,0,AN33/AN$33)</f>
        <v>0</v>
      </c>
      <c r="AQ33" s="107"/>
      <c r="AR33" s="107"/>
      <c r="AS33" s="107"/>
      <c r="AT33" s="82">
        <f>SUM(AT30:AT32)</f>
        <v>0</v>
      </c>
      <c r="AU33" s="66">
        <f>IF(AT$33=0,0,AT33/AT$33)</f>
        <v>0</v>
      </c>
      <c r="AW33" s="107"/>
      <c r="AX33" s="107"/>
      <c r="AY33" s="107"/>
      <c r="AZ33" s="82">
        <f>SUM(AZ30:AZ32)</f>
        <v>0</v>
      </c>
      <c r="BA33" s="66">
        <f>IF(AZ$33=0,0,AZ33/AZ$33)</f>
        <v>0</v>
      </c>
    </row>
    <row r="34" spans="1:53" s="97" customFormat="1" ht="17.100000000000001" customHeight="1" x14ac:dyDescent="0.25">
      <c r="A34" s="68"/>
      <c r="B34" s="68"/>
      <c r="C34" s="92"/>
      <c r="D34" s="93"/>
      <c r="E34" s="93"/>
      <c r="F34" s="93"/>
      <c r="G34" s="93"/>
      <c r="H34" s="12"/>
      <c r="I34" s="12"/>
      <c r="J34" s="109"/>
      <c r="K34" s="109"/>
      <c r="L34" s="109"/>
      <c r="M34" s="109"/>
      <c r="N34" s="109"/>
      <c r="O34" s="109"/>
      <c r="P34" s="109"/>
      <c r="Q34" s="109"/>
      <c r="R34" s="109"/>
      <c r="S34" s="109"/>
      <c r="T34" s="109"/>
      <c r="U34" s="109"/>
      <c r="V34" s="109"/>
      <c r="W34" s="109"/>
      <c r="X34" s="109"/>
      <c r="Y34" s="109"/>
      <c r="AQ34" s="109"/>
      <c r="AR34" s="109"/>
      <c r="AS34" s="109"/>
      <c r="AT34" s="96"/>
    </row>
    <row r="35" spans="1:53" s="32" customFormat="1" ht="16.5" thickBot="1" x14ac:dyDescent="0.3">
      <c r="A35" s="24" t="s">
        <v>20</v>
      </c>
      <c r="B35" s="25" t="s">
        <v>21</v>
      </c>
      <c r="C35" s="26"/>
      <c r="D35" s="27"/>
      <c r="E35" s="27"/>
      <c r="F35" s="27"/>
      <c r="G35" s="28"/>
      <c r="H35" s="28"/>
      <c r="I35" s="228"/>
      <c r="J35" s="101"/>
      <c r="K35" s="101"/>
      <c r="L35" s="101"/>
      <c r="M35" s="101"/>
      <c r="N35" s="101"/>
      <c r="O35" s="101"/>
      <c r="P35" s="101"/>
      <c r="Q35" s="101"/>
      <c r="R35" s="101"/>
      <c r="S35" s="101"/>
      <c r="T35" s="101"/>
      <c r="U35" s="101"/>
      <c r="V35" s="101"/>
      <c r="W35" s="101"/>
      <c r="X35" s="101"/>
      <c r="Y35" s="415" t="s">
        <v>4</v>
      </c>
      <c r="Z35" s="31" t="s">
        <v>5</v>
      </c>
      <c r="AA35" s="31" t="s">
        <v>181</v>
      </c>
      <c r="AB35" s="31" t="s">
        <v>182</v>
      </c>
      <c r="AC35" s="31" t="s">
        <v>6</v>
      </c>
      <c r="AE35" s="33" t="s">
        <v>181</v>
      </c>
      <c r="AF35" s="33" t="s">
        <v>182</v>
      </c>
      <c r="AG35" s="33" t="s">
        <v>6</v>
      </c>
      <c r="AH35" s="33" t="s">
        <v>4</v>
      </c>
      <c r="AI35" s="34" t="s">
        <v>5</v>
      </c>
      <c r="AK35" s="36" t="s">
        <v>181</v>
      </c>
      <c r="AL35" s="36" t="s">
        <v>182</v>
      </c>
      <c r="AM35" s="36" t="s">
        <v>6</v>
      </c>
      <c r="AN35" s="36" t="s">
        <v>4</v>
      </c>
      <c r="AO35" s="37" t="s">
        <v>5</v>
      </c>
      <c r="AQ35" s="36"/>
      <c r="AR35" s="36"/>
      <c r="AS35" s="36"/>
      <c r="AT35" s="36"/>
      <c r="AU35" s="37"/>
      <c r="AW35" s="38" t="s">
        <v>181</v>
      </c>
      <c r="AX35" s="38" t="s">
        <v>182</v>
      </c>
      <c r="AY35" s="38" t="s">
        <v>6</v>
      </c>
      <c r="AZ35" s="38" t="s">
        <v>4</v>
      </c>
      <c r="BA35" s="39" t="s">
        <v>5</v>
      </c>
    </row>
    <row r="36" spans="1:53" ht="17.100000000000001" customHeight="1" x14ac:dyDescent="0.25">
      <c r="A36" s="119"/>
      <c r="B36" s="41" t="s">
        <v>22</v>
      </c>
      <c r="C36" s="332" t="s">
        <v>23</v>
      </c>
      <c r="D36" s="50"/>
      <c r="E36" s="70"/>
      <c r="F36" s="70"/>
      <c r="G36" s="70"/>
      <c r="H36" s="589">
        <v>9</v>
      </c>
      <c r="J36" s="71"/>
      <c r="K36" s="71"/>
      <c r="L36" s="71"/>
      <c r="M36" s="71"/>
      <c r="N36" s="71"/>
      <c r="O36" s="71"/>
      <c r="P36" s="71"/>
      <c r="Q36" s="71"/>
      <c r="R36" s="71"/>
      <c r="S36" s="71"/>
      <c r="T36" s="71"/>
      <c r="U36" s="71"/>
      <c r="V36" s="355"/>
      <c r="W36" s="377"/>
      <c r="X36" s="71"/>
      <c r="Y36" s="72"/>
      <c r="Z36" s="73"/>
      <c r="AA36" s="73"/>
      <c r="AB36" s="73"/>
      <c r="AC36" s="73"/>
      <c r="AE36" s="71"/>
      <c r="AF36" s="71"/>
      <c r="AG36" s="71"/>
      <c r="AH36" s="72"/>
      <c r="AI36" s="73"/>
      <c r="AJ36" s="117"/>
      <c r="AK36" s="71"/>
      <c r="AL36" s="71"/>
      <c r="AM36" s="71"/>
      <c r="AN36" s="72"/>
      <c r="AO36" s="73"/>
      <c r="AP36" s="117"/>
      <c r="AQ36" s="71"/>
      <c r="AR36" s="71"/>
      <c r="AS36" s="71"/>
      <c r="AT36" s="72"/>
      <c r="AU36" s="73"/>
      <c r="AV36" s="117"/>
      <c r="AW36" s="71"/>
      <c r="AX36" s="71"/>
      <c r="AY36" s="71"/>
      <c r="AZ36" s="273"/>
      <c r="BA36" s="73"/>
    </row>
    <row r="37" spans="1:53" ht="17.100000000000001" customHeight="1" x14ac:dyDescent="0.25">
      <c r="A37" s="119"/>
      <c r="B37" s="647"/>
      <c r="C37" s="103" t="s">
        <v>631</v>
      </c>
      <c r="D37" s="313" t="s">
        <v>658</v>
      </c>
      <c r="E37" s="108"/>
      <c r="F37" s="108"/>
      <c r="G37" s="108"/>
      <c r="H37" s="119"/>
      <c r="J37" s="111"/>
      <c r="K37" s="111"/>
      <c r="L37" s="111"/>
      <c r="M37" s="111"/>
      <c r="N37" s="111"/>
      <c r="O37" s="111"/>
      <c r="P37" s="111"/>
      <c r="Q37" s="111"/>
      <c r="R37" s="111"/>
      <c r="S37" s="111"/>
      <c r="T37" s="111"/>
      <c r="U37" s="111"/>
      <c r="V37" s="358"/>
      <c r="W37" s="380"/>
      <c r="X37" s="111"/>
      <c r="Y37" s="112"/>
      <c r="Z37" s="113"/>
      <c r="AA37" s="113"/>
      <c r="AB37" s="113"/>
      <c r="AC37" s="113"/>
      <c r="AE37" s="111"/>
      <c r="AF37" s="111"/>
      <c r="AG37" s="111"/>
      <c r="AH37" s="112"/>
      <c r="AI37" s="113"/>
      <c r="AJ37" s="117"/>
      <c r="AK37" s="111"/>
      <c r="AL37" s="111"/>
      <c r="AM37" s="111"/>
      <c r="AN37" s="112"/>
      <c r="AO37" s="113"/>
      <c r="AP37" s="117"/>
      <c r="AQ37" s="111"/>
      <c r="AR37" s="111"/>
      <c r="AS37" s="111"/>
      <c r="AT37" s="112"/>
      <c r="AU37" s="113"/>
      <c r="AV37" s="117"/>
      <c r="AW37" s="111"/>
      <c r="AX37" s="111"/>
      <c r="AY37" s="111"/>
      <c r="AZ37" s="114"/>
      <c r="BA37" s="113"/>
    </row>
    <row r="38" spans="1:53" ht="17.100000000000001" customHeight="1" x14ac:dyDescent="0.25">
      <c r="A38" s="47"/>
      <c r="B38" s="55"/>
      <c r="C38" s="56"/>
      <c r="D38" s="120" t="s">
        <v>632</v>
      </c>
      <c r="E38" s="58" t="s">
        <v>659</v>
      </c>
      <c r="F38" s="58"/>
      <c r="G38" s="59"/>
      <c r="H38" s="216"/>
      <c r="I38" s="229"/>
      <c r="J38" s="174"/>
      <c r="K38" s="174"/>
      <c r="L38" s="111"/>
      <c r="M38" s="111"/>
      <c r="N38" s="60"/>
      <c r="O38" s="60"/>
      <c r="P38" s="17">
        <f>SUM(N38:O38)</f>
        <v>0</v>
      </c>
      <c r="Q38" s="60"/>
      <c r="R38" s="60"/>
      <c r="S38" s="17">
        <f>SUM(Q38:R38)</f>
        <v>0</v>
      </c>
      <c r="T38" s="60"/>
      <c r="U38" s="60"/>
      <c r="V38" s="17">
        <f>SUM(T38:U38)</f>
        <v>0</v>
      </c>
      <c r="W38" s="391">
        <f t="shared" ref="W38:W40" si="31">J38+K38+N38+Q38+T38</f>
        <v>0</v>
      </c>
      <c r="X38" s="17">
        <f t="shared" ref="X38:X40" si="32">L38+O38+R38+U38</f>
        <v>0</v>
      </c>
      <c r="Y38" s="18">
        <f>SUM(W38:X38)</f>
        <v>0</v>
      </c>
      <c r="Z38" s="19">
        <f>IF(Y$41=0,0,Y38/Y$41)</f>
        <v>0</v>
      </c>
      <c r="AA38" s="19"/>
      <c r="AB38" s="19"/>
      <c r="AC38" s="20"/>
      <c r="AE38" s="111"/>
      <c r="AF38" s="111"/>
      <c r="AG38" s="111"/>
      <c r="AH38" s="651"/>
      <c r="AI38" s="131"/>
      <c r="AJ38" s="117"/>
      <c r="AK38" s="111"/>
      <c r="AL38" s="111"/>
      <c r="AM38" s="111"/>
      <c r="AN38" s="651"/>
      <c r="AO38" s="131"/>
      <c r="AP38" s="117"/>
      <c r="AQ38" s="17"/>
      <c r="AR38" s="17"/>
      <c r="AS38" s="17"/>
      <c r="AT38" s="18">
        <f>W38</f>
        <v>0</v>
      </c>
      <c r="AU38" s="19">
        <f>IF(AT$41=0,0,AT38/AT$41)</f>
        <v>0</v>
      </c>
      <c r="AV38" s="117"/>
      <c r="AW38" s="17"/>
      <c r="AX38" s="17"/>
      <c r="AY38" s="17"/>
      <c r="AZ38" s="424">
        <f>X38</f>
        <v>0</v>
      </c>
      <c r="BA38" s="19">
        <f>IF(AZ$41=0,0,AZ38/AZ$41)</f>
        <v>0</v>
      </c>
    </row>
    <row r="39" spans="1:53" ht="17.100000000000001" customHeight="1" x14ac:dyDescent="0.25">
      <c r="A39" s="47"/>
      <c r="B39" s="55"/>
      <c r="C39" s="56"/>
      <c r="D39" s="120" t="s">
        <v>633</v>
      </c>
      <c r="E39" s="58" t="s">
        <v>634</v>
      </c>
      <c r="F39" s="58"/>
      <c r="G39" s="59"/>
      <c r="H39" s="216"/>
      <c r="I39" s="229"/>
      <c r="J39" s="174"/>
      <c r="K39" s="174"/>
      <c r="L39" s="111"/>
      <c r="M39" s="111"/>
      <c r="N39" s="61"/>
      <c r="O39" s="61"/>
      <c r="P39" s="17">
        <f t="shared" ref="P39:P40" si="33">SUM(N39:O39)</f>
        <v>0</v>
      </c>
      <c r="Q39" s="61"/>
      <c r="R39" s="61"/>
      <c r="S39" s="17">
        <f t="shared" ref="S39:S40" si="34">SUM(Q39:R39)</f>
        <v>0</v>
      </c>
      <c r="T39" s="61"/>
      <c r="U39" s="61"/>
      <c r="V39" s="17">
        <f t="shared" ref="V39:V40" si="35">SUM(T39:U39)</f>
        <v>0</v>
      </c>
      <c r="W39" s="391">
        <f t="shared" si="31"/>
        <v>0</v>
      </c>
      <c r="X39" s="17">
        <f t="shared" si="32"/>
        <v>0</v>
      </c>
      <c r="Y39" s="18">
        <f>SUM(W39:X39)</f>
        <v>0</v>
      </c>
      <c r="Z39" s="19">
        <f>IF(Y$41=0,0,Y39/Y$41)</f>
        <v>0</v>
      </c>
      <c r="AA39" s="19"/>
      <c r="AB39" s="19"/>
      <c r="AC39" s="20"/>
      <c r="AE39" s="111"/>
      <c r="AF39" s="111"/>
      <c r="AG39" s="111"/>
      <c r="AH39" s="651"/>
      <c r="AI39" s="131"/>
      <c r="AJ39" s="117"/>
      <c r="AK39" s="111"/>
      <c r="AL39" s="111"/>
      <c r="AM39" s="111"/>
      <c r="AN39" s="651"/>
      <c r="AO39" s="131"/>
      <c r="AP39" s="117"/>
      <c r="AQ39" s="17"/>
      <c r="AR39" s="17"/>
      <c r="AS39" s="17"/>
      <c r="AT39" s="18">
        <f>W39</f>
        <v>0</v>
      </c>
      <c r="AU39" s="19">
        <f>IF(AT$41=0,0,AT39/AT$41)</f>
        <v>0</v>
      </c>
      <c r="AV39" s="117"/>
      <c r="AW39" s="17"/>
      <c r="AX39" s="17"/>
      <c r="AY39" s="17"/>
      <c r="AZ39" s="424">
        <f>X39</f>
        <v>0</v>
      </c>
      <c r="BA39" s="19">
        <f>IF(AZ$41=0,0,AZ39/AZ$41)</f>
        <v>0</v>
      </c>
    </row>
    <row r="40" spans="1:53" ht="17.100000000000001" customHeight="1" x14ac:dyDescent="0.25">
      <c r="A40" s="47"/>
      <c r="B40" s="55"/>
      <c r="C40" s="56"/>
      <c r="D40" s="120" t="s">
        <v>744</v>
      </c>
      <c r="E40" s="58" t="s">
        <v>745</v>
      </c>
      <c r="F40" s="58"/>
      <c r="G40" s="59"/>
      <c r="H40" s="216"/>
      <c r="I40" s="229"/>
      <c r="J40" s="174"/>
      <c r="K40" s="174"/>
      <c r="L40" s="111"/>
      <c r="M40" s="111"/>
      <c r="N40" s="60"/>
      <c r="O40" s="60"/>
      <c r="P40" s="17">
        <f t="shared" si="33"/>
        <v>0</v>
      </c>
      <c r="Q40" s="60"/>
      <c r="R40" s="60"/>
      <c r="S40" s="17">
        <f t="shared" si="34"/>
        <v>0</v>
      </c>
      <c r="T40" s="60"/>
      <c r="U40" s="60"/>
      <c r="V40" s="17">
        <f t="shared" si="35"/>
        <v>0</v>
      </c>
      <c r="W40" s="391">
        <f t="shared" si="31"/>
        <v>0</v>
      </c>
      <c r="X40" s="17">
        <f t="shared" si="32"/>
        <v>0</v>
      </c>
      <c r="Y40" s="18">
        <f>SUM(W40:X40)</f>
        <v>0</v>
      </c>
      <c r="Z40" s="19">
        <f>IF(Y$41=0,0,Y40/Y$41)</f>
        <v>0</v>
      </c>
      <c r="AA40" s="19"/>
      <c r="AB40" s="19"/>
      <c r="AC40" s="20"/>
      <c r="AE40" s="111"/>
      <c r="AF40" s="111"/>
      <c r="AG40" s="111"/>
      <c r="AH40" s="651"/>
      <c r="AI40" s="131"/>
      <c r="AJ40" s="117"/>
      <c r="AK40" s="111"/>
      <c r="AL40" s="111"/>
      <c r="AM40" s="111"/>
      <c r="AN40" s="651"/>
      <c r="AO40" s="131"/>
      <c r="AP40" s="117"/>
      <c r="AQ40" s="17"/>
      <c r="AR40" s="17"/>
      <c r="AS40" s="17"/>
      <c r="AT40" s="18">
        <f>W40</f>
        <v>0</v>
      </c>
      <c r="AU40" s="19">
        <f>IF(AT$41=0,0,AT40/AT$41)</f>
        <v>0</v>
      </c>
      <c r="AV40" s="117"/>
      <c r="AW40" s="17"/>
      <c r="AX40" s="17"/>
      <c r="AY40" s="17"/>
      <c r="AZ40" s="424">
        <f>X40</f>
        <v>0</v>
      </c>
      <c r="BA40" s="19">
        <f>IF(AZ$41=0,0,AZ40/AZ$41)</f>
        <v>0</v>
      </c>
    </row>
    <row r="41" spans="1:53" ht="17.100000000000001" customHeight="1" x14ac:dyDescent="0.25">
      <c r="A41" s="40"/>
      <c r="B41" s="40"/>
      <c r="C41" s="77"/>
      <c r="D41" s="78"/>
      <c r="E41" s="78"/>
      <c r="F41" s="78"/>
      <c r="G41" s="78"/>
      <c r="H41" s="242"/>
      <c r="I41" s="230"/>
      <c r="J41" s="80"/>
      <c r="K41" s="80"/>
      <c r="L41" s="80"/>
      <c r="M41" s="80"/>
      <c r="N41" s="64">
        <f>SUM(N38:N40)</f>
        <v>0</v>
      </c>
      <c r="O41" s="64">
        <f t="shared" ref="O41:V41" si="36">SUM(O38:O40)</f>
        <v>0</v>
      </c>
      <c r="P41" s="64">
        <f t="shared" si="36"/>
        <v>0</v>
      </c>
      <c r="Q41" s="64">
        <f t="shared" si="36"/>
        <v>0</v>
      </c>
      <c r="R41" s="64">
        <f t="shared" si="36"/>
        <v>0</v>
      </c>
      <c r="S41" s="64">
        <f t="shared" si="36"/>
        <v>0</v>
      </c>
      <c r="T41" s="64">
        <f t="shared" si="36"/>
        <v>0</v>
      </c>
      <c r="U41" s="64">
        <f t="shared" si="36"/>
        <v>0</v>
      </c>
      <c r="V41" s="64">
        <f t="shared" si="36"/>
        <v>0</v>
      </c>
      <c r="W41" s="381">
        <f>SUM(W38:W40)</f>
        <v>0</v>
      </c>
      <c r="X41" s="82">
        <f t="shared" ref="X41:Y41" si="37">SUM(X38:X40)</f>
        <v>0</v>
      </c>
      <c r="Y41" s="82">
        <f t="shared" si="37"/>
        <v>0</v>
      </c>
      <c r="Z41" s="205">
        <f>IF(Y$41=0,0,Y41/Y$41)</f>
        <v>0</v>
      </c>
      <c r="AA41" s="205"/>
      <c r="AB41" s="205"/>
      <c r="AC41" s="83"/>
      <c r="AE41" s="81"/>
      <c r="AF41" s="81"/>
      <c r="AG41" s="81"/>
      <c r="AH41" s="82"/>
      <c r="AI41" s="66"/>
      <c r="AJ41" s="117"/>
      <c r="AK41" s="81"/>
      <c r="AL41" s="81"/>
      <c r="AM41" s="81"/>
      <c r="AN41" s="82"/>
      <c r="AO41" s="66"/>
      <c r="AP41" s="117"/>
      <c r="AQ41" s="81"/>
      <c r="AR41" s="81"/>
      <c r="AS41" s="81"/>
      <c r="AT41" s="82">
        <f>SUM(AT38:AT40)</f>
        <v>0</v>
      </c>
      <c r="AU41" s="66">
        <f>IF(AT$41=0,0,AT41/AT$41)</f>
        <v>0</v>
      </c>
      <c r="AV41" s="117"/>
      <c r="AW41" s="81"/>
      <c r="AX41" s="81"/>
      <c r="AY41" s="81"/>
      <c r="AZ41" s="82">
        <f>SUM(AZ38:AZ40)</f>
        <v>0</v>
      </c>
      <c r="BA41" s="66">
        <f>IF(AZ$41=0,0,AZ41/AZ$41)</f>
        <v>0</v>
      </c>
    </row>
    <row r="42" spans="1:53" s="117" customFormat="1" ht="17.100000000000001" customHeight="1" x14ac:dyDescent="0.25">
      <c r="A42" s="119"/>
      <c r="B42" s="119"/>
      <c r="C42" s="647"/>
      <c r="D42" s="212"/>
      <c r="E42" s="212"/>
      <c r="F42" s="212"/>
      <c r="G42" s="212"/>
      <c r="H42" s="242"/>
      <c r="I42" s="230"/>
      <c r="J42" s="17"/>
      <c r="K42" s="17"/>
      <c r="L42" s="17"/>
      <c r="M42" s="17"/>
      <c r="N42" s="17" t="str">
        <f>IF(N41=N$20,"OK","NOK")</f>
        <v>OK</v>
      </c>
      <c r="O42" s="17" t="str">
        <f>IF(O41=O$20,"OK","NOK")</f>
        <v>OK</v>
      </c>
      <c r="P42" s="17"/>
      <c r="Q42" s="17" t="str">
        <f>IF(Q41=Q$20,"OK","NOK")</f>
        <v>OK</v>
      </c>
      <c r="R42" s="17" t="str">
        <f>IF(R41=R$20,"OK","NOK")</f>
        <v>OK</v>
      </c>
      <c r="S42" s="17"/>
      <c r="T42" s="17" t="str">
        <f>IF(T41=T$20,"OK","NOK")</f>
        <v>OK</v>
      </c>
      <c r="U42" s="17" t="str">
        <f>IF(U41=U$20,"OK","NOK")</f>
        <v>OK</v>
      </c>
      <c r="V42" s="359"/>
      <c r="W42" s="395">
        <f>IF($Y$41=0,0,W41/$Y$41)</f>
        <v>0</v>
      </c>
      <c r="X42" s="91">
        <f>IF($Y$41=0,0,X41/$Y$41)</f>
        <v>0</v>
      </c>
      <c r="Y42" s="91">
        <f>IF($Y$41=0,0,Y41/$Y$41)</f>
        <v>0</v>
      </c>
      <c r="Z42" s="201"/>
      <c r="AA42" s="201"/>
      <c r="AB42" s="201"/>
      <c r="AC42" s="84"/>
      <c r="AE42" s="17"/>
      <c r="AF42" s="17"/>
      <c r="AG42" s="17"/>
      <c r="AH42" s="646"/>
      <c r="AI42" s="91"/>
      <c r="AK42" s="17"/>
      <c r="AL42" s="17"/>
      <c r="AM42" s="17"/>
      <c r="AN42" s="646"/>
      <c r="AO42" s="91"/>
      <c r="AQ42" s="17"/>
      <c r="AR42" s="17"/>
      <c r="AS42" s="17"/>
      <c r="AT42" s="646"/>
      <c r="AU42" s="91"/>
      <c r="AW42" s="17"/>
      <c r="AX42" s="17"/>
      <c r="AY42" s="17"/>
      <c r="AZ42" s="17"/>
      <c r="BA42" s="91"/>
    </row>
    <row r="43" spans="1:53" ht="17.100000000000001" customHeight="1" x14ac:dyDescent="0.25">
      <c r="A43" s="68"/>
      <c r="B43" s="647"/>
      <c r="C43" s="103" t="s">
        <v>24</v>
      </c>
      <c r="D43" s="110" t="s">
        <v>373</v>
      </c>
      <c r="E43" s="108"/>
      <c r="F43" s="108"/>
      <c r="G43" s="108"/>
      <c r="H43" s="119"/>
      <c r="J43" s="111"/>
      <c r="K43" s="111"/>
      <c r="L43" s="111"/>
      <c r="M43" s="111"/>
      <c r="N43" s="111"/>
      <c r="O43" s="111"/>
      <c r="P43" s="111"/>
      <c r="Q43" s="111"/>
      <c r="R43" s="111"/>
      <c r="S43" s="111"/>
      <c r="T43" s="111"/>
      <c r="U43" s="111"/>
      <c r="V43" s="111"/>
      <c r="W43" s="111"/>
      <c r="X43" s="111"/>
      <c r="Y43" s="111"/>
      <c r="Z43" s="113"/>
      <c r="AA43" s="113"/>
      <c r="AB43" s="113"/>
      <c r="AC43" s="113"/>
      <c r="AE43" s="111"/>
      <c r="AF43" s="111"/>
      <c r="AG43" s="111"/>
      <c r="AH43" s="112"/>
      <c r="AI43" s="113"/>
      <c r="AK43" s="111"/>
      <c r="AL43" s="111"/>
      <c r="AM43" s="111"/>
      <c r="AN43" s="112"/>
      <c r="AO43" s="113"/>
      <c r="AQ43" s="111"/>
      <c r="AR43" s="111"/>
      <c r="AS43" s="111"/>
      <c r="AT43" s="112"/>
      <c r="AU43" s="113"/>
      <c r="AW43" s="111"/>
      <c r="AX43" s="111"/>
      <c r="AY43" s="111"/>
      <c r="AZ43" s="114"/>
      <c r="BA43" s="113"/>
    </row>
    <row r="44" spans="1:53" ht="17.100000000000001" customHeight="1" x14ac:dyDescent="0.25">
      <c r="A44" s="68"/>
      <c r="B44" s="647"/>
      <c r="C44" s="23"/>
      <c r="D44" s="202" t="s">
        <v>25</v>
      </c>
      <c r="E44" s="85" t="s">
        <v>384</v>
      </c>
      <c r="F44" s="75"/>
      <c r="G44" s="75"/>
      <c r="H44" s="119"/>
      <c r="J44" s="581"/>
      <c r="K44" s="581"/>
      <c r="L44" s="582"/>
      <c r="M44" s="593">
        <f>SUM(J44:L44)</f>
        <v>0</v>
      </c>
      <c r="N44" s="111"/>
      <c r="O44" s="111"/>
      <c r="P44" s="111"/>
      <c r="Q44" s="111"/>
      <c r="R44" s="111"/>
      <c r="S44" s="111"/>
      <c r="T44" s="111"/>
      <c r="U44" s="111"/>
      <c r="V44" s="111"/>
      <c r="W44" s="391">
        <f t="shared" ref="W44:W57" si="38">J44+K44+N44+Q44+T44</f>
        <v>0</v>
      </c>
      <c r="X44" s="17">
        <f t="shared" ref="X44:X57" si="39">L44+O44+R44+U44</f>
        <v>0</v>
      </c>
      <c r="Y44" s="18">
        <f t="shared" ref="Y44:Y57" si="40">SUM(W44:X44)</f>
        <v>0</v>
      </c>
      <c r="Z44" s="19">
        <f>IF(Y$58=0,0,Y44/Y$58)</f>
        <v>0</v>
      </c>
      <c r="AA44" s="19"/>
      <c r="AB44" s="19"/>
      <c r="AC44" s="84"/>
      <c r="AE44" s="17"/>
      <c r="AF44" s="17"/>
      <c r="AG44" s="17"/>
      <c r="AH44" s="18">
        <f>J44</f>
        <v>0</v>
      </c>
      <c r="AI44" s="19">
        <f>IF(AH$58=0,0,AH44/AH$58)</f>
        <v>0</v>
      </c>
      <c r="AK44" s="17"/>
      <c r="AL44" s="17"/>
      <c r="AM44" s="17"/>
      <c r="AN44" s="18">
        <f>K44</f>
        <v>0</v>
      </c>
      <c r="AO44" s="19">
        <f>IF(AN$58=0,0,AN44/AN$58)</f>
        <v>0</v>
      </c>
      <c r="AQ44" s="17"/>
      <c r="AR44" s="17"/>
      <c r="AS44" s="17"/>
      <c r="AT44" s="18">
        <f t="shared" ref="AT44:AT57" si="41">W44</f>
        <v>0</v>
      </c>
      <c r="AU44" s="19">
        <f>IF(AT$58=0,0,AT44/AT$58)</f>
        <v>0</v>
      </c>
      <c r="AW44" s="17"/>
      <c r="AX44" s="17"/>
      <c r="AY44" s="17"/>
      <c r="AZ44" s="424">
        <f>X44</f>
        <v>0</v>
      </c>
      <c r="BA44" s="19">
        <f>IF(AZ$58=0,0,AZ44/AZ$58)</f>
        <v>0</v>
      </c>
    </row>
    <row r="45" spans="1:53" ht="17.100000000000001" customHeight="1" x14ac:dyDescent="0.25">
      <c r="A45" s="68"/>
      <c r="B45" s="647"/>
      <c r="C45" s="23"/>
      <c r="D45" s="202" t="s">
        <v>27</v>
      </c>
      <c r="E45" s="85" t="s">
        <v>385</v>
      </c>
      <c r="F45" s="75"/>
      <c r="G45" s="75"/>
      <c r="H45" s="119"/>
      <c r="J45" s="583"/>
      <c r="K45" s="583"/>
      <c r="L45" s="584"/>
      <c r="M45" s="593">
        <f t="shared" ref="M45:M57" si="42">SUM(J45:L45)</f>
        <v>0</v>
      </c>
      <c r="N45" s="111"/>
      <c r="O45" s="111"/>
      <c r="P45" s="111"/>
      <c r="Q45" s="111"/>
      <c r="R45" s="111"/>
      <c r="S45" s="111"/>
      <c r="T45" s="111"/>
      <c r="U45" s="111"/>
      <c r="V45" s="111"/>
      <c r="W45" s="391">
        <f t="shared" si="38"/>
        <v>0</v>
      </c>
      <c r="X45" s="17">
        <f t="shared" si="39"/>
        <v>0</v>
      </c>
      <c r="Y45" s="18">
        <f t="shared" si="40"/>
        <v>0</v>
      </c>
      <c r="Z45" s="19">
        <f t="shared" ref="Z45:Z58" si="43">IF(Y$58=0,0,Y45/Y$58)</f>
        <v>0</v>
      </c>
      <c r="AA45" s="19"/>
      <c r="AB45" s="19"/>
      <c r="AC45" s="84"/>
      <c r="AE45" s="17"/>
      <c r="AF45" s="17"/>
      <c r="AG45" s="17"/>
      <c r="AH45" s="18">
        <f t="shared" ref="AH45:AH57" si="44">J45</f>
        <v>0</v>
      </c>
      <c r="AI45" s="19">
        <f t="shared" ref="AI45:AI58" si="45">IF(AH$58=0,0,AH45/AH$58)</f>
        <v>0</v>
      </c>
      <c r="AK45" s="17"/>
      <c r="AL45" s="17"/>
      <c r="AM45" s="17"/>
      <c r="AN45" s="18">
        <f t="shared" ref="AN45:AN57" si="46">K45</f>
        <v>0</v>
      </c>
      <c r="AO45" s="19">
        <f t="shared" ref="AO45:AO58" si="47">IF(AN$58=0,0,AN45/AN$58)</f>
        <v>0</v>
      </c>
      <c r="AQ45" s="17"/>
      <c r="AR45" s="17"/>
      <c r="AS45" s="17"/>
      <c r="AT45" s="18">
        <f t="shared" si="41"/>
        <v>0</v>
      </c>
      <c r="AU45" s="19">
        <f t="shared" ref="AU45:AU58" si="48">IF(AT$58=0,0,AT45/AT$58)</f>
        <v>0</v>
      </c>
      <c r="AW45" s="17"/>
      <c r="AX45" s="17"/>
      <c r="AY45" s="17"/>
      <c r="AZ45" s="424">
        <f t="shared" ref="AZ45:AZ57" si="49">X45</f>
        <v>0</v>
      </c>
      <c r="BA45" s="19">
        <f t="shared" ref="BA45:BA58" si="50">IF(AZ$58=0,0,AZ45/AZ$58)</f>
        <v>0</v>
      </c>
    </row>
    <row r="46" spans="1:53" ht="17.100000000000001" customHeight="1" x14ac:dyDescent="0.25">
      <c r="A46" s="68"/>
      <c r="B46" s="647"/>
      <c r="C46" s="23"/>
      <c r="D46" s="202" t="s">
        <v>29</v>
      </c>
      <c r="E46" s="85" t="s">
        <v>386</v>
      </c>
      <c r="F46" s="75"/>
      <c r="G46" s="75"/>
      <c r="H46" s="119"/>
      <c r="J46" s="581"/>
      <c r="K46" s="581"/>
      <c r="L46" s="582"/>
      <c r="M46" s="593">
        <f t="shared" si="42"/>
        <v>0</v>
      </c>
      <c r="N46" s="111"/>
      <c r="O46" s="111"/>
      <c r="P46" s="111"/>
      <c r="Q46" s="111"/>
      <c r="R46" s="111"/>
      <c r="S46" s="111"/>
      <c r="T46" s="111"/>
      <c r="U46" s="111"/>
      <c r="V46" s="111"/>
      <c r="W46" s="391">
        <f t="shared" si="38"/>
        <v>0</v>
      </c>
      <c r="X46" s="17">
        <f t="shared" si="39"/>
        <v>0</v>
      </c>
      <c r="Y46" s="18">
        <f t="shared" si="40"/>
        <v>0</v>
      </c>
      <c r="Z46" s="19">
        <f t="shared" si="43"/>
        <v>0</v>
      </c>
      <c r="AA46" s="19"/>
      <c r="AB46" s="19"/>
      <c r="AC46" s="84"/>
      <c r="AE46" s="17"/>
      <c r="AF46" s="17"/>
      <c r="AG46" s="17"/>
      <c r="AH46" s="18">
        <f t="shared" si="44"/>
        <v>0</v>
      </c>
      <c r="AI46" s="19">
        <f t="shared" si="45"/>
        <v>0</v>
      </c>
      <c r="AK46" s="17"/>
      <c r="AL46" s="17"/>
      <c r="AM46" s="17"/>
      <c r="AN46" s="18">
        <f t="shared" si="46"/>
        <v>0</v>
      </c>
      <c r="AO46" s="19">
        <f t="shared" si="47"/>
        <v>0</v>
      </c>
      <c r="AQ46" s="17"/>
      <c r="AR46" s="17"/>
      <c r="AS46" s="17"/>
      <c r="AT46" s="18">
        <f t="shared" si="41"/>
        <v>0</v>
      </c>
      <c r="AU46" s="19">
        <f t="shared" si="48"/>
        <v>0</v>
      </c>
      <c r="AW46" s="17"/>
      <c r="AX46" s="17"/>
      <c r="AY46" s="17"/>
      <c r="AZ46" s="424">
        <f t="shared" si="49"/>
        <v>0</v>
      </c>
      <c r="BA46" s="19">
        <f t="shared" si="50"/>
        <v>0</v>
      </c>
    </row>
    <row r="47" spans="1:53" ht="17.100000000000001" customHeight="1" x14ac:dyDescent="0.25">
      <c r="A47" s="68"/>
      <c r="B47" s="647"/>
      <c r="C47" s="23"/>
      <c r="D47" s="202" t="s">
        <v>31</v>
      </c>
      <c r="E47" s="85" t="s">
        <v>533</v>
      </c>
      <c r="F47" s="75"/>
      <c r="G47" s="75"/>
      <c r="H47" s="119"/>
      <c r="J47" s="583"/>
      <c r="K47" s="583"/>
      <c r="L47" s="584"/>
      <c r="M47" s="593">
        <f t="shared" si="42"/>
        <v>0</v>
      </c>
      <c r="N47" s="111"/>
      <c r="O47" s="111"/>
      <c r="P47" s="111"/>
      <c r="Q47" s="111"/>
      <c r="R47" s="111"/>
      <c r="S47" s="111"/>
      <c r="T47" s="111"/>
      <c r="U47" s="111"/>
      <c r="V47" s="111"/>
      <c r="W47" s="391">
        <f t="shared" si="38"/>
        <v>0</v>
      </c>
      <c r="X47" s="17">
        <f t="shared" si="39"/>
        <v>0</v>
      </c>
      <c r="Y47" s="18">
        <f t="shared" si="40"/>
        <v>0</v>
      </c>
      <c r="Z47" s="19">
        <f t="shared" si="43"/>
        <v>0</v>
      </c>
      <c r="AA47" s="19"/>
      <c r="AB47" s="19"/>
      <c r="AC47" s="84"/>
      <c r="AE47" s="17"/>
      <c r="AF47" s="17"/>
      <c r="AG47" s="17"/>
      <c r="AH47" s="18">
        <f t="shared" si="44"/>
        <v>0</v>
      </c>
      <c r="AI47" s="19">
        <f t="shared" si="45"/>
        <v>0</v>
      </c>
      <c r="AK47" s="17"/>
      <c r="AL47" s="17"/>
      <c r="AM47" s="17"/>
      <c r="AN47" s="18">
        <f t="shared" si="46"/>
        <v>0</v>
      </c>
      <c r="AO47" s="19">
        <f t="shared" si="47"/>
        <v>0</v>
      </c>
      <c r="AQ47" s="17"/>
      <c r="AR47" s="17"/>
      <c r="AS47" s="17"/>
      <c r="AT47" s="18">
        <f t="shared" si="41"/>
        <v>0</v>
      </c>
      <c r="AU47" s="19">
        <f t="shared" si="48"/>
        <v>0</v>
      </c>
      <c r="AW47" s="17"/>
      <c r="AX47" s="17"/>
      <c r="AY47" s="17"/>
      <c r="AZ47" s="424">
        <f t="shared" si="49"/>
        <v>0</v>
      </c>
      <c r="BA47" s="19">
        <f t="shared" si="50"/>
        <v>0</v>
      </c>
    </row>
    <row r="48" spans="1:53" ht="17.100000000000001" customHeight="1" x14ac:dyDescent="0.25">
      <c r="A48" s="68"/>
      <c r="B48" s="647"/>
      <c r="C48" s="93"/>
      <c r="D48" s="202" t="s">
        <v>374</v>
      </c>
      <c r="E48" s="85" t="s">
        <v>534</v>
      </c>
      <c r="F48" s="75"/>
      <c r="G48" s="75"/>
      <c r="H48" s="119"/>
      <c r="J48" s="581"/>
      <c r="K48" s="581"/>
      <c r="L48" s="582"/>
      <c r="M48" s="593">
        <f t="shared" si="42"/>
        <v>0</v>
      </c>
      <c r="N48" s="111"/>
      <c r="O48" s="111"/>
      <c r="P48" s="111"/>
      <c r="Q48" s="111"/>
      <c r="R48" s="111"/>
      <c r="S48" s="111"/>
      <c r="T48" s="111"/>
      <c r="U48" s="111"/>
      <c r="V48" s="111"/>
      <c r="W48" s="391">
        <f t="shared" si="38"/>
        <v>0</v>
      </c>
      <c r="X48" s="17">
        <f t="shared" si="39"/>
        <v>0</v>
      </c>
      <c r="Y48" s="18">
        <f t="shared" si="40"/>
        <v>0</v>
      </c>
      <c r="Z48" s="19">
        <f t="shared" si="43"/>
        <v>0</v>
      </c>
      <c r="AA48" s="19"/>
      <c r="AB48" s="19"/>
      <c r="AC48" s="84"/>
      <c r="AE48" s="17"/>
      <c r="AF48" s="17"/>
      <c r="AG48" s="17"/>
      <c r="AH48" s="18">
        <f t="shared" si="44"/>
        <v>0</v>
      </c>
      <c r="AI48" s="19">
        <f t="shared" si="45"/>
        <v>0</v>
      </c>
      <c r="AK48" s="17"/>
      <c r="AL48" s="17"/>
      <c r="AM48" s="17"/>
      <c r="AN48" s="18">
        <f t="shared" si="46"/>
        <v>0</v>
      </c>
      <c r="AO48" s="19">
        <f t="shared" si="47"/>
        <v>0</v>
      </c>
      <c r="AQ48" s="17"/>
      <c r="AR48" s="17"/>
      <c r="AS48" s="17"/>
      <c r="AT48" s="18">
        <f t="shared" si="41"/>
        <v>0</v>
      </c>
      <c r="AU48" s="19">
        <f t="shared" si="48"/>
        <v>0</v>
      </c>
      <c r="AW48" s="17"/>
      <c r="AX48" s="17"/>
      <c r="AY48" s="17"/>
      <c r="AZ48" s="424">
        <f t="shared" si="49"/>
        <v>0</v>
      </c>
      <c r="BA48" s="19">
        <f t="shared" si="50"/>
        <v>0</v>
      </c>
    </row>
    <row r="49" spans="1:53" ht="17.100000000000001" customHeight="1" x14ac:dyDescent="0.25">
      <c r="A49" s="68"/>
      <c r="B49" s="647"/>
      <c r="C49" s="93"/>
      <c r="D49" s="202" t="s">
        <v>375</v>
      </c>
      <c r="E49" s="85" t="s">
        <v>535</v>
      </c>
      <c r="F49" s="75"/>
      <c r="G49" s="75"/>
      <c r="H49" s="119"/>
      <c r="J49" s="583"/>
      <c r="K49" s="583"/>
      <c r="L49" s="584"/>
      <c r="M49" s="593">
        <f t="shared" si="42"/>
        <v>0</v>
      </c>
      <c r="N49" s="111"/>
      <c r="O49" s="111"/>
      <c r="P49" s="111"/>
      <c r="Q49" s="111"/>
      <c r="R49" s="111"/>
      <c r="S49" s="111"/>
      <c r="T49" s="111"/>
      <c r="U49" s="111"/>
      <c r="V49" s="111"/>
      <c r="W49" s="391">
        <f t="shared" si="38"/>
        <v>0</v>
      </c>
      <c r="X49" s="17">
        <f t="shared" si="39"/>
        <v>0</v>
      </c>
      <c r="Y49" s="18">
        <f t="shared" si="40"/>
        <v>0</v>
      </c>
      <c r="Z49" s="19">
        <f t="shared" si="43"/>
        <v>0</v>
      </c>
      <c r="AA49" s="19"/>
      <c r="AB49" s="19"/>
      <c r="AC49" s="84"/>
      <c r="AE49" s="17"/>
      <c r="AF49" s="17"/>
      <c r="AG49" s="17"/>
      <c r="AH49" s="18">
        <f t="shared" si="44"/>
        <v>0</v>
      </c>
      <c r="AI49" s="19">
        <f t="shared" si="45"/>
        <v>0</v>
      </c>
      <c r="AK49" s="17"/>
      <c r="AL49" s="17"/>
      <c r="AM49" s="17"/>
      <c r="AN49" s="18">
        <f t="shared" si="46"/>
        <v>0</v>
      </c>
      <c r="AO49" s="19">
        <f t="shared" si="47"/>
        <v>0</v>
      </c>
      <c r="AQ49" s="17"/>
      <c r="AR49" s="17"/>
      <c r="AS49" s="17"/>
      <c r="AT49" s="18">
        <f t="shared" si="41"/>
        <v>0</v>
      </c>
      <c r="AU49" s="19">
        <f t="shared" si="48"/>
        <v>0</v>
      </c>
      <c r="AW49" s="17"/>
      <c r="AX49" s="17"/>
      <c r="AY49" s="17"/>
      <c r="AZ49" s="424">
        <f t="shared" si="49"/>
        <v>0</v>
      </c>
      <c r="BA49" s="19">
        <f t="shared" si="50"/>
        <v>0</v>
      </c>
    </row>
    <row r="50" spans="1:53" ht="17.100000000000001" customHeight="1" x14ac:dyDescent="0.25">
      <c r="A50" s="68"/>
      <c r="B50" s="647"/>
      <c r="C50" s="93"/>
      <c r="D50" s="202" t="s">
        <v>376</v>
      </c>
      <c r="E50" s="85" t="s">
        <v>387</v>
      </c>
      <c r="F50" s="75"/>
      <c r="G50" s="75"/>
      <c r="H50" s="119"/>
      <c r="J50" s="581"/>
      <c r="K50" s="581"/>
      <c r="L50" s="582"/>
      <c r="M50" s="593">
        <f t="shared" si="42"/>
        <v>0</v>
      </c>
      <c r="N50" s="111"/>
      <c r="O50" s="111"/>
      <c r="P50" s="111"/>
      <c r="Q50" s="111"/>
      <c r="R50" s="111"/>
      <c r="S50" s="111"/>
      <c r="T50" s="111"/>
      <c r="U50" s="111"/>
      <c r="V50" s="111"/>
      <c r="W50" s="391">
        <f t="shared" si="38"/>
        <v>0</v>
      </c>
      <c r="X50" s="17">
        <f t="shared" si="39"/>
        <v>0</v>
      </c>
      <c r="Y50" s="18">
        <f t="shared" si="40"/>
        <v>0</v>
      </c>
      <c r="Z50" s="19">
        <f t="shared" si="43"/>
        <v>0</v>
      </c>
      <c r="AA50" s="19"/>
      <c r="AB50" s="19"/>
      <c r="AC50" s="84"/>
      <c r="AE50" s="17"/>
      <c r="AF50" s="17"/>
      <c r="AG50" s="17"/>
      <c r="AH50" s="18">
        <f t="shared" si="44"/>
        <v>0</v>
      </c>
      <c r="AI50" s="19">
        <f t="shared" si="45"/>
        <v>0</v>
      </c>
      <c r="AK50" s="17"/>
      <c r="AL50" s="17"/>
      <c r="AM50" s="17"/>
      <c r="AN50" s="18">
        <f t="shared" si="46"/>
        <v>0</v>
      </c>
      <c r="AO50" s="19">
        <f t="shared" si="47"/>
        <v>0</v>
      </c>
      <c r="AQ50" s="17"/>
      <c r="AR50" s="17"/>
      <c r="AS50" s="17"/>
      <c r="AT50" s="18">
        <f t="shared" si="41"/>
        <v>0</v>
      </c>
      <c r="AU50" s="19">
        <f t="shared" si="48"/>
        <v>0</v>
      </c>
      <c r="AW50" s="17"/>
      <c r="AX50" s="17"/>
      <c r="AY50" s="17"/>
      <c r="AZ50" s="424">
        <f t="shared" si="49"/>
        <v>0</v>
      </c>
      <c r="BA50" s="19">
        <f t="shared" si="50"/>
        <v>0</v>
      </c>
    </row>
    <row r="51" spans="1:53" ht="17.100000000000001" customHeight="1" x14ac:dyDescent="0.25">
      <c r="A51" s="68"/>
      <c r="B51" s="647"/>
      <c r="C51" s="93"/>
      <c r="D51" s="202" t="s">
        <v>377</v>
      </c>
      <c r="E51" s="85" t="s">
        <v>388</v>
      </c>
      <c r="F51" s="75"/>
      <c r="G51" s="75"/>
      <c r="H51" s="119"/>
      <c r="J51" s="583"/>
      <c r="K51" s="583"/>
      <c r="L51" s="584"/>
      <c r="M51" s="593">
        <f t="shared" si="42"/>
        <v>0</v>
      </c>
      <c r="N51" s="111"/>
      <c r="O51" s="111"/>
      <c r="P51" s="111"/>
      <c r="Q51" s="111"/>
      <c r="R51" s="111"/>
      <c r="S51" s="111"/>
      <c r="T51" s="111"/>
      <c r="U51" s="111"/>
      <c r="V51" s="111"/>
      <c r="W51" s="391">
        <f t="shared" si="38"/>
        <v>0</v>
      </c>
      <c r="X51" s="17">
        <f t="shared" si="39"/>
        <v>0</v>
      </c>
      <c r="Y51" s="18">
        <f t="shared" si="40"/>
        <v>0</v>
      </c>
      <c r="Z51" s="19">
        <f t="shared" si="43"/>
        <v>0</v>
      </c>
      <c r="AA51" s="19"/>
      <c r="AB51" s="19"/>
      <c r="AC51" s="84"/>
      <c r="AE51" s="17"/>
      <c r="AF51" s="17"/>
      <c r="AG51" s="17"/>
      <c r="AH51" s="18">
        <f t="shared" si="44"/>
        <v>0</v>
      </c>
      <c r="AI51" s="19">
        <f t="shared" si="45"/>
        <v>0</v>
      </c>
      <c r="AK51" s="17"/>
      <c r="AL51" s="17"/>
      <c r="AM51" s="17"/>
      <c r="AN51" s="18">
        <f t="shared" si="46"/>
        <v>0</v>
      </c>
      <c r="AO51" s="19">
        <f t="shared" si="47"/>
        <v>0</v>
      </c>
      <c r="AQ51" s="17"/>
      <c r="AR51" s="17"/>
      <c r="AS51" s="17"/>
      <c r="AT51" s="18">
        <f t="shared" si="41"/>
        <v>0</v>
      </c>
      <c r="AU51" s="19">
        <f t="shared" si="48"/>
        <v>0</v>
      </c>
      <c r="AW51" s="17"/>
      <c r="AX51" s="17"/>
      <c r="AY51" s="17"/>
      <c r="AZ51" s="424">
        <f t="shared" si="49"/>
        <v>0</v>
      </c>
      <c r="BA51" s="19">
        <f t="shared" si="50"/>
        <v>0</v>
      </c>
    </row>
    <row r="52" spans="1:53" ht="17.100000000000001" customHeight="1" x14ac:dyDescent="0.25">
      <c r="A52" s="68"/>
      <c r="B52" s="647"/>
      <c r="C52" s="93"/>
      <c r="D52" s="202" t="s">
        <v>378</v>
      </c>
      <c r="E52" s="85" t="s">
        <v>532</v>
      </c>
      <c r="F52" s="75"/>
      <c r="G52" s="75"/>
      <c r="H52" s="119"/>
      <c r="J52" s="581"/>
      <c r="K52" s="581"/>
      <c r="L52" s="582"/>
      <c r="M52" s="593">
        <f t="shared" si="42"/>
        <v>0</v>
      </c>
      <c r="N52" s="111"/>
      <c r="O52" s="111"/>
      <c r="P52" s="111"/>
      <c r="Q52" s="111"/>
      <c r="R52" s="111"/>
      <c r="S52" s="111"/>
      <c r="T52" s="111"/>
      <c r="U52" s="111"/>
      <c r="V52" s="111"/>
      <c r="W52" s="391">
        <f t="shared" si="38"/>
        <v>0</v>
      </c>
      <c r="X52" s="17">
        <f t="shared" si="39"/>
        <v>0</v>
      </c>
      <c r="Y52" s="18">
        <f t="shared" si="40"/>
        <v>0</v>
      </c>
      <c r="Z52" s="19">
        <f t="shared" si="43"/>
        <v>0</v>
      </c>
      <c r="AA52" s="19"/>
      <c r="AB52" s="19"/>
      <c r="AC52" s="84"/>
      <c r="AE52" s="17"/>
      <c r="AF52" s="17"/>
      <c r="AG52" s="17"/>
      <c r="AH52" s="18">
        <f t="shared" si="44"/>
        <v>0</v>
      </c>
      <c r="AI52" s="19">
        <f t="shared" si="45"/>
        <v>0</v>
      </c>
      <c r="AK52" s="17"/>
      <c r="AL52" s="17"/>
      <c r="AM52" s="17"/>
      <c r="AN52" s="18">
        <f t="shared" si="46"/>
        <v>0</v>
      </c>
      <c r="AO52" s="19">
        <f t="shared" si="47"/>
        <v>0</v>
      </c>
      <c r="AQ52" s="17"/>
      <c r="AR52" s="17"/>
      <c r="AS52" s="17"/>
      <c r="AT52" s="18">
        <f t="shared" si="41"/>
        <v>0</v>
      </c>
      <c r="AU52" s="19">
        <f t="shared" si="48"/>
        <v>0</v>
      </c>
      <c r="AW52" s="17"/>
      <c r="AX52" s="17"/>
      <c r="AY52" s="17"/>
      <c r="AZ52" s="424">
        <f t="shared" si="49"/>
        <v>0</v>
      </c>
      <c r="BA52" s="19">
        <f t="shared" si="50"/>
        <v>0</v>
      </c>
    </row>
    <row r="53" spans="1:53" ht="17.100000000000001" customHeight="1" x14ac:dyDescent="0.25">
      <c r="A53" s="68"/>
      <c r="B53" s="647"/>
      <c r="C53" s="93"/>
      <c r="D53" s="202" t="s">
        <v>379</v>
      </c>
      <c r="E53" s="85" t="s">
        <v>389</v>
      </c>
      <c r="F53" s="75"/>
      <c r="G53" s="105"/>
      <c r="H53" s="119"/>
      <c r="J53" s="583"/>
      <c r="K53" s="583"/>
      <c r="L53" s="584"/>
      <c r="M53" s="593">
        <f t="shared" si="42"/>
        <v>0</v>
      </c>
      <c r="N53" s="111"/>
      <c r="O53" s="111"/>
      <c r="P53" s="111"/>
      <c r="Q53" s="111"/>
      <c r="R53" s="111"/>
      <c r="S53" s="111"/>
      <c r="T53" s="111"/>
      <c r="U53" s="111"/>
      <c r="V53" s="111"/>
      <c r="W53" s="391">
        <f t="shared" si="38"/>
        <v>0</v>
      </c>
      <c r="X53" s="17">
        <f t="shared" si="39"/>
        <v>0</v>
      </c>
      <c r="Y53" s="18">
        <f t="shared" si="40"/>
        <v>0</v>
      </c>
      <c r="Z53" s="19">
        <f t="shared" si="43"/>
        <v>0</v>
      </c>
      <c r="AA53" s="19"/>
      <c r="AB53" s="19"/>
      <c r="AC53" s="84"/>
      <c r="AE53" s="17"/>
      <c r="AF53" s="17"/>
      <c r="AG53" s="17"/>
      <c r="AH53" s="18">
        <f t="shared" si="44"/>
        <v>0</v>
      </c>
      <c r="AI53" s="19">
        <f t="shared" si="45"/>
        <v>0</v>
      </c>
      <c r="AK53" s="17"/>
      <c r="AL53" s="17"/>
      <c r="AM53" s="17"/>
      <c r="AN53" s="18">
        <f t="shared" si="46"/>
        <v>0</v>
      </c>
      <c r="AO53" s="19">
        <f t="shared" si="47"/>
        <v>0</v>
      </c>
      <c r="AQ53" s="17"/>
      <c r="AR53" s="17"/>
      <c r="AS53" s="17"/>
      <c r="AT53" s="18">
        <f t="shared" si="41"/>
        <v>0</v>
      </c>
      <c r="AU53" s="19">
        <f t="shared" si="48"/>
        <v>0</v>
      </c>
      <c r="AW53" s="17"/>
      <c r="AX53" s="17"/>
      <c r="AY53" s="17"/>
      <c r="AZ53" s="424">
        <f t="shared" si="49"/>
        <v>0</v>
      </c>
      <c r="BA53" s="19">
        <f t="shared" si="50"/>
        <v>0</v>
      </c>
    </row>
    <row r="54" spans="1:53" ht="17.100000000000001" customHeight="1" x14ac:dyDescent="0.25">
      <c r="A54" s="68"/>
      <c r="B54" s="647"/>
      <c r="C54" s="93"/>
      <c r="D54" s="202" t="s">
        <v>380</v>
      </c>
      <c r="E54" s="85" t="s">
        <v>390</v>
      </c>
      <c r="F54" s="75"/>
      <c r="G54" s="105"/>
      <c r="H54" s="119"/>
      <c r="J54" s="581"/>
      <c r="K54" s="581"/>
      <c r="L54" s="582"/>
      <c r="M54" s="593">
        <f t="shared" si="42"/>
        <v>0</v>
      </c>
      <c r="N54" s="111"/>
      <c r="O54" s="111"/>
      <c r="P54" s="111"/>
      <c r="Q54" s="111"/>
      <c r="R54" s="111"/>
      <c r="S54" s="111"/>
      <c r="T54" s="111"/>
      <c r="U54" s="111"/>
      <c r="V54" s="111"/>
      <c r="W54" s="391">
        <f t="shared" si="38"/>
        <v>0</v>
      </c>
      <c r="X54" s="17">
        <f t="shared" si="39"/>
        <v>0</v>
      </c>
      <c r="Y54" s="18">
        <f t="shared" si="40"/>
        <v>0</v>
      </c>
      <c r="Z54" s="19">
        <f t="shared" si="43"/>
        <v>0</v>
      </c>
      <c r="AA54" s="19"/>
      <c r="AB54" s="19"/>
      <c r="AC54" s="84"/>
      <c r="AE54" s="17"/>
      <c r="AF54" s="17"/>
      <c r="AG54" s="17"/>
      <c r="AH54" s="18">
        <f t="shared" si="44"/>
        <v>0</v>
      </c>
      <c r="AI54" s="19">
        <f t="shared" si="45"/>
        <v>0</v>
      </c>
      <c r="AK54" s="17"/>
      <c r="AL54" s="17"/>
      <c r="AM54" s="17"/>
      <c r="AN54" s="18">
        <f t="shared" si="46"/>
        <v>0</v>
      </c>
      <c r="AO54" s="19">
        <f t="shared" si="47"/>
        <v>0</v>
      </c>
      <c r="AQ54" s="17"/>
      <c r="AR54" s="17"/>
      <c r="AS54" s="17"/>
      <c r="AT54" s="18">
        <f t="shared" si="41"/>
        <v>0</v>
      </c>
      <c r="AU54" s="19">
        <f t="shared" si="48"/>
        <v>0</v>
      </c>
      <c r="AW54" s="17"/>
      <c r="AX54" s="17"/>
      <c r="AY54" s="17"/>
      <c r="AZ54" s="424">
        <f t="shared" si="49"/>
        <v>0</v>
      </c>
      <c r="BA54" s="19">
        <f t="shared" si="50"/>
        <v>0</v>
      </c>
    </row>
    <row r="55" spans="1:53" ht="17.100000000000001" customHeight="1" x14ac:dyDescent="0.25">
      <c r="A55" s="68"/>
      <c r="B55" s="647"/>
      <c r="C55" s="93"/>
      <c r="D55" s="202" t="s">
        <v>381</v>
      </c>
      <c r="E55" s="85" t="s">
        <v>536</v>
      </c>
      <c r="F55" s="75"/>
      <c r="G55" s="105"/>
      <c r="H55" s="119"/>
      <c r="J55" s="583"/>
      <c r="K55" s="583"/>
      <c r="L55" s="584"/>
      <c r="M55" s="593">
        <f t="shared" si="42"/>
        <v>0</v>
      </c>
      <c r="N55" s="111"/>
      <c r="O55" s="111"/>
      <c r="P55" s="111"/>
      <c r="Q55" s="111"/>
      <c r="R55" s="111"/>
      <c r="S55" s="111"/>
      <c r="T55" s="111"/>
      <c r="U55" s="111"/>
      <c r="V55" s="111"/>
      <c r="W55" s="391">
        <f t="shared" si="38"/>
        <v>0</v>
      </c>
      <c r="X55" s="17">
        <f t="shared" si="39"/>
        <v>0</v>
      </c>
      <c r="Y55" s="18">
        <f t="shared" si="40"/>
        <v>0</v>
      </c>
      <c r="Z55" s="19">
        <f t="shared" si="43"/>
        <v>0</v>
      </c>
      <c r="AA55" s="19"/>
      <c r="AB55" s="19"/>
      <c r="AC55" s="84"/>
      <c r="AE55" s="17"/>
      <c r="AF55" s="17"/>
      <c r="AG55" s="17"/>
      <c r="AH55" s="18">
        <f t="shared" si="44"/>
        <v>0</v>
      </c>
      <c r="AI55" s="19">
        <f t="shared" si="45"/>
        <v>0</v>
      </c>
      <c r="AK55" s="17"/>
      <c r="AL55" s="17"/>
      <c r="AM55" s="17"/>
      <c r="AN55" s="18">
        <f t="shared" si="46"/>
        <v>0</v>
      </c>
      <c r="AO55" s="19">
        <f t="shared" si="47"/>
        <v>0</v>
      </c>
      <c r="AQ55" s="17"/>
      <c r="AR55" s="17"/>
      <c r="AS55" s="17"/>
      <c r="AT55" s="18">
        <f t="shared" si="41"/>
        <v>0</v>
      </c>
      <c r="AU55" s="19">
        <f t="shared" si="48"/>
        <v>0</v>
      </c>
      <c r="AW55" s="17"/>
      <c r="AX55" s="17"/>
      <c r="AY55" s="17"/>
      <c r="AZ55" s="424">
        <f t="shared" si="49"/>
        <v>0</v>
      </c>
      <c r="BA55" s="19">
        <f t="shared" si="50"/>
        <v>0</v>
      </c>
    </row>
    <row r="56" spans="1:53" ht="17.100000000000001" customHeight="1" x14ac:dyDescent="0.25">
      <c r="A56" s="68"/>
      <c r="B56" s="647"/>
      <c r="C56" s="93"/>
      <c r="D56" s="202" t="s">
        <v>382</v>
      </c>
      <c r="E56" s="85" t="s">
        <v>391</v>
      </c>
      <c r="F56" s="75"/>
      <c r="G56" s="105"/>
      <c r="H56" s="119"/>
      <c r="J56" s="581"/>
      <c r="K56" s="581"/>
      <c r="L56" s="582"/>
      <c r="M56" s="593">
        <f t="shared" si="42"/>
        <v>0</v>
      </c>
      <c r="N56" s="111"/>
      <c r="O56" s="111"/>
      <c r="P56" s="111"/>
      <c r="Q56" s="111"/>
      <c r="R56" s="111"/>
      <c r="S56" s="111"/>
      <c r="T56" s="111"/>
      <c r="U56" s="111"/>
      <c r="V56" s="111"/>
      <c r="W56" s="391">
        <f t="shared" si="38"/>
        <v>0</v>
      </c>
      <c r="X56" s="17">
        <f t="shared" si="39"/>
        <v>0</v>
      </c>
      <c r="Y56" s="18">
        <f t="shared" si="40"/>
        <v>0</v>
      </c>
      <c r="Z56" s="19">
        <f t="shared" si="43"/>
        <v>0</v>
      </c>
      <c r="AA56" s="19"/>
      <c r="AB56" s="19"/>
      <c r="AC56" s="84"/>
      <c r="AE56" s="17"/>
      <c r="AF56" s="17"/>
      <c r="AG56" s="17"/>
      <c r="AH56" s="18">
        <f t="shared" si="44"/>
        <v>0</v>
      </c>
      <c r="AI56" s="19">
        <f t="shared" si="45"/>
        <v>0</v>
      </c>
      <c r="AK56" s="17"/>
      <c r="AL56" s="17"/>
      <c r="AM56" s="17"/>
      <c r="AN56" s="18">
        <f t="shared" si="46"/>
        <v>0</v>
      </c>
      <c r="AO56" s="19">
        <f t="shared" si="47"/>
        <v>0</v>
      </c>
      <c r="AQ56" s="17"/>
      <c r="AR56" s="17"/>
      <c r="AS56" s="17"/>
      <c r="AT56" s="18">
        <f t="shared" si="41"/>
        <v>0</v>
      </c>
      <c r="AU56" s="19">
        <f t="shared" si="48"/>
        <v>0</v>
      </c>
      <c r="AW56" s="17"/>
      <c r="AX56" s="17"/>
      <c r="AY56" s="17"/>
      <c r="AZ56" s="424">
        <f t="shared" si="49"/>
        <v>0</v>
      </c>
      <c r="BA56" s="19">
        <f t="shared" si="50"/>
        <v>0</v>
      </c>
    </row>
    <row r="57" spans="1:53" ht="17.100000000000001" customHeight="1" x14ac:dyDescent="0.25">
      <c r="A57" s="68"/>
      <c r="B57" s="647"/>
      <c r="C57" s="93"/>
      <c r="D57" s="202" t="s">
        <v>383</v>
      </c>
      <c r="E57" s="85" t="s">
        <v>392</v>
      </c>
      <c r="F57" s="75"/>
      <c r="G57" s="105"/>
      <c r="H57" s="119"/>
      <c r="J57" s="583"/>
      <c r="K57" s="583"/>
      <c r="L57" s="584"/>
      <c r="M57" s="593">
        <f t="shared" si="42"/>
        <v>0</v>
      </c>
      <c r="N57" s="111"/>
      <c r="O57" s="111"/>
      <c r="P57" s="111"/>
      <c r="Q57" s="111"/>
      <c r="R57" s="111"/>
      <c r="S57" s="111"/>
      <c r="T57" s="111"/>
      <c r="U57" s="111"/>
      <c r="V57" s="111"/>
      <c r="W57" s="391">
        <f t="shared" si="38"/>
        <v>0</v>
      </c>
      <c r="X57" s="17">
        <f t="shared" si="39"/>
        <v>0</v>
      </c>
      <c r="Y57" s="18">
        <f t="shared" si="40"/>
        <v>0</v>
      </c>
      <c r="Z57" s="19">
        <f t="shared" si="43"/>
        <v>0</v>
      </c>
      <c r="AA57" s="19"/>
      <c r="AB57" s="19"/>
      <c r="AC57" s="84"/>
      <c r="AE57" s="17"/>
      <c r="AF57" s="17"/>
      <c r="AG57" s="17"/>
      <c r="AH57" s="18">
        <f t="shared" si="44"/>
        <v>0</v>
      </c>
      <c r="AI57" s="19">
        <f t="shared" si="45"/>
        <v>0</v>
      </c>
      <c r="AK57" s="17"/>
      <c r="AL57" s="17"/>
      <c r="AM57" s="17"/>
      <c r="AN57" s="18">
        <f t="shared" si="46"/>
        <v>0</v>
      </c>
      <c r="AO57" s="19">
        <f t="shared" si="47"/>
        <v>0</v>
      </c>
      <c r="AQ57" s="17"/>
      <c r="AR57" s="17"/>
      <c r="AS57" s="17"/>
      <c r="AT57" s="18">
        <f t="shared" si="41"/>
        <v>0</v>
      </c>
      <c r="AU57" s="19">
        <f t="shared" si="48"/>
        <v>0</v>
      </c>
      <c r="AW57" s="17"/>
      <c r="AX57" s="17"/>
      <c r="AY57" s="17"/>
      <c r="AZ57" s="424">
        <f t="shared" si="49"/>
        <v>0</v>
      </c>
      <c r="BA57" s="19">
        <f t="shared" si="50"/>
        <v>0</v>
      </c>
    </row>
    <row r="58" spans="1:53" ht="17.100000000000001" customHeight="1" x14ac:dyDescent="0.25">
      <c r="A58" s="40"/>
      <c r="B58" s="40"/>
      <c r="C58" s="77"/>
      <c r="D58" s="78"/>
      <c r="E58" s="78"/>
      <c r="F58" s="78"/>
      <c r="G58" s="78"/>
      <c r="H58" s="242"/>
      <c r="I58" s="230"/>
      <c r="J58" s="80">
        <f>SUM(J44:J57)</f>
        <v>0</v>
      </c>
      <c r="K58" s="80">
        <f t="shared" ref="K58:M58" si="51">SUM(K44:K57)</f>
        <v>0</v>
      </c>
      <c r="L58" s="80">
        <f t="shared" si="51"/>
        <v>0</v>
      </c>
      <c r="M58" s="80">
        <f t="shared" si="51"/>
        <v>0</v>
      </c>
      <c r="N58" s="80"/>
      <c r="O58" s="80"/>
      <c r="P58" s="80"/>
      <c r="Q58" s="81"/>
      <c r="R58" s="81"/>
      <c r="S58" s="81"/>
      <c r="T58" s="81"/>
      <c r="U58" s="81"/>
      <c r="V58" s="81"/>
      <c r="W58" s="381">
        <f>SUM(W44:W57)</f>
        <v>0</v>
      </c>
      <c r="X58" s="82">
        <f t="shared" ref="X58:Y58" si="52">SUM(X44:X57)</f>
        <v>0</v>
      </c>
      <c r="Y58" s="82">
        <f t="shared" si="52"/>
        <v>0</v>
      </c>
      <c r="Z58" s="205">
        <f t="shared" si="43"/>
        <v>0</v>
      </c>
      <c r="AA58" s="205"/>
      <c r="AB58" s="205"/>
      <c r="AC58" s="83"/>
      <c r="AE58" s="81"/>
      <c r="AF58" s="81"/>
      <c r="AG58" s="81"/>
      <c r="AH58" s="82">
        <f>SUM(AH44:AH57)</f>
        <v>0</v>
      </c>
      <c r="AI58" s="66">
        <f t="shared" si="45"/>
        <v>0</v>
      </c>
      <c r="AK58" s="81"/>
      <c r="AL58" s="81"/>
      <c r="AM58" s="81"/>
      <c r="AN58" s="82">
        <f>SUM(AN44:AN57)</f>
        <v>0</v>
      </c>
      <c r="AO58" s="66">
        <f t="shared" si="47"/>
        <v>0</v>
      </c>
      <c r="AQ58" s="81"/>
      <c r="AR58" s="81"/>
      <c r="AS58" s="81"/>
      <c r="AT58" s="82">
        <f>SUM(AT44:AT57)</f>
        <v>0</v>
      </c>
      <c r="AU58" s="66">
        <f t="shared" si="48"/>
        <v>0</v>
      </c>
      <c r="AW58" s="81"/>
      <c r="AX58" s="81"/>
      <c r="AY58" s="81"/>
      <c r="AZ58" s="82">
        <f>SUM(AZ44:AZ57)</f>
        <v>0</v>
      </c>
      <c r="BA58" s="66">
        <f t="shared" si="50"/>
        <v>0</v>
      </c>
    </row>
    <row r="59" spans="1:53" s="117" customFormat="1" ht="17.100000000000001" customHeight="1" x14ac:dyDescent="0.25">
      <c r="A59" s="119"/>
      <c r="B59" s="119"/>
      <c r="C59" s="647"/>
      <c r="D59" s="212"/>
      <c r="E59" s="212"/>
      <c r="F59" s="212"/>
      <c r="G59" s="212"/>
      <c r="H59" s="242"/>
      <c r="I59" s="230"/>
      <c r="J59" s="17" t="str">
        <f>IF(J58=J$15,"OK","NOK")</f>
        <v>OK</v>
      </c>
      <c r="K59" s="17" t="str">
        <f t="shared" ref="K59:L59" si="53">IF(K58=K$15,"OK","NOK")</f>
        <v>OK</v>
      </c>
      <c r="L59" s="17" t="str">
        <f t="shared" si="53"/>
        <v>OK</v>
      </c>
      <c r="M59" s="17"/>
      <c r="N59" s="17"/>
      <c r="O59" s="17"/>
      <c r="P59" s="17"/>
      <c r="Q59" s="17"/>
      <c r="R59" s="17"/>
      <c r="S59" s="17"/>
      <c r="T59" s="17"/>
      <c r="U59" s="17"/>
      <c r="V59" s="17"/>
      <c r="W59" s="646"/>
      <c r="X59" s="646"/>
      <c r="Y59" s="646"/>
      <c r="Z59" s="201"/>
      <c r="AA59" s="201"/>
      <c r="AB59" s="201"/>
      <c r="AC59" s="84"/>
      <c r="AE59" s="17"/>
      <c r="AF59" s="17"/>
      <c r="AG59" s="17"/>
      <c r="AH59" s="646"/>
      <c r="AI59" s="91"/>
      <c r="AK59" s="17"/>
      <c r="AL59" s="17"/>
      <c r="AM59" s="17"/>
      <c r="AN59" s="646"/>
      <c r="AO59" s="91"/>
      <c r="AQ59" s="17"/>
      <c r="AR59" s="17"/>
      <c r="AS59" s="17"/>
      <c r="AT59" s="646"/>
      <c r="AU59" s="91"/>
      <c r="AW59" s="17"/>
      <c r="AX59" s="17"/>
      <c r="AY59" s="17"/>
      <c r="AZ59" s="17"/>
      <c r="BA59" s="91"/>
    </row>
    <row r="60" spans="1:53" ht="17.100000000000001" customHeight="1" x14ac:dyDescent="0.25">
      <c r="A60" s="102"/>
      <c r="B60" s="102"/>
      <c r="C60" s="103" t="s">
        <v>33</v>
      </c>
      <c r="D60" s="110" t="s">
        <v>736</v>
      </c>
      <c r="E60" s="108"/>
      <c r="F60" s="108"/>
      <c r="G60" s="108"/>
      <c r="H60" s="315"/>
      <c r="I60" s="232"/>
      <c r="J60" s="111"/>
      <c r="K60" s="111"/>
      <c r="L60" s="111"/>
      <c r="M60" s="111"/>
      <c r="N60" s="111"/>
      <c r="O60" s="111"/>
      <c r="P60" s="111"/>
      <c r="Q60" s="111"/>
      <c r="R60" s="111"/>
      <c r="S60" s="111"/>
      <c r="T60" s="111"/>
      <c r="U60" s="111"/>
      <c r="V60" s="111"/>
      <c r="W60" s="111"/>
      <c r="X60" s="111"/>
      <c r="Y60" s="111"/>
      <c r="Z60" s="113"/>
      <c r="AA60" s="113"/>
      <c r="AB60" s="113"/>
      <c r="AC60" s="113"/>
      <c r="AE60" s="114"/>
      <c r="AF60" s="114"/>
      <c r="AG60" s="114"/>
      <c r="AH60" s="112"/>
      <c r="AI60" s="113"/>
      <c r="AK60" s="114"/>
      <c r="AL60" s="114"/>
      <c r="AM60" s="114"/>
      <c r="AN60" s="112"/>
      <c r="AO60" s="113"/>
      <c r="AQ60" s="114"/>
      <c r="AR60" s="114"/>
      <c r="AS60" s="114"/>
      <c r="AT60" s="112"/>
      <c r="AU60" s="113"/>
      <c r="AW60" s="114"/>
      <c r="AX60" s="114"/>
      <c r="AY60" s="114"/>
      <c r="AZ60" s="114"/>
      <c r="BA60" s="113"/>
    </row>
    <row r="61" spans="1:53" s="117" customFormat="1" ht="17.100000000000001" customHeight="1" x14ac:dyDescent="0.25">
      <c r="A61" s="647"/>
      <c r="B61" s="23"/>
      <c r="C61" s="23"/>
      <c r="D61" s="74" t="s">
        <v>34</v>
      </c>
      <c r="E61" s="75" t="s">
        <v>26</v>
      </c>
      <c r="F61" s="75"/>
      <c r="G61" s="75"/>
      <c r="H61" s="23"/>
      <c r="I61" s="229"/>
      <c r="J61" s="152"/>
      <c r="K61" s="152"/>
      <c r="L61" s="111"/>
      <c r="M61" s="111"/>
      <c r="N61" s="60"/>
      <c r="O61" s="60"/>
      <c r="P61" s="593">
        <f>SUM(N61:O61)</f>
        <v>0</v>
      </c>
      <c r="Q61" s="60"/>
      <c r="R61" s="60"/>
      <c r="S61" s="593">
        <f>SUM(Q61:R61)</f>
        <v>0</v>
      </c>
      <c r="T61" s="60"/>
      <c r="U61" s="60"/>
      <c r="V61" s="593">
        <f>SUM(T61:U61)</f>
        <v>0</v>
      </c>
      <c r="W61" s="391">
        <f t="shared" ref="W61:W64" si="54">J61+K61+N61+Q61+T61</f>
        <v>0</v>
      </c>
      <c r="X61" s="17">
        <f t="shared" ref="X61:X64" si="55">L61+O61+R61+U61</f>
        <v>0</v>
      </c>
      <c r="Y61" s="18">
        <f>SUM(W61:X61)</f>
        <v>0</v>
      </c>
      <c r="Z61" s="19">
        <f>IF(Y$65=0,0,Y61/Y$65)</f>
        <v>0</v>
      </c>
      <c r="AA61" s="91"/>
      <c r="AB61" s="91"/>
      <c r="AC61" s="84"/>
      <c r="AE61" s="111"/>
      <c r="AF61" s="111"/>
      <c r="AG61" s="111"/>
      <c r="AH61" s="651"/>
      <c r="AI61" s="131"/>
      <c r="AK61" s="111"/>
      <c r="AL61" s="111"/>
      <c r="AM61" s="111"/>
      <c r="AN61" s="651"/>
      <c r="AO61" s="131"/>
      <c r="AQ61" s="17"/>
      <c r="AR61" s="17"/>
      <c r="AS61" s="17"/>
      <c r="AT61" s="18">
        <f>W61</f>
        <v>0</v>
      </c>
      <c r="AU61" s="19">
        <f>IF(AT$65=0,0,AT61/AT$65)</f>
        <v>0</v>
      </c>
      <c r="AW61" s="17"/>
      <c r="AX61" s="17"/>
      <c r="AY61" s="17"/>
      <c r="AZ61" s="424">
        <f>X61</f>
        <v>0</v>
      </c>
      <c r="BA61" s="91">
        <f>IF(AZ$65=0,0,AZ61/AZ$65)</f>
        <v>0</v>
      </c>
    </row>
    <row r="62" spans="1:53" s="117" customFormat="1" ht="17.100000000000001" customHeight="1" x14ac:dyDescent="0.25">
      <c r="A62" s="647"/>
      <c r="B62" s="23"/>
      <c r="C62" s="23"/>
      <c r="D62" s="74" t="s">
        <v>36</v>
      </c>
      <c r="E62" s="75" t="s">
        <v>28</v>
      </c>
      <c r="F62" s="75"/>
      <c r="G62" s="75"/>
      <c r="H62" s="23"/>
      <c r="I62" s="229"/>
      <c r="J62" s="152"/>
      <c r="K62" s="152"/>
      <c r="L62" s="111"/>
      <c r="M62" s="111"/>
      <c r="N62" s="61"/>
      <c r="O62" s="61"/>
      <c r="P62" s="593">
        <f t="shared" ref="P62:P64" si="56">SUM(N62:O62)</f>
        <v>0</v>
      </c>
      <c r="Q62" s="61"/>
      <c r="R62" s="61"/>
      <c r="S62" s="593">
        <f t="shared" ref="S62:S64" si="57">SUM(Q62:R62)</f>
        <v>0</v>
      </c>
      <c r="T62" s="61"/>
      <c r="U62" s="61"/>
      <c r="V62" s="593">
        <f t="shared" ref="V62:V64" si="58">SUM(T62:U62)</f>
        <v>0</v>
      </c>
      <c r="W62" s="391">
        <f t="shared" si="54"/>
        <v>0</v>
      </c>
      <c r="X62" s="17">
        <f t="shared" si="55"/>
        <v>0</v>
      </c>
      <c r="Y62" s="18">
        <f>SUM(W62:X62)</f>
        <v>0</v>
      </c>
      <c r="Z62" s="19">
        <f t="shared" ref="Z62:Z65" si="59">IF(Y$65=0,0,Y62/Y$65)</f>
        <v>0</v>
      </c>
      <c r="AA62" s="91"/>
      <c r="AB62" s="91"/>
      <c r="AC62" s="84"/>
      <c r="AE62" s="111"/>
      <c r="AF62" s="111"/>
      <c r="AG62" s="111"/>
      <c r="AH62" s="651"/>
      <c r="AI62" s="131"/>
      <c r="AK62" s="111"/>
      <c r="AL62" s="111"/>
      <c r="AM62" s="111"/>
      <c r="AN62" s="651"/>
      <c r="AO62" s="131"/>
      <c r="AQ62" s="17"/>
      <c r="AR62" s="17"/>
      <c r="AS62" s="17"/>
      <c r="AT62" s="18">
        <f t="shared" ref="AT62:AT64" si="60">W62</f>
        <v>0</v>
      </c>
      <c r="AU62" s="19">
        <f t="shared" ref="AU62:AU65" si="61">IF(AT$65=0,0,AT62/AT$65)</f>
        <v>0</v>
      </c>
      <c r="AW62" s="17"/>
      <c r="AX62" s="17"/>
      <c r="AY62" s="17"/>
      <c r="AZ62" s="424">
        <f t="shared" ref="AZ62:AZ64" si="62">X62</f>
        <v>0</v>
      </c>
      <c r="BA62" s="91">
        <f>IF(AZ$65=0,0,AZ62/AZ$65)</f>
        <v>0</v>
      </c>
    </row>
    <row r="63" spans="1:53" s="117" customFormat="1" ht="17.100000000000001" customHeight="1" x14ac:dyDescent="0.25">
      <c r="A63" s="647"/>
      <c r="B63" s="23"/>
      <c r="C63" s="23"/>
      <c r="D63" s="74" t="s">
        <v>38</v>
      </c>
      <c r="E63" s="75" t="s">
        <v>30</v>
      </c>
      <c r="F63" s="75"/>
      <c r="G63" s="75"/>
      <c r="H63" s="23"/>
      <c r="I63" s="229"/>
      <c r="J63" s="152"/>
      <c r="K63" s="152"/>
      <c r="L63" s="111"/>
      <c r="M63" s="111"/>
      <c r="N63" s="60"/>
      <c r="O63" s="60"/>
      <c r="P63" s="593">
        <f t="shared" si="56"/>
        <v>0</v>
      </c>
      <c r="Q63" s="60"/>
      <c r="R63" s="60"/>
      <c r="S63" s="593">
        <f t="shared" si="57"/>
        <v>0</v>
      </c>
      <c r="T63" s="60"/>
      <c r="U63" s="60"/>
      <c r="V63" s="593">
        <f t="shared" si="58"/>
        <v>0</v>
      </c>
      <c r="W63" s="391">
        <f t="shared" si="54"/>
        <v>0</v>
      </c>
      <c r="X63" s="17">
        <f t="shared" si="55"/>
        <v>0</v>
      </c>
      <c r="Y63" s="18">
        <f>SUM(W63:X63)</f>
        <v>0</v>
      </c>
      <c r="Z63" s="19">
        <f t="shared" si="59"/>
        <v>0</v>
      </c>
      <c r="AA63" s="91"/>
      <c r="AB63" s="91"/>
      <c r="AC63" s="84"/>
      <c r="AE63" s="111"/>
      <c r="AF63" s="111"/>
      <c r="AG63" s="111"/>
      <c r="AH63" s="651"/>
      <c r="AI63" s="131"/>
      <c r="AK63" s="111"/>
      <c r="AL63" s="111"/>
      <c r="AM63" s="111"/>
      <c r="AN63" s="651"/>
      <c r="AO63" s="131"/>
      <c r="AQ63" s="17"/>
      <c r="AR63" s="17"/>
      <c r="AS63" s="17"/>
      <c r="AT63" s="18">
        <f t="shared" si="60"/>
        <v>0</v>
      </c>
      <c r="AU63" s="19">
        <f t="shared" si="61"/>
        <v>0</v>
      </c>
      <c r="AW63" s="17"/>
      <c r="AX63" s="17"/>
      <c r="AY63" s="17"/>
      <c r="AZ63" s="424">
        <f t="shared" si="62"/>
        <v>0</v>
      </c>
      <c r="BA63" s="91">
        <f>IF(AZ$65=0,0,AZ63/AZ$65)</f>
        <v>0</v>
      </c>
    </row>
    <row r="64" spans="1:53" s="117" customFormat="1" ht="17.100000000000001" customHeight="1" x14ac:dyDescent="0.25">
      <c r="A64" s="647"/>
      <c r="B64" s="23"/>
      <c r="C64" s="23"/>
      <c r="D64" s="74" t="s">
        <v>40</v>
      </c>
      <c r="E64" s="75" t="s">
        <v>32</v>
      </c>
      <c r="F64" s="75"/>
      <c r="G64" s="75"/>
      <c r="H64" s="23"/>
      <c r="I64" s="229"/>
      <c r="J64" s="152"/>
      <c r="K64" s="152"/>
      <c r="L64" s="111"/>
      <c r="M64" s="111"/>
      <c r="N64" s="61"/>
      <c r="O64" s="61"/>
      <c r="P64" s="593">
        <f t="shared" si="56"/>
        <v>0</v>
      </c>
      <c r="Q64" s="61"/>
      <c r="R64" s="61"/>
      <c r="S64" s="593">
        <f t="shared" si="57"/>
        <v>0</v>
      </c>
      <c r="T64" s="61"/>
      <c r="U64" s="61"/>
      <c r="V64" s="593">
        <f t="shared" si="58"/>
        <v>0</v>
      </c>
      <c r="W64" s="391">
        <f t="shared" si="54"/>
        <v>0</v>
      </c>
      <c r="X64" s="17">
        <f t="shared" si="55"/>
        <v>0</v>
      </c>
      <c r="Y64" s="18">
        <f>SUM(W64:X64)</f>
        <v>0</v>
      </c>
      <c r="Z64" s="19">
        <f t="shared" si="59"/>
        <v>0</v>
      </c>
      <c r="AA64" s="91"/>
      <c r="AB64" s="91"/>
      <c r="AC64" s="84"/>
      <c r="AE64" s="111"/>
      <c r="AF64" s="111"/>
      <c r="AG64" s="111"/>
      <c r="AH64" s="651"/>
      <c r="AI64" s="131"/>
      <c r="AK64" s="111"/>
      <c r="AL64" s="111"/>
      <c r="AM64" s="111"/>
      <c r="AN64" s="651"/>
      <c r="AO64" s="131"/>
      <c r="AQ64" s="17"/>
      <c r="AR64" s="17"/>
      <c r="AS64" s="17"/>
      <c r="AT64" s="18">
        <f t="shared" si="60"/>
        <v>0</v>
      </c>
      <c r="AU64" s="19">
        <f t="shared" si="61"/>
        <v>0</v>
      </c>
      <c r="AW64" s="17"/>
      <c r="AX64" s="17"/>
      <c r="AY64" s="17"/>
      <c r="AZ64" s="424">
        <f t="shared" si="62"/>
        <v>0</v>
      </c>
      <c r="BA64" s="91">
        <f>IF(AZ$65=0,0,AZ64/AZ$65)</f>
        <v>0</v>
      </c>
    </row>
    <row r="65" spans="1:53" s="117" customFormat="1" ht="17.100000000000001" customHeight="1" x14ac:dyDescent="0.25">
      <c r="A65" s="40"/>
      <c r="B65" s="40"/>
      <c r="C65" s="77"/>
      <c r="D65" s="78"/>
      <c r="E65" s="78"/>
      <c r="F65" s="78"/>
      <c r="G65" s="78"/>
      <c r="H65" s="316"/>
      <c r="I65" s="230"/>
      <c r="J65" s="80"/>
      <c r="K65" s="64"/>
      <c r="L65" s="81"/>
      <c r="M65" s="81"/>
      <c r="N65" s="81">
        <f>SUM(N61:N64)</f>
        <v>0</v>
      </c>
      <c r="O65" s="81">
        <f t="shared" ref="O65:Y65" si="63">SUM(O61:O64)</f>
        <v>0</v>
      </c>
      <c r="P65" s="81">
        <f t="shared" si="63"/>
        <v>0</v>
      </c>
      <c r="Q65" s="81">
        <f t="shared" si="63"/>
        <v>0</v>
      </c>
      <c r="R65" s="81">
        <f t="shared" si="63"/>
        <v>0</v>
      </c>
      <c r="S65" s="81">
        <f t="shared" si="63"/>
        <v>0</v>
      </c>
      <c r="T65" s="81">
        <f t="shared" si="63"/>
        <v>0</v>
      </c>
      <c r="U65" s="81">
        <f t="shared" si="63"/>
        <v>0</v>
      </c>
      <c r="V65" s="81">
        <f t="shared" si="63"/>
        <v>0</v>
      </c>
      <c r="W65" s="381">
        <f t="shared" si="63"/>
        <v>0</v>
      </c>
      <c r="X65" s="82">
        <f t="shared" si="63"/>
        <v>0</v>
      </c>
      <c r="Y65" s="82">
        <f t="shared" si="63"/>
        <v>0</v>
      </c>
      <c r="Z65" s="205">
        <f t="shared" si="59"/>
        <v>0</v>
      </c>
      <c r="AA65" s="205"/>
      <c r="AB65" s="205"/>
      <c r="AC65" s="83"/>
      <c r="AE65" s="81"/>
      <c r="AF65" s="81"/>
      <c r="AG65" s="81"/>
      <c r="AH65" s="82"/>
      <c r="AI65" s="66"/>
      <c r="AJ65" s="3"/>
      <c r="AK65" s="81"/>
      <c r="AL65" s="81"/>
      <c r="AM65" s="81"/>
      <c r="AN65" s="82"/>
      <c r="AO65" s="66"/>
      <c r="AP65" s="3"/>
      <c r="AQ65" s="81"/>
      <c r="AR65" s="81"/>
      <c r="AS65" s="81"/>
      <c r="AT65" s="82">
        <f>SUM(AT61:AT64)</f>
        <v>0</v>
      </c>
      <c r="AU65" s="66">
        <f t="shared" si="61"/>
        <v>0</v>
      </c>
      <c r="AV65" s="3"/>
      <c r="AW65" s="81"/>
      <c r="AX65" s="81"/>
      <c r="AY65" s="81"/>
      <c r="AZ65" s="82">
        <f>SUM(AZ61:AZ64)</f>
        <v>0</v>
      </c>
      <c r="BA65" s="66">
        <f>IF(AZ$65=0,0,AZ65/AZ$65)</f>
        <v>0</v>
      </c>
    </row>
    <row r="66" spans="1:53" s="117" customFormat="1" ht="17.100000000000001" customHeight="1" x14ac:dyDescent="0.25">
      <c r="A66" s="119"/>
      <c r="B66" s="119"/>
      <c r="C66" s="647"/>
      <c r="D66" s="212"/>
      <c r="E66" s="212"/>
      <c r="F66" s="212"/>
      <c r="G66" s="212"/>
      <c r="H66" s="242"/>
      <c r="I66" s="230"/>
      <c r="J66" s="17"/>
      <c r="K66" s="17"/>
      <c r="L66" s="17"/>
      <c r="M66" s="17"/>
      <c r="N66" s="17" t="str">
        <f>IF(N65=N$20,"OK","NOK")</f>
        <v>OK</v>
      </c>
      <c r="O66" s="17" t="str">
        <f>IF(O65=O$20,"OK","NOK")</f>
        <v>OK</v>
      </c>
      <c r="P66" s="17"/>
      <c r="Q66" s="17" t="str">
        <f>IF(Q65=Q$20,"OK","NOK")</f>
        <v>OK</v>
      </c>
      <c r="R66" s="17" t="str">
        <f>IF(R65=R$20,"OK","NOK")</f>
        <v>OK</v>
      </c>
      <c r="S66" s="17"/>
      <c r="T66" s="17" t="str">
        <f>IF(T65=T$20,"OK","NOK")</f>
        <v>OK</v>
      </c>
      <c r="U66" s="17" t="str">
        <f>IF(U65=U$20,"OK","NOK")</f>
        <v>OK</v>
      </c>
      <c r="V66" s="359"/>
      <c r="W66" s="382"/>
      <c r="X66" s="646"/>
      <c r="Y66" s="646"/>
      <c r="Z66" s="201"/>
      <c r="AA66" s="201"/>
      <c r="AB66" s="201"/>
      <c r="AC66" s="84"/>
      <c r="AE66" s="17"/>
      <c r="AF66" s="17"/>
      <c r="AG66" s="17"/>
      <c r="AH66" s="646"/>
      <c r="AI66" s="91"/>
      <c r="AK66" s="17"/>
      <c r="AL66" s="17"/>
      <c r="AM66" s="17"/>
      <c r="AN66" s="646"/>
      <c r="AO66" s="91"/>
      <c r="AQ66" s="17"/>
      <c r="AR66" s="17"/>
      <c r="AS66" s="17"/>
      <c r="AT66" s="646"/>
      <c r="AU66" s="91"/>
      <c r="AW66" s="17"/>
      <c r="AX66" s="17"/>
      <c r="AY66" s="17"/>
      <c r="AZ66" s="17"/>
      <c r="BA66" s="91"/>
    </row>
    <row r="67" spans="1:53" ht="17.100000000000001" customHeight="1" x14ac:dyDescent="0.25">
      <c r="A67" s="102"/>
      <c r="B67" s="23"/>
      <c r="C67" s="103" t="s">
        <v>393</v>
      </c>
      <c r="D67" s="110" t="s">
        <v>737</v>
      </c>
      <c r="E67" s="313"/>
      <c r="F67" s="313"/>
      <c r="G67" s="313"/>
      <c r="H67" s="313"/>
      <c r="I67" s="313"/>
      <c r="J67" s="314"/>
      <c r="K67" s="111"/>
      <c r="L67" s="111"/>
      <c r="M67" s="111"/>
      <c r="N67" s="111"/>
      <c r="O67" s="111"/>
      <c r="P67" s="111"/>
      <c r="Q67" s="111"/>
      <c r="R67" s="111"/>
      <c r="S67" s="111"/>
      <c r="T67" s="111"/>
      <c r="U67" s="111"/>
      <c r="V67" s="111"/>
      <c r="W67" s="111"/>
      <c r="X67" s="111"/>
      <c r="Y67" s="111"/>
      <c r="Z67" s="113"/>
      <c r="AA67" s="113"/>
      <c r="AB67" s="113"/>
      <c r="AC67" s="113"/>
      <c r="AE67" s="114"/>
      <c r="AF67" s="114"/>
      <c r="AG67" s="114"/>
      <c r="AH67" s="112"/>
      <c r="AI67" s="113"/>
      <c r="AK67" s="114"/>
      <c r="AL67" s="114"/>
      <c r="AM67" s="114"/>
      <c r="AN67" s="112"/>
      <c r="AO67" s="113"/>
      <c r="AQ67" s="114"/>
      <c r="AR67" s="114"/>
      <c r="AS67" s="114"/>
      <c r="AT67" s="112"/>
      <c r="AU67" s="113"/>
      <c r="AW67" s="114"/>
      <c r="AX67" s="114"/>
      <c r="AY67" s="114"/>
      <c r="AZ67" s="114"/>
      <c r="BA67" s="113"/>
    </row>
    <row r="68" spans="1:53" ht="17.100000000000001" customHeight="1" x14ac:dyDescent="0.25">
      <c r="A68" s="102"/>
      <c r="B68" s="118"/>
      <c r="C68" s="118"/>
      <c r="D68" s="103" t="s">
        <v>394</v>
      </c>
      <c r="E68" s="108" t="s">
        <v>35</v>
      </c>
      <c r="F68" s="108"/>
      <c r="G68" s="108"/>
      <c r="H68" s="315"/>
      <c r="I68" s="232"/>
      <c r="J68" s="152"/>
      <c r="K68" s="152"/>
      <c r="L68" s="111"/>
      <c r="M68" s="111"/>
      <c r="N68" s="60"/>
      <c r="O68" s="60"/>
      <c r="P68" s="593">
        <f t="shared" ref="P68:P72" si="64">SUM(N68:O68)</f>
        <v>0</v>
      </c>
      <c r="Q68" s="60"/>
      <c r="R68" s="60"/>
      <c r="S68" s="593">
        <f t="shared" ref="S68:S72" si="65">SUM(Q68:R68)</f>
        <v>0</v>
      </c>
      <c r="T68" s="60"/>
      <c r="U68" s="60"/>
      <c r="V68" s="593">
        <f t="shared" ref="V68:V72" si="66">SUM(T68:U68)</f>
        <v>0</v>
      </c>
      <c r="W68" s="391">
        <f t="shared" ref="W68:W72" si="67">J68+K68+N68+Q68+T68</f>
        <v>0</v>
      </c>
      <c r="X68" s="17">
        <f t="shared" ref="X68:X72" si="68">L68+O68+R68+U68</f>
        <v>0</v>
      </c>
      <c r="Y68" s="18">
        <f>SUM(W68:X68)</f>
        <v>0</v>
      </c>
      <c r="Z68" s="19">
        <f>IF(Y$73=0,0,Y68/Y$73)</f>
        <v>0</v>
      </c>
      <c r="AA68" s="19"/>
      <c r="AB68" s="19"/>
      <c r="AC68" s="20"/>
      <c r="AE68" s="111"/>
      <c r="AF68" s="111"/>
      <c r="AG68" s="111"/>
      <c r="AH68" s="651"/>
      <c r="AI68" s="131"/>
      <c r="AJ68" s="117"/>
      <c r="AK68" s="111"/>
      <c r="AL68" s="111"/>
      <c r="AM68" s="111"/>
      <c r="AN68" s="651"/>
      <c r="AO68" s="131"/>
      <c r="AQ68" s="17"/>
      <c r="AR68" s="17"/>
      <c r="AS68" s="17"/>
      <c r="AT68" s="18">
        <f t="shared" ref="AT68:AT72" si="69">W68</f>
        <v>0</v>
      </c>
      <c r="AU68" s="19">
        <f>IF(AT$73=0,0,AT68/AT$73)</f>
        <v>0</v>
      </c>
      <c r="AW68" s="17"/>
      <c r="AX68" s="17"/>
      <c r="AY68" s="17"/>
      <c r="AZ68" s="424">
        <f>X68</f>
        <v>0</v>
      </c>
      <c r="BA68" s="19">
        <f t="shared" ref="BA68:BA73" si="70">IF(AZ$73=0,0,AZ68/AZ$73)</f>
        <v>0</v>
      </c>
    </row>
    <row r="69" spans="1:53" ht="17.100000000000001" customHeight="1" x14ac:dyDescent="0.25">
      <c r="A69" s="102"/>
      <c r="B69" s="118"/>
      <c r="C69" s="118"/>
      <c r="D69" s="103" t="s">
        <v>395</v>
      </c>
      <c r="E69" s="108" t="s">
        <v>37</v>
      </c>
      <c r="F69" s="108"/>
      <c r="G69" s="108"/>
      <c r="H69" s="315"/>
      <c r="I69" s="232"/>
      <c r="J69" s="152"/>
      <c r="K69" s="152"/>
      <c r="L69" s="111"/>
      <c r="M69" s="111"/>
      <c r="N69" s="61"/>
      <c r="O69" s="61"/>
      <c r="P69" s="593">
        <f t="shared" si="64"/>
        <v>0</v>
      </c>
      <c r="Q69" s="61"/>
      <c r="R69" s="61"/>
      <c r="S69" s="593">
        <f t="shared" si="65"/>
        <v>0</v>
      </c>
      <c r="T69" s="61"/>
      <c r="U69" s="61"/>
      <c r="V69" s="593">
        <f t="shared" si="66"/>
        <v>0</v>
      </c>
      <c r="W69" s="391">
        <f t="shared" si="67"/>
        <v>0</v>
      </c>
      <c r="X69" s="17">
        <f t="shared" si="68"/>
        <v>0</v>
      </c>
      <c r="Y69" s="18">
        <f>SUM(W69:X69)</f>
        <v>0</v>
      </c>
      <c r="Z69" s="19">
        <f t="shared" ref="Z69:Z73" si="71">IF(Y$73=0,0,Y69/Y$73)</f>
        <v>0</v>
      </c>
      <c r="AA69" s="19"/>
      <c r="AB69" s="19"/>
      <c r="AC69" s="20"/>
      <c r="AE69" s="111"/>
      <c r="AF69" s="111"/>
      <c r="AG69" s="111"/>
      <c r="AH69" s="651"/>
      <c r="AI69" s="131"/>
      <c r="AJ69" s="117"/>
      <c r="AK69" s="111"/>
      <c r="AL69" s="111"/>
      <c r="AM69" s="111"/>
      <c r="AN69" s="651"/>
      <c r="AO69" s="131"/>
      <c r="AQ69" s="17"/>
      <c r="AR69" s="17"/>
      <c r="AS69" s="17"/>
      <c r="AT69" s="18">
        <f t="shared" si="69"/>
        <v>0</v>
      </c>
      <c r="AU69" s="19">
        <f t="shared" ref="AU69:AU73" si="72">IF(AT$73=0,0,AT69/AT$73)</f>
        <v>0</v>
      </c>
      <c r="AW69" s="17"/>
      <c r="AX69" s="17"/>
      <c r="AY69" s="17"/>
      <c r="AZ69" s="424">
        <f t="shared" ref="AZ69:AZ72" si="73">X69</f>
        <v>0</v>
      </c>
      <c r="BA69" s="19">
        <f t="shared" si="70"/>
        <v>0</v>
      </c>
    </row>
    <row r="70" spans="1:53" ht="17.100000000000001" customHeight="1" x14ac:dyDescent="0.25">
      <c r="A70" s="102"/>
      <c r="B70" s="118"/>
      <c r="C70" s="118"/>
      <c r="D70" s="103" t="s">
        <v>396</v>
      </c>
      <c r="E70" s="108" t="s">
        <v>39</v>
      </c>
      <c r="F70" s="108"/>
      <c r="G70" s="108"/>
      <c r="H70" s="315"/>
      <c r="I70" s="232"/>
      <c r="J70" s="152"/>
      <c r="K70" s="152"/>
      <c r="L70" s="111"/>
      <c r="M70" s="111"/>
      <c r="N70" s="60"/>
      <c r="O70" s="60"/>
      <c r="P70" s="593">
        <f t="shared" si="64"/>
        <v>0</v>
      </c>
      <c r="Q70" s="60"/>
      <c r="R70" s="60"/>
      <c r="S70" s="593">
        <f t="shared" si="65"/>
        <v>0</v>
      </c>
      <c r="T70" s="60"/>
      <c r="U70" s="60"/>
      <c r="V70" s="593">
        <f t="shared" si="66"/>
        <v>0</v>
      </c>
      <c r="W70" s="391">
        <f t="shared" si="67"/>
        <v>0</v>
      </c>
      <c r="X70" s="17">
        <f t="shared" si="68"/>
        <v>0</v>
      </c>
      <c r="Y70" s="18">
        <f>SUM(W70:X70)</f>
        <v>0</v>
      </c>
      <c r="Z70" s="19">
        <f t="shared" si="71"/>
        <v>0</v>
      </c>
      <c r="AA70" s="19"/>
      <c r="AB70" s="19"/>
      <c r="AC70" s="20"/>
      <c r="AE70" s="111"/>
      <c r="AF70" s="111"/>
      <c r="AG70" s="111"/>
      <c r="AH70" s="651"/>
      <c r="AI70" s="131"/>
      <c r="AJ70" s="117"/>
      <c r="AK70" s="111"/>
      <c r="AL70" s="111"/>
      <c r="AM70" s="111"/>
      <c r="AN70" s="651"/>
      <c r="AO70" s="131"/>
      <c r="AQ70" s="17"/>
      <c r="AR70" s="17"/>
      <c r="AS70" s="17"/>
      <c r="AT70" s="18">
        <f t="shared" si="69"/>
        <v>0</v>
      </c>
      <c r="AU70" s="19">
        <f t="shared" si="72"/>
        <v>0</v>
      </c>
      <c r="AW70" s="17"/>
      <c r="AX70" s="17"/>
      <c r="AY70" s="17"/>
      <c r="AZ70" s="424">
        <f t="shared" si="73"/>
        <v>0</v>
      </c>
      <c r="BA70" s="19">
        <f t="shared" si="70"/>
        <v>0</v>
      </c>
    </row>
    <row r="71" spans="1:53" ht="17.100000000000001" customHeight="1" x14ac:dyDescent="0.25">
      <c r="A71" s="102"/>
      <c r="B71" s="118"/>
      <c r="C71" s="118"/>
      <c r="D71" s="103" t="s">
        <v>397</v>
      </c>
      <c r="E71" s="108" t="s">
        <v>41</v>
      </c>
      <c r="F71" s="108"/>
      <c r="G71" s="108"/>
      <c r="H71" s="315"/>
      <c r="I71" s="232"/>
      <c r="J71" s="152"/>
      <c r="K71" s="152"/>
      <c r="L71" s="111"/>
      <c r="M71" s="111"/>
      <c r="N71" s="61"/>
      <c r="O71" s="61"/>
      <c r="P71" s="593">
        <f t="shared" si="64"/>
        <v>0</v>
      </c>
      <c r="Q71" s="61"/>
      <c r="R71" s="61"/>
      <c r="S71" s="593">
        <f t="shared" si="65"/>
        <v>0</v>
      </c>
      <c r="T71" s="61"/>
      <c r="U71" s="61"/>
      <c r="V71" s="593">
        <f t="shared" si="66"/>
        <v>0</v>
      </c>
      <c r="W71" s="391">
        <f t="shared" si="67"/>
        <v>0</v>
      </c>
      <c r="X71" s="17">
        <f t="shared" si="68"/>
        <v>0</v>
      </c>
      <c r="Y71" s="18">
        <f>SUM(W71:X71)</f>
        <v>0</v>
      </c>
      <c r="Z71" s="19">
        <f t="shared" si="71"/>
        <v>0</v>
      </c>
      <c r="AA71" s="19"/>
      <c r="AB71" s="19"/>
      <c r="AC71" s="20"/>
      <c r="AE71" s="111"/>
      <c r="AF71" s="111"/>
      <c r="AG71" s="111"/>
      <c r="AH71" s="651"/>
      <c r="AI71" s="131"/>
      <c r="AJ71" s="117"/>
      <c r="AK71" s="111"/>
      <c r="AL71" s="111"/>
      <c r="AM71" s="111"/>
      <c r="AN71" s="651"/>
      <c r="AO71" s="131"/>
      <c r="AQ71" s="17"/>
      <c r="AR71" s="17"/>
      <c r="AS71" s="17"/>
      <c r="AT71" s="18">
        <f t="shared" si="69"/>
        <v>0</v>
      </c>
      <c r="AU71" s="19">
        <f t="shared" si="72"/>
        <v>0</v>
      </c>
      <c r="AW71" s="17"/>
      <c r="AX71" s="17"/>
      <c r="AY71" s="17"/>
      <c r="AZ71" s="424">
        <f t="shared" si="73"/>
        <v>0</v>
      </c>
      <c r="BA71" s="19">
        <f t="shared" si="70"/>
        <v>0</v>
      </c>
    </row>
    <row r="72" spans="1:53" ht="17.100000000000001" customHeight="1" x14ac:dyDescent="0.25">
      <c r="A72" s="102"/>
      <c r="B72" s="118"/>
      <c r="C72" s="118"/>
      <c r="D72" s="103" t="s">
        <v>398</v>
      </c>
      <c r="E72" s="108" t="s">
        <v>42</v>
      </c>
      <c r="F72" s="108"/>
      <c r="G72" s="108"/>
      <c r="H72" s="315"/>
      <c r="I72" s="232"/>
      <c r="J72" s="174"/>
      <c r="K72" s="174"/>
      <c r="L72" s="111"/>
      <c r="M72" s="111"/>
      <c r="N72" s="60"/>
      <c r="O72" s="60"/>
      <c r="P72" s="593">
        <f t="shared" si="64"/>
        <v>0</v>
      </c>
      <c r="Q72" s="60"/>
      <c r="R72" s="60"/>
      <c r="S72" s="593">
        <f t="shared" si="65"/>
        <v>0</v>
      </c>
      <c r="T72" s="60"/>
      <c r="U72" s="60"/>
      <c r="V72" s="593">
        <f t="shared" si="66"/>
        <v>0</v>
      </c>
      <c r="W72" s="391">
        <f t="shared" si="67"/>
        <v>0</v>
      </c>
      <c r="X72" s="17">
        <f t="shared" si="68"/>
        <v>0</v>
      </c>
      <c r="Y72" s="18">
        <f>SUM(W72:X72)</f>
        <v>0</v>
      </c>
      <c r="Z72" s="19">
        <f t="shared" si="71"/>
        <v>0</v>
      </c>
      <c r="AA72" s="19"/>
      <c r="AB72" s="19"/>
      <c r="AC72" s="20"/>
      <c r="AE72" s="111"/>
      <c r="AF72" s="111"/>
      <c r="AG72" s="111"/>
      <c r="AH72" s="651"/>
      <c r="AI72" s="131"/>
      <c r="AJ72" s="117"/>
      <c r="AK72" s="111"/>
      <c r="AL72" s="111"/>
      <c r="AM72" s="111"/>
      <c r="AN72" s="651"/>
      <c r="AO72" s="131"/>
      <c r="AQ72" s="17"/>
      <c r="AR72" s="17"/>
      <c r="AS72" s="17"/>
      <c r="AT72" s="18">
        <f t="shared" si="69"/>
        <v>0</v>
      </c>
      <c r="AU72" s="19">
        <f t="shared" si="72"/>
        <v>0</v>
      </c>
      <c r="AW72" s="17"/>
      <c r="AX72" s="17"/>
      <c r="AY72" s="17"/>
      <c r="AZ72" s="424">
        <f t="shared" si="73"/>
        <v>0</v>
      </c>
      <c r="BA72" s="19">
        <f t="shared" si="70"/>
        <v>0</v>
      </c>
    </row>
    <row r="73" spans="1:53" ht="17.100000000000001" customHeight="1" x14ac:dyDescent="0.25">
      <c r="A73" s="40"/>
      <c r="B73" s="40"/>
      <c r="C73" s="77"/>
      <c r="D73" s="78"/>
      <c r="E73" s="78"/>
      <c r="F73" s="78"/>
      <c r="G73" s="78"/>
      <c r="H73" s="316"/>
      <c r="I73" s="230"/>
      <c r="J73" s="80"/>
      <c r="K73" s="80"/>
      <c r="L73" s="80"/>
      <c r="M73" s="80"/>
      <c r="N73" s="80">
        <f>SUM(N68:N72)</f>
        <v>0</v>
      </c>
      <c r="O73" s="80">
        <f t="shared" ref="O73:X73" si="74">SUM(O68:O72)</f>
        <v>0</v>
      </c>
      <c r="P73" s="80">
        <f t="shared" si="74"/>
        <v>0</v>
      </c>
      <c r="Q73" s="80">
        <f t="shared" si="74"/>
        <v>0</v>
      </c>
      <c r="R73" s="80">
        <f t="shared" si="74"/>
        <v>0</v>
      </c>
      <c r="S73" s="80">
        <f t="shared" si="74"/>
        <v>0</v>
      </c>
      <c r="T73" s="80">
        <f t="shared" si="74"/>
        <v>0</v>
      </c>
      <c r="U73" s="80">
        <f t="shared" si="74"/>
        <v>0</v>
      </c>
      <c r="V73" s="80">
        <f t="shared" si="74"/>
        <v>0</v>
      </c>
      <c r="W73" s="381">
        <f t="shared" si="74"/>
        <v>0</v>
      </c>
      <c r="X73" s="82">
        <f t="shared" si="74"/>
        <v>0</v>
      </c>
      <c r="Y73" s="82">
        <f>SUM(Y68:Y72)</f>
        <v>0</v>
      </c>
      <c r="Z73" s="205">
        <f t="shared" si="71"/>
        <v>0</v>
      </c>
      <c r="AA73" s="205"/>
      <c r="AB73" s="205"/>
      <c r="AC73" s="83"/>
      <c r="AE73" s="81"/>
      <c r="AF73" s="81"/>
      <c r="AG73" s="81"/>
      <c r="AH73" s="82"/>
      <c r="AI73" s="66"/>
      <c r="AK73" s="81"/>
      <c r="AL73" s="81"/>
      <c r="AM73" s="81"/>
      <c r="AN73" s="82"/>
      <c r="AO73" s="66"/>
      <c r="AQ73" s="81"/>
      <c r="AR73" s="81"/>
      <c r="AS73" s="81"/>
      <c r="AT73" s="82">
        <f>SUM(AT68:AT72)</f>
        <v>0</v>
      </c>
      <c r="AU73" s="66">
        <f t="shared" si="72"/>
        <v>0</v>
      </c>
      <c r="AW73" s="81"/>
      <c r="AX73" s="81"/>
      <c r="AY73" s="81"/>
      <c r="AZ73" s="82">
        <f>SUM(AZ68:AZ72)</f>
        <v>0</v>
      </c>
      <c r="BA73" s="66">
        <f t="shared" si="70"/>
        <v>0</v>
      </c>
    </row>
    <row r="74" spans="1:53" s="117" customFormat="1" ht="17.100000000000001" customHeight="1" x14ac:dyDescent="0.25">
      <c r="A74" s="119"/>
      <c r="B74" s="119"/>
      <c r="C74" s="647"/>
      <c r="D74" s="212"/>
      <c r="E74" s="212"/>
      <c r="F74" s="212"/>
      <c r="G74" s="212"/>
      <c r="H74" s="242"/>
      <c r="I74" s="230"/>
      <c r="J74" s="17"/>
      <c r="K74" s="17"/>
      <c r="L74" s="17"/>
      <c r="M74" s="17"/>
      <c r="N74" s="17" t="str">
        <f>IF(N73=N$20,"OK","NOK")</f>
        <v>OK</v>
      </c>
      <c r="O74" s="17" t="str">
        <f>IF(O73=O$20,"OK","NOK")</f>
        <v>OK</v>
      </c>
      <c r="P74" s="17"/>
      <c r="Q74" s="17" t="str">
        <f>IF(Q73=Q$20,"OK","NOK")</f>
        <v>OK</v>
      </c>
      <c r="R74" s="17" t="str">
        <f>IF(R73=R$20,"OK","NOK")</f>
        <v>OK</v>
      </c>
      <c r="S74" s="17"/>
      <c r="T74" s="17" t="str">
        <f>IF(T73=T$20,"OK","NOK")</f>
        <v>OK</v>
      </c>
      <c r="U74" s="17" t="str">
        <f>IF(U73=U$20,"OK","NOK")</f>
        <v>OK</v>
      </c>
      <c r="V74" s="359"/>
      <c r="W74" s="382"/>
      <c r="X74" s="646"/>
      <c r="Y74" s="646"/>
      <c r="Z74" s="201"/>
      <c r="AA74" s="201"/>
      <c r="AB74" s="201"/>
      <c r="AC74" s="84"/>
      <c r="AE74" s="17"/>
      <c r="AF74" s="17"/>
      <c r="AG74" s="17"/>
      <c r="AH74" s="646"/>
      <c r="AI74" s="91"/>
      <c r="AK74" s="17"/>
      <c r="AL74" s="17"/>
      <c r="AM74" s="17"/>
      <c r="AN74" s="646"/>
      <c r="AO74" s="91"/>
      <c r="AQ74" s="17"/>
      <c r="AR74" s="17"/>
      <c r="AS74" s="17"/>
      <c r="AT74" s="646"/>
      <c r="AU74" s="91"/>
      <c r="AW74" s="17"/>
      <c r="AX74" s="17"/>
      <c r="AY74" s="17"/>
      <c r="AZ74" s="17"/>
      <c r="BA74" s="91"/>
    </row>
    <row r="75" spans="1:53" ht="17.100000000000001" customHeight="1" x14ac:dyDescent="0.25">
      <c r="A75" s="68"/>
      <c r="B75" s="41" t="s">
        <v>43</v>
      </c>
      <c r="C75" s="69" t="s">
        <v>44</v>
      </c>
      <c r="D75" s="50"/>
      <c r="E75" s="70"/>
      <c r="F75" s="70"/>
      <c r="G75" s="70"/>
      <c r="H75" s="119"/>
      <c r="J75" s="71"/>
      <c r="K75" s="71"/>
      <c r="L75" s="71"/>
      <c r="M75" s="71"/>
      <c r="N75" s="71"/>
      <c r="O75" s="71"/>
      <c r="P75" s="71"/>
      <c r="Q75" s="71"/>
      <c r="R75" s="71"/>
      <c r="S75" s="71"/>
      <c r="T75" s="71"/>
      <c r="U75" s="71"/>
      <c r="V75" s="355"/>
      <c r="W75" s="377"/>
      <c r="X75" s="71"/>
      <c r="Y75" s="72"/>
      <c r="Z75" s="73"/>
      <c r="AA75" s="73"/>
      <c r="AB75" s="73"/>
      <c r="AC75" s="73"/>
      <c r="AE75" s="71"/>
      <c r="AF75" s="71"/>
      <c r="AG75" s="71"/>
      <c r="AH75" s="72"/>
      <c r="AI75" s="73"/>
      <c r="AJ75" s="117"/>
      <c r="AK75" s="71"/>
      <c r="AL75" s="71"/>
      <c r="AM75" s="71"/>
      <c r="AN75" s="72"/>
      <c r="AO75" s="73"/>
      <c r="AP75" s="117"/>
      <c r="AQ75" s="71"/>
      <c r="AR75" s="71"/>
      <c r="AS75" s="71"/>
      <c r="AT75" s="72"/>
      <c r="AU75" s="73"/>
      <c r="AV75" s="117"/>
      <c r="AW75" s="71"/>
      <c r="AX75" s="71"/>
      <c r="AY75" s="71"/>
      <c r="AZ75" s="273"/>
      <c r="BA75" s="73"/>
    </row>
    <row r="76" spans="1:53" ht="17.100000000000001" customHeight="1" x14ac:dyDescent="0.25">
      <c r="A76" s="102"/>
      <c r="B76" s="102"/>
      <c r="C76" s="103" t="s">
        <v>45</v>
      </c>
      <c r="D76" s="108" t="s">
        <v>46</v>
      </c>
      <c r="E76" s="108"/>
      <c r="F76" s="108"/>
      <c r="G76" s="108"/>
      <c r="H76" s="258"/>
      <c r="I76" s="232"/>
      <c r="J76" s="111"/>
      <c r="K76" s="111"/>
      <c r="L76" s="111"/>
      <c r="M76" s="111"/>
      <c r="N76" s="111"/>
      <c r="O76" s="111"/>
      <c r="P76" s="111"/>
      <c r="Q76" s="111"/>
      <c r="R76" s="111"/>
      <c r="S76" s="111"/>
      <c r="T76" s="111"/>
      <c r="U76" s="111"/>
      <c r="V76" s="358"/>
      <c r="W76" s="380"/>
      <c r="X76" s="111"/>
      <c r="Y76" s="112"/>
      <c r="Z76" s="113"/>
      <c r="AA76" s="113"/>
      <c r="AB76" s="113"/>
      <c r="AC76" s="113"/>
      <c r="AE76" s="114"/>
      <c r="AF76" s="114"/>
      <c r="AG76" s="114"/>
      <c r="AH76" s="112"/>
      <c r="AI76" s="113"/>
      <c r="AJ76" s="117"/>
      <c r="AK76" s="114"/>
      <c r="AL76" s="114"/>
      <c r="AM76" s="114"/>
      <c r="AN76" s="112"/>
      <c r="AO76" s="113"/>
      <c r="AP76" s="117"/>
      <c r="AQ76" s="114"/>
      <c r="AR76" s="114"/>
      <c r="AS76" s="114"/>
      <c r="AT76" s="112"/>
      <c r="AU76" s="113"/>
      <c r="AV76" s="117"/>
      <c r="AW76" s="114"/>
      <c r="AX76" s="114"/>
      <c r="AY76" s="114"/>
      <c r="AZ76" s="114"/>
      <c r="BA76" s="113"/>
    </row>
    <row r="77" spans="1:53" ht="17.100000000000001" customHeight="1" x14ac:dyDescent="0.25">
      <c r="A77" s="102"/>
      <c r="B77" s="102"/>
      <c r="C77" s="102"/>
      <c r="D77" s="103" t="s">
        <v>47</v>
      </c>
      <c r="E77" s="108" t="s">
        <v>35</v>
      </c>
      <c r="F77" s="108"/>
      <c r="G77" s="108"/>
      <c r="H77" s="258"/>
      <c r="I77" s="232"/>
      <c r="J77" s="152"/>
      <c r="K77" s="152"/>
      <c r="L77" s="111"/>
      <c r="M77" s="111"/>
      <c r="N77" s="152"/>
      <c r="O77" s="111"/>
      <c r="P77" s="60"/>
      <c r="Q77" s="152"/>
      <c r="R77" s="111"/>
      <c r="S77" s="60"/>
      <c r="T77" s="152"/>
      <c r="U77" s="111"/>
      <c r="V77" s="361"/>
      <c r="W77" s="391"/>
      <c r="X77" s="17"/>
      <c r="Y77" s="18">
        <f>M77+P77+S77+V77</f>
        <v>0</v>
      </c>
      <c r="Z77" s="19">
        <f>IF(Y$81=0,0,Y77/Y$81)</f>
        <v>0</v>
      </c>
      <c r="AA77" s="19"/>
      <c r="AB77" s="19"/>
      <c r="AC77" s="20"/>
      <c r="AE77" s="111"/>
      <c r="AF77" s="111"/>
      <c r="AG77" s="111"/>
      <c r="AH77" s="651"/>
      <c r="AI77" s="131"/>
      <c r="AJ77" s="117"/>
      <c r="AK77" s="111"/>
      <c r="AL77" s="111"/>
      <c r="AM77" s="111"/>
      <c r="AN77" s="651"/>
      <c r="AO77" s="131"/>
      <c r="AP77" s="117"/>
      <c r="AQ77" s="111"/>
      <c r="AR77" s="111"/>
      <c r="AS77" s="111"/>
      <c r="AT77" s="651"/>
      <c r="AU77" s="131"/>
      <c r="AV77" s="117"/>
      <c r="AW77" s="111"/>
      <c r="AX77" s="111"/>
      <c r="AY77" s="111"/>
      <c r="AZ77" s="111"/>
      <c r="BA77" s="131"/>
    </row>
    <row r="78" spans="1:53" ht="17.100000000000001" customHeight="1" x14ac:dyDescent="0.25">
      <c r="A78" s="102"/>
      <c r="B78" s="102"/>
      <c r="C78" s="102"/>
      <c r="D78" s="103" t="s">
        <v>48</v>
      </c>
      <c r="E78" s="108" t="s">
        <v>49</v>
      </c>
      <c r="F78" s="108"/>
      <c r="G78" s="108"/>
      <c r="H78" s="258"/>
      <c r="I78" s="232"/>
      <c r="J78" s="152"/>
      <c r="K78" s="152"/>
      <c r="L78" s="111"/>
      <c r="M78" s="111"/>
      <c r="N78" s="152"/>
      <c r="O78" s="111"/>
      <c r="P78" s="61"/>
      <c r="Q78" s="152"/>
      <c r="R78" s="111"/>
      <c r="S78" s="61"/>
      <c r="T78" s="152"/>
      <c r="U78" s="111"/>
      <c r="V78" s="362"/>
      <c r="W78" s="391"/>
      <c r="X78" s="17"/>
      <c r="Y78" s="18">
        <f t="shared" ref="Y78:Y80" si="75">M78+P78+S78+V78</f>
        <v>0</v>
      </c>
      <c r="Z78" s="19">
        <f t="shared" ref="Z78:Z81" si="76">IF(Y$81=0,0,Y78/Y$81)</f>
        <v>0</v>
      </c>
      <c r="AA78" s="19"/>
      <c r="AB78" s="19"/>
      <c r="AC78" s="20"/>
      <c r="AE78" s="111"/>
      <c r="AF78" s="111"/>
      <c r="AG78" s="111"/>
      <c r="AH78" s="651"/>
      <c r="AI78" s="131"/>
      <c r="AJ78" s="117"/>
      <c r="AK78" s="111"/>
      <c r="AL78" s="111"/>
      <c r="AM78" s="111"/>
      <c r="AN78" s="651"/>
      <c r="AO78" s="131"/>
      <c r="AP78" s="117"/>
      <c r="AQ78" s="111"/>
      <c r="AR78" s="111"/>
      <c r="AS78" s="111"/>
      <c r="AT78" s="651"/>
      <c r="AU78" s="131"/>
      <c r="AV78" s="117"/>
      <c r="AW78" s="111"/>
      <c r="AX78" s="111"/>
      <c r="AY78" s="111"/>
      <c r="AZ78" s="111"/>
      <c r="BA78" s="131"/>
    </row>
    <row r="79" spans="1:53" ht="17.100000000000001" customHeight="1" x14ac:dyDescent="0.25">
      <c r="A79" s="102"/>
      <c r="B79" s="102"/>
      <c r="C79" s="102"/>
      <c r="D79" s="103" t="s">
        <v>50</v>
      </c>
      <c r="E79" s="108" t="s">
        <v>51</v>
      </c>
      <c r="F79" s="108"/>
      <c r="G79" s="108"/>
      <c r="H79" s="258"/>
      <c r="I79" s="232"/>
      <c r="J79" s="152"/>
      <c r="K79" s="152"/>
      <c r="L79" s="111"/>
      <c r="M79" s="111"/>
      <c r="N79" s="152"/>
      <c r="O79" s="111"/>
      <c r="P79" s="60"/>
      <c r="Q79" s="152"/>
      <c r="R79" s="111"/>
      <c r="S79" s="60"/>
      <c r="T79" s="152"/>
      <c r="U79" s="111"/>
      <c r="V79" s="361"/>
      <c r="W79" s="391"/>
      <c r="X79" s="17"/>
      <c r="Y79" s="18">
        <f t="shared" si="75"/>
        <v>0</v>
      </c>
      <c r="Z79" s="19">
        <f t="shared" si="76"/>
        <v>0</v>
      </c>
      <c r="AA79" s="19"/>
      <c r="AB79" s="19"/>
      <c r="AC79" s="20"/>
      <c r="AE79" s="111"/>
      <c r="AF79" s="111"/>
      <c r="AG79" s="111"/>
      <c r="AH79" s="651"/>
      <c r="AI79" s="131"/>
      <c r="AJ79" s="117"/>
      <c r="AK79" s="111"/>
      <c r="AL79" s="111"/>
      <c r="AM79" s="111"/>
      <c r="AN79" s="651"/>
      <c r="AO79" s="131"/>
      <c r="AP79" s="117"/>
      <c r="AQ79" s="111"/>
      <c r="AR79" s="111"/>
      <c r="AS79" s="111"/>
      <c r="AT79" s="651"/>
      <c r="AU79" s="131"/>
      <c r="AV79" s="117"/>
      <c r="AW79" s="111"/>
      <c r="AX79" s="111"/>
      <c r="AY79" s="111"/>
      <c r="AZ79" s="111"/>
      <c r="BA79" s="131"/>
    </row>
    <row r="80" spans="1:53" ht="17.100000000000001" customHeight="1" x14ac:dyDescent="0.25">
      <c r="A80" s="102"/>
      <c r="B80" s="102"/>
      <c r="C80" s="102"/>
      <c r="D80" s="103" t="s">
        <v>52</v>
      </c>
      <c r="E80" s="108" t="s">
        <v>53</v>
      </c>
      <c r="F80" s="108"/>
      <c r="G80" s="108"/>
      <c r="H80" s="258"/>
      <c r="I80" s="232"/>
      <c r="J80" s="152"/>
      <c r="K80" s="152"/>
      <c r="L80" s="111"/>
      <c r="M80" s="111"/>
      <c r="N80" s="152"/>
      <c r="O80" s="111"/>
      <c r="P80" s="61"/>
      <c r="Q80" s="152"/>
      <c r="R80" s="111"/>
      <c r="S80" s="61"/>
      <c r="T80" s="152"/>
      <c r="U80" s="111"/>
      <c r="V80" s="362"/>
      <c r="W80" s="391"/>
      <c r="X80" s="17"/>
      <c r="Y80" s="18">
        <f t="shared" si="75"/>
        <v>0</v>
      </c>
      <c r="Z80" s="19">
        <f t="shared" si="76"/>
        <v>0</v>
      </c>
      <c r="AA80" s="19"/>
      <c r="AB80" s="19"/>
      <c r="AC80" s="20"/>
      <c r="AE80" s="111"/>
      <c r="AF80" s="111"/>
      <c r="AG80" s="111"/>
      <c r="AH80" s="651"/>
      <c r="AI80" s="131"/>
      <c r="AJ80" s="117"/>
      <c r="AK80" s="111"/>
      <c r="AL80" s="111"/>
      <c r="AM80" s="111"/>
      <c r="AN80" s="651"/>
      <c r="AO80" s="131"/>
      <c r="AP80" s="117"/>
      <c r="AQ80" s="111"/>
      <c r="AR80" s="111"/>
      <c r="AS80" s="111"/>
      <c r="AT80" s="651"/>
      <c r="AU80" s="131"/>
      <c r="AV80" s="117"/>
      <c r="AW80" s="111"/>
      <c r="AX80" s="111"/>
      <c r="AY80" s="111"/>
      <c r="AZ80" s="111"/>
      <c r="BA80" s="131"/>
    </row>
    <row r="81" spans="1:53" ht="17.100000000000001" customHeight="1" x14ac:dyDescent="0.25">
      <c r="A81" s="40"/>
      <c r="B81" s="40"/>
      <c r="C81" s="77"/>
      <c r="D81" s="78"/>
      <c r="E81" s="78"/>
      <c r="F81" s="78"/>
      <c r="G81" s="78"/>
      <c r="H81" s="242"/>
      <c r="I81" s="230"/>
      <c r="J81" s="80"/>
      <c r="K81" s="80"/>
      <c r="L81" s="81"/>
      <c r="M81" s="81"/>
      <c r="N81" s="81"/>
      <c r="O81" s="81"/>
      <c r="P81" s="82">
        <f>SUM(P77:P80)</f>
        <v>0</v>
      </c>
      <c r="Q81" s="81"/>
      <c r="R81" s="81"/>
      <c r="S81" s="82">
        <f>SUM(S77:S80)</f>
        <v>0</v>
      </c>
      <c r="T81" s="81"/>
      <c r="U81" s="81"/>
      <c r="V81" s="360">
        <f>SUM(V77:V80)</f>
        <v>0</v>
      </c>
      <c r="W81" s="381"/>
      <c r="X81" s="82"/>
      <c r="Y81" s="82">
        <f t="shared" ref="Y81" si="77">SUM(Y77:Y80)</f>
        <v>0</v>
      </c>
      <c r="Z81" s="205">
        <f t="shared" si="76"/>
        <v>0</v>
      </c>
      <c r="AA81" s="205"/>
      <c r="AB81" s="205"/>
      <c r="AC81" s="83"/>
      <c r="AE81" s="81"/>
      <c r="AF81" s="81"/>
      <c r="AG81" s="81"/>
      <c r="AH81" s="82"/>
      <c r="AI81" s="66"/>
      <c r="AJ81" s="117"/>
      <c r="AK81" s="81"/>
      <c r="AL81" s="81"/>
      <c r="AM81" s="81"/>
      <c r="AN81" s="82"/>
      <c r="AO81" s="66"/>
      <c r="AP81" s="117"/>
      <c r="AQ81" s="81"/>
      <c r="AR81" s="81"/>
      <c r="AS81" s="81"/>
      <c r="AT81" s="82"/>
      <c r="AU81" s="66"/>
      <c r="AV81" s="117"/>
      <c r="AW81" s="81"/>
      <c r="AX81" s="81"/>
      <c r="AY81" s="81"/>
      <c r="AZ81" s="81"/>
      <c r="BA81" s="66"/>
    </row>
    <row r="82" spans="1:53" s="117" customFormat="1" ht="17.100000000000001" customHeight="1" x14ac:dyDescent="0.25">
      <c r="A82" s="119"/>
      <c r="B82" s="119"/>
      <c r="C82" s="647"/>
      <c r="D82" s="212"/>
      <c r="E82" s="212"/>
      <c r="F82" s="212"/>
      <c r="G82" s="212"/>
      <c r="H82" s="242"/>
      <c r="I82" s="230"/>
      <c r="J82" s="17"/>
      <c r="K82" s="17"/>
      <c r="L82" s="17"/>
      <c r="M82" s="17"/>
      <c r="N82" s="17"/>
      <c r="O82" s="17"/>
      <c r="P82" s="17" t="str">
        <f>IF(P81=1,"OK","NOK")</f>
        <v>NOK</v>
      </c>
      <c r="Q82" s="17"/>
      <c r="R82" s="17"/>
      <c r="S82" s="17" t="str">
        <f>IF(S81=1,"OK","NOK")</f>
        <v>NOK</v>
      </c>
      <c r="T82" s="17"/>
      <c r="U82" s="17"/>
      <c r="V82" s="359" t="str">
        <f>IF(V81=1,"OK","NOK")</f>
        <v>NOK</v>
      </c>
      <c r="W82" s="382"/>
      <c r="X82" s="646"/>
      <c r="Y82" s="646"/>
      <c r="Z82" s="201"/>
      <c r="AA82" s="201"/>
      <c r="AB82" s="201"/>
      <c r="AC82" s="84"/>
      <c r="AE82" s="17"/>
      <c r="AF82" s="17"/>
      <c r="AG82" s="17"/>
      <c r="AH82" s="646"/>
      <c r="AI82" s="91"/>
      <c r="AK82" s="17"/>
      <c r="AL82" s="17"/>
      <c r="AM82" s="17"/>
      <c r="AN82" s="646"/>
      <c r="AO82" s="91"/>
      <c r="AQ82" s="17"/>
      <c r="AR82" s="17"/>
      <c r="AS82" s="17"/>
      <c r="AT82" s="646"/>
      <c r="AU82" s="91"/>
      <c r="AW82" s="17"/>
      <c r="AX82" s="17"/>
      <c r="AY82" s="17"/>
      <c r="AZ82" s="17"/>
      <c r="BA82" s="91"/>
    </row>
    <row r="83" spans="1:53" ht="17.100000000000001" customHeight="1" x14ac:dyDescent="0.25">
      <c r="A83" s="102"/>
      <c r="B83" s="102"/>
      <c r="C83" s="103"/>
      <c r="D83" s="108"/>
      <c r="E83" s="108"/>
      <c r="F83" s="108"/>
      <c r="G83" s="108"/>
      <c r="H83" s="258"/>
      <c r="I83" s="232"/>
      <c r="J83" s="111"/>
      <c r="K83" s="111"/>
      <c r="L83" s="111"/>
      <c r="M83" s="111"/>
      <c r="N83" s="111"/>
      <c r="O83" s="111"/>
      <c r="P83" s="111"/>
      <c r="Q83" s="111"/>
      <c r="R83" s="111"/>
      <c r="S83" s="111"/>
      <c r="T83" s="111"/>
      <c r="U83" s="111"/>
      <c r="V83" s="358"/>
      <c r="W83" s="380"/>
      <c r="X83" s="111"/>
      <c r="Y83" s="112"/>
      <c r="Z83" s="113"/>
      <c r="AA83" s="113"/>
      <c r="AB83" s="113"/>
      <c r="AC83" s="113"/>
      <c r="AE83" s="114"/>
      <c r="AF83" s="114"/>
      <c r="AG83" s="114"/>
      <c r="AH83" s="112"/>
      <c r="AI83" s="113"/>
      <c r="AJ83" s="117"/>
      <c r="AK83" s="114"/>
      <c r="AL83" s="114"/>
      <c r="AM83" s="114"/>
      <c r="AN83" s="112"/>
      <c r="AO83" s="113"/>
      <c r="AP83" s="117"/>
      <c r="AQ83" s="114"/>
      <c r="AR83" s="114"/>
      <c r="AS83" s="114"/>
      <c r="AT83" s="112"/>
      <c r="AU83" s="113"/>
      <c r="AV83" s="117"/>
      <c r="AW83" s="114"/>
      <c r="AX83" s="114"/>
      <c r="AY83" s="114"/>
      <c r="AZ83" s="114"/>
      <c r="BA83" s="113"/>
    </row>
    <row r="84" spans="1:53" ht="17.100000000000001" customHeight="1" x14ac:dyDescent="0.25">
      <c r="A84" s="102"/>
      <c r="B84" s="118"/>
      <c r="C84" s="118"/>
      <c r="D84" s="103"/>
      <c r="E84" s="108"/>
      <c r="F84" s="108"/>
      <c r="G84" s="108"/>
      <c r="H84" s="258"/>
      <c r="I84" s="232"/>
      <c r="J84" s="152"/>
      <c r="K84" s="152"/>
      <c r="L84" s="111"/>
      <c r="M84" s="111"/>
      <c r="N84" s="152"/>
      <c r="O84" s="111"/>
      <c r="P84" s="587"/>
      <c r="Q84" s="152"/>
      <c r="R84" s="111"/>
      <c r="S84" s="587"/>
      <c r="T84" s="152"/>
      <c r="U84" s="111"/>
      <c r="V84" s="590"/>
      <c r="W84" s="391"/>
      <c r="X84" s="17"/>
      <c r="Y84" s="18"/>
      <c r="Z84" s="19"/>
      <c r="AA84" s="19"/>
      <c r="AB84" s="19"/>
      <c r="AC84" s="20"/>
      <c r="AE84" s="111"/>
      <c r="AF84" s="111"/>
      <c r="AG84" s="111"/>
      <c r="AH84" s="651"/>
      <c r="AI84" s="131"/>
      <c r="AJ84" s="117"/>
      <c r="AK84" s="111"/>
      <c r="AL84" s="111"/>
      <c r="AM84" s="111"/>
      <c r="AN84" s="651"/>
      <c r="AO84" s="131"/>
      <c r="AP84" s="117"/>
      <c r="AQ84" s="111"/>
      <c r="AR84" s="111"/>
      <c r="AS84" s="111"/>
      <c r="AT84" s="651"/>
      <c r="AU84" s="131"/>
      <c r="AV84" s="117"/>
      <c r="AW84" s="111"/>
      <c r="AX84" s="111"/>
      <c r="AY84" s="111"/>
      <c r="AZ84" s="111"/>
      <c r="BA84" s="131"/>
    </row>
    <row r="85" spans="1:53" ht="17.100000000000001" customHeight="1" x14ac:dyDescent="0.25">
      <c r="A85" s="102"/>
      <c r="B85" s="118"/>
      <c r="C85" s="118"/>
      <c r="D85" s="103"/>
      <c r="E85" s="108"/>
      <c r="F85" s="108"/>
      <c r="G85" s="108"/>
      <c r="H85" s="258"/>
      <c r="I85" s="232"/>
      <c r="J85" s="152"/>
      <c r="K85" s="152"/>
      <c r="L85" s="111"/>
      <c r="M85" s="111"/>
      <c r="N85" s="152"/>
      <c r="O85" s="111"/>
      <c r="P85" s="588"/>
      <c r="Q85" s="152"/>
      <c r="R85" s="111"/>
      <c r="S85" s="588"/>
      <c r="T85" s="152"/>
      <c r="U85" s="111"/>
      <c r="V85" s="591"/>
      <c r="W85" s="391"/>
      <c r="X85" s="17"/>
      <c r="Y85" s="18"/>
      <c r="Z85" s="19"/>
      <c r="AA85" s="19"/>
      <c r="AB85" s="19"/>
      <c r="AC85" s="20"/>
      <c r="AE85" s="111"/>
      <c r="AF85" s="111"/>
      <c r="AG85" s="111"/>
      <c r="AH85" s="651"/>
      <c r="AI85" s="131"/>
      <c r="AJ85" s="117"/>
      <c r="AK85" s="111"/>
      <c r="AL85" s="111"/>
      <c r="AM85" s="111"/>
      <c r="AN85" s="651"/>
      <c r="AO85" s="131"/>
      <c r="AP85" s="117"/>
      <c r="AQ85" s="111"/>
      <c r="AR85" s="111"/>
      <c r="AS85" s="111"/>
      <c r="AT85" s="651"/>
      <c r="AU85" s="131"/>
      <c r="AV85" s="117"/>
      <c r="AW85" s="111"/>
      <c r="AX85" s="111"/>
      <c r="AY85" s="111"/>
      <c r="AZ85" s="111"/>
      <c r="BA85" s="131"/>
    </row>
    <row r="86" spans="1:53" ht="17.100000000000001" customHeight="1" x14ac:dyDescent="0.25">
      <c r="A86" s="102"/>
      <c r="B86" s="118"/>
      <c r="C86" s="118"/>
      <c r="D86" s="103"/>
      <c r="E86" s="108"/>
      <c r="F86" s="108"/>
      <c r="G86" s="108"/>
      <c r="H86" s="258"/>
      <c r="I86" s="232"/>
      <c r="J86" s="152"/>
      <c r="K86" s="152"/>
      <c r="L86" s="111"/>
      <c r="M86" s="111"/>
      <c r="N86" s="152"/>
      <c r="O86" s="111"/>
      <c r="P86" s="587"/>
      <c r="Q86" s="152"/>
      <c r="R86" s="111"/>
      <c r="S86" s="587"/>
      <c r="T86" s="152"/>
      <c r="U86" s="111"/>
      <c r="V86" s="590"/>
      <c r="W86" s="391"/>
      <c r="X86" s="17"/>
      <c r="Y86" s="18"/>
      <c r="Z86" s="19"/>
      <c r="AA86" s="19"/>
      <c r="AB86" s="19"/>
      <c r="AC86" s="20"/>
      <c r="AE86" s="111"/>
      <c r="AF86" s="111"/>
      <c r="AG86" s="111"/>
      <c r="AH86" s="651"/>
      <c r="AI86" s="131"/>
      <c r="AJ86" s="117"/>
      <c r="AK86" s="111"/>
      <c r="AL86" s="111"/>
      <c r="AM86" s="111"/>
      <c r="AN86" s="651"/>
      <c r="AO86" s="131"/>
      <c r="AP86" s="117"/>
      <c r="AQ86" s="111"/>
      <c r="AR86" s="111"/>
      <c r="AS86" s="111"/>
      <c r="AT86" s="651"/>
      <c r="AU86" s="131"/>
      <c r="AV86" s="117"/>
      <c r="AW86" s="111"/>
      <c r="AX86" s="111"/>
      <c r="AY86" s="111"/>
      <c r="AZ86" s="111"/>
      <c r="BA86" s="131"/>
    </row>
    <row r="87" spans="1:53" ht="17.100000000000001" customHeight="1" x14ac:dyDescent="0.25">
      <c r="A87" s="102"/>
      <c r="B87" s="118"/>
      <c r="C87" s="118"/>
      <c r="D87" s="103"/>
      <c r="E87" s="108"/>
      <c r="F87" s="108"/>
      <c r="G87" s="108"/>
      <c r="H87" s="258"/>
      <c r="I87" s="232"/>
      <c r="J87" s="152"/>
      <c r="K87" s="152"/>
      <c r="L87" s="111"/>
      <c r="M87" s="111"/>
      <c r="N87" s="152"/>
      <c r="O87" s="111"/>
      <c r="P87" s="588"/>
      <c r="Q87" s="152"/>
      <c r="R87" s="111"/>
      <c r="S87" s="588"/>
      <c r="T87" s="152"/>
      <c r="U87" s="111"/>
      <c r="V87" s="591"/>
      <c r="W87" s="391"/>
      <c r="X87" s="17"/>
      <c r="Y87" s="18"/>
      <c r="Z87" s="19"/>
      <c r="AA87" s="19"/>
      <c r="AB87" s="19"/>
      <c r="AC87" s="20"/>
      <c r="AE87" s="111"/>
      <c r="AF87" s="111"/>
      <c r="AG87" s="111"/>
      <c r="AH87" s="651"/>
      <c r="AI87" s="131"/>
      <c r="AJ87" s="117"/>
      <c r="AK87" s="111"/>
      <c r="AL87" s="111"/>
      <c r="AM87" s="111"/>
      <c r="AN87" s="651"/>
      <c r="AO87" s="131"/>
      <c r="AP87" s="117"/>
      <c r="AQ87" s="111"/>
      <c r="AR87" s="111"/>
      <c r="AS87" s="111"/>
      <c r="AT87" s="651"/>
      <c r="AU87" s="131"/>
      <c r="AV87" s="117"/>
      <c r="AW87" s="111"/>
      <c r="AX87" s="111"/>
      <c r="AY87" s="111"/>
      <c r="AZ87" s="111"/>
      <c r="BA87" s="131"/>
    </row>
    <row r="88" spans="1:53" ht="17.100000000000001" customHeight="1" x14ac:dyDescent="0.25">
      <c r="A88" s="40"/>
      <c r="B88" s="40"/>
      <c r="C88" s="77"/>
      <c r="D88" s="78"/>
      <c r="E88" s="78"/>
      <c r="F88" s="78"/>
      <c r="G88" s="78"/>
      <c r="H88" s="242"/>
      <c r="I88" s="230"/>
      <c r="J88" s="80"/>
      <c r="K88" s="80"/>
      <c r="L88" s="81"/>
      <c r="M88" s="81"/>
      <c r="N88" s="81"/>
      <c r="O88" s="81"/>
      <c r="P88" s="82"/>
      <c r="Q88" s="81"/>
      <c r="R88" s="81"/>
      <c r="S88" s="82"/>
      <c r="T88" s="81"/>
      <c r="U88" s="81"/>
      <c r="V88" s="360"/>
      <c r="W88" s="381"/>
      <c r="X88" s="82"/>
      <c r="Y88" s="82"/>
      <c r="Z88" s="205"/>
      <c r="AA88" s="205"/>
      <c r="AB88" s="205"/>
      <c r="AC88" s="83"/>
      <c r="AE88" s="81"/>
      <c r="AF88" s="81"/>
      <c r="AG88" s="81"/>
      <c r="AH88" s="82"/>
      <c r="AI88" s="66"/>
      <c r="AJ88" s="117"/>
      <c r="AK88" s="81"/>
      <c r="AL88" s="81"/>
      <c r="AM88" s="81"/>
      <c r="AN88" s="82"/>
      <c r="AO88" s="66"/>
      <c r="AP88" s="117"/>
      <c r="AQ88" s="81"/>
      <c r="AR88" s="81"/>
      <c r="AS88" s="81"/>
      <c r="AT88" s="82"/>
      <c r="AU88" s="66"/>
      <c r="AV88" s="117"/>
      <c r="AW88" s="81"/>
      <c r="AX88" s="81"/>
      <c r="AY88" s="81"/>
      <c r="AZ88" s="81"/>
      <c r="BA88" s="66"/>
    </row>
    <row r="89" spans="1:53" s="117" customFormat="1" ht="17.100000000000001" customHeight="1" x14ac:dyDescent="0.25">
      <c r="A89" s="119"/>
      <c r="B89" s="119"/>
      <c r="C89" s="647"/>
      <c r="D89" s="212"/>
      <c r="E89" s="212"/>
      <c r="F89" s="212"/>
      <c r="G89" s="212"/>
      <c r="H89" s="242"/>
      <c r="I89" s="230"/>
      <c r="J89" s="17"/>
      <c r="K89" s="17"/>
      <c r="L89" s="17"/>
      <c r="M89" s="17"/>
      <c r="N89" s="17"/>
      <c r="O89" s="17"/>
      <c r="P89" s="17"/>
      <c r="Q89" s="17"/>
      <c r="R89" s="17"/>
      <c r="S89" s="17"/>
      <c r="T89" s="17"/>
      <c r="U89" s="17"/>
      <c r="V89" s="359"/>
      <c r="W89" s="382"/>
      <c r="X89" s="646"/>
      <c r="Y89" s="646"/>
      <c r="Z89" s="201"/>
      <c r="AA89" s="201"/>
      <c r="AB89" s="201"/>
      <c r="AC89" s="84"/>
      <c r="AE89" s="17"/>
      <c r="AF89" s="17"/>
      <c r="AG89" s="17"/>
      <c r="AH89" s="646"/>
      <c r="AI89" s="91"/>
      <c r="AK89" s="17"/>
      <c r="AL89" s="17"/>
      <c r="AM89" s="17"/>
      <c r="AN89" s="646"/>
      <c r="AO89" s="91"/>
      <c r="AQ89" s="17"/>
      <c r="AR89" s="17"/>
      <c r="AS89" s="17"/>
      <c r="AT89" s="646"/>
      <c r="AU89" s="91"/>
      <c r="AW89" s="17"/>
      <c r="AX89" s="17"/>
      <c r="AY89" s="17"/>
      <c r="AZ89" s="17"/>
      <c r="BA89" s="91"/>
    </row>
    <row r="90" spans="1:53" ht="17.100000000000001" customHeight="1" x14ac:dyDescent="0.25">
      <c r="A90" s="68"/>
      <c r="B90" s="41" t="s">
        <v>63</v>
      </c>
      <c r="C90" s="69" t="s">
        <v>64</v>
      </c>
      <c r="D90" s="50"/>
      <c r="E90" s="70"/>
      <c r="F90" s="70"/>
      <c r="G90" s="70"/>
      <c r="H90" s="84"/>
      <c r="J90" s="71"/>
      <c r="K90" s="71"/>
      <c r="L90" s="71"/>
      <c r="M90" s="71"/>
      <c r="N90" s="71"/>
      <c r="O90" s="71"/>
      <c r="P90" s="71"/>
      <c r="Q90" s="71"/>
      <c r="R90" s="71"/>
      <c r="S90" s="71"/>
      <c r="T90" s="71"/>
      <c r="U90" s="71"/>
      <c r="V90" s="71"/>
      <c r="W90" s="71"/>
      <c r="X90" s="71"/>
      <c r="Y90" s="71"/>
      <c r="Z90" s="73"/>
      <c r="AA90" s="73"/>
      <c r="AB90" s="73"/>
      <c r="AC90" s="73"/>
      <c r="AE90" s="71"/>
      <c r="AF90" s="71"/>
      <c r="AG90" s="71"/>
      <c r="AH90" s="72"/>
      <c r="AI90" s="73"/>
      <c r="AJ90" s="117"/>
      <c r="AK90" s="71"/>
      <c r="AL90" s="71"/>
      <c r="AM90" s="71"/>
      <c r="AN90" s="72"/>
      <c r="AO90" s="73"/>
      <c r="AP90" s="117"/>
      <c r="AQ90" s="71"/>
      <c r="AR90" s="71"/>
      <c r="AS90" s="71"/>
      <c r="AT90" s="72"/>
      <c r="AU90" s="73"/>
      <c r="AV90" s="117"/>
      <c r="AW90" s="71"/>
      <c r="AX90" s="71"/>
      <c r="AY90" s="71"/>
      <c r="AZ90" s="273"/>
      <c r="BA90" s="73"/>
    </row>
    <row r="91" spans="1:53" ht="17.100000000000001" customHeight="1" x14ac:dyDescent="0.25">
      <c r="A91" s="102"/>
      <c r="B91" s="102"/>
      <c r="C91" s="103" t="s">
        <v>65</v>
      </c>
      <c r="D91" s="108" t="s">
        <v>66</v>
      </c>
      <c r="E91" s="108"/>
      <c r="F91" s="108"/>
      <c r="G91" s="108"/>
      <c r="H91" s="315"/>
      <c r="I91" s="232"/>
      <c r="J91" s="111"/>
      <c r="K91" s="111"/>
      <c r="L91" s="111"/>
      <c r="M91" s="111"/>
      <c r="N91" s="111"/>
      <c r="O91" s="111"/>
      <c r="P91" s="111"/>
      <c r="Q91" s="111"/>
      <c r="R91" s="111"/>
      <c r="S91" s="111"/>
      <c r="T91" s="111"/>
      <c r="U91" s="111"/>
      <c r="V91" s="111"/>
      <c r="W91" s="111"/>
      <c r="X91" s="111"/>
      <c r="Y91" s="111"/>
      <c r="Z91" s="113"/>
      <c r="AA91" s="113"/>
      <c r="AB91" s="113"/>
      <c r="AC91" s="113"/>
      <c r="AE91" s="114"/>
      <c r="AF91" s="114"/>
      <c r="AG91" s="114"/>
      <c r="AH91" s="112"/>
      <c r="AI91" s="113"/>
      <c r="AJ91" s="117"/>
      <c r="AK91" s="114"/>
      <c r="AL91" s="114"/>
      <c r="AM91" s="114"/>
      <c r="AN91" s="112"/>
      <c r="AO91" s="113"/>
      <c r="AP91" s="117"/>
      <c r="AQ91" s="114"/>
      <c r="AR91" s="114"/>
      <c r="AS91" s="114"/>
      <c r="AT91" s="112"/>
      <c r="AU91" s="113"/>
      <c r="AV91" s="117"/>
      <c r="AW91" s="114"/>
      <c r="AX91" s="114"/>
      <c r="AY91" s="114"/>
      <c r="AZ91" s="114"/>
      <c r="BA91" s="113"/>
    </row>
    <row r="92" spans="1:53" ht="17.100000000000001" customHeight="1" x14ac:dyDescent="0.25">
      <c r="A92" s="102"/>
      <c r="B92" s="118"/>
      <c r="C92" s="118"/>
      <c r="D92" s="103" t="s">
        <v>67</v>
      </c>
      <c r="E92" s="278" t="s">
        <v>558</v>
      </c>
      <c r="F92" s="312"/>
      <c r="G92" s="312"/>
      <c r="H92" s="317"/>
      <c r="I92" s="307"/>
      <c r="J92" s="152"/>
      <c r="K92" s="152"/>
      <c r="L92" s="111"/>
      <c r="M92" s="111"/>
      <c r="N92" s="152"/>
      <c r="O92" s="111"/>
      <c r="P92" s="60"/>
      <c r="Q92" s="152"/>
      <c r="R92" s="111"/>
      <c r="S92" s="60"/>
      <c r="T92" s="152"/>
      <c r="U92" s="111"/>
      <c r="V92" s="361"/>
      <c r="W92" s="391"/>
      <c r="X92" s="17"/>
      <c r="Y92" s="18">
        <f>M92+P92+S92+V92</f>
        <v>0</v>
      </c>
      <c r="Z92" s="19">
        <f>IF(Y$96=0,0,Y92/Y$96)</f>
        <v>0</v>
      </c>
      <c r="AA92" s="19"/>
      <c r="AB92" s="19"/>
      <c r="AC92" s="20"/>
      <c r="AE92" s="111"/>
      <c r="AF92" s="111"/>
      <c r="AG92" s="111"/>
      <c r="AH92" s="651"/>
      <c r="AI92" s="131"/>
      <c r="AJ92" s="117"/>
      <c r="AK92" s="111"/>
      <c r="AL92" s="111"/>
      <c r="AM92" s="111"/>
      <c r="AN92" s="651"/>
      <c r="AO92" s="131"/>
      <c r="AP92" s="117"/>
      <c r="AQ92" s="111"/>
      <c r="AR92" s="111"/>
      <c r="AS92" s="111"/>
      <c r="AT92" s="651"/>
      <c r="AU92" s="131"/>
      <c r="AV92" s="117"/>
      <c r="AW92" s="111"/>
      <c r="AX92" s="111"/>
      <c r="AY92" s="111"/>
      <c r="AZ92" s="111"/>
      <c r="BA92" s="131"/>
    </row>
    <row r="93" spans="1:53" ht="17.100000000000001" customHeight="1" x14ac:dyDescent="0.25">
      <c r="A93" s="102"/>
      <c r="B93" s="118"/>
      <c r="C93" s="118"/>
      <c r="D93" s="103" t="s">
        <v>69</v>
      </c>
      <c r="E93" s="278" t="s">
        <v>559</v>
      </c>
      <c r="F93" s="108"/>
      <c r="G93" s="108"/>
      <c r="H93" s="315"/>
      <c r="I93" s="232"/>
      <c r="J93" s="152"/>
      <c r="K93" s="152"/>
      <c r="L93" s="111"/>
      <c r="M93" s="111"/>
      <c r="N93" s="152"/>
      <c r="O93" s="111"/>
      <c r="P93" s="61"/>
      <c r="Q93" s="152"/>
      <c r="R93" s="111"/>
      <c r="S93" s="61"/>
      <c r="T93" s="152"/>
      <c r="U93" s="111"/>
      <c r="V93" s="362"/>
      <c r="W93" s="391"/>
      <c r="X93" s="17"/>
      <c r="Y93" s="18">
        <f t="shared" ref="Y93:Y95" si="78">M93+P93+S93+V93</f>
        <v>0</v>
      </c>
      <c r="Z93" s="19">
        <f t="shared" ref="Z93:Z96" si="79">IF(Y$96=0,0,Y93/Y$96)</f>
        <v>0</v>
      </c>
      <c r="AA93" s="19"/>
      <c r="AB93" s="19"/>
      <c r="AC93" s="20"/>
      <c r="AE93" s="111"/>
      <c r="AF93" s="111"/>
      <c r="AG93" s="111"/>
      <c r="AH93" s="651"/>
      <c r="AI93" s="131"/>
      <c r="AJ93" s="117"/>
      <c r="AK93" s="111"/>
      <c r="AL93" s="111"/>
      <c r="AM93" s="111"/>
      <c r="AN93" s="651"/>
      <c r="AO93" s="131"/>
      <c r="AP93" s="117"/>
      <c r="AQ93" s="111"/>
      <c r="AR93" s="111"/>
      <c r="AS93" s="111"/>
      <c r="AT93" s="651"/>
      <c r="AU93" s="131"/>
      <c r="AV93" s="117"/>
      <c r="AW93" s="111"/>
      <c r="AX93" s="111"/>
      <c r="AY93" s="111"/>
      <c r="AZ93" s="111"/>
      <c r="BA93" s="131"/>
    </row>
    <row r="94" spans="1:53" ht="17.100000000000001" customHeight="1" x14ac:dyDescent="0.25">
      <c r="A94" s="102"/>
      <c r="B94" s="118"/>
      <c r="C94" s="118"/>
      <c r="D94" s="103" t="s">
        <v>71</v>
      </c>
      <c r="E94" s="278" t="s">
        <v>560</v>
      </c>
      <c r="F94" s="108"/>
      <c r="G94" s="108"/>
      <c r="H94" s="315"/>
      <c r="I94" s="232"/>
      <c r="J94" s="152"/>
      <c r="K94" s="152"/>
      <c r="L94" s="111"/>
      <c r="M94" s="111"/>
      <c r="N94" s="152"/>
      <c r="O94" s="111"/>
      <c r="P94" s="60"/>
      <c r="Q94" s="152"/>
      <c r="R94" s="111"/>
      <c r="S94" s="60"/>
      <c r="T94" s="152"/>
      <c r="U94" s="111"/>
      <c r="V94" s="361"/>
      <c r="W94" s="391"/>
      <c r="X94" s="17"/>
      <c r="Y94" s="18">
        <f t="shared" si="78"/>
        <v>0</v>
      </c>
      <c r="Z94" s="19">
        <f t="shared" si="79"/>
        <v>0</v>
      </c>
      <c r="AA94" s="19"/>
      <c r="AB94" s="19"/>
      <c r="AC94" s="20"/>
      <c r="AE94" s="111"/>
      <c r="AF94" s="111"/>
      <c r="AG94" s="111"/>
      <c r="AH94" s="651"/>
      <c r="AI94" s="131"/>
      <c r="AJ94" s="117"/>
      <c r="AK94" s="111"/>
      <c r="AL94" s="111"/>
      <c r="AM94" s="111"/>
      <c r="AN94" s="651"/>
      <c r="AO94" s="131"/>
      <c r="AP94" s="117"/>
      <c r="AQ94" s="111"/>
      <c r="AR94" s="111"/>
      <c r="AS94" s="111"/>
      <c r="AT94" s="651"/>
      <c r="AU94" s="131"/>
      <c r="AV94" s="117"/>
      <c r="AW94" s="111"/>
      <c r="AX94" s="111"/>
      <c r="AY94" s="111"/>
      <c r="AZ94" s="111"/>
      <c r="BA94" s="131"/>
    </row>
    <row r="95" spans="1:53" ht="17.100000000000001" customHeight="1" x14ac:dyDescent="0.25">
      <c r="A95" s="102"/>
      <c r="B95" s="118"/>
      <c r="C95" s="118"/>
      <c r="D95" s="103" t="s">
        <v>73</v>
      </c>
      <c r="E95" s="278" t="s">
        <v>561</v>
      </c>
      <c r="F95" s="312"/>
      <c r="G95" s="312"/>
      <c r="H95" s="317"/>
      <c r="I95" s="307"/>
      <c r="J95" s="152"/>
      <c r="K95" s="152"/>
      <c r="L95" s="111"/>
      <c r="M95" s="111"/>
      <c r="N95" s="152"/>
      <c r="O95" s="111"/>
      <c r="P95" s="61"/>
      <c r="Q95" s="152"/>
      <c r="R95" s="111"/>
      <c r="S95" s="61"/>
      <c r="T95" s="152"/>
      <c r="U95" s="111"/>
      <c r="V95" s="362"/>
      <c r="W95" s="391"/>
      <c r="X95" s="17"/>
      <c r="Y95" s="18">
        <f t="shared" si="78"/>
        <v>0</v>
      </c>
      <c r="Z95" s="19">
        <f t="shared" si="79"/>
        <v>0</v>
      </c>
      <c r="AA95" s="19"/>
      <c r="AB95" s="19"/>
      <c r="AC95" s="20"/>
      <c r="AE95" s="111"/>
      <c r="AF95" s="111"/>
      <c r="AG95" s="111"/>
      <c r="AH95" s="651"/>
      <c r="AI95" s="131"/>
      <c r="AJ95" s="117"/>
      <c r="AK95" s="111"/>
      <c r="AL95" s="111"/>
      <c r="AM95" s="111"/>
      <c r="AN95" s="651"/>
      <c r="AO95" s="131"/>
      <c r="AP95" s="117"/>
      <c r="AQ95" s="111"/>
      <c r="AR95" s="111"/>
      <c r="AS95" s="111"/>
      <c r="AT95" s="651"/>
      <c r="AU95" s="131"/>
      <c r="AV95" s="117"/>
      <c r="AW95" s="111"/>
      <c r="AX95" s="111"/>
      <c r="AY95" s="111"/>
      <c r="AZ95" s="111"/>
      <c r="BA95" s="131"/>
    </row>
    <row r="96" spans="1:53" ht="17.100000000000001" customHeight="1" x14ac:dyDescent="0.25">
      <c r="A96" s="40"/>
      <c r="B96" s="40"/>
      <c r="C96" s="77"/>
      <c r="D96" s="78"/>
      <c r="E96" s="78"/>
      <c r="F96" s="78"/>
      <c r="G96" s="78"/>
      <c r="H96" s="316"/>
      <c r="I96" s="230"/>
      <c r="J96" s="80"/>
      <c r="K96" s="80"/>
      <c r="L96" s="81"/>
      <c r="M96" s="81"/>
      <c r="N96" s="81"/>
      <c r="O96" s="81"/>
      <c r="P96" s="82">
        <f>SUM(P92:P95)</f>
        <v>0</v>
      </c>
      <c r="Q96" s="81"/>
      <c r="R96" s="81"/>
      <c r="S96" s="82">
        <f>SUM(S92:S95)</f>
        <v>0</v>
      </c>
      <c r="T96" s="81"/>
      <c r="U96" s="81"/>
      <c r="V96" s="360">
        <f>SUM(V92:V95)</f>
        <v>0</v>
      </c>
      <c r="W96" s="381"/>
      <c r="X96" s="82"/>
      <c r="Y96" s="82">
        <f t="shared" ref="Y96" si="80">SUM(Y92:Y95)</f>
        <v>0</v>
      </c>
      <c r="Z96" s="205">
        <f t="shared" si="79"/>
        <v>0</v>
      </c>
      <c r="AA96" s="205"/>
      <c r="AB96" s="205"/>
      <c r="AC96" s="83"/>
      <c r="AE96" s="81"/>
      <c r="AF96" s="81"/>
      <c r="AG96" s="81"/>
      <c r="AH96" s="82"/>
      <c r="AI96" s="66"/>
      <c r="AJ96" s="117"/>
      <c r="AK96" s="81"/>
      <c r="AL96" s="81"/>
      <c r="AM96" s="81"/>
      <c r="AN96" s="82"/>
      <c r="AO96" s="66"/>
      <c r="AP96" s="117"/>
      <c r="AQ96" s="81"/>
      <c r="AR96" s="81"/>
      <c r="AS96" s="81"/>
      <c r="AT96" s="82"/>
      <c r="AU96" s="66"/>
      <c r="AV96" s="117"/>
      <c r="AW96" s="81"/>
      <c r="AX96" s="81"/>
      <c r="AY96" s="81"/>
      <c r="AZ96" s="81"/>
      <c r="BA96" s="66"/>
    </row>
    <row r="97" spans="1:53" s="117" customFormat="1" ht="17.100000000000001" customHeight="1" x14ac:dyDescent="0.25">
      <c r="A97" s="119"/>
      <c r="B97" s="119"/>
      <c r="C97" s="647"/>
      <c r="D97" s="212"/>
      <c r="E97" s="212"/>
      <c r="F97" s="212"/>
      <c r="G97" s="212"/>
      <c r="H97" s="242"/>
      <c r="I97" s="230"/>
      <c r="J97" s="17"/>
      <c r="K97" s="17"/>
      <c r="L97" s="17"/>
      <c r="M97" s="17"/>
      <c r="N97" s="17"/>
      <c r="O97" s="17"/>
      <c r="P97" s="17" t="str">
        <f>IF(P96=1,"OK","NOK")</f>
        <v>NOK</v>
      </c>
      <c r="Q97" s="17"/>
      <c r="R97" s="17"/>
      <c r="S97" s="17" t="str">
        <f>IF(S96=1,"OK","NOK")</f>
        <v>NOK</v>
      </c>
      <c r="T97" s="17"/>
      <c r="U97" s="17"/>
      <c r="V97" s="359" t="str">
        <f>IF(V96=1,"OK","NOK")</f>
        <v>NOK</v>
      </c>
      <c r="W97" s="382"/>
      <c r="X97" s="646"/>
      <c r="Y97" s="646"/>
      <c r="Z97" s="201"/>
      <c r="AA97" s="201"/>
      <c r="AB97" s="201"/>
      <c r="AC97" s="84"/>
      <c r="AE97" s="17"/>
      <c r="AF97" s="17"/>
      <c r="AG97" s="17"/>
      <c r="AH97" s="646"/>
      <c r="AI97" s="91"/>
      <c r="AK97" s="17"/>
      <c r="AL97" s="17"/>
      <c r="AM97" s="17"/>
      <c r="AN97" s="646"/>
      <c r="AO97" s="91"/>
      <c r="AQ97" s="17"/>
      <c r="AR97" s="17"/>
      <c r="AS97" s="17"/>
      <c r="AT97" s="646"/>
      <c r="AU97" s="91"/>
      <c r="AW97" s="17"/>
      <c r="AX97" s="17"/>
      <c r="AY97" s="17"/>
      <c r="AZ97" s="17"/>
      <c r="BA97" s="91"/>
    </row>
    <row r="98" spans="1:53" s="97" customFormat="1" ht="17.100000000000001" customHeight="1" x14ac:dyDescent="0.25">
      <c r="A98" s="68"/>
      <c r="B98" s="41" t="s">
        <v>74</v>
      </c>
      <c r="C98" s="69" t="s">
        <v>12</v>
      </c>
      <c r="D98" s="50"/>
      <c r="E98" s="70"/>
      <c r="F98" s="70"/>
      <c r="G98" s="70"/>
      <c r="H98" s="84"/>
      <c r="J98" s="71"/>
      <c r="K98" s="71"/>
      <c r="L98" s="71"/>
      <c r="M98" s="71"/>
      <c r="N98" s="71"/>
      <c r="O98" s="71"/>
      <c r="P98" s="71"/>
      <c r="Q98" s="71"/>
      <c r="R98" s="71"/>
      <c r="S98" s="71"/>
      <c r="T98" s="71"/>
      <c r="U98" s="71"/>
      <c r="V98" s="355"/>
      <c r="W98" s="377"/>
      <c r="X98" s="71"/>
      <c r="Y98" s="71"/>
      <c r="Z98" s="73"/>
      <c r="AA98" s="73"/>
      <c r="AB98" s="73"/>
      <c r="AC98" s="73"/>
      <c r="AE98" s="273"/>
      <c r="AF98" s="273"/>
      <c r="AG98" s="273"/>
      <c r="AH98" s="72"/>
      <c r="AI98" s="73"/>
      <c r="AJ98" s="3"/>
      <c r="AK98" s="273"/>
      <c r="AL98" s="273"/>
      <c r="AM98" s="273"/>
      <c r="AN98" s="72"/>
      <c r="AO98" s="73"/>
      <c r="AP98" s="3"/>
      <c r="AQ98" s="71"/>
      <c r="AR98" s="71"/>
      <c r="AS98" s="71"/>
      <c r="AT98" s="89"/>
      <c r="AU98" s="421"/>
      <c r="AV98" s="3"/>
      <c r="AW98" s="71"/>
      <c r="AX98" s="71"/>
      <c r="AY98" s="71"/>
      <c r="AZ98" s="71"/>
      <c r="BA98" s="421"/>
    </row>
    <row r="99" spans="1:53" s="97" customFormat="1" ht="17.100000000000001" customHeight="1" x14ac:dyDescent="0.25">
      <c r="A99" s="119"/>
      <c r="B99" s="119"/>
      <c r="C99" s="120" t="s">
        <v>895</v>
      </c>
      <c r="D99" s="85"/>
      <c r="E99" s="75"/>
      <c r="F99" s="75"/>
      <c r="G99" s="75"/>
      <c r="H99" s="928"/>
      <c r="I99" s="229"/>
      <c r="J99" s="111"/>
      <c r="K99" s="111"/>
      <c r="L99" s="111"/>
      <c r="M99" s="111"/>
      <c r="N99" s="111"/>
      <c r="O99" s="111"/>
      <c r="P99" s="111"/>
      <c r="Q99" s="111"/>
      <c r="R99" s="111"/>
      <c r="S99" s="111"/>
      <c r="T99" s="111"/>
      <c r="U99" s="111"/>
      <c r="V99" s="358"/>
      <c r="W99" s="380"/>
      <c r="X99" s="111"/>
      <c r="Y99" s="112"/>
      <c r="Z99" s="113"/>
      <c r="AA99" s="113"/>
      <c r="AB99" s="113"/>
      <c r="AC99" s="113"/>
      <c r="AE99" s="114"/>
      <c r="AF99" s="114"/>
      <c r="AG99" s="114"/>
      <c r="AH99" s="112"/>
      <c r="AI99" s="113"/>
      <c r="AK99" s="114"/>
      <c r="AL99" s="114"/>
      <c r="AM99" s="114"/>
      <c r="AN99" s="112"/>
      <c r="AO99" s="113"/>
      <c r="AQ99" s="114"/>
      <c r="AR99" s="114"/>
      <c r="AS99" s="114"/>
      <c r="AT99" s="112"/>
      <c r="AU99" s="113"/>
      <c r="AW99" s="114"/>
      <c r="AX99" s="114"/>
      <c r="AY99" s="114"/>
      <c r="AZ99" s="112"/>
      <c r="BA99" s="113"/>
    </row>
    <row r="100" spans="1:53" s="97" customFormat="1" ht="17.100000000000001" customHeight="1" x14ac:dyDescent="0.25">
      <c r="A100" s="119"/>
      <c r="B100" s="119"/>
      <c r="C100" s="928"/>
      <c r="D100" s="121" t="s">
        <v>75</v>
      </c>
      <c r="E100" s="122"/>
      <c r="F100" s="122"/>
      <c r="G100" s="122"/>
      <c r="H100" s="928"/>
      <c r="I100" s="229"/>
      <c r="J100" s="123"/>
      <c r="K100" s="123"/>
      <c r="L100" s="123"/>
      <c r="M100" s="123"/>
      <c r="N100" s="123"/>
      <c r="O100" s="123"/>
      <c r="P100" s="123"/>
      <c r="Q100" s="123"/>
      <c r="R100" s="123"/>
      <c r="S100" s="123"/>
      <c r="T100" s="123"/>
      <c r="U100" s="123"/>
      <c r="V100" s="363"/>
      <c r="W100" s="383"/>
      <c r="X100" s="123"/>
      <c r="Y100" s="124"/>
      <c r="Z100" s="125"/>
      <c r="AA100" s="125"/>
      <c r="AB100" s="125"/>
      <c r="AC100" s="125"/>
      <c r="AE100" s="126"/>
      <c r="AF100" s="126"/>
      <c r="AG100" s="126"/>
      <c r="AH100" s="124"/>
      <c r="AI100" s="125"/>
      <c r="AK100" s="126"/>
      <c r="AL100" s="126"/>
      <c r="AM100" s="126"/>
      <c r="AN100" s="124"/>
      <c r="AO100" s="125"/>
      <c r="AQ100" s="126"/>
      <c r="AR100" s="126"/>
      <c r="AS100" s="126"/>
      <c r="AT100" s="124"/>
      <c r="AU100" s="125"/>
      <c r="AW100" s="126"/>
      <c r="AX100" s="126"/>
      <c r="AY100" s="126"/>
      <c r="AZ100" s="124"/>
      <c r="BA100" s="125"/>
    </row>
    <row r="101" spans="1:53" s="97" customFormat="1" ht="17.100000000000001" customHeight="1" x14ac:dyDescent="0.25">
      <c r="A101" s="137"/>
      <c r="B101" s="119"/>
      <c r="C101" s="928"/>
      <c r="D101" s="941" t="s">
        <v>1438</v>
      </c>
      <c r="E101" s="122"/>
      <c r="F101" s="122"/>
      <c r="G101" s="122"/>
      <c r="H101" s="928"/>
      <c r="I101" s="229"/>
      <c r="J101" s="123"/>
      <c r="K101" s="123"/>
      <c r="L101" s="123"/>
      <c r="M101" s="123"/>
      <c r="N101" s="123">
        <f>N40</f>
        <v>0</v>
      </c>
      <c r="O101" s="123">
        <f>O40</f>
        <v>0</v>
      </c>
      <c r="P101" s="942">
        <f>SUM(N101:O101)</f>
        <v>0</v>
      </c>
      <c r="Q101" s="123">
        <f>Q40</f>
        <v>0</v>
      </c>
      <c r="R101" s="123">
        <f>R40</f>
        <v>0</v>
      </c>
      <c r="S101" s="942">
        <f>SUM(Q101:R101)</f>
        <v>0</v>
      </c>
      <c r="T101" s="123">
        <f>T40</f>
        <v>0</v>
      </c>
      <c r="U101" s="123">
        <f>U40</f>
        <v>0</v>
      </c>
      <c r="V101" s="942">
        <f>SUM(T101:U101)</f>
        <v>0</v>
      </c>
      <c r="W101" s="383"/>
      <c r="X101" s="123"/>
      <c r="Y101" s="124"/>
      <c r="Z101" s="125"/>
      <c r="AA101" s="125"/>
      <c r="AB101" s="125"/>
      <c r="AC101" s="125"/>
      <c r="AE101" s="126"/>
      <c r="AF101" s="126"/>
      <c r="AG101" s="126"/>
      <c r="AH101" s="124"/>
      <c r="AI101" s="125"/>
      <c r="AK101" s="126"/>
      <c r="AL101" s="126"/>
      <c r="AM101" s="126"/>
      <c r="AN101" s="124"/>
      <c r="AO101" s="125"/>
      <c r="AQ101" s="126"/>
      <c r="AR101" s="126"/>
      <c r="AS101" s="126"/>
      <c r="AT101" s="124"/>
      <c r="AU101" s="125"/>
      <c r="AW101" s="126"/>
      <c r="AX101" s="126"/>
      <c r="AY101" s="126"/>
      <c r="AZ101" s="124"/>
      <c r="BA101" s="125"/>
    </row>
    <row r="102" spans="1:53" s="97" customFormat="1" ht="17.100000000000001" customHeight="1" x14ac:dyDescent="0.25">
      <c r="A102" s="137"/>
      <c r="B102" s="119"/>
      <c r="C102" s="928"/>
      <c r="D102" s="127" t="s">
        <v>76</v>
      </c>
      <c r="E102" s="128"/>
      <c r="F102" s="122"/>
      <c r="G102" s="122"/>
      <c r="H102" s="928"/>
      <c r="I102" s="229"/>
      <c r="J102" s="123"/>
      <c r="K102" s="123"/>
      <c r="L102" s="123"/>
      <c r="M102" s="123"/>
      <c r="N102" s="943">
        <f>N63</f>
        <v>0</v>
      </c>
      <c r="O102" s="943">
        <f>O63</f>
        <v>0</v>
      </c>
      <c r="P102" s="942">
        <f>SUM(N102:O102)</f>
        <v>0</v>
      </c>
      <c r="Q102" s="943">
        <f>Q63</f>
        <v>0</v>
      </c>
      <c r="R102" s="943">
        <f>R63</f>
        <v>0</v>
      </c>
      <c r="S102" s="942">
        <f>SUM(Q102:R102)</f>
        <v>0</v>
      </c>
      <c r="T102" s="943">
        <f>T63</f>
        <v>0</v>
      </c>
      <c r="U102" s="943">
        <f>U63</f>
        <v>0</v>
      </c>
      <c r="V102" s="942">
        <f>SUM(T102:U102)</f>
        <v>0</v>
      </c>
      <c r="W102" s="383"/>
      <c r="X102" s="123"/>
      <c r="Y102" s="129">
        <f t="shared" ref="Y102:Y105" si="81">M102+P102+S102+V102</f>
        <v>0</v>
      </c>
      <c r="Z102" s="125"/>
      <c r="AA102" s="125"/>
      <c r="AB102" s="125"/>
      <c r="AC102" s="125"/>
      <c r="AE102" s="123"/>
      <c r="AF102" s="123"/>
      <c r="AG102" s="123"/>
      <c r="AH102" s="124"/>
      <c r="AI102" s="125"/>
      <c r="AK102" s="123"/>
      <c r="AL102" s="123"/>
      <c r="AM102" s="123"/>
      <c r="AN102" s="124"/>
      <c r="AO102" s="125"/>
      <c r="AQ102" s="123"/>
      <c r="AR102" s="123"/>
      <c r="AS102" s="123"/>
      <c r="AT102" s="124"/>
      <c r="AU102" s="125"/>
      <c r="AW102" s="123"/>
      <c r="AX102" s="123"/>
      <c r="AY102" s="123"/>
      <c r="AZ102" s="124"/>
      <c r="BA102" s="125"/>
    </row>
    <row r="103" spans="1:53" s="97" customFormat="1" ht="17.100000000000001" customHeight="1" x14ac:dyDescent="0.25">
      <c r="A103" s="137"/>
      <c r="B103" s="119"/>
      <c r="C103" s="928"/>
      <c r="D103" s="127" t="s">
        <v>77</v>
      </c>
      <c r="E103" s="128"/>
      <c r="F103" s="122"/>
      <c r="G103" s="122"/>
      <c r="H103" s="928"/>
      <c r="I103" s="229"/>
      <c r="J103" s="123"/>
      <c r="K103" s="123"/>
      <c r="L103" s="123"/>
      <c r="M103" s="123"/>
      <c r="N103" s="943">
        <f>N64</f>
        <v>0</v>
      </c>
      <c r="O103" s="943">
        <f>O64</f>
        <v>0</v>
      </c>
      <c r="P103" s="942">
        <f t="shared" ref="P103:P107" si="82">SUM(N103:O103)</f>
        <v>0</v>
      </c>
      <c r="Q103" s="943">
        <f>Q64</f>
        <v>0</v>
      </c>
      <c r="R103" s="943">
        <f>R64</f>
        <v>0</v>
      </c>
      <c r="S103" s="942">
        <f t="shared" ref="S103:S107" si="83">SUM(Q103:R103)</f>
        <v>0</v>
      </c>
      <c r="T103" s="943">
        <f>T64</f>
        <v>0</v>
      </c>
      <c r="U103" s="943">
        <f>U64</f>
        <v>0</v>
      </c>
      <c r="V103" s="942">
        <f t="shared" ref="V103:V107" si="84">SUM(T103:U103)</f>
        <v>0</v>
      </c>
      <c r="W103" s="383"/>
      <c r="X103" s="123"/>
      <c r="Y103" s="129">
        <f t="shared" si="81"/>
        <v>0</v>
      </c>
      <c r="Z103" s="125"/>
      <c r="AA103" s="125"/>
      <c r="AB103" s="125"/>
      <c r="AC103" s="125"/>
      <c r="AE103" s="123"/>
      <c r="AF103" s="123"/>
      <c r="AG103" s="123"/>
      <c r="AH103" s="124"/>
      <c r="AI103" s="125"/>
      <c r="AK103" s="123"/>
      <c r="AL103" s="123"/>
      <c r="AM103" s="123"/>
      <c r="AN103" s="124"/>
      <c r="AO103" s="125"/>
      <c r="AQ103" s="123"/>
      <c r="AR103" s="123"/>
      <c r="AS103" s="123"/>
      <c r="AT103" s="124"/>
      <c r="AU103" s="125"/>
      <c r="AW103" s="123"/>
      <c r="AX103" s="123"/>
      <c r="AY103" s="123"/>
      <c r="AZ103" s="124"/>
      <c r="BA103" s="125"/>
    </row>
    <row r="104" spans="1:53" s="97" customFormat="1" ht="17.100000000000001" customHeight="1" x14ac:dyDescent="0.25">
      <c r="A104" s="137"/>
      <c r="B104" s="137"/>
      <c r="C104" s="928"/>
      <c r="D104" s="127" t="s">
        <v>78</v>
      </c>
      <c r="E104" s="128"/>
      <c r="F104" s="122"/>
      <c r="G104" s="122"/>
      <c r="H104" s="928"/>
      <c r="I104" s="229"/>
      <c r="J104" s="123"/>
      <c r="K104" s="123"/>
      <c r="L104" s="123"/>
      <c r="M104" s="123"/>
      <c r="N104" s="943">
        <f>N71</f>
        <v>0</v>
      </c>
      <c r="O104" s="943">
        <f>O71</f>
        <v>0</v>
      </c>
      <c r="P104" s="942">
        <f t="shared" si="82"/>
        <v>0</v>
      </c>
      <c r="Q104" s="943">
        <f>Q71</f>
        <v>0</v>
      </c>
      <c r="R104" s="943">
        <f>R71</f>
        <v>0</v>
      </c>
      <c r="S104" s="942">
        <f t="shared" si="83"/>
        <v>0</v>
      </c>
      <c r="T104" s="943">
        <f>T71</f>
        <v>0</v>
      </c>
      <c r="U104" s="943">
        <f>U71</f>
        <v>0</v>
      </c>
      <c r="V104" s="942">
        <f t="shared" si="84"/>
        <v>0</v>
      </c>
      <c r="W104" s="383"/>
      <c r="X104" s="123"/>
      <c r="Y104" s="129">
        <f t="shared" si="81"/>
        <v>0</v>
      </c>
      <c r="Z104" s="125"/>
      <c r="AA104" s="125"/>
      <c r="AB104" s="125"/>
      <c r="AC104" s="125"/>
      <c r="AE104" s="123"/>
      <c r="AF104" s="123"/>
      <c r="AG104" s="123"/>
      <c r="AH104" s="124"/>
      <c r="AI104" s="125"/>
      <c r="AK104" s="123"/>
      <c r="AL104" s="123"/>
      <c r="AM104" s="123"/>
      <c r="AN104" s="124"/>
      <c r="AO104" s="125"/>
      <c r="AQ104" s="123"/>
      <c r="AR104" s="123"/>
      <c r="AS104" s="123"/>
      <c r="AT104" s="124"/>
      <c r="AU104" s="125"/>
      <c r="AW104" s="123"/>
      <c r="AX104" s="123"/>
      <c r="AY104" s="123"/>
      <c r="AZ104" s="124"/>
      <c r="BA104" s="125"/>
    </row>
    <row r="105" spans="1:53" s="97" customFormat="1" ht="17.100000000000001" customHeight="1" x14ac:dyDescent="0.25">
      <c r="A105" s="137"/>
      <c r="B105" s="137"/>
      <c r="C105" s="928"/>
      <c r="D105" s="127" t="s">
        <v>79</v>
      </c>
      <c r="E105" s="122"/>
      <c r="F105" s="122"/>
      <c r="G105" s="122"/>
      <c r="H105" s="928"/>
      <c r="I105" s="229"/>
      <c r="J105" s="123"/>
      <c r="K105" s="123"/>
      <c r="L105" s="123"/>
      <c r="M105" s="123"/>
      <c r="N105" s="943">
        <f>N72</f>
        <v>0</v>
      </c>
      <c r="O105" s="943">
        <f>O72</f>
        <v>0</v>
      </c>
      <c r="P105" s="942">
        <f t="shared" si="82"/>
        <v>0</v>
      </c>
      <c r="Q105" s="943">
        <f>Q72</f>
        <v>0</v>
      </c>
      <c r="R105" s="943">
        <f>R72</f>
        <v>0</v>
      </c>
      <c r="S105" s="942">
        <f t="shared" si="83"/>
        <v>0</v>
      </c>
      <c r="T105" s="943">
        <f>T72</f>
        <v>0</v>
      </c>
      <c r="U105" s="943">
        <f>U72</f>
        <v>0</v>
      </c>
      <c r="V105" s="942">
        <f t="shared" si="84"/>
        <v>0</v>
      </c>
      <c r="W105" s="383"/>
      <c r="X105" s="123"/>
      <c r="Y105" s="129">
        <f t="shared" si="81"/>
        <v>0</v>
      </c>
      <c r="Z105" s="125"/>
      <c r="AA105" s="125"/>
      <c r="AB105" s="125"/>
      <c r="AC105" s="125"/>
      <c r="AE105" s="123"/>
      <c r="AF105" s="123"/>
      <c r="AG105" s="123"/>
      <c r="AH105" s="124"/>
      <c r="AI105" s="125"/>
      <c r="AK105" s="123"/>
      <c r="AL105" s="123"/>
      <c r="AM105" s="123"/>
      <c r="AN105" s="124"/>
      <c r="AO105" s="125"/>
      <c r="AQ105" s="123"/>
      <c r="AR105" s="123"/>
      <c r="AS105" s="123"/>
      <c r="AT105" s="124"/>
      <c r="AU105" s="125"/>
      <c r="AW105" s="123"/>
      <c r="AX105" s="123"/>
      <c r="AY105" s="123"/>
      <c r="AZ105" s="124"/>
      <c r="BA105" s="125"/>
    </row>
    <row r="106" spans="1:53" s="97" customFormat="1" ht="17.100000000000001" customHeight="1" x14ac:dyDescent="0.25">
      <c r="A106" s="137"/>
      <c r="B106" s="137"/>
      <c r="C106" s="928"/>
      <c r="D106" s="127" t="s">
        <v>81</v>
      </c>
      <c r="E106" s="122"/>
      <c r="F106" s="122"/>
      <c r="G106" s="122"/>
      <c r="H106" s="928"/>
      <c r="I106" s="229"/>
      <c r="J106" s="123"/>
      <c r="K106" s="123"/>
      <c r="L106" s="123"/>
      <c r="M106" s="123"/>
      <c r="N106" s="943">
        <f>SUM(N101:N105)</f>
        <v>0</v>
      </c>
      <c r="O106" s="943">
        <f>SUM(O101:O105)</f>
        <v>0</v>
      </c>
      <c r="P106" s="942">
        <f t="shared" si="82"/>
        <v>0</v>
      </c>
      <c r="Q106" s="943">
        <f>SUM(Q101:Q105)</f>
        <v>0</v>
      </c>
      <c r="R106" s="943">
        <f>SUM(R101:R105)</f>
        <v>0</v>
      </c>
      <c r="S106" s="942">
        <f t="shared" si="83"/>
        <v>0</v>
      </c>
      <c r="T106" s="943">
        <f>SUM(T101:T105)</f>
        <v>0</v>
      </c>
      <c r="U106" s="943">
        <f>SUM(U101:U105)</f>
        <v>0</v>
      </c>
      <c r="V106" s="942">
        <f t="shared" si="84"/>
        <v>0</v>
      </c>
      <c r="W106" s="383"/>
      <c r="X106" s="123"/>
      <c r="Y106" s="129"/>
      <c r="Z106" s="125"/>
      <c r="AA106" s="125"/>
      <c r="AB106" s="125"/>
      <c r="AC106" s="125"/>
      <c r="AE106" s="123"/>
      <c r="AF106" s="123"/>
      <c r="AG106" s="123"/>
      <c r="AH106" s="124"/>
      <c r="AI106" s="125"/>
      <c r="AK106" s="123"/>
      <c r="AL106" s="123"/>
      <c r="AM106" s="123"/>
      <c r="AN106" s="124"/>
      <c r="AO106" s="125"/>
      <c r="AQ106" s="123"/>
      <c r="AR106" s="123"/>
      <c r="AS106" s="123"/>
      <c r="AT106" s="124"/>
      <c r="AU106" s="125"/>
      <c r="AW106" s="123"/>
      <c r="AX106" s="123"/>
      <c r="AY106" s="123"/>
      <c r="AZ106" s="124"/>
      <c r="BA106" s="125"/>
    </row>
    <row r="107" spans="1:53" s="97" customFormat="1" ht="17.100000000000001" customHeight="1" x14ac:dyDescent="0.25">
      <c r="A107" s="137"/>
      <c r="B107" s="137"/>
      <c r="C107" s="928"/>
      <c r="D107" s="127" t="s">
        <v>1439</v>
      </c>
      <c r="E107" s="122"/>
      <c r="F107" s="122"/>
      <c r="G107" s="122"/>
      <c r="H107" s="928"/>
      <c r="I107" s="229"/>
      <c r="J107" s="123"/>
      <c r="K107" s="123"/>
      <c r="L107" s="123"/>
      <c r="M107" s="123"/>
      <c r="N107" s="943">
        <f>N20*3</f>
        <v>0</v>
      </c>
      <c r="O107" s="943">
        <f>O20*3</f>
        <v>0</v>
      </c>
      <c r="P107" s="942">
        <f t="shared" si="82"/>
        <v>0</v>
      </c>
      <c r="Q107" s="943">
        <f>Q20*3</f>
        <v>0</v>
      </c>
      <c r="R107" s="943">
        <f>R20*3</f>
        <v>0</v>
      </c>
      <c r="S107" s="942">
        <f t="shared" si="83"/>
        <v>0</v>
      </c>
      <c r="T107" s="943">
        <f>T20*3</f>
        <v>0</v>
      </c>
      <c r="U107" s="943">
        <f>U20*3</f>
        <v>0</v>
      </c>
      <c r="V107" s="942">
        <f t="shared" si="84"/>
        <v>0</v>
      </c>
      <c r="W107" s="383"/>
      <c r="X107" s="123"/>
      <c r="Y107" s="129"/>
      <c r="Z107" s="125"/>
      <c r="AA107" s="125"/>
      <c r="AB107" s="125"/>
      <c r="AC107" s="125"/>
      <c r="AE107" s="123"/>
      <c r="AF107" s="123"/>
      <c r="AG107" s="123"/>
      <c r="AH107" s="124"/>
      <c r="AI107" s="125"/>
      <c r="AK107" s="123"/>
      <c r="AL107" s="123"/>
      <c r="AM107" s="123"/>
      <c r="AN107" s="124"/>
      <c r="AO107" s="125"/>
      <c r="AQ107" s="123"/>
      <c r="AR107" s="123"/>
      <c r="AS107" s="123"/>
      <c r="AT107" s="124"/>
      <c r="AU107" s="125"/>
      <c r="AW107" s="123"/>
      <c r="AX107" s="123"/>
      <c r="AY107" s="123"/>
      <c r="AZ107" s="124"/>
      <c r="BA107" s="125"/>
    </row>
    <row r="108" spans="1:53" s="97" customFormat="1" ht="17.100000000000001" customHeight="1" x14ac:dyDescent="0.25">
      <c r="A108" s="137"/>
      <c r="B108" s="119"/>
      <c r="C108" s="928"/>
      <c r="D108" s="127" t="s">
        <v>1440</v>
      </c>
      <c r="E108" s="122"/>
      <c r="F108" s="122"/>
      <c r="G108" s="122"/>
      <c r="H108" s="928"/>
      <c r="I108" s="229"/>
      <c r="J108" s="123"/>
      <c r="K108" s="123"/>
      <c r="L108" s="123"/>
      <c r="M108" s="123"/>
      <c r="N108" s="130">
        <f>IF(N107=0,0,N106/N107)</f>
        <v>0</v>
      </c>
      <c r="O108" s="130">
        <f t="shared" ref="O108:V108" si="85">IF(O107=0,0,O106/O107)</f>
        <v>0</v>
      </c>
      <c r="P108" s="130">
        <f t="shared" si="85"/>
        <v>0</v>
      </c>
      <c r="Q108" s="130">
        <f t="shared" si="85"/>
        <v>0</v>
      </c>
      <c r="R108" s="130">
        <f t="shared" si="85"/>
        <v>0</v>
      </c>
      <c r="S108" s="130">
        <f t="shared" si="85"/>
        <v>0</v>
      </c>
      <c r="T108" s="130">
        <f t="shared" si="85"/>
        <v>0</v>
      </c>
      <c r="U108" s="130">
        <f t="shared" si="85"/>
        <v>0</v>
      </c>
      <c r="V108" s="130">
        <f t="shared" si="85"/>
        <v>0</v>
      </c>
      <c r="W108" s="383"/>
      <c r="X108" s="123"/>
      <c r="Y108" s="129"/>
      <c r="Z108" s="125"/>
      <c r="AA108" s="125"/>
      <c r="AB108" s="125"/>
      <c r="AC108" s="125"/>
      <c r="AE108" s="123"/>
      <c r="AF108" s="123"/>
      <c r="AG108" s="123"/>
      <c r="AH108" s="124"/>
      <c r="AI108" s="125"/>
      <c r="AK108" s="123"/>
      <c r="AL108" s="123"/>
      <c r="AM108" s="123"/>
      <c r="AN108" s="124"/>
      <c r="AO108" s="125"/>
      <c r="AQ108" s="123"/>
      <c r="AR108" s="123"/>
      <c r="AS108" s="123"/>
      <c r="AT108" s="124"/>
      <c r="AU108" s="125"/>
      <c r="AW108" s="123"/>
      <c r="AX108" s="123"/>
      <c r="AY108" s="123"/>
      <c r="AZ108" s="124"/>
      <c r="BA108" s="125"/>
    </row>
    <row r="109" spans="1:53" s="97" customFormat="1" ht="17.100000000000001" customHeight="1" x14ac:dyDescent="0.25">
      <c r="A109" s="137"/>
      <c r="B109" s="119"/>
      <c r="C109" s="103" t="s">
        <v>80</v>
      </c>
      <c r="D109" s="85" t="s">
        <v>896</v>
      </c>
      <c r="E109" s="75"/>
      <c r="F109" s="75"/>
      <c r="G109" s="75"/>
      <c r="H109" s="1310"/>
      <c r="I109" s="229"/>
      <c r="J109" s="1309"/>
      <c r="K109" s="1309"/>
      <c r="L109" s="1309"/>
      <c r="M109" s="1309"/>
      <c r="N109" s="1309"/>
      <c r="O109" s="1309"/>
      <c r="P109" s="1309">
        <f>IF(P108&gt;=0.5,1,0)</f>
        <v>0</v>
      </c>
      <c r="Q109" s="1309"/>
      <c r="R109" s="1309"/>
      <c r="S109" s="1309">
        <f>IF(S108&gt;=0.5,1,0)</f>
        <v>0</v>
      </c>
      <c r="T109" s="1309"/>
      <c r="U109" s="1309"/>
      <c r="V109" s="1309">
        <f>IF(V108&gt;=0.5,1,0)</f>
        <v>0</v>
      </c>
      <c r="W109" s="382"/>
      <c r="X109" s="1309"/>
      <c r="Y109" s="1309">
        <f t="shared" ref="Y109" si="86">M109+P109+S109+V109</f>
        <v>0</v>
      </c>
      <c r="Z109" s="91"/>
      <c r="AA109" s="91"/>
      <c r="AB109" s="91"/>
      <c r="AC109" s="84"/>
      <c r="AE109" s="1309"/>
      <c r="AF109" s="1309"/>
      <c r="AG109" s="1309"/>
      <c r="AH109" s="1309"/>
      <c r="AI109" s="91"/>
      <c r="AK109" s="1309"/>
      <c r="AL109" s="1309"/>
      <c r="AM109" s="1309"/>
      <c r="AN109" s="1309"/>
      <c r="AO109" s="91"/>
      <c r="AQ109" s="1309"/>
      <c r="AR109" s="1309"/>
      <c r="AS109" s="1309"/>
      <c r="AT109" s="1309"/>
      <c r="AU109" s="91"/>
      <c r="AW109" s="1309"/>
      <c r="AX109" s="1309"/>
      <c r="AY109" s="1309"/>
      <c r="AZ109" s="1309"/>
      <c r="BA109" s="91"/>
    </row>
    <row r="110" spans="1:53" s="97" customFormat="1" ht="17.100000000000001" customHeight="1" x14ac:dyDescent="0.25">
      <c r="A110" s="119"/>
      <c r="B110" s="119"/>
      <c r="C110" s="928"/>
      <c r="D110" s="121" t="s">
        <v>82</v>
      </c>
      <c r="E110" s="122"/>
      <c r="F110" s="122"/>
      <c r="G110" s="122"/>
      <c r="H110" s="928"/>
      <c r="I110" s="229"/>
      <c r="J110" s="123"/>
      <c r="K110" s="123"/>
      <c r="L110" s="123"/>
      <c r="M110" s="123"/>
      <c r="N110" s="123"/>
      <c r="O110" s="123"/>
      <c r="P110" s="123"/>
      <c r="Q110" s="123"/>
      <c r="R110" s="123"/>
      <c r="S110" s="123"/>
      <c r="T110" s="123"/>
      <c r="U110" s="123"/>
      <c r="V110" s="363"/>
      <c r="W110" s="383"/>
      <c r="X110" s="123"/>
      <c r="Y110" s="124"/>
      <c r="Z110" s="125"/>
      <c r="AA110" s="125"/>
      <c r="AB110" s="125"/>
      <c r="AC110" s="125"/>
      <c r="AE110" s="126"/>
      <c r="AF110" s="126"/>
      <c r="AG110" s="126"/>
      <c r="AH110" s="124"/>
      <c r="AI110" s="125"/>
      <c r="AK110" s="126"/>
      <c r="AL110" s="126"/>
      <c r="AM110" s="126"/>
      <c r="AN110" s="124"/>
      <c r="AO110" s="125"/>
      <c r="AQ110" s="126"/>
      <c r="AR110" s="126"/>
      <c r="AS110" s="126"/>
      <c r="AT110" s="124"/>
      <c r="AU110" s="125"/>
      <c r="AW110" s="126"/>
      <c r="AX110" s="126"/>
      <c r="AY110" s="126"/>
      <c r="AZ110" s="124"/>
      <c r="BA110" s="125"/>
    </row>
    <row r="111" spans="1:53" s="97" customFormat="1" ht="17.100000000000001" customHeight="1" x14ac:dyDescent="0.25">
      <c r="A111" s="119"/>
      <c r="B111" s="119"/>
      <c r="C111" s="928"/>
      <c r="D111" s="127" t="s">
        <v>910</v>
      </c>
      <c r="E111" s="122"/>
      <c r="F111" s="122"/>
      <c r="G111" s="122"/>
      <c r="H111" s="928"/>
      <c r="I111" s="229"/>
      <c r="J111" s="123"/>
      <c r="K111" s="123"/>
      <c r="L111" s="123"/>
      <c r="M111" s="123"/>
      <c r="N111" s="123"/>
      <c r="O111" s="123"/>
      <c r="P111" s="129">
        <f>P80</f>
        <v>0</v>
      </c>
      <c r="Q111" s="123"/>
      <c r="R111" s="123"/>
      <c r="S111" s="129">
        <f>S80</f>
        <v>0</v>
      </c>
      <c r="T111" s="123"/>
      <c r="U111" s="123"/>
      <c r="V111" s="129">
        <f>V80</f>
        <v>0</v>
      </c>
      <c r="W111" s="383"/>
      <c r="X111" s="123"/>
      <c r="Y111" s="124"/>
      <c r="Z111" s="125"/>
      <c r="AA111" s="125"/>
      <c r="AB111" s="125"/>
      <c r="AC111" s="125"/>
      <c r="AE111" s="126"/>
      <c r="AF111" s="126"/>
      <c r="AG111" s="126"/>
      <c r="AH111" s="124"/>
      <c r="AI111" s="125"/>
      <c r="AK111" s="126"/>
      <c r="AL111" s="126"/>
      <c r="AM111" s="126"/>
      <c r="AN111" s="124"/>
      <c r="AO111" s="125"/>
      <c r="AQ111" s="126"/>
      <c r="AR111" s="126"/>
      <c r="AS111" s="126"/>
      <c r="AT111" s="124"/>
      <c r="AU111" s="125"/>
      <c r="AW111" s="126"/>
      <c r="AX111" s="126"/>
      <c r="AY111" s="126"/>
      <c r="AZ111" s="124"/>
      <c r="BA111" s="125"/>
    </row>
    <row r="112" spans="1:53" s="97" customFormat="1" ht="17.100000000000001" customHeight="1" x14ac:dyDescent="0.25">
      <c r="A112" s="119"/>
      <c r="B112" s="119"/>
      <c r="C112" s="928"/>
      <c r="D112" s="127" t="s">
        <v>83</v>
      </c>
      <c r="E112" s="122"/>
      <c r="F112" s="122"/>
      <c r="G112" s="122"/>
      <c r="H112" s="928"/>
      <c r="I112" s="229"/>
      <c r="J112" s="123"/>
      <c r="K112" s="123"/>
      <c r="L112" s="123"/>
      <c r="M112" s="123"/>
      <c r="N112" s="123"/>
      <c r="O112" s="123"/>
      <c r="P112" s="129">
        <f>P85</f>
        <v>0</v>
      </c>
      <c r="Q112" s="123"/>
      <c r="R112" s="123"/>
      <c r="S112" s="129">
        <f>S85</f>
        <v>0</v>
      </c>
      <c r="T112" s="123"/>
      <c r="U112" s="123"/>
      <c r="V112" s="129">
        <f>V85</f>
        <v>0</v>
      </c>
      <c r="W112" s="383"/>
      <c r="X112" s="123"/>
      <c r="Y112" s="129"/>
      <c r="Z112" s="125"/>
      <c r="AA112" s="125"/>
      <c r="AB112" s="125"/>
      <c r="AC112" s="125"/>
      <c r="AE112" s="123"/>
      <c r="AF112" s="123"/>
      <c r="AG112" s="123"/>
      <c r="AH112" s="124"/>
      <c r="AI112" s="125"/>
      <c r="AK112" s="123"/>
      <c r="AL112" s="123"/>
      <c r="AM112" s="123"/>
      <c r="AN112" s="124"/>
      <c r="AO112" s="125"/>
      <c r="AQ112" s="123"/>
      <c r="AR112" s="123"/>
      <c r="AS112" s="123"/>
      <c r="AT112" s="124"/>
      <c r="AU112" s="125"/>
      <c r="AW112" s="123"/>
      <c r="AX112" s="123"/>
      <c r="AY112" s="123"/>
      <c r="AZ112" s="124"/>
      <c r="BA112" s="125"/>
    </row>
    <row r="113" spans="1:53" s="97" customFormat="1" ht="17.100000000000001" customHeight="1" x14ac:dyDescent="0.25">
      <c r="A113" s="119"/>
      <c r="B113" s="119"/>
      <c r="C113" s="928"/>
      <c r="D113" s="127" t="s">
        <v>84</v>
      </c>
      <c r="E113" s="122"/>
      <c r="F113" s="122"/>
      <c r="G113" s="122"/>
      <c r="H113" s="928"/>
      <c r="I113" s="229"/>
      <c r="J113" s="123"/>
      <c r="K113" s="123"/>
      <c r="L113" s="123"/>
      <c r="M113" s="123"/>
      <c r="N113" s="123"/>
      <c r="O113" s="123"/>
      <c r="P113" s="129">
        <f>P86</f>
        <v>0</v>
      </c>
      <c r="Q113" s="123"/>
      <c r="R113" s="123"/>
      <c r="S113" s="129">
        <f>S86</f>
        <v>0</v>
      </c>
      <c r="T113" s="123"/>
      <c r="U113" s="123"/>
      <c r="V113" s="129">
        <f>V86</f>
        <v>0</v>
      </c>
      <c r="W113" s="383"/>
      <c r="X113" s="123"/>
      <c r="Y113" s="129"/>
      <c r="Z113" s="125"/>
      <c r="AA113" s="125"/>
      <c r="AB113" s="125"/>
      <c r="AC113" s="125"/>
      <c r="AE113" s="123"/>
      <c r="AF113" s="123"/>
      <c r="AG113" s="123"/>
      <c r="AH113" s="124"/>
      <c r="AI113" s="125"/>
      <c r="AK113" s="123"/>
      <c r="AL113" s="123"/>
      <c r="AM113" s="123"/>
      <c r="AN113" s="124"/>
      <c r="AO113" s="125"/>
      <c r="AQ113" s="123"/>
      <c r="AR113" s="123"/>
      <c r="AS113" s="123"/>
      <c r="AT113" s="124"/>
      <c r="AU113" s="125"/>
      <c r="AW113" s="123"/>
      <c r="AX113" s="123"/>
      <c r="AY113" s="123"/>
      <c r="AZ113" s="124"/>
      <c r="BA113" s="125"/>
    </row>
    <row r="114" spans="1:53" s="97" customFormat="1" ht="17.100000000000001" customHeight="1" x14ac:dyDescent="0.25">
      <c r="A114" s="119"/>
      <c r="B114" s="119"/>
      <c r="C114" s="928"/>
      <c r="D114" s="127" t="s">
        <v>85</v>
      </c>
      <c r="E114" s="122"/>
      <c r="F114" s="122"/>
      <c r="G114" s="122"/>
      <c r="H114" s="928"/>
      <c r="I114" s="229"/>
      <c r="J114" s="123"/>
      <c r="K114" s="123"/>
      <c r="L114" s="123"/>
      <c r="M114" s="123"/>
      <c r="N114" s="123"/>
      <c r="O114" s="123"/>
      <c r="P114" s="129">
        <f>P87</f>
        <v>0</v>
      </c>
      <c r="Q114" s="123"/>
      <c r="R114" s="123"/>
      <c r="S114" s="129">
        <f>S87</f>
        <v>0</v>
      </c>
      <c r="T114" s="123"/>
      <c r="U114" s="123"/>
      <c r="V114" s="129">
        <f>V87</f>
        <v>0</v>
      </c>
      <c r="W114" s="383"/>
      <c r="X114" s="123"/>
      <c r="Y114" s="129"/>
      <c r="Z114" s="125"/>
      <c r="AA114" s="125"/>
      <c r="AB114" s="125"/>
      <c r="AC114" s="125"/>
      <c r="AE114" s="123"/>
      <c r="AF114" s="123"/>
      <c r="AG114" s="123"/>
      <c r="AH114" s="124"/>
      <c r="AI114" s="125"/>
      <c r="AK114" s="123"/>
      <c r="AL114" s="123"/>
      <c r="AM114" s="123"/>
      <c r="AN114" s="124"/>
      <c r="AO114" s="125"/>
      <c r="AQ114" s="123"/>
      <c r="AR114" s="123"/>
      <c r="AS114" s="123"/>
      <c r="AT114" s="124"/>
      <c r="AU114" s="125"/>
      <c r="AW114" s="123"/>
      <c r="AX114" s="123"/>
      <c r="AY114" s="123"/>
      <c r="AZ114" s="124"/>
      <c r="BA114" s="125"/>
    </row>
    <row r="115" spans="1:53" s="97" customFormat="1" ht="17.100000000000001" customHeight="1" x14ac:dyDescent="0.25">
      <c r="A115" s="119"/>
      <c r="B115" s="119"/>
      <c r="C115" s="103" t="s">
        <v>86</v>
      </c>
      <c r="D115" s="85" t="s">
        <v>907</v>
      </c>
      <c r="E115" s="75"/>
      <c r="F115" s="75"/>
      <c r="G115" s="75"/>
      <c r="H115" s="928"/>
      <c r="I115" s="229"/>
      <c r="J115" s="932"/>
      <c r="K115" s="932"/>
      <c r="L115" s="932"/>
      <c r="M115" s="932"/>
      <c r="N115" s="932"/>
      <c r="O115" s="932"/>
      <c r="P115" s="932"/>
      <c r="Q115" s="932"/>
      <c r="R115" s="932"/>
      <c r="S115" s="932"/>
      <c r="T115" s="932"/>
      <c r="U115" s="932"/>
      <c r="V115" s="932"/>
      <c r="W115" s="385"/>
      <c r="X115" s="932"/>
      <c r="Y115" s="932"/>
      <c r="Z115" s="131"/>
      <c r="AA115" s="131"/>
      <c r="AB115" s="131"/>
      <c r="AC115" s="113"/>
      <c r="AE115" s="927"/>
      <c r="AF115" s="927"/>
      <c r="AG115" s="927"/>
      <c r="AH115" s="927"/>
      <c r="AI115" s="91"/>
      <c r="AK115" s="927"/>
      <c r="AL115" s="927"/>
      <c r="AM115" s="927"/>
      <c r="AN115" s="927"/>
      <c r="AO115" s="91"/>
      <c r="AQ115" s="927"/>
      <c r="AR115" s="927"/>
      <c r="AS115" s="927"/>
      <c r="AT115" s="927"/>
      <c r="AU115" s="91"/>
      <c r="AW115" s="927"/>
      <c r="AX115" s="927"/>
      <c r="AY115" s="927"/>
      <c r="AZ115" s="927"/>
      <c r="BA115" s="91"/>
    </row>
    <row r="116" spans="1:53" s="97" customFormat="1" ht="17.100000000000001" customHeight="1" x14ac:dyDescent="0.25">
      <c r="A116" s="119"/>
      <c r="B116" s="119"/>
      <c r="C116" s="119"/>
      <c r="D116" s="74" t="s">
        <v>905</v>
      </c>
      <c r="E116" s="75" t="s">
        <v>908</v>
      </c>
      <c r="F116" s="75"/>
      <c r="G116" s="75"/>
      <c r="H116" s="928"/>
      <c r="I116" s="229"/>
      <c r="J116" s="927"/>
      <c r="K116" s="927"/>
      <c r="L116" s="927"/>
      <c r="M116" s="927"/>
      <c r="N116" s="927"/>
      <c r="O116" s="927"/>
      <c r="P116" s="927">
        <f>IF(SUM(P111:P112)&gt;=1,1,0)</f>
        <v>0</v>
      </c>
      <c r="Q116" s="927"/>
      <c r="R116" s="927"/>
      <c r="S116" s="927">
        <f>IF(SUM(S111:S112)&gt;=1,1,0)</f>
        <v>0</v>
      </c>
      <c r="T116" s="927"/>
      <c r="U116" s="927"/>
      <c r="V116" s="927">
        <f>IF(SUM(V111:V112)&gt;=1,1,0)</f>
        <v>0</v>
      </c>
      <c r="W116" s="382"/>
      <c r="X116" s="927"/>
      <c r="Y116" s="927">
        <f t="shared" ref="Y116:Y121" si="87">M116+P116+S116+V116</f>
        <v>0</v>
      </c>
      <c r="Z116" s="91"/>
      <c r="AA116" s="91"/>
      <c r="AB116" s="91"/>
      <c r="AC116" s="84"/>
      <c r="AE116" s="927"/>
      <c r="AF116" s="927"/>
      <c r="AG116" s="927"/>
      <c r="AH116" s="927"/>
      <c r="AI116" s="91"/>
      <c r="AK116" s="927"/>
      <c r="AL116" s="927"/>
      <c r="AM116" s="927"/>
      <c r="AN116" s="927"/>
      <c r="AO116" s="91"/>
      <c r="AQ116" s="927"/>
      <c r="AR116" s="927"/>
      <c r="AS116" s="927"/>
      <c r="AT116" s="927"/>
      <c r="AU116" s="91"/>
      <c r="AW116" s="927"/>
      <c r="AX116" s="927"/>
      <c r="AY116" s="927"/>
      <c r="AZ116" s="927"/>
      <c r="BA116" s="91"/>
    </row>
    <row r="117" spans="1:53" s="97" customFormat="1" ht="17.100000000000001" customHeight="1" x14ac:dyDescent="0.25">
      <c r="A117" s="119"/>
      <c r="B117" s="119"/>
      <c r="C117" s="119"/>
      <c r="D117" s="74" t="s">
        <v>906</v>
      </c>
      <c r="E117" s="75" t="s">
        <v>909</v>
      </c>
      <c r="F117" s="75"/>
      <c r="G117" s="75"/>
      <c r="H117" s="928"/>
      <c r="I117" s="229"/>
      <c r="J117" s="927"/>
      <c r="K117" s="927"/>
      <c r="L117" s="927"/>
      <c r="M117" s="927"/>
      <c r="N117" s="927"/>
      <c r="O117" s="927"/>
      <c r="P117" s="927">
        <f>IF(SUM(P113:P114)&gt;=1,1,0)</f>
        <v>0</v>
      </c>
      <c r="Q117" s="927"/>
      <c r="R117" s="927"/>
      <c r="S117" s="927">
        <f>IF(SUM(S113:S114)&gt;=1,1,0)</f>
        <v>0</v>
      </c>
      <c r="T117" s="927"/>
      <c r="U117" s="927"/>
      <c r="V117" s="927">
        <f>IF(SUM(V113:V114)&gt;=1,1,0)</f>
        <v>0</v>
      </c>
      <c r="W117" s="382"/>
      <c r="X117" s="927"/>
      <c r="Y117" s="927">
        <f t="shared" si="87"/>
        <v>0</v>
      </c>
      <c r="Z117" s="91"/>
      <c r="AA117" s="91"/>
      <c r="AB117" s="91"/>
      <c r="AC117" s="84"/>
      <c r="AE117" s="927"/>
      <c r="AF117" s="927"/>
      <c r="AG117" s="927"/>
      <c r="AH117" s="927"/>
      <c r="AI117" s="91"/>
      <c r="AK117" s="927"/>
      <c r="AL117" s="927"/>
      <c r="AM117" s="927"/>
      <c r="AN117" s="927"/>
      <c r="AO117" s="91"/>
      <c r="AQ117" s="927"/>
      <c r="AR117" s="927"/>
      <c r="AS117" s="927"/>
      <c r="AT117" s="927"/>
      <c r="AU117" s="91"/>
      <c r="AW117" s="927"/>
      <c r="AX117" s="927"/>
      <c r="AY117" s="927"/>
      <c r="AZ117" s="927"/>
      <c r="BA117" s="91"/>
    </row>
    <row r="118" spans="1:53" s="97" customFormat="1" ht="17.100000000000001" customHeight="1" x14ac:dyDescent="0.25">
      <c r="A118" s="119"/>
      <c r="B118" s="119"/>
      <c r="C118" s="928"/>
      <c r="D118" s="121" t="s">
        <v>88</v>
      </c>
      <c r="E118" s="122"/>
      <c r="F118" s="122"/>
      <c r="G118" s="122"/>
      <c r="H118" s="928"/>
      <c r="I118" s="229"/>
      <c r="J118" s="123"/>
      <c r="K118" s="123"/>
      <c r="L118" s="123"/>
      <c r="M118" s="123"/>
      <c r="N118" s="123"/>
      <c r="O118" s="123"/>
      <c r="P118" s="123"/>
      <c r="Q118" s="123"/>
      <c r="R118" s="123"/>
      <c r="S118" s="123"/>
      <c r="T118" s="123"/>
      <c r="U118" s="123"/>
      <c r="V118" s="363"/>
      <c r="W118" s="383"/>
      <c r="X118" s="123"/>
      <c r="Y118" s="124"/>
      <c r="Z118" s="125"/>
      <c r="AA118" s="125"/>
      <c r="AB118" s="125"/>
      <c r="AC118" s="125"/>
      <c r="AE118" s="126"/>
      <c r="AF118" s="126"/>
      <c r="AG118" s="126"/>
      <c r="AH118" s="124"/>
      <c r="AI118" s="125"/>
      <c r="AK118" s="126"/>
      <c r="AL118" s="126"/>
      <c r="AM118" s="126"/>
      <c r="AN118" s="124"/>
      <c r="AO118" s="125"/>
      <c r="AQ118" s="126"/>
      <c r="AR118" s="126"/>
      <c r="AS118" s="126"/>
      <c r="AT118" s="124"/>
      <c r="AU118" s="125"/>
      <c r="AW118" s="126"/>
      <c r="AX118" s="126"/>
      <c r="AY118" s="126"/>
      <c r="AZ118" s="124"/>
      <c r="BA118" s="125"/>
    </row>
    <row r="119" spans="1:53" s="97" customFormat="1" ht="17.100000000000001" customHeight="1" x14ac:dyDescent="0.25">
      <c r="A119" s="119"/>
      <c r="B119" s="119"/>
      <c r="C119" s="928"/>
      <c r="D119" s="127" t="s">
        <v>90</v>
      </c>
      <c r="E119" s="122"/>
      <c r="F119" s="122"/>
      <c r="G119" s="279"/>
      <c r="H119" s="928"/>
      <c r="I119" s="229"/>
      <c r="J119" s="123"/>
      <c r="K119" s="123"/>
      <c r="L119" s="123"/>
      <c r="M119" s="123"/>
      <c r="N119" s="123"/>
      <c r="O119" s="123"/>
      <c r="P119" s="123">
        <f>P92</f>
        <v>0</v>
      </c>
      <c r="Q119" s="123"/>
      <c r="R119" s="123"/>
      <c r="S119" s="123">
        <f>S92</f>
        <v>0</v>
      </c>
      <c r="T119" s="123"/>
      <c r="U119" s="123"/>
      <c r="V119" s="123">
        <f>V92</f>
        <v>0</v>
      </c>
      <c r="W119" s="383"/>
      <c r="X119" s="123"/>
      <c r="Y119" s="123">
        <f t="shared" si="87"/>
        <v>0</v>
      </c>
      <c r="Z119" s="125"/>
      <c r="AA119" s="125"/>
      <c r="AB119" s="125"/>
      <c r="AC119" s="125"/>
      <c r="AE119" s="123"/>
      <c r="AF119" s="123"/>
      <c r="AG119" s="123"/>
      <c r="AH119" s="124"/>
      <c r="AI119" s="125"/>
      <c r="AK119" s="123"/>
      <c r="AL119" s="123"/>
      <c r="AM119" s="123"/>
      <c r="AN119" s="124"/>
      <c r="AO119" s="125"/>
      <c r="AQ119" s="123"/>
      <c r="AR119" s="123"/>
      <c r="AS119" s="123"/>
      <c r="AT119" s="124"/>
      <c r="AU119" s="125"/>
      <c r="AW119" s="123"/>
      <c r="AX119" s="123"/>
      <c r="AY119" s="123"/>
      <c r="AZ119" s="124"/>
      <c r="BA119" s="125"/>
    </row>
    <row r="120" spans="1:53" s="97" customFormat="1" ht="17.100000000000001" customHeight="1" x14ac:dyDescent="0.25">
      <c r="A120" s="119"/>
      <c r="B120" s="119"/>
      <c r="C120" s="928"/>
      <c r="D120" s="127" t="s">
        <v>89</v>
      </c>
      <c r="E120" s="122"/>
      <c r="F120" s="128"/>
      <c r="G120" s="279"/>
      <c r="H120" s="928"/>
      <c r="I120" s="229"/>
      <c r="J120" s="123"/>
      <c r="K120" s="123"/>
      <c r="L120" s="123"/>
      <c r="M120" s="123"/>
      <c r="N120" s="123"/>
      <c r="O120" s="123"/>
      <c r="P120" s="123">
        <f>SUM(P93:P95)</f>
        <v>0</v>
      </c>
      <c r="Q120" s="123"/>
      <c r="R120" s="123"/>
      <c r="S120" s="123">
        <f>SUM(S93:S95)</f>
        <v>0</v>
      </c>
      <c r="T120" s="123"/>
      <c r="U120" s="123"/>
      <c r="V120" s="123">
        <f>SUM(V93:V95)</f>
        <v>0</v>
      </c>
      <c r="W120" s="383"/>
      <c r="X120" s="123"/>
      <c r="Y120" s="123">
        <f t="shared" si="87"/>
        <v>0</v>
      </c>
      <c r="Z120" s="125"/>
      <c r="AA120" s="125"/>
      <c r="AB120" s="125"/>
      <c r="AC120" s="125"/>
      <c r="AE120" s="123"/>
      <c r="AF120" s="123"/>
      <c r="AG120" s="123"/>
      <c r="AH120" s="124"/>
      <c r="AI120" s="125"/>
      <c r="AK120" s="123"/>
      <c r="AL120" s="123"/>
      <c r="AM120" s="123"/>
      <c r="AN120" s="124"/>
      <c r="AO120" s="125"/>
      <c r="AQ120" s="123"/>
      <c r="AR120" s="123"/>
      <c r="AS120" s="123"/>
      <c r="AT120" s="124"/>
      <c r="AU120" s="125"/>
      <c r="AW120" s="123"/>
      <c r="AX120" s="123"/>
      <c r="AY120" s="123"/>
      <c r="AZ120" s="124"/>
      <c r="BA120" s="125"/>
    </row>
    <row r="121" spans="1:53" s="97" customFormat="1" ht="17.100000000000001" customHeight="1" x14ac:dyDescent="0.25">
      <c r="A121" s="119"/>
      <c r="B121" s="119"/>
      <c r="C121" s="928"/>
      <c r="D121" s="127" t="s">
        <v>91</v>
      </c>
      <c r="E121" s="122"/>
      <c r="F121" s="122"/>
      <c r="G121" s="279"/>
      <c r="H121" s="928"/>
      <c r="I121" s="229"/>
      <c r="J121" s="129"/>
      <c r="K121" s="129"/>
      <c r="L121" s="129"/>
      <c r="M121" s="129"/>
      <c r="N121" s="129"/>
      <c r="O121" s="129"/>
      <c r="P121" s="129">
        <f t="shared" ref="P121" si="88">IF(P119=1,0,IF(P120=1,1,0))</f>
        <v>0</v>
      </c>
      <c r="Q121" s="129"/>
      <c r="R121" s="129"/>
      <c r="S121" s="129">
        <f t="shared" ref="S121" si="89">IF(S119=1,0,IF(S120=1,1,0))</f>
        <v>0</v>
      </c>
      <c r="T121" s="129"/>
      <c r="U121" s="129"/>
      <c r="V121" s="129">
        <f t="shared" ref="V121" si="90">IF(V119=1,0,IF(V120=1,1,0))</f>
        <v>0</v>
      </c>
      <c r="W121" s="384"/>
      <c r="X121" s="129"/>
      <c r="Y121" s="129">
        <f t="shared" si="87"/>
        <v>0</v>
      </c>
      <c r="Z121" s="130"/>
      <c r="AA121" s="130"/>
      <c r="AB121" s="130"/>
      <c r="AC121" s="125"/>
      <c r="AE121" s="129"/>
      <c r="AF121" s="129"/>
      <c r="AG121" s="129"/>
      <c r="AH121" s="129"/>
      <c r="AI121" s="130"/>
      <c r="AK121" s="129"/>
      <c r="AL121" s="129"/>
      <c r="AM121" s="129"/>
      <c r="AN121" s="129"/>
      <c r="AO121" s="130"/>
      <c r="AQ121" s="129"/>
      <c r="AR121" s="129"/>
      <c r="AS121" s="129"/>
      <c r="AT121" s="129"/>
      <c r="AU121" s="130"/>
      <c r="AW121" s="129"/>
      <c r="AX121" s="129"/>
      <c r="AY121" s="129"/>
      <c r="AZ121" s="129"/>
      <c r="BA121" s="130"/>
    </row>
    <row r="122" spans="1:53" s="97" customFormat="1" ht="17.100000000000001" customHeight="1" x14ac:dyDescent="0.25">
      <c r="A122" s="119"/>
      <c r="B122" s="119"/>
      <c r="C122" s="103" t="s">
        <v>92</v>
      </c>
      <c r="D122" s="85" t="s">
        <v>914</v>
      </c>
      <c r="E122" s="75"/>
      <c r="F122" s="75"/>
      <c r="G122" s="75"/>
      <c r="H122" s="928"/>
      <c r="I122" s="229"/>
      <c r="J122" s="927"/>
      <c r="K122" s="927"/>
      <c r="L122" s="927"/>
      <c r="M122" s="927"/>
      <c r="N122" s="927"/>
      <c r="O122" s="927"/>
      <c r="P122" s="927">
        <f>P121</f>
        <v>0</v>
      </c>
      <c r="Q122" s="927"/>
      <c r="R122" s="927"/>
      <c r="S122" s="927">
        <f>S121</f>
        <v>0</v>
      </c>
      <c r="T122" s="927"/>
      <c r="U122" s="927"/>
      <c r="V122" s="927">
        <f>V121</f>
        <v>0</v>
      </c>
      <c r="W122" s="382"/>
      <c r="X122" s="927"/>
      <c r="Y122" s="927">
        <f>SUM(J122:X122)</f>
        <v>0</v>
      </c>
      <c r="Z122" s="91"/>
      <c r="AA122" s="91"/>
      <c r="AB122" s="91"/>
      <c r="AC122" s="84"/>
      <c r="AE122" s="927"/>
      <c r="AF122" s="927"/>
      <c r="AG122" s="927"/>
      <c r="AH122" s="927"/>
      <c r="AI122" s="91"/>
      <c r="AK122" s="927"/>
      <c r="AL122" s="927"/>
      <c r="AM122" s="927"/>
      <c r="AN122" s="927"/>
      <c r="AO122" s="91"/>
      <c r="AQ122" s="927"/>
      <c r="AR122" s="927"/>
      <c r="AS122" s="927"/>
      <c r="AT122" s="927"/>
      <c r="AU122" s="91"/>
      <c r="AW122" s="927"/>
      <c r="AX122" s="927"/>
      <c r="AY122" s="927"/>
      <c r="AZ122" s="927"/>
      <c r="BA122" s="91"/>
    </row>
    <row r="123" spans="1:53" s="97" customFormat="1" ht="17.100000000000001" customHeight="1" x14ac:dyDescent="0.25">
      <c r="A123" s="119"/>
      <c r="B123" s="119"/>
      <c r="C123" s="103" t="s">
        <v>93</v>
      </c>
      <c r="D123" s="85" t="s">
        <v>94</v>
      </c>
      <c r="E123" s="75"/>
      <c r="F123" s="75"/>
      <c r="G123" s="75"/>
      <c r="H123" s="928"/>
      <c r="I123" s="229"/>
      <c r="J123" s="932"/>
      <c r="K123" s="932"/>
      <c r="L123" s="932"/>
      <c r="M123" s="932"/>
      <c r="N123" s="932"/>
      <c r="O123" s="932"/>
      <c r="P123" s="932"/>
      <c r="Q123" s="932"/>
      <c r="R123" s="932"/>
      <c r="S123" s="932"/>
      <c r="T123" s="932"/>
      <c r="U123" s="932"/>
      <c r="V123" s="364"/>
      <c r="W123" s="385"/>
      <c r="X123" s="932"/>
      <c r="Y123" s="932"/>
      <c r="Z123" s="131"/>
      <c r="AA123" s="131"/>
      <c r="AB123" s="131"/>
      <c r="AC123" s="113"/>
      <c r="AE123" s="114"/>
      <c r="AF123" s="114"/>
      <c r="AG123" s="114"/>
      <c r="AH123" s="112"/>
      <c r="AI123" s="113"/>
      <c r="AK123" s="114"/>
      <c r="AL123" s="114"/>
      <c r="AM123" s="114"/>
      <c r="AN123" s="112"/>
      <c r="AO123" s="113"/>
      <c r="AQ123" s="114"/>
      <c r="AR123" s="114"/>
      <c r="AS123" s="114"/>
      <c r="AT123" s="112"/>
      <c r="AU123" s="113"/>
      <c r="AW123" s="114"/>
      <c r="AX123" s="114"/>
      <c r="AY123" s="114"/>
      <c r="AZ123" s="112"/>
      <c r="BA123" s="113"/>
    </row>
    <row r="124" spans="1:53" s="97" customFormat="1" ht="17.100000000000001" customHeight="1" x14ac:dyDescent="0.25">
      <c r="A124" s="137"/>
      <c r="B124" s="119"/>
      <c r="C124" s="132"/>
      <c r="D124" s="133" t="s">
        <v>95</v>
      </c>
      <c r="E124" s="134"/>
      <c r="F124" s="134"/>
      <c r="G124" s="134"/>
      <c r="H124" s="928"/>
      <c r="I124" s="229"/>
      <c r="J124" s="82"/>
      <c r="K124" s="82"/>
      <c r="L124" s="82" t="str">
        <f>IF(SUM(L30:L32)=1,1-SUM(L125:L127),"")</f>
        <v/>
      </c>
      <c r="M124" s="82"/>
      <c r="N124" s="82"/>
      <c r="O124" s="82"/>
      <c r="P124" s="82">
        <f>IF(P20=0,0,IF(P109+P116+P117+P122=0,1,0))</f>
        <v>0</v>
      </c>
      <c r="Q124" s="82"/>
      <c r="R124" s="82"/>
      <c r="S124" s="82">
        <f>IF(S20=0,0,IF(S109+S116+S117+S122=0,1,0))</f>
        <v>0</v>
      </c>
      <c r="T124" s="82"/>
      <c r="U124" s="82"/>
      <c r="V124" s="82">
        <f>IF(V20=0,0,IF(V109+V116+V117+V122=0,1,0))</f>
        <v>0</v>
      </c>
      <c r="W124" s="381" t="str">
        <f>IF(SUM(W30:W32)=1,1-SUM(W125:W127),"")</f>
        <v/>
      </c>
      <c r="X124" s="82" t="str">
        <f>IF(SUM(X30:X32)=1,1-SUM(X125:X127),"")</f>
        <v/>
      </c>
      <c r="Y124" s="82">
        <f>P124+S124+V124</f>
        <v>0</v>
      </c>
      <c r="Z124" s="66">
        <f>IF(Y$128=0,0,Y124/Y$128)</f>
        <v>0</v>
      </c>
      <c r="AA124" s="66"/>
      <c r="AB124" s="66"/>
      <c r="AC124" s="83"/>
      <c r="AE124" s="82"/>
      <c r="AF124" s="82"/>
      <c r="AG124" s="82"/>
      <c r="AH124" s="82"/>
      <c r="AI124" s="66"/>
      <c r="AK124" s="82"/>
      <c r="AL124" s="82"/>
      <c r="AM124" s="82"/>
      <c r="AN124" s="82"/>
      <c r="AO124" s="66"/>
      <c r="AQ124" s="82"/>
      <c r="AR124" s="82"/>
      <c r="AS124" s="82"/>
      <c r="AT124" s="82"/>
      <c r="AU124" s="66"/>
      <c r="AW124" s="82"/>
      <c r="AX124" s="82"/>
      <c r="AY124" s="82"/>
      <c r="AZ124" s="82"/>
      <c r="BA124" s="66"/>
    </row>
    <row r="125" spans="1:53" s="97" customFormat="1" ht="17.100000000000001" customHeight="1" x14ac:dyDescent="0.25">
      <c r="A125" s="119"/>
      <c r="B125" s="119"/>
      <c r="C125" s="135"/>
      <c r="D125" s="133" t="s">
        <v>96</v>
      </c>
      <c r="E125" s="134"/>
      <c r="F125" s="134"/>
      <c r="G125" s="134"/>
      <c r="H125" s="928"/>
      <c r="I125" s="229"/>
      <c r="J125" s="82"/>
      <c r="K125" s="82"/>
      <c r="L125" s="82"/>
      <c r="M125" s="82"/>
      <c r="N125" s="82"/>
      <c r="O125" s="82"/>
      <c r="P125" s="82">
        <f>IF(P109+P116+P117+P122=1,1,0)</f>
        <v>0</v>
      </c>
      <c r="Q125" s="82"/>
      <c r="R125" s="82"/>
      <c r="S125" s="82">
        <f>IF(S109+S116+S117+S122=1,1,0)</f>
        <v>0</v>
      </c>
      <c r="T125" s="82"/>
      <c r="U125" s="82"/>
      <c r="V125" s="82">
        <f>IF(V109+V116+V117+V122=1,1,0)</f>
        <v>0</v>
      </c>
      <c r="W125" s="381"/>
      <c r="X125" s="82"/>
      <c r="Y125" s="82">
        <f t="shared" ref="Y125:Y127" si="91">P125+S125+V125</f>
        <v>0</v>
      </c>
      <c r="Z125" s="66">
        <f>IF(Y$128=0,0,Y125/Y$128)</f>
        <v>0</v>
      </c>
      <c r="AA125" s="66"/>
      <c r="AB125" s="66"/>
      <c r="AC125" s="83"/>
      <c r="AE125" s="82"/>
      <c r="AF125" s="82"/>
      <c r="AG125" s="82"/>
      <c r="AH125" s="82"/>
      <c r="AI125" s="66"/>
      <c r="AK125" s="82"/>
      <c r="AL125" s="82"/>
      <c r="AM125" s="82"/>
      <c r="AN125" s="82"/>
      <c r="AO125" s="66"/>
      <c r="AQ125" s="82"/>
      <c r="AR125" s="82"/>
      <c r="AS125" s="82"/>
      <c r="AT125" s="82"/>
      <c r="AU125" s="66"/>
      <c r="AW125" s="82"/>
      <c r="AX125" s="82"/>
      <c r="AY125" s="82"/>
      <c r="AZ125" s="82"/>
      <c r="BA125" s="66"/>
    </row>
    <row r="126" spans="1:53" s="97" customFormat="1" ht="17.100000000000001" customHeight="1" x14ac:dyDescent="0.25">
      <c r="A126" s="119"/>
      <c r="B126" s="119"/>
      <c r="C126" s="136"/>
      <c r="D126" s="133" t="s">
        <v>97</v>
      </c>
      <c r="E126" s="134"/>
      <c r="F126" s="134"/>
      <c r="G126" s="134"/>
      <c r="H126" s="928"/>
      <c r="I126" s="229"/>
      <c r="J126" s="82"/>
      <c r="K126" s="82"/>
      <c r="L126" s="82"/>
      <c r="M126" s="82"/>
      <c r="N126" s="82"/>
      <c r="O126" s="82"/>
      <c r="P126" s="82">
        <f>IF(P109+P116+P117+P122=2,1,0)</f>
        <v>0</v>
      </c>
      <c r="Q126" s="82"/>
      <c r="R126" s="82"/>
      <c r="S126" s="82">
        <f>IF(S109+S116+S117+S122=2,1,0)</f>
        <v>0</v>
      </c>
      <c r="T126" s="82"/>
      <c r="U126" s="82"/>
      <c r="V126" s="82">
        <f>IF(V109+V116+V117+V122=2,1,0)</f>
        <v>0</v>
      </c>
      <c r="W126" s="381"/>
      <c r="X126" s="82"/>
      <c r="Y126" s="82">
        <f t="shared" si="91"/>
        <v>0</v>
      </c>
      <c r="Z126" s="66">
        <f>IF(Y$128=0,0,Y126/Y$128)</f>
        <v>0</v>
      </c>
      <c r="AA126" s="66"/>
      <c r="AB126" s="66"/>
      <c r="AC126" s="83"/>
      <c r="AE126" s="82"/>
      <c r="AF126" s="82"/>
      <c r="AG126" s="82"/>
      <c r="AH126" s="82"/>
      <c r="AI126" s="66"/>
      <c r="AK126" s="82"/>
      <c r="AL126" s="82"/>
      <c r="AM126" s="82"/>
      <c r="AN126" s="82"/>
      <c r="AO126" s="66"/>
      <c r="AQ126" s="82"/>
      <c r="AR126" s="82"/>
      <c r="AS126" s="82"/>
      <c r="AT126" s="82"/>
      <c r="AU126" s="66"/>
      <c r="AW126" s="82"/>
      <c r="AX126" s="82"/>
      <c r="AY126" s="82"/>
      <c r="AZ126" s="82"/>
      <c r="BA126" s="66"/>
    </row>
    <row r="127" spans="1:53" s="97" customFormat="1" ht="17.100000000000001" customHeight="1" x14ac:dyDescent="0.25">
      <c r="A127" s="119"/>
      <c r="B127" s="119"/>
      <c r="C127" s="137"/>
      <c r="D127" s="133" t="s">
        <v>98</v>
      </c>
      <c r="E127" s="134"/>
      <c r="F127" s="134"/>
      <c r="G127" s="134"/>
      <c r="H127" s="928"/>
      <c r="I127" s="229"/>
      <c r="J127" s="82"/>
      <c r="K127" s="82"/>
      <c r="L127" s="82"/>
      <c r="M127" s="82"/>
      <c r="N127" s="82"/>
      <c r="O127" s="82"/>
      <c r="P127" s="82">
        <f>IF(P109+P116+P117+P122=3,1,0)</f>
        <v>0</v>
      </c>
      <c r="Q127" s="82"/>
      <c r="R127" s="82"/>
      <c r="S127" s="82">
        <f>IF(S109+S116+S117+S122=3,1,0)</f>
        <v>0</v>
      </c>
      <c r="T127" s="82"/>
      <c r="U127" s="82"/>
      <c r="V127" s="82">
        <f>IF(V109+V116+V117+V122=3,1,0)</f>
        <v>0</v>
      </c>
      <c r="W127" s="381"/>
      <c r="X127" s="82"/>
      <c r="Y127" s="82">
        <f t="shared" si="91"/>
        <v>0</v>
      </c>
      <c r="Z127" s="66">
        <f>IF(Y$128=0,0,Y127/Y$128)</f>
        <v>0</v>
      </c>
      <c r="AA127" s="66"/>
      <c r="AB127" s="66"/>
      <c r="AC127" s="83"/>
      <c r="AE127" s="82"/>
      <c r="AF127" s="82"/>
      <c r="AG127" s="82"/>
      <c r="AH127" s="82"/>
      <c r="AI127" s="66"/>
      <c r="AK127" s="82"/>
      <c r="AL127" s="82"/>
      <c r="AM127" s="82"/>
      <c r="AN127" s="82"/>
      <c r="AO127" s="66"/>
      <c r="AQ127" s="82"/>
      <c r="AR127" s="82"/>
      <c r="AS127" s="82"/>
      <c r="AT127" s="82"/>
      <c r="AU127" s="66"/>
      <c r="AW127" s="82"/>
      <c r="AX127" s="82"/>
      <c r="AY127" s="82"/>
      <c r="AZ127" s="82"/>
      <c r="BA127" s="66"/>
    </row>
    <row r="128" spans="1:53" s="97" customFormat="1" ht="17.100000000000001" customHeight="1" x14ac:dyDescent="0.25">
      <c r="A128" s="119"/>
      <c r="B128" s="119"/>
      <c r="C128" s="928"/>
      <c r="D128" s="133"/>
      <c r="E128" s="134"/>
      <c r="F128" s="134"/>
      <c r="G128" s="134"/>
      <c r="H128" s="928"/>
      <c r="I128" s="229"/>
      <c r="J128" s="82"/>
      <c r="K128" s="82"/>
      <c r="L128" s="82"/>
      <c r="M128" s="82"/>
      <c r="N128" s="82"/>
      <c r="O128" s="82"/>
      <c r="P128" s="82"/>
      <c r="Q128" s="82"/>
      <c r="R128" s="82"/>
      <c r="S128" s="82"/>
      <c r="T128" s="82"/>
      <c r="U128" s="82"/>
      <c r="V128" s="360"/>
      <c r="W128" s="381"/>
      <c r="X128" s="82"/>
      <c r="Y128" s="82">
        <f>SUM(Y124:Y127)</f>
        <v>0</v>
      </c>
      <c r="Z128" s="66">
        <f>IF(Y$128=0,0,Y128/Y$128)</f>
        <v>0</v>
      </c>
      <c r="AA128" s="66"/>
      <c r="AB128" s="66"/>
      <c r="AC128" s="83"/>
      <c r="AE128" s="82"/>
      <c r="AF128" s="82"/>
      <c r="AG128" s="82"/>
      <c r="AH128" s="82"/>
      <c r="AI128" s="66"/>
      <c r="AK128" s="82"/>
      <c r="AL128" s="82"/>
      <c r="AM128" s="82"/>
      <c r="AN128" s="82"/>
      <c r="AO128" s="66"/>
      <c r="AQ128" s="82"/>
      <c r="AR128" s="82"/>
      <c r="AS128" s="82"/>
      <c r="AT128" s="82"/>
      <c r="AU128" s="66"/>
      <c r="AW128" s="82"/>
      <c r="AX128" s="82"/>
      <c r="AY128" s="82"/>
      <c r="AZ128" s="82"/>
      <c r="BA128" s="66"/>
    </row>
    <row r="129" spans="1:53" s="97" customFormat="1" ht="17.100000000000001" customHeight="1" x14ac:dyDescent="0.25">
      <c r="A129" s="119"/>
      <c r="B129" s="119"/>
      <c r="C129" s="928"/>
      <c r="D129" s="127" t="s">
        <v>81</v>
      </c>
      <c r="E129" s="122"/>
      <c r="F129" s="122"/>
      <c r="G129" s="122"/>
      <c r="H129" s="928"/>
      <c r="I129" s="229"/>
      <c r="J129" s="123"/>
      <c r="K129" s="123"/>
      <c r="L129" s="123"/>
      <c r="M129" s="123"/>
      <c r="N129" s="123"/>
      <c r="O129" s="123"/>
      <c r="P129" s="123">
        <f t="shared" ref="P129" si="92">P109</f>
        <v>0</v>
      </c>
      <c r="Q129" s="123"/>
      <c r="R129" s="123"/>
      <c r="S129" s="123">
        <f t="shared" ref="S129" si="93">S109</f>
        <v>0</v>
      </c>
      <c r="T129" s="123"/>
      <c r="U129" s="123"/>
      <c r="V129" s="123">
        <f t="shared" ref="V129" si="94">V109</f>
        <v>0</v>
      </c>
      <c r="W129" s="383"/>
      <c r="X129" s="123"/>
      <c r="Y129" s="123">
        <f t="shared" ref="Y129" si="95">Y109</f>
        <v>0</v>
      </c>
      <c r="Z129" s="525"/>
      <c r="AA129" s="125"/>
      <c r="AB129" s="125"/>
      <c r="AC129" s="125"/>
      <c r="AE129" s="123"/>
      <c r="AF129" s="123"/>
      <c r="AG129" s="123"/>
      <c r="AH129" s="124"/>
      <c r="AI129" s="125"/>
      <c r="AK129" s="123"/>
      <c r="AL129" s="123"/>
      <c r="AM129" s="123"/>
      <c r="AN129" s="124"/>
      <c r="AO129" s="125"/>
      <c r="AQ129" s="123"/>
      <c r="AR129" s="123"/>
      <c r="AS129" s="123"/>
      <c r="AT129" s="124"/>
      <c r="AU129" s="125"/>
      <c r="AW129" s="123"/>
      <c r="AX129" s="123"/>
      <c r="AY129" s="123"/>
      <c r="AZ129" s="124"/>
      <c r="BA129" s="125"/>
    </row>
    <row r="130" spans="1:53" s="97" customFormat="1" ht="17.100000000000001" customHeight="1" x14ac:dyDescent="0.25">
      <c r="A130" s="119"/>
      <c r="B130" s="119"/>
      <c r="C130" s="1310"/>
      <c r="D130" s="127" t="s">
        <v>87</v>
      </c>
      <c r="E130" s="122"/>
      <c r="F130" s="122"/>
      <c r="G130" s="122"/>
      <c r="H130" s="1310"/>
      <c r="I130" s="229"/>
      <c r="J130" s="123"/>
      <c r="K130" s="123"/>
      <c r="L130" s="123"/>
      <c r="M130" s="123"/>
      <c r="N130" s="123"/>
      <c r="O130" s="123"/>
      <c r="P130" s="123">
        <f>P116+P117</f>
        <v>0</v>
      </c>
      <c r="Q130" s="123"/>
      <c r="R130" s="123"/>
      <c r="S130" s="123">
        <f>S116+S117</f>
        <v>0</v>
      </c>
      <c r="T130" s="123"/>
      <c r="U130" s="123"/>
      <c r="V130" s="123">
        <f>V116+V117</f>
        <v>0</v>
      </c>
      <c r="W130" s="383"/>
      <c r="X130" s="123"/>
      <c r="Y130" s="123">
        <f>Y116+Y117</f>
        <v>0</v>
      </c>
      <c r="Z130" s="525"/>
      <c r="AA130" s="125"/>
      <c r="AB130" s="125"/>
      <c r="AC130" s="125"/>
      <c r="AE130" s="123"/>
      <c r="AF130" s="123"/>
      <c r="AG130" s="123"/>
      <c r="AH130" s="124"/>
      <c r="AI130" s="125"/>
      <c r="AK130" s="123"/>
      <c r="AL130" s="123"/>
      <c r="AM130" s="123"/>
      <c r="AN130" s="124"/>
      <c r="AO130" s="125"/>
      <c r="AQ130" s="123"/>
      <c r="AR130" s="123"/>
      <c r="AS130" s="123"/>
      <c r="AT130" s="124"/>
      <c r="AU130" s="125"/>
      <c r="AW130" s="123"/>
      <c r="AX130" s="123"/>
      <c r="AY130" s="123"/>
      <c r="AZ130" s="124"/>
      <c r="BA130" s="125"/>
    </row>
    <row r="131" spans="1:53" s="97" customFormat="1" ht="17.100000000000001" customHeight="1" x14ac:dyDescent="0.25">
      <c r="A131" s="119"/>
      <c r="B131" s="119"/>
      <c r="C131" s="928"/>
      <c r="D131" s="127" t="s">
        <v>923</v>
      </c>
      <c r="E131" s="122"/>
      <c r="F131" s="122"/>
      <c r="G131" s="122"/>
      <c r="H131" s="928"/>
      <c r="I131" s="229"/>
      <c r="J131" s="123"/>
      <c r="K131" s="123"/>
      <c r="L131" s="123"/>
      <c r="M131" s="123"/>
      <c r="N131" s="123"/>
      <c r="O131" s="123"/>
      <c r="P131" s="123"/>
      <c r="Q131" s="123"/>
      <c r="R131" s="123"/>
      <c r="S131" s="123"/>
      <c r="T131" s="123"/>
      <c r="U131" s="123"/>
      <c r="V131" s="123"/>
      <c r="W131" s="383"/>
      <c r="X131" s="123"/>
      <c r="Y131" s="123"/>
      <c r="Z131" s="525"/>
      <c r="AA131" s="130"/>
      <c r="AB131" s="130"/>
      <c r="AC131" s="125"/>
      <c r="AE131" s="123"/>
      <c r="AF131" s="123"/>
      <c r="AG131" s="123"/>
      <c r="AH131" s="129"/>
      <c r="AI131" s="130"/>
      <c r="AK131" s="123"/>
      <c r="AL131" s="123"/>
      <c r="AM131" s="123"/>
      <c r="AN131" s="129"/>
      <c r="AO131" s="130"/>
      <c r="AQ131" s="123"/>
      <c r="AR131" s="123"/>
      <c r="AS131" s="123"/>
      <c r="AT131" s="129"/>
      <c r="AU131" s="130"/>
      <c r="AW131" s="123"/>
      <c r="AX131" s="123"/>
      <c r="AY131" s="123"/>
      <c r="AZ131" s="129"/>
      <c r="BA131" s="130"/>
    </row>
    <row r="132" spans="1:53" s="97" customFormat="1" ht="17.100000000000001" customHeight="1" x14ac:dyDescent="0.25">
      <c r="A132" s="119"/>
      <c r="B132" s="119"/>
      <c r="C132" s="928"/>
      <c r="D132" s="127" t="s">
        <v>922</v>
      </c>
      <c r="E132" s="122"/>
      <c r="F132" s="122"/>
      <c r="G132" s="122"/>
      <c r="H132" s="928"/>
      <c r="I132" s="229"/>
      <c r="J132" s="123"/>
      <c r="K132" s="123"/>
      <c r="L132" s="123"/>
      <c r="M132" s="123"/>
      <c r="N132" s="123"/>
      <c r="O132" s="123"/>
      <c r="P132" s="123">
        <f t="shared" ref="P132" si="96">SUM(P129:P131)</f>
        <v>0</v>
      </c>
      <c r="Q132" s="123"/>
      <c r="R132" s="123"/>
      <c r="S132" s="123">
        <f t="shared" ref="S132" si="97">SUM(S129:S131)</f>
        <v>0</v>
      </c>
      <c r="T132" s="123"/>
      <c r="U132" s="123"/>
      <c r="V132" s="123">
        <f t="shared" ref="V132" si="98">SUM(V129:V131)</f>
        <v>0</v>
      </c>
      <c r="W132" s="383"/>
      <c r="X132" s="123"/>
      <c r="Y132" s="123">
        <f t="shared" ref="Y132:Y133" si="99">SUM(Y129:Y131)</f>
        <v>0</v>
      </c>
      <c r="Z132" s="525"/>
      <c r="AA132" s="125"/>
      <c r="AB132" s="125"/>
      <c r="AC132" s="125"/>
      <c r="AE132" s="123"/>
      <c r="AF132" s="123"/>
      <c r="AG132" s="123"/>
      <c r="AH132" s="124"/>
      <c r="AI132" s="125"/>
      <c r="AK132" s="123"/>
      <c r="AL132" s="123"/>
      <c r="AM132" s="123"/>
      <c r="AN132" s="124"/>
      <c r="AO132" s="125"/>
      <c r="AQ132" s="123"/>
      <c r="AR132" s="123"/>
      <c r="AS132" s="123"/>
      <c r="AT132" s="124"/>
      <c r="AU132" s="125"/>
      <c r="AW132" s="123"/>
      <c r="AX132" s="123"/>
      <c r="AY132" s="123"/>
      <c r="AZ132" s="124"/>
      <c r="BA132" s="125"/>
    </row>
    <row r="133" spans="1:53" s="97" customFormat="1" ht="17.100000000000001" customHeight="1" x14ac:dyDescent="0.25">
      <c r="A133" s="119"/>
      <c r="B133" s="119"/>
      <c r="C133" s="103" t="s">
        <v>99</v>
      </c>
      <c r="D133" s="85" t="s">
        <v>921</v>
      </c>
      <c r="E133" s="75"/>
      <c r="F133" s="75"/>
      <c r="G133" s="75"/>
      <c r="H133" s="928"/>
      <c r="I133" s="229"/>
      <c r="J133" s="927"/>
      <c r="K133" s="927"/>
      <c r="L133" s="927"/>
      <c r="M133" s="927"/>
      <c r="N133" s="927"/>
      <c r="O133" s="927"/>
      <c r="P133" s="927">
        <f t="shared" ref="P133" si="100">IF(P132&gt;=1,1,0)</f>
        <v>0</v>
      </c>
      <c r="Q133" s="927"/>
      <c r="R133" s="927"/>
      <c r="S133" s="927">
        <f t="shared" ref="S133" si="101">IF(S132&gt;=1,1,0)</f>
        <v>0</v>
      </c>
      <c r="T133" s="927"/>
      <c r="U133" s="927"/>
      <c r="V133" s="927">
        <f t="shared" ref="V133" si="102">IF(V132&gt;=1,1,0)</f>
        <v>0</v>
      </c>
      <c r="W133" s="382"/>
      <c r="X133" s="927"/>
      <c r="Y133" s="927">
        <f t="shared" si="99"/>
        <v>0</v>
      </c>
      <c r="Z133" s="91"/>
      <c r="AA133" s="91"/>
      <c r="AB133" s="91"/>
      <c r="AC133" s="84"/>
      <c r="AE133" s="927"/>
      <c r="AF133" s="927"/>
      <c r="AG133" s="927"/>
      <c r="AH133" s="927"/>
      <c r="AI133" s="91"/>
      <c r="AK133" s="927"/>
      <c r="AL133" s="927"/>
      <c r="AM133" s="927"/>
      <c r="AN133" s="927"/>
      <c r="AO133" s="91"/>
      <c r="AQ133" s="927"/>
      <c r="AR133" s="927"/>
      <c r="AS133" s="927"/>
      <c r="AT133" s="927"/>
      <c r="AU133" s="91"/>
      <c r="AW133" s="927"/>
      <c r="AX133" s="927"/>
      <c r="AY133" s="927"/>
      <c r="AZ133" s="927"/>
      <c r="BA133" s="91"/>
    </row>
    <row r="134" spans="1:53" s="97" customFormat="1" ht="17.100000000000001" customHeight="1" x14ac:dyDescent="0.25">
      <c r="A134" s="138"/>
      <c r="B134" s="138"/>
      <c r="C134" s="139"/>
      <c r="D134" s="12"/>
      <c r="E134" s="12"/>
      <c r="F134" s="12"/>
      <c r="G134" s="12"/>
      <c r="H134" s="12"/>
      <c r="I134" s="12"/>
      <c r="J134" s="95"/>
      <c r="K134" s="95"/>
      <c r="L134" s="95"/>
      <c r="M134" s="95"/>
      <c r="N134" s="95"/>
      <c r="O134" s="95"/>
      <c r="P134" s="95"/>
      <c r="Q134" s="95"/>
      <c r="R134" s="95"/>
      <c r="S134" s="95"/>
      <c r="T134" s="95"/>
      <c r="U134" s="95"/>
      <c r="V134" s="95"/>
      <c r="W134" s="95"/>
      <c r="X134" s="95"/>
      <c r="Y134" s="95"/>
      <c r="AQ134" s="109"/>
      <c r="AR134" s="109"/>
      <c r="AS134" s="109"/>
      <c r="AT134" s="96"/>
    </row>
    <row r="135" spans="1:53" s="32" customFormat="1" ht="16.5" thickBot="1" x14ac:dyDescent="0.3">
      <c r="A135" s="24" t="s">
        <v>100</v>
      </c>
      <c r="B135" s="25" t="s">
        <v>562</v>
      </c>
      <c r="C135" s="26"/>
      <c r="D135" s="27"/>
      <c r="E135" s="27"/>
      <c r="F135" s="27"/>
      <c r="G135" s="28"/>
      <c r="H135" s="310"/>
      <c r="I135" s="228"/>
      <c r="J135" s="140"/>
      <c r="K135" s="140"/>
      <c r="L135" s="140"/>
      <c r="M135" s="140"/>
      <c r="N135" s="140"/>
      <c r="O135" s="140"/>
      <c r="P135" s="140"/>
      <c r="Q135" s="140"/>
      <c r="R135" s="140"/>
      <c r="S135" s="140"/>
      <c r="T135" s="140"/>
      <c r="U135" s="140"/>
      <c r="V135" s="140"/>
      <c r="W135" s="140"/>
      <c r="X135" s="140"/>
      <c r="Y135" s="140"/>
      <c r="Z135" s="31" t="s">
        <v>5</v>
      </c>
      <c r="AA135" s="31"/>
      <c r="AB135" s="31"/>
      <c r="AC135" s="24"/>
      <c r="AE135" s="33" t="s">
        <v>181</v>
      </c>
      <c r="AF135" s="33" t="s">
        <v>182</v>
      </c>
      <c r="AG135" s="33" t="s">
        <v>6</v>
      </c>
      <c r="AH135" s="33" t="s">
        <v>4</v>
      </c>
      <c r="AI135" s="34" t="s">
        <v>5</v>
      </c>
      <c r="AJ135" s="35"/>
      <c r="AK135" s="36" t="s">
        <v>181</v>
      </c>
      <c r="AL135" s="36" t="s">
        <v>182</v>
      </c>
      <c r="AM135" s="36" t="s">
        <v>6</v>
      </c>
      <c r="AN135" s="36" t="s">
        <v>4</v>
      </c>
      <c r="AO135" s="37" t="s">
        <v>5</v>
      </c>
      <c r="AQ135" s="36"/>
      <c r="AR135" s="36"/>
      <c r="AS135" s="36"/>
      <c r="AT135" s="36"/>
      <c r="AU135" s="37"/>
      <c r="AW135" s="38" t="s">
        <v>181</v>
      </c>
      <c r="AX135" s="38" t="s">
        <v>182</v>
      </c>
      <c r="AY135" s="38" t="s">
        <v>6</v>
      </c>
      <c r="AZ135" s="38" t="s">
        <v>4</v>
      </c>
      <c r="BA135" s="39" t="s">
        <v>5</v>
      </c>
    </row>
    <row r="136" spans="1:53" ht="17.100000000000001" customHeight="1" x14ac:dyDescent="0.25">
      <c r="A136" s="40"/>
      <c r="B136" s="41" t="s">
        <v>738</v>
      </c>
      <c r="C136" s="42" t="s">
        <v>563</v>
      </c>
      <c r="D136" s="43"/>
      <c r="E136" s="43"/>
      <c r="F136" s="43"/>
      <c r="G136" s="44"/>
      <c r="H136" s="263">
        <v>1</v>
      </c>
      <c r="I136" s="229"/>
      <c r="J136" s="71"/>
      <c r="K136" s="71"/>
      <c r="L136" s="71"/>
      <c r="M136" s="71"/>
      <c r="N136" s="71"/>
      <c r="O136" s="71"/>
      <c r="P136" s="71"/>
      <c r="Q136" s="71"/>
      <c r="R136" s="71"/>
      <c r="S136" s="71"/>
      <c r="T136" s="71"/>
      <c r="U136" s="71"/>
      <c r="V136" s="71"/>
      <c r="W136" s="71"/>
      <c r="X136" s="71"/>
      <c r="Y136" s="71"/>
      <c r="Z136" s="73"/>
      <c r="AA136" s="73"/>
      <c r="AB136" s="73"/>
      <c r="AC136" s="73"/>
      <c r="AE136" s="71"/>
      <c r="AF136" s="71"/>
      <c r="AG136" s="73"/>
      <c r="AH136" s="73"/>
      <c r="AI136" s="73"/>
      <c r="AK136" s="71"/>
      <c r="AL136" s="71"/>
      <c r="AM136" s="73"/>
      <c r="AN136" s="73"/>
      <c r="AO136" s="73"/>
      <c r="AQ136" s="71"/>
      <c r="AR136" s="71"/>
      <c r="AS136" s="71"/>
      <c r="AT136" s="72"/>
      <c r="AU136" s="73"/>
      <c r="AW136" s="71"/>
      <c r="AX136" s="71"/>
      <c r="AY136" s="73"/>
      <c r="AZ136" s="73"/>
      <c r="BA136" s="73"/>
    </row>
    <row r="137" spans="1:53" ht="17.100000000000001" customHeight="1" x14ac:dyDescent="0.25">
      <c r="A137" s="40"/>
      <c r="B137" s="40"/>
      <c r="C137" s="141" t="s">
        <v>739</v>
      </c>
      <c r="D137" s="648" t="s">
        <v>612</v>
      </c>
      <c r="E137" s="649"/>
      <c r="F137" s="649"/>
      <c r="G137" s="281"/>
      <c r="H137" s="647"/>
      <c r="I137" s="235"/>
      <c r="J137" s="581"/>
      <c r="K137" s="581"/>
      <c r="L137" s="582"/>
      <c r="M137" s="593">
        <f t="shared" ref="M137:M138" si="103">SUM(J137:L137)</f>
        <v>0</v>
      </c>
      <c r="N137" s="111"/>
      <c r="O137" s="111"/>
      <c r="P137" s="111"/>
      <c r="Q137" s="111"/>
      <c r="R137" s="111"/>
      <c r="S137" s="111"/>
      <c r="T137" s="111"/>
      <c r="U137" s="111"/>
      <c r="V137" s="111"/>
      <c r="W137" s="391">
        <f t="shared" ref="W137:W138" si="104">J137+K137+N137+Q137+T137</f>
        <v>0</v>
      </c>
      <c r="X137" s="17">
        <f t="shared" ref="X137:X138" si="105">L137+O137+R137+U137</f>
        <v>0</v>
      </c>
      <c r="Y137" s="18">
        <f t="shared" ref="Y137:Y138" si="106">SUM(W137:X137)</f>
        <v>0</v>
      </c>
      <c r="Z137" s="19">
        <f>IF(Y$139=0,0,Y137/Y$139)</f>
        <v>0</v>
      </c>
      <c r="AA137" s="19"/>
      <c r="AB137" s="19"/>
      <c r="AC137" s="20"/>
      <c r="AE137" s="17"/>
      <c r="AF137" s="17"/>
      <c r="AG137" s="17"/>
      <c r="AH137" s="18">
        <f>J137</f>
        <v>0</v>
      </c>
      <c r="AI137" s="19">
        <f>IF(AH$139=0,0,AH137/AH$139)</f>
        <v>0</v>
      </c>
      <c r="AK137" s="17"/>
      <c r="AL137" s="17"/>
      <c r="AM137" s="17"/>
      <c r="AN137" s="18">
        <f>K137</f>
        <v>0</v>
      </c>
      <c r="AO137" s="19">
        <f>IF(AN$139=0,0,AN137/AN$139)</f>
        <v>0</v>
      </c>
      <c r="AQ137" s="17"/>
      <c r="AR137" s="17"/>
      <c r="AS137" s="17"/>
      <c r="AT137" s="18">
        <f t="shared" ref="AT137:AT138" si="107">W137</f>
        <v>0</v>
      </c>
      <c r="AU137" s="19">
        <f>IF(AT$139=0,0,AT137/AT$139)</f>
        <v>0</v>
      </c>
      <c r="AW137" s="17"/>
      <c r="AX137" s="17"/>
      <c r="AY137" s="17"/>
      <c r="AZ137" s="424">
        <f>X137</f>
        <v>0</v>
      </c>
      <c r="BA137" s="19">
        <f>IF(AZ$139=0,0,AZ137/AZ$139)</f>
        <v>0</v>
      </c>
    </row>
    <row r="138" spans="1:53" ht="17.100000000000001" customHeight="1" x14ac:dyDescent="0.25">
      <c r="A138" s="40"/>
      <c r="B138" s="40"/>
      <c r="C138" s="141" t="s">
        <v>740</v>
      </c>
      <c r="D138" s="648" t="s">
        <v>564</v>
      </c>
      <c r="E138" s="649"/>
      <c r="F138" s="649"/>
      <c r="G138" s="281"/>
      <c r="H138" s="647"/>
      <c r="I138" s="235"/>
      <c r="J138" s="583"/>
      <c r="K138" s="583"/>
      <c r="L138" s="584"/>
      <c r="M138" s="593">
        <f t="shared" si="103"/>
        <v>0</v>
      </c>
      <c r="N138" s="111"/>
      <c r="O138" s="111"/>
      <c r="P138" s="111"/>
      <c r="Q138" s="111"/>
      <c r="R138" s="111"/>
      <c r="S138" s="111"/>
      <c r="T138" s="111"/>
      <c r="U138" s="111"/>
      <c r="V138" s="111"/>
      <c r="W138" s="391">
        <f t="shared" si="104"/>
        <v>0</v>
      </c>
      <c r="X138" s="17">
        <f t="shared" si="105"/>
        <v>0</v>
      </c>
      <c r="Y138" s="18">
        <f t="shared" si="106"/>
        <v>0</v>
      </c>
      <c r="Z138" s="19">
        <f t="shared" ref="Z138:Z139" si="108">IF(Y$139=0,0,Y138/Y$139)</f>
        <v>0</v>
      </c>
      <c r="AA138" s="19"/>
      <c r="AB138" s="19"/>
      <c r="AC138" s="20"/>
      <c r="AE138" s="17"/>
      <c r="AF138" s="17"/>
      <c r="AG138" s="17"/>
      <c r="AH138" s="18">
        <f>J138</f>
        <v>0</v>
      </c>
      <c r="AI138" s="19">
        <f t="shared" ref="AI138:AI139" si="109">IF(AH$139=0,0,AH138/AH$139)</f>
        <v>0</v>
      </c>
      <c r="AK138" s="17"/>
      <c r="AL138" s="17"/>
      <c r="AM138" s="17"/>
      <c r="AN138" s="18">
        <f>K138</f>
        <v>0</v>
      </c>
      <c r="AO138" s="19">
        <f t="shared" ref="AO138:AO139" si="110">IF(AN$139=0,0,AN138/AN$139)</f>
        <v>0</v>
      </c>
      <c r="AQ138" s="17"/>
      <c r="AR138" s="17"/>
      <c r="AS138" s="17"/>
      <c r="AT138" s="18">
        <f t="shared" si="107"/>
        <v>0</v>
      </c>
      <c r="AU138" s="19">
        <f t="shared" ref="AU138:AU139" si="111">IF(AT$139=0,0,AT138/AT$139)</f>
        <v>0</v>
      </c>
      <c r="AW138" s="17"/>
      <c r="AX138" s="17"/>
      <c r="AY138" s="17"/>
      <c r="AZ138" s="424">
        <f>X138</f>
        <v>0</v>
      </c>
      <c r="BA138" s="19">
        <f t="shared" ref="BA138:BA139" si="112">IF(AZ$139=0,0,AZ138/AZ$139)</f>
        <v>0</v>
      </c>
    </row>
    <row r="139" spans="1:53" ht="16.5" customHeight="1" x14ac:dyDescent="0.25">
      <c r="A139" s="40"/>
      <c r="B139" s="40"/>
      <c r="C139" s="77"/>
      <c r="D139" s="144"/>
      <c r="E139" s="144"/>
      <c r="F139" s="145"/>
      <c r="G139" s="283"/>
      <c r="H139" s="119"/>
      <c r="I139" s="236"/>
      <c r="J139" s="64">
        <f>SUM(J137:J138)</f>
        <v>0</v>
      </c>
      <c r="K139" s="64">
        <f t="shared" ref="K139:M139" si="113">SUM(K137:K138)</f>
        <v>0</v>
      </c>
      <c r="L139" s="64">
        <f t="shared" si="113"/>
        <v>0</v>
      </c>
      <c r="M139" s="64">
        <f t="shared" si="113"/>
        <v>0</v>
      </c>
      <c r="N139" s="81"/>
      <c r="O139" s="81"/>
      <c r="P139" s="81"/>
      <c r="Q139" s="81"/>
      <c r="R139" s="81"/>
      <c r="S139" s="81"/>
      <c r="T139" s="81"/>
      <c r="U139" s="81"/>
      <c r="V139" s="81"/>
      <c r="W139" s="82">
        <f>SUM(W137:W138)</f>
        <v>0</v>
      </c>
      <c r="X139" s="82">
        <f t="shared" ref="X139:Y139" si="114">SUM(X137:X138)</f>
        <v>0</v>
      </c>
      <c r="Y139" s="82">
        <f t="shared" si="114"/>
        <v>0</v>
      </c>
      <c r="Z139" s="205">
        <f t="shared" si="108"/>
        <v>0</v>
      </c>
      <c r="AA139" s="205"/>
      <c r="AB139" s="205"/>
      <c r="AC139" s="83"/>
      <c r="AE139" s="81"/>
      <c r="AF139" s="81"/>
      <c r="AG139" s="82"/>
      <c r="AH139" s="324">
        <f>SUM(AH137:AH138)</f>
        <v>0</v>
      </c>
      <c r="AI139" s="66">
        <f t="shared" si="109"/>
        <v>0</v>
      </c>
      <c r="AK139" s="81"/>
      <c r="AL139" s="81"/>
      <c r="AM139" s="82"/>
      <c r="AN139" s="324">
        <f>SUM(AN137:AN138)</f>
        <v>0</v>
      </c>
      <c r="AO139" s="66">
        <f t="shared" si="110"/>
        <v>0</v>
      </c>
      <c r="AQ139" s="81"/>
      <c r="AR139" s="81"/>
      <c r="AS139" s="82"/>
      <c r="AT139" s="324">
        <f>SUM(AT137:AT138)</f>
        <v>0</v>
      </c>
      <c r="AU139" s="66">
        <f t="shared" si="111"/>
        <v>0</v>
      </c>
      <c r="AW139" s="81"/>
      <c r="AX139" s="81"/>
      <c r="AY139" s="82"/>
      <c r="AZ139" s="324">
        <f>SUM(AZ137:AZ138)</f>
        <v>0</v>
      </c>
      <c r="BA139" s="66">
        <f t="shared" si="112"/>
        <v>0</v>
      </c>
    </row>
    <row r="140" spans="1:53" s="117" customFormat="1" ht="17.100000000000001" customHeight="1" x14ac:dyDescent="0.25">
      <c r="A140" s="119"/>
      <c r="B140" s="119"/>
      <c r="C140" s="647"/>
      <c r="D140" s="212"/>
      <c r="E140" s="212"/>
      <c r="F140" s="212"/>
      <c r="G140" s="212"/>
      <c r="H140" s="242"/>
      <c r="I140" s="230"/>
      <c r="J140" s="17" t="str">
        <f>IF(J139=J$15,"OK","NOK")</f>
        <v>OK</v>
      </c>
      <c r="K140" s="17" t="str">
        <f t="shared" ref="K140:L140" si="115">IF(K139=K$15,"OK","NOK")</f>
        <v>OK</v>
      </c>
      <c r="L140" s="17" t="str">
        <f t="shared" si="115"/>
        <v>OK</v>
      </c>
      <c r="M140" s="17"/>
      <c r="N140" s="17"/>
      <c r="O140" s="17"/>
      <c r="P140" s="17"/>
      <c r="Q140" s="17"/>
      <c r="R140" s="17"/>
      <c r="S140" s="17"/>
      <c r="T140" s="17"/>
      <c r="U140" s="17"/>
      <c r="V140" s="17"/>
      <c r="W140" s="646"/>
      <c r="X140" s="646"/>
      <c r="Y140" s="646"/>
      <c r="Z140" s="201"/>
      <c r="AA140" s="201"/>
      <c r="AB140" s="201"/>
      <c r="AC140" s="84"/>
      <c r="AE140" s="84"/>
      <c r="AF140" s="84"/>
      <c r="AG140" s="84"/>
      <c r="AH140" s="84"/>
      <c r="AI140" s="84"/>
      <c r="AK140" s="84"/>
      <c r="AL140" s="84"/>
      <c r="AM140" s="84"/>
      <c r="AN140" s="84"/>
      <c r="AO140" s="84"/>
      <c r="AW140" s="84"/>
      <c r="AX140" s="84"/>
      <c r="AY140" s="84"/>
      <c r="AZ140" s="84"/>
      <c r="BA140" s="84"/>
    </row>
    <row r="141" spans="1:53" ht="17.100000000000001" customHeight="1" x14ac:dyDescent="0.25">
      <c r="A141" s="40"/>
      <c r="B141" s="41" t="s">
        <v>102</v>
      </c>
      <c r="C141" s="42" t="s">
        <v>563</v>
      </c>
      <c r="D141" s="43"/>
      <c r="E141" s="43"/>
      <c r="F141" s="43"/>
      <c r="G141" s="44"/>
      <c r="H141" s="242"/>
      <c r="I141" s="229"/>
      <c r="J141" s="71"/>
      <c r="K141" s="71"/>
      <c r="L141" s="71"/>
      <c r="M141" s="71"/>
      <c r="N141" s="71"/>
      <c r="O141" s="71"/>
      <c r="P141" s="71"/>
      <c r="Q141" s="71"/>
      <c r="R141" s="71"/>
      <c r="S141" s="71"/>
      <c r="T141" s="71"/>
      <c r="U141" s="71"/>
      <c r="V141" s="71"/>
      <c r="W141" s="71"/>
      <c r="X141" s="71"/>
      <c r="Y141" s="71"/>
      <c r="Z141" s="73"/>
      <c r="AA141" s="73"/>
      <c r="AB141" s="73"/>
      <c r="AC141" s="73"/>
      <c r="AE141" s="71"/>
      <c r="AF141" s="71"/>
      <c r="AG141" s="73"/>
      <c r="AH141" s="73"/>
      <c r="AI141" s="73"/>
      <c r="AK141" s="71"/>
      <c r="AL141" s="71"/>
      <c r="AM141" s="73"/>
      <c r="AN141" s="73"/>
      <c r="AO141" s="73"/>
      <c r="AQ141" s="71"/>
      <c r="AR141" s="71"/>
      <c r="AS141" s="73"/>
      <c r="AT141" s="73"/>
      <c r="AU141" s="73"/>
      <c r="AW141" s="71"/>
      <c r="AX141" s="71"/>
      <c r="AY141" s="73"/>
      <c r="AZ141" s="73"/>
      <c r="BA141" s="73"/>
    </row>
    <row r="142" spans="1:53" s="117" customFormat="1" ht="17.100000000000001" customHeight="1" x14ac:dyDescent="0.25">
      <c r="A142" s="119"/>
      <c r="B142" s="40"/>
      <c r="C142" s="141" t="s">
        <v>104</v>
      </c>
      <c r="D142" s="85" t="s">
        <v>612</v>
      </c>
      <c r="E142" s="75"/>
      <c r="F142" s="75"/>
      <c r="G142" s="650"/>
      <c r="H142" s="242"/>
      <c r="I142" s="230"/>
      <c r="J142" s="111"/>
      <c r="K142" s="111"/>
      <c r="L142" s="111"/>
      <c r="M142" s="111"/>
      <c r="N142" s="60"/>
      <c r="O142" s="60"/>
      <c r="P142" s="593">
        <f t="shared" ref="P142:P144" si="116">SUM(N142:O142)</f>
        <v>0</v>
      </c>
      <c r="Q142" s="60"/>
      <c r="R142" s="60"/>
      <c r="S142" s="593">
        <f t="shared" ref="S142:S144" si="117">SUM(Q142:R142)</f>
        <v>0</v>
      </c>
      <c r="T142" s="60"/>
      <c r="U142" s="60"/>
      <c r="V142" s="593">
        <f t="shared" ref="V142:V144" si="118">SUM(T142:U142)</f>
        <v>0</v>
      </c>
      <c r="W142" s="391">
        <f t="shared" ref="W142:W144" si="119">J142+K142+N142+Q142+T142</f>
        <v>0</v>
      </c>
      <c r="X142" s="17">
        <f t="shared" ref="X142:X144" si="120">L142+O142+R142+U142</f>
        <v>0</v>
      </c>
      <c r="Y142" s="18">
        <f>SUM(W142:X142)</f>
        <v>0</v>
      </c>
      <c r="Z142" s="19">
        <f>IF(Y$145=0,0,Y142/Y$145)</f>
        <v>0</v>
      </c>
      <c r="AA142" s="201"/>
      <c r="AB142" s="201"/>
      <c r="AC142" s="84"/>
      <c r="AE142" s="113"/>
      <c r="AF142" s="113"/>
      <c r="AG142" s="113"/>
      <c r="AH142" s="113"/>
      <c r="AI142" s="113"/>
      <c r="AK142" s="113"/>
      <c r="AL142" s="113"/>
      <c r="AM142" s="113"/>
      <c r="AN142" s="113"/>
      <c r="AO142" s="113"/>
      <c r="AQ142" s="84"/>
      <c r="AR142" s="84"/>
      <c r="AS142" s="84"/>
      <c r="AT142" s="17">
        <f>W142</f>
        <v>0</v>
      </c>
      <c r="AU142" s="19">
        <f>IF(AT$145=0,0,AT142/AT$145)</f>
        <v>0</v>
      </c>
      <c r="AW142" s="84"/>
      <c r="AX142" s="84"/>
      <c r="AY142" s="84"/>
      <c r="AZ142" s="424">
        <f t="shared" ref="AZ142:AZ144" si="121">X142</f>
        <v>0</v>
      </c>
      <c r="BA142" s="19">
        <f>IF(AZ$145=0,0,AZ142/AZ$145)</f>
        <v>0</v>
      </c>
    </row>
    <row r="143" spans="1:53" s="117" customFormat="1" ht="17.100000000000001" customHeight="1" x14ac:dyDescent="0.25">
      <c r="A143" s="119"/>
      <c r="B143" s="40"/>
      <c r="C143" s="141" t="s">
        <v>105</v>
      </c>
      <c r="D143" s="85" t="s">
        <v>741</v>
      </c>
      <c r="E143" s="75"/>
      <c r="F143" s="75"/>
      <c r="G143" s="650"/>
      <c r="H143" s="242"/>
      <c r="I143" s="230"/>
      <c r="J143" s="111"/>
      <c r="K143" s="111"/>
      <c r="L143" s="111"/>
      <c r="M143" s="111"/>
      <c r="N143" s="61"/>
      <c r="O143" s="61"/>
      <c r="P143" s="593">
        <f t="shared" si="116"/>
        <v>0</v>
      </c>
      <c r="Q143" s="61"/>
      <c r="R143" s="61"/>
      <c r="S143" s="593">
        <f t="shared" si="117"/>
        <v>0</v>
      </c>
      <c r="T143" s="61"/>
      <c r="U143" s="61"/>
      <c r="V143" s="593">
        <f t="shared" si="118"/>
        <v>0</v>
      </c>
      <c r="W143" s="391">
        <f t="shared" si="119"/>
        <v>0</v>
      </c>
      <c r="X143" s="17">
        <f t="shared" si="120"/>
        <v>0</v>
      </c>
      <c r="Y143" s="18">
        <f t="shared" ref="Y143:Y144" si="122">SUM(W143:X143)</f>
        <v>0</v>
      </c>
      <c r="Z143" s="19">
        <f>IF(Y$145=0,0,Y143/Y$145)</f>
        <v>0</v>
      </c>
      <c r="AA143" s="201"/>
      <c r="AB143" s="201"/>
      <c r="AC143" s="84"/>
      <c r="AE143" s="113"/>
      <c r="AF143" s="113"/>
      <c r="AG143" s="113"/>
      <c r="AH143" s="113"/>
      <c r="AI143" s="113"/>
      <c r="AK143" s="113"/>
      <c r="AL143" s="113"/>
      <c r="AM143" s="113"/>
      <c r="AN143" s="113"/>
      <c r="AO143" s="113"/>
      <c r="AQ143" s="84"/>
      <c r="AR143" s="84"/>
      <c r="AS143" s="84"/>
      <c r="AT143" s="17">
        <f t="shared" ref="AT143:AT144" si="123">W143</f>
        <v>0</v>
      </c>
      <c r="AU143" s="19">
        <f>IF(AT$145=0,0,AT143/AT$145)</f>
        <v>0</v>
      </c>
      <c r="AW143" s="84"/>
      <c r="AX143" s="84"/>
      <c r="AY143" s="84"/>
      <c r="AZ143" s="424">
        <f t="shared" si="121"/>
        <v>0</v>
      </c>
      <c r="BA143" s="19">
        <f>IF(AZ$145=0,0,AZ143/AZ$145)</f>
        <v>0</v>
      </c>
    </row>
    <row r="144" spans="1:53" s="117" customFormat="1" ht="17.100000000000001" customHeight="1" x14ac:dyDescent="0.25">
      <c r="A144" s="119"/>
      <c r="B144" s="40"/>
      <c r="C144" s="141" t="s">
        <v>106</v>
      </c>
      <c r="D144" s="85" t="s">
        <v>742</v>
      </c>
      <c r="E144" s="75"/>
      <c r="F144" s="75"/>
      <c r="G144" s="650"/>
      <c r="H144" s="242"/>
      <c r="I144" s="230"/>
      <c r="J144" s="111"/>
      <c r="K144" s="111"/>
      <c r="L144" s="111"/>
      <c r="M144" s="111"/>
      <c r="N144" s="60"/>
      <c r="O144" s="60"/>
      <c r="P144" s="593">
        <f t="shared" si="116"/>
        <v>0</v>
      </c>
      <c r="Q144" s="60"/>
      <c r="R144" s="60"/>
      <c r="S144" s="593">
        <f t="shared" si="117"/>
        <v>0</v>
      </c>
      <c r="T144" s="60"/>
      <c r="U144" s="60"/>
      <c r="V144" s="593">
        <f t="shared" si="118"/>
        <v>0</v>
      </c>
      <c r="W144" s="391">
        <f t="shared" si="119"/>
        <v>0</v>
      </c>
      <c r="X144" s="17">
        <f t="shared" si="120"/>
        <v>0</v>
      </c>
      <c r="Y144" s="18">
        <f t="shared" si="122"/>
        <v>0</v>
      </c>
      <c r="Z144" s="19">
        <f>IF(Y$145=0,0,Y144/Y$145)</f>
        <v>0</v>
      </c>
      <c r="AA144" s="201"/>
      <c r="AB144" s="201"/>
      <c r="AC144" s="84"/>
      <c r="AE144" s="113"/>
      <c r="AF144" s="113"/>
      <c r="AG144" s="113"/>
      <c r="AH144" s="113"/>
      <c r="AI144" s="113"/>
      <c r="AK144" s="113"/>
      <c r="AL144" s="113"/>
      <c r="AM144" s="113"/>
      <c r="AN144" s="113"/>
      <c r="AO144" s="113"/>
      <c r="AQ144" s="84"/>
      <c r="AR144" s="84"/>
      <c r="AS144" s="84"/>
      <c r="AT144" s="17">
        <f t="shared" si="123"/>
        <v>0</v>
      </c>
      <c r="AU144" s="19">
        <f>IF(AT$145=0,0,AT144/AT$145)</f>
        <v>0</v>
      </c>
      <c r="AW144" s="84"/>
      <c r="AX144" s="84"/>
      <c r="AY144" s="84"/>
      <c r="AZ144" s="424">
        <f t="shared" si="121"/>
        <v>0</v>
      </c>
      <c r="BA144" s="19">
        <f>IF(AZ$145=0,0,AZ144/AZ$145)</f>
        <v>0</v>
      </c>
    </row>
    <row r="145" spans="1:53" ht="16.5" customHeight="1" x14ac:dyDescent="0.25">
      <c r="A145" s="40"/>
      <c r="B145" s="40"/>
      <c r="C145" s="77"/>
      <c r="D145" s="144"/>
      <c r="E145" s="144"/>
      <c r="F145" s="145"/>
      <c r="G145" s="283"/>
      <c r="H145" s="119"/>
      <c r="I145" s="236"/>
      <c r="J145" s="64"/>
      <c r="K145" s="64"/>
      <c r="L145" s="64"/>
      <c r="M145" s="64"/>
      <c r="N145" s="81">
        <f t="shared" ref="N145:Y145" si="124">SUM(N142:N144)</f>
        <v>0</v>
      </c>
      <c r="O145" s="81">
        <f t="shared" si="124"/>
        <v>0</v>
      </c>
      <c r="P145" s="81">
        <f t="shared" si="124"/>
        <v>0</v>
      </c>
      <c r="Q145" s="81">
        <f t="shared" si="124"/>
        <v>0</v>
      </c>
      <c r="R145" s="81">
        <f t="shared" si="124"/>
        <v>0</v>
      </c>
      <c r="S145" s="81">
        <f t="shared" si="124"/>
        <v>0</v>
      </c>
      <c r="T145" s="81">
        <f t="shared" si="124"/>
        <v>0</v>
      </c>
      <c r="U145" s="81">
        <f t="shared" si="124"/>
        <v>0</v>
      </c>
      <c r="V145" s="356">
        <f t="shared" si="124"/>
        <v>0</v>
      </c>
      <c r="W145" s="381">
        <f t="shared" si="124"/>
        <v>0</v>
      </c>
      <c r="X145" s="82">
        <f t="shared" si="124"/>
        <v>0</v>
      </c>
      <c r="Y145" s="82">
        <f t="shared" si="124"/>
        <v>0</v>
      </c>
      <c r="Z145" s="205">
        <f>IF(Y$145=0,0,Y145/Y$145)</f>
        <v>0</v>
      </c>
      <c r="AA145" s="205"/>
      <c r="AB145" s="205"/>
      <c r="AC145" s="83"/>
      <c r="AE145" s="81"/>
      <c r="AF145" s="81"/>
      <c r="AG145" s="82"/>
      <c r="AH145" s="324"/>
      <c r="AI145" s="66"/>
      <c r="AK145" s="81"/>
      <c r="AL145" s="81"/>
      <c r="AM145" s="82"/>
      <c r="AN145" s="324"/>
      <c r="AO145" s="66"/>
      <c r="AQ145" s="81"/>
      <c r="AR145" s="81"/>
      <c r="AS145" s="82"/>
      <c r="AT145" s="324">
        <f>SUM(AT142:AT144)</f>
        <v>0</v>
      </c>
      <c r="AU145" s="66">
        <f>IF(AT$145=0,0,AT145/AT$145)</f>
        <v>0</v>
      </c>
      <c r="AW145" s="81"/>
      <c r="AX145" s="81"/>
      <c r="AY145" s="82"/>
      <c r="AZ145" s="324">
        <f>SUM(AZ142:AZ144)</f>
        <v>0</v>
      </c>
      <c r="BA145" s="66">
        <f>IF(AZ$145=0,0,AZ145/AZ$145)</f>
        <v>0</v>
      </c>
    </row>
    <row r="146" spans="1:53" s="117" customFormat="1" ht="17.100000000000001" customHeight="1" x14ac:dyDescent="0.25">
      <c r="A146" s="119"/>
      <c r="B146" s="119"/>
      <c r="C146" s="647"/>
      <c r="D146" s="212"/>
      <c r="E146" s="212"/>
      <c r="F146" s="212"/>
      <c r="G146" s="212"/>
      <c r="H146" s="242"/>
      <c r="I146" s="230"/>
      <c r="J146" s="17"/>
      <c r="K146" s="17"/>
      <c r="L146" s="17"/>
      <c r="M146" s="17"/>
      <c r="N146" s="17" t="str">
        <f>IF(N145=N$20,"OK","NOK")</f>
        <v>OK</v>
      </c>
      <c r="O146" s="17" t="str">
        <f>IF(O145=O$20,"OK","NOK")</f>
        <v>OK</v>
      </c>
      <c r="P146" s="17"/>
      <c r="Q146" s="17" t="str">
        <f>IF(Q145=Q$20,"OK","NOK")</f>
        <v>OK</v>
      </c>
      <c r="R146" s="17" t="str">
        <f>IF(R145=R$20,"OK","NOK")</f>
        <v>OK</v>
      </c>
      <c r="S146" s="17"/>
      <c r="T146" s="17" t="str">
        <f>IF(T145=T$20,"OK","NOK")</f>
        <v>OK</v>
      </c>
      <c r="U146" s="17" t="str">
        <f>IF(U145=U$20,"OK","NOK")</f>
        <v>OK</v>
      </c>
      <c r="V146" s="359"/>
      <c r="W146" s="382"/>
      <c r="X146" s="646"/>
      <c r="Y146" s="646"/>
      <c r="Z146" s="201"/>
      <c r="AA146" s="201"/>
      <c r="AB146" s="201"/>
      <c r="AC146" s="84"/>
      <c r="AE146" s="17"/>
      <c r="AF146" s="17"/>
      <c r="AG146" s="17"/>
      <c r="AH146" s="646"/>
      <c r="AI146" s="91"/>
      <c r="AK146" s="17"/>
      <c r="AL146" s="17"/>
      <c r="AM146" s="17"/>
      <c r="AN146" s="646"/>
      <c r="AO146" s="91"/>
      <c r="AQ146" s="17"/>
      <c r="AR146" s="17"/>
      <c r="AS146" s="17"/>
      <c r="AT146" s="646"/>
      <c r="AU146" s="91"/>
      <c r="AW146" s="17"/>
      <c r="AX146" s="17"/>
      <c r="AY146" s="17"/>
      <c r="AZ146" s="17"/>
      <c r="BA146" s="91"/>
    </row>
    <row r="147" spans="1:53" ht="17.100000000000001" customHeight="1" x14ac:dyDescent="0.25">
      <c r="A147" s="40"/>
      <c r="B147" s="41" t="s">
        <v>110</v>
      </c>
      <c r="C147" s="42" t="s">
        <v>565</v>
      </c>
      <c r="D147" s="43"/>
      <c r="E147" s="43"/>
      <c r="F147" s="43"/>
      <c r="G147" s="44"/>
      <c r="H147" s="23"/>
      <c r="I147" s="229"/>
      <c r="J147" s="71"/>
      <c r="K147" s="71"/>
      <c r="L147" s="71"/>
      <c r="M147" s="71"/>
      <c r="N147" s="71"/>
      <c r="O147" s="71"/>
      <c r="P147" s="71"/>
      <c r="Q147" s="71"/>
      <c r="R147" s="71"/>
      <c r="S147" s="71"/>
      <c r="T147" s="71"/>
      <c r="U147" s="71"/>
      <c r="V147" s="71"/>
      <c r="W147" s="71"/>
      <c r="X147" s="71"/>
      <c r="Y147" s="71"/>
      <c r="Z147" s="73"/>
      <c r="AA147" s="73"/>
      <c r="AB147" s="73"/>
      <c r="AC147" s="73"/>
      <c r="AE147" s="71"/>
      <c r="AF147" s="71"/>
      <c r="AG147" s="73"/>
      <c r="AH147" s="73"/>
      <c r="AI147" s="73"/>
      <c r="AK147" s="71"/>
      <c r="AL147" s="71"/>
      <c r="AM147" s="73"/>
      <c r="AN147" s="73"/>
      <c r="AO147" s="73"/>
      <c r="AQ147" s="71"/>
      <c r="AR147" s="71"/>
      <c r="AS147" s="73"/>
      <c r="AT147" s="73"/>
      <c r="AU147" s="73"/>
      <c r="AW147" s="71"/>
      <c r="AX147" s="71"/>
      <c r="AY147" s="73"/>
      <c r="AZ147" s="73"/>
      <c r="BA147" s="73"/>
    </row>
    <row r="148" spans="1:53" ht="17.100000000000001" customHeight="1" x14ac:dyDescent="0.25">
      <c r="A148" s="40"/>
      <c r="B148" s="40"/>
      <c r="C148" s="141" t="s">
        <v>112</v>
      </c>
      <c r="D148" s="85" t="s">
        <v>566</v>
      </c>
      <c r="E148" s="75"/>
      <c r="F148" s="75"/>
      <c r="G148" s="76"/>
      <c r="H148" s="23"/>
      <c r="I148" s="229"/>
      <c r="J148" s="174"/>
      <c r="K148" s="174"/>
      <c r="L148" s="111"/>
      <c r="M148" s="111"/>
      <c r="N148" s="60"/>
      <c r="O148" s="60"/>
      <c r="P148" s="593">
        <f t="shared" ref="P148:P150" si="125">SUM(N148:O148)</f>
        <v>0</v>
      </c>
      <c r="Q148" s="60"/>
      <c r="R148" s="60"/>
      <c r="S148" s="593">
        <f t="shared" ref="S148:S150" si="126">SUM(Q148:R148)</f>
        <v>0</v>
      </c>
      <c r="T148" s="60"/>
      <c r="U148" s="60"/>
      <c r="V148" s="593">
        <f t="shared" ref="V148:V150" si="127">SUM(T148:U148)</f>
        <v>0</v>
      </c>
      <c r="W148" s="391">
        <f t="shared" ref="W148:W150" si="128">J148+K148+N148+Q148+T148</f>
        <v>0</v>
      </c>
      <c r="X148" s="17">
        <f t="shared" ref="X148:X150" si="129">L148+O148+R148+U148</f>
        <v>0</v>
      </c>
      <c r="Y148" s="18">
        <f t="shared" ref="Y148:Y150" si="130">SUM(W148:X148)</f>
        <v>0</v>
      </c>
      <c r="Z148" s="19">
        <f>IF(Y$151=0,0,Y148/Y$151)</f>
        <v>0</v>
      </c>
      <c r="AA148" s="19"/>
      <c r="AB148" s="19"/>
      <c r="AC148" s="20"/>
      <c r="AE148" s="111"/>
      <c r="AF148" s="111"/>
      <c r="AG148" s="111"/>
      <c r="AH148" s="651"/>
      <c r="AI148" s="131"/>
      <c r="AK148" s="111"/>
      <c r="AL148" s="111"/>
      <c r="AM148" s="111"/>
      <c r="AN148" s="651"/>
      <c r="AO148" s="131"/>
      <c r="AQ148" s="17"/>
      <c r="AR148" s="17"/>
      <c r="AS148" s="17"/>
      <c r="AT148" s="17">
        <f t="shared" ref="AT148:AT150" si="131">W148</f>
        <v>0</v>
      </c>
      <c r="AU148" s="19">
        <f>IF(AT$151=0,0,AT148/AT$151)</f>
        <v>0</v>
      </c>
      <c r="AW148" s="17"/>
      <c r="AX148" s="17"/>
      <c r="AY148" s="17"/>
      <c r="AZ148" s="424">
        <f>X148</f>
        <v>0</v>
      </c>
      <c r="BA148" s="19">
        <f>IF(AZ$151=0,0,AZ148/AZ$151)</f>
        <v>0</v>
      </c>
    </row>
    <row r="149" spans="1:53" ht="17.100000000000001" customHeight="1" x14ac:dyDescent="0.25">
      <c r="A149" s="40"/>
      <c r="B149" s="40"/>
      <c r="C149" s="141" t="s">
        <v>114</v>
      </c>
      <c r="D149" s="85" t="s">
        <v>567</v>
      </c>
      <c r="E149" s="75"/>
      <c r="F149" s="75"/>
      <c r="G149" s="76"/>
      <c r="H149" s="23"/>
      <c r="I149" s="229"/>
      <c r="J149" s="174"/>
      <c r="K149" s="174"/>
      <c r="L149" s="111"/>
      <c r="M149" s="111"/>
      <c r="N149" s="61"/>
      <c r="O149" s="61"/>
      <c r="P149" s="593">
        <f t="shared" si="125"/>
        <v>0</v>
      </c>
      <c r="Q149" s="61"/>
      <c r="R149" s="61"/>
      <c r="S149" s="593">
        <f t="shared" si="126"/>
        <v>0</v>
      </c>
      <c r="T149" s="61"/>
      <c r="U149" s="61"/>
      <c r="V149" s="593">
        <f t="shared" si="127"/>
        <v>0</v>
      </c>
      <c r="W149" s="391">
        <f t="shared" si="128"/>
        <v>0</v>
      </c>
      <c r="X149" s="17">
        <f t="shared" si="129"/>
        <v>0</v>
      </c>
      <c r="Y149" s="18">
        <f t="shared" si="130"/>
        <v>0</v>
      </c>
      <c r="Z149" s="19">
        <f t="shared" ref="Z149:Z151" si="132">IF(Y$151=0,0,Y149/Y$151)</f>
        <v>0</v>
      </c>
      <c r="AA149" s="19"/>
      <c r="AB149" s="19"/>
      <c r="AC149" s="20"/>
      <c r="AE149" s="111"/>
      <c r="AF149" s="111"/>
      <c r="AG149" s="111"/>
      <c r="AH149" s="651"/>
      <c r="AI149" s="131"/>
      <c r="AK149" s="111"/>
      <c r="AL149" s="111"/>
      <c r="AM149" s="111"/>
      <c r="AN149" s="651"/>
      <c r="AO149" s="131"/>
      <c r="AQ149" s="17"/>
      <c r="AR149" s="17"/>
      <c r="AS149" s="17"/>
      <c r="AT149" s="17">
        <f t="shared" si="131"/>
        <v>0</v>
      </c>
      <c r="AU149" s="19">
        <f t="shared" ref="AU149:AU151" si="133">IF(AT$151=0,0,AT149/AT$151)</f>
        <v>0</v>
      </c>
      <c r="AW149" s="17"/>
      <c r="AX149" s="17"/>
      <c r="AY149" s="17"/>
      <c r="AZ149" s="424">
        <f t="shared" ref="AZ149:AZ150" si="134">X149</f>
        <v>0</v>
      </c>
      <c r="BA149" s="19">
        <f t="shared" ref="BA149:BA151" si="135">IF(AZ$151=0,0,AZ149/AZ$151)</f>
        <v>0</v>
      </c>
    </row>
    <row r="150" spans="1:53" ht="17.100000000000001" customHeight="1" x14ac:dyDescent="0.25">
      <c r="A150" s="40"/>
      <c r="B150" s="40"/>
      <c r="C150" s="141" t="s">
        <v>568</v>
      </c>
      <c r="D150" s="85" t="s">
        <v>614</v>
      </c>
      <c r="E150" s="649"/>
      <c r="F150" s="649"/>
      <c r="G150" s="281"/>
      <c r="H150" s="254"/>
      <c r="I150" s="235"/>
      <c r="J150" s="111"/>
      <c r="K150" s="111"/>
      <c r="L150" s="111"/>
      <c r="M150" s="111"/>
      <c r="N150" s="60"/>
      <c r="O150" s="60"/>
      <c r="P150" s="593">
        <f t="shared" si="125"/>
        <v>0</v>
      </c>
      <c r="Q150" s="60"/>
      <c r="R150" s="60"/>
      <c r="S150" s="593">
        <f t="shared" si="126"/>
        <v>0</v>
      </c>
      <c r="T150" s="60"/>
      <c r="U150" s="60"/>
      <c r="V150" s="593">
        <f t="shared" si="127"/>
        <v>0</v>
      </c>
      <c r="W150" s="391">
        <f t="shared" si="128"/>
        <v>0</v>
      </c>
      <c r="X150" s="17">
        <f t="shared" si="129"/>
        <v>0</v>
      </c>
      <c r="Y150" s="18">
        <f t="shared" si="130"/>
        <v>0</v>
      </c>
      <c r="Z150" s="19">
        <f t="shared" si="132"/>
        <v>0</v>
      </c>
      <c r="AA150" s="91"/>
      <c r="AB150" s="91"/>
      <c r="AC150" s="84"/>
      <c r="AE150" s="111"/>
      <c r="AF150" s="111"/>
      <c r="AG150" s="111"/>
      <c r="AH150" s="651"/>
      <c r="AI150" s="131"/>
      <c r="AK150" s="111"/>
      <c r="AL150" s="111"/>
      <c r="AM150" s="111"/>
      <c r="AN150" s="651"/>
      <c r="AO150" s="131"/>
      <c r="AQ150" s="17"/>
      <c r="AR150" s="17"/>
      <c r="AS150" s="17"/>
      <c r="AT150" s="17">
        <f t="shared" si="131"/>
        <v>0</v>
      </c>
      <c r="AU150" s="19">
        <f t="shared" si="133"/>
        <v>0</v>
      </c>
      <c r="AW150" s="17"/>
      <c r="AX150" s="17"/>
      <c r="AY150" s="17"/>
      <c r="AZ150" s="424">
        <f t="shared" si="134"/>
        <v>0</v>
      </c>
      <c r="BA150" s="19">
        <f t="shared" si="135"/>
        <v>0</v>
      </c>
    </row>
    <row r="151" spans="1:53" ht="17.100000000000001" customHeight="1" x14ac:dyDescent="0.25">
      <c r="A151" s="40"/>
      <c r="B151" s="40"/>
      <c r="C151" s="77"/>
      <c r="D151" s="144"/>
      <c r="E151" s="144"/>
      <c r="F151" s="145"/>
      <c r="G151" s="283"/>
      <c r="H151" s="119"/>
      <c r="I151" s="236"/>
      <c r="J151" s="64"/>
      <c r="K151" s="64"/>
      <c r="L151" s="81"/>
      <c r="M151" s="81"/>
      <c r="N151" s="81">
        <f>SUM(N148:N150)</f>
        <v>0</v>
      </c>
      <c r="O151" s="81">
        <f t="shared" ref="O151:Y151" si="136">SUM(O148:O150)</f>
        <v>0</v>
      </c>
      <c r="P151" s="81">
        <f t="shared" si="136"/>
        <v>0</v>
      </c>
      <c r="Q151" s="81">
        <f t="shared" si="136"/>
        <v>0</v>
      </c>
      <c r="R151" s="81">
        <f t="shared" si="136"/>
        <v>0</v>
      </c>
      <c r="S151" s="81">
        <f t="shared" si="136"/>
        <v>0</v>
      </c>
      <c r="T151" s="81">
        <f t="shared" si="136"/>
        <v>0</v>
      </c>
      <c r="U151" s="81">
        <f t="shared" si="136"/>
        <v>0</v>
      </c>
      <c r="V151" s="81">
        <f t="shared" si="136"/>
        <v>0</v>
      </c>
      <c r="W151" s="82">
        <f t="shared" si="136"/>
        <v>0</v>
      </c>
      <c r="X151" s="82">
        <f t="shared" si="136"/>
        <v>0</v>
      </c>
      <c r="Y151" s="82">
        <f t="shared" si="136"/>
        <v>0</v>
      </c>
      <c r="Z151" s="205">
        <f t="shared" si="132"/>
        <v>0</v>
      </c>
      <c r="AA151" s="205"/>
      <c r="AB151" s="205"/>
      <c r="AC151" s="83"/>
      <c r="AE151" s="81"/>
      <c r="AF151" s="81"/>
      <c r="AG151" s="82"/>
      <c r="AH151" s="82"/>
      <c r="AI151" s="66"/>
      <c r="AK151" s="81"/>
      <c r="AL151" s="81"/>
      <c r="AM151" s="82"/>
      <c r="AN151" s="82"/>
      <c r="AO151" s="66"/>
      <c r="AQ151" s="81"/>
      <c r="AR151" s="81"/>
      <c r="AS151" s="82"/>
      <c r="AT151" s="82">
        <f>SUM(AT148:AT150)</f>
        <v>0</v>
      </c>
      <c r="AU151" s="66">
        <f t="shared" si="133"/>
        <v>0</v>
      </c>
      <c r="AW151" s="81"/>
      <c r="AX151" s="81"/>
      <c r="AY151" s="82"/>
      <c r="AZ151" s="82">
        <f>SUM(AZ148:AZ150)</f>
        <v>0</v>
      </c>
      <c r="BA151" s="66">
        <f t="shared" si="135"/>
        <v>0</v>
      </c>
    </row>
    <row r="152" spans="1:53" s="117" customFormat="1" ht="17.100000000000001" customHeight="1" x14ac:dyDescent="0.25">
      <c r="A152" s="119"/>
      <c r="B152" s="119"/>
      <c r="C152" s="647"/>
      <c r="D152" s="212"/>
      <c r="E152" s="212"/>
      <c r="F152" s="212"/>
      <c r="G152" s="212"/>
      <c r="H152" s="242"/>
      <c r="I152" s="230"/>
      <c r="J152" s="17"/>
      <c r="K152" s="17"/>
      <c r="L152" s="17"/>
      <c r="M152" s="17"/>
      <c r="N152" s="17" t="str">
        <f>IF(N151=N$20,"OK","NOK")</f>
        <v>OK</v>
      </c>
      <c r="O152" s="17" t="str">
        <f>IF(O151=O$20,"OK","NOK")</f>
        <v>OK</v>
      </c>
      <c r="P152" s="17"/>
      <c r="Q152" s="17" t="str">
        <f>IF(Q151=Q$20,"OK","NOK")</f>
        <v>OK</v>
      </c>
      <c r="R152" s="17" t="str">
        <f>IF(R151=R$20,"OK","NOK")</f>
        <v>OK</v>
      </c>
      <c r="S152" s="17"/>
      <c r="T152" s="17" t="str">
        <f>IF(T151=T$20,"OK","NOK")</f>
        <v>OK</v>
      </c>
      <c r="U152" s="17" t="str">
        <f>IF(U151=U$20,"OK","NOK")</f>
        <v>OK</v>
      </c>
      <c r="V152" s="359"/>
      <c r="W152" s="382"/>
      <c r="X152" s="646"/>
      <c r="Y152" s="646"/>
      <c r="Z152" s="201"/>
      <c r="AA152" s="201"/>
      <c r="AB152" s="201"/>
      <c r="AC152" s="84"/>
      <c r="AE152" s="17"/>
      <c r="AF152" s="17"/>
      <c r="AG152" s="17"/>
      <c r="AH152" s="646"/>
      <c r="AI152" s="91"/>
      <c r="AK152" s="17"/>
      <c r="AL152" s="17"/>
      <c r="AM152" s="17"/>
      <c r="AN152" s="646"/>
      <c r="AO152" s="91"/>
      <c r="AQ152" s="17"/>
      <c r="AR152" s="17"/>
      <c r="AS152" s="17"/>
      <c r="AT152" s="646"/>
      <c r="AU152" s="91"/>
      <c r="AW152" s="17"/>
      <c r="AX152" s="17"/>
      <c r="AY152" s="17"/>
      <c r="AZ152" s="17"/>
      <c r="BA152" s="91"/>
    </row>
    <row r="153" spans="1:53" ht="17.100000000000001" customHeight="1" x14ac:dyDescent="0.25">
      <c r="A153" s="40"/>
      <c r="B153" s="40"/>
      <c r="C153" s="40"/>
      <c r="D153" s="85" t="s">
        <v>613</v>
      </c>
      <c r="E153" s="150"/>
      <c r="F153" s="151"/>
      <c r="G153" s="318"/>
      <c r="H153" s="119"/>
      <c r="I153" s="236"/>
      <c r="J153" s="174"/>
      <c r="K153" s="174"/>
      <c r="L153" s="111"/>
      <c r="M153" s="111"/>
      <c r="N153" s="111"/>
      <c r="O153" s="111"/>
      <c r="P153" s="111"/>
      <c r="Q153" s="111"/>
      <c r="R153" s="111"/>
      <c r="S153" s="111"/>
      <c r="T153" s="111"/>
      <c r="U153" s="111"/>
      <c r="V153" s="111"/>
      <c r="W153" s="111"/>
      <c r="X153" s="111"/>
      <c r="Y153" s="111"/>
      <c r="Z153" s="131"/>
      <c r="AA153" s="131"/>
      <c r="AB153" s="131"/>
      <c r="AC153" s="113"/>
      <c r="AE153" s="111"/>
      <c r="AF153" s="111"/>
      <c r="AG153" s="651"/>
      <c r="AH153" s="131"/>
      <c r="AI153" s="113"/>
      <c r="AK153" s="111"/>
      <c r="AL153" s="111"/>
      <c r="AM153" s="651"/>
      <c r="AN153" s="131"/>
      <c r="AO153" s="113"/>
      <c r="AQ153" s="111"/>
      <c r="AR153" s="111"/>
      <c r="AS153" s="651"/>
      <c r="AT153" s="131"/>
      <c r="AU153" s="113"/>
      <c r="AW153" s="111"/>
      <c r="AX153" s="111"/>
      <c r="AY153" s="651"/>
      <c r="AZ153" s="131"/>
      <c r="BA153" s="113"/>
    </row>
    <row r="154" spans="1:53" ht="17.100000000000001" customHeight="1" x14ac:dyDescent="0.25">
      <c r="A154" s="40"/>
      <c r="B154" s="40"/>
      <c r="C154" s="40"/>
      <c r="D154" s="74" t="s">
        <v>569</v>
      </c>
      <c r="E154" s="85" t="s">
        <v>570</v>
      </c>
      <c r="F154" s="75"/>
      <c r="G154" s="76"/>
      <c r="H154" s="316"/>
      <c r="I154" s="230"/>
      <c r="J154" s="174"/>
      <c r="K154" s="174"/>
      <c r="L154" s="111"/>
      <c r="M154" s="111"/>
      <c r="N154" s="60"/>
      <c r="O154" s="60"/>
      <c r="P154" s="593">
        <f t="shared" ref="P154:P168" si="137">SUM(N154:O154)</f>
        <v>0</v>
      </c>
      <c r="Q154" s="60"/>
      <c r="R154" s="60"/>
      <c r="S154" s="593">
        <f t="shared" ref="S154:S163" si="138">SUM(Q154:R154)</f>
        <v>0</v>
      </c>
      <c r="T154" s="60"/>
      <c r="U154" s="60"/>
      <c r="V154" s="593">
        <f t="shared" ref="V154:V163" si="139">SUM(T154:U154)</f>
        <v>0</v>
      </c>
      <c r="W154" s="391">
        <f t="shared" ref="W154:W163" si="140">J154+K154+N154+Q154+T154</f>
        <v>0</v>
      </c>
      <c r="X154" s="17">
        <f t="shared" ref="X154:X163" si="141">L154+O154+R154+U154</f>
        <v>0</v>
      </c>
      <c r="Y154" s="18">
        <f t="shared" ref="Y154:Y163" si="142">SUM(W154:X154)</f>
        <v>0</v>
      </c>
      <c r="Z154" s="19">
        <f t="shared" ref="Z154:Z163" si="143">IF(Y$169=0,0,Y154/Y$169)</f>
        <v>0</v>
      </c>
      <c r="AA154" s="19"/>
      <c r="AB154" s="19"/>
      <c r="AC154" s="20"/>
      <c r="AE154" s="111"/>
      <c r="AF154" s="111"/>
      <c r="AG154" s="111"/>
      <c r="AH154" s="651"/>
      <c r="AI154" s="131"/>
      <c r="AK154" s="111"/>
      <c r="AL154" s="111"/>
      <c r="AM154" s="111"/>
      <c r="AN154" s="651"/>
      <c r="AO154" s="131"/>
      <c r="AQ154" s="20"/>
      <c r="AR154" s="20"/>
      <c r="AS154" s="20"/>
      <c r="AT154" s="17">
        <f t="shared" ref="AT154:AT163" si="144">W154</f>
        <v>0</v>
      </c>
      <c r="AU154" s="19">
        <f t="shared" ref="AU154:AU163" si="145">IF(AT$169=0,0,AT154/AT$169)</f>
        <v>0</v>
      </c>
      <c r="AW154" s="17"/>
      <c r="AX154" s="17"/>
      <c r="AY154" s="17"/>
      <c r="AZ154" s="424">
        <f>X154</f>
        <v>0</v>
      </c>
      <c r="BA154" s="19">
        <f t="shared" ref="BA154:BA163" si="146">IF(AZ$169=0,0,AZ154/AZ$169)</f>
        <v>0</v>
      </c>
    </row>
    <row r="155" spans="1:53" ht="17.100000000000001" customHeight="1" x14ac:dyDescent="0.25">
      <c r="A155" s="40"/>
      <c r="B155" s="40"/>
      <c r="C155" s="40"/>
      <c r="D155" s="74" t="s">
        <v>571</v>
      </c>
      <c r="E155" s="649" t="s">
        <v>572</v>
      </c>
      <c r="F155" s="649"/>
      <c r="G155" s="281"/>
      <c r="H155" s="254"/>
      <c r="I155" s="235"/>
      <c r="J155" s="174"/>
      <c r="K155" s="174"/>
      <c r="L155" s="111"/>
      <c r="M155" s="111"/>
      <c r="N155" s="61"/>
      <c r="O155" s="61"/>
      <c r="P155" s="593">
        <f t="shared" si="137"/>
        <v>0</v>
      </c>
      <c r="Q155" s="61"/>
      <c r="R155" s="61"/>
      <c r="S155" s="593">
        <f t="shared" si="138"/>
        <v>0</v>
      </c>
      <c r="T155" s="61"/>
      <c r="U155" s="61"/>
      <c r="V155" s="593">
        <f t="shared" si="139"/>
        <v>0</v>
      </c>
      <c r="W155" s="391">
        <f t="shared" si="140"/>
        <v>0</v>
      </c>
      <c r="X155" s="17">
        <f t="shared" si="141"/>
        <v>0</v>
      </c>
      <c r="Y155" s="18">
        <f t="shared" si="142"/>
        <v>0</v>
      </c>
      <c r="Z155" s="19">
        <f t="shared" si="143"/>
        <v>0</v>
      </c>
      <c r="AA155" s="19"/>
      <c r="AB155" s="19"/>
      <c r="AC155" s="20"/>
      <c r="AE155" s="111"/>
      <c r="AF155" s="111"/>
      <c r="AG155" s="111"/>
      <c r="AH155" s="651"/>
      <c r="AI155" s="131"/>
      <c r="AK155" s="111"/>
      <c r="AL155" s="111"/>
      <c r="AM155" s="111"/>
      <c r="AN155" s="651"/>
      <c r="AO155" s="131"/>
      <c r="AQ155" s="20"/>
      <c r="AR155" s="20"/>
      <c r="AS155" s="20"/>
      <c r="AT155" s="17">
        <f t="shared" si="144"/>
        <v>0</v>
      </c>
      <c r="AU155" s="19">
        <f t="shared" si="145"/>
        <v>0</v>
      </c>
      <c r="AW155" s="17"/>
      <c r="AX155" s="17"/>
      <c r="AY155" s="17"/>
      <c r="AZ155" s="424">
        <f t="shared" ref="AZ155:AZ163" si="147">X155</f>
        <v>0</v>
      </c>
      <c r="BA155" s="19">
        <f t="shared" si="146"/>
        <v>0</v>
      </c>
    </row>
    <row r="156" spans="1:53" ht="17.100000000000001" customHeight="1" x14ac:dyDescent="0.25">
      <c r="A156" s="40"/>
      <c r="B156" s="40"/>
      <c r="C156" s="40"/>
      <c r="D156" s="74" t="s">
        <v>573</v>
      </c>
      <c r="E156" s="649" t="s">
        <v>574</v>
      </c>
      <c r="F156" s="649"/>
      <c r="G156" s="281"/>
      <c r="H156" s="254"/>
      <c r="I156" s="235"/>
      <c r="J156" s="174"/>
      <c r="K156" s="174"/>
      <c r="L156" s="111"/>
      <c r="M156" s="111"/>
      <c r="N156" s="60"/>
      <c r="O156" s="60"/>
      <c r="P156" s="593">
        <f t="shared" si="137"/>
        <v>0</v>
      </c>
      <c r="Q156" s="60"/>
      <c r="R156" s="60"/>
      <c r="S156" s="593">
        <f t="shared" si="138"/>
        <v>0</v>
      </c>
      <c r="T156" s="60"/>
      <c r="U156" s="60"/>
      <c r="V156" s="593">
        <f t="shared" si="139"/>
        <v>0</v>
      </c>
      <c r="W156" s="391">
        <f t="shared" si="140"/>
        <v>0</v>
      </c>
      <c r="X156" s="17">
        <f t="shared" si="141"/>
        <v>0</v>
      </c>
      <c r="Y156" s="18">
        <f t="shared" si="142"/>
        <v>0</v>
      </c>
      <c r="Z156" s="19">
        <f t="shared" si="143"/>
        <v>0</v>
      </c>
      <c r="AA156" s="19"/>
      <c r="AB156" s="19"/>
      <c r="AC156" s="20"/>
      <c r="AE156" s="111"/>
      <c r="AF156" s="111"/>
      <c r="AG156" s="111"/>
      <c r="AH156" s="651"/>
      <c r="AI156" s="131"/>
      <c r="AK156" s="111"/>
      <c r="AL156" s="111"/>
      <c r="AM156" s="111"/>
      <c r="AN156" s="651"/>
      <c r="AO156" s="131"/>
      <c r="AQ156" s="20"/>
      <c r="AR156" s="20"/>
      <c r="AS156" s="20"/>
      <c r="AT156" s="17">
        <f t="shared" si="144"/>
        <v>0</v>
      </c>
      <c r="AU156" s="19">
        <f t="shared" si="145"/>
        <v>0</v>
      </c>
      <c r="AW156" s="17"/>
      <c r="AX156" s="17"/>
      <c r="AY156" s="17"/>
      <c r="AZ156" s="424">
        <f t="shared" si="147"/>
        <v>0</v>
      </c>
      <c r="BA156" s="19">
        <f t="shared" si="146"/>
        <v>0</v>
      </c>
    </row>
    <row r="157" spans="1:53" ht="17.100000000000001" customHeight="1" x14ac:dyDescent="0.25">
      <c r="A157" s="40"/>
      <c r="B157" s="40"/>
      <c r="C157" s="40"/>
      <c r="D157" s="74" t="s">
        <v>575</v>
      </c>
      <c r="E157" s="649" t="s">
        <v>576</v>
      </c>
      <c r="F157" s="649"/>
      <c r="G157" s="281"/>
      <c r="H157" s="254"/>
      <c r="I157" s="235"/>
      <c r="J157" s="174"/>
      <c r="K157" s="174"/>
      <c r="L157" s="111"/>
      <c r="M157" s="111"/>
      <c r="N157" s="61"/>
      <c r="O157" s="61"/>
      <c r="P157" s="593">
        <f t="shared" si="137"/>
        <v>0</v>
      </c>
      <c r="Q157" s="61"/>
      <c r="R157" s="61"/>
      <c r="S157" s="593">
        <f t="shared" si="138"/>
        <v>0</v>
      </c>
      <c r="T157" s="61"/>
      <c r="U157" s="61"/>
      <c r="V157" s="593">
        <f t="shared" si="139"/>
        <v>0</v>
      </c>
      <c r="W157" s="391">
        <f t="shared" si="140"/>
        <v>0</v>
      </c>
      <c r="X157" s="17">
        <f t="shared" si="141"/>
        <v>0</v>
      </c>
      <c r="Y157" s="18">
        <f t="shared" si="142"/>
        <v>0</v>
      </c>
      <c r="Z157" s="19">
        <f t="shared" si="143"/>
        <v>0</v>
      </c>
      <c r="AA157" s="19"/>
      <c r="AB157" s="19"/>
      <c r="AC157" s="20"/>
      <c r="AE157" s="111"/>
      <c r="AF157" s="111"/>
      <c r="AG157" s="111"/>
      <c r="AH157" s="651"/>
      <c r="AI157" s="131"/>
      <c r="AK157" s="111"/>
      <c r="AL157" s="111"/>
      <c r="AM157" s="111"/>
      <c r="AN157" s="651"/>
      <c r="AO157" s="131"/>
      <c r="AQ157" s="20"/>
      <c r="AR157" s="20"/>
      <c r="AS157" s="20"/>
      <c r="AT157" s="17">
        <f t="shared" si="144"/>
        <v>0</v>
      </c>
      <c r="AU157" s="19">
        <f t="shared" si="145"/>
        <v>0</v>
      </c>
      <c r="AW157" s="17"/>
      <c r="AX157" s="17"/>
      <c r="AY157" s="17"/>
      <c r="AZ157" s="424">
        <f t="shared" si="147"/>
        <v>0</v>
      </c>
      <c r="BA157" s="19">
        <f t="shared" si="146"/>
        <v>0</v>
      </c>
    </row>
    <row r="158" spans="1:53" ht="17.100000000000001" customHeight="1" x14ac:dyDescent="0.25">
      <c r="A158" s="40"/>
      <c r="B158" s="40"/>
      <c r="C158" s="40"/>
      <c r="D158" s="74" t="s">
        <v>577</v>
      </c>
      <c r="E158" s="85" t="s">
        <v>578</v>
      </c>
      <c r="F158" s="75"/>
      <c r="G158" s="76"/>
      <c r="H158" s="316"/>
      <c r="I158" s="230"/>
      <c r="J158" s="174"/>
      <c r="K158" s="174"/>
      <c r="L158" s="111"/>
      <c r="M158" s="111"/>
      <c r="N158" s="60"/>
      <c r="O158" s="60"/>
      <c r="P158" s="593">
        <f t="shared" si="137"/>
        <v>0</v>
      </c>
      <c r="Q158" s="60"/>
      <c r="R158" s="60"/>
      <c r="S158" s="593">
        <f t="shared" si="138"/>
        <v>0</v>
      </c>
      <c r="T158" s="60"/>
      <c r="U158" s="60"/>
      <c r="V158" s="593">
        <f t="shared" si="139"/>
        <v>0</v>
      </c>
      <c r="W158" s="391">
        <f t="shared" si="140"/>
        <v>0</v>
      </c>
      <c r="X158" s="17">
        <f t="shared" si="141"/>
        <v>0</v>
      </c>
      <c r="Y158" s="18">
        <f t="shared" si="142"/>
        <v>0</v>
      </c>
      <c r="Z158" s="19">
        <f t="shared" si="143"/>
        <v>0</v>
      </c>
      <c r="AA158" s="19"/>
      <c r="AB158" s="19"/>
      <c r="AC158" s="20"/>
      <c r="AE158" s="111"/>
      <c r="AF158" s="111"/>
      <c r="AG158" s="111"/>
      <c r="AH158" s="651"/>
      <c r="AI158" s="131"/>
      <c r="AK158" s="111"/>
      <c r="AL158" s="111"/>
      <c r="AM158" s="111"/>
      <c r="AN158" s="651"/>
      <c r="AO158" s="131"/>
      <c r="AQ158" s="20"/>
      <c r="AR158" s="20"/>
      <c r="AS158" s="20"/>
      <c r="AT158" s="17">
        <f t="shared" si="144"/>
        <v>0</v>
      </c>
      <c r="AU158" s="19">
        <f t="shared" si="145"/>
        <v>0</v>
      </c>
      <c r="AW158" s="17"/>
      <c r="AX158" s="17"/>
      <c r="AY158" s="17"/>
      <c r="AZ158" s="424">
        <f t="shared" si="147"/>
        <v>0</v>
      </c>
      <c r="BA158" s="19">
        <f t="shared" si="146"/>
        <v>0</v>
      </c>
    </row>
    <row r="159" spans="1:53" ht="17.100000000000001" customHeight="1" x14ac:dyDescent="0.25">
      <c r="A159" s="40"/>
      <c r="B159" s="40"/>
      <c r="C159" s="40"/>
      <c r="D159" s="74" t="s">
        <v>579</v>
      </c>
      <c r="E159" s="85" t="s">
        <v>580</v>
      </c>
      <c r="F159" s="75"/>
      <c r="G159" s="76"/>
      <c r="H159" s="316"/>
      <c r="I159" s="230"/>
      <c r="J159" s="174"/>
      <c r="K159" s="174"/>
      <c r="L159" s="111"/>
      <c r="M159" s="111"/>
      <c r="N159" s="61"/>
      <c r="O159" s="61"/>
      <c r="P159" s="593">
        <f t="shared" si="137"/>
        <v>0</v>
      </c>
      <c r="Q159" s="61"/>
      <c r="R159" s="61"/>
      <c r="S159" s="593">
        <f t="shared" si="138"/>
        <v>0</v>
      </c>
      <c r="T159" s="61"/>
      <c r="U159" s="61"/>
      <c r="V159" s="593">
        <f t="shared" si="139"/>
        <v>0</v>
      </c>
      <c r="W159" s="391">
        <f t="shared" si="140"/>
        <v>0</v>
      </c>
      <c r="X159" s="17">
        <f t="shared" si="141"/>
        <v>0</v>
      </c>
      <c r="Y159" s="18">
        <f t="shared" si="142"/>
        <v>0</v>
      </c>
      <c r="Z159" s="19">
        <f t="shared" si="143"/>
        <v>0</v>
      </c>
      <c r="AA159" s="19"/>
      <c r="AB159" s="19"/>
      <c r="AC159" s="20"/>
      <c r="AE159" s="111"/>
      <c r="AF159" s="111"/>
      <c r="AG159" s="111"/>
      <c r="AH159" s="651"/>
      <c r="AI159" s="131"/>
      <c r="AK159" s="111"/>
      <c r="AL159" s="111"/>
      <c r="AM159" s="111"/>
      <c r="AN159" s="651"/>
      <c r="AO159" s="131"/>
      <c r="AQ159" s="20"/>
      <c r="AR159" s="20"/>
      <c r="AS159" s="20"/>
      <c r="AT159" s="17">
        <f t="shared" si="144"/>
        <v>0</v>
      </c>
      <c r="AU159" s="19">
        <f t="shared" si="145"/>
        <v>0</v>
      </c>
      <c r="AW159" s="17"/>
      <c r="AX159" s="17"/>
      <c r="AY159" s="17"/>
      <c r="AZ159" s="424">
        <f t="shared" si="147"/>
        <v>0</v>
      </c>
      <c r="BA159" s="19">
        <f t="shared" si="146"/>
        <v>0</v>
      </c>
    </row>
    <row r="160" spans="1:53" ht="17.100000000000001" customHeight="1" x14ac:dyDescent="0.25">
      <c r="A160" s="40"/>
      <c r="B160" s="40"/>
      <c r="C160" s="40"/>
      <c r="D160" s="74" t="s">
        <v>581</v>
      </c>
      <c r="E160" s="85" t="s">
        <v>582</v>
      </c>
      <c r="F160" s="75"/>
      <c r="G160" s="76"/>
      <c r="H160" s="316"/>
      <c r="I160" s="230"/>
      <c r="J160" s="174"/>
      <c r="K160" s="174"/>
      <c r="L160" s="111"/>
      <c r="M160" s="111"/>
      <c r="N160" s="60"/>
      <c r="O160" s="60"/>
      <c r="P160" s="593">
        <f t="shared" si="137"/>
        <v>0</v>
      </c>
      <c r="Q160" s="60"/>
      <c r="R160" s="60"/>
      <c r="S160" s="593">
        <f t="shared" si="138"/>
        <v>0</v>
      </c>
      <c r="T160" s="60"/>
      <c r="U160" s="60"/>
      <c r="V160" s="593">
        <f t="shared" si="139"/>
        <v>0</v>
      </c>
      <c r="W160" s="391">
        <f t="shared" si="140"/>
        <v>0</v>
      </c>
      <c r="X160" s="17">
        <f t="shared" si="141"/>
        <v>0</v>
      </c>
      <c r="Y160" s="18">
        <f t="shared" si="142"/>
        <v>0</v>
      </c>
      <c r="Z160" s="19">
        <f t="shared" si="143"/>
        <v>0</v>
      </c>
      <c r="AA160" s="19"/>
      <c r="AB160" s="19"/>
      <c r="AC160" s="20"/>
      <c r="AE160" s="111"/>
      <c r="AF160" s="111"/>
      <c r="AG160" s="111"/>
      <c r="AH160" s="651"/>
      <c r="AI160" s="131"/>
      <c r="AK160" s="111"/>
      <c r="AL160" s="111"/>
      <c r="AM160" s="111"/>
      <c r="AN160" s="651"/>
      <c r="AO160" s="131"/>
      <c r="AQ160" s="20"/>
      <c r="AR160" s="20"/>
      <c r="AS160" s="20"/>
      <c r="AT160" s="17">
        <f t="shared" si="144"/>
        <v>0</v>
      </c>
      <c r="AU160" s="19">
        <f t="shared" si="145"/>
        <v>0</v>
      </c>
      <c r="AW160" s="17"/>
      <c r="AX160" s="17"/>
      <c r="AY160" s="17"/>
      <c r="AZ160" s="424">
        <f t="shared" si="147"/>
        <v>0</v>
      </c>
      <c r="BA160" s="19">
        <f t="shared" si="146"/>
        <v>0</v>
      </c>
    </row>
    <row r="161" spans="1:53" ht="17.100000000000001" customHeight="1" x14ac:dyDescent="0.25">
      <c r="A161" s="40"/>
      <c r="B161" s="40"/>
      <c r="C161" s="40"/>
      <c r="D161" s="74" t="s">
        <v>583</v>
      </c>
      <c r="E161" s="85" t="s">
        <v>584</v>
      </c>
      <c r="F161" s="75"/>
      <c r="G161" s="76"/>
      <c r="H161" s="316"/>
      <c r="I161" s="230"/>
      <c r="J161" s="174"/>
      <c r="K161" s="174"/>
      <c r="L161" s="111"/>
      <c r="M161" s="111"/>
      <c r="N161" s="61"/>
      <c r="O161" s="61"/>
      <c r="P161" s="593">
        <f t="shared" si="137"/>
        <v>0</v>
      </c>
      <c r="Q161" s="61"/>
      <c r="R161" s="61"/>
      <c r="S161" s="593">
        <f t="shared" si="138"/>
        <v>0</v>
      </c>
      <c r="T161" s="61"/>
      <c r="U161" s="61"/>
      <c r="V161" s="593">
        <f t="shared" si="139"/>
        <v>0</v>
      </c>
      <c r="W161" s="391">
        <f t="shared" si="140"/>
        <v>0</v>
      </c>
      <c r="X161" s="17">
        <f t="shared" si="141"/>
        <v>0</v>
      </c>
      <c r="Y161" s="18">
        <f t="shared" si="142"/>
        <v>0</v>
      </c>
      <c r="Z161" s="19">
        <f t="shared" si="143"/>
        <v>0</v>
      </c>
      <c r="AA161" s="19"/>
      <c r="AB161" s="19"/>
      <c r="AC161" s="20"/>
      <c r="AE161" s="111"/>
      <c r="AF161" s="111"/>
      <c r="AG161" s="111"/>
      <c r="AH161" s="651"/>
      <c r="AI161" s="131"/>
      <c r="AK161" s="111"/>
      <c r="AL161" s="111"/>
      <c r="AM161" s="111"/>
      <c r="AN161" s="651"/>
      <c r="AO161" s="131"/>
      <c r="AQ161" s="20"/>
      <c r="AR161" s="20"/>
      <c r="AS161" s="20"/>
      <c r="AT161" s="17">
        <f t="shared" si="144"/>
        <v>0</v>
      </c>
      <c r="AU161" s="19">
        <f t="shared" si="145"/>
        <v>0</v>
      </c>
      <c r="AW161" s="17"/>
      <c r="AX161" s="17"/>
      <c r="AY161" s="17"/>
      <c r="AZ161" s="424">
        <f t="shared" si="147"/>
        <v>0</v>
      </c>
      <c r="BA161" s="19">
        <f t="shared" si="146"/>
        <v>0</v>
      </c>
    </row>
    <row r="162" spans="1:53" ht="17.100000000000001" customHeight="1" x14ac:dyDescent="0.25">
      <c r="A162" s="40"/>
      <c r="B162" s="40"/>
      <c r="C162" s="40"/>
      <c r="D162" s="74" t="s">
        <v>585</v>
      </c>
      <c r="E162" s="85" t="s">
        <v>586</v>
      </c>
      <c r="F162" s="75"/>
      <c r="G162" s="76"/>
      <c r="H162" s="316"/>
      <c r="I162" s="230"/>
      <c r="J162" s="174"/>
      <c r="K162" s="174"/>
      <c r="L162" s="111"/>
      <c r="M162" s="111"/>
      <c r="N162" s="60"/>
      <c r="O162" s="60"/>
      <c r="P162" s="593">
        <f t="shared" si="137"/>
        <v>0</v>
      </c>
      <c r="Q162" s="60"/>
      <c r="R162" s="60"/>
      <c r="S162" s="593">
        <f t="shared" si="138"/>
        <v>0</v>
      </c>
      <c r="T162" s="60"/>
      <c r="U162" s="60"/>
      <c r="V162" s="593">
        <f t="shared" si="139"/>
        <v>0</v>
      </c>
      <c r="W162" s="391">
        <f t="shared" si="140"/>
        <v>0</v>
      </c>
      <c r="X162" s="17">
        <f t="shared" si="141"/>
        <v>0</v>
      </c>
      <c r="Y162" s="18">
        <f t="shared" si="142"/>
        <v>0</v>
      </c>
      <c r="Z162" s="19">
        <f t="shared" si="143"/>
        <v>0</v>
      </c>
      <c r="AA162" s="19"/>
      <c r="AB162" s="19"/>
      <c r="AC162" s="20"/>
      <c r="AE162" s="111"/>
      <c r="AF162" s="111"/>
      <c r="AG162" s="111"/>
      <c r="AH162" s="651"/>
      <c r="AI162" s="131"/>
      <c r="AK162" s="111"/>
      <c r="AL162" s="111"/>
      <c r="AM162" s="111"/>
      <c r="AN162" s="651"/>
      <c r="AO162" s="131"/>
      <c r="AQ162" s="20"/>
      <c r="AR162" s="20"/>
      <c r="AS162" s="20"/>
      <c r="AT162" s="17">
        <f t="shared" si="144"/>
        <v>0</v>
      </c>
      <c r="AU162" s="19">
        <f t="shared" si="145"/>
        <v>0</v>
      </c>
      <c r="AW162" s="17"/>
      <c r="AX162" s="17"/>
      <c r="AY162" s="17"/>
      <c r="AZ162" s="424">
        <f t="shared" si="147"/>
        <v>0</v>
      </c>
      <c r="BA162" s="19">
        <f t="shared" si="146"/>
        <v>0</v>
      </c>
    </row>
    <row r="163" spans="1:53" ht="17.100000000000001" customHeight="1" x14ac:dyDescent="0.25">
      <c r="A163" s="40"/>
      <c r="B163" s="40"/>
      <c r="C163" s="40"/>
      <c r="D163" s="56" t="s">
        <v>587</v>
      </c>
      <c r="E163" s="75" t="s">
        <v>588</v>
      </c>
      <c r="F163" s="284"/>
      <c r="G163" s="285"/>
      <c r="H163" s="319"/>
      <c r="I163" s="308"/>
      <c r="J163" s="111"/>
      <c r="K163" s="111"/>
      <c r="L163" s="111"/>
      <c r="M163" s="111"/>
      <c r="N163" s="111">
        <f t="shared" ref="N163:U163" si="148">SUM(N164:N168)</f>
        <v>0</v>
      </c>
      <c r="O163" s="111">
        <f t="shared" si="148"/>
        <v>0</v>
      </c>
      <c r="P163" s="111">
        <f t="shared" si="137"/>
        <v>0</v>
      </c>
      <c r="Q163" s="111">
        <f t="shared" si="148"/>
        <v>0</v>
      </c>
      <c r="R163" s="111">
        <f t="shared" si="148"/>
        <v>0</v>
      </c>
      <c r="S163" s="111">
        <f t="shared" si="138"/>
        <v>0</v>
      </c>
      <c r="T163" s="111">
        <f t="shared" si="148"/>
        <v>0</v>
      </c>
      <c r="U163" s="111">
        <f t="shared" si="148"/>
        <v>0</v>
      </c>
      <c r="V163" s="111">
        <f t="shared" si="139"/>
        <v>0</v>
      </c>
      <c r="W163" s="380">
        <f t="shared" si="140"/>
        <v>0</v>
      </c>
      <c r="X163" s="111">
        <f t="shared" si="141"/>
        <v>0</v>
      </c>
      <c r="Y163" s="651">
        <f t="shared" si="142"/>
        <v>0</v>
      </c>
      <c r="Z163" s="131">
        <f t="shared" si="143"/>
        <v>0</v>
      </c>
      <c r="AA163" s="131"/>
      <c r="AB163" s="131"/>
      <c r="AC163" s="113"/>
      <c r="AE163" s="111"/>
      <c r="AF163" s="111"/>
      <c r="AG163" s="111"/>
      <c r="AH163" s="651"/>
      <c r="AI163" s="131"/>
      <c r="AK163" s="111"/>
      <c r="AL163" s="111"/>
      <c r="AM163" s="111"/>
      <c r="AN163" s="651"/>
      <c r="AO163" s="131"/>
      <c r="AQ163" s="111"/>
      <c r="AR163" s="111"/>
      <c r="AS163" s="111"/>
      <c r="AT163" s="111">
        <f t="shared" si="144"/>
        <v>0</v>
      </c>
      <c r="AU163" s="131">
        <f t="shared" si="145"/>
        <v>0</v>
      </c>
      <c r="AW163" s="111"/>
      <c r="AX163" s="111"/>
      <c r="AY163" s="111"/>
      <c r="AZ163" s="111">
        <f t="shared" si="147"/>
        <v>0</v>
      </c>
      <c r="BA163" s="131">
        <f t="shared" si="146"/>
        <v>0</v>
      </c>
    </row>
    <row r="164" spans="1:53" ht="17.100000000000001" customHeight="1" x14ac:dyDescent="0.25">
      <c r="A164" s="40"/>
      <c r="B164" s="40"/>
      <c r="C164" s="40"/>
      <c r="D164" s="74"/>
      <c r="E164" s="1335" t="s">
        <v>1838</v>
      </c>
      <c r="F164" s="287"/>
      <c r="G164" s="288"/>
      <c r="H164" s="46"/>
      <c r="I164" s="641"/>
      <c r="J164" s="174"/>
      <c r="K164" s="174"/>
      <c r="L164" s="111"/>
      <c r="M164" s="111"/>
      <c r="N164" s="60"/>
      <c r="O164" s="60"/>
      <c r="P164" s="593">
        <f t="shared" si="137"/>
        <v>0</v>
      </c>
      <c r="Q164" s="60"/>
      <c r="R164" s="60"/>
      <c r="S164" s="593">
        <f t="shared" ref="S164:S168" si="149">SUM(Q164:R164)</f>
        <v>0</v>
      </c>
      <c r="T164" s="60"/>
      <c r="U164" s="60"/>
      <c r="V164" s="593">
        <f t="shared" ref="V164:V168" si="150">SUM(T164:U164)</f>
        <v>0</v>
      </c>
      <c r="W164" s="391">
        <f t="shared" ref="W164:W168" si="151">J164+K164+N164+Q164+T164</f>
        <v>0</v>
      </c>
      <c r="X164" s="17">
        <f t="shared" ref="X164:X168" si="152">L164+O164+R164+U164</f>
        <v>0</v>
      </c>
      <c r="Y164" s="18">
        <f t="shared" ref="Y164:Y168" si="153">SUM(W164:X164)</f>
        <v>0</v>
      </c>
      <c r="Z164" s="19"/>
      <c r="AA164" s="19"/>
      <c r="AB164" s="19"/>
      <c r="AC164" s="20"/>
      <c r="AE164" s="111"/>
      <c r="AF164" s="111"/>
      <c r="AG164" s="113"/>
      <c r="AH164" s="131"/>
      <c r="AI164" s="113"/>
      <c r="AK164" s="111"/>
      <c r="AL164" s="111"/>
      <c r="AM164" s="113"/>
      <c r="AN164" s="131"/>
      <c r="AO164" s="113"/>
      <c r="AQ164" s="20"/>
      <c r="AR164" s="20"/>
      <c r="AS164" s="20"/>
      <c r="AT164" s="20"/>
      <c r="AU164" s="20"/>
      <c r="AW164" s="17"/>
      <c r="AX164" s="17"/>
      <c r="AY164" s="20"/>
      <c r="AZ164" s="19"/>
      <c r="BA164" s="20"/>
    </row>
    <row r="165" spans="1:53" ht="17.100000000000001" customHeight="1" x14ac:dyDescent="0.25">
      <c r="A165" s="40"/>
      <c r="B165" s="40"/>
      <c r="C165" s="40"/>
      <c r="D165" s="74"/>
      <c r="E165" s="289"/>
      <c r="F165" s="290"/>
      <c r="G165" s="291"/>
      <c r="H165" s="46"/>
      <c r="I165" s="641"/>
      <c r="J165" s="174"/>
      <c r="K165" s="174"/>
      <c r="L165" s="111"/>
      <c r="M165" s="111"/>
      <c r="N165" s="61"/>
      <c r="O165" s="61"/>
      <c r="P165" s="593">
        <f t="shared" si="137"/>
        <v>0</v>
      </c>
      <c r="Q165" s="61"/>
      <c r="R165" s="61"/>
      <c r="S165" s="593">
        <f t="shared" si="149"/>
        <v>0</v>
      </c>
      <c r="T165" s="61"/>
      <c r="U165" s="61"/>
      <c r="V165" s="593">
        <f t="shared" si="150"/>
        <v>0</v>
      </c>
      <c r="W165" s="391">
        <f t="shared" si="151"/>
        <v>0</v>
      </c>
      <c r="X165" s="17">
        <f t="shared" si="152"/>
        <v>0</v>
      </c>
      <c r="Y165" s="18">
        <f t="shared" si="153"/>
        <v>0</v>
      </c>
      <c r="Z165" s="19"/>
      <c r="AA165" s="19"/>
      <c r="AB165" s="19"/>
      <c r="AC165" s="20"/>
      <c r="AE165" s="111"/>
      <c r="AF165" s="111"/>
      <c r="AG165" s="113"/>
      <c r="AH165" s="131"/>
      <c r="AI165" s="113"/>
      <c r="AK165" s="111"/>
      <c r="AL165" s="111"/>
      <c r="AM165" s="113"/>
      <c r="AN165" s="131"/>
      <c r="AO165" s="113"/>
      <c r="AQ165" s="20"/>
      <c r="AR165" s="20"/>
      <c r="AS165" s="20"/>
      <c r="AT165" s="20"/>
      <c r="AU165" s="20"/>
      <c r="AW165" s="17"/>
      <c r="AX165" s="17"/>
      <c r="AY165" s="20"/>
      <c r="AZ165" s="19"/>
      <c r="BA165" s="20"/>
    </row>
    <row r="166" spans="1:53" ht="17.100000000000001" customHeight="1" x14ac:dyDescent="0.25">
      <c r="A166" s="40"/>
      <c r="B166" s="40"/>
      <c r="C166" s="40"/>
      <c r="D166" s="74"/>
      <c r="E166" s="286"/>
      <c r="F166" s="287"/>
      <c r="G166" s="288"/>
      <c r="H166" s="46"/>
      <c r="I166" s="641"/>
      <c r="J166" s="174"/>
      <c r="K166" s="174"/>
      <c r="L166" s="111"/>
      <c r="M166" s="111"/>
      <c r="N166" s="60"/>
      <c r="O166" s="60"/>
      <c r="P166" s="593">
        <f t="shared" si="137"/>
        <v>0</v>
      </c>
      <c r="Q166" s="60"/>
      <c r="R166" s="60"/>
      <c r="S166" s="593">
        <f t="shared" si="149"/>
        <v>0</v>
      </c>
      <c r="T166" s="60"/>
      <c r="U166" s="60"/>
      <c r="V166" s="593">
        <f t="shared" si="150"/>
        <v>0</v>
      </c>
      <c r="W166" s="391">
        <f t="shared" si="151"/>
        <v>0</v>
      </c>
      <c r="X166" s="17">
        <f t="shared" si="152"/>
        <v>0</v>
      </c>
      <c r="Y166" s="18">
        <f t="shared" si="153"/>
        <v>0</v>
      </c>
      <c r="Z166" s="19"/>
      <c r="AA166" s="19"/>
      <c r="AB166" s="19"/>
      <c r="AC166" s="20"/>
      <c r="AE166" s="111"/>
      <c r="AF166" s="111"/>
      <c r="AG166" s="113"/>
      <c r="AH166" s="131"/>
      <c r="AI166" s="113"/>
      <c r="AK166" s="111"/>
      <c r="AL166" s="111"/>
      <c r="AM166" s="113"/>
      <c r="AN166" s="131"/>
      <c r="AO166" s="113"/>
      <c r="AQ166" s="20"/>
      <c r="AR166" s="20"/>
      <c r="AS166" s="20"/>
      <c r="AT166" s="20"/>
      <c r="AU166" s="20"/>
      <c r="AW166" s="17"/>
      <c r="AX166" s="17"/>
      <c r="AY166" s="20"/>
      <c r="AZ166" s="19"/>
      <c r="BA166" s="20"/>
    </row>
    <row r="167" spans="1:53" ht="17.100000000000001" customHeight="1" x14ac:dyDescent="0.25">
      <c r="A167" s="40"/>
      <c r="B167" s="40"/>
      <c r="C167" s="40"/>
      <c r="D167" s="74"/>
      <c r="E167" s="289"/>
      <c r="F167" s="290"/>
      <c r="G167" s="291"/>
      <c r="H167" s="46"/>
      <c r="I167" s="641"/>
      <c r="J167" s="174"/>
      <c r="K167" s="174"/>
      <c r="L167" s="111"/>
      <c r="M167" s="111"/>
      <c r="N167" s="61"/>
      <c r="O167" s="61"/>
      <c r="P167" s="593">
        <f t="shared" si="137"/>
        <v>0</v>
      </c>
      <c r="Q167" s="61"/>
      <c r="R167" s="61"/>
      <c r="S167" s="593">
        <f t="shared" si="149"/>
        <v>0</v>
      </c>
      <c r="T167" s="61"/>
      <c r="U167" s="61"/>
      <c r="V167" s="593"/>
      <c r="W167" s="391"/>
      <c r="X167" s="17"/>
      <c r="Y167" s="18"/>
      <c r="Z167" s="19"/>
      <c r="AA167" s="19"/>
      <c r="AB167" s="19"/>
      <c r="AC167" s="20"/>
      <c r="AE167" s="111"/>
      <c r="AF167" s="111"/>
      <c r="AG167" s="113"/>
      <c r="AH167" s="131"/>
      <c r="AI167" s="113"/>
      <c r="AK167" s="111"/>
      <c r="AL167" s="111"/>
      <c r="AM167" s="113"/>
      <c r="AN167" s="131"/>
      <c r="AO167" s="113"/>
      <c r="AQ167" s="20"/>
      <c r="AR167" s="20"/>
      <c r="AS167" s="20"/>
      <c r="AT167" s="20"/>
      <c r="AU167" s="20"/>
      <c r="AW167" s="17"/>
      <c r="AX167" s="17"/>
      <c r="AY167" s="20"/>
      <c r="AZ167" s="19"/>
      <c r="BA167" s="20"/>
    </row>
    <row r="168" spans="1:53" ht="17.100000000000001" customHeight="1" x14ac:dyDescent="0.25">
      <c r="A168" s="40"/>
      <c r="B168" s="40"/>
      <c r="C168" s="40"/>
      <c r="D168" s="74"/>
      <c r="E168" s="286"/>
      <c r="F168" s="287"/>
      <c r="G168" s="288"/>
      <c r="H168" s="46"/>
      <c r="I168" s="641"/>
      <c r="J168" s="174"/>
      <c r="K168" s="174"/>
      <c r="L168" s="111"/>
      <c r="M168" s="111"/>
      <c r="N168" s="60"/>
      <c r="O168" s="60"/>
      <c r="P168" s="593">
        <f t="shared" si="137"/>
        <v>0</v>
      </c>
      <c r="Q168" s="60"/>
      <c r="R168" s="60"/>
      <c r="S168" s="593">
        <f t="shared" si="149"/>
        <v>0</v>
      </c>
      <c r="T168" s="60"/>
      <c r="U168" s="60"/>
      <c r="V168" s="593">
        <f t="shared" si="150"/>
        <v>0</v>
      </c>
      <c r="W168" s="391">
        <f t="shared" si="151"/>
        <v>0</v>
      </c>
      <c r="X168" s="17">
        <f t="shared" si="152"/>
        <v>0</v>
      </c>
      <c r="Y168" s="18">
        <f t="shared" si="153"/>
        <v>0</v>
      </c>
      <c r="Z168" s="19"/>
      <c r="AA168" s="19"/>
      <c r="AB168" s="19"/>
      <c r="AC168" s="20"/>
      <c r="AE168" s="111"/>
      <c r="AF168" s="111"/>
      <c r="AG168" s="113"/>
      <c r="AH168" s="131"/>
      <c r="AI168" s="113"/>
      <c r="AK168" s="111"/>
      <c r="AL168" s="111"/>
      <c r="AM168" s="113"/>
      <c r="AN168" s="131"/>
      <c r="AO168" s="113"/>
      <c r="AQ168" s="20"/>
      <c r="AR168" s="20"/>
      <c r="AS168" s="20"/>
      <c r="AT168" s="20"/>
      <c r="AU168" s="20"/>
      <c r="AW168" s="17"/>
      <c r="AX168" s="17"/>
      <c r="AY168" s="20"/>
      <c r="AZ168" s="19"/>
      <c r="BA168" s="20"/>
    </row>
    <row r="169" spans="1:53" ht="17.100000000000001" customHeight="1" x14ac:dyDescent="0.25">
      <c r="A169" s="40"/>
      <c r="B169" s="40"/>
      <c r="C169" s="292"/>
      <c r="D169" s="144"/>
      <c r="E169" s="144"/>
      <c r="F169" s="145"/>
      <c r="G169" s="283"/>
      <c r="H169" s="119"/>
      <c r="I169" s="236"/>
      <c r="J169" s="64"/>
      <c r="K169" s="64"/>
      <c r="L169" s="81"/>
      <c r="M169" s="81"/>
      <c r="N169" s="81">
        <f>SUM(N154:N163)</f>
        <v>0</v>
      </c>
      <c r="O169" s="81">
        <f t="shared" ref="O169:Y169" si="154">SUM(O154:O163)</f>
        <v>0</v>
      </c>
      <c r="P169" s="81">
        <f t="shared" si="154"/>
        <v>0</v>
      </c>
      <c r="Q169" s="81">
        <f t="shared" si="154"/>
        <v>0</v>
      </c>
      <c r="R169" s="81">
        <f t="shared" si="154"/>
        <v>0</v>
      </c>
      <c r="S169" s="81">
        <f t="shared" si="154"/>
        <v>0</v>
      </c>
      <c r="T169" s="81">
        <f t="shared" si="154"/>
        <v>0</v>
      </c>
      <c r="U169" s="81">
        <f t="shared" si="154"/>
        <v>0</v>
      </c>
      <c r="V169" s="81">
        <f t="shared" si="154"/>
        <v>0</v>
      </c>
      <c r="W169" s="82">
        <f t="shared" si="154"/>
        <v>0</v>
      </c>
      <c r="X169" s="82">
        <f t="shared" si="154"/>
        <v>0</v>
      </c>
      <c r="Y169" s="82">
        <f t="shared" si="154"/>
        <v>0</v>
      </c>
      <c r="Z169" s="205">
        <f>IF(Y$169=0,0,Y169/Y$169)</f>
        <v>0</v>
      </c>
      <c r="AA169" s="205"/>
      <c r="AB169" s="205"/>
      <c r="AC169" s="83"/>
      <c r="AE169" s="81"/>
      <c r="AF169" s="81"/>
      <c r="AG169" s="82"/>
      <c r="AH169" s="82"/>
      <c r="AI169" s="66"/>
      <c r="AK169" s="81"/>
      <c r="AL169" s="81"/>
      <c r="AM169" s="82"/>
      <c r="AN169" s="82"/>
      <c r="AO169" s="66"/>
      <c r="AQ169" s="81"/>
      <c r="AR169" s="81"/>
      <c r="AS169" s="82"/>
      <c r="AT169" s="82">
        <f>SUM(AT154:AT163)</f>
        <v>0</v>
      </c>
      <c r="AU169" s="66">
        <f t="shared" ref="AU169" si="155">IF(AT$169=0,0,AT169/AT$169)</f>
        <v>0</v>
      </c>
      <c r="AW169" s="81"/>
      <c r="AX169" s="81"/>
      <c r="AY169" s="82"/>
      <c r="AZ169" s="82">
        <f>SUM(AZ154:AZ163)</f>
        <v>0</v>
      </c>
      <c r="BA169" s="66">
        <f t="shared" ref="BA169" si="156">IF(AZ$169=0,0,AZ169/AZ$169)</f>
        <v>0</v>
      </c>
    </row>
    <row r="170" spans="1:53" s="117" customFormat="1" ht="17.100000000000001" customHeight="1" x14ac:dyDescent="0.25">
      <c r="A170" s="119"/>
      <c r="B170" s="119"/>
      <c r="C170" s="420"/>
      <c r="D170" s="261"/>
      <c r="E170" s="261"/>
      <c r="F170" s="68"/>
      <c r="G170" s="210"/>
      <c r="H170" s="119"/>
      <c r="I170" s="236"/>
      <c r="J170" s="198"/>
      <c r="K170" s="198"/>
      <c r="L170" s="17"/>
      <c r="M170" s="17"/>
      <c r="N170" s="17"/>
      <c r="O170" s="17"/>
      <c r="P170" s="17"/>
      <c r="Q170" s="17"/>
      <c r="R170" s="17"/>
      <c r="S170" s="17"/>
      <c r="T170" s="17"/>
      <c r="U170" s="17"/>
      <c r="V170" s="17"/>
      <c r="W170" s="646"/>
      <c r="X170" s="646"/>
      <c r="Y170" s="646"/>
      <c r="Z170" s="201"/>
      <c r="AA170" s="201"/>
      <c r="AB170" s="201"/>
      <c r="AC170" s="84"/>
      <c r="AE170" s="17"/>
      <c r="AF170" s="17"/>
      <c r="AG170" s="646"/>
      <c r="AH170" s="646"/>
      <c r="AI170" s="91"/>
      <c r="AK170" s="17"/>
      <c r="AL170" s="17"/>
      <c r="AM170" s="646"/>
      <c r="AN170" s="646"/>
      <c r="AO170" s="91"/>
      <c r="AQ170" s="17"/>
      <c r="AR170" s="17"/>
      <c r="AS170" s="646"/>
      <c r="AT170" s="646"/>
      <c r="AU170" s="91"/>
      <c r="AW170" s="17"/>
      <c r="AX170" s="17"/>
      <c r="AY170" s="646"/>
      <c r="AZ170" s="17"/>
      <c r="BA170" s="91"/>
    </row>
    <row r="171" spans="1:53" ht="17.100000000000001" customHeight="1" x14ac:dyDescent="0.25">
      <c r="A171" s="40"/>
      <c r="B171" s="41" t="s">
        <v>116</v>
      </c>
      <c r="C171" s="42" t="s">
        <v>12</v>
      </c>
      <c r="D171" s="43"/>
      <c r="E171" s="43"/>
      <c r="F171" s="43"/>
      <c r="G171" s="44"/>
      <c r="H171" s="23"/>
      <c r="I171" s="229"/>
      <c r="J171" s="71"/>
      <c r="K171" s="71"/>
      <c r="L171" s="71"/>
      <c r="M171" s="71"/>
      <c r="N171" s="71"/>
      <c r="O171" s="71"/>
      <c r="P171" s="71"/>
      <c r="Q171" s="71"/>
      <c r="R171" s="71"/>
      <c r="S171" s="71"/>
      <c r="T171" s="71"/>
      <c r="U171" s="71"/>
      <c r="V171" s="71"/>
      <c r="W171" s="71"/>
      <c r="X171" s="71"/>
      <c r="Y171" s="71"/>
      <c r="Z171" s="73"/>
      <c r="AA171" s="73"/>
      <c r="AB171" s="73"/>
      <c r="AC171" s="73"/>
      <c r="AE171" s="71"/>
      <c r="AF171" s="71"/>
      <c r="AG171" s="73"/>
      <c r="AH171" s="73"/>
      <c r="AI171" s="73"/>
      <c r="AK171" s="71"/>
      <c r="AL171" s="71"/>
      <c r="AM171" s="73"/>
      <c r="AN171" s="73"/>
      <c r="AO171" s="73"/>
      <c r="AQ171" s="71"/>
      <c r="AR171" s="71"/>
      <c r="AS171" s="73"/>
      <c r="AT171" s="73"/>
      <c r="AU171" s="73"/>
      <c r="AW171" s="71"/>
      <c r="AX171" s="71"/>
      <c r="AY171" s="73"/>
      <c r="AZ171" s="73"/>
      <c r="BA171" s="73"/>
    </row>
    <row r="172" spans="1:53" s="97" customFormat="1" ht="17.100000000000001" customHeight="1" x14ac:dyDescent="0.25">
      <c r="A172" s="68"/>
      <c r="B172" s="68"/>
      <c r="C172" s="92"/>
      <c r="D172" s="93"/>
      <c r="E172" s="93"/>
      <c r="F172" s="93"/>
      <c r="G172" s="93"/>
      <c r="H172" s="12"/>
      <c r="I172" s="12"/>
    </row>
    <row r="173" spans="1:53" s="32" customFormat="1" ht="16.5" thickBot="1" x14ac:dyDescent="0.3">
      <c r="A173" s="24" t="s">
        <v>150</v>
      </c>
      <c r="B173" s="25" t="s">
        <v>589</v>
      </c>
      <c r="C173" s="26"/>
      <c r="D173" s="27"/>
      <c r="E173" s="27"/>
      <c r="F173" s="27"/>
      <c r="G173" s="27"/>
      <c r="H173" s="310"/>
      <c r="I173" s="14"/>
      <c r="J173" s="140"/>
      <c r="K173" s="140"/>
      <c r="L173" s="140"/>
      <c r="M173" s="140"/>
      <c r="N173" s="140"/>
      <c r="O173" s="140"/>
      <c r="P173" s="140"/>
      <c r="Q173" s="140"/>
      <c r="R173" s="140"/>
      <c r="S173" s="140"/>
      <c r="T173" s="140"/>
      <c r="U173" s="140"/>
      <c r="V173" s="140"/>
      <c r="W173" s="140"/>
      <c r="X173" s="140"/>
      <c r="Y173" s="140"/>
      <c r="Z173" s="31" t="s">
        <v>5</v>
      </c>
      <c r="AA173" s="31"/>
      <c r="AB173" s="31"/>
      <c r="AC173" s="24"/>
      <c r="AE173" s="33" t="s">
        <v>181</v>
      </c>
      <c r="AF173" s="33" t="s">
        <v>182</v>
      </c>
      <c r="AG173" s="33" t="s">
        <v>6</v>
      </c>
      <c r="AH173" s="33" t="s">
        <v>4</v>
      </c>
      <c r="AI173" s="34" t="s">
        <v>5</v>
      </c>
      <c r="AJ173" s="35"/>
      <c r="AK173" s="36" t="s">
        <v>181</v>
      </c>
      <c r="AL173" s="36" t="s">
        <v>182</v>
      </c>
      <c r="AM173" s="36" t="s">
        <v>6</v>
      </c>
      <c r="AN173" s="36" t="s">
        <v>4</v>
      </c>
      <c r="AO173" s="37" t="s">
        <v>5</v>
      </c>
      <c r="AQ173" s="398" t="s">
        <v>181</v>
      </c>
      <c r="AR173" s="398" t="s">
        <v>182</v>
      </c>
      <c r="AS173" s="398" t="s">
        <v>6</v>
      </c>
      <c r="AT173" s="398" t="s">
        <v>4</v>
      </c>
      <c r="AU173" s="399" t="s">
        <v>5</v>
      </c>
      <c r="AW173" s="38" t="s">
        <v>181</v>
      </c>
      <c r="AX173" s="38" t="s">
        <v>182</v>
      </c>
      <c r="AY173" s="38" t="s">
        <v>6</v>
      </c>
      <c r="AZ173" s="38" t="s">
        <v>4</v>
      </c>
      <c r="BA173" s="39" t="s">
        <v>5</v>
      </c>
    </row>
    <row r="174" spans="1:53" ht="17.100000000000001" customHeight="1" x14ac:dyDescent="0.25">
      <c r="A174" s="40"/>
      <c r="B174" s="41" t="s">
        <v>152</v>
      </c>
      <c r="C174" s="274" t="s">
        <v>615</v>
      </c>
      <c r="D174" s="43"/>
      <c r="E174" s="43"/>
      <c r="F174" s="43"/>
      <c r="G174" s="43"/>
      <c r="H174" s="321"/>
      <c r="I174" s="12"/>
      <c r="J174" s="73"/>
      <c r="K174" s="73"/>
      <c r="L174" s="73"/>
      <c r="M174" s="73"/>
      <c r="N174" s="73"/>
      <c r="O174" s="73"/>
      <c r="P174" s="73"/>
      <c r="Q174" s="73"/>
      <c r="R174" s="73"/>
      <c r="S174" s="73"/>
      <c r="T174" s="73"/>
      <c r="U174" s="73"/>
      <c r="V174" s="73"/>
      <c r="W174" s="73"/>
      <c r="X174" s="73"/>
      <c r="Y174" s="73"/>
      <c r="Z174" s="73"/>
      <c r="AA174" s="73"/>
      <c r="AB174" s="73"/>
      <c r="AC174" s="73"/>
      <c r="AE174" s="73"/>
      <c r="AF174" s="73"/>
      <c r="AG174" s="73"/>
      <c r="AH174" s="73"/>
      <c r="AI174" s="73"/>
      <c r="AK174" s="73"/>
      <c r="AL174" s="73"/>
      <c r="AM174" s="73"/>
      <c r="AN174" s="73"/>
      <c r="AO174" s="73"/>
      <c r="AQ174" s="71"/>
      <c r="AR174" s="71"/>
      <c r="AS174" s="71"/>
      <c r="AT174" s="72"/>
      <c r="AU174" s="73"/>
      <c r="AW174" s="73"/>
      <c r="AX174" s="73"/>
      <c r="AY174" s="73"/>
      <c r="AZ174" s="73"/>
      <c r="BA174" s="73"/>
    </row>
    <row r="175" spans="1:53" s="4" customFormat="1" ht="17.100000000000001" customHeight="1" x14ac:dyDescent="0.25">
      <c r="A175" s="102"/>
      <c r="B175" s="102"/>
      <c r="C175" s="74" t="s">
        <v>153</v>
      </c>
      <c r="D175" s="85" t="s">
        <v>590</v>
      </c>
      <c r="E175" s="75"/>
      <c r="F175" s="75"/>
      <c r="G175" s="106"/>
      <c r="H175" s="647"/>
      <c r="I175" s="231"/>
      <c r="J175" s="174"/>
      <c r="K175" s="174"/>
      <c r="L175" s="111"/>
      <c r="M175" s="111"/>
      <c r="N175" s="60"/>
      <c r="O175" s="60"/>
      <c r="P175" s="17">
        <f t="shared" ref="P175:P187" si="157">SUM(N175:O175)</f>
        <v>0</v>
      </c>
      <c r="Q175" s="60"/>
      <c r="R175" s="60"/>
      <c r="S175" s="17">
        <f t="shared" ref="S175:S187" si="158">SUM(Q175:R175)</f>
        <v>0</v>
      </c>
      <c r="T175" s="60"/>
      <c r="U175" s="60"/>
      <c r="V175" s="17">
        <f t="shared" ref="V175:V181" si="159">SUM(T175:U175)</f>
        <v>0</v>
      </c>
      <c r="W175" s="391">
        <f t="shared" ref="W175:W181" si="160">J175+K175+N175+Q175+T175</f>
        <v>0</v>
      </c>
      <c r="X175" s="17">
        <f t="shared" ref="X175:X181" si="161">L175+O175+R175+U175</f>
        <v>0</v>
      </c>
      <c r="Y175" s="18">
        <f t="shared" ref="Y175:Y181" si="162">SUM(W175:X175)</f>
        <v>0</v>
      </c>
      <c r="Z175" s="19">
        <f t="shared" ref="Z175:Z181" si="163">IF(Y$188=0,0,Y175/Y$188)</f>
        <v>0</v>
      </c>
      <c r="AA175" s="19"/>
      <c r="AB175" s="19"/>
      <c r="AC175" s="20"/>
      <c r="AE175" s="111"/>
      <c r="AF175" s="111"/>
      <c r="AG175" s="111"/>
      <c r="AH175" s="651"/>
      <c r="AI175" s="131"/>
      <c r="AJ175" s="3"/>
      <c r="AK175" s="111"/>
      <c r="AL175" s="111"/>
      <c r="AM175" s="111"/>
      <c r="AN175" s="651"/>
      <c r="AO175" s="131"/>
      <c r="AP175" s="3"/>
      <c r="AQ175" s="20"/>
      <c r="AR175" s="20"/>
      <c r="AS175" s="20"/>
      <c r="AT175" s="17">
        <f t="shared" ref="AT175:AT181" si="164">W175</f>
        <v>0</v>
      </c>
      <c r="AU175" s="19">
        <f>IF(AT$169=0,0,AT175/AT$169)</f>
        <v>0</v>
      </c>
      <c r="AV175" s="3"/>
      <c r="AW175" s="17"/>
      <c r="AX175" s="17"/>
      <c r="AY175" s="17"/>
      <c r="AZ175" s="424">
        <f>X175</f>
        <v>0</v>
      </c>
      <c r="BA175" s="19">
        <f>IF(AZ$169=0,0,AZ175/AZ$169)</f>
        <v>0</v>
      </c>
    </row>
    <row r="176" spans="1:53" s="4" customFormat="1" ht="17.100000000000001" customHeight="1" x14ac:dyDescent="0.25">
      <c r="A176" s="102"/>
      <c r="B176" s="102"/>
      <c r="C176" s="74" t="s">
        <v>154</v>
      </c>
      <c r="D176" s="85" t="s">
        <v>591</v>
      </c>
      <c r="E176" s="75"/>
      <c r="F176" s="75"/>
      <c r="G176" s="106"/>
      <c r="H176" s="647"/>
      <c r="I176" s="231"/>
      <c r="J176" s="174"/>
      <c r="K176" s="174"/>
      <c r="L176" s="111"/>
      <c r="M176" s="111"/>
      <c r="N176" s="61"/>
      <c r="O176" s="61"/>
      <c r="P176" s="17">
        <f t="shared" si="157"/>
        <v>0</v>
      </c>
      <c r="Q176" s="61"/>
      <c r="R176" s="61"/>
      <c r="S176" s="17">
        <f t="shared" si="158"/>
        <v>0</v>
      </c>
      <c r="T176" s="61"/>
      <c r="U176" s="61"/>
      <c r="V176" s="17">
        <f t="shared" si="159"/>
        <v>0</v>
      </c>
      <c r="W176" s="391">
        <f t="shared" si="160"/>
        <v>0</v>
      </c>
      <c r="X176" s="17">
        <f t="shared" si="161"/>
        <v>0</v>
      </c>
      <c r="Y176" s="18">
        <f t="shared" si="162"/>
        <v>0</v>
      </c>
      <c r="Z176" s="19">
        <f t="shared" si="163"/>
        <v>0</v>
      </c>
      <c r="AA176" s="19"/>
      <c r="AB176" s="19"/>
      <c r="AC176" s="20"/>
      <c r="AE176" s="111"/>
      <c r="AF176" s="111"/>
      <c r="AG176" s="111"/>
      <c r="AH176" s="651"/>
      <c r="AI176" s="131"/>
      <c r="AJ176" s="3"/>
      <c r="AK176" s="111"/>
      <c r="AL176" s="111"/>
      <c r="AM176" s="111"/>
      <c r="AN176" s="651"/>
      <c r="AO176" s="131"/>
      <c r="AP176" s="3"/>
      <c r="AQ176" s="20"/>
      <c r="AR176" s="20"/>
      <c r="AS176" s="20"/>
      <c r="AT176" s="17">
        <f t="shared" si="164"/>
        <v>0</v>
      </c>
      <c r="AU176" s="19">
        <f t="shared" ref="AU176:AU181" si="165">IF(AT$188=0,0,AT176/AT$188)</f>
        <v>0</v>
      </c>
      <c r="AV176" s="3"/>
      <c r="AW176" s="17"/>
      <c r="AX176" s="17"/>
      <c r="AY176" s="17"/>
      <c r="AZ176" s="424">
        <f t="shared" ref="AZ176:AZ181" si="166">Y176</f>
        <v>0</v>
      </c>
      <c r="BA176" s="19">
        <f t="shared" ref="BA176:BA181" si="167">IF(AZ$188=0,0,AZ176/AZ$188)</f>
        <v>0</v>
      </c>
    </row>
    <row r="177" spans="1:53" s="4" customFormat="1" ht="17.100000000000001" customHeight="1" x14ac:dyDescent="0.25">
      <c r="A177" s="102"/>
      <c r="B177" s="102"/>
      <c r="C177" s="74" t="s">
        <v>155</v>
      </c>
      <c r="D177" s="85" t="s">
        <v>592</v>
      </c>
      <c r="E177" s="75"/>
      <c r="F177" s="75"/>
      <c r="G177" s="105"/>
      <c r="H177" s="119"/>
      <c r="I177" s="231"/>
      <c r="J177" s="174"/>
      <c r="K177" s="174"/>
      <c r="L177" s="111"/>
      <c r="M177" s="111"/>
      <c r="N177" s="60"/>
      <c r="O177" s="60"/>
      <c r="P177" s="17">
        <f t="shared" si="157"/>
        <v>0</v>
      </c>
      <c r="Q177" s="60"/>
      <c r="R177" s="60"/>
      <c r="S177" s="17">
        <f t="shared" si="158"/>
        <v>0</v>
      </c>
      <c r="T177" s="60"/>
      <c r="U177" s="60"/>
      <c r="V177" s="17">
        <f t="shared" si="159"/>
        <v>0</v>
      </c>
      <c r="W177" s="391">
        <f t="shared" si="160"/>
        <v>0</v>
      </c>
      <c r="X177" s="17">
        <f t="shared" si="161"/>
        <v>0</v>
      </c>
      <c r="Y177" s="18">
        <f t="shared" si="162"/>
        <v>0</v>
      </c>
      <c r="Z177" s="19">
        <f t="shared" si="163"/>
        <v>0</v>
      </c>
      <c r="AA177" s="19"/>
      <c r="AB177" s="19"/>
      <c r="AC177" s="20"/>
      <c r="AE177" s="111"/>
      <c r="AF177" s="111"/>
      <c r="AG177" s="111"/>
      <c r="AH177" s="651"/>
      <c r="AI177" s="131"/>
      <c r="AJ177" s="3"/>
      <c r="AK177" s="111"/>
      <c r="AL177" s="111"/>
      <c r="AM177" s="111"/>
      <c r="AN177" s="651"/>
      <c r="AO177" s="131"/>
      <c r="AP177" s="3"/>
      <c r="AQ177" s="20"/>
      <c r="AR177" s="20"/>
      <c r="AS177" s="20"/>
      <c r="AT177" s="17">
        <f t="shared" si="164"/>
        <v>0</v>
      </c>
      <c r="AU177" s="19">
        <f t="shared" si="165"/>
        <v>0</v>
      </c>
      <c r="AV177" s="3"/>
      <c r="AW177" s="17"/>
      <c r="AX177" s="17"/>
      <c r="AY177" s="17"/>
      <c r="AZ177" s="424">
        <f t="shared" si="166"/>
        <v>0</v>
      </c>
      <c r="BA177" s="19">
        <f t="shared" si="167"/>
        <v>0</v>
      </c>
    </row>
    <row r="178" spans="1:53" s="4" customFormat="1" ht="17.100000000000001" customHeight="1" x14ac:dyDescent="0.25">
      <c r="A178" s="102"/>
      <c r="B178" s="102"/>
      <c r="C178" s="74" t="s">
        <v>156</v>
      </c>
      <c r="D178" s="85" t="s">
        <v>593</v>
      </c>
      <c r="E178" s="75"/>
      <c r="F178" s="75"/>
      <c r="G178" s="105"/>
      <c r="H178" s="84"/>
      <c r="I178" s="231"/>
      <c r="J178" s="174"/>
      <c r="K178" s="174"/>
      <c r="L178" s="111"/>
      <c r="M178" s="111"/>
      <c r="N178" s="61"/>
      <c r="O178" s="61"/>
      <c r="P178" s="17">
        <f t="shared" si="157"/>
        <v>0</v>
      </c>
      <c r="Q178" s="61"/>
      <c r="R178" s="61"/>
      <c r="S178" s="17">
        <f t="shared" si="158"/>
        <v>0</v>
      </c>
      <c r="T178" s="61"/>
      <c r="U178" s="61"/>
      <c r="V178" s="17">
        <f t="shared" si="159"/>
        <v>0</v>
      </c>
      <c r="W178" s="391">
        <f t="shared" si="160"/>
        <v>0</v>
      </c>
      <c r="X178" s="17">
        <f t="shared" si="161"/>
        <v>0</v>
      </c>
      <c r="Y178" s="18">
        <f t="shared" si="162"/>
        <v>0</v>
      </c>
      <c r="Z178" s="19">
        <f t="shared" si="163"/>
        <v>0</v>
      </c>
      <c r="AA178" s="19"/>
      <c r="AB178" s="19"/>
      <c r="AC178" s="20"/>
      <c r="AE178" s="111"/>
      <c r="AF178" s="111"/>
      <c r="AG178" s="111"/>
      <c r="AH178" s="651"/>
      <c r="AI178" s="131"/>
      <c r="AJ178" s="3"/>
      <c r="AK178" s="111"/>
      <c r="AL178" s="111"/>
      <c r="AM178" s="111"/>
      <c r="AN178" s="651"/>
      <c r="AO178" s="131"/>
      <c r="AP178" s="3"/>
      <c r="AQ178" s="20"/>
      <c r="AR178" s="20"/>
      <c r="AS178" s="20"/>
      <c r="AT178" s="17">
        <f t="shared" si="164"/>
        <v>0</v>
      </c>
      <c r="AU178" s="19">
        <f t="shared" si="165"/>
        <v>0</v>
      </c>
      <c r="AV178" s="3"/>
      <c r="AW178" s="17"/>
      <c r="AX178" s="17"/>
      <c r="AY178" s="17"/>
      <c r="AZ178" s="424">
        <f t="shared" si="166"/>
        <v>0</v>
      </c>
      <c r="BA178" s="19">
        <f t="shared" si="167"/>
        <v>0</v>
      </c>
    </row>
    <row r="179" spans="1:53" s="4" customFormat="1" ht="17.100000000000001" customHeight="1" x14ac:dyDescent="0.25">
      <c r="A179" s="102"/>
      <c r="B179" s="102"/>
      <c r="C179" s="74" t="s">
        <v>157</v>
      </c>
      <c r="D179" s="85" t="s">
        <v>594</v>
      </c>
      <c r="E179" s="75"/>
      <c r="F179" s="75"/>
      <c r="G179" s="105"/>
      <c r="H179" s="84"/>
      <c r="I179" s="231"/>
      <c r="J179" s="174"/>
      <c r="K179" s="174"/>
      <c r="L179" s="111"/>
      <c r="M179" s="111"/>
      <c r="N179" s="60"/>
      <c r="O179" s="60"/>
      <c r="P179" s="17">
        <f t="shared" si="157"/>
        <v>0</v>
      </c>
      <c r="Q179" s="60"/>
      <c r="R179" s="60"/>
      <c r="S179" s="17">
        <f t="shared" si="158"/>
        <v>0</v>
      </c>
      <c r="T179" s="60"/>
      <c r="U179" s="60"/>
      <c r="V179" s="17">
        <f t="shared" si="159"/>
        <v>0</v>
      </c>
      <c r="W179" s="391">
        <f t="shared" si="160"/>
        <v>0</v>
      </c>
      <c r="X179" s="17">
        <f t="shared" si="161"/>
        <v>0</v>
      </c>
      <c r="Y179" s="18">
        <f t="shared" si="162"/>
        <v>0</v>
      </c>
      <c r="Z179" s="19">
        <f t="shared" si="163"/>
        <v>0</v>
      </c>
      <c r="AA179" s="19"/>
      <c r="AB179" s="19"/>
      <c r="AC179" s="20"/>
      <c r="AE179" s="111"/>
      <c r="AF179" s="111"/>
      <c r="AG179" s="111"/>
      <c r="AH179" s="651"/>
      <c r="AI179" s="131"/>
      <c r="AJ179" s="3"/>
      <c r="AK179" s="111"/>
      <c r="AL179" s="111"/>
      <c r="AM179" s="111"/>
      <c r="AN179" s="651"/>
      <c r="AO179" s="131"/>
      <c r="AP179" s="3"/>
      <c r="AQ179" s="20"/>
      <c r="AR179" s="20"/>
      <c r="AS179" s="20"/>
      <c r="AT179" s="17">
        <f t="shared" si="164"/>
        <v>0</v>
      </c>
      <c r="AU179" s="19">
        <f t="shared" si="165"/>
        <v>0</v>
      </c>
      <c r="AV179" s="3"/>
      <c r="AW179" s="17"/>
      <c r="AX179" s="17"/>
      <c r="AY179" s="17"/>
      <c r="AZ179" s="424">
        <f t="shared" si="166"/>
        <v>0</v>
      </c>
      <c r="BA179" s="19">
        <f t="shared" si="167"/>
        <v>0</v>
      </c>
    </row>
    <row r="180" spans="1:53" s="4" customFormat="1" ht="17.100000000000001" customHeight="1" x14ac:dyDescent="0.25">
      <c r="A180" s="102"/>
      <c r="B180" s="102"/>
      <c r="C180" s="74" t="s">
        <v>158</v>
      </c>
      <c r="D180" s="85" t="s">
        <v>595</v>
      </c>
      <c r="E180" s="75"/>
      <c r="F180" s="75"/>
      <c r="G180" s="105"/>
      <c r="H180" s="84"/>
      <c r="I180" s="231"/>
      <c r="J180" s="174"/>
      <c r="K180" s="174"/>
      <c r="L180" s="111"/>
      <c r="M180" s="111"/>
      <c r="N180" s="61"/>
      <c r="O180" s="61"/>
      <c r="P180" s="17">
        <f t="shared" si="157"/>
        <v>0</v>
      </c>
      <c r="Q180" s="61"/>
      <c r="R180" s="61"/>
      <c r="S180" s="17">
        <f t="shared" si="158"/>
        <v>0</v>
      </c>
      <c r="T180" s="61"/>
      <c r="U180" s="61"/>
      <c r="V180" s="17">
        <f t="shared" si="159"/>
        <v>0</v>
      </c>
      <c r="W180" s="391">
        <f t="shared" si="160"/>
        <v>0</v>
      </c>
      <c r="X180" s="17">
        <f t="shared" si="161"/>
        <v>0</v>
      </c>
      <c r="Y180" s="18">
        <f t="shared" si="162"/>
        <v>0</v>
      </c>
      <c r="Z180" s="19">
        <f t="shared" si="163"/>
        <v>0</v>
      </c>
      <c r="AA180" s="19"/>
      <c r="AB180" s="19"/>
      <c r="AC180" s="20"/>
      <c r="AE180" s="111"/>
      <c r="AF180" s="111"/>
      <c r="AG180" s="111"/>
      <c r="AH180" s="651"/>
      <c r="AI180" s="131"/>
      <c r="AJ180" s="3"/>
      <c r="AK180" s="111"/>
      <c r="AL180" s="111"/>
      <c r="AM180" s="111"/>
      <c r="AN180" s="651"/>
      <c r="AO180" s="131"/>
      <c r="AP180" s="3"/>
      <c r="AQ180" s="20"/>
      <c r="AR180" s="20"/>
      <c r="AS180" s="20"/>
      <c r="AT180" s="17">
        <f t="shared" si="164"/>
        <v>0</v>
      </c>
      <c r="AU180" s="19">
        <f t="shared" si="165"/>
        <v>0</v>
      </c>
      <c r="AV180" s="3"/>
      <c r="AW180" s="17"/>
      <c r="AX180" s="17"/>
      <c r="AY180" s="17"/>
      <c r="AZ180" s="424">
        <f t="shared" si="166"/>
        <v>0</v>
      </c>
      <c r="BA180" s="19">
        <f t="shared" si="167"/>
        <v>0</v>
      </c>
    </row>
    <row r="181" spans="1:53" s="4" customFormat="1" ht="17.100000000000001" customHeight="1" x14ac:dyDescent="0.25">
      <c r="A181" s="102"/>
      <c r="B181" s="102"/>
      <c r="C181" s="74" t="s">
        <v>159</v>
      </c>
      <c r="D181" s="85" t="s">
        <v>596</v>
      </c>
      <c r="E181" s="75"/>
      <c r="F181" s="649"/>
      <c r="G181" s="246"/>
      <c r="H181" s="84"/>
      <c r="I181" s="97"/>
      <c r="J181" s="111"/>
      <c r="K181" s="111"/>
      <c r="L181" s="111"/>
      <c r="M181" s="111"/>
      <c r="N181" s="111">
        <f t="shared" ref="N181:U181" si="168">SUM(N182:N185)</f>
        <v>0</v>
      </c>
      <c r="O181" s="111">
        <f t="shared" si="168"/>
        <v>0</v>
      </c>
      <c r="P181" s="17">
        <f t="shared" si="157"/>
        <v>0</v>
      </c>
      <c r="Q181" s="111">
        <f t="shared" si="168"/>
        <v>0</v>
      </c>
      <c r="R181" s="111">
        <f t="shared" si="168"/>
        <v>0</v>
      </c>
      <c r="S181" s="17">
        <f t="shared" si="158"/>
        <v>0</v>
      </c>
      <c r="T181" s="111">
        <f t="shared" si="168"/>
        <v>0</v>
      </c>
      <c r="U181" s="111">
        <f t="shared" si="168"/>
        <v>0</v>
      </c>
      <c r="V181" s="17">
        <f t="shared" si="159"/>
        <v>0</v>
      </c>
      <c r="W181" s="380">
        <f t="shared" si="160"/>
        <v>0</v>
      </c>
      <c r="X181" s="111">
        <f t="shared" si="161"/>
        <v>0</v>
      </c>
      <c r="Y181" s="651">
        <f t="shared" si="162"/>
        <v>0</v>
      </c>
      <c r="Z181" s="131">
        <f t="shared" si="163"/>
        <v>0</v>
      </c>
      <c r="AA181" s="131"/>
      <c r="AB181" s="131"/>
      <c r="AC181" s="113"/>
      <c r="AE181" s="111"/>
      <c r="AF181" s="111"/>
      <c r="AG181" s="111"/>
      <c r="AH181" s="651"/>
      <c r="AI181" s="131"/>
      <c r="AJ181" s="3"/>
      <c r="AK181" s="111"/>
      <c r="AL181" s="111"/>
      <c r="AM181" s="111"/>
      <c r="AN181" s="651"/>
      <c r="AO181" s="131"/>
      <c r="AP181" s="3"/>
      <c r="AQ181" s="111"/>
      <c r="AR181" s="111"/>
      <c r="AS181" s="111"/>
      <c r="AT181" s="111">
        <f t="shared" si="164"/>
        <v>0</v>
      </c>
      <c r="AU181" s="131">
        <f t="shared" si="165"/>
        <v>0</v>
      </c>
      <c r="AV181" s="3"/>
      <c r="AW181" s="111"/>
      <c r="AX181" s="111"/>
      <c r="AY181" s="111"/>
      <c r="AZ181" s="111">
        <f t="shared" si="166"/>
        <v>0</v>
      </c>
      <c r="BA181" s="131">
        <f t="shared" si="167"/>
        <v>0</v>
      </c>
    </row>
    <row r="182" spans="1:53" s="4" customFormat="1" ht="17.100000000000001" customHeight="1" x14ac:dyDescent="0.25">
      <c r="A182" s="102"/>
      <c r="B182" s="102"/>
      <c r="C182" s="74"/>
      <c r="D182" s="294"/>
      <c r="E182" s="295"/>
      <c r="F182" s="295"/>
      <c r="G182" s="295"/>
      <c r="H182" s="198"/>
      <c r="I182" s="642"/>
      <c r="J182" s="174"/>
      <c r="K182" s="174"/>
      <c r="L182" s="111"/>
      <c r="M182" s="111"/>
      <c r="N182" s="60"/>
      <c r="O182" s="60"/>
      <c r="P182" s="17">
        <f t="shared" si="157"/>
        <v>0</v>
      </c>
      <c r="Q182" s="60"/>
      <c r="R182" s="60"/>
      <c r="S182" s="17">
        <f t="shared" si="158"/>
        <v>0</v>
      </c>
      <c r="T182" s="60"/>
      <c r="U182" s="60"/>
      <c r="V182" s="17">
        <f t="shared" ref="V182:V185" si="169">SUM(T182:U182)</f>
        <v>0</v>
      </c>
      <c r="W182" s="391">
        <f t="shared" ref="W182:W185" si="170">J182+K182+N182+Q182+T182</f>
        <v>0</v>
      </c>
      <c r="X182" s="17">
        <f t="shared" ref="X182:X185" si="171">L182+O182+R182+U182</f>
        <v>0</v>
      </c>
      <c r="Y182" s="18">
        <f t="shared" ref="Y182:Y185" si="172">SUM(W182:X182)</f>
        <v>0</v>
      </c>
      <c r="Z182" s="20"/>
      <c r="AA182" s="20"/>
      <c r="AB182" s="20"/>
      <c r="AC182" s="20"/>
      <c r="AE182" s="111"/>
      <c r="AF182" s="111"/>
      <c r="AG182" s="113"/>
      <c r="AH182" s="113"/>
      <c r="AI182" s="131"/>
      <c r="AK182" s="111"/>
      <c r="AL182" s="111"/>
      <c r="AM182" s="113"/>
      <c r="AN182" s="113"/>
      <c r="AO182" s="131"/>
      <c r="AQ182" s="17"/>
      <c r="AR182" s="17"/>
      <c r="AS182" s="20"/>
      <c r="AT182" s="20"/>
      <c r="AU182" s="19"/>
      <c r="AW182" s="17"/>
      <c r="AX182" s="17"/>
      <c r="AY182" s="20"/>
      <c r="AZ182" s="20"/>
      <c r="BA182" s="19"/>
    </row>
    <row r="183" spans="1:53" s="4" customFormat="1" ht="17.100000000000001" customHeight="1" x14ac:dyDescent="0.25">
      <c r="A183" s="102"/>
      <c r="B183" s="102"/>
      <c r="C183" s="74"/>
      <c r="D183" s="296"/>
      <c r="E183" s="297"/>
      <c r="F183" s="297"/>
      <c r="G183" s="297"/>
      <c r="H183" s="198"/>
      <c r="I183" s="642"/>
      <c r="J183" s="174"/>
      <c r="K183" s="174"/>
      <c r="L183" s="111"/>
      <c r="M183" s="111"/>
      <c r="N183" s="61"/>
      <c r="O183" s="61"/>
      <c r="P183" s="17">
        <f t="shared" si="157"/>
        <v>0</v>
      </c>
      <c r="Q183" s="61"/>
      <c r="R183" s="61"/>
      <c r="S183" s="17">
        <f t="shared" si="158"/>
        <v>0</v>
      </c>
      <c r="T183" s="61"/>
      <c r="U183" s="61"/>
      <c r="V183" s="17">
        <f t="shared" si="169"/>
        <v>0</v>
      </c>
      <c r="W183" s="391">
        <f t="shared" si="170"/>
        <v>0</v>
      </c>
      <c r="X183" s="17">
        <f t="shared" si="171"/>
        <v>0</v>
      </c>
      <c r="Y183" s="18">
        <f t="shared" si="172"/>
        <v>0</v>
      </c>
      <c r="Z183" s="20"/>
      <c r="AA183" s="20"/>
      <c r="AB183" s="20"/>
      <c r="AC183" s="20"/>
      <c r="AE183" s="111"/>
      <c r="AF183" s="111"/>
      <c r="AG183" s="113"/>
      <c r="AH183" s="113"/>
      <c r="AI183" s="131"/>
      <c r="AK183" s="111"/>
      <c r="AL183" s="111"/>
      <c r="AM183" s="113"/>
      <c r="AN183" s="113"/>
      <c r="AO183" s="131"/>
      <c r="AQ183" s="17"/>
      <c r="AR183" s="17"/>
      <c r="AS183" s="20"/>
      <c r="AT183" s="20"/>
      <c r="AU183" s="19"/>
      <c r="AW183" s="17"/>
      <c r="AX183" s="17"/>
      <c r="AY183" s="20"/>
      <c r="AZ183" s="20"/>
      <c r="BA183" s="19"/>
    </row>
    <row r="184" spans="1:53" s="4" customFormat="1" ht="17.100000000000001" customHeight="1" x14ac:dyDescent="0.25">
      <c r="A184" s="102"/>
      <c r="B184" s="102"/>
      <c r="C184" s="74"/>
      <c r="D184" s="294"/>
      <c r="E184" s="295"/>
      <c r="F184" s="295"/>
      <c r="G184" s="295"/>
      <c r="H184" s="198"/>
      <c r="I184" s="642"/>
      <c r="J184" s="174"/>
      <c r="K184" s="174"/>
      <c r="L184" s="111"/>
      <c r="M184" s="111"/>
      <c r="N184" s="60"/>
      <c r="O184" s="60"/>
      <c r="P184" s="17">
        <f t="shared" si="157"/>
        <v>0</v>
      </c>
      <c r="Q184" s="60"/>
      <c r="R184" s="60"/>
      <c r="S184" s="17">
        <f t="shared" si="158"/>
        <v>0</v>
      </c>
      <c r="T184" s="60"/>
      <c r="U184" s="60"/>
      <c r="V184" s="17">
        <f t="shared" si="169"/>
        <v>0</v>
      </c>
      <c r="W184" s="391">
        <f t="shared" si="170"/>
        <v>0</v>
      </c>
      <c r="X184" s="17">
        <f t="shared" si="171"/>
        <v>0</v>
      </c>
      <c r="Y184" s="18">
        <f t="shared" si="172"/>
        <v>0</v>
      </c>
      <c r="Z184" s="20"/>
      <c r="AA184" s="20"/>
      <c r="AB184" s="20"/>
      <c r="AC184" s="20"/>
      <c r="AE184" s="111"/>
      <c r="AF184" s="111"/>
      <c r="AG184" s="113"/>
      <c r="AH184" s="113"/>
      <c r="AI184" s="131"/>
      <c r="AK184" s="111"/>
      <c r="AL184" s="111"/>
      <c r="AM184" s="113"/>
      <c r="AN184" s="113"/>
      <c r="AO184" s="131"/>
      <c r="AQ184" s="17"/>
      <c r="AR184" s="17"/>
      <c r="AS184" s="20"/>
      <c r="AT184" s="20"/>
      <c r="AU184" s="19"/>
      <c r="AW184" s="17"/>
      <c r="AX184" s="17"/>
      <c r="AY184" s="20"/>
      <c r="AZ184" s="20"/>
      <c r="BA184" s="19"/>
    </row>
    <row r="185" spans="1:53" s="4" customFormat="1" ht="17.100000000000001" customHeight="1" x14ac:dyDescent="0.25">
      <c r="A185" s="102"/>
      <c r="B185" s="102"/>
      <c r="C185" s="74"/>
      <c r="D185" s="296"/>
      <c r="E185" s="297"/>
      <c r="F185" s="297"/>
      <c r="G185" s="297"/>
      <c r="H185" s="198"/>
      <c r="I185" s="642"/>
      <c r="J185" s="174"/>
      <c r="K185" s="174"/>
      <c r="L185" s="111"/>
      <c r="M185" s="111"/>
      <c r="N185" s="61"/>
      <c r="O185" s="61"/>
      <c r="P185" s="17">
        <f t="shared" si="157"/>
        <v>0</v>
      </c>
      <c r="Q185" s="61"/>
      <c r="R185" s="61"/>
      <c r="S185" s="17">
        <f t="shared" si="158"/>
        <v>0</v>
      </c>
      <c r="T185" s="61"/>
      <c r="U185" s="61"/>
      <c r="V185" s="17">
        <f t="shared" si="169"/>
        <v>0</v>
      </c>
      <c r="W185" s="391">
        <f t="shared" si="170"/>
        <v>0</v>
      </c>
      <c r="X185" s="17">
        <f t="shared" si="171"/>
        <v>0</v>
      </c>
      <c r="Y185" s="18">
        <f t="shared" si="172"/>
        <v>0</v>
      </c>
      <c r="Z185" s="20"/>
      <c r="AA185" s="20"/>
      <c r="AB185" s="20"/>
      <c r="AC185" s="20"/>
      <c r="AE185" s="111"/>
      <c r="AF185" s="111"/>
      <c r="AG185" s="113"/>
      <c r="AH185" s="113"/>
      <c r="AI185" s="131"/>
      <c r="AK185" s="111"/>
      <c r="AL185" s="111"/>
      <c r="AM185" s="113"/>
      <c r="AN185" s="113"/>
      <c r="AO185" s="131"/>
      <c r="AQ185" s="17"/>
      <c r="AR185" s="17"/>
      <c r="AS185" s="20"/>
      <c r="AT185" s="20"/>
      <c r="AU185" s="19"/>
      <c r="AW185" s="17"/>
      <c r="AX185" s="17"/>
      <c r="AY185" s="20"/>
      <c r="AZ185" s="20"/>
      <c r="BA185" s="19"/>
    </row>
    <row r="186" spans="1:53" s="4" customFormat="1" ht="17.100000000000001" customHeight="1" x14ac:dyDescent="0.25">
      <c r="A186" s="102"/>
      <c r="B186" s="102"/>
      <c r="C186" s="74"/>
      <c r="D186" s="294"/>
      <c r="E186" s="295"/>
      <c r="F186" s="295"/>
      <c r="G186" s="295"/>
      <c r="H186" s="198"/>
      <c r="I186" s="642"/>
      <c r="J186" s="174"/>
      <c r="K186" s="174"/>
      <c r="L186" s="111"/>
      <c r="M186" s="111"/>
      <c r="N186" s="60"/>
      <c r="O186" s="60"/>
      <c r="P186" s="17">
        <f t="shared" si="157"/>
        <v>0</v>
      </c>
      <c r="Q186" s="60"/>
      <c r="R186" s="60"/>
      <c r="S186" s="17">
        <f t="shared" si="158"/>
        <v>0</v>
      </c>
      <c r="T186" s="60"/>
      <c r="U186" s="60"/>
      <c r="V186" s="17">
        <f t="shared" ref="V186:V187" si="173">SUM(T186:U186)</f>
        <v>0</v>
      </c>
      <c r="W186" s="391">
        <f t="shared" ref="W186:W187" si="174">J186+K186+N186+Q186+T186</f>
        <v>0</v>
      </c>
      <c r="X186" s="17">
        <f t="shared" ref="X186:X187" si="175">L186+O186+R186+U186</f>
        <v>0</v>
      </c>
      <c r="Y186" s="18">
        <f t="shared" ref="Y186:Y187" si="176">SUM(W186:X186)</f>
        <v>0</v>
      </c>
      <c r="Z186" s="20"/>
      <c r="AA186" s="20"/>
      <c r="AB186" s="20"/>
      <c r="AC186" s="20"/>
      <c r="AE186" s="111"/>
      <c r="AF186" s="111"/>
      <c r="AG186" s="113"/>
      <c r="AH186" s="113"/>
      <c r="AI186" s="131"/>
      <c r="AK186" s="111"/>
      <c r="AL186" s="111"/>
      <c r="AM186" s="113"/>
      <c r="AN186" s="113"/>
      <c r="AO186" s="131"/>
      <c r="AQ186" s="17"/>
      <c r="AR186" s="17"/>
      <c r="AS186" s="20"/>
      <c r="AT186" s="20"/>
      <c r="AU186" s="19"/>
      <c r="AW186" s="17"/>
      <c r="AX186" s="17"/>
      <c r="AY186" s="20"/>
      <c r="AZ186" s="20"/>
      <c r="BA186" s="19"/>
    </row>
    <row r="187" spans="1:53" s="4" customFormat="1" ht="17.100000000000001" customHeight="1" x14ac:dyDescent="0.25">
      <c r="A187" s="102"/>
      <c r="B187" s="102"/>
      <c r="C187" s="74"/>
      <c r="D187" s="1317"/>
      <c r="E187" s="297"/>
      <c r="F187" s="297"/>
      <c r="G187" s="297"/>
      <c r="H187" s="198"/>
      <c r="I187" s="642"/>
      <c r="J187" s="174"/>
      <c r="K187" s="174"/>
      <c r="L187" s="111"/>
      <c r="M187" s="111"/>
      <c r="N187" s="61"/>
      <c r="O187" s="61"/>
      <c r="P187" s="17">
        <f t="shared" si="157"/>
        <v>0</v>
      </c>
      <c r="Q187" s="61"/>
      <c r="R187" s="61"/>
      <c r="S187" s="17">
        <f t="shared" si="158"/>
        <v>0</v>
      </c>
      <c r="T187" s="61"/>
      <c r="U187" s="61"/>
      <c r="V187" s="17">
        <f t="shared" si="173"/>
        <v>0</v>
      </c>
      <c r="W187" s="391">
        <f t="shared" si="174"/>
        <v>0</v>
      </c>
      <c r="X187" s="17">
        <f t="shared" si="175"/>
        <v>0</v>
      </c>
      <c r="Y187" s="18">
        <f t="shared" si="176"/>
        <v>0</v>
      </c>
      <c r="Z187" s="20"/>
      <c r="AA187" s="20"/>
      <c r="AB187" s="20"/>
      <c r="AC187" s="20"/>
      <c r="AE187" s="111"/>
      <c r="AF187" s="111"/>
      <c r="AG187" s="113"/>
      <c r="AH187" s="113"/>
      <c r="AI187" s="131"/>
      <c r="AK187" s="111"/>
      <c r="AL187" s="111"/>
      <c r="AM187" s="113"/>
      <c r="AN187" s="113"/>
      <c r="AO187" s="131"/>
      <c r="AQ187" s="17"/>
      <c r="AR187" s="17"/>
      <c r="AS187" s="20"/>
      <c r="AT187" s="20"/>
      <c r="AU187" s="19"/>
      <c r="AW187" s="17"/>
      <c r="AX187" s="17"/>
      <c r="AY187" s="20"/>
      <c r="AZ187" s="20"/>
      <c r="BA187" s="19"/>
    </row>
    <row r="188" spans="1:53" ht="17.100000000000001" customHeight="1" x14ac:dyDescent="0.25">
      <c r="A188" s="40"/>
      <c r="B188" s="40"/>
      <c r="C188" s="292"/>
      <c r="D188" s="144"/>
      <c r="E188" s="144"/>
      <c r="F188" s="145"/>
      <c r="G188" s="145"/>
      <c r="H188" s="119"/>
      <c r="I188" s="236"/>
      <c r="J188" s="64"/>
      <c r="K188" s="64"/>
      <c r="L188" s="81"/>
      <c r="M188" s="81"/>
      <c r="N188" s="81">
        <f>SUM(N175:N181)</f>
        <v>0</v>
      </c>
      <c r="O188" s="81">
        <f t="shared" ref="O188:Y188" si="177">SUM(O175:O181)</f>
        <v>0</v>
      </c>
      <c r="P188" s="81">
        <f t="shared" si="177"/>
        <v>0</v>
      </c>
      <c r="Q188" s="81">
        <f t="shared" si="177"/>
        <v>0</v>
      </c>
      <c r="R188" s="81">
        <f t="shared" si="177"/>
        <v>0</v>
      </c>
      <c r="S188" s="81">
        <f t="shared" si="177"/>
        <v>0</v>
      </c>
      <c r="T188" s="81">
        <f t="shared" si="177"/>
        <v>0</v>
      </c>
      <c r="U188" s="81">
        <f t="shared" si="177"/>
        <v>0</v>
      </c>
      <c r="V188" s="81">
        <f t="shared" si="177"/>
        <v>0</v>
      </c>
      <c r="W188" s="82">
        <f t="shared" si="177"/>
        <v>0</v>
      </c>
      <c r="X188" s="82">
        <f t="shared" si="177"/>
        <v>0</v>
      </c>
      <c r="Y188" s="82">
        <f t="shared" si="177"/>
        <v>0</v>
      </c>
      <c r="Z188" s="66">
        <f t="shared" ref="Z188" si="178">IF(Y$188=0,0,Y188/Y$188)</f>
        <v>0</v>
      </c>
      <c r="AA188" s="205"/>
      <c r="AB188" s="205"/>
      <c r="AC188" s="83"/>
      <c r="AE188" s="81"/>
      <c r="AF188" s="81"/>
      <c r="AG188" s="82"/>
      <c r="AH188" s="82"/>
      <c r="AI188" s="66"/>
      <c r="AK188" s="81"/>
      <c r="AL188" s="81"/>
      <c r="AM188" s="82"/>
      <c r="AN188" s="82"/>
      <c r="AO188" s="66"/>
      <c r="AQ188" s="81"/>
      <c r="AR188" s="81"/>
      <c r="AS188" s="82"/>
      <c r="AT188" s="82">
        <f>SUM(AT175:AT181)</f>
        <v>0</v>
      </c>
      <c r="AU188" s="66">
        <f>IF(AT$188=0,0,AT188/AT$188)</f>
        <v>0</v>
      </c>
      <c r="AW188" s="81"/>
      <c r="AX188" s="81"/>
      <c r="AY188" s="82"/>
      <c r="AZ188" s="82">
        <f>SUM(AZ175:AZ181)</f>
        <v>0</v>
      </c>
      <c r="BA188" s="66">
        <f>IF(AZ$188=0,0,AZ188/AZ$188)</f>
        <v>0</v>
      </c>
    </row>
    <row r="189" spans="1:53" s="117" customFormat="1" ht="17.100000000000001" customHeight="1" x14ac:dyDescent="0.25">
      <c r="A189" s="119"/>
      <c r="B189" s="119"/>
      <c r="C189" s="647"/>
      <c r="D189" s="212"/>
      <c r="E189" s="212"/>
      <c r="F189" s="212"/>
      <c r="G189" s="212"/>
      <c r="H189" s="242"/>
      <c r="I189" s="230"/>
      <c r="J189" s="17"/>
      <c r="K189" s="17"/>
      <c r="L189" s="17"/>
      <c r="M189" s="17"/>
      <c r="N189" s="17" t="str">
        <f>IF(N188&gt;=N$20,"OK","NOK")</f>
        <v>OK</v>
      </c>
      <c r="O189" s="17" t="str">
        <f>IF(O188&gt;=O$20,"OK","NOK")</f>
        <v>OK</v>
      </c>
      <c r="P189" s="17"/>
      <c r="Q189" s="17" t="str">
        <f>IF(Q188&gt;=Q$20,"OK","NOK")</f>
        <v>OK</v>
      </c>
      <c r="R189" s="17" t="str">
        <f>IF(R188&gt;=R$20,"OK","NOK")</f>
        <v>OK</v>
      </c>
      <c r="S189" s="17"/>
      <c r="T189" s="17" t="str">
        <f>IF(T188&gt;=T$20,"OK","NOK")</f>
        <v>OK</v>
      </c>
      <c r="U189" s="17" t="str">
        <f>IF(U188&gt;=U$20,"OK","NOK")</f>
        <v>OK</v>
      </c>
      <c r="V189" s="359"/>
      <c r="W189" s="382"/>
      <c r="X189" s="646"/>
      <c r="Y189" s="646"/>
      <c r="Z189" s="201"/>
      <c r="AA189" s="201"/>
      <c r="AB189" s="201"/>
      <c r="AC189" s="84"/>
      <c r="AE189" s="17"/>
      <c r="AF189" s="17"/>
      <c r="AG189" s="17"/>
      <c r="AH189" s="646"/>
      <c r="AI189" s="91"/>
      <c r="AK189" s="17"/>
      <c r="AL189" s="17"/>
      <c r="AM189" s="17"/>
      <c r="AN189" s="646"/>
      <c r="AO189" s="91"/>
      <c r="AQ189" s="17"/>
      <c r="AR189" s="17"/>
      <c r="AS189" s="17"/>
      <c r="AT189" s="646"/>
      <c r="AU189" s="91"/>
      <c r="AW189" s="17"/>
      <c r="AX189" s="17"/>
      <c r="AY189" s="17"/>
      <c r="AZ189" s="17"/>
      <c r="BA189" s="91"/>
    </row>
    <row r="190" spans="1:53" ht="17.100000000000001" customHeight="1" x14ac:dyDescent="0.25">
      <c r="A190" s="40"/>
      <c r="B190" s="41" t="s">
        <v>160</v>
      </c>
      <c r="C190" s="274" t="s">
        <v>597</v>
      </c>
      <c r="D190" s="43"/>
      <c r="E190" s="43"/>
      <c r="F190" s="43"/>
      <c r="G190" s="43"/>
      <c r="H190" s="23"/>
      <c r="I190" s="12"/>
      <c r="J190" s="73"/>
      <c r="K190" s="73"/>
      <c r="L190" s="73"/>
      <c r="M190" s="73"/>
      <c r="N190" s="73"/>
      <c r="O190" s="73"/>
      <c r="P190" s="73"/>
      <c r="Q190" s="73"/>
      <c r="R190" s="73"/>
      <c r="S190" s="73"/>
      <c r="T190" s="73"/>
      <c r="U190" s="73"/>
      <c r="V190" s="73"/>
      <c r="W190" s="73"/>
      <c r="X190" s="73"/>
      <c r="Y190" s="73"/>
      <c r="Z190" s="73"/>
      <c r="AA190" s="73"/>
      <c r="AB190" s="73"/>
      <c r="AC190" s="73"/>
      <c r="AE190" s="73"/>
      <c r="AF190" s="73"/>
      <c r="AG190" s="73"/>
      <c r="AH190" s="73"/>
      <c r="AI190" s="73"/>
      <c r="AK190" s="73"/>
      <c r="AL190" s="73"/>
      <c r="AM190" s="73"/>
      <c r="AN190" s="73"/>
      <c r="AO190" s="73"/>
      <c r="AQ190" s="73"/>
      <c r="AR190" s="73"/>
      <c r="AS190" s="73"/>
      <c r="AT190" s="73"/>
      <c r="AU190" s="73"/>
      <c r="AW190" s="73"/>
      <c r="AX190" s="73"/>
      <c r="AY190" s="73"/>
      <c r="AZ190" s="73"/>
      <c r="BA190" s="73"/>
    </row>
    <row r="191" spans="1:53" s="4" customFormat="1" ht="17.100000000000001" customHeight="1" x14ac:dyDescent="0.25">
      <c r="A191" s="102"/>
      <c r="B191" s="102"/>
      <c r="C191" s="74" t="s">
        <v>161</v>
      </c>
      <c r="D191" s="85" t="s">
        <v>9</v>
      </c>
      <c r="E191" s="75"/>
      <c r="F191" s="75"/>
      <c r="G191" s="105"/>
      <c r="H191" s="84"/>
      <c r="I191" s="231"/>
      <c r="J191" s="174"/>
      <c r="K191" s="174"/>
      <c r="L191" s="111"/>
      <c r="M191" s="111"/>
      <c r="N191" s="60"/>
      <c r="O191" s="60"/>
      <c r="P191" s="17">
        <f t="shared" ref="P191:P195" si="179">SUM(N191:O191)</f>
        <v>0</v>
      </c>
      <c r="Q191" s="60"/>
      <c r="R191" s="60"/>
      <c r="S191" s="17">
        <f t="shared" ref="S191:S195" si="180">SUM(Q191:R191)</f>
        <v>0</v>
      </c>
      <c r="T191" s="60"/>
      <c r="U191" s="60"/>
      <c r="V191" s="17">
        <f t="shared" ref="V191:V195" si="181">SUM(T191:U191)</f>
        <v>0</v>
      </c>
      <c r="W191" s="391">
        <f t="shared" ref="W191:W195" si="182">J191+K191+N191+Q191+T191</f>
        <v>0</v>
      </c>
      <c r="X191" s="17">
        <f t="shared" ref="X191:X195" si="183">L191+O191+R191+U191</f>
        <v>0</v>
      </c>
      <c r="Y191" s="18">
        <f t="shared" ref="Y191:Y195" si="184">SUM(W191:X191)</f>
        <v>0</v>
      </c>
      <c r="Z191" s="19">
        <f>IF(Y$196=0,0,Y191/Y$196)</f>
        <v>0</v>
      </c>
      <c r="AA191" s="19"/>
      <c r="AB191" s="19"/>
      <c r="AC191" s="20"/>
      <c r="AE191" s="111"/>
      <c r="AF191" s="111"/>
      <c r="AG191" s="111"/>
      <c r="AH191" s="651"/>
      <c r="AI191" s="131"/>
      <c r="AJ191" s="3"/>
      <c r="AK191" s="111"/>
      <c r="AL191" s="111"/>
      <c r="AM191" s="111"/>
      <c r="AN191" s="651"/>
      <c r="AO191" s="131"/>
      <c r="AP191" s="3"/>
      <c r="AQ191" s="17"/>
      <c r="AR191" s="17"/>
      <c r="AS191" s="17"/>
      <c r="AT191" s="424">
        <f>W191</f>
        <v>0</v>
      </c>
      <c r="AU191" s="19">
        <f>IF(AT$196=0,0,AT191/AT$196)</f>
        <v>0</v>
      </c>
      <c r="AV191" s="3"/>
      <c r="AW191" s="17"/>
      <c r="AX191" s="17"/>
      <c r="AY191" s="17"/>
      <c r="AZ191" s="424">
        <f>X191</f>
        <v>0</v>
      </c>
      <c r="BA191" s="19">
        <f>IF(AZ$196=0,0,AZ191/AZ$196)</f>
        <v>0</v>
      </c>
    </row>
    <row r="192" spans="1:53" s="4" customFormat="1" ht="17.100000000000001" customHeight="1" x14ac:dyDescent="0.25">
      <c r="A192" s="102"/>
      <c r="B192" s="102"/>
      <c r="C192" s="74" t="s">
        <v>163</v>
      </c>
      <c r="D192" s="85" t="s">
        <v>11</v>
      </c>
      <c r="E192" s="75"/>
      <c r="F192" s="75"/>
      <c r="G192" s="105"/>
      <c r="H192" s="84"/>
      <c r="I192" s="231"/>
      <c r="J192" s="174"/>
      <c r="K192" s="174"/>
      <c r="L192" s="111"/>
      <c r="M192" s="111"/>
      <c r="N192" s="61"/>
      <c r="O192" s="61"/>
      <c r="P192" s="17">
        <f t="shared" si="179"/>
        <v>0</v>
      </c>
      <c r="Q192" s="61"/>
      <c r="R192" s="61"/>
      <c r="S192" s="17">
        <f t="shared" si="180"/>
        <v>0</v>
      </c>
      <c r="T192" s="61"/>
      <c r="U192" s="61"/>
      <c r="V192" s="17">
        <f t="shared" si="181"/>
        <v>0</v>
      </c>
      <c r="W192" s="391">
        <f t="shared" si="182"/>
        <v>0</v>
      </c>
      <c r="X192" s="17">
        <f t="shared" si="183"/>
        <v>0</v>
      </c>
      <c r="Y192" s="18">
        <f t="shared" si="184"/>
        <v>0</v>
      </c>
      <c r="Z192" s="19">
        <f t="shared" ref="Z192:Z196" si="185">IF(Y$196=0,0,Y192/Y$196)</f>
        <v>0</v>
      </c>
      <c r="AA192" s="19"/>
      <c r="AB192" s="19"/>
      <c r="AC192" s="20"/>
      <c r="AE192" s="111"/>
      <c r="AF192" s="111"/>
      <c r="AG192" s="111"/>
      <c r="AH192" s="651"/>
      <c r="AI192" s="131"/>
      <c r="AJ192" s="3"/>
      <c r="AK192" s="111"/>
      <c r="AL192" s="111"/>
      <c r="AM192" s="111"/>
      <c r="AN192" s="651"/>
      <c r="AO192" s="131"/>
      <c r="AP192" s="3"/>
      <c r="AQ192" s="17"/>
      <c r="AR192" s="17"/>
      <c r="AS192" s="17"/>
      <c r="AT192" s="424">
        <f t="shared" ref="AT192:AT195" si="186">W192</f>
        <v>0</v>
      </c>
      <c r="AU192" s="19">
        <f t="shared" ref="AU192:AU196" si="187">IF(AT$196=0,0,AT192/AT$196)</f>
        <v>0</v>
      </c>
      <c r="AV192" s="3"/>
      <c r="AW192" s="17"/>
      <c r="AX192" s="17"/>
      <c r="AY192" s="17"/>
      <c r="AZ192" s="424">
        <f t="shared" ref="AZ192:AZ195" si="188">X192</f>
        <v>0</v>
      </c>
      <c r="BA192" s="19">
        <f t="shared" ref="BA192:BA196" si="189">IF(AZ$196=0,0,AZ192/AZ$196)</f>
        <v>0</v>
      </c>
    </row>
    <row r="193" spans="1:53" s="4" customFormat="1" ht="17.100000000000001" customHeight="1" x14ac:dyDescent="0.25">
      <c r="A193" s="102"/>
      <c r="B193" s="102"/>
      <c r="C193" s="74" t="s">
        <v>164</v>
      </c>
      <c r="D193" s="85" t="s">
        <v>129</v>
      </c>
      <c r="E193" s="75"/>
      <c r="F193" s="75"/>
      <c r="G193" s="105"/>
      <c r="H193" s="84"/>
      <c r="I193" s="231"/>
      <c r="J193" s="174"/>
      <c r="K193" s="174"/>
      <c r="L193" s="111"/>
      <c r="M193" s="111"/>
      <c r="N193" s="60"/>
      <c r="O193" s="60"/>
      <c r="P193" s="17">
        <f t="shared" si="179"/>
        <v>0</v>
      </c>
      <c r="Q193" s="60"/>
      <c r="R193" s="60"/>
      <c r="S193" s="17">
        <f t="shared" si="180"/>
        <v>0</v>
      </c>
      <c r="T193" s="60"/>
      <c r="U193" s="60"/>
      <c r="V193" s="17">
        <f t="shared" si="181"/>
        <v>0</v>
      </c>
      <c r="W193" s="391">
        <f t="shared" si="182"/>
        <v>0</v>
      </c>
      <c r="X193" s="17">
        <f t="shared" si="183"/>
        <v>0</v>
      </c>
      <c r="Y193" s="18">
        <f t="shared" si="184"/>
        <v>0</v>
      </c>
      <c r="Z193" s="19">
        <f t="shared" si="185"/>
        <v>0</v>
      </c>
      <c r="AA193" s="19"/>
      <c r="AB193" s="19"/>
      <c r="AC193" s="20"/>
      <c r="AE193" s="111"/>
      <c r="AF193" s="111"/>
      <c r="AG193" s="111"/>
      <c r="AH193" s="651"/>
      <c r="AI193" s="131"/>
      <c r="AJ193" s="3"/>
      <c r="AK193" s="111"/>
      <c r="AL193" s="111"/>
      <c r="AM193" s="111"/>
      <c r="AN193" s="651"/>
      <c r="AO193" s="131"/>
      <c r="AP193" s="3"/>
      <c r="AQ193" s="17"/>
      <c r="AR193" s="17"/>
      <c r="AS193" s="17"/>
      <c r="AT193" s="424">
        <f t="shared" si="186"/>
        <v>0</v>
      </c>
      <c r="AU193" s="19">
        <f t="shared" si="187"/>
        <v>0</v>
      </c>
      <c r="AV193" s="3"/>
      <c r="AW193" s="17"/>
      <c r="AX193" s="17"/>
      <c r="AY193" s="17"/>
      <c r="AZ193" s="424">
        <f t="shared" si="188"/>
        <v>0</v>
      </c>
      <c r="BA193" s="19">
        <f t="shared" si="189"/>
        <v>0</v>
      </c>
    </row>
    <row r="194" spans="1:53" s="4" customFormat="1" ht="17.100000000000001" customHeight="1" x14ac:dyDescent="0.25">
      <c r="A194" s="102"/>
      <c r="B194" s="102"/>
      <c r="C194" s="74" t="s">
        <v>166</v>
      </c>
      <c r="D194" s="85" t="s">
        <v>599</v>
      </c>
      <c r="E194" s="75"/>
      <c r="F194" s="75"/>
      <c r="G194" s="105"/>
      <c r="H194" s="84"/>
      <c r="I194" s="231"/>
      <c r="J194" s="174"/>
      <c r="K194" s="174"/>
      <c r="L194" s="111"/>
      <c r="M194" s="111"/>
      <c r="N194" s="61"/>
      <c r="O194" s="61"/>
      <c r="P194" s="17">
        <f t="shared" si="179"/>
        <v>0</v>
      </c>
      <c r="Q194" s="61"/>
      <c r="R194" s="61"/>
      <c r="S194" s="17">
        <f t="shared" si="180"/>
        <v>0</v>
      </c>
      <c r="T194" s="61"/>
      <c r="U194" s="61"/>
      <c r="V194" s="17">
        <f t="shared" si="181"/>
        <v>0</v>
      </c>
      <c r="W194" s="391">
        <f t="shared" si="182"/>
        <v>0</v>
      </c>
      <c r="X194" s="17">
        <f t="shared" si="183"/>
        <v>0</v>
      </c>
      <c r="Y194" s="18">
        <f t="shared" si="184"/>
        <v>0</v>
      </c>
      <c r="Z194" s="19">
        <f t="shared" si="185"/>
        <v>0</v>
      </c>
      <c r="AA194" s="19"/>
      <c r="AB194" s="19"/>
      <c r="AC194" s="20"/>
      <c r="AE194" s="111"/>
      <c r="AF194" s="111"/>
      <c r="AG194" s="111"/>
      <c r="AH194" s="651"/>
      <c r="AI194" s="131"/>
      <c r="AJ194" s="3"/>
      <c r="AK194" s="111"/>
      <c r="AL194" s="111"/>
      <c r="AM194" s="111"/>
      <c r="AN194" s="651"/>
      <c r="AO194" s="131"/>
      <c r="AP194" s="3"/>
      <c r="AQ194" s="17"/>
      <c r="AR194" s="17"/>
      <c r="AS194" s="17"/>
      <c r="AT194" s="424">
        <f t="shared" si="186"/>
        <v>0</v>
      </c>
      <c r="AU194" s="19">
        <f t="shared" si="187"/>
        <v>0</v>
      </c>
      <c r="AV194" s="3"/>
      <c r="AW194" s="17"/>
      <c r="AX194" s="17"/>
      <c r="AY194" s="17"/>
      <c r="AZ194" s="424">
        <f t="shared" si="188"/>
        <v>0</v>
      </c>
      <c r="BA194" s="19">
        <f t="shared" si="189"/>
        <v>0</v>
      </c>
    </row>
    <row r="195" spans="1:53" s="4" customFormat="1" ht="17.100000000000001" customHeight="1" x14ac:dyDescent="0.25">
      <c r="A195" s="102"/>
      <c r="B195" s="102"/>
      <c r="C195" s="74" t="s">
        <v>168</v>
      </c>
      <c r="D195" s="75" t="s">
        <v>600</v>
      </c>
      <c r="E195" s="75"/>
      <c r="F195" s="75"/>
      <c r="G195" s="105"/>
      <c r="H195" s="84"/>
      <c r="I195" s="231"/>
      <c r="J195" s="174"/>
      <c r="K195" s="174"/>
      <c r="L195" s="111"/>
      <c r="M195" s="111"/>
      <c r="N195" s="60"/>
      <c r="O195" s="60"/>
      <c r="P195" s="17">
        <f t="shared" si="179"/>
        <v>0</v>
      </c>
      <c r="Q195" s="60"/>
      <c r="R195" s="60"/>
      <c r="S195" s="17">
        <f t="shared" si="180"/>
        <v>0</v>
      </c>
      <c r="T195" s="60"/>
      <c r="U195" s="60"/>
      <c r="V195" s="17">
        <f t="shared" si="181"/>
        <v>0</v>
      </c>
      <c r="W195" s="391">
        <f t="shared" si="182"/>
        <v>0</v>
      </c>
      <c r="X195" s="17">
        <f t="shared" si="183"/>
        <v>0</v>
      </c>
      <c r="Y195" s="18">
        <f t="shared" si="184"/>
        <v>0</v>
      </c>
      <c r="Z195" s="19">
        <f t="shared" si="185"/>
        <v>0</v>
      </c>
      <c r="AA195" s="19"/>
      <c r="AB195" s="19"/>
      <c r="AC195" s="20"/>
      <c r="AE195" s="111"/>
      <c r="AF195" s="111"/>
      <c r="AG195" s="111"/>
      <c r="AH195" s="651"/>
      <c r="AI195" s="131"/>
      <c r="AJ195" s="3"/>
      <c r="AK195" s="111"/>
      <c r="AL195" s="111"/>
      <c r="AM195" s="111"/>
      <c r="AN195" s="651"/>
      <c r="AO195" s="131"/>
      <c r="AP195" s="3"/>
      <c r="AQ195" s="17"/>
      <c r="AR195" s="17"/>
      <c r="AS195" s="17"/>
      <c r="AT195" s="424">
        <f t="shared" si="186"/>
        <v>0</v>
      </c>
      <c r="AU195" s="19">
        <f t="shared" si="187"/>
        <v>0</v>
      </c>
      <c r="AV195" s="3"/>
      <c r="AW195" s="17"/>
      <c r="AX195" s="17"/>
      <c r="AY195" s="17"/>
      <c r="AZ195" s="424">
        <f t="shared" si="188"/>
        <v>0</v>
      </c>
      <c r="BA195" s="19">
        <f t="shared" si="189"/>
        <v>0</v>
      </c>
    </row>
    <row r="196" spans="1:53" ht="17.100000000000001" customHeight="1" x14ac:dyDescent="0.25">
      <c r="A196" s="40"/>
      <c r="B196" s="40"/>
      <c r="C196" s="292"/>
      <c r="D196" s="144"/>
      <c r="E196" s="144"/>
      <c r="F196" s="145"/>
      <c r="G196" s="145"/>
      <c r="H196" s="119"/>
      <c r="I196" s="138"/>
      <c r="J196" s="64"/>
      <c r="K196" s="64"/>
      <c r="L196" s="81"/>
      <c r="M196" s="81"/>
      <c r="N196" s="81">
        <f>SUM(N191:N195)</f>
        <v>0</v>
      </c>
      <c r="O196" s="81">
        <f t="shared" ref="O196:V196" si="190">SUM(O191:O195)</f>
        <v>0</v>
      </c>
      <c r="P196" s="81">
        <f t="shared" si="190"/>
        <v>0</v>
      </c>
      <c r="Q196" s="81">
        <f t="shared" si="190"/>
        <v>0</v>
      </c>
      <c r="R196" s="81">
        <f t="shared" si="190"/>
        <v>0</v>
      </c>
      <c r="S196" s="81">
        <f t="shared" si="190"/>
        <v>0</v>
      </c>
      <c r="T196" s="81">
        <f t="shared" si="190"/>
        <v>0</v>
      </c>
      <c r="U196" s="81">
        <f t="shared" si="190"/>
        <v>0</v>
      </c>
      <c r="V196" s="81">
        <f t="shared" si="190"/>
        <v>0</v>
      </c>
      <c r="W196" s="82">
        <f>SUM(W191:W195)</f>
        <v>0</v>
      </c>
      <c r="X196" s="82">
        <f t="shared" ref="X196:Y196" si="191">SUM(X191:X195)</f>
        <v>0</v>
      </c>
      <c r="Y196" s="82">
        <f t="shared" si="191"/>
        <v>0</v>
      </c>
      <c r="Z196" s="66">
        <f t="shared" si="185"/>
        <v>0</v>
      </c>
      <c r="AA196" s="66"/>
      <c r="AB196" s="66"/>
      <c r="AC196" s="83"/>
      <c r="AE196" s="81"/>
      <c r="AF196" s="81"/>
      <c r="AG196" s="82"/>
      <c r="AH196" s="82"/>
      <c r="AI196" s="66"/>
      <c r="AK196" s="81"/>
      <c r="AL196" s="81"/>
      <c r="AM196" s="82"/>
      <c r="AN196" s="82"/>
      <c r="AO196" s="66"/>
      <c r="AQ196" s="81"/>
      <c r="AR196" s="81"/>
      <c r="AS196" s="82"/>
      <c r="AT196" s="81">
        <f>SUM(AT191:AT195)</f>
        <v>0</v>
      </c>
      <c r="AU196" s="66">
        <f t="shared" si="187"/>
        <v>0</v>
      </c>
      <c r="AW196" s="81"/>
      <c r="AX196" s="81"/>
      <c r="AY196" s="82"/>
      <c r="AZ196" s="81">
        <f>SUM(AZ191:AZ195)</f>
        <v>0</v>
      </c>
      <c r="BA196" s="66">
        <f t="shared" si="189"/>
        <v>0</v>
      </c>
    </row>
    <row r="197" spans="1:53" s="117" customFormat="1" ht="17.100000000000001" customHeight="1" x14ac:dyDescent="0.25">
      <c r="A197" s="119"/>
      <c r="B197" s="119"/>
      <c r="C197" s="647"/>
      <c r="D197" s="212"/>
      <c r="E197" s="212"/>
      <c r="F197" s="212"/>
      <c r="G197" s="212"/>
      <c r="H197" s="242"/>
      <c r="I197" s="230"/>
      <c r="J197" s="17"/>
      <c r="K197" s="17"/>
      <c r="L197" s="17"/>
      <c r="M197" s="17"/>
      <c r="N197" s="17" t="str">
        <f>IF(N196=N$20,"OK","NOK")</f>
        <v>OK</v>
      </c>
      <c r="O197" s="17" t="str">
        <f>IF(O196=O$20,"OK","NOK")</f>
        <v>OK</v>
      </c>
      <c r="P197" s="17"/>
      <c r="Q197" s="17" t="str">
        <f>IF(Q196&gt;=Q$20,"OK","NOK")</f>
        <v>OK</v>
      </c>
      <c r="R197" s="17" t="str">
        <f>IF(R196&gt;=R$20,"OK","NOK")</f>
        <v>OK</v>
      </c>
      <c r="S197" s="17"/>
      <c r="T197" s="17" t="str">
        <f>IF(T196&gt;=T$20,"OK","NOK")</f>
        <v>OK</v>
      </c>
      <c r="U197" s="17" t="str">
        <f>IF(U196&gt;=U$20,"OK","NOK")</f>
        <v>OK</v>
      </c>
      <c r="V197" s="359"/>
      <c r="W197" s="382"/>
      <c r="X197" s="646"/>
      <c r="Y197" s="646"/>
      <c r="Z197" s="201"/>
      <c r="AA197" s="201"/>
      <c r="AB197" s="201"/>
      <c r="AC197" s="84"/>
      <c r="AE197" s="17"/>
      <c r="AF197" s="17"/>
      <c r="AG197" s="17"/>
      <c r="AH197" s="646"/>
      <c r="AI197" s="91"/>
      <c r="AK197" s="17"/>
      <c r="AL197" s="17"/>
      <c r="AM197" s="17"/>
      <c r="AN197" s="646"/>
      <c r="AO197" s="91"/>
      <c r="AQ197" s="17"/>
      <c r="AR197" s="17"/>
      <c r="AS197" s="17"/>
      <c r="AT197" s="646"/>
      <c r="AU197" s="91"/>
      <c r="AW197" s="17"/>
      <c r="AX197" s="17"/>
      <c r="AY197" s="17"/>
      <c r="AZ197" s="17"/>
      <c r="BA197" s="91"/>
    </row>
    <row r="198" spans="1:53" ht="17.100000000000001" customHeight="1" x14ac:dyDescent="0.25">
      <c r="A198" s="40"/>
      <c r="B198" s="41" t="s">
        <v>171</v>
      </c>
      <c r="C198" s="42" t="s">
        <v>601</v>
      </c>
      <c r="D198" s="43"/>
      <c r="E198" s="43"/>
      <c r="F198" s="43"/>
      <c r="G198" s="43"/>
      <c r="H198" s="23"/>
      <c r="I198" s="12"/>
      <c r="J198" s="73"/>
      <c r="K198" s="73"/>
      <c r="L198" s="73"/>
      <c r="M198" s="73"/>
      <c r="N198" s="71">
        <f>N191</f>
        <v>0</v>
      </c>
      <c r="O198" s="71">
        <f t="shared" ref="O198:U198" si="192">O191</f>
        <v>0</v>
      </c>
      <c r="P198" s="71"/>
      <c r="Q198" s="71">
        <f t="shared" si="192"/>
        <v>0</v>
      </c>
      <c r="R198" s="71">
        <f t="shared" si="192"/>
        <v>0</v>
      </c>
      <c r="S198" s="71"/>
      <c r="T198" s="71">
        <f t="shared" si="192"/>
        <v>0</v>
      </c>
      <c r="U198" s="71">
        <f t="shared" si="192"/>
        <v>0</v>
      </c>
      <c r="V198" s="71"/>
      <c r="W198" s="73"/>
      <c r="X198" s="73"/>
      <c r="Y198" s="73"/>
      <c r="Z198" s="73"/>
      <c r="AA198" s="73"/>
      <c r="AB198" s="73"/>
      <c r="AC198" s="73"/>
      <c r="AE198" s="73"/>
      <c r="AF198" s="73"/>
      <c r="AG198" s="73"/>
      <c r="AH198" s="73"/>
      <c r="AI198" s="73"/>
      <c r="AK198" s="73"/>
      <c r="AL198" s="73"/>
      <c r="AM198" s="73"/>
      <c r="AN198" s="73"/>
      <c r="AO198" s="73"/>
      <c r="AQ198" s="73"/>
      <c r="AR198" s="73"/>
      <c r="AS198" s="73"/>
      <c r="AT198" s="73"/>
      <c r="AU198" s="73"/>
      <c r="AW198" s="73"/>
      <c r="AX198" s="73"/>
      <c r="AY198" s="73"/>
      <c r="AZ198" s="73"/>
      <c r="BA198" s="73"/>
    </row>
    <row r="199" spans="1:53" s="4" customFormat="1" ht="17.100000000000001" customHeight="1" x14ac:dyDescent="0.25">
      <c r="A199" s="40"/>
      <c r="B199" s="40"/>
      <c r="C199" s="141" t="s">
        <v>172</v>
      </c>
      <c r="D199" s="648" t="s">
        <v>479</v>
      </c>
      <c r="E199" s="75"/>
      <c r="F199" s="75"/>
      <c r="G199" s="649"/>
      <c r="H199" s="254"/>
      <c r="I199" s="207"/>
      <c r="J199" s="174"/>
      <c r="K199" s="174"/>
      <c r="L199" s="111"/>
      <c r="M199" s="111"/>
      <c r="N199" s="60"/>
      <c r="O199" s="60"/>
      <c r="P199" s="17">
        <f t="shared" ref="P199:P203" si="193">SUM(N199:O199)</f>
        <v>0</v>
      </c>
      <c r="Q199" s="60"/>
      <c r="R199" s="60"/>
      <c r="S199" s="17">
        <f t="shared" ref="S199:S203" si="194">SUM(Q199:R199)</f>
        <v>0</v>
      </c>
      <c r="T199" s="60"/>
      <c r="U199" s="60"/>
      <c r="V199" s="17">
        <f t="shared" ref="V199:V203" si="195">SUM(T199:U199)</f>
        <v>0</v>
      </c>
      <c r="W199" s="391">
        <f t="shared" ref="W199:W207" si="196">J199+K199+N199+Q199+T199</f>
        <v>0</v>
      </c>
      <c r="X199" s="17">
        <f t="shared" ref="X199:X207" si="197">L199+O199+R199+U199</f>
        <v>0</v>
      </c>
      <c r="Y199" s="18">
        <f t="shared" ref="Y199:Y207" si="198">SUM(W199:X199)</f>
        <v>0</v>
      </c>
      <c r="Z199" s="19">
        <f>IF(Y$208=0,0,Y199/Y$208)</f>
        <v>0</v>
      </c>
      <c r="AA199" s="19"/>
      <c r="AB199" s="19"/>
      <c r="AC199" s="20"/>
      <c r="AE199" s="111"/>
      <c r="AF199" s="111"/>
      <c r="AG199" s="111"/>
      <c r="AH199" s="651"/>
      <c r="AI199" s="131"/>
      <c r="AJ199" s="3"/>
      <c r="AK199" s="111"/>
      <c r="AL199" s="111"/>
      <c r="AM199" s="111"/>
      <c r="AN199" s="651"/>
      <c r="AO199" s="131"/>
      <c r="AP199" s="3"/>
      <c r="AQ199" s="17"/>
      <c r="AR199" s="17"/>
      <c r="AS199" s="17"/>
      <c r="AT199" s="424">
        <f>W199</f>
        <v>0</v>
      </c>
      <c r="AU199" s="19">
        <f>IF(AT$208=0,0,AT199/AT$208)</f>
        <v>0</v>
      </c>
      <c r="AV199" s="3"/>
      <c r="AW199" s="17"/>
      <c r="AX199" s="17"/>
      <c r="AY199" s="17"/>
      <c r="AZ199" s="424">
        <f>X199</f>
        <v>0</v>
      </c>
      <c r="BA199" s="19">
        <f>IF(AZ$208=0,0,AZ199/AZ$208)</f>
        <v>0</v>
      </c>
    </row>
    <row r="200" spans="1:53" s="4" customFormat="1" ht="17.100000000000001" customHeight="1" x14ac:dyDescent="0.25">
      <c r="A200" s="40"/>
      <c r="B200" s="40"/>
      <c r="C200" s="141" t="s">
        <v>174</v>
      </c>
      <c r="D200" s="85" t="s">
        <v>405</v>
      </c>
      <c r="E200" s="75"/>
      <c r="F200" s="75"/>
      <c r="G200" s="649"/>
      <c r="H200" s="254"/>
      <c r="I200" s="207"/>
      <c r="J200" s="174"/>
      <c r="K200" s="174"/>
      <c r="L200" s="111"/>
      <c r="M200" s="111"/>
      <c r="N200" s="61"/>
      <c r="O200" s="61"/>
      <c r="P200" s="17">
        <f t="shared" si="193"/>
        <v>0</v>
      </c>
      <c r="Q200" s="61"/>
      <c r="R200" s="61"/>
      <c r="S200" s="17">
        <f t="shared" si="194"/>
        <v>0</v>
      </c>
      <c r="T200" s="61"/>
      <c r="U200" s="61"/>
      <c r="V200" s="17">
        <f t="shared" si="195"/>
        <v>0</v>
      </c>
      <c r="W200" s="391">
        <f t="shared" si="196"/>
        <v>0</v>
      </c>
      <c r="X200" s="17">
        <f t="shared" si="197"/>
        <v>0</v>
      </c>
      <c r="Y200" s="18">
        <f t="shared" si="198"/>
        <v>0</v>
      </c>
      <c r="Z200" s="19">
        <f t="shared" ref="Z200:Z208" si="199">IF(Y$208=0,0,Y200/Y$208)</f>
        <v>0</v>
      </c>
      <c r="AA200" s="19"/>
      <c r="AB200" s="19"/>
      <c r="AC200" s="20"/>
      <c r="AE200" s="111"/>
      <c r="AF200" s="111"/>
      <c r="AG200" s="111"/>
      <c r="AH200" s="651"/>
      <c r="AI200" s="131"/>
      <c r="AJ200" s="3"/>
      <c r="AK200" s="111"/>
      <c r="AL200" s="111"/>
      <c r="AM200" s="111"/>
      <c r="AN200" s="651"/>
      <c r="AO200" s="131"/>
      <c r="AP200" s="3"/>
      <c r="AQ200" s="17"/>
      <c r="AR200" s="17"/>
      <c r="AS200" s="17"/>
      <c r="AT200" s="424">
        <f t="shared" ref="AT200:AT207" si="200">W200</f>
        <v>0</v>
      </c>
      <c r="AU200" s="19">
        <f t="shared" ref="AU200:AU203" si="201">IF(AT$208=0,0,AT200/AT$208)</f>
        <v>0</v>
      </c>
      <c r="AV200" s="3"/>
      <c r="AW200" s="17"/>
      <c r="AX200" s="17"/>
      <c r="AY200" s="17"/>
      <c r="AZ200" s="424">
        <f t="shared" ref="AZ200:AZ207" si="202">X200</f>
        <v>0</v>
      </c>
      <c r="BA200" s="19">
        <f t="shared" ref="BA200:BA208" si="203">IF(AZ$208=0,0,AZ200/AZ$208)</f>
        <v>0</v>
      </c>
    </row>
    <row r="201" spans="1:53" s="4" customFormat="1" ht="17.100000000000001" customHeight="1" x14ac:dyDescent="0.25">
      <c r="A201" s="40"/>
      <c r="B201" s="40"/>
      <c r="C201" s="141" t="s">
        <v>175</v>
      </c>
      <c r="D201" s="85" t="s">
        <v>480</v>
      </c>
      <c r="E201" s="75"/>
      <c r="F201" s="75"/>
      <c r="G201" s="649"/>
      <c r="H201" s="254"/>
      <c r="I201" s="207"/>
      <c r="J201" s="174"/>
      <c r="K201" s="174"/>
      <c r="L201" s="111"/>
      <c r="M201" s="111"/>
      <c r="N201" s="60"/>
      <c r="O201" s="60"/>
      <c r="P201" s="17">
        <f t="shared" si="193"/>
        <v>0</v>
      </c>
      <c r="Q201" s="60"/>
      <c r="R201" s="60"/>
      <c r="S201" s="17">
        <f t="shared" si="194"/>
        <v>0</v>
      </c>
      <c r="T201" s="60"/>
      <c r="U201" s="60"/>
      <c r="V201" s="17">
        <f t="shared" si="195"/>
        <v>0</v>
      </c>
      <c r="W201" s="391">
        <f t="shared" si="196"/>
        <v>0</v>
      </c>
      <c r="X201" s="17">
        <f t="shared" si="197"/>
        <v>0</v>
      </c>
      <c r="Y201" s="18">
        <f t="shared" si="198"/>
        <v>0</v>
      </c>
      <c r="Z201" s="19">
        <f t="shared" si="199"/>
        <v>0</v>
      </c>
      <c r="AA201" s="19"/>
      <c r="AB201" s="19"/>
      <c r="AC201" s="20"/>
      <c r="AE201" s="111"/>
      <c r="AF201" s="111"/>
      <c r="AG201" s="111"/>
      <c r="AH201" s="651"/>
      <c r="AI201" s="131"/>
      <c r="AJ201" s="3"/>
      <c r="AK201" s="111"/>
      <c r="AL201" s="111"/>
      <c r="AM201" s="111"/>
      <c r="AN201" s="651"/>
      <c r="AO201" s="131"/>
      <c r="AP201" s="3"/>
      <c r="AQ201" s="17"/>
      <c r="AR201" s="17"/>
      <c r="AS201" s="17"/>
      <c r="AT201" s="424">
        <f t="shared" si="200"/>
        <v>0</v>
      </c>
      <c r="AU201" s="19">
        <f t="shared" si="201"/>
        <v>0</v>
      </c>
      <c r="AV201" s="3"/>
      <c r="AW201" s="17"/>
      <c r="AX201" s="17"/>
      <c r="AY201" s="17"/>
      <c r="AZ201" s="424">
        <f t="shared" si="202"/>
        <v>0</v>
      </c>
      <c r="BA201" s="19">
        <f t="shared" si="203"/>
        <v>0</v>
      </c>
    </row>
    <row r="202" spans="1:53" s="4" customFormat="1" ht="17.100000000000001" customHeight="1" x14ac:dyDescent="0.25">
      <c r="A202" s="40"/>
      <c r="B202" s="40"/>
      <c r="C202" s="141" t="s">
        <v>176</v>
      </c>
      <c r="D202" s="648" t="s">
        <v>481</v>
      </c>
      <c r="E202" s="75"/>
      <c r="F202" s="75"/>
      <c r="G202" s="649"/>
      <c r="H202" s="254"/>
      <c r="I202" s="207"/>
      <c r="J202" s="174"/>
      <c r="K202" s="174"/>
      <c r="L202" s="111"/>
      <c r="M202" s="111"/>
      <c r="N202" s="61"/>
      <c r="O202" s="61"/>
      <c r="P202" s="17">
        <f t="shared" si="193"/>
        <v>0</v>
      </c>
      <c r="Q202" s="61"/>
      <c r="R202" s="61"/>
      <c r="S202" s="17">
        <f t="shared" si="194"/>
        <v>0</v>
      </c>
      <c r="T202" s="61"/>
      <c r="U202" s="61"/>
      <c r="V202" s="17">
        <f t="shared" si="195"/>
        <v>0</v>
      </c>
      <c r="W202" s="391">
        <f t="shared" si="196"/>
        <v>0</v>
      </c>
      <c r="X202" s="17">
        <f t="shared" si="197"/>
        <v>0</v>
      </c>
      <c r="Y202" s="18">
        <f t="shared" si="198"/>
        <v>0</v>
      </c>
      <c r="Z202" s="19">
        <f t="shared" si="199"/>
        <v>0</v>
      </c>
      <c r="AA202" s="19"/>
      <c r="AB202" s="19"/>
      <c r="AC202" s="20"/>
      <c r="AE202" s="111"/>
      <c r="AF202" s="111"/>
      <c r="AG202" s="111"/>
      <c r="AH202" s="651"/>
      <c r="AI202" s="131"/>
      <c r="AJ202" s="3"/>
      <c r="AK202" s="111"/>
      <c r="AL202" s="111"/>
      <c r="AM202" s="111"/>
      <c r="AN202" s="651"/>
      <c r="AO202" s="131"/>
      <c r="AP202" s="3"/>
      <c r="AQ202" s="17"/>
      <c r="AR202" s="17"/>
      <c r="AS202" s="17"/>
      <c r="AT202" s="424">
        <f t="shared" si="200"/>
        <v>0</v>
      </c>
      <c r="AU202" s="19">
        <f t="shared" si="201"/>
        <v>0</v>
      </c>
      <c r="AV202" s="3"/>
      <c r="AW202" s="17"/>
      <c r="AX202" s="17"/>
      <c r="AY202" s="17"/>
      <c r="AZ202" s="424">
        <f t="shared" si="202"/>
        <v>0</v>
      </c>
      <c r="BA202" s="19">
        <f t="shared" si="203"/>
        <v>0</v>
      </c>
    </row>
    <row r="203" spans="1:53" s="4" customFormat="1" ht="17.100000000000001" customHeight="1" x14ac:dyDescent="0.25">
      <c r="A203" s="40"/>
      <c r="B203" s="40"/>
      <c r="C203" s="282" t="s">
        <v>177</v>
      </c>
      <c r="D203" s="648" t="s">
        <v>109</v>
      </c>
      <c r="E203" s="650"/>
      <c r="F203" s="650"/>
      <c r="G203" s="649"/>
      <c r="H203" s="254"/>
      <c r="I203" s="207"/>
      <c r="J203" s="111"/>
      <c r="K203" s="111"/>
      <c r="L203" s="111"/>
      <c r="M203" s="111"/>
      <c r="N203" s="111">
        <f>SUM(N204:N206)</f>
        <v>0</v>
      </c>
      <c r="O203" s="111">
        <f t="shared" ref="O203:U203" si="204">SUM(O204:O206)</f>
        <v>0</v>
      </c>
      <c r="P203" s="111">
        <f t="shared" si="193"/>
        <v>0</v>
      </c>
      <c r="Q203" s="111">
        <f t="shared" si="204"/>
        <v>0</v>
      </c>
      <c r="R203" s="111">
        <f t="shared" si="204"/>
        <v>0</v>
      </c>
      <c r="S203" s="111">
        <f t="shared" si="194"/>
        <v>0</v>
      </c>
      <c r="T203" s="111">
        <f t="shared" si="204"/>
        <v>0</v>
      </c>
      <c r="U203" s="111">
        <f t="shared" si="204"/>
        <v>0</v>
      </c>
      <c r="V203" s="111">
        <f t="shared" si="195"/>
        <v>0</v>
      </c>
      <c r="W203" s="380">
        <f t="shared" si="196"/>
        <v>0</v>
      </c>
      <c r="X203" s="111">
        <f t="shared" si="197"/>
        <v>0</v>
      </c>
      <c r="Y203" s="651">
        <f t="shared" si="198"/>
        <v>0</v>
      </c>
      <c r="Z203" s="131">
        <f t="shared" si="199"/>
        <v>0</v>
      </c>
      <c r="AA203" s="131"/>
      <c r="AB203" s="131"/>
      <c r="AC203" s="113"/>
      <c r="AE203" s="111"/>
      <c r="AF203" s="111"/>
      <c r="AG203" s="111"/>
      <c r="AH203" s="651"/>
      <c r="AI203" s="131"/>
      <c r="AJ203" s="3"/>
      <c r="AK203" s="111"/>
      <c r="AL203" s="111"/>
      <c r="AM203" s="111"/>
      <c r="AN203" s="651"/>
      <c r="AO203" s="131"/>
      <c r="AP203" s="3"/>
      <c r="AQ203" s="111"/>
      <c r="AR203" s="111"/>
      <c r="AS203" s="111"/>
      <c r="AT203" s="111">
        <f t="shared" si="200"/>
        <v>0</v>
      </c>
      <c r="AU203" s="131">
        <f t="shared" si="201"/>
        <v>0</v>
      </c>
      <c r="AV203" s="3"/>
      <c r="AW203" s="111"/>
      <c r="AX203" s="111"/>
      <c r="AY203" s="111"/>
      <c r="AZ203" s="111">
        <f t="shared" si="202"/>
        <v>0</v>
      </c>
      <c r="BA203" s="131">
        <f t="shared" si="203"/>
        <v>0</v>
      </c>
    </row>
    <row r="204" spans="1:53" s="4" customFormat="1" ht="16.5" customHeight="1" x14ac:dyDescent="0.25">
      <c r="A204" s="40"/>
      <c r="B204" s="40"/>
      <c r="C204" s="56"/>
      <c r="D204" s="294"/>
      <c r="E204" s="295"/>
      <c r="F204" s="295"/>
      <c r="G204" s="295"/>
      <c r="H204" s="198"/>
      <c r="I204" s="642"/>
      <c r="J204" s="174"/>
      <c r="K204" s="174"/>
      <c r="L204" s="111"/>
      <c r="M204" s="111"/>
      <c r="N204" s="60"/>
      <c r="O204" s="60"/>
      <c r="P204" s="17"/>
      <c r="Q204" s="60"/>
      <c r="R204" s="60"/>
      <c r="S204" s="17"/>
      <c r="T204" s="60"/>
      <c r="U204" s="60"/>
      <c r="V204" s="17"/>
      <c r="W204" s="391"/>
      <c r="X204" s="17"/>
      <c r="Y204" s="18"/>
      <c r="Z204" s="19"/>
      <c r="AA204" s="20"/>
      <c r="AB204" s="20"/>
      <c r="AC204" s="20"/>
      <c r="AE204" s="111"/>
      <c r="AF204" s="111"/>
      <c r="AG204" s="113"/>
      <c r="AH204" s="113"/>
      <c r="AI204" s="131"/>
      <c r="AK204" s="111"/>
      <c r="AL204" s="111"/>
      <c r="AM204" s="113"/>
      <c r="AN204" s="113"/>
      <c r="AO204" s="131"/>
      <c r="AQ204" s="17"/>
      <c r="AR204" s="17"/>
      <c r="AS204" s="20"/>
      <c r="AT204" s="424"/>
      <c r="AU204" s="19"/>
      <c r="AW204" s="17"/>
      <c r="AX204" s="17"/>
      <c r="AY204" s="20"/>
      <c r="AZ204" s="424"/>
      <c r="BA204" s="19"/>
    </row>
    <row r="205" spans="1:53" s="4" customFormat="1" ht="17.100000000000001" customHeight="1" x14ac:dyDescent="0.25">
      <c r="A205" s="40"/>
      <c r="B205" s="40"/>
      <c r="C205" s="56"/>
      <c r="D205" s="296"/>
      <c r="E205" s="297"/>
      <c r="F205" s="297"/>
      <c r="G205" s="297"/>
      <c r="H205" s="198"/>
      <c r="I205" s="642"/>
      <c r="J205" s="174"/>
      <c r="K205" s="174"/>
      <c r="L205" s="111"/>
      <c r="M205" s="111"/>
      <c r="N205" s="61"/>
      <c r="O205" s="61"/>
      <c r="P205" s="17"/>
      <c r="Q205" s="61"/>
      <c r="R205" s="61"/>
      <c r="S205" s="17"/>
      <c r="T205" s="61"/>
      <c r="U205" s="61"/>
      <c r="V205" s="17"/>
      <c r="W205" s="391"/>
      <c r="X205" s="17"/>
      <c r="Y205" s="18"/>
      <c r="Z205" s="19"/>
      <c r="AA205" s="20"/>
      <c r="AB205" s="20"/>
      <c r="AC205" s="20"/>
      <c r="AE205" s="111"/>
      <c r="AF205" s="111"/>
      <c r="AG205" s="113"/>
      <c r="AH205" s="113"/>
      <c r="AI205" s="131"/>
      <c r="AK205" s="111"/>
      <c r="AL205" s="111"/>
      <c r="AM205" s="113"/>
      <c r="AN205" s="113"/>
      <c r="AO205" s="131"/>
      <c r="AQ205" s="17"/>
      <c r="AR205" s="17"/>
      <c r="AS205" s="20"/>
      <c r="AT205" s="424"/>
      <c r="AU205" s="19"/>
      <c r="AW205" s="17"/>
      <c r="AX205" s="17"/>
      <c r="AY205" s="20"/>
      <c r="AZ205" s="424"/>
      <c r="BA205" s="19"/>
    </row>
    <row r="206" spans="1:53" s="4" customFormat="1" ht="16.5" customHeight="1" x14ac:dyDescent="0.25">
      <c r="A206" s="40"/>
      <c r="B206" s="40"/>
      <c r="C206" s="56"/>
      <c r="D206" s="294"/>
      <c r="E206" s="295"/>
      <c r="F206" s="295"/>
      <c r="G206" s="295"/>
      <c r="H206" s="198"/>
      <c r="I206" s="642"/>
      <c r="J206" s="174"/>
      <c r="K206" s="174"/>
      <c r="L206" s="111"/>
      <c r="M206" s="111"/>
      <c r="N206" s="60"/>
      <c r="O206" s="60"/>
      <c r="P206" s="17"/>
      <c r="Q206" s="60"/>
      <c r="R206" s="60"/>
      <c r="S206" s="17"/>
      <c r="T206" s="60"/>
      <c r="U206" s="60"/>
      <c r="V206" s="17"/>
      <c r="W206" s="391"/>
      <c r="X206" s="17"/>
      <c r="Y206" s="18"/>
      <c r="Z206" s="19"/>
      <c r="AA206" s="20"/>
      <c r="AB206" s="20"/>
      <c r="AC206" s="20"/>
      <c r="AE206" s="111"/>
      <c r="AF206" s="111"/>
      <c r="AG206" s="113"/>
      <c r="AH206" s="113"/>
      <c r="AI206" s="131"/>
      <c r="AK206" s="111"/>
      <c r="AL206" s="111"/>
      <c r="AM206" s="113"/>
      <c r="AN206" s="113"/>
      <c r="AO206" s="131"/>
      <c r="AQ206" s="17"/>
      <c r="AR206" s="17"/>
      <c r="AS206" s="20"/>
      <c r="AT206" s="424"/>
      <c r="AU206" s="19"/>
      <c r="AW206" s="17"/>
      <c r="AX206" s="17"/>
      <c r="AY206" s="20"/>
      <c r="AZ206" s="424"/>
      <c r="BA206" s="19"/>
    </row>
    <row r="207" spans="1:53" s="4" customFormat="1" ht="17.100000000000001" customHeight="1" x14ac:dyDescent="0.25">
      <c r="A207" s="40"/>
      <c r="B207" s="40"/>
      <c r="C207" s="56" t="s">
        <v>178</v>
      </c>
      <c r="D207" s="596" t="s">
        <v>598</v>
      </c>
      <c r="E207" s="649"/>
      <c r="F207" s="649"/>
      <c r="G207" s="649"/>
      <c r="H207" s="254"/>
      <c r="I207" s="207"/>
      <c r="J207" s="174"/>
      <c r="K207" s="174"/>
      <c r="L207" s="111"/>
      <c r="M207" s="111"/>
      <c r="N207" s="61"/>
      <c r="O207" s="61"/>
      <c r="P207" s="17">
        <f t="shared" ref="P207" si="205">SUM(N207:O207)</f>
        <v>0</v>
      </c>
      <c r="Q207" s="61"/>
      <c r="R207" s="61"/>
      <c r="S207" s="17">
        <f t="shared" ref="S207" si="206">SUM(Q207:R207)</f>
        <v>0</v>
      </c>
      <c r="T207" s="61"/>
      <c r="U207" s="61"/>
      <c r="V207" s="17">
        <f t="shared" ref="V207" si="207">SUM(T207:U207)</f>
        <v>0</v>
      </c>
      <c r="W207" s="391">
        <f t="shared" si="196"/>
        <v>0</v>
      </c>
      <c r="X207" s="17">
        <f t="shared" si="197"/>
        <v>0</v>
      </c>
      <c r="Y207" s="18">
        <f t="shared" si="198"/>
        <v>0</v>
      </c>
      <c r="Z207" s="19">
        <f t="shared" si="199"/>
        <v>0</v>
      </c>
      <c r="AA207" s="19"/>
      <c r="AB207" s="19"/>
      <c r="AC207" s="20"/>
      <c r="AE207" s="111"/>
      <c r="AF207" s="111"/>
      <c r="AG207" s="111"/>
      <c r="AH207" s="651"/>
      <c r="AI207" s="131"/>
      <c r="AJ207" s="3"/>
      <c r="AK207" s="111"/>
      <c r="AL207" s="111"/>
      <c r="AM207" s="111"/>
      <c r="AN207" s="651"/>
      <c r="AO207" s="131"/>
      <c r="AP207" s="3"/>
      <c r="AQ207" s="17"/>
      <c r="AR207" s="17"/>
      <c r="AS207" s="17"/>
      <c r="AT207" s="424">
        <f t="shared" si="200"/>
        <v>0</v>
      </c>
      <c r="AU207" s="19">
        <f t="shared" ref="AU207:AU208" si="208">IF(AT$208=0,0,AT207/AT$208)</f>
        <v>0</v>
      </c>
      <c r="AV207" s="3"/>
      <c r="AW207" s="17"/>
      <c r="AX207" s="17"/>
      <c r="AY207" s="17"/>
      <c r="AZ207" s="424">
        <f t="shared" si="202"/>
        <v>0</v>
      </c>
      <c r="BA207" s="19">
        <f t="shared" si="203"/>
        <v>0</v>
      </c>
    </row>
    <row r="208" spans="1:53" ht="17.100000000000001" customHeight="1" x14ac:dyDescent="0.25">
      <c r="A208" s="40"/>
      <c r="B208" s="40"/>
      <c r="C208" s="292"/>
      <c r="D208" s="144"/>
      <c r="E208" s="144"/>
      <c r="F208" s="145"/>
      <c r="G208" s="145"/>
      <c r="H208" s="119"/>
      <c r="I208" s="236"/>
      <c r="J208" s="64"/>
      <c r="K208" s="64"/>
      <c r="L208" s="81"/>
      <c r="M208" s="81"/>
      <c r="N208" s="81">
        <f>SUM(N199:N203)+N207</f>
        <v>0</v>
      </c>
      <c r="O208" s="81">
        <f t="shared" ref="O208:V208" si="209">SUM(O199:O203)+O207</f>
        <v>0</v>
      </c>
      <c r="P208" s="81">
        <f t="shared" si="209"/>
        <v>0</v>
      </c>
      <c r="Q208" s="81">
        <f t="shared" si="209"/>
        <v>0</v>
      </c>
      <c r="R208" s="81">
        <f t="shared" si="209"/>
        <v>0</v>
      </c>
      <c r="S208" s="81">
        <f t="shared" si="209"/>
        <v>0</v>
      </c>
      <c r="T208" s="81">
        <f t="shared" si="209"/>
        <v>0</v>
      </c>
      <c r="U208" s="81">
        <f t="shared" si="209"/>
        <v>0</v>
      </c>
      <c r="V208" s="81">
        <f t="shared" si="209"/>
        <v>0</v>
      </c>
      <c r="W208" s="82">
        <f>SUM(W199:W207)</f>
        <v>0</v>
      </c>
      <c r="X208" s="82">
        <f t="shared" ref="X208:Y208" si="210">SUM(X199:X207)</f>
        <v>0</v>
      </c>
      <c r="Y208" s="82">
        <f t="shared" si="210"/>
        <v>0</v>
      </c>
      <c r="Z208" s="66">
        <f t="shared" si="199"/>
        <v>0</v>
      </c>
      <c r="AA208" s="205"/>
      <c r="AB208" s="205"/>
      <c r="AC208" s="83"/>
      <c r="AE208" s="81"/>
      <c r="AF208" s="81"/>
      <c r="AG208" s="82"/>
      <c r="AH208" s="82"/>
      <c r="AI208" s="66"/>
      <c r="AK208" s="81"/>
      <c r="AL208" s="81"/>
      <c r="AM208" s="82"/>
      <c r="AN208" s="82"/>
      <c r="AO208" s="66"/>
      <c r="AQ208" s="81"/>
      <c r="AR208" s="81"/>
      <c r="AS208" s="82"/>
      <c r="AT208" s="81">
        <f>SUM(AT199:AT203)+AT207</f>
        <v>0</v>
      </c>
      <c r="AU208" s="66">
        <f t="shared" si="208"/>
        <v>0</v>
      </c>
      <c r="AW208" s="81"/>
      <c r="AX208" s="81"/>
      <c r="AY208" s="82"/>
      <c r="AZ208" s="81">
        <f>SUM(AZ199:AZ203)+AZ207</f>
        <v>0</v>
      </c>
      <c r="BA208" s="66">
        <f t="shared" si="203"/>
        <v>0</v>
      </c>
    </row>
    <row r="209" spans="1:53" s="117" customFormat="1" ht="17.100000000000001" customHeight="1" x14ac:dyDescent="0.25">
      <c r="A209" s="119"/>
      <c r="B209" s="119"/>
      <c r="C209" s="647"/>
      <c r="D209" s="212"/>
      <c r="E209" s="212"/>
      <c r="F209" s="212"/>
      <c r="G209" s="212"/>
      <c r="H209" s="242"/>
      <c r="I209" s="230"/>
      <c r="J209" s="17"/>
      <c r="K209" s="17"/>
      <c r="L209" s="17"/>
      <c r="M209" s="17"/>
      <c r="N209" s="17" t="str">
        <f>IF(N208=N$198,"OK","NOK")</f>
        <v>OK</v>
      </c>
      <c r="O209" s="17" t="str">
        <f>IF(O208=O$198,"OK","NOK")</f>
        <v>OK</v>
      </c>
      <c r="P209" s="17"/>
      <c r="Q209" s="17" t="str">
        <f>IF(Q208=Q$198,"OK","NOK")</f>
        <v>OK</v>
      </c>
      <c r="R209" s="17" t="str">
        <f>IF(R208=R$198,"OK","NOK")</f>
        <v>OK</v>
      </c>
      <c r="S209" s="17"/>
      <c r="T209" s="17" t="str">
        <f>IF(T208=T$198,"OK","NOK")</f>
        <v>OK</v>
      </c>
      <c r="U209" s="17" t="str">
        <f>IF(U208=U$198,"OK","NOK")</f>
        <v>OK</v>
      </c>
      <c r="V209" s="359"/>
      <c r="W209" s="382"/>
      <c r="X209" s="646"/>
      <c r="Y209" s="646"/>
      <c r="Z209" s="201"/>
      <c r="AA209" s="201"/>
      <c r="AB209" s="201"/>
      <c r="AC209" s="84"/>
      <c r="AE209" s="17"/>
      <c r="AF209" s="17"/>
      <c r="AG209" s="17"/>
      <c r="AH209" s="646"/>
      <c r="AI209" s="91"/>
      <c r="AK209" s="17"/>
      <c r="AL209" s="17"/>
      <c r="AM209" s="17"/>
      <c r="AN209" s="646"/>
      <c r="AO209" s="91"/>
      <c r="AQ209" s="17"/>
      <c r="AR209" s="17"/>
      <c r="AS209" s="17"/>
      <c r="AT209" s="646"/>
      <c r="AU209" s="91"/>
      <c r="AW209" s="17"/>
      <c r="AX209" s="17"/>
      <c r="AY209" s="17"/>
      <c r="AZ209" s="17"/>
      <c r="BA209" s="91"/>
    </row>
    <row r="210" spans="1:53" ht="17.100000000000001" customHeight="1" x14ac:dyDescent="0.25">
      <c r="A210" s="40"/>
      <c r="B210" s="41" t="s">
        <v>180</v>
      </c>
      <c r="C210" s="274" t="s">
        <v>255</v>
      </c>
      <c r="D210" s="43"/>
      <c r="E210" s="43"/>
      <c r="F210" s="43"/>
      <c r="G210" s="43"/>
      <c r="H210" s="23"/>
      <c r="I210" s="12"/>
      <c r="J210" s="73"/>
      <c r="K210" s="73"/>
      <c r="L210" s="73"/>
      <c r="M210" s="73"/>
      <c r="N210" s="73"/>
      <c r="O210" s="73"/>
      <c r="P210" s="73"/>
      <c r="Q210" s="73"/>
      <c r="R210" s="73"/>
      <c r="S210" s="73"/>
      <c r="T210" s="73"/>
      <c r="U210" s="73"/>
      <c r="V210" s="73"/>
      <c r="W210" s="73"/>
      <c r="X210" s="73"/>
      <c r="Y210" s="73"/>
      <c r="Z210" s="73"/>
      <c r="AA210" s="73"/>
      <c r="AB210" s="73"/>
      <c r="AC210" s="73"/>
      <c r="AE210" s="73"/>
      <c r="AF210" s="73"/>
      <c r="AG210" s="73"/>
      <c r="AH210" s="73"/>
      <c r="AI210" s="73"/>
      <c r="AK210" s="73"/>
      <c r="AL210" s="73"/>
      <c r="AM210" s="73"/>
      <c r="AN210" s="73"/>
      <c r="AO210" s="73"/>
      <c r="AQ210" s="73"/>
      <c r="AR210" s="73"/>
      <c r="AS210" s="73"/>
      <c r="AT210" s="73"/>
      <c r="AU210" s="73"/>
      <c r="AW210" s="73"/>
      <c r="AX210" s="73"/>
      <c r="AY210" s="73"/>
      <c r="AZ210" s="73"/>
      <c r="BA210" s="73"/>
    </row>
    <row r="211" spans="1:53" s="4" customFormat="1" ht="17.100000000000001" customHeight="1" x14ac:dyDescent="0.25">
      <c r="A211" s="40"/>
      <c r="B211" s="40"/>
      <c r="C211" s="141" t="s">
        <v>440</v>
      </c>
      <c r="D211" s="146" t="s">
        <v>113</v>
      </c>
      <c r="E211" s="75"/>
      <c r="F211" s="75"/>
      <c r="G211" s="75"/>
      <c r="H211" s="23"/>
      <c r="I211" s="12"/>
      <c r="J211" s="174"/>
      <c r="K211" s="174"/>
      <c r="L211" s="111"/>
      <c r="M211" s="111"/>
      <c r="N211" s="60"/>
      <c r="O211" s="60"/>
      <c r="P211" s="17">
        <f t="shared" ref="P211:P213" si="211">SUM(N211:O211)</f>
        <v>0</v>
      </c>
      <c r="Q211" s="60"/>
      <c r="R211" s="60"/>
      <c r="S211" s="17">
        <f t="shared" ref="S211:S213" si="212">SUM(Q211:R211)</f>
        <v>0</v>
      </c>
      <c r="T211" s="60"/>
      <c r="U211" s="60"/>
      <c r="V211" s="17">
        <f t="shared" ref="V211:V213" si="213">SUM(T211:U211)</f>
        <v>0</v>
      </c>
      <c r="W211" s="391">
        <f t="shared" ref="W211:W213" si="214">J211+K211+N211+Q211+T211</f>
        <v>0</v>
      </c>
      <c r="X211" s="17">
        <f t="shared" ref="X211:X213" si="215">L211+O211+R211+U211</f>
        <v>0</v>
      </c>
      <c r="Y211" s="18">
        <f t="shared" ref="Y211:Y213" si="216">SUM(W211:X211)</f>
        <v>0</v>
      </c>
      <c r="Z211" s="19">
        <f>IF(Y$214=0,0,Y211/Y$214)</f>
        <v>0</v>
      </c>
      <c r="AA211" s="19"/>
      <c r="AB211" s="19"/>
      <c r="AC211" s="20"/>
      <c r="AE211" s="111"/>
      <c r="AF211" s="111"/>
      <c r="AG211" s="111"/>
      <c r="AH211" s="651"/>
      <c r="AI211" s="131"/>
      <c r="AJ211" s="3"/>
      <c r="AK211" s="111"/>
      <c r="AL211" s="111"/>
      <c r="AM211" s="111"/>
      <c r="AN211" s="651"/>
      <c r="AO211" s="131"/>
      <c r="AP211" s="3"/>
      <c r="AQ211" s="17"/>
      <c r="AR211" s="17"/>
      <c r="AS211" s="17"/>
      <c r="AT211" s="424">
        <f>W211</f>
        <v>0</v>
      </c>
      <c r="AU211" s="19">
        <f>IF(AT$214=0,0,AT211/AT$214)</f>
        <v>0</v>
      </c>
      <c r="AV211" s="3"/>
      <c r="AW211" s="17"/>
      <c r="AX211" s="17"/>
      <c r="AY211" s="17"/>
      <c r="AZ211" s="424">
        <f>X211</f>
        <v>0</v>
      </c>
      <c r="BA211" s="19">
        <f>IF(AZ$214=0,0,AZ211/AZ$214)</f>
        <v>0</v>
      </c>
    </row>
    <row r="212" spans="1:53" s="4" customFormat="1" ht="17.100000000000001" customHeight="1" x14ac:dyDescent="0.25">
      <c r="A212" s="40"/>
      <c r="B212" s="40"/>
      <c r="C212" s="141" t="s">
        <v>441</v>
      </c>
      <c r="D212" s="146" t="s">
        <v>602</v>
      </c>
      <c r="E212" s="75"/>
      <c r="F212" s="75"/>
      <c r="G212" s="75"/>
      <c r="H212" s="23"/>
      <c r="I212" s="12"/>
      <c r="J212" s="174"/>
      <c r="K212" s="174"/>
      <c r="L212" s="111"/>
      <c r="M212" s="111"/>
      <c r="N212" s="61"/>
      <c r="O212" s="61"/>
      <c r="P212" s="17">
        <f t="shared" si="211"/>
        <v>0</v>
      </c>
      <c r="Q212" s="61"/>
      <c r="R212" s="61"/>
      <c r="S212" s="17">
        <f t="shared" si="212"/>
        <v>0</v>
      </c>
      <c r="T212" s="61"/>
      <c r="U212" s="61"/>
      <c r="V212" s="17">
        <f t="shared" si="213"/>
        <v>0</v>
      </c>
      <c r="W212" s="391">
        <f t="shared" si="214"/>
        <v>0</v>
      </c>
      <c r="X212" s="17">
        <f t="shared" si="215"/>
        <v>0</v>
      </c>
      <c r="Y212" s="18">
        <f t="shared" si="216"/>
        <v>0</v>
      </c>
      <c r="Z212" s="19">
        <f t="shared" ref="Z212:Z214" si="217">IF(Y$214=0,0,Y212/Y$214)</f>
        <v>0</v>
      </c>
      <c r="AA212" s="19"/>
      <c r="AB212" s="19"/>
      <c r="AC212" s="20"/>
      <c r="AE212" s="111"/>
      <c r="AF212" s="111"/>
      <c r="AG212" s="111"/>
      <c r="AH212" s="651"/>
      <c r="AI212" s="131"/>
      <c r="AJ212" s="3"/>
      <c r="AK212" s="111"/>
      <c r="AL212" s="111"/>
      <c r="AM212" s="111"/>
      <c r="AN212" s="651"/>
      <c r="AO212" s="131"/>
      <c r="AP212" s="3"/>
      <c r="AQ212" s="17"/>
      <c r="AR212" s="17"/>
      <c r="AS212" s="17"/>
      <c r="AT212" s="424">
        <f t="shared" ref="AT212:AT213" si="218">W212</f>
        <v>0</v>
      </c>
      <c r="AU212" s="19">
        <f t="shared" ref="AU212:AU214" si="219">IF(AT$214=0,0,AT212/AT$214)</f>
        <v>0</v>
      </c>
      <c r="AV212" s="3"/>
      <c r="AW212" s="17"/>
      <c r="AX212" s="17"/>
      <c r="AY212" s="17"/>
      <c r="AZ212" s="424">
        <f t="shared" ref="AZ212:AZ213" si="220">X212</f>
        <v>0</v>
      </c>
      <c r="BA212" s="19">
        <f t="shared" ref="BA212:BA214" si="221">IF(AZ$214=0,0,AZ212/AZ$214)</f>
        <v>0</v>
      </c>
    </row>
    <row r="213" spans="1:53" s="4" customFormat="1" ht="17.100000000000001" customHeight="1" x14ac:dyDescent="0.25">
      <c r="A213" s="40"/>
      <c r="B213" s="40"/>
      <c r="C213" s="141" t="s">
        <v>442</v>
      </c>
      <c r="D213" s="596" t="s">
        <v>598</v>
      </c>
      <c r="E213" s="649"/>
      <c r="F213" s="649"/>
      <c r="G213" s="649"/>
      <c r="H213" s="254"/>
      <c r="I213" s="207"/>
      <c r="J213" s="174"/>
      <c r="K213" s="174"/>
      <c r="L213" s="111"/>
      <c r="M213" s="111"/>
      <c r="N213" s="60"/>
      <c r="O213" s="60"/>
      <c r="P213" s="17">
        <f t="shared" si="211"/>
        <v>0</v>
      </c>
      <c r="Q213" s="60"/>
      <c r="R213" s="60"/>
      <c r="S213" s="17">
        <f t="shared" si="212"/>
        <v>0</v>
      </c>
      <c r="T213" s="60"/>
      <c r="U213" s="60"/>
      <c r="V213" s="17">
        <f t="shared" si="213"/>
        <v>0</v>
      </c>
      <c r="W213" s="391">
        <f t="shared" si="214"/>
        <v>0</v>
      </c>
      <c r="X213" s="17">
        <f t="shared" si="215"/>
        <v>0</v>
      </c>
      <c r="Y213" s="18">
        <f t="shared" si="216"/>
        <v>0</v>
      </c>
      <c r="Z213" s="19">
        <f t="shared" si="217"/>
        <v>0</v>
      </c>
      <c r="AA213" s="19"/>
      <c r="AB213" s="19"/>
      <c r="AC213" s="20"/>
      <c r="AE213" s="111"/>
      <c r="AF213" s="111"/>
      <c r="AG213" s="111"/>
      <c r="AH213" s="651"/>
      <c r="AI213" s="131"/>
      <c r="AJ213" s="3"/>
      <c r="AK213" s="111"/>
      <c r="AL213" s="111"/>
      <c r="AM213" s="111"/>
      <c r="AN213" s="651"/>
      <c r="AO213" s="131"/>
      <c r="AP213" s="3"/>
      <c r="AQ213" s="17"/>
      <c r="AR213" s="17"/>
      <c r="AS213" s="17"/>
      <c r="AT213" s="424">
        <f t="shared" si="218"/>
        <v>0</v>
      </c>
      <c r="AU213" s="19">
        <f t="shared" si="219"/>
        <v>0</v>
      </c>
      <c r="AV213" s="3"/>
      <c r="AW213" s="17"/>
      <c r="AX213" s="17"/>
      <c r="AY213" s="17"/>
      <c r="AZ213" s="424">
        <f t="shared" si="220"/>
        <v>0</v>
      </c>
      <c r="BA213" s="19">
        <f t="shared" si="221"/>
        <v>0</v>
      </c>
    </row>
    <row r="214" spans="1:53" ht="17.100000000000001" customHeight="1" x14ac:dyDescent="0.25">
      <c r="A214" s="40"/>
      <c r="B214" s="40"/>
      <c r="C214" s="292"/>
      <c r="D214" s="144"/>
      <c r="E214" s="144"/>
      <c r="F214" s="145"/>
      <c r="G214" s="145"/>
      <c r="H214" s="119"/>
      <c r="I214" s="236"/>
      <c r="J214" s="64"/>
      <c r="K214" s="64"/>
      <c r="L214" s="64"/>
      <c r="M214" s="64"/>
      <c r="N214" s="64">
        <f>SUM(N211:N213)</f>
        <v>0</v>
      </c>
      <c r="O214" s="64">
        <f t="shared" ref="O214:V214" si="222">SUM(O211:O213)</f>
        <v>0</v>
      </c>
      <c r="P214" s="64">
        <f t="shared" si="222"/>
        <v>0</v>
      </c>
      <c r="Q214" s="64">
        <f t="shared" si="222"/>
        <v>0</v>
      </c>
      <c r="R214" s="64">
        <f t="shared" si="222"/>
        <v>0</v>
      </c>
      <c r="S214" s="64">
        <f t="shared" si="222"/>
        <v>0</v>
      </c>
      <c r="T214" s="64">
        <f t="shared" si="222"/>
        <v>0</v>
      </c>
      <c r="U214" s="64">
        <f t="shared" si="222"/>
        <v>0</v>
      </c>
      <c r="V214" s="64">
        <f t="shared" si="222"/>
        <v>0</v>
      </c>
      <c r="W214" s="224">
        <f>SUM(W211:W213)</f>
        <v>0</v>
      </c>
      <c r="X214" s="224">
        <f t="shared" ref="X214:Y214" si="223">SUM(X211:X213)</f>
        <v>0</v>
      </c>
      <c r="Y214" s="224">
        <f t="shared" si="223"/>
        <v>0</v>
      </c>
      <c r="Z214" s="66">
        <f t="shared" si="217"/>
        <v>0</v>
      </c>
      <c r="AA214" s="205"/>
      <c r="AB214" s="205"/>
      <c r="AC214" s="83"/>
      <c r="AE214" s="81"/>
      <c r="AF214" s="81"/>
      <c r="AG214" s="82"/>
      <c r="AH214" s="82"/>
      <c r="AI214" s="66"/>
      <c r="AK214" s="81"/>
      <c r="AL214" s="81"/>
      <c r="AM214" s="82"/>
      <c r="AN214" s="82"/>
      <c r="AO214" s="66"/>
      <c r="AQ214" s="81"/>
      <c r="AR214" s="81"/>
      <c r="AS214" s="82"/>
      <c r="AT214" s="81">
        <f>SUM(AT211:AT213)</f>
        <v>0</v>
      </c>
      <c r="AU214" s="66">
        <f t="shared" si="219"/>
        <v>0</v>
      </c>
      <c r="AW214" s="81"/>
      <c r="AX214" s="81"/>
      <c r="AY214" s="82"/>
      <c r="AZ214" s="81">
        <f>SUM(AZ211:AZ213)</f>
        <v>0</v>
      </c>
      <c r="BA214" s="66">
        <f t="shared" si="221"/>
        <v>0</v>
      </c>
    </row>
    <row r="215" spans="1:53" s="117" customFormat="1" ht="17.100000000000001" customHeight="1" x14ac:dyDescent="0.25">
      <c r="A215" s="119"/>
      <c r="B215" s="119"/>
      <c r="C215" s="647"/>
      <c r="D215" s="212"/>
      <c r="E215" s="212"/>
      <c r="F215" s="212"/>
      <c r="G215" s="212"/>
      <c r="H215" s="242"/>
      <c r="I215" s="230"/>
      <c r="J215" s="17"/>
      <c r="K215" s="17"/>
      <c r="L215" s="17"/>
      <c r="M215" s="17"/>
      <c r="N215" s="17" t="str">
        <f>IF(N214=N$198,"OK","NOK")</f>
        <v>OK</v>
      </c>
      <c r="O215" s="17" t="str">
        <f>IF(O214=O$198,"OK","NOK")</f>
        <v>OK</v>
      </c>
      <c r="P215" s="17"/>
      <c r="Q215" s="17" t="str">
        <f>IF(Q214=Q$198,"OK","NOK")</f>
        <v>OK</v>
      </c>
      <c r="R215" s="17" t="str">
        <f>IF(R214=R$198,"OK","NOK")</f>
        <v>OK</v>
      </c>
      <c r="S215" s="17"/>
      <c r="T215" s="17" t="str">
        <f>IF(T214=T$198,"OK","NOK")</f>
        <v>OK</v>
      </c>
      <c r="U215" s="17" t="str">
        <f>IF(U214=U$198,"OK","NOK")</f>
        <v>OK</v>
      </c>
      <c r="V215" s="359"/>
      <c r="W215" s="382"/>
      <c r="X215" s="646"/>
      <c r="Y215" s="646"/>
      <c r="Z215" s="201"/>
      <c r="AA215" s="201"/>
      <c r="AB215" s="201"/>
      <c r="AC215" s="84"/>
      <c r="AE215" s="17"/>
      <c r="AF215" s="17"/>
      <c r="AG215" s="17"/>
      <c r="AH215" s="646"/>
      <c r="AI215" s="91"/>
      <c r="AK215" s="17"/>
      <c r="AL215" s="17"/>
      <c r="AM215" s="17"/>
      <c r="AN215" s="646"/>
      <c r="AO215" s="91"/>
      <c r="AQ215" s="17"/>
      <c r="AR215" s="17"/>
      <c r="AS215" s="17"/>
      <c r="AT215" s="646"/>
      <c r="AU215" s="91"/>
      <c r="AW215" s="17"/>
      <c r="AX215" s="17"/>
      <c r="AY215" s="17"/>
      <c r="AZ215" s="17"/>
      <c r="BA215" s="91"/>
    </row>
    <row r="216" spans="1:53" ht="17.100000000000001" customHeight="1" x14ac:dyDescent="0.25">
      <c r="A216" s="40"/>
      <c r="B216" s="299" t="s">
        <v>447</v>
      </c>
      <c r="C216" s="274" t="s">
        <v>606</v>
      </c>
      <c r="D216" s="300"/>
      <c r="E216" s="50"/>
      <c r="F216" s="50"/>
      <c r="G216" s="301"/>
      <c r="H216" s="119"/>
      <c r="I216" s="138"/>
      <c r="J216" s="88"/>
      <c r="K216" s="88"/>
      <c r="L216" s="71"/>
      <c r="M216" s="71"/>
      <c r="N216" s="71"/>
      <c r="O216" s="71"/>
      <c r="P216" s="71"/>
      <c r="Q216" s="71"/>
      <c r="R216" s="71"/>
      <c r="S216" s="71"/>
      <c r="T216" s="71"/>
      <c r="U216" s="71"/>
      <c r="V216" s="71"/>
      <c r="W216" s="71"/>
      <c r="X216" s="71"/>
      <c r="Y216" s="71"/>
      <c r="Z216" s="90"/>
      <c r="AA216" s="90"/>
      <c r="AB216" s="90"/>
      <c r="AC216" s="73"/>
      <c r="AE216" s="87"/>
      <c r="AF216" s="87"/>
      <c r="AG216" s="71"/>
      <c r="AH216" s="89"/>
      <c r="AI216" s="90"/>
      <c r="AJ216" s="117"/>
      <c r="AK216" s="87"/>
      <c r="AL216" s="87"/>
      <c r="AM216" s="71"/>
      <c r="AN216" s="89"/>
      <c r="AO216" s="90"/>
      <c r="AP216" s="117"/>
      <c r="AQ216" s="87"/>
      <c r="AR216" s="87"/>
      <c r="AS216" s="71"/>
      <c r="AT216" s="89"/>
      <c r="AU216" s="90"/>
      <c r="AV216" s="117"/>
      <c r="AW216" s="87"/>
      <c r="AX216" s="87"/>
      <c r="AY216" s="71"/>
      <c r="AZ216" s="89"/>
      <c r="BA216" s="90"/>
    </row>
    <row r="217" spans="1:53" ht="17.100000000000001" customHeight="1" x14ac:dyDescent="0.25">
      <c r="A217" s="40"/>
      <c r="B217" s="302"/>
      <c r="C217" s="56" t="s">
        <v>449</v>
      </c>
      <c r="D217" s="85" t="s">
        <v>173</v>
      </c>
      <c r="E217" s="167"/>
      <c r="F217" s="151"/>
      <c r="G217" s="151"/>
      <c r="H217" s="119"/>
      <c r="I217" s="138"/>
      <c r="J217" s="174"/>
      <c r="K217" s="174"/>
      <c r="L217" s="111"/>
      <c r="M217" s="111"/>
      <c r="N217" s="60"/>
      <c r="O217" s="60"/>
      <c r="P217" s="17">
        <f t="shared" ref="P217:P222" si="224">SUM(N217:O217)</f>
        <v>0</v>
      </c>
      <c r="Q217" s="60"/>
      <c r="R217" s="60"/>
      <c r="S217" s="17">
        <f t="shared" ref="S217:S222" si="225">SUM(Q217:R217)</f>
        <v>0</v>
      </c>
      <c r="T217" s="60"/>
      <c r="U217" s="60"/>
      <c r="V217" s="17">
        <f t="shared" ref="V217:V222" si="226">SUM(T217:U217)</f>
        <v>0</v>
      </c>
      <c r="W217" s="391">
        <f t="shared" ref="W217:W222" si="227">J217+K217+N217+Q217+T217</f>
        <v>0</v>
      </c>
      <c r="X217" s="17">
        <f t="shared" ref="X217:X222" si="228">L217+O217+R217+U217</f>
        <v>0</v>
      </c>
      <c r="Y217" s="18">
        <f t="shared" ref="Y217:Y222" si="229">SUM(W217:X217)</f>
        <v>0</v>
      </c>
      <c r="Z217" s="19">
        <f>IF(Y$223=0,0,Y217/Y$223)</f>
        <v>0</v>
      </c>
      <c r="AA217" s="91"/>
      <c r="AB217" s="91"/>
      <c r="AC217" s="84"/>
      <c r="AE217" s="111"/>
      <c r="AF217" s="111"/>
      <c r="AG217" s="111"/>
      <c r="AH217" s="112"/>
      <c r="AI217" s="113"/>
      <c r="AJ217" s="117"/>
      <c r="AK217" s="111"/>
      <c r="AL217" s="111"/>
      <c r="AM217" s="111"/>
      <c r="AN217" s="112"/>
      <c r="AO217" s="113"/>
      <c r="AP217" s="117"/>
      <c r="AQ217" s="17"/>
      <c r="AR217" s="17"/>
      <c r="AS217" s="17"/>
      <c r="AT217" s="18">
        <f t="shared" ref="AT217:AT218" si="230">W217</f>
        <v>0</v>
      </c>
      <c r="AU217" s="19">
        <f>IF(AT$444=0,0,AT217/AT$444)</f>
        <v>0</v>
      </c>
      <c r="AV217" s="117"/>
      <c r="AW217" s="17"/>
      <c r="AX217" s="17"/>
      <c r="AY217" s="17"/>
      <c r="AZ217" s="18">
        <f t="shared" ref="AZ217:AZ218" si="231">X217</f>
        <v>0</v>
      </c>
      <c r="BA217" s="19">
        <f>IF(AZ$444=0,0,AZ217/AZ$444)</f>
        <v>0</v>
      </c>
    </row>
    <row r="218" spans="1:53" ht="17.100000000000001" customHeight="1" x14ac:dyDescent="0.25">
      <c r="A218" s="40"/>
      <c r="B218" s="302"/>
      <c r="C218" s="56" t="s">
        <v>450</v>
      </c>
      <c r="D218" s="85" t="s">
        <v>544</v>
      </c>
      <c r="E218" s="167"/>
      <c r="F218" s="151"/>
      <c r="G218" s="151"/>
      <c r="H218" s="119"/>
      <c r="I218" s="138"/>
      <c r="J218" s="174"/>
      <c r="K218" s="174"/>
      <c r="L218" s="111"/>
      <c r="M218" s="111"/>
      <c r="N218" s="61"/>
      <c r="O218" s="61"/>
      <c r="P218" s="17">
        <f t="shared" si="224"/>
        <v>0</v>
      </c>
      <c r="Q218" s="61"/>
      <c r="R218" s="61"/>
      <c r="S218" s="17">
        <f t="shared" si="225"/>
        <v>0</v>
      </c>
      <c r="T218" s="61"/>
      <c r="U218" s="61"/>
      <c r="V218" s="17">
        <f t="shared" si="226"/>
        <v>0</v>
      </c>
      <c r="W218" s="391">
        <f t="shared" si="227"/>
        <v>0</v>
      </c>
      <c r="X218" s="17">
        <f t="shared" si="228"/>
        <v>0</v>
      </c>
      <c r="Y218" s="18">
        <f t="shared" si="229"/>
        <v>0</v>
      </c>
      <c r="Z218" s="19">
        <f t="shared" ref="Z218:Z223" si="232">IF(Y$223=0,0,Y218/Y$223)</f>
        <v>0</v>
      </c>
      <c r="AA218" s="91"/>
      <c r="AB218" s="91"/>
      <c r="AC218" s="84"/>
      <c r="AE218" s="111"/>
      <c r="AF218" s="111"/>
      <c r="AG218" s="111"/>
      <c r="AH218" s="112"/>
      <c r="AI218" s="113"/>
      <c r="AJ218" s="117"/>
      <c r="AK218" s="111"/>
      <c r="AL218" s="111"/>
      <c r="AM218" s="111"/>
      <c r="AN218" s="112"/>
      <c r="AO218" s="113"/>
      <c r="AP218" s="117"/>
      <c r="AQ218" s="17"/>
      <c r="AR218" s="17"/>
      <c r="AS218" s="17"/>
      <c r="AT218" s="18">
        <f t="shared" si="230"/>
        <v>0</v>
      </c>
      <c r="AU218" s="19">
        <f>IF(AT$444=0,0,AT218/AT$444)</f>
        <v>0</v>
      </c>
      <c r="AV218" s="117"/>
      <c r="AW218" s="17"/>
      <c r="AX218" s="17"/>
      <c r="AY218" s="17"/>
      <c r="AZ218" s="18">
        <f t="shared" si="231"/>
        <v>0</v>
      </c>
      <c r="BA218" s="19">
        <f>IF(AZ$444=0,0,AZ218/AZ$444)</f>
        <v>0</v>
      </c>
    </row>
    <row r="219" spans="1:53" ht="17.100000000000001" customHeight="1" x14ac:dyDescent="0.25">
      <c r="A219" s="40"/>
      <c r="B219" s="40"/>
      <c r="C219" s="56" t="s">
        <v>451</v>
      </c>
      <c r="D219" s="146" t="s">
        <v>484</v>
      </c>
      <c r="E219" s="149"/>
      <c r="F219" s="151"/>
      <c r="G219" s="151"/>
      <c r="H219" s="119"/>
      <c r="I219" s="236"/>
      <c r="J219" s="174"/>
      <c r="K219" s="174"/>
      <c r="L219" s="111"/>
      <c r="M219" s="111"/>
      <c r="N219" s="60"/>
      <c r="O219" s="60"/>
      <c r="P219" s="17"/>
      <c r="Q219" s="60"/>
      <c r="R219" s="60"/>
      <c r="S219" s="17"/>
      <c r="T219" s="60"/>
      <c r="U219" s="60"/>
      <c r="V219" s="17"/>
      <c r="W219" s="391">
        <f>MIN(N219,Q219,T219)</f>
        <v>0</v>
      </c>
      <c r="X219" s="17">
        <f>MIN(O219,R219,U219)</f>
        <v>0</v>
      </c>
      <c r="Y219" s="18"/>
      <c r="Z219" s="19"/>
      <c r="AA219" s="17">
        <f>MIN(N219:U219)</f>
        <v>0</v>
      </c>
      <c r="AB219" s="17"/>
      <c r="AC219" s="17"/>
      <c r="AE219" s="111"/>
      <c r="AF219" s="111"/>
      <c r="AG219" s="111"/>
      <c r="AH219" s="651"/>
      <c r="AI219" s="131"/>
      <c r="AJ219" s="117"/>
      <c r="AK219" s="111"/>
      <c r="AL219" s="111"/>
      <c r="AM219" s="111"/>
      <c r="AN219" s="651"/>
      <c r="AO219" s="131"/>
      <c r="AP219" s="117"/>
      <c r="AQ219" s="17">
        <f>W219</f>
        <v>0</v>
      </c>
      <c r="AR219" s="17"/>
      <c r="AS219" s="17"/>
      <c r="AT219" s="18"/>
      <c r="AU219" s="19"/>
      <c r="AV219" s="117"/>
      <c r="AW219" s="17">
        <f>X219</f>
        <v>0</v>
      </c>
      <c r="AX219" s="17"/>
      <c r="AY219" s="17"/>
      <c r="AZ219" s="18"/>
      <c r="BA219" s="19"/>
    </row>
    <row r="220" spans="1:53" ht="17.100000000000001" customHeight="1" x14ac:dyDescent="0.25">
      <c r="A220" s="40"/>
      <c r="B220" s="40"/>
      <c r="C220" s="56" t="s">
        <v>603</v>
      </c>
      <c r="D220" s="146" t="s">
        <v>485</v>
      </c>
      <c r="E220" s="149"/>
      <c r="F220" s="151"/>
      <c r="G220" s="151"/>
      <c r="H220" s="119"/>
      <c r="I220" s="236"/>
      <c r="J220" s="174"/>
      <c r="K220" s="174"/>
      <c r="L220" s="111"/>
      <c r="M220" s="111"/>
      <c r="N220" s="61"/>
      <c r="O220" s="61"/>
      <c r="P220" s="17"/>
      <c r="Q220" s="61"/>
      <c r="R220" s="61"/>
      <c r="S220" s="17"/>
      <c r="T220" s="61"/>
      <c r="U220" s="61"/>
      <c r="V220" s="17"/>
      <c r="W220" s="391">
        <f>MAX(N220,Q220,T220)</f>
        <v>0</v>
      </c>
      <c r="X220" s="17">
        <f>MAX(O220,R220,U220)</f>
        <v>0</v>
      </c>
      <c r="Y220" s="18"/>
      <c r="Z220" s="19"/>
      <c r="AA220" s="17"/>
      <c r="AB220" s="17">
        <f>MAX(N220:U220)</f>
        <v>0</v>
      </c>
      <c r="AC220" s="17"/>
      <c r="AE220" s="111"/>
      <c r="AF220" s="111"/>
      <c r="AG220" s="111"/>
      <c r="AH220" s="651"/>
      <c r="AI220" s="131"/>
      <c r="AJ220" s="117"/>
      <c r="AK220" s="111"/>
      <c r="AL220" s="111"/>
      <c r="AM220" s="111"/>
      <c r="AN220" s="651"/>
      <c r="AO220" s="131"/>
      <c r="AP220" s="117"/>
      <c r="AQ220" s="17"/>
      <c r="AR220" s="17">
        <f>W220</f>
        <v>0</v>
      </c>
      <c r="AS220" s="17"/>
      <c r="AT220" s="18"/>
      <c r="AU220" s="19"/>
      <c r="AV220" s="117"/>
      <c r="AW220" s="17"/>
      <c r="AX220" s="17">
        <f>X220</f>
        <v>0</v>
      </c>
      <c r="AY220" s="17"/>
      <c r="AZ220" s="18"/>
      <c r="BA220" s="19"/>
    </row>
    <row r="221" spans="1:53" ht="17.100000000000001" customHeight="1" x14ac:dyDescent="0.25">
      <c r="A221" s="40"/>
      <c r="B221" s="40"/>
      <c r="C221" s="56" t="s">
        <v>604</v>
      </c>
      <c r="D221" s="146" t="s">
        <v>543</v>
      </c>
      <c r="E221" s="149"/>
      <c r="F221" s="151"/>
      <c r="G221" s="151"/>
      <c r="H221" s="119"/>
      <c r="I221" s="236"/>
      <c r="J221" s="174"/>
      <c r="K221" s="174"/>
      <c r="L221" s="111"/>
      <c r="M221" s="111"/>
      <c r="N221" s="60"/>
      <c r="O221" s="60"/>
      <c r="P221" s="17"/>
      <c r="Q221" s="60"/>
      <c r="R221" s="60"/>
      <c r="S221" s="17"/>
      <c r="T221" s="60"/>
      <c r="U221" s="60"/>
      <c r="V221" s="17"/>
      <c r="W221" s="391">
        <f>IF(N221+Q221+T221=0,0,AVERAGE(N221,Q221,T221))</f>
        <v>0</v>
      </c>
      <c r="X221" s="17">
        <f>IF(O221+R221+U221=0,0,AVERAGE(O221,R221,U221))</f>
        <v>0</v>
      </c>
      <c r="Y221" s="18"/>
      <c r="Z221" s="19"/>
      <c r="AA221" s="17"/>
      <c r="AB221" s="17"/>
      <c r="AC221" s="17">
        <f>IF(SUM(N221:U221)=0,0,AVERAGE(N221:U221))</f>
        <v>0</v>
      </c>
      <c r="AE221" s="111"/>
      <c r="AF221" s="111"/>
      <c r="AG221" s="111"/>
      <c r="AH221" s="651"/>
      <c r="AI221" s="131"/>
      <c r="AJ221" s="117"/>
      <c r="AK221" s="111"/>
      <c r="AL221" s="111"/>
      <c r="AM221" s="111"/>
      <c r="AN221" s="651"/>
      <c r="AO221" s="131"/>
      <c r="AP221" s="117"/>
      <c r="AQ221" s="17"/>
      <c r="AR221" s="17"/>
      <c r="AS221" s="17">
        <f>W221</f>
        <v>0</v>
      </c>
      <c r="AT221" s="18"/>
      <c r="AU221" s="19"/>
      <c r="AV221" s="117"/>
      <c r="AW221" s="17"/>
      <c r="AX221" s="17"/>
      <c r="AY221" s="17">
        <f>X221</f>
        <v>0</v>
      </c>
      <c r="AZ221" s="18"/>
      <c r="BA221" s="19"/>
    </row>
    <row r="222" spans="1:53" ht="17.100000000000001" customHeight="1" x14ac:dyDescent="0.25">
      <c r="A222" s="40"/>
      <c r="B222" s="179"/>
      <c r="C222" s="56" t="s">
        <v>605</v>
      </c>
      <c r="D222" s="85" t="s">
        <v>129</v>
      </c>
      <c r="E222" s="167"/>
      <c r="F222" s="151"/>
      <c r="G222" s="151"/>
      <c r="H222" s="119"/>
      <c r="I222" s="138"/>
      <c r="J222" s="174"/>
      <c r="K222" s="174"/>
      <c r="L222" s="111"/>
      <c r="M222" s="111"/>
      <c r="N222" s="61"/>
      <c r="O222" s="61"/>
      <c r="P222" s="17">
        <f t="shared" si="224"/>
        <v>0</v>
      </c>
      <c r="Q222" s="61"/>
      <c r="R222" s="61"/>
      <c r="S222" s="17">
        <f t="shared" si="225"/>
        <v>0</v>
      </c>
      <c r="T222" s="61"/>
      <c r="U222" s="61"/>
      <c r="V222" s="17">
        <f t="shared" si="226"/>
        <v>0</v>
      </c>
      <c r="W222" s="391">
        <f t="shared" si="227"/>
        <v>0</v>
      </c>
      <c r="X222" s="17">
        <f t="shared" si="228"/>
        <v>0</v>
      </c>
      <c r="Y222" s="18">
        <f t="shared" si="229"/>
        <v>0</v>
      </c>
      <c r="Z222" s="19">
        <f t="shared" si="232"/>
        <v>0</v>
      </c>
      <c r="AA222" s="91"/>
      <c r="AB222" s="91"/>
      <c r="AC222" s="84"/>
      <c r="AE222" s="111"/>
      <c r="AF222" s="111"/>
      <c r="AG222" s="111"/>
      <c r="AH222" s="112"/>
      <c r="AI222" s="113"/>
      <c r="AJ222" s="117"/>
      <c r="AK222" s="111"/>
      <c r="AL222" s="111"/>
      <c r="AM222" s="111"/>
      <c r="AN222" s="112"/>
      <c r="AO222" s="113"/>
      <c r="AP222" s="117"/>
      <c r="AQ222" s="17"/>
      <c r="AR222" s="17"/>
      <c r="AS222" s="17"/>
      <c r="AT222" s="18">
        <f t="shared" ref="AT222" si="233">W222</f>
        <v>0</v>
      </c>
      <c r="AU222" s="19">
        <f>IF(AT$444=0,0,AT222/AT$444)</f>
        <v>0</v>
      </c>
      <c r="AV222" s="117"/>
      <c r="AW222" s="17"/>
      <c r="AX222" s="17"/>
      <c r="AY222" s="17"/>
      <c r="AZ222" s="18">
        <f t="shared" ref="AZ222" si="234">X222</f>
        <v>0</v>
      </c>
      <c r="BA222" s="19">
        <f>IF(AZ$444=0,0,AZ222/AZ$444)</f>
        <v>0</v>
      </c>
    </row>
    <row r="223" spans="1:53" ht="17.100000000000001" customHeight="1" x14ac:dyDescent="0.25">
      <c r="A223" s="40"/>
      <c r="B223" s="179"/>
      <c r="C223" s="292"/>
      <c r="D223" s="144"/>
      <c r="E223" s="144"/>
      <c r="F223" s="145"/>
      <c r="G223" s="145"/>
      <c r="H223" s="119"/>
      <c r="I223" s="138"/>
      <c r="J223" s="64"/>
      <c r="K223" s="64"/>
      <c r="L223" s="64"/>
      <c r="M223" s="64"/>
      <c r="N223" s="64">
        <f>N217+N218+N222</f>
        <v>0</v>
      </c>
      <c r="O223" s="64">
        <f t="shared" ref="O223:V223" si="235">O217+O218+O222</f>
        <v>0</v>
      </c>
      <c r="P223" s="64">
        <f t="shared" si="235"/>
        <v>0</v>
      </c>
      <c r="Q223" s="64">
        <f t="shared" si="235"/>
        <v>0</v>
      </c>
      <c r="R223" s="64">
        <f t="shared" si="235"/>
        <v>0</v>
      </c>
      <c r="S223" s="64">
        <f t="shared" si="235"/>
        <v>0</v>
      </c>
      <c r="T223" s="64">
        <f t="shared" si="235"/>
        <v>0</v>
      </c>
      <c r="U223" s="64">
        <f t="shared" si="235"/>
        <v>0</v>
      </c>
      <c r="V223" s="64">
        <f t="shared" si="235"/>
        <v>0</v>
      </c>
      <c r="W223" s="224">
        <f>SUM(W217:W222)</f>
        <v>0</v>
      </c>
      <c r="X223" s="224">
        <f t="shared" ref="X223:Y223" si="236">SUM(X217:X222)</f>
        <v>0</v>
      </c>
      <c r="Y223" s="224">
        <f t="shared" si="236"/>
        <v>0</v>
      </c>
      <c r="Z223" s="66">
        <f t="shared" si="232"/>
        <v>0</v>
      </c>
      <c r="AA223" s="205"/>
      <c r="AB223" s="205"/>
      <c r="AC223" s="83"/>
      <c r="AE223" s="80"/>
      <c r="AF223" s="80"/>
      <c r="AG223" s="81"/>
      <c r="AH223" s="82"/>
      <c r="AI223" s="66"/>
      <c r="AJ223" s="117"/>
      <c r="AK223" s="80"/>
      <c r="AL223" s="80"/>
      <c r="AM223" s="81"/>
      <c r="AN223" s="82"/>
      <c r="AO223" s="66"/>
      <c r="AP223" s="117"/>
      <c r="AQ223" s="80"/>
      <c r="AR223" s="80"/>
      <c r="AS223" s="81"/>
      <c r="AT223" s="82">
        <f>SUM(AT217:AT222)</f>
        <v>0</v>
      </c>
      <c r="AU223" s="66">
        <f>IF(AT$444=0,0,AT223/AT$444)</f>
        <v>0</v>
      </c>
      <c r="AV223" s="117"/>
      <c r="AW223" s="80"/>
      <c r="AX223" s="80"/>
      <c r="AY223" s="81"/>
      <c r="AZ223" s="82">
        <f>SUM(AZ217:AZ222)</f>
        <v>0</v>
      </c>
      <c r="BA223" s="66">
        <f>IF(AZ$444=0,0,AZ223/AZ$444)</f>
        <v>0</v>
      </c>
    </row>
    <row r="224" spans="1:53" s="117" customFormat="1" ht="17.100000000000001" customHeight="1" x14ac:dyDescent="0.25">
      <c r="A224" s="119"/>
      <c r="B224" s="119"/>
      <c r="C224" s="647"/>
      <c r="D224" s="212"/>
      <c r="E224" s="212"/>
      <c r="F224" s="212"/>
      <c r="G224" s="212"/>
      <c r="H224" s="242"/>
      <c r="I224" s="230"/>
      <c r="J224" s="17"/>
      <c r="K224" s="17"/>
      <c r="L224" s="17"/>
      <c r="M224" s="17"/>
      <c r="N224" s="17" t="str">
        <f>IF(N223=N$198,"OK","NOK")</f>
        <v>OK</v>
      </c>
      <c r="O224" s="17" t="str">
        <f>IF(O223=O$198,"OK","NOK")</f>
        <v>OK</v>
      </c>
      <c r="P224" s="17"/>
      <c r="Q224" s="17" t="str">
        <f>IF(Q223=Q$198,"OK","NOK")</f>
        <v>OK</v>
      </c>
      <c r="R224" s="17" t="str">
        <f>IF(R223=R$198,"OK","NOK")</f>
        <v>OK</v>
      </c>
      <c r="S224" s="17"/>
      <c r="T224" s="17" t="str">
        <f>IF(T223=T$198,"OK","NOK")</f>
        <v>OK</v>
      </c>
      <c r="U224" s="17" t="str">
        <f>IF(U223=U$198,"OK","NOK")</f>
        <v>OK</v>
      </c>
      <c r="V224" s="359"/>
      <c r="W224" s="382"/>
      <c r="X224" s="646"/>
      <c r="Y224" s="646"/>
      <c r="Z224" s="201"/>
      <c r="AA224" s="201"/>
      <c r="AB224" s="201"/>
      <c r="AC224" s="84"/>
      <c r="AE224" s="17"/>
      <c r="AF224" s="17"/>
      <c r="AG224" s="17"/>
      <c r="AH224" s="646"/>
      <c r="AI224" s="91"/>
      <c r="AK224" s="17"/>
      <c r="AL224" s="17"/>
      <c r="AM224" s="17"/>
      <c r="AN224" s="646"/>
      <c r="AO224" s="91"/>
      <c r="AQ224" s="17"/>
      <c r="AR224" s="17"/>
      <c r="AS224" s="17"/>
      <c r="AT224" s="646"/>
      <c r="AU224" s="91"/>
      <c r="AW224" s="17"/>
      <c r="AX224" s="17"/>
      <c r="AY224" s="17"/>
      <c r="AZ224" s="17"/>
      <c r="BA224" s="91"/>
    </row>
    <row r="225" spans="1:53" ht="17.100000000000001" customHeight="1" x14ac:dyDescent="0.25">
      <c r="A225" s="40"/>
      <c r="B225" s="299" t="s">
        <v>452</v>
      </c>
      <c r="C225" s="274" t="s">
        <v>1057</v>
      </c>
      <c r="D225" s="300"/>
      <c r="E225" s="50"/>
      <c r="F225" s="50"/>
      <c r="G225" s="301"/>
      <c r="H225" s="119"/>
      <c r="I225" s="138"/>
      <c r="J225" s="88"/>
      <c r="K225" s="88"/>
      <c r="L225" s="71"/>
      <c r="M225" s="71"/>
      <c r="N225" s="71"/>
      <c r="O225" s="71"/>
      <c r="P225" s="71"/>
      <c r="Q225" s="71"/>
      <c r="R225" s="71"/>
      <c r="S225" s="71"/>
      <c r="T225" s="71"/>
      <c r="U225" s="71"/>
      <c r="V225" s="71"/>
      <c r="W225" s="71"/>
      <c r="X225" s="71"/>
      <c r="Y225" s="71"/>
      <c r="Z225" s="90"/>
      <c r="AA225" s="90"/>
      <c r="AB225" s="90"/>
      <c r="AC225" s="73"/>
      <c r="AE225" s="87"/>
      <c r="AF225" s="87"/>
      <c r="AG225" s="71"/>
      <c r="AH225" s="89"/>
      <c r="AI225" s="90"/>
      <c r="AJ225" s="117"/>
      <c r="AK225" s="87"/>
      <c r="AL225" s="87"/>
      <c r="AM225" s="71"/>
      <c r="AN225" s="89"/>
      <c r="AO225" s="90"/>
      <c r="AP225" s="117"/>
      <c r="AQ225" s="87"/>
      <c r="AR225" s="87"/>
      <c r="AS225" s="71"/>
      <c r="AT225" s="89"/>
      <c r="AU225" s="90"/>
      <c r="AV225" s="117"/>
      <c r="AW225" s="87"/>
      <c r="AX225" s="87"/>
      <c r="AY225" s="71"/>
      <c r="AZ225" s="89"/>
      <c r="BA225" s="90"/>
    </row>
    <row r="226" spans="1:53" ht="17.100000000000001" customHeight="1" x14ac:dyDescent="0.25">
      <c r="A226" s="40"/>
      <c r="B226" s="302"/>
      <c r="C226" s="56" t="s">
        <v>454</v>
      </c>
      <c r="D226" s="85" t="s">
        <v>173</v>
      </c>
      <c r="E226" s="167"/>
      <c r="F226" s="151"/>
      <c r="G226" s="151"/>
      <c r="H226" s="119"/>
      <c r="I226" s="138"/>
      <c r="J226" s="174"/>
      <c r="K226" s="174"/>
      <c r="L226" s="111"/>
      <c r="M226" s="111"/>
      <c r="N226" s="60"/>
      <c r="O226" s="60"/>
      <c r="P226" s="17">
        <f t="shared" ref="P226:P227" si="237">SUM(N226:O226)</f>
        <v>0</v>
      </c>
      <c r="Q226" s="60"/>
      <c r="R226" s="60"/>
      <c r="S226" s="17">
        <f t="shared" ref="S226:S227" si="238">SUM(Q226:R226)</f>
        <v>0</v>
      </c>
      <c r="T226" s="60"/>
      <c r="U226" s="60"/>
      <c r="V226" s="17">
        <f t="shared" ref="V226:V227" si="239">SUM(T226:U226)</f>
        <v>0</v>
      </c>
      <c r="W226" s="391">
        <f t="shared" ref="W226:W227" si="240">J226+K226+N226+Q226+T226</f>
        <v>0</v>
      </c>
      <c r="X226" s="17">
        <f t="shared" ref="X226:X227" si="241">L226+O226+R226+U226</f>
        <v>0</v>
      </c>
      <c r="Y226" s="18">
        <f t="shared" ref="Y226:Y227" si="242">SUM(W226:X226)</f>
        <v>0</v>
      </c>
      <c r="Z226" s="19">
        <f>IF(Y$223=0,0,Y226/Y$223)</f>
        <v>0</v>
      </c>
      <c r="AA226" s="91"/>
      <c r="AB226" s="91"/>
      <c r="AC226" s="84"/>
      <c r="AE226" s="111"/>
      <c r="AF226" s="111"/>
      <c r="AG226" s="111"/>
      <c r="AH226" s="112"/>
      <c r="AI226" s="113"/>
      <c r="AJ226" s="117"/>
      <c r="AK226" s="111"/>
      <c r="AL226" s="111"/>
      <c r="AM226" s="111"/>
      <c r="AN226" s="112"/>
      <c r="AO226" s="113"/>
      <c r="AP226" s="117"/>
      <c r="AQ226" s="17"/>
      <c r="AR226" s="17"/>
      <c r="AS226" s="17"/>
      <c r="AT226" s="18">
        <f t="shared" ref="AT226:AT227" si="243">W226</f>
        <v>0</v>
      </c>
      <c r="AU226" s="19">
        <f>IF(AT$444=0,0,AT226/AT$444)</f>
        <v>0</v>
      </c>
      <c r="AV226" s="117"/>
      <c r="AW226" s="17"/>
      <c r="AX226" s="17"/>
      <c r="AY226" s="17"/>
      <c r="AZ226" s="18">
        <f t="shared" ref="AZ226:AZ227" si="244">X226</f>
        <v>0</v>
      </c>
      <c r="BA226" s="19">
        <f>IF(AZ$444=0,0,AZ226/AZ$444)</f>
        <v>0</v>
      </c>
    </row>
    <row r="227" spans="1:53" ht="17.100000000000001" customHeight="1" x14ac:dyDescent="0.25">
      <c r="A227" s="40"/>
      <c r="B227" s="302"/>
      <c r="C227" s="56" t="s">
        <v>455</v>
      </c>
      <c r="D227" s="85" t="s">
        <v>544</v>
      </c>
      <c r="E227" s="167"/>
      <c r="F227" s="151"/>
      <c r="G227" s="151"/>
      <c r="H227" s="119"/>
      <c r="I227" s="138"/>
      <c r="J227" s="174"/>
      <c r="K227" s="174"/>
      <c r="L227" s="111"/>
      <c r="M227" s="111"/>
      <c r="N227" s="61"/>
      <c r="O227" s="61"/>
      <c r="P227" s="17">
        <f t="shared" si="237"/>
        <v>0</v>
      </c>
      <c r="Q227" s="61"/>
      <c r="R227" s="61"/>
      <c r="S227" s="17">
        <f t="shared" si="238"/>
        <v>0</v>
      </c>
      <c r="T227" s="61"/>
      <c r="U227" s="61"/>
      <c r="V227" s="17">
        <f t="shared" si="239"/>
        <v>0</v>
      </c>
      <c r="W227" s="391">
        <f t="shared" si="240"/>
        <v>0</v>
      </c>
      <c r="X227" s="17">
        <f t="shared" si="241"/>
        <v>0</v>
      </c>
      <c r="Y227" s="18">
        <f t="shared" si="242"/>
        <v>0</v>
      </c>
      <c r="Z227" s="19">
        <f t="shared" ref="Z227" si="245">IF(Y$223=0,0,Y227/Y$223)</f>
        <v>0</v>
      </c>
      <c r="AA227" s="91"/>
      <c r="AB227" s="91"/>
      <c r="AC227" s="84"/>
      <c r="AE227" s="111"/>
      <c r="AF227" s="111"/>
      <c r="AG227" s="111"/>
      <c r="AH227" s="112"/>
      <c r="AI227" s="113"/>
      <c r="AJ227" s="117"/>
      <c r="AK227" s="111"/>
      <c r="AL227" s="111"/>
      <c r="AM227" s="111"/>
      <c r="AN227" s="112"/>
      <c r="AO227" s="113"/>
      <c r="AP227" s="117"/>
      <c r="AQ227" s="17"/>
      <c r="AR227" s="17"/>
      <c r="AS227" s="17"/>
      <c r="AT227" s="18">
        <f t="shared" si="243"/>
        <v>0</v>
      </c>
      <c r="AU227" s="19">
        <f>IF(AT$444=0,0,AT227/AT$444)</f>
        <v>0</v>
      </c>
      <c r="AV227" s="117"/>
      <c r="AW227" s="17"/>
      <c r="AX227" s="17"/>
      <c r="AY227" s="17"/>
      <c r="AZ227" s="18">
        <f t="shared" si="244"/>
        <v>0</v>
      </c>
      <c r="BA227" s="19">
        <f>IF(AZ$444=0,0,AZ227/AZ$444)</f>
        <v>0</v>
      </c>
    </row>
    <row r="228" spans="1:53" ht="17.100000000000001" customHeight="1" x14ac:dyDescent="0.25">
      <c r="A228" s="40"/>
      <c r="B228" s="40"/>
      <c r="C228" s="56" t="s">
        <v>456</v>
      </c>
      <c r="D228" s="146" t="s">
        <v>484</v>
      </c>
      <c r="E228" s="149"/>
      <c r="F228" s="151"/>
      <c r="G228" s="151"/>
      <c r="H228" s="119"/>
      <c r="I228" s="236"/>
      <c r="J228" s="174"/>
      <c r="K228" s="174"/>
      <c r="L228" s="111"/>
      <c r="M228" s="111"/>
      <c r="N228" s="60"/>
      <c r="O228" s="60"/>
      <c r="P228" s="17"/>
      <c r="Q228" s="60"/>
      <c r="R228" s="60"/>
      <c r="S228" s="17"/>
      <c r="T228" s="60"/>
      <c r="U228" s="60"/>
      <c r="V228" s="17"/>
      <c r="W228" s="391">
        <f>MIN(N228,Q228,T228)</f>
        <v>0</v>
      </c>
      <c r="X228" s="17">
        <f>MIN(O228,R228,U228)</f>
        <v>0</v>
      </c>
      <c r="Y228" s="18"/>
      <c r="Z228" s="19"/>
      <c r="AA228" s="17">
        <f>MIN(N228:U228)</f>
        <v>0</v>
      </c>
      <c r="AB228" s="17"/>
      <c r="AC228" s="17"/>
      <c r="AE228" s="111"/>
      <c r="AF228" s="111"/>
      <c r="AG228" s="111"/>
      <c r="AH228" s="651"/>
      <c r="AI228" s="131"/>
      <c r="AJ228" s="117"/>
      <c r="AK228" s="111"/>
      <c r="AL228" s="111"/>
      <c r="AM228" s="111"/>
      <c r="AN228" s="651"/>
      <c r="AO228" s="131"/>
      <c r="AP228" s="117"/>
      <c r="AQ228" s="17">
        <f>W228</f>
        <v>0</v>
      </c>
      <c r="AR228" s="17"/>
      <c r="AS228" s="17"/>
      <c r="AT228" s="18"/>
      <c r="AU228" s="19"/>
      <c r="AV228" s="117"/>
      <c r="AW228" s="17">
        <f>X228</f>
        <v>0</v>
      </c>
      <c r="AX228" s="17"/>
      <c r="AY228" s="17"/>
      <c r="AZ228" s="18"/>
      <c r="BA228" s="19"/>
    </row>
    <row r="229" spans="1:53" ht="17.100000000000001" customHeight="1" x14ac:dyDescent="0.25">
      <c r="A229" s="40"/>
      <c r="B229" s="40"/>
      <c r="C229" s="56" t="s">
        <v>546</v>
      </c>
      <c r="D229" s="146" t="s">
        <v>485</v>
      </c>
      <c r="E229" s="149"/>
      <c r="F229" s="151"/>
      <c r="G229" s="151"/>
      <c r="H229" s="119"/>
      <c r="I229" s="236"/>
      <c r="J229" s="174"/>
      <c r="K229" s="174"/>
      <c r="L229" s="111"/>
      <c r="M229" s="111"/>
      <c r="N229" s="61"/>
      <c r="O229" s="61"/>
      <c r="P229" s="17"/>
      <c r="Q229" s="61"/>
      <c r="R229" s="61"/>
      <c r="S229" s="17"/>
      <c r="T229" s="61"/>
      <c r="U229" s="61"/>
      <c r="V229" s="17"/>
      <c r="W229" s="391">
        <f>MAX(N229,Q229,T229)</f>
        <v>0</v>
      </c>
      <c r="X229" s="17">
        <f>MAX(O229,R229,U229)</f>
        <v>0</v>
      </c>
      <c r="Y229" s="18"/>
      <c r="Z229" s="19"/>
      <c r="AA229" s="17"/>
      <c r="AB229" s="17">
        <f>MAX(N229:U229)</f>
        <v>0</v>
      </c>
      <c r="AC229" s="17"/>
      <c r="AE229" s="111"/>
      <c r="AF229" s="111"/>
      <c r="AG229" s="111"/>
      <c r="AH229" s="651"/>
      <c r="AI229" s="131"/>
      <c r="AJ229" s="117"/>
      <c r="AK229" s="111"/>
      <c r="AL229" s="111"/>
      <c r="AM229" s="111"/>
      <c r="AN229" s="651"/>
      <c r="AO229" s="131"/>
      <c r="AP229" s="117"/>
      <c r="AQ229" s="17"/>
      <c r="AR229" s="17">
        <f>W229</f>
        <v>0</v>
      </c>
      <c r="AS229" s="17"/>
      <c r="AT229" s="18"/>
      <c r="AU229" s="19"/>
      <c r="AV229" s="117"/>
      <c r="AW229" s="17"/>
      <c r="AX229" s="17">
        <f>X229</f>
        <v>0</v>
      </c>
      <c r="AY229" s="17"/>
      <c r="AZ229" s="18"/>
      <c r="BA229" s="19"/>
    </row>
    <row r="230" spans="1:53" ht="17.100000000000001" customHeight="1" x14ac:dyDescent="0.25">
      <c r="A230" s="40"/>
      <c r="B230" s="40"/>
      <c r="C230" s="56" t="s">
        <v>547</v>
      </c>
      <c r="D230" s="146" t="s">
        <v>543</v>
      </c>
      <c r="E230" s="149"/>
      <c r="F230" s="151"/>
      <c r="G230" s="151"/>
      <c r="H230" s="119"/>
      <c r="I230" s="236"/>
      <c r="J230" s="174"/>
      <c r="K230" s="174"/>
      <c r="L230" s="111"/>
      <c r="M230" s="111"/>
      <c r="N230" s="60"/>
      <c r="O230" s="60"/>
      <c r="P230" s="17"/>
      <c r="Q230" s="60"/>
      <c r="R230" s="60"/>
      <c r="S230" s="17"/>
      <c r="T230" s="60"/>
      <c r="U230" s="60"/>
      <c r="V230" s="17"/>
      <c r="W230" s="391">
        <f>IF(N230+Q230+T230=0,0,AVERAGE(N230,Q230,T230))</f>
        <v>0</v>
      </c>
      <c r="X230" s="17">
        <f>IF(O230+R230+U230=0,0,AVERAGE(O230,R230,U230))</f>
        <v>0</v>
      </c>
      <c r="Y230" s="18"/>
      <c r="Z230" s="19"/>
      <c r="AA230" s="17"/>
      <c r="AB230" s="17"/>
      <c r="AC230" s="17">
        <f>IF(SUM(N230:U230)=0,0,AVERAGE(N230:U230))</f>
        <v>0</v>
      </c>
      <c r="AE230" s="111"/>
      <c r="AF230" s="111"/>
      <c r="AG230" s="111"/>
      <c r="AH230" s="651"/>
      <c r="AI230" s="131"/>
      <c r="AJ230" s="117"/>
      <c r="AK230" s="111"/>
      <c r="AL230" s="111"/>
      <c r="AM230" s="111"/>
      <c r="AN230" s="651"/>
      <c r="AO230" s="131"/>
      <c r="AP230" s="117"/>
      <c r="AQ230" s="17"/>
      <c r="AR230" s="17"/>
      <c r="AS230" s="17">
        <f>W230</f>
        <v>0</v>
      </c>
      <c r="AT230" s="18"/>
      <c r="AU230" s="19"/>
      <c r="AV230" s="117"/>
      <c r="AW230" s="17"/>
      <c r="AX230" s="17"/>
      <c r="AY230" s="17">
        <f>X230</f>
        <v>0</v>
      </c>
      <c r="AZ230" s="18"/>
      <c r="BA230" s="19"/>
    </row>
    <row r="231" spans="1:53" ht="17.100000000000001" customHeight="1" x14ac:dyDescent="0.25">
      <c r="A231" s="40"/>
      <c r="B231" s="179"/>
      <c r="C231" s="56" t="s">
        <v>548</v>
      </c>
      <c r="D231" s="85" t="s">
        <v>129</v>
      </c>
      <c r="E231" s="167"/>
      <c r="F231" s="151"/>
      <c r="G231" s="151"/>
      <c r="H231" s="119"/>
      <c r="I231" s="138"/>
      <c r="J231" s="174"/>
      <c r="K231" s="174"/>
      <c r="L231" s="111"/>
      <c r="M231" s="111"/>
      <c r="N231" s="61"/>
      <c r="O231" s="61"/>
      <c r="P231" s="17">
        <f t="shared" ref="P231" si="246">SUM(N231:O231)</f>
        <v>0</v>
      </c>
      <c r="Q231" s="61"/>
      <c r="R231" s="61"/>
      <c r="S231" s="17">
        <f t="shared" ref="S231" si="247">SUM(Q231:R231)</f>
        <v>0</v>
      </c>
      <c r="T231" s="61"/>
      <c r="U231" s="61"/>
      <c r="V231" s="17">
        <f t="shared" ref="V231" si="248">SUM(T231:U231)</f>
        <v>0</v>
      </c>
      <c r="W231" s="391">
        <f t="shared" ref="W231" si="249">J231+K231+N231+Q231+T231</f>
        <v>0</v>
      </c>
      <c r="X231" s="17">
        <f t="shared" ref="X231" si="250">L231+O231+R231+U231</f>
        <v>0</v>
      </c>
      <c r="Y231" s="18">
        <f t="shared" ref="Y231" si="251">SUM(W231:X231)</f>
        <v>0</v>
      </c>
      <c r="Z231" s="19">
        <f t="shared" ref="Z231:Z232" si="252">IF(Y$223=0,0,Y231/Y$223)</f>
        <v>0</v>
      </c>
      <c r="AA231" s="91"/>
      <c r="AB231" s="91"/>
      <c r="AC231" s="84"/>
      <c r="AE231" s="111"/>
      <c r="AF231" s="111"/>
      <c r="AG231" s="111"/>
      <c r="AH231" s="112"/>
      <c r="AI231" s="113"/>
      <c r="AJ231" s="117"/>
      <c r="AK231" s="111"/>
      <c r="AL231" s="111"/>
      <c r="AM231" s="111"/>
      <c r="AN231" s="112"/>
      <c r="AO231" s="113"/>
      <c r="AP231" s="117"/>
      <c r="AQ231" s="17"/>
      <c r="AR231" s="17"/>
      <c r="AS231" s="17"/>
      <c r="AT231" s="18">
        <f t="shared" ref="AT231" si="253">W231</f>
        <v>0</v>
      </c>
      <c r="AU231" s="19">
        <f>IF(AT$444=0,0,AT231/AT$444)</f>
        <v>0</v>
      </c>
      <c r="AV231" s="117"/>
      <c r="AW231" s="17"/>
      <c r="AX231" s="17"/>
      <c r="AY231" s="17"/>
      <c r="AZ231" s="18">
        <f t="shared" ref="AZ231" si="254">X231</f>
        <v>0</v>
      </c>
      <c r="BA231" s="19">
        <f>IF(AZ$444=0,0,AZ231/AZ$444)</f>
        <v>0</v>
      </c>
    </row>
    <row r="232" spans="1:53" ht="17.100000000000001" customHeight="1" x14ac:dyDescent="0.25">
      <c r="A232" s="40"/>
      <c r="B232" s="179"/>
      <c r="C232" s="292"/>
      <c r="D232" s="144"/>
      <c r="E232" s="144"/>
      <c r="F232" s="145"/>
      <c r="G232" s="145"/>
      <c r="H232" s="119"/>
      <c r="I232" s="138"/>
      <c r="J232" s="64"/>
      <c r="K232" s="64"/>
      <c r="L232" s="64"/>
      <c r="M232" s="64"/>
      <c r="N232" s="64">
        <f>N226+N227+N231</f>
        <v>0</v>
      </c>
      <c r="O232" s="64">
        <f t="shared" ref="O232:V232" si="255">O226+O227+O231</f>
        <v>0</v>
      </c>
      <c r="P232" s="64">
        <f t="shared" si="255"/>
        <v>0</v>
      </c>
      <c r="Q232" s="64">
        <f t="shared" si="255"/>
        <v>0</v>
      </c>
      <c r="R232" s="64">
        <f t="shared" si="255"/>
        <v>0</v>
      </c>
      <c r="S232" s="64">
        <f t="shared" si="255"/>
        <v>0</v>
      </c>
      <c r="T232" s="64">
        <f t="shared" si="255"/>
        <v>0</v>
      </c>
      <c r="U232" s="64">
        <f t="shared" si="255"/>
        <v>0</v>
      </c>
      <c r="V232" s="64">
        <f t="shared" si="255"/>
        <v>0</v>
      </c>
      <c r="W232" s="224">
        <f>SUM(W226:W231)</f>
        <v>0</v>
      </c>
      <c r="X232" s="224">
        <f t="shared" ref="X232:Y232" si="256">SUM(X226:X231)</f>
        <v>0</v>
      </c>
      <c r="Y232" s="224">
        <f t="shared" si="256"/>
        <v>0</v>
      </c>
      <c r="Z232" s="66">
        <f t="shared" si="252"/>
        <v>0</v>
      </c>
      <c r="AA232" s="205"/>
      <c r="AB232" s="205"/>
      <c r="AC232" s="83"/>
      <c r="AE232" s="80"/>
      <c r="AF232" s="80"/>
      <c r="AG232" s="81"/>
      <c r="AH232" s="82"/>
      <c r="AI232" s="66"/>
      <c r="AJ232" s="117"/>
      <c r="AK232" s="80"/>
      <c r="AL232" s="80"/>
      <c r="AM232" s="81"/>
      <c r="AN232" s="82"/>
      <c r="AO232" s="66"/>
      <c r="AP232" s="117"/>
      <c r="AQ232" s="80"/>
      <c r="AR232" s="80"/>
      <c r="AS232" s="81"/>
      <c r="AT232" s="82">
        <f>SUM(AT226:AT231)</f>
        <v>0</v>
      </c>
      <c r="AU232" s="66">
        <f>IF(AT$444=0,0,AT232/AT$444)</f>
        <v>0</v>
      </c>
      <c r="AV232" s="117"/>
      <c r="AW232" s="80"/>
      <c r="AX232" s="80"/>
      <c r="AY232" s="81"/>
      <c r="AZ232" s="82">
        <f>SUM(AZ226:AZ231)</f>
        <v>0</v>
      </c>
      <c r="BA232" s="66">
        <f>IF(AZ$444=0,0,AZ232/AZ$444)</f>
        <v>0</v>
      </c>
    </row>
    <row r="233" spans="1:53" s="117" customFormat="1" ht="17.100000000000001" customHeight="1" x14ac:dyDescent="0.25">
      <c r="A233" s="119"/>
      <c r="B233" s="119"/>
      <c r="C233" s="647"/>
      <c r="D233" s="212"/>
      <c r="E233" s="212"/>
      <c r="F233" s="212"/>
      <c r="G233" s="212"/>
      <c r="H233" s="242"/>
      <c r="I233" s="230"/>
      <c r="J233" s="17"/>
      <c r="K233" s="17"/>
      <c r="L233" s="17"/>
      <c r="M233" s="17"/>
      <c r="N233" s="17" t="str">
        <f>IF(N232=N$198,"OK","NOK")</f>
        <v>OK</v>
      </c>
      <c r="O233" s="17" t="str">
        <f>IF(O232=O$198,"OK","NOK")</f>
        <v>OK</v>
      </c>
      <c r="P233" s="17"/>
      <c r="Q233" s="17" t="str">
        <f>IF(Q232=Q$198,"OK","NOK")</f>
        <v>OK</v>
      </c>
      <c r="R233" s="17" t="str">
        <f>IF(R232=R$198,"OK","NOK")</f>
        <v>OK</v>
      </c>
      <c r="S233" s="17"/>
      <c r="T233" s="17" t="str">
        <f>IF(T232=T$198,"OK","NOK")</f>
        <v>OK</v>
      </c>
      <c r="U233" s="17" t="str">
        <f>IF(U232=U$198,"OK","NOK")</f>
        <v>OK</v>
      </c>
      <c r="V233" s="359"/>
      <c r="W233" s="382"/>
      <c r="X233" s="646"/>
      <c r="Y233" s="646"/>
      <c r="Z233" s="201"/>
      <c r="AA233" s="201"/>
      <c r="AB233" s="201"/>
      <c r="AC233" s="84"/>
      <c r="AE233" s="17"/>
      <c r="AF233" s="17"/>
      <c r="AG233" s="17"/>
      <c r="AH233" s="646"/>
      <c r="AI233" s="91"/>
      <c r="AK233" s="17"/>
      <c r="AL233" s="17"/>
      <c r="AM233" s="17"/>
      <c r="AN233" s="646"/>
      <c r="AO233" s="91"/>
      <c r="AQ233" s="17"/>
      <c r="AR233" s="17"/>
      <c r="AS233" s="17"/>
      <c r="AT233" s="646"/>
      <c r="AU233" s="91"/>
      <c r="AW233" s="17"/>
      <c r="AX233" s="17"/>
      <c r="AY233" s="17"/>
      <c r="AZ233" s="17"/>
      <c r="BA233" s="91"/>
    </row>
    <row r="234" spans="1:53" ht="17.100000000000001" customHeight="1" x14ac:dyDescent="0.25">
      <c r="A234" s="40"/>
      <c r="B234" s="299" t="s">
        <v>1058</v>
      </c>
      <c r="C234" s="274" t="s">
        <v>759</v>
      </c>
      <c r="D234" s="50"/>
      <c r="E234" s="50"/>
      <c r="F234" s="50"/>
      <c r="G234" s="301"/>
      <c r="H234" s="119"/>
      <c r="I234" s="138"/>
      <c r="J234" s="88"/>
      <c r="K234" s="88"/>
      <c r="L234" s="71"/>
      <c r="M234" s="71"/>
      <c r="N234" s="71"/>
      <c r="O234" s="71"/>
      <c r="P234" s="71"/>
      <c r="Q234" s="71"/>
      <c r="R234" s="71"/>
      <c r="S234" s="71"/>
      <c r="T234" s="71"/>
      <c r="U234" s="71"/>
      <c r="V234" s="71"/>
      <c r="W234" s="71"/>
      <c r="X234" s="71"/>
      <c r="Y234" s="71"/>
      <c r="Z234" s="90"/>
      <c r="AA234" s="90"/>
      <c r="AB234" s="90"/>
      <c r="AC234" s="73"/>
      <c r="AE234" s="71"/>
      <c r="AF234" s="71"/>
      <c r="AG234" s="89"/>
      <c r="AH234" s="90"/>
      <c r="AI234" s="73"/>
      <c r="AK234" s="71"/>
      <c r="AL234" s="71"/>
      <c r="AM234" s="89"/>
      <c r="AN234" s="90"/>
      <c r="AO234" s="73"/>
      <c r="AQ234" s="71"/>
      <c r="AR234" s="71"/>
      <c r="AS234" s="89"/>
      <c r="AT234" s="90"/>
      <c r="AU234" s="73"/>
      <c r="AW234" s="71"/>
      <c r="AX234" s="71"/>
      <c r="AY234" s="89"/>
      <c r="AZ234" s="90"/>
      <c r="BA234" s="73"/>
    </row>
    <row r="235" spans="1:53" ht="17.100000000000001" customHeight="1" x14ac:dyDescent="0.25">
      <c r="A235" s="40"/>
      <c r="B235" s="55"/>
      <c r="C235" s="56" t="s">
        <v>1059</v>
      </c>
      <c r="D235" s="85" t="s">
        <v>478</v>
      </c>
      <c r="E235" s="149"/>
      <c r="F235" s="149"/>
      <c r="G235" s="151"/>
      <c r="H235" s="119"/>
      <c r="I235" s="138"/>
      <c r="J235" s="174"/>
      <c r="K235" s="174"/>
      <c r="L235" s="111"/>
      <c r="M235" s="111"/>
      <c r="N235" s="60"/>
      <c r="O235" s="60"/>
      <c r="P235" s="17">
        <f t="shared" ref="P235:P242" si="257">SUM(N235:O235)</f>
        <v>0</v>
      </c>
      <c r="Q235" s="60"/>
      <c r="R235" s="60"/>
      <c r="S235" s="17">
        <f t="shared" ref="S235:S242" si="258">SUM(Q235:R235)</f>
        <v>0</v>
      </c>
      <c r="T235" s="60"/>
      <c r="U235" s="60"/>
      <c r="V235" s="17">
        <f t="shared" ref="V235:V242" si="259">SUM(T235:U235)</f>
        <v>0</v>
      </c>
      <c r="W235" s="391">
        <f t="shared" ref="W235:W242" si="260">J235+K235+N235+Q235+T235</f>
        <v>0</v>
      </c>
      <c r="X235" s="17">
        <f t="shared" ref="X235:X242" si="261">L235+O235+R235+U235</f>
        <v>0</v>
      </c>
      <c r="Y235" s="18">
        <f t="shared" ref="Y235:Y242" si="262">SUM(W235:X235)</f>
        <v>0</v>
      </c>
      <c r="Z235" s="19">
        <f>IF(Y$243=0,0,Y235/Y$243)</f>
        <v>0</v>
      </c>
      <c r="AA235" s="19"/>
      <c r="AB235" s="19"/>
      <c r="AC235" s="84"/>
      <c r="AD235" s="117"/>
      <c r="AE235" s="111"/>
      <c r="AF235" s="111"/>
      <c r="AG235" s="111"/>
      <c r="AH235" s="651"/>
      <c r="AI235" s="131"/>
      <c r="AK235" s="111"/>
      <c r="AL235" s="111"/>
      <c r="AM235" s="111"/>
      <c r="AN235" s="651"/>
      <c r="AO235" s="131"/>
      <c r="AQ235" s="17"/>
      <c r="AR235" s="17"/>
      <c r="AS235" s="17"/>
      <c r="AT235" s="424">
        <f>W235</f>
        <v>0</v>
      </c>
      <c r="AU235" s="19">
        <f>IF(AT$243=0,0,AT235/AT$243)</f>
        <v>0</v>
      </c>
      <c r="AW235" s="17"/>
      <c r="AX235" s="17"/>
      <c r="AY235" s="17"/>
      <c r="AZ235" s="424">
        <f>X235</f>
        <v>0</v>
      </c>
      <c r="BA235" s="19">
        <f>IF(AZ$243=0,0,AZ235/AZ$243)</f>
        <v>0</v>
      </c>
    </row>
    <row r="236" spans="1:53" ht="17.100000000000001" customHeight="1" x14ac:dyDescent="0.25">
      <c r="A236" s="40"/>
      <c r="B236" s="55"/>
      <c r="C236" s="56" t="s">
        <v>1060</v>
      </c>
      <c r="D236" s="85" t="s">
        <v>165</v>
      </c>
      <c r="E236" s="149"/>
      <c r="F236" s="149"/>
      <c r="G236" s="151"/>
      <c r="H236" s="119"/>
      <c r="I236" s="138"/>
      <c r="J236" s="174"/>
      <c r="K236" s="174"/>
      <c r="L236" s="111"/>
      <c r="M236" s="111"/>
      <c r="N236" s="61"/>
      <c r="O236" s="61"/>
      <c r="P236" s="17">
        <f t="shared" si="257"/>
        <v>0</v>
      </c>
      <c r="Q236" s="61"/>
      <c r="R236" s="61"/>
      <c r="S236" s="17">
        <f t="shared" si="258"/>
        <v>0</v>
      </c>
      <c r="T236" s="61"/>
      <c r="U236" s="61"/>
      <c r="V236" s="17">
        <f t="shared" si="259"/>
        <v>0</v>
      </c>
      <c r="W236" s="391">
        <f t="shared" si="260"/>
        <v>0</v>
      </c>
      <c r="X236" s="17">
        <f t="shared" si="261"/>
        <v>0</v>
      </c>
      <c r="Y236" s="18">
        <f t="shared" si="262"/>
        <v>0</v>
      </c>
      <c r="Z236" s="19">
        <f t="shared" ref="Z236:Z243" si="263">IF(Y$243=0,0,Y236/Y$243)</f>
        <v>0</v>
      </c>
      <c r="AA236" s="19"/>
      <c r="AB236" s="19"/>
      <c r="AC236" s="84"/>
      <c r="AD236" s="117"/>
      <c r="AE236" s="111"/>
      <c r="AF236" s="111"/>
      <c r="AG236" s="111"/>
      <c r="AH236" s="651"/>
      <c r="AI236" s="131"/>
      <c r="AK236" s="111"/>
      <c r="AL236" s="111"/>
      <c r="AM236" s="111"/>
      <c r="AN236" s="651"/>
      <c r="AO236" s="131"/>
      <c r="AQ236" s="17"/>
      <c r="AR236" s="17"/>
      <c r="AS236" s="17"/>
      <c r="AT236" s="424">
        <f t="shared" ref="AT236:AT242" si="264">W236</f>
        <v>0</v>
      </c>
      <c r="AU236" s="19">
        <f t="shared" ref="AU236:AU243" si="265">IF(AT$243=0,0,AT236/AT$243)</f>
        <v>0</v>
      </c>
      <c r="AW236" s="17"/>
      <c r="AX236" s="17"/>
      <c r="AY236" s="17"/>
      <c r="AZ236" s="424">
        <f t="shared" ref="AZ236:AZ242" si="266">X236</f>
        <v>0</v>
      </c>
      <c r="BA236" s="19">
        <f t="shared" ref="BA236:BA243" si="267">IF(AZ$243=0,0,AZ236/AZ$243)</f>
        <v>0</v>
      </c>
    </row>
    <row r="237" spans="1:53" ht="17.100000000000001" customHeight="1" x14ac:dyDescent="0.25">
      <c r="A237" s="40"/>
      <c r="B237" s="55"/>
      <c r="C237" s="56" t="s">
        <v>1061</v>
      </c>
      <c r="D237" s="85" t="s">
        <v>167</v>
      </c>
      <c r="E237" s="149"/>
      <c r="F237" s="149"/>
      <c r="G237" s="151"/>
      <c r="H237" s="119"/>
      <c r="I237" s="138"/>
      <c r="J237" s="174"/>
      <c r="K237" s="174"/>
      <c r="L237" s="111"/>
      <c r="M237" s="111"/>
      <c r="N237" s="60"/>
      <c r="O237" s="60"/>
      <c r="P237" s="17">
        <f t="shared" si="257"/>
        <v>0</v>
      </c>
      <c r="Q237" s="60"/>
      <c r="R237" s="60"/>
      <c r="S237" s="17">
        <f t="shared" si="258"/>
        <v>0</v>
      </c>
      <c r="T237" s="60"/>
      <c r="U237" s="60"/>
      <c r="V237" s="17">
        <f t="shared" si="259"/>
        <v>0</v>
      </c>
      <c r="W237" s="391">
        <f t="shared" si="260"/>
        <v>0</v>
      </c>
      <c r="X237" s="17">
        <f t="shared" si="261"/>
        <v>0</v>
      </c>
      <c r="Y237" s="18">
        <f t="shared" si="262"/>
        <v>0</v>
      </c>
      <c r="Z237" s="19">
        <f t="shared" si="263"/>
        <v>0</v>
      </c>
      <c r="AA237" s="19"/>
      <c r="AB237" s="19"/>
      <c r="AC237" s="84"/>
      <c r="AD237" s="117"/>
      <c r="AE237" s="111"/>
      <c r="AF237" s="111"/>
      <c r="AG237" s="111"/>
      <c r="AH237" s="651"/>
      <c r="AI237" s="131"/>
      <c r="AK237" s="111"/>
      <c r="AL237" s="111"/>
      <c r="AM237" s="111"/>
      <c r="AN237" s="651"/>
      <c r="AO237" s="131"/>
      <c r="AQ237" s="17"/>
      <c r="AR237" s="17"/>
      <c r="AS237" s="17"/>
      <c r="AT237" s="424">
        <f t="shared" si="264"/>
        <v>0</v>
      </c>
      <c r="AU237" s="19">
        <f t="shared" si="265"/>
        <v>0</v>
      </c>
      <c r="AW237" s="17"/>
      <c r="AX237" s="17"/>
      <c r="AY237" s="17"/>
      <c r="AZ237" s="424">
        <f t="shared" si="266"/>
        <v>0</v>
      </c>
      <c r="BA237" s="19">
        <f t="shared" si="267"/>
        <v>0</v>
      </c>
    </row>
    <row r="238" spans="1:53" ht="17.100000000000001" customHeight="1" x14ac:dyDescent="0.25">
      <c r="A238" s="40"/>
      <c r="B238" s="55"/>
      <c r="C238" s="56" t="s">
        <v>1062</v>
      </c>
      <c r="D238" s="146" t="s">
        <v>991</v>
      </c>
      <c r="E238" s="149"/>
      <c r="F238" s="149"/>
      <c r="G238" s="151"/>
      <c r="H238" s="119"/>
      <c r="I238" s="138"/>
      <c r="J238" s="174"/>
      <c r="K238" s="174"/>
      <c r="L238" s="111"/>
      <c r="M238" s="111"/>
      <c r="N238" s="61"/>
      <c r="O238" s="61"/>
      <c r="P238" s="17">
        <f t="shared" si="257"/>
        <v>0</v>
      </c>
      <c r="Q238" s="61"/>
      <c r="R238" s="61"/>
      <c r="S238" s="17">
        <f t="shared" si="258"/>
        <v>0</v>
      </c>
      <c r="T238" s="61"/>
      <c r="U238" s="61"/>
      <c r="V238" s="17">
        <f t="shared" si="259"/>
        <v>0</v>
      </c>
      <c r="W238" s="391">
        <f t="shared" si="260"/>
        <v>0</v>
      </c>
      <c r="X238" s="17">
        <f t="shared" si="261"/>
        <v>0</v>
      </c>
      <c r="Y238" s="18">
        <f t="shared" si="262"/>
        <v>0</v>
      </c>
      <c r="Z238" s="19">
        <f t="shared" si="263"/>
        <v>0</v>
      </c>
      <c r="AA238" s="19"/>
      <c r="AB238" s="19"/>
      <c r="AC238" s="84"/>
      <c r="AD238" s="117"/>
      <c r="AE238" s="111"/>
      <c r="AF238" s="111"/>
      <c r="AG238" s="111"/>
      <c r="AH238" s="651"/>
      <c r="AI238" s="131"/>
      <c r="AK238" s="111"/>
      <c r="AL238" s="111"/>
      <c r="AM238" s="111"/>
      <c r="AN238" s="651"/>
      <c r="AO238" s="131"/>
      <c r="AQ238" s="17"/>
      <c r="AR238" s="17"/>
      <c r="AS238" s="17"/>
      <c r="AT238" s="424">
        <f t="shared" si="264"/>
        <v>0</v>
      </c>
      <c r="AU238" s="19">
        <f t="shared" si="265"/>
        <v>0</v>
      </c>
      <c r="AW238" s="17"/>
      <c r="AX238" s="17"/>
      <c r="AY238" s="17"/>
      <c r="AZ238" s="424">
        <f t="shared" si="266"/>
        <v>0</v>
      </c>
      <c r="BA238" s="19">
        <f t="shared" si="267"/>
        <v>0</v>
      </c>
    </row>
    <row r="239" spans="1:53" ht="17.100000000000001" customHeight="1" x14ac:dyDescent="0.25">
      <c r="A239" s="40"/>
      <c r="B239" s="55"/>
      <c r="C239" s="56" t="s">
        <v>1063</v>
      </c>
      <c r="D239" s="85" t="s">
        <v>438</v>
      </c>
      <c r="E239" s="149"/>
      <c r="F239" s="149"/>
      <c r="G239" s="151"/>
      <c r="H239" s="119"/>
      <c r="I239" s="138"/>
      <c r="J239" s="174"/>
      <c r="K239" s="174"/>
      <c r="L239" s="111"/>
      <c r="M239" s="111"/>
      <c r="N239" s="60"/>
      <c r="O239" s="60"/>
      <c r="P239" s="17">
        <f t="shared" si="257"/>
        <v>0</v>
      </c>
      <c r="Q239" s="60"/>
      <c r="R239" s="60"/>
      <c r="S239" s="17">
        <f t="shared" si="258"/>
        <v>0</v>
      </c>
      <c r="T239" s="60"/>
      <c r="U239" s="60"/>
      <c r="V239" s="17">
        <f t="shared" si="259"/>
        <v>0</v>
      </c>
      <c r="W239" s="391">
        <f t="shared" si="260"/>
        <v>0</v>
      </c>
      <c r="X239" s="17">
        <f t="shared" si="261"/>
        <v>0</v>
      </c>
      <c r="Y239" s="18">
        <f t="shared" si="262"/>
        <v>0</v>
      </c>
      <c r="Z239" s="19">
        <f t="shared" si="263"/>
        <v>0</v>
      </c>
      <c r="AA239" s="19"/>
      <c r="AB239" s="19"/>
      <c r="AC239" s="84"/>
      <c r="AD239" s="117"/>
      <c r="AE239" s="111"/>
      <c r="AF239" s="111"/>
      <c r="AG239" s="111"/>
      <c r="AH239" s="651"/>
      <c r="AI239" s="131"/>
      <c r="AK239" s="111"/>
      <c r="AL239" s="111"/>
      <c r="AM239" s="111"/>
      <c r="AN239" s="651"/>
      <c r="AO239" s="131"/>
      <c r="AQ239" s="17"/>
      <c r="AR239" s="17"/>
      <c r="AS239" s="17"/>
      <c r="AT239" s="424">
        <f t="shared" si="264"/>
        <v>0</v>
      </c>
      <c r="AU239" s="19">
        <f t="shared" si="265"/>
        <v>0</v>
      </c>
      <c r="AW239" s="17"/>
      <c r="AX239" s="17"/>
      <c r="AY239" s="17"/>
      <c r="AZ239" s="424">
        <f t="shared" si="266"/>
        <v>0</v>
      </c>
      <c r="BA239" s="19">
        <f t="shared" si="267"/>
        <v>0</v>
      </c>
    </row>
    <row r="240" spans="1:53" ht="17.100000000000001" customHeight="1" x14ac:dyDescent="0.25">
      <c r="A240" s="40"/>
      <c r="B240" s="55"/>
      <c r="C240" s="56" t="s">
        <v>1064</v>
      </c>
      <c r="D240" s="85" t="s">
        <v>439</v>
      </c>
      <c r="E240" s="149"/>
      <c r="F240" s="149"/>
      <c r="G240" s="151"/>
      <c r="H240" s="119"/>
      <c r="I240" s="138"/>
      <c r="J240" s="174"/>
      <c r="K240" s="174"/>
      <c r="L240" s="111"/>
      <c r="M240" s="111"/>
      <c r="N240" s="61"/>
      <c r="O240" s="61"/>
      <c r="P240" s="17">
        <f t="shared" si="257"/>
        <v>0</v>
      </c>
      <c r="Q240" s="61"/>
      <c r="R240" s="61"/>
      <c r="S240" s="17">
        <f t="shared" si="258"/>
        <v>0</v>
      </c>
      <c r="T240" s="61"/>
      <c r="U240" s="61"/>
      <c r="V240" s="17">
        <f t="shared" si="259"/>
        <v>0</v>
      </c>
      <c r="W240" s="391">
        <f t="shared" si="260"/>
        <v>0</v>
      </c>
      <c r="X240" s="17">
        <f t="shared" si="261"/>
        <v>0</v>
      </c>
      <c r="Y240" s="18">
        <f t="shared" si="262"/>
        <v>0</v>
      </c>
      <c r="Z240" s="19">
        <f t="shared" si="263"/>
        <v>0</v>
      </c>
      <c r="AA240" s="19"/>
      <c r="AB240" s="19"/>
      <c r="AC240" s="84"/>
      <c r="AD240" s="117"/>
      <c r="AE240" s="111"/>
      <c r="AF240" s="111"/>
      <c r="AG240" s="111"/>
      <c r="AH240" s="651"/>
      <c r="AI240" s="131"/>
      <c r="AK240" s="111"/>
      <c r="AL240" s="111"/>
      <c r="AM240" s="111"/>
      <c r="AN240" s="651"/>
      <c r="AO240" s="131"/>
      <c r="AQ240" s="17"/>
      <c r="AR240" s="17"/>
      <c r="AS240" s="17"/>
      <c r="AT240" s="424">
        <f t="shared" si="264"/>
        <v>0</v>
      </c>
      <c r="AU240" s="19">
        <f t="shared" si="265"/>
        <v>0</v>
      </c>
      <c r="AW240" s="17"/>
      <c r="AX240" s="17"/>
      <c r="AY240" s="17"/>
      <c r="AZ240" s="424">
        <f t="shared" si="266"/>
        <v>0</v>
      </c>
      <c r="BA240" s="19">
        <f t="shared" si="267"/>
        <v>0</v>
      </c>
    </row>
    <row r="241" spans="1:53" ht="17.100000000000001" customHeight="1" x14ac:dyDescent="0.25">
      <c r="A241" s="40"/>
      <c r="B241" s="55"/>
      <c r="C241" s="56" t="s">
        <v>1065</v>
      </c>
      <c r="D241" s="85" t="s">
        <v>483</v>
      </c>
      <c r="E241" s="149"/>
      <c r="F241" s="149"/>
      <c r="G241" s="151"/>
      <c r="H241" s="119"/>
      <c r="I241" s="138"/>
      <c r="J241" s="174"/>
      <c r="K241" s="174"/>
      <c r="L241" s="111"/>
      <c r="M241" s="111"/>
      <c r="N241" s="60"/>
      <c r="O241" s="60"/>
      <c r="P241" s="17">
        <f t="shared" si="257"/>
        <v>0</v>
      </c>
      <c r="Q241" s="60"/>
      <c r="R241" s="60"/>
      <c r="S241" s="17">
        <f t="shared" si="258"/>
        <v>0</v>
      </c>
      <c r="T241" s="60"/>
      <c r="U241" s="60"/>
      <c r="V241" s="17">
        <f t="shared" si="259"/>
        <v>0</v>
      </c>
      <c r="W241" s="391">
        <f t="shared" si="260"/>
        <v>0</v>
      </c>
      <c r="X241" s="17">
        <f t="shared" si="261"/>
        <v>0</v>
      </c>
      <c r="Y241" s="18">
        <f t="shared" si="262"/>
        <v>0</v>
      </c>
      <c r="Z241" s="19">
        <f t="shared" si="263"/>
        <v>0</v>
      </c>
      <c r="AA241" s="19"/>
      <c r="AB241" s="19"/>
      <c r="AC241" s="84"/>
      <c r="AD241" s="117"/>
      <c r="AE241" s="111"/>
      <c r="AF241" s="111"/>
      <c r="AG241" s="111"/>
      <c r="AH241" s="651"/>
      <c r="AI241" s="131"/>
      <c r="AK241" s="111"/>
      <c r="AL241" s="111"/>
      <c r="AM241" s="111"/>
      <c r="AN241" s="651"/>
      <c r="AO241" s="131"/>
      <c r="AQ241" s="17"/>
      <c r="AR241" s="17"/>
      <c r="AS241" s="17"/>
      <c r="AT241" s="424">
        <f t="shared" si="264"/>
        <v>0</v>
      </c>
      <c r="AU241" s="19">
        <f t="shared" si="265"/>
        <v>0</v>
      </c>
      <c r="AW241" s="17"/>
      <c r="AX241" s="17"/>
      <c r="AY241" s="17"/>
      <c r="AZ241" s="424">
        <f t="shared" si="266"/>
        <v>0</v>
      </c>
      <c r="BA241" s="19">
        <f t="shared" si="267"/>
        <v>0</v>
      </c>
    </row>
    <row r="242" spans="1:53" ht="17.100000000000001" customHeight="1" x14ac:dyDescent="0.25">
      <c r="A242" s="40"/>
      <c r="B242" s="55"/>
      <c r="C242" s="56" t="s">
        <v>1066</v>
      </c>
      <c r="D242" s="85" t="s">
        <v>129</v>
      </c>
      <c r="E242" s="149"/>
      <c r="F242" s="149"/>
      <c r="G242" s="151"/>
      <c r="H242" s="119"/>
      <c r="I242" s="138"/>
      <c r="J242" s="174"/>
      <c r="K242" s="174"/>
      <c r="L242" s="111"/>
      <c r="M242" s="111"/>
      <c r="N242" s="61"/>
      <c r="O242" s="61"/>
      <c r="P242" s="17">
        <f t="shared" si="257"/>
        <v>0</v>
      </c>
      <c r="Q242" s="61"/>
      <c r="R242" s="61"/>
      <c r="S242" s="17">
        <f t="shared" si="258"/>
        <v>0</v>
      </c>
      <c r="T242" s="61"/>
      <c r="U242" s="61"/>
      <c r="V242" s="17">
        <f t="shared" si="259"/>
        <v>0</v>
      </c>
      <c r="W242" s="391">
        <f t="shared" si="260"/>
        <v>0</v>
      </c>
      <c r="X242" s="17">
        <f t="shared" si="261"/>
        <v>0</v>
      </c>
      <c r="Y242" s="18">
        <f t="shared" si="262"/>
        <v>0</v>
      </c>
      <c r="Z242" s="19">
        <f t="shared" si="263"/>
        <v>0</v>
      </c>
      <c r="AA242" s="19"/>
      <c r="AB242" s="19"/>
      <c r="AC242" s="84"/>
      <c r="AD242" s="117"/>
      <c r="AE242" s="111"/>
      <c r="AF242" s="111"/>
      <c r="AG242" s="111"/>
      <c r="AH242" s="651"/>
      <c r="AI242" s="131"/>
      <c r="AK242" s="111"/>
      <c r="AL242" s="111"/>
      <c r="AM242" s="111"/>
      <c r="AN242" s="651"/>
      <c r="AO242" s="131"/>
      <c r="AQ242" s="17"/>
      <c r="AR242" s="17"/>
      <c r="AS242" s="17"/>
      <c r="AT242" s="424">
        <f t="shared" si="264"/>
        <v>0</v>
      </c>
      <c r="AU242" s="19">
        <f t="shared" si="265"/>
        <v>0</v>
      </c>
      <c r="AW242" s="17"/>
      <c r="AX242" s="17"/>
      <c r="AY242" s="17"/>
      <c r="AZ242" s="424">
        <f t="shared" si="266"/>
        <v>0</v>
      </c>
      <c r="BA242" s="19">
        <f t="shared" si="267"/>
        <v>0</v>
      </c>
    </row>
    <row r="243" spans="1:53" ht="17.100000000000001" customHeight="1" x14ac:dyDescent="0.25">
      <c r="A243" s="40"/>
      <c r="B243" s="40"/>
      <c r="C243" s="292"/>
      <c r="D243" s="144"/>
      <c r="E243" s="144"/>
      <c r="F243" s="145"/>
      <c r="G243" s="145"/>
      <c r="H243" s="119"/>
      <c r="I243" s="138"/>
      <c r="J243" s="64"/>
      <c r="K243" s="64"/>
      <c r="L243" s="64"/>
      <c r="M243" s="64"/>
      <c r="N243" s="64">
        <f>SUM(N235:N242)</f>
        <v>0</v>
      </c>
      <c r="O243" s="64">
        <f t="shared" ref="O243:V243" si="268">SUM(O235:O242)</f>
        <v>0</v>
      </c>
      <c r="P243" s="64">
        <f t="shared" si="268"/>
        <v>0</v>
      </c>
      <c r="Q243" s="64">
        <f t="shared" si="268"/>
        <v>0</v>
      </c>
      <c r="R243" s="64">
        <f t="shared" si="268"/>
        <v>0</v>
      </c>
      <c r="S243" s="64">
        <f t="shared" si="268"/>
        <v>0</v>
      </c>
      <c r="T243" s="64">
        <f t="shared" si="268"/>
        <v>0</v>
      </c>
      <c r="U243" s="64">
        <f t="shared" si="268"/>
        <v>0</v>
      </c>
      <c r="V243" s="64">
        <f t="shared" si="268"/>
        <v>0</v>
      </c>
      <c r="W243" s="224">
        <f>SUM(W235:W242)</f>
        <v>0</v>
      </c>
      <c r="X243" s="224">
        <f t="shared" ref="X243:Y243" si="269">SUM(X235:X242)</f>
        <v>0</v>
      </c>
      <c r="Y243" s="224">
        <f t="shared" si="269"/>
        <v>0</v>
      </c>
      <c r="Z243" s="66">
        <f t="shared" si="263"/>
        <v>0</v>
      </c>
      <c r="AA243" s="205"/>
      <c r="AB243" s="205"/>
      <c r="AC243" s="83"/>
      <c r="AE243" s="81"/>
      <c r="AF243" s="81"/>
      <c r="AG243" s="82"/>
      <c r="AH243" s="324"/>
      <c r="AI243" s="66"/>
      <c r="AK243" s="81"/>
      <c r="AL243" s="81"/>
      <c r="AM243" s="82"/>
      <c r="AN243" s="324"/>
      <c r="AO243" s="66"/>
      <c r="AQ243" s="81"/>
      <c r="AR243" s="81"/>
      <c r="AS243" s="82"/>
      <c r="AT243" s="426">
        <f>SUM(AT235:AT242)</f>
        <v>0</v>
      </c>
      <c r="AU243" s="66">
        <f t="shared" si="265"/>
        <v>0</v>
      </c>
      <c r="AW243" s="81"/>
      <c r="AX243" s="81"/>
      <c r="AY243" s="82"/>
      <c r="AZ243" s="426">
        <f>SUM(AZ235:AZ242)</f>
        <v>0</v>
      </c>
      <c r="BA243" s="66">
        <f t="shared" si="267"/>
        <v>0</v>
      </c>
    </row>
    <row r="244" spans="1:53" s="117" customFormat="1" ht="17.100000000000001" customHeight="1" x14ac:dyDescent="0.25">
      <c r="A244" s="68"/>
      <c r="B244" s="119"/>
      <c r="C244" s="647"/>
      <c r="D244" s="261"/>
      <c r="E244" s="261"/>
      <c r="F244" s="68"/>
      <c r="G244" s="68"/>
      <c r="H244" s="119"/>
      <c r="I244" s="138"/>
      <c r="J244" s="17"/>
      <c r="K244" s="17"/>
      <c r="L244" s="17"/>
      <c r="M244" s="17"/>
      <c r="N244" s="17" t="str">
        <f>IF(N243=N$450,"OK","NOK")</f>
        <v>OK</v>
      </c>
      <c r="O244" s="17" t="str">
        <f>IF(O243=O$450,"OK","NOK")</f>
        <v>OK</v>
      </c>
      <c r="P244" s="17"/>
      <c r="Q244" s="17" t="str">
        <f>IF(Q243=Q$450,"OK","NOK")</f>
        <v>OK</v>
      </c>
      <c r="R244" s="17" t="str">
        <f>IF(R243=R$450,"OK","NOK")</f>
        <v>OK</v>
      </c>
      <c r="S244" s="17"/>
      <c r="T244" s="17" t="str">
        <f>IF(T243=T$450,"OK","NOK")</f>
        <v>OK</v>
      </c>
      <c r="U244" s="17" t="str">
        <f>IF(U243=U$450,"OK","NOK")</f>
        <v>OK</v>
      </c>
      <c r="V244" s="359"/>
      <c r="W244" s="382"/>
      <c r="X244" s="646"/>
      <c r="Y244" s="646"/>
      <c r="Z244" s="201"/>
      <c r="AA244" s="201"/>
      <c r="AB244" s="201"/>
      <c r="AC244" s="84"/>
      <c r="AE244" s="46"/>
      <c r="AF244" s="46"/>
      <c r="AG244" s="17"/>
      <c r="AH244" s="646"/>
      <c r="AI244" s="91"/>
      <c r="AK244" s="46"/>
      <c r="AL244" s="46"/>
      <c r="AM244" s="17"/>
      <c r="AN244" s="646"/>
      <c r="AO244" s="91"/>
      <c r="AQ244" s="46"/>
      <c r="AR244" s="46"/>
      <c r="AS244" s="17"/>
      <c r="AT244" s="646"/>
      <c r="AU244" s="91"/>
      <c r="AW244" s="46"/>
      <c r="AX244" s="46"/>
      <c r="AY244" s="17"/>
      <c r="AZ244" s="646"/>
      <c r="BA244" s="91"/>
    </row>
    <row r="245" spans="1:53" s="117" customFormat="1" ht="17.100000000000001" customHeight="1" x14ac:dyDescent="0.25">
      <c r="A245" s="68"/>
      <c r="B245" s="119"/>
      <c r="C245" s="119"/>
      <c r="D245" s="56" t="s">
        <v>272</v>
      </c>
      <c r="E245" s="149" t="s">
        <v>751</v>
      </c>
      <c r="F245" s="149"/>
      <c r="G245" s="149"/>
      <c r="H245" s="182"/>
      <c r="I245" s="241"/>
      <c r="J245" s="152"/>
      <c r="K245" s="152"/>
      <c r="L245" s="111"/>
      <c r="M245" s="111"/>
      <c r="N245" s="111"/>
      <c r="O245" s="111"/>
      <c r="P245" s="111"/>
      <c r="Q245" s="111"/>
      <c r="R245" s="111"/>
      <c r="S245" s="111"/>
      <c r="T245" s="111"/>
      <c r="U245" s="111"/>
      <c r="V245" s="358"/>
      <c r="W245" s="380"/>
      <c r="X245" s="111"/>
      <c r="Y245" s="651"/>
      <c r="Z245" s="131"/>
      <c r="AA245" s="131"/>
      <c r="AB245" s="131"/>
      <c r="AC245" s="113"/>
      <c r="AE245" s="152"/>
      <c r="AF245" s="152"/>
      <c r="AG245" s="111"/>
      <c r="AH245" s="651"/>
      <c r="AI245" s="131"/>
      <c r="AK245" s="152"/>
      <c r="AL245" s="152"/>
      <c r="AM245" s="111"/>
      <c r="AN245" s="651"/>
      <c r="AO245" s="131"/>
      <c r="AQ245" s="152"/>
      <c r="AR245" s="152"/>
      <c r="AS245" s="111"/>
      <c r="AT245" s="651"/>
      <c r="AU245" s="131"/>
      <c r="AW245" s="152"/>
      <c r="AX245" s="152"/>
      <c r="AY245" s="111"/>
      <c r="AZ245" s="651"/>
      <c r="BA245" s="131"/>
    </row>
    <row r="246" spans="1:53" s="117" customFormat="1" ht="17.100000000000001" customHeight="1" x14ac:dyDescent="0.25">
      <c r="A246" s="68"/>
      <c r="B246" s="119"/>
      <c r="C246" s="55"/>
      <c r="D246" s="55"/>
      <c r="E246" s="74" t="s">
        <v>753</v>
      </c>
      <c r="F246" s="603" t="s">
        <v>752</v>
      </c>
      <c r="G246" s="603"/>
      <c r="H246" s="182"/>
      <c r="I246" s="241"/>
      <c r="J246" s="111"/>
      <c r="K246" s="152"/>
      <c r="L246" s="152"/>
      <c r="M246" s="152"/>
      <c r="N246" s="152"/>
      <c r="O246" s="111"/>
      <c r="P246" s="60"/>
      <c r="Q246" s="152"/>
      <c r="R246" s="111"/>
      <c r="S246" s="60"/>
      <c r="T246" s="152"/>
      <c r="U246" s="111"/>
      <c r="V246" s="361"/>
      <c r="W246" s="391"/>
      <c r="X246" s="17"/>
      <c r="Y246" s="18">
        <f t="shared" ref="Y246:Y248" si="270">M246+P246+S246+V246</f>
        <v>0</v>
      </c>
      <c r="Z246" s="19">
        <f>IF(Y$249=0,0,Y246/Y$249)</f>
        <v>0</v>
      </c>
      <c r="AA246" s="19"/>
      <c r="AB246" s="19"/>
      <c r="AC246" s="84"/>
      <c r="AE246" s="111"/>
      <c r="AF246" s="111"/>
      <c r="AG246" s="111"/>
      <c r="AH246" s="112"/>
      <c r="AI246" s="113"/>
      <c r="AK246" s="111"/>
      <c r="AL246" s="111"/>
      <c r="AM246" s="111"/>
      <c r="AN246" s="112"/>
      <c r="AO246" s="113"/>
      <c r="AQ246" s="111"/>
      <c r="AR246" s="111"/>
      <c r="AS246" s="111"/>
      <c r="AT246" s="651"/>
      <c r="AU246" s="131"/>
      <c r="AW246" s="111"/>
      <c r="AX246" s="111"/>
      <c r="AY246" s="111"/>
      <c r="AZ246" s="651"/>
      <c r="BA246" s="131"/>
    </row>
    <row r="247" spans="1:53" s="117" customFormat="1" ht="17.100000000000001" customHeight="1" x14ac:dyDescent="0.25">
      <c r="A247" s="68"/>
      <c r="B247" s="119"/>
      <c r="C247" s="55"/>
      <c r="D247" s="55"/>
      <c r="E247" s="74" t="s">
        <v>754</v>
      </c>
      <c r="F247" s="604"/>
      <c r="G247" s="604"/>
      <c r="H247" s="182"/>
      <c r="I247" s="241"/>
      <c r="J247" s="111"/>
      <c r="K247" s="152"/>
      <c r="L247" s="152"/>
      <c r="M247" s="152"/>
      <c r="N247" s="152"/>
      <c r="O247" s="111"/>
      <c r="P247" s="61"/>
      <c r="Q247" s="152"/>
      <c r="R247" s="111"/>
      <c r="S247" s="61"/>
      <c r="T247" s="152"/>
      <c r="U247" s="111"/>
      <c r="V247" s="362"/>
      <c r="W247" s="391"/>
      <c r="X247" s="17"/>
      <c r="Y247" s="18">
        <f t="shared" si="270"/>
        <v>0</v>
      </c>
      <c r="Z247" s="19">
        <f t="shared" ref="Z247:Z249" si="271">IF(Y$249=0,0,Y247/Y$249)</f>
        <v>0</v>
      </c>
      <c r="AA247" s="19"/>
      <c r="AB247" s="19"/>
      <c r="AC247" s="84"/>
      <c r="AE247" s="111"/>
      <c r="AF247" s="111"/>
      <c r="AG247" s="111"/>
      <c r="AH247" s="112"/>
      <c r="AI247" s="113"/>
      <c r="AK247" s="111"/>
      <c r="AL247" s="111"/>
      <c r="AM247" s="111"/>
      <c r="AN247" s="112"/>
      <c r="AO247" s="113"/>
      <c r="AQ247" s="111"/>
      <c r="AR247" s="111"/>
      <c r="AS247" s="111"/>
      <c r="AT247" s="651"/>
      <c r="AU247" s="131"/>
      <c r="AW247" s="111"/>
      <c r="AX247" s="111"/>
      <c r="AY247" s="111"/>
      <c r="AZ247" s="651"/>
      <c r="BA247" s="131"/>
    </row>
    <row r="248" spans="1:53" s="117" customFormat="1" ht="17.100000000000001" customHeight="1" x14ac:dyDescent="0.25">
      <c r="A248" s="68"/>
      <c r="B248" s="119"/>
      <c r="C248" s="55"/>
      <c r="D248" s="55"/>
      <c r="E248" s="74" t="s">
        <v>755</v>
      </c>
      <c r="F248" s="603"/>
      <c r="G248" s="603"/>
      <c r="H248" s="182"/>
      <c r="I248" s="241"/>
      <c r="J248" s="111"/>
      <c r="K248" s="152"/>
      <c r="L248" s="152"/>
      <c r="M248" s="152"/>
      <c r="N248" s="152"/>
      <c r="O248" s="111"/>
      <c r="P248" s="60"/>
      <c r="Q248" s="152"/>
      <c r="R248" s="111"/>
      <c r="S248" s="60"/>
      <c r="T248" s="152"/>
      <c r="U248" s="111"/>
      <c r="V248" s="361"/>
      <c r="W248" s="391"/>
      <c r="X248" s="17"/>
      <c r="Y248" s="18">
        <f t="shared" si="270"/>
        <v>0</v>
      </c>
      <c r="Z248" s="19">
        <f t="shared" si="271"/>
        <v>0</v>
      </c>
      <c r="AA248" s="19"/>
      <c r="AB248" s="19"/>
      <c r="AC248" s="84"/>
      <c r="AE248" s="111"/>
      <c r="AF248" s="111"/>
      <c r="AG248" s="111"/>
      <c r="AH248" s="112"/>
      <c r="AI248" s="113"/>
      <c r="AK248" s="111"/>
      <c r="AL248" s="111"/>
      <c r="AM248" s="111"/>
      <c r="AN248" s="112"/>
      <c r="AO248" s="113"/>
      <c r="AQ248" s="111"/>
      <c r="AR248" s="111"/>
      <c r="AS248" s="111"/>
      <c r="AT248" s="651"/>
      <c r="AU248" s="131"/>
      <c r="AW248" s="111"/>
      <c r="AX248" s="111"/>
      <c r="AY248" s="111"/>
      <c r="AZ248" s="651"/>
      <c r="BA248" s="131"/>
    </row>
    <row r="249" spans="1:53" s="117" customFormat="1" ht="17.100000000000001" customHeight="1" x14ac:dyDescent="0.25">
      <c r="A249" s="68"/>
      <c r="B249" s="119"/>
      <c r="C249" s="77"/>
      <c r="D249" s="134"/>
      <c r="E249" s="134"/>
      <c r="F249" s="134"/>
      <c r="G249" s="134"/>
      <c r="H249" s="647"/>
      <c r="I249" s="229"/>
      <c r="J249" s="80"/>
      <c r="K249" s="80"/>
      <c r="L249" s="81"/>
      <c r="M249" s="81"/>
      <c r="N249" s="81"/>
      <c r="O249" s="81"/>
      <c r="P249" s="81">
        <f>SUM(P246:P248)</f>
        <v>0</v>
      </c>
      <c r="Q249" s="81"/>
      <c r="R249" s="81"/>
      <c r="S249" s="81">
        <f>SUM(S246:S248)</f>
        <v>0</v>
      </c>
      <c r="T249" s="81"/>
      <c r="U249" s="81"/>
      <c r="V249" s="81">
        <f>SUM(V246:V248)</f>
        <v>0</v>
      </c>
      <c r="W249" s="381"/>
      <c r="X249" s="82"/>
      <c r="Y249" s="82">
        <f>SUM(Y246:Y248)</f>
        <v>0</v>
      </c>
      <c r="Z249" s="66">
        <f t="shared" si="271"/>
        <v>0</v>
      </c>
      <c r="AA249" s="205"/>
      <c r="AB249" s="205"/>
      <c r="AC249" s="83"/>
      <c r="AE249" s="80"/>
      <c r="AF249" s="80"/>
      <c r="AG249" s="81"/>
      <c r="AH249" s="82"/>
      <c r="AI249" s="66"/>
      <c r="AK249" s="80"/>
      <c r="AL249" s="80"/>
      <c r="AM249" s="81"/>
      <c r="AN249" s="82"/>
      <c r="AO249" s="66"/>
      <c r="AQ249" s="80"/>
      <c r="AR249" s="80"/>
      <c r="AS249" s="81"/>
      <c r="AT249" s="82"/>
      <c r="AU249" s="66"/>
      <c r="AW249" s="80"/>
      <c r="AX249" s="80"/>
      <c r="AY249" s="81"/>
      <c r="AZ249" s="82"/>
      <c r="BA249" s="66"/>
    </row>
    <row r="250" spans="1:53" s="117" customFormat="1" ht="17.100000000000001" customHeight="1" x14ac:dyDescent="0.25">
      <c r="A250" s="68"/>
      <c r="B250" s="119"/>
      <c r="C250" s="92"/>
      <c r="D250" s="93"/>
      <c r="E250" s="93"/>
      <c r="F250" s="93"/>
      <c r="G250" s="93"/>
      <c r="H250" s="647"/>
      <c r="I250" s="12"/>
      <c r="J250" s="46"/>
      <c r="K250" s="46"/>
      <c r="L250" s="17"/>
      <c r="M250" s="17"/>
      <c r="N250" s="17"/>
      <c r="O250" s="17"/>
      <c r="P250" s="17"/>
      <c r="Q250" s="17"/>
      <c r="R250" s="17"/>
      <c r="S250" s="17"/>
      <c r="T250" s="17"/>
      <c r="U250" s="17"/>
      <c r="V250" s="359"/>
      <c r="W250" s="382"/>
      <c r="X250" s="646"/>
      <c r="Y250" s="646"/>
      <c r="Z250" s="201"/>
      <c r="AA250" s="201"/>
      <c r="AB250" s="201"/>
      <c r="AC250" s="84"/>
      <c r="AE250" s="46"/>
      <c r="AF250" s="46"/>
      <c r="AG250" s="17"/>
      <c r="AH250" s="646"/>
      <c r="AI250" s="91"/>
      <c r="AK250" s="46"/>
      <c r="AL250" s="46"/>
      <c r="AM250" s="17"/>
      <c r="AN250" s="646"/>
      <c r="AO250" s="91"/>
      <c r="AQ250" s="46"/>
      <c r="AR250" s="46"/>
      <c r="AS250" s="17"/>
      <c r="AT250" s="646"/>
      <c r="AU250" s="91"/>
      <c r="AW250" s="46"/>
      <c r="AX250" s="46"/>
      <c r="AY250" s="17"/>
      <c r="AZ250" s="646"/>
      <c r="BA250" s="91"/>
    </row>
    <row r="251" spans="1:53" ht="17.100000000000001" customHeight="1" x14ac:dyDescent="0.25">
      <c r="A251" s="40"/>
      <c r="B251" s="41" t="s">
        <v>1446</v>
      </c>
      <c r="C251" s="49" t="s">
        <v>12</v>
      </c>
      <c r="D251" s="43"/>
      <c r="E251" s="43"/>
      <c r="F251" s="43"/>
      <c r="G251" s="43"/>
      <c r="H251" s="23"/>
      <c r="I251" s="12"/>
      <c r="J251" s="73"/>
      <c r="K251" s="73"/>
      <c r="L251" s="73"/>
      <c r="M251" s="73"/>
      <c r="N251" s="73"/>
      <c r="O251" s="73"/>
      <c r="P251" s="73"/>
      <c r="Q251" s="73"/>
      <c r="R251" s="73"/>
      <c r="S251" s="73"/>
      <c r="T251" s="73"/>
      <c r="U251" s="73"/>
      <c r="V251" s="970"/>
      <c r="W251" s="971"/>
      <c r="X251" s="73"/>
      <c r="Y251" s="73"/>
      <c r="Z251" s="73"/>
      <c r="AA251" s="73"/>
      <c r="AB251" s="73"/>
      <c r="AC251" s="73"/>
      <c r="AE251" s="73"/>
      <c r="AF251" s="73"/>
      <c r="AG251" s="73"/>
      <c r="AH251" s="73"/>
      <c r="AI251" s="73"/>
      <c r="AK251" s="73"/>
      <c r="AL251" s="73"/>
      <c r="AM251" s="73"/>
      <c r="AN251" s="73"/>
      <c r="AO251" s="73"/>
      <c r="AQ251" s="73"/>
      <c r="AR251" s="73"/>
      <c r="AS251" s="73"/>
      <c r="AT251" s="73"/>
      <c r="AU251" s="73"/>
      <c r="AW251" s="73"/>
      <c r="AX251" s="73"/>
      <c r="AY251" s="73"/>
      <c r="AZ251" s="73"/>
      <c r="BA251" s="73"/>
    </row>
    <row r="252" spans="1:53" s="4" customFormat="1" ht="17.100000000000001" customHeight="1" x14ac:dyDescent="0.25">
      <c r="A252" s="137"/>
      <c r="B252" s="40"/>
      <c r="C252" s="933" t="s">
        <v>1447</v>
      </c>
      <c r="D252" s="85" t="s">
        <v>1448</v>
      </c>
      <c r="E252" s="303"/>
      <c r="F252" s="303"/>
      <c r="G252" s="303"/>
      <c r="H252" s="320"/>
      <c r="I252" s="309"/>
      <c r="J252" s="174"/>
      <c r="K252" s="174"/>
      <c r="L252" s="174"/>
      <c r="M252" s="174"/>
      <c r="N252" s="174"/>
      <c r="O252" s="174"/>
      <c r="P252" s="174"/>
      <c r="Q252" s="174"/>
      <c r="R252" s="174"/>
      <c r="S252" s="174"/>
      <c r="T252" s="174"/>
      <c r="U252" s="174"/>
      <c r="V252" s="712"/>
      <c r="W252" s="972"/>
      <c r="X252" s="174"/>
      <c r="Y252" s="174"/>
      <c r="Z252" s="113"/>
      <c r="AA252" s="113"/>
      <c r="AB252" s="113"/>
      <c r="AC252" s="113"/>
      <c r="AE252" s="174"/>
      <c r="AF252" s="174"/>
      <c r="AG252" s="932"/>
      <c r="AH252" s="113"/>
      <c r="AI252" s="113"/>
      <c r="AK252" s="174"/>
      <c r="AL252" s="174"/>
      <c r="AM252" s="932"/>
      <c r="AN252" s="113"/>
      <c r="AO252" s="113"/>
      <c r="AQ252" s="174"/>
      <c r="AR252" s="174"/>
      <c r="AS252" s="932"/>
      <c r="AT252" s="113"/>
      <c r="AU252" s="113"/>
      <c r="AW252" s="174"/>
      <c r="AX252" s="174"/>
      <c r="AY252" s="932"/>
      <c r="AZ252" s="113"/>
      <c r="BA252" s="113"/>
    </row>
    <row r="253" spans="1:53" s="4" customFormat="1" ht="17.100000000000001" customHeight="1" x14ac:dyDescent="0.25">
      <c r="A253" s="137"/>
      <c r="B253" s="40"/>
      <c r="C253" s="40"/>
      <c r="D253" s="121" t="s">
        <v>129</v>
      </c>
      <c r="E253" s="304"/>
      <c r="F253" s="304"/>
      <c r="G253" s="304"/>
      <c r="H253" s="320"/>
      <c r="I253" s="309"/>
      <c r="J253" s="161"/>
      <c r="K253" s="161"/>
      <c r="L253" s="161"/>
      <c r="M253" s="161"/>
      <c r="N253" s="161">
        <f>N231</f>
        <v>0</v>
      </c>
      <c r="O253" s="161">
        <f>O231</f>
        <v>0</v>
      </c>
      <c r="P253" s="161"/>
      <c r="Q253" s="161">
        <f>Q231</f>
        <v>0</v>
      </c>
      <c r="R253" s="161">
        <f>R231</f>
        <v>0</v>
      </c>
      <c r="S253" s="161"/>
      <c r="T253" s="161">
        <f>T231</f>
        <v>0</v>
      </c>
      <c r="U253" s="161">
        <f>U231</f>
        <v>0</v>
      </c>
      <c r="V253" s="697"/>
      <c r="W253" s="973"/>
      <c r="X253" s="161"/>
      <c r="Y253" s="161"/>
      <c r="Z253" s="125"/>
      <c r="AA253" s="125"/>
      <c r="AB253" s="125"/>
      <c r="AC253" s="125"/>
      <c r="AD253" s="97"/>
      <c r="AE253" s="161"/>
      <c r="AF253" s="161"/>
      <c r="AG253" s="129"/>
      <c r="AH253" s="125"/>
      <c r="AI253" s="125"/>
      <c r="AJ253" s="97"/>
      <c r="AK253" s="161"/>
      <c r="AL253" s="161"/>
      <c r="AM253" s="129"/>
      <c r="AN253" s="125"/>
      <c r="AO253" s="125"/>
      <c r="AP253" s="97"/>
      <c r="AQ253" s="161"/>
      <c r="AR253" s="161"/>
      <c r="AS253" s="129"/>
      <c r="AT253" s="125"/>
      <c r="AU253" s="125"/>
      <c r="AV253" s="97"/>
      <c r="AW253" s="161"/>
      <c r="AX253" s="161"/>
      <c r="AY253" s="129"/>
      <c r="AZ253" s="125"/>
      <c r="BA253" s="125"/>
    </row>
    <row r="254" spans="1:53" s="4" customFormat="1" ht="17.100000000000001" customHeight="1" x14ac:dyDescent="0.25">
      <c r="A254" s="137"/>
      <c r="B254" s="40"/>
      <c r="C254" s="40"/>
      <c r="D254" s="121" t="s">
        <v>173</v>
      </c>
      <c r="E254" s="304"/>
      <c r="F254" s="304"/>
      <c r="G254" s="304"/>
      <c r="H254" s="320"/>
      <c r="I254" s="309"/>
      <c r="J254" s="161"/>
      <c r="K254" s="161"/>
      <c r="L254" s="161"/>
      <c r="M254" s="161"/>
      <c r="N254" s="161">
        <f>N226</f>
        <v>0</v>
      </c>
      <c r="O254" s="161">
        <v>2</v>
      </c>
      <c r="P254" s="161"/>
      <c r="Q254" s="161">
        <f>Q226</f>
        <v>0</v>
      </c>
      <c r="R254" s="161">
        <f>R226</f>
        <v>0</v>
      </c>
      <c r="S254" s="161"/>
      <c r="T254" s="161">
        <f>T226</f>
        <v>0</v>
      </c>
      <c r="U254" s="161">
        <f>U226</f>
        <v>0</v>
      </c>
      <c r="V254" s="697"/>
      <c r="W254" s="973"/>
      <c r="X254" s="161"/>
      <c r="Y254" s="161"/>
      <c r="Z254" s="125"/>
      <c r="AA254" s="125"/>
      <c r="AB254" s="125"/>
      <c r="AC254" s="125"/>
      <c r="AD254" s="97"/>
      <c r="AE254" s="161"/>
      <c r="AF254" s="161"/>
      <c r="AG254" s="129"/>
      <c r="AH254" s="125"/>
      <c r="AI254" s="125"/>
      <c r="AJ254" s="97"/>
      <c r="AK254" s="161"/>
      <c r="AL254" s="161"/>
      <c r="AM254" s="129"/>
      <c r="AN254" s="125"/>
      <c r="AO254" s="125"/>
      <c r="AP254" s="97"/>
      <c r="AQ254" s="161"/>
      <c r="AR254" s="161"/>
      <c r="AS254" s="129"/>
      <c r="AT254" s="125"/>
      <c r="AU254" s="125"/>
      <c r="AV254" s="97"/>
      <c r="AW254" s="161"/>
      <c r="AX254" s="161"/>
      <c r="AY254" s="129"/>
      <c r="AZ254" s="125"/>
      <c r="BA254" s="125"/>
    </row>
    <row r="255" spans="1:53" s="4" customFormat="1" ht="17.100000000000001" customHeight="1" x14ac:dyDescent="0.25">
      <c r="A255" s="137"/>
      <c r="B255" s="40"/>
      <c r="C255" s="40"/>
      <c r="D255" s="121" t="s">
        <v>544</v>
      </c>
      <c r="E255" s="304"/>
      <c r="F255" s="304"/>
      <c r="G255" s="304"/>
      <c r="H255" s="320"/>
      <c r="I255" s="309"/>
      <c r="J255" s="161"/>
      <c r="K255" s="161"/>
      <c r="L255" s="161"/>
      <c r="M255" s="161"/>
      <c r="N255" s="161">
        <f>N227</f>
        <v>0</v>
      </c>
      <c r="O255" s="161">
        <f>O227</f>
        <v>0</v>
      </c>
      <c r="P255" s="161"/>
      <c r="Q255" s="161">
        <f>Q227</f>
        <v>0</v>
      </c>
      <c r="R255" s="161">
        <f>R227</f>
        <v>0</v>
      </c>
      <c r="S255" s="161"/>
      <c r="T255" s="161">
        <f>T227</f>
        <v>0</v>
      </c>
      <c r="U255" s="161">
        <f>U227</f>
        <v>0</v>
      </c>
      <c r="V255" s="697"/>
      <c r="W255" s="973"/>
      <c r="X255" s="161"/>
      <c r="Y255" s="161"/>
      <c r="Z255" s="125"/>
      <c r="AA255" s="125"/>
      <c r="AB255" s="125"/>
      <c r="AC255" s="125"/>
      <c r="AD255" s="97"/>
      <c r="AE255" s="161"/>
      <c r="AF255" s="161"/>
      <c r="AG255" s="129"/>
      <c r="AH255" s="125"/>
      <c r="AI255" s="125"/>
      <c r="AJ255" s="97"/>
      <c r="AK255" s="161"/>
      <c r="AL255" s="161"/>
      <c r="AM255" s="129"/>
      <c r="AN255" s="125"/>
      <c r="AO255" s="125"/>
      <c r="AP255" s="97"/>
      <c r="AQ255" s="161"/>
      <c r="AR255" s="161"/>
      <c r="AS255" s="129"/>
      <c r="AT255" s="125"/>
      <c r="AU255" s="125"/>
      <c r="AV255" s="97"/>
      <c r="AW255" s="161"/>
      <c r="AX255" s="161"/>
      <c r="AY255" s="129"/>
      <c r="AZ255" s="125"/>
      <c r="BA255" s="125"/>
    </row>
    <row r="256" spans="1:53" s="4" customFormat="1" ht="17.100000000000001" customHeight="1" x14ac:dyDescent="0.25">
      <c r="A256" s="137"/>
      <c r="B256" s="40"/>
      <c r="C256" s="40"/>
      <c r="D256" s="121" t="s">
        <v>1449</v>
      </c>
      <c r="E256" s="304"/>
      <c r="F256" s="304"/>
      <c r="G256" s="304"/>
      <c r="H256" s="320"/>
      <c r="I256" s="309"/>
      <c r="J256" s="161"/>
      <c r="K256" s="161"/>
      <c r="L256" s="161"/>
      <c r="M256" s="161"/>
      <c r="N256" s="161">
        <f>N230</f>
        <v>0</v>
      </c>
      <c r="O256" s="161">
        <f>O230</f>
        <v>0</v>
      </c>
      <c r="P256" s="161"/>
      <c r="Q256" s="161">
        <f>Q230</f>
        <v>0</v>
      </c>
      <c r="R256" s="161">
        <f>R230</f>
        <v>0</v>
      </c>
      <c r="S256" s="161"/>
      <c r="T256" s="161">
        <f>T230</f>
        <v>0</v>
      </c>
      <c r="U256" s="161">
        <f>U230</f>
        <v>0</v>
      </c>
      <c r="V256" s="697"/>
      <c r="W256" s="973"/>
      <c r="X256" s="161"/>
      <c r="Y256" s="161"/>
      <c r="Z256" s="125"/>
      <c r="AA256" s="125"/>
      <c r="AB256" s="125"/>
      <c r="AC256" s="125"/>
      <c r="AD256" s="97"/>
      <c r="AE256" s="161"/>
      <c r="AF256" s="161"/>
      <c r="AG256" s="129"/>
      <c r="AH256" s="125"/>
      <c r="AI256" s="125"/>
      <c r="AJ256" s="97"/>
      <c r="AK256" s="161"/>
      <c r="AL256" s="161"/>
      <c r="AM256" s="129"/>
      <c r="AN256" s="125"/>
      <c r="AO256" s="125"/>
      <c r="AP256" s="97"/>
      <c r="AQ256" s="161"/>
      <c r="AR256" s="161"/>
      <c r="AS256" s="129"/>
      <c r="AT256" s="125"/>
      <c r="AU256" s="125"/>
      <c r="AV256" s="97"/>
      <c r="AW256" s="161"/>
      <c r="AX256" s="161"/>
      <c r="AY256" s="129"/>
      <c r="AZ256" s="125"/>
      <c r="BA256" s="125"/>
    </row>
    <row r="257" spans="1:53" s="4" customFormat="1" ht="17.100000000000001" customHeight="1" x14ac:dyDescent="0.25">
      <c r="A257" s="137"/>
      <c r="B257" s="40"/>
      <c r="C257" s="40"/>
      <c r="D257" s="742"/>
      <c r="E257" s="304"/>
      <c r="F257" s="304"/>
      <c r="G257" s="304"/>
      <c r="H257" s="320"/>
      <c r="I257" s="309"/>
      <c r="J257" s="161"/>
      <c r="K257" s="161"/>
      <c r="L257" s="161"/>
      <c r="M257" s="161"/>
      <c r="N257" s="161"/>
      <c r="O257" s="161"/>
      <c r="P257" s="161"/>
      <c r="Q257" s="161"/>
      <c r="R257" s="161"/>
      <c r="S257" s="161"/>
      <c r="T257" s="161"/>
      <c r="U257" s="161"/>
      <c r="V257" s="697"/>
      <c r="W257" s="973"/>
      <c r="X257" s="161"/>
      <c r="Y257" s="161"/>
      <c r="Z257" s="125"/>
      <c r="AA257" s="125"/>
      <c r="AB257" s="125"/>
      <c r="AC257" s="125"/>
      <c r="AE257" s="161"/>
      <c r="AF257" s="161"/>
      <c r="AG257" s="123"/>
      <c r="AH257" s="125"/>
      <c r="AI257" s="125"/>
      <c r="AK257" s="161"/>
      <c r="AL257" s="161"/>
      <c r="AM257" s="123"/>
      <c r="AN257" s="125"/>
      <c r="AO257" s="125"/>
      <c r="AQ257" s="161"/>
      <c r="AR257" s="161"/>
      <c r="AS257" s="123"/>
      <c r="AT257" s="125"/>
      <c r="AU257" s="125"/>
      <c r="AW257" s="161"/>
      <c r="AX257" s="161"/>
      <c r="AY257" s="123"/>
      <c r="AZ257" s="125"/>
      <c r="BA257" s="125"/>
    </row>
    <row r="258" spans="1:53" s="4" customFormat="1" ht="17.100000000000001" customHeight="1" x14ac:dyDescent="0.25">
      <c r="A258" s="137"/>
      <c r="B258" s="40"/>
      <c r="C258" s="40">
        <v>1</v>
      </c>
      <c r="D258" s="700" t="s">
        <v>1450</v>
      </c>
      <c r="E258" s="974"/>
      <c r="F258" s="974"/>
      <c r="G258" s="974"/>
      <c r="H258" s="254"/>
      <c r="I258" s="207"/>
      <c r="J258" s="161"/>
      <c r="K258" s="161"/>
      <c r="L258" s="161"/>
      <c r="M258" s="161"/>
      <c r="N258" s="161" t="str">
        <f>IF(N$254&gt;0,0,"")</f>
        <v/>
      </c>
      <c r="O258" s="161">
        <f>IF(O$254&gt;0,0,"")</f>
        <v>0</v>
      </c>
      <c r="P258" s="161"/>
      <c r="Q258" s="161" t="str">
        <f>IF(Q$254&gt;0,0,"")</f>
        <v/>
      </c>
      <c r="R258" s="161" t="str">
        <f>IF(R$254&gt;0,0,"")</f>
        <v/>
      </c>
      <c r="S258" s="161"/>
      <c r="T258" s="161" t="str">
        <f>IF(T$254&gt;0,0,"")</f>
        <v/>
      </c>
      <c r="U258" s="161" t="str">
        <f>IF(U$254&gt;0,0,"")</f>
        <v/>
      </c>
      <c r="V258" s="697"/>
      <c r="W258" s="973"/>
      <c r="X258" s="161"/>
      <c r="Y258" s="161"/>
      <c r="Z258" s="125"/>
      <c r="AA258" s="125"/>
      <c r="AB258" s="125"/>
      <c r="AC258" s="125"/>
      <c r="AD258" s="97"/>
      <c r="AE258" s="161"/>
      <c r="AF258" s="161"/>
      <c r="AG258" s="129"/>
      <c r="AH258" s="125"/>
      <c r="AI258" s="125"/>
      <c r="AJ258" s="97"/>
      <c r="AK258" s="161"/>
      <c r="AL258" s="161"/>
      <c r="AM258" s="129"/>
      <c r="AN258" s="125"/>
      <c r="AO258" s="125"/>
      <c r="AP258" s="97"/>
      <c r="AQ258" s="161"/>
      <c r="AR258" s="161"/>
      <c r="AS258" s="129"/>
      <c r="AT258" s="125"/>
      <c r="AU258" s="125"/>
      <c r="AV258" s="97"/>
      <c r="AW258" s="161"/>
      <c r="AX258" s="161"/>
      <c r="AY258" s="129"/>
      <c r="AZ258" s="125"/>
      <c r="BA258" s="125"/>
    </row>
    <row r="259" spans="1:53" s="4" customFormat="1" ht="17.100000000000001" customHeight="1" x14ac:dyDescent="0.25">
      <c r="A259" s="137"/>
      <c r="B259" s="40"/>
      <c r="C259" s="40">
        <v>2</v>
      </c>
      <c r="D259" s="700" t="s">
        <v>1450</v>
      </c>
      <c r="E259" s="974"/>
      <c r="F259" s="974"/>
      <c r="G259" s="974"/>
      <c r="H259" s="254"/>
      <c r="I259" s="207"/>
      <c r="J259" s="161"/>
      <c r="K259" s="161"/>
      <c r="L259" s="161"/>
      <c r="M259" s="161"/>
      <c r="N259" s="161" t="str">
        <f>IF(N$254&gt;1,0,"")</f>
        <v/>
      </c>
      <c r="O259" s="161">
        <f>IF(O$254&gt;1,0,"")</f>
        <v>0</v>
      </c>
      <c r="P259" s="161"/>
      <c r="Q259" s="161" t="str">
        <f>IF(Q$254&gt;1,0,"")</f>
        <v/>
      </c>
      <c r="R259" s="161" t="str">
        <f>IF(R$254&gt;1,0,"")</f>
        <v/>
      </c>
      <c r="S259" s="161"/>
      <c r="T259" s="161" t="str">
        <f>IF(T$254&gt;1,0,"")</f>
        <v/>
      </c>
      <c r="U259" s="161" t="str">
        <f>IF(U$254&gt;1,0,"")</f>
        <v/>
      </c>
      <c r="V259" s="697"/>
      <c r="W259" s="973"/>
      <c r="X259" s="161"/>
      <c r="Y259" s="161"/>
      <c r="Z259" s="125"/>
      <c r="AA259" s="125"/>
      <c r="AB259" s="125"/>
      <c r="AC259" s="125"/>
      <c r="AE259" s="161"/>
      <c r="AF259" s="161"/>
      <c r="AG259" s="129"/>
      <c r="AH259" s="125"/>
      <c r="AI259" s="125"/>
      <c r="AK259" s="161"/>
      <c r="AL259" s="161"/>
      <c r="AM259" s="129"/>
      <c r="AN259" s="125"/>
      <c r="AO259" s="125"/>
      <c r="AQ259" s="161"/>
      <c r="AR259" s="161"/>
      <c r="AS259" s="129"/>
      <c r="AT259" s="125"/>
      <c r="AU259" s="125"/>
      <c r="AW259" s="161"/>
      <c r="AX259" s="161"/>
      <c r="AY259" s="129"/>
      <c r="AZ259" s="125"/>
      <c r="BA259" s="125"/>
    </row>
    <row r="260" spans="1:53" ht="17.100000000000001" customHeight="1" x14ac:dyDescent="0.25">
      <c r="A260" s="137"/>
      <c r="B260" s="40"/>
      <c r="C260" s="40">
        <v>3</v>
      </c>
      <c r="D260" s="700" t="s">
        <v>1450</v>
      </c>
      <c r="E260" s="122"/>
      <c r="F260" s="122"/>
      <c r="G260" s="122"/>
      <c r="H260" s="23"/>
      <c r="I260" s="12"/>
      <c r="J260" s="154"/>
      <c r="K260" s="154"/>
      <c r="L260" s="154"/>
      <c r="M260" s="154"/>
      <c r="N260" s="161" t="str">
        <f>IF(N$254&gt;2,0,"")</f>
        <v/>
      </c>
      <c r="O260" s="161" t="str">
        <f>IF(O$254&gt;2,0,"")</f>
        <v/>
      </c>
      <c r="P260" s="154"/>
      <c r="Q260" s="161" t="str">
        <f>IF(Q$254&gt;2,0,"")</f>
        <v/>
      </c>
      <c r="R260" s="161" t="str">
        <f>IF(R$254&gt;2,0,"")</f>
        <v/>
      </c>
      <c r="S260" s="154"/>
      <c r="T260" s="161" t="str">
        <f>IF(T$254&gt;2,0,"")</f>
        <v/>
      </c>
      <c r="U260" s="161" t="str">
        <f>IF(U$254&gt;2,0,"")</f>
        <v/>
      </c>
      <c r="V260" s="159"/>
      <c r="W260" s="387"/>
      <c r="X260" s="154"/>
      <c r="Y260" s="154"/>
      <c r="Z260" s="130"/>
      <c r="AA260" s="130"/>
      <c r="AB260" s="130"/>
      <c r="AC260" s="125"/>
      <c r="AE260" s="154"/>
      <c r="AF260" s="154"/>
      <c r="AG260" s="129"/>
      <c r="AH260" s="130"/>
      <c r="AI260" s="125"/>
      <c r="AK260" s="154"/>
      <c r="AL260" s="154"/>
      <c r="AM260" s="129"/>
      <c r="AN260" s="130"/>
      <c r="AO260" s="125"/>
      <c r="AQ260" s="154"/>
      <c r="AR260" s="154"/>
      <c r="AS260" s="129"/>
      <c r="AT260" s="130"/>
      <c r="AU260" s="125"/>
      <c r="AW260" s="154"/>
      <c r="AX260" s="154"/>
      <c r="AY260" s="129"/>
      <c r="AZ260" s="130"/>
      <c r="BA260" s="125"/>
    </row>
    <row r="261" spans="1:53" ht="17.100000000000001" customHeight="1" x14ac:dyDescent="0.25">
      <c r="A261" s="137"/>
      <c r="B261" s="40"/>
      <c r="C261" s="40">
        <v>4</v>
      </c>
      <c r="D261" s="700" t="s">
        <v>1450</v>
      </c>
      <c r="E261" s="122"/>
      <c r="F261" s="122"/>
      <c r="G261" s="122"/>
      <c r="H261" s="23"/>
      <c r="I261" s="12"/>
      <c r="J261" s="154"/>
      <c r="K261" s="154"/>
      <c r="L261" s="123"/>
      <c r="M261" s="123"/>
      <c r="N261" s="161" t="str">
        <f>IF(N$254&gt;3,0,"")</f>
        <v/>
      </c>
      <c r="O261" s="161" t="str">
        <f>IF(O$254&gt;3,0,"")</f>
        <v/>
      </c>
      <c r="P261" s="123"/>
      <c r="Q261" s="161" t="str">
        <f>IF(Q$254&gt;3,0,"")</f>
        <v/>
      </c>
      <c r="R261" s="161" t="str">
        <f>IF(R$254&gt;3,0,"")</f>
        <v/>
      </c>
      <c r="S261" s="123"/>
      <c r="T261" s="161" t="str">
        <f>IF(T$254&gt;3,0,"")</f>
        <v/>
      </c>
      <c r="U261" s="161" t="str">
        <f>IF(U$254&gt;3,0,"")</f>
        <v/>
      </c>
      <c r="V261" s="363"/>
      <c r="W261" s="383"/>
      <c r="X261" s="123"/>
      <c r="Y261" s="123"/>
      <c r="Z261" s="949"/>
      <c r="AA261" s="949"/>
      <c r="AB261" s="949"/>
      <c r="AC261" s="125"/>
      <c r="AE261" s="123"/>
      <c r="AF261" s="123"/>
      <c r="AG261" s="129"/>
      <c r="AH261" s="949"/>
      <c r="AI261" s="125"/>
      <c r="AK261" s="123"/>
      <c r="AL261" s="123"/>
      <c r="AM261" s="129"/>
      <c r="AN261" s="949"/>
      <c r="AO261" s="125"/>
      <c r="AQ261" s="123"/>
      <c r="AR261" s="123"/>
      <c r="AS261" s="129"/>
      <c r="AT261" s="949"/>
      <c r="AU261" s="125"/>
      <c r="AW261" s="123"/>
      <c r="AX261" s="123"/>
      <c r="AY261" s="129"/>
      <c r="AZ261" s="949"/>
      <c r="BA261" s="125"/>
    </row>
    <row r="262" spans="1:53" ht="17.100000000000001" customHeight="1" x14ac:dyDescent="0.25">
      <c r="A262" s="137"/>
      <c r="B262" s="40"/>
      <c r="C262" s="40">
        <v>5</v>
      </c>
      <c r="D262" s="700" t="s">
        <v>1450</v>
      </c>
      <c r="E262" s="122"/>
      <c r="F262" s="122"/>
      <c r="G262" s="122"/>
      <c r="H262" s="23"/>
      <c r="I262" s="12"/>
      <c r="J262" s="154"/>
      <c r="K262" s="154"/>
      <c r="L262" s="154"/>
      <c r="M262" s="154"/>
      <c r="N262" s="161" t="str">
        <f>IF(N$254&gt;4,0,"")</f>
        <v/>
      </c>
      <c r="O262" s="161" t="str">
        <f>IF(O$254&gt;4,0,"")</f>
        <v/>
      </c>
      <c r="P262" s="154"/>
      <c r="Q262" s="161" t="str">
        <f>IF(Q$254&gt;4,0,"")</f>
        <v/>
      </c>
      <c r="R262" s="161" t="str">
        <f>IF(R$254&gt;4,0,"")</f>
        <v/>
      </c>
      <c r="S262" s="154"/>
      <c r="T262" s="161" t="str">
        <f>IF(T$254&gt;4,0,"")</f>
        <v/>
      </c>
      <c r="U262" s="161" t="str">
        <f>IF(U$254&gt;4,0,"")</f>
        <v/>
      </c>
      <c r="V262" s="159"/>
      <c r="W262" s="387"/>
      <c r="X262" s="154"/>
      <c r="Y262" s="154"/>
      <c r="Z262" s="130"/>
      <c r="AA262" s="130"/>
      <c r="AB262" s="130"/>
      <c r="AC262" s="125"/>
      <c r="AE262" s="154"/>
      <c r="AF262" s="154"/>
      <c r="AG262" s="129"/>
      <c r="AH262" s="130"/>
      <c r="AI262" s="125"/>
      <c r="AK262" s="154"/>
      <c r="AL262" s="154"/>
      <c r="AM262" s="129"/>
      <c r="AN262" s="130"/>
      <c r="AO262" s="125"/>
      <c r="AQ262" s="154"/>
      <c r="AR262" s="154"/>
      <c r="AS262" s="129"/>
      <c r="AT262" s="130"/>
      <c r="AU262" s="125"/>
      <c r="AW262" s="154"/>
      <c r="AX262" s="154"/>
      <c r="AY262" s="129"/>
      <c r="AZ262" s="130"/>
      <c r="BA262" s="125"/>
    </row>
    <row r="263" spans="1:53" ht="17.100000000000001" customHeight="1" x14ac:dyDescent="0.25">
      <c r="A263" s="137"/>
      <c r="B263" s="40"/>
      <c r="C263" s="40">
        <v>6</v>
      </c>
      <c r="D263" s="700" t="s">
        <v>1450</v>
      </c>
      <c r="E263" s="122"/>
      <c r="F263" s="122"/>
      <c r="G263" s="122"/>
      <c r="H263" s="23"/>
      <c r="I263" s="12"/>
      <c r="J263" s="154"/>
      <c r="K263" s="154"/>
      <c r="L263" s="154"/>
      <c r="M263" s="154"/>
      <c r="N263" s="161" t="str">
        <f>IF(N$254&gt;5,0,"")</f>
        <v/>
      </c>
      <c r="O263" s="161" t="str">
        <f>IF(O$254&gt;5,0,"")</f>
        <v/>
      </c>
      <c r="P263" s="154"/>
      <c r="Q263" s="161" t="str">
        <f>IF(Q$254&gt;5,0,"")</f>
        <v/>
      </c>
      <c r="R263" s="161" t="str">
        <f>IF(R$254&gt;5,0,"")</f>
        <v/>
      </c>
      <c r="S263" s="154"/>
      <c r="T263" s="161" t="str">
        <f>IF(T$254&gt;5,0,"")</f>
        <v/>
      </c>
      <c r="U263" s="161" t="str">
        <f>IF(U$254&gt;5,0,"")</f>
        <v/>
      </c>
      <c r="V263" s="159"/>
      <c r="W263" s="387"/>
      <c r="X263" s="154"/>
      <c r="Y263" s="154"/>
      <c r="Z263" s="130"/>
      <c r="AA263" s="130"/>
      <c r="AB263" s="130"/>
      <c r="AC263" s="125"/>
      <c r="AE263" s="154"/>
      <c r="AF263" s="154"/>
      <c r="AG263" s="129"/>
      <c r="AH263" s="130"/>
      <c r="AI263" s="125"/>
      <c r="AK263" s="154"/>
      <c r="AL263" s="154"/>
      <c r="AM263" s="129"/>
      <c r="AN263" s="130"/>
      <c r="AO263" s="125"/>
      <c r="AQ263" s="154"/>
      <c r="AR263" s="154"/>
      <c r="AS263" s="129"/>
      <c r="AT263" s="130"/>
      <c r="AU263" s="125"/>
      <c r="AW263" s="154"/>
      <c r="AX263" s="154"/>
      <c r="AY263" s="129"/>
      <c r="AZ263" s="130"/>
      <c r="BA263" s="125"/>
    </row>
    <row r="264" spans="1:53" ht="17.100000000000001" customHeight="1" x14ac:dyDescent="0.25">
      <c r="A264" s="137"/>
      <c r="B264" s="40"/>
      <c r="C264" s="40">
        <v>7</v>
      </c>
      <c r="D264" s="700" t="s">
        <v>1450</v>
      </c>
      <c r="E264" s="122"/>
      <c r="F264" s="122"/>
      <c r="G264" s="122"/>
      <c r="H264" s="23"/>
      <c r="I264" s="12"/>
      <c r="J264" s="154"/>
      <c r="K264" s="154"/>
      <c r="L264" s="154"/>
      <c r="M264" s="154"/>
      <c r="N264" s="161" t="str">
        <f>IF(N$254&gt;6,0,"")</f>
        <v/>
      </c>
      <c r="O264" s="161" t="str">
        <f>IF(O$254&gt;6,0,"")</f>
        <v/>
      </c>
      <c r="P264" s="154"/>
      <c r="Q264" s="161" t="str">
        <f>IF(Q$254&gt;6,0,"")</f>
        <v/>
      </c>
      <c r="R264" s="161" t="str">
        <f>IF(R$254&gt;6,0,"")</f>
        <v/>
      </c>
      <c r="S264" s="154"/>
      <c r="T264" s="161" t="str">
        <f>IF(T$254&gt;6,0,"")</f>
        <v/>
      </c>
      <c r="U264" s="161" t="str">
        <f>IF(U$254&gt;6,0,"")</f>
        <v/>
      </c>
      <c r="V264" s="159"/>
      <c r="W264" s="387"/>
      <c r="X264" s="154"/>
      <c r="Y264" s="154"/>
      <c r="Z264" s="130"/>
      <c r="AA264" s="130"/>
      <c r="AB264" s="130"/>
      <c r="AC264" s="125"/>
      <c r="AE264" s="154"/>
      <c r="AF264" s="154"/>
      <c r="AG264" s="129"/>
      <c r="AH264" s="130"/>
      <c r="AI264" s="125"/>
      <c r="AK264" s="154"/>
      <c r="AL264" s="154"/>
      <c r="AM264" s="129"/>
      <c r="AN264" s="130"/>
      <c r="AO264" s="125"/>
      <c r="AQ264" s="154"/>
      <c r="AR264" s="154"/>
      <c r="AS264" s="129"/>
      <c r="AT264" s="130"/>
      <c r="AU264" s="125"/>
      <c r="AW264" s="154"/>
      <c r="AX264" s="154"/>
      <c r="AY264" s="129"/>
      <c r="AZ264" s="130"/>
      <c r="BA264" s="125"/>
    </row>
    <row r="265" spans="1:53" ht="17.100000000000001" customHeight="1" x14ac:dyDescent="0.25">
      <c r="A265" s="137"/>
      <c r="B265" s="40"/>
      <c r="C265" s="40">
        <v>8</v>
      </c>
      <c r="D265" s="700" t="s">
        <v>1450</v>
      </c>
      <c r="E265" s="122"/>
      <c r="F265" s="122"/>
      <c r="G265" s="122"/>
      <c r="H265" s="23"/>
      <c r="I265" s="12"/>
      <c r="J265" s="154"/>
      <c r="K265" s="154"/>
      <c r="L265" s="154"/>
      <c r="M265" s="154"/>
      <c r="N265" s="161" t="str">
        <f>IF(N$254&gt;7,0,"")</f>
        <v/>
      </c>
      <c r="O265" s="161" t="str">
        <f>IF(O$254&gt;7,0,"")</f>
        <v/>
      </c>
      <c r="P265" s="154"/>
      <c r="Q265" s="161" t="str">
        <f>IF(Q$254&gt;7,0,"")</f>
        <v/>
      </c>
      <c r="R265" s="161" t="str">
        <f>IF(R$254&gt;7,0,"")</f>
        <v/>
      </c>
      <c r="S265" s="154"/>
      <c r="T265" s="161" t="str">
        <f>IF(T$254&gt;7,0,"")</f>
        <v/>
      </c>
      <c r="U265" s="161" t="str">
        <f>IF(U$254&gt;7,0,"")</f>
        <v/>
      </c>
      <c r="V265" s="159"/>
      <c r="W265" s="387"/>
      <c r="X265" s="154"/>
      <c r="Y265" s="154"/>
      <c r="Z265" s="130"/>
      <c r="AA265" s="130"/>
      <c r="AB265" s="130"/>
      <c r="AC265" s="125"/>
      <c r="AE265" s="154"/>
      <c r="AF265" s="154"/>
      <c r="AG265" s="129"/>
      <c r="AH265" s="130"/>
      <c r="AI265" s="125"/>
      <c r="AK265" s="154"/>
      <c r="AL265" s="154"/>
      <c r="AM265" s="129"/>
      <c r="AN265" s="130"/>
      <c r="AO265" s="125"/>
      <c r="AQ265" s="154"/>
      <c r="AR265" s="154"/>
      <c r="AS265" s="129"/>
      <c r="AT265" s="130"/>
      <c r="AU265" s="125"/>
      <c r="AW265" s="154"/>
      <c r="AX265" s="154"/>
      <c r="AY265" s="129"/>
      <c r="AZ265" s="130"/>
      <c r="BA265" s="125"/>
    </row>
    <row r="266" spans="1:53" ht="17.100000000000001" customHeight="1" x14ac:dyDescent="0.25">
      <c r="A266" s="137"/>
      <c r="B266" s="40"/>
      <c r="C266" s="40">
        <v>9</v>
      </c>
      <c r="D266" s="700" t="s">
        <v>1450</v>
      </c>
      <c r="E266" s="122"/>
      <c r="F266" s="122"/>
      <c r="G266" s="122"/>
      <c r="H266" s="23"/>
      <c r="I266" s="12"/>
      <c r="J266" s="154"/>
      <c r="K266" s="154"/>
      <c r="L266" s="154"/>
      <c r="M266" s="154"/>
      <c r="N266" s="161" t="str">
        <f>IF(N$254&gt;8,0,"")</f>
        <v/>
      </c>
      <c r="O266" s="161" t="str">
        <f>IF(O$254&gt;8,0,"")</f>
        <v/>
      </c>
      <c r="P266" s="154"/>
      <c r="Q266" s="161" t="str">
        <f>IF(Q$254&gt;8,0,"")</f>
        <v/>
      </c>
      <c r="R266" s="161" t="str">
        <f>IF(R$254&gt;8,0,"")</f>
        <v/>
      </c>
      <c r="S266" s="154"/>
      <c r="T266" s="161" t="str">
        <f>IF(T$254&gt;8,0,"")</f>
        <v/>
      </c>
      <c r="U266" s="161" t="str">
        <f>IF(U$254&gt;8,0,"")</f>
        <v/>
      </c>
      <c r="V266" s="159"/>
      <c r="W266" s="387"/>
      <c r="X266" s="154"/>
      <c r="Y266" s="154"/>
      <c r="Z266" s="130"/>
      <c r="AA266" s="130"/>
      <c r="AB266" s="130"/>
      <c r="AC266" s="125"/>
      <c r="AE266" s="154"/>
      <c r="AF266" s="154"/>
      <c r="AG266" s="129"/>
      <c r="AH266" s="130"/>
      <c r="AI266" s="125"/>
      <c r="AK266" s="154"/>
      <c r="AL266" s="154"/>
      <c r="AM266" s="129"/>
      <c r="AN266" s="130"/>
      <c r="AO266" s="125"/>
      <c r="AQ266" s="154"/>
      <c r="AR266" s="154"/>
      <c r="AS266" s="129"/>
      <c r="AT266" s="130"/>
      <c r="AU266" s="125"/>
      <c r="AW266" s="154"/>
      <c r="AX266" s="154"/>
      <c r="AY266" s="129"/>
      <c r="AZ266" s="130"/>
      <c r="BA266" s="125"/>
    </row>
    <row r="267" spans="1:53" ht="17.100000000000001" customHeight="1" x14ac:dyDescent="0.25">
      <c r="A267" s="137"/>
      <c r="B267" s="40"/>
      <c r="C267" s="40">
        <v>10</v>
      </c>
      <c r="D267" s="700" t="s">
        <v>1450</v>
      </c>
      <c r="E267" s="122"/>
      <c r="F267" s="122"/>
      <c r="G267" s="122"/>
      <c r="H267" s="23"/>
      <c r="I267" s="12"/>
      <c r="J267" s="154"/>
      <c r="K267" s="154"/>
      <c r="L267" s="154"/>
      <c r="M267" s="154"/>
      <c r="N267" s="161" t="str">
        <f>IF(N$254&gt;9,0,"")</f>
        <v/>
      </c>
      <c r="O267" s="161" t="str">
        <f>IF(O$254&gt;9,0,"")</f>
        <v/>
      </c>
      <c r="P267" s="154"/>
      <c r="Q267" s="161" t="str">
        <f>IF(Q$254&gt;9,0,"")</f>
        <v/>
      </c>
      <c r="R267" s="161" t="str">
        <f>IF(R$254&gt;9,0,"")</f>
        <v/>
      </c>
      <c r="S267" s="154"/>
      <c r="T267" s="161" t="str">
        <f>IF(T$254&gt;9,0,"")</f>
        <v/>
      </c>
      <c r="U267" s="161" t="str">
        <f>IF(U$254&gt;9,0,"")</f>
        <v/>
      </c>
      <c r="V267" s="159"/>
      <c r="W267" s="387"/>
      <c r="X267" s="154"/>
      <c r="Y267" s="154"/>
      <c r="Z267" s="130"/>
      <c r="AA267" s="130"/>
      <c r="AB267" s="130"/>
      <c r="AC267" s="125"/>
      <c r="AE267" s="154"/>
      <c r="AF267" s="154"/>
      <c r="AG267" s="129"/>
      <c r="AH267" s="130"/>
      <c r="AI267" s="125"/>
      <c r="AK267" s="154"/>
      <c r="AL267" s="154"/>
      <c r="AM267" s="129"/>
      <c r="AN267" s="130"/>
      <c r="AO267" s="125"/>
      <c r="AQ267" s="154"/>
      <c r="AR267" s="154"/>
      <c r="AS267" s="129"/>
      <c r="AT267" s="130"/>
      <c r="AU267" s="125"/>
      <c r="AW267" s="154"/>
      <c r="AX267" s="154"/>
      <c r="AY267" s="129"/>
      <c r="AZ267" s="130"/>
      <c r="BA267" s="125"/>
    </row>
    <row r="268" spans="1:53" ht="17.100000000000001" customHeight="1" x14ac:dyDescent="0.25">
      <c r="A268" s="137"/>
      <c r="B268" s="40"/>
      <c r="C268" s="40">
        <v>1</v>
      </c>
      <c r="D268" s="128" t="s">
        <v>1449</v>
      </c>
      <c r="E268" s="122"/>
      <c r="F268" s="122"/>
      <c r="G268" s="122"/>
      <c r="H268" s="23"/>
      <c r="I268" s="12"/>
      <c r="J268" s="154"/>
      <c r="K268" s="154"/>
      <c r="L268" s="154"/>
      <c r="M268" s="154"/>
      <c r="N268" s="161" t="str">
        <f>IF(N$255&gt;0,N$256,"")</f>
        <v/>
      </c>
      <c r="O268" s="161" t="str">
        <f>IF(O$255&gt;0,O$256,"")</f>
        <v/>
      </c>
      <c r="P268" s="154"/>
      <c r="Q268" s="161" t="str">
        <f>IF(Q$255&gt;0,Q$256,"")</f>
        <v/>
      </c>
      <c r="R268" s="161" t="str">
        <f>IF(R$255&gt;0,R$256,"")</f>
        <v/>
      </c>
      <c r="S268" s="154"/>
      <c r="T268" s="161" t="str">
        <f>IF(T$255&gt;0,T$256,"")</f>
        <v/>
      </c>
      <c r="U268" s="161" t="str">
        <f>IF(U$255&gt;0,U$256,"")</f>
        <v/>
      </c>
      <c r="V268" s="159"/>
      <c r="W268" s="387"/>
      <c r="X268" s="154"/>
      <c r="Y268" s="154"/>
      <c r="Z268" s="130"/>
      <c r="AA268" s="130"/>
      <c r="AB268" s="130"/>
      <c r="AC268" s="125"/>
      <c r="AE268" s="154"/>
      <c r="AF268" s="154"/>
      <c r="AG268" s="129"/>
      <c r="AH268" s="130"/>
      <c r="AI268" s="125"/>
      <c r="AK268" s="154"/>
      <c r="AL268" s="154"/>
      <c r="AM268" s="129"/>
      <c r="AN268" s="130"/>
      <c r="AO268" s="125"/>
      <c r="AQ268" s="154"/>
      <c r="AR268" s="154"/>
      <c r="AS268" s="129"/>
      <c r="AT268" s="130"/>
      <c r="AU268" s="125"/>
      <c r="AW268" s="154"/>
      <c r="AX268" s="154"/>
      <c r="AY268" s="129"/>
      <c r="AZ268" s="130"/>
      <c r="BA268" s="125"/>
    </row>
    <row r="269" spans="1:53" ht="17.100000000000001" customHeight="1" x14ac:dyDescent="0.25">
      <c r="A269" s="137"/>
      <c r="B269" s="40"/>
      <c r="C269" s="40">
        <v>2</v>
      </c>
      <c r="D269" s="128" t="s">
        <v>1449</v>
      </c>
      <c r="E269" s="122"/>
      <c r="F269" s="122"/>
      <c r="G269" s="122"/>
      <c r="H269" s="23"/>
      <c r="I269" s="12"/>
      <c r="J269" s="154"/>
      <c r="K269" s="154"/>
      <c r="L269" s="154"/>
      <c r="M269" s="154"/>
      <c r="N269" s="161" t="str">
        <f>IF(N$255&gt;1,N$256,"")</f>
        <v/>
      </c>
      <c r="O269" s="161" t="str">
        <f>IF(O$255&gt;1,O$256,"")</f>
        <v/>
      </c>
      <c r="P269" s="154"/>
      <c r="Q269" s="161" t="str">
        <f>IF(Q$255&gt;1,Q$256,"")</f>
        <v/>
      </c>
      <c r="R269" s="161" t="str">
        <f>IF(R$255&gt;1,R$256,"")</f>
        <v/>
      </c>
      <c r="S269" s="154"/>
      <c r="T269" s="161" t="str">
        <f>IF(T$255&gt;1,T$256,"")</f>
        <v/>
      </c>
      <c r="U269" s="161" t="str">
        <f>IF(U$255&gt;1,U$256,"")</f>
        <v/>
      </c>
      <c r="V269" s="159"/>
      <c r="W269" s="387"/>
      <c r="X269" s="154"/>
      <c r="Y269" s="154"/>
      <c r="Z269" s="130"/>
      <c r="AA269" s="130"/>
      <c r="AB269" s="130"/>
      <c r="AC269" s="125"/>
      <c r="AE269" s="154"/>
      <c r="AF269" s="154"/>
      <c r="AG269" s="129"/>
      <c r="AH269" s="130"/>
      <c r="AI269" s="125"/>
      <c r="AK269" s="154"/>
      <c r="AL269" s="154"/>
      <c r="AM269" s="129"/>
      <c r="AN269" s="130"/>
      <c r="AO269" s="125"/>
      <c r="AQ269" s="154"/>
      <c r="AR269" s="154"/>
      <c r="AS269" s="129"/>
      <c r="AT269" s="130"/>
      <c r="AU269" s="125"/>
      <c r="AW269" s="154"/>
      <c r="AX269" s="154"/>
      <c r="AY269" s="129"/>
      <c r="AZ269" s="130"/>
      <c r="BA269" s="125"/>
    </row>
    <row r="270" spans="1:53" ht="17.100000000000001" customHeight="1" x14ac:dyDescent="0.25">
      <c r="A270" s="137"/>
      <c r="B270" s="40"/>
      <c r="C270" s="40">
        <v>3</v>
      </c>
      <c r="D270" s="128" t="s">
        <v>1449</v>
      </c>
      <c r="E270" s="122"/>
      <c r="F270" s="122"/>
      <c r="G270" s="122"/>
      <c r="H270" s="23"/>
      <c r="I270" s="12"/>
      <c r="J270" s="154"/>
      <c r="K270" s="154"/>
      <c r="L270" s="154"/>
      <c r="M270" s="154"/>
      <c r="N270" s="161" t="str">
        <f>IF(N$255&gt;2,N$256,"")</f>
        <v/>
      </c>
      <c r="O270" s="161" t="str">
        <f>IF(O$255&gt;2,O$256,"")</f>
        <v/>
      </c>
      <c r="P270" s="154"/>
      <c r="Q270" s="161" t="str">
        <f>IF(Q$255&gt;2,Q$256,"")</f>
        <v/>
      </c>
      <c r="R270" s="161" t="str">
        <f>IF(R$255&gt;2,R$256,"")</f>
        <v/>
      </c>
      <c r="S270" s="154"/>
      <c r="T270" s="161" t="str">
        <f>IF(T$255&gt;2,T$256,"")</f>
        <v/>
      </c>
      <c r="U270" s="161" t="str">
        <f>IF(U$255&gt;2,U$256,"")</f>
        <v/>
      </c>
      <c r="V270" s="159"/>
      <c r="W270" s="387"/>
      <c r="X270" s="154"/>
      <c r="Y270" s="154"/>
      <c r="Z270" s="130"/>
      <c r="AA270" s="130"/>
      <c r="AB270" s="130"/>
      <c r="AC270" s="125"/>
      <c r="AE270" s="154"/>
      <c r="AF270" s="154"/>
      <c r="AG270" s="129"/>
      <c r="AH270" s="130"/>
      <c r="AI270" s="125"/>
      <c r="AK270" s="154"/>
      <c r="AL270" s="154"/>
      <c r="AM270" s="129"/>
      <c r="AN270" s="130"/>
      <c r="AO270" s="125"/>
      <c r="AQ270" s="154"/>
      <c r="AR270" s="154"/>
      <c r="AS270" s="129"/>
      <c r="AT270" s="130"/>
      <c r="AU270" s="125"/>
      <c r="AW270" s="154"/>
      <c r="AX270" s="154"/>
      <c r="AY270" s="129"/>
      <c r="AZ270" s="130"/>
      <c r="BA270" s="125"/>
    </row>
    <row r="271" spans="1:53" ht="17.100000000000001" customHeight="1" x14ac:dyDescent="0.25">
      <c r="A271" s="137"/>
      <c r="B271" s="40"/>
      <c r="C271" s="40">
        <v>4</v>
      </c>
      <c r="D271" s="128" t="s">
        <v>1449</v>
      </c>
      <c r="E271" s="122"/>
      <c r="F271" s="122"/>
      <c r="G271" s="122"/>
      <c r="H271" s="23"/>
      <c r="I271" s="12"/>
      <c r="J271" s="154"/>
      <c r="K271" s="154"/>
      <c r="L271" s="154"/>
      <c r="M271" s="154"/>
      <c r="N271" s="161" t="str">
        <f>IF(N$255&gt;3,N$256,"")</f>
        <v/>
      </c>
      <c r="O271" s="161" t="str">
        <f>IF(O$255&gt;3,O$256,"")</f>
        <v/>
      </c>
      <c r="P271" s="154"/>
      <c r="Q271" s="161" t="str">
        <f>IF(Q$255&gt;3,Q$256,"")</f>
        <v/>
      </c>
      <c r="R271" s="161" t="str">
        <f>IF(R$255&gt;3,R$256,"")</f>
        <v/>
      </c>
      <c r="S271" s="154"/>
      <c r="T271" s="161" t="str">
        <f>IF(T$255&gt;3,T$256,"")</f>
        <v/>
      </c>
      <c r="U271" s="161" t="str">
        <f>IF(U$255&gt;3,U$256,"")</f>
        <v/>
      </c>
      <c r="V271" s="159"/>
      <c r="W271" s="387"/>
      <c r="X271" s="154"/>
      <c r="Y271" s="154"/>
      <c r="Z271" s="130"/>
      <c r="AA271" s="130"/>
      <c r="AB271" s="130"/>
      <c r="AC271" s="125"/>
      <c r="AE271" s="154"/>
      <c r="AF271" s="154"/>
      <c r="AG271" s="129"/>
      <c r="AH271" s="130"/>
      <c r="AI271" s="125"/>
      <c r="AK271" s="154"/>
      <c r="AL271" s="154"/>
      <c r="AM271" s="129"/>
      <c r="AN271" s="130"/>
      <c r="AO271" s="125"/>
      <c r="AQ271" s="154"/>
      <c r="AR271" s="154"/>
      <c r="AS271" s="129"/>
      <c r="AT271" s="130"/>
      <c r="AU271" s="125"/>
      <c r="AW271" s="154"/>
      <c r="AX271" s="154"/>
      <c r="AY271" s="129"/>
      <c r="AZ271" s="130"/>
      <c r="BA271" s="125"/>
    </row>
    <row r="272" spans="1:53" ht="17.100000000000001" customHeight="1" x14ac:dyDescent="0.25">
      <c r="A272" s="137"/>
      <c r="B272" s="40"/>
      <c r="C272" s="40">
        <v>5</v>
      </c>
      <c r="D272" s="128" t="s">
        <v>1449</v>
      </c>
      <c r="E272" s="122"/>
      <c r="F272" s="122"/>
      <c r="G272" s="122"/>
      <c r="H272" s="23"/>
      <c r="I272" s="12"/>
      <c r="J272" s="154"/>
      <c r="K272" s="154"/>
      <c r="L272" s="154"/>
      <c r="M272" s="154"/>
      <c r="N272" s="161" t="str">
        <f>IF(N$255&gt;4,N$256,"")</f>
        <v/>
      </c>
      <c r="O272" s="161" t="str">
        <f>IF(O$255&gt;4,O$256,"")</f>
        <v/>
      </c>
      <c r="P272" s="154"/>
      <c r="Q272" s="161" t="str">
        <f>IF(Q$255&gt;4,Q$256,"")</f>
        <v/>
      </c>
      <c r="R272" s="161" t="str">
        <f>IF(R$255&gt;4,R$256,"")</f>
        <v/>
      </c>
      <c r="S272" s="154"/>
      <c r="T272" s="161" t="str">
        <f>IF(T$255&gt;4,T$256,"")</f>
        <v/>
      </c>
      <c r="U272" s="161" t="str">
        <f>IF(U$255&gt;4,U$256,"")</f>
        <v/>
      </c>
      <c r="V272" s="159"/>
      <c r="W272" s="387"/>
      <c r="X272" s="154"/>
      <c r="Y272" s="154"/>
      <c r="Z272" s="130"/>
      <c r="AA272" s="130"/>
      <c r="AB272" s="130"/>
      <c r="AC272" s="125"/>
      <c r="AE272" s="154"/>
      <c r="AF272" s="154"/>
      <c r="AG272" s="129"/>
      <c r="AH272" s="130"/>
      <c r="AI272" s="125"/>
      <c r="AK272" s="154"/>
      <c r="AL272" s="154"/>
      <c r="AM272" s="129"/>
      <c r="AN272" s="130"/>
      <c r="AO272" s="125"/>
      <c r="AQ272" s="154"/>
      <c r="AR272" s="154"/>
      <c r="AS272" s="129"/>
      <c r="AT272" s="130"/>
      <c r="AU272" s="125"/>
      <c r="AW272" s="154"/>
      <c r="AX272" s="154"/>
      <c r="AY272" s="129"/>
      <c r="AZ272" s="130"/>
      <c r="BA272" s="125"/>
    </row>
    <row r="273" spans="1:53" ht="17.100000000000001" customHeight="1" x14ac:dyDescent="0.25">
      <c r="A273" s="137"/>
      <c r="B273" s="40"/>
      <c r="C273" s="40">
        <v>6</v>
      </c>
      <c r="D273" s="128" t="s">
        <v>1449</v>
      </c>
      <c r="E273" s="122"/>
      <c r="F273" s="122"/>
      <c r="G273" s="122"/>
      <c r="H273" s="23"/>
      <c r="I273" s="12"/>
      <c r="J273" s="154"/>
      <c r="K273" s="154"/>
      <c r="L273" s="154"/>
      <c r="M273" s="154"/>
      <c r="N273" s="161" t="str">
        <f>IF(N$255&gt;5,N$256,"")</f>
        <v/>
      </c>
      <c r="O273" s="161" t="str">
        <f>IF(O$255&gt;5,O$256,"")</f>
        <v/>
      </c>
      <c r="P273" s="154"/>
      <c r="Q273" s="161" t="str">
        <f>IF(Q$255&gt;5,Q$256,"")</f>
        <v/>
      </c>
      <c r="R273" s="161" t="str">
        <f>IF(R$255&gt;5,R$256,"")</f>
        <v/>
      </c>
      <c r="S273" s="154"/>
      <c r="T273" s="161" t="str">
        <f>IF(T$255&gt;5,T$256,"")</f>
        <v/>
      </c>
      <c r="U273" s="161" t="str">
        <f>IF(U$255&gt;5,U$256,"")</f>
        <v/>
      </c>
      <c r="V273" s="159"/>
      <c r="W273" s="387"/>
      <c r="X273" s="154"/>
      <c r="Y273" s="154"/>
      <c r="Z273" s="130"/>
      <c r="AA273" s="130"/>
      <c r="AB273" s="130"/>
      <c r="AC273" s="125"/>
      <c r="AE273" s="154"/>
      <c r="AF273" s="154"/>
      <c r="AG273" s="129"/>
      <c r="AH273" s="130"/>
      <c r="AI273" s="125"/>
      <c r="AK273" s="154"/>
      <c r="AL273" s="154"/>
      <c r="AM273" s="129"/>
      <c r="AN273" s="130"/>
      <c r="AO273" s="125"/>
      <c r="AQ273" s="154"/>
      <c r="AR273" s="154"/>
      <c r="AS273" s="129"/>
      <c r="AT273" s="130"/>
      <c r="AU273" s="125"/>
      <c r="AW273" s="154"/>
      <c r="AX273" s="154"/>
      <c r="AY273" s="129"/>
      <c r="AZ273" s="130"/>
      <c r="BA273" s="125"/>
    </row>
    <row r="274" spans="1:53" ht="17.100000000000001" customHeight="1" x14ac:dyDescent="0.25">
      <c r="A274" s="137"/>
      <c r="B274" s="40"/>
      <c r="C274" s="40">
        <v>7</v>
      </c>
      <c r="D274" s="128" t="s">
        <v>1449</v>
      </c>
      <c r="E274" s="122"/>
      <c r="F274" s="122"/>
      <c r="G274" s="122"/>
      <c r="H274" s="23"/>
      <c r="I274" s="12"/>
      <c r="J274" s="154"/>
      <c r="K274" s="154"/>
      <c r="L274" s="154"/>
      <c r="M274" s="154"/>
      <c r="N274" s="161" t="str">
        <f>IF(N$255&gt;6,N$256,"")</f>
        <v/>
      </c>
      <c r="O274" s="161" t="str">
        <f>IF(O$255&gt;6,O$256,"")</f>
        <v/>
      </c>
      <c r="P274" s="154"/>
      <c r="Q274" s="161" t="str">
        <f>IF(Q$255&gt;6,Q$256,"")</f>
        <v/>
      </c>
      <c r="R274" s="161" t="str">
        <f>IF(R$255&gt;6,R$256,"")</f>
        <v/>
      </c>
      <c r="S274" s="154"/>
      <c r="T274" s="161" t="str">
        <f>IF(T$255&gt;6,T$256,"")</f>
        <v/>
      </c>
      <c r="U274" s="161" t="str">
        <f>IF(U$255&gt;6,U$256,"")</f>
        <v/>
      </c>
      <c r="V274" s="159"/>
      <c r="W274" s="387"/>
      <c r="X274" s="154"/>
      <c r="Y274" s="154"/>
      <c r="Z274" s="130"/>
      <c r="AA274" s="130"/>
      <c r="AB274" s="130"/>
      <c r="AC274" s="125"/>
      <c r="AE274" s="154"/>
      <c r="AF274" s="154"/>
      <c r="AG274" s="129"/>
      <c r="AH274" s="130"/>
      <c r="AI274" s="125"/>
      <c r="AK274" s="154"/>
      <c r="AL274" s="154"/>
      <c r="AM274" s="129"/>
      <c r="AN274" s="130"/>
      <c r="AO274" s="125"/>
      <c r="AQ274" s="154"/>
      <c r="AR274" s="154"/>
      <c r="AS274" s="129"/>
      <c r="AT274" s="130"/>
      <c r="AU274" s="125"/>
      <c r="AW274" s="154"/>
      <c r="AX274" s="154"/>
      <c r="AY274" s="129"/>
      <c r="AZ274" s="130"/>
      <c r="BA274" s="125"/>
    </row>
    <row r="275" spans="1:53" ht="17.100000000000001" customHeight="1" x14ac:dyDescent="0.25">
      <c r="A275" s="137"/>
      <c r="B275" s="40"/>
      <c r="C275" s="40">
        <v>8</v>
      </c>
      <c r="D275" s="128" t="s">
        <v>1449</v>
      </c>
      <c r="E275" s="122"/>
      <c r="F275" s="122"/>
      <c r="G275" s="122"/>
      <c r="H275" s="23"/>
      <c r="I275" s="12"/>
      <c r="J275" s="154"/>
      <c r="K275" s="154"/>
      <c r="L275" s="154"/>
      <c r="M275" s="154"/>
      <c r="N275" s="161" t="str">
        <f>IF(N$255&gt;7,N$256,"")</f>
        <v/>
      </c>
      <c r="O275" s="161" t="str">
        <f>IF(O$255&gt;7,O$256,"")</f>
        <v/>
      </c>
      <c r="P275" s="154"/>
      <c r="Q275" s="161" t="str">
        <f>IF(Q$255&gt;7,Q$256,"")</f>
        <v/>
      </c>
      <c r="R275" s="161" t="str">
        <f>IF(R$255&gt;7,R$256,"")</f>
        <v/>
      </c>
      <c r="S275" s="154"/>
      <c r="T275" s="161" t="str">
        <f>IF(T$255&gt;7,T$256,"")</f>
        <v/>
      </c>
      <c r="U275" s="161" t="str">
        <f>IF(U$255&gt;7,U$256,"")</f>
        <v/>
      </c>
      <c r="V275" s="159"/>
      <c r="W275" s="387"/>
      <c r="X275" s="154"/>
      <c r="Y275" s="154"/>
      <c r="Z275" s="130"/>
      <c r="AA275" s="130"/>
      <c r="AB275" s="130"/>
      <c r="AC275" s="125"/>
      <c r="AE275" s="154"/>
      <c r="AF275" s="154"/>
      <c r="AG275" s="129"/>
      <c r="AH275" s="130"/>
      <c r="AI275" s="125"/>
      <c r="AK275" s="154"/>
      <c r="AL275" s="154"/>
      <c r="AM275" s="129"/>
      <c r="AN275" s="130"/>
      <c r="AO275" s="125"/>
      <c r="AQ275" s="154"/>
      <c r="AR275" s="154"/>
      <c r="AS275" s="129"/>
      <c r="AT275" s="130"/>
      <c r="AU275" s="125"/>
      <c r="AW275" s="154"/>
      <c r="AX275" s="154"/>
      <c r="AY275" s="129"/>
      <c r="AZ275" s="130"/>
      <c r="BA275" s="125"/>
    </row>
    <row r="276" spans="1:53" ht="17.100000000000001" customHeight="1" x14ac:dyDescent="0.25">
      <c r="A276" s="137"/>
      <c r="B276" s="40"/>
      <c r="C276" s="40">
        <v>9</v>
      </c>
      <c r="D276" s="128" t="s">
        <v>1449</v>
      </c>
      <c r="E276" s="122"/>
      <c r="F276" s="122"/>
      <c r="G276" s="122"/>
      <c r="H276" s="23"/>
      <c r="I276" s="12"/>
      <c r="J276" s="154"/>
      <c r="K276" s="154"/>
      <c r="L276" s="154"/>
      <c r="M276" s="154"/>
      <c r="N276" s="161" t="str">
        <f>IF(N$255&gt;8,N$256,"")</f>
        <v/>
      </c>
      <c r="O276" s="161" t="str">
        <f>IF(O$255&gt;8,O$256,"")</f>
        <v/>
      </c>
      <c r="P276" s="154"/>
      <c r="Q276" s="161" t="str">
        <f>IF(Q$255&gt;8,Q$256,"")</f>
        <v/>
      </c>
      <c r="R276" s="161" t="str">
        <f>IF(R$255&gt;8,R$256,"")</f>
        <v/>
      </c>
      <c r="S276" s="154"/>
      <c r="T276" s="161" t="str">
        <f>IF(T$255&gt;8,T$256,"")</f>
        <v/>
      </c>
      <c r="U276" s="161" t="str">
        <f>IF(U$255&gt;8,U$256,"")</f>
        <v/>
      </c>
      <c r="V276" s="159"/>
      <c r="W276" s="387"/>
      <c r="X276" s="154"/>
      <c r="Y276" s="154"/>
      <c r="Z276" s="130"/>
      <c r="AA276" s="130"/>
      <c r="AB276" s="130"/>
      <c r="AC276" s="125"/>
      <c r="AE276" s="154"/>
      <c r="AF276" s="154"/>
      <c r="AG276" s="129"/>
      <c r="AH276" s="130"/>
      <c r="AI276" s="125"/>
      <c r="AK276" s="154"/>
      <c r="AL276" s="154"/>
      <c r="AM276" s="129"/>
      <c r="AN276" s="130"/>
      <c r="AO276" s="125"/>
      <c r="AQ276" s="154"/>
      <c r="AR276" s="154"/>
      <c r="AS276" s="129"/>
      <c r="AT276" s="130"/>
      <c r="AU276" s="125"/>
      <c r="AW276" s="154"/>
      <c r="AX276" s="154"/>
      <c r="AY276" s="129"/>
      <c r="AZ276" s="130"/>
      <c r="BA276" s="125"/>
    </row>
    <row r="277" spans="1:53" ht="17.100000000000001" customHeight="1" x14ac:dyDescent="0.25">
      <c r="A277" s="137"/>
      <c r="B277" s="40"/>
      <c r="C277" s="40">
        <v>10</v>
      </c>
      <c r="D277" s="128" t="s">
        <v>1449</v>
      </c>
      <c r="E277" s="122"/>
      <c r="F277" s="122"/>
      <c r="G277" s="122"/>
      <c r="H277" s="23"/>
      <c r="I277" s="12"/>
      <c r="J277" s="154"/>
      <c r="K277" s="154"/>
      <c r="L277" s="154"/>
      <c r="M277" s="154"/>
      <c r="N277" s="161" t="str">
        <f>IF(N$255&gt;9,N$256,"")</f>
        <v/>
      </c>
      <c r="O277" s="161" t="str">
        <f>IF(O$255&gt;9,O$256,"")</f>
        <v/>
      </c>
      <c r="P277" s="154"/>
      <c r="Q277" s="161" t="str">
        <f>IF(Q$255&gt;9,Q$256,"")</f>
        <v/>
      </c>
      <c r="R277" s="161" t="str">
        <f>IF(R$255&gt;9,R$256,"")</f>
        <v/>
      </c>
      <c r="S277" s="154"/>
      <c r="T277" s="161" t="str">
        <f>IF(T$255&gt;9,T$256,"")</f>
        <v/>
      </c>
      <c r="U277" s="161" t="str">
        <f>IF(U$255&gt;9,U$256,"")</f>
        <v/>
      </c>
      <c r="V277" s="159"/>
      <c r="W277" s="387"/>
      <c r="X277" s="154"/>
      <c r="Y277" s="154"/>
      <c r="Z277" s="130"/>
      <c r="AA277" s="130"/>
      <c r="AB277" s="130"/>
      <c r="AC277" s="125"/>
      <c r="AE277" s="154"/>
      <c r="AF277" s="154"/>
      <c r="AG277" s="129"/>
      <c r="AH277" s="130"/>
      <c r="AI277" s="125"/>
      <c r="AK277" s="154"/>
      <c r="AL277" s="154"/>
      <c r="AM277" s="129"/>
      <c r="AN277" s="130"/>
      <c r="AO277" s="125"/>
      <c r="AQ277" s="154"/>
      <c r="AR277" s="154"/>
      <c r="AS277" s="129"/>
      <c r="AT277" s="130"/>
      <c r="AU277" s="125"/>
      <c r="AW277" s="154"/>
      <c r="AX277" s="154"/>
      <c r="AY277" s="129"/>
      <c r="AZ277" s="130"/>
      <c r="BA277" s="125"/>
    </row>
    <row r="278" spans="1:53" s="158" customFormat="1" ht="17.100000000000001" customHeight="1" x14ac:dyDescent="0.25">
      <c r="A278" s="967"/>
      <c r="B278" s="102"/>
      <c r="C278" s="102"/>
      <c r="D278" s="122" t="s">
        <v>1451</v>
      </c>
      <c r="E278" s="122"/>
      <c r="F278" s="122"/>
      <c r="G278" s="122"/>
      <c r="H278" s="23"/>
      <c r="I278" s="12"/>
      <c r="J278" s="160"/>
      <c r="K278" s="160"/>
      <c r="L278" s="160"/>
      <c r="M278" s="160"/>
      <c r="N278" s="160" t="str">
        <f>IF(SUM(N254:N255)=0,"",AVERAGE(N258:N277))</f>
        <v/>
      </c>
      <c r="O278" s="160">
        <f>IF(SUM(O254:O255)=0,"",AVERAGE(O258:O277))</f>
        <v>0</v>
      </c>
      <c r="P278" s="160"/>
      <c r="Q278" s="160" t="str">
        <f>IF(SUM(Q254:Q255)=0,"",AVERAGE(Q258:Q277))</f>
        <v/>
      </c>
      <c r="R278" s="160" t="str">
        <f>IF(SUM(R254:R255)=0,"",AVERAGE(R258:R277))</f>
        <v/>
      </c>
      <c r="S278" s="160"/>
      <c r="T278" s="160" t="str">
        <f>IF(SUM(T254:T255)=0,"",AVERAGE(T258:T277))</f>
        <v/>
      </c>
      <c r="U278" s="160" t="str">
        <f>IF(SUM(U254:U255)=0,"",AVERAGE(U258:U277))</f>
        <v/>
      </c>
      <c r="V278" s="947"/>
      <c r="W278" s="948"/>
      <c r="X278" s="160"/>
      <c r="Y278" s="160"/>
      <c r="Z278" s="949"/>
      <c r="AA278" s="975">
        <f>MIN(N278:U278)</f>
        <v>0</v>
      </c>
      <c r="AB278" s="975">
        <f>MAX(N278:U278)</f>
        <v>0</v>
      </c>
      <c r="AC278" s="124">
        <f>IF(SUM(N278:U278)=0,0,AVERAGE(N278:U278))</f>
        <v>0</v>
      </c>
      <c r="AE278" s="160"/>
      <c r="AF278" s="160"/>
      <c r="AG278" s="129"/>
      <c r="AH278" s="949"/>
      <c r="AI278" s="904"/>
      <c r="AK278" s="160"/>
      <c r="AL278" s="160"/>
      <c r="AM278" s="129"/>
      <c r="AN278" s="949"/>
      <c r="AO278" s="904"/>
      <c r="AQ278" s="160">
        <f>MIN(N278,Q278,T278)</f>
        <v>0</v>
      </c>
      <c r="AR278" s="160">
        <f>MAX(N278,Q278,T278)</f>
        <v>0</v>
      </c>
      <c r="AS278" s="961">
        <v>0</v>
      </c>
      <c r="AT278" s="949"/>
      <c r="AU278" s="904"/>
      <c r="AW278" s="160">
        <f>MIN(O278,R278,U278)</f>
        <v>0</v>
      </c>
      <c r="AX278" s="160">
        <f>MAX(O278,R278,U278)</f>
        <v>0</v>
      </c>
      <c r="AY278" s="129">
        <f>AVERAGE(O278,R278,U278)</f>
        <v>0</v>
      </c>
      <c r="AZ278" s="949"/>
      <c r="BA278" s="904"/>
    </row>
    <row r="279" spans="1:53" ht="17.100000000000001" customHeight="1" x14ac:dyDescent="0.25">
      <c r="A279" s="40"/>
      <c r="B279" s="40"/>
      <c r="C279" s="40"/>
      <c r="D279" s="128"/>
      <c r="E279" s="122"/>
      <c r="F279" s="122"/>
      <c r="G279" s="122"/>
      <c r="H279" s="23"/>
      <c r="I279" s="12"/>
      <c r="J279" s="154"/>
      <c r="K279" s="154"/>
      <c r="L279" s="154"/>
      <c r="M279" s="154"/>
      <c r="N279" s="154"/>
      <c r="O279" s="154"/>
      <c r="P279" s="154"/>
      <c r="Q279" s="154"/>
      <c r="R279" s="154"/>
      <c r="S279" s="154"/>
      <c r="T279" s="154"/>
      <c r="U279" s="154"/>
      <c r="V279" s="159"/>
      <c r="W279" s="387"/>
      <c r="X279" s="154"/>
      <c r="Y279" s="154"/>
      <c r="Z279" s="130"/>
      <c r="AA279" s="130"/>
      <c r="AB279" s="130"/>
      <c r="AC279" s="125"/>
      <c r="AE279" s="154"/>
      <c r="AF279" s="154"/>
      <c r="AG279" s="129"/>
      <c r="AH279" s="130"/>
      <c r="AI279" s="125"/>
      <c r="AK279" s="154"/>
      <c r="AL279" s="154"/>
      <c r="AM279" s="129"/>
      <c r="AN279" s="130"/>
      <c r="AO279" s="125"/>
      <c r="AQ279" s="154"/>
      <c r="AR279" s="154"/>
      <c r="AS279" s="129"/>
      <c r="AT279" s="130"/>
      <c r="AU279" s="125"/>
      <c r="AW279" s="154"/>
      <c r="AX279" s="154"/>
      <c r="AY279" s="129"/>
      <c r="AZ279" s="130"/>
      <c r="BA279" s="125"/>
    </row>
    <row r="280" spans="1:53" s="97" customFormat="1" ht="17.100000000000001" customHeight="1" x14ac:dyDescent="0.25">
      <c r="A280" s="68"/>
      <c r="B280" s="68"/>
      <c r="C280" s="92"/>
      <c r="D280" s="305"/>
      <c r="E280" s="305"/>
      <c r="F280" s="305"/>
      <c r="G280" s="305"/>
      <c r="H280" s="207"/>
      <c r="I280" s="207"/>
    </row>
    <row r="281" spans="1:53" s="32" customFormat="1" ht="16.5" thickBot="1" x14ac:dyDescent="0.3">
      <c r="A281" s="24" t="s">
        <v>287</v>
      </c>
      <c r="B281" s="25" t="s">
        <v>288</v>
      </c>
      <c r="C281" s="26"/>
      <c r="D281" s="27"/>
      <c r="E281" s="27"/>
      <c r="F281" s="27"/>
      <c r="G281" s="28"/>
      <c r="H281" s="310"/>
      <c r="I281" s="228"/>
      <c r="J281" s="140"/>
      <c r="K281" s="140"/>
      <c r="L281" s="140"/>
      <c r="M281" s="140"/>
      <c r="N281" s="140"/>
      <c r="O281" s="140"/>
      <c r="P281" s="140"/>
      <c r="Q281" s="140"/>
      <c r="R281" s="140"/>
      <c r="S281" s="140"/>
      <c r="T281" s="140"/>
      <c r="U281" s="140"/>
      <c r="V281" s="140"/>
      <c r="W281" s="140"/>
      <c r="X281" s="140"/>
      <c r="Y281" s="140"/>
      <c r="Z281" s="30" t="s">
        <v>5</v>
      </c>
      <c r="AA281" s="30"/>
      <c r="AB281" s="30"/>
      <c r="AC281" s="188"/>
      <c r="AE281" s="33" t="s">
        <v>181</v>
      </c>
      <c r="AF281" s="33" t="s">
        <v>182</v>
      </c>
      <c r="AG281" s="33" t="s">
        <v>6</v>
      </c>
      <c r="AH281" s="33" t="s">
        <v>4</v>
      </c>
      <c r="AI281" s="34" t="s">
        <v>5</v>
      </c>
      <c r="AJ281" s="35"/>
      <c r="AK281" s="36" t="s">
        <v>181</v>
      </c>
      <c r="AL281" s="36" t="s">
        <v>182</v>
      </c>
      <c r="AM281" s="36" t="s">
        <v>6</v>
      </c>
      <c r="AN281" s="36" t="s">
        <v>4</v>
      </c>
      <c r="AO281" s="37" t="s">
        <v>5</v>
      </c>
      <c r="AQ281" s="398" t="s">
        <v>181</v>
      </c>
      <c r="AR281" s="398" t="s">
        <v>182</v>
      </c>
      <c r="AS281" s="398" t="s">
        <v>6</v>
      </c>
      <c r="AT281" s="398" t="s">
        <v>4</v>
      </c>
      <c r="AU281" s="399" t="s">
        <v>5</v>
      </c>
      <c r="AW281" s="38" t="s">
        <v>181</v>
      </c>
      <c r="AX281" s="38" t="s">
        <v>182</v>
      </c>
      <c r="AY281" s="38" t="s">
        <v>6</v>
      </c>
      <c r="AZ281" s="423" t="s">
        <v>4</v>
      </c>
      <c r="BA281" s="39" t="s">
        <v>5</v>
      </c>
    </row>
    <row r="282" spans="1:53" ht="17.100000000000001" customHeight="1" x14ac:dyDescent="0.25">
      <c r="A282" s="40"/>
      <c r="B282" s="41" t="s">
        <v>289</v>
      </c>
      <c r="C282" s="69" t="s">
        <v>620</v>
      </c>
      <c r="D282" s="43"/>
      <c r="E282" s="43"/>
      <c r="F282" s="43"/>
      <c r="G282" s="44"/>
      <c r="H282" s="321"/>
      <c r="I282" s="229"/>
      <c r="J282" s="71"/>
      <c r="K282" s="71"/>
      <c r="L282" s="71"/>
      <c r="M282" s="71"/>
      <c r="N282" s="71"/>
      <c r="O282" s="71"/>
      <c r="P282" s="71"/>
      <c r="Q282" s="71"/>
      <c r="R282" s="71"/>
      <c r="S282" s="71"/>
      <c r="T282" s="71"/>
      <c r="U282" s="71"/>
      <c r="V282" s="71"/>
      <c r="W282" s="71"/>
      <c r="X282" s="71"/>
      <c r="Y282" s="71"/>
      <c r="Z282" s="73"/>
      <c r="AA282" s="73"/>
      <c r="AB282" s="73"/>
      <c r="AC282" s="73"/>
      <c r="AE282" s="71"/>
      <c r="AF282" s="71"/>
      <c r="AG282" s="273"/>
      <c r="AH282" s="73"/>
      <c r="AI282" s="73"/>
      <c r="AK282" s="71"/>
      <c r="AL282" s="71"/>
      <c r="AM282" s="273"/>
      <c r="AN282" s="73"/>
      <c r="AO282" s="73"/>
      <c r="AQ282" s="71"/>
      <c r="AR282" s="71"/>
      <c r="AS282" s="273"/>
      <c r="AT282" s="73"/>
      <c r="AU282" s="73"/>
      <c r="AW282" s="71"/>
      <c r="AX282" s="71"/>
      <c r="AY282" s="273"/>
      <c r="AZ282" s="73"/>
      <c r="BA282" s="73"/>
    </row>
    <row r="283" spans="1:53" ht="17.100000000000001" customHeight="1" x14ac:dyDescent="0.25">
      <c r="A283" s="40"/>
      <c r="B283" s="40"/>
      <c r="C283" s="74" t="s">
        <v>291</v>
      </c>
      <c r="D283" s="75" t="s">
        <v>292</v>
      </c>
      <c r="E283" s="105"/>
      <c r="F283" s="75"/>
      <c r="G283" s="76"/>
      <c r="H283" s="647"/>
      <c r="I283" s="229"/>
      <c r="J283" s="111"/>
      <c r="K283" s="111"/>
      <c r="L283" s="111"/>
      <c r="M283" s="111"/>
      <c r="N283" s="60"/>
      <c r="O283" s="60"/>
      <c r="P283" s="17">
        <f t="shared" ref="P283:P286" si="272">SUM(N283:O283)</f>
        <v>0</v>
      </c>
      <c r="Q283" s="60"/>
      <c r="R283" s="60"/>
      <c r="S283" s="17">
        <f t="shared" ref="S283:S286" si="273">SUM(Q283:R283)</f>
        <v>0</v>
      </c>
      <c r="T283" s="60"/>
      <c r="U283" s="60"/>
      <c r="V283" s="17">
        <f t="shared" ref="V283:V286" si="274">SUM(T283:U283)</f>
        <v>0</v>
      </c>
      <c r="W283" s="391">
        <f t="shared" ref="W283:W286" si="275">J283+K283+N283+Q283+T283</f>
        <v>0</v>
      </c>
      <c r="X283" s="17">
        <f t="shared" ref="X283:X286" si="276">L283+O283+R283+U283</f>
        <v>0</v>
      </c>
      <c r="Y283" s="18">
        <f t="shared" ref="Y283:Y286" si="277">SUM(W283:X283)</f>
        <v>0</v>
      </c>
      <c r="Z283" s="19">
        <f>IF(Y$287=0,0,Y283/Y$287)</f>
        <v>0</v>
      </c>
      <c r="AA283" s="19"/>
      <c r="AB283" s="19"/>
      <c r="AC283" s="20"/>
      <c r="AE283" s="111"/>
      <c r="AF283" s="111"/>
      <c r="AG283" s="111"/>
      <c r="AH283" s="651"/>
      <c r="AI283" s="131"/>
      <c r="AK283" s="111"/>
      <c r="AL283" s="111"/>
      <c r="AM283" s="111"/>
      <c r="AN283" s="651"/>
      <c r="AO283" s="131"/>
      <c r="AQ283" s="17"/>
      <c r="AR283" s="17"/>
      <c r="AS283" s="17"/>
      <c r="AT283" s="424">
        <f>W283</f>
        <v>0</v>
      </c>
      <c r="AU283" s="19">
        <f>IF(AT$287=0,0,AT283/AT$287)</f>
        <v>0</v>
      </c>
      <c r="AW283" s="17"/>
      <c r="AX283" s="17"/>
      <c r="AY283" s="17"/>
      <c r="AZ283" s="424">
        <f>X283</f>
        <v>0</v>
      </c>
      <c r="BA283" s="19">
        <f>IF(AZ$287=0,0,AZ283/AZ$287)</f>
        <v>0</v>
      </c>
    </row>
    <row r="284" spans="1:53" ht="17.100000000000001" customHeight="1" x14ac:dyDescent="0.25">
      <c r="A284" s="40"/>
      <c r="B284" s="40"/>
      <c r="C284" s="74" t="s">
        <v>293</v>
      </c>
      <c r="D284" s="75" t="s">
        <v>11</v>
      </c>
      <c r="E284" s="105"/>
      <c r="F284" s="75"/>
      <c r="G284" s="75"/>
      <c r="H284" s="647"/>
      <c r="I284" s="229"/>
      <c r="J284" s="111"/>
      <c r="K284" s="111"/>
      <c r="L284" s="111"/>
      <c r="M284" s="111"/>
      <c r="N284" s="61"/>
      <c r="O284" s="61"/>
      <c r="P284" s="17">
        <f t="shared" si="272"/>
        <v>0</v>
      </c>
      <c r="Q284" s="61"/>
      <c r="R284" s="61"/>
      <c r="S284" s="17">
        <f t="shared" si="273"/>
        <v>0</v>
      </c>
      <c r="T284" s="61"/>
      <c r="U284" s="61"/>
      <c r="V284" s="17">
        <f t="shared" si="274"/>
        <v>0</v>
      </c>
      <c r="W284" s="391">
        <f t="shared" si="275"/>
        <v>0</v>
      </c>
      <c r="X284" s="17">
        <f t="shared" si="276"/>
        <v>0</v>
      </c>
      <c r="Y284" s="18">
        <f t="shared" si="277"/>
        <v>0</v>
      </c>
      <c r="Z284" s="19">
        <f t="shared" ref="Z284:Z287" si="278">IF(Y$287=0,0,Y284/Y$287)</f>
        <v>0</v>
      </c>
      <c r="AA284" s="19"/>
      <c r="AB284" s="19"/>
      <c r="AC284" s="20"/>
      <c r="AE284" s="111"/>
      <c r="AF284" s="111"/>
      <c r="AG284" s="111"/>
      <c r="AH284" s="651"/>
      <c r="AI284" s="131"/>
      <c r="AK284" s="111"/>
      <c r="AL284" s="111"/>
      <c r="AM284" s="111"/>
      <c r="AN284" s="651"/>
      <c r="AO284" s="131"/>
      <c r="AQ284" s="17"/>
      <c r="AR284" s="17"/>
      <c r="AS284" s="17"/>
      <c r="AT284" s="424">
        <f t="shared" ref="AT284:AT286" si="279">W284</f>
        <v>0</v>
      </c>
      <c r="AU284" s="19">
        <f t="shared" ref="AU284:AU287" si="280">IF(AT$287=0,0,AT284/AT$287)</f>
        <v>0</v>
      </c>
      <c r="AW284" s="17"/>
      <c r="AX284" s="17"/>
      <c r="AY284" s="17"/>
      <c r="AZ284" s="424">
        <f t="shared" ref="AZ284:AZ286" si="281">X284</f>
        <v>0</v>
      </c>
      <c r="BA284" s="19">
        <f t="shared" ref="BA284:BA287" si="282">IF(AZ$287=0,0,AZ284/AZ$287)</f>
        <v>0</v>
      </c>
    </row>
    <row r="285" spans="1:53" ht="17.100000000000001" customHeight="1" x14ac:dyDescent="0.25">
      <c r="A285" s="40"/>
      <c r="B285" s="40"/>
      <c r="C285" s="74" t="s">
        <v>294</v>
      </c>
      <c r="D285" s="75" t="s">
        <v>295</v>
      </c>
      <c r="E285" s="105"/>
      <c r="F285" s="75"/>
      <c r="G285" s="75"/>
      <c r="H285" s="23"/>
      <c r="I285" s="229"/>
      <c r="J285" s="111"/>
      <c r="K285" s="111"/>
      <c r="L285" s="111"/>
      <c r="M285" s="111"/>
      <c r="N285" s="60"/>
      <c r="O285" s="60"/>
      <c r="P285" s="17">
        <f t="shared" si="272"/>
        <v>0</v>
      </c>
      <c r="Q285" s="60"/>
      <c r="R285" s="60"/>
      <c r="S285" s="17">
        <f t="shared" si="273"/>
        <v>0</v>
      </c>
      <c r="T285" s="60"/>
      <c r="U285" s="60"/>
      <c r="V285" s="17">
        <f t="shared" si="274"/>
        <v>0</v>
      </c>
      <c r="W285" s="391">
        <f t="shared" si="275"/>
        <v>0</v>
      </c>
      <c r="X285" s="17">
        <f t="shared" si="276"/>
        <v>0</v>
      </c>
      <c r="Y285" s="18">
        <f t="shared" si="277"/>
        <v>0</v>
      </c>
      <c r="Z285" s="19">
        <f t="shared" si="278"/>
        <v>0</v>
      </c>
      <c r="AA285" s="19"/>
      <c r="AB285" s="19"/>
      <c r="AC285" s="20"/>
      <c r="AE285" s="111"/>
      <c r="AF285" s="111"/>
      <c r="AG285" s="111"/>
      <c r="AH285" s="651"/>
      <c r="AI285" s="131"/>
      <c r="AK285" s="111"/>
      <c r="AL285" s="111"/>
      <c r="AM285" s="111"/>
      <c r="AN285" s="651"/>
      <c r="AO285" s="131"/>
      <c r="AQ285" s="17"/>
      <c r="AR285" s="17"/>
      <c r="AS285" s="17"/>
      <c r="AT285" s="424">
        <f t="shared" si="279"/>
        <v>0</v>
      </c>
      <c r="AU285" s="19">
        <f t="shared" si="280"/>
        <v>0</v>
      </c>
      <c r="AW285" s="17"/>
      <c r="AX285" s="17"/>
      <c r="AY285" s="17"/>
      <c r="AZ285" s="424">
        <f t="shared" si="281"/>
        <v>0</v>
      </c>
      <c r="BA285" s="19">
        <f t="shared" si="282"/>
        <v>0</v>
      </c>
    </row>
    <row r="286" spans="1:53" ht="17.100000000000001" customHeight="1" x14ac:dyDescent="0.25">
      <c r="A286" s="40"/>
      <c r="B286" s="40"/>
      <c r="C286" s="74" t="s">
        <v>296</v>
      </c>
      <c r="D286" s="75" t="s">
        <v>9</v>
      </c>
      <c r="E286" s="105"/>
      <c r="F286" s="75"/>
      <c r="G286" s="75"/>
      <c r="H286" s="23"/>
      <c r="I286" s="229"/>
      <c r="J286" s="111"/>
      <c r="K286" s="111"/>
      <c r="L286" s="111"/>
      <c r="M286" s="111"/>
      <c r="N286" s="61"/>
      <c r="O286" s="61"/>
      <c r="P286" s="17">
        <f t="shared" si="272"/>
        <v>0</v>
      </c>
      <c r="Q286" s="61"/>
      <c r="R286" s="61"/>
      <c r="S286" s="17">
        <f t="shared" si="273"/>
        <v>0</v>
      </c>
      <c r="T286" s="61"/>
      <c r="U286" s="61"/>
      <c r="V286" s="17">
        <f t="shared" si="274"/>
        <v>0</v>
      </c>
      <c r="W286" s="391">
        <f t="shared" si="275"/>
        <v>0</v>
      </c>
      <c r="X286" s="17">
        <f t="shared" si="276"/>
        <v>0</v>
      </c>
      <c r="Y286" s="18">
        <f t="shared" si="277"/>
        <v>0</v>
      </c>
      <c r="Z286" s="19">
        <f t="shared" si="278"/>
        <v>0</v>
      </c>
      <c r="AA286" s="19"/>
      <c r="AB286" s="19"/>
      <c r="AC286" s="20"/>
      <c r="AE286" s="111"/>
      <c r="AF286" s="111"/>
      <c r="AG286" s="111"/>
      <c r="AH286" s="651"/>
      <c r="AI286" s="131"/>
      <c r="AK286" s="111"/>
      <c r="AL286" s="111"/>
      <c r="AM286" s="111"/>
      <c r="AN286" s="651"/>
      <c r="AO286" s="131"/>
      <c r="AQ286" s="17"/>
      <c r="AR286" s="17"/>
      <c r="AS286" s="17"/>
      <c r="AT286" s="424">
        <f t="shared" si="279"/>
        <v>0</v>
      </c>
      <c r="AU286" s="19">
        <f t="shared" si="280"/>
        <v>0</v>
      </c>
      <c r="AW286" s="17"/>
      <c r="AX286" s="17"/>
      <c r="AY286" s="17"/>
      <c r="AZ286" s="424">
        <f t="shared" si="281"/>
        <v>0</v>
      </c>
      <c r="BA286" s="19">
        <f t="shared" si="282"/>
        <v>0</v>
      </c>
    </row>
    <row r="287" spans="1:53" ht="17.100000000000001" customHeight="1" x14ac:dyDescent="0.25">
      <c r="A287" s="40"/>
      <c r="B287" s="40"/>
      <c r="C287" s="292"/>
      <c r="D287" s="144"/>
      <c r="E287" s="144"/>
      <c r="F287" s="145"/>
      <c r="G287" s="145"/>
      <c r="H287" s="119"/>
      <c r="I287" s="236"/>
      <c r="J287" s="80"/>
      <c r="K287" s="80"/>
      <c r="L287" s="81"/>
      <c r="M287" s="81"/>
      <c r="N287" s="81">
        <f>SUM(N283:N286)</f>
        <v>0</v>
      </c>
      <c r="O287" s="81">
        <f t="shared" ref="O287:V287" si="283">SUM(O283:O286)</f>
        <v>0</v>
      </c>
      <c r="P287" s="81">
        <f t="shared" si="283"/>
        <v>0</v>
      </c>
      <c r="Q287" s="81">
        <f t="shared" si="283"/>
        <v>0</v>
      </c>
      <c r="R287" s="81">
        <f t="shared" si="283"/>
        <v>0</v>
      </c>
      <c r="S287" s="81">
        <f t="shared" si="283"/>
        <v>0</v>
      </c>
      <c r="T287" s="81">
        <f t="shared" si="283"/>
        <v>0</v>
      </c>
      <c r="U287" s="81">
        <f t="shared" si="283"/>
        <v>0</v>
      </c>
      <c r="V287" s="81">
        <f t="shared" si="283"/>
        <v>0</v>
      </c>
      <c r="W287" s="82">
        <f>SUM(W283:W286)</f>
        <v>0</v>
      </c>
      <c r="X287" s="82">
        <f t="shared" ref="X287:Y287" si="284">SUM(X283:X286)</f>
        <v>0</v>
      </c>
      <c r="Y287" s="82">
        <f t="shared" si="284"/>
        <v>0</v>
      </c>
      <c r="Z287" s="66">
        <f t="shared" si="278"/>
        <v>0</v>
      </c>
      <c r="AA287" s="205"/>
      <c r="AB287" s="205"/>
      <c r="AC287" s="83"/>
      <c r="AE287" s="81"/>
      <c r="AF287" s="81"/>
      <c r="AG287" s="82"/>
      <c r="AH287" s="82"/>
      <c r="AI287" s="66"/>
      <c r="AK287" s="81"/>
      <c r="AL287" s="81"/>
      <c r="AM287" s="82"/>
      <c r="AN287" s="82"/>
      <c r="AO287" s="66"/>
      <c r="AQ287" s="81"/>
      <c r="AR287" s="81"/>
      <c r="AS287" s="82"/>
      <c r="AT287" s="81">
        <f>SUM(AT283:AT286)</f>
        <v>0</v>
      </c>
      <c r="AU287" s="66">
        <f t="shared" si="280"/>
        <v>0</v>
      </c>
      <c r="AW287" s="81"/>
      <c r="AX287" s="81"/>
      <c r="AY287" s="82"/>
      <c r="AZ287" s="81">
        <f>SUM(AZ283:AZ286)</f>
        <v>0</v>
      </c>
      <c r="BA287" s="66">
        <f t="shared" si="282"/>
        <v>0</v>
      </c>
    </row>
    <row r="288" spans="1:53" s="117" customFormat="1" ht="17.100000000000001" customHeight="1" x14ac:dyDescent="0.25">
      <c r="A288" s="68"/>
      <c r="B288" s="119"/>
      <c r="C288" s="647"/>
      <c r="D288" s="261"/>
      <c r="E288" s="261"/>
      <c r="F288" s="68"/>
      <c r="G288" s="68"/>
      <c r="H288" s="119"/>
      <c r="I288" s="138"/>
      <c r="J288" s="17"/>
      <c r="K288" s="17"/>
      <c r="L288" s="17"/>
      <c r="M288" s="17"/>
      <c r="N288" s="17" t="str">
        <f>IF(N287=N$20,"OK","NOK")</f>
        <v>OK</v>
      </c>
      <c r="O288" s="17" t="str">
        <f>IF(O287=O$20,"OK","NOK")</f>
        <v>OK</v>
      </c>
      <c r="P288" s="17"/>
      <c r="Q288" s="17" t="str">
        <f>IF(Q287=Q$20,"OK","NOK")</f>
        <v>OK</v>
      </c>
      <c r="R288" s="17" t="str">
        <f>IF(R287=R$20,"OK","NOK")</f>
        <v>OK</v>
      </c>
      <c r="S288" s="17"/>
      <c r="T288" s="17" t="str">
        <f>IF(T287=T$20,"OK","NOK")</f>
        <v>OK</v>
      </c>
      <c r="U288" s="17" t="str">
        <f>IF(U287=U$20,"OK","NOK")</f>
        <v>OK</v>
      </c>
      <c r="V288" s="359"/>
      <c r="W288" s="382"/>
      <c r="X288" s="646"/>
      <c r="Y288" s="646"/>
      <c r="Z288" s="201"/>
      <c r="AA288" s="201"/>
      <c r="AB288" s="201"/>
      <c r="AC288" s="84"/>
      <c r="AE288" s="46"/>
      <c r="AF288" s="46"/>
      <c r="AG288" s="17"/>
      <c r="AH288" s="646"/>
      <c r="AI288" s="91"/>
      <c r="AK288" s="46"/>
      <c r="AL288" s="46"/>
      <c r="AM288" s="17"/>
      <c r="AN288" s="646"/>
      <c r="AO288" s="91"/>
      <c r="AQ288" s="46"/>
      <c r="AR288" s="46"/>
      <c r="AS288" s="17"/>
      <c r="AT288" s="646"/>
      <c r="AU288" s="91"/>
      <c r="AW288" s="46"/>
      <c r="AX288" s="46"/>
      <c r="AY288" s="17"/>
      <c r="AZ288" s="646"/>
      <c r="BA288" s="91"/>
    </row>
    <row r="289" spans="1:53" ht="17.100000000000001" customHeight="1" x14ac:dyDescent="0.25">
      <c r="A289" s="40"/>
      <c r="B289" s="41" t="s">
        <v>297</v>
      </c>
      <c r="C289" s="69" t="s">
        <v>290</v>
      </c>
      <c r="D289" s="322"/>
      <c r="E289" s="322"/>
      <c r="F289" s="301"/>
      <c r="G289" s="301"/>
      <c r="H289" s="119"/>
      <c r="I289" s="236"/>
      <c r="J289" s="87"/>
      <c r="K289" s="87"/>
      <c r="L289" s="71"/>
      <c r="M289" s="71"/>
      <c r="N289" s="71"/>
      <c r="O289" s="71"/>
      <c r="P289" s="71"/>
      <c r="Q289" s="71"/>
      <c r="R289" s="71"/>
      <c r="S289" s="71"/>
      <c r="T289" s="71"/>
      <c r="U289" s="71"/>
      <c r="V289" s="71"/>
      <c r="W289" s="89"/>
      <c r="X289" s="89"/>
      <c r="Y289" s="89"/>
      <c r="Z289" s="323"/>
      <c r="AA289" s="323"/>
      <c r="AB289" s="323"/>
      <c r="AC289" s="73"/>
      <c r="AE289" s="71"/>
      <c r="AF289" s="71"/>
      <c r="AG289" s="89"/>
      <c r="AH289" s="90"/>
      <c r="AI289" s="73"/>
      <c r="AK289" s="71"/>
      <c r="AL289" s="71"/>
      <c r="AM289" s="89"/>
      <c r="AN289" s="90"/>
      <c r="AO289" s="73"/>
      <c r="AQ289" s="71"/>
      <c r="AR289" s="71"/>
      <c r="AS289" s="89"/>
      <c r="AT289" s="90"/>
      <c r="AU289" s="73"/>
      <c r="AW289" s="71"/>
      <c r="AX289" s="71"/>
      <c r="AY289" s="89"/>
      <c r="AZ289" s="90"/>
      <c r="BA289" s="73"/>
    </row>
    <row r="290" spans="1:53" ht="17.100000000000001" customHeight="1" x14ac:dyDescent="0.25">
      <c r="A290" s="40"/>
      <c r="B290" s="40"/>
      <c r="C290" s="74" t="s">
        <v>298</v>
      </c>
      <c r="D290" s="75" t="s">
        <v>292</v>
      </c>
      <c r="E290" s="105"/>
      <c r="F290" s="75"/>
      <c r="G290" s="76"/>
      <c r="H290" s="647"/>
      <c r="I290" s="229"/>
      <c r="J290" s="111"/>
      <c r="K290" s="111"/>
      <c r="L290" s="111"/>
      <c r="M290" s="111"/>
      <c r="N290" s="60"/>
      <c r="O290" s="60"/>
      <c r="P290" s="17">
        <f t="shared" ref="P290:P293" si="285">SUM(N290:O290)</f>
        <v>0</v>
      </c>
      <c r="Q290" s="60"/>
      <c r="R290" s="60"/>
      <c r="S290" s="17">
        <f t="shared" ref="S290:S293" si="286">SUM(Q290:R290)</f>
        <v>0</v>
      </c>
      <c r="T290" s="60"/>
      <c r="U290" s="60"/>
      <c r="V290" s="17">
        <f t="shared" ref="V290:V293" si="287">SUM(T290:U290)</f>
        <v>0</v>
      </c>
      <c r="W290" s="391">
        <f t="shared" ref="W290:W293" si="288">J290+K290+N290+Q290+T290</f>
        <v>0</v>
      </c>
      <c r="X290" s="17">
        <f t="shared" ref="X290:X293" si="289">L290+O290+R290+U290</f>
        <v>0</v>
      </c>
      <c r="Y290" s="18">
        <f t="shared" ref="Y290:Y293" si="290">SUM(W290:X290)</f>
        <v>0</v>
      </c>
      <c r="Z290" s="19">
        <f>IF(Y$294=0,0,Y290/Y$294)</f>
        <v>0</v>
      </c>
      <c r="AA290" s="19"/>
      <c r="AB290" s="19"/>
      <c r="AC290" s="20"/>
      <c r="AE290" s="111"/>
      <c r="AF290" s="111"/>
      <c r="AG290" s="111"/>
      <c r="AH290" s="651"/>
      <c r="AI290" s="131"/>
      <c r="AK290" s="111"/>
      <c r="AL290" s="111"/>
      <c r="AM290" s="111"/>
      <c r="AN290" s="651"/>
      <c r="AO290" s="131"/>
      <c r="AQ290" s="17"/>
      <c r="AR290" s="17"/>
      <c r="AS290" s="17"/>
      <c r="AT290" s="424">
        <f>W290</f>
        <v>0</v>
      </c>
      <c r="AU290" s="19">
        <f>IF(AT$294=0,0,AT290/AT$294)</f>
        <v>0</v>
      </c>
      <c r="AW290" s="17"/>
      <c r="AX290" s="17"/>
      <c r="AY290" s="17"/>
      <c r="AZ290" s="424">
        <f>X290</f>
        <v>0</v>
      </c>
      <c r="BA290" s="19">
        <f>IF(AZ$294=0,0,AZ290/AZ$294)</f>
        <v>0</v>
      </c>
    </row>
    <row r="291" spans="1:53" ht="17.100000000000001" customHeight="1" x14ac:dyDescent="0.25">
      <c r="A291" s="40"/>
      <c r="B291" s="40"/>
      <c r="C291" s="74" t="s">
        <v>299</v>
      </c>
      <c r="D291" s="75" t="s">
        <v>11</v>
      </c>
      <c r="E291" s="105"/>
      <c r="F291" s="75"/>
      <c r="G291" s="75"/>
      <c r="H291" s="647"/>
      <c r="I291" s="229"/>
      <c r="J291" s="111"/>
      <c r="K291" s="111"/>
      <c r="L291" s="111"/>
      <c r="M291" s="111"/>
      <c r="N291" s="61"/>
      <c r="O291" s="61"/>
      <c r="P291" s="17">
        <f t="shared" si="285"/>
        <v>0</v>
      </c>
      <c r="Q291" s="61"/>
      <c r="R291" s="61"/>
      <c r="S291" s="17">
        <f t="shared" si="286"/>
        <v>0</v>
      </c>
      <c r="T291" s="61"/>
      <c r="U291" s="61"/>
      <c r="V291" s="17">
        <f t="shared" si="287"/>
        <v>0</v>
      </c>
      <c r="W291" s="391">
        <f t="shared" si="288"/>
        <v>0</v>
      </c>
      <c r="X291" s="17">
        <f t="shared" si="289"/>
        <v>0</v>
      </c>
      <c r="Y291" s="18">
        <f t="shared" si="290"/>
        <v>0</v>
      </c>
      <c r="Z291" s="19">
        <f t="shared" ref="Z291:Z294" si="291">IF(Y$294=0,0,Y291/Y$294)</f>
        <v>0</v>
      </c>
      <c r="AA291" s="19"/>
      <c r="AB291" s="19"/>
      <c r="AC291" s="20"/>
      <c r="AE291" s="111"/>
      <c r="AF291" s="111"/>
      <c r="AG291" s="111"/>
      <c r="AH291" s="651"/>
      <c r="AI291" s="131"/>
      <c r="AK291" s="111"/>
      <c r="AL291" s="111"/>
      <c r="AM291" s="111"/>
      <c r="AN291" s="651"/>
      <c r="AO291" s="131"/>
      <c r="AQ291" s="17"/>
      <c r="AR291" s="17"/>
      <c r="AS291" s="17"/>
      <c r="AT291" s="424">
        <f t="shared" ref="AT291:AT293" si="292">W291</f>
        <v>0</v>
      </c>
      <c r="AU291" s="19">
        <f t="shared" ref="AU291:AU294" si="293">IF(AT$294=0,0,AT291/AT$294)</f>
        <v>0</v>
      </c>
      <c r="AW291" s="17"/>
      <c r="AX291" s="17"/>
      <c r="AY291" s="17"/>
      <c r="AZ291" s="424">
        <f t="shared" ref="AZ291:AZ293" si="294">X291</f>
        <v>0</v>
      </c>
      <c r="BA291" s="19">
        <f t="shared" ref="BA291:BA294" si="295">IF(AZ$294=0,0,AZ291/AZ$294)</f>
        <v>0</v>
      </c>
    </row>
    <row r="292" spans="1:53" ht="17.100000000000001" customHeight="1" x14ac:dyDescent="0.25">
      <c r="A292" s="40"/>
      <c r="B292" s="40"/>
      <c r="C292" s="74" t="s">
        <v>301</v>
      </c>
      <c r="D292" s="75" t="s">
        <v>295</v>
      </c>
      <c r="E292" s="105"/>
      <c r="F292" s="75"/>
      <c r="G292" s="75"/>
      <c r="H292" s="23"/>
      <c r="I292" s="229"/>
      <c r="J292" s="111"/>
      <c r="K292" s="111"/>
      <c r="L292" s="111"/>
      <c r="M292" s="111"/>
      <c r="N292" s="60"/>
      <c r="O292" s="60"/>
      <c r="P292" s="17">
        <f t="shared" si="285"/>
        <v>0</v>
      </c>
      <c r="Q292" s="60"/>
      <c r="R292" s="60"/>
      <c r="S292" s="17">
        <f t="shared" si="286"/>
        <v>0</v>
      </c>
      <c r="T292" s="60"/>
      <c r="U292" s="60"/>
      <c r="V292" s="17">
        <f t="shared" si="287"/>
        <v>0</v>
      </c>
      <c r="W292" s="391">
        <f t="shared" si="288"/>
        <v>0</v>
      </c>
      <c r="X292" s="17">
        <f t="shared" si="289"/>
        <v>0</v>
      </c>
      <c r="Y292" s="18">
        <f t="shared" si="290"/>
        <v>0</v>
      </c>
      <c r="Z292" s="19">
        <f t="shared" si="291"/>
        <v>0</v>
      </c>
      <c r="AA292" s="19"/>
      <c r="AB292" s="19"/>
      <c r="AC292" s="20"/>
      <c r="AE292" s="111"/>
      <c r="AF292" s="111"/>
      <c r="AG292" s="111"/>
      <c r="AH292" s="651"/>
      <c r="AI292" s="131"/>
      <c r="AK292" s="111"/>
      <c r="AL292" s="111"/>
      <c r="AM292" s="111"/>
      <c r="AN292" s="651"/>
      <c r="AO292" s="131"/>
      <c r="AQ292" s="17"/>
      <c r="AR292" s="17"/>
      <c r="AS292" s="17"/>
      <c r="AT292" s="424">
        <f t="shared" si="292"/>
        <v>0</v>
      </c>
      <c r="AU292" s="19">
        <f t="shared" si="293"/>
        <v>0</v>
      </c>
      <c r="AW292" s="17"/>
      <c r="AX292" s="17"/>
      <c r="AY292" s="17"/>
      <c r="AZ292" s="424">
        <f t="shared" si="294"/>
        <v>0</v>
      </c>
      <c r="BA292" s="19">
        <f t="shared" si="295"/>
        <v>0</v>
      </c>
    </row>
    <row r="293" spans="1:53" ht="17.100000000000001" customHeight="1" x14ac:dyDescent="0.25">
      <c r="A293" s="40"/>
      <c r="B293" s="40"/>
      <c r="C293" s="74" t="s">
        <v>303</v>
      </c>
      <c r="D293" s="75" t="s">
        <v>9</v>
      </c>
      <c r="E293" s="105"/>
      <c r="F293" s="75"/>
      <c r="G293" s="75"/>
      <c r="H293" s="23"/>
      <c r="I293" s="229"/>
      <c r="J293" s="111"/>
      <c r="K293" s="111"/>
      <c r="L293" s="111"/>
      <c r="M293" s="111"/>
      <c r="N293" s="61"/>
      <c r="O293" s="61"/>
      <c r="P293" s="17">
        <f t="shared" si="285"/>
        <v>0</v>
      </c>
      <c r="Q293" s="61"/>
      <c r="R293" s="61"/>
      <c r="S293" s="17">
        <f t="shared" si="286"/>
        <v>0</v>
      </c>
      <c r="T293" s="61"/>
      <c r="U293" s="61"/>
      <c r="V293" s="17">
        <f t="shared" si="287"/>
        <v>0</v>
      </c>
      <c r="W293" s="391">
        <f t="shared" si="288"/>
        <v>0</v>
      </c>
      <c r="X293" s="17">
        <f t="shared" si="289"/>
        <v>0</v>
      </c>
      <c r="Y293" s="18">
        <f t="shared" si="290"/>
        <v>0</v>
      </c>
      <c r="Z293" s="19">
        <f t="shared" si="291"/>
        <v>0</v>
      </c>
      <c r="AA293" s="19"/>
      <c r="AB293" s="19"/>
      <c r="AC293" s="20"/>
      <c r="AE293" s="111"/>
      <c r="AF293" s="111"/>
      <c r="AG293" s="111"/>
      <c r="AH293" s="651"/>
      <c r="AI293" s="131"/>
      <c r="AK293" s="111"/>
      <c r="AL293" s="111"/>
      <c r="AM293" s="111"/>
      <c r="AN293" s="651"/>
      <c r="AO293" s="131"/>
      <c r="AQ293" s="17"/>
      <c r="AR293" s="17"/>
      <c r="AS293" s="17"/>
      <c r="AT293" s="424">
        <f t="shared" si="292"/>
        <v>0</v>
      </c>
      <c r="AU293" s="19">
        <f t="shared" si="293"/>
        <v>0</v>
      </c>
      <c r="AW293" s="17"/>
      <c r="AX293" s="17"/>
      <c r="AY293" s="17"/>
      <c r="AZ293" s="424">
        <f t="shared" si="294"/>
        <v>0</v>
      </c>
      <c r="BA293" s="19">
        <f t="shared" si="295"/>
        <v>0</v>
      </c>
    </row>
    <row r="294" spans="1:53" ht="17.100000000000001" customHeight="1" x14ac:dyDescent="0.25">
      <c r="A294" s="40"/>
      <c r="B294" s="40"/>
      <c r="C294" s="292"/>
      <c r="D294" s="144"/>
      <c r="E294" s="144"/>
      <c r="F294" s="145"/>
      <c r="G294" s="145"/>
      <c r="H294" s="119"/>
      <c r="I294" s="236"/>
      <c r="J294" s="80"/>
      <c r="K294" s="80"/>
      <c r="L294" s="81"/>
      <c r="M294" s="81"/>
      <c r="N294" s="81">
        <f>SUM(N290:N293)</f>
        <v>0</v>
      </c>
      <c r="O294" s="81">
        <f t="shared" ref="O294:V294" si="296">SUM(O290:O293)</f>
        <v>0</v>
      </c>
      <c r="P294" s="81">
        <f t="shared" si="296"/>
        <v>0</v>
      </c>
      <c r="Q294" s="81">
        <f t="shared" si="296"/>
        <v>0</v>
      </c>
      <c r="R294" s="81">
        <f t="shared" si="296"/>
        <v>0</v>
      </c>
      <c r="S294" s="81">
        <f t="shared" si="296"/>
        <v>0</v>
      </c>
      <c r="T294" s="81">
        <f t="shared" si="296"/>
        <v>0</v>
      </c>
      <c r="U294" s="81">
        <f t="shared" si="296"/>
        <v>0</v>
      </c>
      <c r="V294" s="81">
        <f t="shared" si="296"/>
        <v>0</v>
      </c>
      <c r="W294" s="82">
        <f>SUM(W290:W293)</f>
        <v>0</v>
      </c>
      <c r="X294" s="82">
        <f t="shared" ref="X294:Y294" si="297">SUM(X290:X293)</f>
        <v>0</v>
      </c>
      <c r="Y294" s="82">
        <f t="shared" si="297"/>
        <v>0</v>
      </c>
      <c r="Z294" s="66">
        <f t="shared" si="291"/>
        <v>0</v>
      </c>
      <c r="AA294" s="205"/>
      <c r="AB294" s="205"/>
      <c r="AC294" s="83"/>
      <c r="AE294" s="81"/>
      <c r="AF294" s="81"/>
      <c r="AG294" s="82"/>
      <c r="AH294" s="82"/>
      <c r="AI294" s="66"/>
      <c r="AK294" s="81"/>
      <c r="AL294" s="81"/>
      <c r="AM294" s="82"/>
      <c r="AN294" s="82"/>
      <c r="AO294" s="66"/>
      <c r="AQ294" s="81"/>
      <c r="AR294" s="81"/>
      <c r="AS294" s="82"/>
      <c r="AT294" s="81">
        <f>SUM(AT290:AT293)</f>
        <v>0</v>
      </c>
      <c r="AU294" s="66">
        <f t="shared" si="293"/>
        <v>0</v>
      </c>
      <c r="AW294" s="81"/>
      <c r="AX294" s="81"/>
      <c r="AY294" s="82"/>
      <c r="AZ294" s="81">
        <f>SUM(AZ290:AZ293)</f>
        <v>0</v>
      </c>
      <c r="BA294" s="66">
        <f t="shared" si="295"/>
        <v>0</v>
      </c>
    </row>
    <row r="295" spans="1:53" s="117" customFormat="1" ht="17.100000000000001" customHeight="1" x14ac:dyDescent="0.25">
      <c r="A295" s="68"/>
      <c r="B295" s="119"/>
      <c r="C295" s="647"/>
      <c r="D295" s="261"/>
      <c r="E295" s="261"/>
      <c r="F295" s="68"/>
      <c r="G295" s="68"/>
      <c r="H295" s="119"/>
      <c r="I295" s="138"/>
      <c r="J295" s="17"/>
      <c r="K295" s="17"/>
      <c r="L295" s="17"/>
      <c r="M295" s="17"/>
      <c r="N295" s="17" t="str">
        <f>IF(N294=N$20,"OK","NOK")</f>
        <v>OK</v>
      </c>
      <c r="O295" s="17" t="str">
        <f>IF(O294=O$20,"OK","NOK")</f>
        <v>OK</v>
      </c>
      <c r="P295" s="17"/>
      <c r="Q295" s="17" t="str">
        <f>IF(Q294=Q$20,"OK","NOK")</f>
        <v>OK</v>
      </c>
      <c r="R295" s="17" t="str">
        <f>IF(R294=R$20,"OK","NOK")</f>
        <v>OK</v>
      </c>
      <c r="S295" s="17"/>
      <c r="T295" s="17" t="str">
        <f>IF(T294=T$20,"OK","NOK")</f>
        <v>OK</v>
      </c>
      <c r="U295" s="17" t="str">
        <f>IF(U294=U$20,"OK","NOK")</f>
        <v>OK</v>
      </c>
      <c r="V295" s="359"/>
      <c r="W295" s="382"/>
      <c r="X295" s="646"/>
      <c r="Y295" s="646"/>
      <c r="Z295" s="201"/>
      <c r="AA295" s="201"/>
      <c r="AB295" s="201"/>
      <c r="AC295" s="84"/>
      <c r="AE295" s="46"/>
      <c r="AF295" s="46"/>
      <c r="AG295" s="17"/>
      <c r="AH295" s="646"/>
      <c r="AI295" s="91"/>
      <c r="AK295" s="46"/>
      <c r="AL295" s="46"/>
      <c r="AM295" s="17"/>
      <c r="AN295" s="646"/>
      <c r="AO295" s="91"/>
      <c r="AQ295" s="46"/>
      <c r="AR295" s="46"/>
      <c r="AS295" s="17"/>
      <c r="AT295" s="646"/>
      <c r="AU295" s="91"/>
      <c r="AW295" s="46"/>
      <c r="AX295" s="46"/>
      <c r="AY295" s="17"/>
      <c r="AZ295" s="646"/>
      <c r="BA295" s="91"/>
    </row>
    <row r="296" spans="1:53" ht="17.100000000000001" customHeight="1" x14ac:dyDescent="0.25">
      <c r="A296" s="40"/>
      <c r="B296" s="41" t="s">
        <v>306</v>
      </c>
      <c r="C296" s="274" t="s">
        <v>607</v>
      </c>
      <c r="D296" s="43"/>
      <c r="E296" s="43"/>
      <c r="F296" s="43"/>
      <c r="G296" s="43"/>
      <c r="H296" s="23"/>
      <c r="I296" s="229"/>
      <c r="J296" s="71"/>
      <c r="K296" s="71"/>
      <c r="L296" s="71"/>
      <c r="M296" s="71"/>
      <c r="N296" s="71"/>
      <c r="O296" s="71"/>
      <c r="P296" s="71"/>
      <c r="Q296" s="71"/>
      <c r="R296" s="71"/>
      <c r="S296" s="71"/>
      <c r="T296" s="71"/>
      <c r="U296" s="71"/>
      <c r="V296" s="71"/>
      <c r="W296" s="71"/>
      <c r="X296" s="71"/>
      <c r="Y296" s="71"/>
      <c r="Z296" s="73"/>
      <c r="AA296" s="73"/>
      <c r="AB296" s="73"/>
      <c r="AC296" s="73"/>
      <c r="AE296" s="71"/>
      <c r="AF296" s="71"/>
      <c r="AG296" s="273"/>
      <c r="AH296" s="73"/>
      <c r="AI296" s="73"/>
      <c r="AK296" s="71"/>
      <c r="AL296" s="71"/>
      <c r="AM296" s="273"/>
      <c r="AN296" s="73"/>
      <c r="AO296" s="73"/>
      <c r="AQ296" s="71"/>
      <c r="AR296" s="71"/>
      <c r="AS296" s="273"/>
      <c r="AT296" s="73"/>
      <c r="AU296" s="73"/>
      <c r="AW296" s="71"/>
      <c r="AX296" s="71"/>
      <c r="AY296" s="273"/>
      <c r="AZ296" s="73"/>
      <c r="BA296" s="73"/>
    </row>
    <row r="297" spans="1:53" ht="17.100000000000001" customHeight="1" x14ac:dyDescent="0.25">
      <c r="A297" s="40"/>
      <c r="B297" s="40"/>
      <c r="C297" s="74" t="s">
        <v>308</v>
      </c>
      <c r="D297" s="85" t="s">
        <v>292</v>
      </c>
      <c r="E297" s="105"/>
      <c r="F297" s="105"/>
      <c r="G297" s="105"/>
      <c r="H297" s="84"/>
      <c r="I297" s="231"/>
      <c r="J297" s="111"/>
      <c r="K297" s="111"/>
      <c r="L297" s="111"/>
      <c r="M297" s="111"/>
      <c r="N297" s="60"/>
      <c r="O297" s="60"/>
      <c r="P297" s="17">
        <f t="shared" ref="P297:P307" si="298">SUM(N297:O297)</f>
        <v>0</v>
      </c>
      <c r="Q297" s="60"/>
      <c r="R297" s="60"/>
      <c r="S297" s="17">
        <f t="shared" ref="S297:S307" si="299">SUM(Q297:R297)</f>
        <v>0</v>
      </c>
      <c r="T297" s="60"/>
      <c r="U297" s="60"/>
      <c r="V297" s="17">
        <f t="shared" ref="V297:V307" si="300">SUM(T297:U297)</f>
        <v>0</v>
      </c>
      <c r="W297" s="391">
        <f t="shared" ref="W297:W307" si="301">J297+K297+N297+Q297+T297</f>
        <v>0</v>
      </c>
      <c r="X297" s="17">
        <f t="shared" ref="X297:X307" si="302">L297+O297+R297+U297</f>
        <v>0</v>
      </c>
      <c r="Y297" s="18">
        <f t="shared" ref="Y297:Y307" si="303">SUM(W297:X297)</f>
        <v>0</v>
      </c>
      <c r="Z297" s="19">
        <f>IF(Y$312=0,0,Y297/Y$312)</f>
        <v>0</v>
      </c>
      <c r="AA297" s="19"/>
      <c r="AB297" s="19"/>
      <c r="AC297" s="20"/>
      <c r="AE297" s="111"/>
      <c r="AF297" s="111"/>
      <c r="AG297" s="111"/>
      <c r="AH297" s="651"/>
      <c r="AI297" s="131"/>
      <c r="AK297" s="111"/>
      <c r="AL297" s="111"/>
      <c r="AM297" s="111"/>
      <c r="AN297" s="651"/>
      <c r="AO297" s="131"/>
      <c r="AQ297" s="17"/>
      <c r="AR297" s="17"/>
      <c r="AS297" s="17"/>
      <c r="AT297" s="424">
        <f>W297</f>
        <v>0</v>
      </c>
      <c r="AU297" s="19">
        <f t="shared" ref="AU297:AU306" si="304">IF(AT$312=0,0,AT297/AT$312)</f>
        <v>0</v>
      </c>
      <c r="AW297" s="17"/>
      <c r="AX297" s="17"/>
      <c r="AY297" s="17"/>
      <c r="AZ297" s="424">
        <f>X297</f>
        <v>0</v>
      </c>
      <c r="BA297" s="19">
        <f t="shared" ref="BA297:BA306" si="305">IF(AZ$312=0,0,AZ297/AZ$312)</f>
        <v>0</v>
      </c>
    </row>
    <row r="298" spans="1:53" ht="17.100000000000001" customHeight="1" x14ac:dyDescent="0.25">
      <c r="A298" s="40"/>
      <c r="B298" s="40"/>
      <c r="C298" s="74" t="s">
        <v>309</v>
      </c>
      <c r="D298" s="146" t="s">
        <v>757</v>
      </c>
      <c r="E298" s="105"/>
      <c r="F298" s="105"/>
      <c r="G298" s="105"/>
      <c r="H298" s="84"/>
      <c r="I298" s="231"/>
      <c r="J298" s="111"/>
      <c r="K298" s="111"/>
      <c r="L298" s="111"/>
      <c r="M298" s="111"/>
      <c r="N298" s="61"/>
      <c r="O298" s="61"/>
      <c r="P298" s="17">
        <f t="shared" si="298"/>
        <v>0</v>
      </c>
      <c r="Q298" s="61"/>
      <c r="R298" s="61"/>
      <c r="S298" s="17">
        <f t="shared" si="299"/>
        <v>0</v>
      </c>
      <c r="T298" s="61"/>
      <c r="U298" s="61"/>
      <c r="V298" s="17">
        <f t="shared" ref="V298:V306" si="306">SUM(T298:U298)</f>
        <v>0</v>
      </c>
      <c r="W298" s="391">
        <f t="shared" si="301"/>
        <v>0</v>
      </c>
      <c r="X298" s="17">
        <f t="shared" si="302"/>
        <v>0</v>
      </c>
      <c r="Y298" s="18">
        <f t="shared" si="303"/>
        <v>0</v>
      </c>
      <c r="Z298" s="19">
        <f t="shared" ref="Z298:Z306" si="307">IF(Y$312=0,0,Y298/Y$312)</f>
        <v>0</v>
      </c>
      <c r="AA298" s="19"/>
      <c r="AB298" s="19"/>
      <c r="AC298" s="20"/>
      <c r="AE298" s="111"/>
      <c r="AF298" s="111"/>
      <c r="AG298" s="111"/>
      <c r="AH298" s="651"/>
      <c r="AI298" s="131"/>
      <c r="AK298" s="111"/>
      <c r="AL298" s="111"/>
      <c r="AM298" s="111"/>
      <c r="AN298" s="651"/>
      <c r="AO298" s="131"/>
      <c r="AQ298" s="17"/>
      <c r="AR298" s="17"/>
      <c r="AS298" s="17"/>
      <c r="AT298" s="424">
        <f t="shared" ref="AT298:AT307" si="308">W298</f>
        <v>0</v>
      </c>
      <c r="AU298" s="19">
        <f t="shared" si="304"/>
        <v>0</v>
      </c>
      <c r="AW298" s="17"/>
      <c r="AX298" s="17"/>
      <c r="AY298" s="17"/>
      <c r="AZ298" s="424">
        <f t="shared" ref="AZ298:AZ307" si="309">X298</f>
        <v>0</v>
      </c>
      <c r="BA298" s="19">
        <f t="shared" si="305"/>
        <v>0</v>
      </c>
    </row>
    <row r="299" spans="1:53" ht="17.100000000000001" customHeight="1" x14ac:dyDescent="0.25">
      <c r="A299" s="40"/>
      <c r="B299" s="40"/>
      <c r="C299" s="74" t="s">
        <v>489</v>
      </c>
      <c r="D299" s="85" t="s">
        <v>300</v>
      </c>
      <c r="E299" s="105"/>
      <c r="F299" s="105"/>
      <c r="G299" s="105"/>
      <c r="H299" s="84"/>
      <c r="I299" s="231"/>
      <c r="J299" s="111"/>
      <c r="K299" s="111"/>
      <c r="L299" s="111"/>
      <c r="M299" s="111"/>
      <c r="N299" s="60"/>
      <c r="O299" s="60"/>
      <c r="P299" s="17">
        <f t="shared" si="298"/>
        <v>0</v>
      </c>
      <c r="Q299" s="60"/>
      <c r="R299" s="60"/>
      <c r="S299" s="17">
        <f t="shared" si="299"/>
        <v>0</v>
      </c>
      <c r="T299" s="60"/>
      <c r="U299" s="60"/>
      <c r="V299" s="17">
        <f t="shared" si="306"/>
        <v>0</v>
      </c>
      <c r="W299" s="391">
        <f t="shared" si="301"/>
        <v>0</v>
      </c>
      <c r="X299" s="17">
        <f t="shared" si="302"/>
        <v>0</v>
      </c>
      <c r="Y299" s="18">
        <f t="shared" si="303"/>
        <v>0</v>
      </c>
      <c r="Z299" s="19">
        <f t="shared" si="307"/>
        <v>0</v>
      </c>
      <c r="AA299" s="19"/>
      <c r="AB299" s="19"/>
      <c r="AC299" s="20"/>
      <c r="AE299" s="111"/>
      <c r="AF299" s="111"/>
      <c r="AG299" s="111"/>
      <c r="AH299" s="651"/>
      <c r="AI299" s="131"/>
      <c r="AK299" s="111"/>
      <c r="AL299" s="111"/>
      <c r="AM299" s="111"/>
      <c r="AN299" s="651"/>
      <c r="AO299" s="131"/>
      <c r="AQ299" s="17"/>
      <c r="AR299" s="17"/>
      <c r="AS299" s="17"/>
      <c r="AT299" s="424">
        <f t="shared" si="308"/>
        <v>0</v>
      </c>
      <c r="AU299" s="19">
        <f t="shared" si="304"/>
        <v>0</v>
      </c>
      <c r="AW299" s="17"/>
      <c r="AX299" s="17"/>
      <c r="AY299" s="17"/>
      <c r="AZ299" s="424">
        <f t="shared" si="309"/>
        <v>0</v>
      </c>
      <c r="BA299" s="19">
        <f t="shared" si="305"/>
        <v>0</v>
      </c>
    </row>
    <row r="300" spans="1:53" ht="17.100000000000001" customHeight="1" x14ac:dyDescent="0.25">
      <c r="A300" s="40"/>
      <c r="B300" s="40"/>
      <c r="C300" s="74" t="s">
        <v>621</v>
      </c>
      <c r="D300" s="85" t="s">
        <v>670</v>
      </c>
      <c r="E300" s="105"/>
      <c r="F300" s="105"/>
      <c r="G300" s="105"/>
      <c r="H300" s="84"/>
      <c r="I300" s="231"/>
      <c r="J300" s="111"/>
      <c r="K300" s="111"/>
      <c r="L300" s="111"/>
      <c r="M300" s="111"/>
      <c r="N300" s="61"/>
      <c r="O300" s="61"/>
      <c r="P300" s="17">
        <f t="shared" si="298"/>
        <v>0</v>
      </c>
      <c r="Q300" s="61"/>
      <c r="R300" s="61"/>
      <c r="S300" s="17">
        <f t="shared" si="299"/>
        <v>0</v>
      </c>
      <c r="T300" s="61"/>
      <c r="U300" s="61"/>
      <c r="V300" s="17">
        <f t="shared" si="306"/>
        <v>0</v>
      </c>
      <c r="W300" s="391">
        <f t="shared" si="301"/>
        <v>0</v>
      </c>
      <c r="X300" s="17">
        <f t="shared" si="302"/>
        <v>0</v>
      </c>
      <c r="Y300" s="18">
        <f t="shared" si="303"/>
        <v>0</v>
      </c>
      <c r="Z300" s="19">
        <f t="shared" si="307"/>
        <v>0</v>
      </c>
      <c r="AA300" s="19"/>
      <c r="AB300" s="19"/>
      <c r="AC300" s="20"/>
      <c r="AE300" s="111"/>
      <c r="AF300" s="111"/>
      <c r="AG300" s="111"/>
      <c r="AH300" s="651"/>
      <c r="AI300" s="131"/>
      <c r="AK300" s="111"/>
      <c r="AL300" s="111"/>
      <c r="AM300" s="111"/>
      <c r="AN300" s="651"/>
      <c r="AO300" s="131"/>
      <c r="AQ300" s="17"/>
      <c r="AR300" s="17"/>
      <c r="AS300" s="17"/>
      <c r="AT300" s="424">
        <f t="shared" si="308"/>
        <v>0</v>
      </c>
      <c r="AU300" s="19">
        <f t="shared" si="304"/>
        <v>0</v>
      </c>
      <c r="AW300" s="17"/>
      <c r="AX300" s="17"/>
      <c r="AY300" s="17"/>
      <c r="AZ300" s="424">
        <f t="shared" si="309"/>
        <v>0</v>
      </c>
      <c r="BA300" s="19">
        <f t="shared" si="305"/>
        <v>0</v>
      </c>
    </row>
    <row r="301" spans="1:53" ht="17.100000000000001" customHeight="1" x14ac:dyDescent="0.25">
      <c r="A301" s="40"/>
      <c r="B301" s="40"/>
      <c r="C301" s="74" t="s">
        <v>622</v>
      </c>
      <c r="D301" s="85" t="s">
        <v>671</v>
      </c>
      <c r="E301" s="75"/>
      <c r="F301" s="75"/>
      <c r="G301" s="75"/>
      <c r="H301" s="23"/>
      <c r="I301" s="229"/>
      <c r="J301" s="111"/>
      <c r="K301" s="111"/>
      <c r="L301" s="111"/>
      <c r="M301" s="111"/>
      <c r="N301" s="60"/>
      <c r="O301" s="60"/>
      <c r="P301" s="17">
        <f t="shared" si="298"/>
        <v>0</v>
      </c>
      <c r="Q301" s="60"/>
      <c r="R301" s="60"/>
      <c r="S301" s="17">
        <f t="shared" si="299"/>
        <v>0</v>
      </c>
      <c r="T301" s="60"/>
      <c r="U301" s="60"/>
      <c r="V301" s="17">
        <f t="shared" si="306"/>
        <v>0</v>
      </c>
      <c r="W301" s="391">
        <f t="shared" si="301"/>
        <v>0</v>
      </c>
      <c r="X301" s="17">
        <f t="shared" si="302"/>
        <v>0</v>
      </c>
      <c r="Y301" s="18">
        <f t="shared" si="303"/>
        <v>0</v>
      </c>
      <c r="Z301" s="19">
        <f t="shared" si="307"/>
        <v>0</v>
      </c>
      <c r="AA301" s="19"/>
      <c r="AB301" s="19"/>
      <c r="AC301" s="20"/>
      <c r="AE301" s="111"/>
      <c r="AF301" s="111"/>
      <c r="AG301" s="111"/>
      <c r="AH301" s="651"/>
      <c r="AI301" s="131"/>
      <c r="AK301" s="111"/>
      <c r="AL301" s="111"/>
      <c r="AM301" s="111"/>
      <c r="AN301" s="651"/>
      <c r="AO301" s="131"/>
      <c r="AQ301" s="17"/>
      <c r="AR301" s="17"/>
      <c r="AS301" s="17"/>
      <c r="AT301" s="424">
        <f t="shared" si="308"/>
        <v>0</v>
      </c>
      <c r="AU301" s="19">
        <f t="shared" si="304"/>
        <v>0</v>
      </c>
      <c r="AW301" s="17"/>
      <c r="AX301" s="17"/>
      <c r="AY301" s="17"/>
      <c r="AZ301" s="424">
        <f t="shared" si="309"/>
        <v>0</v>
      </c>
      <c r="BA301" s="19">
        <f t="shared" si="305"/>
        <v>0</v>
      </c>
    </row>
    <row r="302" spans="1:53" ht="17.100000000000001" customHeight="1" x14ac:dyDescent="0.25">
      <c r="A302" s="40"/>
      <c r="B302" s="40"/>
      <c r="C302" s="74" t="s">
        <v>623</v>
      </c>
      <c r="D302" s="85" t="s">
        <v>302</v>
      </c>
      <c r="E302" s="649"/>
      <c r="F302" s="105"/>
      <c r="G302" s="105"/>
      <c r="H302" s="84"/>
      <c r="I302" s="231"/>
      <c r="J302" s="111"/>
      <c r="K302" s="111"/>
      <c r="L302" s="111"/>
      <c r="M302" s="111"/>
      <c r="N302" s="61"/>
      <c r="O302" s="61"/>
      <c r="P302" s="17">
        <f t="shared" si="298"/>
        <v>0</v>
      </c>
      <c r="Q302" s="61"/>
      <c r="R302" s="61"/>
      <c r="S302" s="17">
        <f t="shared" si="299"/>
        <v>0</v>
      </c>
      <c r="T302" s="61"/>
      <c r="U302" s="61"/>
      <c r="V302" s="17">
        <f t="shared" si="306"/>
        <v>0</v>
      </c>
      <c r="W302" s="391">
        <f t="shared" si="301"/>
        <v>0</v>
      </c>
      <c r="X302" s="17">
        <f t="shared" si="302"/>
        <v>0</v>
      </c>
      <c r="Y302" s="18">
        <f t="shared" si="303"/>
        <v>0</v>
      </c>
      <c r="Z302" s="19">
        <f t="shared" si="307"/>
        <v>0</v>
      </c>
      <c r="AA302" s="19"/>
      <c r="AB302" s="19"/>
      <c r="AC302" s="20"/>
      <c r="AE302" s="111"/>
      <c r="AF302" s="111"/>
      <c r="AG302" s="111"/>
      <c r="AH302" s="651"/>
      <c r="AI302" s="131"/>
      <c r="AK302" s="111"/>
      <c r="AL302" s="111"/>
      <c r="AM302" s="111"/>
      <c r="AN302" s="651"/>
      <c r="AO302" s="131"/>
      <c r="AQ302" s="17"/>
      <c r="AR302" s="17"/>
      <c r="AS302" s="17"/>
      <c r="AT302" s="424">
        <f t="shared" si="308"/>
        <v>0</v>
      </c>
      <c r="AU302" s="19">
        <f t="shared" si="304"/>
        <v>0</v>
      </c>
      <c r="AW302" s="17"/>
      <c r="AX302" s="17"/>
      <c r="AY302" s="17"/>
      <c r="AZ302" s="424">
        <f t="shared" si="309"/>
        <v>0</v>
      </c>
      <c r="BA302" s="19">
        <f t="shared" si="305"/>
        <v>0</v>
      </c>
    </row>
    <row r="303" spans="1:53" ht="17.100000000000001" customHeight="1" x14ac:dyDescent="0.25">
      <c r="A303" s="40"/>
      <c r="B303" s="40"/>
      <c r="C303" s="74" t="s">
        <v>624</v>
      </c>
      <c r="D303" s="85" t="s">
        <v>487</v>
      </c>
      <c r="E303" s="649"/>
      <c r="F303" s="105"/>
      <c r="G303" s="105"/>
      <c r="H303" s="84"/>
      <c r="I303" s="231"/>
      <c r="J303" s="111"/>
      <c r="K303" s="111"/>
      <c r="L303" s="111"/>
      <c r="M303" s="111"/>
      <c r="N303" s="60"/>
      <c r="O303" s="60"/>
      <c r="P303" s="17">
        <f t="shared" si="298"/>
        <v>0</v>
      </c>
      <c r="Q303" s="60"/>
      <c r="R303" s="60"/>
      <c r="S303" s="17">
        <f t="shared" si="299"/>
        <v>0</v>
      </c>
      <c r="T303" s="60"/>
      <c r="U303" s="60"/>
      <c r="V303" s="17">
        <f t="shared" si="306"/>
        <v>0</v>
      </c>
      <c r="W303" s="391">
        <f t="shared" si="301"/>
        <v>0</v>
      </c>
      <c r="X303" s="17">
        <f t="shared" si="302"/>
        <v>0</v>
      </c>
      <c r="Y303" s="18">
        <f t="shared" si="303"/>
        <v>0</v>
      </c>
      <c r="Z303" s="19">
        <f t="shared" si="307"/>
        <v>0</v>
      </c>
      <c r="AA303" s="19"/>
      <c r="AB303" s="19"/>
      <c r="AC303" s="20"/>
      <c r="AE303" s="111"/>
      <c r="AF303" s="111"/>
      <c r="AG303" s="111"/>
      <c r="AH303" s="651"/>
      <c r="AI303" s="131"/>
      <c r="AK303" s="111"/>
      <c r="AL303" s="111"/>
      <c r="AM303" s="111"/>
      <c r="AN303" s="651"/>
      <c r="AO303" s="131"/>
      <c r="AQ303" s="17"/>
      <c r="AR303" s="17"/>
      <c r="AS303" s="17"/>
      <c r="AT303" s="424">
        <f t="shared" si="308"/>
        <v>0</v>
      </c>
      <c r="AU303" s="19">
        <f t="shared" si="304"/>
        <v>0</v>
      </c>
      <c r="AW303" s="17"/>
      <c r="AX303" s="17"/>
      <c r="AY303" s="17"/>
      <c r="AZ303" s="424">
        <f t="shared" si="309"/>
        <v>0</v>
      </c>
      <c r="BA303" s="19">
        <f t="shared" si="305"/>
        <v>0</v>
      </c>
    </row>
    <row r="304" spans="1:53" ht="17.100000000000001" customHeight="1" x14ac:dyDescent="0.25">
      <c r="A304" s="40"/>
      <c r="B304" s="40"/>
      <c r="C304" s="74" t="s">
        <v>625</v>
      </c>
      <c r="D304" s="85" t="s">
        <v>488</v>
      </c>
      <c r="E304" s="649"/>
      <c r="F304" s="105"/>
      <c r="G304" s="105"/>
      <c r="H304" s="84"/>
      <c r="I304" s="231"/>
      <c r="J304" s="111"/>
      <c r="K304" s="111"/>
      <c r="L304" s="111"/>
      <c r="M304" s="111"/>
      <c r="N304" s="61"/>
      <c r="O304" s="61"/>
      <c r="P304" s="17">
        <f t="shared" si="298"/>
        <v>0</v>
      </c>
      <c r="Q304" s="61"/>
      <c r="R304" s="61"/>
      <c r="S304" s="17">
        <f t="shared" si="299"/>
        <v>0</v>
      </c>
      <c r="T304" s="61"/>
      <c r="U304" s="61"/>
      <c r="V304" s="17">
        <f t="shared" si="306"/>
        <v>0</v>
      </c>
      <c r="W304" s="391">
        <f t="shared" si="301"/>
        <v>0</v>
      </c>
      <c r="X304" s="17">
        <f t="shared" si="302"/>
        <v>0</v>
      </c>
      <c r="Y304" s="18">
        <f t="shared" si="303"/>
        <v>0</v>
      </c>
      <c r="Z304" s="19">
        <f t="shared" si="307"/>
        <v>0</v>
      </c>
      <c r="AA304" s="19"/>
      <c r="AB304" s="19"/>
      <c r="AC304" s="20"/>
      <c r="AE304" s="111"/>
      <c r="AF304" s="111"/>
      <c r="AG304" s="111"/>
      <c r="AH304" s="651"/>
      <c r="AI304" s="131"/>
      <c r="AK304" s="111"/>
      <c r="AL304" s="111"/>
      <c r="AM304" s="111"/>
      <c r="AN304" s="651"/>
      <c r="AO304" s="131"/>
      <c r="AQ304" s="17"/>
      <c r="AR304" s="17"/>
      <c r="AS304" s="17"/>
      <c r="AT304" s="424">
        <f t="shared" si="308"/>
        <v>0</v>
      </c>
      <c r="AU304" s="19">
        <f t="shared" si="304"/>
        <v>0</v>
      </c>
      <c r="AW304" s="17"/>
      <c r="AX304" s="17"/>
      <c r="AY304" s="17"/>
      <c r="AZ304" s="424">
        <f t="shared" si="309"/>
        <v>0</v>
      </c>
      <c r="BA304" s="19">
        <f t="shared" si="305"/>
        <v>0</v>
      </c>
    </row>
    <row r="305" spans="1:53" ht="17.100000000000001" customHeight="1" x14ac:dyDescent="0.25">
      <c r="A305" s="40"/>
      <c r="B305" s="40"/>
      <c r="C305" s="74" t="s">
        <v>668</v>
      </c>
      <c r="D305" s="85" t="s">
        <v>304</v>
      </c>
      <c r="E305" s="649"/>
      <c r="F305" s="105"/>
      <c r="G305" s="105"/>
      <c r="H305" s="84"/>
      <c r="I305" s="231"/>
      <c r="J305" s="111"/>
      <c r="K305" s="111"/>
      <c r="L305" s="111"/>
      <c r="M305" s="111"/>
      <c r="N305" s="60"/>
      <c r="O305" s="60"/>
      <c r="P305" s="17">
        <f t="shared" si="298"/>
        <v>0</v>
      </c>
      <c r="Q305" s="60"/>
      <c r="R305" s="60"/>
      <c r="S305" s="17">
        <f t="shared" si="299"/>
        <v>0</v>
      </c>
      <c r="T305" s="60"/>
      <c r="U305" s="60"/>
      <c r="V305" s="17">
        <f t="shared" si="306"/>
        <v>0</v>
      </c>
      <c r="W305" s="391">
        <f t="shared" si="301"/>
        <v>0</v>
      </c>
      <c r="X305" s="17">
        <f t="shared" si="302"/>
        <v>0</v>
      </c>
      <c r="Y305" s="18">
        <f t="shared" si="303"/>
        <v>0</v>
      </c>
      <c r="Z305" s="19">
        <f t="shared" si="307"/>
        <v>0</v>
      </c>
      <c r="AA305" s="19"/>
      <c r="AB305" s="19"/>
      <c r="AC305" s="20"/>
      <c r="AE305" s="111"/>
      <c r="AF305" s="111"/>
      <c r="AG305" s="111"/>
      <c r="AH305" s="651"/>
      <c r="AI305" s="131"/>
      <c r="AK305" s="111"/>
      <c r="AL305" s="111"/>
      <c r="AM305" s="111"/>
      <c r="AN305" s="651"/>
      <c r="AO305" s="131"/>
      <c r="AQ305" s="17"/>
      <c r="AR305" s="17"/>
      <c r="AS305" s="17"/>
      <c r="AT305" s="424">
        <f t="shared" si="308"/>
        <v>0</v>
      </c>
      <c r="AU305" s="19">
        <f t="shared" si="304"/>
        <v>0</v>
      </c>
      <c r="AW305" s="17"/>
      <c r="AX305" s="17"/>
      <c r="AY305" s="17"/>
      <c r="AZ305" s="424">
        <f t="shared" si="309"/>
        <v>0</v>
      </c>
      <c r="BA305" s="19">
        <f t="shared" si="305"/>
        <v>0</v>
      </c>
    </row>
    <row r="306" spans="1:53" ht="17.100000000000001" customHeight="1" x14ac:dyDescent="0.25">
      <c r="A306" s="40"/>
      <c r="B306" s="40"/>
      <c r="C306" s="74" t="s">
        <v>669</v>
      </c>
      <c r="D306" s="85" t="s">
        <v>758</v>
      </c>
      <c r="E306" s="649"/>
      <c r="F306" s="105"/>
      <c r="G306" s="105"/>
      <c r="H306" s="84"/>
      <c r="I306" s="231"/>
      <c r="J306" s="111"/>
      <c r="K306" s="111"/>
      <c r="L306" s="111"/>
      <c r="M306" s="111"/>
      <c r="N306" s="61"/>
      <c r="O306" s="61"/>
      <c r="P306" s="17">
        <f t="shared" si="298"/>
        <v>0</v>
      </c>
      <c r="Q306" s="61"/>
      <c r="R306" s="61"/>
      <c r="S306" s="17">
        <f t="shared" si="299"/>
        <v>0</v>
      </c>
      <c r="T306" s="61"/>
      <c r="U306" s="61"/>
      <c r="V306" s="17">
        <f t="shared" si="306"/>
        <v>0</v>
      </c>
      <c r="W306" s="391">
        <f t="shared" si="301"/>
        <v>0</v>
      </c>
      <c r="X306" s="17">
        <f t="shared" si="302"/>
        <v>0</v>
      </c>
      <c r="Y306" s="18">
        <f t="shared" si="303"/>
        <v>0</v>
      </c>
      <c r="Z306" s="19">
        <f t="shared" si="307"/>
        <v>0</v>
      </c>
      <c r="AA306" s="19"/>
      <c r="AB306" s="19"/>
      <c r="AC306" s="20"/>
      <c r="AE306" s="111"/>
      <c r="AF306" s="111"/>
      <c r="AG306" s="111"/>
      <c r="AH306" s="651"/>
      <c r="AI306" s="131"/>
      <c r="AK306" s="111"/>
      <c r="AL306" s="111"/>
      <c r="AM306" s="111"/>
      <c r="AN306" s="651"/>
      <c r="AO306" s="131"/>
      <c r="AQ306" s="17"/>
      <c r="AR306" s="17"/>
      <c r="AS306" s="17"/>
      <c r="AT306" s="424">
        <f t="shared" si="308"/>
        <v>0</v>
      </c>
      <c r="AU306" s="19">
        <f t="shared" si="304"/>
        <v>0</v>
      </c>
      <c r="AW306" s="17"/>
      <c r="AX306" s="17"/>
      <c r="AY306" s="17"/>
      <c r="AZ306" s="424">
        <f t="shared" si="309"/>
        <v>0</v>
      </c>
      <c r="BA306" s="19">
        <f t="shared" si="305"/>
        <v>0</v>
      </c>
    </row>
    <row r="307" spans="1:53" ht="17.100000000000001" customHeight="1" x14ac:dyDescent="0.25">
      <c r="A307" s="40"/>
      <c r="B307" s="40"/>
      <c r="C307" s="74" t="s">
        <v>756</v>
      </c>
      <c r="D307" s="85" t="s">
        <v>305</v>
      </c>
      <c r="E307" s="649"/>
      <c r="F307" s="105"/>
      <c r="G307" s="105"/>
      <c r="H307" s="84"/>
      <c r="I307" s="231"/>
      <c r="J307" s="111"/>
      <c r="K307" s="111"/>
      <c r="L307" s="111"/>
      <c r="M307" s="111"/>
      <c r="N307" s="111">
        <f t="shared" ref="N307:U307" si="310">SUM(N308:N311)</f>
        <v>0</v>
      </c>
      <c r="O307" s="111">
        <f t="shared" si="310"/>
        <v>0</v>
      </c>
      <c r="P307" s="111">
        <f t="shared" si="298"/>
        <v>0</v>
      </c>
      <c r="Q307" s="111">
        <f t="shared" si="310"/>
        <v>0</v>
      </c>
      <c r="R307" s="111">
        <f t="shared" si="310"/>
        <v>0</v>
      </c>
      <c r="S307" s="111">
        <f t="shared" si="299"/>
        <v>0</v>
      </c>
      <c r="T307" s="111">
        <f t="shared" si="310"/>
        <v>0</v>
      </c>
      <c r="U307" s="111">
        <f t="shared" si="310"/>
        <v>0</v>
      </c>
      <c r="V307" s="358">
        <f t="shared" si="300"/>
        <v>0</v>
      </c>
      <c r="W307" s="380">
        <f t="shared" si="301"/>
        <v>0</v>
      </c>
      <c r="X307" s="111">
        <f t="shared" si="302"/>
        <v>0</v>
      </c>
      <c r="Y307" s="651">
        <f t="shared" si="303"/>
        <v>0</v>
      </c>
      <c r="Z307" s="131">
        <f>IF(Y$312=0,0,Y307/Y$312)</f>
        <v>0</v>
      </c>
      <c r="AA307" s="131"/>
      <c r="AB307" s="131"/>
      <c r="AC307" s="113"/>
      <c r="AE307" s="111"/>
      <c r="AF307" s="111"/>
      <c r="AG307" s="111"/>
      <c r="AH307" s="651"/>
      <c r="AI307" s="131"/>
      <c r="AK307" s="111"/>
      <c r="AL307" s="111"/>
      <c r="AM307" s="111"/>
      <c r="AN307" s="651"/>
      <c r="AO307" s="131"/>
      <c r="AQ307" s="111"/>
      <c r="AR307" s="111"/>
      <c r="AS307" s="111"/>
      <c r="AT307" s="111">
        <f t="shared" si="308"/>
        <v>0</v>
      </c>
      <c r="AU307" s="131">
        <f>IF(AT$312=0,0,AT307/AT$312)</f>
        <v>0</v>
      </c>
      <c r="AW307" s="111"/>
      <c r="AX307" s="111"/>
      <c r="AY307" s="111"/>
      <c r="AZ307" s="111">
        <f t="shared" si="309"/>
        <v>0</v>
      </c>
      <c r="BA307" s="131">
        <f>IF(AZ$312=0,0,AZ307/AZ$312)</f>
        <v>0</v>
      </c>
    </row>
    <row r="308" spans="1:53" ht="17.100000000000001" customHeight="1" x14ac:dyDescent="0.25">
      <c r="A308" s="40"/>
      <c r="B308" s="40"/>
      <c r="C308" s="74"/>
      <c r="D308" s="298"/>
      <c r="E308" s="295"/>
      <c r="F308" s="295"/>
      <c r="G308" s="295"/>
      <c r="H308" s="198"/>
      <c r="I308" s="642"/>
      <c r="J308" s="111"/>
      <c r="K308" s="111"/>
      <c r="L308" s="111"/>
      <c r="M308" s="111"/>
      <c r="N308" s="60"/>
      <c r="O308" s="60"/>
      <c r="P308" s="17"/>
      <c r="Q308" s="60"/>
      <c r="R308" s="60"/>
      <c r="S308" s="17"/>
      <c r="T308" s="60"/>
      <c r="U308" s="60"/>
      <c r="V308" s="359"/>
      <c r="W308" s="391"/>
      <c r="X308" s="17"/>
      <c r="Y308" s="17"/>
      <c r="Z308" s="19"/>
      <c r="AA308" s="20"/>
      <c r="AB308" s="20"/>
      <c r="AC308" s="20"/>
      <c r="AE308" s="111"/>
      <c r="AF308" s="111"/>
      <c r="AG308" s="114"/>
      <c r="AH308" s="113"/>
      <c r="AI308" s="113"/>
      <c r="AK308" s="111"/>
      <c r="AL308" s="111"/>
      <c r="AM308" s="114"/>
      <c r="AN308" s="113"/>
      <c r="AO308" s="113"/>
      <c r="AQ308" s="17"/>
      <c r="AR308" s="17"/>
      <c r="AS308" s="306"/>
      <c r="AT308" s="20"/>
      <c r="AU308" s="20"/>
      <c r="AW308" s="17"/>
      <c r="AX308" s="17"/>
      <c r="AY308" s="306"/>
      <c r="AZ308" s="20"/>
      <c r="BA308" s="20"/>
    </row>
    <row r="309" spans="1:53" ht="17.100000000000001" customHeight="1" x14ac:dyDescent="0.25">
      <c r="A309" s="40"/>
      <c r="B309" s="40"/>
      <c r="C309" s="74"/>
      <c r="D309" s="296"/>
      <c r="E309" s="297"/>
      <c r="F309" s="297"/>
      <c r="G309" s="297"/>
      <c r="H309" s="198"/>
      <c r="I309" s="642"/>
      <c r="J309" s="111"/>
      <c r="K309" s="111"/>
      <c r="L309" s="111"/>
      <c r="M309" s="111"/>
      <c r="N309" s="61"/>
      <c r="O309" s="61"/>
      <c r="P309" s="17"/>
      <c r="Q309" s="61"/>
      <c r="R309" s="61"/>
      <c r="S309" s="17"/>
      <c r="T309" s="61"/>
      <c r="U309" s="61"/>
      <c r="V309" s="359"/>
      <c r="W309" s="391"/>
      <c r="X309" s="17"/>
      <c r="Y309" s="17"/>
      <c r="Z309" s="19"/>
      <c r="AA309" s="20"/>
      <c r="AB309" s="20"/>
      <c r="AC309" s="20"/>
      <c r="AE309" s="111"/>
      <c r="AF309" s="111"/>
      <c r="AG309" s="114"/>
      <c r="AH309" s="113"/>
      <c r="AI309" s="113"/>
      <c r="AK309" s="111"/>
      <c r="AL309" s="111"/>
      <c r="AM309" s="114"/>
      <c r="AN309" s="113"/>
      <c r="AO309" s="113"/>
      <c r="AQ309" s="17"/>
      <c r="AR309" s="17"/>
      <c r="AS309" s="306"/>
      <c r="AT309" s="20"/>
      <c r="AU309" s="20"/>
      <c r="AW309" s="17"/>
      <c r="AX309" s="17"/>
      <c r="AY309" s="306"/>
      <c r="AZ309" s="20"/>
      <c r="BA309" s="20"/>
    </row>
    <row r="310" spans="1:53" ht="17.100000000000001" customHeight="1" x14ac:dyDescent="0.25">
      <c r="A310" s="40"/>
      <c r="B310" s="40"/>
      <c r="C310" s="74"/>
      <c r="D310" s="298"/>
      <c r="E310" s="295"/>
      <c r="F310" s="295"/>
      <c r="G310" s="295"/>
      <c r="H310" s="198"/>
      <c r="I310" s="642"/>
      <c r="J310" s="111"/>
      <c r="K310" s="111"/>
      <c r="L310" s="111"/>
      <c r="M310" s="111"/>
      <c r="N310" s="60"/>
      <c r="O310" s="60"/>
      <c r="P310" s="17"/>
      <c r="Q310" s="60"/>
      <c r="R310" s="60"/>
      <c r="S310" s="17"/>
      <c r="T310" s="60"/>
      <c r="U310" s="60"/>
      <c r="V310" s="359"/>
      <c r="W310" s="391"/>
      <c r="X310" s="17"/>
      <c r="Y310" s="17"/>
      <c r="Z310" s="19"/>
      <c r="AA310" s="20"/>
      <c r="AB310" s="20"/>
      <c r="AC310" s="20"/>
      <c r="AE310" s="111"/>
      <c r="AF310" s="111"/>
      <c r="AG310" s="114"/>
      <c r="AH310" s="113"/>
      <c r="AI310" s="113"/>
      <c r="AK310" s="111"/>
      <c r="AL310" s="111"/>
      <c r="AM310" s="114"/>
      <c r="AN310" s="113"/>
      <c r="AO310" s="113"/>
      <c r="AQ310" s="17"/>
      <c r="AR310" s="17"/>
      <c r="AS310" s="306"/>
      <c r="AT310" s="20"/>
      <c r="AU310" s="20"/>
      <c r="AW310" s="17"/>
      <c r="AX310" s="17"/>
      <c r="AY310" s="306"/>
      <c r="AZ310" s="20"/>
      <c r="BA310" s="20"/>
    </row>
    <row r="311" spans="1:53" ht="17.100000000000001" customHeight="1" x14ac:dyDescent="0.25">
      <c r="A311" s="40"/>
      <c r="B311" s="40"/>
      <c r="C311" s="74"/>
      <c r="D311" s="296"/>
      <c r="E311" s="297"/>
      <c r="F311" s="297"/>
      <c r="G311" s="297"/>
      <c r="H311" s="198"/>
      <c r="I311" s="642"/>
      <c r="J311" s="111"/>
      <c r="K311" s="111"/>
      <c r="L311" s="111"/>
      <c r="M311" s="111"/>
      <c r="N311" s="61"/>
      <c r="O311" s="61"/>
      <c r="P311" s="17"/>
      <c r="Q311" s="61"/>
      <c r="R311" s="61"/>
      <c r="S311" s="17"/>
      <c r="T311" s="61"/>
      <c r="U311" s="61"/>
      <c r="V311" s="359"/>
      <c r="W311" s="391"/>
      <c r="X311" s="17"/>
      <c r="Y311" s="17"/>
      <c r="Z311" s="19"/>
      <c r="AA311" s="20"/>
      <c r="AB311" s="20"/>
      <c r="AC311" s="20"/>
      <c r="AE311" s="111"/>
      <c r="AF311" s="111"/>
      <c r="AG311" s="114"/>
      <c r="AH311" s="113"/>
      <c r="AI311" s="113"/>
      <c r="AK311" s="111"/>
      <c r="AL311" s="111"/>
      <c r="AM311" s="114"/>
      <c r="AN311" s="113"/>
      <c r="AO311" s="113"/>
      <c r="AQ311" s="17"/>
      <c r="AR311" s="17"/>
      <c r="AS311" s="306"/>
      <c r="AT311" s="20"/>
      <c r="AU311" s="20"/>
      <c r="AW311" s="17"/>
      <c r="AX311" s="17"/>
      <c r="AY311" s="306"/>
      <c r="AZ311" s="20"/>
      <c r="BA311" s="20"/>
    </row>
    <row r="312" spans="1:53" ht="17.100000000000001" customHeight="1" x14ac:dyDescent="0.25">
      <c r="A312" s="40"/>
      <c r="B312" s="40"/>
      <c r="C312" s="292"/>
      <c r="D312" s="144"/>
      <c r="E312" s="144"/>
      <c r="F312" s="145"/>
      <c r="G312" s="145"/>
      <c r="H312" s="119"/>
      <c r="I312" s="236"/>
      <c r="J312" s="80"/>
      <c r="K312" s="80"/>
      <c r="L312" s="81"/>
      <c r="M312" s="81"/>
      <c r="N312" s="81">
        <f>SUM(N297:N307)</f>
        <v>0</v>
      </c>
      <c r="O312" s="81">
        <f t="shared" ref="O312:V312" si="311">SUM(O297:O307)</f>
        <v>0</v>
      </c>
      <c r="P312" s="81">
        <f t="shared" si="311"/>
        <v>0</v>
      </c>
      <c r="Q312" s="81">
        <f t="shared" si="311"/>
        <v>0</v>
      </c>
      <c r="R312" s="81">
        <f t="shared" si="311"/>
        <v>0</v>
      </c>
      <c r="S312" s="81">
        <f t="shared" si="311"/>
        <v>0</v>
      </c>
      <c r="T312" s="81">
        <f t="shared" si="311"/>
        <v>0</v>
      </c>
      <c r="U312" s="81">
        <f t="shared" si="311"/>
        <v>0</v>
      </c>
      <c r="V312" s="356">
        <f t="shared" si="311"/>
        <v>0</v>
      </c>
      <c r="W312" s="381">
        <f>SUM(W297:W307)</f>
        <v>0</v>
      </c>
      <c r="X312" s="82">
        <f t="shared" ref="X312:Y312" si="312">SUM(X297:X307)</f>
        <v>0</v>
      </c>
      <c r="Y312" s="82">
        <f t="shared" si="312"/>
        <v>0</v>
      </c>
      <c r="Z312" s="66">
        <f>IF(Y$312=0,0,Y312/Y$312)</f>
        <v>0</v>
      </c>
      <c r="AA312" s="205"/>
      <c r="AB312" s="205"/>
      <c r="AC312" s="83"/>
      <c r="AE312" s="81"/>
      <c r="AF312" s="81"/>
      <c r="AG312" s="82"/>
      <c r="AH312" s="82"/>
      <c r="AI312" s="66"/>
      <c r="AK312" s="81"/>
      <c r="AL312" s="81"/>
      <c r="AM312" s="82"/>
      <c r="AN312" s="82"/>
      <c r="AO312" s="66"/>
      <c r="AQ312" s="81"/>
      <c r="AR312" s="81"/>
      <c r="AS312" s="82"/>
      <c r="AT312" s="81">
        <f>SUM(AT297:AT307)</f>
        <v>0</v>
      </c>
      <c r="AU312" s="66">
        <f t="shared" ref="AU312" si="313">IF(AT$312=0,0,AT312/AT$312)</f>
        <v>0</v>
      </c>
      <c r="AW312" s="81"/>
      <c r="AX312" s="81"/>
      <c r="AY312" s="82"/>
      <c r="AZ312" s="81">
        <f>SUM(AZ297:AZ307)</f>
        <v>0</v>
      </c>
      <c r="BA312" s="66">
        <f t="shared" ref="BA312" si="314">IF(AZ$312=0,0,AZ312/AZ$312)</f>
        <v>0</v>
      </c>
    </row>
    <row r="313" spans="1:53" s="117" customFormat="1" ht="17.100000000000001" customHeight="1" x14ac:dyDescent="0.25">
      <c r="A313" s="68"/>
      <c r="B313" s="119"/>
      <c r="C313" s="647"/>
      <c r="D313" s="261"/>
      <c r="E313" s="261"/>
      <c r="F313" s="68"/>
      <c r="G313" s="68"/>
      <c r="H313" s="119"/>
      <c r="I313" s="138"/>
      <c r="J313" s="17"/>
      <c r="K313" s="17"/>
      <c r="L313" s="17"/>
      <c r="M313" s="17"/>
      <c r="N313" s="17" t="str">
        <f>IF(N312&gt;=N$20,"OK","NOK")</f>
        <v>OK</v>
      </c>
      <c r="O313" s="17" t="str">
        <f>IF(O312&gt;=O$20,"OK","NOK")</f>
        <v>OK</v>
      </c>
      <c r="P313" s="17"/>
      <c r="Q313" s="17" t="str">
        <f>IF(Q312&gt;=Q$20,"OK","NOK")</f>
        <v>OK</v>
      </c>
      <c r="R313" s="17" t="str">
        <f>IF(R312&gt;=R$20,"OK","NOK")</f>
        <v>OK</v>
      </c>
      <c r="S313" s="17"/>
      <c r="T313" s="17" t="str">
        <f>IF(T312&gt;=T$20,"OK","NOK")</f>
        <v>OK</v>
      </c>
      <c r="U313" s="17" t="str">
        <f>IF(U312&gt;=U$20,"OK","NOK")</f>
        <v>OK</v>
      </c>
      <c r="V313" s="359"/>
      <c r="W313" s="382"/>
      <c r="X313" s="646"/>
      <c r="Y313" s="646"/>
      <c r="Z313" s="201"/>
      <c r="AA313" s="201"/>
      <c r="AB313" s="201"/>
      <c r="AC313" s="84"/>
      <c r="AE313" s="46"/>
      <c r="AF313" s="46"/>
      <c r="AG313" s="17"/>
      <c r="AH313" s="646"/>
      <c r="AI313" s="91"/>
      <c r="AK313" s="46"/>
      <c r="AL313" s="46"/>
      <c r="AM313" s="17"/>
      <c r="AN313" s="646"/>
      <c r="AO313" s="91"/>
      <c r="AQ313" s="46"/>
      <c r="AR313" s="46"/>
      <c r="AS313" s="17"/>
      <c r="AT313" s="646"/>
      <c r="AU313" s="91"/>
      <c r="AW313" s="46"/>
      <c r="AX313" s="46"/>
      <c r="AY313" s="17"/>
      <c r="AZ313" s="646"/>
      <c r="BA313" s="91"/>
    </row>
    <row r="314" spans="1:53" ht="17.100000000000001" customHeight="1" x14ac:dyDescent="0.25">
      <c r="A314" s="40"/>
      <c r="B314" s="41" t="s">
        <v>310</v>
      </c>
      <c r="C314" s="49" t="s">
        <v>307</v>
      </c>
      <c r="D314" s="43"/>
      <c r="E314" s="43"/>
      <c r="F314" s="43"/>
      <c r="G314" s="43"/>
      <c r="H314" s="23"/>
      <c r="I314" s="229"/>
      <c r="J314" s="71"/>
      <c r="K314" s="71"/>
      <c r="L314" s="71"/>
      <c r="M314" s="71"/>
      <c r="N314" s="71"/>
      <c r="O314" s="71"/>
      <c r="P314" s="71"/>
      <c r="Q314" s="71"/>
      <c r="R314" s="71"/>
      <c r="S314" s="71"/>
      <c r="T314" s="71"/>
      <c r="U314" s="71"/>
      <c r="V314" s="71"/>
      <c r="W314" s="71"/>
      <c r="X314" s="71"/>
      <c r="Y314" s="71"/>
      <c r="Z314" s="73"/>
      <c r="AA314" s="73"/>
      <c r="AB314" s="73"/>
      <c r="AC314" s="73"/>
      <c r="AE314" s="71"/>
      <c r="AF314" s="71"/>
      <c r="AG314" s="273"/>
      <c r="AH314" s="73"/>
      <c r="AI314" s="73"/>
      <c r="AK314" s="71"/>
      <c r="AL314" s="71"/>
      <c r="AM314" s="273"/>
      <c r="AN314" s="73"/>
      <c r="AO314" s="73"/>
      <c r="AQ314" s="71"/>
      <c r="AR314" s="71"/>
      <c r="AS314" s="273"/>
      <c r="AT314" s="73"/>
      <c r="AU314" s="73"/>
      <c r="AW314" s="71"/>
      <c r="AX314" s="71"/>
      <c r="AY314" s="273"/>
      <c r="AZ314" s="73"/>
      <c r="BA314" s="73"/>
    </row>
    <row r="315" spans="1:53" ht="17.100000000000001" customHeight="1" x14ac:dyDescent="0.25">
      <c r="A315" s="119"/>
      <c r="B315" s="119"/>
      <c r="C315" s="56" t="s">
        <v>311</v>
      </c>
      <c r="D315" s="146" t="s">
        <v>9</v>
      </c>
      <c r="E315" s="105"/>
      <c r="F315" s="105"/>
      <c r="G315" s="105"/>
      <c r="H315" s="119"/>
      <c r="I315" s="231"/>
      <c r="J315" s="111"/>
      <c r="K315" s="111"/>
      <c r="L315" s="111"/>
      <c r="M315" s="111"/>
      <c r="N315" s="60"/>
      <c r="O315" s="60"/>
      <c r="P315" s="17">
        <f t="shared" ref="P315:P317" si="315">SUM(N315:O315)</f>
        <v>0</v>
      </c>
      <c r="Q315" s="60"/>
      <c r="R315" s="60"/>
      <c r="S315" s="17">
        <f t="shared" ref="S315:S317" si="316">SUM(Q315:R315)</f>
        <v>0</v>
      </c>
      <c r="T315" s="60"/>
      <c r="U315" s="60"/>
      <c r="V315" s="17">
        <f t="shared" ref="V315:V317" si="317">SUM(T315:U315)</f>
        <v>0</v>
      </c>
      <c r="W315" s="391">
        <f t="shared" ref="W315:W317" si="318">J315+K315+N315+Q315+T315</f>
        <v>0</v>
      </c>
      <c r="X315" s="17">
        <f t="shared" ref="X315:X317" si="319">L315+O315+R315+U315</f>
        <v>0</v>
      </c>
      <c r="Y315" s="18">
        <f t="shared" ref="Y315:Y317" si="320">SUM(W315:X315)</f>
        <v>0</v>
      </c>
      <c r="Z315" s="19">
        <f>IF(Y$318=0,0,Y315/Y$318)</f>
        <v>0</v>
      </c>
      <c r="AA315" s="19"/>
      <c r="AB315" s="19"/>
      <c r="AC315" s="20"/>
      <c r="AE315" s="111"/>
      <c r="AF315" s="111"/>
      <c r="AG315" s="111"/>
      <c r="AH315" s="651"/>
      <c r="AI315" s="131"/>
      <c r="AK315" s="111"/>
      <c r="AL315" s="111"/>
      <c r="AM315" s="111"/>
      <c r="AN315" s="651"/>
      <c r="AO315" s="131"/>
      <c r="AQ315" s="17"/>
      <c r="AR315" s="17"/>
      <c r="AS315" s="17"/>
      <c r="AT315" s="424">
        <f>W315</f>
        <v>0</v>
      </c>
      <c r="AU315" s="19">
        <f>IF(AT$318=0,0,AT315/AT$318)</f>
        <v>0</v>
      </c>
      <c r="AW315" s="17"/>
      <c r="AX315" s="17"/>
      <c r="AY315" s="17"/>
      <c r="AZ315" s="424">
        <f>X315</f>
        <v>0</v>
      </c>
      <c r="BA315" s="19">
        <f>IF(AZ$318=0,0,AZ315/AZ$318)</f>
        <v>0</v>
      </c>
    </row>
    <row r="316" spans="1:53" ht="17.100000000000001" customHeight="1" x14ac:dyDescent="0.25">
      <c r="A316" s="119"/>
      <c r="B316" s="119"/>
      <c r="C316" s="56" t="s">
        <v>312</v>
      </c>
      <c r="D316" s="146" t="s">
        <v>11</v>
      </c>
      <c r="E316" s="105"/>
      <c r="F316" s="105"/>
      <c r="G316" s="105"/>
      <c r="H316" s="119"/>
      <c r="I316" s="231"/>
      <c r="J316" s="111"/>
      <c r="K316" s="111"/>
      <c r="L316" s="111"/>
      <c r="M316" s="111"/>
      <c r="N316" s="61"/>
      <c r="O316" s="61"/>
      <c r="P316" s="17">
        <f t="shared" si="315"/>
        <v>0</v>
      </c>
      <c r="Q316" s="61"/>
      <c r="R316" s="61"/>
      <c r="S316" s="17">
        <f t="shared" si="316"/>
        <v>0</v>
      </c>
      <c r="T316" s="61"/>
      <c r="U316" s="61"/>
      <c r="V316" s="17">
        <f t="shared" si="317"/>
        <v>0</v>
      </c>
      <c r="W316" s="391">
        <f t="shared" si="318"/>
        <v>0</v>
      </c>
      <c r="X316" s="17">
        <f t="shared" si="319"/>
        <v>0</v>
      </c>
      <c r="Y316" s="18">
        <f t="shared" si="320"/>
        <v>0</v>
      </c>
      <c r="Z316" s="19">
        <f t="shared" ref="Z316:Z318" si="321">IF(Y$318=0,0,Y316/Y$318)</f>
        <v>0</v>
      </c>
      <c r="AA316" s="19"/>
      <c r="AB316" s="19"/>
      <c r="AC316" s="20"/>
      <c r="AE316" s="111"/>
      <c r="AF316" s="111"/>
      <c r="AG316" s="111"/>
      <c r="AH316" s="651"/>
      <c r="AI316" s="131"/>
      <c r="AK316" s="111"/>
      <c r="AL316" s="111"/>
      <c r="AM316" s="111"/>
      <c r="AN316" s="651"/>
      <c r="AO316" s="131"/>
      <c r="AQ316" s="17"/>
      <c r="AR316" s="17"/>
      <c r="AS316" s="17"/>
      <c r="AT316" s="424">
        <f t="shared" ref="AT316:AT317" si="322">W316</f>
        <v>0</v>
      </c>
      <c r="AU316" s="19">
        <f t="shared" ref="AU316:AU318" si="323">IF(AT$318=0,0,AT316/AT$318)</f>
        <v>0</v>
      </c>
      <c r="AW316" s="17"/>
      <c r="AX316" s="17"/>
      <c r="AY316" s="17"/>
      <c r="AZ316" s="424">
        <f t="shared" ref="AZ316:AZ317" si="324">X316</f>
        <v>0</v>
      </c>
      <c r="BA316" s="19">
        <f t="shared" ref="BA316:BA318" si="325">IF(AZ$318=0,0,AZ316/AZ$318)</f>
        <v>0</v>
      </c>
    </row>
    <row r="317" spans="1:53" ht="17.100000000000001" customHeight="1" x14ac:dyDescent="0.25">
      <c r="A317" s="119"/>
      <c r="B317" s="119"/>
      <c r="C317" s="56" t="s">
        <v>490</v>
      </c>
      <c r="D317" s="146" t="s">
        <v>617</v>
      </c>
      <c r="E317" s="105"/>
      <c r="F317" s="105"/>
      <c r="G317" s="105"/>
      <c r="H317" s="119"/>
      <c r="I317" s="231"/>
      <c r="J317" s="111"/>
      <c r="K317" s="111"/>
      <c r="L317" s="111"/>
      <c r="M317" s="111"/>
      <c r="N317" s="60"/>
      <c r="O317" s="60"/>
      <c r="P317" s="17">
        <f t="shared" si="315"/>
        <v>0</v>
      </c>
      <c r="Q317" s="60"/>
      <c r="R317" s="60"/>
      <c r="S317" s="17">
        <f t="shared" si="316"/>
        <v>0</v>
      </c>
      <c r="T317" s="60"/>
      <c r="U317" s="60"/>
      <c r="V317" s="17">
        <f t="shared" si="317"/>
        <v>0</v>
      </c>
      <c r="W317" s="391">
        <f t="shared" si="318"/>
        <v>0</v>
      </c>
      <c r="X317" s="17">
        <f t="shared" si="319"/>
        <v>0</v>
      </c>
      <c r="Y317" s="18">
        <f t="shared" si="320"/>
        <v>0</v>
      </c>
      <c r="Z317" s="19">
        <f t="shared" si="321"/>
        <v>0</v>
      </c>
      <c r="AA317" s="19"/>
      <c r="AB317" s="19"/>
      <c r="AC317" s="20"/>
      <c r="AE317" s="111"/>
      <c r="AF317" s="111"/>
      <c r="AG317" s="111"/>
      <c r="AH317" s="651"/>
      <c r="AI317" s="131"/>
      <c r="AK317" s="111"/>
      <c r="AL317" s="111"/>
      <c r="AM317" s="111"/>
      <c r="AN317" s="651"/>
      <c r="AO317" s="131"/>
      <c r="AQ317" s="17"/>
      <c r="AR317" s="17"/>
      <c r="AS317" s="17"/>
      <c r="AT317" s="424">
        <f t="shared" si="322"/>
        <v>0</v>
      </c>
      <c r="AU317" s="19">
        <f t="shared" si="323"/>
        <v>0</v>
      </c>
      <c r="AW317" s="17"/>
      <c r="AX317" s="17"/>
      <c r="AY317" s="17"/>
      <c r="AZ317" s="424">
        <f t="shared" si="324"/>
        <v>0</v>
      </c>
      <c r="BA317" s="19">
        <f t="shared" si="325"/>
        <v>0</v>
      </c>
    </row>
    <row r="318" spans="1:53" ht="17.100000000000001" customHeight="1" x14ac:dyDescent="0.25">
      <c r="A318" s="40"/>
      <c r="B318" s="40"/>
      <c r="C318" s="292"/>
      <c r="D318" s="144"/>
      <c r="E318" s="144"/>
      <c r="F318" s="145"/>
      <c r="G318" s="145"/>
      <c r="H318" s="119"/>
      <c r="I318" s="236"/>
      <c r="J318" s="80"/>
      <c r="K318" s="80"/>
      <c r="L318" s="81"/>
      <c r="M318" s="81"/>
      <c r="N318" s="81">
        <f>SUM(N315:N317)</f>
        <v>0</v>
      </c>
      <c r="O318" s="81">
        <f t="shared" ref="O318:V318" si="326">SUM(O315:O317)</f>
        <v>0</v>
      </c>
      <c r="P318" s="81">
        <f t="shared" si="326"/>
        <v>0</v>
      </c>
      <c r="Q318" s="81">
        <f t="shared" si="326"/>
        <v>0</v>
      </c>
      <c r="R318" s="81">
        <f t="shared" si="326"/>
        <v>0</v>
      </c>
      <c r="S318" s="81">
        <f t="shared" si="326"/>
        <v>0</v>
      </c>
      <c r="T318" s="81">
        <f t="shared" si="326"/>
        <v>0</v>
      </c>
      <c r="U318" s="81">
        <f t="shared" si="326"/>
        <v>0</v>
      </c>
      <c r="V318" s="81">
        <f t="shared" si="326"/>
        <v>0</v>
      </c>
      <c r="W318" s="82">
        <f>SUM(W315:W317)</f>
        <v>0</v>
      </c>
      <c r="X318" s="82">
        <f t="shared" ref="X318:Y318" si="327">SUM(X315:X317)</f>
        <v>0</v>
      </c>
      <c r="Y318" s="82">
        <f t="shared" si="327"/>
        <v>0</v>
      </c>
      <c r="Z318" s="66">
        <f t="shared" si="321"/>
        <v>0</v>
      </c>
      <c r="AA318" s="205"/>
      <c r="AB318" s="205"/>
      <c r="AC318" s="83"/>
      <c r="AE318" s="81"/>
      <c r="AF318" s="81"/>
      <c r="AG318" s="82"/>
      <c r="AH318" s="82"/>
      <c r="AI318" s="66"/>
      <c r="AK318" s="81"/>
      <c r="AL318" s="81"/>
      <c r="AM318" s="82"/>
      <c r="AN318" s="82"/>
      <c r="AO318" s="66"/>
      <c r="AQ318" s="81"/>
      <c r="AR318" s="81"/>
      <c r="AS318" s="82"/>
      <c r="AT318" s="81">
        <f>SUM(AT315:AT317)</f>
        <v>0</v>
      </c>
      <c r="AU318" s="66">
        <f t="shared" si="323"/>
        <v>0</v>
      </c>
      <c r="AW318" s="81"/>
      <c r="AX318" s="81"/>
      <c r="AY318" s="82"/>
      <c r="AZ318" s="81">
        <f>SUM(AZ315:AZ317)</f>
        <v>0</v>
      </c>
      <c r="BA318" s="66">
        <f t="shared" si="325"/>
        <v>0</v>
      </c>
    </row>
    <row r="319" spans="1:53" s="117" customFormat="1" ht="17.100000000000001" customHeight="1" x14ac:dyDescent="0.25">
      <c r="A319" s="68"/>
      <c r="B319" s="119"/>
      <c r="C319" s="647"/>
      <c r="D319" s="261"/>
      <c r="E319" s="261"/>
      <c r="F319" s="68"/>
      <c r="G319" s="68"/>
      <c r="H319" s="119"/>
      <c r="I319" s="138"/>
      <c r="J319" s="17"/>
      <c r="K319" s="17"/>
      <c r="L319" s="17"/>
      <c r="M319" s="17"/>
      <c r="N319" s="17" t="str">
        <f>IF(N318&gt;=N$20,"OK","NOK")</f>
        <v>OK</v>
      </c>
      <c r="O319" s="17" t="str">
        <f>IF(O318&gt;=O$20,"OK","NOK")</f>
        <v>OK</v>
      </c>
      <c r="P319" s="17"/>
      <c r="Q319" s="17" t="str">
        <f>IF(Q318&gt;=Q$20,"OK","NOK")</f>
        <v>OK</v>
      </c>
      <c r="R319" s="17" t="str">
        <f>IF(R318&gt;=R$20,"OK","NOK")</f>
        <v>OK</v>
      </c>
      <c r="S319" s="17"/>
      <c r="T319" s="17" t="str">
        <f>IF(T318&gt;=T$20,"OK","NOK")</f>
        <v>OK</v>
      </c>
      <c r="U319" s="17" t="str">
        <f>IF(U318&gt;=U$20,"OK","NOK")</f>
        <v>OK</v>
      </c>
      <c r="V319" s="359"/>
      <c r="W319" s="382"/>
      <c r="X319" s="646"/>
      <c r="Y319" s="646"/>
      <c r="Z319" s="201"/>
      <c r="AA319" s="201"/>
      <c r="AB319" s="201"/>
      <c r="AC319" s="84"/>
      <c r="AE319" s="46"/>
      <c r="AF319" s="46"/>
      <c r="AG319" s="17"/>
      <c r="AH319" s="646"/>
      <c r="AI319" s="91"/>
      <c r="AK319" s="46"/>
      <c r="AL319" s="46"/>
      <c r="AM319" s="17"/>
      <c r="AN319" s="646"/>
      <c r="AO319" s="91"/>
      <c r="AQ319" s="46"/>
      <c r="AR319" s="46"/>
      <c r="AS319" s="17"/>
      <c r="AT319" s="646"/>
      <c r="AU319" s="91"/>
      <c r="AW319" s="46"/>
      <c r="AX319" s="46"/>
      <c r="AY319" s="17"/>
      <c r="AZ319" s="646"/>
      <c r="BA319" s="91"/>
    </row>
    <row r="320" spans="1:53" s="117" customFormat="1" ht="17.100000000000001" customHeight="1" x14ac:dyDescent="0.25">
      <c r="A320" s="68"/>
      <c r="B320" s="119"/>
      <c r="C320" s="56" t="s">
        <v>672</v>
      </c>
      <c r="D320" s="146" t="s">
        <v>673</v>
      </c>
      <c r="E320" s="149"/>
      <c r="F320" s="149"/>
      <c r="G320" s="151"/>
      <c r="H320" s="119"/>
      <c r="I320" s="138"/>
      <c r="J320" s="111"/>
      <c r="K320" s="111"/>
      <c r="L320" s="111"/>
      <c r="M320" s="111"/>
      <c r="N320" s="111"/>
      <c r="O320" s="111"/>
      <c r="P320" s="336"/>
      <c r="Q320" s="341"/>
      <c r="R320" s="341"/>
      <c r="S320" s="336"/>
      <c r="T320" s="341"/>
      <c r="U320" s="341"/>
      <c r="V320" s="368"/>
      <c r="W320" s="382"/>
      <c r="X320" s="646"/>
      <c r="Y320" s="646"/>
      <c r="Z320" s="201"/>
      <c r="AA320" s="340">
        <f>MIN(P320,S320,V320)</f>
        <v>0</v>
      </c>
      <c r="AB320" s="340">
        <f>MAX(P320,S320,V320)</f>
        <v>0</v>
      </c>
      <c r="AC320" s="340">
        <f>IF(P320+S320+V320=0,0,AVERAGE(P320,S320,V320))</f>
        <v>0</v>
      </c>
      <c r="AE320" s="152"/>
      <c r="AF320" s="152"/>
      <c r="AG320" s="111"/>
      <c r="AH320" s="651"/>
      <c r="AI320" s="131"/>
      <c r="AK320" s="152"/>
      <c r="AL320" s="152"/>
      <c r="AM320" s="111"/>
      <c r="AN320" s="651"/>
      <c r="AO320" s="131"/>
      <c r="AQ320" s="152"/>
      <c r="AR320" s="152"/>
      <c r="AS320" s="111"/>
      <c r="AT320" s="651"/>
      <c r="AU320" s="131"/>
      <c r="AW320" s="152"/>
      <c r="AX320" s="152"/>
      <c r="AY320" s="111"/>
      <c r="AZ320" s="651"/>
      <c r="BA320" s="131"/>
    </row>
    <row r="321" spans="1:53" s="117" customFormat="1" ht="17.100000000000001" customHeight="1" x14ac:dyDescent="0.25">
      <c r="A321" s="68"/>
      <c r="B321" s="119"/>
      <c r="C321" s="647"/>
      <c r="D321" s="261"/>
      <c r="E321" s="261"/>
      <c r="F321" s="68"/>
      <c r="G321" s="68"/>
      <c r="H321" s="119"/>
      <c r="I321" s="138"/>
      <c r="J321" s="17"/>
      <c r="K321" s="17"/>
      <c r="L321" s="17"/>
      <c r="M321" s="17"/>
      <c r="N321" s="17"/>
      <c r="O321" s="17"/>
      <c r="P321" s="17"/>
      <c r="Q321" s="17"/>
      <c r="R321" s="17"/>
      <c r="S321" s="17"/>
      <c r="T321" s="17"/>
      <c r="U321" s="17"/>
      <c r="V321" s="359"/>
      <c r="W321" s="382"/>
      <c r="X321" s="646"/>
      <c r="Y321" s="646"/>
      <c r="Z321" s="201"/>
      <c r="AA321" s="201"/>
      <c r="AB321" s="201"/>
      <c r="AC321" s="84"/>
      <c r="AE321" s="46"/>
      <c r="AF321" s="46"/>
      <c r="AG321" s="17"/>
      <c r="AH321" s="646"/>
      <c r="AI321" s="91"/>
      <c r="AK321" s="46"/>
      <c r="AL321" s="46"/>
      <c r="AM321" s="17"/>
      <c r="AN321" s="646"/>
      <c r="AO321" s="91"/>
      <c r="AQ321" s="46"/>
      <c r="AR321" s="46"/>
      <c r="AS321" s="17"/>
      <c r="AT321" s="646"/>
      <c r="AU321" s="91"/>
      <c r="AW321" s="46"/>
      <c r="AX321" s="46"/>
      <c r="AY321" s="17"/>
      <c r="AZ321" s="646"/>
      <c r="BA321" s="91"/>
    </row>
    <row r="322" spans="1:53" ht="17.100000000000001" customHeight="1" x14ac:dyDescent="0.25">
      <c r="A322" s="68"/>
      <c r="B322" s="41" t="s">
        <v>313</v>
      </c>
      <c r="C322" s="69" t="s">
        <v>492</v>
      </c>
      <c r="D322" s="50"/>
      <c r="E322" s="70"/>
      <c r="F322" s="70"/>
      <c r="G322" s="70"/>
      <c r="H322" s="119"/>
      <c r="J322" s="71"/>
      <c r="K322" s="71"/>
      <c r="L322" s="71"/>
      <c r="M322" s="71"/>
      <c r="N322" s="71"/>
      <c r="O322" s="71"/>
      <c r="P322" s="71"/>
      <c r="Q322" s="71"/>
      <c r="R322" s="71"/>
      <c r="S322" s="71"/>
      <c r="T322" s="71"/>
      <c r="U322" s="71"/>
      <c r="V322" s="71"/>
      <c r="W322" s="71"/>
      <c r="X322" s="71"/>
      <c r="Y322" s="71"/>
      <c r="Z322" s="73"/>
      <c r="AA322" s="73"/>
      <c r="AB322" s="73"/>
      <c r="AC322" s="73"/>
      <c r="AE322" s="71"/>
      <c r="AF322" s="71"/>
      <c r="AG322" s="71"/>
      <c r="AH322" s="89"/>
      <c r="AI322" s="90"/>
      <c r="AK322" s="71"/>
      <c r="AL322" s="71"/>
      <c r="AM322" s="71"/>
      <c r="AN322" s="89"/>
      <c r="AO322" s="90"/>
      <c r="AQ322" s="71"/>
      <c r="AR322" s="71"/>
      <c r="AS322" s="71"/>
      <c r="AT322" s="71"/>
      <c r="AU322" s="90"/>
      <c r="AW322" s="71"/>
      <c r="AX322" s="71"/>
      <c r="AY322" s="71"/>
      <c r="AZ322" s="71"/>
      <c r="BA322" s="90"/>
    </row>
    <row r="323" spans="1:53" ht="17.100000000000001" customHeight="1" x14ac:dyDescent="0.25">
      <c r="A323" s="119"/>
      <c r="B323" s="119"/>
      <c r="C323" s="56" t="s">
        <v>314</v>
      </c>
      <c r="D323" s="149" t="s">
        <v>129</v>
      </c>
      <c r="E323" s="105"/>
      <c r="F323" s="105"/>
      <c r="G323" s="105"/>
      <c r="H323" s="119"/>
      <c r="J323" s="111"/>
      <c r="K323" s="111"/>
      <c r="L323" s="111"/>
      <c r="M323" s="111"/>
      <c r="N323" s="598"/>
      <c r="O323" s="598"/>
      <c r="P323" s="327"/>
      <c r="Q323" s="598"/>
      <c r="R323" s="598"/>
      <c r="S323" s="327"/>
      <c r="T323" s="598"/>
      <c r="U323" s="598"/>
      <c r="V323" s="327"/>
      <c r="W323" s="391"/>
      <c r="X323" s="17"/>
      <c r="Y323" s="18">
        <f t="shared" ref="Y323:Y325" si="328">M323+P323+S323+V323</f>
        <v>0</v>
      </c>
      <c r="Z323" s="19">
        <f>IF(Y$326=0,0,Y323/Y$326)</f>
        <v>0</v>
      </c>
      <c r="AA323" s="19"/>
      <c r="AB323" s="19"/>
      <c r="AC323" s="20"/>
      <c r="AE323" s="111"/>
      <c r="AF323" s="111"/>
      <c r="AG323" s="111"/>
      <c r="AH323" s="651"/>
      <c r="AI323" s="131"/>
      <c r="AK323" s="111"/>
      <c r="AL323" s="111"/>
      <c r="AM323" s="111"/>
      <c r="AN323" s="651"/>
      <c r="AO323" s="131"/>
      <c r="AQ323" s="111"/>
      <c r="AR323" s="111"/>
      <c r="AS323" s="111"/>
      <c r="AT323" s="651"/>
      <c r="AU323" s="131"/>
      <c r="AW323" s="111"/>
      <c r="AX323" s="111"/>
      <c r="AY323" s="111"/>
      <c r="AZ323" s="651"/>
      <c r="BA323" s="131"/>
    </row>
    <row r="324" spans="1:53" ht="17.100000000000001" customHeight="1" x14ac:dyDescent="0.25">
      <c r="A324" s="119"/>
      <c r="B324" s="119"/>
      <c r="C324" s="56" t="s">
        <v>327</v>
      </c>
      <c r="D324" s="149" t="s">
        <v>491</v>
      </c>
      <c r="E324" s="105"/>
      <c r="F324" s="105"/>
      <c r="G324" s="105"/>
      <c r="H324" s="119"/>
      <c r="J324" s="599"/>
      <c r="K324" s="599"/>
      <c r="L324" s="599"/>
      <c r="M324" s="599"/>
      <c r="N324" s="598"/>
      <c r="O324" s="598"/>
      <c r="P324" s="329"/>
      <c r="Q324" s="598"/>
      <c r="R324" s="598"/>
      <c r="S324" s="329"/>
      <c r="T324" s="598"/>
      <c r="U324" s="598"/>
      <c r="V324" s="329"/>
      <c r="W324" s="391"/>
      <c r="X324" s="17"/>
      <c r="Y324" s="18">
        <f t="shared" si="328"/>
        <v>0</v>
      </c>
      <c r="Z324" s="19">
        <f t="shared" ref="Z324:Z326" si="329">IF(Y$326=0,0,Y324/Y$326)</f>
        <v>0</v>
      </c>
      <c r="AA324" s="19"/>
      <c r="AB324" s="19"/>
      <c r="AC324" s="189"/>
      <c r="AE324" s="111"/>
      <c r="AF324" s="111"/>
      <c r="AG324" s="111"/>
      <c r="AH324" s="651"/>
      <c r="AI324" s="131"/>
      <c r="AK324" s="111"/>
      <c r="AL324" s="111"/>
      <c r="AM324" s="111"/>
      <c r="AN324" s="651"/>
      <c r="AO324" s="131"/>
      <c r="AQ324" s="111"/>
      <c r="AR324" s="111"/>
      <c r="AS324" s="111"/>
      <c r="AT324" s="651"/>
      <c r="AU324" s="131"/>
      <c r="AW324" s="111"/>
      <c r="AX324" s="111"/>
      <c r="AY324" s="111"/>
      <c r="AZ324" s="651"/>
      <c r="BA324" s="131"/>
    </row>
    <row r="325" spans="1:53" ht="17.100000000000001" customHeight="1" x14ac:dyDescent="0.25">
      <c r="A325" s="119"/>
      <c r="B325" s="119"/>
      <c r="C325" s="56" t="s">
        <v>328</v>
      </c>
      <c r="D325" s="149" t="s">
        <v>493</v>
      </c>
      <c r="E325" s="105"/>
      <c r="F325" s="105"/>
      <c r="G325" s="105"/>
      <c r="H325" s="119"/>
      <c r="J325" s="111"/>
      <c r="K325" s="111"/>
      <c r="L325" s="111"/>
      <c r="M325" s="111"/>
      <c r="N325" s="598"/>
      <c r="O325" s="598"/>
      <c r="P325" s="327"/>
      <c r="Q325" s="598"/>
      <c r="R325" s="598"/>
      <c r="S325" s="327"/>
      <c r="T325" s="598"/>
      <c r="U325" s="598"/>
      <c r="V325" s="327"/>
      <c r="W325" s="391"/>
      <c r="X325" s="17"/>
      <c r="Y325" s="18">
        <f t="shared" si="328"/>
        <v>0</v>
      </c>
      <c r="Z325" s="19">
        <f t="shared" si="329"/>
        <v>0</v>
      </c>
      <c r="AA325" s="19"/>
      <c r="AB325" s="19"/>
      <c r="AC325" s="20"/>
      <c r="AE325" s="111"/>
      <c r="AF325" s="111"/>
      <c r="AG325" s="111"/>
      <c r="AH325" s="651"/>
      <c r="AI325" s="131"/>
      <c r="AK325" s="111"/>
      <c r="AL325" s="111"/>
      <c r="AM325" s="111"/>
      <c r="AN325" s="651"/>
      <c r="AO325" s="131"/>
      <c r="AQ325" s="111"/>
      <c r="AR325" s="111"/>
      <c r="AS325" s="111"/>
      <c r="AT325" s="651"/>
      <c r="AU325" s="131"/>
      <c r="AW325" s="111"/>
      <c r="AX325" s="111"/>
      <c r="AY325" s="111"/>
      <c r="AZ325" s="651"/>
      <c r="BA325" s="131"/>
    </row>
    <row r="326" spans="1:53" ht="17.100000000000001" customHeight="1" x14ac:dyDescent="0.25">
      <c r="A326" s="119"/>
      <c r="B326" s="119"/>
      <c r="C326" s="325"/>
      <c r="D326" s="326"/>
      <c r="E326" s="184"/>
      <c r="F326" s="184"/>
      <c r="G326" s="184"/>
      <c r="H326" s="119"/>
      <c r="J326" s="600"/>
      <c r="K326" s="600"/>
      <c r="L326" s="600"/>
      <c r="M326" s="600"/>
      <c r="N326" s="600"/>
      <c r="O326" s="600"/>
      <c r="P326" s="81">
        <f>SUM(P323:P325)</f>
        <v>0</v>
      </c>
      <c r="Q326" s="600"/>
      <c r="R326" s="600"/>
      <c r="S326" s="81">
        <f>SUM(S323:S325)</f>
        <v>0</v>
      </c>
      <c r="T326" s="600"/>
      <c r="U326" s="600"/>
      <c r="V326" s="81">
        <f>SUM(V323:V325)</f>
        <v>0</v>
      </c>
      <c r="W326" s="381"/>
      <c r="X326" s="82"/>
      <c r="Y326" s="82">
        <f>SUM(Y323:Y325)</f>
        <v>0</v>
      </c>
      <c r="Z326" s="66">
        <f t="shared" si="329"/>
        <v>0</v>
      </c>
      <c r="AA326" s="205"/>
      <c r="AB326" s="205"/>
      <c r="AC326" s="204"/>
      <c r="AE326" s="81"/>
      <c r="AF326" s="81"/>
      <c r="AG326" s="81"/>
      <c r="AH326" s="82"/>
      <c r="AI326" s="66"/>
      <c r="AK326" s="81"/>
      <c r="AL326" s="81"/>
      <c r="AM326" s="81"/>
      <c r="AN326" s="82"/>
      <c r="AO326" s="66"/>
      <c r="AQ326" s="81"/>
      <c r="AR326" s="81"/>
      <c r="AS326" s="81"/>
      <c r="AT326" s="82"/>
      <c r="AU326" s="66"/>
      <c r="AW326" s="81"/>
      <c r="AX326" s="81"/>
      <c r="AY326" s="81"/>
      <c r="AZ326" s="82"/>
      <c r="BA326" s="66"/>
    </row>
    <row r="327" spans="1:53" s="117" customFormat="1" ht="17.100000000000001" customHeight="1" x14ac:dyDescent="0.25">
      <c r="A327" s="119"/>
      <c r="B327" s="119"/>
      <c r="C327" s="429"/>
      <c r="D327" s="427"/>
      <c r="E327" s="428"/>
      <c r="F327" s="428"/>
      <c r="G327" s="428"/>
      <c r="H327" s="119"/>
      <c r="I327" s="97"/>
      <c r="J327" s="643"/>
      <c r="K327" s="643"/>
      <c r="L327" s="643"/>
      <c r="M327" s="643"/>
      <c r="N327" s="643"/>
      <c r="O327" s="643"/>
      <c r="P327" s="643"/>
      <c r="Q327" s="643"/>
      <c r="R327" s="643"/>
      <c r="S327" s="643"/>
      <c r="T327" s="643"/>
      <c r="U327" s="643"/>
      <c r="V327" s="643"/>
      <c r="W327" s="646"/>
      <c r="X327" s="646"/>
      <c r="Y327" s="646"/>
      <c r="Z327" s="201"/>
      <c r="AA327" s="201"/>
      <c r="AB327" s="201"/>
      <c r="AC327" s="199"/>
      <c r="AE327" s="17"/>
      <c r="AF327" s="17"/>
      <c r="AG327" s="17"/>
      <c r="AH327" s="646"/>
      <c r="AI327" s="91"/>
      <c r="AK327" s="17"/>
      <c r="AL327" s="17"/>
      <c r="AM327" s="17"/>
      <c r="AN327" s="646"/>
      <c r="AO327" s="91"/>
      <c r="AQ327" s="17"/>
      <c r="AR327" s="17"/>
      <c r="AS327" s="17"/>
      <c r="AT327" s="17"/>
      <c r="AU327" s="91"/>
      <c r="AW327" s="17"/>
      <c r="AX327" s="17"/>
      <c r="AY327" s="17"/>
      <c r="AZ327" s="17"/>
      <c r="BA327" s="91"/>
    </row>
    <row r="328" spans="1:53" s="97" customFormat="1" ht="17.100000000000001" customHeight="1" x14ac:dyDescent="0.25">
      <c r="A328" s="119"/>
      <c r="B328" s="41" t="s">
        <v>1443</v>
      </c>
      <c r="C328" s="69" t="s">
        <v>12</v>
      </c>
      <c r="D328" s="50"/>
      <c r="E328" s="70"/>
      <c r="F328" s="70"/>
      <c r="G328" s="70"/>
      <c r="H328" s="84"/>
      <c r="J328" s="71"/>
      <c r="K328" s="71"/>
      <c r="L328" s="71"/>
      <c r="M328" s="71"/>
      <c r="N328" s="71"/>
      <c r="O328" s="71"/>
      <c r="P328" s="71"/>
      <c r="Q328" s="71"/>
      <c r="R328" s="71"/>
      <c r="S328" s="71"/>
      <c r="T328" s="71"/>
      <c r="U328" s="71"/>
      <c r="V328" s="355"/>
      <c r="W328" s="377"/>
      <c r="X328" s="71"/>
      <c r="Y328" s="71"/>
      <c r="Z328" s="73"/>
      <c r="AA328" s="73"/>
      <c r="AB328" s="73"/>
      <c r="AC328" s="73"/>
      <c r="AE328" s="71"/>
      <c r="AF328" s="71"/>
      <c r="AG328" s="273"/>
      <c r="AH328" s="73"/>
      <c r="AI328" s="73"/>
      <c r="AJ328" s="3"/>
      <c r="AK328" s="71"/>
      <c r="AL328" s="71"/>
      <c r="AM328" s="273"/>
      <c r="AN328" s="73"/>
      <c r="AO328" s="73"/>
      <c r="AP328" s="3"/>
      <c r="AQ328" s="71"/>
      <c r="AR328" s="71"/>
      <c r="AS328" s="273"/>
      <c r="AT328" s="73"/>
      <c r="AU328" s="73"/>
      <c r="AV328" s="3"/>
      <c r="AW328" s="71"/>
      <c r="AX328" s="71"/>
      <c r="AY328" s="273"/>
      <c r="AZ328" s="73"/>
      <c r="BA328" s="73"/>
    </row>
    <row r="329" spans="1:53" ht="17.100000000000001" customHeight="1" x14ac:dyDescent="0.25">
      <c r="A329" s="40"/>
      <c r="B329" s="40"/>
      <c r="C329" s="74" t="s">
        <v>1444</v>
      </c>
      <c r="D329" s="931" t="s">
        <v>315</v>
      </c>
      <c r="E329" s="75"/>
      <c r="F329" s="75"/>
      <c r="G329" s="75"/>
      <c r="H329" s="928"/>
      <c r="I329" s="12"/>
      <c r="J329" s="152"/>
      <c r="K329" s="152"/>
      <c r="L329" s="152"/>
      <c r="M329" s="152"/>
      <c r="N329" s="152">
        <f>IF(N20&gt;0,1,0)</f>
        <v>0</v>
      </c>
      <c r="O329" s="152">
        <f>IF(O20&gt;0,1,0)</f>
        <v>0</v>
      </c>
      <c r="P329" s="152"/>
      <c r="Q329" s="152">
        <f>IF(Q20&gt;0,1,0)</f>
        <v>0</v>
      </c>
      <c r="R329" s="152">
        <f>IF(R20&gt;0,1,0)</f>
        <v>0</v>
      </c>
      <c r="S329" s="152"/>
      <c r="T329" s="152">
        <f>IF(T20&gt;0,1,0)</f>
        <v>0</v>
      </c>
      <c r="U329" s="152">
        <f>IF(U20&gt;0,1,0)</f>
        <v>0</v>
      </c>
      <c r="V329" s="152"/>
      <c r="W329" s="389"/>
      <c r="X329" s="152"/>
      <c r="Y329" s="932"/>
      <c r="Z329" s="131"/>
      <c r="AA329" s="131"/>
      <c r="AB329" s="131"/>
      <c r="AC329" s="113"/>
      <c r="AE329" s="152"/>
      <c r="AF329" s="152"/>
      <c r="AG329" s="152"/>
      <c r="AH329" s="932"/>
      <c r="AI329" s="131"/>
      <c r="AJ329" s="117"/>
      <c r="AK329" s="152"/>
      <c r="AL329" s="152"/>
      <c r="AM329" s="152"/>
      <c r="AN329" s="932"/>
      <c r="AO329" s="131"/>
      <c r="AP329" s="117"/>
      <c r="AQ329" s="152"/>
      <c r="AR329" s="152"/>
      <c r="AS329" s="152"/>
      <c r="AT329" s="932"/>
      <c r="AU329" s="131"/>
      <c r="AV329" s="117"/>
      <c r="AW329" s="152"/>
      <c r="AX329" s="152"/>
      <c r="AY329" s="152"/>
      <c r="AZ329" s="932"/>
      <c r="BA329" s="131"/>
    </row>
    <row r="330" spans="1:53" ht="17.100000000000001" customHeight="1" x14ac:dyDescent="0.25">
      <c r="A330" s="137"/>
      <c r="B330" s="40"/>
      <c r="C330" s="40"/>
      <c r="D330" s="128" t="s">
        <v>1017</v>
      </c>
      <c r="E330" s="122"/>
      <c r="F330" s="122"/>
      <c r="G330" s="122"/>
      <c r="H330" s="928"/>
      <c r="I330" s="12"/>
      <c r="J330" s="190"/>
      <c r="K330" s="190"/>
      <c r="L330" s="190"/>
      <c r="M330" s="190"/>
      <c r="N330" s="570">
        <f>IF(N287=0,0,N285/N287)*0.5</f>
        <v>0</v>
      </c>
      <c r="O330" s="570">
        <f>IF(O287=0,0,O285/O287)*0.5</f>
        <v>0</v>
      </c>
      <c r="P330" s="190"/>
      <c r="Q330" s="570">
        <f>IF(Q287=0,0,Q285/Q287)*0.5</f>
        <v>0</v>
      </c>
      <c r="R330" s="570">
        <f>IF(R287=0,0,R285/R287)*0.5</f>
        <v>0</v>
      </c>
      <c r="S330" s="190"/>
      <c r="T330" s="570">
        <f>IF(T287=0,0,T285/T287)*0.5</f>
        <v>0</v>
      </c>
      <c r="U330" s="570">
        <f>IF(U287=0,0,U285/U287)*0.5</f>
        <v>0</v>
      </c>
      <c r="V330" s="371"/>
      <c r="W330" s="393"/>
      <c r="X330" s="190"/>
      <c r="Y330" s="129"/>
      <c r="Z330" s="130"/>
      <c r="AA330" s="130"/>
      <c r="AB330" s="130"/>
      <c r="AC330" s="125"/>
      <c r="AE330" s="190"/>
      <c r="AF330" s="190"/>
      <c r="AG330" s="190"/>
      <c r="AH330" s="129"/>
      <c r="AI330" s="130"/>
      <c r="AJ330" s="117"/>
      <c r="AK330" s="190"/>
      <c r="AL330" s="190"/>
      <c r="AM330" s="190"/>
      <c r="AN330" s="129"/>
      <c r="AO330" s="130"/>
      <c r="AP330" s="117"/>
      <c r="AQ330" s="190"/>
      <c r="AR330" s="190"/>
      <c r="AS330" s="190"/>
      <c r="AT330" s="129"/>
      <c r="AU330" s="130"/>
      <c r="AV330" s="117"/>
      <c r="AW330" s="190"/>
      <c r="AX330" s="190"/>
      <c r="AY330" s="190"/>
      <c r="AZ330" s="129"/>
      <c r="BA330" s="130"/>
    </row>
    <row r="331" spans="1:53" ht="17.100000000000001" customHeight="1" x14ac:dyDescent="0.25">
      <c r="A331" s="137"/>
      <c r="B331" s="40"/>
      <c r="C331" s="40"/>
      <c r="D331" s="128" t="s">
        <v>1018</v>
      </c>
      <c r="E331" s="122"/>
      <c r="F331" s="122"/>
      <c r="G331" s="122"/>
      <c r="H331" s="928"/>
      <c r="I331" s="12"/>
      <c r="J331" s="190"/>
      <c r="K331" s="190"/>
      <c r="L331" s="190"/>
      <c r="M331" s="190"/>
      <c r="N331" s="570">
        <f>IF(N287=0,0,N286/N287)*1</f>
        <v>0</v>
      </c>
      <c r="O331" s="570">
        <f t="shared" ref="O331:U331" si="330">IF(O287=0,0,O286/O287)*1</f>
        <v>0</v>
      </c>
      <c r="P331" s="570"/>
      <c r="Q331" s="570">
        <f t="shared" si="330"/>
        <v>0</v>
      </c>
      <c r="R331" s="570">
        <f t="shared" si="330"/>
        <v>0</v>
      </c>
      <c r="S331" s="570"/>
      <c r="T331" s="570">
        <f t="shared" si="330"/>
        <v>0</v>
      </c>
      <c r="U331" s="570">
        <f t="shared" si="330"/>
        <v>0</v>
      </c>
      <c r="V331" s="371"/>
      <c r="W331" s="393"/>
      <c r="X331" s="190"/>
      <c r="Y331" s="129"/>
      <c r="Z331" s="130"/>
      <c r="AA331" s="130"/>
      <c r="AB331" s="130"/>
      <c r="AC331" s="125"/>
      <c r="AE331" s="190"/>
      <c r="AF331" s="190"/>
      <c r="AG331" s="190"/>
      <c r="AH331" s="129"/>
      <c r="AI331" s="130"/>
      <c r="AJ331" s="117"/>
      <c r="AK331" s="190"/>
      <c r="AL331" s="190"/>
      <c r="AM331" s="190"/>
      <c r="AN331" s="129"/>
      <c r="AO331" s="130"/>
      <c r="AP331" s="117"/>
      <c r="AQ331" s="190"/>
      <c r="AR331" s="190"/>
      <c r="AS331" s="190"/>
      <c r="AT331" s="129"/>
      <c r="AU331" s="130"/>
      <c r="AV331" s="117"/>
      <c r="AW331" s="190"/>
      <c r="AX331" s="190"/>
      <c r="AY331" s="190"/>
      <c r="AZ331" s="129"/>
      <c r="BA331" s="130"/>
    </row>
    <row r="332" spans="1:53" ht="17.100000000000001" customHeight="1" x14ac:dyDescent="0.25">
      <c r="A332" s="137"/>
      <c r="B332" s="40"/>
      <c r="C332" s="40"/>
      <c r="D332" s="128" t="s">
        <v>316</v>
      </c>
      <c r="E332" s="122"/>
      <c r="F332" s="122"/>
      <c r="G332" s="122"/>
      <c r="H332" s="928"/>
      <c r="I332" s="12"/>
      <c r="J332" s="190"/>
      <c r="K332" s="190"/>
      <c r="L332" s="190"/>
      <c r="M332" s="190"/>
      <c r="N332" s="570">
        <f>IF(N294=0,0,N292/N294)*0.5</f>
        <v>0</v>
      </c>
      <c r="O332" s="570">
        <f>IF(O294=0,0,O292/O294)*0.5</f>
        <v>0</v>
      </c>
      <c r="P332" s="190"/>
      <c r="Q332" s="570">
        <f>IF(Q294=0,0,Q292/Q294)*0.5</f>
        <v>0</v>
      </c>
      <c r="R332" s="570">
        <f>IF(R294=0,0,R292/R294)*0.5</f>
        <v>0</v>
      </c>
      <c r="S332" s="190"/>
      <c r="T332" s="570">
        <f>IF(T294=0,0,T292/T294)*0.5</f>
        <v>0</v>
      </c>
      <c r="U332" s="570">
        <f>IF(U294=0,0,U292/U294)*0.5</f>
        <v>0</v>
      </c>
      <c r="V332" s="371"/>
      <c r="W332" s="393"/>
      <c r="X332" s="190"/>
      <c r="Y332" s="129"/>
      <c r="Z332" s="130"/>
      <c r="AA332" s="130"/>
      <c r="AB332" s="130"/>
      <c r="AC332" s="125"/>
      <c r="AE332" s="190"/>
      <c r="AF332" s="190"/>
      <c r="AG332" s="190"/>
      <c r="AH332" s="129"/>
      <c r="AI332" s="130"/>
      <c r="AJ332" s="117"/>
      <c r="AK332" s="190"/>
      <c r="AL332" s="190"/>
      <c r="AM332" s="190"/>
      <c r="AN332" s="129"/>
      <c r="AO332" s="130"/>
      <c r="AP332" s="117"/>
      <c r="AQ332" s="190"/>
      <c r="AR332" s="190"/>
      <c r="AS332" s="190"/>
      <c r="AT332" s="129"/>
      <c r="AU332" s="130"/>
      <c r="AV332" s="117"/>
      <c r="AW332" s="190"/>
      <c r="AX332" s="190"/>
      <c r="AY332" s="190"/>
      <c r="AZ332" s="129"/>
      <c r="BA332" s="130"/>
    </row>
    <row r="333" spans="1:53" ht="17.100000000000001" customHeight="1" x14ac:dyDescent="0.25">
      <c r="A333" s="137"/>
      <c r="B333" s="40"/>
      <c r="C333" s="40"/>
      <c r="D333" s="128" t="s">
        <v>317</v>
      </c>
      <c r="E333" s="122"/>
      <c r="F333" s="122"/>
      <c r="G333" s="122"/>
      <c r="H333" s="928"/>
      <c r="I333" s="12"/>
      <c r="J333" s="190"/>
      <c r="K333" s="190"/>
      <c r="L333" s="190"/>
      <c r="M333" s="190"/>
      <c r="N333" s="570">
        <f>IF(N294=0,0,N293/N294)*1</f>
        <v>0</v>
      </c>
      <c r="O333" s="570">
        <f t="shared" ref="O333:U333" si="331">IF(O294=0,0,O293/O294)*1</f>
        <v>0</v>
      </c>
      <c r="P333" s="570"/>
      <c r="Q333" s="570">
        <f t="shared" si="331"/>
        <v>0</v>
      </c>
      <c r="R333" s="570">
        <f t="shared" si="331"/>
        <v>0</v>
      </c>
      <c r="S333" s="570"/>
      <c r="T333" s="570">
        <f t="shared" si="331"/>
        <v>0</v>
      </c>
      <c r="U333" s="570">
        <f t="shared" si="331"/>
        <v>0</v>
      </c>
      <c r="V333" s="371"/>
      <c r="W333" s="393"/>
      <c r="X333" s="190"/>
      <c r="Y333" s="129"/>
      <c r="Z333" s="130"/>
      <c r="AA333" s="130"/>
      <c r="AB333" s="130"/>
      <c r="AC333" s="125"/>
      <c r="AE333" s="190"/>
      <c r="AF333" s="190"/>
      <c r="AG333" s="190"/>
      <c r="AH333" s="129"/>
      <c r="AI333" s="130"/>
      <c r="AJ333" s="117"/>
      <c r="AK333" s="190"/>
      <c r="AL333" s="190"/>
      <c r="AM333" s="190"/>
      <c r="AN333" s="129"/>
      <c r="AO333" s="130"/>
      <c r="AP333" s="117"/>
      <c r="AQ333" s="190"/>
      <c r="AR333" s="190"/>
      <c r="AS333" s="190"/>
      <c r="AT333" s="129"/>
      <c r="AU333" s="130"/>
      <c r="AV333" s="117"/>
      <c r="AW333" s="190"/>
      <c r="AX333" s="190"/>
      <c r="AY333" s="190"/>
      <c r="AZ333" s="129"/>
      <c r="BA333" s="130"/>
    </row>
    <row r="334" spans="1:53" ht="17.100000000000001" customHeight="1" x14ac:dyDescent="0.25">
      <c r="A334" s="137"/>
      <c r="B334" s="40"/>
      <c r="C334" s="40"/>
      <c r="D334" s="128" t="s">
        <v>1019</v>
      </c>
      <c r="E334" s="122"/>
      <c r="F334" s="122"/>
      <c r="G334" s="122"/>
      <c r="H334" s="928"/>
      <c r="I334" s="12"/>
      <c r="J334" s="190"/>
      <c r="K334" s="190"/>
      <c r="L334" s="190"/>
      <c r="M334" s="190"/>
      <c r="N334" s="570"/>
      <c r="O334" s="570"/>
      <c r="P334" s="190"/>
      <c r="Q334" s="570"/>
      <c r="R334" s="570"/>
      <c r="S334" s="190"/>
      <c r="T334" s="570"/>
      <c r="U334" s="570"/>
      <c r="V334" s="371"/>
      <c r="W334" s="393"/>
      <c r="X334" s="190"/>
      <c r="Y334" s="129"/>
      <c r="Z334" s="130"/>
      <c r="AA334" s="130"/>
      <c r="AB334" s="130"/>
      <c r="AC334" s="125"/>
      <c r="AE334" s="190"/>
      <c r="AF334" s="190"/>
      <c r="AG334" s="190"/>
      <c r="AH334" s="129"/>
      <c r="AI334" s="130"/>
      <c r="AJ334" s="117"/>
      <c r="AK334" s="190"/>
      <c r="AL334" s="190"/>
      <c r="AM334" s="190"/>
      <c r="AN334" s="129"/>
      <c r="AO334" s="130"/>
      <c r="AP334" s="117"/>
      <c r="AQ334" s="190"/>
      <c r="AR334" s="190"/>
      <c r="AS334" s="190"/>
      <c r="AT334" s="129"/>
      <c r="AU334" s="130"/>
      <c r="AV334" s="117"/>
      <c r="AW334" s="190"/>
      <c r="AX334" s="190"/>
      <c r="AY334" s="190"/>
      <c r="AZ334" s="129"/>
      <c r="BA334" s="130"/>
    </row>
    <row r="335" spans="1:53" ht="17.100000000000001" customHeight="1" x14ac:dyDescent="0.25">
      <c r="A335" s="137"/>
      <c r="B335" s="40"/>
      <c r="C335" s="40"/>
      <c r="D335" s="128" t="s">
        <v>318</v>
      </c>
      <c r="E335" s="122"/>
      <c r="F335" s="122"/>
      <c r="G335" s="122"/>
      <c r="H335" s="928"/>
      <c r="I335" s="12"/>
      <c r="J335" s="190"/>
      <c r="K335" s="190"/>
      <c r="L335" s="190"/>
      <c r="M335" s="190"/>
      <c r="N335" s="570">
        <f>IF(N312=0,0,(SUM(N303:N304)+N301+N306)/N312)</f>
        <v>0</v>
      </c>
      <c r="O335" s="570">
        <f>IF(O312=0,0,(SUM(O303:O304)+O301+O306)/O312)</f>
        <v>0</v>
      </c>
      <c r="P335" s="190"/>
      <c r="Q335" s="570">
        <f>IF(Q312=0,0,(SUM(Q303:Q304)+Q301+Q306)/Q312)</f>
        <v>0</v>
      </c>
      <c r="R335" s="570">
        <f>IF(R312=0,0,(SUM(R303:R304)+R301+R306)/R312)</f>
        <v>0</v>
      </c>
      <c r="S335" s="190"/>
      <c r="T335" s="570">
        <f>IF(T312=0,0,(SUM(T303:T304)+T301+T306)/T312)</f>
        <v>0</v>
      </c>
      <c r="U335" s="570">
        <f>IF(U312=0,0,(SUM(U303:U304)+U301+U306)/U312)</f>
        <v>0</v>
      </c>
      <c r="V335" s="371"/>
      <c r="W335" s="393"/>
      <c r="X335" s="190"/>
      <c r="Y335" s="129"/>
      <c r="Z335" s="130"/>
      <c r="AA335" s="130"/>
      <c r="AB335" s="130"/>
      <c r="AC335" s="125"/>
      <c r="AE335" s="190"/>
      <c r="AF335" s="190"/>
      <c r="AG335" s="190"/>
      <c r="AH335" s="129"/>
      <c r="AI335" s="130"/>
      <c r="AJ335" s="117"/>
      <c r="AK335" s="190"/>
      <c r="AL335" s="190"/>
      <c r="AM335" s="190"/>
      <c r="AN335" s="129"/>
      <c r="AO335" s="130"/>
      <c r="AP335" s="117"/>
      <c r="AQ335" s="190"/>
      <c r="AR335" s="190"/>
      <c r="AS335" s="190"/>
      <c r="AT335" s="129"/>
      <c r="AU335" s="130"/>
      <c r="AV335" s="117"/>
      <c r="AW335" s="190"/>
      <c r="AX335" s="190"/>
      <c r="AY335" s="190"/>
      <c r="AZ335" s="129"/>
      <c r="BA335" s="130"/>
    </row>
    <row r="336" spans="1:53" ht="17.100000000000001" customHeight="1" x14ac:dyDescent="0.25">
      <c r="A336" s="137"/>
      <c r="B336" s="40"/>
      <c r="C336" s="40"/>
      <c r="D336" s="128" t="s">
        <v>319</v>
      </c>
      <c r="E336" s="122"/>
      <c r="F336" s="122"/>
      <c r="G336" s="122"/>
      <c r="H336" s="928"/>
      <c r="I336" s="12"/>
      <c r="J336" s="190"/>
      <c r="K336" s="190"/>
      <c r="L336" s="190"/>
      <c r="M336" s="190"/>
      <c r="N336" s="570">
        <f>IF(N318=0,0,(N315/N318)*0.5)</f>
        <v>0</v>
      </c>
      <c r="O336" s="570">
        <f>IF(O318=0,0,(O315/O318)*0.5)</f>
        <v>0</v>
      </c>
      <c r="P336" s="190"/>
      <c r="Q336" s="570">
        <f>IF(Q318=0,0,(Q315/Q318)*0.5)</f>
        <v>0</v>
      </c>
      <c r="R336" s="570">
        <f>IF(R318=0,0,(R315/R318)*0.5)</f>
        <v>0</v>
      </c>
      <c r="S336" s="190"/>
      <c r="T336" s="570">
        <f>IF(T318=0,0,(T315/T318)*0.5)</f>
        <v>0</v>
      </c>
      <c r="U336" s="570">
        <f>IF(U318=0,0,(U315/U318)*0.5)</f>
        <v>0</v>
      </c>
      <c r="V336" s="371"/>
      <c r="W336" s="393"/>
      <c r="X336" s="190"/>
      <c r="Y336" s="129"/>
      <c r="Z336" s="130"/>
      <c r="AA336" s="130"/>
      <c r="AB336" s="130"/>
      <c r="AC336" s="125"/>
      <c r="AE336" s="190"/>
      <c r="AF336" s="190"/>
      <c r="AG336" s="190"/>
      <c r="AH336" s="129"/>
      <c r="AI336" s="130"/>
      <c r="AJ336" s="117"/>
      <c r="AK336" s="190"/>
      <c r="AL336" s="190"/>
      <c r="AM336" s="190"/>
      <c r="AN336" s="129"/>
      <c r="AO336" s="130"/>
      <c r="AP336" s="117"/>
      <c r="AQ336" s="190"/>
      <c r="AR336" s="190"/>
      <c r="AS336" s="190"/>
      <c r="AT336" s="129"/>
      <c r="AU336" s="130"/>
      <c r="AV336" s="117"/>
      <c r="AW336" s="190"/>
      <c r="AX336" s="190"/>
      <c r="AY336" s="190"/>
      <c r="AZ336" s="129"/>
      <c r="BA336" s="130"/>
    </row>
    <row r="337" spans="1:53" ht="17.100000000000001" customHeight="1" x14ac:dyDescent="0.25">
      <c r="A337" s="137"/>
      <c r="B337" s="40"/>
      <c r="C337" s="40"/>
      <c r="D337" s="128" t="s">
        <v>320</v>
      </c>
      <c r="E337" s="122"/>
      <c r="F337" s="122"/>
      <c r="G337" s="122"/>
      <c r="H337" s="928"/>
      <c r="I337" s="12"/>
      <c r="J337" s="190"/>
      <c r="K337" s="190"/>
      <c r="L337" s="190"/>
      <c r="M337" s="190"/>
      <c r="N337" s="570">
        <f>SUM(N330:N336)</f>
        <v>0</v>
      </c>
      <c r="O337" s="570">
        <f>SUM(O330:O336)</f>
        <v>0</v>
      </c>
      <c r="P337" s="190"/>
      <c r="Q337" s="570">
        <f>SUM(Q330:Q336)</f>
        <v>0</v>
      </c>
      <c r="R337" s="570">
        <f>SUM(R330:R336)</f>
        <v>0</v>
      </c>
      <c r="S337" s="190"/>
      <c r="T337" s="570">
        <f>SUM(T330:T336)</f>
        <v>0</v>
      </c>
      <c r="U337" s="570">
        <f>SUM(U330:U336)</f>
        <v>0</v>
      </c>
      <c r="V337" s="371"/>
      <c r="W337" s="393"/>
      <c r="X337" s="190"/>
      <c r="Y337" s="129"/>
      <c r="Z337" s="130"/>
      <c r="AA337" s="130"/>
      <c r="AB337" s="130"/>
      <c r="AC337" s="125"/>
      <c r="AE337" s="190"/>
      <c r="AF337" s="190"/>
      <c r="AG337" s="190"/>
      <c r="AH337" s="129"/>
      <c r="AI337" s="130"/>
      <c r="AJ337" s="117"/>
      <c r="AK337" s="190"/>
      <c r="AL337" s="190"/>
      <c r="AM337" s="190"/>
      <c r="AN337" s="129"/>
      <c r="AO337" s="130"/>
      <c r="AP337" s="117"/>
      <c r="AQ337" s="190"/>
      <c r="AR337" s="190"/>
      <c r="AS337" s="190"/>
      <c r="AT337" s="129"/>
      <c r="AU337" s="130"/>
      <c r="AV337" s="117"/>
      <c r="AW337" s="190"/>
      <c r="AX337" s="190"/>
      <c r="AY337" s="190"/>
      <c r="AZ337" s="129"/>
      <c r="BA337" s="130"/>
    </row>
    <row r="338" spans="1:53" ht="17.100000000000001" customHeight="1" x14ac:dyDescent="0.25">
      <c r="A338" s="137"/>
      <c r="B338" s="40"/>
      <c r="C338" s="40"/>
      <c r="D338" s="128" t="s">
        <v>321</v>
      </c>
      <c r="E338" s="122"/>
      <c r="F338" s="122"/>
      <c r="G338" s="122"/>
      <c r="H338" s="928"/>
      <c r="I338" s="12"/>
      <c r="J338" s="190"/>
      <c r="K338" s="190"/>
      <c r="L338" s="190"/>
      <c r="M338" s="190"/>
      <c r="N338" s="190">
        <v>3.5</v>
      </c>
      <c r="O338" s="190">
        <v>3.5</v>
      </c>
      <c r="P338" s="190"/>
      <c r="Q338" s="190">
        <v>3.5</v>
      </c>
      <c r="R338" s="190">
        <v>3.5</v>
      </c>
      <c r="S338" s="190"/>
      <c r="T338" s="190">
        <v>3.5</v>
      </c>
      <c r="U338" s="190">
        <v>3.5</v>
      </c>
      <c r="V338" s="371"/>
      <c r="W338" s="393"/>
      <c r="X338" s="190"/>
      <c r="Y338" s="129"/>
      <c r="Z338" s="130"/>
      <c r="AA338" s="130"/>
      <c r="AB338" s="130"/>
      <c r="AC338" s="125"/>
      <c r="AE338" s="190"/>
      <c r="AF338" s="190"/>
      <c r="AG338" s="190"/>
      <c r="AH338" s="129"/>
      <c r="AI338" s="130"/>
      <c r="AJ338" s="117"/>
      <c r="AK338" s="190"/>
      <c r="AL338" s="190"/>
      <c r="AM338" s="190"/>
      <c r="AN338" s="129"/>
      <c r="AO338" s="130"/>
      <c r="AP338" s="117"/>
      <c r="AQ338" s="190"/>
      <c r="AR338" s="190"/>
      <c r="AS338" s="190"/>
      <c r="AT338" s="129"/>
      <c r="AU338" s="130"/>
      <c r="AV338" s="117"/>
      <c r="AW338" s="190"/>
      <c r="AX338" s="190"/>
      <c r="AY338" s="190"/>
      <c r="AZ338" s="129"/>
      <c r="BA338" s="130"/>
    </row>
    <row r="339" spans="1:53" ht="17.100000000000001" customHeight="1" x14ac:dyDescent="0.25">
      <c r="A339" s="137"/>
      <c r="B339" s="40"/>
      <c r="C339" s="40"/>
      <c r="D339" s="75" t="s">
        <v>322</v>
      </c>
      <c r="E339" s="75"/>
      <c r="F339" s="75"/>
      <c r="G339" s="75"/>
      <c r="H339" s="1322"/>
      <c r="I339" s="12"/>
      <c r="J339" s="191" t="str">
        <f>IF(J$506=0,"",J340)</f>
        <v/>
      </c>
      <c r="K339" s="191" t="str">
        <f>IF(K$506=0,"",K340)</f>
        <v/>
      </c>
      <c r="L339" s="191" t="str">
        <f>IF(L$506=0,"",L340)</f>
        <v/>
      </c>
      <c r="M339" s="191"/>
      <c r="N339" s="191" t="str">
        <f>IF(N329=0,"",IF(N340=0,0,N340))</f>
        <v/>
      </c>
      <c r="O339" s="191" t="str">
        <f>IF(O329=0,"",IF(O340=0,0,O340))</f>
        <v/>
      </c>
      <c r="P339" s="191"/>
      <c r="Q339" s="191" t="str">
        <f>IF(Q329=0,"",IF(Q340=0,0,Q340))</f>
        <v/>
      </c>
      <c r="R339" s="191" t="str">
        <f>IF(R329=0,"",IF(R340=0,0,R340))</f>
        <v/>
      </c>
      <c r="S339" s="191"/>
      <c r="T339" s="191" t="str">
        <f>IF(T329=0,"",IF(T340=0,0,T340))</f>
        <v/>
      </c>
      <c r="U339" s="191" t="str">
        <f>IF(U329=0,"",IF(U340=0,0,U340))</f>
        <v/>
      </c>
      <c r="V339" s="191"/>
      <c r="W339" s="394"/>
      <c r="X339" s="191"/>
      <c r="Y339" s="164"/>
      <c r="Z339" s="192"/>
      <c r="AA339" s="192"/>
      <c r="AB339" s="192"/>
      <c r="AC339" s="193">
        <f>IF(Y339=0,0,AVERAGE(J339:X339))</f>
        <v>0</v>
      </c>
      <c r="AE339" s="191"/>
      <c r="AF339" s="191"/>
      <c r="AG339" s="191"/>
      <c r="AH339" s="164"/>
      <c r="AI339" s="192"/>
      <c r="AJ339" s="117"/>
      <c r="AK339" s="191"/>
      <c r="AL339" s="191"/>
      <c r="AM339" s="191"/>
      <c r="AN339" s="164"/>
      <c r="AO339" s="192"/>
      <c r="AP339" s="117"/>
      <c r="AQ339" s="191"/>
      <c r="AR339" s="191"/>
      <c r="AS339" s="191"/>
      <c r="AT339" s="164"/>
      <c r="AU339" s="192"/>
      <c r="AV339" s="117"/>
      <c r="AW339" s="191"/>
      <c r="AX339" s="191"/>
      <c r="AY339" s="191"/>
      <c r="AZ339" s="164"/>
      <c r="BA339" s="192"/>
    </row>
    <row r="340" spans="1:53" ht="17.100000000000001" customHeight="1" x14ac:dyDescent="0.25">
      <c r="A340" s="137"/>
      <c r="B340" s="40"/>
      <c r="C340" s="40"/>
      <c r="D340" s="128" t="s">
        <v>323</v>
      </c>
      <c r="E340" s="122"/>
      <c r="F340" s="122"/>
      <c r="G340" s="122"/>
      <c r="H340" s="1322"/>
      <c r="I340" s="12"/>
      <c r="J340" s="194"/>
      <c r="K340" s="194"/>
      <c r="L340" s="194"/>
      <c r="M340" s="194"/>
      <c r="N340" s="194">
        <f>N337/N338</f>
        <v>0</v>
      </c>
      <c r="O340" s="194">
        <f t="shared" ref="O340" si="332">O337/O338</f>
        <v>0</v>
      </c>
      <c r="P340" s="194"/>
      <c r="Q340" s="194">
        <f>Q337/Q338</f>
        <v>0</v>
      </c>
      <c r="R340" s="194">
        <f t="shared" ref="R340" si="333">R337/R338</f>
        <v>0</v>
      </c>
      <c r="S340" s="194"/>
      <c r="T340" s="194">
        <f>T337/T338</f>
        <v>0</v>
      </c>
      <c r="U340" s="194">
        <f t="shared" ref="U340" si="334">U337/U338</f>
        <v>0</v>
      </c>
      <c r="V340" s="194"/>
      <c r="W340" s="969">
        <f>N340+Q340+T340</f>
        <v>0</v>
      </c>
      <c r="X340" s="504">
        <f>O340+R340+U340</f>
        <v>0</v>
      </c>
      <c r="Y340" s="504">
        <f>SUM(N340:U340)</f>
        <v>0</v>
      </c>
      <c r="Z340" s="195"/>
      <c r="AA340" s="195"/>
      <c r="AB340" s="195"/>
      <c r="AC340" s="161"/>
      <c r="AE340" s="194"/>
      <c r="AF340" s="194"/>
      <c r="AG340" s="194"/>
      <c r="AH340" s="162"/>
      <c r="AI340" s="195"/>
      <c r="AJ340" s="117"/>
      <c r="AK340" s="194"/>
      <c r="AL340" s="194"/>
      <c r="AM340" s="194"/>
      <c r="AN340" s="162"/>
      <c r="AO340" s="195"/>
      <c r="AP340" s="117"/>
      <c r="AQ340" s="194"/>
      <c r="AR340" s="194"/>
      <c r="AS340" s="194"/>
      <c r="AT340" s="162"/>
      <c r="AU340" s="195"/>
      <c r="AV340" s="117"/>
      <c r="AW340" s="194"/>
      <c r="AX340" s="194"/>
      <c r="AY340" s="194"/>
      <c r="AZ340" s="162"/>
      <c r="BA340" s="195"/>
    </row>
    <row r="341" spans="1:53" ht="17.100000000000001" customHeight="1" x14ac:dyDescent="0.25">
      <c r="A341" s="137"/>
      <c r="B341" s="137"/>
      <c r="C341" s="40"/>
      <c r="D341" s="128"/>
      <c r="E341" s="122"/>
      <c r="F341" s="122"/>
      <c r="G341" s="122"/>
      <c r="H341" s="1322"/>
      <c r="I341" s="12"/>
      <c r="J341" s="194"/>
      <c r="K341" s="194"/>
      <c r="L341" s="194"/>
      <c r="M341" s="194"/>
      <c r="N341" s="194" t="str">
        <f>IF(N329=0,"",N340)</f>
        <v/>
      </c>
      <c r="O341" s="194" t="str">
        <f>IF(O329=0,"",O340)</f>
        <v/>
      </c>
      <c r="P341" s="194"/>
      <c r="Q341" s="194" t="str">
        <f>IF(Q329=0,"",Q340)</f>
        <v/>
      </c>
      <c r="R341" s="194" t="str">
        <f>IF(R329=0,"",R340)</f>
        <v/>
      </c>
      <c r="S341" s="194"/>
      <c r="T341" s="194" t="str">
        <f>IF(T329=0,"",T340)</f>
        <v/>
      </c>
      <c r="U341" s="194" t="str">
        <f>IF(U329=0,"",U340)</f>
        <v/>
      </c>
      <c r="V341" s="194"/>
      <c r="W341" s="969" t="str">
        <f>IF(W340=0,"",AVERAGE(N341,Q341,T341))</f>
        <v/>
      </c>
      <c r="X341" s="504" t="str">
        <f>IF(X340=0,"",AVERAGE(O341,R341,U341))</f>
        <v/>
      </c>
      <c r="Y341" s="504" t="str">
        <f>IF(Y340=0,"",AVERAGE(N341:U341))</f>
        <v/>
      </c>
      <c r="Z341" s="195"/>
      <c r="AA341" s="195"/>
      <c r="AB341" s="195"/>
      <c r="AC341" s="161"/>
      <c r="AE341" s="194"/>
      <c r="AF341" s="194"/>
      <c r="AG341" s="194"/>
      <c r="AH341" s="162"/>
      <c r="AI341" s="195"/>
      <c r="AJ341" s="117"/>
      <c r="AK341" s="194"/>
      <c r="AL341" s="194"/>
      <c r="AM341" s="194"/>
      <c r="AN341" s="162"/>
      <c r="AO341" s="195"/>
      <c r="AP341" s="117"/>
      <c r="AQ341" s="194"/>
      <c r="AR341" s="194"/>
      <c r="AS341" s="194"/>
      <c r="AT341" s="162"/>
      <c r="AU341" s="195"/>
      <c r="AV341" s="117"/>
      <c r="AW341" s="194"/>
      <c r="AX341" s="194"/>
      <c r="AY341" s="194"/>
      <c r="AZ341" s="162"/>
      <c r="BA341" s="195"/>
    </row>
    <row r="342" spans="1:53" s="117" customFormat="1" ht="17.100000000000001" customHeight="1" x14ac:dyDescent="0.25">
      <c r="A342" s="119"/>
      <c r="B342" s="119"/>
      <c r="C342" s="196"/>
      <c r="D342" s="75" t="s">
        <v>324</v>
      </c>
      <c r="E342" s="75"/>
      <c r="F342" s="75"/>
      <c r="G342" s="75"/>
      <c r="H342" s="1322"/>
      <c r="I342" s="12"/>
      <c r="J342" s="55" t="str">
        <f>IF(J$506=0,"",IF(J339&gt;=0.75,1,0))</f>
        <v/>
      </c>
      <c r="K342" s="55" t="str">
        <f>IF(K$506=0,"",IF(K339&gt;=0.75,1,0))</f>
        <v/>
      </c>
      <c r="L342" s="55" t="str">
        <f>IF(L$506=0,"",IF(L339&gt;=0.75,1,0))</f>
        <v/>
      </c>
      <c r="M342" s="55"/>
      <c r="N342" s="55">
        <f>IF(N$329=0,0,IF(N$339&gt;=0.75,1,0))</f>
        <v>0</v>
      </c>
      <c r="O342" s="55">
        <f t="shared" ref="O342:U342" si="335">IF(O$329=0,0,IF(O$339&gt;=0.75,1,0))</f>
        <v>0</v>
      </c>
      <c r="P342" s="55">
        <f>IF(SUM(N342:O342)=0,0,IF(SUM(N342:O342)=2,1,IF(AND(N$340=0,O342&gt;0),O342,SUM(N342:O342)/2)))</f>
        <v>0</v>
      </c>
      <c r="Q342" s="55">
        <f t="shared" si="335"/>
        <v>0</v>
      </c>
      <c r="R342" s="55">
        <f t="shared" si="335"/>
        <v>0</v>
      </c>
      <c r="S342" s="55">
        <f>IF(SUM(Q342:R342)=0,0,IF(SUM(Q342:R342)=2,1,IF(AND(Q$340=0,R342&gt;0),R342,SUM(Q342:R342)/2)))</f>
        <v>0</v>
      </c>
      <c r="T342" s="55">
        <f t="shared" si="335"/>
        <v>0</v>
      </c>
      <c r="U342" s="55">
        <f t="shared" si="335"/>
        <v>0</v>
      </c>
      <c r="V342" s="55">
        <f>IF(SUM(T342:U342)=0,0,IF(SUM(T342:U342)=2,1,IF(AND(T$340=0,U342&gt;0),U342,SUM(T342:U342)/2)))</f>
        <v>0</v>
      </c>
      <c r="W342" s="1324">
        <f>N342+Q342+T342</f>
        <v>0</v>
      </c>
      <c r="X342" s="1000">
        <f>O342+R342+U342</f>
        <v>0</v>
      </c>
      <c r="Y342" s="996">
        <f>P342+S342+V342</f>
        <v>0</v>
      </c>
      <c r="Z342" s="19">
        <f>IF(Y$569=0,0,Y342/Y$569)</f>
        <v>0</v>
      </c>
      <c r="AA342" s="197"/>
      <c r="AB342" s="197"/>
      <c r="AC342" s="198"/>
      <c r="AE342" s="55"/>
      <c r="AF342" s="55"/>
      <c r="AG342" s="55"/>
      <c r="AH342" s="164"/>
      <c r="AI342" s="197"/>
      <c r="AK342" s="55"/>
      <c r="AL342" s="55"/>
      <c r="AM342" s="55"/>
      <c r="AN342" s="164"/>
      <c r="AO342" s="197"/>
      <c r="AQ342" s="55"/>
      <c r="AR342" s="55"/>
      <c r="AS342" s="55"/>
      <c r="AT342" s="164"/>
      <c r="AU342" s="197"/>
      <c r="AW342" s="55"/>
      <c r="AX342" s="55"/>
      <c r="AY342" s="55"/>
      <c r="AZ342" s="164"/>
      <c r="BA342" s="197"/>
    </row>
    <row r="343" spans="1:53" s="117" customFormat="1" ht="17.100000000000001" customHeight="1" x14ac:dyDescent="0.25">
      <c r="A343" s="119"/>
      <c r="B343" s="119"/>
      <c r="C343" s="136"/>
      <c r="D343" s="75" t="s">
        <v>325</v>
      </c>
      <c r="E343" s="75"/>
      <c r="F343" s="75"/>
      <c r="G343" s="75"/>
      <c r="H343" s="1322"/>
      <c r="I343" s="12"/>
      <c r="J343" s="55" t="str">
        <f>IF(J$506=0,"",IF(AND(J340&gt;=0.5,J340&lt;0.75),1,0))</f>
        <v/>
      </c>
      <c r="K343" s="55" t="str">
        <f>IF(K$506=0,"",IF(AND(K340&gt;=0.5,K340&lt;0.75),1,0))</f>
        <v/>
      </c>
      <c r="L343" s="55" t="str">
        <f>IF(L$506=0,"",IF(AND(L340&gt;=0.5,L340&lt;0.75),1,0))</f>
        <v/>
      </c>
      <c r="M343" s="55"/>
      <c r="N343" s="55">
        <f>IF(N$329=0,0,IF(AND(N339&gt;=0.5,N339&lt;0.75),1,0))</f>
        <v>0</v>
      </c>
      <c r="O343" s="55">
        <f t="shared" ref="O343:U343" si="336">IF(O$329=0,0,IF(AND(O339&gt;=0.5,O339&lt;0.75),1,0))</f>
        <v>0</v>
      </c>
      <c r="P343" s="55">
        <f t="shared" ref="P343:P344" si="337">IF(SUM(N343:O343)=0,0,IF(SUM(N343:O343)=2,1,IF(AND(N$340=0,O343&gt;0),O343,SUM(N343:O343)/2)))</f>
        <v>0</v>
      </c>
      <c r="Q343" s="55">
        <f t="shared" si="336"/>
        <v>0</v>
      </c>
      <c r="R343" s="55">
        <f t="shared" si="336"/>
        <v>0</v>
      </c>
      <c r="S343" s="55">
        <f t="shared" ref="S343:S344" si="338">IF(SUM(Q343:R343)=0,0,IF(SUM(Q343:R343)=2,1,IF(AND(Q$340=0,R343&gt;0),R343,SUM(Q343:R343)/2)))</f>
        <v>0</v>
      </c>
      <c r="T343" s="55">
        <f t="shared" si="336"/>
        <v>0</v>
      </c>
      <c r="U343" s="55">
        <f t="shared" si="336"/>
        <v>0</v>
      </c>
      <c r="V343" s="55">
        <f t="shared" ref="V343:V344" si="339">IF(SUM(T343:U343)=0,0,IF(SUM(T343:U343)=2,1,IF(AND(T$340=0,U343&gt;0),U343,SUM(T343:U343)/2)))</f>
        <v>0</v>
      </c>
      <c r="W343" s="1324">
        <f t="shared" ref="W343:Y344" si="340">N343+Q343+T343</f>
        <v>0</v>
      </c>
      <c r="X343" s="1000">
        <f t="shared" si="340"/>
        <v>0</v>
      </c>
      <c r="Y343" s="996">
        <f t="shared" si="340"/>
        <v>0</v>
      </c>
      <c r="Z343" s="19">
        <f>IF(Y$569=0,0,Y343/Y$569)</f>
        <v>0</v>
      </c>
      <c r="AA343" s="197"/>
      <c r="AB343" s="197"/>
      <c r="AC343" s="198"/>
      <c r="AE343" s="55"/>
      <c r="AF343" s="55"/>
      <c r="AG343" s="55"/>
      <c r="AH343" s="164"/>
      <c r="AI343" s="197"/>
      <c r="AK343" s="55"/>
      <c r="AL343" s="55"/>
      <c r="AM343" s="55"/>
      <c r="AN343" s="164"/>
      <c r="AO343" s="197"/>
      <c r="AQ343" s="55"/>
      <c r="AR343" s="55"/>
      <c r="AS343" s="55"/>
      <c r="AT343" s="164"/>
      <c r="AU343" s="197"/>
      <c r="AW343" s="55"/>
      <c r="AX343" s="55"/>
      <c r="AY343" s="55"/>
      <c r="AZ343" s="164"/>
      <c r="BA343" s="197"/>
    </row>
    <row r="344" spans="1:53" s="97" customFormat="1" ht="17.100000000000001" customHeight="1" x14ac:dyDescent="0.25">
      <c r="A344" s="119"/>
      <c r="B344" s="119"/>
      <c r="C344" s="137"/>
      <c r="D344" s="75" t="s">
        <v>326</v>
      </c>
      <c r="E344" s="75"/>
      <c r="F344" s="75"/>
      <c r="G344" s="75"/>
      <c r="H344" s="1322"/>
      <c r="I344" s="12"/>
      <c r="J344" s="55" t="str">
        <f>IF(J$506=0,"",IF(J340&lt;0.5,1,0))</f>
        <v/>
      </c>
      <c r="K344" s="55" t="str">
        <f>IF(K$506=0,"",IF(K340&lt;0.5,1,0))</f>
        <v/>
      </c>
      <c r="L344" s="55" t="str">
        <f>IF(L$506=0,"",IF(L340&lt;0.5,1,0))</f>
        <v/>
      </c>
      <c r="M344" s="55"/>
      <c r="N344" s="55">
        <f>IF(N$329=0,0,IF(N339&lt;0.5,1,0))</f>
        <v>0</v>
      </c>
      <c r="O344" s="55">
        <f t="shared" ref="O344:U344" si="341">IF(O$329=0,0,IF(O339&lt;0.5,1,0))</f>
        <v>0</v>
      </c>
      <c r="P344" s="55">
        <f t="shared" si="337"/>
        <v>0</v>
      </c>
      <c r="Q344" s="55">
        <f t="shared" si="341"/>
        <v>0</v>
      </c>
      <c r="R344" s="55">
        <f t="shared" si="341"/>
        <v>0</v>
      </c>
      <c r="S344" s="55">
        <f t="shared" si="338"/>
        <v>0</v>
      </c>
      <c r="T344" s="55">
        <f t="shared" si="341"/>
        <v>0</v>
      </c>
      <c r="U344" s="55">
        <f t="shared" si="341"/>
        <v>0</v>
      </c>
      <c r="V344" s="55">
        <f t="shared" si="339"/>
        <v>0</v>
      </c>
      <c r="W344" s="1324">
        <f t="shared" si="340"/>
        <v>0</v>
      </c>
      <c r="X344" s="1000">
        <f t="shared" si="340"/>
        <v>0</v>
      </c>
      <c r="Y344" s="996">
        <f t="shared" si="340"/>
        <v>0</v>
      </c>
      <c r="Z344" s="19">
        <f>IF(Y$569=0,0,Y344/Y$569)</f>
        <v>0</v>
      </c>
      <c r="AA344" s="197"/>
      <c r="AB344" s="197"/>
      <c r="AC344" s="198"/>
      <c r="AE344" s="55"/>
      <c r="AF344" s="55"/>
      <c r="AG344" s="55"/>
      <c r="AH344" s="164"/>
      <c r="AI344" s="197"/>
      <c r="AK344" s="55"/>
      <c r="AL344" s="55"/>
      <c r="AM344" s="55"/>
      <c r="AN344" s="164"/>
      <c r="AO344" s="197"/>
      <c r="AQ344" s="55"/>
      <c r="AR344" s="55"/>
      <c r="AS344" s="55"/>
      <c r="AT344" s="164"/>
      <c r="AU344" s="197"/>
      <c r="AW344" s="55"/>
      <c r="AX344" s="55"/>
      <c r="AY344" s="55"/>
      <c r="AZ344" s="164"/>
      <c r="BA344" s="197"/>
    </row>
    <row r="345" spans="1:53" s="117" customFormat="1" ht="17.100000000000001" customHeight="1" x14ac:dyDescent="0.25">
      <c r="A345" s="119"/>
      <c r="B345" s="119"/>
      <c r="C345" s="119"/>
      <c r="D345" s="428"/>
      <c r="E345" s="93"/>
      <c r="F345" s="93"/>
      <c r="G345" s="93"/>
      <c r="H345" s="1322"/>
      <c r="I345" s="12"/>
      <c r="J345" s="191"/>
      <c r="K345" s="191"/>
      <c r="L345" s="191"/>
      <c r="M345" s="191"/>
      <c r="N345" s="191"/>
      <c r="O345" s="191"/>
      <c r="P345" s="191"/>
      <c r="Q345" s="191"/>
      <c r="R345" s="191"/>
      <c r="S345" s="191"/>
      <c r="T345" s="191"/>
      <c r="U345" s="191"/>
      <c r="V345" s="191"/>
      <c r="W345" s="394"/>
      <c r="X345" s="191"/>
      <c r="Y345" s="164">
        <f>SUM(Y342:Y344)</f>
        <v>0</v>
      </c>
      <c r="Z345" s="19">
        <f t="shared" ref="Z345" si="342">IF(Y$569=0,0,Y345/Y$569)</f>
        <v>0</v>
      </c>
      <c r="AA345" s="192"/>
      <c r="AB345" s="192"/>
      <c r="AC345" s="198"/>
      <c r="AE345" s="191"/>
      <c r="AF345" s="191"/>
      <c r="AG345" s="191"/>
      <c r="AH345" s="164"/>
      <c r="AI345" s="192"/>
      <c r="AK345" s="191"/>
      <c r="AL345" s="191"/>
      <c r="AM345" s="191"/>
      <c r="AN345" s="164"/>
      <c r="AO345" s="192"/>
      <c r="AQ345" s="191"/>
      <c r="AR345" s="191"/>
      <c r="AS345" s="191"/>
      <c r="AT345" s="164"/>
      <c r="AU345" s="192"/>
      <c r="AW345" s="191"/>
      <c r="AX345" s="191"/>
      <c r="AY345" s="191"/>
      <c r="AZ345" s="164"/>
      <c r="BA345" s="192"/>
    </row>
    <row r="358" spans="4:9" s="2" customFormat="1" ht="17.100000000000001" customHeight="1" x14ac:dyDescent="0.25">
      <c r="D358" s="3"/>
      <c r="E358" s="3"/>
      <c r="F358" s="4"/>
      <c r="G358" s="4"/>
      <c r="H358" s="4"/>
      <c r="I358" s="97"/>
    </row>
    <row r="359" spans="4:9" s="2" customFormat="1" ht="17.100000000000001" customHeight="1" x14ac:dyDescent="0.25">
      <c r="D359" s="3"/>
      <c r="E359" s="3"/>
      <c r="F359" s="4"/>
      <c r="G359" s="4"/>
      <c r="H359" s="4"/>
      <c r="I359" s="97"/>
    </row>
    <row r="360" spans="4:9" s="2" customFormat="1" ht="17.100000000000001" customHeight="1" x14ac:dyDescent="0.25">
      <c r="D360" s="3"/>
      <c r="E360" s="3"/>
      <c r="F360" s="4"/>
      <c r="G360" s="4"/>
      <c r="H360" s="4"/>
      <c r="I360" s="97"/>
    </row>
    <row r="361" spans="4:9" s="2" customFormat="1" ht="17.100000000000001" customHeight="1" x14ac:dyDescent="0.25">
      <c r="D361" s="3"/>
      <c r="E361" s="3"/>
      <c r="F361" s="4"/>
      <c r="G361" s="4"/>
      <c r="H361" s="4"/>
      <c r="I361" s="97"/>
    </row>
    <row r="362" spans="4:9" s="2" customFormat="1" ht="17.100000000000001" customHeight="1" x14ac:dyDescent="0.25">
      <c r="D362" s="3"/>
      <c r="E362" s="3"/>
      <c r="F362" s="4"/>
      <c r="G362" s="4"/>
      <c r="H362" s="4"/>
      <c r="I362" s="97"/>
    </row>
    <row r="363" spans="4:9" s="2" customFormat="1" ht="17.100000000000001" customHeight="1" x14ac:dyDescent="0.25">
      <c r="D363" s="3"/>
      <c r="E363" s="3"/>
      <c r="F363" s="4"/>
      <c r="G363" s="4"/>
      <c r="H363" s="4"/>
      <c r="I363" s="97"/>
    </row>
    <row r="364" spans="4:9" s="2" customFormat="1" ht="17.100000000000001" customHeight="1" x14ac:dyDescent="0.25">
      <c r="D364" s="3"/>
      <c r="E364" s="3"/>
      <c r="F364" s="4"/>
      <c r="G364" s="4"/>
      <c r="H364" s="4"/>
      <c r="I364" s="97"/>
    </row>
    <row r="365" spans="4:9" s="2" customFormat="1" ht="17.100000000000001" customHeight="1" x14ac:dyDescent="0.25">
      <c r="D365" s="3"/>
      <c r="E365" s="3"/>
      <c r="F365" s="4"/>
      <c r="G365" s="4"/>
      <c r="H365" s="4"/>
      <c r="I365" s="97"/>
    </row>
    <row r="366" spans="4:9" s="2" customFormat="1" ht="17.100000000000001" customHeight="1" x14ac:dyDescent="0.25">
      <c r="D366" s="3"/>
      <c r="E366" s="3"/>
      <c r="F366" s="4"/>
      <c r="G366" s="4"/>
      <c r="H366" s="4"/>
      <c r="I366" s="97"/>
    </row>
    <row r="367" spans="4:9" s="2" customFormat="1" ht="17.100000000000001" customHeight="1" x14ac:dyDescent="0.25">
      <c r="D367" s="3"/>
      <c r="E367" s="3"/>
      <c r="F367" s="4"/>
      <c r="G367" s="4"/>
      <c r="H367" s="4"/>
      <c r="I367" s="97"/>
    </row>
    <row r="368" spans="4:9" s="2" customFormat="1" ht="17.100000000000001" customHeight="1" x14ac:dyDescent="0.25">
      <c r="D368" s="3"/>
      <c r="E368" s="3"/>
      <c r="F368" s="4"/>
      <c r="G368" s="4"/>
      <c r="H368" s="4"/>
      <c r="I368" s="97"/>
    </row>
    <row r="369" spans="4:9" s="2" customFormat="1" ht="17.100000000000001" customHeight="1" x14ac:dyDescent="0.25">
      <c r="D369" s="3"/>
      <c r="E369" s="3"/>
      <c r="F369" s="4"/>
      <c r="G369" s="4"/>
      <c r="H369" s="4"/>
      <c r="I369" s="97"/>
    </row>
    <row r="370" spans="4:9" s="2" customFormat="1" ht="17.100000000000001" customHeight="1" x14ac:dyDescent="0.25">
      <c r="D370" s="3"/>
      <c r="E370" s="3"/>
      <c r="F370" s="4"/>
      <c r="G370" s="4"/>
      <c r="H370" s="4"/>
      <c r="I370" s="97"/>
    </row>
    <row r="371" spans="4:9" s="2" customFormat="1" ht="17.100000000000001" customHeight="1" x14ac:dyDescent="0.25">
      <c r="D371" s="3"/>
      <c r="E371" s="3"/>
      <c r="F371" s="4"/>
      <c r="G371" s="4"/>
      <c r="H371" s="4"/>
      <c r="I371" s="97"/>
    </row>
    <row r="372" spans="4:9" s="2" customFormat="1" ht="17.100000000000001" customHeight="1" x14ac:dyDescent="0.25">
      <c r="D372" s="3"/>
      <c r="E372" s="3"/>
      <c r="F372" s="4"/>
      <c r="G372" s="4"/>
      <c r="H372" s="4"/>
      <c r="I372" s="97"/>
    </row>
    <row r="373" spans="4:9" s="2" customFormat="1" ht="17.100000000000001" customHeight="1" x14ac:dyDescent="0.25">
      <c r="D373" s="3"/>
      <c r="E373" s="3"/>
      <c r="F373" s="4"/>
      <c r="G373" s="4"/>
      <c r="H373" s="4"/>
      <c r="I373" s="97"/>
    </row>
    <row r="374" spans="4:9" s="2" customFormat="1" ht="17.100000000000001" customHeight="1" x14ac:dyDescent="0.25">
      <c r="D374" s="3"/>
      <c r="E374" s="3"/>
      <c r="F374" s="4"/>
      <c r="G374" s="4"/>
      <c r="H374" s="4"/>
      <c r="I374" s="97"/>
    </row>
    <row r="375" spans="4:9" s="2" customFormat="1" ht="17.100000000000001" customHeight="1" x14ac:dyDescent="0.25">
      <c r="D375" s="3"/>
      <c r="E375" s="3"/>
      <c r="F375" s="4"/>
      <c r="G375" s="4"/>
      <c r="H375" s="4"/>
      <c r="I375" s="97"/>
    </row>
    <row r="376" spans="4:9" s="2" customFormat="1" ht="17.100000000000001" customHeight="1" x14ac:dyDescent="0.25">
      <c r="D376" s="3"/>
      <c r="E376" s="3"/>
      <c r="F376" s="4"/>
      <c r="G376" s="4"/>
      <c r="H376" s="4"/>
      <c r="I376" s="97"/>
    </row>
    <row r="377" spans="4:9" s="2" customFormat="1" ht="17.100000000000001" customHeight="1" x14ac:dyDescent="0.25">
      <c r="D377" s="3"/>
      <c r="E377" s="3"/>
      <c r="F377" s="4"/>
      <c r="G377" s="4"/>
      <c r="H377" s="4"/>
      <c r="I377" s="97"/>
    </row>
    <row r="378" spans="4:9" s="2" customFormat="1" ht="17.100000000000001" customHeight="1" x14ac:dyDescent="0.25">
      <c r="D378" s="3"/>
      <c r="E378" s="3"/>
      <c r="F378" s="4"/>
      <c r="G378" s="4"/>
      <c r="H378" s="4"/>
      <c r="I378" s="97"/>
    </row>
    <row r="379" spans="4:9" s="2" customFormat="1" ht="17.100000000000001" customHeight="1" x14ac:dyDescent="0.25">
      <c r="D379" s="3"/>
      <c r="E379" s="3"/>
      <c r="F379" s="4"/>
      <c r="G379" s="4"/>
      <c r="H379" s="4"/>
      <c r="I379" s="97"/>
    </row>
    <row r="380" spans="4:9" s="2" customFormat="1" ht="17.100000000000001" customHeight="1" x14ac:dyDescent="0.25">
      <c r="D380" s="3"/>
      <c r="E380" s="3"/>
      <c r="F380" s="4"/>
      <c r="G380" s="4"/>
      <c r="H380" s="4"/>
      <c r="I380" s="97"/>
    </row>
    <row r="381" spans="4:9" s="2" customFormat="1" ht="17.100000000000001" customHeight="1" x14ac:dyDescent="0.25">
      <c r="D381" s="3"/>
      <c r="E381" s="3"/>
      <c r="F381" s="4"/>
      <c r="G381" s="4"/>
      <c r="H381" s="4"/>
      <c r="I381" s="97"/>
    </row>
    <row r="382" spans="4:9" s="2" customFormat="1" ht="17.100000000000001" customHeight="1" x14ac:dyDescent="0.25">
      <c r="D382" s="3"/>
      <c r="E382" s="3"/>
      <c r="F382" s="4"/>
      <c r="G382" s="4"/>
      <c r="H382" s="4"/>
      <c r="I382" s="97"/>
    </row>
    <row r="383" spans="4:9" s="2" customFormat="1" ht="17.100000000000001" customHeight="1" x14ac:dyDescent="0.25">
      <c r="D383" s="3"/>
      <c r="E383" s="3"/>
      <c r="F383" s="4"/>
      <c r="G383" s="4"/>
      <c r="H383" s="4"/>
      <c r="I383" s="97"/>
    </row>
    <row r="384" spans="4:9" s="2" customFormat="1" ht="17.100000000000001" customHeight="1" x14ac:dyDescent="0.25">
      <c r="D384" s="3"/>
      <c r="E384" s="3"/>
      <c r="F384" s="4"/>
      <c r="G384" s="4"/>
      <c r="H384" s="4"/>
      <c r="I384" s="97"/>
    </row>
    <row r="385" spans="4:9" s="2" customFormat="1" ht="17.100000000000001" customHeight="1" x14ac:dyDescent="0.25">
      <c r="D385" s="3"/>
      <c r="E385" s="3"/>
      <c r="F385" s="4"/>
      <c r="G385" s="4"/>
      <c r="H385" s="4"/>
      <c r="I385" s="97"/>
    </row>
    <row r="386" spans="4:9" s="2" customFormat="1" ht="17.100000000000001" customHeight="1" x14ac:dyDescent="0.25">
      <c r="D386" s="3"/>
      <c r="E386" s="3"/>
      <c r="F386" s="4"/>
      <c r="G386" s="4"/>
      <c r="H386" s="4"/>
      <c r="I386" s="97"/>
    </row>
    <row r="387" spans="4:9" s="2" customFormat="1" ht="17.100000000000001" customHeight="1" x14ac:dyDescent="0.25">
      <c r="D387" s="3"/>
      <c r="E387" s="3"/>
      <c r="F387" s="4"/>
      <c r="G387" s="4"/>
      <c r="H387" s="4"/>
      <c r="I387" s="97"/>
    </row>
    <row r="388" spans="4:9" s="2" customFormat="1" ht="17.100000000000001" customHeight="1" x14ac:dyDescent="0.25">
      <c r="D388" s="3"/>
      <c r="E388" s="3"/>
      <c r="F388" s="4"/>
      <c r="G388" s="4"/>
      <c r="H388" s="4"/>
      <c r="I388" s="97"/>
    </row>
    <row r="389" spans="4:9" s="2" customFormat="1" ht="17.100000000000001" customHeight="1" x14ac:dyDescent="0.25">
      <c r="D389" s="3"/>
      <c r="E389" s="3"/>
      <c r="F389" s="4"/>
      <c r="G389" s="4"/>
      <c r="H389" s="4"/>
      <c r="I389" s="97"/>
    </row>
    <row r="390" spans="4:9" s="2" customFormat="1" ht="17.100000000000001" customHeight="1" x14ac:dyDescent="0.25">
      <c r="D390" s="3"/>
      <c r="E390" s="3"/>
      <c r="F390" s="4"/>
      <c r="G390" s="4"/>
      <c r="H390" s="4"/>
      <c r="I390" s="97"/>
    </row>
    <row r="391" spans="4:9" s="2" customFormat="1" ht="17.100000000000001" customHeight="1" x14ac:dyDescent="0.25">
      <c r="D391" s="3"/>
      <c r="E391" s="3"/>
      <c r="F391" s="4"/>
      <c r="G391" s="4"/>
      <c r="H391" s="4"/>
      <c r="I391" s="97"/>
    </row>
    <row r="392" spans="4:9" s="2" customFormat="1" ht="17.100000000000001" customHeight="1" x14ac:dyDescent="0.25">
      <c r="D392" s="3"/>
      <c r="E392" s="3"/>
      <c r="F392" s="4"/>
      <c r="G392" s="4"/>
      <c r="H392" s="4"/>
      <c r="I392" s="97"/>
    </row>
    <row r="393" spans="4:9" s="2" customFormat="1" ht="17.100000000000001" customHeight="1" x14ac:dyDescent="0.25">
      <c r="D393" s="3"/>
      <c r="E393" s="3"/>
      <c r="F393" s="4"/>
      <c r="G393" s="4"/>
      <c r="H393" s="4"/>
      <c r="I393" s="97"/>
    </row>
    <row r="394" spans="4:9" s="2" customFormat="1" ht="17.100000000000001" customHeight="1" x14ac:dyDescent="0.25">
      <c r="D394" s="3"/>
      <c r="E394" s="3"/>
      <c r="F394" s="4"/>
      <c r="G394" s="4"/>
      <c r="H394" s="4"/>
      <c r="I394" s="97"/>
    </row>
    <row r="395" spans="4:9" s="2" customFormat="1" ht="17.100000000000001" customHeight="1" x14ac:dyDescent="0.25">
      <c r="D395" s="3"/>
      <c r="E395" s="3"/>
      <c r="F395" s="4"/>
      <c r="G395" s="4"/>
      <c r="H395" s="4"/>
      <c r="I395" s="97"/>
    </row>
    <row r="396" spans="4:9" s="2" customFormat="1" ht="17.100000000000001" customHeight="1" x14ac:dyDescent="0.25">
      <c r="D396" s="3"/>
      <c r="E396" s="3"/>
      <c r="F396" s="4"/>
      <c r="G396" s="4"/>
      <c r="H396" s="4"/>
      <c r="I396" s="97"/>
    </row>
    <row r="397" spans="4:9" s="2" customFormat="1" ht="17.100000000000001" customHeight="1" x14ac:dyDescent="0.25">
      <c r="D397" s="3"/>
      <c r="E397" s="3"/>
      <c r="F397" s="4"/>
      <c r="G397" s="4"/>
      <c r="H397" s="4"/>
      <c r="I397" s="97"/>
    </row>
    <row r="398" spans="4:9" s="2" customFormat="1" ht="17.100000000000001" customHeight="1" x14ac:dyDescent="0.25">
      <c r="D398" s="3"/>
      <c r="E398" s="3"/>
      <c r="F398" s="4"/>
      <c r="G398" s="4"/>
      <c r="H398" s="4"/>
      <c r="I398" s="97"/>
    </row>
    <row r="399" spans="4:9" s="2" customFormat="1" ht="17.100000000000001" customHeight="1" x14ac:dyDescent="0.25">
      <c r="D399" s="3"/>
      <c r="E399" s="3"/>
      <c r="F399" s="4"/>
      <c r="G399" s="4"/>
      <c r="H399" s="4"/>
      <c r="I399" s="97"/>
    </row>
    <row r="400" spans="4:9" s="2" customFormat="1" ht="17.100000000000001" customHeight="1" x14ac:dyDescent="0.25">
      <c r="D400" s="3"/>
      <c r="E400" s="3"/>
      <c r="F400" s="4"/>
      <c r="G400" s="4"/>
      <c r="H400" s="4"/>
      <c r="I400" s="97"/>
    </row>
    <row r="401" spans="4:9" s="2" customFormat="1" ht="17.100000000000001" customHeight="1" x14ac:dyDescent="0.25">
      <c r="D401" s="3"/>
      <c r="E401" s="3"/>
      <c r="F401" s="4"/>
      <c r="G401" s="4"/>
      <c r="H401" s="4"/>
      <c r="I401" s="97"/>
    </row>
    <row r="402" spans="4:9" s="2" customFormat="1" ht="17.100000000000001" customHeight="1" x14ac:dyDescent="0.25">
      <c r="D402" s="3"/>
      <c r="E402" s="3"/>
      <c r="F402" s="4"/>
      <c r="G402" s="4"/>
      <c r="H402" s="4"/>
      <c r="I402" s="97"/>
    </row>
    <row r="403" spans="4:9" s="2" customFormat="1" ht="17.100000000000001" customHeight="1" x14ac:dyDescent="0.25">
      <c r="D403" s="3"/>
      <c r="E403" s="3"/>
      <c r="F403" s="4"/>
      <c r="G403" s="4"/>
      <c r="H403" s="4"/>
      <c r="I403" s="97"/>
    </row>
    <row r="404" spans="4:9" s="2" customFormat="1" ht="17.100000000000001" customHeight="1" x14ac:dyDescent="0.25">
      <c r="D404" s="3"/>
      <c r="E404" s="3"/>
      <c r="F404" s="4"/>
      <c r="G404" s="4"/>
      <c r="H404" s="4"/>
      <c r="I404" s="97"/>
    </row>
    <row r="405" spans="4:9" s="2" customFormat="1" ht="17.100000000000001" customHeight="1" x14ac:dyDescent="0.25">
      <c r="D405" s="3"/>
      <c r="E405" s="3"/>
      <c r="F405" s="4"/>
      <c r="G405" s="4"/>
      <c r="H405" s="4"/>
      <c r="I405" s="97"/>
    </row>
    <row r="406" spans="4:9" s="2" customFormat="1" ht="17.100000000000001" customHeight="1" x14ac:dyDescent="0.25">
      <c r="D406" s="3"/>
      <c r="E406" s="3"/>
      <c r="F406" s="4"/>
      <c r="G406" s="4"/>
      <c r="H406" s="4"/>
      <c r="I406" s="97"/>
    </row>
    <row r="407" spans="4:9" s="2" customFormat="1" ht="17.100000000000001" customHeight="1" x14ac:dyDescent="0.25">
      <c r="D407" s="3"/>
      <c r="E407" s="3"/>
      <c r="F407" s="4"/>
      <c r="G407" s="4"/>
      <c r="H407" s="4"/>
      <c r="I407" s="97"/>
    </row>
    <row r="408" spans="4:9" s="2" customFormat="1" ht="17.100000000000001" customHeight="1" x14ac:dyDescent="0.25">
      <c r="D408" s="3"/>
      <c r="E408" s="3"/>
      <c r="F408" s="4"/>
      <c r="G408" s="4"/>
      <c r="H408" s="4"/>
      <c r="I408" s="97"/>
    </row>
    <row r="409" spans="4:9" s="2" customFormat="1" ht="17.100000000000001" customHeight="1" x14ac:dyDescent="0.25">
      <c r="D409" s="3"/>
      <c r="E409" s="3"/>
      <c r="F409" s="4"/>
      <c r="G409" s="4"/>
      <c r="H409" s="4"/>
      <c r="I409" s="97"/>
    </row>
    <row r="410" spans="4:9" s="2" customFormat="1" ht="17.100000000000001" customHeight="1" x14ac:dyDescent="0.25">
      <c r="D410" s="3"/>
      <c r="E410" s="3"/>
      <c r="F410" s="4"/>
      <c r="G410" s="4"/>
      <c r="H410" s="4"/>
      <c r="I410" s="97"/>
    </row>
    <row r="411" spans="4:9" s="2" customFormat="1" ht="17.100000000000001" customHeight="1" x14ac:dyDescent="0.25">
      <c r="D411" s="3"/>
      <c r="E411" s="3"/>
      <c r="F411" s="4"/>
      <c r="G411" s="4"/>
      <c r="H411" s="4"/>
      <c r="I411" s="97"/>
    </row>
    <row r="412" spans="4:9" s="2" customFormat="1" ht="17.100000000000001" customHeight="1" x14ac:dyDescent="0.25">
      <c r="D412" s="3"/>
      <c r="E412" s="3"/>
      <c r="F412" s="4"/>
      <c r="G412" s="4"/>
      <c r="H412" s="4"/>
      <c r="I412" s="97"/>
    </row>
    <row r="413" spans="4:9" s="2" customFormat="1" ht="17.100000000000001" customHeight="1" x14ac:dyDescent="0.25">
      <c r="D413" s="3"/>
      <c r="E413" s="3"/>
      <c r="F413" s="4"/>
      <c r="G413" s="4"/>
      <c r="H413" s="4"/>
      <c r="I413" s="97"/>
    </row>
    <row r="414" spans="4:9" s="2" customFormat="1" ht="17.100000000000001" customHeight="1" x14ac:dyDescent="0.25">
      <c r="D414" s="3"/>
      <c r="E414" s="3"/>
      <c r="F414" s="4"/>
      <c r="G414" s="4"/>
      <c r="H414" s="4"/>
      <c r="I414" s="97"/>
    </row>
    <row r="415" spans="4:9" s="2" customFormat="1" ht="17.100000000000001" customHeight="1" x14ac:dyDescent="0.25">
      <c r="D415" s="3"/>
      <c r="E415" s="3"/>
      <c r="F415" s="4"/>
      <c r="G415" s="4"/>
      <c r="H415" s="4"/>
      <c r="I415" s="97"/>
    </row>
    <row r="416" spans="4:9" s="2" customFormat="1" ht="17.100000000000001" customHeight="1" x14ac:dyDescent="0.25">
      <c r="D416" s="3"/>
      <c r="E416" s="3"/>
      <c r="F416" s="4"/>
      <c r="G416" s="4"/>
      <c r="H416" s="4"/>
      <c r="I416" s="97"/>
    </row>
    <row r="417" spans="4:9" s="2" customFormat="1" ht="17.100000000000001" customHeight="1" x14ac:dyDescent="0.25">
      <c r="D417" s="3"/>
      <c r="E417" s="3"/>
      <c r="F417" s="4"/>
      <c r="G417" s="4"/>
      <c r="H417" s="4"/>
      <c r="I417" s="97"/>
    </row>
    <row r="418" spans="4:9" s="2" customFormat="1" ht="17.100000000000001" customHeight="1" x14ac:dyDescent="0.25">
      <c r="D418" s="3"/>
      <c r="E418" s="3"/>
      <c r="F418" s="4"/>
      <c r="G418" s="4"/>
      <c r="H418" s="4"/>
      <c r="I418" s="97"/>
    </row>
    <row r="419" spans="4:9" s="2" customFormat="1" ht="17.100000000000001" customHeight="1" x14ac:dyDescent="0.25">
      <c r="D419" s="3"/>
      <c r="E419" s="3"/>
      <c r="F419" s="4"/>
      <c r="G419" s="4"/>
      <c r="H419" s="4"/>
      <c r="I419" s="97"/>
    </row>
    <row r="420" spans="4:9" s="2" customFormat="1" ht="17.100000000000001" customHeight="1" x14ac:dyDescent="0.25">
      <c r="D420" s="3"/>
      <c r="E420" s="3"/>
      <c r="F420" s="4"/>
      <c r="G420" s="4"/>
      <c r="H420" s="4"/>
      <c r="I420" s="97"/>
    </row>
    <row r="421" spans="4:9" s="2" customFormat="1" ht="17.100000000000001" customHeight="1" x14ac:dyDescent="0.25">
      <c r="D421" s="3"/>
      <c r="E421" s="3"/>
      <c r="F421" s="4"/>
      <c r="G421" s="4"/>
      <c r="H421" s="4"/>
      <c r="I421" s="97"/>
    </row>
    <row r="422" spans="4:9" s="2" customFormat="1" ht="17.100000000000001" customHeight="1" x14ac:dyDescent="0.25">
      <c r="D422" s="3"/>
      <c r="E422" s="3"/>
      <c r="F422" s="4"/>
      <c r="G422" s="4"/>
      <c r="H422" s="4"/>
      <c r="I422" s="97"/>
    </row>
    <row r="423" spans="4:9" s="2" customFormat="1" ht="17.100000000000001" customHeight="1" x14ac:dyDescent="0.25">
      <c r="D423" s="3"/>
      <c r="E423" s="3"/>
      <c r="F423" s="4"/>
      <c r="G423" s="4"/>
      <c r="H423" s="4"/>
      <c r="I423" s="97"/>
    </row>
    <row r="424" spans="4:9" s="2" customFormat="1" ht="17.100000000000001" customHeight="1" x14ac:dyDescent="0.25">
      <c r="D424" s="3"/>
      <c r="E424" s="3"/>
      <c r="F424" s="4"/>
      <c r="G424" s="4"/>
      <c r="H424" s="4"/>
      <c r="I424" s="97"/>
    </row>
    <row r="425" spans="4:9" s="2" customFormat="1" ht="17.100000000000001" customHeight="1" x14ac:dyDescent="0.25">
      <c r="D425" s="3"/>
      <c r="E425" s="3"/>
      <c r="F425" s="4"/>
      <c r="G425" s="4"/>
      <c r="H425" s="4"/>
      <c r="I425" s="97"/>
    </row>
    <row r="426" spans="4:9" s="2" customFormat="1" ht="17.100000000000001" customHeight="1" x14ac:dyDescent="0.25">
      <c r="D426" s="3"/>
      <c r="E426" s="3"/>
      <c r="F426" s="4"/>
      <c r="G426" s="4"/>
      <c r="H426" s="4"/>
      <c r="I426" s="97"/>
    </row>
    <row r="427" spans="4:9" s="2" customFormat="1" ht="17.100000000000001" customHeight="1" x14ac:dyDescent="0.25">
      <c r="D427" s="3"/>
      <c r="E427" s="3"/>
      <c r="F427" s="4"/>
      <c r="G427" s="4"/>
      <c r="H427" s="4"/>
      <c r="I427" s="97"/>
    </row>
    <row r="428" spans="4:9" s="2" customFormat="1" ht="17.100000000000001" customHeight="1" x14ac:dyDescent="0.25">
      <c r="D428" s="3"/>
      <c r="E428" s="3"/>
      <c r="F428" s="4"/>
      <c r="G428" s="4"/>
      <c r="H428" s="4"/>
      <c r="I428" s="97"/>
    </row>
    <row r="429" spans="4:9" s="2" customFormat="1" ht="17.100000000000001" customHeight="1" x14ac:dyDescent="0.25">
      <c r="D429" s="3"/>
      <c r="E429" s="3"/>
      <c r="F429" s="4"/>
      <c r="G429" s="4"/>
      <c r="H429" s="4"/>
      <c r="I429" s="97"/>
    </row>
    <row r="430" spans="4:9" s="2" customFormat="1" ht="17.100000000000001" customHeight="1" x14ac:dyDescent="0.25">
      <c r="D430" s="3"/>
      <c r="E430" s="3"/>
      <c r="F430" s="4"/>
      <c r="G430" s="4"/>
      <c r="H430" s="4"/>
      <c r="I430" s="97"/>
    </row>
    <row r="431" spans="4:9" s="2" customFormat="1" ht="17.100000000000001" customHeight="1" x14ac:dyDescent="0.25">
      <c r="D431" s="3"/>
      <c r="E431" s="3"/>
      <c r="F431" s="4"/>
      <c r="G431" s="4"/>
      <c r="H431" s="4"/>
      <c r="I431" s="97"/>
    </row>
    <row r="432" spans="4:9" s="2" customFormat="1" ht="17.100000000000001" customHeight="1" x14ac:dyDescent="0.25">
      <c r="D432" s="3"/>
      <c r="E432" s="3"/>
      <c r="F432" s="4"/>
      <c r="G432" s="4"/>
      <c r="H432" s="4"/>
      <c r="I432" s="97"/>
    </row>
    <row r="433" spans="1:9" s="2" customFormat="1" ht="17.100000000000001" customHeight="1" x14ac:dyDescent="0.25">
      <c r="D433" s="3"/>
      <c r="E433" s="3"/>
      <c r="F433" s="4"/>
      <c r="G433" s="4"/>
      <c r="H433" s="4"/>
      <c r="I433" s="97"/>
    </row>
    <row r="434" spans="1:9" s="2" customFormat="1" ht="17.100000000000001" customHeight="1" x14ac:dyDescent="0.25">
      <c r="D434" s="3"/>
      <c r="E434" s="3"/>
      <c r="F434" s="4"/>
      <c r="G434" s="4"/>
      <c r="H434" s="4"/>
      <c r="I434" s="97"/>
    </row>
    <row r="435" spans="1:9" s="2" customFormat="1" ht="17.100000000000001" customHeight="1" x14ac:dyDescent="0.25">
      <c r="D435" s="3"/>
      <c r="E435" s="3"/>
      <c r="F435" s="4"/>
      <c r="G435" s="4"/>
      <c r="H435" s="4"/>
      <c r="I435" s="97"/>
    </row>
    <row r="436" spans="1:9" s="2" customFormat="1" ht="17.100000000000001" customHeight="1" x14ac:dyDescent="0.25">
      <c r="D436" s="3"/>
      <c r="E436" s="3"/>
      <c r="F436" s="4"/>
      <c r="G436" s="4"/>
      <c r="H436" s="4"/>
      <c r="I436" s="97"/>
    </row>
    <row r="437" spans="1:9" s="2" customFormat="1" ht="17.100000000000001" customHeight="1" x14ac:dyDescent="0.25">
      <c r="D437" s="3"/>
      <c r="E437" s="3"/>
      <c r="F437" s="4"/>
      <c r="G437" s="4"/>
      <c r="H437" s="4"/>
      <c r="I437" s="97"/>
    </row>
    <row r="438" spans="1:9" s="2" customFormat="1" ht="17.100000000000001" customHeight="1" x14ac:dyDescent="0.25">
      <c r="D438" s="3"/>
      <c r="E438" s="3"/>
      <c r="F438" s="4"/>
      <c r="G438" s="4"/>
      <c r="H438" s="4"/>
      <c r="I438" s="97"/>
    </row>
    <row r="439" spans="1:9" s="2" customFormat="1" ht="17.100000000000001" customHeight="1" x14ac:dyDescent="0.25">
      <c r="D439" s="3"/>
      <c r="E439" s="3"/>
      <c r="F439" s="4"/>
      <c r="G439" s="4"/>
      <c r="H439" s="4"/>
      <c r="I439" s="97"/>
    </row>
    <row r="440" spans="1:9" s="2" customFormat="1" ht="17.100000000000001" customHeight="1" x14ac:dyDescent="0.25">
      <c r="D440" s="3"/>
      <c r="E440" s="3"/>
      <c r="F440" s="4"/>
      <c r="G440" s="4"/>
      <c r="H440" s="4"/>
      <c r="I440" s="97"/>
    </row>
    <row r="441" spans="1:9" s="2" customFormat="1" ht="17.100000000000001" customHeight="1" x14ac:dyDescent="0.25">
      <c r="A441" s="2" t="s">
        <v>608</v>
      </c>
      <c r="D441" s="3"/>
      <c r="E441" s="3"/>
      <c r="F441" s="4"/>
      <c r="G441" s="4"/>
      <c r="H441" s="4"/>
      <c r="I441" s="97"/>
    </row>
    <row r="442" spans="1:9" s="2" customFormat="1" ht="17.100000000000001" customHeight="1" x14ac:dyDescent="0.25">
      <c r="D442" s="3"/>
      <c r="E442" s="3"/>
      <c r="F442" s="4"/>
      <c r="G442" s="4"/>
      <c r="H442" s="4"/>
      <c r="I442" s="97"/>
    </row>
    <row r="443" spans="1:9" s="2" customFormat="1" ht="17.100000000000001" customHeight="1" x14ac:dyDescent="0.25">
      <c r="D443" s="3"/>
      <c r="E443" s="3"/>
      <c r="F443" s="4"/>
      <c r="G443" s="4"/>
      <c r="H443" s="4"/>
      <c r="I443" s="97"/>
    </row>
    <row r="444" spans="1:9" s="2" customFormat="1" ht="17.100000000000001" customHeight="1" x14ac:dyDescent="0.25">
      <c r="D444" s="3"/>
      <c r="E444" s="3"/>
      <c r="F444" s="4"/>
      <c r="G444" s="4"/>
      <c r="H444" s="4"/>
      <c r="I444" s="97"/>
    </row>
    <row r="445" spans="1:9" s="2" customFormat="1" ht="17.100000000000001" customHeight="1" x14ac:dyDescent="0.25">
      <c r="D445" s="3"/>
      <c r="E445" s="3"/>
      <c r="F445" s="4"/>
      <c r="G445" s="4"/>
      <c r="H445" s="4"/>
      <c r="I445" s="97"/>
    </row>
    <row r="446" spans="1:9" s="2" customFormat="1" ht="17.100000000000001" customHeight="1" x14ac:dyDescent="0.25">
      <c r="D446" s="3"/>
      <c r="E446" s="3"/>
      <c r="F446" s="4"/>
      <c r="G446" s="4"/>
      <c r="H446" s="4"/>
      <c r="I446" s="97"/>
    </row>
    <row r="447" spans="1:9" s="2" customFormat="1" ht="17.100000000000001" customHeight="1" x14ac:dyDescent="0.25">
      <c r="D447" s="3"/>
      <c r="E447" s="3"/>
      <c r="F447" s="4"/>
      <c r="G447" s="4"/>
      <c r="H447" s="4"/>
      <c r="I447" s="97"/>
    </row>
    <row r="448" spans="1:9" s="2" customFormat="1" ht="17.100000000000001" customHeight="1" x14ac:dyDescent="0.25">
      <c r="D448" s="3"/>
      <c r="E448" s="3"/>
      <c r="F448" s="4"/>
      <c r="G448" s="4"/>
      <c r="H448" s="4"/>
      <c r="I448" s="97"/>
    </row>
    <row r="449" spans="4:9" s="2" customFormat="1" ht="17.100000000000001" customHeight="1" x14ac:dyDescent="0.25">
      <c r="D449" s="3"/>
      <c r="E449" s="3"/>
      <c r="F449" s="4"/>
      <c r="G449" s="4"/>
      <c r="H449" s="4"/>
      <c r="I449" s="97"/>
    </row>
    <row r="450" spans="4:9" s="2" customFormat="1" ht="17.100000000000001" customHeight="1" x14ac:dyDescent="0.25">
      <c r="D450" s="3"/>
      <c r="E450" s="3"/>
      <c r="F450" s="4"/>
      <c r="G450" s="4"/>
      <c r="H450" s="4"/>
      <c r="I450" s="97"/>
    </row>
    <row r="451" spans="4:9" s="2" customFormat="1" ht="17.100000000000001" customHeight="1" x14ac:dyDescent="0.25">
      <c r="D451" s="3"/>
      <c r="E451" s="3"/>
      <c r="F451" s="4"/>
      <c r="G451" s="4"/>
      <c r="H451" s="4"/>
      <c r="I451" s="97"/>
    </row>
    <row r="452" spans="4:9" s="2" customFormat="1" ht="17.100000000000001" customHeight="1" x14ac:dyDescent="0.25">
      <c r="D452" s="3"/>
      <c r="E452" s="3"/>
      <c r="F452" s="4"/>
      <c r="G452" s="4"/>
      <c r="H452" s="4"/>
      <c r="I452" s="97"/>
    </row>
    <row r="453" spans="4:9" s="2" customFormat="1" ht="17.100000000000001" customHeight="1" x14ac:dyDescent="0.25">
      <c r="D453" s="3"/>
      <c r="E453" s="3"/>
      <c r="F453" s="4"/>
      <c r="G453" s="4"/>
      <c r="H453" s="4"/>
      <c r="I453" s="97"/>
    </row>
    <row r="454" spans="4:9" s="2" customFormat="1" ht="17.100000000000001" customHeight="1" x14ac:dyDescent="0.25">
      <c r="D454" s="3"/>
      <c r="E454" s="3"/>
      <c r="F454" s="4"/>
      <c r="G454" s="4"/>
      <c r="H454" s="4"/>
      <c r="I454" s="97"/>
    </row>
    <row r="455" spans="4:9" s="2" customFormat="1" ht="17.100000000000001" customHeight="1" x14ac:dyDescent="0.25">
      <c r="D455" s="3"/>
      <c r="E455" s="3"/>
      <c r="F455" s="4"/>
      <c r="G455" s="4"/>
      <c r="H455" s="4"/>
      <c r="I455" s="97"/>
    </row>
    <row r="456" spans="4:9" s="2" customFormat="1" ht="17.100000000000001" customHeight="1" x14ac:dyDescent="0.25">
      <c r="D456" s="3"/>
      <c r="E456" s="3"/>
      <c r="F456" s="4"/>
      <c r="G456" s="4"/>
      <c r="H456" s="4"/>
      <c r="I456" s="97"/>
    </row>
    <row r="457" spans="4:9" s="2" customFormat="1" ht="17.100000000000001" customHeight="1" x14ac:dyDescent="0.25">
      <c r="D457" s="3"/>
      <c r="E457" s="3"/>
      <c r="F457" s="4"/>
      <c r="G457" s="4"/>
      <c r="H457" s="4"/>
      <c r="I457" s="97"/>
    </row>
    <row r="458" spans="4:9" s="2" customFormat="1" ht="17.100000000000001" customHeight="1" x14ac:dyDescent="0.25">
      <c r="D458" s="3"/>
      <c r="E458" s="3"/>
      <c r="F458" s="4"/>
      <c r="G458" s="4"/>
      <c r="H458" s="4"/>
      <c r="I458" s="97"/>
    </row>
    <row r="459" spans="4:9" s="2" customFormat="1" ht="17.100000000000001" customHeight="1" x14ac:dyDescent="0.25">
      <c r="D459" s="3"/>
      <c r="E459" s="3"/>
      <c r="F459" s="4"/>
      <c r="G459" s="4"/>
      <c r="H459" s="4"/>
      <c r="I459" s="97"/>
    </row>
    <row r="460" spans="4:9" s="2" customFormat="1" ht="17.100000000000001" customHeight="1" x14ac:dyDescent="0.25">
      <c r="D460" s="3"/>
      <c r="E460" s="3"/>
      <c r="F460" s="4"/>
      <c r="G460" s="4"/>
      <c r="H460" s="4"/>
      <c r="I460" s="97"/>
    </row>
    <row r="461" spans="4:9" s="2" customFormat="1" ht="17.100000000000001" customHeight="1" x14ac:dyDescent="0.25">
      <c r="D461" s="3"/>
      <c r="E461" s="3"/>
      <c r="F461" s="4"/>
      <c r="G461" s="4"/>
      <c r="H461" s="4"/>
      <c r="I461" s="97"/>
    </row>
    <row r="462" spans="4:9" s="2" customFormat="1" ht="17.100000000000001" customHeight="1" x14ac:dyDescent="0.25">
      <c r="D462" s="3"/>
      <c r="E462" s="3"/>
      <c r="F462" s="4"/>
      <c r="G462" s="4"/>
      <c r="H462" s="4"/>
      <c r="I462" s="97"/>
    </row>
    <row r="463" spans="4:9" s="2" customFormat="1" ht="17.100000000000001" customHeight="1" x14ac:dyDescent="0.25">
      <c r="D463" s="3"/>
      <c r="E463" s="3"/>
      <c r="F463" s="4"/>
      <c r="G463" s="4"/>
      <c r="H463" s="4"/>
      <c r="I463" s="97"/>
    </row>
    <row r="464" spans="4:9" s="2" customFormat="1" ht="17.100000000000001" customHeight="1" x14ac:dyDescent="0.25">
      <c r="D464" s="3"/>
      <c r="E464" s="3"/>
      <c r="F464" s="4"/>
      <c r="G464" s="4"/>
      <c r="H464" s="4"/>
      <c r="I464" s="97"/>
    </row>
    <row r="465" spans="4:9" s="2" customFormat="1" ht="17.100000000000001" customHeight="1" x14ac:dyDescent="0.25">
      <c r="D465" s="3"/>
      <c r="E465" s="3"/>
      <c r="F465" s="4"/>
      <c r="G465" s="4"/>
      <c r="H465" s="4"/>
      <c r="I465" s="97"/>
    </row>
    <row r="466" spans="4:9" s="2" customFormat="1" ht="17.100000000000001" customHeight="1" x14ac:dyDescent="0.25">
      <c r="D466" s="3"/>
      <c r="E466" s="3"/>
      <c r="F466" s="4"/>
      <c r="G466" s="4"/>
      <c r="H466" s="4"/>
      <c r="I466" s="97"/>
    </row>
    <row r="467" spans="4:9" s="2" customFormat="1" ht="17.100000000000001" customHeight="1" x14ac:dyDescent="0.25">
      <c r="D467" s="3"/>
      <c r="E467" s="3"/>
      <c r="F467" s="4"/>
      <c r="G467" s="4"/>
      <c r="H467" s="4"/>
      <c r="I467" s="97"/>
    </row>
    <row r="468" spans="4:9" s="2" customFormat="1" ht="17.100000000000001" customHeight="1" x14ac:dyDescent="0.25">
      <c r="D468" s="3"/>
      <c r="E468" s="3"/>
      <c r="F468" s="4"/>
      <c r="G468" s="4"/>
      <c r="H468" s="4"/>
      <c r="I468" s="97"/>
    </row>
    <row r="469" spans="4:9" s="2" customFormat="1" ht="17.100000000000001" customHeight="1" x14ac:dyDescent="0.25">
      <c r="D469" s="3"/>
      <c r="E469" s="3"/>
      <c r="F469" s="4"/>
      <c r="G469" s="4"/>
      <c r="H469" s="4"/>
      <c r="I469" s="97"/>
    </row>
    <row r="470" spans="4:9" s="2" customFormat="1" ht="17.100000000000001" customHeight="1" x14ac:dyDescent="0.25">
      <c r="D470" s="3"/>
      <c r="E470" s="3"/>
      <c r="F470" s="4"/>
      <c r="G470" s="4"/>
      <c r="H470" s="4"/>
      <c r="I470" s="97"/>
    </row>
    <row r="471" spans="4:9" s="2" customFormat="1" ht="17.100000000000001" customHeight="1" x14ac:dyDescent="0.25">
      <c r="D471" s="3"/>
      <c r="E471" s="3"/>
      <c r="F471" s="4"/>
      <c r="G471" s="4"/>
      <c r="H471" s="4"/>
      <c r="I471" s="97"/>
    </row>
    <row r="472" spans="4:9" s="2" customFormat="1" ht="17.100000000000001" customHeight="1" x14ac:dyDescent="0.25">
      <c r="D472" s="3"/>
      <c r="E472" s="3"/>
      <c r="F472" s="4"/>
      <c r="G472" s="4"/>
      <c r="H472" s="4"/>
      <c r="I472" s="97"/>
    </row>
    <row r="473" spans="4:9" s="2" customFormat="1" ht="17.100000000000001" customHeight="1" x14ac:dyDescent="0.25">
      <c r="D473" s="3"/>
      <c r="E473" s="3"/>
      <c r="F473" s="4"/>
      <c r="G473" s="4"/>
      <c r="H473" s="4"/>
      <c r="I473" s="97"/>
    </row>
    <row r="474" spans="4:9" s="2" customFormat="1" ht="17.100000000000001" customHeight="1" x14ac:dyDescent="0.25">
      <c r="D474" s="3"/>
      <c r="E474" s="3"/>
      <c r="F474" s="4"/>
      <c r="G474" s="4"/>
      <c r="H474" s="4"/>
      <c r="I474" s="97"/>
    </row>
    <row r="475" spans="4:9" s="2" customFormat="1" ht="17.100000000000001" customHeight="1" x14ac:dyDescent="0.25">
      <c r="D475" s="3"/>
      <c r="E475" s="3"/>
      <c r="F475" s="4"/>
      <c r="G475" s="4"/>
      <c r="H475" s="4"/>
      <c r="I475" s="97"/>
    </row>
    <row r="476" spans="4:9" s="2" customFormat="1" ht="17.100000000000001" customHeight="1" x14ac:dyDescent="0.25">
      <c r="D476" s="3"/>
      <c r="E476" s="3"/>
      <c r="F476" s="4"/>
      <c r="G476" s="4"/>
      <c r="H476" s="4"/>
      <c r="I476" s="97"/>
    </row>
    <row r="477" spans="4:9" s="2" customFormat="1" ht="17.100000000000001" customHeight="1" x14ac:dyDescent="0.25">
      <c r="D477" s="3"/>
      <c r="E477" s="3"/>
      <c r="F477" s="4"/>
      <c r="G477" s="4"/>
      <c r="H477" s="4"/>
      <c r="I477" s="97"/>
    </row>
    <row r="478" spans="4:9" s="2" customFormat="1" ht="17.100000000000001" customHeight="1" x14ac:dyDescent="0.25">
      <c r="D478" s="3"/>
      <c r="E478" s="3"/>
      <c r="F478" s="4"/>
      <c r="G478" s="4"/>
      <c r="H478" s="4"/>
      <c r="I478" s="97"/>
    </row>
    <row r="479" spans="4:9" s="2" customFormat="1" ht="17.100000000000001" customHeight="1" x14ac:dyDescent="0.25">
      <c r="D479" s="3"/>
      <c r="E479" s="3"/>
      <c r="F479" s="4"/>
      <c r="G479" s="4"/>
      <c r="H479" s="4"/>
      <c r="I479" s="97"/>
    </row>
    <row r="480" spans="4:9" s="2" customFormat="1" ht="17.100000000000001" customHeight="1" x14ac:dyDescent="0.25">
      <c r="D480" s="3"/>
      <c r="E480" s="3"/>
      <c r="F480" s="4"/>
      <c r="G480" s="4"/>
      <c r="H480" s="4"/>
      <c r="I480" s="97"/>
    </row>
    <row r="481" spans="4:9" s="2" customFormat="1" ht="17.100000000000001" customHeight="1" x14ac:dyDescent="0.25">
      <c r="D481" s="3"/>
      <c r="E481" s="3"/>
      <c r="F481" s="4"/>
      <c r="G481" s="4"/>
      <c r="H481" s="4"/>
      <c r="I481" s="97"/>
    </row>
    <row r="482" spans="4:9" s="2" customFormat="1" ht="17.100000000000001" customHeight="1" x14ac:dyDescent="0.25">
      <c r="D482" s="3"/>
      <c r="E482" s="3"/>
      <c r="F482" s="4"/>
      <c r="G482" s="4"/>
      <c r="H482" s="4"/>
      <c r="I482" s="97"/>
    </row>
    <row r="483" spans="4:9" s="2" customFormat="1" ht="17.100000000000001" customHeight="1" x14ac:dyDescent="0.25">
      <c r="D483" s="3"/>
      <c r="E483" s="3"/>
      <c r="F483" s="4"/>
      <c r="G483" s="4"/>
      <c r="H483" s="4"/>
      <c r="I483" s="97"/>
    </row>
    <row r="484" spans="4:9" s="2" customFormat="1" ht="17.100000000000001" customHeight="1" x14ac:dyDescent="0.25">
      <c r="D484" s="3"/>
      <c r="E484" s="3"/>
      <c r="F484" s="4"/>
      <c r="G484" s="4"/>
      <c r="H484" s="4"/>
      <c r="I484" s="97"/>
    </row>
    <row r="485" spans="4:9" s="2" customFormat="1" ht="17.100000000000001" customHeight="1" x14ac:dyDescent="0.25">
      <c r="D485" s="3"/>
      <c r="E485" s="3"/>
      <c r="F485" s="4"/>
      <c r="G485" s="4"/>
      <c r="H485" s="4"/>
      <c r="I485" s="97"/>
    </row>
    <row r="486" spans="4:9" s="2" customFormat="1" ht="17.100000000000001" customHeight="1" x14ac:dyDescent="0.25">
      <c r="D486" s="3"/>
      <c r="E486" s="3"/>
      <c r="F486" s="4"/>
      <c r="G486" s="4"/>
      <c r="H486" s="4"/>
      <c r="I486" s="97"/>
    </row>
    <row r="487" spans="4:9" s="2" customFormat="1" ht="17.100000000000001" customHeight="1" x14ac:dyDescent="0.25">
      <c r="D487" s="3"/>
      <c r="E487" s="3"/>
      <c r="F487" s="4"/>
      <c r="G487" s="4"/>
      <c r="H487" s="4"/>
      <c r="I487" s="97"/>
    </row>
    <row r="488" spans="4:9" s="2" customFormat="1" ht="17.100000000000001" customHeight="1" x14ac:dyDescent="0.25">
      <c r="D488" s="3"/>
      <c r="E488" s="3"/>
      <c r="F488" s="4"/>
      <c r="G488" s="4"/>
      <c r="H488" s="4"/>
      <c r="I488" s="97"/>
    </row>
    <row r="489" spans="4:9" s="2" customFormat="1" ht="17.100000000000001" customHeight="1" x14ac:dyDescent="0.25">
      <c r="D489" s="3"/>
      <c r="E489" s="3"/>
      <c r="F489" s="4"/>
      <c r="G489" s="4"/>
      <c r="H489" s="4"/>
      <c r="I489" s="97"/>
    </row>
    <row r="490" spans="4:9" s="2" customFormat="1" ht="17.100000000000001" customHeight="1" x14ac:dyDescent="0.25">
      <c r="D490" s="3"/>
      <c r="E490" s="3"/>
      <c r="F490" s="4"/>
      <c r="G490" s="4"/>
      <c r="H490" s="4"/>
      <c r="I490" s="97"/>
    </row>
    <row r="491" spans="4:9" s="2" customFormat="1" ht="17.100000000000001" customHeight="1" x14ac:dyDescent="0.25">
      <c r="D491" s="3"/>
      <c r="E491" s="3"/>
      <c r="F491" s="4"/>
      <c r="G491" s="4"/>
      <c r="H491" s="4"/>
      <c r="I491" s="97"/>
    </row>
    <row r="492" spans="4:9" s="2" customFormat="1" ht="17.100000000000001" customHeight="1" x14ac:dyDescent="0.25">
      <c r="D492" s="3"/>
      <c r="E492" s="3"/>
      <c r="F492" s="4"/>
      <c r="G492" s="4"/>
      <c r="H492" s="4"/>
      <c r="I492" s="97"/>
    </row>
    <row r="493" spans="4:9" s="2" customFormat="1" ht="17.100000000000001" customHeight="1" x14ac:dyDescent="0.25">
      <c r="D493" s="3"/>
      <c r="E493" s="3"/>
      <c r="F493" s="4"/>
      <c r="G493" s="4"/>
      <c r="H493" s="4"/>
      <c r="I493" s="97"/>
    </row>
    <row r="494" spans="4:9" s="2" customFormat="1" ht="17.100000000000001" customHeight="1" x14ac:dyDescent="0.25">
      <c r="D494" s="3"/>
      <c r="E494" s="3"/>
      <c r="F494" s="4"/>
      <c r="G494" s="4"/>
      <c r="H494" s="4"/>
      <c r="I494" s="97"/>
    </row>
    <row r="495" spans="4:9" s="2" customFormat="1" ht="17.100000000000001" customHeight="1" x14ac:dyDescent="0.25">
      <c r="D495" s="3"/>
      <c r="E495" s="3"/>
      <c r="F495" s="4"/>
      <c r="G495" s="4"/>
      <c r="H495" s="4"/>
      <c r="I495" s="97"/>
    </row>
    <row r="496" spans="4:9" s="2" customFormat="1" ht="17.100000000000001" customHeight="1" x14ac:dyDescent="0.25">
      <c r="D496" s="3"/>
      <c r="E496" s="3"/>
      <c r="F496" s="4"/>
      <c r="G496" s="4"/>
      <c r="H496" s="4"/>
      <c r="I496" s="97"/>
    </row>
    <row r="497" spans="4:9" s="2" customFormat="1" ht="17.100000000000001" customHeight="1" x14ac:dyDescent="0.25">
      <c r="D497" s="3"/>
      <c r="E497" s="3"/>
      <c r="F497" s="4"/>
      <c r="G497" s="4"/>
      <c r="H497" s="4"/>
      <c r="I497" s="97"/>
    </row>
    <row r="498" spans="4:9" s="2" customFormat="1" ht="17.100000000000001" customHeight="1" x14ac:dyDescent="0.25">
      <c r="D498" s="3"/>
      <c r="E498" s="3"/>
      <c r="F498" s="4"/>
      <c r="G498" s="4"/>
      <c r="H498" s="4"/>
      <c r="I498" s="97"/>
    </row>
    <row r="499" spans="4:9" s="2" customFormat="1" ht="17.100000000000001" customHeight="1" x14ac:dyDescent="0.25">
      <c r="D499" s="3"/>
      <c r="E499" s="3"/>
      <c r="F499" s="4"/>
      <c r="G499" s="4"/>
      <c r="H499" s="4"/>
      <c r="I499" s="97"/>
    </row>
    <row r="500" spans="4:9" s="2" customFormat="1" ht="17.100000000000001" customHeight="1" x14ac:dyDescent="0.25">
      <c r="D500" s="3"/>
      <c r="E500" s="3"/>
      <c r="F500" s="4"/>
      <c r="G500" s="4"/>
      <c r="H500" s="4"/>
      <c r="I500" s="97"/>
    </row>
    <row r="501" spans="4:9" s="2" customFormat="1" ht="17.100000000000001" customHeight="1" x14ac:dyDescent="0.25">
      <c r="D501" s="3"/>
      <c r="E501" s="3"/>
      <c r="F501" s="4"/>
      <c r="G501" s="4"/>
      <c r="H501" s="4"/>
      <c r="I501" s="97"/>
    </row>
    <row r="502" spans="4:9" s="2" customFormat="1" ht="17.100000000000001" customHeight="1" x14ac:dyDescent="0.25">
      <c r="D502" s="3"/>
      <c r="E502" s="3"/>
      <c r="F502" s="4"/>
      <c r="G502" s="4"/>
      <c r="H502" s="4"/>
      <c r="I502" s="97"/>
    </row>
    <row r="503" spans="4:9" s="2" customFormat="1" ht="17.100000000000001" customHeight="1" x14ac:dyDescent="0.25">
      <c r="D503" s="3"/>
      <c r="E503" s="3"/>
      <c r="F503" s="4"/>
      <c r="G503" s="4"/>
      <c r="H503" s="4"/>
      <c r="I503" s="97"/>
    </row>
    <row r="504" spans="4:9" s="2" customFormat="1" ht="17.100000000000001" customHeight="1" x14ac:dyDescent="0.25">
      <c r="D504" s="3"/>
      <c r="E504" s="3"/>
      <c r="F504" s="4"/>
      <c r="G504" s="4"/>
      <c r="H504" s="4"/>
      <c r="I504" s="97"/>
    </row>
    <row r="505" spans="4:9" s="2" customFormat="1" ht="17.100000000000001" customHeight="1" x14ac:dyDescent="0.25">
      <c r="D505" s="3"/>
      <c r="E505" s="3"/>
      <c r="F505" s="4"/>
      <c r="G505" s="4"/>
      <c r="H505" s="4"/>
      <c r="I505" s="97"/>
    </row>
    <row r="506" spans="4:9" s="2" customFormat="1" ht="17.100000000000001" customHeight="1" x14ac:dyDescent="0.25">
      <c r="D506" s="3"/>
      <c r="E506" s="3"/>
      <c r="F506" s="4"/>
      <c r="G506" s="4"/>
      <c r="H506" s="4"/>
      <c r="I506" s="97"/>
    </row>
  </sheetData>
  <mergeCells count="15">
    <mergeCell ref="AQ10:AU10"/>
    <mergeCell ref="AW10:BA10"/>
    <mergeCell ref="AE8:AO8"/>
    <mergeCell ref="J9:M9"/>
    <mergeCell ref="N9:P9"/>
    <mergeCell ref="Q9:S9"/>
    <mergeCell ref="T9:V9"/>
    <mergeCell ref="AE10:AI10"/>
    <mergeCell ref="AK10:AO10"/>
    <mergeCell ref="W8:Y9"/>
    <mergeCell ref="L6:M6"/>
    <mergeCell ref="J8:M8"/>
    <mergeCell ref="N8:P8"/>
    <mergeCell ref="Q8:S8"/>
    <mergeCell ref="T8:V8"/>
  </mergeCells>
  <pageMargins left="0.7" right="0.7" top="0.75" bottom="0.75" header="0.3" footer="0.3"/>
  <pageSetup paperSize="9" scale="70" fitToHeight="5" orientation="portrait" r:id="rId1"/>
  <headerFooter>
    <oddFooter>&amp;L&amp;10SANITATION DEMAND AND SUPPLY STUDY&amp;C&amp;10&amp;P&amp;R&amp;10HOUSEHOLDS WITHOUT TOILET</oddFooter>
  </headerFooter>
  <rowBreaks count="3" manualBreakCount="3">
    <brk id="89" max="10" man="1"/>
    <brk id="174" max="10" man="1"/>
    <brk id="281" max="10" man="1"/>
  </rowBreaks>
  <ignoredErrors>
    <ignoredError sqref="P307:S307 P203:S203 P181:S181 P163:S163 W341:X341 P342:S344"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Z456"/>
  <sheetViews>
    <sheetView zoomScale="80" zoomScaleNormal="80" workbookViewId="0">
      <pane xSplit="7" ySplit="9" topLeftCell="H10" activePane="bottomRight" state="frozen"/>
      <selection pane="topRight" activeCell="H1" sqref="H1"/>
      <selection pane="bottomLeft" activeCell="A10" sqref="A10"/>
      <selection pane="bottomRight" activeCell="A6" sqref="A6"/>
    </sheetView>
  </sheetViews>
  <sheetFormatPr defaultRowHeight="15" customHeight="1" x14ac:dyDescent="0.25"/>
  <cols>
    <col min="1" max="2" width="4.7109375" style="655" customWidth="1"/>
    <col min="3" max="3" width="6.7109375" style="655" customWidth="1"/>
    <col min="4" max="4" width="7.7109375" style="655" customWidth="1"/>
    <col min="5" max="5" width="4.7109375" style="655" customWidth="1"/>
    <col min="6" max="6" width="30.7109375" style="662" customWidth="1"/>
    <col min="7" max="7" width="3.7109375" style="662" customWidth="1"/>
    <col min="8" max="8" width="3.7109375" style="760" customWidth="1"/>
    <col min="9" max="13" width="20.7109375" style="657" customWidth="1"/>
    <col min="14" max="14" width="10.7109375" style="711" customWidth="1"/>
    <col min="15" max="17" width="10.7109375" style="655" customWidth="1"/>
    <col min="18" max="16384" width="9.140625" style="655"/>
  </cols>
  <sheetData>
    <row r="1" spans="1:16" ht="17.100000000000001" customHeight="1" x14ac:dyDescent="0.25">
      <c r="A1" s="1" t="s">
        <v>363</v>
      </c>
      <c r="B1" s="2"/>
      <c r="I1" s="5" t="s">
        <v>883</v>
      </c>
    </row>
    <row r="2" spans="1:16" ht="17.100000000000001" customHeight="1" x14ac:dyDescent="0.25">
      <c r="A2" s="1" t="str">
        <f>'STUDY VILLAGES'!U7</f>
        <v>KAMPOT PROVINCE</v>
      </c>
      <c r="B2" s="2"/>
    </row>
    <row r="3" spans="1:16" ht="17.100000000000001" customHeight="1" x14ac:dyDescent="0.25">
      <c r="A3" s="1" t="str">
        <f>'STUDY VILLAGES'!U8</f>
        <v>BANTEAY MEAS DISTRICT</v>
      </c>
      <c r="B3" s="2"/>
    </row>
    <row r="4" spans="1:16" ht="17.100000000000001" customHeight="1" x14ac:dyDescent="0.25">
      <c r="A4" s="656"/>
    </row>
    <row r="5" spans="1:16" ht="21" customHeight="1" x14ac:dyDescent="0.25">
      <c r="A5" s="654" t="s">
        <v>1182</v>
      </c>
      <c r="I5" s="11" t="s">
        <v>1</v>
      </c>
      <c r="J5" s="872"/>
    </row>
    <row r="6" spans="1:16" ht="21" customHeight="1" x14ac:dyDescent="0.25">
      <c r="A6" s="761" t="s">
        <v>1183</v>
      </c>
      <c r="I6" s="11" t="s">
        <v>2</v>
      </c>
      <c r="J6" s="659">
        <v>42237</v>
      </c>
    </row>
    <row r="7" spans="1:16" ht="9.9499999999999993" customHeight="1" x14ac:dyDescent="0.25"/>
    <row r="8" spans="1:16" ht="18" customHeight="1" x14ac:dyDescent="0.25">
      <c r="I8" s="660" t="s">
        <v>1076</v>
      </c>
      <c r="J8" s="660" t="s">
        <v>1076</v>
      </c>
      <c r="K8" s="660" t="s">
        <v>1076</v>
      </c>
      <c r="L8" s="660" t="s">
        <v>1076</v>
      </c>
      <c r="M8" s="661" t="s">
        <v>1076</v>
      </c>
    </row>
    <row r="9" spans="1:16" ht="18" customHeight="1" x14ac:dyDescent="0.25">
      <c r="A9" s="662"/>
      <c r="B9" s="662"/>
      <c r="C9" s="662"/>
      <c r="D9" s="662"/>
      <c r="E9" s="662"/>
      <c r="G9" s="663" t="s">
        <v>1077</v>
      </c>
      <c r="H9" s="758"/>
      <c r="I9" s="664" t="s">
        <v>1078</v>
      </c>
      <c r="J9" s="664" t="s">
        <v>1079</v>
      </c>
      <c r="K9" s="664" t="s">
        <v>1080</v>
      </c>
      <c r="L9" s="664" t="s">
        <v>1081</v>
      </c>
      <c r="M9" s="661" t="s">
        <v>1082</v>
      </c>
    </row>
    <row r="10" spans="1:16" s="764" customFormat="1" ht="18" customHeight="1" thickBot="1" x14ac:dyDescent="0.3">
      <c r="A10" s="665">
        <v>0</v>
      </c>
      <c r="B10" s="666" t="s">
        <v>3</v>
      </c>
      <c r="C10" s="908"/>
      <c r="D10" s="908"/>
      <c r="E10" s="908"/>
      <c r="F10" s="908"/>
      <c r="G10" s="762"/>
      <c r="H10" s="771"/>
      <c r="I10" s="770"/>
      <c r="J10" s="763"/>
      <c r="K10" s="763"/>
      <c r="L10" s="763"/>
      <c r="M10" s="763"/>
      <c r="N10" s="835" t="s">
        <v>4</v>
      </c>
      <c r="O10" s="665" t="s">
        <v>5</v>
      </c>
      <c r="P10" s="665" t="s">
        <v>6</v>
      </c>
    </row>
    <row r="11" spans="1:16" ht="27.95" customHeight="1" x14ac:dyDescent="0.25">
      <c r="A11" s="670"/>
      <c r="B11" s="671">
        <v>0</v>
      </c>
      <c r="C11" s="769" t="s">
        <v>1083</v>
      </c>
      <c r="D11" s="778"/>
      <c r="E11" s="672"/>
      <c r="F11" s="672"/>
      <c r="G11" s="779"/>
      <c r="H11" s="731"/>
      <c r="I11" s="804" t="s">
        <v>1400</v>
      </c>
      <c r="J11" s="804" t="s">
        <v>1401</v>
      </c>
      <c r="K11" s="804" t="s">
        <v>1402</v>
      </c>
      <c r="L11" s="804" t="s">
        <v>1403</v>
      </c>
      <c r="M11" s="831" t="s">
        <v>1404</v>
      </c>
      <c r="N11" s="836"/>
      <c r="O11" s="805"/>
      <c r="P11" s="805"/>
    </row>
    <row r="12" spans="1:16" ht="27.95" customHeight="1" x14ac:dyDescent="0.25">
      <c r="A12" s="679"/>
      <c r="B12" s="767">
        <v>0.1</v>
      </c>
      <c r="C12" s="766" t="s">
        <v>1184</v>
      </c>
      <c r="D12" s="274"/>
      <c r="E12" s="50"/>
      <c r="F12" s="50"/>
      <c r="G12" s="685"/>
      <c r="H12" s="731"/>
      <c r="I12" s="806" t="s">
        <v>1400</v>
      </c>
      <c r="J12" s="806" t="s">
        <v>1401</v>
      </c>
      <c r="K12" s="806" t="s">
        <v>1402</v>
      </c>
      <c r="L12" s="806" t="s">
        <v>1403</v>
      </c>
      <c r="M12" s="832" t="s">
        <v>1404</v>
      </c>
      <c r="N12" s="837"/>
      <c r="O12" s="679"/>
      <c r="P12" s="679"/>
    </row>
    <row r="13" spans="1:16" ht="27.95" customHeight="1" x14ac:dyDescent="0.25">
      <c r="A13" s="679"/>
      <c r="B13" s="679"/>
      <c r="C13" s="766" t="s">
        <v>1185</v>
      </c>
      <c r="D13" s="274"/>
      <c r="E13" s="50"/>
      <c r="F13" s="50"/>
      <c r="G13" s="685"/>
      <c r="H13" s="731"/>
      <c r="I13" s="683" t="s">
        <v>1405</v>
      </c>
      <c r="J13" s="683" t="s">
        <v>1406</v>
      </c>
      <c r="K13" s="683" t="s">
        <v>1407</v>
      </c>
      <c r="L13" s="683" t="s">
        <v>1408</v>
      </c>
      <c r="M13" s="707" t="s">
        <v>1409</v>
      </c>
      <c r="N13" s="837"/>
      <c r="O13" s="679"/>
      <c r="P13" s="679"/>
    </row>
    <row r="14" spans="1:16" s="757" customFormat="1" ht="18" customHeight="1" x14ac:dyDescent="0.25">
      <c r="A14" s="689"/>
      <c r="B14" s="689"/>
      <c r="C14" s="547"/>
      <c r="D14" s="713"/>
      <c r="E14" s="427"/>
      <c r="F14" s="427"/>
      <c r="G14" s="759"/>
      <c r="H14" s="731"/>
      <c r="I14" s="863"/>
      <c r="J14" s="863"/>
      <c r="K14" s="863"/>
      <c r="L14" s="863"/>
      <c r="M14" s="864"/>
      <c r="N14" s="838"/>
      <c r="O14" s="689"/>
      <c r="P14" s="689"/>
    </row>
    <row r="15" spans="1:16" ht="18" customHeight="1" x14ac:dyDescent="0.25">
      <c r="A15" s="679"/>
      <c r="B15" s="48">
        <v>0.2</v>
      </c>
      <c r="C15" s="332" t="s">
        <v>1186</v>
      </c>
      <c r="D15" s="274"/>
      <c r="E15" s="50"/>
      <c r="F15" s="50"/>
      <c r="G15" s="685"/>
      <c r="H15" s="731"/>
      <c r="I15" s="586"/>
      <c r="J15" s="586"/>
      <c r="K15" s="586"/>
      <c r="L15" s="586"/>
      <c r="M15" s="865"/>
      <c r="N15" s="839"/>
      <c r="O15" s="682"/>
      <c r="P15" s="682"/>
    </row>
    <row r="16" spans="1:16" ht="18" customHeight="1" x14ac:dyDescent="0.25">
      <c r="A16" s="679"/>
      <c r="B16" s="55"/>
      <c r="C16" s="56" t="s">
        <v>7</v>
      </c>
      <c r="D16" s="57" t="s">
        <v>1084</v>
      </c>
      <c r="E16" s="149"/>
      <c r="F16" s="149"/>
      <c r="G16" s="692"/>
      <c r="H16" s="731"/>
      <c r="I16" s="683">
        <v>1</v>
      </c>
      <c r="J16" s="683">
        <v>1</v>
      </c>
      <c r="K16" s="683">
        <v>1</v>
      </c>
      <c r="L16" s="683">
        <v>1</v>
      </c>
      <c r="M16" s="707">
        <v>1</v>
      </c>
      <c r="N16" s="840">
        <f>SUM(I16:M16)</f>
        <v>5</v>
      </c>
      <c r="O16" s="675">
        <f>IF(N$19=0,0,N16/N$19)</f>
        <v>1</v>
      </c>
      <c r="P16" s="679"/>
    </row>
    <row r="17" spans="1:16" ht="18" customHeight="1" x14ac:dyDescent="0.25">
      <c r="A17" s="679"/>
      <c r="B17" s="55"/>
      <c r="C17" s="56" t="s">
        <v>8</v>
      </c>
      <c r="D17" s="57" t="s">
        <v>1085</v>
      </c>
      <c r="E17" s="149"/>
      <c r="F17" s="149"/>
      <c r="G17" s="692"/>
      <c r="H17" s="731"/>
      <c r="I17" s="688"/>
      <c r="J17" s="688"/>
      <c r="K17" s="688"/>
      <c r="L17" s="688"/>
      <c r="M17" s="708"/>
      <c r="N17" s="840">
        <f>SUM(I17:M17)</f>
        <v>0</v>
      </c>
      <c r="O17" s="675">
        <f>IF(N$19=0,0,N17/N$19)</f>
        <v>0</v>
      </c>
      <c r="P17" s="679"/>
    </row>
    <row r="18" spans="1:16" ht="18" customHeight="1" x14ac:dyDescent="0.25">
      <c r="A18" s="182"/>
      <c r="B18" s="547"/>
      <c r="C18" s="547"/>
      <c r="D18" s="742"/>
      <c r="E18" s="677"/>
      <c r="F18" s="676"/>
      <c r="G18" s="717"/>
      <c r="H18" s="731"/>
      <c r="I18" s="161">
        <f>SUM(I16:I17)</f>
        <v>1</v>
      </c>
      <c r="J18" s="161">
        <f>SUM(J16:J17)</f>
        <v>1</v>
      </c>
      <c r="K18" s="161">
        <f>SUM(K16:K17)</f>
        <v>1</v>
      </c>
      <c r="L18" s="161">
        <f>SUM(L16:L17)</f>
        <v>1</v>
      </c>
      <c r="M18" s="697">
        <f>SUM(M16:M17)</f>
        <v>1</v>
      </c>
      <c r="N18" s="841"/>
      <c r="O18" s="162"/>
      <c r="P18" s="678"/>
    </row>
    <row r="19" spans="1:16" ht="18" customHeight="1" x14ac:dyDescent="0.25">
      <c r="A19" s="679"/>
      <c r="B19" s="679"/>
      <c r="C19" s="325"/>
      <c r="D19" s="701"/>
      <c r="E19" s="326"/>
      <c r="F19" s="326"/>
      <c r="G19" s="702"/>
      <c r="H19" s="731"/>
      <c r="I19" s="64"/>
      <c r="J19" s="64"/>
      <c r="K19" s="64"/>
      <c r="L19" s="64"/>
      <c r="M19" s="709"/>
      <c r="N19" s="390">
        <f>SUM(N16:N17)</f>
        <v>5</v>
      </c>
      <c r="O19" s="500">
        <f>IF(N$19=0,0,N19/N$19)</f>
        <v>1</v>
      </c>
      <c r="P19" s="680"/>
    </row>
    <row r="20" spans="1:16" s="757" customFormat="1" ht="18" customHeight="1" x14ac:dyDescent="0.25">
      <c r="A20" s="689"/>
      <c r="B20" s="689"/>
      <c r="C20" s="182"/>
      <c r="D20" s="713"/>
      <c r="E20" s="427"/>
      <c r="F20" s="427"/>
      <c r="G20" s="759"/>
      <c r="H20" s="731"/>
      <c r="I20" s="198" t="str">
        <f>IF(AND(I$49=1,I18&gt;0),"OK",IF(I$49=0,"","NOK"))</f>
        <v>OK</v>
      </c>
      <c r="J20" s="198" t="str">
        <f t="shared" ref="J20:M20" si="0">IF(AND(J$49=1,J18&gt;0),"OK",IF(J$49=0,"","NOK"))</f>
        <v>OK</v>
      </c>
      <c r="K20" s="198" t="str">
        <f t="shared" si="0"/>
        <v>OK</v>
      </c>
      <c r="L20" s="198" t="str">
        <f t="shared" si="0"/>
        <v>OK</v>
      </c>
      <c r="M20" s="715" t="str">
        <f t="shared" si="0"/>
        <v>OK</v>
      </c>
      <c r="N20" s="842"/>
      <c r="O20" s="197"/>
      <c r="P20" s="689"/>
    </row>
    <row r="21" spans="1:16" ht="18" customHeight="1" x14ac:dyDescent="0.25">
      <c r="A21" s="679"/>
      <c r="B21" s="767">
        <v>0.3</v>
      </c>
      <c r="C21" s="766" t="s">
        <v>1086</v>
      </c>
      <c r="D21" s="274"/>
      <c r="E21" s="50"/>
      <c r="F21" s="50"/>
      <c r="G21" s="685"/>
      <c r="H21" s="731"/>
      <c r="I21" s="681"/>
      <c r="J21" s="681"/>
      <c r="K21" s="681"/>
      <c r="L21" s="681"/>
      <c r="M21" s="833"/>
      <c r="N21" s="857" t="s">
        <v>181</v>
      </c>
      <c r="O21" s="48" t="s">
        <v>182</v>
      </c>
      <c r="P21" s="48" t="s">
        <v>6</v>
      </c>
    </row>
    <row r="22" spans="1:16" ht="18" customHeight="1" x14ac:dyDescent="0.25">
      <c r="A22" s="679"/>
      <c r="B22" s="679"/>
      <c r="C22" s="56" t="s">
        <v>1087</v>
      </c>
      <c r="D22" s="146" t="s">
        <v>1088</v>
      </c>
      <c r="E22" s="149"/>
      <c r="F22" s="149"/>
      <c r="G22" s="692"/>
      <c r="H22" s="731"/>
      <c r="I22" s="683">
        <v>5</v>
      </c>
      <c r="J22" s="683">
        <v>3</v>
      </c>
      <c r="K22" s="683">
        <v>4</v>
      </c>
      <c r="L22" s="683">
        <v>22</v>
      </c>
      <c r="M22" s="707">
        <v>9</v>
      </c>
      <c r="N22" s="840">
        <f>MIN(I22:M22)</f>
        <v>3</v>
      </c>
      <c r="O22" s="794">
        <f>MAX(I22:M22)</f>
        <v>22</v>
      </c>
      <c r="P22" s="684">
        <f>P24</f>
        <v>8.6</v>
      </c>
    </row>
    <row r="23" spans="1:16" ht="18" customHeight="1" x14ac:dyDescent="0.25">
      <c r="A23" s="182"/>
      <c r="B23" s="547"/>
      <c r="C23" s="547"/>
      <c r="D23" s="742"/>
      <c r="E23" s="677"/>
      <c r="F23" s="676"/>
      <c r="G23" s="717"/>
      <c r="H23" s="731"/>
      <c r="I23" s="161">
        <f>I22</f>
        <v>5</v>
      </c>
      <c r="J23" s="161">
        <f>J22</f>
        <v>3</v>
      </c>
      <c r="K23" s="161">
        <f>K22</f>
        <v>4</v>
      </c>
      <c r="L23" s="161">
        <f>L22</f>
        <v>22</v>
      </c>
      <c r="M23" s="697">
        <f>M22</f>
        <v>9</v>
      </c>
      <c r="N23" s="841">
        <f>SUM(I23:M23)</f>
        <v>43</v>
      </c>
      <c r="O23" s="504"/>
      <c r="P23" s="678"/>
    </row>
    <row r="24" spans="1:16" ht="18" customHeight="1" x14ac:dyDescent="0.25">
      <c r="A24" s="182"/>
      <c r="B24" s="547"/>
      <c r="C24" s="547"/>
      <c r="D24" s="742"/>
      <c r="E24" s="677"/>
      <c r="F24" s="676"/>
      <c r="G24" s="717"/>
      <c r="H24" s="731"/>
      <c r="I24" s="161">
        <f>IF(I23&gt;0,I23,"")</f>
        <v>5</v>
      </c>
      <c r="J24" s="161">
        <f>IF(J23&gt;0,J23,"")</f>
        <v>3</v>
      </c>
      <c r="K24" s="161">
        <f>IF(K23&gt;0,K23,"")</f>
        <v>4</v>
      </c>
      <c r="L24" s="161">
        <f>IF(L23&gt;0,L23,"")</f>
        <v>22</v>
      </c>
      <c r="M24" s="697">
        <f>IF(M23&gt;0,M23,"")</f>
        <v>9</v>
      </c>
      <c r="N24" s="841">
        <f>SUM(I24:M24)</f>
        <v>43</v>
      </c>
      <c r="O24" s="504"/>
      <c r="P24" s="678">
        <f>IF(N24=0,0,AVERAGE(I24:M24))</f>
        <v>8.6</v>
      </c>
    </row>
    <row r="25" spans="1:16" s="757" customFormat="1" ht="18" customHeight="1" x14ac:dyDescent="0.25">
      <c r="A25" s="689"/>
      <c r="B25" s="689"/>
      <c r="C25" s="182"/>
      <c r="D25" s="713"/>
      <c r="E25" s="427"/>
      <c r="F25" s="427"/>
      <c r="G25" s="759"/>
      <c r="H25" s="731"/>
      <c r="I25" s="198" t="str">
        <f>IF(AND(I$49=1,I23&gt;0),"OK",IF(I$49=0,"","NOK"))</f>
        <v>OK</v>
      </c>
      <c r="J25" s="198" t="str">
        <f t="shared" ref="J25:M25" si="1">IF(AND(J$49=1,J23&gt;0),"OK",IF(J$49=0,"","NOK"))</f>
        <v>OK</v>
      </c>
      <c r="K25" s="198" t="str">
        <f t="shared" si="1"/>
        <v>OK</v>
      </c>
      <c r="L25" s="198" t="str">
        <f t="shared" si="1"/>
        <v>OK</v>
      </c>
      <c r="M25" s="715" t="str">
        <f t="shared" si="1"/>
        <v>OK</v>
      </c>
      <c r="N25" s="842"/>
      <c r="O25" s="197"/>
      <c r="P25" s="689"/>
    </row>
    <row r="26" spans="1:16" ht="18" customHeight="1" x14ac:dyDescent="0.25">
      <c r="A26" s="679"/>
      <c r="B26" s="48">
        <v>0.3</v>
      </c>
      <c r="C26" s="766" t="s">
        <v>1187</v>
      </c>
      <c r="D26" s="274"/>
      <c r="E26" s="50"/>
      <c r="F26" s="50"/>
      <c r="G26" s="685"/>
      <c r="H26" s="241"/>
      <c r="I26" s="686"/>
      <c r="J26" s="686"/>
      <c r="K26" s="686"/>
      <c r="L26" s="686"/>
      <c r="M26" s="834"/>
      <c r="N26" s="839"/>
      <c r="O26" s="682"/>
      <c r="P26" s="682"/>
    </row>
    <row r="27" spans="1:16" ht="18" customHeight="1" x14ac:dyDescent="0.25">
      <c r="A27" s="679"/>
      <c r="B27" s="679"/>
      <c r="C27" s="56" t="s">
        <v>1087</v>
      </c>
      <c r="D27" s="146" t="s">
        <v>11</v>
      </c>
      <c r="E27" s="149"/>
      <c r="F27" s="149"/>
      <c r="G27" s="692"/>
      <c r="H27" s="731"/>
      <c r="I27" s="683"/>
      <c r="J27" s="683">
        <v>1</v>
      </c>
      <c r="K27" s="683"/>
      <c r="L27" s="683"/>
      <c r="M27" s="707"/>
      <c r="N27" s="840">
        <f>SUM(I27:M27)</f>
        <v>1</v>
      </c>
      <c r="O27" s="675">
        <f>IF(N$38=0,0,N27/N$38)</f>
        <v>0.2</v>
      </c>
      <c r="P27" s="679"/>
    </row>
    <row r="28" spans="1:16" ht="18" customHeight="1" x14ac:dyDescent="0.25">
      <c r="A28" s="679"/>
      <c r="B28" s="679"/>
      <c r="C28" s="56" t="s">
        <v>1089</v>
      </c>
      <c r="D28" s="1409" t="s">
        <v>9</v>
      </c>
      <c r="E28" s="1410"/>
      <c r="F28" s="1410"/>
      <c r="G28" s="1411"/>
      <c r="H28" s="238"/>
      <c r="I28" s="688">
        <v>1</v>
      </c>
      <c r="J28" s="688"/>
      <c r="K28" s="688">
        <v>1</v>
      </c>
      <c r="L28" s="688">
        <v>1</v>
      </c>
      <c r="M28" s="708">
        <v>1</v>
      </c>
      <c r="N28" s="842">
        <f>SUM(I28:M28)</f>
        <v>4</v>
      </c>
      <c r="O28" s="197">
        <f>IF(N$38=0,0,N28/N$38)</f>
        <v>0.8</v>
      </c>
      <c r="P28" s="689"/>
    </row>
    <row r="29" spans="1:16" ht="30" customHeight="1" x14ac:dyDescent="0.25">
      <c r="A29" s="679"/>
      <c r="B29" s="679"/>
      <c r="C29" s="679"/>
      <c r="D29" s="56" t="s">
        <v>1090</v>
      </c>
      <c r="E29" s="149" t="s">
        <v>1189</v>
      </c>
      <c r="F29" s="149"/>
      <c r="G29" s="692"/>
      <c r="H29" s="238"/>
      <c r="I29" s="683" t="s">
        <v>1410</v>
      </c>
      <c r="J29" s="683"/>
      <c r="K29" s="683" t="s">
        <v>1410</v>
      </c>
      <c r="L29" s="683" t="s">
        <v>1410</v>
      </c>
      <c r="M29" s="707" t="s">
        <v>1410</v>
      </c>
      <c r="N29" s="840"/>
      <c r="O29" s="675"/>
      <c r="P29" s="684">
        <f>P32</f>
        <v>3</v>
      </c>
    </row>
    <row r="30" spans="1:16" ht="18" customHeight="1" x14ac:dyDescent="0.25">
      <c r="A30" s="679"/>
      <c r="B30" s="679"/>
      <c r="C30" s="679"/>
      <c r="D30" s="56" t="s">
        <v>1188</v>
      </c>
      <c r="E30" s="149" t="s">
        <v>1091</v>
      </c>
      <c r="F30" s="149"/>
      <c r="G30" s="692"/>
      <c r="H30" s="772"/>
      <c r="I30" s="688">
        <v>1</v>
      </c>
      <c r="J30" s="688"/>
      <c r="K30" s="688">
        <v>4</v>
      </c>
      <c r="L30" s="688">
        <v>4</v>
      </c>
      <c r="M30" s="708">
        <v>3</v>
      </c>
      <c r="N30" s="840"/>
      <c r="O30" s="675"/>
      <c r="P30" s="684"/>
    </row>
    <row r="31" spans="1:16" ht="18" customHeight="1" x14ac:dyDescent="0.25">
      <c r="A31" s="182"/>
      <c r="B31" s="547"/>
      <c r="C31" s="547"/>
      <c r="D31" s="742"/>
      <c r="E31" s="677"/>
      <c r="F31" s="676"/>
      <c r="G31" s="717"/>
      <c r="H31" s="731"/>
      <c r="I31" s="161">
        <f>I30</f>
        <v>1</v>
      </c>
      <c r="J31" s="161">
        <f t="shared" ref="J31:M31" si="2">J30</f>
        <v>0</v>
      </c>
      <c r="K31" s="161">
        <f t="shared" si="2"/>
        <v>4</v>
      </c>
      <c r="L31" s="161">
        <f t="shared" si="2"/>
        <v>4</v>
      </c>
      <c r="M31" s="697">
        <f t="shared" si="2"/>
        <v>3</v>
      </c>
      <c r="N31" s="841">
        <f>SUM(I31:M31)</f>
        <v>12</v>
      </c>
      <c r="O31" s="504"/>
      <c r="P31" s="678"/>
    </row>
    <row r="32" spans="1:16" ht="18" customHeight="1" x14ac:dyDescent="0.25">
      <c r="A32" s="182"/>
      <c r="B32" s="547"/>
      <c r="C32" s="547"/>
      <c r="D32" s="742"/>
      <c r="E32" s="677"/>
      <c r="F32" s="676"/>
      <c r="G32" s="717"/>
      <c r="H32" s="731"/>
      <c r="I32" s="161">
        <f>IF(I31&gt;0,I31,"")</f>
        <v>1</v>
      </c>
      <c r="J32" s="161" t="str">
        <f t="shared" ref="J32:M32" si="3">IF(J31&gt;0,J31,"")</f>
        <v/>
      </c>
      <c r="K32" s="161">
        <f t="shared" si="3"/>
        <v>4</v>
      </c>
      <c r="L32" s="161">
        <f t="shared" si="3"/>
        <v>4</v>
      </c>
      <c r="M32" s="697">
        <f t="shared" si="3"/>
        <v>3</v>
      </c>
      <c r="N32" s="841">
        <f>SUM(I32:M32)</f>
        <v>12</v>
      </c>
      <c r="O32" s="504"/>
      <c r="P32" s="678">
        <f>IF(N32=0,0,AVERAGE(I32:M32))</f>
        <v>3</v>
      </c>
    </row>
    <row r="33" spans="1:16" ht="18" customHeight="1" x14ac:dyDescent="0.25">
      <c r="A33" s="182"/>
      <c r="B33" s="547"/>
      <c r="C33" s="547"/>
      <c r="D33" s="742"/>
      <c r="E33" s="677"/>
      <c r="F33" s="676"/>
      <c r="G33" s="717"/>
      <c r="H33" s="731"/>
      <c r="I33" s="161">
        <f>IF(I27=1,3,0)</f>
        <v>0</v>
      </c>
      <c r="J33" s="161">
        <f t="shared" ref="J33:M33" si="4">IF(J27=1,3,0)</f>
        <v>3</v>
      </c>
      <c r="K33" s="161">
        <f t="shared" si="4"/>
        <v>0</v>
      </c>
      <c r="L33" s="161">
        <f t="shared" si="4"/>
        <v>0</v>
      </c>
      <c r="M33" s="697">
        <f t="shared" si="4"/>
        <v>0</v>
      </c>
      <c r="N33" s="841"/>
      <c r="O33" s="504"/>
      <c r="P33" s="690"/>
    </row>
    <row r="34" spans="1:16" ht="18" customHeight="1" x14ac:dyDescent="0.25">
      <c r="A34" s="182"/>
      <c r="B34" s="547"/>
      <c r="C34" s="547"/>
      <c r="D34" s="742"/>
      <c r="E34" s="677"/>
      <c r="F34" s="676"/>
      <c r="G34" s="717"/>
      <c r="H34" s="731"/>
      <c r="I34" s="161">
        <f>I28</f>
        <v>1</v>
      </c>
      <c r="J34" s="161">
        <f t="shared" ref="J34:M34" si="5">J28</f>
        <v>0</v>
      </c>
      <c r="K34" s="161">
        <f t="shared" si="5"/>
        <v>1</v>
      </c>
      <c r="L34" s="161">
        <f t="shared" si="5"/>
        <v>1</v>
      </c>
      <c r="M34" s="697">
        <f t="shared" si="5"/>
        <v>1</v>
      </c>
      <c r="N34" s="841"/>
      <c r="O34" s="504"/>
      <c r="P34" s="690"/>
    </row>
    <row r="35" spans="1:16" ht="18" customHeight="1" x14ac:dyDescent="0.25">
      <c r="A35" s="182"/>
      <c r="B35" s="547"/>
      <c r="C35" s="547"/>
      <c r="D35" s="742"/>
      <c r="E35" s="677"/>
      <c r="F35" s="676"/>
      <c r="G35" s="717"/>
      <c r="H35" s="731"/>
      <c r="I35" s="161">
        <f>COUNTA(I29)</f>
        <v>1</v>
      </c>
      <c r="J35" s="161">
        <f t="shared" ref="J35:M35" si="6">COUNTA(J29)</f>
        <v>0</v>
      </c>
      <c r="K35" s="161">
        <f t="shared" si="6"/>
        <v>1</v>
      </c>
      <c r="L35" s="161">
        <f t="shared" si="6"/>
        <v>1</v>
      </c>
      <c r="M35" s="697">
        <f t="shared" si="6"/>
        <v>1</v>
      </c>
      <c r="N35" s="841"/>
      <c r="O35" s="504"/>
      <c r="P35" s="690"/>
    </row>
    <row r="36" spans="1:16" ht="18" customHeight="1" x14ac:dyDescent="0.25">
      <c r="A36" s="182"/>
      <c r="B36" s="547"/>
      <c r="C36" s="547"/>
      <c r="D36" s="742"/>
      <c r="E36" s="677"/>
      <c r="F36" s="676"/>
      <c r="G36" s="717"/>
      <c r="H36" s="731"/>
      <c r="I36" s="161">
        <f>IF(I30&gt;0,1,0)</f>
        <v>1</v>
      </c>
      <c r="J36" s="161">
        <f t="shared" ref="J36:M36" si="7">IF(J30&gt;0,1,0)</f>
        <v>0</v>
      </c>
      <c r="K36" s="161">
        <f t="shared" si="7"/>
        <v>1</v>
      </c>
      <c r="L36" s="161">
        <f t="shared" si="7"/>
        <v>1</v>
      </c>
      <c r="M36" s="697">
        <f t="shared" si="7"/>
        <v>1</v>
      </c>
      <c r="N36" s="841"/>
      <c r="O36" s="504"/>
      <c r="P36" s="690"/>
    </row>
    <row r="37" spans="1:16" ht="18" customHeight="1" x14ac:dyDescent="0.25">
      <c r="A37" s="182"/>
      <c r="B37" s="547"/>
      <c r="C37" s="547"/>
      <c r="D37" s="742"/>
      <c r="E37" s="677"/>
      <c r="F37" s="676"/>
      <c r="G37" s="717"/>
      <c r="H37" s="731"/>
      <c r="I37" s="161">
        <f>SUM(I33:I36)</f>
        <v>3</v>
      </c>
      <c r="J37" s="161">
        <f t="shared" ref="J37:M37" si="8">SUM(J33:J36)</f>
        <v>3</v>
      </c>
      <c r="K37" s="161">
        <f t="shared" si="8"/>
        <v>3</v>
      </c>
      <c r="L37" s="161">
        <f t="shared" si="8"/>
        <v>3</v>
      </c>
      <c r="M37" s="697">
        <f t="shared" si="8"/>
        <v>3</v>
      </c>
      <c r="N37" s="841"/>
      <c r="O37" s="504"/>
      <c r="P37" s="690"/>
    </row>
    <row r="38" spans="1:16" ht="18" customHeight="1" x14ac:dyDescent="0.25">
      <c r="A38" s="679"/>
      <c r="B38" s="679"/>
      <c r="C38" s="325"/>
      <c r="D38" s="701"/>
      <c r="E38" s="326"/>
      <c r="F38" s="326"/>
      <c r="G38" s="702"/>
      <c r="H38" s="731"/>
      <c r="I38" s="64"/>
      <c r="J38" s="64"/>
      <c r="K38" s="64"/>
      <c r="L38" s="64"/>
      <c r="M38" s="709"/>
      <c r="N38" s="390">
        <f>SUM(N27:N29)</f>
        <v>5</v>
      </c>
      <c r="O38" s="500">
        <f>IF(N$38=0,0,N38/N$38)</f>
        <v>1</v>
      </c>
      <c r="P38" s="680"/>
    </row>
    <row r="39" spans="1:16" s="757" customFormat="1" ht="18" customHeight="1" x14ac:dyDescent="0.25">
      <c r="A39" s="689"/>
      <c r="B39" s="689"/>
      <c r="C39" s="182"/>
      <c r="D39" s="713"/>
      <c r="E39" s="427"/>
      <c r="F39" s="427"/>
      <c r="G39" s="759"/>
      <c r="H39" s="731"/>
      <c r="I39" s="198" t="str">
        <f>IF(I49=0,"",IF(AND(I49=1,I37=0),"NOK",IF(I37=3,"OK","NOK")))</f>
        <v>OK</v>
      </c>
      <c r="J39" s="198" t="str">
        <f t="shared" ref="J39:M39" si="9">IF(J49=0,"",IF(AND(J49=1,J37=0),"NOK",IF(J37=3,"OK","NOK")))</f>
        <v>OK</v>
      </c>
      <c r="K39" s="198" t="str">
        <f t="shared" si="9"/>
        <v>OK</v>
      </c>
      <c r="L39" s="198" t="str">
        <f t="shared" si="9"/>
        <v>OK</v>
      </c>
      <c r="M39" s="715" t="str">
        <f t="shared" si="9"/>
        <v>OK</v>
      </c>
      <c r="N39" s="842"/>
      <c r="O39" s="197"/>
      <c r="P39" s="689"/>
    </row>
    <row r="40" spans="1:16" ht="18" customHeight="1" x14ac:dyDescent="0.25">
      <c r="A40" s="182"/>
      <c r="B40" s="48">
        <v>0.4</v>
      </c>
      <c r="C40" s="766" t="s">
        <v>1092</v>
      </c>
      <c r="D40" s="274"/>
      <c r="E40" s="50"/>
      <c r="F40" s="50"/>
      <c r="G40" s="685"/>
      <c r="H40" s="241"/>
      <c r="I40" s="691"/>
      <c r="J40" s="691"/>
      <c r="K40" s="691"/>
      <c r="L40" s="691"/>
      <c r="M40" s="693"/>
      <c r="N40" s="839"/>
      <c r="O40" s="682"/>
      <c r="P40" s="682"/>
    </row>
    <row r="41" spans="1:16" ht="18" customHeight="1" x14ac:dyDescent="0.25">
      <c r="A41" s="182"/>
      <c r="B41" s="679"/>
      <c r="C41" s="56" t="s">
        <v>1093</v>
      </c>
      <c r="D41" s="146" t="s">
        <v>1094</v>
      </c>
      <c r="E41" s="149"/>
      <c r="F41" s="149"/>
      <c r="G41" s="692"/>
      <c r="H41" s="241"/>
      <c r="I41" s="683"/>
      <c r="J41" s="683"/>
      <c r="K41" s="683"/>
      <c r="L41" s="683"/>
      <c r="M41" s="707"/>
      <c r="N41" s="840">
        <f>SUM(I41:M41)</f>
        <v>0</v>
      </c>
      <c r="O41" s="675">
        <f>IF(N$46=0,0,N41/N$46)</f>
        <v>0</v>
      </c>
      <c r="P41" s="679"/>
    </row>
    <row r="42" spans="1:16" ht="18" customHeight="1" x14ac:dyDescent="0.25">
      <c r="A42" s="182"/>
      <c r="B42" s="182"/>
      <c r="C42" s="56" t="s">
        <v>1095</v>
      </c>
      <c r="D42" s="146" t="s">
        <v>1096</v>
      </c>
      <c r="E42" s="149"/>
      <c r="F42" s="149"/>
      <c r="G42" s="692"/>
      <c r="H42" s="241"/>
      <c r="I42" s="688"/>
      <c r="J42" s="688"/>
      <c r="K42" s="688"/>
      <c r="L42" s="1313"/>
      <c r="M42" s="708"/>
      <c r="N42" s="840">
        <f>SUM(I42:M42)</f>
        <v>0</v>
      </c>
      <c r="O42" s="675">
        <f>IF(N$46=0,0,N42/N$46)</f>
        <v>0</v>
      </c>
      <c r="P42" s="679"/>
    </row>
    <row r="43" spans="1:16" ht="18" customHeight="1" x14ac:dyDescent="0.25">
      <c r="A43" s="182"/>
      <c r="B43" s="679"/>
      <c r="C43" s="56" t="s">
        <v>1097</v>
      </c>
      <c r="D43" s="146" t="s">
        <v>1098</v>
      </c>
      <c r="E43" s="149"/>
      <c r="F43" s="149"/>
      <c r="G43" s="692"/>
      <c r="H43" s="241"/>
      <c r="I43" s="683"/>
      <c r="J43" s="683"/>
      <c r="K43" s="683">
        <v>1</v>
      </c>
      <c r="L43" s="1315">
        <v>1</v>
      </c>
      <c r="M43" s="707">
        <v>1</v>
      </c>
      <c r="N43" s="840">
        <f>SUM(I43:M43)</f>
        <v>3</v>
      </c>
      <c r="O43" s="675">
        <f>IF(N$46=0,0,N43/N$46)</f>
        <v>1</v>
      </c>
      <c r="P43" s="679"/>
    </row>
    <row r="44" spans="1:16" ht="18" customHeight="1" x14ac:dyDescent="0.25">
      <c r="A44" s="182"/>
      <c r="B44" s="679"/>
      <c r="C44" s="56" t="s">
        <v>1099</v>
      </c>
      <c r="D44" s="146" t="s">
        <v>1100</v>
      </c>
      <c r="E44" s="149"/>
      <c r="F44" s="149"/>
      <c r="G44" s="692"/>
      <c r="H44" s="241"/>
      <c r="I44" s="688">
        <v>1</v>
      </c>
      <c r="J44" s="688">
        <v>1</v>
      </c>
      <c r="K44" s="688">
        <v>1</v>
      </c>
      <c r="L44" s="688"/>
      <c r="M44" s="708">
        <v>1</v>
      </c>
      <c r="N44" s="840">
        <f>SUM(I44:M44)</f>
        <v>4</v>
      </c>
      <c r="O44" s="675">
        <f>IF(N$46=0,0,N44/N$46)</f>
        <v>1.3333333333333333</v>
      </c>
      <c r="P44" s="679"/>
    </row>
    <row r="45" spans="1:16" ht="18" customHeight="1" x14ac:dyDescent="0.25">
      <c r="A45" s="182"/>
      <c r="B45" s="547"/>
      <c r="C45" s="547"/>
      <c r="D45" s="742"/>
      <c r="E45" s="677"/>
      <c r="F45" s="676"/>
      <c r="G45" s="717"/>
      <c r="H45" s="731"/>
      <c r="I45" s="161">
        <f>SUM(I41:I44)</f>
        <v>1</v>
      </c>
      <c r="J45" s="161">
        <f t="shared" ref="J45:M45" si="10">SUM(J41:J44)</f>
        <v>1</v>
      </c>
      <c r="K45" s="161">
        <f t="shared" si="10"/>
        <v>2</v>
      </c>
      <c r="L45" s="161">
        <f t="shared" si="10"/>
        <v>1</v>
      </c>
      <c r="M45" s="697">
        <f t="shared" si="10"/>
        <v>2</v>
      </c>
      <c r="N45" s="841"/>
      <c r="O45" s="504"/>
      <c r="P45" s="690"/>
    </row>
    <row r="46" spans="1:16" ht="18" customHeight="1" x14ac:dyDescent="0.25">
      <c r="A46" s="679"/>
      <c r="B46" s="679"/>
      <c r="C46" s="182"/>
      <c r="D46" s="701"/>
      <c r="E46" s="326"/>
      <c r="F46" s="326"/>
      <c r="G46" s="702"/>
      <c r="H46" s="731"/>
      <c r="I46" s="64"/>
      <c r="J46" s="64"/>
      <c r="K46" s="64"/>
      <c r="L46" s="64"/>
      <c r="M46" s="709"/>
      <c r="N46" s="390">
        <f>SUM(N41:N43)</f>
        <v>3</v>
      </c>
      <c r="O46" s="500">
        <f>IF(N$46=0,0,N46/N$46)</f>
        <v>1</v>
      </c>
      <c r="P46" s="680"/>
    </row>
    <row r="47" spans="1:16" s="757" customFormat="1" ht="18" customHeight="1" x14ac:dyDescent="0.25">
      <c r="A47" s="689"/>
      <c r="B47" s="689"/>
      <c r="C47" s="182"/>
      <c r="D47" s="713"/>
      <c r="E47" s="427"/>
      <c r="F47" s="427"/>
      <c r="G47" s="759"/>
      <c r="H47" s="731"/>
      <c r="I47" s="198" t="str">
        <f>IF(AND(I$49=1,I45&gt;=1),"OK",IF(I$49=0,"","NOK"))</f>
        <v>OK</v>
      </c>
      <c r="J47" s="198" t="str">
        <f t="shared" ref="J47:M47" si="11">IF(AND(J$49=1,J45&gt;=1),"OK",IF(J$49=0,"","NOK"))</f>
        <v>OK</v>
      </c>
      <c r="K47" s="198" t="str">
        <f t="shared" si="11"/>
        <v>OK</v>
      </c>
      <c r="L47" s="198" t="str">
        <f t="shared" si="11"/>
        <v>OK</v>
      </c>
      <c r="M47" s="715" t="str">
        <f t="shared" si="11"/>
        <v>OK</v>
      </c>
      <c r="N47" s="842"/>
      <c r="O47" s="197"/>
      <c r="P47" s="689"/>
    </row>
    <row r="48" spans="1:16" ht="18" customHeight="1" x14ac:dyDescent="0.25">
      <c r="A48" s="182"/>
      <c r="B48" s="48">
        <v>0.5</v>
      </c>
      <c r="C48" s="766" t="s">
        <v>12</v>
      </c>
      <c r="D48" s="274"/>
      <c r="E48" s="50"/>
      <c r="F48" s="50"/>
      <c r="G48" s="685"/>
      <c r="H48" s="731"/>
      <c r="I48" s="691"/>
      <c r="J48" s="691"/>
      <c r="K48" s="691"/>
      <c r="L48" s="691"/>
      <c r="M48" s="693"/>
      <c r="N48" s="839"/>
      <c r="O48" s="682"/>
      <c r="P48" s="682"/>
    </row>
    <row r="49" spans="1:26" ht="18" customHeight="1" x14ac:dyDescent="0.25">
      <c r="A49" s="182"/>
      <c r="B49" s="679"/>
      <c r="C49" s="940" t="s">
        <v>1101</v>
      </c>
      <c r="D49" s="146" t="s">
        <v>1102</v>
      </c>
      <c r="E49" s="149"/>
      <c r="F49" s="149"/>
      <c r="G49" s="692"/>
      <c r="H49" s="731"/>
      <c r="I49" s="807">
        <f>IF(I18&gt;0,1,IF(I23&gt;0,1,IF(I37&gt;0,1,IF(I45&gt;0,1,0))))</f>
        <v>1</v>
      </c>
      <c r="J49" s="807">
        <f>IF(J18&gt;0,1,IF(J23&gt;0,1,IF(J37&gt;0,1,IF(J45&gt;0,1,0))))</f>
        <v>1</v>
      </c>
      <c r="K49" s="807">
        <f>IF(K18&gt;0,1,IF(K23&gt;0,1,IF(K37&gt;0,1,IF(K45&gt;0,1,0))))</f>
        <v>1</v>
      </c>
      <c r="L49" s="807">
        <f>IF(L18&gt;0,1,IF(L23&gt;0,1,IF(L37&gt;0,1,IF(L45&gt;0,1,0))))</f>
        <v>1</v>
      </c>
      <c r="M49" s="695">
        <f>IF(M18&gt;0,1,IF(M23&gt;0,1,IF(M37&gt;0,1,IF(M45&gt;0,1,0))))</f>
        <v>1</v>
      </c>
      <c r="N49" s="840">
        <f>SUM(I49:M49)</f>
        <v>5</v>
      </c>
      <c r="O49" s="197"/>
      <c r="P49" s="689"/>
    </row>
    <row r="50" spans="1:26" ht="18" customHeight="1" x14ac:dyDescent="0.25">
      <c r="A50" s="694"/>
      <c r="B50" s="679"/>
      <c r="C50" s="182"/>
      <c r="D50" s="700" t="s">
        <v>1103</v>
      </c>
      <c r="E50" s="696"/>
      <c r="F50" s="696"/>
      <c r="G50" s="768"/>
      <c r="I50" s="808">
        <f>IF(I22&lt;2,0.5,IF(AND(I22&gt;=2,I22&lt;5),1,IF(AND(I22&gt;=5,I22&lt;=10),2,IF(AND(I22&gt;10,I22&lt;=20),3,IF(I22&gt;20,4,0)))))</f>
        <v>2</v>
      </c>
      <c r="J50" s="808">
        <f t="shared" ref="J50:M50" si="12">IF(J22&lt;2,0.5,IF(AND(J22&gt;=2,J22&lt;5),1,IF(AND(J22&gt;=5,J22&lt;=10),2,IF(AND(J22&gt;10,J22&lt;=20),3,IF(J22&gt;20,4,0)))))</f>
        <v>1</v>
      </c>
      <c r="K50" s="808">
        <f t="shared" si="12"/>
        <v>1</v>
      </c>
      <c r="L50" s="808">
        <f t="shared" si="12"/>
        <v>4</v>
      </c>
      <c r="M50" s="808">
        <f t="shared" si="12"/>
        <v>2</v>
      </c>
      <c r="N50" s="843">
        <f>SUM(N43:N48)</f>
        <v>10</v>
      </c>
      <c r="O50" s="504"/>
      <c r="P50" s="781">
        <f>IF(N50=0,0,AVERAGE(I50:M50))</f>
        <v>2</v>
      </c>
      <c r="U50" s="1326">
        <f>AVERAGE(I50:M50)</f>
        <v>2</v>
      </c>
      <c r="V50" s="1417">
        <f>SUM(U50:U51)</f>
        <v>3.3</v>
      </c>
      <c r="W50" s="1326">
        <v>4</v>
      </c>
      <c r="X50" s="1326">
        <f>W50</f>
        <v>4</v>
      </c>
      <c r="Y50" s="1417">
        <f>SUM(X50:X51)</f>
        <v>6</v>
      </c>
      <c r="Z50" s="1414">
        <f>V50/Y50</f>
        <v>0.54999999999999993</v>
      </c>
    </row>
    <row r="51" spans="1:26" ht="18" customHeight="1" x14ac:dyDescent="0.25">
      <c r="A51" s="694"/>
      <c r="B51" s="679"/>
      <c r="C51" s="182"/>
      <c r="D51" s="700" t="s">
        <v>1190</v>
      </c>
      <c r="E51" s="696"/>
      <c r="F51" s="696"/>
      <c r="G51" s="768"/>
      <c r="I51" s="698">
        <f>IF(I30=1,1,IF(AND(I30&gt;1,I30&lt;=2),1.5,IF(AND(I30&gt;2,I30&lt;=3),2,IF(AND(I30&gt;3,I30&lt;=4),1.75,IF(I30&gt;4,2,0)))))</f>
        <v>1</v>
      </c>
      <c r="J51" s="698">
        <f t="shared" ref="J51:M51" si="13">IF(J30=1,1,IF(AND(J30&gt;1,J30&lt;=2),1.5,IF(AND(J30&gt;2,J30&lt;=3),2,IF(AND(J30&gt;3,J30&lt;=4),1.75,IF(J30&gt;4,2,0)))))</f>
        <v>0</v>
      </c>
      <c r="K51" s="698">
        <f t="shared" si="13"/>
        <v>1.75</v>
      </c>
      <c r="L51" s="698">
        <f t="shared" si="13"/>
        <v>1.75</v>
      </c>
      <c r="M51" s="698">
        <f t="shared" si="13"/>
        <v>2</v>
      </c>
      <c r="N51" s="843">
        <f>SUM(N46:N50)</f>
        <v>18</v>
      </c>
      <c r="O51" s="504"/>
      <c r="P51" s="781">
        <f>IF(N51=0,0,AVERAGE(I51:M51))</f>
        <v>1.3</v>
      </c>
      <c r="U51" s="1326">
        <f t="shared" ref="U51:U60" si="14">AVERAGE(I51:M51)</f>
        <v>1.3</v>
      </c>
      <c r="V51" s="1418"/>
      <c r="W51" s="1326">
        <v>2</v>
      </c>
      <c r="X51" s="1326">
        <f>W51</f>
        <v>2</v>
      </c>
      <c r="Y51" s="1418"/>
      <c r="Z51" s="1415"/>
    </row>
    <row r="52" spans="1:26" ht="18" customHeight="1" x14ac:dyDescent="0.25">
      <c r="A52" s="694"/>
      <c r="B52" s="679"/>
      <c r="C52" s="182"/>
      <c r="D52" s="700" t="s">
        <v>1104</v>
      </c>
      <c r="E52" s="696"/>
      <c r="F52" s="696"/>
      <c r="G52" s="768"/>
      <c r="I52" s="161"/>
      <c r="J52" s="161"/>
      <c r="K52" s="161"/>
      <c r="L52" s="161"/>
      <c r="M52" s="697"/>
      <c r="N52" s="841"/>
      <c r="O52" s="504"/>
      <c r="P52" s="690"/>
      <c r="U52" s="1326"/>
      <c r="V52" s="1327"/>
      <c r="W52" s="1326"/>
      <c r="X52" s="1326"/>
      <c r="Y52" s="1327"/>
      <c r="Z52" s="1328"/>
    </row>
    <row r="53" spans="1:26" ht="18" customHeight="1" x14ac:dyDescent="0.25">
      <c r="A53" s="694"/>
      <c r="B53" s="679"/>
      <c r="C53" s="182"/>
      <c r="D53" s="700" t="s">
        <v>1094</v>
      </c>
      <c r="E53" s="696"/>
      <c r="F53" s="696"/>
      <c r="G53" s="768"/>
      <c r="I53" s="698">
        <f>IF(I41=1,0,0)</f>
        <v>0</v>
      </c>
      <c r="J53" s="698">
        <f>IF(J41=1,0,0)</f>
        <v>0</v>
      </c>
      <c r="K53" s="698">
        <f>IF(K41=1,0,0)</f>
        <v>0</v>
      </c>
      <c r="L53" s="698">
        <f>IF(L41=1,0,0)</f>
        <v>0</v>
      </c>
      <c r="M53" s="699">
        <f>IF(M41=1,0,0)</f>
        <v>0</v>
      </c>
      <c r="N53" s="841"/>
      <c r="O53" s="504"/>
      <c r="P53" s="690"/>
      <c r="U53" s="1326">
        <f t="shared" si="14"/>
        <v>0</v>
      </c>
      <c r="V53" s="1417">
        <f>SUM(U53:U56)</f>
        <v>3.5999999999999996</v>
      </c>
      <c r="W53" s="1326">
        <v>0</v>
      </c>
      <c r="X53" s="1326">
        <v>0</v>
      </c>
      <c r="Y53" s="1417">
        <f>SUM(X53:X56)</f>
        <v>5</v>
      </c>
      <c r="Z53" s="1414">
        <f>V53/Y53</f>
        <v>0.72</v>
      </c>
    </row>
    <row r="54" spans="1:26" ht="18" customHeight="1" x14ac:dyDescent="0.25">
      <c r="A54" s="694"/>
      <c r="B54" s="679"/>
      <c r="C54" s="182"/>
      <c r="D54" s="700" t="s">
        <v>1096</v>
      </c>
      <c r="E54" s="696"/>
      <c r="F54" s="696"/>
      <c r="G54" s="768"/>
      <c r="I54" s="698">
        <f>IF(I42=1,1,0)</f>
        <v>0</v>
      </c>
      <c r="J54" s="698">
        <f t="shared" ref="J54:M54" si="15">IF(J42=1,1,0)</f>
        <v>0</v>
      </c>
      <c r="K54" s="698">
        <f t="shared" si="15"/>
        <v>0</v>
      </c>
      <c r="L54" s="698">
        <f t="shared" si="15"/>
        <v>0</v>
      </c>
      <c r="M54" s="699">
        <f t="shared" si="15"/>
        <v>0</v>
      </c>
      <c r="N54" s="841"/>
      <c r="O54" s="504"/>
      <c r="P54" s="690"/>
      <c r="U54" s="1326">
        <f t="shared" si="14"/>
        <v>0</v>
      </c>
      <c r="V54" s="1419"/>
      <c r="W54" s="1326">
        <v>1</v>
      </c>
      <c r="X54" s="1326">
        <v>0</v>
      </c>
      <c r="Y54" s="1419"/>
      <c r="Z54" s="1416"/>
    </row>
    <row r="55" spans="1:26" ht="18" customHeight="1" x14ac:dyDescent="0.25">
      <c r="A55" s="694"/>
      <c r="B55" s="679"/>
      <c r="C55" s="182"/>
      <c r="D55" s="700" t="s">
        <v>1098</v>
      </c>
      <c r="E55" s="696"/>
      <c r="F55" s="696"/>
      <c r="G55" s="768"/>
      <c r="I55" s="698">
        <f>IF(I43=1,2,0)</f>
        <v>0</v>
      </c>
      <c r="J55" s="698">
        <f t="shared" ref="J55:M55" si="16">IF(J43=1,2,0)</f>
        <v>0</v>
      </c>
      <c r="K55" s="698">
        <f t="shared" si="16"/>
        <v>2</v>
      </c>
      <c r="L55" s="698">
        <f t="shared" si="16"/>
        <v>2</v>
      </c>
      <c r="M55" s="699">
        <f t="shared" si="16"/>
        <v>2</v>
      </c>
      <c r="N55" s="841"/>
      <c r="O55" s="504"/>
      <c r="P55" s="690"/>
      <c r="U55" s="1326">
        <f t="shared" si="14"/>
        <v>1.2</v>
      </c>
      <c r="V55" s="1419"/>
      <c r="W55" s="1326">
        <v>2</v>
      </c>
      <c r="X55" s="1326">
        <f>W55</f>
        <v>2</v>
      </c>
      <c r="Y55" s="1419"/>
      <c r="Z55" s="1416"/>
    </row>
    <row r="56" spans="1:26" ht="18" customHeight="1" x14ac:dyDescent="0.25">
      <c r="A56" s="694"/>
      <c r="B56" s="679"/>
      <c r="C56" s="182"/>
      <c r="D56" s="700" t="s">
        <v>1100</v>
      </c>
      <c r="E56" s="696"/>
      <c r="F56" s="696"/>
      <c r="G56" s="768"/>
      <c r="I56" s="698">
        <f>IF(I44=1,3,0)</f>
        <v>3</v>
      </c>
      <c r="J56" s="698">
        <f t="shared" ref="J56:M56" si="17">IF(J44=1,3,0)</f>
        <v>3</v>
      </c>
      <c r="K56" s="698">
        <f t="shared" si="17"/>
        <v>3</v>
      </c>
      <c r="L56" s="698">
        <f t="shared" si="17"/>
        <v>0</v>
      </c>
      <c r="M56" s="699">
        <f t="shared" si="17"/>
        <v>3</v>
      </c>
      <c r="N56" s="841"/>
      <c r="O56" s="504"/>
      <c r="P56" s="690"/>
      <c r="U56" s="1326">
        <f t="shared" si="14"/>
        <v>2.4</v>
      </c>
      <c r="V56" s="1418"/>
      <c r="W56" s="1326">
        <v>3</v>
      </c>
      <c r="X56" s="1326">
        <f t="shared" ref="X56:X60" si="18">W56</f>
        <v>3</v>
      </c>
      <c r="Y56" s="1418"/>
      <c r="Z56" s="1415"/>
    </row>
    <row r="57" spans="1:26" ht="18" customHeight="1" x14ac:dyDescent="0.25">
      <c r="A57" s="694"/>
      <c r="B57" s="679"/>
      <c r="C57" s="182"/>
      <c r="D57" s="700" t="s">
        <v>1105</v>
      </c>
      <c r="E57" s="696"/>
      <c r="F57" s="696"/>
      <c r="G57" s="768"/>
      <c r="I57" s="161"/>
      <c r="J57" s="161"/>
      <c r="K57" s="161"/>
      <c r="L57" s="161"/>
      <c r="M57" s="697"/>
      <c r="N57" s="841"/>
      <c r="O57" s="504"/>
      <c r="P57" s="690"/>
      <c r="U57" s="1326"/>
      <c r="V57" s="1327"/>
      <c r="W57" s="1326"/>
      <c r="X57" s="1326"/>
      <c r="Y57" s="1327"/>
      <c r="Z57" s="1328"/>
    </row>
    <row r="58" spans="1:26" ht="18" customHeight="1" x14ac:dyDescent="0.25">
      <c r="A58" s="694"/>
      <c r="B58" s="679"/>
      <c r="C58" s="182"/>
      <c r="D58" s="700" t="s">
        <v>1106</v>
      </c>
      <c r="E58" s="696"/>
      <c r="F58" s="696"/>
      <c r="G58" s="768"/>
      <c r="I58" s="808">
        <f>IF(I68=1,1,0)</f>
        <v>1</v>
      </c>
      <c r="J58" s="808">
        <f t="shared" ref="J58:M59" si="19">IF(J68=1,1,0)</f>
        <v>1</v>
      </c>
      <c r="K58" s="808">
        <f t="shared" si="19"/>
        <v>1</v>
      </c>
      <c r="L58" s="808">
        <f t="shared" si="19"/>
        <v>1</v>
      </c>
      <c r="M58" s="780">
        <f t="shared" si="19"/>
        <v>1</v>
      </c>
      <c r="N58" s="841"/>
      <c r="O58" s="504"/>
      <c r="P58" s="690"/>
      <c r="U58" s="1326">
        <f t="shared" si="14"/>
        <v>1</v>
      </c>
      <c r="V58" s="1417">
        <f>SUM(U58:U60)</f>
        <v>2.4</v>
      </c>
      <c r="W58" s="1326">
        <v>1</v>
      </c>
      <c r="X58" s="1326">
        <f t="shared" si="18"/>
        <v>1</v>
      </c>
      <c r="Y58" s="1417">
        <f>SUM(X58:X60)</f>
        <v>4</v>
      </c>
      <c r="Z58" s="1414">
        <f>V58/Y58</f>
        <v>0.6</v>
      </c>
    </row>
    <row r="59" spans="1:26" ht="18" customHeight="1" x14ac:dyDescent="0.25">
      <c r="A59" s="694"/>
      <c r="B59" s="679"/>
      <c r="C59" s="182"/>
      <c r="D59" s="700" t="s">
        <v>1107</v>
      </c>
      <c r="E59" s="696"/>
      <c r="F59" s="696"/>
      <c r="G59" s="768"/>
      <c r="I59" s="808">
        <f t="shared" ref="I59" si="20">IF(I69=1,1,0)</f>
        <v>1</v>
      </c>
      <c r="J59" s="808">
        <f>IF(J69=1,1,0)</f>
        <v>1</v>
      </c>
      <c r="K59" s="808">
        <f t="shared" si="19"/>
        <v>1</v>
      </c>
      <c r="L59" s="808">
        <f t="shared" si="19"/>
        <v>1</v>
      </c>
      <c r="M59" s="780">
        <f t="shared" si="19"/>
        <v>1</v>
      </c>
      <c r="N59" s="841"/>
      <c r="O59" s="504"/>
      <c r="P59" s="690"/>
      <c r="U59" s="1326">
        <f t="shared" si="14"/>
        <v>1</v>
      </c>
      <c r="V59" s="1419"/>
      <c r="W59" s="1326">
        <v>1</v>
      </c>
      <c r="X59" s="1326">
        <f t="shared" si="18"/>
        <v>1</v>
      </c>
      <c r="Y59" s="1419"/>
      <c r="Z59" s="1416"/>
    </row>
    <row r="60" spans="1:26" ht="18" customHeight="1" x14ac:dyDescent="0.25">
      <c r="A60" s="694"/>
      <c r="B60" s="679"/>
      <c r="C60" s="182"/>
      <c r="D60" s="700" t="s">
        <v>1108</v>
      </c>
      <c r="E60" s="696"/>
      <c r="F60" s="696"/>
      <c r="G60" s="768"/>
      <c r="I60" s="808">
        <f>IF(I71=1,2,0)</f>
        <v>0</v>
      </c>
      <c r="J60" s="808">
        <f t="shared" ref="J60:M60" si="21">IF(J71=1,2,0)</f>
        <v>0</v>
      </c>
      <c r="K60" s="808">
        <f t="shared" si="21"/>
        <v>0</v>
      </c>
      <c r="L60" s="808">
        <f t="shared" si="21"/>
        <v>2</v>
      </c>
      <c r="M60" s="808">
        <f t="shared" si="21"/>
        <v>0</v>
      </c>
      <c r="N60" s="841"/>
      <c r="O60" s="504"/>
      <c r="P60" s="690"/>
      <c r="U60" s="1326">
        <f t="shared" si="14"/>
        <v>0.4</v>
      </c>
      <c r="V60" s="1418"/>
      <c r="W60" s="1326">
        <v>2</v>
      </c>
      <c r="X60" s="1326">
        <f t="shared" si="18"/>
        <v>2</v>
      </c>
      <c r="Y60" s="1418"/>
      <c r="Z60" s="1415"/>
    </row>
    <row r="61" spans="1:26" ht="18" customHeight="1" x14ac:dyDescent="0.25">
      <c r="A61" s="694"/>
      <c r="B61" s="679"/>
      <c r="C61" s="182"/>
      <c r="D61" s="700" t="s">
        <v>1109</v>
      </c>
      <c r="E61" s="696"/>
      <c r="F61" s="696"/>
      <c r="G61" s="768"/>
      <c r="I61" s="698">
        <f>SUM(I50:I60)</f>
        <v>8</v>
      </c>
      <c r="J61" s="698">
        <f t="shared" ref="J61:M61" si="22">SUM(J50:J60)</f>
        <v>6</v>
      </c>
      <c r="K61" s="698">
        <f t="shared" si="22"/>
        <v>9.75</v>
      </c>
      <c r="L61" s="698">
        <f t="shared" si="22"/>
        <v>11.75</v>
      </c>
      <c r="M61" s="699">
        <f t="shared" si="22"/>
        <v>11</v>
      </c>
      <c r="N61" s="841">
        <f>SUM(N50:N52)</f>
        <v>28</v>
      </c>
      <c r="O61" s="504"/>
      <c r="P61" s="690"/>
      <c r="U61" s="1326">
        <f>SUM(U50:U60)</f>
        <v>9.3000000000000007</v>
      </c>
      <c r="V61" s="1326">
        <f>SUM(V50:V60)</f>
        <v>9.2999999999999989</v>
      </c>
      <c r="W61" s="1326">
        <f>SUM(W50:W60)</f>
        <v>16</v>
      </c>
      <c r="X61" s="1326">
        <f>SUM(X50:X60)</f>
        <v>15</v>
      </c>
      <c r="Y61" s="1326">
        <f>SUM(Y50:Y60)</f>
        <v>15</v>
      </c>
      <c r="Z61" s="1326"/>
    </row>
    <row r="62" spans="1:26" ht="18" customHeight="1" x14ac:dyDescent="0.25">
      <c r="A62" s="694"/>
      <c r="B62" s="679"/>
      <c r="C62" s="182"/>
      <c r="D62" s="700" t="s">
        <v>321</v>
      </c>
      <c r="E62" s="696"/>
      <c r="F62" s="696"/>
      <c r="G62" s="768"/>
      <c r="I62" s="161">
        <v>15</v>
      </c>
      <c r="J62" s="161">
        <v>15</v>
      </c>
      <c r="K62" s="161">
        <v>15</v>
      </c>
      <c r="L62" s="161">
        <v>15</v>
      </c>
      <c r="M62" s="697">
        <v>15</v>
      </c>
      <c r="N62" s="841">
        <f>SUM(N51:N61)</f>
        <v>46</v>
      </c>
      <c r="O62" s="504"/>
      <c r="P62" s="690"/>
      <c r="U62" s="1326">
        <f>I62</f>
        <v>15</v>
      </c>
      <c r="V62" s="1326">
        <f>J62</f>
        <v>15</v>
      </c>
      <c r="W62" s="1327"/>
      <c r="X62" s="1327"/>
      <c r="Y62" s="1326"/>
      <c r="Z62" s="1326"/>
    </row>
    <row r="63" spans="1:26" ht="18" customHeight="1" x14ac:dyDescent="0.25">
      <c r="A63" s="694"/>
      <c r="B63" s="679"/>
      <c r="C63" s="940" t="s">
        <v>1110</v>
      </c>
      <c r="D63" s="146" t="s">
        <v>1111</v>
      </c>
      <c r="E63" s="149"/>
      <c r="F63" s="149"/>
      <c r="G63" s="692"/>
      <c r="H63" s="731"/>
      <c r="I63" s="197">
        <f>IF(I49=0,0,I61/I62)</f>
        <v>0.53333333333333333</v>
      </c>
      <c r="J63" s="197">
        <f t="shared" ref="J63:M63" si="23">IF(J49=0,0,J61/J62)</f>
        <v>0.4</v>
      </c>
      <c r="K63" s="197">
        <f t="shared" si="23"/>
        <v>0.65</v>
      </c>
      <c r="L63" s="197">
        <f t="shared" si="23"/>
        <v>0.78333333333333333</v>
      </c>
      <c r="M63" s="191">
        <f t="shared" si="23"/>
        <v>0.73333333333333328</v>
      </c>
      <c r="N63" s="844"/>
      <c r="O63" s="197"/>
      <c r="P63" s="716">
        <f>N64</f>
        <v>0.62</v>
      </c>
      <c r="R63" s="1081">
        <f>P63</f>
        <v>0.62</v>
      </c>
      <c r="S63" s="786">
        <f>IF(R63=0,0,IF(R63&gt;=0.75,1,IF(AND(R63&lt;0.75,R63&gt;=0.5),2,IF(R63&lt;0.5,3,0))))</f>
        <v>2</v>
      </c>
      <c r="U63" s="1329">
        <f>U61/U62</f>
        <v>0.62</v>
      </c>
      <c r="V63" s="1329">
        <f>V61/V62</f>
        <v>0.61999999999999988</v>
      </c>
      <c r="W63" s="1330"/>
      <c r="X63" s="1330"/>
      <c r="Y63" s="1329"/>
      <c r="Z63" s="1329">
        <f>AVERAGE(Z50:Z60)</f>
        <v>0.62333333333333341</v>
      </c>
    </row>
    <row r="64" spans="1:26" ht="18" customHeight="1" x14ac:dyDescent="0.25">
      <c r="A64" s="694"/>
      <c r="B64" s="694"/>
      <c r="C64" s="325"/>
      <c r="D64" s="701"/>
      <c r="E64" s="326"/>
      <c r="F64" s="326"/>
      <c r="G64" s="702"/>
      <c r="H64" s="241"/>
      <c r="I64" s="500">
        <f>IF(I49=1,I63,"")</f>
        <v>0.53333333333333333</v>
      </c>
      <c r="J64" s="500">
        <f t="shared" ref="J64:M64" si="24">IF(J49=1,J63,"")</f>
        <v>0.4</v>
      </c>
      <c r="K64" s="500">
        <f t="shared" si="24"/>
        <v>0.65</v>
      </c>
      <c r="L64" s="500">
        <f t="shared" si="24"/>
        <v>0.78333333333333333</v>
      </c>
      <c r="M64" s="614">
        <f t="shared" si="24"/>
        <v>0.73333333333333328</v>
      </c>
      <c r="N64" s="845">
        <f>AVERAGE(I64:M64)</f>
        <v>0.62</v>
      </c>
      <c r="O64" s="500"/>
      <c r="P64" s="680"/>
    </row>
    <row r="65" spans="1:23" ht="17.100000000000001" customHeight="1" x14ac:dyDescent="0.25">
      <c r="A65" s="662"/>
      <c r="B65" s="662"/>
      <c r="C65" s="662"/>
      <c r="D65" s="662"/>
      <c r="E65" s="662"/>
      <c r="I65" s="704"/>
      <c r="J65" s="705"/>
    </row>
    <row r="66" spans="1:23" ht="18" customHeight="1" thickBot="1" x14ac:dyDescent="0.3">
      <c r="A66" s="800" t="s">
        <v>13</v>
      </c>
      <c r="B66" s="801" t="s">
        <v>1112</v>
      </c>
      <c r="C66" s="802"/>
      <c r="D66" s="802"/>
      <c r="E66" s="802"/>
      <c r="F66" s="802"/>
      <c r="G66" s="803"/>
      <c r="H66" s="773"/>
      <c r="I66" s="706">
        <f>I49</f>
        <v>1</v>
      </c>
      <c r="J66" s="706">
        <f>J49</f>
        <v>1</v>
      </c>
      <c r="K66" s="706">
        <f>K49</f>
        <v>1</v>
      </c>
      <c r="L66" s="706">
        <f>L49</f>
        <v>1</v>
      </c>
      <c r="M66" s="706">
        <f>M49</f>
        <v>1</v>
      </c>
      <c r="N66" s="847" t="s">
        <v>4</v>
      </c>
      <c r="O66" s="669" t="s">
        <v>5</v>
      </c>
      <c r="P66" s="669" t="s">
        <v>6</v>
      </c>
    </row>
    <row r="67" spans="1:23" ht="18" customHeight="1" x14ac:dyDescent="0.25">
      <c r="A67" s="182"/>
      <c r="B67" s="48" t="s">
        <v>15</v>
      </c>
      <c r="C67" s="274" t="s">
        <v>1113</v>
      </c>
      <c r="D67" s="274"/>
      <c r="E67" s="50"/>
      <c r="F67" s="50"/>
      <c r="G67" s="685"/>
      <c r="H67" s="731"/>
      <c r="I67" s="809"/>
      <c r="J67" s="809"/>
      <c r="K67" s="809"/>
      <c r="L67" s="809"/>
      <c r="M67" s="846"/>
      <c r="N67" s="848"/>
      <c r="O67" s="810"/>
      <c r="P67" s="810"/>
    </row>
    <row r="68" spans="1:23" ht="18" customHeight="1" x14ac:dyDescent="0.25">
      <c r="A68" s="182"/>
      <c r="B68" s="547"/>
      <c r="C68" s="180" t="s">
        <v>17</v>
      </c>
      <c r="D68" s="146" t="s">
        <v>1191</v>
      </c>
      <c r="E68" s="149"/>
      <c r="F68" s="149"/>
      <c r="G68" s="692"/>
      <c r="H68" s="731"/>
      <c r="I68" s="683">
        <v>1</v>
      </c>
      <c r="J68" s="683">
        <v>1</v>
      </c>
      <c r="K68" s="683">
        <v>1</v>
      </c>
      <c r="L68" s="683">
        <v>1</v>
      </c>
      <c r="M68" s="707">
        <v>1</v>
      </c>
      <c r="N68" s="840">
        <f>SUM(I68:M68)</f>
        <v>5</v>
      </c>
      <c r="O68" s="675">
        <f>IF(N$73=0,0,N68/N$73)</f>
        <v>1</v>
      </c>
      <c r="P68" s="679"/>
      <c r="R68" s="1340">
        <f>IF(AND(I68=1,I69=0,I71=0),1,0)</f>
        <v>0</v>
      </c>
      <c r="S68" s="1340">
        <f t="shared" ref="S68:V68" si="25">IF(AND(J68=1,J69=0,J71=0),1,0)</f>
        <v>0</v>
      </c>
      <c r="T68" s="1340">
        <f t="shared" si="25"/>
        <v>0</v>
      </c>
      <c r="U68" s="1340">
        <f t="shared" si="25"/>
        <v>0</v>
      </c>
      <c r="V68" s="1340">
        <f t="shared" si="25"/>
        <v>0</v>
      </c>
      <c r="W68" s="55">
        <f>SUM(R68:V68)</f>
        <v>0</v>
      </c>
    </row>
    <row r="69" spans="1:23" ht="18" customHeight="1" x14ac:dyDescent="0.25">
      <c r="A69" s="182"/>
      <c r="B69" s="547"/>
      <c r="C69" s="180" t="s">
        <v>18</v>
      </c>
      <c r="D69" s="146" t="s">
        <v>1114</v>
      </c>
      <c r="E69" s="149"/>
      <c r="F69" s="149"/>
      <c r="G69" s="692"/>
      <c r="H69" s="731"/>
      <c r="I69" s="688">
        <v>1</v>
      </c>
      <c r="J69" s="688">
        <v>1</v>
      </c>
      <c r="K69" s="688">
        <v>1</v>
      </c>
      <c r="L69" s="688">
        <v>1</v>
      </c>
      <c r="M69" s="708">
        <v>1</v>
      </c>
      <c r="N69" s="840">
        <f>SUM(I69:M69)</f>
        <v>5</v>
      </c>
      <c r="O69" s="675">
        <f>IF(N$73=0,0,N69/N$73)</f>
        <v>1</v>
      </c>
      <c r="P69" s="679"/>
      <c r="R69" s="1340">
        <f>IF(AND(SUM(I68:I69)=2,I71=0),1,0)</f>
        <v>1</v>
      </c>
      <c r="S69" s="1340">
        <f t="shared" ref="S69:V69" si="26">IF(AND(SUM(J68:J69)=2,J71=0),1,0)</f>
        <v>1</v>
      </c>
      <c r="T69" s="1340">
        <f t="shared" si="26"/>
        <v>1</v>
      </c>
      <c r="U69" s="1340">
        <f t="shared" si="26"/>
        <v>0</v>
      </c>
      <c r="V69" s="1340">
        <f t="shared" si="26"/>
        <v>1</v>
      </c>
      <c r="W69" s="55">
        <f t="shared" ref="W69:W71" si="27">SUM(R69:V69)</f>
        <v>4</v>
      </c>
    </row>
    <row r="70" spans="1:23" ht="18" customHeight="1" x14ac:dyDescent="0.25">
      <c r="A70" s="182"/>
      <c r="B70" s="547"/>
      <c r="C70" s="180" t="s">
        <v>19</v>
      </c>
      <c r="D70" s="146" t="s">
        <v>1108</v>
      </c>
      <c r="E70" s="149"/>
      <c r="F70" s="149"/>
      <c r="G70" s="692"/>
      <c r="H70" s="731"/>
      <c r="I70" s="174"/>
      <c r="J70" s="174"/>
      <c r="K70" s="174"/>
      <c r="L70" s="174"/>
      <c r="M70" s="712"/>
      <c r="N70" s="849"/>
      <c r="O70" s="404"/>
      <c r="P70" s="710"/>
      <c r="R70" s="1340">
        <f>IF(AND(SUM(I68:I69)=1,I71=1),1,0)</f>
        <v>0</v>
      </c>
      <c r="S70" s="1340">
        <f t="shared" ref="S70:V70" si="28">IF(AND(SUM(J68:J69)=1,J71=1),1,0)</f>
        <v>0</v>
      </c>
      <c r="T70" s="1340">
        <f t="shared" si="28"/>
        <v>0</v>
      </c>
      <c r="U70" s="1340">
        <f t="shared" si="28"/>
        <v>0</v>
      </c>
      <c r="V70" s="1340">
        <f t="shared" si="28"/>
        <v>0</v>
      </c>
      <c r="W70" s="55">
        <f t="shared" si="27"/>
        <v>0</v>
      </c>
    </row>
    <row r="71" spans="1:23" ht="18" customHeight="1" x14ac:dyDescent="0.25">
      <c r="A71" s="182"/>
      <c r="B71" s="547"/>
      <c r="C71" s="547"/>
      <c r="D71" s="56" t="s">
        <v>1115</v>
      </c>
      <c r="E71" s="149" t="s">
        <v>9</v>
      </c>
      <c r="F71" s="149"/>
      <c r="G71" s="692"/>
      <c r="H71" s="731"/>
      <c r="I71" s="1313"/>
      <c r="J71" s="1313"/>
      <c r="K71" s="1313"/>
      <c r="L71" s="683">
        <v>1</v>
      </c>
      <c r="M71" s="1314"/>
      <c r="N71" s="842">
        <f>SUM(I71:M71)</f>
        <v>1</v>
      </c>
      <c r="O71" s="197">
        <f>IF(N$73=0,0,N71/N$73)</f>
        <v>0.2</v>
      </c>
      <c r="P71" s="679"/>
      <c r="R71" s="1340">
        <f>IF(SUM(I68:I71)=3,1,0)</f>
        <v>0</v>
      </c>
      <c r="S71" s="1340">
        <f t="shared" ref="S71:V71" si="29">IF(SUM(J68:J71)=3,1,0)</f>
        <v>0</v>
      </c>
      <c r="T71" s="1340">
        <f t="shared" si="29"/>
        <v>0</v>
      </c>
      <c r="U71" s="1340">
        <f t="shared" si="29"/>
        <v>1</v>
      </c>
      <c r="V71" s="1340">
        <f t="shared" si="29"/>
        <v>0</v>
      </c>
      <c r="W71" s="55">
        <f t="shared" si="27"/>
        <v>1</v>
      </c>
    </row>
    <row r="72" spans="1:23" ht="18" customHeight="1" x14ac:dyDescent="0.25">
      <c r="A72" s="182"/>
      <c r="B72" s="547"/>
      <c r="C72" s="547"/>
      <c r="D72" s="56" t="s">
        <v>1192</v>
      </c>
      <c r="E72" s="149" t="s">
        <v>11</v>
      </c>
      <c r="F72" s="149"/>
      <c r="G72" s="692"/>
      <c r="H72" s="731"/>
      <c r="I72" s="688">
        <v>1</v>
      </c>
      <c r="J72" s="688">
        <v>1</v>
      </c>
      <c r="K72" s="688">
        <v>1</v>
      </c>
      <c r="L72" s="688"/>
      <c r="M72" s="708">
        <v>1</v>
      </c>
      <c r="N72" s="840"/>
      <c r="O72" s="675"/>
      <c r="P72" s="679"/>
      <c r="R72" s="55">
        <f>SUM(R68:R71)</f>
        <v>1</v>
      </c>
      <c r="S72" s="55">
        <f t="shared" ref="S72:W72" si="30">SUM(S68:S71)</f>
        <v>1</v>
      </c>
      <c r="T72" s="55">
        <f t="shared" si="30"/>
        <v>1</v>
      </c>
      <c r="U72" s="55">
        <f t="shared" si="30"/>
        <v>1</v>
      </c>
      <c r="V72" s="55">
        <f t="shared" si="30"/>
        <v>1</v>
      </c>
      <c r="W72" s="55">
        <f t="shared" si="30"/>
        <v>5</v>
      </c>
    </row>
    <row r="73" spans="1:23" ht="18" customHeight="1" x14ac:dyDescent="0.25">
      <c r="A73" s="679"/>
      <c r="B73" s="679"/>
      <c r="C73" s="325"/>
      <c r="D73" s="326"/>
      <c r="E73" s="326"/>
      <c r="F73" s="326"/>
      <c r="G73" s="702"/>
      <c r="H73" s="731"/>
      <c r="I73" s="64"/>
      <c r="J73" s="64"/>
      <c r="K73" s="64"/>
      <c r="L73" s="64"/>
      <c r="M73" s="709"/>
      <c r="N73" s="390">
        <f>N49</f>
        <v>5</v>
      </c>
      <c r="O73" s="500">
        <f>IF(N$73=0,0,N73/N$73)</f>
        <v>1</v>
      </c>
      <c r="P73" s="680"/>
    </row>
    <row r="74" spans="1:23" ht="18" customHeight="1" x14ac:dyDescent="0.25">
      <c r="A74" s="679"/>
      <c r="B74" s="679"/>
      <c r="C74" s="149" t="s">
        <v>1193</v>
      </c>
      <c r="D74" s="167"/>
      <c r="E74" s="149"/>
      <c r="F74" s="149"/>
      <c r="G74" s="692"/>
      <c r="H74" s="782"/>
      <c r="I74" s="174"/>
      <c r="J74" s="174"/>
      <c r="K74" s="174"/>
      <c r="L74" s="174"/>
      <c r="M74" s="712"/>
      <c r="N74" s="849"/>
      <c r="O74" s="404"/>
      <c r="P74" s="710"/>
    </row>
    <row r="75" spans="1:23" ht="18" customHeight="1" x14ac:dyDescent="0.25">
      <c r="A75" s="1312"/>
      <c r="B75" s="679"/>
      <c r="C75" s="180" t="s">
        <v>1116</v>
      </c>
      <c r="D75" s="294" t="s">
        <v>1837</v>
      </c>
      <c r="E75" s="603"/>
      <c r="F75" s="603"/>
      <c r="G75" s="873"/>
      <c r="H75" s="731"/>
      <c r="I75" s="1313"/>
      <c r="J75" s="1313"/>
      <c r="K75" s="1313"/>
      <c r="L75" s="683">
        <v>1</v>
      </c>
      <c r="M75" s="1314"/>
      <c r="N75" s="390"/>
      <c r="O75" s="500"/>
      <c r="P75" s="680"/>
    </row>
    <row r="76" spans="1:23" ht="18" customHeight="1" x14ac:dyDescent="0.25">
      <c r="A76" s="1312"/>
      <c r="B76" s="679"/>
      <c r="C76" s="180" t="s">
        <v>1194</v>
      </c>
      <c r="D76" s="708" t="s">
        <v>1545</v>
      </c>
      <c r="E76" s="604"/>
      <c r="F76" s="604"/>
      <c r="G76" s="874"/>
      <c r="H76" s="731"/>
      <c r="I76" s="1313"/>
      <c r="J76" s="688"/>
      <c r="K76" s="688"/>
      <c r="L76" s="1313"/>
      <c r="M76" s="1314"/>
      <c r="N76" s="390"/>
      <c r="O76" s="500"/>
      <c r="P76" s="680"/>
    </row>
    <row r="77" spans="1:23" ht="18" customHeight="1" x14ac:dyDescent="0.25">
      <c r="A77" s="1312"/>
      <c r="B77" s="679"/>
      <c r="C77" s="180" t="s">
        <v>1195</v>
      </c>
      <c r="D77" s="707" t="s">
        <v>1545</v>
      </c>
      <c r="E77" s="603"/>
      <c r="F77" s="603"/>
      <c r="G77" s="873"/>
      <c r="H77" s="731"/>
      <c r="I77" s="683"/>
      <c r="J77" s="683"/>
      <c r="K77" s="683"/>
      <c r="L77" s="1313"/>
      <c r="M77" s="707"/>
      <c r="N77" s="390"/>
      <c r="O77" s="500"/>
      <c r="P77" s="680"/>
    </row>
    <row r="78" spans="1:23" ht="18" customHeight="1" x14ac:dyDescent="0.25">
      <c r="A78" s="1312"/>
      <c r="B78" s="679"/>
      <c r="C78" s="180" t="s">
        <v>1196</v>
      </c>
      <c r="D78" s="708" t="s">
        <v>1545</v>
      </c>
      <c r="E78" s="604"/>
      <c r="F78" s="604"/>
      <c r="G78" s="874"/>
      <c r="H78" s="731"/>
      <c r="I78" s="688"/>
      <c r="J78" s="688"/>
      <c r="K78" s="688"/>
      <c r="L78" s="1313"/>
      <c r="M78" s="708"/>
      <c r="N78" s="842"/>
      <c r="O78" s="197"/>
      <c r="P78" s="689"/>
    </row>
    <row r="79" spans="1:23" ht="18" customHeight="1" x14ac:dyDescent="0.25">
      <c r="A79" s="679"/>
      <c r="B79" s="679"/>
      <c r="C79" s="325"/>
      <c r="D79" s="326"/>
      <c r="E79" s="326"/>
      <c r="F79" s="326"/>
      <c r="G79" s="702"/>
      <c r="H79" s="731"/>
      <c r="I79" s="64"/>
      <c r="J79" s="64"/>
      <c r="K79" s="64"/>
      <c r="L79" s="64"/>
      <c r="M79" s="709"/>
      <c r="N79" s="390"/>
      <c r="O79" s="500"/>
      <c r="P79" s="680"/>
    </row>
    <row r="80" spans="1:23" ht="18" customHeight="1" x14ac:dyDescent="0.25">
      <c r="A80" s="182"/>
      <c r="B80" s="547"/>
      <c r="C80" s="180" t="s">
        <v>1197</v>
      </c>
      <c r="D80" s="146" t="s">
        <v>1198</v>
      </c>
      <c r="E80" s="149"/>
      <c r="F80" s="149"/>
      <c r="G80" s="692"/>
      <c r="H80" s="731"/>
      <c r="I80" s="56"/>
      <c r="J80" s="56"/>
      <c r="K80" s="56"/>
      <c r="L80" s="56"/>
      <c r="M80" s="180"/>
      <c r="N80" s="850"/>
      <c r="O80" s="710"/>
      <c r="P80" s="710"/>
    </row>
    <row r="81" spans="1:16" ht="18" customHeight="1" x14ac:dyDescent="0.25">
      <c r="A81" s="182"/>
      <c r="B81" s="547"/>
      <c r="C81" s="547"/>
      <c r="D81" s="56" t="s">
        <v>1117</v>
      </c>
      <c r="E81" s="146" t="s">
        <v>1199</v>
      </c>
      <c r="F81" s="149"/>
      <c r="G81" s="692"/>
      <c r="H81" s="731"/>
      <c r="I81" s="683"/>
      <c r="J81" s="683"/>
      <c r="K81" s="683"/>
      <c r="L81" s="683"/>
      <c r="M81" s="707"/>
      <c r="N81" s="840">
        <f>SUM(I81:M81)</f>
        <v>0</v>
      </c>
      <c r="O81" s="675">
        <f>IF(N$87=0,0,N81/N$87)</f>
        <v>0</v>
      </c>
      <c r="P81" s="679"/>
    </row>
    <row r="82" spans="1:16" ht="18" customHeight="1" x14ac:dyDescent="0.25">
      <c r="A82" s="182"/>
      <c r="B82" s="547"/>
      <c r="C82" s="547"/>
      <c r="D82" s="56" t="s">
        <v>1118</v>
      </c>
      <c r="E82" s="146" t="s">
        <v>1119</v>
      </c>
      <c r="F82" s="149"/>
      <c r="G82" s="692"/>
      <c r="H82" s="731"/>
      <c r="I82" s="688"/>
      <c r="J82" s="688"/>
      <c r="K82" s="688"/>
      <c r="L82" s="688"/>
      <c r="M82" s="708"/>
      <c r="N82" s="840">
        <f>SUM(I82:M82)</f>
        <v>0</v>
      </c>
      <c r="O82" s="675">
        <f>IF(N$87=0,0,N82/N$87)</f>
        <v>0</v>
      </c>
      <c r="P82" s="679"/>
    </row>
    <row r="83" spans="1:16" ht="18" customHeight="1" x14ac:dyDescent="0.25">
      <c r="A83" s="182"/>
      <c r="B83" s="547"/>
      <c r="C83" s="547"/>
      <c r="D83" s="56" t="s">
        <v>1120</v>
      </c>
      <c r="E83" s="146" t="s">
        <v>1200</v>
      </c>
      <c r="F83" s="149"/>
      <c r="G83" s="692"/>
      <c r="H83" s="731"/>
      <c r="I83" s="683"/>
      <c r="J83" s="683"/>
      <c r="K83" s="683"/>
      <c r="L83" s="683"/>
      <c r="M83" s="707"/>
      <c r="N83" s="840">
        <f>SUM(I83:M83)</f>
        <v>0</v>
      </c>
      <c r="O83" s="675">
        <f>IF(N$87=0,0,N83/N$87)</f>
        <v>0</v>
      </c>
      <c r="P83" s="679"/>
    </row>
    <row r="84" spans="1:16" ht="18" customHeight="1" x14ac:dyDescent="0.25">
      <c r="A84" s="182"/>
      <c r="B84" s="547"/>
      <c r="C84" s="547"/>
      <c r="D84" s="56" t="s">
        <v>1121</v>
      </c>
      <c r="E84" s="146" t="s">
        <v>1122</v>
      </c>
      <c r="F84" s="149"/>
      <c r="G84" s="692"/>
      <c r="H84" s="731"/>
      <c r="I84" s="688"/>
      <c r="J84" s="688"/>
      <c r="K84" s="688"/>
      <c r="L84" s="688">
        <v>1</v>
      </c>
      <c r="M84" s="708"/>
      <c r="N84" s="840">
        <f>SUM(I84:M84)</f>
        <v>1</v>
      </c>
      <c r="O84" s="675">
        <f>IF(N$87=0,0,N84/N$87)</f>
        <v>0.2</v>
      </c>
      <c r="P84" s="679"/>
    </row>
    <row r="85" spans="1:16" ht="18" customHeight="1" x14ac:dyDescent="0.25">
      <c r="A85" s="182"/>
      <c r="B85" s="547"/>
      <c r="C85" s="547"/>
      <c r="D85" s="56" t="s">
        <v>1123</v>
      </c>
      <c r="E85" s="146" t="s">
        <v>1201</v>
      </c>
      <c r="F85" s="149"/>
      <c r="G85" s="692"/>
      <c r="H85" s="731"/>
      <c r="I85" s="683">
        <v>1</v>
      </c>
      <c r="J85" s="683">
        <v>1</v>
      </c>
      <c r="K85" s="683">
        <v>1</v>
      </c>
      <c r="L85" s="683"/>
      <c r="M85" s="707">
        <v>1</v>
      </c>
      <c r="N85" s="840">
        <f>SUM(I85:M85)</f>
        <v>4</v>
      </c>
      <c r="O85" s="675">
        <f>IF(N$87=0,0,N85/N$87)</f>
        <v>0.8</v>
      </c>
      <c r="P85" s="679"/>
    </row>
    <row r="86" spans="1:16" ht="18" customHeight="1" x14ac:dyDescent="0.25">
      <c r="A86" s="182"/>
      <c r="B86" s="547"/>
      <c r="C86" s="547"/>
      <c r="D86" s="676"/>
      <c r="E86" s="677"/>
      <c r="F86" s="676"/>
      <c r="G86" s="717"/>
      <c r="H86" s="731"/>
      <c r="I86" s="161">
        <f>SUM(I81:I85)</f>
        <v>1</v>
      </c>
      <c r="J86" s="161">
        <f>SUM(J81:J85)</f>
        <v>1</v>
      </c>
      <c r="K86" s="161">
        <f>SUM(K81:K85)</f>
        <v>1</v>
      </c>
      <c r="L86" s="161">
        <f>SUM(L81:L85)</f>
        <v>1</v>
      </c>
      <c r="M86" s="697">
        <f>SUM(M81:M85)</f>
        <v>1</v>
      </c>
      <c r="N86" s="841"/>
      <c r="O86" s="504"/>
      <c r="P86" s="690"/>
    </row>
    <row r="87" spans="1:16" ht="18" customHeight="1" x14ac:dyDescent="0.25">
      <c r="A87" s="182"/>
      <c r="B87" s="689"/>
      <c r="C87" s="325"/>
      <c r="D87" s="326"/>
      <c r="E87" s="326"/>
      <c r="F87" s="326"/>
      <c r="G87" s="702"/>
      <c r="H87" s="731"/>
      <c r="I87" s="64"/>
      <c r="J87" s="64"/>
      <c r="K87" s="64"/>
      <c r="L87" s="64"/>
      <c r="M87" s="709"/>
      <c r="N87" s="390">
        <f>SUM(N81:N85)</f>
        <v>5</v>
      </c>
      <c r="O87" s="500">
        <f>IF(N$87=0,0,N87/N$87)</f>
        <v>1</v>
      </c>
      <c r="P87" s="680"/>
    </row>
    <row r="88" spans="1:16" s="757" customFormat="1" ht="18" customHeight="1" x14ac:dyDescent="0.25">
      <c r="A88" s="182"/>
      <c r="B88" s="689"/>
      <c r="C88" s="182"/>
      <c r="D88" s="427"/>
      <c r="E88" s="427"/>
      <c r="F88" s="427"/>
      <c r="G88" s="759"/>
      <c r="H88" s="731"/>
      <c r="I88" s="198" t="e">
        <f>IF(AND(I$71=1,I86=1),"OK",IF(AND(I72=1,I86=1),NOK,IF(AND(I72=1,I86=0),"OK",IF(I$66=0,"",IF(AND(I71=1,I86=1),"OK","NOK")))))</f>
        <v>#NAME?</v>
      </c>
      <c r="J88" s="198" t="e">
        <f>IF(AND(J$71=1,J86=1),"OK",IF(AND(J72=1,J86=1),NOK,IF(AND(J72=1,J86=0),"OK",IF(J$66=0,"",IF(AND(J71=1,J86=1),"OK","NOK")))))</f>
        <v>#NAME?</v>
      </c>
      <c r="K88" s="198" t="e">
        <f>IF(AND(K$71=1,K86=1),"OK",IF(AND(K72=1,K86=1),NOK,IF(AND(K72=1,K86=0),"OK",IF(K$66=0,"",IF(AND(K71=1,K86=1),"OK","NOK")))))</f>
        <v>#NAME?</v>
      </c>
      <c r="L88" s="198" t="str">
        <f>IF(AND(L$71=1,L86=1),"OK",IF(AND(L72=1,L86=1),NOK,IF(AND(L72=1,L86=0),"OK",IF(L$66=0,"",IF(AND(L71=1,L86=1),"OK","NOK")))))</f>
        <v>OK</v>
      </c>
      <c r="M88" s="715" t="e">
        <f>IF(AND(M$71=1,M86=1),"OK",IF(AND(M72=1,M86=1),NOK,IF(AND(M72=1,M86=0),"OK",IF(M$66=0,"",IF(AND(M71=1,M86=1),"OK","NOK")))))</f>
        <v>#NAME?</v>
      </c>
      <c r="N88" s="842"/>
      <c r="O88" s="197"/>
      <c r="P88" s="689"/>
    </row>
    <row r="89" spans="1:16" ht="18" customHeight="1" x14ac:dyDescent="0.25">
      <c r="A89" s="182"/>
      <c r="B89" s="48" t="s">
        <v>856</v>
      </c>
      <c r="C89" s="274" t="s">
        <v>1202</v>
      </c>
      <c r="D89" s="50"/>
      <c r="E89" s="50"/>
      <c r="F89" s="50"/>
      <c r="G89" s="685"/>
      <c r="H89" s="731"/>
      <c r="I89" s="691"/>
      <c r="J89" s="691"/>
      <c r="K89" s="691"/>
      <c r="L89" s="691"/>
      <c r="M89" s="693"/>
      <c r="N89" s="839"/>
      <c r="O89" s="682"/>
      <c r="P89" s="682"/>
    </row>
    <row r="90" spans="1:16" ht="18" customHeight="1" x14ac:dyDescent="0.25">
      <c r="A90" s="182"/>
      <c r="B90" s="182"/>
      <c r="C90" s="48" t="s">
        <v>1124</v>
      </c>
      <c r="D90" s="50" t="s">
        <v>1207</v>
      </c>
      <c r="E90" s="50"/>
      <c r="F90" s="50"/>
      <c r="G90" s="685"/>
      <c r="H90" s="731"/>
      <c r="I90" s="691"/>
      <c r="J90" s="691"/>
      <c r="K90" s="691"/>
      <c r="L90" s="691"/>
      <c r="M90" s="693"/>
      <c r="N90" s="839"/>
      <c r="O90" s="682"/>
      <c r="P90" s="682"/>
    </row>
    <row r="91" spans="1:16" ht="18" customHeight="1" x14ac:dyDescent="0.25">
      <c r="A91" s="182"/>
      <c r="B91" s="547"/>
      <c r="C91" s="547"/>
      <c r="D91" s="48" t="s">
        <v>1125</v>
      </c>
      <c r="E91" s="274" t="s">
        <v>1126</v>
      </c>
      <c r="F91" s="50"/>
      <c r="G91" s="685"/>
      <c r="H91" s="731"/>
      <c r="I91" s="88"/>
      <c r="J91" s="88"/>
      <c r="K91" s="88"/>
      <c r="L91" s="88"/>
      <c r="M91" s="734"/>
      <c r="N91" s="851"/>
      <c r="O91" s="784"/>
      <c r="P91" s="682"/>
    </row>
    <row r="92" spans="1:16" ht="18" customHeight="1" x14ac:dyDescent="0.25">
      <c r="A92" s="182"/>
      <c r="B92" s="547"/>
      <c r="C92" s="547"/>
      <c r="D92" s="547"/>
      <c r="E92" s="50" t="s">
        <v>1206</v>
      </c>
      <c r="F92" s="50"/>
      <c r="G92" s="685"/>
      <c r="H92" s="731"/>
      <c r="I92" s="88"/>
      <c r="J92" s="88"/>
      <c r="K92" s="88"/>
      <c r="L92" s="88"/>
      <c r="M92" s="734"/>
      <c r="N92" s="851"/>
      <c r="O92" s="784"/>
      <c r="P92" s="682"/>
    </row>
    <row r="93" spans="1:16" ht="18" customHeight="1" x14ac:dyDescent="0.25">
      <c r="A93" s="679"/>
      <c r="B93" s="679"/>
      <c r="C93" s="547"/>
      <c r="D93" s="547"/>
      <c r="E93" s="56" t="s">
        <v>753</v>
      </c>
      <c r="F93" s="149" t="s">
        <v>1203</v>
      </c>
      <c r="G93" s="692"/>
      <c r="H93" s="731"/>
      <c r="I93" s="683">
        <v>209</v>
      </c>
      <c r="J93" s="683">
        <v>115</v>
      </c>
      <c r="K93" s="683">
        <v>250</v>
      </c>
      <c r="L93" s="683">
        <v>125</v>
      </c>
      <c r="M93" s="707">
        <v>90</v>
      </c>
      <c r="N93" s="842">
        <f>SUM(I93:M93)</f>
        <v>789</v>
      </c>
      <c r="O93" s="197"/>
      <c r="P93" s="164">
        <f>ROUND(P96/10,0)*10</f>
        <v>160</v>
      </c>
    </row>
    <row r="94" spans="1:16" ht="18" customHeight="1" x14ac:dyDescent="0.25">
      <c r="A94" s="182"/>
      <c r="B94" s="547"/>
      <c r="C94" s="547"/>
      <c r="D94" s="547"/>
      <c r="E94" s="56" t="s">
        <v>754</v>
      </c>
      <c r="F94" s="149" t="s">
        <v>1208</v>
      </c>
      <c r="G94" s="692"/>
      <c r="H94" s="731"/>
      <c r="I94" s="688">
        <v>24500</v>
      </c>
      <c r="J94" s="688">
        <v>26000</v>
      </c>
      <c r="K94" s="688">
        <v>25000</v>
      </c>
      <c r="L94" s="688">
        <v>25000</v>
      </c>
      <c r="M94" s="708">
        <v>24000</v>
      </c>
      <c r="N94" s="842"/>
      <c r="O94" s="197"/>
      <c r="P94" s="164">
        <f>ROUND(P98/500,0)*500</f>
        <v>25000</v>
      </c>
    </row>
    <row r="95" spans="1:16" ht="18" customHeight="1" x14ac:dyDescent="0.25">
      <c r="A95" s="182"/>
      <c r="B95" s="547"/>
      <c r="C95" s="547"/>
      <c r="D95" s="676"/>
      <c r="E95" s="677"/>
      <c r="F95" s="676"/>
      <c r="G95" s="717"/>
      <c r="H95" s="731"/>
      <c r="I95" s="161">
        <f>I93</f>
        <v>209</v>
      </c>
      <c r="J95" s="161">
        <f t="shared" ref="J95:M95" si="31">J93</f>
        <v>115</v>
      </c>
      <c r="K95" s="161">
        <f t="shared" si="31"/>
        <v>250</v>
      </c>
      <c r="L95" s="161">
        <f t="shared" si="31"/>
        <v>125</v>
      </c>
      <c r="M95" s="697">
        <f t="shared" si="31"/>
        <v>90</v>
      </c>
      <c r="N95" s="841">
        <f>SUM(I95:M95)</f>
        <v>789</v>
      </c>
      <c r="O95" s="504"/>
      <c r="P95" s="161"/>
    </row>
    <row r="96" spans="1:16" ht="18" customHeight="1" x14ac:dyDescent="0.25">
      <c r="A96" s="182"/>
      <c r="B96" s="547"/>
      <c r="C96" s="547"/>
      <c r="D96" s="676"/>
      <c r="E96" s="677"/>
      <c r="F96" s="676"/>
      <c r="G96" s="717"/>
      <c r="H96" s="731"/>
      <c r="I96" s="161">
        <f>IF(I93&gt;0,I93,"")</f>
        <v>209</v>
      </c>
      <c r="J96" s="161">
        <f t="shared" ref="J96:M96" si="32">IF(J93&gt;0,J93,"")</f>
        <v>115</v>
      </c>
      <c r="K96" s="161">
        <f t="shared" si="32"/>
        <v>250</v>
      </c>
      <c r="L96" s="161">
        <f t="shared" si="32"/>
        <v>125</v>
      </c>
      <c r="M96" s="697">
        <f t="shared" si="32"/>
        <v>90</v>
      </c>
      <c r="N96" s="841"/>
      <c r="O96" s="504"/>
      <c r="P96" s="161">
        <f>IF(N95=0,0,AVERAGE(I96:M96))</f>
        <v>157.80000000000001</v>
      </c>
    </row>
    <row r="97" spans="1:16" ht="18" customHeight="1" x14ac:dyDescent="0.25">
      <c r="A97" s="182"/>
      <c r="B97" s="547"/>
      <c r="C97" s="547"/>
      <c r="D97" s="676"/>
      <c r="E97" s="677"/>
      <c r="F97" s="676"/>
      <c r="G97" s="717"/>
      <c r="H97" s="731"/>
      <c r="I97" s="161">
        <f>I94</f>
        <v>24500</v>
      </c>
      <c r="J97" s="161">
        <f t="shared" ref="J97:M97" si="33">J94</f>
        <v>26000</v>
      </c>
      <c r="K97" s="161">
        <f t="shared" si="33"/>
        <v>25000</v>
      </c>
      <c r="L97" s="161">
        <f t="shared" si="33"/>
        <v>25000</v>
      </c>
      <c r="M97" s="697">
        <f t="shared" si="33"/>
        <v>24000</v>
      </c>
      <c r="N97" s="841">
        <f>SUM(I97:M97)</f>
        <v>124500</v>
      </c>
      <c r="O97" s="504"/>
      <c r="P97" s="161"/>
    </row>
    <row r="98" spans="1:16" ht="18" customHeight="1" x14ac:dyDescent="0.25">
      <c r="A98" s="182"/>
      <c r="B98" s="547"/>
      <c r="C98" s="547"/>
      <c r="D98" s="676"/>
      <c r="E98" s="677"/>
      <c r="F98" s="676"/>
      <c r="G98" s="717"/>
      <c r="H98" s="731"/>
      <c r="I98" s="161">
        <f>IF(I94&gt;0,I94,"")</f>
        <v>24500</v>
      </c>
      <c r="J98" s="161">
        <f t="shared" ref="J98:M98" si="34">IF(J94&gt;0,J94,"")</f>
        <v>26000</v>
      </c>
      <c r="K98" s="161">
        <f t="shared" si="34"/>
        <v>25000</v>
      </c>
      <c r="L98" s="161">
        <f t="shared" si="34"/>
        <v>25000</v>
      </c>
      <c r="M98" s="697">
        <f t="shared" si="34"/>
        <v>24000</v>
      </c>
      <c r="N98" s="841"/>
      <c r="O98" s="504"/>
      <c r="P98" s="161">
        <f>IF(N97=0,0,AVERAGE(I98:M98))</f>
        <v>24900</v>
      </c>
    </row>
    <row r="99" spans="1:16" s="757" customFormat="1" ht="18" customHeight="1" x14ac:dyDescent="0.25">
      <c r="A99" s="182"/>
      <c r="B99" s="689"/>
      <c r="C99" s="182"/>
      <c r="D99" s="427"/>
      <c r="E99" s="427"/>
      <c r="F99" s="427"/>
      <c r="G99" s="759"/>
      <c r="H99" s="731"/>
      <c r="I99" s="198" t="str">
        <f>IF(AND(I93&gt;0,I94=0),"NOK",IF(AND(I93&gt;0,I94&gt;0),"OK",""))</f>
        <v>OK</v>
      </c>
      <c r="J99" s="198" t="str">
        <f t="shared" ref="J99:M99" si="35">IF(AND(J93&gt;0,J94=0),"NOK",IF(AND(J93&gt;0,J94&gt;0),"OK",""))</f>
        <v>OK</v>
      </c>
      <c r="K99" s="198" t="str">
        <f t="shared" si="35"/>
        <v>OK</v>
      </c>
      <c r="L99" s="198" t="str">
        <f t="shared" si="35"/>
        <v>OK</v>
      </c>
      <c r="M99" s="715" t="str">
        <f t="shared" si="35"/>
        <v>OK</v>
      </c>
      <c r="N99" s="842"/>
      <c r="O99" s="197"/>
      <c r="P99" s="689"/>
    </row>
    <row r="100" spans="1:16" ht="18" customHeight="1" x14ac:dyDescent="0.25">
      <c r="A100" s="182"/>
      <c r="B100" s="547"/>
      <c r="C100" s="547"/>
      <c r="D100" s="547"/>
      <c r="E100" s="50" t="s">
        <v>1205</v>
      </c>
      <c r="F100" s="50"/>
      <c r="G100" s="685"/>
      <c r="H100" s="731"/>
      <c r="I100" s="88"/>
      <c r="J100" s="88"/>
      <c r="K100" s="88"/>
      <c r="L100" s="88"/>
      <c r="M100" s="734"/>
      <c r="N100" s="851"/>
      <c r="O100" s="784"/>
      <c r="P100" s="682"/>
    </row>
    <row r="101" spans="1:16" ht="18" customHeight="1" x14ac:dyDescent="0.25">
      <c r="A101" s="182"/>
      <c r="B101" s="679"/>
      <c r="C101" s="547"/>
      <c r="D101" s="547"/>
      <c r="E101" s="56" t="s">
        <v>753</v>
      </c>
      <c r="F101" s="149" t="s">
        <v>1203</v>
      </c>
      <c r="G101" s="692"/>
      <c r="H101" s="731"/>
      <c r="I101" s="683">
        <v>570</v>
      </c>
      <c r="J101" s="683">
        <v>0</v>
      </c>
      <c r="K101" s="683">
        <v>400</v>
      </c>
      <c r="L101" s="683">
        <v>660</v>
      </c>
      <c r="M101" s="707">
        <v>36</v>
      </c>
      <c r="N101" s="842">
        <f>SUM(I101:M101)</f>
        <v>1666</v>
      </c>
      <c r="O101" s="197"/>
      <c r="P101" s="164">
        <f>ROUND(P104/10,0)*10</f>
        <v>420</v>
      </c>
    </row>
    <row r="102" spans="1:16" ht="18" customHeight="1" x14ac:dyDescent="0.25">
      <c r="A102" s="182"/>
      <c r="B102" s="547"/>
      <c r="C102" s="547"/>
      <c r="D102" s="547"/>
      <c r="E102" s="56" t="s">
        <v>754</v>
      </c>
      <c r="F102" s="149" t="s">
        <v>1204</v>
      </c>
      <c r="G102" s="692"/>
      <c r="H102" s="731"/>
      <c r="I102" s="688">
        <v>22000</v>
      </c>
      <c r="J102" s="688">
        <v>0</v>
      </c>
      <c r="K102" s="688">
        <v>20000</v>
      </c>
      <c r="L102" s="688">
        <v>20000</v>
      </c>
      <c r="M102" s="708">
        <v>18000</v>
      </c>
      <c r="N102" s="842"/>
      <c r="O102" s="197"/>
      <c r="P102" s="164">
        <f>ROUND(P106/500,0)*500</f>
        <v>20000</v>
      </c>
    </row>
    <row r="103" spans="1:16" ht="18" customHeight="1" x14ac:dyDescent="0.25">
      <c r="A103" s="182"/>
      <c r="B103" s="547"/>
      <c r="C103" s="547"/>
      <c r="D103" s="676"/>
      <c r="E103" s="677"/>
      <c r="F103" s="676"/>
      <c r="G103" s="717"/>
      <c r="H103" s="731"/>
      <c r="I103" s="161">
        <f>I101</f>
        <v>570</v>
      </c>
      <c r="J103" s="161">
        <f t="shared" ref="J103:M103" si="36">J101</f>
        <v>0</v>
      </c>
      <c r="K103" s="161">
        <f t="shared" si="36"/>
        <v>400</v>
      </c>
      <c r="L103" s="161">
        <f t="shared" si="36"/>
        <v>660</v>
      </c>
      <c r="M103" s="697">
        <f t="shared" si="36"/>
        <v>36</v>
      </c>
      <c r="N103" s="841">
        <f>SUM(I103:M103)</f>
        <v>1666</v>
      </c>
      <c r="O103" s="504"/>
      <c r="P103" s="161"/>
    </row>
    <row r="104" spans="1:16" ht="18" customHeight="1" x14ac:dyDescent="0.25">
      <c r="A104" s="182"/>
      <c r="B104" s="547"/>
      <c r="C104" s="547"/>
      <c r="D104" s="676"/>
      <c r="E104" s="677"/>
      <c r="F104" s="676"/>
      <c r="G104" s="717"/>
      <c r="H104" s="731"/>
      <c r="I104" s="161">
        <f>IF(I101&gt;0,I101,"")</f>
        <v>570</v>
      </c>
      <c r="J104" s="161" t="str">
        <f t="shared" ref="J104:M104" si="37">IF(J101&gt;0,J101,"")</f>
        <v/>
      </c>
      <c r="K104" s="161">
        <f t="shared" si="37"/>
        <v>400</v>
      </c>
      <c r="L104" s="161">
        <f t="shared" si="37"/>
        <v>660</v>
      </c>
      <c r="M104" s="697">
        <f t="shared" si="37"/>
        <v>36</v>
      </c>
      <c r="N104" s="841"/>
      <c r="O104" s="504"/>
      <c r="P104" s="161">
        <f>IF(N103=0,0,AVERAGE(I104:M104))</f>
        <v>416.5</v>
      </c>
    </row>
    <row r="105" spans="1:16" ht="18" customHeight="1" x14ac:dyDescent="0.25">
      <c r="A105" s="182"/>
      <c r="B105" s="547"/>
      <c r="C105" s="547"/>
      <c r="D105" s="676"/>
      <c r="E105" s="677"/>
      <c r="F105" s="676"/>
      <c r="G105" s="717"/>
      <c r="H105" s="731"/>
      <c r="I105" s="161">
        <f>I102</f>
        <v>22000</v>
      </c>
      <c r="J105" s="161">
        <f t="shared" ref="J105:M105" si="38">J102</f>
        <v>0</v>
      </c>
      <c r="K105" s="161">
        <f t="shared" si="38"/>
        <v>20000</v>
      </c>
      <c r="L105" s="161">
        <f t="shared" si="38"/>
        <v>20000</v>
      </c>
      <c r="M105" s="697">
        <f t="shared" si="38"/>
        <v>18000</v>
      </c>
      <c r="N105" s="841">
        <f>SUM(I105:M105)</f>
        <v>80000</v>
      </c>
      <c r="O105" s="504"/>
      <c r="P105" s="161"/>
    </row>
    <row r="106" spans="1:16" ht="18" customHeight="1" x14ac:dyDescent="0.25">
      <c r="A106" s="182"/>
      <c r="B106" s="547"/>
      <c r="C106" s="547"/>
      <c r="D106" s="676"/>
      <c r="E106" s="677"/>
      <c r="F106" s="676"/>
      <c r="G106" s="717"/>
      <c r="H106" s="731"/>
      <c r="I106" s="161">
        <f>IF(I102&gt;0,I102,"")</f>
        <v>22000</v>
      </c>
      <c r="J106" s="161" t="str">
        <f t="shared" ref="J106" si="39">IF(J102&gt;0,J102,"")</f>
        <v/>
      </c>
      <c r="K106" s="161">
        <f t="shared" ref="K106" si="40">IF(K102&gt;0,K102,"")</f>
        <v>20000</v>
      </c>
      <c r="L106" s="161">
        <f t="shared" ref="L106" si="41">IF(L102&gt;0,L102,"")</f>
        <v>20000</v>
      </c>
      <c r="M106" s="697">
        <f t="shared" ref="M106" si="42">IF(M102&gt;0,M102,"")</f>
        <v>18000</v>
      </c>
      <c r="N106" s="841"/>
      <c r="O106" s="504"/>
      <c r="P106" s="161">
        <f>IF(N105=0,0,AVERAGE(I106:M106))</f>
        <v>20000</v>
      </c>
    </row>
    <row r="107" spans="1:16" s="757" customFormat="1" ht="18" customHeight="1" x14ac:dyDescent="0.25">
      <c r="A107" s="182"/>
      <c r="B107" s="689"/>
      <c r="C107" s="182"/>
      <c r="D107" s="427"/>
      <c r="E107" s="427"/>
      <c r="F107" s="427"/>
      <c r="G107" s="759"/>
      <c r="H107" s="731"/>
      <c r="I107" s="198" t="str">
        <f>IF(AND(I101&gt;0,I102=0),"NOK",IF(AND(I101&gt;0,I102&gt;0),"OK",""))</f>
        <v>OK</v>
      </c>
      <c r="J107" s="198" t="str">
        <f t="shared" ref="J107:M107" si="43">IF(AND(J101&gt;0,J102=0),"NOK",IF(AND(J101&gt;0,J102&gt;0),"OK",""))</f>
        <v/>
      </c>
      <c r="K107" s="198" t="str">
        <f t="shared" si="43"/>
        <v>OK</v>
      </c>
      <c r="L107" s="198" t="str">
        <f t="shared" si="43"/>
        <v>OK</v>
      </c>
      <c r="M107" s="715" t="str">
        <f t="shared" si="43"/>
        <v>OK</v>
      </c>
      <c r="N107" s="842"/>
      <c r="O107" s="197"/>
      <c r="P107" s="689"/>
    </row>
    <row r="108" spans="1:16" ht="18" customHeight="1" x14ac:dyDescent="0.25">
      <c r="A108" s="182"/>
      <c r="B108" s="547"/>
      <c r="C108" s="547"/>
      <c r="D108" s="48" t="s">
        <v>1127</v>
      </c>
      <c r="E108" s="274" t="s">
        <v>1209</v>
      </c>
      <c r="F108" s="50"/>
      <c r="G108" s="685"/>
      <c r="H108" s="731"/>
      <c r="I108" s="88"/>
      <c r="J108" s="88"/>
      <c r="K108" s="88"/>
      <c r="L108" s="88"/>
      <c r="M108" s="734"/>
      <c r="N108" s="851"/>
      <c r="O108" s="784"/>
      <c r="P108" s="682"/>
    </row>
    <row r="109" spans="1:16" ht="18" customHeight="1" x14ac:dyDescent="0.25">
      <c r="A109" s="182"/>
      <c r="B109" s="547"/>
      <c r="C109" s="547"/>
      <c r="D109" s="547"/>
      <c r="E109" s="50" t="s">
        <v>1210</v>
      </c>
      <c r="F109" s="50"/>
      <c r="G109" s="685"/>
      <c r="H109" s="731"/>
      <c r="I109" s="88"/>
      <c r="J109" s="88"/>
      <c r="K109" s="88"/>
      <c r="L109" s="88"/>
      <c r="M109" s="734"/>
      <c r="N109" s="851"/>
      <c r="O109" s="784"/>
      <c r="P109" s="682"/>
    </row>
    <row r="110" spans="1:16" ht="18" customHeight="1" x14ac:dyDescent="0.25">
      <c r="A110" s="679"/>
      <c r="B110" s="679"/>
      <c r="C110" s="547"/>
      <c r="D110" s="547"/>
      <c r="E110" s="56" t="s">
        <v>753</v>
      </c>
      <c r="F110" s="149" t="s">
        <v>1203</v>
      </c>
      <c r="G110" s="692"/>
      <c r="H110" s="731"/>
      <c r="I110" s="683">
        <v>70</v>
      </c>
      <c r="J110" s="683">
        <v>38</v>
      </c>
      <c r="K110" s="683">
        <v>83</v>
      </c>
      <c r="L110" s="683">
        <v>42</v>
      </c>
      <c r="M110" s="707">
        <v>30</v>
      </c>
      <c r="N110" s="842">
        <f>SUM(I110:M110)</f>
        <v>263</v>
      </c>
      <c r="O110" s="197"/>
      <c r="P110" s="164">
        <f>ROUND(P113/10,0)*10</f>
        <v>50</v>
      </c>
    </row>
    <row r="111" spans="1:16" ht="18" customHeight="1" x14ac:dyDescent="0.25">
      <c r="A111" s="182"/>
      <c r="B111" s="547"/>
      <c r="C111" s="547"/>
      <c r="D111" s="547"/>
      <c r="E111" s="56" t="s">
        <v>754</v>
      </c>
      <c r="F111" s="149" t="s">
        <v>1204</v>
      </c>
      <c r="G111" s="692"/>
      <c r="H111" s="731"/>
      <c r="I111" s="688">
        <v>24500</v>
      </c>
      <c r="J111" s="688">
        <v>25000</v>
      </c>
      <c r="K111" s="688">
        <v>20000</v>
      </c>
      <c r="L111" s="688">
        <v>25000</v>
      </c>
      <c r="M111" s="708">
        <v>24000</v>
      </c>
      <c r="N111" s="842"/>
      <c r="O111" s="197"/>
      <c r="P111" s="164">
        <f>ROUND(P115/500,0)*500</f>
        <v>23500</v>
      </c>
    </row>
    <row r="112" spans="1:16" ht="18" customHeight="1" x14ac:dyDescent="0.25">
      <c r="A112" s="182"/>
      <c r="B112" s="547"/>
      <c r="C112" s="547"/>
      <c r="D112" s="676"/>
      <c r="E112" s="677"/>
      <c r="F112" s="676"/>
      <c r="G112" s="717"/>
      <c r="H112" s="731"/>
      <c r="I112" s="161">
        <f>I110</f>
        <v>70</v>
      </c>
      <c r="J112" s="161">
        <f t="shared" ref="J112:M112" si="44">J110</f>
        <v>38</v>
      </c>
      <c r="K112" s="161">
        <f t="shared" si="44"/>
        <v>83</v>
      </c>
      <c r="L112" s="161">
        <f t="shared" si="44"/>
        <v>42</v>
      </c>
      <c r="M112" s="697">
        <f t="shared" si="44"/>
        <v>30</v>
      </c>
      <c r="N112" s="841">
        <f>SUM(I112:M112)</f>
        <v>263</v>
      </c>
      <c r="O112" s="504"/>
      <c r="P112" s="161"/>
    </row>
    <row r="113" spans="1:16" ht="18" customHeight="1" x14ac:dyDescent="0.25">
      <c r="A113" s="182"/>
      <c r="B113" s="547"/>
      <c r="C113" s="547"/>
      <c r="D113" s="676"/>
      <c r="E113" s="677"/>
      <c r="F113" s="676"/>
      <c r="G113" s="717"/>
      <c r="H113" s="731"/>
      <c r="I113" s="161">
        <f>IF(I110&gt;0,I110,"")</f>
        <v>70</v>
      </c>
      <c r="J113" s="161">
        <f t="shared" ref="J113:M113" si="45">IF(J110&gt;0,J110,"")</f>
        <v>38</v>
      </c>
      <c r="K113" s="161">
        <f t="shared" si="45"/>
        <v>83</v>
      </c>
      <c r="L113" s="161">
        <f t="shared" si="45"/>
        <v>42</v>
      </c>
      <c r="M113" s="697">
        <f t="shared" si="45"/>
        <v>30</v>
      </c>
      <c r="N113" s="841"/>
      <c r="O113" s="504"/>
      <c r="P113" s="161">
        <f>IF(N112=0,0,AVERAGE(I113:M113))</f>
        <v>52.6</v>
      </c>
    </row>
    <row r="114" spans="1:16" ht="18" customHeight="1" x14ac:dyDescent="0.25">
      <c r="A114" s="182"/>
      <c r="B114" s="547"/>
      <c r="C114" s="547"/>
      <c r="D114" s="676"/>
      <c r="E114" s="677"/>
      <c r="F114" s="676"/>
      <c r="G114" s="717"/>
      <c r="H114" s="731"/>
      <c r="I114" s="161">
        <f>I111</f>
        <v>24500</v>
      </c>
      <c r="J114" s="161">
        <f t="shared" ref="J114:M114" si="46">J111</f>
        <v>25000</v>
      </c>
      <c r="K114" s="161">
        <f t="shared" si="46"/>
        <v>20000</v>
      </c>
      <c r="L114" s="161">
        <f t="shared" si="46"/>
        <v>25000</v>
      </c>
      <c r="M114" s="697">
        <f t="shared" si="46"/>
        <v>24000</v>
      </c>
      <c r="N114" s="841">
        <f>SUM(I114:M114)</f>
        <v>118500</v>
      </c>
      <c r="O114" s="504"/>
      <c r="P114" s="161"/>
    </row>
    <row r="115" spans="1:16" ht="18" customHeight="1" x14ac:dyDescent="0.25">
      <c r="A115" s="182"/>
      <c r="B115" s="547"/>
      <c r="C115" s="547"/>
      <c r="D115" s="676"/>
      <c r="E115" s="677"/>
      <c r="F115" s="676"/>
      <c r="G115" s="717"/>
      <c r="H115" s="731"/>
      <c r="I115" s="161">
        <f>IF(I111&gt;0,I111,"")</f>
        <v>24500</v>
      </c>
      <c r="J115" s="161">
        <f t="shared" ref="J115" si="47">IF(J111&gt;0,J111,"")</f>
        <v>25000</v>
      </c>
      <c r="K115" s="161">
        <f t="shared" ref="K115" si="48">IF(K111&gt;0,K111,"")</f>
        <v>20000</v>
      </c>
      <c r="L115" s="161">
        <f t="shared" ref="L115" si="49">IF(L111&gt;0,L111,"")</f>
        <v>25000</v>
      </c>
      <c r="M115" s="697">
        <f t="shared" ref="M115" si="50">IF(M111&gt;0,M111,"")</f>
        <v>24000</v>
      </c>
      <c r="N115" s="841"/>
      <c r="O115" s="504"/>
      <c r="P115" s="161">
        <f>IF(N114=0,0,AVERAGE(I115:M115))</f>
        <v>23700</v>
      </c>
    </row>
    <row r="116" spans="1:16" s="757" customFormat="1" ht="18" customHeight="1" x14ac:dyDescent="0.25">
      <c r="A116" s="182"/>
      <c r="B116" s="689"/>
      <c r="C116" s="182"/>
      <c r="D116" s="427"/>
      <c r="E116" s="427"/>
      <c r="F116" s="427"/>
      <c r="G116" s="759"/>
      <c r="H116" s="731"/>
      <c r="I116" s="198" t="str">
        <f>IF(AND(I110&gt;0,I111=0),"NOK",IF(AND(I110&gt;0,I111&gt;0),"OK",""))</f>
        <v>OK</v>
      </c>
      <c r="J116" s="198" t="str">
        <f>IF(AND(J110&gt;0,J111=0),"NOK",IF(AND(J110&gt;0,J111&gt;0),"OK",""))</f>
        <v>OK</v>
      </c>
      <c r="K116" s="198" t="str">
        <f>IF(AND(K110&gt;0,K111=0),"NOK",IF(AND(K110&gt;0,K111&gt;0),"OK",""))</f>
        <v>OK</v>
      </c>
      <c r="L116" s="198" t="str">
        <f>IF(AND(L110&gt;0,L111=0),"NOK",IF(AND(L110&gt;0,L111&gt;0),"OK",""))</f>
        <v>OK</v>
      </c>
      <c r="M116" s="715" t="str">
        <f>IF(AND(M110&gt;0,M111=0),"NOK",IF(AND(M110&gt;0,M111&gt;0),"OK",""))</f>
        <v>OK</v>
      </c>
      <c r="N116" s="842"/>
      <c r="O116" s="197"/>
      <c r="P116" s="689"/>
    </row>
    <row r="117" spans="1:16" ht="18" customHeight="1" x14ac:dyDescent="0.25">
      <c r="A117" s="182"/>
      <c r="B117" s="547"/>
      <c r="C117" s="547"/>
      <c r="D117" s="547"/>
      <c r="E117" s="50" t="s">
        <v>1211</v>
      </c>
      <c r="F117" s="50"/>
      <c r="G117" s="685"/>
      <c r="H117" s="731"/>
      <c r="I117" s="88"/>
      <c r="J117" s="88"/>
      <c r="K117" s="88"/>
      <c r="L117" s="88"/>
      <c r="M117" s="734"/>
      <c r="N117" s="851"/>
      <c r="O117" s="784"/>
      <c r="P117" s="682"/>
    </row>
    <row r="118" spans="1:16" ht="18" customHeight="1" x14ac:dyDescent="0.25">
      <c r="A118" s="679"/>
      <c r="B118" s="679"/>
      <c r="C118" s="547"/>
      <c r="D118" s="547"/>
      <c r="E118" s="56" t="s">
        <v>753</v>
      </c>
      <c r="F118" s="149" t="s">
        <v>1203</v>
      </c>
      <c r="G118" s="692"/>
      <c r="H118" s="731"/>
      <c r="I118" s="683">
        <v>190</v>
      </c>
      <c r="J118" s="683">
        <v>0</v>
      </c>
      <c r="K118" s="683">
        <v>133</v>
      </c>
      <c r="L118" s="683">
        <v>220</v>
      </c>
      <c r="M118" s="707">
        <v>10</v>
      </c>
      <c r="N118" s="842">
        <f>SUM(I118:M118)</f>
        <v>553</v>
      </c>
      <c r="O118" s="197"/>
      <c r="P118" s="164">
        <f>ROUND(P121/10,0)*10</f>
        <v>140</v>
      </c>
    </row>
    <row r="119" spans="1:16" ht="18" customHeight="1" x14ac:dyDescent="0.25">
      <c r="A119" s="182"/>
      <c r="B119" s="547"/>
      <c r="C119" s="547"/>
      <c r="D119" s="547"/>
      <c r="E119" s="56" t="s">
        <v>754</v>
      </c>
      <c r="F119" s="149" t="s">
        <v>1204</v>
      </c>
      <c r="G119" s="692"/>
      <c r="H119" s="731"/>
      <c r="I119" s="688">
        <v>22000</v>
      </c>
      <c r="J119" s="688">
        <v>0</v>
      </c>
      <c r="K119" s="688">
        <v>18000</v>
      </c>
      <c r="L119" s="688">
        <v>20000</v>
      </c>
      <c r="M119" s="708">
        <v>18000</v>
      </c>
      <c r="N119" s="842"/>
      <c r="O119" s="197"/>
      <c r="P119" s="164">
        <f>ROUND(P123/500,0)*500</f>
        <v>19500</v>
      </c>
    </row>
    <row r="120" spans="1:16" ht="18" customHeight="1" x14ac:dyDescent="0.25">
      <c r="A120" s="182"/>
      <c r="B120" s="547"/>
      <c r="C120" s="547"/>
      <c r="D120" s="676"/>
      <c r="E120" s="677"/>
      <c r="F120" s="676"/>
      <c r="G120" s="717"/>
      <c r="H120" s="731"/>
      <c r="I120" s="161">
        <f>I118</f>
        <v>190</v>
      </c>
      <c r="J120" s="161">
        <f t="shared" ref="J120:M120" si="51">J118</f>
        <v>0</v>
      </c>
      <c r="K120" s="161">
        <f t="shared" si="51"/>
        <v>133</v>
      </c>
      <c r="L120" s="161">
        <f t="shared" si="51"/>
        <v>220</v>
      </c>
      <c r="M120" s="697">
        <f t="shared" si="51"/>
        <v>10</v>
      </c>
      <c r="N120" s="841">
        <f>SUM(I120:M120)</f>
        <v>553</v>
      </c>
      <c r="O120" s="504"/>
      <c r="P120" s="161"/>
    </row>
    <row r="121" spans="1:16" ht="18" customHeight="1" x14ac:dyDescent="0.25">
      <c r="A121" s="182"/>
      <c r="B121" s="547"/>
      <c r="C121" s="547"/>
      <c r="D121" s="676"/>
      <c r="E121" s="677"/>
      <c r="F121" s="676"/>
      <c r="G121" s="717"/>
      <c r="H121" s="731"/>
      <c r="I121" s="161">
        <f>IF(I118&gt;0,I118,"")</f>
        <v>190</v>
      </c>
      <c r="J121" s="161" t="str">
        <f t="shared" ref="J121:M121" si="52">IF(J118&gt;0,J118,"")</f>
        <v/>
      </c>
      <c r="K121" s="161">
        <f t="shared" si="52"/>
        <v>133</v>
      </c>
      <c r="L121" s="161">
        <f t="shared" si="52"/>
        <v>220</v>
      </c>
      <c r="M121" s="697">
        <f t="shared" si="52"/>
        <v>10</v>
      </c>
      <c r="N121" s="841"/>
      <c r="O121" s="504"/>
      <c r="P121" s="161">
        <f>IF(N120=0,0,AVERAGE(I121:M121))</f>
        <v>138.25</v>
      </c>
    </row>
    <row r="122" spans="1:16" ht="18" customHeight="1" x14ac:dyDescent="0.25">
      <c r="A122" s="182"/>
      <c r="B122" s="547"/>
      <c r="C122" s="547"/>
      <c r="D122" s="676"/>
      <c r="E122" s="677"/>
      <c r="F122" s="676"/>
      <c r="G122" s="717"/>
      <c r="H122" s="731"/>
      <c r="I122" s="161">
        <f>I119</f>
        <v>22000</v>
      </c>
      <c r="J122" s="161">
        <f t="shared" ref="J122:M122" si="53">J119</f>
        <v>0</v>
      </c>
      <c r="K122" s="161">
        <f t="shared" si="53"/>
        <v>18000</v>
      </c>
      <c r="L122" s="161">
        <f t="shared" si="53"/>
        <v>20000</v>
      </c>
      <c r="M122" s="697">
        <f t="shared" si="53"/>
        <v>18000</v>
      </c>
      <c r="N122" s="841">
        <f>SUM(I122:M122)</f>
        <v>78000</v>
      </c>
      <c r="O122" s="504"/>
      <c r="P122" s="161"/>
    </row>
    <row r="123" spans="1:16" ht="18" customHeight="1" x14ac:dyDescent="0.25">
      <c r="A123" s="182"/>
      <c r="B123" s="547"/>
      <c r="C123" s="547"/>
      <c r="D123" s="676"/>
      <c r="E123" s="677"/>
      <c r="F123" s="676"/>
      <c r="G123" s="717"/>
      <c r="H123" s="731"/>
      <c r="I123" s="161">
        <f>IF(I119&gt;0,I119,"")</f>
        <v>22000</v>
      </c>
      <c r="J123" s="161" t="str">
        <f t="shared" ref="J123" si="54">IF(J119&gt;0,J119,"")</f>
        <v/>
      </c>
      <c r="K123" s="161">
        <f t="shared" ref="K123" si="55">IF(K119&gt;0,K119,"")</f>
        <v>18000</v>
      </c>
      <c r="L123" s="161">
        <f t="shared" ref="L123" si="56">IF(L119&gt;0,L119,"")</f>
        <v>20000</v>
      </c>
      <c r="M123" s="697">
        <f t="shared" ref="M123" si="57">IF(M119&gt;0,M119,"")</f>
        <v>18000</v>
      </c>
      <c r="N123" s="841"/>
      <c r="O123" s="504"/>
      <c r="P123" s="161">
        <f>IF(N122=0,0,AVERAGE(I123:M123))</f>
        <v>19500</v>
      </c>
    </row>
    <row r="124" spans="1:16" s="757" customFormat="1" ht="18" customHeight="1" x14ac:dyDescent="0.25">
      <c r="A124" s="182"/>
      <c r="B124" s="689"/>
      <c r="C124" s="182"/>
      <c r="D124" s="427"/>
      <c r="E124" s="427"/>
      <c r="F124" s="427"/>
      <c r="G124" s="759"/>
      <c r="H124" s="731"/>
      <c r="I124" s="198" t="str">
        <f t="shared" ref="I124:M124" si="58">IF(AND(I118&gt;0,I119=0),"NOK",IF(AND(I118&gt;0,I119&gt;0),"OK",""))</f>
        <v>OK</v>
      </c>
      <c r="J124" s="198" t="str">
        <f t="shared" si="58"/>
        <v/>
      </c>
      <c r="K124" s="198" t="str">
        <f t="shared" si="58"/>
        <v>OK</v>
      </c>
      <c r="L124" s="198" t="str">
        <f t="shared" si="58"/>
        <v>OK</v>
      </c>
      <c r="M124" s="715" t="str">
        <f t="shared" si="58"/>
        <v>OK</v>
      </c>
      <c r="N124" s="842"/>
      <c r="O124" s="197"/>
      <c r="P124" s="689"/>
    </row>
    <row r="125" spans="1:16" ht="18" customHeight="1" x14ac:dyDescent="0.25">
      <c r="A125" s="182"/>
      <c r="B125" s="547"/>
      <c r="C125" s="547"/>
      <c r="D125" s="48" t="s">
        <v>1128</v>
      </c>
      <c r="E125" s="274" t="s">
        <v>1212</v>
      </c>
      <c r="F125" s="50"/>
      <c r="G125" s="685"/>
      <c r="H125" s="731"/>
      <c r="I125" s="88"/>
      <c r="J125" s="88"/>
      <c r="K125" s="88"/>
      <c r="L125" s="88"/>
      <c r="M125" s="734"/>
      <c r="N125" s="851"/>
      <c r="O125" s="784"/>
      <c r="P125" s="682"/>
    </row>
    <row r="126" spans="1:16" ht="18" customHeight="1" x14ac:dyDescent="0.25">
      <c r="A126" s="182"/>
      <c r="B126" s="547"/>
      <c r="C126" s="547"/>
      <c r="D126" s="547"/>
      <c r="E126" s="50" t="s">
        <v>1213</v>
      </c>
      <c r="F126" s="50"/>
      <c r="G126" s="685"/>
      <c r="H126" s="731"/>
      <c r="I126" s="88"/>
      <c r="J126" s="88"/>
      <c r="K126" s="88"/>
      <c r="L126" s="88"/>
      <c r="M126" s="734"/>
      <c r="N126" s="851"/>
      <c r="O126" s="784"/>
      <c r="P126" s="682"/>
    </row>
    <row r="127" spans="1:16" ht="18" customHeight="1" x14ac:dyDescent="0.25">
      <c r="A127" s="679"/>
      <c r="B127" s="679"/>
      <c r="C127" s="547"/>
      <c r="D127" s="547"/>
      <c r="E127" s="56" t="s">
        <v>753</v>
      </c>
      <c r="F127" s="149" t="s">
        <v>1203</v>
      </c>
      <c r="G127" s="692"/>
      <c r="H127" s="731"/>
      <c r="I127" s="683">
        <v>100</v>
      </c>
      <c r="J127" s="683">
        <v>70</v>
      </c>
      <c r="K127" s="683">
        <v>133</v>
      </c>
      <c r="L127" s="683">
        <v>250</v>
      </c>
      <c r="M127" s="707">
        <v>12</v>
      </c>
      <c r="N127" s="842">
        <f>SUM(I127:M127)</f>
        <v>565</v>
      </c>
      <c r="O127" s="197"/>
      <c r="P127" s="164">
        <f>ROUND(P130/10,0)*10</f>
        <v>110</v>
      </c>
    </row>
    <row r="128" spans="1:16" ht="18" customHeight="1" x14ac:dyDescent="0.25">
      <c r="A128" s="182"/>
      <c r="B128" s="547"/>
      <c r="C128" s="547"/>
      <c r="D128" s="547"/>
      <c r="E128" s="56" t="s">
        <v>754</v>
      </c>
      <c r="F128" s="149" t="s">
        <v>1204</v>
      </c>
      <c r="G128" s="692"/>
      <c r="H128" s="731"/>
      <c r="I128" s="688">
        <v>80000</v>
      </c>
      <c r="J128" s="688">
        <v>61000</v>
      </c>
      <c r="K128" s="688">
        <v>62000</v>
      </c>
      <c r="L128" s="688">
        <v>75000</v>
      </c>
      <c r="M128" s="708">
        <v>75000</v>
      </c>
      <c r="N128" s="842"/>
      <c r="O128" s="197"/>
      <c r="P128" s="164">
        <f>ROUND(P132/500,0)*500</f>
        <v>70500</v>
      </c>
    </row>
    <row r="129" spans="1:18" ht="18" customHeight="1" x14ac:dyDescent="0.25">
      <c r="A129" s="182"/>
      <c r="B129" s="547"/>
      <c r="C129" s="547"/>
      <c r="D129" s="676"/>
      <c r="E129" s="677"/>
      <c r="F129" s="676"/>
      <c r="G129" s="717"/>
      <c r="H129" s="731"/>
      <c r="I129" s="161">
        <f>I127</f>
        <v>100</v>
      </c>
      <c r="J129" s="161">
        <f t="shared" ref="J129:M129" si="59">J127</f>
        <v>70</v>
      </c>
      <c r="K129" s="161">
        <f t="shared" si="59"/>
        <v>133</v>
      </c>
      <c r="L129" s="161">
        <f t="shared" si="59"/>
        <v>250</v>
      </c>
      <c r="M129" s="697">
        <f t="shared" si="59"/>
        <v>12</v>
      </c>
      <c r="N129" s="841">
        <f>SUM(I129:M129)</f>
        <v>565</v>
      </c>
      <c r="O129" s="504"/>
      <c r="P129" s="161"/>
    </row>
    <row r="130" spans="1:18" ht="18" customHeight="1" x14ac:dyDescent="0.25">
      <c r="A130" s="182"/>
      <c r="B130" s="547"/>
      <c r="C130" s="547"/>
      <c r="D130" s="676"/>
      <c r="E130" s="677"/>
      <c r="F130" s="676"/>
      <c r="G130" s="717"/>
      <c r="H130" s="731"/>
      <c r="I130" s="161">
        <f>IF(I127&gt;0,I127,"")</f>
        <v>100</v>
      </c>
      <c r="J130" s="161">
        <f t="shared" ref="J130:M130" si="60">IF(J127&gt;0,J127,"")</f>
        <v>70</v>
      </c>
      <c r="K130" s="161">
        <f t="shared" si="60"/>
        <v>133</v>
      </c>
      <c r="L130" s="161">
        <f t="shared" si="60"/>
        <v>250</v>
      </c>
      <c r="M130" s="697">
        <f t="shared" si="60"/>
        <v>12</v>
      </c>
      <c r="N130" s="841"/>
      <c r="O130" s="504"/>
      <c r="P130" s="161">
        <f>IF(N129=0,0,AVERAGE(I130:M130))</f>
        <v>113</v>
      </c>
    </row>
    <row r="131" spans="1:18" ht="18" customHeight="1" x14ac:dyDescent="0.25">
      <c r="A131" s="182"/>
      <c r="B131" s="547"/>
      <c r="C131" s="547"/>
      <c r="D131" s="676"/>
      <c r="E131" s="677"/>
      <c r="F131" s="676"/>
      <c r="G131" s="717"/>
      <c r="H131" s="731"/>
      <c r="I131" s="161">
        <f>I128</f>
        <v>80000</v>
      </c>
      <c r="J131" s="161">
        <f t="shared" ref="J131:M131" si="61">J128</f>
        <v>61000</v>
      </c>
      <c r="K131" s="161">
        <f t="shared" si="61"/>
        <v>62000</v>
      </c>
      <c r="L131" s="161">
        <f t="shared" si="61"/>
        <v>75000</v>
      </c>
      <c r="M131" s="697">
        <f t="shared" si="61"/>
        <v>75000</v>
      </c>
      <c r="N131" s="841">
        <f>SUM(I131:M131)</f>
        <v>353000</v>
      </c>
      <c r="O131" s="504"/>
      <c r="P131" s="161"/>
    </row>
    <row r="132" spans="1:18" ht="18" customHeight="1" x14ac:dyDescent="0.25">
      <c r="A132" s="182"/>
      <c r="B132" s="547"/>
      <c r="C132" s="547"/>
      <c r="D132" s="676"/>
      <c r="E132" s="677"/>
      <c r="F132" s="676"/>
      <c r="G132" s="717"/>
      <c r="H132" s="731"/>
      <c r="I132" s="161">
        <f>IF(I128&gt;0,I128,"")</f>
        <v>80000</v>
      </c>
      <c r="J132" s="161">
        <f t="shared" ref="J132" si="62">IF(J128&gt;0,J128,"")</f>
        <v>61000</v>
      </c>
      <c r="K132" s="161">
        <f t="shared" ref="K132" si="63">IF(K128&gt;0,K128,"")</f>
        <v>62000</v>
      </c>
      <c r="L132" s="161">
        <f t="shared" ref="L132" si="64">IF(L128&gt;0,L128,"")</f>
        <v>75000</v>
      </c>
      <c r="M132" s="697">
        <f t="shared" ref="M132" si="65">IF(M128&gt;0,M128,"")</f>
        <v>75000</v>
      </c>
      <c r="N132" s="841"/>
      <c r="O132" s="504"/>
      <c r="P132" s="161">
        <f>IF(N131=0,0,AVERAGE(I132:M132))</f>
        <v>70600</v>
      </c>
    </row>
    <row r="133" spans="1:18" s="757" customFormat="1" ht="18" customHeight="1" x14ac:dyDescent="0.25">
      <c r="A133" s="182"/>
      <c r="B133" s="689"/>
      <c r="C133" s="182"/>
      <c r="D133" s="427"/>
      <c r="E133" s="427"/>
      <c r="F133" s="427"/>
      <c r="G133" s="759"/>
      <c r="H133" s="731"/>
      <c r="I133" s="198" t="str">
        <f>IF(AND(I127&gt;0,I128=0),"NOK",IF(AND(I127&gt;0,I128&gt;0),"OK",""))</f>
        <v>OK</v>
      </c>
      <c r="J133" s="198" t="str">
        <f t="shared" ref="J133:M133" si="66">IF(AND(J127&gt;0,J128=0),"NOK",IF(AND(J127&gt;0,J128&gt;0),"OK",""))</f>
        <v>OK</v>
      </c>
      <c r="K133" s="198" t="str">
        <f t="shared" si="66"/>
        <v>OK</v>
      </c>
      <c r="L133" s="198" t="str">
        <f t="shared" si="66"/>
        <v>OK</v>
      </c>
      <c r="M133" s="715" t="str">
        <f t="shared" si="66"/>
        <v>OK</v>
      </c>
      <c r="N133" s="842"/>
      <c r="O133" s="197"/>
      <c r="P133" s="689"/>
    </row>
    <row r="134" spans="1:18" ht="18" customHeight="1" x14ac:dyDescent="0.25">
      <c r="A134" s="182"/>
      <c r="B134" s="547"/>
      <c r="C134" s="547"/>
      <c r="D134" s="48" t="s">
        <v>1130</v>
      </c>
      <c r="E134" s="50" t="s">
        <v>1214</v>
      </c>
      <c r="F134" s="50"/>
      <c r="G134" s="685"/>
      <c r="H134" s="731"/>
      <c r="I134" s="88"/>
      <c r="J134" s="88"/>
      <c r="K134" s="88"/>
      <c r="L134" s="88"/>
      <c r="M134" s="734"/>
      <c r="N134" s="851"/>
      <c r="O134" s="784"/>
      <c r="P134" s="682"/>
    </row>
    <row r="135" spans="1:18" ht="18" customHeight="1" x14ac:dyDescent="0.25">
      <c r="A135" s="679"/>
      <c r="B135" s="679"/>
      <c r="C135" s="547"/>
      <c r="D135" s="547"/>
      <c r="E135" s="56" t="s">
        <v>753</v>
      </c>
      <c r="F135" s="149" t="s">
        <v>1203</v>
      </c>
      <c r="G135" s="692"/>
      <c r="H135" s="731"/>
      <c r="I135" s="683">
        <v>100</v>
      </c>
      <c r="J135" s="683">
        <v>0</v>
      </c>
      <c r="K135" s="683">
        <v>133</v>
      </c>
      <c r="L135" s="683">
        <v>250</v>
      </c>
      <c r="M135" s="707">
        <v>12</v>
      </c>
      <c r="N135" s="842">
        <f>SUM(I135:M135)</f>
        <v>495</v>
      </c>
      <c r="O135" s="197"/>
      <c r="P135" s="164">
        <f>ROUND(P138/10,0)*10</f>
        <v>120</v>
      </c>
      <c r="R135" s="410">
        <f>AVERAGE(P127,P135)</f>
        <v>115</v>
      </c>
    </row>
    <row r="136" spans="1:18" ht="18" customHeight="1" x14ac:dyDescent="0.25">
      <c r="A136" s="182"/>
      <c r="B136" s="547"/>
      <c r="C136" s="547"/>
      <c r="D136" s="547"/>
      <c r="E136" s="56" t="s">
        <v>754</v>
      </c>
      <c r="F136" s="149" t="s">
        <v>1204</v>
      </c>
      <c r="G136" s="692"/>
      <c r="H136" s="731"/>
      <c r="I136" s="688">
        <v>20000</v>
      </c>
      <c r="J136" s="688">
        <v>0</v>
      </c>
      <c r="K136" s="688">
        <v>20000</v>
      </c>
      <c r="L136" s="688">
        <v>20000</v>
      </c>
      <c r="M136" s="708">
        <v>20000</v>
      </c>
      <c r="N136" s="842"/>
      <c r="O136" s="197"/>
      <c r="P136" s="164">
        <f>ROUND(P140/500,0)*500</f>
        <v>20000</v>
      </c>
    </row>
    <row r="137" spans="1:18" ht="18" customHeight="1" x14ac:dyDescent="0.25">
      <c r="A137" s="182"/>
      <c r="B137" s="547"/>
      <c r="C137" s="547"/>
      <c r="D137" s="676"/>
      <c r="E137" s="677"/>
      <c r="F137" s="676"/>
      <c r="G137" s="717"/>
      <c r="H137" s="731"/>
      <c r="I137" s="161">
        <f>I135</f>
        <v>100</v>
      </c>
      <c r="J137" s="161">
        <f t="shared" ref="J137:M137" si="67">J135</f>
        <v>0</v>
      </c>
      <c r="K137" s="161">
        <f t="shared" si="67"/>
        <v>133</v>
      </c>
      <c r="L137" s="161">
        <f t="shared" si="67"/>
        <v>250</v>
      </c>
      <c r="M137" s="697">
        <f t="shared" si="67"/>
        <v>12</v>
      </c>
      <c r="N137" s="841">
        <f>SUM(I137:M137)</f>
        <v>495</v>
      </c>
      <c r="O137" s="504"/>
      <c r="P137" s="161"/>
    </row>
    <row r="138" spans="1:18" ht="18" customHeight="1" x14ac:dyDescent="0.25">
      <c r="A138" s="182"/>
      <c r="B138" s="547"/>
      <c r="C138" s="547"/>
      <c r="D138" s="676"/>
      <c r="E138" s="677"/>
      <c r="F138" s="676"/>
      <c r="G138" s="717"/>
      <c r="H138" s="731"/>
      <c r="I138" s="161">
        <f>IF(I135&gt;0,I135,"")</f>
        <v>100</v>
      </c>
      <c r="J138" s="161" t="str">
        <f t="shared" ref="J138:M138" si="68">IF(J135&gt;0,J135,"")</f>
        <v/>
      </c>
      <c r="K138" s="161">
        <f t="shared" si="68"/>
        <v>133</v>
      </c>
      <c r="L138" s="161">
        <f t="shared" si="68"/>
        <v>250</v>
      </c>
      <c r="M138" s="697">
        <f t="shared" si="68"/>
        <v>12</v>
      </c>
      <c r="N138" s="841"/>
      <c r="O138" s="504"/>
      <c r="P138" s="161">
        <f>IF(N137=0,0,AVERAGE(I138:M138))</f>
        <v>123.75</v>
      </c>
    </row>
    <row r="139" spans="1:18" ht="18" customHeight="1" x14ac:dyDescent="0.25">
      <c r="A139" s="182"/>
      <c r="B139" s="547"/>
      <c r="C139" s="547"/>
      <c r="D139" s="676"/>
      <c r="E139" s="677"/>
      <c r="F139" s="676"/>
      <c r="G139" s="717"/>
      <c r="H139" s="731"/>
      <c r="I139" s="161">
        <f>I136</f>
        <v>20000</v>
      </c>
      <c r="J139" s="161">
        <f t="shared" ref="J139:M139" si="69">J136</f>
        <v>0</v>
      </c>
      <c r="K139" s="161">
        <f t="shared" si="69"/>
        <v>20000</v>
      </c>
      <c r="L139" s="161">
        <f t="shared" si="69"/>
        <v>20000</v>
      </c>
      <c r="M139" s="697">
        <f t="shared" si="69"/>
        <v>20000</v>
      </c>
      <c r="N139" s="841">
        <f>SUM(I139:M139)</f>
        <v>80000</v>
      </c>
      <c r="O139" s="504"/>
      <c r="P139" s="161"/>
    </row>
    <row r="140" spans="1:18" ht="18" customHeight="1" x14ac:dyDescent="0.25">
      <c r="A140" s="182"/>
      <c r="B140" s="547"/>
      <c r="C140" s="547"/>
      <c r="D140" s="676"/>
      <c r="E140" s="677"/>
      <c r="F140" s="676"/>
      <c r="G140" s="717"/>
      <c r="H140" s="731"/>
      <c r="I140" s="161">
        <f>IF(I136&gt;0,I136,"")</f>
        <v>20000</v>
      </c>
      <c r="J140" s="161" t="str">
        <f t="shared" ref="J140" si="70">IF(J136&gt;0,J136,"")</f>
        <v/>
      </c>
      <c r="K140" s="161">
        <f t="shared" ref="K140" si="71">IF(K136&gt;0,K136,"")</f>
        <v>20000</v>
      </c>
      <c r="L140" s="161">
        <f t="shared" ref="L140" si="72">IF(L136&gt;0,L136,"")</f>
        <v>20000</v>
      </c>
      <c r="M140" s="697">
        <f t="shared" ref="M140" si="73">IF(M136&gt;0,M136,"")</f>
        <v>20000</v>
      </c>
      <c r="N140" s="841"/>
      <c r="O140" s="504"/>
      <c r="P140" s="161">
        <f>IF(N139=0,0,AVERAGE(I140:M140))</f>
        <v>20000</v>
      </c>
    </row>
    <row r="141" spans="1:18" s="757" customFormat="1" ht="18" customHeight="1" x14ac:dyDescent="0.25">
      <c r="A141" s="182"/>
      <c r="B141" s="689"/>
      <c r="C141" s="182"/>
      <c r="D141" s="427"/>
      <c r="E141" s="427"/>
      <c r="F141" s="427"/>
      <c r="G141" s="759"/>
      <c r="H141" s="731"/>
      <c r="I141" s="198" t="str">
        <f>IF(AND(I135&gt;0,I136=0),"NOK",IF(AND(I135&gt;0,I136&gt;0),"OK",""))</f>
        <v>OK</v>
      </c>
      <c r="J141" s="198" t="str">
        <f t="shared" ref="J141:M141" si="74">IF(AND(J135&gt;0,J136=0),"NOK",IF(AND(J135&gt;0,J136&gt;0),"OK",""))</f>
        <v/>
      </c>
      <c r="K141" s="198" t="str">
        <f t="shared" si="74"/>
        <v>OK</v>
      </c>
      <c r="L141" s="198" t="str">
        <f t="shared" si="74"/>
        <v>OK</v>
      </c>
      <c r="M141" s="715" t="str">
        <f t="shared" si="74"/>
        <v>OK</v>
      </c>
      <c r="N141" s="842"/>
      <c r="O141" s="197"/>
      <c r="P141" s="689"/>
    </row>
    <row r="142" spans="1:18" ht="18" customHeight="1" x14ac:dyDescent="0.25">
      <c r="A142" s="182"/>
      <c r="B142" s="689"/>
      <c r="C142" s="48" t="s">
        <v>1129</v>
      </c>
      <c r="D142" s="274" t="s">
        <v>1215</v>
      </c>
      <c r="E142" s="50"/>
      <c r="F142" s="50"/>
      <c r="G142" s="685"/>
      <c r="H142" s="731"/>
      <c r="I142" s="691"/>
      <c r="J142" s="691"/>
      <c r="K142" s="691"/>
      <c r="L142" s="691"/>
      <c r="M142" s="693"/>
      <c r="N142" s="839"/>
      <c r="O142" s="682"/>
      <c r="P142" s="682"/>
    </row>
    <row r="143" spans="1:18" ht="18" customHeight="1" x14ac:dyDescent="0.25">
      <c r="A143" s="182"/>
      <c r="B143" s="689"/>
      <c r="C143" s="547"/>
      <c r="D143" s="56" t="s">
        <v>1216</v>
      </c>
      <c r="E143" s="149" t="s">
        <v>9</v>
      </c>
      <c r="F143" s="149"/>
      <c r="G143" s="692"/>
      <c r="H143" s="731"/>
      <c r="I143" s="683"/>
      <c r="J143" s="683"/>
      <c r="K143" s="683"/>
      <c r="L143" s="683"/>
      <c r="M143" s="707"/>
      <c r="N143" s="842">
        <f>SUM(I143:M143)</f>
        <v>0</v>
      </c>
      <c r="O143" s="689"/>
      <c r="P143" s="689"/>
    </row>
    <row r="144" spans="1:18" ht="18" customHeight="1" x14ac:dyDescent="0.25">
      <c r="A144" s="182"/>
      <c r="B144" s="689"/>
      <c r="C144" s="547"/>
      <c r="D144" s="56" t="s">
        <v>1217</v>
      </c>
      <c r="E144" s="149" t="s">
        <v>1221</v>
      </c>
      <c r="F144" s="149"/>
      <c r="G144" s="692"/>
      <c r="H144" s="731"/>
      <c r="I144" s="174"/>
      <c r="J144" s="174"/>
      <c r="K144" s="174"/>
      <c r="L144" s="174"/>
      <c r="M144" s="712"/>
      <c r="N144" s="849"/>
      <c r="O144" s="404"/>
      <c r="P144" s="710"/>
    </row>
    <row r="145" spans="1:16" ht="18" customHeight="1" x14ac:dyDescent="0.25">
      <c r="A145" s="182"/>
      <c r="B145" s="547"/>
      <c r="C145" s="547"/>
      <c r="D145" s="547"/>
      <c r="E145" s="56" t="s">
        <v>753</v>
      </c>
      <c r="F145" s="687" t="s">
        <v>1218</v>
      </c>
      <c r="G145" s="692"/>
      <c r="H145" s="731"/>
      <c r="I145" s="683">
        <v>1</v>
      </c>
      <c r="J145" s="683">
        <v>1</v>
      </c>
      <c r="K145" s="683">
        <v>1</v>
      </c>
      <c r="L145" s="683">
        <v>1</v>
      </c>
      <c r="M145" s="707">
        <v>1</v>
      </c>
      <c r="N145" s="842">
        <f t="shared" ref="N145:N147" si="75">SUM(I145:M145)</f>
        <v>5</v>
      </c>
      <c r="O145" s="197">
        <f>IF(N50=0,0,N145/N50)</f>
        <v>0.5</v>
      </c>
      <c r="P145" s="689"/>
    </row>
    <row r="146" spans="1:16" ht="18" customHeight="1" x14ac:dyDescent="0.25">
      <c r="A146" s="182"/>
      <c r="B146" s="547"/>
      <c r="C146" s="547"/>
      <c r="D146" s="547"/>
      <c r="E146" s="56" t="s">
        <v>754</v>
      </c>
      <c r="F146" s="687" t="s">
        <v>1219</v>
      </c>
      <c r="G146" s="692"/>
      <c r="H146" s="731"/>
      <c r="I146" s="688"/>
      <c r="J146" s="688"/>
      <c r="K146" s="688"/>
      <c r="L146" s="688"/>
      <c r="M146" s="708"/>
      <c r="N146" s="840">
        <f t="shared" si="75"/>
        <v>0</v>
      </c>
      <c r="O146" s="675">
        <f>IF(N$149=0,0,N146/N$149)</f>
        <v>0</v>
      </c>
      <c r="P146" s="679"/>
    </row>
    <row r="147" spans="1:16" ht="18" customHeight="1" x14ac:dyDescent="0.25">
      <c r="A147" s="182"/>
      <c r="B147" s="547"/>
      <c r="C147" s="547"/>
      <c r="D147" s="547"/>
      <c r="E147" s="56" t="s">
        <v>755</v>
      </c>
      <c r="F147" s="147" t="s">
        <v>1220</v>
      </c>
      <c r="G147" s="692"/>
      <c r="H147" s="731"/>
      <c r="I147" s="683"/>
      <c r="J147" s="683"/>
      <c r="K147" s="683"/>
      <c r="L147" s="683"/>
      <c r="M147" s="707"/>
      <c r="N147" s="840">
        <f t="shared" si="75"/>
        <v>0</v>
      </c>
      <c r="O147" s="675">
        <f>IF(N$149=0,0,N147/N$149)</f>
        <v>0</v>
      </c>
      <c r="P147" s="679"/>
    </row>
    <row r="148" spans="1:16" ht="18" customHeight="1" x14ac:dyDescent="0.25">
      <c r="A148" s="182"/>
      <c r="B148" s="547"/>
      <c r="C148" s="547"/>
      <c r="D148" s="676"/>
      <c r="E148" s="677"/>
      <c r="F148" s="676"/>
      <c r="G148" s="717"/>
      <c r="H148" s="731"/>
      <c r="I148" s="161">
        <f>SUM(I145:I147)</f>
        <v>1</v>
      </c>
      <c r="J148" s="161">
        <f t="shared" ref="J148:M148" si="76">SUM(J145:J147)</f>
        <v>1</v>
      </c>
      <c r="K148" s="161">
        <f t="shared" si="76"/>
        <v>1</v>
      </c>
      <c r="L148" s="161">
        <f t="shared" si="76"/>
        <v>1</v>
      </c>
      <c r="M148" s="697">
        <f t="shared" si="76"/>
        <v>1</v>
      </c>
      <c r="N148" s="841"/>
      <c r="O148" s="504"/>
      <c r="P148" s="690"/>
    </row>
    <row r="149" spans="1:16" ht="18" customHeight="1" x14ac:dyDescent="0.25">
      <c r="A149" s="679"/>
      <c r="B149" s="679"/>
      <c r="C149" s="325"/>
      <c r="D149" s="326"/>
      <c r="E149" s="326"/>
      <c r="F149" s="326"/>
      <c r="G149" s="702"/>
      <c r="H149" s="731"/>
      <c r="I149" s="64"/>
      <c r="J149" s="64"/>
      <c r="K149" s="64"/>
      <c r="L149" s="64"/>
      <c r="M149" s="709"/>
      <c r="N149" s="390">
        <f>SUM(N146:N147)</f>
        <v>0</v>
      </c>
      <c r="O149" s="500">
        <f>IF(N$149=0,0,N149/N$149)</f>
        <v>0</v>
      </c>
      <c r="P149" s="680"/>
    </row>
    <row r="150" spans="1:16" s="757" customFormat="1" ht="18" customHeight="1" x14ac:dyDescent="0.25">
      <c r="A150" s="689"/>
      <c r="B150" s="689"/>
      <c r="C150" s="182"/>
      <c r="D150" s="427"/>
      <c r="E150" s="427"/>
      <c r="F150" s="427"/>
      <c r="G150" s="759"/>
      <c r="H150" s="731"/>
      <c r="I150" s="198" t="str">
        <f>IF(AND(I66=0,I148=0),"",IF(AND(I143=1,I148=0),"OK",IF(AND(I143=0,I148=1),"OK","NOK")))</f>
        <v>OK</v>
      </c>
      <c r="J150" s="198" t="str">
        <f>IF(AND(J66=0,J148=0),"",IF(AND(J143=1,J148=0),"OK",IF(AND(J143=0,J148=1),"OK","NOK")))</f>
        <v>OK</v>
      </c>
      <c r="K150" s="198" t="str">
        <f>IF(AND(K66=0,K148=0),"",IF(AND(K143=1,K148=0),"OK",IF(AND(K143=0,K148=1),"OK","NOK")))</f>
        <v>OK</v>
      </c>
      <c r="L150" s="198" t="str">
        <f>IF(AND(L66=0,L148=0),"",IF(AND(L143=1,L148=0),"OK",IF(AND(L143=0,L148=1),"OK","NOK")))</f>
        <v>OK</v>
      </c>
      <c r="M150" s="715" t="str">
        <f>IF(AND(M66=0,M148=0),"",IF(AND(M143=1,M148=0),"OK",IF(AND(M143=0,M148=1),"OK","NOK")))</f>
        <v>OK</v>
      </c>
      <c r="N150" s="842"/>
      <c r="O150" s="197"/>
      <c r="P150" s="689"/>
    </row>
    <row r="151" spans="1:16" ht="18" customHeight="1" x14ac:dyDescent="0.25">
      <c r="A151" s="679"/>
      <c r="B151" s="679"/>
      <c r="C151" s="48" t="s">
        <v>1222</v>
      </c>
      <c r="D151" s="50" t="s">
        <v>1223</v>
      </c>
      <c r="E151" s="50"/>
      <c r="F151" s="50"/>
      <c r="G151" s="685"/>
      <c r="H151" s="731"/>
      <c r="I151" s="88"/>
      <c r="J151" s="88"/>
      <c r="K151" s="88"/>
      <c r="L151" s="88"/>
      <c r="M151" s="734"/>
      <c r="N151" s="851"/>
      <c r="O151" s="784"/>
      <c r="P151" s="682"/>
    </row>
    <row r="152" spans="1:16" ht="18" customHeight="1" x14ac:dyDescent="0.25">
      <c r="A152" s="679"/>
      <c r="B152" s="679"/>
      <c r="C152" s="547"/>
      <c r="D152" s="48" t="s">
        <v>1224</v>
      </c>
      <c r="E152" s="274" t="s">
        <v>1225</v>
      </c>
      <c r="F152" s="50"/>
      <c r="G152" s="685"/>
      <c r="H152" s="731"/>
      <c r="I152" s="88"/>
      <c r="J152" s="88"/>
      <c r="K152" s="88"/>
      <c r="L152" s="88"/>
      <c r="M152" s="734"/>
      <c r="N152" s="851"/>
      <c r="O152" s="784"/>
      <c r="P152" s="682"/>
    </row>
    <row r="153" spans="1:16" ht="18" customHeight="1" x14ac:dyDescent="0.25">
      <c r="A153" s="679"/>
      <c r="B153" s="679"/>
      <c r="C153" s="547"/>
      <c r="D153" s="547"/>
      <c r="E153" s="274" t="s">
        <v>1226</v>
      </c>
      <c r="F153" s="50"/>
      <c r="G153" s="685"/>
      <c r="H153" s="731"/>
      <c r="I153" s="88"/>
      <c r="J153" s="88"/>
      <c r="K153" s="88"/>
      <c r="L153" s="88"/>
      <c r="M153" s="734"/>
      <c r="N153" s="851"/>
      <c r="O153" s="784"/>
      <c r="P153" s="682"/>
    </row>
    <row r="154" spans="1:16" ht="18" customHeight="1" x14ac:dyDescent="0.25">
      <c r="A154" s="679"/>
      <c r="B154" s="679"/>
      <c r="C154" s="547"/>
      <c r="D154" s="547"/>
      <c r="E154" s="50" t="s">
        <v>1227</v>
      </c>
      <c r="F154" s="50"/>
      <c r="G154" s="685"/>
      <c r="H154" s="731"/>
      <c r="I154" s="88"/>
      <c r="J154" s="88"/>
      <c r="K154" s="88"/>
      <c r="L154" s="88"/>
      <c r="M154" s="734"/>
      <c r="N154" s="851"/>
      <c r="O154" s="784"/>
      <c r="P154" s="682"/>
    </row>
    <row r="155" spans="1:16" ht="18" customHeight="1" x14ac:dyDescent="0.25">
      <c r="A155" s="679"/>
      <c r="B155" s="679"/>
      <c r="C155" s="182"/>
      <c r="D155" s="547"/>
      <c r="E155" s="282" t="s">
        <v>753</v>
      </c>
      <c r="F155" s="149" t="s">
        <v>1228</v>
      </c>
      <c r="G155" s="692"/>
      <c r="H155" s="731"/>
      <c r="I155" s="683">
        <v>3</v>
      </c>
      <c r="J155" s="683">
        <v>5</v>
      </c>
      <c r="K155" s="683">
        <v>3</v>
      </c>
      <c r="L155" s="683">
        <v>3</v>
      </c>
      <c r="M155" s="707">
        <v>3</v>
      </c>
      <c r="N155" s="842"/>
      <c r="O155" s="197"/>
      <c r="P155" s="689"/>
    </row>
    <row r="156" spans="1:16" ht="18" customHeight="1" x14ac:dyDescent="0.25">
      <c r="A156" s="679"/>
      <c r="B156" s="679"/>
      <c r="C156" s="182"/>
      <c r="D156" s="547"/>
      <c r="E156" s="282" t="s">
        <v>754</v>
      </c>
      <c r="F156" s="149" t="s">
        <v>1229</v>
      </c>
      <c r="G156" s="692"/>
      <c r="H156" s="731"/>
      <c r="I156" s="688">
        <v>1</v>
      </c>
      <c r="J156" s="688">
        <v>2</v>
      </c>
      <c r="K156" s="688">
        <v>1</v>
      </c>
      <c r="L156" s="688">
        <v>1</v>
      </c>
      <c r="M156" s="708">
        <v>1</v>
      </c>
      <c r="N156" s="842"/>
      <c r="O156" s="197"/>
      <c r="P156" s="689"/>
    </row>
    <row r="157" spans="1:16" ht="18" customHeight="1" x14ac:dyDescent="0.25">
      <c r="A157" s="679"/>
      <c r="B157" s="679"/>
      <c r="C157" s="182"/>
      <c r="D157" s="547"/>
      <c r="E157" s="282" t="s">
        <v>755</v>
      </c>
      <c r="F157" s="149" t="s">
        <v>1230</v>
      </c>
      <c r="G157" s="692"/>
      <c r="H157" s="731"/>
      <c r="I157" s="683">
        <v>1</v>
      </c>
      <c r="J157" s="683">
        <v>1</v>
      </c>
      <c r="K157" s="683">
        <v>1</v>
      </c>
      <c r="L157" s="683">
        <v>1</v>
      </c>
      <c r="M157" s="707">
        <v>1</v>
      </c>
      <c r="N157" s="842"/>
      <c r="O157" s="197"/>
      <c r="P157" s="689"/>
    </row>
    <row r="158" spans="1:16" ht="18" customHeight="1" x14ac:dyDescent="0.25">
      <c r="A158" s="679"/>
      <c r="B158" s="679"/>
      <c r="C158" s="182"/>
      <c r="D158" s="547"/>
      <c r="E158" s="282" t="s">
        <v>1231</v>
      </c>
      <c r="F158" s="149" t="s">
        <v>1232</v>
      </c>
      <c r="G158" s="692"/>
      <c r="H158" s="731"/>
      <c r="I158" s="688">
        <v>1</v>
      </c>
      <c r="J158" s="688">
        <v>0</v>
      </c>
      <c r="K158" s="688">
        <v>1</v>
      </c>
      <c r="L158" s="688">
        <v>1</v>
      </c>
      <c r="M158" s="708">
        <v>1</v>
      </c>
      <c r="N158" s="842"/>
      <c r="O158" s="197"/>
      <c r="P158" s="689"/>
    </row>
    <row r="159" spans="1:16" ht="18" customHeight="1" x14ac:dyDescent="0.25">
      <c r="A159" s="679"/>
      <c r="B159" s="679"/>
      <c r="C159" s="182"/>
      <c r="D159" s="547"/>
      <c r="E159" s="282" t="s">
        <v>1233</v>
      </c>
      <c r="F159" s="149" t="s">
        <v>1234</v>
      </c>
      <c r="G159" s="692"/>
      <c r="H159" s="731"/>
      <c r="I159" s="683">
        <v>1</v>
      </c>
      <c r="J159" s="683">
        <v>1.5</v>
      </c>
      <c r="K159" s="683">
        <v>1</v>
      </c>
      <c r="L159" s="683">
        <v>1</v>
      </c>
      <c r="M159" s="707">
        <v>1</v>
      </c>
      <c r="N159" s="842"/>
      <c r="O159" s="197"/>
      <c r="P159" s="689"/>
    </row>
    <row r="160" spans="1:16" ht="18" customHeight="1" x14ac:dyDescent="0.25">
      <c r="A160" s="679"/>
      <c r="B160" s="679"/>
      <c r="C160" s="182"/>
      <c r="D160" s="547"/>
      <c r="E160" s="282" t="s">
        <v>1235</v>
      </c>
      <c r="F160" s="149" t="s">
        <v>1236</v>
      </c>
      <c r="G160" s="692"/>
      <c r="H160" s="731"/>
      <c r="I160" s="688">
        <v>2</v>
      </c>
      <c r="J160" s="688">
        <v>4</v>
      </c>
      <c r="K160" s="688">
        <v>2.5</v>
      </c>
      <c r="L160" s="688">
        <v>2</v>
      </c>
      <c r="M160" s="708">
        <v>0</v>
      </c>
      <c r="N160" s="842"/>
      <c r="O160" s="197"/>
      <c r="P160" s="689"/>
    </row>
    <row r="161" spans="1:20" ht="18" customHeight="1" x14ac:dyDescent="0.25">
      <c r="A161" s="679"/>
      <c r="B161" s="679"/>
      <c r="C161" s="182"/>
      <c r="D161" s="547"/>
      <c r="E161" s="50" t="s">
        <v>1237</v>
      </c>
      <c r="F161" s="50"/>
      <c r="G161" s="685"/>
      <c r="H161" s="731"/>
      <c r="I161" s="88"/>
      <c r="J161" s="88"/>
      <c r="K161" s="88"/>
      <c r="L161" s="88"/>
      <c r="M161" s="734"/>
      <c r="N161" s="851"/>
      <c r="O161" s="784"/>
      <c r="P161" s="682"/>
    </row>
    <row r="162" spans="1:20" ht="18" customHeight="1" x14ac:dyDescent="0.25">
      <c r="A162" s="679"/>
      <c r="B162" s="679"/>
      <c r="C162" s="182"/>
      <c r="D162" s="547"/>
      <c r="E162" s="282" t="s">
        <v>753</v>
      </c>
      <c r="F162" s="149" t="s">
        <v>1238</v>
      </c>
      <c r="G162" s="692"/>
      <c r="H162" s="731"/>
      <c r="I162" s="683">
        <v>175000</v>
      </c>
      <c r="J162" s="683">
        <v>254125</v>
      </c>
      <c r="K162" s="683">
        <v>175000</v>
      </c>
      <c r="L162" s="683">
        <v>175000</v>
      </c>
      <c r="M162" s="707">
        <v>175000</v>
      </c>
      <c r="N162" s="842"/>
      <c r="O162" s="197"/>
      <c r="P162" s="164">
        <f>P165</f>
        <v>190825</v>
      </c>
    </row>
    <row r="163" spans="1:20" ht="18" customHeight="1" x14ac:dyDescent="0.25">
      <c r="A163" s="679"/>
      <c r="B163" s="679"/>
      <c r="C163" s="182"/>
      <c r="D163" s="547"/>
      <c r="E163" s="282" t="s">
        <v>754</v>
      </c>
      <c r="F163" s="147" t="s">
        <v>1239</v>
      </c>
      <c r="G163" s="692"/>
      <c r="H163" s="731"/>
      <c r="I163" s="688">
        <v>0</v>
      </c>
      <c r="J163" s="688">
        <v>3</v>
      </c>
      <c r="K163" s="688">
        <v>4</v>
      </c>
      <c r="L163" s="688">
        <v>4</v>
      </c>
      <c r="M163" s="708">
        <v>3</v>
      </c>
      <c r="N163" s="842"/>
      <c r="O163" s="197"/>
      <c r="P163" s="182">
        <f>P167</f>
        <v>3.5</v>
      </c>
    </row>
    <row r="164" spans="1:20" ht="18" customHeight="1" x14ac:dyDescent="0.25">
      <c r="A164" s="787"/>
      <c r="B164" s="689"/>
      <c r="C164" s="689"/>
      <c r="D164" s="700"/>
      <c r="E164" s="788"/>
      <c r="F164" s="696"/>
      <c r="G164" s="768"/>
      <c r="I164" s="161">
        <f>I162</f>
        <v>175000</v>
      </c>
      <c r="J164" s="161">
        <f>J162</f>
        <v>254125</v>
      </c>
      <c r="K164" s="161">
        <f>K162</f>
        <v>175000</v>
      </c>
      <c r="L164" s="161">
        <f>L162</f>
        <v>175000</v>
      </c>
      <c r="M164" s="697">
        <f>M162</f>
        <v>175000</v>
      </c>
      <c r="N164" s="841">
        <f>SUM(I164:M164)</f>
        <v>954125</v>
      </c>
      <c r="O164" s="504"/>
      <c r="P164" s="718"/>
      <c r="R164" s="655" t="s">
        <v>181</v>
      </c>
      <c r="S164" s="655" t="s">
        <v>182</v>
      </c>
      <c r="T164" s="655" t="s">
        <v>6</v>
      </c>
    </row>
    <row r="165" spans="1:20" ht="18" customHeight="1" x14ac:dyDescent="0.25">
      <c r="A165" s="787"/>
      <c r="B165" s="689"/>
      <c r="C165" s="689"/>
      <c r="D165" s="700"/>
      <c r="E165" s="788"/>
      <c r="F165" s="696"/>
      <c r="G165" s="768"/>
      <c r="I165" s="161">
        <f>IF(I164&gt;0,I164,"")</f>
        <v>175000</v>
      </c>
      <c r="J165" s="161">
        <f t="shared" ref="J165:M165" si="77">IF(J164&gt;0,J164,"")</f>
        <v>254125</v>
      </c>
      <c r="K165" s="161">
        <f t="shared" si="77"/>
        <v>175000</v>
      </c>
      <c r="L165" s="161">
        <f t="shared" si="77"/>
        <v>175000</v>
      </c>
      <c r="M165" s="697">
        <f t="shared" si="77"/>
        <v>175000</v>
      </c>
      <c r="N165" s="841">
        <f>SUM(I165:M165)</f>
        <v>954125</v>
      </c>
      <c r="O165" s="504"/>
      <c r="P165" s="161">
        <f>IF(N165=0,0,AVERAGE(I165:M165))</f>
        <v>190825</v>
      </c>
      <c r="R165" s="1307">
        <f>MIN(J165:M165)</f>
        <v>175000</v>
      </c>
    </row>
    <row r="166" spans="1:20" ht="18" customHeight="1" x14ac:dyDescent="0.25">
      <c r="A166" s="787"/>
      <c r="B166" s="689"/>
      <c r="C166" s="689"/>
      <c r="D166" s="700"/>
      <c r="E166" s="788"/>
      <c r="F166" s="696"/>
      <c r="G166" s="768"/>
      <c r="I166" s="161">
        <f>I163</f>
        <v>0</v>
      </c>
      <c r="J166" s="161">
        <f t="shared" ref="J166:M166" si="78">J163</f>
        <v>3</v>
      </c>
      <c r="K166" s="161">
        <f t="shared" si="78"/>
        <v>4</v>
      </c>
      <c r="L166" s="161">
        <f t="shared" si="78"/>
        <v>4</v>
      </c>
      <c r="M166" s="697">
        <f t="shared" si="78"/>
        <v>3</v>
      </c>
      <c r="N166" s="841">
        <f>SUM(I166:M166)</f>
        <v>14</v>
      </c>
      <c r="O166" s="504"/>
      <c r="P166" s="718"/>
    </row>
    <row r="167" spans="1:20" ht="18" customHeight="1" x14ac:dyDescent="0.25">
      <c r="A167" s="787"/>
      <c r="B167" s="689"/>
      <c r="C167" s="689"/>
      <c r="D167" s="700"/>
      <c r="E167" s="788"/>
      <c r="F167" s="696"/>
      <c r="G167" s="768"/>
      <c r="I167" s="161" t="str">
        <f>IF(I166&gt;0,I166,"")</f>
        <v/>
      </c>
      <c r="J167" s="161">
        <f t="shared" ref="J167:M167" si="79">IF(J166&gt;0,J166,"")</f>
        <v>3</v>
      </c>
      <c r="K167" s="161">
        <f t="shared" si="79"/>
        <v>4</v>
      </c>
      <c r="L167" s="161">
        <f t="shared" si="79"/>
        <v>4</v>
      </c>
      <c r="M167" s="697">
        <f t="shared" si="79"/>
        <v>3</v>
      </c>
      <c r="N167" s="841">
        <f>SUM(I167:M167)</f>
        <v>14</v>
      </c>
      <c r="O167" s="504"/>
      <c r="P167" s="718">
        <f>IF(N167=0,0,AVERAGE(I167:M167))</f>
        <v>3.5</v>
      </c>
    </row>
    <row r="168" spans="1:20" ht="18" customHeight="1" x14ac:dyDescent="0.25">
      <c r="A168" s="679"/>
      <c r="B168" s="679"/>
      <c r="C168" s="182"/>
      <c r="D168" s="547"/>
      <c r="E168" s="282" t="s">
        <v>755</v>
      </c>
      <c r="F168" s="147" t="s">
        <v>1240</v>
      </c>
      <c r="G168" s="692"/>
      <c r="H168" s="731"/>
      <c r="I168" s="174"/>
      <c r="J168" s="174"/>
      <c r="K168" s="174"/>
      <c r="L168" s="174"/>
      <c r="M168" s="712"/>
      <c r="N168" s="849"/>
      <c r="O168" s="404"/>
      <c r="P168" s="710"/>
    </row>
    <row r="169" spans="1:20" ht="18" customHeight="1" x14ac:dyDescent="0.25">
      <c r="A169" s="679"/>
      <c r="B169" s="679"/>
      <c r="C169" s="182"/>
      <c r="D169" s="547"/>
      <c r="E169" s="759"/>
      <c r="F169" s="149" t="s">
        <v>9</v>
      </c>
      <c r="G169" s="692"/>
      <c r="H169" s="731"/>
      <c r="I169" s="683">
        <v>1</v>
      </c>
      <c r="J169" s="683">
        <v>1</v>
      </c>
      <c r="K169" s="683">
        <v>1</v>
      </c>
      <c r="L169" s="683">
        <v>1</v>
      </c>
      <c r="M169" s="707">
        <v>1</v>
      </c>
      <c r="N169" s="842">
        <f>SUM(I169:M169)</f>
        <v>5</v>
      </c>
      <c r="O169" s="675">
        <f>IF(N$171=0,0,N169/N$171)</f>
        <v>1</v>
      </c>
      <c r="P169" s="689"/>
    </row>
    <row r="170" spans="1:20" ht="18" customHeight="1" x14ac:dyDescent="0.25">
      <c r="A170" s="679"/>
      <c r="B170" s="679"/>
      <c r="C170" s="182"/>
      <c r="D170" s="547"/>
      <c r="E170" s="759"/>
      <c r="F170" s="149" t="s">
        <v>10</v>
      </c>
      <c r="G170" s="692"/>
      <c r="H170" s="731"/>
      <c r="I170" s="688"/>
      <c r="J170" s="688"/>
      <c r="K170" s="688"/>
      <c r="L170" s="688"/>
      <c r="M170" s="708"/>
      <c r="N170" s="842">
        <f>SUM(I170:M170)</f>
        <v>0</v>
      </c>
      <c r="O170" s="675">
        <f t="shared" ref="O170:O171" si="80">IF(N$171=0,0,N170/N$171)</f>
        <v>0</v>
      </c>
      <c r="P170" s="689"/>
    </row>
    <row r="171" spans="1:20" ht="18" customHeight="1" x14ac:dyDescent="0.25">
      <c r="A171" s="679"/>
      <c r="B171" s="679"/>
      <c r="C171" s="325"/>
      <c r="D171" s="326"/>
      <c r="E171" s="326"/>
      <c r="F171" s="326"/>
      <c r="G171" s="702"/>
      <c r="H171" s="731"/>
      <c r="I171" s="64"/>
      <c r="J171" s="64"/>
      <c r="K171" s="64"/>
      <c r="L171" s="64"/>
      <c r="M171" s="709"/>
      <c r="N171" s="390">
        <f>SUM(N169:N170)</f>
        <v>5</v>
      </c>
      <c r="O171" s="500">
        <f t="shared" si="80"/>
        <v>1</v>
      </c>
      <c r="P171" s="680"/>
    </row>
    <row r="172" spans="1:20" s="757" customFormat="1" ht="18" customHeight="1" x14ac:dyDescent="0.25">
      <c r="A172" s="689"/>
      <c r="B172" s="689"/>
      <c r="C172" s="429"/>
      <c r="D172" s="427"/>
      <c r="E172" s="427"/>
      <c r="F172" s="427"/>
      <c r="G172" s="759"/>
      <c r="H172" s="731"/>
      <c r="I172" s="198"/>
      <c r="J172" s="198"/>
      <c r="K172" s="198"/>
      <c r="L172" s="198"/>
      <c r="M172" s="715"/>
      <c r="N172" s="842"/>
      <c r="O172" s="197"/>
      <c r="P172" s="689"/>
    </row>
    <row r="173" spans="1:20" ht="18" customHeight="1" x14ac:dyDescent="0.25">
      <c r="A173" s="679"/>
      <c r="B173" s="48" t="s">
        <v>1241</v>
      </c>
      <c r="C173" s="50" t="s">
        <v>1242</v>
      </c>
      <c r="D173" s="50"/>
      <c r="E173" s="50"/>
      <c r="F173" s="50"/>
      <c r="G173" s="685"/>
      <c r="H173" s="731"/>
      <c r="I173" s="88"/>
      <c r="J173" s="88"/>
      <c r="K173" s="88"/>
      <c r="L173" s="88"/>
      <c r="M173" s="734"/>
      <c r="N173" s="851"/>
      <c r="O173" s="784"/>
      <c r="P173" s="682"/>
    </row>
    <row r="174" spans="1:20" ht="18" customHeight="1" x14ac:dyDescent="0.25">
      <c r="A174" s="679"/>
      <c r="B174" s="789"/>
      <c r="C174" s="48" t="s">
        <v>1243</v>
      </c>
      <c r="D174" s="50" t="s">
        <v>1244</v>
      </c>
      <c r="E174" s="50"/>
      <c r="F174" s="50"/>
      <c r="G174" s="685"/>
      <c r="H174" s="731"/>
      <c r="I174" s="88"/>
      <c r="J174" s="88"/>
      <c r="K174" s="88"/>
      <c r="L174" s="88"/>
      <c r="M174" s="734"/>
      <c r="N174" s="851"/>
      <c r="O174" s="784"/>
      <c r="P174" s="682"/>
    </row>
    <row r="175" spans="1:20" ht="18" customHeight="1" x14ac:dyDescent="0.25">
      <c r="A175" s="679"/>
      <c r="B175" s="789"/>
      <c r="C175" s="547"/>
      <c r="D175" s="56" t="s">
        <v>1245</v>
      </c>
      <c r="E175" s="146" t="s">
        <v>1255</v>
      </c>
      <c r="F175" s="149"/>
      <c r="G175" s="692"/>
      <c r="H175" s="731"/>
      <c r="I175" s="174"/>
      <c r="J175" s="174"/>
      <c r="K175" s="174"/>
      <c r="L175" s="174"/>
      <c r="M175" s="712"/>
      <c r="N175" s="849"/>
      <c r="O175" s="404"/>
      <c r="P175" s="710"/>
    </row>
    <row r="176" spans="1:20" ht="18" customHeight="1" x14ac:dyDescent="0.25">
      <c r="A176" s="679"/>
      <c r="B176" s="789"/>
      <c r="C176" s="244"/>
      <c r="D176" s="244"/>
      <c r="E176" s="790" t="s">
        <v>753</v>
      </c>
      <c r="F176" s="687" t="s">
        <v>11</v>
      </c>
      <c r="G176" s="692"/>
      <c r="H176" s="731"/>
      <c r="I176" s="683">
        <v>1</v>
      </c>
      <c r="J176" s="683">
        <v>1</v>
      </c>
      <c r="K176" s="683">
        <v>1</v>
      </c>
      <c r="L176" s="683">
        <v>1</v>
      </c>
      <c r="M176" s="707">
        <v>1</v>
      </c>
      <c r="N176" s="842">
        <f>SUM(I176:M176)</f>
        <v>5</v>
      </c>
      <c r="O176" s="675">
        <f>IF(N$178=0,0,N176/N$178)</f>
        <v>1</v>
      </c>
      <c r="P176" s="689"/>
    </row>
    <row r="177" spans="1:16" ht="18" customHeight="1" x14ac:dyDescent="0.25">
      <c r="A177" s="679"/>
      <c r="B177" s="789"/>
      <c r="C177" s="244"/>
      <c r="D177" s="244"/>
      <c r="E177" s="790" t="s">
        <v>754</v>
      </c>
      <c r="F177" s="687" t="s">
        <v>9</v>
      </c>
      <c r="G177" s="692"/>
      <c r="H177" s="731"/>
      <c r="I177" s="688"/>
      <c r="J177" s="688"/>
      <c r="K177" s="688"/>
      <c r="L177" s="688"/>
      <c r="M177" s="708"/>
      <c r="N177" s="842">
        <f>SUM(I177:M177)</f>
        <v>0</v>
      </c>
      <c r="O177" s="675">
        <f t="shared" ref="O177:O178" si="81">IF(N$178=0,0,N177/N$178)</f>
        <v>0</v>
      </c>
      <c r="P177" s="689"/>
    </row>
    <row r="178" spans="1:16" ht="18" customHeight="1" x14ac:dyDescent="0.25">
      <c r="A178" s="679"/>
      <c r="B178" s="679"/>
      <c r="C178" s="325"/>
      <c r="D178" s="326"/>
      <c r="E178" s="326"/>
      <c r="F178" s="326"/>
      <c r="G178" s="702"/>
      <c r="H178" s="731"/>
      <c r="I178" s="64"/>
      <c r="J178" s="64"/>
      <c r="K178" s="64"/>
      <c r="L178" s="64"/>
      <c r="M178" s="709"/>
      <c r="N178" s="390">
        <f>SUM(N176:N177)</f>
        <v>5</v>
      </c>
      <c r="O178" s="500">
        <f t="shared" si="81"/>
        <v>1</v>
      </c>
      <c r="P178" s="680"/>
    </row>
    <row r="179" spans="1:16" ht="18" customHeight="1" x14ac:dyDescent="0.25">
      <c r="A179" s="679"/>
      <c r="B179" s="789"/>
      <c r="C179" s="244"/>
      <c r="D179" s="244"/>
      <c r="E179" s="1412" t="s">
        <v>755</v>
      </c>
      <c r="F179" s="687" t="s">
        <v>1246</v>
      </c>
      <c r="G179" s="692"/>
      <c r="H179" s="731"/>
      <c r="I179" s="174"/>
      <c r="J179" s="174"/>
      <c r="K179" s="174"/>
      <c r="L179" s="174"/>
      <c r="M179" s="712"/>
      <c r="N179" s="849"/>
      <c r="O179" s="404"/>
      <c r="P179" s="710"/>
    </row>
    <row r="180" spans="1:16" ht="18" customHeight="1" x14ac:dyDescent="0.25">
      <c r="A180" s="679"/>
      <c r="B180" s="789"/>
      <c r="C180" s="244"/>
      <c r="D180" s="244"/>
      <c r="E180" s="1412"/>
      <c r="F180" s="147" t="s">
        <v>1259</v>
      </c>
      <c r="G180" s="692"/>
      <c r="H180" s="731"/>
      <c r="I180" s="683"/>
      <c r="J180" s="683"/>
      <c r="K180" s="683"/>
      <c r="L180" s="683"/>
      <c r="M180" s="707"/>
      <c r="N180" s="842"/>
      <c r="O180" s="197"/>
      <c r="P180" s="689"/>
    </row>
    <row r="181" spans="1:16" ht="18" customHeight="1" x14ac:dyDescent="0.25">
      <c r="A181" s="679"/>
      <c r="B181" s="789"/>
      <c r="C181" s="244"/>
      <c r="D181" s="244"/>
      <c r="E181" s="1412"/>
      <c r="F181" s="147" t="s">
        <v>1258</v>
      </c>
      <c r="G181" s="692"/>
      <c r="H181" s="731"/>
      <c r="I181" s="688"/>
      <c r="J181" s="688"/>
      <c r="K181" s="688"/>
      <c r="L181" s="688"/>
      <c r="M181" s="708"/>
      <c r="N181" s="842"/>
      <c r="O181" s="197"/>
      <c r="P181" s="689"/>
    </row>
    <row r="182" spans="1:16" ht="18" customHeight="1" x14ac:dyDescent="0.25">
      <c r="A182" s="679"/>
      <c r="B182" s="789"/>
      <c r="C182" s="244"/>
      <c r="D182" s="244"/>
      <c r="E182" s="1412"/>
      <c r="F182" s="147" t="s">
        <v>1247</v>
      </c>
      <c r="G182" s="692"/>
      <c r="H182" s="731"/>
      <c r="I182" s="683"/>
      <c r="J182" s="683"/>
      <c r="K182" s="683"/>
      <c r="L182" s="683"/>
      <c r="M182" s="707"/>
      <c r="N182" s="842"/>
      <c r="O182" s="197"/>
      <c r="P182" s="689"/>
    </row>
    <row r="183" spans="1:16" ht="18" customHeight="1" x14ac:dyDescent="0.25">
      <c r="A183" s="679"/>
      <c r="B183" s="789"/>
      <c r="C183" s="547"/>
      <c r="D183" s="56" t="s">
        <v>1248</v>
      </c>
      <c r="E183" s="146" t="s">
        <v>1249</v>
      </c>
      <c r="F183" s="149"/>
      <c r="G183" s="692"/>
      <c r="H183" s="731"/>
      <c r="I183" s="174"/>
      <c r="J183" s="174"/>
      <c r="K183" s="174"/>
      <c r="L183" s="174"/>
      <c r="M183" s="712"/>
      <c r="N183" s="849"/>
      <c r="O183" s="404"/>
      <c r="P183" s="710"/>
    </row>
    <row r="184" spans="1:16" ht="18" customHeight="1" x14ac:dyDescent="0.25">
      <c r="A184" s="679"/>
      <c r="B184" s="789"/>
      <c r="C184" s="244"/>
      <c r="D184" s="244"/>
      <c r="E184" s="790" t="s">
        <v>753</v>
      </c>
      <c r="F184" s="687" t="s">
        <v>11</v>
      </c>
      <c r="G184" s="692"/>
      <c r="H184" s="731"/>
      <c r="I184" s="683"/>
      <c r="J184" s="683">
        <v>1</v>
      </c>
      <c r="K184" s="683"/>
      <c r="L184" s="683"/>
      <c r="M184" s="707"/>
      <c r="N184" s="842"/>
      <c r="O184" s="197"/>
      <c r="P184" s="689"/>
    </row>
    <row r="185" spans="1:16" ht="18" customHeight="1" x14ac:dyDescent="0.25">
      <c r="A185" s="679"/>
      <c r="B185" s="789"/>
      <c r="C185" s="244"/>
      <c r="D185" s="244"/>
      <c r="E185" s="790" t="s">
        <v>754</v>
      </c>
      <c r="F185" s="687" t="s">
        <v>9</v>
      </c>
      <c r="G185" s="692"/>
      <c r="H185" s="731"/>
      <c r="I185" s="688">
        <v>1</v>
      </c>
      <c r="J185" s="688"/>
      <c r="K185" s="688">
        <v>1</v>
      </c>
      <c r="L185" s="688">
        <v>1</v>
      </c>
      <c r="M185" s="708">
        <v>1</v>
      </c>
      <c r="N185" s="842"/>
      <c r="O185" s="197"/>
      <c r="P185" s="689"/>
    </row>
    <row r="186" spans="1:16" ht="18" customHeight="1" x14ac:dyDescent="0.25">
      <c r="A186" s="679"/>
      <c r="B186" s="789"/>
      <c r="C186" s="244"/>
      <c r="D186" s="244"/>
      <c r="E186" s="790" t="s">
        <v>755</v>
      </c>
      <c r="F186" s="687" t="s">
        <v>1246</v>
      </c>
      <c r="G186" s="692"/>
      <c r="H186" s="731"/>
      <c r="I186" s="683">
        <v>15000</v>
      </c>
      <c r="J186" s="683"/>
      <c r="K186" s="683">
        <v>30000</v>
      </c>
      <c r="L186" s="683">
        <v>30000</v>
      </c>
      <c r="M186" s="707">
        <v>30000</v>
      </c>
      <c r="N186" s="842"/>
      <c r="O186" s="197"/>
      <c r="P186" s="689"/>
    </row>
    <row r="187" spans="1:16" ht="18" customHeight="1" x14ac:dyDescent="0.25">
      <c r="A187" s="679"/>
      <c r="B187" s="789"/>
      <c r="C187" s="547"/>
      <c r="D187" s="56" t="s">
        <v>1250</v>
      </c>
      <c r="E187" s="146" t="s">
        <v>1251</v>
      </c>
      <c r="F187" s="149"/>
      <c r="G187" s="692"/>
      <c r="H187" s="731"/>
      <c r="I187" s="174"/>
      <c r="J187" s="174"/>
      <c r="K187" s="174"/>
      <c r="L187" s="174"/>
      <c r="M187" s="712"/>
      <c r="N187" s="849"/>
      <c r="O187" s="404"/>
      <c r="P187" s="710"/>
    </row>
    <row r="188" spans="1:16" ht="18" customHeight="1" x14ac:dyDescent="0.25">
      <c r="A188" s="679"/>
      <c r="B188" s="789"/>
      <c r="C188" s="244"/>
      <c r="D188" s="244"/>
      <c r="E188" s="790" t="s">
        <v>753</v>
      </c>
      <c r="F188" s="687" t="s">
        <v>11</v>
      </c>
      <c r="G188" s="692"/>
      <c r="H188" s="731"/>
      <c r="I188" s="683"/>
      <c r="J188" s="683">
        <v>1</v>
      </c>
      <c r="K188" s="683"/>
      <c r="L188" s="683"/>
      <c r="M188" s="707">
        <v>1</v>
      </c>
      <c r="N188" s="842"/>
      <c r="O188" s="197"/>
      <c r="P188" s="689"/>
    </row>
    <row r="189" spans="1:16" ht="18" customHeight="1" x14ac:dyDescent="0.25">
      <c r="A189" s="679"/>
      <c r="B189" s="789"/>
      <c r="C189" s="244"/>
      <c r="D189" s="244"/>
      <c r="E189" s="790" t="s">
        <v>754</v>
      </c>
      <c r="F189" s="687" t="s">
        <v>9</v>
      </c>
      <c r="G189" s="692"/>
      <c r="H189" s="731"/>
      <c r="I189" s="688">
        <v>100000</v>
      </c>
      <c r="J189" s="688"/>
      <c r="K189" s="688">
        <v>400000</v>
      </c>
      <c r="L189" s="688">
        <v>400000</v>
      </c>
      <c r="M189" s="708"/>
      <c r="N189" s="842"/>
      <c r="O189" s="197"/>
      <c r="P189" s="689"/>
    </row>
    <row r="190" spans="1:16" ht="18" customHeight="1" x14ac:dyDescent="0.25">
      <c r="A190" s="679"/>
      <c r="B190" s="789"/>
      <c r="C190" s="547"/>
      <c r="D190" s="56" t="s">
        <v>1252</v>
      </c>
      <c r="E190" s="149" t="s">
        <v>1253</v>
      </c>
      <c r="F190" s="149"/>
      <c r="G190" s="692"/>
      <c r="H190" s="731"/>
      <c r="I190" s="174"/>
      <c r="J190" s="174"/>
      <c r="K190" s="174"/>
      <c r="L190" s="174"/>
      <c r="M190" s="712"/>
      <c r="N190" s="849"/>
      <c r="O190" s="404"/>
      <c r="P190" s="710"/>
    </row>
    <row r="191" spans="1:16" ht="18" customHeight="1" x14ac:dyDescent="0.25">
      <c r="A191" s="679"/>
      <c r="B191" s="789"/>
      <c r="C191" s="547"/>
      <c r="D191" s="547"/>
      <c r="E191" s="149" t="s">
        <v>1254</v>
      </c>
      <c r="F191" s="149"/>
      <c r="G191" s="692"/>
      <c r="H191" s="731"/>
      <c r="I191" s="174"/>
      <c r="J191" s="174"/>
      <c r="K191" s="174"/>
      <c r="L191" s="174"/>
      <c r="M191" s="712"/>
      <c r="N191" s="849"/>
      <c r="O191" s="404"/>
      <c r="P191" s="710"/>
    </row>
    <row r="192" spans="1:16" ht="27.95" customHeight="1" x14ac:dyDescent="0.25">
      <c r="A192" s="679"/>
      <c r="B192" s="679"/>
      <c r="C192" s="182"/>
      <c r="D192" s="792" t="s">
        <v>1256</v>
      </c>
      <c r="E192" s="1413" t="s">
        <v>753</v>
      </c>
      <c r="F192" s="707"/>
      <c r="G192" s="735"/>
      <c r="H192" s="731"/>
      <c r="I192" s="683"/>
      <c r="J192" s="683"/>
      <c r="K192" s="683"/>
      <c r="L192" s="683"/>
      <c r="M192" s="707"/>
      <c r="N192" s="842"/>
      <c r="O192" s="197"/>
      <c r="P192" s="689"/>
    </row>
    <row r="193" spans="1:16" ht="18" customHeight="1" x14ac:dyDescent="0.25">
      <c r="A193" s="679"/>
      <c r="B193" s="679"/>
      <c r="C193" s="182"/>
      <c r="D193" s="792"/>
      <c r="E193" s="1413"/>
      <c r="F193" s="740" t="s">
        <v>1257</v>
      </c>
      <c r="G193" s="866"/>
      <c r="H193" s="731"/>
      <c r="I193" s="688"/>
      <c r="J193" s="688"/>
      <c r="K193" s="688"/>
      <c r="L193" s="688"/>
      <c r="M193" s="708"/>
      <c r="N193" s="842"/>
      <c r="O193" s="197"/>
      <c r="P193" s="689"/>
    </row>
    <row r="194" spans="1:16" ht="27.95" customHeight="1" x14ac:dyDescent="0.25">
      <c r="A194" s="679"/>
      <c r="B194" s="679"/>
      <c r="C194" s="182"/>
      <c r="D194" s="792" t="s">
        <v>1256</v>
      </c>
      <c r="E194" s="1413" t="s">
        <v>754</v>
      </c>
      <c r="F194" s="707"/>
      <c r="G194" s="735"/>
      <c r="H194" s="731"/>
      <c r="I194" s="683"/>
      <c r="J194" s="683"/>
      <c r="K194" s="683"/>
      <c r="L194" s="683"/>
      <c r="M194" s="707"/>
      <c r="N194" s="842"/>
      <c r="O194" s="197"/>
      <c r="P194" s="689"/>
    </row>
    <row r="195" spans="1:16" ht="18" customHeight="1" x14ac:dyDescent="0.25">
      <c r="A195" s="679"/>
      <c r="B195" s="679"/>
      <c r="C195" s="182"/>
      <c r="D195" s="792"/>
      <c r="E195" s="1413"/>
      <c r="F195" s="740" t="s">
        <v>1257</v>
      </c>
      <c r="G195" s="866"/>
      <c r="H195" s="731"/>
      <c r="I195" s="688"/>
      <c r="J195" s="688"/>
      <c r="K195" s="688"/>
      <c r="L195" s="688"/>
      <c r="M195" s="708"/>
      <c r="N195" s="842"/>
      <c r="O195" s="197"/>
      <c r="P195" s="689"/>
    </row>
    <row r="196" spans="1:16" ht="27.95" customHeight="1" x14ac:dyDescent="0.25">
      <c r="A196" s="679"/>
      <c r="B196" s="679"/>
      <c r="C196" s="182"/>
      <c r="D196" s="792" t="s">
        <v>1256</v>
      </c>
      <c r="E196" s="1413" t="s">
        <v>755</v>
      </c>
      <c r="F196" s="707"/>
      <c r="G196" s="735"/>
      <c r="H196" s="731"/>
      <c r="I196" s="683"/>
      <c r="J196" s="683"/>
      <c r="K196" s="683"/>
      <c r="L196" s="683"/>
      <c r="M196" s="707"/>
      <c r="N196" s="842"/>
      <c r="O196" s="197"/>
      <c r="P196" s="689"/>
    </row>
    <row r="197" spans="1:16" ht="18" customHeight="1" x14ac:dyDescent="0.25">
      <c r="A197" s="679"/>
      <c r="B197" s="679"/>
      <c r="C197" s="182"/>
      <c r="D197" s="792"/>
      <c r="E197" s="1413"/>
      <c r="F197" s="740" t="s">
        <v>1257</v>
      </c>
      <c r="G197" s="866"/>
      <c r="H197" s="731"/>
      <c r="I197" s="688"/>
      <c r="J197" s="688"/>
      <c r="K197" s="688"/>
      <c r="L197" s="688"/>
      <c r="M197" s="708"/>
      <c r="N197" s="842"/>
      <c r="O197" s="197"/>
      <c r="P197" s="689"/>
    </row>
    <row r="198" spans="1:16" s="757" customFormat="1" ht="18" customHeight="1" x14ac:dyDescent="0.25">
      <c r="A198" s="689"/>
      <c r="B198" s="689"/>
      <c r="C198" s="182"/>
      <c r="D198" s="547"/>
      <c r="E198" s="427"/>
      <c r="F198" s="427"/>
      <c r="G198" s="759"/>
      <c r="H198" s="731"/>
      <c r="I198" s="198"/>
      <c r="J198" s="198"/>
      <c r="K198" s="198"/>
      <c r="L198" s="198"/>
      <c r="M198" s="715"/>
      <c r="N198" s="842"/>
      <c r="O198" s="197"/>
      <c r="P198" s="689"/>
    </row>
    <row r="199" spans="1:16" ht="18" customHeight="1" x14ac:dyDescent="0.25">
      <c r="A199" s="182"/>
      <c r="B199" s="48" t="s">
        <v>1131</v>
      </c>
      <c r="C199" s="274" t="s">
        <v>12</v>
      </c>
      <c r="D199" s="50"/>
      <c r="E199" s="50"/>
      <c r="F199" s="50"/>
      <c r="G199" s="685"/>
      <c r="H199" s="731"/>
      <c r="I199" s="691"/>
      <c r="J199" s="691"/>
      <c r="K199" s="691"/>
      <c r="L199" s="691"/>
      <c r="M199" s="693"/>
      <c r="N199" s="839"/>
      <c r="O199" s="682"/>
      <c r="P199" s="682"/>
    </row>
    <row r="200" spans="1:16" s="757" customFormat="1" ht="18" customHeight="1" x14ac:dyDescent="0.25">
      <c r="A200" s="689"/>
      <c r="B200" s="689"/>
      <c r="C200" s="940" t="s">
        <v>1546</v>
      </c>
      <c r="D200" s="57" t="s">
        <v>1105</v>
      </c>
      <c r="E200" s="149"/>
      <c r="F200" s="149"/>
      <c r="G200" s="692"/>
      <c r="H200" s="731"/>
      <c r="I200" s="174"/>
      <c r="J200" s="174"/>
      <c r="K200" s="174"/>
      <c r="L200" s="174"/>
      <c r="M200" s="712"/>
      <c r="N200" s="849"/>
      <c r="O200" s="404"/>
      <c r="P200" s="710"/>
    </row>
    <row r="201" spans="1:16" s="757" customFormat="1" ht="18" customHeight="1" x14ac:dyDescent="0.25">
      <c r="A201" s="689"/>
      <c r="B201" s="689"/>
      <c r="C201" s="182"/>
      <c r="D201" s="1086" t="s">
        <v>1547</v>
      </c>
      <c r="E201" s="676"/>
      <c r="F201" s="676"/>
      <c r="G201" s="676"/>
      <c r="H201" s="731"/>
      <c r="I201" s="697">
        <f>IF(AND(I68=1,SUM(I69:I71)=0),1,0)</f>
        <v>0</v>
      </c>
      <c r="J201" s="697">
        <f t="shared" ref="J201:M201" si="82">IF(AND(J68=1,SUM(J69:J71)=0),1,0)</f>
        <v>0</v>
      </c>
      <c r="K201" s="697">
        <f t="shared" si="82"/>
        <v>0</v>
      </c>
      <c r="L201" s="697">
        <f t="shared" si="82"/>
        <v>0</v>
      </c>
      <c r="M201" s="697">
        <f t="shared" si="82"/>
        <v>0</v>
      </c>
      <c r="N201" s="973">
        <f>SUM(I201:M201)</f>
        <v>0</v>
      </c>
      <c r="O201" s="504"/>
      <c r="P201" s="690"/>
    </row>
    <row r="202" spans="1:16" s="757" customFormat="1" ht="18" customHeight="1" x14ac:dyDescent="0.25">
      <c r="A202" s="689"/>
      <c r="B202" s="689"/>
      <c r="C202" s="182"/>
      <c r="D202" s="1086" t="s">
        <v>1548</v>
      </c>
      <c r="E202" s="676"/>
      <c r="F202" s="676"/>
      <c r="G202" s="676"/>
      <c r="H202" s="731"/>
      <c r="I202" s="697">
        <f>IF(AND(SUM(I68:I69)=2,I71=0),1,0)</f>
        <v>1</v>
      </c>
      <c r="J202" s="697">
        <f t="shared" ref="J202:M202" si="83">IF(AND(SUM(J68:J69)=2,J71=0),1,0)</f>
        <v>1</v>
      </c>
      <c r="K202" s="697">
        <f t="shared" si="83"/>
        <v>1</v>
      </c>
      <c r="L202" s="697">
        <f t="shared" si="83"/>
        <v>0</v>
      </c>
      <c r="M202" s="697">
        <f t="shared" si="83"/>
        <v>1</v>
      </c>
      <c r="N202" s="973">
        <f t="shared" ref="N202:N204" si="84">SUM(I202:M202)</f>
        <v>4</v>
      </c>
      <c r="O202" s="504"/>
      <c r="P202" s="690"/>
    </row>
    <row r="203" spans="1:16" s="757" customFormat="1" ht="18" customHeight="1" x14ac:dyDescent="0.25">
      <c r="A203" s="689"/>
      <c r="B203" s="689"/>
      <c r="C203" s="182"/>
      <c r="D203" s="1086" t="s">
        <v>1549</v>
      </c>
      <c r="E203" s="676"/>
      <c r="F203" s="676"/>
      <c r="G203" s="676"/>
      <c r="H203" s="731"/>
      <c r="I203" s="697">
        <f>IF(AND(I68+I71=2,I69=0),1,0)</f>
        <v>0</v>
      </c>
      <c r="J203" s="697">
        <f t="shared" ref="J203:M203" si="85">IF(AND(J68+J71=2,J69=0),1,0)</f>
        <v>0</v>
      </c>
      <c r="K203" s="697">
        <f t="shared" si="85"/>
        <v>0</v>
      </c>
      <c r="L203" s="697">
        <f t="shared" si="85"/>
        <v>0</v>
      </c>
      <c r="M203" s="697">
        <f t="shared" si="85"/>
        <v>0</v>
      </c>
      <c r="N203" s="973">
        <f t="shared" si="84"/>
        <v>0</v>
      </c>
      <c r="O203" s="504"/>
      <c r="P203" s="690"/>
    </row>
    <row r="204" spans="1:16" s="757" customFormat="1" ht="18" customHeight="1" x14ac:dyDescent="0.25">
      <c r="A204" s="689"/>
      <c r="B204" s="689"/>
      <c r="C204" s="182"/>
      <c r="D204" s="1086" t="s">
        <v>1550</v>
      </c>
      <c r="E204" s="676"/>
      <c r="F204" s="676"/>
      <c r="G204" s="676"/>
      <c r="H204" s="731"/>
      <c r="I204" s="697">
        <f>IF(SUM(I68:I71)=3,1,0)</f>
        <v>0</v>
      </c>
      <c r="J204" s="697">
        <f t="shared" ref="J204:M204" si="86">IF(SUM(J68:J71)=3,1,0)</f>
        <v>0</v>
      </c>
      <c r="K204" s="697">
        <f t="shared" si="86"/>
        <v>0</v>
      </c>
      <c r="L204" s="697">
        <f t="shared" si="86"/>
        <v>1</v>
      </c>
      <c r="M204" s="697">
        <f t="shared" si="86"/>
        <v>0</v>
      </c>
      <c r="N204" s="973">
        <f t="shared" si="84"/>
        <v>1</v>
      </c>
      <c r="O204" s="504"/>
      <c r="P204" s="690"/>
    </row>
    <row r="205" spans="1:16" s="757" customFormat="1" ht="18" customHeight="1" x14ac:dyDescent="0.25">
      <c r="A205" s="689"/>
      <c r="B205" s="689"/>
      <c r="C205" s="182"/>
      <c r="D205" s="326"/>
      <c r="E205" s="326"/>
      <c r="F205" s="326"/>
      <c r="G205" s="326"/>
      <c r="H205" s="731"/>
      <c r="I205" s="64"/>
      <c r="J205" s="64"/>
      <c r="K205" s="64"/>
      <c r="L205" s="64"/>
      <c r="M205" s="709"/>
      <c r="N205" s="1087"/>
      <c r="O205" s="500"/>
      <c r="P205" s="680"/>
    </row>
    <row r="206" spans="1:16" s="757" customFormat="1" ht="18" customHeight="1" x14ac:dyDescent="0.25">
      <c r="A206" s="689"/>
      <c r="B206" s="689"/>
      <c r="C206" s="940" t="s">
        <v>1551</v>
      </c>
      <c r="D206" s="57" t="s">
        <v>1552</v>
      </c>
      <c r="E206" s="149"/>
      <c r="F206" s="149"/>
      <c r="G206" s="692"/>
      <c r="H206" s="731"/>
      <c r="I206" s="174"/>
      <c r="J206" s="174"/>
      <c r="K206" s="174"/>
      <c r="L206" s="174"/>
      <c r="M206" s="712"/>
      <c r="N206" s="972"/>
      <c r="O206" s="404"/>
      <c r="P206" s="710"/>
    </row>
    <row r="207" spans="1:16" s="757" customFormat="1" ht="18" customHeight="1" x14ac:dyDescent="0.25">
      <c r="A207" s="689"/>
      <c r="B207" s="689"/>
      <c r="C207" s="182"/>
      <c r="D207" s="1088">
        <v>1</v>
      </c>
      <c r="E207" s="676"/>
      <c r="F207" s="676"/>
      <c r="G207" s="676"/>
      <c r="H207" s="731"/>
      <c r="I207" s="697">
        <f>IF(I201=1,1,0)</f>
        <v>0</v>
      </c>
      <c r="J207" s="697">
        <f t="shared" ref="J207:M207" si="87">IF(J201=1,1,0)</f>
        <v>0</v>
      </c>
      <c r="K207" s="697">
        <f t="shared" si="87"/>
        <v>0</v>
      </c>
      <c r="L207" s="697">
        <f t="shared" si="87"/>
        <v>0</v>
      </c>
      <c r="M207" s="697">
        <f t="shared" si="87"/>
        <v>0</v>
      </c>
      <c r="N207" s="973">
        <f t="shared" ref="N207:N212" si="88">SUM(I207:M207)</f>
        <v>0</v>
      </c>
      <c r="O207" s="504"/>
      <c r="P207" s="690"/>
    </row>
    <row r="208" spans="1:16" s="757" customFormat="1" ht="18" customHeight="1" x14ac:dyDescent="0.25">
      <c r="A208" s="689"/>
      <c r="B208" s="689"/>
      <c r="C208" s="182"/>
      <c r="D208" s="1089" t="s">
        <v>1553</v>
      </c>
      <c r="E208" s="676"/>
      <c r="F208" s="676"/>
      <c r="G208" s="676"/>
      <c r="H208" s="731"/>
      <c r="I208" s="697">
        <f>IF(AND(I201=0,I85=1),1,0)</f>
        <v>1</v>
      </c>
      <c r="J208" s="697">
        <f t="shared" ref="J208:M208" si="89">IF(AND(J201=0,J85=1),1,0)</f>
        <v>1</v>
      </c>
      <c r="K208" s="697">
        <f t="shared" si="89"/>
        <v>1</v>
      </c>
      <c r="L208" s="697">
        <f t="shared" si="89"/>
        <v>0</v>
      </c>
      <c r="M208" s="697">
        <f t="shared" si="89"/>
        <v>1</v>
      </c>
      <c r="N208" s="973">
        <f t="shared" si="88"/>
        <v>4</v>
      </c>
      <c r="O208" s="504"/>
      <c r="P208" s="690"/>
    </row>
    <row r="209" spans="1:18" s="757" customFormat="1" ht="18" customHeight="1" x14ac:dyDescent="0.25">
      <c r="A209" s="689"/>
      <c r="B209" s="689"/>
      <c r="C209" s="182"/>
      <c r="D209" s="1089" t="s">
        <v>1554</v>
      </c>
      <c r="E209" s="676"/>
      <c r="F209" s="676"/>
      <c r="G209" s="676"/>
      <c r="H209" s="731"/>
      <c r="I209" s="697">
        <f>IF(AND(I201=0,I84=1),1,0)</f>
        <v>0</v>
      </c>
      <c r="J209" s="697">
        <f t="shared" ref="J209:M209" si="90">IF(AND(J201=0,J84=1),1,0)</f>
        <v>0</v>
      </c>
      <c r="K209" s="697">
        <f t="shared" si="90"/>
        <v>0</v>
      </c>
      <c r="L209" s="697">
        <f t="shared" si="90"/>
        <v>1</v>
      </c>
      <c r="M209" s="697">
        <f t="shared" si="90"/>
        <v>0</v>
      </c>
      <c r="N209" s="973">
        <f t="shared" si="88"/>
        <v>1</v>
      </c>
      <c r="O209" s="504"/>
      <c r="P209" s="690"/>
    </row>
    <row r="210" spans="1:18" s="757" customFormat="1" ht="18" customHeight="1" x14ac:dyDescent="0.25">
      <c r="A210" s="689"/>
      <c r="B210" s="689"/>
      <c r="C210" s="182"/>
      <c r="D210" s="1088">
        <v>0.5</v>
      </c>
      <c r="E210" s="676"/>
      <c r="F210" s="676"/>
      <c r="G210" s="676"/>
      <c r="H210" s="731"/>
      <c r="I210" s="697">
        <f>IF(AND(I201=0,I83=1),1,0)</f>
        <v>0</v>
      </c>
      <c r="J210" s="697">
        <f t="shared" ref="J210:M210" si="91">IF(AND(J201=0,J83=1),1,0)</f>
        <v>0</v>
      </c>
      <c r="K210" s="697">
        <f t="shared" si="91"/>
        <v>0</v>
      </c>
      <c r="L210" s="697">
        <f t="shared" si="91"/>
        <v>0</v>
      </c>
      <c r="M210" s="697">
        <f t="shared" si="91"/>
        <v>0</v>
      </c>
      <c r="N210" s="973">
        <f t="shared" si="88"/>
        <v>0</v>
      </c>
      <c r="O210" s="504"/>
      <c r="P210" s="690"/>
    </row>
    <row r="211" spans="1:18" s="757" customFormat="1" ht="18" customHeight="1" x14ac:dyDescent="0.25">
      <c r="A211" s="689"/>
      <c r="B211" s="689"/>
      <c r="C211" s="182"/>
      <c r="D211" s="1090" t="s">
        <v>1555</v>
      </c>
      <c r="E211" s="676"/>
      <c r="F211" s="676"/>
      <c r="G211" s="676"/>
      <c r="H211" s="731"/>
      <c r="I211" s="697">
        <f>IF(AND(I201=0,I82=1),1,0)</f>
        <v>0</v>
      </c>
      <c r="J211" s="697">
        <f t="shared" ref="J211:M211" si="92">IF(AND(J201=0,J82=1),1,0)</f>
        <v>0</v>
      </c>
      <c r="K211" s="697">
        <f t="shared" si="92"/>
        <v>0</v>
      </c>
      <c r="L211" s="697">
        <f t="shared" si="92"/>
        <v>0</v>
      </c>
      <c r="M211" s="697">
        <f t="shared" si="92"/>
        <v>0</v>
      </c>
      <c r="N211" s="973">
        <f t="shared" si="88"/>
        <v>0</v>
      </c>
      <c r="O211" s="504"/>
      <c r="P211" s="690"/>
    </row>
    <row r="212" spans="1:18" s="757" customFormat="1" ht="18" customHeight="1" x14ac:dyDescent="0.25">
      <c r="A212" s="689"/>
      <c r="B212" s="689"/>
      <c r="C212" s="182"/>
      <c r="D212" s="1089" t="s">
        <v>1556</v>
      </c>
      <c r="E212" s="676"/>
      <c r="F212" s="676"/>
      <c r="G212" s="676"/>
      <c r="H212" s="731"/>
      <c r="I212" s="697">
        <f>IF(AND(I201=0,I81=1),1,0)</f>
        <v>0</v>
      </c>
      <c r="J212" s="697">
        <f t="shared" ref="J212:M212" si="93">IF(AND(J201=0,J81=1),1,0)</f>
        <v>0</v>
      </c>
      <c r="K212" s="697">
        <f t="shared" si="93"/>
        <v>0</v>
      </c>
      <c r="L212" s="697">
        <f t="shared" si="93"/>
        <v>0</v>
      </c>
      <c r="M212" s="697">
        <f t="shared" si="93"/>
        <v>0</v>
      </c>
      <c r="N212" s="973">
        <f t="shared" si="88"/>
        <v>0</v>
      </c>
      <c r="O212" s="504"/>
      <c r="P212" s="690"/>
    </row>
    <row r="213" spans="1:18" s="757" customFormat="1" ht="18" customHeight="1" x14ac:dyDescent="0.25">
      <c r="A213" s="689"/>
      <c r="B213" s="689"/>
      <c r="C213" s="182"/>
      <c r="D213" s="326"/>
      <c r="E213" s="326"/>
      <c r="F213" s="326"/>
      <c r="G213" s="326"/>
      <c r="H213" s="731"/>
      <c r="I213" s="64"/>
      <c r="J213" s="64"/>
      <c r="K213" s="64"/>
      <c r="L213" s="64"/>
      <c r="M213" s="709"/>
      <c r="N213" s="390"/>
      <c r="O213" s="500"/>
      <c r="P213" s="680"/>
    </row>
    <row r="214" spans="1:18" s="757" customFormat="1" ht="18" customHeight="1" x14ac:dyDescent="0.25">
      <c r="A214" s="689"/>
      <c r="B214" s="689"/>
      <c r="C214" s="182"/>
      <c r="D214" s="696" t="s">
        <v>1557</v>
      </c>
      <c r="E214" s="676"/>
      <c r="F214" s="676"/>
      <c r="G214" s="676"/>
      <c r="H214" s="731"/>
      <c r="I214" s="194">
        <f>IF(I$66=0,"",IF(I$207=1,1,IF(I$208=1,0.75,IF(I$209=1,0.5,IF(I$210=1,0.5,IF(I$211=1,0.25,IF(I$212=1,0,0)))))))</f>
        <v>0.75</v>
      </c>
      <c r="J214" s="194">
        <f t="shared" ref="J214:M214" si="94">IF(J$66=0,"",IF(J$207=1,1,IF(J$208=1,0.75,IF(J$209=1,0.5,IF(J$210=1,0.5,IF(J$211=1,0.25,IF(J$212=1,0,0)))))))</f>
        <v>0.75</v>
      </c>
      <c r="K214" s="194">
        <f t="shared" si="94"/>
        <v>0.75</v>
      </c>
      <c r="L214" s="194">
        <f t="shared" si="94"/>
        <v>0.5</v>
      </c>
      <c r="M214" s="194">
        <f t="shared" si="94"/>
        <v>0.75</v>
      </c>
      <c r="N214" s="1091">
        <f>MIN(I214:M214)</f>
        <v>0.5</v>
      </c>
      <c r="O214" s="716">
        <f>MAX(I214:M214)</f>
        <v>0.75</v>
      </c>
      <c r="P214" s="716">
        <f>IF(SUM(I214:M214)=0,0,AVERAGE(I214:M214))</f>
        <v>0.7</v>
      </c>
    </row>
    <row r="215" spans="1:18" s="760" customFormat="1" ht="18" customHeight="1" x14ac:dyDescent="0.25">
      <c r="A215" s="689"/>
      <c r="B215" s="689"/>
      <c r="C215" s="182"/>
      <c r="D215" s="696" t="s">
        <v>1558</v>
      </c>
      <c r="E215" s="676"/>
      <c r="F215" s="676"/>
      <c r="G215" s="676"/>
      <c r="H215" s="731"/>
      <c r="I215" s="194">
        <f>IF(I$66=0,"",IF(I$207=1,1,IF(I$208=1,1,IF(I$209=1,0.75,IF(I$210=1,0.5,IF(I$211=1,0.5,IF(I$212=1,0.25,0)))))))</f>
        <v>1</v>
      </c>
      <c r="J215" s="194">
        <f t="shared" ref="J215:M215" si="95">IF(J$66=0,"",IF(J$207=1,1,IF(J$208=1,1,IF(J$209=1,0.75,IF(J$210=1,0.5,IF(J$211=1,0.5,IF(J$212=1,0.25,0)))))))</f>
        <v>1</v>
      </c>
      <c r="K215" s="194">
        <f t="shared" si="95"/>
        <v>1</v>
      </c>
      <c r="L215" s="194">
        <f t="shared" si="95"/>
        <v>0.75</v>
      </c>
      <c r="M215" s="194">
        <f t="shared" si="95"/>
        <v>1</v>
      </c>
      <c r="N215" s="1092">
        <f>MIN(I215:M215)</f>
        <v>0.75</v>
      </c>
      <c r="O215" s="1093">
        <f>MAX(I215:M215)</f>
        <v>1</v>
      </c>
      <c r="P215" s="716">
        <f>IF(SUM(I215:M215)=0,0,AVERAGE(I215:M215))</f>
        <v>0.95</v>
      </c>
    </row>
    <row r="216" spans="1:18" s="760" customFormat="1" ht="18" customHeight="1" x14ac:dyDescent="0.25">
      <c r="A216" s="689"/>
      <c r="B216" s="689"/>
      <c r="C216" s="182"/>
      <c r="D216" s="696" t="s">
        <v>1559</v>
      </c>
      <c r="E216" s="676"/>
      <c r="F216" s="676"/>
      <c r="G216" s="676"/>
      <c r="H216" s="731"/>
      <c r="I216" s="194">
        <f>IF(I$66=1,I217,"")</f>
        <v>0.875</v>
      </c>
      <c r="J216" s="194">
        <f t="shared" ref="J216:M216" si="96">IF(J$66=1,J217,"")</f>
        <v>0.875</v>
      </c>
      <c r="K216" s="194">
        <f t="shared" si="96"/>
        <v>0.875</v>
      </c>
      <c r="L216" s="194">
        <f t="shared" si="96"/>
        <v>0.625</v>
      </c>
      <c r="M216" s="194">
        <f t="shared" si="96"/>
        <v>0.875</v>
      </c>
      <c r="N216" s="1092">
        <f>MIN(I216:M216)</f>
        <v>0.625</v>
      </c>
      <c r="O216" s="716">
        <f>MAX(I216:M216)</f>
        <v>0.875</v>
      </c>
      <c r="P216" s="1093">
        <f>IF(SUM(I216:M216)=0,0,AVERAGE(I216:M216))</f>
        <v>0.82499999999999996</v>
      </c>
    </row>
    <row r="217" spans="1:18" s="760" customFormat="1" ht="18" customHeight="1" x14ac:dyDescent="0.25">
      <c r="A217" s="689"/>
      <c r="B217" s="689"/>
      <c r="C217" s="182"/>
      <c r="D217" s="1094" t="s">
        <v>1559</v>
      </c>
      <c r="E217" s="676"/>
      <c r="F217" s="676"/>
      <c r="G217" s="676"/>
      <c r="H217" s="731"/>
      <c r="I217" s="194">
        <f>IF(SUM(I214:I215)=0,0,AVERAGE(I214:I215))</f>
        <v>0.875</v>
      </c>
      <c r="J217" s="194">
        <f t="shared" ref="J217:M217" si="97">IF(SUM(J214:J215)=0,0,AVERAGE(J214:J215))</f>
        <v>0.875</v>
      </c>
      <c r="K217" s="194">
        <f t="shared" si="97"/>
        <v>0.875</v>
      </c>
      <c r="L217" s="194">
        <f t="shared" si="97"/>
        <v>0.625</v>
      </c>
      <c r="M217" s="194">
        <f t="shared" si="97"/>
        <v>0.875</v>
      </c>
      <c r="N217" s="973"/>
      <c r="O217" s="504"/>
      <c r="P217" s="718"/>
      <c r="R217" s="1095"/>
    </row>
    <row r="218" spans="1:18" s="760" customFormat="1" ht="18" customHeight="1" x14ac:dyDescent="0.25">
      <c r="A218" s="798"/>
      <c r="B218" s="798"/>
      <c r="C218" s="793"/>
      <c r="D218" s="427"/>
      <c r="E218" s="427"/>
      <c r="F218" s="427"/>
      <c r="G218" s="427"/>
      <c r="H218" s="731"/>
      <c r="I218" s="1082"/>
      <c r="J218" s="1082"/>
      <c r="K218" s="1082"/>
      <c r="L218" s="1082"/>
      <c r="M218" s="1082"/>
      <c r="N218" s="1083"/>
      <c r="O218" s="1084"/>
      <c r="P218" s="1085"/>
    </row>
    <row r="219" spans="1:18" ht="18" customHeight="1" thickBot="1" x14ac:dyDescent="0.3">
      <c r="A219" s="800" t="s">
        <v>20</v>
      </c>
      <c r="B219" s="801" t="s">
        <v>1260</v>
      </c>
      <c r="C219" s="802"/>
      <c r="D219" s="802"/>
      <c r="E219" s="802"/>
      <c r="F219" s="802"/>
      <c r="G219" s="803"/>
      <c r="H219" s="773"/>
      <c r="I219" s="706">
        <f>I66</f>
        <v>1</v>
      </c>
      <c r="J219" s="706">
        <f t="shared" ref="J219:M219" si="98">J66</f>
        <v>1</v>
      </c>
      <c r="K219" s="706">
        <f t="shared" si="98"/>
        <v>1</v>
      </c>
      <c r="L219" s="706">
        <f t="shared" si="98"/>
        <v>1</v>
      </c>
      <c r="M219" s="706">
        <f t="shared" si="98"/>
        <v>1</v>
      </c>
      <c r="N219" s="847" t="s">
        <v>4</v>
      </c>
      <c r="O219" s="669" t="s">
        <v>5</v>
      </c>
      <c r="P219" s="669" t="s">
        <v>6</v>
      </c>
    </row>
    <row r="220" spans="1:18" ht="18" customHeight="1" x14ac:dyDescent="0.25">
      <c r="A220" s="182"/>
      <c r="B220" s="48" t="s">
        <v>22</v>
      </c>
      <c r="C220" s="274" t="s">
        <v>1132</v>
      </c>
      <c r="D220" s="50"/>
      <c r="E220" s="50"/>
      <c r="F220" s="50"/>
      <c r="G220" s="685"/>
      <c r="H220" s="731"/>
      <c r="I220" s="811"/>
      <c r="J220" s="811"/>
      <c r="K220" s="811"/>
      <c r="L220" s="811"/>
      <c r="M220" s="852"/>
      <c r="N220" s="848"/>
      <c r="O220" s="810"/>
      <c r="P220" s="810"/>
    </row>
    <row r="221" spans="1:18" ht="18" customHeight="1" x14ac:dyDescent="0.25">
      <c r="A221" s="182"/>
      <c r="B221" s="547"/>
      <c r="C221" s="48" t="s">
        <v>24</v>
      </c>
      <c r="D221" s="50" t="s">
        <v>1261</v>
      </c>
      <c r="E221" s="50"/>
      <c r="F221" s="50"/>
      <c r="G221" s="685"/>
      <c r="H221" s="731"/>
      <c r="I221" s="88"/>
      <c r="J221" s="88"/>
      <c r="K221" s="88"/>
      <c r="L221" s="88"/>
      <c r="M221" s="734"/>
      <c r="N221" s="851"/>
      <c r="O221" s="784"/>
      <c r="P221" s="682"/>
    </row>
    <row r="222" spans="1:18" ht="18" customHeight="1" x14ac:dyDescent="0.25">
      <c r="A222" s="182"/>
      <c r="B222" s="547"/>
      <c r="C222" s="182"/>
      <c r="D222" s="56" t="s">
        <v>25</v>
      </c>
      <c r="E222" s="149" t="s">
        <v>9</v>
      </c>
      <c r="F222" s="149"/>
      <c r="G222" s="692"/>
      <c r="H222" s="731"/>
      <c r="I222" s="683">
        <v>1</v>
      </c>
      <c r="J222" s="683">
        <v>1</v>
      </c>
      <c r="K222" s="683">
        <v>1</v>
      </c>
      <c r="L222" s="683">
        <v>1</v>
      </c>
      <c r="M222" s="707">
        <v>1</v>
      </c>
      <c r="N222" s="840">
        <f>SUM(I222:M222)</f>
        <v>5</v>
      </c>
      <c r="O222" s="675">
        <f>IF(N$224=0,0,N222/N$224)</f>
        <v>1</v>
      </c>
      <c r="P222" s="684"/>
    </row>
    <row r="223" spans="1:18" ht="18" customHeight="1" x14ac:dyDescent="0.25">
      <c r="A223" s="182"/>
      <c r="B223" s="547"/>
      <c r="C223" s="182"/>
      <c r="D223" s="56" t="s">
        <v>27</v>
      </c>
      <c r="E223" s="149" t="s">
        <v>11</v>
      </c>
      <c r="F223" s="149"/>
      <c r="G223" s="692"/>
      <c r="H223" s="731"/>
      <c r="I223" s="688"/>
      <c r="J223" s="688"/>
      <c r="K223" s="688"/>
      <c r="L223" s="688"/>
      <c r="M223" s="708"/>
      <c r="N223" s="840">
        <f>SUM(I223:M223)</f>
        <v>0</v>
      </c>
      <c r="O223" s="675">
        <f t="shared" ref="O223:O224" si="99">IF(N$224=0,0,N223/N$224)</f>
        <v>0</v>
      </c>
      <c r="P223" s="684"/>
    </row>
    <row r="224" spans="1:18" ht="18" customHeight="1" x14ac:dyDescent="0.25">
      <c r="A224" s="679"/>
      <c r="B224" s="679"/>
      <c r="C224" s="325"/>
      <c r="D224" s="326"/>
      <c r="E224" s="326"/>
      <c r="F224" s="326"/>
      <c r="G224" s="702"/>
      <c r="H224" s="731"/>
      <c r="I224" s="812">
        <f>SUM(I222:I223)</f>
        <v>1</v>
      </c>
      <c r="J224" s="812">
        <f t="shared" ref="J224:M224" si="100">SUM(J222:J223)</f>
        <v>1</v>
      </c>
      <c r="K224" s="812">
        <f t="shared" si="100"/>
        <v>1</v>
      </c>
      <c r="L224" s="812">
        <f t="shared" si="100"/>
        <v>1</v>
      </c>
      <c r="M224" s="796">
        <f t="shared" si="100"/>
        <v>1</v>
      </c>
      <c r="N224" s="390">
        <f>SUM(N222:N223)</f>
        <v>5</v>
      </c>
      <c r="O224" s="500">
        <f t="shared" si="99"/>
        <v>1</v>
      </c>
      <c r="P224" s="680"/>
    </row>
    <row r="225" spans="1:16" s="757" customFormat="1" ht="18" customHeight="1" x14ac:dyDescent="0.25">
      <c r="A225" s="182"/>
      <c r="B225" s="547"/>
      <c r="C225" s="182"/>
      <c r="D225" s="793"/>
      <c r="E225" s="427"/>
      <c r="F225" s="427"/>
      <c r="G225" s="759"/>
      <c r="H225" s="731"/>
      <c r="I225" s="198" t="str">
        <f>IF(I$219=0,"",IF(AND(I$219=1,I224=1),"OK","NOK"))</f>
        <v>OK</v>
      </c>
      <c r="J225" s="198" t="str">
        <f t="shared" ref="J225:M225" si="101">IF(J$219=0,"",IF(AND(J$219=1,J224=1),"OK","NOK"))</f>
        <v>OK</v>
      </c>
      <c r="K225" s="198" t="str">
        <f t="shared" si="101"/>
        <v>OK</v>
      </c>
      <c r="L225" s="198" t="str">
        <f t="shared" si="101"/>
        <v>OK</v>
      </c>
      <c r="M225" s="715" t="str">
        <f t="shared" si="101"/>
        <v>OK</v>
      </c>
      <c r="N225" s="842"/>
      <c r="O225" s="197"/>
      <c r="P225" s="719"/>
    </row>
    <row r="226" spans="1:16" ht="18" customHeight="1" x14ac:dyDescent="0.25">
      <c r="A226" s="182"/>
      <c r="B226" s="547"/>
      <c r="C226" s="48" t="s">
        <v>33</v>
      </c>
      <c r="D226" s="50" t="s">
        <v>1262</v>
      </c>
      <c r="E226" s="50"/>
      <c r="F226" s="50"/>
      <c r="G226" s="685"/>
      <c r="H226" s="731"/>
      <c r="I226" s="88"/>
      <c r="J226" s="88"/>
      <c r="K226" s="88"/>
      <c r="L226" s="88"/>
      <c r="M226" s="734"/>
      <c r="N226" s="851"/>
      <c r="O226" s="784"/>
      <c r="P226" s="682"/>
    </row>
    <row r="227" spans="1:16" ht="18" customHeight="1" x14ac:dyDescent="0.25">
      <c r="A227" s="182"/>
      <c r="B227" s="547"/>
      <c r="C227" s="182"/>
      <c r="D227" s="56" t="s">
        <v>34</v>
      </c>
      <c r="E227" s="149" t="s">
        <v>1263</v>
      </c>
      <c r="F227" s="149"/>
      <c r="G227" s="692"/>
      <c r="H227" s="731"/>
      <c r="I227" s="683"/>
      <c r="J227" s="683"/>
      <c r="K227" s="683"/>
      <c r="L227" s="683"/>
      <c r="M227" s="707"/>
      <c r="N227" s="840">
        <f>SUM(I227:M227)</f>
        <v>0</v>
      </c>
      <c r="O227" s="675"/>
      <c r="P227" s="684"/>
    </row>
    <row r="228" spans="1:16" ht="18" customHeight="1" x14ac:dyDescent="0.25">
      <c r="A228" s="182"/>
      <c r="B228" s="547"/>
      <c r="C228" s="182"/>
      <c r="D228" s="56" t="s">
        <v>36</v>
      </c>
      <c r="E228" s="149" t="s">
        <v>1264</v>
      </c>
      <c r="F228" s="149"/>
      <c r="G228" s="692"/>
      <c r="H228" s="731"/>
      <c r="I228" s="688"/>
      <c r="J228" s="688"/>
      <c r="K228" s="688"/>
      <c r="L228" s="688"/>
      <c r="M228" s="708"/>
      <c r="N228" s="840">
        <f>SUM(I228:M228)</f>
        <v>0</v>
      </c>
      <c r="O228" s="675"/>
      <c r="P228" s="684"/>
    </row>
    <row r="229" spans="1:16" ht="18" customHeight="1" x14ac:dyDescent="0.25">
      <c r="A229" s="679"/>
      <c r="B229" s="679"/>
      <c r="C229" s="325"/>
      <c r="D229" s="326"/>
      <c r="E229" s="326"/>
      <c r="F229" s="326"/>
      <c r="G229" s="702"/>
      <c r="H229" s="731"/>
      <c r="I229" s="64">
        <f>SUM(I227:I228)</f>
        <v>0</v>
      </c>
      <c r="J229" s="64">
        <f t="shared" ref="J229:M229" si="102">SUM(J227:J228)</f>
        <v>0</v>
      </c>
      <c r="K229" s="64">
        <f t="shared" si="102"/>
        <v>0</v>
      </c>
      <c r="L229" s="64">
        <f t="shared" si="102"/>
        <v>0</v>
      </c>
      <c r="M229" s="709">
        <f t="shared" si="102"/>
        <v>0</v>
      </c>
      <c r="N229" s="390"/>
      <c r="O229" s="500"/>
      <c r="P229" s="680"/>
    </row>
    <row r="230" spans="1:16" s="757" customFormat="1" ht="18" customHeight="1" x14ac:dyDescent="0.25">
      <c r="A230" s="182"/>
      <c r="B230" s="547"/>
      <c r="C230" s="182"/>
      <c r="D230" s="793"/>
      <c r="E230" s="427"/>
      <c r="F230" s="427"/>
      <c r="G230" s="759"/>
      <c r="H230" s="731"/>
      <c r="I230" s="198" t="str">
        <f>IF(I$219=0,"",IF(AND(I222=1,I229=0),"OK",IF(AND(I$223=1,I229&gt;0),"OK","NOK")))</f>
        <v>OK</v>
      </c>
      <c r="J230" s="198" t="str">
        <f t="shared" ref="J230:M230" si="103">IF(J$219=0,"",IF(AND(J222=1,J229=0),"OK",IF(AND(J$223=1,J229&gt;0),"OK","NOK")))</f>
        <v>OK</v>
      </c>
      <c r="K230" s="198" t="str">
        <f t="shared" si="103"/>
        <v>OK</v>
      </c>
      <c r="L230" s="198" t="str">
        <f t="shared" si="103"/>
        <v>OK</v>
      </c>
      <c r="M230" s="715" t="str">
        <f t="shared" si="103"/>
        <v>OK</v>
      </c>
      <c r="N230" s="842"/>
      <c r="O230" s="197"/>
      <c r="P230" s="719"/>
    </row>
    <row r="231" spans="1:16" ht="18" customHeight="1" x14ac:dyDescent="0.25">
      <c r="A231" s="182"/>
      <c r="B231" s="547"/>
      <c r="C231" s="48" t="s">
        <v>393</v>
      </c>
      <c r="D231" s="50" t="s">
        <v>1265</v>
      </c>
      <c r="E231" s="50"/>
      <c r="F231" s="50"/>
      <c r="G231" s="685"/>
      <c r="H231" s="731"/>
      <c r="I231" s="88"/>
      <c r="J231" s="88"/>
      <c r="K231" s="88"/>
      <c r="L231" s="88"/>
      <c r="M231" s="734"/>
      <c r="N231" s="851"/>
      <c r="O231" s="784"/>
      <c r="P231" s="682"/>
    </row>
    <row r="232" spans="1:16" ht="18" customHeight="1" x14ac:dyDescent="0.25">
      <c r="A232" s="182"/>
      <c r="B232" s="547"/>
      <c r="C232" s="547"/>
      <c r="D232" s="48" t="s">
        <v>394</v>
      </c>
      <c r="E232" s="50" t="s">
        <v>1266</v>
      </c>
      <c r="F232" s="50"/>
      <c r="G232" s="685"/>
      <c r="H232" s="731"/>
      <c r="I232" s="783"/>
      <c r="J232" s="88"/>
      <c r="K232" s="88"/>
      <c r="L232" s="88"/>
      <c r="M232" s="734"/>
      <c r="N232" s="851"/>
      <c r="O232" s="784"/>
      <c r="P232" s="686"/>
    </row>
    <row r="233" spans="1:16" ht="18" customHeight="1" x14ac:dyDescent="0.25">
      <c r="A233" s="182"/>
      <c r="B233" s="547"/>
      <c r="C233" s="547"/>
      <c r="D233" s="547"/>
      <c r="E233" s="56" t="s">
        <v>753</v>
      </c>
      <c r="F233" s="149" t="s">
        <v>1133</v>
      </c>
      <c r="G233" s="692"/>
      <c r="H233" s="731"/>
      <c r="I233" s="683">
        <v>3</v>
      </c>
      <c r="J233" s="683">
        <v>2</v>
      </c>
      <c r="K233" s="683">
        <v>8</v>
      </c>
      <c r="L233" s="683">
        <v>6</v>
      </c>
      <c r="M233" s="707">
        <v>2</v>
      </c>
      <c r="N233" s="840">
        <f t="shared" ref="N233:N238" si="104">SUM(I233:M233)</f>
        <v>21</v>
      </c>
      <c r="O233" s="675"/>
      <c r="P233" s="684">
        <f>P236</f>
        <v>4.2</v>
      </c>
    </row>
    <row r="234" spans="1:16" ht="18" customHeight="1" x14ac:dyDescent="0.25">
      <c r="A234" s="182"/>
      <c r="B234" s="547"/>
      <c r="C234" s="182"/>
      <c r="D234" s="182"/>
      <c r="E234" s="56" t="s">
        <v>754</v>
      </c>
      <c r="F234" s="149" t="s">
        <v>1268</v>
      </c>
      <c r="G234" s="692"/>
      <c r="H234" s="731"/>
      <c r="I234" s="688">
        <v>27</v>
      </c>
      <c r="J234" s="688">
        <v>20</v>
      </c>
      <c r="K234" s="688">
        <v>25</v>
      </c>
      <c r="L234" s="688">
        <v>28</v>
      </c>
      <c r="M234" s="708">
        <v>28</v>
      </c>
      <c r="N234" s="840">
        <f t="shared" si="104"/>
        <v>128</v>
      </c>
      <c r="O234" s="675"/>
      <c r="P234" s="794">
        <f>P238</f>
        <v>25.6</v>
      </c>
    </row>
    <row r="235" spans="1:16" ht="18" customHeight="1" x14ac:dyDescent="0.25">
      <c r="A235" s="787"/>
      <c r="B235" s="689"/>
      <c r="C235" s="689"/>
      <c r="D235" s="700"/>
      <c r="E235" s="788"/>
      <c r="F235" s="696"/>
      <c r="G235" s="768"/>
      <c r="I235" s="161">
        <f>I233</f>
        <v>3</v>
      </c>
      <c r="J235" s="161">
        <f>J233</f>
        <v>2</v>
      </c>
      <c r="K235" s="161">
        <f>K233</f>
        <v>8</v>
      </c>
      <c r="L235" s="161">
        <f>L233</f>
        <v>6</v>
      </c>
      <c r="M235" s="697">
        <f>M233</f>
        <v>2</v>
      </c>
      <c r="N235" s="841">
        <f t="shared" si="104"/>
        <v>21</v>
      </c>
      <c r="O235" s="504"/>
      <c r="P235" s="718"/>
    </row>
    <row r="236" spans="1:16" ht="18" customHeight="1" x14ac:dyDescent="0.25">
      <c r="A236" s="787"/>
      <c r="B236" s="689"/>
      <c r="C236" s="689"/>
      <c r="D236" s="700"/>
      <c r="E236" s="788"/>
      <c r="F236" s="696"/>
      <c r="G236" s="768"/>
      <c r="I236" s="161">
        <f>IF(I235&gt;0,I235,"")</f>
        <v>3</v>
      </c>
      <c r="J236" s="161">
        <f t="shared" ref="J236:M236" si="105">IF(J235&gt;0,J235,"")</f>
        <v>2</v>
      </c>
      <c r="K236" s="161">
        <f t="shared" si="105"/>
        <v>8</v>
      </c>
      <c r="L236" s="161">
        <f t="shared" si="105"/>
        <v>6</v>
      </c>
      <c r="M236" s="697">
        <f t="shared" si="105"/>
        <v>2</v>
      </c>
      <c r="N236" s="841">
        <f t="shared" si="104"/>
        <v>21</v>
      </c>
      <c r="O236" s="504"/>
      <c r="P236" s="161">
        <f>IF(N236=0,0,AVERAGE(I236:M236))</f>
        <v>4.2</v>
      </c>
    </row>
    <row r="237" spans="1:16" ht="18" customHeight="1" x14ac:dyDescent="0.25">
      <c r="A237" s="787"/>
      <c r="B237" s="689"/>
      <c r="C237" s="689"/>
      <c r="D237" s="700"/>
      <c r="E237" s="788"/>
      <c r="F237" s="696"/>
      <c r="G237" s="768"/>
      <c r="I237" s="161">
        <f>I234</f>
        <v>27</v>
      </c>
      <c r="J237" s="161">
        <f t="shared" ref="J237:M237" si="106">J234</f>
        <v>20</v>
      </c>
      <c r="K237" s="161">
        <f t="shared" si="106"/>
        <v>25</v>
      </c>
      <c r="L237" s="161">
        <f t="shared" si="106"/>
        <v>28</v>
      </c>
      <c r="M237" s="697">
        <f t="shared" si="106"/>
        <v>28</v>
      </c>
      <c r="N237" s="841">
        <f t="shared" si="104"/>
        <v>128</v>
      </c>
      <c r="O237" s="504"/>
      <c r="P237" s="718"/>
    </row>
    <row r="238" spans="1:16" ht="18" customHeight="1" x14ac:dyDescent="0.25">
      <c r="A238" s="787"/>
      <c r="B238" s="689"/>
      <c r="C238" s="689"/>
      <c r="D238" s="700"/>
      <c r="E238" s="788"/>
      <c r="F238" s="696"/>
      <c r="G238" s="768"/>
      <c r="I238" s="161">
        <f>IF(I237&gt;0,I237,"")</f>
        <v>27</v>
      </c>
      <c r="J238" s="161">
        <f t="shared" ref="J238:M238" si="107">IF(J237&gt;0,J237,"")</f>
        <v>20</v>
      </c>
      <c r="K238" s="161">
        <f t="shared" si="107"/>
        <v>25</v>
      </c>
      <c r="L238" s="161">
        <f t="shared" si="107"/>
        <v>28</v>
      </c>
      <c r="M238" s="697">
        <f t="shared" si="107"/>
        <v>28</v>
      </c>
      <c r="N238" s="841">
        <f t="shared" si="104"/>
        <v>128</v>
      </c>
      <c r="O238" s="504"/>
      <c r="P238" s="718">
        <f>IF(N238=0,0,AVERAGE(I238:M238))</f>
        <v>25.6</v>
      </c>
    </row>
    <row r="239" spans="1:16" ht="18" customHeight="1" x14ac:dyDescent="0.25">
      <c r="A239" s="182"/>
      <c r="B239" s="547"/>
      <c r="C239" s="547"/>
      <c r="D239" s="48" t="s">
        <v>395</v>
      </c>
      <c r="E239" s="50" t="s">
        <v>1267</v>
      </c>
      <c r="F239" s="50"/>
      <c r="G239" s="685"/>
      <c r="H239" s="731"/>
      <c r="I239" s="783"/>
      <c r="J239" s="88"/>
      <c r="K239" s="88"/>
      <c r="L239" s="88"/>
      <c r="M239" s="734"/>
      <c r="N239" s="851"/>
      <c r="O239" s="784"/>
      <c r="P239" s="686"/>
    </row>
    <row r="240" spans="1:16" ht="18" customHeight="1" x14ac:dyDescent="0.25">
      <c r="A240" s="182"/>
      <c r="B240" s="547"/>
      <c r="C240" s="547"/>
      <c r="D240" s="547"/>
      <c r="E240" s="56" t="s">
        <v>753</v>
      </c>
      <c r="F240" s="149" t="s">
        <v>1134</v>
      </c>
      <c r="G240" s="692"/>
      <c r="H240" s="731"/>
      <c r="I240" s="683">
        <v>0</v>
      </c>
      <c r="J240" s="683">
        <v>1</v>
      </c>
      <c r="K240" s="683">
        <v>4</v>
      </c>
      <c r="L240" s="683">
        <v>6</v>
      </c>
      <c r="M240" s="707">
        <v>0</v>
      </c>
      <c r="N240" s="840">
        <f t="shared" ref="N240:N245" si="108">SUM(I240:M240)</f>
        <v>11</v>
      </c>
      <c r="O240" s="675"/>
      <c r="P240" s="684">
        <f>P243</f>
        <v>3.6666666666666665</v>
      </c>
    </row>
    <row r="241" spans="1:16" ht="18" customHeight="1" x14ac:dyDescent="0.25">
      <c r="A241" s="182"/>
      <c r="B241" s="547"/>
      <c r="C241" s="547"/>
      <c r="D241" s="547"/>
      <c r="E241" s="56" t="s">
        <v>754</v>
      </c>
      <c r="F241" s="149" t="s">
        <v>1268</v>
      </c>
      <c r="G241" s="692"/>
      <c r="H241" s="731"/>
      <c r="I241" s="688">
        <v>0</v>
      </c>
      <c r="J241" s="688">
        <v>15</v>
      </c>
      <c r="K241" s="688">
        <v>25</v>
      </c>
      <c r="L241" s="688">
        <v>28</v>
      </c>
      <c r="M241" s="708">
        <v>0</v>
      </c>
      <c r="N241" s="840">
        <f t="shared" si="108"/>
        <v>68</v>
      </c>
      <c r="O241" s="675"/>
      <c r="P241" s="794">
        <f>P245</f>
        <v>22.666666666666668</v>
      </c>
    </row>
    <row r="242" spans="1:16" ht="18" customHeight="1" x14ac:dyDescent="0.25">
      <c r="A242" s="787"/>
      <c r="B242" s="689"/>
      <c r="C242" s="689"/>
      <c r="D242" s="700"/>
      <c r="E242" s="788"/>
      <c r="F242" s="696"/>
      <c r="G242" s="768"/>
      <c r="I242" s="161">
        <f>I240</f>
        <v>0</v>
      </c>
      <c r="J242" s="161">
        <f>J240</f>
        <v>1</v>
      </c>
      <c r="K242" s="161">
        <f>K240</f>
        <v>4</v>
      </c>
      <c r="L242" s="161">
        <f>L240</f>
        <v>6</v>
      </c>
      <c r="M242" s="697">
        <f>M240</f>
        <v>0</v>
      </c>
      <c r="N242" s="841">
        <f t="shared" si="108"/>
        <v>11</v>
      </c>
      <c r="O242" s="504"/>
      <c r="P242" s="718"/>
    </row>
    <row r="243" spans="1:16" ht="18" customHeight="1" x14ac:dyDescent="0.25">
      <c r="A243" s="787"/>
      <c r="B243" s="689"/>
      <c r="C243" s="689"/>
      <c r="D243" s="700"/>
      <c r="E243" s="788"/>
      <c r="F243" s="696"/>
      <c r="G243" s="768"/>
      <c r="I243" s="161" t="str">
        <f>IF(I242&gt;0,I242,"")</f>
        <v/>
      </c>
      <c r="J243" s="161">
        <f t="shared" ref="J243:M243" si="109">IF(J242&gt;0,J242,"")</f>
        <v>1</v>
      </c>
      <c r="K243" s="161">
        <f t="shared" si="109"/>
        <v>4</v>
      </c>
      <c r="L243" s="161">
        <f t="shared" si="109"/>
        <v>6</v>
      </c>
      <c r="M243" s="697" t="str">
        <f t="shared" si="109"/>
        <v/>
      </c>
      <c r="N243" s="841">
        <f t="shared" si="108"/>
        <v>11</v>
      </c>
      <c r="O243" s="504"/>
      <c r="P243" s="161">
        <f>IF(N243=0,0,AVERAGE(I243:M243))</f>
        <v>3.6666666666666665</v>
      </c>
    </row>
    <row r="244" spans="1:16" ht="18" customHeight="1" x14ac:dyDescent="0.25">
      <c r="A244" s="787"/>
      <c r="B244" s="689"/>
      <c r="C244" s="689"/>
      <c r="D244" s="700"/>
      <c r="E244" s="788"/>
      <c r="F244" s="696"/>
      <c r="G244" s="768"/>
      <c r="I244" s="161">
        <f>I241</f>
        <v>0</v>
      </c>
      <c r="J244" s="161">
        <f t="shared" ref="J244:M244" si="110">J241</f>
        <v>15</v>
      </c>
      <c r="K244" s="161">
        <f t="shared" si="110"/>
        <v>25</v>
      </c>
      <c r="L244" s="161">
        <f t="shared" si="110"/>
        <v>28</v>
      </c>
      <c r="M244" s="697">
        <f t="shared" si="110"/>
        <v>0</v>
      </c>
      <c r="N244" s="841">
        <f t="shared" si="108"/>
        <v>68</v>
      </c>
      <c r="O244" s="504"/>
      <c r="P244" s="718"/>
    </row>
    <row r="245" spans="1:16" ht="18" customHeight="1" x14ac:dyDescent="0.25">
      <c r="A245" s="787"/>
      <c r="B245" s="689"/>
      <c r="C245" s="689"/>
      <c r="D245" s="700"/>
      <c r="E245" s="788"/>
      <c r="F245" s="696"/>
      <c r="G245" s="768"/>
      <c r="I245" s="161" t="str">
        <f>IF(I244&gt;0,I244,"")</f>
        <v/>
      </c>
      <c r="J245" s="161">
        <f t="shared" ref="J245:M245" si="111">IF(J244&gt;0,J244,"")</f>
        <v>15</v>
      </c>
      <c r="K245" s="161">
        <f t="shared" si="111"/>
        <v>25</v>
      </c>
      <c r="L245" s="161">
        <f t="shared" si="111"/>
        <v>28</v>
      </c>
      <c r="M245" s="697" t="str">
        <f t="shared" si="111"/>
        <v/>
      </c>
      <c r="N245" s="841">
        <f t="shared" si="108"/>
        <v>68</v>
      </c>
      <c r="O245" s="504"/>
      <c r="P245" s="718">
        <f>IF(N245=0,0,AVERAGE(I245:M245))</f>
        <v>22.666666666666668</v>
      </c>
    </row>
    <row r="246" spans="1:16" s="757" customFormat="1" ht="18" customHeight="1" x14ac:dyDescent="0.25">
      <c r="A246" s="689"/>
      <c r="B246" s="689"/>
      <c r="C246" s="182"/>
      <c r="D246" s="427"/>
      <c r="E246" s="427"/>
      <c r="F246" s="427"/>
      <c r="G246" s="759"/>
      <c r="H246" s="731"/>
      <c r="I246" s="198"/>
      <c r="J246" s="198"/>
      <c r="K246" s="198"/>
      <c r="L246" s="198"/>
      <c r="M246" s="715"/>
      <c r="N246" s="842"/>
      <c r="O246" s="197"/>
      <c r="P246" s="689"/>
    </row>
    <row r="247" spans="1:16" ht="18" customHeight="1" x14ac:dyDescent="0.25">
      <c r="A247" s="182"/>
      <c r="B247" s="547"/>
      <c r="C247" s="48" t="s">
        <v>1269</v>
      </c>
      <c r="D247" s="50" t="s">
        <v>1270</v>
      </c>
      <c r="E247" s="50"/>
      <c r="F247" s="50"/>
      <c r="G247" s="685"/>
      <c r="H247" s="731"/>
      <c r="I247" s="867"/>
      <c r="J247" s="88"/>
      <c r="K247" s="88"/>
      <c r="L247" s="88"/>
      <c r="M247" s="734"/>
      <c r="N247" s="851"/>
      <c r="O247" s="784"/>
      <c r="P247" s="686"/>
    </row>
    <row r="248" spans="1:16" ht="18" customHeight="1" x14ac:dyDescent="0.25">
      <c r="A248" s="182"/>
      <c r="B248" s="547"/>
      <c r="C248" s="713"/>
      <c r="D248" s="56" t="s">
        <v>1271</v>
      </c>
      <c r="E248" s="147" t="s">
        <v>1272</v>
      </c>
      <c r="F248" s="791"/>
      <c r="G248" s="692"/>
      <c r="H248" s="731"/>
      <c r="I248" s="683"/>
      <c r="J248" s="683">
        <v>1</v>
      </c>
      <c r="K248" s="683"/>
      <c r="L248" s="683"/>
      <c r="M248" s="707"/>
      <c r="N248" s="840">
        <f>SUM(I248:M248)</f>
        <v>1</v>
      </c>
      <c r="O248" s="675">
        <f>IF(N$251=0,0,N248/N$251)</f>
        <v>0.2</v>
      </c>
      <c r="P248" s="684"/>
    </row>
    <row r="249" spans="1:16" ht="18" customHeight="1" x14ac:dyDescent="0.25">
      <c r="A249" s="182"/>
      <c r="B249" s="547"/>
      <c r="C249" s="713"/>
      <c r="D249" s="56" t="s">
        <v>1273</v>
      </c>
      <c r="E249" s="146" t="s">
        <v>1281</v>
      </c>
      <c r="F249" s="149"/>
      <c r="G249" s="692"/>
      <c r="H249" s="731"/>
      <c r="I249" s="688">
        <v>1</v>
      </c>
      <c r="J249" s="688"/>
      <c r="K249" s="688"/>
      <c r="L249" s="688">
        <v>1</v>
      </c>
      <c r="M249" s="708"/>
      <c r="N249" s="840">
        <f t="shared" ref="N249:N250" si="112">SUM(I249:M249)</f>
        <v>2</v>
      </c>
      <c r="O249" s="675">
        <f t="shared" ref="O249:O251" si="113">IF(N$251=0,0,N249/N$251)</f>
        <v>0.4</v>
      </c>
      <c r="P249" s="684"/>
    </row>
    <row r="250" spans="1:16" ht="18" customHeight="1" x14ac:dyDescent="0.25">
      <c r="A250" s="182"/>
      <c r="B250" s="547"/>
      <c r="C250" s="713"/>
      <c r="D250" s="56" t="s">
        <v>1274</v>
      </c>
      <c r="E250" s="147" t="s">
        <v>1275</v>
      </c>
      <c r="F250" s="791"/>
      <c r="G250" s="692"/>
      <c r="H250" s="731"/>
      <c r="I250" s="683"/>
      <c r="J250" s="683"/>
      <c r="K250" s="683">
        <v>1</v>
      </c>
      <c r="L250" s="683"/>
      <c r="M250" s="707">
        <v>1</v>
      </c>
      <c r="N250" s="840">
        <f t="shared" si="112"/>
        <v>2</v>
      </c>
      <c r="O250" s="675">
        <f t="shared" si="113"/>
        <v>0.4</v>
      </c>
      <c r="P250" s="684"/>
    </row>
    <row r="251" spans="1:16" ht="18" customHeight="1" x14ac:dyDescent="0.25">
      <c r="A251" s="679"/>
      <c r="B251" s="679"/>
      <c r="C251" s="325"/>
      <c r="D251" s="326"/>
      <c r="E251" s="326"/>
      <c r="F251" s="326"/>
      <c r="G251" s="702"/>
      <c r="H251" s="731"/>
      <c r="I251" s="64">
        <f>SUM(I248:I250)</f>
        <v>1</v>
      </c>
      <c r="J251" s="64">
        <f t="shared" ref="J251:N251" si="114">SUM(J248:J250)</f>
        <v>1</v>
      </c>
      <c r="K251" s="64">
        <f t="shared" si="114"/>
        <v>1</v>
      </c>
      <c r="L251" s="64">
        <f t="shared" si="114"/>
        <v>1</v>
      </c>
      <c r="M251" s="709">
        <f t="shared" si="114"/>
        <v>1</v>
      </c>
      <c r="N251" s="390">
        <f t="shared" si="114"/>
        <v>5</v>
      </c>
      <c r="O251" s="500">
        <f t="shared" si="113"/>
        <v>1</v>
      </c>
      <c r="P251" s="680"/>
    </row>
    <row r="252" spans="1:16" s="757" customFormat="1" ht="18" customHeight="1" x14ac:dyDescent="0.25">
      <c r="A252" s="182"/>
      <c r="B252" s="547"/>
      <c r="C252" s="182"/>
      <c r="D252" s="793"/>
      <c r="E252" s="427"/>
      <c r="F252" s="427"/>
      <c r="G252" s="759"/>
      <c r="H252" s="731"/>
      <c r="I252" s="198" t="str">
        <f>IF(I$219=0,"",IF(AND(I$219=1,I251=1),"OK","NOK"))</f>
        <v>OK</v>
      </c>
      <c r="J252" s="198" t="str">
        <f t="shared" ref="J252" si="115">IF(J$219=0,"",IF(AND(J$219=1,J251=1),"OK","NOK"))</f>
        <v>OK</v>
      </c>
      <c r="K252" s="198" t="str">
        <f t="shared" ref="K252" si="116">IF(K$219=0,"",IF(AND(K$219=1,K251=1),"OK","NOK"))</f>
        <v>OK</v>
      </c>
      <c r="L252" s="198" t="str">
        <f t="shared" ref="L252" si="117">IF(L$219=0,"",IF(AND(L$219=1,L251=1),"OK","NOK"))</f>
        <v>OK</v>
      </c>
      <c r="M252" s="715" t="str">
        <f t="shared" ref="M252" si="118">IF(M$219=0,"",IF(AND(M$219=1,M251=1),"OK","NOK"))</f>
        <v>OK</v>
      </c>
      <c r="N252" s="842"/>
      <c r="O252" s="197"/>
      <c r="P252" s="719"/>
    </row>
    <row r="253" spans="1:16" ht="18" customHeight="1" x14ac:dyDescent="0.25">
      <c r="A253" s="182"/>
      <c r="B253" s="547"/>
      <c r="C253" s="547"/>
      <c r="D253" s="547"/>
      <c r="E253" s="149" t="s">
        <v>1276</v>
      </c>
      <c r="F253" s="791"/>
      <c r="G253" s="692"/>
      <c r="H253" s="731"/>
      <c r="I253" s="868"/>
      <c r="J253" s="174"/>
      <c r="K253" s="174"/>
      <c r="L253" s="174"/>
      <c r="M253" s="712"/>
      <c r="N253" s="849"/>
      <c r="O253" s="404"/>
      <c r="P253" s="797"/>
    </row>
    <row r="254" spans="1:16" ht="18" customHeight="1" x14ac:dyDescent="0.25">
      <c r="A254" s="182"/>
      <c r="B254" s="547"/>
      <c r="C254" s="547"/>
      <c r="D254" s="547"/>
      <c r="E254" s="56" t="s">
        <v>753</v>
      </c>
      <c r="F254" s="149" t="s">
        <v>1277</v>
      </c>
      <c r="G254" s="692"/>
      <c r="H254" s="731"/>
      <c r="I254" s="683"/>
      <c r="J254" s="683"/>
      <c r="K254" s="683">
        <v>25</v>
      </c>
      <c r="L254" s="683"/>
      <c r="M254" s="707">
        <v>5</v>
      </c>
      <c r="N254" s="840">
        <f t="shared" ref="N254:N259" si="119">SUM(I254:M254)</f>
        <v>30</v>
      </c>
      <c r="O254" s="675"/>
      <c r="P254" s="684">
        <f>P257</f>
        <v>15</v>
      </c>
    </row>
    <row r="255" spans="1:16" ht="18" customHeight="1" x14ac:dyDescent="0.25">
      <c r="A255" s="182"/>
      <c r="B255" s="547"/>
      <c r="C255" s="182"/>
      <c r="D255" s="182"/>
      <c r="E255" s="56" t="s">
        <v>754</v>
      </c>
      <c r="F255" s="149" t="s">
        <v>1268</v>
      </c>
      <c r="G255" s="692"/>
      <c r="H255" s="731"/>
      <c r="I255" s="688"/>
      <c r="J255" s="688"/>
      <c r="K255" s="688">
        <v>10</v>
      </c>
      <c r="L255" s="688"/>
      <c r="M255" s="708">
        <v>22</v>
      </c>
      <c r="N255" s="840">
        <f t="shared" si="119"/>
        <v>32</v>
      </c>
      <c r="O255" s="675"/>
      <c r="P255" s="794">
        <f>P259</f>
        <v>16</v>
      </c>
    </row>
    <row r="256" spans="1:16" ht="18" customHeight="1" x14ac:dyDescent="0.25">
      <c r="A256" s="787"/>
      <c r="B256" s="689"/>
      <c r="C256" s="689"/>
      <c r="D256" s="700"/>
      <c r="E256" s="788"/>
      <c r="F256" s="696"/>
      <c r="G256" s="768"/>
      <c r="I256" s="161">
        <f>I254</f>
        <v>0</v>
      </c>
      <c r="J256" s="161">
        <f>J254</f>
        <v>0</v>
      </c>
      <c r="K256" s="161">
        <f>K254</f>
        <v>25</v>
      </c>
      <c r="L256" s="161">
        <f>L254</f>
        <v>0</v>
      </c>
      <c r="M256" s="697">
        <f>M254</f>
        <v>5</v>
      </c>
      <c r="N256" s="841">
        <f t="shared" si="119"/>
        <v>30</v>
      </c>
      <c r="O256" s="504"/>
      <c r="P256" s="718"/>
    </row>
    <row r="257" spans="1:16" ht="18" customHeight="1" x14ac:dyDescent="0.25">
      <c r="A257" s="787"/>
      <c r="B257" s="689"/>
      <c r="C257" s="689"/>
      <c r="D257" s="700"/>
      <c r="E257" s="788"/>
      <c r="F257" s="696"/>
      <c r="G257" s="768"/>
      <c r="I257" s="161" t="str">
        <f>IF(I256&gt;0,I256,"")</f>
        <v/>
      </c>
      <c r="J257" s="161" t="str">
        <f t="shared" ref="J257:M257" si="120">IF(J256&gt;0,J256,"")</f>
        <v/>
      </c>
      <c r="K257" s="161">
        <f t="shared" si="120"/>
        <v>25</v>
      </c>
      <c r="L257" s="161" t="str">
        <f t="shared" si="120"/>
        <v/>
      </c>
      <c r="M257" s="697">
        <f t="shared" si="120"/>
        <v>5</v>
      </c>
      <c r="N257" s="841">
        <f t="shared" si="119"/>
        <v>30</v>
      </c>
      <c r="O257" s="504"/>
      <c r="P257" s="161">
        <f>IF(N257=0,0,AVERAGE(I257:M257))</f>
        <v>15</v>
      </c>
    </row>
    <row r="258" spans="1:16" ht="18" customHeight="1" x14ac:dyDescent="0.25">
      <c r="A258" s="787"/>
      <c r="B258" s="689"/>
      <c r="C258" s="689"/>
      <c r="D258" s="700"/>
      <c r="E258" s="788"/>
      <c r="F258" s="696"/>
      <c r="G258" s="768"/>
      <c r="I258" s="161">
        <f>I255</f>
        <v>0</v>
      </c>
      <c r="J258" s="161">
        <f t="shared" ref="J258:M258" si="121">J255</f>
        <v>0</v>
      </c>
      <c r="K258" s="161">
        <f t="shared" si="121"/>
        <v>10</v>
      </c>
      <c r="L258" s="161">
        <f t="shared" si="121"/>
        <v>0</v>
      </c>
      <c r="M258" s="697">
        <f t="shared" si="121"/>
        <v>22</v>
      </c>
      <c r="N258" s="841">
        <f t="shared" si="119"/>
        <v>32</v>
      </c>
      <c r="O258" s="504"/>
      <c r="P258" s="718"/>
    </row>
    <row r="259" spans="1:16" ht="18" customHeight="1" x14ac:dyDescent="0.25">
      <c r="A259" s="787"/>
      <c r="B259" s="689"/>
      <c r="C259" s="689"/>
      <c r="D259" s="700"/>
      <c r="E259" s="788"/>
      <c r="F259" s="696"/>
      <c r="G259" s="768"/>
      <c r="I259" s="161" t="str">
        <f>IF(I258&gt;0,I258,"")</f>
        <v/>
      </c>
      <c r="J259" s="161" t="str">
        <f t="shared" ref="J259:M259" si="122">IF(J258&gt;0,J258,"")</f>
        <v/>
      </c>
      <c r="K259" s="161">
        <f t="shared" si="122"/>
        <v>10</v>
      </c>
      <c r="L259" s="161" t="str">
        <f t="shared" si="122"/>
        <v/>
      </c>
      <c r="M259" s="697">
        <f t="shared" si="122"/>
        <v>22</v>
      </c>
      <c r="N259" s="841">
        <f t="shared" si="119"/>
        <v>32</v>
      </c>
      <c r="O259" s="504"/>
      <c r="P259" s="718">
        <f>IF(N259=0,0,AVERAGE(I259:M259))</f>
        <v>16</v>
      </c>
    </row>
    <row r="260" spans="1:16" ht="18" customHeight="1" x14ac:dyDescent="0.25">
      <c r="A260" s="182"/>
      <c r="B260" s="547"/>
      <c r="C260" s="547"/>
      <c r="D260" s="56" t="s">
        <v>1278</v>
      </c>
      <c r="E260" s="147" t="s">
        <v>1279</v>
      </c>
      <c r="F260" s="791"/>
      <c r="G260" s="692"/>
      <c r="H260" s="731"/>
      <c r="I260" s="868"/>
      <c r="J260" s="174"/>
      <c r="K260" s="174"/>
      <c r="L260" s="174"/>
      <c r="M260" s="712"/>
      <c r="N260" s="849"/>
      <c r="O260" s="404"/>
      <c r="P260" s="797"/>
    </row>
    <row r="261" spans="1:16" ht="18" customHeight="1" x14ac:dyDescent="0.25">
      <c r="A261" s="182"/>
      <c r="B261" s="547"/>
      <c r="C261" s="547"/>
      <c r="D261" s="547"/>
      <c r="E261" s="282" t="s">
        <v>753</v>
      </c>
      <c r="F261" s="147" t="s">
        <v>1280</v>
      </c>
      <c r="G261" s="692"/>
      <c r="H261" s="731"/>
      <c r="I261" s="683"/>
      <c r="J261" s="683"/>
      <c r="K261" s="683"/>
      <c r="L261" s="683"/>
      <c r="M261" s="707"/>
      <c r="N261" s="840">
        <f t="shared" ref="N261:N263" si="123">SUM(I261:M261)</f>
        <v>0</v>
      </c>
      <c r="O261" s="675">
        <f>IF(N$264=0,0,N261/N$264)</f>
        <v>0</v>
      </c>
      <c r="P261" s="684"/>
    </row>
    <row r="262" spans="1:16" ht="18" customHeight="1" x14ac:dyDescent="0.25">
      <c r="A262" s="182"/>
      <c r="B262" s="547"/>
      <c r="C262" s="547"/>
      <c r="D262" s="547"/>
      <c r="E262" s="282" t="s">
        <v>754</v>
      </c>
      <c r="F262" s="147" t="s">
        <v>11</v>
      </c>
      <c r="G262" s="692"/>
      <c r="H262" s="731"/>
      <c r="I262" s="688">
        <v>1</v>
      </c>
      <c r="J262" s="688"/>
      <c r="K262" s="688">
        <v>1</v>
      </c>
      <c r="L262" s="688">
        <v>1</v>
      </c>
      <c r="M262" s="708"/>
      <c r="N262" s="840">
        <f t="shared" si="123"/>
        <v>3</v>
      </c>
      <c r="O262" s="675">
        <f t="shared" ref="O262:O264" si="124">IF(N$264=0,0,N262/N$264)</f>
        <v>0.6</v>
      </c>
      <c r="P262" s="684"/>
    </row>
    <row r="263" spans="1:16" ht="18" customHeight="1" x14ac:dyDescent="0.25">
      <c r="A263" s="182"/>
      <c r="B263" s="547"/>
      <c r="C263" s="547"/>
      <c r="D263" s="547"/>
      <c r="E263" s="282" t="s">
        <v>755</v>
      </c>
      <c r="F263" s="147" t="s">
        <v>9</v>
      </c>
      <c r="G263" s="692"/>
      <c r="H263" s="731"/>
      <c r="I263" s="683"/>
      <c r="J263" s="683">
        <v>1</v>
      </c>
      <c r="K263" s="683"/>
      <c r="L263" s="683"/>
      <c r="M263" s="707">
        <v>1</v>
      </c>
      <c r="N263" s="840">
        <f t="shared" si="123"/>
        <v>2</v>
      </c>
      <c r="O263" s="675">
        <f t="shared" si="124"/>
        <v>0.4</v>
      </c>
      <c r="P263" s="684"/>
    </row>
    <row r="264" spans="1:16" ht="18" customHeight="1" x14ac:dyDescent="0.25">
      <c r="A264" s="679"/>
      <c r="B264" s="679"/>
      <c r="C264" s="325"/>
      <c r="D264" s="326"/>
      <c r="E264" s="326"/>
      <c r="F264" s="326"/>
      <c r="G264" s="702"/>
      <c r="H264" s="731"/>
      <c r="I264" s="64">
        <f>SUM(I261:I263)</f>
        <v>1</v>
      </c>
      <c r="J264" s="64">
        <f t="shared" ref="J264" si="125">SUM(J261:J263)</f>
        <v>1</v>
      </c>
      <c r="K264" s="64">
        <f t="shared" ref="K264" si="126">SUM(K261:K263)</f>
        <v>1</v>
      </c>
      <c r="L264" s="64">
        <f t="shared" ref="L264" si="127">SUM(L261:L263)</f>
        <v>1</v>
      </c>
      <c r="M264" s="709">
        <f t="shared" ref="M264" si="128">SUM(M261:M263)</f>
        <v>1</v>
      </c>
      <c r="N264" s="390">
        <f t="shared" ref="N264" si="129">SUM(N261:N263)</f>
        <v>5</v>
      </c>
      <c r="O264" s="500">
        <f t="shared" si="124"/>
        <v>1</v>
      </c>
      <c r="P264" s="680"/>
    </row>
    <row r="265" spans="1:16" s="757" customFormat="1" ht="18" customHeight="1" x14ac:dyDescent="0.25">
      <c r="A265" s="182"/>
      <c r="B265" s="547"/>
      <c r="C265" s="182"/>
      <c r="D265" s="793"/>
      <c r="E265" s="427"/>
      <c r="F265" s="427"/>
      <c r="G265" s="759"/>
      <c r="H265" s="731"/>
      <c r="I265" s="198" t="str">
        <f>IF(I$219=0,"",IF(AND(I$219=1,I264=1),"OK","NOK"))</f>
        <v>OK</v>
      </c>
      <c r="J265" s="198" t="str">
        <f t="shared" ref="J265" si="130">IF(J$219=0,"",IF(AND(J$219=1,J264=1),"OK","NOK"))</f>
        <v>OK</v>
      </c>
      <c r="K265" s="198" t="str">
        <f t="shared" ref="K265" si="131">IF(K$219=0,"",IF(AND(K$219=1,K264=1),"OK","NOK"))</f>
        <v>OK</v>
      </c>
      <c r="L265" s="198" t="str">
        <f t="shared" ref="L265" si="132">IF(L$219=0,"",IF(AND(L$219=1,L264=1),"OK","NOK"))</f>
        <v>OK</v>
      </c>
      <c r="M265" s="715" t="str">
        <f t="shared" ref="M265" si="133">IF(M$219=0,"",IF(AND(M$219=1,M264=1),"OK","NOK"))</f>
        <v>OK</v>
      </c>
      <c r="N265" s="842"/>
      <c r="O265" s="197"/>
      <c r="P265" s="719"/>
    </row>
    <row r="266" spans="1:16" ht="18" customHeight="1" x14ac:dyDescent="0.25">
      <c r="A266" s="182"/>
      <c r="B266" s="48" t="s">
        <v>43</v>
      </c>
      <c r="C266" s="274" t="s">
        <v>1282</v>
      </c>
      <c r="D266" s="50"/>
      <c r="E266" s="50"/>
      <c r="F266" s="50"/>
      <c r="G266" s="685"/>
      <c r="H266" s="731"/>
      <c r="I266" s="691"/>
      <c r="J266" s="691"/>
      <c r="K266" s="691"/>
      <c r="L266" s="691"/>
      <c r="M266" s="693"/>
      <c r="N266" s="839"/>
      <c r="O266" s="682"/>
      <c r="P266" s="682"/>
    </row>
    <row r="267" spans="1:16" ht="18" customHeight="1" x14ac:dyDescent="0.25">
      <c r="A267" s="182"/>
      <c r="B267" s="547"/>
      <c r="C267" s="48" t="s">
        <v>45</v>
      </c>
      <c r="D267" s="274" t="s">
        <v>1135</v>
      </c>
      <c r="E267" s="50"/>
      <c r="F267" s="50"/>
      <c r="G267" s="685"/>
      <c r="H267" s="731"/>
      <c r="I267" s="691"/>
      <c r="J267" s="691"/>
      <c r="K267" s="691"/>
      <c r="L267" s="691"/>
      <c r="M267" s="693"/>
      <c r="N267" s="839"/>
      <c r="O267" s="682"/>
      <c r="P267" s="682"/>
    </row>
    <row r="268" spans="1:16" ht="18" customHeight="1" x14ac:dyDescent="0.25">
      <c r="A268" s="182"/>
      <c r="B268" s="547"/>
      <c r="C268" s="547"/>
      <c r="D268" s="56" t="s">
        <v>47</v>
      </c>
      <c r="E268" s="146" t="s">
        <v>1136</v>
      </c>
      <c r="F268" s="149"/>
      <c r="G268" s="692"/>
      <c r="H268" s="731"/>
      <c r="I268" s="683">
        <v>1</v>
      </c>
      <c r="J268" s="683"/>
      <c r="K268" s="683">
        <v>1</v>
      </c>
      <c r="L268" s="683">
        <v>1</v>
      </c>
      <c r="M268" s="707">
        <v>1</v>
      </c>
      <c r="N268" s="840">
        <f>SUM(I268:M268)</f>
        <v>4</v>
      </c>
      <c r="O268" s="675">
        <f>IF(N$270=0,0,N268/N$270)</f>
        <v>0.8</v>
      </c>
      <c r="P268" s="679"/>
    </row>
    <row r="269" spans="1:16" ht="18" customHeight="1" x14ac:dyDescent="0.25">
      <c r="A269" s="182"/>
      <c r="B269" s="547"/>
      <c r="C269" s="547"/>
      <c r="D269" s="56" t="s">
        <v>48</v>
      </c>
      <c r="E269" s="146" t="s">
        <v>1137</v>
      </c>
      <c r="F269" s="149"/>
      <c r="G269" s="692"/>
      <c r="H269" s="731"/>
      <c r="I269" s="688"/>
      <c r="J269" s="688">
        <v>1</v>
      </c>
      <c r="K269" s="688"/>
      <c r="L269" s="688"/>
      <c r="M269" s="708"/>
      <c r="N269" s="840">
        <f>SUM(I269:M269)</f>
        <v>1</v>
      </c>
      <c r="O269" s="675">
        <f>IF(N$270=0,0,N269/N$270)</f>
        <v>0.2</v>
      </c>
      <c r="P269" s="679"/>
    </row>
    <row r="270" spans="1:16" ht="18" customHeight="1" x14ac:dyDescent="0.25">
      <c r="A270" s="182"/>
      <c r="B270" s="547"/>
      <c r="C270" s="325"/>
      <c r="D270" s="326"/>
      <c r="E270" s="326"/>
      <c r="F270" s="326"/>
      <c r="G270" s="702"/>
      <c r="H270" s="731"/>
      <c r="I270" s="64">
        <f t="shared" ref="I270:N270" si="134">SUM(I268:I269)</f>
        <v>1</v>
      </c>
      <c r="J270" s="64">
        <f t="shared" si="134"/>
        <v>1</v>
      </c>
      <c r="K270" s="64">
        <f t="shared" si="134"/>
        <v>1</v>
      </c>
      <c r="L270" s="64">
        <f t="shared" si="134"/>
        <v>1</v>
      </c>
      <c r="M270" s="709">
        <f t="shared" si="134"/>
        <v>1</v>
      </c>
      <c r="N270" s="390">
        <f t="shared" si="134"/>
        <v>5</v>
      </c>
      <c r="O270" s="500">
        <f>IF(N$270=0,0,N270/N$270)</f>
        <v>1</v>
      </c>
      <c r="P270" s="680"/>
    </row>
    <row r="271" spans="1:16" s="757" customFormat="1" ht="18" customHeight="1" x14ac:dyDescent="0.25">
      <c r="A271" s="689"/>
      <c r="B271" s="689"/>
      <c r="C271" s="182"/>
      <c r="D271" s="427"/>
      <c r="E271" s="427"/>
      <c r="F271" s="427"/>
      <c r="G271" s="759"/>
      <c r="H271" s="731"/>
      <c r="I271" s="198" t="str">
        <f>IF(I$219=0,"",IF(AND(I$219=1,I270=1),"OK","NOK"))</f>
        <v>OK</v>
      </c>
      <c r="J271" s="198" t="str">
        <f t="shared" ref="J271:M271" si="135">IF(J$219=0,"",IF(AND(J$219=1,J270=1),"OK","NOK"))</f>
        <v>OK</v>
      </c>
      <c r="K271" s="198" t="str">
        <f t="shared" si="135"/>
        <v>OK</v>
      </c>
      <c r="L271" s="198" t="str">
        <f t="shared" si="135"/>
        <v>OK</v>
      </c>
      <c r="M271" s="715" t="str">
        <f t="shared" si="135"/>
        <v>OK</v>
      </c>
      <c r="N271" s="853"/>
      <c r="O271" s="689"/>
      <c r="P271" s="689"/>
    </row>
    <row r="272" spans="1:16" ht="18" customHeight="1" x14ac:dyDescent="0.25">
      <c r="A272" s="182"/>
      <c r="B272" s="547"/>
      <c r="C272" s="48" t="s">
        <v>54</v>
      </c>
      <c r="D272" s="274" t="s">
        <v>1283</v>
      </c>
      <c r="E272" s="50"/>
      <c r="F272" s="50"/>
      <c r="G272" s="685"/>
      <c r="H272" s="731"/>
      <c r="I272" s="691"/>
      <c r="J272" s="691"/>
      <c r="K272" s="691"/>
      <c r="L272" s="691"/>
      <c r="M272" s="693"/>
      <c r="N272" s="839"/>
      <c r="O272" s="682"/>
      <c r="P272" s="682"/>
    </row>
    <row r="273" spans="1:16" ht="18" customHeight="1" x14ac:dyDescent="0.25">
      <c r="A273" s="182"/>
      <c r="B273" s="547"/>
      <c r="C273" s="547"/>
      <c r="D273" s="56" t="s">
        <v>56</v>
      </c>
      <c r="E273" s="146" t="s">
        <v>9</v>
      </c>
      <c r="F273" s="149"/>
      <c r="G273" s="692"/>
      <c r="H273" s="731"/>
      <c r="I273" s="683">
        <v>1</v>
      </c>
      <c r="J273" s="683">
        <v>1</v>
      </c>
      <c r="K273" s="683">
        <v>1</v>
      </c>
      <c r="L273" s="683">
        <v>1</v>
      </c>
      <c r="M273" s="707">
        <v>1</v>
      </c>
      <c r="N273" s="840">
        <f>SUM(I273:M273)</f>
        <v>5</v>
      </c>
      <c r="O273" s="675">
        <f>IF(N$275=0,0,N273/N$275)</f>
        <v>1</v>
      </c>
      <c r="P273" s="679"/>
    </row>
    <row r="274" spans="1:16" ht="18" customHeight="1" x14ac:dyDescent="0.25">
      <c r="A274" s="182"/>
      <c r="B274" s="547"/>
      <c r="C274" s="547"/>
      <c r="D274" s="56" t="s">
        <v>57</v>
      </c>
      <c r="E274" s="146" t="s">
        <v>11</v>
      </c>
      <c r="F274" s="149"/>
      <c r="G274" s="692"/>
      <c r="H274" s="731"/>
      <c r="I274" s="688"/>
      <c r="J274" s="688"/>
      <c r="K274" s="688"/>
      <c r="L274" s="688"/>
      <c r="M274" s="708"/>
      <c r="N274" s="840">
        <f>SUM(I274:M274)</f>
        <v>0</v>
      </c>
      <c r="O274" s="675">
        <f>IF(N$275=0,0,N274/N$275)</f>
        <v>0</v>
      </c>
      <c r="P274" s="679"/>
    </row>
    <row r="275" spans="1:16" ht="18" customHeight="1" x14ac:dyDescent="0.25">
      <c r="A275" s="182"/>
      <c r="B275" s="547"/>
      <c r="C275" s="325"/>
      <c r="D275" s="326"/>
      <c r="E275" s="326"/>
      <c r="F275" s="326"/>
      <c r="G275" s="702"/>
      <c r="H275" s="731"/>
      <c r="I275" s="64">
        <f t="shared" ref="I275:N275" si="136">SUM(I273:I274)</f>
        <v>1</v>
      </c>
      <c r="J275" s="64">
        <f t="shared" si="136"/>
        <v>1</v>
      </c>
      <c r="K275" s="64">
        <f t="shared" si="136"/>
        <v>1</v>
      </c>
      <c r="L275" s="64">
        <f t="shared" si="136"/>
        <v>1</v>
      </c>
      <c r="M275" s="709">
        <f t="shared" si="136"/>
        <v>1</v>
      </c>
      <c r="N275" s="390">
        <f t="shared" si="136"/>
        <v>5</v>
      </c>
      <c r="O275" s="500">
        <f>IF(N$275=0,0,N275/N$275)</f>
        <v>1</v>
      </c>
      <c r="P275" s="680"/>
    </row>
    <row r="276" spans="1:16" s="757" customFormat="1" ht="18" customHeight="1" x14ac:dyDescent="0.25">
      <c r="A276" s="689"/>
      <c r="B276" s="689"/>
      <c r="C276" s="182"/>
      <c r="D276" s="427"/>
      <c r="E276" s="427"/>
      <c r="F276" s="427"/>
      <c r="G276" s="759"/>
      <c r="H276" s="731"/>
      <c r="I276" s="198" t="str">
        <f>IF(I$219=0,"",IF(AND(I$219=1,I275=1),"OK","NOK"))</f>
        <v>OK</v>
      </c>
      <c r="J276" s="198" t="str">
        <f t="shared" ref="J276:M276" si="137">IF(J$219=0,"",IF(AND(J$219=1,J275=1),"OK","NOK"))</f>
        <v>OK</v>
      </c>
      <c r="K276" s="198" t="str">
        <f t="shared" si="137"/>
        <v>OK</v>
      </c>
      <c r="L276" s="198" t="str">
        <f t="shared" si="137"/>
        <v>OK</v>
      </c>
      <c r="M276" s="715" t="str">
        <f t="shared" si="137"/>
        <v>OK</v>
      </c>
      <c r="N276" s="853"/>
      <c r="O276" s="689"/>
      <c r="P276" s="689"/>
    </row>
    <row r="277" spans="1:16" ht="18" customHeight="1" x14ac:dyDescent="0.25">
      <c r="A277" s="182"/>
      <c r="B277" s="547"/>
      <c r="C277" s="48" t="s">
        <v>1142</v>
      </c>
      <c r="D277" s="274" t="s">
        <v>1284</v>
      </c>
      <c r="E277" s="50"/>
      <c r="F277" s="50"/>
      <c r="G277" s="685"/>
      <c r="H277" s="50"/>
      <c r="I277" s="766"/>
      <c r="J277" s="766"/>
      <c r="K277" s="48"/>
      <c r="L277" s="48"/>
      <c r="M277" s="299"/>
      <c r="N277" s="839"/>
      <c r="O277" s="682"/>
      <c r="P277" s="682"/>
    </row>
    <row r="278" spans="1:16" ht="18" customHeight="1" x14ac:dyDescent="0.25">
      <c r="A278" s="182"/>
      <c r="B278" s="547"/>
      <c r="C278" s="547"/>
      <c r="D278" s="56" t="s">
        <v>1285</v>
      </c>
      <c r="E278" s="146" t="s">
        <v>1138</v>
      </c>
      <c r="F278" s="149"/>
      <c r="G278" s="692"/>
      <c r="H278" s="799"/>
      <c r="I278" s="683">
        <v>1</v>
      </c>
      <c r="J278" s="683">
        <v>1</v>
      </c>
      <c r="K278" s="683">
        <v>1</v>
      </c>
      <c r="L278" s="683"/>
      <c r="M278" s="707">
        <v>1</v>
      </c>
      <c r="N278" s="840">
        <f>SUM(I278:M278)</f>
        <v>4</v>
      </c>
      <c r="O278" s="675">
        <f>IF(N$282=0,0,N278/N$282)</f>
        <v>0.8</v>
      </c>
      <c r="P278" s="679"/>
    </row>
    <row r="279" spans="1:16" ht="18" customHeight="1" x14ac:dyDescent="0.25">
      <c r="A279" s="182"/>
      <c r="B279" s="547"/>
      <c r="C279" s="547"/>
      <c r="D279" s="56" t="s">
        <v>1286</v>
      </c>
      <c r="E279" s="146" t="s">
        <v>1139</v>
      </c>
      <c r="F279" s="149"/>
      <c r="G279" s="692"/>
      <c r="H279" s="799"/>
      <c r="I279" s="688"/>
      <c r="J279" s="688"/>
      <c r="K279" s="688"/>
      <c r="L279" s="688"/>
      <c r="M279" s="708"/>
      <c r="N279" s="840">
        <f t="shared" ref="N279:N281" si="138">SUM(I279:M279)</f>
        <v>0</v>
      </c>
      <c r="O279" s="675">
        <f t="shared" ref="O279:O281" si="139">IF(N$282=0,0,N279/N$282)</f>
        <v>0</v>
      </c>
      <c r="P279" s="679"/>
    </row>
    <row r="280" spans="1:16" ht="18" customHeight="1" x14ac:dyDescent="0.25">
      <c r="A280" s="182"/>
      <c r="B280" s="547"/>
      <c r="C280" s="547"/>
      <c r="D280" s="56" t="s">
        <v>1287</v>
      </c>
      <c r="E280" s="146" t="s">
        <v>1140</v>
      </c>
      <c r="F280" s="149"/>
      <c r="G280" s="692"/>
      <c r="H280" s="869"/>
      <c r="I280" s="683"/>
      <c r="J280" s="683"/>
      <c r="K280" s="683"/>
      <c r="L280" s="683"/>
      <c r="M280" s="707"/>
      <c r="N280" s="840">
        <f t="shared" si="138"/>
        <v>0</v>
      </c>
      <c r="O280" s="675">
        <f t="shared" si="139"/>
        <v>0</v>
      </c>
      <c r="P280" s="679"/>
    </row>
    <row r="281" spans="1:16" ht="18" customHeight="1" x14ac:dyDescent="0.25">
      <c r="A281" s="182"/>
      <c r="B281" s="547"/>
      <c r="C281" s="547"/>
      <c r="D281" s="56" t="s">
        <v>1288</v>
      </c>
      <c r="E281" s="146" t="s">
        <v>1290</v>
      </c>
      <c r="F281" s="149"/>
      <c r="G281" s="692"/>
      <c r="H281" s="870"/>
      <c r="I281" s="688"/>
      <c r="J281" s="688"/>
      <c r="K281" s="688"/>
      <c r="L281" s="688">
        <v>1</v>
      </c>
      <c r="M281" s="708"/>
      <c r="N281" s="840">
        <f t="shared" si="138"/>
        <v>1</v>
      </c>
      <c r="O281" s="675">
        <f t="shared" si="139"/>
        <v>0.2</v>
      </c>
      <c r="P281" s="679"/>
    </row>
    <row r="282" spans="1:16" ht="18" customHeight="1" x14ac:dyDescent="0.25">
      <c r="A282" s="182"/>
      <c r="B282" s="547"/>
      <c r="C282" s="325"/>
      <c r="D282" s="326"/>
      <c r="E282" s="326"/>
      <c r="F282" s="326"/>
      <c r="G282" s="702"/>
      <c r="H282" s="731"/>
      <c r="I282" s="64">
        <f>SUM(I278:I281)</f>
        <v>1</v>
      </c>
      <c r="J282" s="64">
        <f t="shared" ref="J282:N282" si="140">SUM(J278:J281)</f>
        <v>1</v>
      </c>
      <c r="K282" s="64">
        <f t="shared" si="140"/>
        <v>1</v>
      </c>
      <c r="L282" s="64">
        <f t="shared" si="140"/>
        <v>1</v>
      </c>
      <c r="M282" s="709">
        <f t="shared" si="140"/>
        <v>1</v>
      </c>
      <c r="N282" s="390">
        <f t="shared" si="140"/>
        <v>5</v>
      </c>
      <c r="O282" s="500">
        <f>IF(N$282=0,0,N282/N$282)</f>
        <v>1</v>
      </c>
      <c r="P282" s="680"/>
    </row>
    <row r="283" spans="1:16" s="757" customFormat="1" ht="18" customHeight="1" x14ac:dyDescent="0.25">
      <c r="A283" s="689"/>
      <c r="B283" s="689"/>
      <c r="C283" s="182"/>
      <c r="D283" s="427"/>
      <c r="E283" s="427"/>
      <c r="F283" s="427"/>
      <c r="G283" s="759"/>
      <c r="H283" s="731"/>
      <c r="I283" s="198" t="str">
        <f>IF(I$219=0,"",IF(AND(I$219=1,I282=1),"OK","NOK"))</f>
        <v>OK</v>
      </c>
      <c r="J283" s="198" t="str">
        <f t="shared" ref="J283" si="141">IF(J$219=0,"",IF(AND(J$219=1,J282=1),"OK","NOK"))</f>
        <v>OK</v>
      </c>
      <c r="K283" s="198" t="str">
        <f t="shared" ref="K283" si="142">IF(K$219=0,"",IF(AND(K$219=1,K282=1),"OK","NOK"))</f>
        <v>OK</v>
      </c>
      <c r="L283" s="198" t="str">
        <f t="shared" ref="L283" si="143">IF(L$219=0,"",IF(AND(L$219=1,L282=1),"OK","NOK"))</f>
        <v>OK</v>
      </c>
      <c r="M283" s="715" t="str">
        <f t="shared" ref="M283" si="144">IF(M$219=0,"",IF(AND(M$219=1,M282=1),"OK","NOK"))</f>
        <v>OK</v>
      </c>
      <c r="N283" s="853"/>
      <c r="O283" s="689"/>
      <c r="P283" s="689"/>
    </row>
    <row r="284" spans="1:16" ht="18" customHeight="1" x14ac:dyDescent="0.25">
      <c r="A284" s="182"/>
      <c r="B284" s="547"/>
      <c r="C284" s="547"/>
      <c r="D284" s="56" t="s">
        <v>1289</v>
      </c>
      <c r="E284" s="146" t="s">
        <v>1291</v>
      </c>
      <c r="F284" s="149"/>
      <c r="G284" s="692"/>
      <c r="H284" s="870"/>
      <c r="I284" s="174"/>
      <c r="J284" s="174"/>
      <c r="K284" s="174"/>
      <c r="L284" s="174"/>
      <c r="M284" s="712"/>
      <c r="N284" s="849"/>
      <c r="O284" s="404"/>
      <c r="P284" s="710"/>
    </row>
    <row r="285" spans="1:16" ht="18" customHeight="1" x14ac:dyDescent="0.25">
      <c r="A285" s="750"/>
      <c r="B285" s="547"/>
      <c r="C285" s="547"/>
      <c r="D285" s="547"/>
      <c r="E285" s="56" t="s">
        <v>753</v>
      </c>
      <c r="F285" s="149" t="s">
        <v>9</v>
      </c>
      <c r="G285" s="692"/>
      <c r="H285" s="870"/>
      <c r="I285" s="683"/>
      <c r="J285" s="683"/>
      <c r="K285" s="683"/>
      <c r="L285" s="1315">
        <v>1</v>
      </c>
      <c r="M285" s="707"/>
      <c r="N285" s="840">
        <f>SUM(I285:M285)</f>
        <v>1</v>
      </c>
      <c r="O285" s="675">
        <f>IF(N$287=0,0,N285/N$287)</f>
        <v>1</v>
      </c>
      <c r="P285" s="679"/>
    </row>
    <row r="286" spans="1:16" ht="18" customHeight="1" x14ac:dyDescent="0.25">
      <c r="A286" s="750"/>
      <c r="B286" s="547"/>
      <c r="C286" s="547"/>
      <c r="D286" s="547"/>
      <c r="E286" s="56" t="s">
        <v>754</v>
      </c>
      <c r="F286" s="149" t="s">
        <v>11</v>
      </c>
      <c r="G286" s="692"/>
      <c r="H286" s="870"/>
      <c r="I286" s="688"/>
      <c r="J286" s="688"/>
      <c r="K286" s="688"/>
      <c r="L286" s="688"/>
      <c r="M286" s="708"/>
      <c r="N286" s="840">
        <f>SUM(I286:M286)</f>
        <v>0</v>
      </c>
      <c r="O286" s="675">
        <f t="shared" ref="O286:O287" si="145">IF(N$287=0,0,N286/N$287)</f>
        <v>0</v>
      </c>
      <c r="P286" s="679"/>
    </row>
    <row r="287" spans="1:16" ht="18" customHeight="1" x14ac:dyDescent="0.25">
      <c r="A287" s="182"/>
      <c r="B287" s="547"/>
      <c r="C287" s="325"/>
      <c r="D287" s="326"/>
      <c r="E287" s="326"/>
      <c r="F287" s="326"/>
      <c r="G287" s="702"/>
      <c r="H287" s="731"/>
      <c r="I287" s="64">
        <f>SUM(I285:I286)</f>
        <v>0</v>
      </c>
      <c r="J287" s="64">
        <f t="shared" ref="J287:N287" si="146">SUM(J285:J286)</f>
        <v>0</v>
      </c>
      <c r="K287" s="64">
        <f t="shared" si="146"/>
        <v>0</v>
      </c>
      <c r="L287" s="64">
        <f t="shared" si="146"/>
        <v>1</v>
      </c>
      <c r="M287" s="709">
        <f t="shared" si="146"/>
        <v>0</v>
      </c>
      <c r="N287" s="390">
        <f t="shared" si="146"/>
        <v>1</v>
      </c>
      <c r="O287" s="500">
        <f t="shared" si="145"/>
        <v>1</v>
      </c>
      <c r="P287" s="680"/>
    </row>
    <row r="288" spans="1:16" s="757" customFormat="1" ht="18" customHeight="1" x14ac:dyDescent="0.25">
      <c r="A288" s="689"/>
      <c r="B288" s="689"/>
      <c r="C288" s="182"/>
      <c r="D288" s="427"/>
      <c r="E288" s="427"/>
      <c r="F288" s="427"/>
      <c r="G288" s="759"/>
      <c r="H288" s="731"/>
      <c r="I288" s="198" t="str">
        <f>IF(I$219=0,"",IF(AND(I281=0,I287=0),"OK",IF(AND(I$281=1,I287=1),"OK","NOK")))</f>
        <v>OK</v>
      </c>
      <c r="J288" s="198" t="str">
        <f t="shared" ref="J288:M288" si="147">IF(J$219=0,"",IF(AND(J281=0,J287=0),"OK",IF(AND(J$281=1,J287=1),"OK","NOK")))</f>
        <v>OK</v>
      </c>
      <c r="K288" s="198" t="str">
        <f t="shared" si="147"/>
        <v>OK</v>
      </c>
      <c r="L288" s="198" t="str">
        <f t="shared" si="147"/>
        <v>OK</v>
      </c>
      <c r="M288" s="715" t="str">
        <f t="shared" si="147"/>
        <v>OK</v>
      </c>
      <c r="N288" s="853"/>
      <c r="O288" s="689"/>
      <c r="P288" s="689"/>
    </row>
    <row r="289" spans="1:16" ht="18" customHeight="1" x14ac:dyDescent="0.25">
      <c r="A289" s="182"/>
      <c r="B289" s="547"/>
      <c r="C289" s="48" t="s">
        <v>1143</v>
      </c>
      <c r="D289" s="274" t="s">
        <v>1292</v>
      </c>
      <c r="E289" s="50"/>
      <c r="F289" s="50"/>
      <c r="G289" s="685"/>
      <c r="H289" s="50"/>
      <c r="I289" s="766"/>
      <c r="J289" s="766"/>
      <c r="K289" s="48"/>
      <c r="L289" s="48"/>
      <c r="M289" s="299"/>
      <c r="N289" s="839"/>
      <c r="O289" s="682"/>
      <c r="P289" s="682"/>
    </row>
    <row r="290" spans="1:16" s="757" customFormat="1" ht="18" customHeight="1" x14ac:dyDescent="0.25">
      <c r="A290" s="689"/>
      <c r="B290" s="689"/>
      <c r="C290" s="547"/>
      <c r="D290" s="56" t="s">
        <v>1293</v>
      </c>
      <c r="E290" s="146" t="s">
        <v>1294</v>
      </c>
      <c r="F290" s="149"/>
      <c r="G290" s="692"/>
      <c r="H290" s="731"/>
      <c r="I290" s="683">
        <v>1</v>
      </c>
      <c r="J290" s="683">
        <v>1</v>
      </c>
      <c r="K290" s="683">
        <v>1</v>
      </c>
      <c r="L290" s="683">
        <v>1</v>
      </c>
      <c r="M290" s="707">
        <v>1</v>
      </c>
      <c r="N290" s="840">
        <f t="shared" ref="N290:N292" si="148">SUM(I290:M290)</f>
        <v>5</v>
      </c>
      <c r="O290" s="675">
        <f>IF(N$293=0,0,N290/N$293)</f>
        <v>1</v>
      </c>
      <c r="P290" s="689"/>
    </row>
    <row r="291" spans="1:16" s="757" customFormat="1" ht="18" customHeight="1" x14ac:dyDescent="0.25">
      <c r="A291" s="689"/>
      <c r="B291" s="689"/>
      <c r="C291" s="547"/>
      <c r="D291" s="56" t="s">
        <v>1295</v>
      </c>
      <c r="E291" s="146" t="s">
        <v>1296</v>
      </c>
      <c r="F291" s="149"/>
      <c r="G291" s="692"/>
      <c r="H291" s="731"/>
      <c r="I291" s="688"/>
      <c r="J291" s="688"/>
      <c r="K291" s="688"/>
      <c r="L291" s="688"/>
      <c r="M291" s="708"/>
      <c r="N291" s="840">
        <f t="shared" si="148"/>
        <v>0</v>
      </c>
      <c r="O291" s="675">
        <f t="shared" ref="O291:O293" si="149">IF(N$293=0,0,N291/N$293)</f>
        <v>0</v>
      </c>
      <c r="P291" s="689"/>
    </row>
    <row r="292" spans="1:16" s="757" customFormat="1" ht="18" customHeight="1" x14ac:dyDescent="0.25">
      <c r="A292" s="689"/>
      <c r="B292" s="689"/>
      <c r="C292" s="547"/>
      <c r="D292" s="56" t="s">
        <v>1297</v>
      </c>
      <c r="E292" s="146" t="s">
        <v>1298</v>
      </c>
      <c r="F292" s="149"/>
      <c r="G292" s="692"/>
      <c r="H292" s="731"/>
      <c r="I292" s="683"/>
      <c r="J292" s="683"/>
      <c r="K292" s="683"/>
      <c r="L292" s="683"/>
      <c r="M292" s="707"/>
      <c r="N292" s="840">
        <f t="shared" si="148"/>
        <v>0</v>
      </c>
      <c r="O292" s="675">
        <f t="shared" si="149"/>
        <v>0</v>
      </c>
      <c r="P292" s="689"/>
    </row>
    <row r="293" spans="1:16" ht="18" customHeight="1" x14ac:dyDescent="0.25">
      <c r="A293" s="182"/>
      <c r="B293" s="547"/>
      <c r="C293" s="325"/>
      <c r="D293" s="326"/>
      <c r="E293" s="326"/>
      <c r="F293" s="326"/>
      <c r="G293" s="702"/>
      <c r="H293" s="731"/>
      <c r="I293" s="64">
        <f>SUM(I290:I292)</f>
        <v>1</v>
      </c>
      <c r="J293" s="64">
        <f t="shared" ref="J293:N293" si="150">SUM(J290:J292)</f>
        <v>1</v>
      </c>
      <c r="K293" s="64">
        <f t="shared" si="150"/>
        <v>1</v>
      </c>
      <c r="L293" s="64">
        <f t="shared" si="150"/>
        <v>1</v>
      </c>
      <c r="M293" s="709">
        <f t="shared" si="150"/>
        <v>1</v>
      </c>
      <c r="N293" s="390">
        <f t="shared" si="150"/>
        <v>5</v>
      </c>
      <c r="O293" s="500">
        <f t="shared" si="149"/>
        <v>1</v>
      </c>
      <c r="P293" s="680"/>
    </row>
    <row r="294" spans="1:16" s="757" customFormat="1" ht="18" customHeight="1" x14ac:dyDescent="0.25">
      <c r="A294" s="689"/>
      <c r="B294" s="689"/>
      <c r="C294" s="182"/>
      <c r="D294" s="427"/>
      <c r="E294" s="427"/>
      <c r="F294" s="427"/>
      <c r="G294" s="759"/>
      <c r="H294" s="731"/>
      <c r="I294" s="198" t="str">
        <f>IF(I$219=0,"",IF(AND(I$219=1,I293=1),"OK","NOK"))</f>
        <v>OK</v>
      </c>
      <c r="J294" s="198" t="str">
        <f t="shared" ref="J294" si="151">IF(J$219=0,"",IF(AND(J$219=1,J293=1),"OK","NOK"))</f>
        <v>OK</v>
      </c>
      <c r="K294" s="198" t="str">
        <f t="shared" ref="K294" si="152">IF(K$219=0,"",IF(AND(K$219=1,K293=1),"OK","NOK"))</f>
        <v>OK</v>
      </c>
      <c r="L294" s="198" t="str">
        <f t="shared" ref="L294" si="153">IF(L$219=0,"",IF(AND(L$219=1,L293=1),"OK","NOK"))</f>
        <v>OK</v>
      </c>
      <c r="M294" s="715" t="str">
        <f t="shared" ref="M294" si="154">IF(M$219=0,"",IF(AND(M$219=1,M293=1),"OK","NOK"))</f>
        <v>OK</v>
      </c>
      <c r="N294" s="853"/>
      <c r="O294" s="689"/>
      <c r="P294" s="689"/>
    </row>
    <row r="295" spans="1:16" ht="18" customHeight="1" x14ac:dyDescent="0.25">
      <c r="A295" s="182"/>
      <c r="B295" s="48" t="s">
        <v>63</v>
      </c>
      <c r="C295" s="274" t="s">
        <v>12</v>
      </c>
      <c r="D295" s="50"/>
      <c r="E295" s="50"/>
      <c r="F295" s="50"/>
      <c r="G295" s="685"/>
      <c r="H295" s="731"/>
      <c r="I295" s="691"/>
      <c r="J295" s="691"/>
      <c r="K295" s="691"/>
      <c r="L295" s="691"/>
      <c r="M295" s="693"/>
      <c r="N295" s="839"/>
      <c r="O295" s="682"/>
      <c r="P295" s="682"/>
    </row>
    <row r="296" spans="1:16" s="757" customFormat="1" ht="18" customHeight="1" x14ac:dyDescent="0.25">
      <c r="A296" s="182"/>
      <c r="B296" s="182"/>
      <c r="C296" s="940" t="s">
        <v>1560</v>
      </c>
      <c r="D296" s="57" t="s">
        <v>1561</v>
      </c>
      <c r="E296" s="938"/>
      <c r="F296" s="938"/>
      <c r="G296" s="939"/>
      <c r="H296" s="731"/>
      <c r="I296" s="787"/>
      <c r="J296" s="787"/>
      <c r="K296" s="787"/>
      <c r="L296" s="787"/>
      <c r="M296" s="1096"/>
      <c r="N296" s="838"/>
      <c r="O296" s="689"/>
      <c r="P296" s="689"/>
    </row>
    <row r="297" spans="1:16" s="757" customFormat="1" ht="18" customHeight="1" x14ac:dyDescent="0.25">
      <c r="A297" s="182"/>
      <c r="B297" s="182"/>
      <c r="C297" s="1097"/>
      <c r="D297" s="700" t="s">
        <v>1562</v>
      </c>
      <c r="E297" s="1098"/>
      <c r="F297" s="1098"/>
      <c r="G297" s="725"/>
      <c r="H297" s="731"/>
      <c r="I297" s="1295">
        <f>IF(I268=1,1,0)</f>
        <v>1</v>
      </c>
      <c r="J297" s="1295">
        <f t="shared" ref="J297:M297" si="155">IF(J268=1,1,0)</f>
        <v>0</v>
      </c>
      <c r="K297" s="1295">
        <f t="shared" si="155"/>
        <v>1</v>
      </c>
      <c r="L297" s="1295">
        <f t="shared" si="155"/>
        <v>1</v>
      </c>
      <c r="M297" s="1295">
        <f t="shared" si="155"/>
        <v>1</v>
      </c>
      <c r="N297" s="838"/>
      <c r="O297" s="689"/>
      <c r="P297" s="689"/>
    </row>
    <row r="298" spans="1:16" s="757" customFormat="1" ht="18" customHeight="1" x14ac:dyDescent="0.25">
      <c r="A298" s="182"/>
      <c r="B298" s="182"/>
      <c r="C298" s="547"/>
      <c r="D298" s="700" t="s">
        <v>1563</v>
      </c>
      <c r="E298" s="1098"/>
      <c r="F298" s="1098"/>
      <c r="G298" s="726"/>
      <c r="H298" s="731"/>
      <c r="I298" s="1295">
        <f>IF(I269=1,0,0)</f>
        <v>0</v>
      </c>
      <c r="J298" s="1295">
        <f t="shared" ref="J298:M298" si="156">IF(J269=1,0,0)</f>
        <v>0</v>
      </c>
      <c r="K298" s="1295">
        <f t="shared" si="156"/>
        <v>0</v>
      </c>
      <c r="L298" s="1295">
        <f t="shared" si="156"/>
        <v>0</v>
      </c>
      <c r="M298" s="1295">
        <f t="shared" si="156"/>
        <v>0</v>
      </c>
      <c r="N298" s="838"/>
      <c r="O298" s="689"/>
      <c r="P298" s="689"/>
    </row>
    <row r="299" spans="1:16" s="757" customFormat="1" ht="18" customHeight="1" x14ac:dyDescent="0.25">
      <c r="A299" s="182"/>
      <c r="B299" s="182"/>
      <c r="C299" s="1097"/>
      <c r="D299" s="700" t="s">
        <v>1564</v>
      </c>
      <c r="E299" s="1098"/>
      <c r="F299" s="1098"/>
      <c r="G299" s="725"/>
      <c r="H299" s="731"/>
      <c r="I299" s="1295">
        <f>IF(I273=1,1.5,0)</f>
        <v>1.5</v>
      </c>
      <c r="J299" s="1295">
        <f t="shared" ref="J299:M299" si="157">IF(J273=1,1.5,0)</f>
        <v>1.5</v>
      </c>
      <c r="K299" s="1295">
        <f t="shared" si="157"/>
        <v>1.5</v>
      </c>
      <c r="L299" s="1295">
        <f t="shared" si="157"/>
        <v>1.5</v>
      </c>
      <c r="M299" s="1295">
        <f t="shared" si="157"/>
        <v>1.5</v>
      </c>
      <c r="N299" s="838"/>
      <c r="O299" s="689"/>
      <c r="P299" s="689"/>
    </row>
    <row r="300" spans="1:16" s="757" customFormat="1" ht="18" customHeight="1" x14ac:dyDescent="0.25">
      <c r="A300" s="182"/>
      <c r="B300" s="182"/>
      <c r="C300" s="547"/>
      <c r="D300" s="700" t="s">
        <v>1565</v>
      </c>
      <c r="E300" s="1098"/>
      <c r="F300" s="1098"/>
      <c r="G300" s="726"/>
      <c r="H300" s="731"/>
      <c r="I300" s="1295">
        <f>IF(I274=1,0,0)</f>
        <v>0</v>
      </c>
      <c r="J300" s="1295">
        <f t="shared" ref="J300:M300" si="158">IF(J274=1,0,0)</f>
        <v>0</v>
      </c>
      <c r="K300" s="1295">
        <f t="shared" si="158"/>
        <v>0</v>
      </c>
      <c r="L300" s="1295">
        <f t="shared" si="158"/>
        <v>0</v>
      </c>
      <c r="M300" s="1295">
        <f t="shared" si="158"/>
        <v>0</v>
      </c>
      <c r="N300" s="838"/>
      <c r="O300" s="689"/>
      <c r="P300" s="689"/>
    </row>
    <row r="301" spans="1:16" s="757" customFormat="1" ht="18" customHeight="1" x14ac:dyDescent="0.25">
      <c r="A301" s="182"/>
      <c r="B301" s="182"/>
      <c r="C301" s="1097"/>
      <c r="D301" s="700" t="s">
        <v>1566</v>
      </c>
      <c r="E301" s="676"/>
      <c r="F301" s="717"/>
      <c r="G301" s="725"/>
      <c r="H301" s="731"/>
      <c r="I301" s="1295">
        <f>IF(I278=1,1.5,0)</f>
        <v>1.5</v>
      </c>
      <c r="J301" s="1295">
        <f t="shared" ref="J301:M301" si="159">IF(J278=1,1.5,0)</f>
        <v>1.5</v>
      </c>
      <c r="K301" s="1295">
        <f t="shared" si="159"/>
        <v>1.5</v>
      </c>
      <c r="L301" s="1295">
        <f t="shared" si="159"/>
        <v>0</v>
      </c>
      <c r="M301" s="1295">
        <f t="shared" si="159"/>
        <v>1.5</v>
      </c>
      <c r="N301" s="838"/>
      <c r="O301" s="689"/>
      <c r="P301" s="689"/>
    </row>
    <row r="302" spans="1:16" s="757" customFormat="1" ht="18" customHeight="1" x14ac:dyDescent="0.25">
      <c r="A302" s="182"/>
      <c r="B302" s="182"/>
      <c r="C302" s="547"/>
      <c r="D302" s="700" t="s">
        <v>1567</v>
      </c>
      <c r="E302" s="676"/>
      <c r="F302" s="717"/>
      <c r="G302" s="726"/>
      <c r="H302" s="731"/>
      <c r="I302" s="1295">
        <f>IF(I279=1,0,0)</f>
        <v>0</v>
      </c>
      <c r="J302" s="1295">
        <f t="shared" ref="J302:M302" si="160">IF(J279=1,0,0)</f>
        <v>0</v>
      </c>
      <c r="K302" s="1295">
        <f t="shared" si="160"/>
        <v>0</v>
      </c>
      <c r="L302" s="1295">
        <f t="shared" si="160"/>
        <v>0</v>
      </c>
      <c r="M302" s="1295">
        <f t="shared" si="160"/>
        <v>0</v>
      </c>
      <c r="N302" s="838"/>
      <c r="O302" s="689"/>
      <c r="P302" s="689"/>
    </row>
    <row r="303" spans="1:16" s="757" customFormat="1" ht="18" customHeight="1" x14ac:dyDescent="0.25">
      <c r="A303" s="182"/>
      <c r="B303" s="182"/>
      <c r="C303" s="182"/>
      <c r="D303" s="700" t="s">
        <v>1568</v>
      </c>
      <c r="E303" s="676"/>
      <c r="F303" s="717"/>
      <c r="G303" s="727"/>
      <c r="H303" s="731"/>
      <c r="I303" s="1295">
        <f>IF(I280=1,0.5,0)</f>
        <v>0</v>
      </c>
      <c r="J303" s="1295">
        <f t="shared" ref="J303:M303" si="161">IF(J280=1,0.5,0)</f>
        <v>0</v>
      </c>
      <c r="K303" s="1295">
        <f t="shared" si="161"/>
        <v>0</v>
      </c>
      <c r="L303" s="1295">
        <f t="shared" si="161"/>
        <v>0</v>
      </c>
      <c r="M303" s="1295">
        <f t="shared" si="161"/>
        <v>0</v>
      </c>
      <c r="N303" s="838"/>
      <c r="O303" s="689"/>
      <c r="P303" s="689"/>
    </row>
    <row r="304" spans="1:16" s="757" customFormat="1" ht="18" customHeight="1" x14ac:dyDescent="0.25">
      <c r="A304" s="182"/>
      <c r="B304" s="182"/>
      <c r="C304" s="1097"/>
      <c r="D304" s="700" t="s">
        <v>1291</v>
      </c>
      <c r="E304" s="676"/>
      <c r="F304" s="676"/>
      <c r="G304" s="726"/>
      <c r="H304" s="731"/>
      <c r="I304" s="1295">
        <f>IF(I285=1,-0.5,0)</f>
        <v>0</v>
      </c>
      <c r="J304" s="1295">
        <f t="shared" ref="J304:M304" si="162">IF(J285=1,-0.5,0)</f>
        <v>0</v>
      </c>
      <c r="K304" s="1295">
        <f t="shared" si="162"/>
        <v>0</v>
      </c>
      <c r="L304" s="1295">
        <f t="shared" si="162"/>
        <v>-0.5</v>
      </c>
      <c r="M304" s="1295">
        <f t="shared" si="162"/>
        <v>0</v>
      </c>
      <c r="N304" s="838"/>
      <c r="O304" s="689"/>
      <c r="P304" s="689"/>
    </row>
    <row r="305" spans="1:18" s="757" customFormat="1" ht="18" customHeight="1" x14ac:dyDescent="0.25">
      <c r="A305" s="182"/>
      <c r="B305" s="182"/>
      <c r="C305" s="1097"/>
      <c r="D305" s="700" t="s">
        <v>1294</v>
      </c>
      <c r="E305" s="676"/>
      <c r="F305" s="676"/>
      <c r="G305" s="725"/>
      <c r="H305" s="731"/>
      <c r="I305" s="1295">
        <f>IF(I290=1,0.5,0)</f>
        <v>0.5</v>
      </c>
      <c r="J305" s="1295">
        <f t="shared" ref="J305:M305" si="163">IF(J290=1,0.5,0)</f>
        <v>0.5</v>
      </c>
      <c r="K305" s="1295">
        <f t="shared" si="163"/>
        <v>0.5</v>
      </c>
      <c r="L305" s="1295">
        <f t="shared" si="163"/>
        <v>0.5</v>
      </c>
      <c r="M305" s="1295">
        <f t="shared" si="163"/>
        <v>0.5</v>
      </c>
      <c r="N305" s="838"/>
      <c r="O305" s="689"/>
      <c r="P305" s="689"/>
    </row>
    <row r="306" spans="1:18" s="757" customFormat="1" ht="18" customHeight="1" x14ac:dyDescent="0.25">
      <c r="A306" s="182"/>
      <c r="B306" s="182"/>
      <c r="C306" s="182"/>
      <c r="D306" s="700" t="s">
        <v>1296</v>
      </c>
      <c r="E306" s="676"/>
      <c r="F306" s="676"/>
      <c r="G306" s="727"/>
      <c r="H306" s="731"/>
      <c r="I306" s="1295">
        <f>IF(I291=1,0.25,0)</f>
        <v>0</v>
      </c>
      <c r="J306" s="1295">
        <f t="shared" ref="J306:M306" si="164">IF(J291=1,0.25,0)</f>
        <v>0</v>
      </c>
      <c r="K306" s="1295">
        <f t="shared" si="164"/>
        <v>0</v>
      </c>
      <c r="L306" s="1295">
        <f t="shared" si="164"/>
        <v>0</v>
      </c>
      <c r="M306" s="1295">
        <f t="shared" si="164"/>
        <v>0</v>
      </c>
      <c r="N306" s="838"/>
      <c r="O306" s="689"/>
      <c r="P306" s="689"/>
    </row>
    <row r="307" spans="1:18" s="757" customFormat="1" ht="18" customHeight="1" x14ac:dyDescent="0.25">
      <c r="A307" s="182"/>
      <c r="B307" s="182"/>
      <c r="C307" s="182"/>
      <c r="D307" s="700" t="s">
        <v>1298</v>
      </c>
      <c r="E307" s="676"/>
      <c r="F307" s="676"/>
      <c r="G307" s="726"/>
      <c r="H307" s="731"/>
      <c r="I307" s="1295">
        <f>IF(I292=1,0,0)</f>
        <v>0</v>
      </c>
      <c r="J307" s="1295">
        <f t="shared" ref="J307:M307" si="165">IF(J292=1,0,0)</f>
        <v>0</v>
      </c>
      <c r="K307" s="1295">
        <f t="shared" si="165"/>
        <v>0</v>
      </c>
      <c r="L307" s="1295">
        <f t="shared" si="165"/>
        <v>0</v>
      </c>
      <c r="M307" s="1295">
        <f t="shared" si="165"/>
        <v>0</v>
      </c>
      <c r="N307" s="838"/>
      <c r="O307" s="689"/>
      <c r="P307" s="689"/>
    </row>
    <row r="308" spans="1:18" s="757" customFormat="1" ht="18" customHeight="1" x14ac:dyDescent="0.25">
      <c r="A308" s="182"/>
      <c r="B308" s="182"/>
      <c r="C308" s="547"/>
      <c r="D308" s="700" t="s">
        <v>1109</v>
      </c>
      <c r="E308" s="676"/>
      <c r="F308" s="676"/>
      <c r="G308" s="717"/>
      <c r="H308" s="731"/>
      <c r="I308" s="1295">
        <f>SUM(I297:I307)</f>
        <v>4.5</v>
      </c>
      <c r="J308" s="1295">
        <f t="shared" ref="J308:M308" si="166">SUM(J297:J307)</f>
        <v>3.5</v>
      </c>
      <c r="K308" s="1295">
        <f t="shared" si="166"/>
        <v>4.5</v>
      </c>
      <c r="L308" s="1295">
        <f t="shared" si="166"/>
        <v>2.5</v>
      </c>
      <c r="M308" s="1295">
        <f t="shared" si="166"/>
        <v>4.5</v>
      </c>
      <c r="N308" s="838"/>
      <c r="O308" s="689"/>
      <c r="P308" s="689"/>
    </row>
    <row r="309" spans="1:18" s="757" customFormat="1" ht="18" customHeight="1" x14ac:dyDescent="0.25">
      <c r="A309" s="182"/>
      <c r="B309" s="182"/>
      <c r="C309" s="547"/>
      <c r="D309" s="700" t="s">
        <v>1141</v>
      </c>
      <c r="E309" s="676"/>
      <c r="F309" s="676"/>
      <c r="G309" s="717"/>
      <c r="H309" s="731"/>
      <c r="I309" s="787">
        <v>4.5</v>
      </c>
      <c r="J309" s="787">
        <v>4.5</v>
      </c>
      <c r="K309" s="787">
        <v>4.5</v>
      </c>
      <c r="L309" s="787">
        <v>4.5</v>
      </c>
      <c r="M309" s="787">
        <v>4.5</v>
      </c>
      <c r="N309" s="838"/>
      <c r="O309" s="689"/>
      <c r="P309" s="689"/>
    </row>
    <row r="310" spans="1:18" s="757" customFormat="1" ht="18" customHeight="1" x14ac:dyDescent="0.25">
      <c r="A310" s="182"/>
      <c r="B310" s="182"/>
      <c r="C310" s="547"/>
      <c r="D310" s="149" t="s">
        <v>1569</v>
      </c>
      <c r="E310" s="149"/>
      <c r="F310" s="149"/>
      <c r="G310" s="692"/>
      <c r="H310" s="731"/>
      <c r="I310" s="197">
        <f>I308/I309</f>
        <v>1</v>
      </c>
      <c r="J310" s="197">
        <f t="shared" ref="J310:M310" si="167">J308/J309</f>
        <v>0.77777777777777779</v>
      </c>
      <c r="K310" s="197">
        <f t="shared" si="167"/>
        <v>1</v>
      </c>
      <c r="L310" s="197">
        <f t="shared" si="167"/>
        <v>0.55555555555555558</v>
      </c>
      <c r="M310" s="197">
        <f t="shared" si="167"/>
        <v>1</v>
      </c>
      <c r="N310" s="838"/>
      <c r="O310" s="689"/>
      <c r="P310" s="689"/>
    </row>
    <row r="311" spans="1:18" s="757" customFormat="1" ht="18" customHeight="1" x14ac:dyDescent="0.25">
      <c r="A311" s="182"/>
      <c r="B311" s="182"/>
      <c r="C311" s="547"/>
      <c r="D311" s="700" t="s">
        <v>1569</v>
      </c>
      <c r="E311" s="676"/>
      <c r="F311" s="676"/>
      <c r="G311" s="717"/>
      <c r="H311" s="731"/>
      <c r="I311" s="197">
        <f>IF(I310=0,"",I310)</f>
        <v>1</v>
      </c>
      <c r="J311" s="197">
        <f t="shared" ref="J311:M311" si="168">IF(J310=0,"",J310)</f>
        <v>0.77777777777777779</v>
      </c>
      <c r="K311" s="197">
        <f t="shared" si="168"/>
        <v>1</v>
      </c>
      <c r="L311" s="197">
        <f t="shared" si="168"/>
        <v>0.55555555555555558</v>
      </c>
      <c r="M311" s="197">
        <f t="shared" si="168"/>
        <v>1</v>
      </c>
      <c r="N311" s="838"/>
      <c r="O311" s="689"/>
      <c r="P311" s="689"/>
    </row>
    <row r="312" spans="1:18" s="757" customFormat="1" ht="18" customHeight="1" x14ac:dyDescent="0.25">
      <c r="A312" s="182"/>
      <c r="B312" s="182"/>
      <c r="C312" s="725"/>
      <c r="D312" s="57" t="s">
        <v>1570</v>
      </c>
      <c r="E312" s="938"/>
      <c r="F312" s="938"/>
      <c r="G312" s="939"/>
      <c r="H312" s="731"/>
      <c r="I312" s="55">
        <f>IF(I$66=0,0,IF(I311&gt;=0.75,1,0))</f>
        <v>1</v>
      </c>
      <c r="J312" s="55">
        <f t="shared" ref="J312:M312" si="169">IF(J$66=0,0,IF(J311&gt;=0.75,1,0))</f>
        <v>1</v>
      </c>
      <c r="K312" s="55">
        <f t="shared" si="169"/>
        <v>1</v>
      </c>
      <c r="L312" s="55">
        <f t="shared" si="169"/>
        <v>0</v>
      </c>
      <c r="M312" s="55">
        <f t="shared" si="169"/>
        <v>1</v>
      </c>
      <c r="N312" s="842">
        <f>SUM(I312:M312)</f>
        <v>4</v>
      </c>
      <c r="O312" s="197">
        <f>IF(N$202=0,0,N312/N$202)</f>
        <v>1</v>
      </c>
      <c r="P312" s="198"/>
      <c r="Q312" s="757">
        <f>N312*O312</f>
        <v>4</v>
      </c>
    </row>
    <row r="313" spans="1:18" s="757" customFormat="1" ht="18" customHeight="1" x14ac:dyDescent="0.25">
      <c r="A313" s="182"/>
      <c r="B313" s="182"/>
      <c r="C313" s="727"/>
      <c r="D313" s="57" t="s">
        <v>1571</v>
      </c>
      <c r="E313" s="938"/>
      <c r="F313" s="938"/>
      <c r="G313" s="939"/>
      <c r="H313" s="731"/>
      <c r="I313" s="55">
        <f>IF(I$66=0,0,IF(AND(I311&lt;0.75,I311&gt;=0.5),1,0))</f>
        <v>0</v>
      </c>
      <c r="J313" s="55">
        <f t="shared" ref="J313:M313" si="170">IF(J$66=0,0,IF(AND(J311&lt;0.75,J311&gt;=0.5),1,0))</f>
        <v>0</v>
      </c>
      <c r="K313" s="55">
        <f t="shared" si="170"/>
        <v>0</v>
      </c>
      <c r="L313" s="55">
        <f t="shared" si="170"/>
        <v>1</v>
      </c>
      <c r="M313" s="55">
        <f t="shared" si="170"/>
        <v>0</v>
      </c>
      <c r="N313" s="842">
        <f>SUM(I313:M313)</f>
        <v>1</v>
      </c>
      <c r="O313" s="197">
        <f>IF(N$202=0,0,N313/N$202)</f>
        <v>0.25</v>
      </c>
      <c r="P313" s="198"/>
      <c r="Q313" s="757">
        <f t="shared" ref="Q313:Q314" si="171">N313*O313</f>
        <v>0.25</v>
      </c>
    </row>
    <row r="314" spans="1:18" s="757" customFormat="1" ht="18" customHeight="1" x14ac:dyDescent="0.25">
      <c r="A314" s="182"/>
      <c r="B314" s="182"/>
      <c r="C314" s="726"/>
      <c r="D314" s="57" t="s">
        <v>1572</v>
      </c>
      <c r="E314" s="938"/>
      <c r="F314" s="938"/>
      <c r="G314" s="939"/>
      <c r="H314" s="731"/>
      <c r="I314" s="55">
        <f>IF(I$66=0,0,IF(I311&lt;0.5,1,0))</f>
        <v>0</v>
      </c>
      <c r="J314" s="55">
        <f t="shared" ref="J314:M314" si="172">IF(J$66=0,0,IF(J311&lt;0.5,1,0))</f>
        <v>0</v>
      </c>
      <c r="K314" s="55">
        <f t="shared" si="172"/>
        <v>0</v>
      </c>
      <c r="L314" s="55">
        <f t="shared" si="172"/>
        <v>0</v>
      </c>
      <c r="M314" s="55">
        <f t="shared" si="172"/>
        <v>0</v>
      </c>
      <c r="N314" s="842">
        <f>SUM(I314:M314)</f>
        <v>0</v>
      </c>
      <c r="O314" s="197">
        <f>IF(N$202=0,0,N314/N$202)</f>
        <v>0</v>
      </c>
      <c r="P314" s="198"/>
      <c r="Q314" s="757">
        <f t="shared" si="171"/>
        <v>0</v>
      </c>
    </row>
    <row r="315" spans="1:18" s="757" customFormat="1" ht="18" customHeight="1" x14ac:dyDescent="0.25">
      <c r="A315" s="182"/>
      <c r="B315" s="182"/>
      <c r="C315" s="547"/>
      <c r="D315" s="728"/>
      <c r="E315" s="722"/>
      <c r="F315" s="722"/>
      <c r="G315" s="723"/>
      <c r="H315" s="731"/>
      <c r="I315" s="729"/>
      <c r="J315" s="729"/>
      <c r="K315" s="729"/>
      <c r="L315" s="729"/>
      <c r="M315" s="729"/>
      <c r="N315" s="390">
        <f>SUM(N312:N314)</f>
        <v>5</v>
      </c>
      <c r="O315" s="500">
        <f>IF(N$202=0,0,N315/N$202)</f>
        <v>1.25</v>
      </c>
      <c r="P315" s="64"/>
      <c r="Q315" s="757">
        <f>SUM(Q312:Q314)</f>
        <v>4.25</v>
      </c>
      <c r="R315" s="757">
        <f>Q315/N315</f>
        <v>0.85</v>
      </c>
    </row>
    <row r="316" spans="1:18" s="757" customFormat="1" ht="18" customHeight="1" x14ac:dyDescent="0.25">
      <c r="A316" s="182"/>
      <c r="B316" s="182"/>
      <c r="C316" s="547"/>
      <c r="D316" s="57" t="s">
        <v>1573</v>
      </c>
      <c r="E316" s="938"/>
      <c r="F316" s="938"/>
      <c r="G316" s="939"/>
      <c r="H316" s="731"/>
      <c r="I316" s="730">
        <f>IF(I312=1,1,IF(I313=1,2,IF(I314=1,3,"")))</f>
        <v>1</v>
      </c>
      <c r="J316" s="730">
        <f t="shared" ref="J316:M316" si="173">IF(J312=1,1,IF(J313=1,2,IF(J314=1,3,"")))</f>
        <v>1</v>
      </c>
      <c r="K316" s="730">
        <f t="shared" si="173"/>
        <v>1</v>
      </c>
      <c r="L316" s="730">
        <f t="shared" si="173"/>
        <v>2</v>
      </c>
      <c r="M316" s="730">
        <f t="shared" si="173"/>
        <v>1</v>
      </c>
      <c r="N316" s="842"/>
      <c r="O316" s="192"/>
      <c r="P316" s="1099">
        <f>IF(SUM(I316:M316)=0,0,AVERAGE(I316:M316))</f>
        <v>1.2</v>
      </c>
    </row>
    <row r="317" spans="1:18" s="757" customFormat="1" ht="18" customHeight="1" x14ac:dyDescent="0.25">
      <c r="A317" s="182"/>
      <c r="B317" s="182"/>
      <c r="C317" s="547"/>
      <c r="D317" s="427"/>
      <c r="E317" s="427"/>
      <c r="F317" s="427"/>
      <c r="G317" s="759"/>
      <c r="H317" s="731"/>
      <c r="I317" s="787"/>
      <c r="J317" s="787"/>
      <c r="K317" s="787"/>
      <c r="L317" s="787"/>
      <c r="M317" s="1096"/>
      <c r="N317" s="838"/>
      <c r="O317" s="689"/>
      <c r="P317" s="689"/>
    </row>
    <row r="318" spans="1:18" ht="18" customHeight="1" x14ac:dyDescent="0.25">
      <c r="A318" s="705"/>
      <c r="B318" s="731"/>
      <c r="C318" s="731"/>
      <c r="D318" s="731"/>
      <c r="E318" s="731"/>
      <c r="F318" s="731"/>
      <c r="G318" s="731"/>
      <c r="H318" s="731"/>
    </row>
    <row r="319" spans="1:18" ht="18" customHeight="1" thickBot="1" x14ac:dyDescent="0.3">
      <c r="A319" s="665" t="s">
        <v>100</v>
      </c>
      <c r="B319" s="1306" t="s">
        <v>1299</v>
      </c>
      <c r="C319" s="667"/>
      <c r="D319" s="667"/>
      <c r="E319" s="667"/>
      <c r="F319" s="667"/>
      <c r="G319" s="668"/>
      <c r="H319" s="773"/>
      <c r="I319" s="706">
        <f>I49</f>
        <v>1</v>
      </c>
      <c r="J319" s="706">
        <f>J49</f>
        <v>1</v>
      </c>
      <c r="K319" s="706">
        <f>K49</f>
        <v>1</v>
      </c>
      <c r="L319" s="706">
        <f>L49</f>
        <v>1</v>
      </c>
      <c r="M319" s="706">
        <f>M49</f>
        <v>1</v>
      </c>
      <c r="N319" s="847" t="s">
        <v>4</v>
      </c>
      <c r="O319" s="669" t="s">
        <v>5</v>
      </c>
      <c r="P319" s="669" t="s">
        <v>6</v>
      </c>
    </row>
    <row r="320" spans="1:18" ht="18" customHeight="1" x14ac:dyDescent="0.25">
      <c r="A320" s="182"/>
      <c r="B320" s="829" t="s">
        <v>102</v>
      </c>
      <c r="C320" s="274" t="s">
        <v>1146</v>
      </c>
      <c r="D320" s="50"/>
      <c r="E320" s="50"/>
      <c r="F320" s="50"/>
      <c r="G320" s="685"/>
      <c r="H320" s="731"/>
      <c r="I320" s="809"/>
      <c r="J320" s="809"/>
      <c r="K320" s="809"/>
      <c r="L320" s="809"/>
      <c r="M320" s="846"/>
      <c r="N320" s="848"/>
      <c r="O320" s="810"/>
      <c r="P320" s="810"/>
    </row>
    <row r="321" spans="1:16" ht="18" customHeight="1" x14ac:dyDescent="0.25">
      <c r="A321" s="182"/>
      <c r="B321" s="547"/>
      <c r="C321" s="56" t="s">
        <v>104</v>
      </c>
      <c r="D321" s="146" t="s">
        <v>129</v>
      </c>
      <c r="E321" s="149"/>
      <c r="F321" s="149"/>
      <c r="G321" s="692"/>
      <c r="H321" s="731"/>
      <c r="I321" s="683"/>
      <c r="J321" s="683"/>
      <c r="K321" s="683"/>
      <c r="L321" s="683"/>
      <c r="M321" s="707"/>
      <c r="N321" s="840">
        <f>SUM(J321:M321)</f>
        <v>0</v>
      </c>
      <c r="O321" s="197">
        <f t="shared" ref="O321:O330" si="174">IF(N$335=0,0,N321/N$335)</f>
        <v>0</v>
      </c>
      <c r="P321" s="679"/>
    </row>
    <row r="322" spans="1:16" ht="18" customHeight="1" x14ac:dyDescent="0.25">
      <c r="A322" s="182"/>
      <c r="B322" s="547"/>
      <c r="C322" s="56" t="s">
        <v>105</v>
      </c>
      <c r="D322" s="146" t="s">
        <v>1147</v>
      </c>
      <c r="E322" s="149"/>
      <c r="F322" s="149"/>
      <c r="G322" s="692"/>
      <c r="H322" s="731"/>
      <c r="I322" s="688"/>
      <c r="J322" s="688"/>
      <c r="K322" s="688"/>
      <c r="L322" s="688"/>
      <c r="M322" s="708"/>
      <c r="N322" s="840">
        <f t="shared" ref="N322:N329" si="175">SUM(I322:M322)</f>
        <v>0</v>
      </c>
      <c r="O322" s="197">
        <f t="shared" si="174"/>
        <v>0</v>
      </c>
      <c r="P322" s="679"/>
    </row>
    <row r="323" spans="1:16" ht="18" customHeight="1" x14ac:dyDescent="0.25">
      <c r="A323" s="182"/>
      <c r="B323" s="547"/>
      <c r="C323" s="56" t="s">
        <v>106</v>
      </c>
      <c r="D323" s="146" t="s">
        <v>1300</v>
      </c>
      <c r="E323" s="149"/>
      <c r="F323" s="149"/>
      <c r="G323" s="692"/>
      <c r="H323" s="731"/>
      <c r="I323" s="683">
        <v>1</v>
      </c>
      <c r="J323" s="683">
        <v>1</v>
      </c>
      <c r="K323" s="683"/>
      <c r="L323" s="683"/>
      <c r="M323" s="707">
        <v>1</v>
      </c>
      <c r="N323" s="840">
        <f t="shared" si="175"/>
        <v>3</v>
      </c>
      <c r="O323" s="197">
        <f t="shared" si="174"/>
        <v>0.2</v>
      </c>
      <c r="P323" s="679"/>
    </row>
    <row r="324" spans="1:16" ht="18" customHeight="1" x14ac:dyDescent="0.25">
      <c r="A324" s="182"/>
      <c r="B324" s="547"/>
      <c r="C324" s="56" t="s">
        <v>107</v>
      </c>
      <c r="D324" s="146" t="s">
        <v>1301</v>
      </c>
      <c r="E324" s="149"/>
      <c r="F324" s="149"/>
      <c r="G324" s="692"/>
      <c r="H324" s="731"/>
      <c r="I324" s="688"/>
      <c r="J324" s="688"/>
      <c r="K324" s="688"/>
      <c r="L324" s="688"/>
      <c r="M324" s="708"/>
      <c r="N324" s="840">
        <f t="shared" si="175"/>
        <v>0</v>
      </c>
      <c r="O324" s="197">
        <f t="shared" si="174"/>
        <v>0</v>
      </c>
      <c r="P324" s="679"/>
    </row>
    <row r="325" spans="1:16" ht="18" customHeight="1" x14ac:dyDescent="0.25">
      <c r="A325" s="182"/>
      <c r="B325" s="547"/>
      <c r="C325" s="56" t="s">
        <v>108</v>
      </c>
      <c r="D325" s="146" t="s">
        <v>1302</v>
      </c>
      <c r="E325" s="149"/>
      <c r="F325" s="149"/>
      <c r="G325" s="692"/>
      <c r="H325" s="731"/>
      <c r="I325" s="683">
        <v>1</v>
      </c>
      <c r="J325" s="683"/>
      <c r="K325" s="683">
        <v>1</v>
      </c>
      <c r="L325" s="683">
        <v>1</v>
      </c>
      <c r="M325" s="707">
        <v>1</v>
      </c>
      <c r="N325" s="840">
        <f t="shared" si="175"/>
        <v>4</v>
      </c>
      <c r="O325" s="197">
        <f t="shared" si="174"/>
        <v>0.26666666666666666</v>
      </c>
      <c r="P325" s="679"/>
    </row>
    <row r="326" spans="1:16" ht="18" customHeight="1" x14ac:dyDescent="0.25">
      <c r="A326" s="182"/>
      <c r="B326" s="547"/>
      <c r="C326" s="56" t="s">
        <v>399</v>
      </c>
      <c r="D326" s="146" t="s">
        <v>1148</v>
      </c>
      <c r="E326" s="149"/>
      <c r="F326" s="149"/>
      <c r="G326" s="692"/>
      <c r="H326" s="731"/>
      <c r="I326" s="688"/>
      <c r="J326" s="688"/>
      <c r="K326" s="688"/>
      <c r="L326" s="688"/>
      <c r="M326" s="708"/>
      <c r="N326" s="840">
        <f t="shared" si="175"/>
        <v>0</v>
      </c>
      <c r="O326" s="197">
        <f t="shared" si="174"/>
        <v>0</v>
      </c>
      <c r="P326" s="679"/>
    </row>
    <row r="327" spans="1:16" ht="18" customHeight="1" x14ac:dyDescent="0.25">
      <c r="A327" s="182"/>
      <c r="B327" s="547"/>
      <c r="C327" s="56" t="s">
        <v>400</v>
      </c>
      <c r="D327" s="146" t="s">
        <v>1303</v>
      </c>
      <c r="E327" s="149"/>
      <c r="F327" s="149"/>
      <c r="G327" s="692"/>
      <c r="H327" s="731"/>
      <c r="I327" s="683"/>
      <c r="J327" s="683"/>
      <c r="K327" s="683"/>
      <c r="L327" s="683"/>
      <c r="M327" s="707"/>
      <c r="N327" s="840">
        <f t="shared" si="175"/>
        <v>0</v>
      </c>
      <c r="O327" s="197">
        <f t="shared" si="174"/>
        <v>0</v>
      </c>
      <c r="P327" s="679"/>
    </row>
    <row r="328" spans="1:16" ht="18" customHeight="1" x14ac:dyDescent="0.25">
      <c r="A328" s="182"/>
      <c r="B328" s="547"/>
      <c r="C328" s="56" t="s">
        <v>401</v>
      </c>
      <c r="D328" s="146" t="s">
        <v>1304</v>
      </c>
      <c r="E328" s="149"/>
      <c r="F328" s="149"/>
      <c r="G328" s="692"/>
      <c r="H328" s="731"/>
      <c r="I328" s="688">
        <v>1</v>
      </c>
      <c r="J328" s="688">
        <v>1</v>
      </c>
      <c r="K328" s="688">
        <v>1</v>
      </c>
      <c r="L328" s="688">
        <v>1</v>
      </c>
      <c r="M328" s="708">
        <v>1</v>
      </c>
      <c r="N328" s="840">
        <f t="shared" si="175"/>
        <v>5</v>
      </c>
      <c r="O328" s="197">
        <f t="shared" si="174"/>
        <v>0.33333333333333331</v>
      </c>
      <c r="P328" s="679"/>
    </row>
    <row r="329" spans="1:16" ht="18" customHeight="1" x14ac:dyDescent="0.25">
      <c r="A329" s="182"/>
      <c r="B329" s="547"/>
      <c r="C329" s="56" t="s">
        <v>402</v>
      </c>
      <c r="D329" s="146" t="s">
        <v>1149</v>
      </c>
      <c r="E329" s="149"/>
      <c r="F329" s="149"/>
      <c r="G329" s="692"/>
      <c r="H329" s="731"/>
      <c r="I329" s="683"/>
      <c r="J329" s="683">
        <v>1</v>
      </c>
      <c r="K329" s="683"/>
      <c r="L329" s="683"/>
      <c r="M329" s="707"/>
      <c r="N329" s="840">
        <f t="shared" si="175"/>
        <v>1</v>
      </c>
      <c r="O329" s="197">
        <f t="shared" si="174"/>
        <v>6.6666666666666666E-2</v>
      </c>
      <c r="P329" s="679"/>
    </row>
    <row r="330" spans="1:16" ht="18" customHeight="1" x14ac:dyDescent="0.25">
      <c r="A330" s="182"/>
      <c r="B330" s="547"/>
      <c r="C330" s="56" t="s">
        <v>403</v>
      </c>
      <c r="D330" s="146" t="s">
        <v>1144</v>
      </c>
      <c r="E330" s="149"/>
      <c r="F330" s="149"/>
      <c r="G330" s="692"/>
      <c r="H330" s="731"/>
      <c r="I330" s="174">
        <f>SUM(I331:I334)</f>
        <v>0</v>
      </c>
      <c r="J330" s="174">
        <f t="shared" ref="J330:M330" si="176">SUM(J331:J334)</f>
        <v>0</v>
      </c>
      <c r="K330" s="174">
        <f t="shared" si="176"/>
        <v>1</v>
      </c>
      <c r="L330" s="174">
        <f t="shared" si="176"/>
        <v>1</v>
      </c>
      <c r="M330" s="712">
        <f t="shared" si="176"/>
        <v>0</v>
      </c>
      <c r="N330" s="849">
        <f t="shared" ref="N330" si="177">SUM(I330:M330)</f>
        <v>2</v>
      </c>
      <c r="O330" s="404">
        <f t="shared" si="174"/>
        <v>0.13333333333333333</v>
      </c>
      <c r="P330" s="710"/>
    </row>
    <row r="331" spans="1:16" ht="18" customHeight="1" x14ac:dyDescent="0.25">
      <c r="A331" s="182"/>
      <c r="B331" s="547"/>
      <c r="C331" s="56"/>
      <c r="D331" s="294" t="s">
        <v>1831</v>
      </c>
      <c r="E331" s="743"/>
      <c r="F331" s="743"/>
      <c r="G331" s="744"/>
      <c r="H331" s="871"/>
      <c r="I331" s="1313"/>
      <c r="J331" s="683"/>
      <c r="K331" s="683"/>
      <c r="L331" s="683"/>
      <c r="M331" s="707"/>
      <c r="N331" s="837"/>
      <c r="O331" s="679"/>
      <c r="P331" s="679"/>
    </row>
    <row r="332" spans="1:16" ht="18" customHeight="1" x14ac:dyDescent="0.25">
      <c r="A332" s="182"/>
      <c r="B332" s="547"/>
      <c r="C332" s="56"/>
      <c r="D332" s="296" t="s">
        <v>1832</v>
      </c>
      <c r="E332" s="745"/>
      <c r="F332" s="745"/>
      <c r="G332" s="746"/>
      <c r="H332" s="871"/>
      <c r="I332" s="688"/>
      <c r="J332" s="688"/>
      <c r="K332" s="688">
        <v>1</v>
      </c>
      <c r="L332" s="688"/>
      <c r="M332" s="1314"/>
      <c r="N332" s="837"/>
      <c r="O332" s="679"/>
      <c r="P332" s="679"/>
    </row>
    <row r="333" spans="1:16" ht="18" customHeight="1" x14ac:dyDescent="0.25">
      <c r="A333" s="182"/>
      <c r="B333" s="547"/>
      <c r="C333" s="56"/>
      <c r="D333" s="294" t="s">
        <v>1833</v>
      </c>
      <c r="E333" s="743"/>
      <c r="F333" s="743"/>
      <c r="G333" s="744"/>
      <c r="H333" s="871"/>
      <c r="I333" s="683"/>
      <c r="J333" s="683"/>
      <c r="K333" s="683"/>
      <c r="L333" s="683">
        <v>1</v>
      </c>
      <c r="M333" s="707"/>
      <c r="N333" s="837"/>
      <c r="O333" s="679"/>
      <c r="P333" s="679"/>
    </row>
    <row r="334" spans="1:16" ht="18" customHeight="1" x14ac:dyDescent="0.25">
      <c r="A334" s="182"/>
      <c r="B334" s="547"/>
      <c r="C334" s="56"/>
      <c r="D334" s="296"/>
      <c r="E334" s="745"/>
      <c r="F334" s="745"/>
      <c r="G334" s="746"/>
      <c r="H334" s="871"/>
      <c r="I334" s="688"/>
      <c r="J334" s="688"/>
      <c r="K334" s="688"/>
      <c r="L334" s="688"/>
      <c r="M334" s="708"/>
      <c r="N334" s="837"/>
      <c r="O334" s="679"/>
      <c r="P334" s="679"/>
    </row>
    <row r="335" spans="1:16" ht="18" customHeight="1" x14ac:dyDescent="0.25">
      <c r="A335" s="182"/>
      <c r="B335" s="547"/>
      <c r="C335" s="325"/>
      <c r="D335" s="747"/>
      <c r="E335" s="748"/>
      <c r="F335" s="748"/>
      <c r="G335" s="749"/>
      <c r="H335" s="777"/>
      <c r="I335" s="224">
        <f t="shared" ref="I335:N335" si="178">SUM(I321:I330)</f>
        <v>3</v>
      </c>
      <c r="J335" s="224">
        <f t="shared" si="178"/>
        <v>3</v>
      </c>
      <c r="K335" s="224">
        <f t="shared" si="178"/>
        <v>3</v>
      </c>
      <c r="L335" s="224">
        <f t="shared" si="178"/>
        <v>3</v>
      </c>
      <c r="M335" s="795">
        <f>SUM(M321:M330)</f>
        <v>3</v>
      </c>
      <c r="N335" s="390">
        <f t="shared" si="178"/>
        <v>15</v>
      </c>
      <c r="O335" s="500">
        <f>IF(N$335=0,0,N335/N$335)</f>
        <v>1</v>
      </c>
      <c r="P335" s="680"/>
    </row>
    <row r="336" spans="1:16" s="757" customFormat="1" ht="18" customHeight="1" x14ac:dyDescent="0.25">
      <c r="A336" s="182"/>
      <c r="B336" s="547"/>
      <c r="C336" s="182"/>
      <c r="D336" s="813"/>
      <c r="E336" s="814"/>
      <c r="F336" s="814"/>
      <c r="G336" s="815"/>
      <c r="H336" s="777"/>
      <c r="I336" s="198" t="str">
        <f>IF(I$319=0,"",IF(I335&gt;3,"NOK",IF(AND(I$319=1,I335=0),"NOK",IF(AND(I$319=1,I335&lt;=3),"OK","NOK"))))</f>
        <v>OK</v>
      </c>
      <c r="J336" s="198" t="str">
        <f t="shared" ref="J336:M336" si="179">IF(J$319=0,"",IF(J335&gt;3,"NOK",IF(AND(J$319=1,J335=0),"NOK",IF(AND(J$319=1,J335&lt;=3),"OK","NOK"))))</f>
        <v>OK</v>
      </c>
      <c r="K336" s="198" t="str">
        <f t="shared" si="179"/>
        <v>OK</v>
      </c>
      <c r="L336" s="198" t="str">
        <f t="shared" si="179"/>
        <v>OK</v>
      </c>
      <c r="M336" s="715" t="str">
        <f t="shared" si="179"/>
        <v>OK</v>
      </c>
      <c r="N336" s="853"/>
      <c r="O336" s="689"/>
      <c r="P336" s="689"/>
    </row>
    <row r="337" spans="1:16" s="757" customFormat="1" ht="18" customHeight="1" x14ac:dyDescent="0.25">
      <c r="A337" s="182"/>
      <c r="B337" s="547"/>
      <c r="C337" s="816" t="s">
        <v>108</v>
      </c>
      <c r="D337" s="785" t="s">
        <v>1305</v>
      </c>
      <c r="E337" s="149"/>
      <c r="F337" s="149"/>
      <c r="G337" s="817"/>
      <c r="H337" s="775"/>
      <c r="I337" s="174"/>
      <c r="J337" s="174"/>
      <c r="K337" s="174"/>
      <c r="L337" s="174"/>
      <c r="M337" s="712"/>
      <c r="N337" s="854"/>
      <c r="O337" s="710"/>
      <c r="P337" s="710"/>
    </row>
    <row r="338" spans="1:16" s="757" customFormat="1" ht="18" customHeight="1" x14ac:dyDescent="0.25">
      <c r="A338" s="182"/>
      <c r="B338" s="547"/>
      <c r="C338" s="547"/>
      <c r="D338" s="56" t="s">
        <v>1306</v>
      </c>
      <c r="E338" s="149" t="s">
        <v>1307</v>
      </c>
      <c r="F338" s="149"/>
      <c r="G338" s="818"/>
      <c r="H338" s="775"/>
      <c r="I338" s="683"/>
      <c r="J338" s="683">
        <v>1</v>
      </c>
      <c r="K338" s="683"/>
      <c r="L338" s="683"/>
      <c r="M338" s="707"/>
      <c r="N338" s="840">
        <f>SUM(J338:M338)</f>
        <v>1</v>
      </c>
      <c r="O338" s="197">
        <f>IF(N$346=0,0,N338/N$346)</f>
        <v>0.2</v>
      </c>
      <c r="P338" s="689"/>
    </row>
    <row r="339" spans="1:16" s="757" customFormat="1" ht="18" customHeight="1" x14ac:dyDescent="0.25">
      <c r="A339" s="182"/>
      <c r="B339" s="547"/>
      <c r="C339" s="547"/>
      <c r="D339" s="547"/>
      <c r="E339" s="146" t="s">
        <v>1308</v>
      </c>
      <c r="F339" s="149"/>
      <c r="G339" s="818"/>
      <c r="H339" s="775"/>
      <c r="I339" s="174"/>
      <c r="J339" s="174"/>
      <c r="K339" s="174"/>
      <c r="L339" s="174"/>
      <c r="M339" s="712"/>
      <c r="N339" s="854"/>
      <c r="O339" s="710"/>
      <c r="P339" s="710"/>
    </row>
    <row r="340" spans="1:16" s="757" customFormat="1" ht="27.95" customHeight="1" x14ac:dyDescent="0.25">
      <c r="A340" s="182"/>
      <c r="B340" s="547"/>
      <c r="C340" s="547"/>
      <c r="D340" s="547"/>
      <c r="E340" s="56" t="s">
        <v>753</v>
      </c>
      <c r="F340" s="147" t="s">
        <v>1309</v>
      </c>
      <c r="G340" s="818"/>
      <c r="H340" s="775"/>
      <c r="I340" s="688"/>
      <c r="J340" s="688" t="s">
        <v>1411</v>
      </c>
      <c r="K340" s="688"/>
      <c r="L340" s="688"/>
      <c r="M340" s="708"/>
      <c r="N340" s="853"/>
      <c r="O340" s="689"/>
      <c r="P340" s="689"/>
    </row>
    <row r="341" spans="1:16" s="757" customFormat="1" ht="18" customHeight="1" x14ac:dyDescent="0.25">
      <c r="A341" s="182"/>
      <c r="B341" s="547"/>
      <c r="C341" s="182"/>
      <c r="D341" s="813"/>
      <c r="E341" s="814"/>
      <c r="F341" s="814"/>
      <c r="G341" s="815"/>
      <c r="H341" s="777"/>
      <c r="I341" s="198"/>
      <c r="J341" s="198"/>
      <c r="K341" s="198"/>
      <c r="L341" s="198"/>
      <c r="M341" s="715"/>
      <c r="N341" s="853"/>
      <c r="O341" s="689"/>
      <c r="P341" s="689"/>
    </row>
    <row r="342" spans="1:16" s="757" customFormat="1" ht="18" customHeight="1" x14ac:dyDescent="0.25">
      <c r="A342" s="182"/>
      <c r="B342" s="547"/>
      <c r="C342" s="547"/>
      <c r="D342" s="56" t="s">
        <v>1310</v>
      </c>
      <c r="E342" s="149" t="s">
        <v>1311</v>
      </c>
      <c r="F342" s="149"/>
      <c r="G342" s="818"/>
      <c r="H342" s="775"/>
      <c r="I342" s="683">
        <v>1</v>
      </c>
      <c r="J342" s="683"/>
      <c r="K342" s="683">
        <v>1</v>
      </c>
      <c r="L342" s="683">
        <v>1</v>
      </c>
      <c r="M342" s="707">
        <v>1</v>
      </c>
      <c r="N342" s="840">
        <f t="shared" ref="N342" si="180">SUM(I342:M342)</f>
        <v>4</v>
      </c>
      <c r="O342" s="197">
        <f>IF(N$346=0,0,N342/N$346)</f>
        <v>0.8</v>
      </c>
      <c r="P342" s="689"/>
    </row>
    <row r="343" spans="1:16" s="757" customFormat="1" ht="18" customHeight="1" x14ac:dyDescent="0.25">
      <c r="A343" s="182"/>
      <c r="B343" s="547"/>
      <c r="C343" s="547"/>
      <c r="D343" s="547"/>
      <c r="E343" s="146" t="s">
        <v>1312</v>
      </c>
      <c r="F343" s="149"/>
      <c r="G343" s="818"/>
      <c r="H343" s="775"/>
      <c r="I343" s="174"/>
      <c r="J343" s="174"/>
      <c r="K343" s="174"/>
      <c r="L343" s="174"/>
      <c r="M343" s="712"/>
      <c r="N343" s="854"/>
      <c r="O343" s="710"/>
      <c r="P343" s="710"/>
    </row>
    <row r="344" spans="1:16" s="757" customFormat="1" ht="18" customHeight="1" x14ac:dyDescent="0.25">
      <c r="A344" s="182"/>
      <c r="B344" s="547"/>
      <c r="C344" s="547"/>
      <c r="D344" s="427"/>
      <c r="E344" s="56" t="s">
        <v>753</v>
      </c>
      <c r="F344" s="147" t="s">
        <v>1313</v>
      </c>
      <c r="G344" s="818"/>
      <c r="H344" s="775"/>
      <c r="I344" s="688">
        <v>10000</v>
      </c>
      <c r="J344" s="688"/>
      <c r="K344" s="688">
        <v>8000</v>
      </c>
      <c r="L344" s="688">
        <v>8000</v>
      </c>
      <c r="M344" s="708">
        <v>10000</v>
      </c>
      <c r="N344" s="855">
        <f>COUNT(I344:M344)</f>
        <v>4</v>
      </c>
      <c r="O344" s="689"/>
      <c r="P344" s="164">
        <f>P349</f>
        <v>9000</v>
      </c>
    </row>
    <row r="345" spans="1:16" s="757" customFormat="1" ht="18" customHeight="1" x14ac:dyDescent="0.25">
      <c r="A345" s="182"/>
      <c r="B345" s="547"/>
      <c r="C345" s="547"/>
      <c r="D345" s="427"/>
      <c r="E345" s="56" t="s">
        <v>754</v>
      </c>
      <c r="F345" s="147" t="s">
        <v>1314</v>
      </c>
      <c r="G345" s="818"/>
      <c r="H345" s="775"/>
      <c r="I345" s="683"/>
      <c r="J345" s="683"/>
      <c r="K345" s="683"/>
      <c r="L345" s="683"/>
      <c r="M345" s="707"/>
      <c r="N345" s="855">
        <f>COUNT(I345:M345)</f>
        <v>0</v>
      </c>
      <c r="O345" s="689"/>
      <c r="P345" s="164">
        <f>P351</f>
        <v>0</v>
      </c>
    </row>
    <row r="346" spans="1:16" ht="18" customHeight="1" x14ac:dyDescent="0.25">
      <c r="A346" s="182"/>
      <c r="B346" s="547"/>
      <c r="C346" s="325"/>
      <c r="D346" s="747"/>
      <c r="E346" s="748"/>
      <c r="F346" s="748"/>
      <c r="G346" s="749"/>
      <c r="H346" s="777"/>
      <c r="I346" s="224">
        <f>I338+I342</f>
        <v>1</v>
      </c>
      <c r="J346" s="224">
        <f t="shared" ref="J346:M346" si="181">J338+J342</f>
        <v>1</v>
      </c>
      <c r="K346" s="224">
        <f t="shared" si="181"/>
        <v>1</v>
      </c>
      <c r="L346" s="224">
        <f t="shared" si="181"/>
        <v>1</v>
      </c>
      <c r="M346" s="224">
        <f t="shared" si="181"/>
        <v>1</v>
      </c>
      <c r="N346" s="390">
        <f>SUM(I346:M346)</f>
        <v>5</v>
      </c>
      <c r="O346" s="500">
        <f>IF(N$346=0,0,N346/N$346)</f>
        <v>1</v>
      </c>
      <c r="P346" s="680"/>
    </row>
    <row r="347" spans="1:16" s="757" customFormat="1" ht="18" customHeight="1" x14ac:dyDescent="0.25">
      <c r="A347" s="182"/>
      <c r="B347" s="547"/>
      <c r="C347" s="182"/>
      <c r="D347" s="814"/>
      <c r="E347" s="814"/>
      <c r="F347" s="814"/>
      <c r="G347" s="815"/>
      <c r="H347" s="775"/>
      <c r="I347" s="198" t="str">
        <f>IF(I$319=0,"",IF(AND(I$319=1,I346=1),"OK","NOK"))</f>
        <v>OK</v>
      </c>
      <c r="J347" s="198" t="str">
        <f t="shared" ref="J347:M347" si="182">IF(J$319=0,"",IF(AND(J$319=1,J346=1),"OK","NOK"))</f>
        <v>OK</v>
      </c>
      <c r="K347" s="198" t="str">
        <f t="shared" si="182"/>
        <v>OK</v>
      </c>
      <c r="L347" s="198" t="str">
        <f t="shared" si="182"/>
        <v>OK</v>
      </c>
      <c r="M347" s="715" t="str">
        <f t="shared" si="182"/>
        <v>OK</v>
      </c>
      <c r="N347" s="853"/>
      <c r="O347" s="689"/>
      <c r="P347" s="689"/>
    </row>
    <row r="348" spans="1:16" ht="18" customHeight="1" x14ac:dyDescent="0.25">
      <c r="A348" s="787"/>
      <c r="B348" s="689"/>
      <c r="C348" s="689"/>
      <c r="D348" s="696"/>
      <c r="E348" s="788"/>
      <c r="F348" s="696"/>
      <c r="G348" s="768"/>
      <c r="I348" s="161">
        <f>I344</f>
        <v>10000</v>
      </c>
      <c r="J348" s="161">
        <f t="shared" ref="J348:M348" si="183">J344</f>
        <v>0</v>
      </c>
      <c r="K348" s="161">
        <f t="shared" si="183"/>
        <v>8000</v>
      </c>
      <c r="L348" s="161">
        <f t="shared" si="183"/>
        <v>8000</v>
      </c>
      <c r="M348" s="697">
        <f t="shared" si="183"/>
        <v>10000</v>
      </c>
      <c r="N348" s="841">
        <f>SUM(I348:M348)</f>
        <v>36000</v>
      </c>
      <c r="O348" s="504"/>
      <c r="P348" s="718"/>
    </row>
    <row r="349" spans="1:16" ht="18" customHeight="1" x14ac:dyDescent="0.25">
      <c r="A349" s="787"/>
      <c r="B349" s="689"/>
      <c r="C349" s="689"/>
      <c r="D349" s="696"/>
      <c r="E349" s="788"/>
      <c r="F349" s="696"/>
      <c r="G349" s="768"/>
      <c r="I349" s="161">
        <f>IF(I348&gt;0,I348,"")</f>
        <v>10000</v>
      </c>
      <c r="J349" s="161" t="str">
        <f t="shared" ref="J349:M349" si="184">IF(J348&gt;0,J348,"")</f>
        <v/>
      </c>
      <c r="K349" s="161">
        <f t="shared" si="184"/>
        <v>8000</v>
      </c>
      <c r="L349" s="161">
        <f t="shared" si="184"/>
        <v>8000</v>
      </c>
      <c r="M349" s="697">
        <f t="shared" si="184"/>
        <v>10000</v>
      </c>
      <c r="N349" s="841">
        <f>SUM(I349:M349)</f>
        <v>36000</v>
      </c>
      <c r="O349" s="504"/>
      <c r="P349" s="161">
        <f>IF(N349=0,0,AVERAGE(I349:M349))</f>
        <v>9000</v>
      </c>
    </row>
    <row r="350" spans="1:16" ht="18" customHeight="1" x14ac:dyDescent="0.25">
      <c r="A350" s="787"/>
      <c r="B350" s="689"/>
      <c r="C350" s="689"/>
      <c r="D350" s="696"/>
      <c r="E350" s="788"/>
      <c r="F350" s="696"/>
      <c r="G350" s="768"/>
      <c r="I350" s="161">
        <f>I345</f>
        <v>0</v>
      </c>
      <c r="J350" s="161">
        <f t="shared" ref="J350:M350" si="185">J345</f>
        <v>0</v>
      </c>
      <c r="K350" s="161">
        <f t="shared" si="185"/>
        <v>0</v>
      </c>
      <c r="L350" s="161">
        <f t="shared" si="185"/>
        <v>0</v>
      </c>
      <c r="M350" s="697">
        <f t="shared" si="185"/>
        <v>0</v>
      </c>
      <c r="N350" s="841">
        <f>SUM(I350:M350)</f>
        <v>0</v>
      </c>
      <c r="O350" s="504"/>
      <c r="P350" s="718"/>
    </row>
    <row r="351" spans="1:16" ht="18" customHeight="1" x14ac:dyDescent="0.25">
      <c r="A351" s="787"/>
      <c r="B351" s="689"/>
      <c r="C351" s="689"/>
      <c r="D351" s="696"/>
      <c r="E351" s="788"/>
      <c r="F351" s="696"/>
      <c r="G351" s="768"/>
      <c r="I351" s="161" t="str">
        <f>IF(I350&gt;0,I350,"")</f>
        <v/>
      </c>
      <c r="J351" s="161" t="str">
        <f t="shared" ref="J351:M351" si="186">IF(J350&gt;0,J350,"")</f>
        <v/>
      </c>
      <c r="K351" s="161" t="str">
        <f t="shared" si="186"/>
        <v/>
      </c>
      <c r="L351" s="161" t="str">
        <f t="shared" si="186"/>
        <v/>
      </c>
      <c r="M351" s="697" t="str">
        <f t="shared" si="186"/>
        <v/>
      </c>
      <c r="N351" s="841">
        <f>SUM(I351:M351)</f>
        <v>0</v>
      </c>
      <c r="O351" s="504"/>
      <c r="P351" s="161">
        <f>IF(N351=0,0,AVERAGE(I351:M351))</f>
        <v>0</v>
      </c>
    </row>
    <row r="352" spans="1:16" s="757" customFormat="1" ht="18" customHeight="1" x14ac:dyDescent="0.25">
      <c r="A352" s="182"/>
      <c r="B352" s="48" t="s">
        <v>110</v>
      </c>
      <c r="C352" s="274" t="s">
        <v>1325</v>
      </c>
      <c r="D352" s="732"/>
      <c r="E352" s="820"/>
      <c r="F352" s="820"/>
      <c r="G352" s="821"/>
      <c r="H352" s="775"/>
      <c r="I352" s="88"/>
      <c r="J352" s="88"/>
      <c r="K352" s="88"/>
      <c r="L352" s="88"/>
      <c r="M352" s="734"/>
      <c r="N352" s="856"/>
      <c r="O352" s="682"/>
      <c r="P352" s="682"/>
    </row>
    <row r="353" spans="1:18" s="757" customFormat="1" ht="18" customHeight="1" x14ac:dyDescent="0.25">
      <c r="A353" s="182"/>
      <c r="B353" s="547"/>
      <c r="C353" s="56" t="s">
        <v>112</v>
      </c>
      <c r="D353" s="147" t="s">
        <v>1315</v>
      </c>
      <c r="E353" s="819"/>
      <c r="F353" s="819"/>
      <c r="G353" s="817"/>
      <c r="H353" s="775"/>
      <c r="I353" s="683">
        <v>1</v>
      </c>
      <c r="J353" s="683">
        <v>1</v>
      </c>
      <c r="K353" s="683">
        <v>1</v>
      </c>
      <c r="L353" s="683">
        <v>1</v>
      </c>
      <c r="M353" s="707">
        <v>1</v>
      </c>
      <c r="N353" s="840">
        <f t="shared" ref="N353:N357" si="187">SUM(I353:M353)</f>
        <v>5</v>
      </c>
      <c r="O353" s="197">
        <f>IF(N$362=0,0,N353/N$362)</f>
        <v>0.38461538461538464</v>
      </c>
      <c r="P353" s="689"/>
    </row>
    <row r="354" spans="1:18" s="757" customFormat="1" ht="18" customHeight="1" x14ac:dyDescent="0.25">
      <c r="A354" s="182"/>
      <c r="B354" s="547"/>
      <c r="C354" s="56" t="s">
        <v>114</v>
      </c>
      <c r="D354" s="147" t="s">
        <v>1316</v>
      </c>
      <c r="E354" s="819"/>
      <c r="F354" s="819"/>
      <c r="G354" s="817"/>
      <c r="H354" s="775"/>
      <c r="I354" s="688"/>
      <c r="J354" s="688"/>
      <c r="K354" s="688"/>
      <c r="L354" s="688">
        <v>1</v>
      </c>
      <c r="M354" s="708"/>
      <c r="N354" s="840">
        <f t="shared" si="187"/>
        <v>1</v>
      </c>
      <c r="O354" s="197">
        <f t="shared" ref="O354:O357" si="188">IF(N$362=0,0,N354/N$362)</f>
        <v>7.6923076923076927E-2</v>
      </c>
      <c r="P354" s="689"/>
    </row>
    <row r="355" spans="1:18" s="757" customFormat="1" ht="18" customHeight="1" x14ac:dyDescent="0.25">
      <c r="A355" s="182"/>
      <c r="B355" s="547"/>
      <c r="C355" s="56" t="s">
        <v>568</v>
      </c>
      <c r="D355" s="147" t="s">
        <v>1317</v>
      </c>
      <c r="E355" s="819"/>
      <c r="F355" s="819"/>
      <c r="G355" s="817"/>
      <c r="H355" s="775"/>
      <c r="I355" s="683">
        <v>1</v>
      </c>
      <c r="J355" s="683">
        <v>1</v>
      </c>
      <c r="K355" s="683">
        <v>1</v>
      </c>
      <c r="L355" s="683"/>
      <c r="M355" s="707">
        <v>1</v>
      </c>
      <c r="N355" s="840">
        <f t="shared" si="187"/>
        <v>4</v>
      </c>
      <c r="O355" s="197">
        <f t="shared" si="188"/>
        <v>0.30769230769230771</v>
      </c>
      <c r="P355" s="689"/>
    </row>
    <row r="356" spans="1:18" s="757" customFormat="1" ht="18" customHeight="1" x14ac:dyDescent="0.25">
      <c r="A356" s="182"/>
      <c r="B356" s="547"/>
      <c r="C356" s="56" t="s">
        <v>1318</v>
      </c>
      <c r="D356" s="147" t="s">
        <v>1319</v>
      </c>
      <c r="E356" s="819"/>
      <c r="F356" s="819"/>
      <c r="G356" s="817"/>
      <c r="H356" s="775"/>
      <c r="I356" s="688">
        <v>1</v>
      </c>
      <c r="J356" s="688"/>
      <c r="K356" s="688"/>
      <c r="L356" s="688"/>
      <c r="M356" s="708"/>
      <c r="N356" s="840">
        <f t="shared" si="187"/>
        <v>1</v>
      </c>
      <c r="O356" s="197">
        <f t="shared" si="188"/>
        <v>7.6923076923076927E-2</v>
      </c>
      <c r="P356" s="689"/>
    </row>
    <row r="357" spans="1:18" s="757" customFormat="1" ht="18" customHeight="1" x14ac:dyDescent="0.25">
      <c r="A357" s="182"/>
      <c r="B357" s="547"/>
      <c r="C357" s="56" t="s">
        <v>1320</v>
      </c>
      <c r="D357" s="57" t="s">
        <v>1144</v>
      </c>
      <c r="E357" s="819"/>
      <c r="F357" s="819"/>
      <c r="G357" s="817"/>
      <c r="H357" s="775"/>
      <c r="I357" s="174">
        <f>SUM(I358:I361)</f>
        <v>0</v>
      </c>
      <c r="J357" s="174">
        <f t="shared" ref="J357:M357" si="189">SUM(J358:J361)</f>
        <v>0</v>
      </c>
      <c r="K357" s="174">
        <f t="shared" si="189"/>
        <v>1</v>
      </c>
      <c r="L357" s="174">
        <f t="shared" si="189"/>
        <v>0</v>
      </c>
      <c r="M357" s="712">
        <f t="shared" si="189"/>
        <v>1</v>
      </c>
      <c r="N357" s="849">
        <f t="shared" si="187"/>
        <v>2</v>
      </c>
      <c r="O357" s="404">
        <f t="shared" si="188"/>
        <v>0.15384615384615385</v>
      </c>
      <c r="P357" s="710"/>
    </row>
    <row r="358" spans="1:18" s="757" customFormat="1" ht="18" customHeight="1" x14ac:dyDescent="0.25">
      <c r="A358" s="182"/>
      <c r="B358" s="547"/>
      <c r="C358" s="56" t="s">
        <v>1321</v>
      </c>
      <c r="D358" s="707"/>
      <c r="E358" s="295"/>
      <c r="F358" s="295"/>
      <c r="G358" s="735"/>
      <c r="H358" s="775"/>
      <c r="I358" s="683"/>
      <c r="J358" s="683"/>
      <c r="K358" s="683">
        <v>1</v>
      </c>
      <c r="L358" s="683"/>
      <c r="M358" s="707">
        <v>1</v>
      </c>
      <c r="N358" s="853"/>
      <c r="O358" s="689"/>
      <c r="P358" s="689"/>
    </row>
    <row r="359" spans="1:18" s="757" customFormat="1" ht="18" customHeight="1" x14ac:dyDescent="0.25">
      <c r="A359" s="182"/>
      <c r="B359" s="547"/>
      <c r="C359" s="56" t="s">
        <v>1322</v>
      </c>
      <c r="D359" s="708"/>
      <c r="E359" s="297"/>
      <c r="F359" s="297"/>
      <c r="G359" s="736"/>
      <c r="H359" s="775"/>
      <c r="I359" s="688"/>
      <c r="J359" s="688"/>
      <c r="K359" s="688"/>
      <c r="L359" s="688"/>
      <c r="M359" s="708"/>
      <c r="N359" s="853"/>
      <c r="O359" s="689"/>
      <c r="P359" s="689"/>
    </row>
    <row r="360" spans="1:18" s="757" customFormat="1" ht="18" customHeight="1" x14ac:dyDescent="0.25">
      <c r="A360" s="182"/>
      <c r="B360" s="547"/>
      <c r="C360" s="56" t="s">
        <v>1323</v>
      </c>
      <c r="D360" s="707"/>
      <c r="E360" s="295"/>
      <c r="F360" s="295"/>
      <c r="G360" s="735"/>
      <c r="H360" s="775"/>
      <c r="I360" s="683"/>
      <c r="J360" s="683"/>
      <c r="K360" s="683"/>
      <c r="L360" s="683"/>
      <c r="M360" s="707"/>
      <c r="N360" s="853"/>
      <c r="O360" s="689"/>
      <c r="P360" s="689"/>
    </row>
    <row r="361" spans="1:18" s="757" customFormat="1" ht="18" customHeight="1" x14ac:dyDescent="0.25">
      <c r="A361" s="182"/>
      <c r="B361" s="547"/>
      <c r="C361" s="56" t="s">
        <v>1324</v>
      </c>
      <c r="D361" s="708"/>
      <c r="E361" s="297"/>
      <c r="F361" s="297"/>
      <c r="G361" s="736"/>
      <c r="H361" s="775"/>
      <c r="I361" s="688"/>
      <c r="J361" s="688"/>
      <c r="K361" s="688"/>
      <c r="L361" s="688"/>
      <c r="M361" s="708"/>
      <c r="N361" s="853"/>
      <c r="O361" s="689"/>
      <c r="P361" s="689"/>
    </row>
    <row r="362" spans="1:18" ht="18" customHeight="1" x14ac:dyDescent="0.25">
      <c r="A362" s="182"/>
      <c r="B362" s="547"/>
      <c r="C362" s="325"/>
      <c r="D362" s="747"/>
      <c r="E362" s="748"/>
      <c r="F362" s="748"/>
      <c r="G362" s="749"/>
      <c r="H362" s="777"/>
      <c r="I362" s="224">
        <f>SUM(I353:I357)</f>
        <v>3</v>
      </c>
      <c r="J362" s="224">
        <f t="shared" ref="J362:N362" si="190">SUM(J353:J357)</f>
        <v>2</v>
      </c>
      <c r="K362" s="224">
        <f t="shared" si="190"/>
        <v>3</v>
      </c>
      <c r="L362" s="224">
        <f t="shared" si="190"/>
        <v>2</v>
      </c>
      <c r="M362" s="795">
        <f t="shared" si="190"/>
        <v>3</v>
      </c>
      <c r="N362" s="390">
        <f t="shared" si="190"/>
        <v>13</v>
      </c>
      <c r="O362" s="500">
        <f t="shared" ref="O362" si="191">IF(N$362=0,0,N362/N$362)</f>
        <v>1</v>
      </c>
      <c r="P362" s="680"/>
    </row>
    <row r="363" spans="1:18" s="757" customFormat="1" ht="18" customHeight="1" x14ac:dyDescent="0.25">
      <c r="A363" s="182"/>
      <c r="B363" s="547"/>
      <c r="C363" s="182"/>
      <c r="D363" s="813"/>
      <c r="E363" s="814"/>
      <c r="F363" s="814"/>
      <c r="G363" s="815"/>
      <c r="H363" s="777"/>
      <c r="I363" s="198" t="str">
        <f>IF(I$319=0,"",IF(I362&gt;3,"NOK",IF(AND(I$319=1,I362=0),"NOK",IF(AND(I$319=1,I362&lt;=3),"OK","NOK"))))</f>
        <v>OK</v>
      </c>
      <c r="J363" s="198" t="str">
        <f t="shared" ref="J363" si="192">IF(J$319=0,"",IF(J362&gt;3,"NOK",IF(AND(J$319=1,J362=0),"NOK",IF(AND(J$319=1,J362&lt;=3),"OK","NOK"))))</f>
        <v>OK</v>
      </c>
      <c r="K363" s="198" t="str">
        <f t="shared" ref="K363" si="193">IF(K$319=0,"",IF(K362&gt;3,"NOK",IF(AND(K$319=1,K362=0),"NOK",IF(AND(K$319=1,K362&lt;=3),"OK","NOK"))))</f>
        <v>OK</v>
      </c>
      <c r="L363" s="198" t="str">
        <f t="shared" ref="L363" si="194">IF(L$319=0,"",IF(L362&gt;3,"NOK",IF(AND(L$319=1,L362=0),"NOK",IF(AND(L$319=1,L362&lt;=3),"OK","NOK"))))</f>
        <v>OK</v>
      </c>
      <c r="M363" s="715" t="str">
        <f t="shared" ref="M363" si="195">IF(M$319=0,"",IF(M362&gt;3,"NOK",IF(AND(M$319=1,M362=0),"NOK",IF(AND(M$319=1,M362&lt;=3),"OK","NOK"))))</f>
        <v>OK</v>
      </c>
      <c r="N363" s="853"/>
      <c r="O363" s="689"/>
      <c r="P363" s="689"/>
    </row>
    <row r="364" spans="1:18" ht="18" customHeight="1" x14ac:dyDescent="0.25">
      <c r="A364" s="182"/>
      <c r="B364" s="48" t="s">
        <v>116</v>
      </c>
      <c r="C364" s="274" t="s">
        <v>12</v>
      </c>
      <c r="D364" s="732"/>
      <c r="E364" s="732"/>
      <c r="F364" s="732"/>
      <c r="G364" s="733"/>
      <c r="H364" s="772"/>
      <c r="I364" s="88"/>
      <c r="J364" s="88"/>
      <c r="K364" s="691"/>
      <c r="L364" s="691"/>
      <c r="M364" s="693"/>
      <c r="N364" s="857"/>
      <c r="O364" s="48"/>
      <c r="P364" s="48"/>
    </row>
    <row r="365" spans="1:18" ht="18" customHeight="1" x14ac:dyDescent="0.25">
      <c r="A365" s="182"/>
      <c r="B365" s="547"/>
      <c r="C365" s="1303" t="s">
        <v>117</v>
      </c>
      <c r="D365" s="740" t="s">
        <v>1150</v>
      </c>
      <c r="E365" s="150"/>
      <c r="F365" s="150"/>
      <c r="G365" s="741"/>
      <c r="H365" s="776"/>
      <c r="I365" s="174"/>
      <c r="J365" s="174"/>
      <c r="K365" s="174"/>
      <c r="L365" s="174"/>
      <c r="M365" s="712"/>
      <c r="N365" s="858"/>
      <c r="O365" s="1303"/>
      <c r="P365" s="1303"/>
    </row>
    <row r="366" spans="1:18" ht="18" customHeight="1" x14ac:dyDescent="0.25">
      <c r="A366" s="182"/>
      <c r="B366" s="182"/>
      <c r="C366" s="182"/>
      <c r="D366" s="700" t="s">
        <v>1145</v>
      </c>
      <c r="E366" s="720"/>
      <c r="F366" s="720"/>
      <c r="G366" s="721"/>
      <c r="H366" s="774"/>
      <c r="I366" s="161"/>
      <c r="J366" s="161"/>
      <c r="K366" s="161"/>
      <c r="L366" s="161"/>
      <c r="M366" s="697"/>
      <c r="N366" s="859"/>
      <c r="O366" s="718"/>
      <c r="P366" s="718"/>
    </row>
    <row r="367" spans="1:18" ht="18" customHeight="1" x14ac:dyDescent="0.25">
      <c r="A367" s="182"/>
      <c r="B367" s="182"/>
      <c r="C367" s="750"/>
      <c r="D367" s="700" t="s">
        <v>129</v>
      </c>
      <c r="E367" s="720"/>
      <c r="F367" s="720"/>
      <c r="G367" s="721"/>
      <c r="H367" s="774"/>
      <c r="I367" s="698">
        <f t="shared" ref="I367:M368" si="196">IF(I321=1,0,0)</f>
        <v>0</v>
      </c>
      <c r="J367" s="698">
        <f t="shared" si="196"/>
        <v>0</v>
      </c>
      <c r="K367" s="698">
        <f t="shared" si="196"/>
        <v>0</v>
      </c>
      <c r="L367" s="698">
        <f t="shared" si="196"/>
        <v>0</v>
      </c>
      <c r="M367" s="698">
        <f t="shared" si="196"/>
        <v>0</v>
      </c>
      <c r="N367" s="859"/>
      <c r="O367" s="718"/>
      <c r="P367" s="718"/>
      <c r="R367" s="655">
        <v>0</v>
      </c>
    </row>
    <row r="368" spans="1:18" ht="18" customHeight="1" x14ac:dyDescent="0.25">
      <c r="A368" s="182"/>
      <c r="B368" s="182"/>
      <c r="C368" s="750"/>
      <c r="D368" s="700" t="s">
        <v>1147</v>
      </c>
      <c r="E368" s="720"/>
      <c r="F368" s="720"/>
      <c r="G368" s="721"/>
      <c r="H368" s="774"/>
      <c r="I368" s="698">
        <f t="shared" si="196"/>
        <v>0</v>
      </c>
      <c r="J368" s="698">
        <f t="shared" si="196"/>
        <v>0</v>
      </c>
      <c r="K368" s="698">
        <f t="shared" si="196"/>
        <v>0</v>
      </c>
      <c r="L368" s="698">
        <f t="shared" si="196"/>
        <v>0</v>
      </c>
      <c r="M368" s="698">
        <f t="shared" si="196"/>
        <v>0</v>
      </c>
      <c r="N368" s="859"/>
      <c r="O368" s="718"/>
      <c r="P368" s="718"/>
      <c r="R368" s="655">
        <v>0</v>
      </c>
    </row>
    <row r="369" spans="1:18" ht="18" customHeight="1" x14ac:dyDescent="0.25">
      <c r="A369" s="182"/>
      <c r="B369" s="182"/>
      <c r="C369" s="751"/>
      <c r="D369" s="700" t="s">
        <v>1300</v>
      </c>
      <c r="E369" s="720"/>
      <c r="F369" s="720"/>
      <c r="G369" s="721"/>
      <c r="H369" s="774"/>
      <c r="I369" s="698">
        <f>IF(I323=1,1,0)</f>
        <v>1</v>
      </c>
      <c r="J369" s="698">
        <f t="shared" ref="J369:M369" si="197">IF(J323=1,1,0)</f>
        <v>1</v>
      </c>
      <c r="K369" s="698">
        <f t="shared" si="197"/>
        <v>0</v>
      </c>
      <c r="L369" s="698">
        <f t="shared" si="197"/>
        <v>0</v>
      </c>
      <c r="M369" s="698">
        <f t="shared" si="197"/>
        <v>1</v>
      </c>
      <c r="N369" s="859"/>
      <c r="O369" s="718"/>
      <c r="P369" s="718"/>
      <c r="R369" s="655">
        <v>1</v>
      </c>
    </row>
    <row r="370" spans="1:18" ht="18" customHeight="1" x14ac:dyDescent="0.25">
      <c r="A370" s="182"/>
      <c r="B370" s="182"/>
      <c r="C370" s="752"/>
      <c r="D370" s="700" t="s">
        <v>1301</v>
      </c>
      <c r="E370" s="720"/>
      <c r="F370" s="720"/>
      <c r="G370" s="721"/>
      <c r="H370" s="774"/>
      <c r="I370" s="698">
        <f>IF(I324=1,1.5,0)</f>
        <v>0</v>
      </c>
      <c r="J370" s="698">
        <f t="shared" ref="J370:M370" si="198">IF(J324=1,1.5,0)</f>
        <v>0</v>
      </c>
      <c r="K370" s="698">
        <f t="shared" si="198"/>
        <v>0</v>
      </c>
      <c r="L370" s="698">
        <f t="shared" si="198"/>
        <v>0</v>
      </c>
      <c r="M370" s="698">
        <f t="shared" si="198"/>
        <v>0</v>
      </c>
      <c r="N370" s="859"/>
      <c r="O370" s="718"/>
      <c r="P370" s="718"/>
      <c r="R370" s="655">
        <v>1.5</v>
      </c>
    </row>
    <row r="371" spans="1:18" ht="18" customHeight="1" x14ac:dyDescent="0.25">
      <c r="A371" s="182"/>
      <c r="B371" s="182"/>
      <c r="C371" s="752"/>
      <c r="D371" s="700" t="s">
        <v>1302</v>
      </c>
      <c r="E371" s="720"/>
      <c r="F371" s="720"/>
      <c r="G371" s="721"/>
      <c r="H371" s="774"/>
      <c r="I371" s="698">
        <f>IF(I325=1,2,0)</f>
        <v>2</v>
      </c>
      <c r="J371" s="698">
        <f t="shared" ref="J371:M371" si="199">IF(J325=1,2,0)</f>
        <v>0</v>
      </c>
      <c r="K371" s="698">
        <f t="shared" si="199"/>
        <v>2</v>
      </c>
      <c r="L371" s="698">
        <f t="shared" si="199"/>
        <v>2</v>
      </c>
      <c r="M371" s="698">
        <f t="shared" si="199"/>
        <v>2</v>
      </c>
      <c r="N371" s="859"/>
      <c r="O371" s="718"/>
      <c r="P371" s="718"/>
      <c r="R371" s="655">
        <v>2</v>
      </c>
    </row>
    <row r="372" spans="1:18" ht="18" customHeight="1" x14ac:dyDescent="0.25">
      <c r="A372" s="182"/>
      <c r="B372" s="182"/>
      <c r="C372" s="751"/>
      <c r="D372" s="700" t="s">
        <v>1148</v>
      </c>
      <c r="E372" s="720"/>
      <c r="F372" s="720"/>
      <c r="G372" s="721"/>
      <c r="H372" s="774"/>
      <c r="I372" s="698">
        <f>IF(I326=1,0.5,0)</f>
        <v>0</v>
      </c>
      <c r="J372" s="698">
        <f t="shared" ref="J372:M373" si="200">IF(J326=1,0.5,0)</f>
        <v>0</v>
      </c>
      <c r="K372" s="698">
        <f t="shared" si="200"/>
        <v>0</v>
      </c>
      <c r="L372" s="698">
        <f t="shared" si="200"/>
        <v>0</v>
      </c>
      <c r="M372" s="698">
        <f t="shared" si="200"/>
        <v>0</v>
      </c>
      <c r="N372" s="859"/>
      <c r="O372" s="718"/>
      <c r="P372" s="718"/>
      <c r="R372" s="655">
        <v>0.5</v>
      </c>
    </row>
    <row r="373" spans="1:18" ht="18" customHeight="1" x14ac:dyDescent="0.25">
      <c r="A373" s="182"/>
      <c r="B373" s="182"/>
      <c r="C373" s="751"/>
      <c r="D373" s="700" t="s">
        <v>1303</v>
      </c>
      <c r="E373" s="720"/>
      <c r="F373" s="720"/>
      <c r="G373" s="721"/>
      <c r="H373" s="774"/>
      <c r="I373" s="698">
        <f>IF(I327=1,0.5,0)</f>
        <v>0</v>
      </c>
      <c r="J373" s="698">
        <f t="shared" si="200"/>
        <v>0</v>
      </c>
      <c r="K373" s="698">
        <f t="shared" si="200"/>
        <v>0</v>
      </c>
      <c r="L373" s="698">
        <f t="shared" si="200"/>
        <v>0</v>
      </c>
      <c r="M373" s="698">
        <f t="shared" si="200"/>
        <v>0</v>
      </c>
      <c r="N373" s="859"/>
      <c r="O373" s="718"/>
      <c r="P373" s="718"/>
      <c r="R373" s="655">
        <v>0.5</v>
      </c>
    </row>
    <row r="374" spans="1:18" ht="18" customHeight="1" x14ac:dyDescent="0.25">
      <c r="A374" s="182"/>
      <c r="B374" s="182"/>
      <c r="C374" s="752"/>
      <c r="D374" s="700" t="s">
        <v>1304</v>
      </c>
      <c r="E374" s="720"/>
      <c r="F374" s="720"/>
      <c r="G374" s="721"/>
      <c r="H374" s="774"/>
      <c r="I374" s="698">
        <f>IF(I328=1,1,0)</f>
        <v>1</v>
      </c>
      <c r="J374" s="698">
        <f t="shared" ref="J374:M374" si="201">IF(J328=1,1,0)</f>
        <v>1</v>
      </c>
      <c r="K374" s="698">
        <f t="shared" si="201"/>
        <v>1</v>
      </c>
      <c r="L374" s="698">
        <f t="shared" si="201"/>
        <v>1</v>
      </c>
      <c r="M374" s="698">
        <f t="shared" si="201"/>
        <v>1</v>
      </c>
      <c r="N374" s="859"/>
      <c r="O374" s="718"/>
      <c r="P374" s="718"/>
      <c r="R374" s="655">
        <v>1</v>
      </c>
    </row>
    <row r="375" spans="1:18" ht="18" customHeight="1" x14ac:dyDescent="0.25">
      <c r="A375" s="182"/>
      <c r="B375" s="182"/>
      <c r="C375" s="751"/>
      <c r="D375" s="700" t="s">
        <v>1149</v>
      </c>
      <c r="E375" s="720"/>
      <c r="F375" s="720"/>
      <c r="G375" s="721"/>
      <c r="H375" s="774"/>
      <c r="I375" s="698">
        <f>IF(I329=1,0.5,0)</f>
        <v>0</v>
      </c>
      <c r="J375" s="698">
        <f t="shared" ref="J375:M375" si="202">IF(J329=1,0.5,0)</f>
        <v>0.5</v>
      </c>
      <c r="K375" s="698">
        <f t="shared" si="202"/>
        <v>0</v>
      </c>
      <c r="L375" s="698">
        <f t="shared" si="202"/>
        <v>0</v>
      </c>
      <c r="M375" s="698">
        <f t="shared" si="202"/>
        <v>0</v>
      </c>
      <c r="N375" s="859"/>
      <c r="O375" s="718"/>
      <c r="P375" s="718"/>
      <c r="R375" s="655">
        <v>0.5</v>
      </c>
    </row>
    <row r="376" spans="1:18" ht="18" customHeight="1" x14ac:dyDescent="0.25">
      <c r="A376" s="182"/>
      <c r="B376" s="182"/>
      <c r="C376" s="752"/>
      <c r="D376" s="700" t="s">
        <v>1151</v>
      </c>
      <c r="E376" s="720"/>
      <c r="F376" s="720"/>
      <c r="G376" s="721"/>
      <c r="H376" s="774"/>
      <c r="I376" s="698">
        <f>IF(I330=1,1,0)</f>
        <v>0</v>
      </c>
      <c r="J376" s="698">
        <f t="shared" ref="J376:M376" si="203">IF(J330=1,1,0)</f>
        <v>0</v>
      </c>
      <c r="K376" s="698">
        <f t="shared" si="203"/>
        <v>1</v>
      </c>
      <c r="L376" s="698">
        <f t="shared" si="203"/>
        <v>1</v>
      </c>
      <c r="M376" s="698">
        <f t="shared" si="203"/>
        <v>0</v>
      </c>
      <c r="N376" s="859"/>
      <c r="O376" s="718"/>
      <c r="P376" s="718"/>
      <c r="R376" s="655">
        <v>1</v>
      </c>
    </row>
    <row r="377" spans="1:18" ht="18" customHeight="1" x14ac:dyDescent="0.25">
      <c r="A377" s="182"/>
      <c r="B377" s="182"/>
      <c r="C377" s="182"/>
      <c r="D377" s="700" t="s">
        <v>1152</v>
      </c>
      <c r="E377" s="720"/>
      <c r="F377" s="720"/>
      <c r="G377" s="721"/>
      <c r="H377" s="774"/>
      <c r="I377" s="698"/>
      <c r="J377" s="698"/>
      <c r="K377" s="698"/>
      <c r="L377" s="698"/>
      <c r="M377" s="698"/>
      <c r="N377" s="859"/>
      <c r="O377" s="718"/>
      <c r="P377" s="718"/>
      <c r="Q377" s="1304" t="s">
        <v>1818</v>
      </c>
      <c r="R377" s="964">
        <v>4.5</v>
      </c>
    </row>
    <row r="378" spans="1:18" ht="18" customHeight="1" x14ac:dyDescent="0.25">
      <c r="A378" s="182"/>
      <c r="B378" s="182"/>
      <c r="C378" s="752"/>
      <c r="D378" s="700" t="s">
        <v>1153</v>
      </c>
      <c r="E378" s="720"/>
      <c r="F378" s="720"/>
      <c r="G378" s="721"/>
      <c r="H378" s="774"/>
      <c r="I378" s="698">
        <f>IF(I394=1,2,0)</f>
        <v>0</v>
      </c>
      <c r="J378" s="698">
        <f t="shared" ref="J378:M378" si="204">IF(J394=1,2,0)</f>
        <v>0</v>
      </c>
      <c r="K378" s="698">
        <f t="shared" si="204"/>
        <v>0</v>
      </c>
      <c r="L378" s="698">
        <f t="shared" si="204"/>
        <v>0</v>
      </c>
      <c r="M378" s="698">
        <f t="shared" si="204"/>
        <v>0</v>
      </c>
      <c r="N378" s="859"/>
      <c r="O378" s="718"/>
      <c r="P378" s="718"/>
      <c r="Q378" s="1304" t="s">
        <v>1818</v>
      </c>
      <c r="R378" s="964">
        <v>2</v>
      </c>
    </row>
    <row r="379" spans="1:18" ht="18" customHeight="1" x14ac:dyDescent="0.25">
      <c r="A379" s="182"/>
      <c r="B379" s="182"/>
      <c r="C379" s="751"/>
      <c r="D379" s="700" t="s">
        <v>1154</v>
      </c>
      <c r="E379" s="720"/>
      <c r="F379" s="720"/>
      <c r="G379" s="721"/>
      <c r="H379" s="774"/>
      <c r="I379" s="698">
        <f>IF(I395=1,1,0)</f>
        <v>0</v>
      </c>
      <c r="J379" s="698">
        <f t="shared" ref="J379:M379" si="205">IF(J395=1,1,0)</f>
        <v>0</v>
      </c>
      <c r="K379" s="698">
        <f t="shared" si="205"/>
        <v>0</v>
      </c>
      <c r="L379" s="698">
        <f t="shared" si="205"/>
        <v>0</v>
      </c>
      <c r="M379" s="698">
        <f t="shared" si="205"/>
        <v>0</v>
      </c>
      <c r="N379" s="859"/>
      <c r="O379" s="718"/>
      <c r="P379" s="718"/>
      <c r="R379" s="655">
        <v>1</v>
      </c>
    </row>
    <row r="380" spans="1:18" ht="18" customHeight="1" x14ac:dyDescent="0.25">
      <c r="A380" s="182"/>
      <c r="B380" s="182"/>
      <c r="C380" s="750"/>
      <c r="D380" s="700" t="s">
        <v>1155</v>
      </c>
      <c r="E380" s="720"/>
      <c r="F380" s="720"/>
      <c r="G380" s="721"/>
      <c r="H380" s="774"/>
      <c r="I380" s="698">
        <f>IF(I396=1,0.5,0)</f>
        <v>0</v>
      </c>
      <c r="J380" s="698">
        <f t="shared" ref="J380:M380" si="206">IF(J396=1,0.5,0)</f>
        <v>0</v>
      </c>
      <c r="K380" s="698">
        <f t="shared" si="206"/>
        <v>0</v>
      </c>
      <c r="L380" s="698">
        <f t="shared" si="206"/>
        <v>0.5</v>
      </c>
      <c r="M380" s="698">
        <f t="shared" si="206"/>
        <v>0</v>
      </c>
      <c r="N380" s="859"/>
      <c r="O380" s="718"/>
      <c r="P380" s="718"/>
      <c r="R380" s="655">
        <v>0.5</v>
      </c>
    </row>
    <row r="381" spans="1:18" ht="18" customHeight="1" x14ac:dyDescent="0.25">
      <c r="A381" s="182"/>
      <c r="B381" s="182"/>
      <c r="C381" s="750"/>
      <c r="D381" s="700" t="s">
        <v>1156</v>
      </c>
      <c r="E381" s="720"/>
      <c r="F381" s="720"/>
      <c r="G381" s="721"/>
      <c r="H381" s="774"/>
      <c r="I381" s="698">
        <f>IF(I397=1,0,0)</f>
        <v>0</v>
      </c>
      <c r="J381" s="698">
        <f t="shared" ref="J381:M381" si="207">IF(J397=1,0,0)</f>
        <v>0</v>
      </c>
      <c r="K381" s="698">
        <f t="shared" si="207"/>
        <v>0</v>
      </c>
      <c r="L381" s="698">
        <f t="shared" si="207"/>
        <v>0</v>
      </c>
      <c r="M381" s="698">
        <f t="shared" si="207"/>
        <v>0</v>
      </c>
      <c r="N381" s="859"/>
      <c r="O381" s="718"/>
      <c r="P381" s="718"/>
      <c r="R381" s="655">
        <v>0</v>
      </c>
    </row>
    <row r="382" spans="1:18" ht="18" customHeight="1" x14ac:dyDescent="0.25">
      <c r="A382" s="182"/>
      <c r="B382" s="182"/>
      <c r="C382" s="182"/>
      <c r="D382" s="700" t="s">
        <v>1109</v>
      </c>
      <c r="E382" s="676"/>
      <c r="F382" s="676"/>
      <c r="G382" s="753"/>
      <c r="H382" s="772"/>
      <c r="I382" s="698">
        <f>SUM(I367:I381)</f>
        <v>4</v>
      </c>
      <c r="J382" s="698">
        <f t="shared" ref="J382:M382" si="208">SUM(J367:J381)</f>
        <v>2.5</v>
      </c>
      <c r="K382" s="698">
        <f t="shared" si="208"/>
        <v>4</v>
      </c>
      <c r="L382" s="698">
        <f t="shared" si="208"/>
        <v>4.5</v>
      </c>
      <c r="M382" s="698">
        <f t="shared" si="208"/>
        <v>4</v>
      </c>
      <c r="N382" s="859"/>
      <c r="O382" s="678"/>
      <c r="P382" s="678"/>
    </row>
    <row r="383" spans="1:18" ht="18" customHeight="1" x14ac:dyDescent="0.25">
      <c r="A383" s="182"/>
      <c r="B383" s="182"/>
      <c r="C383" s="182"/>
      <c r="D383" s="700" t="s">
        <v>1141</v>
      </c>
      <c r="E383" s="676"/>
      <c r="F383" s="676"/>
      <c r="G383" s="753"/>
      <c r="H383" s="772"/>
      <c r="I383" s="698">
        <f>$R$383</f>
        <v>6.5</v>
      </c>
      <c r="J383" s="698">
        <f t="shared" ref="J383:M383" si="209">$R$383</f>
        <v>6.5</v>
      </c>
      <c r="K383" s="698">
        <f t="shared" si="209"/>
        <v>6.5</v>
      </c>
      <c r="L383" s="698">
        <f t="shared" si="209"/>
        <v>6.5</v>
      </c>
      <c r="M383" s="698">
        <f t="shared" si="209"/>
        <v>6.5</v>
      </c>
      <c r="N383" s="859"/>
      <c r="O383" s="678"/>
      <c r="P383" s="678"/>
      <c r="R383" s="1305">
        <f>R378+R377</f>
        <v>6.5</v>
      </c>
    </row>
    <row r="384" spans="1:18" ht="18" customHeight="1" x14ac:dyDescent="0.25">
      <c r="A384" s="182"/>
      <c r="B384" s="182"/>
      <c r="C384" s="182"/>
      <c r="D384" s="146" t="s">
        <v>1157</v>
      </c>
      <c r="E384" s="149"/>
      <c r="F384" s="149"/>
      <c r="G384" s="1302"/>
      <c r="H384" s="772"/>
      <c r="I384" s="197">
        <f>IF(I$66=0,"",I385)</f>
        <v>0.61538461538461542</v>
      </c>
      <c r="J384" s="197">
        <f>IF(J$66=0,"",J385)</f>
        <v>0.38461538461538464</v>
      </c>
      <c r="K384" s="197">
        <f>IF(K$66=0,"",K385)</f>
        <v>0.61538461538461542</v>
      </c>
      <c r="L384" s="197">
        <f>IF(L$66=0,"",L385)</f>
        <v>0.69230769230769229</v>
      </c>
      <c r="M384" s="191">
        <f>IF(M$66=0,"",M385)</f>
        <v>0.61538461538461542</v>
      </c>
      <c r="N384" s="842">
        <f>SUM(I384:M384)</f>
        <v>2.9230769230769229</v>
      </c>
      <c r="O384" s="192"/>
      <c r="P384" s="193">
        <f>IF(N384=0,0,AVERAGE(I384:M384))</f>
        <v>0.58461538461538454</v>
      </c>
    </row>
    <row r="385" spans="1:16" ht="18" customHeight="1" x14ac:dyDescent="0.25">
      <c r="A385" s="182"/>
      <c r="B385" s="182"/>
      <c r="C385" s="182"/>
      <c r="D385" s="700" t="s">
        <v>1157</v>
      </c>
      <c r="E385" s="676"/>
      <c r="F385" s="676"/>
      <c r="G385" s="753"/>
      <c r="H385" s="772"/>
      <c r="I385" s="504">
        <f>I382/I383</f>
        <v>0.61538461538461542</v>
      </c>
      <c r="J385" s="504">
        <f>J382/J383</f>
        <v>0.38461538461538464</v>
      </c>
      <c r="K385" s="504">
        <f>K382/K383</f>
        <v>0.61538461538461542</v>
      </c>
      <c r="L385" s="504">
        <f>L382/L383</f>
        <v>0.69230769230769229</v>
      </c>
      <c r="M385" s="194">
        <f>M382/M383</f>
        <v>0.61538461538461542</v>
      </c>
      <c r="N385" s="841">
        <f>SUM(I385:M385)</f>
        <v>2.9230769230769229</v>
      </c>
      <c r="O385" s="195"/>
      <c r="P385" s="161"/>
    </row>
    <row r="386" spans="1:16" ht="18" customHeight="1" x14ac:dyDescent="0.25">
      <c r="A386" s="182"/>
      <c r="B386" s="547"/>
      <c r="C386" s="725"/>
      <c r="D386" s="57" t="s">
        <v>1158</v>
      </c>
      <c r="E386" s="1301"/>
      <c r="F386" s="1301"/>
      <c r="G386" s="1302"/>
      <c r="H386" s="238"/>
      <c r="I386" s="55">
        <f>IF(I$66=0,"",IF(I384&gt;=0.75,1,0))</f>
        <v>0</v>
      </c>
      <c r="J386" s="55">
        <f>IF(J$66=0,"",IF(J384&gt;=0.75,1,0))</f>
        <v>0</v>
      </c>
      <c r="K386" s="55">
        <f>IF(K$66=0,"",IF(K384&gt;=0.75,1,0))</f>
        <v>0</v>
      </c>
      <c r="L386" s="55">
        <f>IF(L$66=0,"",IF(L384&gt;=0.75,1,0))</f>
        <v>0</v>
      </c>
      <c r="M386" s="372">
        <f>IF(M$66=0,"",IF(M384&gt;=0.75,1,0))</f>
        <v>0</v>
      </c>
      <c r="N386" s="842">
        <f>SUM(I386:M386)</f>
        <v>0</v>
      </c>
      <c r="O386" s="197"/>
      <c r="P386" s="198"/>
    </row>
    <row r="387" spans="1:16" ht="18" customHeight="1" x14ac:dyDescent="0.25">
      <c r="A387" s="182"/>
      <c r="B387" s="547"/>
      <c r="C387" s="727"/>
      <c r="D387" s="57" t="s">
        <v>1159</v>
      </c>
      <c r="E387" s="1301"/>
      <c r="F387" s="1301"/>
      <c r="G387" s="1302"/>
      <c r="H387" s="238"/>
      <c r="I387" s="55">
        <f>IF(I$66=0,"",IF(AND(I384&lt;0.75,I384&gt;=0.5),1,0))</f>
        <v>1</v>
      </c>
      <c r="J387" s="55">
        <f>IF(J$66=0,"",IF(AND(J384&lt;0.75,J384&gt;=0.5),1,0))</f>
        <v>0</v>
      </c>
      <c r="K387" s="55">
        <f>IF(K$66=0,"",IF(AND(K384&lt;0.75,K384&gt;=0.5),1,0))</f>
        <v>1</v>
      </c>
      <c r="L387" s="55">
        <f>IF(L$66=0,"",IF(AND(L384&lt;0.75,L384&gt;=0.5),1,0))</f>
        <v>1</v>
      </c>
      <c r="M387" s="372">
        <f>IF(M$66=0,"",IF(AND(M384&lt;0.75,M384&gt;=0.5),1,0))</f>
        <v>1</v>
      </c>
      <c r="N387" s="842">
        <f>SUM(I387:M387)</f>
        <v>4</v>
      </c>
      <c r="O387" s="197"/>
      <c r="P387" s="198"/>
    </row>
    <row r="388" spans="1:16" ht="18" customHeight="1" x14ac:dyDescent="0.25">
      <c r="A388" s="182"/>
      <c r="B388" s="547"/>
      <c r="C388" s="726"/>
      <c r="D388" s="57" t="s">
        <v>1160</v>
      </c>
      <c r="E388" s="1301"/>
      <c r="F388" s="1301"/>
      <c r="G388" s="1302"/>
      <c r="H388" s="238"/>
      <c r="I388" s="55">
        <f>IF(I$66=0,"",IF(I384&lt;0.5,1,0))</f>
        <v>0</v>
      </c>
      <c r="J388" s="55">
        <f>IF(J$66=0,"",IF(J384&lt;0.5,1,0))</f>
        <v>1</v>
      </c>
      <c r="K388" s="55">
        <f>IF(K$66=0,"",IF(K384&lt;0.5,1,0))</f>
        <v>0</v>
      </c>
      <c r="L388" s="55">
        <f>IF(L$66=0,"",IF(L384&lt;0.5,1,0))</f>
        <v>0</v>
      </c>
      <c r="M388" s="372">
        <f>IF(M$66=0,"",IF(M384&lt;0.5,1,0))</f>
        <v>0</v>
      </c>
      <c r="N388" s="842">
        <f>SUM(I388:M388)</f>
        <v>1</v>
      </c>
      <c r="O388" s="197"/>
      <c r="P388" s="198"/>
    </row>
    <row r="389" spans="1:16" ht="18" customHeight="1" x14ac:dyDescent="0.25">
      <c r="A389" s="182"/>
      <c r="B389" s="547"/>
      <c r="C389" s="547"/>
      <c r="D389" s="728"/>
      <c r="E389" s="722"/>
      <c r="F389" s="722"/>
      <c r="G389" s="723"/>
      <c r="H389" s="772"/>
      <c r="I389" s="703"/>
      <c r="J389" s="703"/>
      <c r="K389" s="703"/>
      <c r="L389" s="703"/>
      <c r="M389" s="729"/>
      <c r="N389" s="390">
        <f>SUM(N386:N388)</f>
        <v>5</v>
      </c>
      <c r="O389" s="500"/>
      <c r="P389" s="64"/>
    </row>
    <row r="390" spans="1:16" ht="18" customHeight="1" x14ac:dyDescent="0.25">
      <c r="A390" s="182"/>
      <c r="B390" s="547"/>
      <c r="C390" s="547"/>
      <c r="D390" s="57" t="s">
        <v>1161</v>
      </c>
      <c r="E390" s="1301"/>
      <c r="F390" s="1301"/>
      <c r="G390" s="1302"/>
      <c r="H390" s="772"/>
      <c r="I390" s="830">
        <f>IF(I386=1,1,IF(I387=1,2,IF(I388=1,3,"")))</f>
        <v>2</v>
      </c>
      <c r="J390" s="830">
        <f>IF(J386=1,1,IF(J387=1,2,IF(J388=1,3,"")))</f>
        <v>3</v>
      </c>
      <c r="K390" s="830">
        <f>IF(K386=1,1,IF(K387=1,2,IF(K388=1,3,"")))</f>
        <v>2</v>
      </c>
      <c r="L390" s="830">
        <f>IF(L386=1,1,IF(L387=1,2,IF(L388=1,3,"")))</f>
        <v>2</v>
      </c>
      <c r="M390" s="730">
        <f>IF(M386=1,1,IF(M387=1,2,IF(M388=1,3,"")))</f>
        <v>2</v>
      </c>
      <c r="N390" s="842"/>
      <c r="O390" s="192"/>
      <c r="P390" s="719">
        <f>IF(SUM(I390:M390)=0,0,AVERAGE(I390:M390))</f>
        <v>2.2000000000000002</v>
      </c>
    </row>
    <row r="391" spans="1:16" ht="18" customHeight="1" x14ac:dyDescent="0.25">
      <c r="A391" s="705"/>
      <c r="B391" s="731"/>
      <c r="C391" s="705"/>
      <c r="D391" s="731"/>
      <c r="E391" s="731"/>
      <c r="F391" s="731"/>
      <c r="G391" s="731"/>
      <c r="H391" s="731"/>
    </row>
    <row r="392" spans="1:16" ht="18" customHeight="1" thickBot="1" x14ac:dyDescent="0.3">
      <c r="A392" s="665" t="s">
        <v>150</v>
      </c>
      <c r="B392" s="666" t="s">
        <v>1162</v>
      </c>
      <c r="C392" s="667"/>
      <c r="D392" s="667"/>
      <c r="E392" s="667"/>
      <c r="F392" s="667"/>
      <c r="G392" s="668"/>
      <c r="H392" s="773"/>
      <c r="I392" s="706">
        <f>I49</f>
        <v>1</v>
      </c>
      <c r="J392" s="706">
        <f>J49</f>
        <v>1</v>
      </c>
      <c r="K392" s="706">
        <f>K49</f>
        <v>1</v>
      </c>
      <c r="L392" s="706">
        <f>L49</f>
        <v>1</v>
      </c>
      <c r="M392" s="706">
        <f>M49</f>
        <v>1</v>
      </c>
      <c r="N392" s="847" t="s">
        <v>4</v>
      </c>
      <c r="O392" s="669" t="s">
        <v>5</v>
      </c>
      <c r="P392" s="669" t="s">
        <v>6</v>
      </c>
    </row>
    <row r="393" spans="1:16" ht="18" customHeight="1" x14ac:dyDescent="0.25">
      <c r="A393" s="828"/>
      <c r="B393" s="829" t="s">
        <v>152</v>
      </c>
      <c r="C393" s="778" t="s">
        <v>1163</v>
      </c>
      <c r="D393" s="672"/>
      <c r="E393" s="672"/>
      <c r="F393" s="672"/>
      <c r="G393" s="779"/>
      <c r="H393" s="731"/>
      <c r="I393" s="809"/>
      <c r="J393" s="809"/>
      <c r="K393" s="809"/>
      <c r="L393" s="809"/>
      <c r="M393" s="846"/>
      <c r="N393" s="848"/>
      <c r="O393" s="810"/>
      <c r="P393" s="810"/>
    </row>
    <row r="394" spans="1:16" ht="18" customHeight="1" x14ac:dyDescent="0.25">
      <c r="A394" s="182"/>
      <c r="B394" s="547"/>
      <c r="C394" s="56" t="s">
        <v>153</v>
      </c>
      <c r="D394" s="146" t="s">
        <v>1326</v>
      </c>
      <c r="E394" s="149"/>
      <c r="F394" s="149"/>
      <c r="G394" s="692"/>
      <c r="H394" s="731"/>
      <c r="I394" s="683"/>
      <c r="J394" s="683"/>
      <c r="K394" s="683"/>
      <c r="L394" s="683"/>
      <c r="M394" s="707"/>
      <c r="N394" s="840">
        <f>SUM(I394:M394)</f>
        <v>0</v>
      </c>
      <c r="O394" s="197">
        <f>IF(N$398=0,0,N394/N$398)</f>
        <v>0</v>
      </c>
      <c r="P394" s="679"/>
    </row>
    <row r="395" spans="1:16" ht="18" customHeight="1" x14ac:dyDescent="0.25">
      <c r="A395" s="182"/>
      <c r="B395" s="547"/>
      <c r="C395" s="56" t="s">
        <v>154</v>
      </c>
      <c r="D395" s="146" t="s">
        <v>1327</v>
      </c>
      <c r="E395" s="149"/>
      <c r="F395" s="149"/>
      <c r="G395" s="692"/>
      <c r="H395" s="731"/>
      <c r="I395" s="688"/>
      <c r="J395" s="688"/>
      <c r="K395" s="688"/>
      <c r="L395" s="688"/>
      <c r="M395" s="708"/>
      <c r="N395" s="840">
        <f>SUM(I395:M395)</f>
        <v>0</v>
      </c>
      <c r="O395" s="197">
        <f>IF(N$398=0,0,N395/N$398)</f>
        <v>0</v>
      </c>
      <c r="P395" s="679"/>
    </row>
    <row r="396" spans="1:16" ht="18" customHeight="1" x14ac:dyDescent="0.25">
      <c r="A396" s="182"/>
      <c r="B396" s="547"/>
      <c r="C396" s="56" t="s">
        <v>155</v>
      </c>
      <c r="D396" s="146" t="s">
        <v>1328</v>
      </c>
      <c r="E396" s="149"/>
      <c r="F396" s="149"/>
      <c r="G396" s="692"/>
      <c r="H396" s="731"/>
      <c r="I396" s="683"/>
      <c r="J396" s="683"/>
      <c r="K396" s="683"/>
      <c r="L396" s="683">
        <v>1</v>
      </c>
      <c r="M396" s="707"/>
      <c r="N396" s="840">
        <f>SUM(I396:M396)</f>
        <v>1</v>
      </c>
      <c r="O396" s="197">
        <f>IF(N$398=0,0,N396/N$398)</f>
        <v>0.2</v>
      </c>
      <c r="P396" s="679"/>
    </row>
    <row r="397" spans="1:16" ht="18" customHeight="1" x14ac:dyDescent="0.25">
      <c r="A397" s="182"/>
      <c r="B397" s="547"/>
      <c r="C397" s="56" t="s">
        <v>156</v>
      </c>
      <c r="D397" s="146" t="s">
        <v>1156</v>
      </c>
      <c r="E397" s="149"/>
      <c r="F397" s="149"/>
      <c r="G397" s="692"/>
      <c r="H397" s="731"/>
      <c r="I397" s="688">
        <v>1</v>
      </c>
      <c r="J397" s="688">
        <v>1</v>
      </c>
      <c r="K397" s="688">
        <v>1</v>
      </c>
      <c r="L397" s="688"/>
      <c r="M397" s="708">
        <v>1</v>
      </c>
      <c r="N397" s="840">
        <f>SUM(I397:M397)</f>
        <v>4</v>
      </c>
      <c r="O397" s="197">
        <f>IF(N$398=0,0,N397/N$398)</f>
        <v>0.8</v>
      </c>
      <c r="P397" s="679"/>
    </row>
    <row r="398" spans="1:16" ht="18" customHeight="1" x14ac:dyDescent="0.25">
      <c r="A398" s="182"/>
      <c r="B398" s="547"/>
      <c r="C398" s="325"/>
      <c r="D398" s="747"/>
      <c r="E398" s="748"/>
      <c r="F398" s="748"/>
      <c r="G398" s="749"/>
      <c r="H398" s="777"/>
      <c r="I398" s="224">
        <f t="shared" ref="I398:N398" si="210">SUM(I394:I397)</f>
        <v>1</v>
      </c>
      <c r="J398" s="224">
        <f t="shared" si="210"/>
        <v>1</v>
      </c>
      <c r="K398" s="224">
        <f t="shared" si="210"/>
        <v>1</v>
      </c>
      <c r="L398" s="224">
        <f t="shared" si="210"/>
        <v>1</v>
      </c>
      <c r="M398" s="795">
        <f t="shared" si="210"/>
        <v>1</v>
      </c>
      <c r="N398" s="390">
        <f t="shared" si="210"/>
        <v>5</v>
      </c>
      <c r="O398" s="500">
        <f>IF(N$398=0,0,N398/N$398)</f>
        <v>1</v>
      </c>
      <c r="P398" s="680"/>
    </row>
    <row r="399" spans="1:16" s="757" customFormat="1" ht="18" customHeight="1" x14ac:dyDescent="0.25">
      <c r="A399" s="182"/>
      <c r="B399" s="547"/>
      <c r="C399" s="182"/>
      <c r="D399" s="813"/>
      <c r="E399" s="814"/>
      <c r="F399" s="814"/>
      <c r="G399" s="815"/>
      <c r="H399" s="777"/>
      <c r="I399" s="198" t="str">
        <f>IF(I$392=0,"",IF(AND(I$392=1,I398=1),"OK","NOK"))</f>
        <v>OK</v>
      </c>
      <c r="J399" s="198" t="str">
        <f t="shared" ref="J399:M399" si="211">IF(J$392=0,"",IF(AND(J$392=1,J398=1),"OK","NOK"))</f>
        <v>OK</v>
      </c>
      <c r="K399" s="198" t="str">
        <f t="shared" si="211"/>
        <v>OK</v>
      </c>
      <c r="L399" s="198" t="str">
        <f t="shared" si="211"/>
        <v>OK</v>
      </c>
      <c r="M399" s="715" t="str">
        <f t="shared" si="211"/>
        <v>OK</v>
      </c>
      <c r="N399" s="853"/>
      <c r="O399" s="689"/>
      <c r="P399" s="689"/>
    </row>
    <row r="400" spans="1:16" ht="27.95" customHeight="1" x14ac:dyDescent="0.25">
      <c r="A400" s="182"/>
      <c r="B400" s="547"/>
      <c r="C400" s="56" t="s">
        <v>157</v>
      </c>
      <c r="D400" s="146" t="s">
        <v>1164</v>
      </c>
      <c r="E400" s="149"/>
      <c r="F400" s="149"/>
      <c r="G400" s="692"/>
      <c r="H400" s="731"/>
      <c r="I400" s="825" t="s">
        <v>1412</v>
      </c>
      <c r="J400" s="825" t="s">
        <v>1413</v>
      </c>
      <c r="K400" s="825" t="s">
        <v>1414</v>
      </c>
      <c r="L400" s="825" t="s">
        <v>1415</v>
      </c>
      <c r="M400" s="754" t="s">
        <v>1416</v>
      </c>
      <c r="N400" s="837"/>
      <c r="O400" s="679"/>
      <c r="P400" s="679"/>
    </row>
    <row r="401" spans="1:16" ht="27.95" customHeight="1" x14ac:dyDescent="0.25">
      <c r="A401" s="182"/>
      <c r="B401" s="547"/>
      <c r="C401" s="56" t="s">
        <v>158</v>
      </c>
      <c r="D401" s="149" t="s">
        <v>1330</v>
      </c>
      <c r="E401" s="149"/>
      <c r="F401" s="149"/>
      <c r="G401" s="692"/>
      <c r="H401" s="731"/>
      <c r="I401" s="826" t="s">
        <v>1417</v>
      </c>
      <c r="J401" s="826" t="s">
        <v>1417</v>
      </c>
      <c r="K401" s="826" t="s">
        <v>1417</v>
      </c>
      <c r="L401" s="826" t="s">
        <v>1417</v>
      </c>
      <c r="M401" s="826" t="s">
        <v>1417</v>
      </c>
      <c r="N401" s="837"/>
      <c r="O401" s="679"/>
      <c r="P401" s="679"/>
    </row>
    <row r="402" spans="1:16" ht="18" customHeight="1" x14ac:dyDescent="0.25">
      <c r="A402" s="182"/>
      <c r="B402" s="547"/>
      <c r="C402" s="56" t="s">
        <v>159</v>
      </c>
      <c r="D402" s="149" t="s">
        <v>1329</v>
      </c>
      <c r="E402" s="149"/>
      <c r="F402" s="149"/>
      <c r="G402" s="692"/>
      <c r="H402" s="731"/>
      <c r="I402" s="174"/>
      <c r="J402" s="174"/>
      <c r="K402" s="174"/>
      <c r="L402" s="174"/>
      <c r="M402" s="712"/>
      <c r="N402" s="850"/>
      <c r="O402" s="710"/>
      <c r="P402" s="710"/>
    </row>
    <row r="403" spans="1:16" ht="18" customHeight="1" x14ac:dyDescent="0.25">
      <c r="A403" s="182"/>
      <c r="B403" s="547"/>
      <c r="C403" s="547"/>
      <c r="D403" s="56" t="s">
        <v>1165</v>
      </c>
      <c r="E403" s="149" t="s">
        <v>9</v>
      </c>
      <c r="F403" s="149"/>
      <c r="G403" s="692"/>
      <c r="H403" s="731"/>
      <c r="I403" s="683">
        <v>1</v>
      </c>
      <c r="J403" s="683">
        <v>1</v>
      </c>
      <c r="K403" s="683">
        <v>1</v>
      </c>
      <c r="L403" s="683">
        <v>1</v>
      </c>
      <c r="M403" s="707">
        <v>1</v>
      </c>
      <c r="N403" s="840">
        <f>SUM(I403:M403)</f>
        <v>5</v>
      </c>
      <c r="O403" s="197">
        <f>IF(N$405=0,0,N403/N$405)</f>
        <v>1</v>
      </c>
      <c r="P403" s="679"/>
    </row>
    <row r="404" spans="1:16" ht="18" customHeight="1" x14ac:dyDescent="0.25">
      <c r="A404" s="182"/>
      <c r="B404" s="547"/>
      <c r="C404" s="547"/>
      <c r="D404" s="56" t="s">
        <v>1166</v>
      </c>
      <c r="E404" s="149" t="s">
        <v>11</v>
      </c>
      <c r="F404" s="149"/>
      <c r="G404" s="692"/>
      <c r="H404" s="731"/>
      <c r="I404" s="688"/>
      <c r="J404" s="688"/>
      <c r="K404" s="688"/>
      <c r="L404" s="688"/>
      <c r="M404" s="708"/>
      <c r="N404" s="840">
        <f>SUM(I404:M404)</f>
        <v>0</v>
      </c>
      <c r="O404" s="197">
        <f>IF(N$405=0,0,N404/N$405)</f>
        <v>0</v>
      </c>
      <c r="P404" s="679"/>
    </row>
    <row r="405" spans="1:16" ht="18" customHeight="1" x14ac:dyDescent="0.25">
      <c r="A405" s="182"/>
      <c r="B405" s="547"/>
      <c r="C405" s="325"/>
      <c r="D405" s="747"/>
      <c r="E405" s="748"/>
      <c r="F405" s="748"/>
      <c r="G405" s="749"/>
      <c r="H405" s="777"/>
      <c r="I405" s="224">
        <f t="shared" ref="I405:N405" si="212">SUM(I403:I404)</f>
        <v>1</v>
      </c>
      <c r="J405" s="224">
        <f t="shared" si="212"/>
        <v>1</v>
      </c>
      <c r="K405" s="224">
        <f t="shared" si="212"/>
        <v>1</v>
      </c>
      <c r="L405" s="224">
        <f t="shared" si="212"/>
        <v>1</v>
      </c>
      <c r="M405" s="795">
        <f t="shared" si="212"/>
        <v>1</v>
      </c>
      <c r="N405" s="860">
        <f t="shared" si="212"/>
        <v>5</v>
      </c>
      <c r="O405" s="500">
        <f>IF(N$405=0,0,N405/N$405)</f>
        <v>1</v>
      </c>
      <c r="P405" s="680"/>
    </row>
    <row r="406" spans="1:16" s="757" customFormat="1" ht="18" customHeight="1" x14ac:dyDescent="0.25">
      <c r="A406" s="182"/>
      <c r="B406" s="547"/>
      <c r="C406" s="182"/>
      <c r="D406" s="813"/>
      <c r="E406" s="814"/>
      <c r="F406" s="814"/>
      <c r="G406" s="815"/>
      <c r="H406" s="777"/>
      <c r="I406" s="198" t="str">
        <f>IF(I$392=0,"",IF(AND(I$392=1,I405=1),"OK","NOK"))</f>
        <v>OK</v>
      </c>
      <c r="J406" s="198" t="str">
        <f t="shared" ref="J406:M406" si="213">IF(J$392=0,"",IF(AND(J$392=1,J405=1),"OK","NOK"))</f>
        <v>OK</v>
      </c>
      <c r="K406" s="198" t="str">
        <f t="shared" si="213"/>
        <v>OK</v>
      </c>
      <c r="L406" s="198" t="str">
        <f t="shared" si="213"/>
        <v>OK</v>
      </c>
      <c r="M406" s="715" t="str">
        <f t="shared" si="213"/>
        <v>OK</v>
      </c>
      <c r="N406" s="853"/>
      <c r="O406" s="689"/>
      <c r="P406" s="689"/>
    </row>
    <row r="407" spans="1:16" s="757" customFormat="1" ht="18" customHeight="1" x14ac:dyDescent="0.25">
      <c r="A407" s="182"/>
      <c r="B407" s="48" t="s">
        <v>160</v>
      </c>
      <c r="C407" s="274" t="s">
        <v>1331</v>
      </c>
      <c r="D407" s="50"/>
      <c r="E407" s="50"/>
      <c r="F407" s="820"/>
      <c r="G407" s="821"/>
      <c r="H407" s="775"/>
      <c r="I407" s="88"/>
      <c r="J407" s="88"/>
      <c r="K407" s="88"/>
      <c r="L407" s="88"/>
      <c r="M407" s="734"/>
      <c r="N407" s="856"/>
      <c r="O407" s="682"/>
      <c r="P407" s="682"/>
    </row>
    <row r="408" spans="1:16" s="757" customFormat="1" ht="18" customHeight="1" x14ac:dyDescent="0.25">
      <c r="A408" s="182"/>
      <c r="B408" s="547"/>
      <c r="C408" s="56" t="s">
        <v>161</v>
      </c>
      <c r="D408" s="146" t="s">
        <v>1332</v>
      </c>
      <c r="E408" s="149"/>
      <c r="F408" s="819"/>
      <c r="G408" s="817"/>
      <c r="H408" s="775"/>
      <c r="I408" s="174"/>
      <c r="J408" s="174"/>
      <c r="K408" s="174"/>
      <c r="L408" s="174"/>
      <c r="M408" s="712"/>
      <c r="N408" s="854"/>
      <c r="O408" s="710"/>
      <c r="P408" s="710"/>
    </row>
    <row r="409" spans="1:16" s="757" customFormat="1" ht="18" customHeight="1" x14ac:dyDescent="0.25">
      <c r="A409" s="182"/>
      <c r="B409" s="547"/>
      <c r="C409" s="547"/>
      <c r="D409" s="56" t="s">
        <v>1333</v>
      </c>
      <c r="E409" s="149" t="s">
        <v>9</v>
      </c>
      <c r="F409" s="819"/>
      <c r="G409" s="817"/>
      <c r="H409" s="775"/>
      <c r="I409" s="683"/>
      <c r="J409" s="683"/>
      <c r="K409" s="683">
        <v>1</v>
      </c>
      <c r="L409" s="683">
        <v>1</v>
      </c>
      <c r="M409" s="707"/>
      <c r="N409" s="840">
        <f t="shared" ref="N409:N410" si="214">SUM(I409:M409)</f>
        <v>2</v>
      </c>
      <c r="O409" s="197">
        <f t="shared" ref="O409:O410" si="215">IF(N$411=0,0,N409/N$411)</f>
        <v>0.4</v>
      </c>
      <c r="P409" s="689"/>
    </row>
    <row r="410" spans="1:16" s="757" customFormat="1" ht="18" customHeight="1" x14ac:dyDescent="0.25">
      <c r="A410" s="182"/>
      <c r="B410" s="547"/>
      <c r="C410" s="547"/>
      <c r="D410" s="56" t="s">
        <v>1334</v>
      </c>
      <c r="E410" s="149" t="s">
        <v>11</v>
      </c>
      <c r="F410" s="819"/>
      <c r="G410" s="817"/>
      <c r="H410" s="775"/>
      <c r="I410" s="688">
        <v>1</v>
      </c>
      <c r="J410" s="688">
        <v>1</v>
      </c>
      <c r="K410" s="688"/>
      <c r="L410" s="688"/>
      <c r="M410" s="708">
        <v>1</v>
      </c>
      <c r="N410" s="840">
        <f t="shared" si="214"/>
        <v>3</v>
      </c>
      <c r="O410" s="197">
        <f t="shared" si="215"/>
        <v>0.6</v>
      </c>
      <c r="P410" s="689"/>
    </row>
    <row r="411" spans="1:16" ht="18" customHeight="1" x14ac:dyDescent="0.25">
      <c r="A411" s="182"/>
      <c r="B411" s="547"/>
      <c r="C411" s="325"/>
      <c r="D411" s="747"/>
      <c r="E411" s="748"/>
      <c r="F411" s="748"/>
      <c r="G411" s="749"/>
      <c r="H411" s="777"/>
      <c r="I411" s="224">
        <f>SUM(I409:I410)</f>
        <v>1</v>
      </c>
      <c r="J411" s="224">
        <f t="shared" ref="J411:N411" si="216">SUM(J409:J410)</f>
        <v>1</v>
      </c>
      <c r="K411" s="224">
        <f t="shared" si="216"/>
        <v>1</v>
      </c>
      <c r="L411" s="224">
        <f t="shared" si="216"/>
        <v>1</v>
      </c>
      <c r="M411" s="795">
        <f t="shared" si="216"/>
        <v>1</v>
      </c>
      <c r="N411" s="390">
        <f t="shared" si="216"/>
        <v>5</v>
      </c>
      <c r="O411" s="500">
        <f>IF(N$411=0,0,N411/N$411)</f>
        <v>1</v>
      </c>
      <c r="P411" s="680"/>
    </row>
    <row r="412" spans="1:16" s="757" customFormat="1" ht="18" customHeight="1" x14ac:dyDescent="0.25">
      <c r="A412" s="182"/>
      <c r="B412" s="547"/>
      <c r="C412" s="182"/>
      <c r="D412" s="813"/>
      <c r="E412" s="814"/>
      <c r="F412" s="814"/>
      <c r="G412" s="815"/>
      <c r="H412" s="777"/>
      <c r="I412" s="198" t="str">
        <f>IF(I$392=0,"",IF(AND(I$392=1,I411=1),"OK","NOK"))</f>
        <v>OK</v>
      </c>
      <c r="J412" s="198" t="str">
        <f t="shared" ref="J412" si="217">IF(J$392=0,"",IF(AND(J$392=1,J411=1),"OK","NOK"))</f>
        <v>OK</v>
      </c>
      <c r="K412" s="198" t="str">
        <f t="shared" ref="K412" si="218">IF(K$392=0,"",IF(AND(K$392=1,K411=1),"OK","NOK"))</f>
        <v>OK</v>
      </c>
      <c r="L412" s="198" t="str">
        <f t="shared" ref="L412" si="219">IF(L$392=0,"",IF(AND(L$392=1,L411=1),"OK","NOK"))</f>
        <v>OK</v>
      </c>
      <c r="M412" s="715" t="str">
        <f t="shared" ref="M412" si="220">IF(M$392=0,"",IF(AND(M$392=1,M411=1),"OK","NOK"))</f>
        <v>OK</v>
      </c>
      <c r="N412" s="853"/>
      <c r="O412" s="689"/>
      <c r="P412" s="689"/>
    </row>
    <row r="413" spans="1:16" s="757" customFormat="1" ht="18" customHeight="1" x14ac:dyDescent="0.25">
      <c r="A413" s="182"/>
      <c r="B413" s="547"/>
      <c r="C413" s="547"/>
      <c r="D413" s="56" t="s">
        <v>1335</v>
      </c>
      <c r="E413" s="149" t="s">
        <v>1336</v>
      </c>
      <c r="F413" s="819"/>
      <c r="G413" s="817"/>
      <c r="H413" s="775"/>
      <c r="I413" s="683">
        <v>2</v>
      </c>
      <c r="J413" s="683">
        <v>1</v>
      </c>
      <c r="K413" s="683"/>
      <c r="L413" s="683"/>
      <c r="M413" s="707">
        <v>6</v>
      </c>
      <c r="N413" s="840"/>
      <c r="O413" s="197"/>
      <c r="P413" s="689"/>
    </row>
    <row r="414" spans="1:16" ht="18" customHeight="1" x14ac:dyDescent="0.25">
      <c r="A414" s="182"/>
      <c r="B414" s="547"/>
      <c r="C414" s="325"/>
      <c r="D414" s="747"/>
      <c r="E414" s="748"/>
      <c r="F414" s="748"/>
      <c r="G414" s="749"/>
      <c r="H414" s="777"/>
      <c r="I414" s="224">
        <f>I413</f>
        <v>2</v>
      </c>
      <c r="J414" s="224">
        <f>J413</f>
        <v>1</v>
      </c>
      <c r="K414" s="224">
        <f t="shared" ref="K414:M414" si="221">K413</f>
        <v>0</v>
      </c>
      <c r="L414" s="224">
        <f t="shared" si="221"/>
        <v>0</v>
      </c>
      <c r="M414" s="795">
        <f t="shared" si="221"/>
        <v>6</v>
      </c>
      <c r="N414" s="390"/>
      <c r="O414" s="500"/>
      <c r="P414" s="680"/>
    </row>
    <row r="415" spans="1:16" s="757" customFormat="1" ht="18" customHeight="1" x14ac:dyDescent="0.25">
      <c r="A415" s="182"/>
      <c r="B415" s="547"/>
      <c r="C415" s="182"/>
      <c r="D415" s="813"/>
      <c r="E415" s="814"/>
      <c r="F415" s="814"/>
      <c r="G415" s="815"/>
      <c r="H415" s="777"/>
      <c r="I415" s="198" t="str">
        <f>IF(I$392=0,"",IF(AND(I409=1,I414=0),"OK",IF(AND(I$410=1,I414&gt;0),"OK","NOK")))</f>
        <v>OK</v>
      </c>
      <c r="J415" s="198" t="str">
        <f t="shared" ref="J415:M415" si="222">IF(J$392=0,"",IF(AND(J409=1,J414=0),"OK",IF(AND(J$410=1,J414&gt;0),"OK","NOK")))</f>
        <v>OK</v>
      </c>
      <c r="K415" s="198" t="str">
        <f t="shared" si="222"/>
        <v>OK</v>
      </c>
      <c r="L415" s="198" t="str">
        <f t="shared" si="222"/>
        <v>OK</v>
      </c>
      <c r="M415" s="715" t="str">
        <f t="shared" si="222"/>
        <v>OK</v>
      </c>
      <c r="N415" s="853"/>
      <c r="O415" s="689"/>
      <c r="P415" s="689"/>
    </row>
    <row r="416" spans="1:16" s="757" customFormat="1" ht="18" customHeight="1" x14ac:dyDescent="0.25">
      <c r="A416" s="182"/>
      <c r="B416" s="547"/>
      <c r="C416" s="56" t="s">
        <v>163</v>
      </c>
      <c r="D416" s="146" t="s">
        <v>1337</v>
      </c>
      <c r="E416" s="149"/>
      <c r="F416" s="819"/>
      <c r="G416" s="817"/>
      <c r="H416" s="775"/>
      <c r="I416" s="174"/>
      <c r="J416" s="174"/>
      <c r="K416" s="174"/>
      <c r="L416" s="174"/>
      <c r="M416" s="712"/>
      <c r="N416" s="854"/>
      <c r="O416" s="710"/>
      <c r="P416" s="710"/>
    </row>
    <row r="417" spans="1:16" s="757" customFormat="1" ht="18" customHeight="1" x14ac:dyDescent="0.25">
      <c r="A417" s="182"/>
      <c r="B417" s="547"/>
      <c r="C417" s="547"/>
      <c r="D417" s="56" t="s">
        <v>1333</v>
      </c>
      <c r="E417" s="149" t="s">
        <v>9</v>
      </c>
      <c r="F417" s="819"/>
      <c r="G417" s="817"/>
      <c r="H417" s="775"/>
      <c r="I417" s="683"/>
      <c r="J417" s="683"/>
      <c r="K417" s="683">
        <v>1</v>
      </c>
      <c r="L417" s="683">
        <v>1</v>
      </c>
      <c r="M417" s="707">
        <v>1</v>
      </c>
      <c r="N417" s="840">
        <f t="shared" ref="N417:N418" si="223">SUM(I417:M417)</f>
        <v>3</v>
      </c>
      <c r="O417" s="197">
        <f>IF(N$419=0,0,N417/N$419)</f>
        <v>0.6</v>
      </c>
      <c r="P417" s="689"/>
    </row>
    <row r="418" spans="1:16" s="757" customFormat="1" ht="18" customHeight="1" x14ac:dyDescent="0.25">
      <c r="A418" s="182"/>
      <c r="B418" s="789"/>
      <c r="C418" s="547"/>
      <c r="D418" s="56" t="s">
        <v>1334</v>
      </c>
      <c r="E418" s="149" t="s">
        <v>11</v>
      </c>
      <c r="F418" s="819"/>
      <c r="G418" s="817"/>
      <c r="H418" s="775"/>
      <c r="I418" s="688">
        <v>1</v>
      </c>
      <c r="J418" s="688">
        <v>1</v>
      </c>
      <c r="K418" s="688"/>
      <c r="L418" s="688"/>
      <c r="M418" s="708"/>
      <c r="N418" s="840">
        <f t="shared" si="223"/>
        <v>2</v>
      </c>
      <c r="O418" s="197">
        <f t="shared" ref="O418:O419" si="224">IF(N$419=0,0,N418/N$419)</f>
        <v>0.4</v>
      </c>
      <c r="P418" s="689"/>
    </row>
    <row r="419" spans="1:16" ht="18" customHeight="1" x14ac:dyDescent="0.25">
      <c r="A419" s="182"/>
      <c r="B419" s="547"/>
      <c r="C419" s="325"/>
      <c r="D419" s="747"/>
      <c r="E419" s="748"/>
      <c r="F419" s="748"/>
      <c r="G419" s="749"/>
      <c r="H419" s="777"/>
      <c r="I419" s="224">
        <f>SUM(I417:I418)</f>
        <v>1</v>
      </c>
      <c r="J419" s="224">
        <f t="shared" ref="J419:M419" si="225">SUM(J417:J418)</f>
        <v>1</v>
      </c>
      <c r="K419" s="224">
        <f t="shared" si="225"/>
        <v>1</v>
      </c>
      <c r="L419" s="224">
        <f t="shared" si="225"/>
        <v>1</v>
      </c>
      <c r="M419" s="795">
        <f t="shared" si="225"/>
        <v>1</v>
      </c>
      <c r="N419" s="390">
        <f t="shared" ref="N419" si="226">SUM(N417:N418)</f>
        <v>5</v>
      </c>
      <c r="O419" s="500">
        <f t="shared" si="224"/>
        <v>1</v>
      </c>
      <c r="P419" s="680"/>
    </row>
    <row r="420" spans="1:16" s="757" customFormat="1" ht="18" customHeight="1" x14ac:dyDescent="0.25">
      <c r="A420" s="182"/>
      <c r="B420" s="547"/>
      <c r="C420" s="182"/>
      <c r="D420" s="813"/>
      <c r="E420" s="814"/>
      <c r="F420" s="814"/>
      <c r="G420" s="815"/>
      <c r="H420" s="777"/>
      <c r="I420" s="198" t="str">
        <f>IF(I$392=0,"",IF(AND(I$392=1,I419=1),"OK","NOK"))</f>
        <v>OK</v>
      </c>
      <c r="J420" s="198" t="str">
        <f t="shared" ref="J420" si="227">IF(J$392=0,"",IF(AND(J$392=1,J419=1),"OK","NOK"))</f>
        <v>OK</v>
      </c>
      <c r="K420" s="198" t="str">
        <f t="shared" ref="K420" si="228">IF(K$392=0,"",IF(AND(K$392=1,K419=1),"OK","NOK"))</f>
        <v>OK</v>
      </c>
      <c r="L420" s="198" t="str">
        <f t="shared" ref="L420" si="229">IF(L$392=0,"",IF(AND(L$392=1,L419=1),"OK","NOK"))</f>
        <v>OK</v>
      </c>
      <c r="M420" s="715" t="str">
        <f t="shared" ref="M420" si="230">IF(M$392=0,"",IF(AND(M$392=1,M419=1),"OK","NOK"))</f>
        <v>OK</v>
      </c>
      <c r="N420" s="853"/>
      <c r="O420" s="689"/>
      <c r="P420" s="689"/>
    </row>
    <row r="421" spans="1:16" ht="18" customHeight="1" x14ac:dyDescent="0.25">
      <c r="A421" s="182"/>
      <c r="B421" s="48" t="s">
        <v>160</v>
      </c>
      <c r="C421" s="274" t="s">
        <v>1338</v>
      </c>
      <c r="D421" s="50"/>
      <c r="E421" s="50"/>
      <c r="F421" s="50"/>
      <c r="G421" s="685"/>
      <c r="H421" s="731"/>
      <c r="I421" s="691"/>
      <c r="J421" s="691"/>
      <c r="K421" s="691"/>
      <c r="L421" s="691"/>
      <c r="M421" s="693"/>
      <c r="N421" s="839"/>
      <c r="O421" s="682"/>
      <c r="P421" s="682"/>
    </row>
    <row r="422" spans="1:16" ht="18" customHeight="1" x14ac:dyDescent="0.25">
      <c r="A422" s="182"/>
      <c r="B422" s="547"/>
      <c r="C422" s="180" t="s">
        <v>161</v>
      </c>
      <c r="D422" s="1409" t="s">
        <v>1339</v>
      </c>
      <c r="E422" s="1410"/>
      <c r="F422" s="1410"/>
      <c r="G422" s="1411"/>
      <c r="H422" s="772"/>
      <c r="I422" s="683"/>
      <c r="J422" s="683"/>
      <c r="K422" s="683">
        <v>4</v>
      </c>
      <c r="L422" s="683"/>
      <c r="M422" s="707"/>
      <c r="N422" s="840">
        <f>N424</f>
        <v>1</v>
      </c>
      <c r="O422" s="197">
        <f>IF(N$425=0,0,N422/N$425)</f>
        <v>1</v>
      </c>
      <c r="P422" s="823">
        <f>P428</f>
        <v>4</v>
      </c>
    </row>
    <row r="423" spans="1:16" ht="18" customHeight="1" x14ac:dyDescent="0.25">
      <c r="A423" s="182"/>
      <c r="B423" s="547"/>
      <c r="C423" s="180" t="s">
        <v>163</v>
      </c>
      <c r="D423" s="146" t="s">
        <v>129</v>
      </c>
      <c r="E423" s="687"/>
      <c r="F423" s="687"/>
      <c r="G423" s="714"/>
      <c r="H423" s="772"/>
      <c r="I423" s="688">
        <v>1</v>
      </c>
      <c r="J423" s="688">
        <v>1</v>
      </c>
      <c r="K423" s="688"/>
      <c r="L423" s="688">
        <v>1</v>
      </c>
      <c r="M423" s="708">
        <v>1</v>
      </c>
      <c r="N423" s="840">
        <f t="shared" ref="N423" si="231">SUM(I423:M423)</f>
        <v>4</v>
      </c>
      <c r="O423" s="197">
        <f>IF(N$425=0,0,N423/N$425)</f>
        <v>4</v>
      </c>
      <c r="P423" s="197"/>
    </row>
    <row r="424" spans="1:16" ht="18" customHeight="1" x14ac:dyDescent="0.25">
      <c r="A424" s="182"/>
      <c r="B424" s="182"/>
      <c r="C424" s="182"/>
      <c r="D424" s="700"/>
      <c r="E424" s="676"/>
      <c r="F424" s="676"/>
      <c r="G424" s="753"/>
      <c r="H424" s="772"/>
      <c r="I424" s="827">
        <f>IF(I422&gt;0,1,0)</f>
        <v>0</v>
      </c>
      <c r="J424" s="827">
        <f t="shared" ref="J424:M424" si="232">IF(J422&gt;0,1,0)</f>
        <v>0</v>
      </c>
      <c r="K424" s="827">
        <f t="shared" si="232"/>
        <v>1</v>
      </c>
      <c r="L424" s="827">
        <f t="shared" si="232"/>
        <v>0</v>
      </c>
      <c r="M424" s="822">
        <f t="shared" si="232"/>
        <v>0</v>
      </c>
      <c r="N424" s="861">
        <f>SUM(I424:M424)</f>
        <v>1</v>
      </c>
      <c r="O424" s="678"/>
      <c r="P424" s="678"/>
    </row>
    <row r="425" spans="1:16" ht="18" customHeight="1" x14ac:dyDescent="0.25">
      <c r="A425" s="182"/>
      <c r="B425" s="547"/>
      <c r="C425" s="325"/>
      <c r="D425" s="747"/>
      <c r="E425" s="748"/>
      <c r="F425" s="748"/>
      <c r="G425" s="749"/>
      <c r="H425" s="777"/>
      <c r="I425" s="224">
        <f>SUM(I423:I424)</f>
        <v>1</v>
      </c>
      <c r="J425" s="224">
        <f t="shared" ref="J425:M425" si="233">SUM(J423:J424)</f>
        <v>1</v>
      </c>
      <c r="K425" s="224">
        <f t="shared" si="233"/>
        <v>1</v>
      </c>
      <c r="L425" s="224">
        <f t="shared" si="233"/>
        <v>1</v>
      </c>
      <c r="M425" s="795">
        <f t="shared" si="233"/>
        <v>1</v>
      </c>
      <c r="N425" s="390">
        <f t="shared" ref="N425" si="234">SUM(N421:N422)</f>
        <v>1</v>
      </c>
      <c r="O425" s="500">
        <f>IF(N$425=0,0,N425/N$425)</f>
        <v>1</v>
      </c>
      <c r="P425" s="680"/>
    </row>
    <row r="426" spans="1:16" s="757" customFormat="1" ht="18" customHeight="1" x14ac:dyDescent="0.25">
      <c r="A426" s="182"/>
      <c r="B426" s="547"/>
      <c r="C426" s="182"/>
      <c r="D426" s="813"/>
      <c r="E426" s="814"/>
      <c r="F426" s="814"/>
      <c r="G426" s="815"/>
      <c r="H426" s="777"/>
      <c r="I426" s="198" t="str">
        <f>IF(I$392=0,"",IF(AND(I$392=1,I425=1),"OK","NOK"))</f>
        <v>OK</v>
      </c>
      <c r="J426" s="198" t="str">
        <f t="shared" ref="J426:M426" si="235">IF(J$392=0,"",IF(AND(J$392=1,J425=1),"OK","NOK"))</f>
        <v>OK</v>
      </c>
      <c r="K426" s="198" t="str">
        <f t="shared" si="235"/>
        <v>OK</v>
      </c>
      <c r="L426" s="198" t="str">
        <f t="shared" si="235"/>
        <v>OK</v>
      </c>
      <c r="M426" s="715" t="str">
        <f t="shared" si="235"/>
        <v>OK</v>
      </c>
      <c r="N426" s="853"/>
      <c r="O426" s="689"/>
      <c r="P426" s="689"/>
    </row>
    <row r="427" spans="1:16" ht="18" customHeight="1" x14ac:dyDescent="0.25">
      <c r="A427" s="787"/>
      <c r="B427" s="689"/>
      <c r="C427" s="689"/>
      <c r="D427" s="696"/>
      <c r="E427" s="788"/>
      <c r="F427" s="696"/>
      <c r="G427" s="768"/>
      <c r="I427" s="161">
        <f>I422</f>
        <v>0</v>
      </c>
      <c r="J427" s="161">
        <f t="shared" ref="J427:M427" si="236">J422</f>
        <v>0</v>
      </c>
      <c r="K427" s="161">
        <f t="shared" si="236"/>
        <v>4</v>
      </c>
      <c r="L427" s="161">
        <f t="shared" si="236"/>
        <v>0</v>
      </c>
      <c r="M427" s="697">
        <f t="shared" si="236"/>
        <v>0</v>
      </c>
      <c r="N427" s="841">
        <f>SUM(I427:M427)</f>
        <v>4</v>
      </c>
      <c r="O427" s="504"/>
      <c r="P427" s="718"/>
    </row>
    <row r="428" spans="1:16" ht="18" customHeight="1" x14ac:dyDescent="0.25">
      <c r="A428" s="787"/>
      <c r="B428" s="689"/>
      <c r="C428" s="689"/>
      <c r="D428" s="696"/>
      <c r="E428" s="788"/>
      <c r="F428" s="696"/>
      <c r="G428" s="768"/>
      <c r="I428" s="161" t="str">
        <f>IF(I427&gt;0,I427,"")</f>
        <v/>
      </c>
      <c r="J428" s="161" t="str">
        <f t="shared" ref="J428:M428" si="237">IF(J427&gt;0,J427,"")</f>
        <v/>
      </c>
      <c r="K428" s="161">
        <f t="shared" si="237"/>
        <v>4</v>
      </c>
      <c r="L428" s="161" t="str">
        <f t="shared" si="237"/>
        <v/>
      </c>
      <c r="M428" s="697" t="str">
        <f t="shared" si="237"/>
        <v/>
      </c>
      <c r="N428" s="841">
        <f>SUM(I428:M428)</f>
        <v>4</v>
      </c>
      <c r="O428" s="504"/>
      <c r="P428" s="161">
        <f>IF(N428=0,0,AVERAGE(I428:M428))</f>
        <v>4</v>
      </c>
    </row>
    <row r="429" spans="1:16" ht="18" customHeight="1" x14ac:dyDescent="0.25">
      <c r="A429" s="182"/>
      <c r="B429" s="48" t="s">
        <v>171</v>
      </c>
      <c r="C429" s="274" t="s">
        <v>12</v>
      </c>
      <c r="D429" s="50"/>
      <c r="E429" s="50"/>
      <c r="F429" s="50"/>
      <c r="G429" s="685"/>
      <c r="H429" s="731"/>
      <c r="I429" s="691"/>
      <c r="J429" s="691"/>
      <c r="K429" s="691"/>
      <c r="L429" s="691"/>
      <c r="M429" s="693"/>
      <c r="N429" s="839"/>
      <c r="O429" s="682"/>
      <c r="P429" s="682"/>
    </row>
    <row r="430" spans="1:16" ht="18" customHeight="1" x14ac:dyDescent="0.25">
      <c r="A430" s="182"/>
      <c r="B430" s="547"/>
      <c r="C430" s="940" t="s">
        <v>172</v>
      </c>
      <c r="D430" s="146" t="s">
        <v>1167</v>
      </c>
      <c r="E430" s="149"/>
      <c r="F430" s="149"/>
      <c r="G430" s="692"/>
      <c r="H430" s="731"/>
      <c r="I430" s="174"/>
      <c r="J430" s="174"/>
      <c r="K430" s="174"/>
      <c r="L430" s="174"/>
      <c r="M430" s="712"/>
      <c r="N430" s="849"/>
      <c r="O430" s="404"/>
      <c r="P430" s="710"/>
    </row>
    <row r="431" spans="1:16" ht="18" customHeight="1" x14ac:dyDescent="0.25">
      <c r="A431" s="182"/>
      <c r="B431" s="547"/>
      <c r="C431" s="547"/>
      <c r="D431" s="146" t="s">
        <v>1340</v>
      </c>
      <c r="E431" s="149"/>
      <c r="F431" s="149"/>
      <c r="G431" s="692"/>
      <c r="H431" s="731"/>
      <c r="I431" s="198">
        <f t="shared" ref="I431:M432" si="238">I403</f>
        <v>1</v>
      </c>
      <c r="J431" s="198">
        <f t="shared" si="238"/>
        <v>1</v>
      </c>
      <c r="K431" s="198">
        <f t="shared" si="238"/>
        <v>1</v>
      </c>
      <c r="L431" s="198">
        <f t="shared" si="238"/>
        <v>1</v>
      </c>
      <c r="M431" s="715">
        <f t="shared" si="238"/>
        <v>1</v>
      </c>
      <c r="N431" s="840">
        <f>SUM(I431:M431)</f>
        <v>5</v>
      </c>
      <c r="O431" s="197">
        <f>IF(N$433=0,0,N431/N$433)</f>
        <v>1</v>
      </c>
      <c r="P431" s="679"/>
    </row>
    <row r="432" spans="1:16" ht="18" customHeight="1" x14ac:dyDescent="0.25">
      <c r="A432" s="182"/>
      <c r="B432" s="547"/>
      <c r="C432" s="547"/>
      <c r="D432" s="146" t="s">
        <v>1341</v>
      </c>
      <c r="E432" s="149"/>
      <c r="F432" s="149"/>
      <c r="G432" s="692"/>
      <c r="H432" s="731"/>
      <c r="I432" s="198">
        <f t="shared" si="238"/>
        <v>0</v>
      </c>
      <c r="J432" s="198">
        <f t="shared" si="238"/>
        <v>0</v>
      </c>
      <c r="K432" s="198">
        <f t="shared" si="238"/>
        <v>0</v>
      </c>
      <c r="L432" s="198">
        <f t="shared" si="238"/>
        <v>0</v>
      </c>
      <c r="M432" s="715">
        <f t="shared" si="238"/>
        <v>0</v>
      </c>
      <c r="N432" s="840">
        <f>SUM(I432:M432)</f>
        <v>0</v>
      </c>
      <c r="O432" s="197">
        <f>IF(N$433=0,0,N432/N$433)</f>
        <v>0</v>
      </c>
      <c r="P432" s="679"/>
    </row>
    <row r="433" spans="1:16" ht="18" customHeight="1" x14ac:dyDescent="0.25">
      <c r="A433" s="182"/>
      <c r="B433" s="547"/>
      <c r="C433" s="325"/>
      <c r="D433" s="701"/>
      <c r="E433" s="326"/>
      <c r="F433" s="326"/>
      <c r="G433" s="702"/>
      <c r="H433" s="731"/>
      <c r="I433" s="64"/>
      <c r="J433" s="64"/>
      <c r="K433" s="64"/>
      <c r="L433" s="64"/>
      <c r="M433" s="709"/>
      <c r="N433" s="390">
        <f>SUM(N431:N432)</f>
        <v>5</v>
      </c>
      <c r="O433" s="500">
        <f>IF(N$433=0,0,N433/N$433)</f>
        <v>1</v>
      </c>
      <c r="P433" s="680"/>
    </row>
    <row r="434" spans="1:16" ht="18" customHeight="1" x14ac:dyDescent="0.25">
      <c r="A434" s="182"/>
      <c r="B434" s="547"/>
      <c r="C434" s="940" t="s">
        <v>174</v>
      </c>
      <c r="D434" s="146" t="s">
        <v>1168</v>
      </c>
      <c r="E434" s="149"/>
      <c r="F434" s="149"/>
      <c r="G434" s="692"/>
      <c r="H434" s="731"/>
      <c r="I434" s="198" t="str">
        <f>IF(I422&gt;0,I422,"")</f>
        <v/>
      </c>
      <c r="J434" s="198" t="str">
        <f>IF(J422&gt;0,J422,"")</f>
        <v/>
      </c>
      <c r="K434" s="198">
        <f>IF(K422&gt;0,K422,"")</f>
        <v>4</v>
      </c>
      <c r="L434" s="198" t="str">
        <f>IF(L422&gt;0,L422,"")</f>
        <v/>
      </c>
      <c r="M434" s="715" t="str">
        <f>IF(M422&gt;0,M422,"")</f>
        <v/>
      </c>
      <c r="N434" s="840">
        <f>SUM(I434:M434)</f>
        <v>4</v>
      </c>
      <c r="O434" s="197"/>
      <c r="P434" s="724">
        <f>IF(N434=0,0,AVERAGE(I434:M434))</f>
        <v>4</v>
      </c>
    </row>
    <row r="435" spans="1:16" ht="18" customHeight="1" x14ac:dyDescent="0.25">
      <c r="A435" s="705"/>
      <c r="B435" s="731"/>
      <c r="C435" s="705"/>
      <c r="D435" s="731"/>
      <c r="E435" s="731"/>
      <c r="F435" s="731"/>
      <c r="G435" s="731"/>
      <c r="H435" s="731"/>
    </row>
    <row r="436" spans="1:16" ht="18" customHeight="1" thickBot="1" x14ac:dyDescent="0.3">
      <c r="A436" s="665" t="s">
        <v>183</v>
      </c>
      <c r="B436" s="824" t="s">
        <v>1342</v>
      </c>
      <c r="C436" s="667"/>
      <c r="D436" s="667"/>
      <c r="E436" s="667"/>
      <c r="F436" s="667"/>
      <c r="G436" s="668"/>
      <c r="H436" s="773"/>
      <c r="I436" s="706">
        <f>I49</f>
        <v>1</v>
      </c>
      <c r="J436" s="706">
        <f>J49</f>
        <v>1</v>
      </c>
      <c r="K436" s="706">
        <f>K49</f>
        <v>1</v>
      </c>
      <c r="L436" s="706">
        <f>L49</f>
        <v>1</v>
      </c>
      <c r="M436" s="706">
        <f>M49</f>
        <v>1</v>
      </c>
      <c r="N436" s="847" t="s">
        <v>4</v>
      </c>
      <c r="O436" s="669" t="s">
        <v>5</v>
      </c>
      <c r="P436" s="669" t="s">
        <v>6</v>
      </c>
    </row>
    <row r="437" spans="1:16" ht="18" customHeight="1" x14ac:dyDescent="0.25">
      <c r="A437" s="828"/>
      <c r="B437" s="829" t="s">
        <v>185</v>
      </c>
      <c r="C437" s="778" t="s">
        <v>1343</v>
      </c>
      <c r="D437" s="672"/>
      <c r="E437" s="672"/>
      <c r="F437" s="672"/>
      <c r="G437" s="779"/>
      <c r="H437" s="731"/>
      <c r="I437" s="809"/>
      <c r="J437" s="809"/>
      <c r="K437" s="809"/>
      <c r="L437" s="809"/>
      <c r="M437" s="846"/>
      <c r="N437" s="848"/>
      <c r="O437" s="810"/>
      <c r="P437" s="810"/>
    </row>
    <row r="438" spans="1:16" ht="18" customHeight="1" x14ac:dyDescent="0.25">
      <c r="A438" s="182"/>
      <c r="B438" s="547"/>
      <c r="C438" s="56" t="s">
        <v>187</v>
      </c>
      <c r="D438" s="146" t="s">
        <v>1169</v>
      </c>
      <c r="E438" s="149"/>
      <c r="F438" s="149"/>
      <c r="G438" s="692"/>
      <c r="H438" s="731"/>
      <c r="I438" s="683"/>
      <c r="J438" s="683"/>
      <c r="K438" s="683"/>
      <c r="L438" s="683"/>
      <c r="M438" s="707"/>
      <c r="N438" s="840">
        <f t="shared" ref="N438:N444" si="239">SUM(I438:M438)</f>
        <v>0</v>
      </c>
      <c r="O438" s="197">
        <f t="shared" ref="O438:O444" si="240">IF(N$450=0,0,N438/N$450)</f>
        <v>0</v>
      </c>
      <c r="P438" s="679"/>
    </row>
    <row r="439" spans="1:16" ht="18" customHeight="1" x14ac:dyDescent="0.25">
      <c r="A439" s="182"/>
      <c r="B439" s="547"/>
      <c r="C439" s="56" t="s">
        <v>188</v>
      </c>
      <c r="D439" s="146" t="s">
        <v>1170</v>
      </c>
      <c r="E439" s="149"/>
      <c r="F439" s="149"/>
      <c r="G439" s="692"/>
      <c r="H439" s="731"/>
      <c r="I439" s="688"/>
      <c r="J439" s="688"/>
      <c r="K439" s="688"/>
      <c r="L439" s="688"/>
      <c r="M439" s="708"/>
      <c r="N439" s="840">
        <f t="shared" si="239"/>
        <v>0</v>
      </c>
      <c r="O439" s="197">
        <f t="shared" si="240"/>
        <v>0</v>
      </c>
      <c r="P439" s="679"/>
    </row>
    <row r="440" spans="1:16" ht="18" customHeight="1" x14ac:dyDescent="0.25">
      <c r="A440" s="182"/>
      <c r="B440" s="547"/>
      <c r="C440" s="56" t="s">
        <v>190</v>
      </c>
      <c r="D440" s="146" t="s">
        <v>1171</v>
      </c>
      <c r="E440" s="149"/>
      <c r="F440" s="149"/>
      <c r="G440" s="692"/>
      <c r="H440" s="731"/>
      <c r="I440" s="683"/>
      <c r="J440" s="683"/>
      <c r="K440" s="683">
        <v>1</v>
      </c>
      <c r="L440" s="683"/>
      <c r="M440" s="707"/>
      <c r="N440" s="840">
        <f t="shared" si="239"/>
        <v>1</v>
      </c>
      <c r="O440" s="197">
        <f t="shared" si="240"/>
        <v>0.1111111111111111</v>
      </c>
      <c r="P440" s="679"/>
    </row>
    <row r="441" spans="1:16" ht="18" customHeight="1" x14ac:dyDescent="0.25">
      <c r="A441" s="182"/>
      <c r="B441" s="547"/>
      <c r="C441" s="56" t="s">
        <v>1172</v>
      </c>
      <c r="D441" s="146" t="s">
        <v>1344</v>
      </c>
      <c r="E441" s="149"/>
      <c r="F441" s="149"/>
      <c r="G441" s="692"/>
      <c r="H441" s="731"/>
      <c r="I441" s="688">
        <v>1</v>
      </c>
      <c r="J441" s="688">
        <v>1</v>
      </c>
      <c r="K441" s="688"/>
      <c r="L441" s="688"/>
      <c r="M441" s="708">
        <v>1</v>
      </c>
      <c r="N441" s="840">
        <f t="shared" si="239"/>
        <v>3</v>
      </c>
      <c r="O441" s="197">
        <f t="shared" si="240"/>
        <v>0.33333333333333331</v>
      </c>
      <c r="P441" s="679"/>
    </row>
    <row r="442" spans="1:16" ht="18" customHeight="1" x14ac:dyDescent="0.25">
      <c r="A442" s="182"/>
      <c r="B442" s="547"/>
      <c r="C442" s="56" t="s">
        <v>1173</v>
      </c>
      <c r="D442" s="146" t="s">
        <v>1174</v>
      </c>
      <c r="E442" s="149"/>
      <c r="F442" s="149"/>
      <c r="G442" s="692"/>
      <c r="H442" s="731"/>
      <c r="I442" s="683">
        <v>1</v>
      </c>
      <c r="J442" s="683">
        <v>1</v>
      </c>
      <c r="K442" s="683">
        <v>1</v>
      </c>
      <c r="L442" s="683">
        <v>1</v>
      </c>
      <c r="M442" s="707"/>
      <c r="N442" s="840">
        <f t="shared" si="239"/>
        <v>4</v>
      </c>
      <c r="O442" s="197">
        <f t="shared" si="240"/>
        <v>0.44444444444444442</v>
      </c>
      <c r="P442" s="679"/>
    </row>
    <row r="443" spans="1:16" ht="18" customHeight="1" x14ac:dyDescent="0.25">
      <c r="A443" s="182"/>
      <c r="B443" s="547"/>
      <c r="C443" s="56" t="s">
        <v>1175</v>
      </c>
      <c r="D443" s="146" t="s">
        <v>1176</v>
      </c>
      <c r="E443" s="149"/>
      <c r="F443" s="149"/>
      <c r="G443" s="692"/>
      <c r="H443" s="731"/>
      <c r="I443" s="688"/>
      <c r="J443" s="688">
        <v>1</v>
      </c>
      <c r="K443" s="688"/>
      <c r="L443" s="688"/>
      <c r="M443" s="708"/>
      <c r="N443" s="840">
        <f>SUM(I443:M443)</f>
        <v>1</v>
      </c>
      <c r="O443" s="197">
        <f t="shared" si="240"/>
        <v>0.1111111111111111</v>
      </c>
      <c r="P443" s="679"/>
    </row>
    <row r="444" spans="1:16" ht="18" customHeight="1" x14ac:dyDescent="0.25">
      <c r="A444" s="182"/>
      <c r="B444" s="547"/>
      <c r="C444" s="56" t="s">
        <v>1177</v>
      </c>
      <c r="D444" s="146" t="s">
        <v>1345</v>
      </c>
      <c r="E444" s="149"/>
      <c r="F444" s="149"/>
      <c r="G444" s="692"/>
      <c r="H444" s="731"/>
      <c r="I444" s="174">
        <f>SUM(I445:I448)</f>
        <v>0</v>
      </c>
      <c r="J444" s="174">
        <f t="shared" ref="J444:M444" si="241">SUM(J445:J448)</f>
        <v>0</v>
      </c>
      <c r="K444" s="174">
        <f t="shared" si="241"/>
        <v>0</v>
      </c>
      <c r="L444" s="174">
        <f t="shared" si="241"/>
        <v>0</v>
      </c>
      <c r="M444" s="712">
        <f t="shared" si="241"/>
        <v>0</v>
      </c>
      <c r="N444" s="849">
        <f t="shared" si="239"/>
        <v>0</v>
      </c>
      <c r="O444" s="404">
        <f t="shared" si="240"/>
        <v>0</v>
      </c>
      <c r="P444" s="710"/>
    </row>
    <row r="445" spans="1:16" ht="18" customHeight="1" x14ac:dyDescent="0.25">
      <c r="A445" s="182"/>
      <c r="B445" s="547"/>
      <c r="C445" s="56"/>
      <c r="D445" s="294"/>
      <c r="E445" s="743"/>
      <c r="F445" s="743"/>
      <c r="G445" s="744"/>
      <c r="H445" s="871"/>
      <c r="I445" s="683"/>
      <c r="J445" s="683"/>
      <c r="K445" s="683"/>
      <c r="L445" s="683"/>
      <c r="M445" s="707"/>
      <c r="N445" s="837"/>
      <c r="O445" s="679"/>
      <c r="P445" s="679"/>
    </row>
    <row r="446" spans="1:16" ht="18" customHeight="1" x14ac:dyDescent="0.25">
      <c r="A446" s="182"/>
      <c r="B446" s="547"/>
      <c r="C446" s="56"/>
      <c r="D446" s="296"/>
      <c r="E446" s="745"/>
      <c r="F446" s="745"/>
      <c r="G446" s="746"/>
      <c r="H446" s="871"/>
      <c r="I446" s="688"/>
      <c r="J446" s="688"/>
      <c r="K446" s="688"/>
      <c r="L446" s="688"/>
      <c r="M446" s="708"/>
      <c r="N446" s="837"/>
      <c r="O446" s="679"/>
      <c r="P446" s="679"/>
    </row>
    <row r="447" spans="1:16" ht="18" customHeight="1" x14ac:dyDescent="0.25">
      <c r="A447" s="182"/>
      <c r="B447" s="547"/>
      <c r="C447" s="56"/>
      <c r="D447" s="294"/>
      <c r="E447" s="743"/>
      <c r="F447" s="743"/>
      <c r="G447" s="744"/>
      <c r="H447" s="871"/>
      <c r="I447" s="683"/>
      <c r="J447" s="683"/>
      <c r="K447" s="683"/>
      <c r="L447" s="683"/>
      <c r="M447" s="707"/>
      <c r="N447" s="837"/>
      <c r="O447" s="679"/>
      <c r="P447" s="679"/>
    </row>
    <row r="448" spans="1:16" ht="18" customHeight="1" x14ac:dyDescent="0.25">
      <c r="A448" s="182"/>
      <c r="B448" s="547"/>
      <c r="C448" s="56"/>
      <c r="D448" s="296"/>
      <c r="E448" s="745"/>
      <c r="F448" s="745"/>
      <c r="G448" s="746"/>
      <c r="H448" s="871"/>
      <c r="I448" s="688"/>
      <c r="J448" s="688"/>
      <c r="K448" s="688"/>
      <c r="L448" s="688"/>
      <c r="M448" s="708"/>
      <c r="N448" s="837"/>
      <c r="O448" s="679"/>
      <c r="P448" s="679"/>
    </row>
    <row r="449" spans="1:16" ht="18" customHeight="1" x14ac:dyDescent="0.25">
      <c r="A449" s="182"/>
      <c r="B449" s="547"/>
      <c r="C449" s="547"/>
      <c r="D449" s="737"/>
      <c r="E449" s="738"/>
      <c r="F449" s="738"/>
      <c r="G449" s="739"/>
      <c r="H449" s="775"/>
      <c r="I449" s="161">
        <f>SUM(I438:I444)</f>
        <v>2</v>
      </c>
      <c r="J449" s="161">
        <f>SUM(J438:J444)</f>
        <v>3</v>
      </c>
      <c r="K449" s="161">
        <f>SUM(K438:K444)</f>
        <v>2</v>
      </c>
      <c r="L449" s="161">
        <f>SUM(L438:L444)</f>
        <v>1</v>
      </c>
      <c r="M449" s="697">
        <f>SUM(M438:M444)</f>
        <v>1</v>
      </c>
      <c r="N449" s="862"/>
      <c r="O449" s="690"/>
      <c r="P449" s="690"/>
    </row>
    <row r="450" spans="1:16" ht="18" customHeight="1" x14ac:dyDescent="0.25">
      <c r="A450" s="182"/>
      <c r="B450" s="547"/>
      <c r="C450" s="325"/>
      <c r="D450" s="747"/>
      <c r="E450" s="748"/>
      <c r="F450" s="748"/>
      <c r="G450" s="749"/>
      <c r="H450" s="777"/>
      <c r="I450" s="64"/>
      <c r="J450" s="64"/>
      <c r="K450" s="64"/>
      <c r="L450" s="64"/>
      <c r="M450" s="709"/>
      <c r="N450" s="390">
        <f>SUM(N438:N444)</f>
        <v>9</v>
      </c>
      <c r="O450" s="500">
        <f>IF(N$450=0,0,N450/N$450)</f>
        <v>1</v>
      </c>
      <c r="P450" s="680"/>
    </row>
    <row r="451" spans="1:16" s="757" customFormat="1" ht="18" customHeight="1" x14ac:dyDescent="0.25">
      <c r="A451" s="182"/>
      <c r="B451" s="547"/>
      <c r="C451" s="182"/>
      <c r="D451" s="813"/>
      <c r="E451" s="814"/>
      <c r="F451" s="814"/>
      <c r="G451" s="815"/>
      <c r="H451" s="777"/>
      <c r="I451" s="198" t="str">
        <f>IF(I$436=0,"",IF(I449&gt;3,"NOK",IF(AND(I$436=1,I449=0),"NOK",IF(AND(I$436=1,I449&lt;=3),"OK","NOK"))))</f>
        <v>OK</v>
      </c>
      <c r="J451" s="198" t="str">
        <f t="shared" ref="J451:M451" si="242">IF(J$436=0,"",IF(J449&gt;3,"NOK",IF(AND(J$436=1,J449=0),"NOK",IF(AND(J$436=1,J449&lt;=3),"OK","NOK"))))</f>
        <v>OK</v>
      </c>
      <c r="K451" s="198" t="str">
        <f t="shared" si="242"/>
        <v>OK</v>
      </c>
      <c r="L451" s="198" t="str">
        <f t="shared" si="242"/>
        <v>OK</v>
      </c>
      <c r="M451" s="715" t="str">
        <f t="shared" si="242"/>
        <v>OK</v>
      </c>
      <c r="N451" s="853"/>
      <c r="O451" s="689"/>
      <c r="P451" s="689"/>
    </row>
    <row r="452" spans="1:16" ht="17.100000000000001" customHeight="1" x14ac:dyDescent="0.25">
      <c r="D452" s="662"/>
      <c r="E452" s="662"/>
    </row>
    <row r="453" spans="1:16" ht="15" customHeight="1" x14ac:dyDescent="0.25">
      <c r="D453" s="662"/>
      <c r="E453" s="662"/>
      <c r="P453" s="756" t="s">
        <v>1178</v>
      </c>
    </row>
    <row r="454" spans="1:16" ht="15" customHeight="1" x14ac:dyDescent="0.25">
      <c r="P454" s="756" t="s">
        <v>1179</v>
      </c>
    </row>
    <row r="455" spans="1:16" ht="15" customHeight="1" x14ac:dyDescent="0.25">
      <c r="P455" s="756" t="s">
        <v>1180</v>
      </c>
    </row>
    <row r="456" spans="1:16" ht="15" customHeight="1" x14ac:dyDescent="0.25">
      <c r="P456" s="756" t="s">
        <v>1181</v>
      </c>
    </row>
  </sheetData>
  <mergeCells count="15">
    <mergeCell ref="Z50:Z51"/>
    <mergeCell ref="Z53:Z56"/>
    <mergeCell ref="Z58:Z60"/>
    <mergeCell ref="V50:V51"/>
    <mergeCell ref="V53:V56"/>
    <mergeCell ref="V58:V60"/>
    <mergeCell ref="Y50:Y51"/>
    <mergeCell ref="Y53:Y56"/>
    <mergeCell ref="Y58:Y60"/>
    <mergeCell ref="D422:G422"/>
    <mergeCell ref="D28:G28"/>
    <mergeCell ref="E179:E182"/>
    <mergeCell ref="E192:E193"/>
    <mergeCell ref="E194:E195"/>
    <mergeCell ref="E196:E197"/>
  </mergeCells>
  <pageMargins left="0.7" right="0.7" top="0.75" bottom="0.75" header="0.3" footer="0.3"/>
  <pageSetup paperSize="9" scale="69" orientation="portrait" r:id="rId1"/>
  <headerFooter>
    <oddFooter>&amp;L&amp;10SANITATION DEMAND AND SUPPLY STUDY&amp;C&amp;10&amp;P&amp;R&amp;10TOILET PART PRODUCERS</oddFooter>
  </headerFooter>
  <rowBreaks count="2" manualBreakCount="2">
    <brk id="141" max="12" man="1"/>
    <brk id="318" max="12" man="1"/>
  </rowBreaks>
  <ignoredErrors>
    <ignoredError sqref="I166:M166 I236:M237 I244:M244 I258:M258 I350:M350 N433 I374:M374" formula="1"/>
    <ignoredError sqref="R71:V71" formulaRange="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sheetPr>
  <dimension ref="A1:T241"/>
  <sheetViews>
    <sheetView zoomScale="80" zoomScaleNormal="80" workbookViewId="0">
      <pane xSplit="7" ySplit="9" topLeftCell="H10" activePane="bottomRight" state="frozen"/>
      <selection pane="topRight" activeCell="H1" sqref="H1"/>
      <selection pane="bottomLeft" activeCell="A9" sqref="A9"/>
      <selection pane="bottomRight" activeCell="A6" sqref="A6"/>
    </sheetView>
  </sheetViews>
  <sheetFormatPr defaultRowHeight="17.100000000000001" customHeight="1" x14ac:dyDescent="0.25"/>
  <cols>
    <col min="1" max="2" width="4.7109375" style="655" customWidth="1"/>
    <col min="3" max="3" width="6.7109375" style="655" customWidth="1"/>
    <col min="4" max="4" width="7.7109375" style="655" customWidth="1"/>
    <col min="5" max="5" width="4.7109375" style="655" customWidth="1"/>
    <col min="6" max="6" width="30.7109375" style="655" customWidth="1"/>
    <col min="7" max="7" width="3.7109375" style="655" customWidth="1"/>
    <col min="8" max="8" width="3.7109375" style="760" customWidth="1"/>
    <col min="9" max="13" width="20.7109375" style="655" customWidth="1"/>
    <col min="14" max="16" width="10.7109375" style="655" customWidth="1"/>
    <col min="17" max="16384" width="9.140625" style="655"/>
  </cols>
  <sheetData>
    <row r="1" spans="1:18" ht="17.100000000000001" customHeight="1" x14ac:dyDescent="0.25">
      <c r="A1" s="1" t="s">
        <v>363</v>
      </c>
      <c r="B1" s="2"/>
      <c r="I1" s="5" t="s">
        <v>883</v>
      </c>
    </row>
    <row r="2" spans="1:18" ht="17.100000000000001" customHeight="1" x14ac:dyDescent="0.25">
      <c r="A2" s="1" t="str">
        <f>'STUDY VILLAGES'!U7</f>
        <v>KAMPOT PROVINCE</v>
      </c>
      <c r="B2" s="2"/>
    </row>
    <row r="3" spans="1:18" ht="17.100000000000001" customHeight="1" x14ac:dyDescent="0.25">
      <c r="A3" s="1" t="str">
        <f>'STUDY VILLAGES'!U8</f>
        <v>BANTEAY MEAS DISTRICT</v>
      </c>
      <c r="B3" s="2"/>
    </row>
    <row r="5" spans="1:18" ht="21" customHeight="1" x14ac:dyDescent="0.25">
      <c r="A5" s="654" t="s">
        <v>1182</v>
      </c>
      <c r="I5" s="11" t="s">
        <v>1</v>
      </c>
      <c r="J5" s="658"/>
    </row>
    <row r="6" spans="1:18" ht="21" customHeight="1" x14ac:dyDescent="0.25">
      <c r="A6" s="761" t="s">
        <v>1346</v>
      </c>
      <c r="I6" s="11" t="s">
        <v>2</v>
      </c>
      <c r="J6" s="659">
        <v>42237</v>
      </c>
    </row>
    <row r="7" spans="1:18" ht="9.9499999999999993" customHeight="1" x14ac:dyDescent="0.25"/>
    <row r="8" spans="1:18" ht="18" customHeight="1" x14ac:dyDescent="0.25">
      <c r="I8" s="661" t="s">
        <v>1347</v>
      </c>
      <c r="J8" s="660" t="s">
        <v>1347</v>
      </c>
      <c r="K8" s="661" t="s">
        <v>1347</v>
      </c>
      <c r="L8" s="661" t="s">
        <v>1347</v>
      </c>
      <c r="M8" s="661" t="s">
        <v>1347</v>
      </c>
    </row>
    <row r="9" spans="1:18" ht="18" customHeight="1" x14ac:dyDescent="0.25">
      <c r="A9" s="875"/>
      <c r="B9" s="875"/>
      <c r="C9" s="875"/>
      <c r="D9" s="875"/>
      <c r="E9" s="875"/>
      <c r="F9" s="875"/>
      <c r="G9" s="876"/>
      <c r="H9" s="758"/>
      <c r="I9" s="660" t="s">
        <v>1078</v>
      </c>
      <c r="J9" s="660" t="s">
        <v>1079</v>
      </c>
      <c r="K9" s="661" t="s">
        <v>1080</v>
      </c>
      <c r="L9" s="661" t="s">
        <v>1081</v>
      </c>
      <c r="M9" s="661" t="s">
        <v>1082</v>
      </c>
    </row>
    <row r="10" spans="1:18" s="879" customFormat="1" ht="18" customHeight="1" thickBot="1" x14ac:dyDescent="0.3">
      <c r="A10" s="665">
        <v>0</v>
      </c>
      <c r="B10" s="666" t="s">
        <v>1348</v>
      </c>
      <c r="C10" s="667"/>
      <c r="D10" s="667"/>
      <c r="E10" s="667"/>
      <c r="F10" s="667"/>
      <c r="G10" s="668"/>
      <c r="H10" s="773"/>
      <c r="I10" s="877"/>
      <c r="J10" s="877"/>
      <c r="K10" s="878"/>
      <c r="L10" s="878"/>
      <c r="M10" s="877"/>
      <c r="N10" s="847" t="s">
        <v>4</v>
      </c>
      <c r="O10" s="669" t="s">
        <v>5</v>
      </c>
      <c r="P10" s="669" t="s">
        <v>6</v>
      </c>
      <c r="Q10" s="655"/>
      <c r="R10" s="655"/>
    </row>
    <row r="11" spans="1:18" ht="27.95" customHeight="1" x14ac:dyDescent="0.25">
      <c r="A11" s="670"/>
      <c r="B11" s="671">
        <v>0</v>
      </c>
      <c r="C11" s="769" t="s">
        <v>1083</v>
      </c>
      <c r="D11" s="673"/>
      <c r="E11" s="673"/>
      <c r="F11" s="673"/>
      <c r="G11" s="673"/>
      <c r="H11" s="731"/>
      <c r="I11" s="804" t="s">
        <v>1418</v>
      </c>
      <c r="J11" s="804" t="s">
        <v>1419</v>
      </c>
      <c r="K11" s="885" t="s">
        <v>1420</v>
      </c>
      <c r="L11" s="885" t="s">
        <v>1421</v>
      </c>
      <c r="M11" s="891"/>
      <c r="N11" s="893"/>
      <c r="O11" s="805"/>
      <c r="P11" s="805"/>
    </row>
    <row r="12" spans="1:18" ht="27.95" customHeight="1" x14ac:dyDescent="0.25">
      <c r="A12" s="670"/>
      <c r="B12" s="671">
        <v>0.1</v>
      </c>
      <c r="C12" s="766" t="s">
        <v>1184</v>
      </c>
      <c r="D12" s="673"/>
      <c r="E12" s="673"/>
      <c r="F12" s="673"/>
      <c r="G12" s="673"/>
      <c r="H12" s="731"/>
      <c r="I12" s="806" t="s">
        <v>1418</v>
      </c>
      <c r="J12" s="806" t="s">
        <v>1419</v>
      </c>
      <c r="K12" s="806" t="s">
        <v>1420</v>
      </c>
      <c r="L12" s="806" t="s">
        <v>1422</v>
      </c>
      <c r="M12" s="832"/>
      <c r="N12" s="894"/>
      <c r="O12" s="679"/>
      <c r="P12" s="679"/>
    </row>
    <row r="13" spans="1:18" ht="27.95" customHeight="1" x14ac:dyDescent="0.25">
      <c r="A13" s="670"/>
      <c r="B13" s="671"/>
      <c r="C13" s="766" t="s">
        <v>1185</v>
      </c>
      <c r="D13" s="673"/>
      <c r="E13" s="673"/>
      <c r="F13" s="673"/>
      <c r="G13" s="673"/>
      <c r="H13" s="731"/>
      <c r="I13" s="886" t="s">
        <v>1423</v>
      </c>
      <c r="J13" s="886" t="s">
        <v>1424</v>
      </c>
      <c r="K13" s="887" t="s">
        <v>1425</v>
      </c>
      <c r="L13" s="887" t="s">
        <v>1426</v>
      </c>
      <c r="M13" s="892"/>
      <c r="N13" s="894"/>
      <c r="O13" s="679"/>
      <c r="P13" s="679"/>
    </row>
    <row r="14" spans="1:18" s="757" customFormat="1" ht="18" customHeight="1" x14ac:dyDescent="0.25">
      <c r="A14" s="765"/>
      <c r="B14" s="883"/>
      <c r="C14" s="884"/>
      <c r="D14" s="882"/>
      <c r="E14" s="882"/>
      <c r="F14" s="882"/>
      <c r="G14" s="882"/>
      <c r="H14" s="731"/>
      <c r="I14" s="863"/>
      <c r="J14" s="863"/>
      <c r="K14" s="863"/>
      <c r="L14" s="863"/>
      <c r="M14" s="864"/>
      <c r="N14" s="853"/>
      <c r="O14" s="689"/>
      <c r="P14" s="689"/>
    </row>
    <row r="15" spans="1:18" ht="18" customHeight="1" x14ac:dyDescent="0.25">
      <c r="A15" s="670"/>
      <c r="B15" s="48">
        <v>0.2</v>
      </c>
      <c r="C15" s="332" t="s">
        <v>1186</v>
      </c>
      <c r="D15" s="50"/>
      <c r="E15" s="673"/>
      <c r="F15" s="673"/>
      <c r="G15" s="673"/>
      <c r="H15" s="731"/>
      <c r="I15" s="586"/>
      <c r="J15" s="586"/>
      <c r="K15" s="586"/>
      <c r="L15" s="586"/>
      <c r="M15" s="865"/>
      <c r="N15" s="856"/>
      <c r="O15" s="682"/>
      <c r="P15" s="682"/>
    </row>
    <row r="16" spans="1:18" ht="18" customHeight="1" x14ac:dyDescent="0.25">
      <c r="A16" s="670"/>
      <c r="B16" s="55"/>
      <c r="C16" s="56" t="s">
        <v>7</v>
      </c>
      <c r="D16" s="57" t="s">
        <v>1084</v>
      </c>
      <c r="E16" s="674"/>
      <c r="F16" s="674"/>
      <c r="G16" s="674"/>
      <c r="H16" s="731"/>
      <c r="I16" s="683">
        <v>1</v>
      </c>
      <c r="J16" s="683"/>
      <c r="K16" s="683"/>
      <c r="L16" s="683"/>
      <c r="M16" s="707"/>
      <c r="N16" s="840">
        <f>SUM(I16:M16)</f>
        <v>1</v>
      </c>
      <c r="O16" s="675">
        <f>IF(N$19=0,0,N16/N$19)</f>
        <v>0.25</v>
      </c>
      <c r="P16" s="679"/>
    </row>
    <row r="17" spans="1:16" ht="18" customHeight="1" x14ac:dyDescent="0.25">
      <c r="A17" s="670"/>
      <c r="B17" s="55"/>
      <c r="C17" s="56" t="s">
        <v>8</v>
      </c>
      <c r="D17" s="57" t="s">
        <v>1085</v>
      </c>
      <c r="E17" s="674"/>
      <c r="F17" s="674"/>
      <c r="G17" s="674"/>
      <c r="H17" s="731"/>
      <c r="I17" s="688"/>
      <c r="J17" s="688">
        <v>1</v>
      </c>
      <c r="K17" s="688">
        <v>1</v>
      </c>
      <c r="L17" s="688">
        <v>1</v>
      </c>
      <c r="M17" s="708"/>
      <c r="N17" s="840">
        <f>SUM(I17:M17)</f>
        <v>3</v>
      </c>
      <c r="O17" s="675">
        <f>IF(N$19=0,0,N17/N$19)</f>
        <v>0.75</v>
      </c>
      <c r="P17" s="679"/>
    </row>
    <row r="18" spans="1:16" ht="18" hidden="1" customHeight="1" x14ac:dyDescent="0.25">
      <c r="A18" s="182"/>
      <c r="B18" s="547"/>
      <c r="C18" s="547"/>
      <c r="D18" s="742"/>
      <c r="E18" s="677"/>
      <c r="F18" s="676"/>
      <c r="G18" s="717"/>
      <c r="H18" s="731"/>
      <c r="I18" s="161">
        <f>SUM(I16:I17)</f>
        <v>1</v>
      </c>
      <c r="J18" s="161">
        <f>SUM(J16:J17)</f>
        <v>1</v>
      </c>
      <c r="K18" s="161">
        <f>SUM(K16:K17)</f>
        <v>1</v>
      </c>
      <c r="L18" s="161">
        <f>SUM(L16:L17)</f>
        <v>1</v>
      </c>
      <c r="M18" s="697">
        <f>SUM(M16:M17)</f>
        <v>0</v>
      </c>
      <c r="N18" s="841"/>
      <c r="O18" s="162"/>
      <c r="P18" s="678"/>
    </row>
    <row r="19" spans="1:16" ht="18" customHeight="1" x14ac:dyDescent="0.25">
      <c r="A19" s="679"/>
      <c r="B19" s="679"/>
      <c r="C19" s="325"/>
      <c r="D19" s="701"/>
      <c r="E19" s="326"/>
      <c r="F19" s="326"/>
      <c r="G19" s="702"/>
      <c r="H19" s="731"/>
      <c r="I19" s="64"/>
      <c r="J19" s="64"/>
      <c r="K19" s="64"/>
      <c r="L19" s="64"/>
      <c r="M19" s="709"/>
      <c r="N19" s="390">
        <f>SUM(N16:N17)</f>
        <v>4</v>
      </c>
      <c r="O19" s="500">
        <f>IF(N$19=0,0,N19/N$19)</f>
        <v>1</v>
      </c>
      <c r="P19" s="680"/>
    </row>
    <row r="20" spans="1:16" s="757" customFormat="1" ht="18" customHeight="1" x14ac:dyDescent="0.25">
      <c r="A20" s="689"/>
      <c r="B20" s="689"/>
      <c r="C20" s="182"/>
      <c r="D20" s="713"/>
      <c r="E20" s="427"/>
      <c r="F20" s="427"/>
      <c r="G20" s="759"/>
      <c r="H20" s="731"/>
      <c r="I20" s="198" t="str">
        <f>IF(AND(I$33=1,I18&gt;0),"OK",IF(I$33=0,"","NOK"))</f>
        <v>OK</v>
      </c>
      <c r="J20" s="198" t="str">
        <f t="shared" ref="J20:M20" si="0">IF(AND(J$33=1,J18&gt;0),"OK",IF(J$33=0,"","NOK"))</f>
        <v>OK</v>
      </c>
      <c r="K20" s="198" t="str">
        <f t="shared" si="0"/>
        <v>OK</v>
      </c>
      <c r="L20" s="198" t="str">
        <f t="shared" si="0"/>
        <v>OK</v>
      </c>
      <c r="M20" s="715" t="str">
        <f t="shared" si="0"/>
        <v/>
      </c>
      <c r="N20" s="842"/>
      <c r="O20" s="197"/>
      <c r="P20" s="689"/>
    </row>
    <row r="21" spans="1:16" ht="18" customHeight="1" x14ac:dyDescent="0.25">
      <c r="A21" s="679"/>
      <c r="B21" s="671">
        <v>0.2</v>
      </c>
      <c r="C21" s="274" t="s">
        <v>1086</v>
      </c>
      <c r="D21" s="50"/>
      <c r="E21" s="50"/>
      <c r="F21" s="50"/>
      <c r="G21" s="50"/>
      <c r="H21" s="731"/>
      <c r="I21" s="888"/>
      <c r="J21" s="681"/>
      <c r="K21" s="691"/>
      <c r="L21" s="691"/>
      <c r="M21" s="693"/>
      <c r="N21" s="894"/>
      <c r="O21" s="679"/>
      <c r="P21" s="679"/>
    </row>
    <row r="22" spans="1:16" ht="18" customHeight="1" x14ac:dyDescent="0.25">
      <c r="A22" s="679"/>
      <c r="B22" s="679"/>
      <c r="C22" s="56" t="s">
        <v>7</v>
      </c>
      <c r="D22" s="149" t="s">
        <v>1088</v>
      </c>
      <c r="E22" s="149"/>
      <c r="F22" s="149"/>
      <c r="G22" s="149"/>
      <c r="H22" s="731"/>
      <c r="I22" s="683">
        <v>2</v>
      </c>
      <c r="J22" s="889">
        <v>4</v>
      </c>
      <c r="K22" s="683">
        <v>8</v>
      </c>
      <c r="L22" s="683">
        <v>3</v>
      </c>
      <c r="M22" s="707"/>
      <c r="N22" s="840"/>
      <c r="O22" s="675"/>
      <c r="P22" s="684">
        <f>P24</f>
        <v>4.25</v>
      </c>
    </row>
    <row r="23" spans="1:16" ht="18" hidden="1" customHeight="1" x14ac:dyDescent="0.25">
      <c r="A23" s="182"/>
      <c r="B23" s="547"/>
      <c r="C23" s="547"/>
      <c r="D23" s="742"/>
      <c r="E23" s="677"/>
      <c r="F23" s="676"/>
      <c r="G23" s="717"/>
      <c r="H23" s="731"/>
      <c r="I23" s="161">
        <f>I22</f>
        <v>2</v>
      </c>
      <c r="J23" s="161">
        <f>J22</f>
        <v>4</v>
      </c>
      <c r="K23" s="161">
        <f>K22</f>
        <v>8</v>
      </c>
      <c r="L23" s="161">
        <f>L22</f>
        <v>3</v>
      </c>
      <c r="M23" s="697">
        <f>M22</f>
        <v>0</v>
      </c>
      <c r="N23" s="841">
        <f>SUM(I23:M23)</f>
        <v>17</v>
      </c>
      <c r="O23" s="504"/>
      <c r="P23" s="678"/>
    </row>
    <row r="24" spans="1:16" ht="18" hidden="1" customHeight="1" x14ac:dyDescent="0.25">
      <c r="A24" s="182"/>
      <c r="B24" s="547"/>
      <c r="C24" s="547"/>
      <c r="D24" s="742"/>
      <c r="E24" s="677"/>
      <c r="F24" s="676"/>
      <c r="G24" s="717"/>
      <c r="H24" s="731"/>
      <c r="I24" s="161">
        <f>IF(I23&gt;0,I23,"")</f>
        <v>2</v>
      </c>
      <c r="J24" s="161">
        <f>IF(J23&gt;0,J23,"")</f>
        <v>4</v>
      </c>
      <c r="K24" s="161">
        <f>IF(K23&gt;0,K23,"")</f>
        <v>8</v>
      </c>
      <c r="L24" s="161">
        <f>IF(L23&gt;0,L23,"")</f>
        <v>3</v>
      </c>
      <c r="M24" s="697" t="str">
        <f>IF(M23&gt;0,M23,"")</f>
        <v/>
      </c>
      <c r="N24" s="841">
        <f>SUM(I24:M24)</f>
        <v>17</v>
      </c>
      <c r="O24" s="504"/>
      <c r="P24" s="678">
        <f>IF(N24=0,0,AVERAGE(I24:M24))</f>
        <v>4.25</v>
      </c>
    </row>
    <row r="25" spans="1:16" s="757" customFormat="1" ht="18" customHeight="1" x14ac:dyDescent="0.25">
      <c r="A25" s="689"/>
      <c r="B25" s="689"/>
      <c r="C25" s="182"/>
      <c r="D25" s="713"/>
      <c r="E25" s="427"/>
      <c r="F25" s="427"/>
      <c r="G25" s="759"/>
      <c r="H25" s="731"/>
      <c r="I25" s="198" t="str">
        <f>IF(AND(I$33=1,I23&gt;0),"OK",IF(I$33=0,"","NOK"))</f>
        <v>OK</v>
      </c>
      <c r="J25" s="198" t="str">
        <f t="shared" ref="J25:M25" si="1">IF(AND(J$33=1,J23&gt;0),"OK",IF(J$33=0,"","NOK"))</f>
        <v>OK</v>
      </c>
      <c r="K25" s="198" t="str">
        <f t="shared" si="1"/>
        <v>OK</v>
      </c>
      <c r="L25" s="198" t="str">
        <f t="shared" si="1"/>
        <v>OK</v>
      </c>
      <c r="M25" s="715" t="str">
        <f t="shared" si="1"/>
        <v/>
      </c>
      <c r="N25" s="842"/>
      <c r="O25" s="197"/>
      <c r="P25" s="689"/>
    </row>
    <row r="26" spans="1:16" ht="18" customHeight="1" x14ac:dyDescent="0.25">
      <c r="A26" s="679"/>
      <c r="B26" s="48">
        <v>0.3</v>
      </c>
      <c r="C26" s="274" t="s">
        <v>1349</v>
      </c>
      <c r="D26" s="50"/>
      <c r="E26" s="50"/>
      <c r="F26" s="50"/>
      <c r="G26" s="685"/>
      <c r="H26" s="241"/>
      <c r="I26" s="783"/>
      <c r="J26" s="783"/>
      <c r="K26" s="691"/>
      <c r="L26" s="691"/>
      <c r="M26" s="693"/>
      <c r="N26" s="856"/>
      <c r="O26" s="682"/>
      <c r="P26" s="682"/>
    </row>
    <row r="27" spans="1:16" ht="18" customHeight="1" x14ac:dyDescent="0.25">
      <c r="A27" s="679"/>
      <c r="B27" s="679"/>
      <c r="C27" s="56" t="s">
        <v>1087</v>
      </c>
      <c r="D27" s="146" t="s">
        <v>1350</v>
      </c>
      <c r="E27" s="149"/>
      <c r="F27" s="149"/>
      <c r="G27" s="692"/>
      <c r="H27" s="241"/>
      <c r="I27" s="683">
        <v>1</v>
      </c>
      <c r="J27" s="889"/>
      <c r="K27" s="683"/>
      <c r="L27" s="683">
        <v>1</v>
      </c>
      <c r="M27" s="707"/>
      <c r="N27" s="840">
        <f t="shared" ref="N27:N33" si="2">SUM(C27:M27)</f>
        <v>2</v>
      </c>
      <c r="O27" s="675">
        <f>IF(N$30=0,0,N27/N$30)</f>
        <v>0.5</v>
      </c>
      <c r="P27" s="689"/>
    </row>
    <row r="28" spans="1:16" ht="18" customHeight="1" x14ac:dyDescent="0.25">
      <c r="A28" s="679"/>
      <c r="B28" s="679"/>
      <c r="C28" s="56" t="s">
        <v>1089</v>
      </c>
      <c r="D28" s="146" t="s">
        <v>1351</v>
      </c>
      <c r="E28" s="149"/>
      <c r="F28" s="149"/>
      <c r="G28" s="692"/>
      <c r="H28" s="241"/>
      <c r="I28" s="688"/>
      <c r="J28" s="890">
        <v>1</v>
      </c>
      <c r="K28" s="688">
        <v>1</v>
      </c>
      <c r="L28" s="688"/>
      <c r="M28" s="708"/>
      <c r="N28" s="840">
        <f t="shared" ref="N28:N29" si="3">SUM(C28:M28)</f>
        <v>2</v>
      </c>
      <c r="O28" s="675">
        <f t="shared" ref="O28:O29" si="4">IF(N$30=0,0,N28/N$30)</f>
        <v>0.5</v>
      </c>
      <c r="P28" s="689"/>
    </row>
    <row r="29" spans="1:16" ht="18" customHeight="1" x14ac:dyDescent="0.25">
      <c r="A29" s="679"/>
      <c r="B29" s="679"/>
      <c r="C29" s="56" t="s">
        <v>1358</v>
      </c>
      <c r="D29" s="146" t="s">
        <v>1357</v>
      </c>
      <c r="E29" s="149"/>
      <c r="F29" s="149"/>
      <c r="G29" s="692"/>
      <c r="H29" s="731"/>
      <c r="I29" s="683"/>
      <c r="J29" s="889"/>
      <c r="K29" s="683"/>
      <c r="L29" s="683"/>
      <c r="M29" s="707"/>
      <c r="N29" s="840">
        <f t="shared" si="3"/>
        <v>0</v>
      </c>
      <c r="O29" s="675">
        <f t="shared" si="4"/>
        <v>0</v>
      </c>
      <c r="P29" s="689"/>
    </row>
    <row r="30" spans="1:16" ht="18" customHeight="1" x14ac:dyDescent="0.25">
      <c r="A30" s="679"/>
      <c r="B30" s="679"/>
      <c r="C30" s="325"/>
      <c r="D30" s="701"/>
      <c r="E30" s="326"/>
      <c r="F30" s="326"/>
      <c r="G30" s="702"/>
      <c r="H30" s="731"/>
      <c r="I30" s="64">
        <f>SUM(I27:I29)</f>
        <v>1</v>
      </c>
      <c r="J30" s="64">
        <f t="shared" ref="J30:N30" si="5">SUM(J27:J29)</f>
        <v>1</v>
      </c>
      <c r="K30" s="64">
        <f t="shared" si="5"/>
        <v>1</v>
      </c>
      <c r="L30" s="64">
        <f t="shared" si="5"/>
        <v>1</v>
      </c>
      <c r="M30" s="709">
        <f t="shared" si="5"/>
        <v>0</v>
      </c>
      <c r="N30" s="390">
        <f t="shared" si="5"/>
        <v>4</v>
      </c>
      <c r="O30" s="500">
        <f>IF(N$30=0,0,N30/N$30)</f>
        <v>1</v>
      </c>
      <c r="P30" s="680"/>
    </row>
    <row r="31" spans="1:16" s="757" customFormat="1" ht="18" customHeight="1" x14ac:dyDescent="0.25">
      <c r="A31" s="689"/>
      <c r="B31" s="689"/>
      <c r="C31" s="182"/>
      <c r="D31" s="427"/>
      <c r="E31" s="427"/>
      <c r="F31" s="427"/>
      <c r="G31" s="427"/>
      <c r="H31" s="731"/>
      <c r="I31" s="198" t="str">
        <f>IF(AND(I33=1,I30=1),"OK",IF(I33=0,"","NOK"))</f>
        <v>OK</v>
      </c>
      <c r="J31" s="198" t="str">
        <f t="shared" ref="J31:M31" si="6">IF(AND(J33=1,J30=1),"OK",IF(J33=0,"","NOK"))</f>
        <v>OK</v>
      </c>
      <c r="K31" s="198" t="str">
        <f t="shared" si="6"/>
        <v>OK</v>
      </c>
      <c r="L31" s="198" t="str">
        <f t="shared" si="6"/>
        <v>OK</v>
      </c>
      <c r="M31" s="715" t="str">
        <f t="shared" si="6"/>
        <v/>
      </c>
      <c r="N31" s="853"/>
      <c r="O31" s="689"/>
      <c r="P31" s="689"/>
    </row>
    <row r="32" spans="1:16" ht="18" customHeight="1" x14ac:dyDescent="0.25">
      <c r="A32" s="182"/>
      <c r="B32" s="48">
        <v>0.3</v>
      </c>
      <c r="C32" s="274" t="s">
        <v>12</v>
      </c>
      <c r="D32" s="50"/>
      <c r="E32" s="50"/>
      <c r="F32" s="50"/>
      <c r="G32" s="685"/>
      <c r="H32" s="241"/>
      <c r="I32" s="691"/>
      <c r="J32" s="691"/>
      <c r="K32" s="691"/>
      <c r="L32" s="691"/>
      <c r="M32" s="693"/>
      <c r="N32" s="856"/>
      <c r="O32" s="682"/>
      <c r="P32" s="682"/>
    </row>
    <row r="33" spans="1:16" ht="18" customHeight="1" x14ac:dyDescent="0.25">
      <c r="A33" s="679"/>
      <c r="B33" s="679"/>
      <c r="C33" s="56" t="s">
        <v>1087</v>
      </c>
      <c r="D33" s="149" t="s">
        <v>1102</v>
      </c>
      <c r="E33" s="149"/>
      <c r="F33" s="149"/>
      <c r="G33" s="149"/>
      <c r="H33" s="731"/>
      <c r="I33" s="807">
        <f>IF(I18=1,1,IF(I23&gt;0,1,IF(I30=1,1,0)))</f>
        <v>1</v>
      </c>
      <c r="J33" s="807">
        <f>IF(J23&gt;0,1,0)</f>
        <v>1</v>
      </c>
      <c r="K33" s="807">
        <f>IF(K23&gt;0,1,0)</f>
        <v>1</v>
      </c>
      <c r="L33" s="807">
        <f>IF(L23&gt;0,1,0)</f>
        <v>1</v>
      </c>
      <c r="M33" s="695">
        <f>IF(M23&gt;0,1,0)</f>
        <v>0</v>
      </c>
      <c r="N33" s="840">
        <f t="shared" si="2"/>
        <v>4</v>
      </c>
      <c r="O33" s="880"/>
      <c r="P33" s="880"/>
    </row>
    <row r="34" spans="1:16" s="662" customFormat="1" ht="18" customHeight="1" x14ac:dyDescent="0.25">
      <c r="H34" s="760"/>
      <c r="I34" s="704"/>
      <c r="J34" s="704"/>
    </row>
    <row r="35" spans="1:16" s="879" customFormat="1" ht="18" customHeight="1" thickBot="1" x14ac:dyDescent="0.3">
      <c r="A35" s="665" t="s">
        <v>13</v>
      </c>
      <c r="B35" s="666" t="s">
        <v>1112</v>
      </c>
      <c r="C35" s="667"/>
      <c r="D35" s="667"/>
      <c r="E35" s="667"/>
      <c r="F35" s="667"/>
      <c r="G35" s="668"/>
      <c r="H35" s="773"/>
      <c r="I35" s="706">
        <f>I33</f>
        <v>1</v>
      </c>
      <c r="J35" s="706">
        <f>J33</f>
        <v>1</v>
      </c>
      <c r="K35" s="706">
        <f>K33</f>
        <v>1</v>
      </c>
      <c r="L35" s="706">
        <f>L33</f>
        <v>1</v>
      </c>
      <c r="M35" s="706">
        <f>M33</f>
        <v>0</v>
      </c>
      <c r="N35" s="847" t="s">
        <v>4</v>
      </c>
      <c r="O35" s="669" t="s">
        <v>5</v>
      </c>
      <c r="P35" s="669" t="s">
        <v>6</v>
      </c>
    </row>
    <row r="36" spans="1:16" ht="18" customHeight="1" x14ac:dyDescent="0.25">
      <c r="A36" s="182"/>
      <c r="B36" s="48" t="s">
        <v>15</v>
      </c>
      <c r="C36" s="274" t="s">
        <v>1202</v>
      </c>
      <c r="D36" s="274"/>
      <c r="E36" s="50"/>
      <c r="F36" s="50"/>
      <c r="G36" s="685"/>
      <c r="H36" s="731"/>
      <c r="I36" s="809"/>
      <c r="J36" s="809"/>
      <c r="K36" s="809"/>
      <c r="L36" s="809"/>
      <c r="M36" s="846"/>
      <c r="N36" s="848"/>
      <c r="O36" s="810"/>
      <c r="P36" s="810"/>
    </row>
    <row r="37" spans="1:16" ht="18" customHeight="1" x14ac:dyDescent="0.25">
      <c r="A37" s="182"/>
      <c r="B37" s="182"/>
      <c r="C37" s="48" t="s">
        <v>1124</v>
      </c>
      <c r="D37" s="274" t="s">
        <v>1352</v>
      </c>
      <c r="E37" s="50"/>
      <c r="F37" s="50"/>
      <c r="G37" s="685"/>
      <c r="H37" s="731"/>
      <c r="I37" s="691"/>
      <c r="J37" s="691"/>
      <c r="K37" s="691"/>
      <c r="L37" s="691"/>
      <c r="M37" s="693"/>
      <c r="N37" s="839"/>
      <c r="O37" s="682"/>
      <c r="P37" s="682"/>
    </row>
    <row r="38" spans="1:16" ht="18" customHeight="1" x14ac:dyDescent="0.25">
      <c r="A38" s="182"/>
      <c r="B38" s="547"/>
      <c r="C38" s="547"/>
      <c r="D38" s="56" t="s">
        <v>1125</v>
      </c>
      <c r="E38" s="149" t="s">
        <v>1203</v>
      </c>
      <c r="F38" s="149"/>
      <c r="G38" s="692"/>
      <c r="H38" s="731"/>
      <c r="I38" s="683">
        <v>12</v>
      </c>
      <c r="J38" s="683">
        <v>3</v>
      </c>
      <c r="K38" s="683">
        <v>30</v>
      </c>
      <c r="L38" s="683">
        <v>57</v>
      </c>
      <c r="M38" s="707"/>
      <c r="N38" s="842">
        <f>SUM(I38:M38)</f>
        <v>102</v>
      </c>
      <c r="O38" s="197"/>
      <c r="P38" s="164">
        <f>ROUND(P41/10,0)*10</f>
        <v>30</v>
      </c>
    </row>
    <row r="39" spans="1:16" ht="18" customHeight="1" x14ac:dyDescent="0.25">
      <c r="A39" s="182"/>
      <c r="B39" s="547"/>
      <c r="C39" s="547"/>
      <c r="D39" s="56" t="s">
        <v>1127</v>
      </c>
      <c r="E39" s="149" t="s">
        <v>1208</v>
      </c>
      <c r="F39" s="149"/>
      <c r="G39" s="692"/>
      <c r="H39" s="731"/>
      <c r="I39" s="688">
        <v>72500</v>
      </c>
      <c r="J39" s="688">
        <v>40000</v>
      </c>
      <c r="K39" s="688">
        <v>62500</v>
      </c>
      <c r="L39" s="688">
        <v>57500</v>
      </c>
      <c r="M39" s="708"/>
      <c r="N39" s="842"/>
      <c r="O39" s="197"/>
      <c r="P39" s="164">
        <f>ROUND(P43/500,0)*500</f>
        <v>58000</v>
      </c>
    </row>
    <row r="40" spans="1:16" ht="18" hidden="1" customHeight="1" x14ac:dyDescent="0.25">
      <c r="A40" s="182"/>
      <c r="B40" s="547"/>
      <c r="C40" s="547"/>
      <c r="D40" s="676"/>
      <c r="E40" s="677"/>
      <c r="F40" s="676"/>
      <c r="G40" s="717"/>
      <c r="H40" s="731"/>
      <c r="I40" s="161">
        <f>I38</f>
        <v>12</v>
      </c>
      <c r="J40" s="161">
        <f>J38</f>
        <v>3</v>
      </c>
      <c r="K40" s="161">
        <f>K38</f>
        <v>30</v>
      </c>
      <c r="L40" s="161">
        <f>L38</f>
        <v>57</v>
      </c>
      <c r="M40" s="697">
        <f>M38</f>
        <v>0</v>
      </c>
      <c r="N40" s="841">
        <f>SUM(I40:M40)</f>
        <v>102</v>
      </c>
      <c r="O40" s="504"/>
      <c r="P40" s="161"/>
    </row>
    <row r="41" spans="1:16" ht="18" hidden="1" customHeight="1" x14ac:dyDescent="0.25">
      <c r="A41" s="182"/>
      <c r="B41" s="547"/>
      <c r="C41" s="547"/>
      <c r="D41" s="676"/>
      <c r="E41" s="677"/>
      <c r="F41" s="676"/>
      <c r="G41" s="717"/>
      <c r="H41" s="731"/>
      <c r="I41" s="161">
        <f>IF(I38&gt;0,I38,"")</f>
        <v>12</v>
      </c>
      <c r="J41" s="161">
        <f>IF(J38&gt;0,J38,"")</f>
        <v>3</v>
      </c>
      <c r="K41" s="161">
        <f>IF(K38&gt;0,K38,"")</f>
        <v>30</v>
      </c>
      <c r="L41" s="161">
        <f>IF(L38&gt;0,L38,"")</f>
        <v>57</v>
      </c>
      <c r="M41" s="697" t="str">
        <f>IF(M38&gt;0,M38,"")</f>
        <v/>
      </c>
      <c r="N41" s="841"/>
      <c r="O41" s="504"/>
      <c r="P41" s="161">
        <f>IF(N40=0,0,AVERAGE(I41:M41))</f>
        <v>25.5</v>
      </c>
    </row>
    <row r="42" spans="1:16" ht="18" hidden="1" customHeight="1" x14ac:dyDescent="0.25">
      <c r="A42" s="182"/>
      <c r="B42" s="547"/>
      <c r="C42" s="547"/>
      <c r="D42" s="676"/>
      <c r="E42" s="677"/>
      <c r="F42" s="676"/>
      <c r="G42" s="717"/>
      <c r="H42" s="731"/>
      <c r="I42" s="161">
        <f>I39</f>
        <v>72500</v>
      </c>
      <c r="J42" s="161">
        <f>J39</f>
        <v>40000</v>
      </c>
      <c r="K42" s="161">
        <f>K39</f>
        <v>62500</v>
      </c>
      <c r="L42" s="161">
        <f>L39</f>
        <v>57500</v>
      </c>
      <c r="M42" s="697">
        <f>M39</f>
        <v>0</v>
      </c>
      <c r="N42" s="841">
        <f>SUM(I42:M42)</f>
        <v>232500</v>
      </c>
      <c r="O42" s="504"/>
      <c r="P42" s="161"/>
    </row>
    <row r="43" spans="1:16" ht="18" hidden="1" customHeight="1" x14ac:dyDescent="0.25">
      <c r="A43" s="182"/>
      <c r="B43" s="547"/>
      <c r="C43" s="547"/>
      <c r="D43" s="676"/>
      <c r="E43" s="677"/>
      <c r="F43" s="676"/>
      <c r="G43" s="717"/>
      <c r="H43" s="731"/>
      <c r="I43" s="161">
        <f>IF(I39&gt;0,I39,"")</f>
        <v>72500</v>
      </c>
      <c r="J43" s="161">
        <f>IF(J39&gt;0,J39,"")</f>
        <v>40000</v>
      </c>
      <c r="K43" s="161">
        <f>IF(K39&gt;0,K39,"")</f>
        <v>62500</v>
      </c>
      <c r="L43" s="161">
        <f>IF(L39&gt;0,L39,"")</f>
        <v>57500</v>
      </c>
      <c r="M43" s="697" t="str">
        <f>IF(M39&gt;0,M39,"")</f>
        <v/>
      </c>
      <c r="N43" s="841"/>
      <c r="O43" s="504"/>
      <c r="P43" s="161">
        <f>IF(N42=0,0,AVERAGE(I43:M43))</f>
        <v>58125</v>
      </c>
    </row>
    <row r="44" spans="1:16" s="757" customFormat="1" ht="18" customHeight="1" x14ac:dyDescent="0.25">
      <c r="A44" s="182"/>
      <c r="B44" s="689"/>
      <c r="C44" s="182"/>
      <c r="D44" s="427"/>
      <c r="E44" s="427"/>
      <c r="F44" s="427"/>
      <c r="G44" s="759"/>
      <c r="H44" s="731"/>
      <c r="I44" s="198" t="str">
        <f>IF(AND(I38&gt;0,I39=0),"NOK",IF(AND(I38&gt;0,I39&gt;0),"OK",""))</f>
        <v>OK</v>
      </c>
      <c r="J44" s="198" t="str">
        <f>IF(AND(J38&gt;0,J39=0),"NOK",IF(AND(J38&gt;0,J39&gt;0),"OK",""))</f>
        <v>OK</v>
      </c>
      <c r="K44" s="198" t="str">
        <f>IF(AND(K38&gt;0,K39=0),"NOK",IF(AND(K38&gt;0,K39&gt;0),"OK",""))</f>
        <v>OK</v>
      </c>
      <c r="L44" s="198" t="str">
        <f>IF(AND(L38&gt;0,L39=0),"NOK",IF(AND(L38&gt;0,L39&gt;0),"OK",""))</f>
        <v>OK</v>
      </c>
      <c r="M44" s="715" t="str">
        <f>IF(AND(M38&gt;0,M39=0),"NOK",IF(AND(M38&gt;0,M39&gt;0),"OK",""))</f>
        <v/>
      </c>
      <c r="N44" s="842"/>
      <c r="O44" s="197"/>
      <c r="P44" s="689"/>
    </row>
    <row r="45" spans="1:16" ht="18" customHeight="1" x14ac:dyDescent="0.25">
      <c r="A45" s="182"/>
      <c r="B45" s="547"/>
      <c r="C45" s="48" t="s">
        <v>1129</v>
      </c>
      <c r="D45" s="274" t="s">
        <v>1354</v>
      </c>
      <c r="E45" s="50"/>
      <c r="F45" s="50"/>
      <c r="G45" s="685"/>
      <c r="H45" s="731"/>
      <c r="I45" s="88"/>
      <c r="J45" s="88"/>
      <c r="K45" s="88"/>
      <c r="L45" s="88"/>
      <c r="M45" s="734"/>
      <c r="N45" s="851"/>
      <c r="O45" s="784"/>
      <c r="P45" s="682"/>
    </row>
    <row r="46" spans="1:16" ht="18" customHeight="1" x14ac:dyDescent="0.25">
      <c r="A46" s="182"/>
      <c r="B46" s="679"/>
      <c r="C46" s="547"/>
      <c r="D46" s="56" t="s">
        <v>1216</v>
      </c>
      <c r="E46" s="149" t="s">
        <v>1203</v>
      </c>
      <c r="F46" s="149"/>
      <c r="G46" s="692"/>
      <c r="H46" s="731"/>
      <c r="I46" s="683">
        <v>1000</v>
      </c>
      <c r="J46" s="683">
        <v>400</v>
      </c>
      <c r="K46" s="683">
        <v>1200</v>
      </c>
      <c r="L46" s="683">
        <v>4300</v>
      </c>
      <c r="M46" s="707"/>
      <c r="N46" s="842">
        <f>SUM(J46:M46)</f>
        <v>5900</v>
      </c>
      <c r="O46" s="197"/>
      <c r="P46" s="164" t="e">
        <f>ROUND(P49/10,0)*10</f>
        <v>#REF!</v>
      </c>
    </row>
    <row r="47" spans="1:16" ht="18" customHeight="1" x14ac:dyDescent="0.25">
      <c r="A47" s="182"/>
      <c r="B47" s="547"/>
      <c r="C47" s="547"/>
      <c r="D47" s="56" t="s">
        <v>1217</v>
      </c>
      <c r="E47" s="149" t="s">
        <v>1359</v>
      </c>
      <c r="F47" s="149"/>
      <c r="G47" s="692"/>
      <c r="H47" s="731"/>
      <c r="I47" s="688">
        <v>20000</v>
      </c>
      <c r="J47" s="688">
        <v>19500</v>
      </c>
      <c r="K47" s="688">
        <v>20000</v>
      </c>
      <c r="L47" s="688">
        <v>20000</v>
      </c>
      <c r="M47" s="708"/>
      <c r="N47" s="842"/>
      <c r="O47" s="197"/>
      <c r="P47" s="164">
        <f>ROUND(P51/500,0)*500</f>
        <v>20000</v>
      </c>
    </row>
    <row r="48" spans="1:16" ht="18" hidden="1" customHeight="1" x14ac:dyDescent="0.25">
      <c r="A48" s="182"/>
      <c r="B48" s="547"/>
      <c r="C48" s="547"/>
      <c r="D48" s="676"/>
      <c r="E48" s="677"/>
      <c r="F48" s="676"/>
      <c r="G48" s="717"/>
      <c r="H48" s="731"/>
      <c r="I48" s="161">
        <f>K46</f>
        <v>1200</v>
      </c>
      <c r="J48" s="161">
        <f t="shared" ref="J48:M48" si="7">J46</f>
        <v>400</v>
      </c>
      <c r="K48" s="161" t="e">
        <f>#REF!</f>
        <v>#REF!</v>
      </c>
      <c r="L48" s="161">
        <f t="shared" si="7"/>
        <v>4300</v>
      </c>
      <c r="M48" s="697">
        <f t="shared" si="7"/>
        <v>0</v>
      </c>
      <c r="N48" s="841" t="e">
        <f>SUM(I48:M48)</f>
        <v>#REF!</v>
      </c>
      <c r="O48" s="504"/>
      <c r="P48" s="161"/>
    </row>
    <row r="49" spans="1:20" ht="18" hidden="1" customHeight="1" x14ac:dyDescent="0.25">
      <c r="A49" s="182"/>
      <c r="B49" s="547"/>
      <c r="C49" s="547"/>
      <c r="D49" s="676"/>
      <c r="E49" s="677"/>
      <c r="F49" s="676"/>
      <c r="G49" s="717"/>
      <c r="H49" s="731"/>
      <c r="I49" s="161">
        <f>IF(K46&gt;0,K46,"")</f>
        <v>1200</v>
      </c>
      <c r="J49" s="161">
        <f t="shared" ref="J49:M49" si="8">IF(J46&gt;0,J46,"")</f>
        <v>400</v>
      </c>
      <c r="K49" s="161" t="e">
        <f>IF(#REF!&gt;0,#REF!,"")</f>
        <v>#REF!</v>
      </c>
      <c r="L49" s="161">
        <f t="shared" si="8"/>
        <v>4300</v>
      </c>
      <c r="M49" s="697" t="str">
        <f t="shared" si="8"/>
        <v/>
      </c>
      <c r="N49" s="841"/>
      <c r="O49" s="504"/>
      <c r="P49" s="161" t="e">
        <f>IF(N48=0,0,AVERAGE(I49:M49))</f>
        <v>#REF!</v>
      </c>
    </row>
    <row r="50" spans="1:20" ht="18" hidden="1" customHeight="1" x14ac:dyDescent="0.25">
      <c r="A50" s="182"/>
      <c r="B50" s="547"/>
      <c r="C50" s="547"/>
      <c r="D50" s="676"/>
      <c r="E50" s="677"/>
      <c r="F50" s="676"/>
      <c r="G50" s="717"/>
      <c r="H50" s="731"/>
      <c r="I50" s="161">
        <f>I47</f>
        <v>20000</v>
      </c>
      <c r="J50" s="161">
        <f t="shared" ref="J50:M50" si="9">J47</f>
        <v>19500</v>
      </c>
      <c r="K50" s="161">
        <f t="shared" si="9"/>
        <v>20000</v>
      </c>
      <c r="L50" s="161">
        <f t="shared" si="9"/>
        <v>20000</v>
      </c>
      <c r="M50" s="697">
        <f t="shared" si="9"/>
        <v>0</v>
      </c>
      <c r="N50" s="841">
        <f>SUM(I50:M50)</f>
        <v>79500</v>
      </c>
      <c r="O50" s="504"/>
      <c r="P50" s="161"/>
    </row>
    <row r="51" spans="1:20" ht="18" hidden="1" customHeight="1" x14ac:dyDescent="0.25">
      <c r="A51" s="182"/>
      <c r="B51" s="547"/>
      <c r="C51" s="547"/>
      <c r="D51" s="676"/>
      <c r="E51" s="677"/>
      <c r="F51" s="676"/>
      <c r="G51" s="717"/>
      <c r="H51" s="731"/>
      <c r="I51" s="161">
        <f>IF(I47&gt;0,I47,"")</f>
        <v>20000</v>
      </c>
      <c r="J51" s="161">
        <f t="shared" ref="J51:M51" si="10">IF(J47&gt;0,J47,"")</f>
        <v>19500</v>
      </c>
      <c r="K51" s="161">
        <f t="shared" si="10"/>
        <v>20000</v>
      </c>
      <c r="L51" s="161">
        <f t="shared" si="10"/>
        <v>20000</v>
      </c>
      <c r="M51" s="697" t="str">
        <f t="shared" si="10"/>
        <v/>
      </c>
      <c r="N51" s="841"/>
      <c r="O51" s="504"/>
      <c r="P51" s="161">
        <f>IF(N50=0,0,AVERAGE(I51:M51))</f>
        <v>19875</v>
      </c>
    </row>
    <row r="52" spans="1:20" s="757" customFormat="1" ht="18" customHeight="1" x14ac:dyDescent="0.25">
      <c r="A52" s="182"/>
      <c r="B52" s="689"/>
      <c r="C52" s="182"/>
      <c r="D52" s="427"/>
      <c r="E52" s="427"/>
      <c r="F52" s="427"/>
      <c r="G52" s="759"/>
      <c r="H52" s="731"/>
      <c r="I52" s="198" t="str">
        <f>IF(AND(K46&gt;0,I47=0),"NOK",IF(AND(K46&gt;0,I47&gt;0),"OK",""))</f>
        <v>OK</v>
      </c>
      <c r="J52" s="198" t="str">
        <f t="shared" ref="J52:M52" si="11">IF(AND(J46&gt;0,J47=0),"NOK",IF(AND(J46&gt;0,J47&gt;0),"OK",""))</f>
        <v>OK</v>
      </c>
      <c r="K52" s="198" t="e">
        <f>IF(AND(#REF!&gt;0,K47=0),"NOK",IF(AND(#REF!&gt;0,K47&gt;0),"OK",""))</f>
        <v>#REF!</v>
      </c>
      <c r="L52" s="198" t="str">
        <f t="shared" si="11"/>
        <v>OK</v>
      </c>
      <c r="M52" s="715" t="str">
        <f t="shared" si="11"/>
        <v/>
      </c>
      <c r="N52" s="842"/>
      <c r="O52" s="197"/>
      <c r="P52" s="689"/>
    </row>
    <row r="53" spans="1:20" ht="18" customHeight="1" x14ac:dyDescent="0.25">
      <c r="A53" s="182"/>
      <c r="B53" s="547"/>
      <c r="C53" s="48" t="s">
        <v>1222</v>
      </c>
      <c r="D53" s="274" t="s">
        <v>1361</v>
      </c>
      <c r="E53" s="50"/>
      <c r="F53" s="50"/>
      <c r="G53" s="685"/>
      <c r="H53" s="731"/>
      <c r="I53" s="88"/>
      <c r="J53" s="88"/>
      <c r="K53" s="88"/>
      <c r="L53" s="88"/>
      <c r="M53" s="734"/>
      <c r="N53" s="851"/>
      <c r="O53" s="784"/>
      <c r="P53" s="682"/>
    </row>
    <row r="54" spans="1:20" ht="18" customHeight="1" x14ac:dyDescent="0.25">
      <c r="A54" s="182"/>
      <c r="B54" s="547"/>
      <c r="C54" s="547"/>
      <c r="D54" s="56" t="s">
        <v>1224</v>
      </c>
      <c r="E54" s="146" t="s">
        <v>1360</v>
      </c>
      <c r="F54" s="149"/>
      <c r="G54" s="692"/>
      <c r="H54" s="731"/>
      <c r="I54" s="174"/>
      <c r="J54" s="174"/>
      <c r="K54" s="174"/>
      <c r="L54" s="174"/>
      <c r="M54" s="712"/>
      <c r="N54" s="849"/>
      <c r="O54" s="404"/>
      <c r="P54" s="710"/>
    </row>
    <row r="55" spans="1:20" ht="18" customHeight="1" x14ac:dyDescent="0.25">
      <c r="A55" s="679"/>
      <c r="B55" s="679"/>
      <c r="C55" s="547"/>
      <c r="D55" s="547"/>
      <c r="E55" s="56" t="s">
        <v>753</v>
      </c>
      <c r="F55" s="149" t="s">
        <v>1203</v>
      </c>
      <c r="G55" s="692"/>
      <c r="H55" s="731"/>
      <c r="I55" s="683">
        <v>90</v>
      </c>
      <c r="J55" s="683">
        <v>12</v>
      </c>
      <c r="K55" s="683">
        <v>80</v>
      </c>
      <c r="L55" s="683">
        <v>400</v>
      </c>
      <c r="M55" s="707"/>
      <c r="N55" s="842">
        <f>SUM(I55:M55)</f>
        <v>582</v>
      </c>
      <c r="O55" s="197"/>
      <c r="P55" s="164">
        <f>ROUND(P58/10,0)*10</f>
        <v>150</v>
      </c>
      <c r="R55" s="655" t="s">
        <v>181</v>
      </c>
      <c r="S55" s="655" t="s">
        <v>182</v>
      </c>
      <c r="T55" s="655" t="s">
        <v>6</v>
      </c>
    </row>
    <row r="56" spans="1:20" ht="18" customHeight="1" x14ac:dyDescent="0.25">
      <c r="A56" s="182"/>
      <c r="B56" s="547"/>
      <c r="C56" s="547"/>
      <c r="D56" s="547"/>
      <c r="E56" s="56" t="s">
        <v>754</v>
      </c>
      <c r="F56" s="149" t="s">
        <v>1363</v>
      </c>
      <c r="G56" s="692"/>
      <c r="H56" s="731"/>
      <c r="I56" s="688">
        <v>8000</v>
      </c>
      <c r="J56" s="688">
        <v>8000</v>
      </c>
      <c r="K56" s="688">
        <v>6000</v>
      </c>
      <c r="L56" s="688">
        <v>6000</v>
      </c>
      <c r="M56" s="708"/>
      <c r="N56" s="842"/>
      <c r="O56" s="197"/>
      <c r="P56" s="164">
        <f>ROUND(P60/500,0)*500</f>
        <v>7000</v>
      </c>
      <c r="R56" s="1308">
        <f>MIN(J56:M56)</f>
        <v>6000</v>
      </c>
      <c r="S56" s="1308">
        <f>MAX(I56:M56)</f>
        <v>8000</v>
      </c>
      <c r="T56" s="1308">
        <f>AVERAGE(I56:M56)</f>
        <v>7000</v>
      </c>
    </row>
    <row r="57" spans="1:20" ht="18" hidden="1" customHeight="1" x14ac:dyDescent="0.25">
      <c r="A57" s="182"/>
      <c r="B57" s="547"/>
      <c r="C57" s="547"/>
      <c r="D57" s="676"/>
      <c r="E57" s="677"/>
      <c r="F57" s="676"/>
      <c r="G57" s="717"/>
      <c r="H57" s="731"/>
      <c r="I57" s="161">
        <f>I55</f>
        <v>90</v>
      </c>
      <c r="J57" s="161">
        <f t="shared" ref="J57:M57" si="12">J55</f>
        <v>12</v>
      </c>
      <c r="K57" s="161">
        <f t="shared" si="12"/>
        <v>80</v>
      </c>
      <c r="L57" s="161">
        <f t="shared" si="12"/>
        <v>400</v>
      </c>
      <c r="M57" s="697">
        <f t="shared" si="12"/>
        <v>0</v>
      </c>
      <c r="N57" s="841">
        <f>SUM(I57:M57)</f>
        <v>582</v>
      </c>
      <c r="O57" s="504"/>
      <c r="P57" s="161"/>
    </row>
    <row r="58" spans="1:20" ht="18" hidden="1" customHeight="1" x14ac:dyDescent="0.25">
      <c r="A58" s="182"/>
      <c r="B58" s="547"/>
      <c r="C58" s="547"/>
      <c r="D58" s="676"/>
      <c r="E58" s="677"/>
      <c r="F58" s="676"/>
      <c r="G58" s="717"/>
      <c r="H58" s="731"/>
      <c r="I58" s="161">
        <f>IF(I55&gt;0,I55,"")</f>
        <v>90</v>
      </c>
      <c r="J58" s="161">
        <f t="shared" ref="J58:M58" si="13">IF(J55&gt;0,J55,"")</f>
        <v>12</v>
      </c>
      <c r="K58" s="161">
        <f t="shared" si="13"/>
        <v>80</v>
      </c>
      <c r="L58" s="161">
        <f t="shared" si="13"/>
        <v>400</v>
      </c>
      <c r="M58" s="697" t="str">
        <f t="shared" si="13"/>
        <v/>
      </c>
      <c r="N58" s="841"/>
      <c r="O58" s="504"/>
      <c r="P58" s="161">
        <f>IF(N57=0,0,AVERAGE(I58:M58))</f>
        <v>145.5</v>
      </c>
    </row>
    <row r="59" spans="1:20" ht="18" hidden="1" customHeight="1" x14ac:dyDescent="0.25">
      <c r="A59" s="182"/>
      <c r="B59" s="547"/>
      <c r="C59" s="547"/>
      <c r="D59" s="676"/>
      <c r="E59" s="677"/>
      <c r="F59" s="676"/>
      <c r="G59" s="717"/>
      <c r="H59" s="731"/>
      <c r="I59" s="161">
        <f>I56</f>
        <v>8000</v>
      </c>
      <c r="J59" s="161">
        <f t="shared" ref="J59:M59" si="14">J56</f>
        <v>8000</v>
      </c>
      <c r="K59" s="161">
        <f t="shared" si="14"/>
        <v>6000</v>
      </c>
      <c r="L59" s="161">
        <f t="shared" si="14"/>
        <v>6000</v>
      </c>
      <c r="M59" s="697">
        <f t="shared" si="14"/>
        <v>0</v>
      </c>
      <c r="N59" s="841">
        <f>SUM(I59:M59)</f>
        <v>28000</v>
      </c>
      <c r="O59" s="504"/>
      <c r="P59" s="161"/>
    </row>
    <row r="60" spans="1:20" ht="18" hidden="1" customHeight="1" x14ac:dyDescent="0.25">
      <c r="A60" s="182"/>
      <c r="B60" s="547"/>
      <c r="C60" s="547"/>
      <c r="D60" s="676"/>
      <c r="E60" s="677"/>
      <c r="F60" s="676"/>
      <c r="G60" s="717"/>
      <c r="H60" s="731"/>
      <c r="I60" s="161">
        <f>IF(I56&gt;0,I56,"")</f>
        <v>8000</v>
      </c>
      <c r="J60" s="161">
        <f t="shared" ref="J60:M60" si="15">IF(J56&gt;0,J56,"")</f>
        <v>8000</v>
      </c>
      <c r="K60" s="161">
        <f t="shared" si="15"/>
        <v>6000</v>
      </c>
      <c r="L60" s="161">
        <f t="shared" si="15"/>
        <v>6000</v>
      </c>
      <c r="M60" s="697" t="str">
        <f t="shared" si="15"/>
        <v/>
      </c>
      <c r="N60" s="841"/>
      <c r="O60" s="504"/>
      <c r="P60" s="161">
        <f>IF(N59=0,0,AVERAGE(I60:M60))</f>
        <v>7000</v>
      </c>
    </row>
    <row r="61" spans="1:20" s="757" customFormat="1" ht="18" customHeight="1" x14ac:dyDescent="0.25">
      <c r="A61" s="182"/>
      <c r="B61" s="689"/>
      <c r="C61" s="182"/>
      <c r="D61" s="427"/>
      <c r="E61" s="427"/>
      <c r="F61" s="427"/>
      <c r="G61" s="759"/>
      <c r="H61" s="731"/>
      <c r="I61" s="198" t="str">
        <f>IF(AND(I55&gt;0,I56=0),"NOK",IF(AND(I55&gt;0,I56&gt;0),"OK",""))</f>
        <v>OK</v>
      </c>
      <c r="J61" s="198" t="str">
        <f>IF(AND(J55&gt;0,J56=0),"NOK",IF(AND(J55&gt;0,J56&gt;0),"OK",""))</f>
        <v>OK</v>
      </c>
      <c r="K61" s="198" t="str">
        <f>IF(AND(K55&gt;0,K56=0),"NOK",IF(AND(K55&gt;0,K56&gt;0),"OK",""))</f>
        <v>OK</v>
      </c>
      <c r="L61" s="198" t="str">
        <f>IF(AND(L55&gt;0,L56=0),"NOK",IF(AND(L55&gt;0,L56&gt;0),"OK",""))</f>
        <v>OK</v>
      </c>
      <c r="M61" s="715" t="str">
        <f>IF(AND(M55&gt;0,M56=0),"NOK",IF(AND(M55&gt;0,M56&gt;0),"OK",""))</f>
        <v/>
      </c>
      <c r="N61" s="842"/>
      <c r="O61" s="197"/>
      <c r="P61" s="689"/>
    </row>
    <row r="62" spans="1:20" ht="18" customHeight="1" x14ac:dyDescent="0.25">
      <c r="A62" s="182"/>
      <c r="B62" s="547"/>
      <c r="C62" s="547"/>
      <c r="D62" s="56" t="s">
        <v>1366</v>
      </c>
      <c r="E62" s="146" t="s">
        <v>1362</v>
      </c>
      <c r="F62" s="149"/>
      <c r="G62" s="692"/>
      <c r="H62" s="731"/>
      <c r="I62" s="174"/>
      <c r="J62" s="174"/>
      <c r="K62" s="174"/>
      <c r="L62" s="174"/>
      <c r="M62" s="712"/>
      <c r="N62" s="849"/>
      <c r="O62" s="404"/>
      <c r="P62" s="710"/>
    </row>
    <row r="63" spans="1:20" ht="18" customHeight="1" x14ac:dyDescent="0.25">
      <c r="A63" s="679"/>
      <c r="B63" s="679"/>
      <c r="C63" s="547"/>
      <c r="D63" s="547"/>
      <c r="E63" s="56" t="s">
        <v>753</v>
      </c>
      <c r="F63" s="149" t="s">
        <v>1203</v>
      </c>
      <c r="G63" s="692"/>
      <c r="H63" s="731"/>
      <c r="I63" s="683">
        <v>110</v>
      </c>
      <c r="J63" s="683">
        <v>17</v>
      </c>
      <c r="K63" s="683">
        <v>80</v>
      </c>
      <c r="L63" s="683">
        <v>800</v>
      </c>
      <c r="M63" s="707"/>
      <c r="N63" s="842">
        <f>SUM(I63:M63)</f>
        <v>1007</v>
      </c>
      <c r="O63" s="197"/>
      <c r="P63" s="164">
        <f>ROUND(P66/10,0)*10</f>
        <v>250</v>
      </c>
    </row>
    <row r="64" spans="1:20" ht="18" customHeight="1" x14ac:dyDescent="0.25">
      <c r="A64" s="182"/>
      <c r="B64" s="547"/>
      <c r="C64" s="547"/>
      <c r="D64" s="547"/>
      <c r="E64" s="56" t="s">
        <v>754</v>
      </c>
      <c r="F64" s="149" t="s">
        <v>1363</v>
      </c>
      <c r="G64" s="692"/>
      <c r="H64" s="731"/>
      <c r="I64" s="688">
        <v>1125</v>
      </c>
      <c r="J64" s="688">
        <v>1000</v>
      </c>
      <c r="K64" s="688">
        <v>1000</v>
      </c>
      <c r="L64" s="688">
        <v>1250</v>
      </c>
      <c r="M64" s="708"/>
      <c r="N64" s="842"/>
      <c r="O64" s="197"/>
      <c r="P64" s="164">
        <f>ROUND(P68/500,0)*500</f>
        <v>1000</v>
      </c>
      <c r="R64" s="1308">
        <f>MIN(J64:M64)</f>
        <v>1000</v>
      </c>
      <c r="S64" s="1308">
        <f>MAX(I64:M64)</f>
        <v>1250</v>
      </c>
      <c r="T64" s="1308">
        <f>AVERAGE(I64:M64)</f>
        <v>1093.75</v>
      </c>
    </row>
    <row r="65" spans="1:16" ht="18" hidden="1" customHeight="1" x14ac:dyDescent="0.25">
      <c r="A65" s="182"/>
      <c r="B65" s="547"/>
      <c r="C65" s="547"/>
      <c r="D65" s="676"/>
      <c r="E65" s="677"/>
      <c r="F65" s="676"/>
      <c r="G65" s="717"/>
      <c r="H65" s="731"/>
      <c r="I65" s="161">
        <f>I63</f>
        <v>110</v>
      </c>
      <c r="J65" s="161">
        <f t="shared" ref="J65:M65" si="16">J63</f>
        <v>17</v>
      </c>
      <c r="K65" s="161">
        <f t="shared" si="16"/>
        <v>80</v>
      </c>
      <c r="L65" s="161">
        <f t="shared" si="16"/>
        <v>800</v>
      </c>
      <c r="M65" s="697">
        <f t="shared" si="16"/>
        <v>0</v>
      </c>
      <c r="N65" s="841">
        <f>SUM(I65:M65)</f>
        <v>1007</v>
      </c>
      <c r="O65" s="504"/>
      <c r="P65" s="161"/>
    </row>
    <row r="66" spans="1:16" ht="18" hidden="1" customHeight="1" x14ac:dyDescent="0.25">
      <c r="A66" s="182"/>
      <c r="B66" s="547"/>
      <c r="C66" s="547"/>
      <c r="D66" s="676"/>
      <c r="E66" s="677"/>
      <c r="F66" s="676"/>
      <c r="G66" s="717"/>
      <c r="H66" s="731"/>
      <c r="I66" s="161">
        <f>IF(I63&gt;0,I63,"")</f>
        <v>110</v>
      </c>
      <c r="J66" s="161">
        <f t="shared" ref="J66:M66" si="17">IF(J63&gt;0,J63,"")</f>
        <v>17</v>
      </c>
      <c r="K66" s="161">
        <f t="shared" si="17"/>
        <v>80</v>
      </c>
      <c r="L66" s="161">
        <f t="shared" si="17"/>
        <v>800</v>
      </c>
      <c r="M66" s="697" t="str">
        <f t="shared" si="17"/>
        <v/>
      </c>
      <c r="N66" s="841"/>
      <c r="O66" s="504"/>
      <c r="P66" s="161">
        <f>IF(N65=0,0,AVERAGE(I66:M66))</f>
        <v>251.75</v>
      </c>
    </row>
    <row r="67" spans="1:16" ht="18" hidden="1" customHeight="1" x14ac:dyDescent="0.25">
      <c r="A67" s="182"/>
      <c r="B67" s="547"/>
      <c r="C67" s="547"/>
      <c r="D67" s="676"/>
      <c r="E67" s="677"/>
      <c r="F67" s="676"/>
      <c r="G67" s="717"/>
      <c r="H67" s="731"/>
      <c r="I67" s="161">
        <f>I64</f>
        <v>1125</v>
      </c>
      <c r="J67" s="161">
        <f t="shared" ref="J67:M67" si="18">J64</f>
        <v>1000</v>
      </c>
      <c r="K67" s="161">
        <f t="shared" si="18"/>
        <v>1000</v>
      </c>
      <c r="L67" s="161">
        <f t="shared" si="18"/>
        <v>1250</v>
      </c>
      <c r="M67" s="697">
        <f t="shared" si="18"/>
        <v>0</v>
      </c>
      <c r="N67" s="841">
        <f>SUM(I67:M67)</f>
        <v>4375</v>
      </c>
      <c r="O67" s="504"/>
      <c r="P67" s="161"/>
    </row>
    <row r="68" spans="1:16" ht="18" hidden="1" customHeight="1" x14ac:dyDescent="0.25">
      <c r="A68" s="182"/>
      <c r="B68" s="547"/>
      <c r="C68" s="547"/>
      <c r="D68" s="676"/>
      <c r="E68" s="677"/>
      <c r="F68" s="676"/>
      <c r="G68" s="717"/>
      <c r="H68" s="731"/>
      <c r="I68" s="161">
        <f>IF(I64&gt;0,I64,"")</f>
        <v>1125</v>
      </c>
      <c r="J68" s="161">
        <f t="shared" ref="J68:M68" si="19">IF(J64&gt;0,J64,"")</f>
        <v>1000</v>
      </c>
      <c r="K68" s="161">
        <f t="shared" si="19"/>
        <v>1000</v>
      </c>
      <c r="L68" s="161">
        <f t="shared" si="19"/>
        <v>1250</v>
      </c>
      <c r="M68" s="697" t="str">
        <f t="shared" si="19"/>
        <v/>
      </c>
      <c r="N68" s="841"/>
      <c r="O68" s="504"/>
      <c r="P68" s="161">
        <f>IF(N67=0,0,AVERAGE(I68:M68))</f>
        <v>1093.75</v>
      </c>
    </row>
    <row r="69" spans="1:16" s="757" customFormat="1" ht="18" customHeight="1" x14ac:dyDescent="0.25">
      <c r="A69" s="182"/>
      <c r="B69" s="689"/>
      <c r="C69" s="182"/>
      <c r="D69" s="427"/>
      <c r="E69" s="427"/>
      <c r="F69" s="427"/>
      <c r="G69" s="759"/>
      <c r="H69" s="731"/>
      <c r="I69" s="198" t="str">
        <f t="shared" ref="I69:M69" si="20">IF(AND(I63&gt;0,I64=0),"NOK",IF(AND(I63&gt;0,I64&gt;0),"OK",""))</f>
        <v>OK</v>
      </c>
      <c r="J69" s="198" t="str">
        <f t="shared" si="20"/>
        <v>OK</v>
      </c>
      <c r="K69" s="198" t="str">
        <f t="shared" si="20"/>
        <v>OK</v>
      </c>
      <c r="L69" s="198" t="str">
        <f t="shared" si="20"/>
        <v>OK</v>
      </c>
      <c r="M69" s="715" t="str">
        <f t="shared" si="20"/>
        <v/>
      </c>
      <c r="N69" s="842"/>
      <c r="O69" s="197"/>
      <c r="P69" s="689"/>
    </row>
    <row r="70" spans="1:16" ht="18" customHeight="1" x14ac:dyDescent="0.25">
      <c r="A70" s="182"/>
      <c r="B70" s="182"/>
      <c r="C70" s="49" t="s">
        <v>1364</v>
      </c>
      <c r="D70" s="274"/>
      <c r="E70" s="50"/>
      <c r="F70" s="50"/>
      <c r="G70" s="685"/>
      <c r="H70" s="731"/>
      <c r="I70" s="691"/>
      <c r="J70" s="691"/>
      <c r="K70" s="691"/>
      <c r="L70" s="691"/>
      <c r="M70" s="693"/>
      <c r="N70" s="839"/>
      <c r="O70" s="682"/>
      <c r="P70" s="682"/>
    </row>
    <row r="71" spans="1:16" ht="18" customHeight="1" x14ac:dyDescent="0.25">
      <c r="A71" s="182"/>
      <c r="B71" s="182"/>
      <c r="C71" s="48" t="s">
        <v>1353</v>
      </c>
      <c r="D71" s="48" t="s">
        <v>1365</v>
      </c>
      <c r="E71" s="604" t="s">
        <v>1427</v>
      </c>
      <c r="F71" s="604"/>
      <c r="G71" s="874"/>
      <c r="H71" s="731"/>
      <c r="I71" s="691"/>
      <c r="J71" s="691"/>
      <c r="K71" s="691"/>
      <c r="L71" s="691"/>
      <c r="M71" s="693"/>
      <c r="N71" s="839"/>
      <c r="O71" s="682"/>
      <c r="P71" s="682"/>
    </row>
    <row r="72" spans="1:16" ht="18" customHeight="1" x14ac:dyDescent="0.25">
      <c r="A72" s="182"/>
      <c r="B72" s="547"/>
      <c r="C72" s="547"/>
      <c r="D72" s="56" t="s">
        <v>1367</v>
      </c>
      <c r="E72" s="149" t="s">
        <v>1203</v>
      </c>
      <c r="F72" s="149"/>
      <c r="G72" s="692"/>
      <c r="H72" s="731"/>
      <c r="I72" s="683">
        <v>50</v>
      </c>
      <c r="J72" s="683">
        <v>45</v>
      </c>
      <c r="K72" s="683">
        <v>30</v>
      </c>
      <c r="L72" s="683">
        <v>100</v>
      </c>
      <c r="M72" s="707"/>
      <c r="N72" s="842">
        <f>SUM(I72:M72)</f>
        <v>225</v>
      </c>
      <c r="O72" s="197"/>
      <c r="P72" s="164">
        <f>ROUND(P75/10,0)*10</f>
        <v>60</v>
      </c>
    </row>
    <row r="73" spans="1:16" ht="18" customHeight="1" x14ac:dyDescent="0.25">
      <c r="A73" s="182"/>
      <c r="B73" s="547"/>
      <c r="C73" s="547"/>
      <c r="D73" s="56" t="s">
        <v>1368</v>
      </c>
      <c r="E73" s="149" t="s">
        <v>1376</v>
      </c>
      <c r="F73" s="149"/>
      <c r="G73" s="692"/>
      <c r="H73" s="731"/>
      <c r="I73" s="688">
        <v>55000</v>
      </c>
      <c r="J73" s="688">
        <v>19000</v>
      </c>
      <c r="K73" s="688">
        <v>76666</v>
      </c>
      <c r="L73" s="688">
        <v>67500</v>
      </c>
      <c r="M73" s="708"/>
      <c r="N73" s="842"/>
      <c r="O73" s="197"/>
      <c r="P73" s="164">
        <f>ROUND(P77/500,0)*500</f>
        <v>54500</v>
      </c>
    </row>
    <row r="74" spans="1:16" ht="18" hidden="1" customHeight="1" x14ac:dyDescent="0.25">
      <c r="A74" s="182"/>
      <c r="B74" s="547"/>
      <c r="C74" s="547"/>
      <c r="D74" s="676"/>
      <c r="E74" s="677"/>
      <c r="F74" s="676"/>
      <c r="G74" s="717"/>
      <c r="H74" s="731"/>
      <c r="I74" s="161">
        <f>I72</f>
        <v>50</v>
      </c>
      <c r="J74" s="161">
        <f>J72</f>
        <v>45</v>
      </c>
      <c r="K74" s="161">
        <f>K72</f>
        <v>30</v>
      </c>
      <c r="L74" s="161">
        <f>L72</f>
        <v>100</v>
      </c>
      <c r="M74" s="697">
        <f>M72</f>
        <v>0</v>
      </c>
      <c r="N74" s="841">
        <f>SUM(I74:M74)</f>
        <v>225</v>
      </c>
      <c r="O74" s="504"/>
      <c r="P74" s="161"/>
    </row>
    <row r="75" spans="1:16" ht="18" hidden="1" customHeight="1" x14ac:dyDescent="0.25">
      <c r="A75" s="182"/>
      <c r="B75" s="547"/>
      <c r="C75" s="547"/>
      <c r="D75" s="676"/>
      <c r="E75" s="677"/>
      <c r="F75" s="676"/>
      <c r="G75" s="717"/>
      <c r="H75" s="731"/>
      <c r="I75" s="161">
        <f>IF(I72&gt;0,I72,"")</f>
        <v>50</v>
      </c>
      <c r="J75" s="161">
        <f>IF(J72&gt;0,J72,"")</f>
        <v>45</v>
      </c>
      <c r="K75" s="161">
        <f>IF(K72&gt;0,K72,"")</f>
        <v>30</v>
      </c>
      <c r="L75" s="161">
        <f>IF(L72&gt;0,L72,"")</f>
        <v>100</v>
      </c>
      <c r="M75" s="697" t="str">
        <f>IF(M72&gt;0,M72,"")</f>
        <v/>
      </c>
      <c r="N75" s="841"/>
      <c r="O75" s="504"/>
      <c r="P75" s="161">
        <f>IF(N74=0,0,AVERAGE(I75:M75))</f>
        <v>56.25</v>
      </c>
    </row>
    <row r="76" spans="1:16" ht="18" hidden="1" customHeight="1" x14ac:dyDescent="0.25">
      <c r="A76" s="182"/>
      <c r="B76" s="547"/>
      <c r="C76" s="547"/>
      <c r="D76" s="676"/>
      <c r="E76" s="677"/>
      <c r="F76" s="676"/>
      <c r="G76" s="717"/>
      <c r="H76" s="731"/>
      <c r="I76" s="161">
        <f>I73</f>
        <v>55000</v>
      </c>
      <c r="J76" s="161">
        <f>J73</f>
        <v>19000</v>
      </c>
      <c r="K76" s="161">
        <f>K73</f>
        <v>76666</v>
      </c>
      <c r="L76" s="161">
        <f>L73</f>
        <v>67500</v>
      </c>
      <c r="M76" s="697">
        <f>M73</f>
        <v>0</v>
      </c>
      <c r="N76" s="841">
        <f>SUM(I76:M76)</f>
        <v>218166</v>
      </c>
      <c r="O76" s="504"/>
      <c r="P76" s="161"/>
    </row>
    <row r="77" spans="1:16" ht="18" hidden="1" customHeight="1" x14ac:dyDescent="0.25">
      <c r="A77" s="182"/>
      <c r="B77" s="547"/>
      <c r="C77" s="547"/>
      <c r="D77" s="676"/>
      <c r="E77" s="677"/>
      <c r="F77" s="676"/>
      <c r="G77" s="717"/>
      <c r="H77" s="731"/>
      <c r="I77" s="161">
        <f>IF(I73&gt;0,I73,"")</f>
        <v>55000</v>
      </c>
      <c r="J77" s="161">
        <f>IF(J73&gt;0,J73,"")</f>
        <v>19000</v>
      </c>
      <c r="K77" s="161">
        <f>IF(K73&gt;0,K73,"")</f>
        <v>76666</v>
      </c>
      <c r="L77" s="161">
        <f>IF(L73&gt;0,L73,"")</f>
        <v>67500</v>
      </c>
      <c r="M77" s="697" t="str">
        <f>IF(M73&gt;0,M73,"")</f>
        <v/>
      </c>
      <c r="N77" s="841"/>
      <c r="O77" s="504"/>
      <c r="P77" s="161">
        <f>IF(N76=0,0,AVERAGE(I77:M77))</f>
        <v>54541.5</v>
      </c>
    </row>
    <row r="78" spans="1:16" s="757" customFormat="1" ht="18" customHeight="1" x14ac:dyDescent="0.25">
      <c r="A78" s="182"/>
      <c r="B78" s="689"/>
      <c r="C78" s="182"/>
      <c r="D78" s="427"/>
      <c r="E78" s="427"/>
      <c r="F78" s="427"/>
      <c r="G78" s="759"/>
      <c r="H78" s="731"/>
      <c r="I78" s="198" t="str">
        <f>IF(AND(I72&gt;0,I73=0),"NOK",IF(AND(I72&gt;0,I73&gt;0),"OK",""))</f>
        <v>OK</v>
      </c>
      <c r="J78" s="198" t="str">
        <f>IF(AND(J72&gt;0,J73=0),"NOK",IF(AND(J72&gt;0,J73&gt;0),"OK",""))</f>
        <v>OK</v>
      </c>
      <c r="K78" s="198" t="str">
        <f>IF(AND(K72&gt;0,K73=0),"NOK",IF(AND(K72&gt;0,K73&gt;0),"OK",""))</f>
        <v>OK</v>
      </c>
      <c r="L78" s="198" t="str">
        <f>IF(AND(L72&gt;0,L73=0),"NOK",IF(AND(L72&gt;0,L73&gt;0),"OK",""))</f>
        <v>OK</v>
      </c>
      <c r="M78" s="715" t="str">
        <f>IF(AND(M72&gt;0,M73=0),"NOK",IF(AND(M72&gt;0,M73&gt;0),"OK",""))</f>
        <v/>
      </c>
      <c r="N78" s="842"/>
      <c r="O78" s="197"/>
      <c r="P78" s="689"/>
    </row>
    <row r="79" spans="1:16" ht="18" customHeight="1" x14ac:dyDescent="0.25">
      <c r="A79" s="182"/>
      <c r="B79" s="182"/>
      <c r="C79" s="48" t="s">
        <v>1355</v>
      </c>
      <c r="D79" s="48" t="s">
        <v>1365</v>
      </c>
      <c r="E79" s="604" t="s">
        <v>1428</v>
      </c>
      <c r="F79" s="604"/>
      <c r="G79" s="874"/>
      <c r="H79" s="731"/>
      <c r="I79" s="691"/>
      <c r="J79" s="691"/>
      <c r="K79" s="691"/>
      <c r="L79" s="691"/>
      <c r="M79" s="693"/>
      <c r="N79" s="839"/>
      <c r="O79" s="682"/>
      <c r="P79" s="682"/>
    </row>
    <row r="80" spans="1:16" ht="18" customHeight="1" x14ac:dyDescent="0.25">
      <c r="A80" s="182"/>
      <c r="B80" s="547"/>
      <c r="C80" s="547"/>
      <c r="D80" s="56" t="s">
        <v>1369</v>
      </c>
      <c r="E80" s="149" t="s">
        <v>1203</v>
      </c>
      <c r="F80" s="149"/>
      <c r="G80" s="692"/>
      <c r="H80" s="731"/>
      <c r="I80" s="683">
        <v>10000</v>
      </c>
      <c r="J80" s="683">
        <v>4</v>
      </c>
      <c r="K80" s="683">
        <v>100</v>
      </c>
      <c r="L80" s="683">
        <v>20000</v>
      </c>
      <c r="M80" s="707"/>
      <c r="N80" s="842">
        <f>SUM(I80:M80)</f>
        <v>30104</v>
      </c>
      <c r="O80" s="197"/>
      <c r="P80" s="164">
        <f>ROUND(P83/10,0)*10</f>
        <v>7530</v>
      </c>
    </row>
    <row r="81" spans="1:16" ht="18" customHeight="1" x14ac:dyDescent="0.25">
      <c r="A81" s="182"/>
      <c r="B81" s="547"/>
      <c r="C81" s="547"/>
      <c r="D81" s="56" t="s">
        <v>1370</v>
      </c>
      <c r="E81" s="149" t="s">
        <v>1376</v>
      </c>
      <c r="F81" s="149"/>
      <c r="G81" s="692"/>
      <c r="H81" s="731"/>
      <c r="I81" s="688">
        <v>190</v>
      </c>
      <c r="J81" s="688">
        <v>47500</v>
      </c>
      <c r="K81" s="688">
        <v>12500</v>
      </c>
      <c r="L81" s="688">
        <v>180</v>
      </c>
      <c r="M81" s="708"/>
      <c r="N81" s="842"/>
      <c r="O81" s="197"/>
      <c r="P81" s="164">
        <f>ROUND(P85/500,0)*500</f>
        <v>15000</v>
      </c>
    </row>
    <row r="82" spans="1:16" ht="18" hidden="1" customHeight="1" x14ac:dyDescent="0.25">
      <c r="A82" s="182"/>
      <c r="B82" s="547"/>
      <c r="C82" s="547"/>
      <c r="D82" s="676"/>
      <c r="E82" s="677"/>
      <c r="F82" s="676"/>
      <c r="G82" s="717"/>
      <c r="H82" s="731"/>
      <c r="I82" s="161">
        <f>I80</f>
        <v>10000</v>
      </c>
      <c r="J82" s="161">
        <f>J80</f>
        <v>4</v>
      </c>
      <c r="K82" s="161">
        <f>K80</f>
        <v>100</v>
      </c>
      <c r="L82" s="161">
        <f>L80</f>
        <v>20000</v>
      </c>
      <c r="M82" s="697">
        <f>M80</f>
        <v>0</v>
      </c>
      <c r="N82" s="841">
        <f>SUM(I82:M82)</f>
        <v>30104</v>
      </c>
      <c r="O82" s="504"/>
      <c r="P82" s="161"/>
    </row>
    <row r="83" spans="1:16" ht="18" hidden="1" customHeight="1" x14ac:dyDescent="0.25">
      <c r="A83" s="182"/>
      <c r="B83" s="547"/>
      <c r="C83" s="547"/>
      <c r="D83" s="676"/>
      <c r="E83" s="677"/>
      <c r="F83" s="676"/>
      <c r="G83" s="717"/>
      <c r="H83" s="731"/>
      <c r="I83" s="161">
        <f>IF(I80&gt;0,I80,"")</f>
        <v>10000</v>
      </c>
      <c r="J83" s="161">
        <f>IF(J80&gt;0,J80,"")</f>
        <v>4</v>
      </c>
      <c r="K83" s="161">
        <f>IF(K80&gt;0,K80,"")</f>
        <v>100</v>
      </c>
      <c r="L83" s="161">
        <f>IF(L80&gt;0,L80,"")</f>
        <v>20000</v>
      </c>
      <c r="M83" s="697" t="str">
        <f>IF(M80&gt;0,M80,"")</f>
        <v/>
      </c>
      <c r="N83" s="841"/>
      <c r="O83" s="504"/>
      <c r="P83" s="161">
        <f>IF(N82=0,0,AVERAGE(I83:M83))</f>
        <v>7526</v>
      </c>
    </row>
    <row r="84" spans="1:16" ht="18" hidden="1" customHeight="1" x14ac:dyDescent="0.25">
      <c r="A84" s="182"/>
      <c r="B84" s="547"/>
      <c r="C84" s="547"/>
      <c r="D84" s="676"/>
      <c r="E84" s="677"/>
      <c r="F84" s="676"/>
      <c r="G84" s="717"/>
      <c r="H84" s="731"/>
      <c r="I84" s="161">
        <f>I81</f>
        <v>190</v>
      </c>
      <c r="J84" s="161">
        <f>J81</f>
        <v>47500</v>
      </c>
      <c r="K84" s="161">
        <f>K81</f>
        <v>12500</v>
      </c>
      <c r="L84" s="161">
        <f>L81</f>
        <v>180</v>
      </c>
      <c r="M84" s="697">
        <f>M81</f>
        <v>0</v>
      </c>
      <c r="N84" s="841">
        <f>SUM(I84:M84)</f>
        <v>60370</v>
      </c>
      <c r="O84" s="504"/>
      <c r="P84" s="161"/>
    </row>
    <row r="85" spans="1:16" ht="18" hidden="1" customHeight="1" x14ac:dyDescent="0.25">
      <c r="A85" s="182"/>
      <c r="B85" s="547"/>
      <c r="C85" s="547"/>
      <c r="D85" s="676"/>
      <c r="E85" s="677"/>
      <c r="F85" s="676"/>
      <c r="G85" s="717"/>
      <c r="H85" s="731"/>
      <c r="I85" s="161">
        <f>IF(I81&gt;0,I81,"")</f>
        <v>190</v>
      </c>
      <c r="J85" s="161">
        <f>IF(J81&gt;0,J81,"")</f>
        <v>47500</v>
      </c>
      <c r="K85" s="161">
        <f>IF(K81&gt;0,K81,"")</f>
        <v>12500</v>
      </c>
      <c r="L85" s="161">
        <f>IF(L81&gt;0,L81,"")</f>
        <v>180</v>
      </c>
      <c r="M85" s="697" t="str">
        <f>IF(M81&gt;0,M81,"")</f>
        <v/>
      </c>
      <c r="N85" s="841"/>
      <c r="O85" s="504"/>
      <c r="P85" s="161">
        <f>IF(N84=0,0,AVERAGE(I85:M85))</f>
        <v>15092.5</v>
      </c>
    </row>
    <row r="86" spans="1:16" s="757" customFormat="1" ht="18" customHeight="1" x14ac:dyDescent="0.25">
      <c r="A86" s="182"/>
      <c r="B86" s="689"/>
      <c r="C86" s="182"/>
      <c r="D86" s="427"/>
      <c r="E86" s="427"/>
      <c r="F86" s="427"/>
      <c r="G86" s="759"/>
      <c r="H86" s="731"/>
      <c r="I86" s="198" t="str">
        <f>IF(AND(I80&gt;0,I81=0),"NOK",IF(AND(I80&gt;0,I81&gt;0),"OK",""))</f>
        <v>OK</v>
      </c>
      <c r="J86" s="198" t="str">
        <f>IF(AND(J80&gt;0,J81=0),"NOK",IF(AND(J80&gt;0,J81&gt;0),"OK",""))</f>
        <v>OK</v>
      </c>
      <c r="K86" s="198" t="str">
        <f>IF(AND(K80&gt;0,K81=0),"NOK",IF(AND(K80&gt;0,K81&gt;0),"OK",""))</f>
        <v>OK</v>
      </c>
      <c r="L86" s="198" t="str">
        <f>IF(AND(L80&gt;0,L81=0),"NOK",IF(AND(L80&gt;0,L81&gt;0),"OK",""))</f>
        <v>OK</v>
      </c>
      <c r="M86" s="715" t="str">
        <f>IF(AND(M80&gt;0,M81=0),"NOK",IF(AND(M80&gt;0,M81&gt;0),"OK",""))</f>
        <v/>
      </c>
      <c r="N86" s="842"/>
      <c r="O86" s="197"/>
      <c r="P86" s="689"/>
    </row>
    <row r="87" spans="1:16" ht="18" customHeight="1" x14ac:dyDescent="0.25">
      <c r="A87" s="705"/>
      <c r="B87" s="731"/>
      <c r="C87" s="731"/>
      <c r="D87" s="731"/>
      <c r="E87" s="731"/>
      <c r="F87" s="731"/>
      <c r="G87" s="731"/>
      <c r="H87" s="731"/>
    </row>
    <row r="88" spans="1:16" s="879" customFormat="1" ht="18" customHeight="1" thickBot="1" x14ac:dyDescent="0.3">
      <c r="A88" s="665" t="s">
        <v>150</v>
      </c>
      <c r="B88" s="666" t="s">
        <v>1162</v>
      </c>
      <c r="C88" s="667"/>
      <c r="D88" s="667"/>
      <c r="E88" s="667"/>
      <c r="F88" s="667"/>
      <c r="G88" s="668"/>
      <c r="H88" s="773"/>
      <c r="I88" s="706">
        <f>I33</f>
        <v>1</v>
      </c>
      <c r="J88" s="706">
        <f>J33</f>
        <v>1</v>
      </c>
      <c r="K88" s="706">
        <f>K33</f>
        <v>1</v>
      </c>
      <c r="L88" s="706">
        <f>L33</f>
        <v>1</v>
      </c>
      <c r="M88" s="706">
        <f>M33</f>
        <v>0</v>
      </c>
      <c r="N88" s="847" t="s">
        <v>4</v>
      </c>
      <c r="O88" s="669" t="s">
        <v>5</v>
      </c>
      <c r="P88" s="669" t="s">
        <v>6</v>
      </c>
    </row>
    <row r="89" spans="1:16" ht="18" customHeight="1" x14ac:dyDescent="0.25">
      <c r="A89" s="828"/>
      <c r="B89" s="829" t="s">
        <v>152</v>
      </c>
      <c r="C89" s="778" t="s">
        <v>1163</v>
      </c>
      <c r="D89" s="672"/>
      <c r="E89" s="672"/>
      <c r="F89" s="672"/>
      <c r="G89" s="779"/>
      <c r="H89" s="731"/>
      <c r="I89" s="809"/>
      <c r="J89" s="809"/>
      <c r="K89" s="809"/>
      <c r="L89" s="809"/>
      <c r="M89" s="846"/>
      <c r="N89" s="848"/>
      <c r="O89" s="810"/>
      <c r="P89" s="810"/>
    </row>
    <row r="90" spans="1:16" ht="18" customHeight="1" x14ac:dyDescent="0.25">
      <c r="A90" s="182"/>
      <c r="B90" s="547"/>
      <c r="C90" s="56" t="s">
        <v>153</v>
      </c>
      <c r="D90" s="146" t="s">
        <v>1326</v>
      </c>
      <c r="E90" s="149"/>
      <c r="F90" s="149"/>
      <c r="G90" s="692"/>
      <c r="H90" s="731"/>
      <c r="I90" s="683"/>
      <c r="J90" s="683"/>
      <c r="K90" s="683"/>
      <c r="L90" s="683"/>
      <c r="M90" s="707"/>
      <c r="N90" s="840">
        <f>SUM(I90:M90)</f>
        <v>0</v>
      </c>
      <c r="O90" s="197">
        <f>IF(N$94=0,0,N90/N$94)</f>
        <v>0</v>
      </c>
      <c r="P90" s="679"/>
    </row>
    <row r="91" spans="1:16" ht="18" customHeight="1" x14ac:dyDescent="0.25">
      <c r="A91" s="182"/>
      <c r="B91" s="547"/>
      <c r="C91" s="56" t="s">
        <v>154</v>
      </c>
      <c r="D91" s="146" t="s">
        <v>1327</v>
      </c>
      <c r="E91" s="149"/>
      <c r="F91" s="149"/>
      <c r="G91" s="692"/>
      <c r="H91" s="731"/>
      <c r="I91" s="688"/>
      <c r="J91" s="688"/>
      <c r="K91" s="688">
        <v>1</v>
      </c>
      <c r="L91" s="688"/>
      <c r="M91" s="708"/>
      <c r="N91" s="840">
        <f>SUM(I91:M91)</f>
        <v>1</v>
      </c>
      <c r="O91" s="197">
        <f t="shared" ref="O91:O94" si="21">IF(N$94=0,0,N91/N$94)</f>
        <v>0.25</v>
      </c>
      <c r="P91" s="679"/>
    </row>
    <row r="92" spans="1:16" ht="18" customHeight="1" x14ac:dyDescent="0.25">
      <c r="A92" s="182"/>
      <c r="B92" s="547"/>
      <c r="C92" s="56" t="s">
        <v>155</v>
      </c>
      <c r="D92" s="146" t="s">
        <v>1328</v>
      </c>
      <c r="E92" s="149"/>
      <c r="F92" s="149"/>
      <c r="G92" s="692"/>
      <c r="H92" s="731"/>
      <c r="I92" s="683">
        <v>1</v>
      </c>
      <c r="J92" s="683"/>
      <c r="K92" s="683"/>
      <c r="L92" s="683">
        <v>1</v>
      </c>
      <c r="M92" s="707"/>
      <c r="N92" s="840">
        <f>SUM(I92:M92)</f>
        <v>2</v>
      </c>
      <c r="O92" s="197">
        <f t="shared" si="21"/>
        <v>0.5</v>
      </c>
      <c r="P92" s="679"/>
    </row>
    <row r="93" spans="1:16" ht="18" customHeight="1" x14ac:dyDescent="0.25">
      <c r="A93" s="182"/>
      <c r="B93" s="547"/>
      <c r="C93" s="56" t="s">
        <v>156</v>
      </c>
      <c r="D93" s="146" t="s">
        <v>1156</v>
      </c>
      <c r="E93" s="149"/>
      <c r="F93" s="149"/>
      <c r="G93" s="692"/>
      <c r="H93" s="731"/>
      <c r="I93" s="688"/>
      <c r="J93" s="688">
        <v>1</v>
      </c>
      <c r="K93" s="688"/>
      <c r="L93" s="688"/>
      <c r="M93" s="708"/>
      <c r="N93" s="840">
        <f>SUM(I93:M93)</f>
        <v>1</v>
      </c>
      <c r="O93" s="197">
        <f t="shared" si="21"/>
        <v>0.25</v>
      </c>
      <c r="P93" s="679"/>
    </row>
    <row r="94" spans="1:16" ht="18" customHeight="1" x14ac:dyDescent="0.25">
      <c r="A94" s="182"/>
      <c r="B94" s="547"/>
      <c r="C94" s="325"/>
      <c r="D94" s="747"/>
      <c r="E94" s="748"/>
      <c r="F94" s="748"/>
      <c r="G94" s="749"/>
      <c r="H94" s="777"/>
      <c r="I94" s="224">
        <f t="shared" ref="I94:N94" si="22">SUM(I90:I93)</f>
        <v>1</v>
      </c>
      <c r="J94" s="224">
        <f t="shared" si="22"/>
        <v>1</v>
      </c>
      <c r="K94" s="224">
        <f t="shared" si="22"/>
        <v>1</v>
      </c>
      <c r="L94" s="224">
        <f t="shared" si="22"/>
        <v>1</v>
      </c>
      <c r="M94" s="795">
        <f t="shared" si="22"/>
        <v>0</v>
      </c>
      <c r="N94" s="390">
        <f t="shared" si="22"/>
        <v>4</v>
      </c>
      <c r="O94" s="500">
        <f t="shared" si="21"/>
        <v>1</v>
      </c>
      <c r="P94" s="680"/>
    </row>
    <row r="95" spans="1:16" s="757" customFormat="1" ht="18" customHeight="1" x14ac:dyDescent="0.25">
      <c r="A95" s="182"/>
      <c r="B95" s="547"/>
      <c r="C95" s="182"/>
      <c r="D95" s="813"/>
      <c r="E95" s="814"/>
      <c r="F95" s="814"/>
      <c r="G95" s="815"/>
      <c r="H95" s="777"/>
      <c r="I95" s="198" t="str">
        <f>IF(I$88=0,"",IF(AND(I$88=1,I94=1),"OK","NOK"))</f>
        <v>OK</v>
      </c>
      <c r="J95" s="198" t="str">
        <f t="shared" ref="J95:M95" si="23">IF(J$88=0,"",IF(AND(J$88=1,J94=1),"OK","NOK"))</f>
        <v>OK</v>
      </c>
      <c r="K95" s="198" t="str">
        <f t="shared" si="23"/>
        <v>OK</v>
      </c>
      <c r="L95" s="198" t="str">
        <f t="shared" si="23"/>
        <v>OK</v>
      </c>
      <c r="M95" s="715" t="str">
        <f t="shared" si="23"/>
        <v/>
      </c>
      <c r="N95" s="853"/>
      <c r="O95" s="689"/>
      <c r="P95" s="689"/>
    </row>
    <row r="96" spans="1:16" ht="27.95" customHeight="1" x14ac:dyDescent="0.25">
      <c r="A96" s="182"/>
      <c r="B96" s="547"/>
      <c r="C96" s="56" t="s">
        <v>157</v>
      </c>
      <c r="D96" s="146" t="s">
        <v>1164</v>
      </c>
      <c r="E96" s="149"/>
      <c r="F96" s="149"/>
      <c r="G96" s="692"/>
      <c r="H96" s="731"/>
      <c r="I96" s="825" t="s">
        <v>1429</v>
      </c>
      <c r="J96" s="825" t="s">
        <v>1430</v>
      </c>
      <c r="K96" s="825" t="s">
        <v>1431</v>
      </c>
      <c r="L96" s="825" t="s">
        <v>1429</v>
      </c>
      <c r="M96" s="754"/>
      <c r="N96" s="837"/>
      <c r="O96" s="679"/>
      <c r="P96" s="679"/>
    </row>
    <row r="97" spans="1:16" ht="27.95" customHeight="1" x14ac:dyDescent="0.25">
      <c r="A97" s="182"/>
      <c r="B97" s="547"/>
      <c r="C97" s="56" t="s">
        <v>158</v>
      </c>
      <c r="D97" s="149" t="s">
        <v>1330</v>
      </c>
      <c r="E97" s="149"/>
      <c r="F97" s="149"/>
      <c r="G97" s="692"/>
      <c r="H97" s="731"/>
      <c r="I97" s="826" t="s">
        <v>1417</v>
      </c>
      <c r="J97" s="826" t="s">
        <v>1417</v>
      </c>
      <c r="K97" s="826" t="s">
        <v>1417</v>
      </c>
      <c r="L97" s="826" t="s">
        <v>1417</v>
      </c>
      <c r="M97" s="755"/>
      <c r="N97" s="837"/>
      <c r="O97" s="679"/>
      <c r="P97" s="679"/>
    </row>
    <row r="98" spans="1:16" ht="18" customHeight="1" x14ac:dyDescent="0.25">
      <c r="A98" s="182"/>
      <c r="B98" s="547"/>
      <c r="C98" s="56" t="s">
        <v>159</v>
      </c>
      <c r="D98" s="149" t="s">
        <v>1329</v>
      </c>
      <c r="E98" s="149"/>
      <c r="F98" s="149"/>
      <c r="G98" s="692"/>
      <c r="H98" s="731"/>
      <c r="I98" s="174"/>
      <c r="J98" s="174"/>
      <c r="K98" s="174"/>
      <c r="L98" s="174"/>
      <c r="M98" s="712"/>
      <c r="N98" s="850"/>
      <c r="O98" s="710"/>
      <c r="P98" s="710"/>
    </row>
    <row r="99" spans="1:16" ht="18" customHeight="1" x14ac:dyDescent="0.25">
      <c r="A99" s="182"/>
      <c r="B99" s="547"/>
      <c r="C99" s="547"/>
      <c r="D99" s="56" t="s">
        <v>1165</v>
      </c>
      <c r="E99" s="149" t="s">
        <v>9</v>
      </c>
      <c r="F99" s="149"/>
      <c r="G99" s="692"/>
      <c r="H99" s="731"/>
      <c r="I99" s="683">
        <v>1</v>
      </c>
      <c r="J99" s="683">
        <v>1</v>
      </c>
      <c r="K99" s="683">
        <v>1</v>
      </c>
      <c r="L99" s="683">
        <v>1</v>
      </c>
      <c r="M99" s="707"/>
      <c r="N99" s="840">
        <f>SUM(I99:M99)</f>
        <v>4</v>
      </c>
      <c r="O99" s="197">
        <f>IF(N$101=0,0,N99/N$101)</f>
        <v>1</v>
      </c>
      <c r="P99" s="679"/>
    </row>
    <row r="100" spans="1:16" ht="18" customHeight="1" x14ac:dyDescent="0.25">
      <c r="A100" s="182"/>
      <c r="B100" s="547"/>
      <c r="C100" s="547"/>
      <c r="D100" s="56" t="s">
        <v>1166</v>
      </c>
      <c r="E100" s="149" t="s">
        <v>11</v>
      </c>
      <c r="F100" s="149"/>
      <c r="G100" s="692"/>
      <c r="H100" s="731"/>
      <c r="I100" s="688"/>
      <c r="J100" s="688"/>
      <c r="K100" s="688"/>
      <c r="L100" s="688"/>
      <c r="M100" s="708"/>
      <c r="N100" s="840">
        <f>SUM(I100:M100)</f>
        <v>0</v>
      </c>
      <c r="O100" s="197">
        <f t="shared" ref="O100:O101" si="24">IF(N$101=0,0,N100/N$101)</f>
        <v>0</v>
      </c>
      <c r="P100" s="679"/>
    </row>
    <row r="101" spans="1:16" ht="18" customHeight="1" x14ac:dyDescent="0.25">
      <c r="A101" s="182"/>
      <c r="B101" s="547"/>
      <c r="C101" s="325"/>
      <c r="D101" s="747"/>
      <c r="E101" s="748"/>
      <c r="F101" s="748"/>
      <c r="G101" s="749"/>
      <c r="H101" s="777"/>
      <c r="I101" s="224">
        <f t="shared" ref="I101:N101" si="25">SUM(I99:I100)</f>
        <v>1</v>
      </c>
      <c r="J101" s="224">
        <f t="shared" si="25"/>
        <v>1</v>
      </c>
      <c r="K101" s="224">
        <f t="shared" si="25"/>
        <v>1</v>
      </c>
      <c r="L101" s="224">
        <f t="shared" si="25"/>
        <v>1</v>
      </c>
      <c r="M101" s="795">
        <f t="shared" si="25"/>
        <v>0</v>
      </c>
      <c r="N101" s="860">
        <f t="shared" si="25"/>
        <v>4</v>
      </c>
      <c r="O101" s="500">
        <f t="shared" si="24"/>
        <v>1</v>
      </c>
      <c r="P101" s="680"/>
    </row>
    <row r="102" spans="1:16" s="757" customFormat="1" ht="18" customHeight="1" x14ac:dyDescent="0.25">
      <c r="A102" s="182"/>
      <c r="B102" s="547"/>
      <c r="C102" s="182"/>
      <c r="D102" s="813"/>
      <c r="E102" s="814"/>
      <c r="F102" s="814"/>
      <c r="G102" s="815"/>
      <c r="H102" s="777"/>
      <c r="I102" s="198" t="str">
        <f>IF(I$88=0,"",IF(AND(I$88=1,I101=1),"OK","NOK"))</f>
        <v>OK</v>
      </c>
      <c r="J102" s="198" t="str">
        <f t="shared" ref="J102:M102" si="26">IF(J$88=0,"",IF(AND(J$88=1,J101=1),"OK","NOK"))</f>
        <v>OK</v>
      </c>
      <c r="K102" s="198" t="str">
        <f t="shared" si="26"/>
        <v>OK</v>
      </c>
      <c r="L102" s="198" t="str">
        <f t="shared" si="26"/>
        <v>OK</v>
      </c>
      <c r="M102" s="715" t="str">
        <f t="shared" si="26"/>
        <v/>
      </c>
      <c r="N102" s="853"/>
      <c r="O102" s="689"/>
      <c r="P102" s="689"/>
    </row>
    <row r="103" spans="1:16" ht="18" customHeight="1" x14ac:dyDescent="0.25">
      <c r="A103" s="182"/>
      <c r="B103" s="48" t="s">
        <v>160</v>
      </c>
      <c r="C103" s="274" t="s">
        <v>1371</v>
      </c>
      <c r="D103" s="50"/>
      <c r="E103" s="50"/>
      <c r="F103" s="50"/>
      <c r="G103" s="685"/>
      <c r="H103" s="731"/>
      <c r="I103" s="691"/>
      <c r="J103" s="691"/>
      <c r="K103" s="691"/>
      <c r="L103" s="691"/>
      <c r="M103" s="693"/>
      <c r="N103" s="839"/>
      <c r="O103" s="682"/>
      <c r="P103" s="682"/>
    </row>
    <row r="104" spans="1:16" ht="18" customHeight="1" x14ac:dyDescent="0.25">
      <c r="A104" s="182"/>
      <c r="B104" s="547"/>
      <c r="C104" s="56" t="s">
        <v>161</v>
      </c>
      <c r="D104" s="146" t="s">
        <v>1372</v>
      </c>
      <c r="E104" s="149"/>
      <c r="F104" s="149"/>
      <c r="G104" s="692"/>
      <c r="H104" s="772"/>
      <c r="I104" s="683">
        <v>8</v>
      </c>
      <c r="J104" s="683">
        <v>2</v>
      </c>
      <c r="K104" s="683">
        <v>6</v>
      </c>
      <c r="L104" s="683">
        <v>8</v>
      </c>
      <c r="M104" s="707"/>
      <c r="N104" s="840">
        <f>N106</f>
        <v>4</v>
      </c>
      <c r="O104" s="197">
        <f>IF(N$108=0,0,N104/N$108)</f>
        <v>1</v>
      </c>
      <c r="P104" s="823">
        <f>P111</f>
        <v>6</v>
      </c>
    </row>
    <row r="105" spans="1:16" ht="18" customHeight="1" x14ac:dyDescent="0.25">
      <c r="A105" s="182"/>
      <c r="B105" s="547"/>
      <c r="C105" s="56" t="s">
        <v>163</v>
      </c>
      <c r="D105" s="146" t="s">
        <v>1373</v>
      </c>
      <c r="E105" s="687"/>
      <c r="F105" s="687"/>
      <c r="G105" s="714"/>
      <c r="H105" s="772"/>
      <c r="I105" s="688" t="s">
        <v>1432</v>
      </c>
      <c r="J105" s="688" t="s">
        <v>1432</v>
      </c>
      <c r="K105" s="688" t="s">
        <v>1432</v>
      </c>
      <c r="L105" s="688" t="s">
        <v>1432</v>
      </c>
      <c r="M105" s="708"/>
      <c r="N105" s="840">
        <f t="shared" ref="N105" si="27">SUM(I105:M105)</f>
        <v>0</v>
      </c>
      <c r="O105" s="197">
        <f t="shared" ref="O105:O108" si="28">IF(N$108=0,0,N105/N$108)</f>
        <v>0</v>
      </c>
      <c r="P105" s="823">
        <f>P113</f>
        <v>0</v>
      </c>
    </row>
    <row r="106" spans="1:16" ht="18" hidden="1" customHeight="1" x14ac:dyDescent="0.25">
      <c r="A106" s="182"/>
      <c r="B106" s="182"/>
      <c r="C106" s="182"/>
      <c r="D106" s="700"/>
      <c r="E106" s="676"/>
      <c r="F106" s="676"/>
      <c r="G106" s="753"/>
      <c r="H106" s="772"/>
      <c r="I106" s="827">
        <f>IF(I104&gt;0,1,0)</f>
        <v>1</v>
      </c>
      <c r="J106" s="827">
        <f t="shared" ref="J106:M107" si="29">IF(J104&gt;0,1,0)</f>
        <v>1</v>
      </c>
      <c r="K106" s="827">
        <f t="shared" si="29"/>
        <v>1</v>
      </c>
      <c r="L106" s="827">
        <f t="shared" si="29"/>
        <v>1</v>
      </c>
      <c r="M106" s="822">
        <f t="shared" si="29"/>
        <v>0</v>
      </c>
      <c r="N106" s="861">
        <f>SUM(I106:M106)</f>
        <v>4</v>
      </c>
      <c r="O106" s="678"/>
      <c r="P106" s="678"/>
    </row>
    <row r="107" spans="1:16" ht="18" hidden="1" customHeight="1" x14ac:dyDescent="0.25">
      <c r="A107" s="182"/>
      <c r="B107" s="182"/>
      <c r="C107" s="182"/>
      <c r="D107" s="700"/>
      <c r="E107" s="676"/>
      <c r="F107" s="676"/>
      <c r="G107" s="753"/>
      <c r="H107" s="772"/>
      <c r="I107" s="827">
        <f>IF(I105&gt;0,1,0)</f>
        <v>1</v>
      </c>
      <c r="J107" s="827">
        <f t="shared" si="29"/>
        <v>1</v>
      </c>
      <c r="K107" s="827">
        <f t="shared" si="29"/>
        <v>1</v>
      </c>
      <c r="L107" s="827">
        <f t="shared" si="29"/>
        <v>1</v>
      </c>
      <c r="M107" s="822">
        <f t="shared" si="29"/>
        <v>0</v>
      </c>
      <c r="N107" s="861">
        <f>SUM(I107:M107)</f>
        <v>4</v>
      </c>
      <c r="O107" s="678"/>
      <c r="P107" s="678"/>
    </row>
    <row r="108" spans="1:16" ht="18" customHeight="1" x14ac:dyDescent="0.25">
      <c r="A108" s="182"/>
      <c r="B108" s="547"/>
      <c r="C108" s="325"/>
      <c r="D108" s="747"/>
      <c r="E108" s="748"/>
      <c r="F108" s="748"/>
      <c r="G108" s="749"/>
      <c r="H108" s="777"/>
      <c r="I108" s="224">
        <f>SUM(I106:I107)</f>
        <v>2</v>
      </c>
      <c r="J108" s="224">
        <f t="shared" ref="J108:M108" si="30">SUM(J106:J107)</f>
        <v>2</v>
      </c>
      <c r="K108" s="224">
        <f t="shared" si="30"/>
        <v>2</v>
      </c>
      <c r="L108" s="224">
        <f t="shared" si="30"/>
        <v>2</v>
      </c>
      <c r="M108" s="795">
        <f t="shared" si="30"/>
        <v>0</v>
      </c>
      <c r="N108" s="390">
        <f>SUM(N104:N105)</f>
        <v>4</v>
      </c>
      <c r="O108" s="500">
        <f t="shared" si="28"/>
        <v>1</v>
      </c>
      <c r="P108" s="680"/>
    </row>
    <row r="109" spans="1:16" s="757" customFormat="1" ht="18" customHeight="1" x14ac:dyDescent="0.25">
      <c r="A109" s="182"/>
      <c r="B109" s="547"/>
      <c r="C109" s="182"/>
      <c r="D109" s="813"/>
      <c r="E109" s="814"/>
      <c r="F109" s="814"/>
      <c r="G109" s="815"/>
      <c r="H109" s="777"/>
      <c r="I109" s="198" t="str">
        <f>IF(I$88=0,"",IF(AND(I$88=1,I108=2),"OK","NOK"))</f>
        <v>OK</v>
      </c>
      <c r="J109" s="198" t="str">
        <f t="shared" ref="J109:M109" si="31">IF(J$88=0,"",IF(AND(J$88=1,J108=2),"OK","NOK"))</f>
        <v>OK</v>
      </c>
      <c r="K109" s="198" t="str">
        <f t="shared" si="31"/>
        <v>OK</v>
      </c>
      <c r="L109" s="198" t="str">
        <f t="shared" si="31"/>
        <v>OK</v>
      </c>
      <c r="M109" s="715" t="str">
        <f t="shared" si="31"/>
        <v/>
      </c>
      <c r="N109" s="853"/>
      <c r="O109" s="689"/>
      <c r="P109" s="689"/>
    </row>
    <row r="110" spans="1:16" ht="18" hidden="1" customHeight="1" x14ac:dyDescent="0.25">
      <c r="A110" s="787"/>
      <c r="B110" s="689"/>
      <c r="C110" s="689"/>
      <c r="D110" s="696"/>
      <c r="E110" s="788"/>
      <c r="F110" s="696"/>
      <c r="G110" s="768"/>
      <c r="I110" s="161">
        <f>I104</f>
        <v>8</v>
      </c>
      <c r="J110" s="161">
        <f t="shared" ref="J110:M110" si="32">J104</f>
        <v>2</v>
      </c>
      <c r="K110" s="161">
        <f t="shared" si="32"/>
        <v>6</v>
      </c>
      <c r="L110" s="161">
        <f t="shared" si="32"/>
        <v>8</v>
      </c>
      <c r="M110" s="697">
        <f t="shared" si="32"/>
        <v>0</v>
      </c>
      <c r="N110" s="841">
        <f>SUM(I110:M110)</f>
        <v>24</v>
      </c>
      <c r="O110" s="504"/>
      <c r="P110" s="718"/>
    </row>
    <row r="111" spans="1:16" ht="18" hidden="1" customHeight="1" x14ac:dyDescent="0.25">
      <c r="A111" s="787"/>
      <c r="B111" s="689"/>
      <c r="C111" s="689"/>
      <c r="D111" s="696"/>
      <c r="E111" s="788"/>
      <c r="F111" s="696"/>
      <c r="G111" s="768"/>
      <c r="I111" s="161">
        <f>IF(I110&gt;0,I110,"")</f>
        <v>8</v>
      </c>
      <c r="J111" s="161">
        <f t="shared" ref="J111:M111" si="33">IF(J110&gt;0,J110,"")</f>
        <v>2</v>
      </c>
      <c r="K111" s="161">
        <f t="shared" si="33"/>
        <v>6</v>
      </c>
      <c r="L111" s="161">
        <f t="shared" si="33"/>
        <v>8</v>
      </c>
      <c r="M111" s="697" t="str">
        <f t="shared" si="33"/>
        <v/>
      </c>
      <c r="N111" s="841">
        <f>SUM(I111:M111)</f>
        <v>24</v>
      </c>
      <c r="O111" s="504"/>
      <c r="P111" s="161">
        <f>IF(N111=0,0,AVERAGE(I111:M111))</f>
        <v>6</v>
      </c>
    </row>
    <row r="112" spans="1:16" ht="18" hidden="1" customHeight="1" x14ac:dyDescent="0.25">
      <c r="A112" s="787"/>
      <c r="B112" s="689"/>
      <c r="C112" s="689"/>
      <c r="D112" s="696"/>
      <c r="E112" s="788"/>
      <c r="F112" s="696"/>
      <c r="G112" s="768"/>
      <c r="I112" s="161" t="str">
        <f>I105</f>
        <v>Don't know</v>
      </c>
      <c r="J112" s="161" t="str">
        <f t="shared" ref="J112:M112" si="34">J105</f>
        <v>Don't know</v>
      </c>
      <c r="K112" s="161" t="str">
        <f t="shared" si="34"/>
        <v>Don't know</v>
      </c>
      <c r="L112" s="161" t="str">
        <f t="shared" si="34"/>
        <v>Don't know</v>
      </c>
      <c r="M112" s="697">
        <f t="shared" si="34"/>
        <v>0</v>
      </c>
      <c r="N112" s="841">
        <f>SUM(I112:M112)</f>
        <v>0</v>
      </c>
      <c r="O112" s="504"/>
      <c r="P112" s="718"/>
    </row>
    <row r="113" spans="1:16" ht="18" hidden="1" customHeight="1" x14ac:dyDescent="0.25">
      <c r="A113" s="787"/>
      <c r="B113" s="689"/>
      <c r="C113" s="689"/>
      <c r="D113" s="696"/>
      <c r="E113" s="788"/>
      <c r="F113" s="696"/>
      <c r="G113" s="768"/>
      <c r="I113" s="161" t="str">
        <f>IF(I112&gt;0,I112,"")</f>
        <v>Don't know</v>
      </c>
      <c r="J113" s="161" t="str">
        <f t="shared" ref="J113:M113" si="35">IF(J112&gt;0,J112,"")</f>
        <v>Don't know</v>
      </c>
      <c r="K113" s="161" t="str">
        <f t="shared" si="35"/>
        <v>Don't know</v>
      </c>
      <c r="L113" s="161" t="str">
        <f t="shared" si="35"/>
        <v>Don't know</v>
      </c>
      <c r="M113" s="697" t="str">
        <f t="shared" si="35"/>
        <v/>
      </c>
      <c r="N113" s="841">
        <f>SUM(I113:M113)</f>
        <v>0</v>
      </c>
      <c r="O113" s="504"/>
      <c r="P113" s="161">
        <f>IF(N113=0,0,AVERAGE(I113:M113))</f>
        <v>0</v>
      </c>
    </row>
    <row r="114" spans="1:16" ht="18" customHeight="1" x14ac:dyDescent="0.25">
      <c r="A114" s="182"/>
      <c r="B114" s="48" t="s">
        <v>171</v>
      </c>
      <c r="C114" s="274" t="s">
        <v>12</v>
      </c>
      <c r="D114" s="50"/>
      <c r="E114" s="50"/>
      <c r="F114" s="50"/>
      <c r="G114" s="685"/>
      <c r="H114" s="241"/>
      <c r="I114" s="691"/>
      <c r="J114" s="691"/>
      <c r="K114" s="691"/>
      <c r="L114" s="691"/>
      <c r="M114" s="693"/>
      <c r="N114" s="856"/>
      <c r="O114" s="682"/>
      <c r="P114" s="682"/>
    </row>
    <row r="115" spans="1:16" ht="18" hidden="1" customHeight="1" x14ac:dyDescent="0.25">
      <c r="A115" s="679"/>
      <c r="B115" s="679"/>
      <c r="C115" s="56" t="s">
        <v>172</v>
      </c>
      <c r="D115" s="149" t="s">
        <v>1374</v>
      </c>
      <c r="E115" s="149"/>
      <c r="F115" s="149"/>
      <c r="G115" s="149"/>
      <c r="H115" s="731"/>
      <c r="I115" s="807">
        <f>I99</f>
        <v>1</v>
      </c>
      <c r="J115" s="807">
        <f>J99</f>
        <v>1</v>
      </c>
      <c r="K115" s="807">
        <f>K99</f>
        <v>1</v>
      </c>
      <c r="L115" s="807">
        <f>L99</f>
        <v>1</v>
      </c>
      <c r="M115" s="695">
        <f>M99</f>
        <v>0</v>
      </c>
      <c r="N115" s="840">
        <f>SUM(C115:M115)</f>
        <v>4</v>
      </c>
      <c r="O115" s="197">
        <f>IF(N16=0,0,N115/N16)</f>
        <v>4</v>
      </c>
      <c r="P115" s="880"/>
    </row>
    <row r="116" spans="1:16" ht="18" hidden="1" customHeight="1" x14ac:dyDescent="0.25">
      <c r="A116" s="679"/>
      <c r="B116" s="679"/>
      <c r="C116" s="56" t="s">
        <v>174</v>
      </c>
      <c r="D116" s="146" t="s">
        <v>1375</v>
      </c>
      <c r="E116" s="149"/>
      <c r="F116" s="149"/>
      <c r="G116" s="149"/>
      <c r="H116" s="731"/>
      <c r="I116" s="198">
        <f>I104</f>
        <v>8</v>
      </c>
      <c r="J116" s="198">
        <f>J104</f>
        <v>2</v>
      </c>
      <c r="K116" s="198">
        <f>K104</f>
        <v>6</v>
      </c>
      <c r="L116" s="198">
        <f>L104</f>
        <v>8</v>
      </c>
      <c r="M116" s="715">
        <f>M104</f>
        <v>0</v>
      </c>
      <c r="N116" s="840"/>
      <c r="O116" s="881"/>
      <c r="P116" s="786">
        <f>P117</f>
        <v>6</v>
      </c>
    </row>
    <row r="117" spans="1:16" ht="18" hidden="1" customHeight="1" x14ac:dyDescent="0.25">
      <c r="A117" s="679"/>
      <c r="B117" s="679"/>
      <c r="C117" s="182"/>
      <c r="D117" s="696" t="s">
        <v>1356</v>
      </c>
      <c r="E117" s="676"/>
      <c r="F117" s="676"/>
      <c r="G117" s="717"/>
      <c r="H117" s="241"/>
      <c r="I117" s="161">
        <f>IF(I116&gt;0,I116,"")</f>
        <v>8</v>
      </c>
      <c r="J117" s="161">
        <f>IF(J116&gt;0,J116,"")</f>
        <v>2</v>
      </c>
      <c r="K117" s="161">
        <f>IF(K116&gt;0,K116,"")</f>
        <v>6</v>
      </c>
      <c r="L117" s="161">
        <f>IF(L116&gt;0,L116,"")</f>
        <v>8</v>
      </c>
      <c r="M117" s="697" t="str">
        <f>IF(M116&gt;0,M116,"")</f>
        <v/>
      </c>
      <c r="N117" s="841">
        <f>SUM(C117:M117)</f>
        <v>24</v>
      </c>
      <c r="O117" s="718"/>
      <c r="P117" s="678">
        <f>IF(N117=0,0,AVERAGE(I117:M117))</f>
        <v>6</v>
      </c>
    </row>
    <row r="118" spans="1:16" ht="18" customHeight="1" x14ac:dyDescent="0.25"/>
    <row r="119" spans="1:16" ht="18" customHeight="1" x14ac:dyDescent="0.25"/>
    <row r="120" spans="1:16" ht="18" customHeight="1" x14ac:dyDescent="0.25"/>
    <row r="121" spans="1:16" ht="18" customHeight="1" x14ac:dyDescent="0.25"/>
    <row r="122" spans="1:16" ht="18" customHeight="1" x14ac:dyDescent="0.25"/>
    <row r="123" spans="1:16" ht="18" customHeight="1" x14ac:dyDescent="0.25"/>
    <row r="124" spans="1:16" ht="18" customHeight="1" x14ac:dyDescent="0.25"/>
    <row r="125" spans="1:16" ht="18" customHeight="1" x14ac:dyDescent="0.25"/>
    <row r="126" spans="1:16" ht="18" customHeight="1" x14ac:dyDescent="0.25"/>
    <row r="127" spans="1:16" ht="18" customHeight="1" x14ac:dyDescent="0.25"/>
    <row r="128" spans="1:16"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row r="145" ht="18" customHeight="1" x14ac:dyDescent="0.25"/>
    <row r="146" ht="18" customHeight="1" x14ac:dyDescent="0.25"/>
    <row r="147" ht="18" customHeight="1" x14ac:dyDescent="0.25"/>
    <row r="148" ht="18" customHeight="1" x14ac:dyDescent="0.25"/>
    <row r="149" ht="18" customHeight="1" x14ac:dyDescent="0.25"/>
    <row r="150" ht="18" customHeight="1" x14ac:dyDescent="0.25"/>
    <row r="151" ht="18" customHeight="1" x14ac:dyDescent="0.25"/>
    <row r="152" ht="18" customHeight="1" x14ac:dyDescent="0.25"/>
    <row r="153" ht="18" customHeight="1" x14ac:dyDescent="0.25"/>
    <row r="154" ht="18" customHeight="1" x14ac:dyDescent="0.25"/>
    <row r="155" ht="18" customHeight="1" x14ac:dyDescent="0.25"/>
    <row r="156" ht="18" customHeight="1" x14ac:dyDescent="0.25"/>
    <row r="157" ht="18" customHeight="1" x14ac:dyDescent="0.25"/>
    <row r="158" ht="18" customHeight="1" x14ac:dyDescent="0.25"/>
    <row r="159" ht="18" customHeight="1" x14ac:dyDescent="0.25"/>
    <row r="160" ht="18" customHeight="1" x14ac:dyDescent="0.25"/>
    <row r="161" ht="18" customHeight="1" x14ac:dyDescent="0.25"/>
    <row r="162" ht="18" customHeight="1" x14ac:dyDescent="0.25"/>
    <row r="163" ht="18" customHeight="1" x14ac:dyDescent="0.25"/>
    <row r="164" ht="18" customHeight="1" x14ac:dyDescent="0.25"/>
    <row r="165" ht="18" customHeight="1" x14ac:dyDescent="0.25"/>
    <row r="166" ht="18" customHeight="1" x14ac:dyDescent="0.25"/>
    <row r="167" ht="18" customHeight="1" x14ac:dyDescent="0.25"/>
    <row r="168" ht="18" customHeight="1" x14ac:dyDescent="0.25"/>
    <row r="169" ht="18" customHeight="1" x14ac:dyDescent="0.25"/>
    <row r="170" ht="18" customHeight="1" x14ac:dyDescent="0.25"/>
    <row r="171" ht="18" customHeight="1" x14ac:dyDescent="0.25"/>
    <row r="172" ht="18" customHeight="1" x14ac:dyDescent="0.25"/>
    <row r="173" ht="18" customHeight="1" x14ac:dyDescent="0.25"/>
    <row r="174" ht="18" customHeight="1" x14ac:dyDescent="0.25"/>
    <row r="175" ht="18" customHeight="1" x14ac:dyDescent="0.25"/>
    <row r="176" ht="18" customHeight="1" x14ac:dyDescent="0.25"/>
    <row r="177" ht="18" customHeight="1" x14ac:dyDescent="0.25"/>
    <row r="178" ht="18" customHeight="1" x14ac:dyDescent="0.25"/>
    <row r="179" ht="18" customHeight="1" x14ac:dyDescent="0.25"/>
    <row r="180" ht="18" customHeight="1" x14ac:dyDescent="0.25"/>
    <row r="181" ht="18" customHeight="1" x14ac:dyDescent="0.25"/>
    <row r="182" ht="18" customHeight="1" x14ac:dyDescent="0.25"/>
    <row r="183" ht="18" customHeight="1" x14ac:dyDescent="0.25"/>
    <row r="184" ht="18" customHeight="1" x14ac:dyDescent="0.25"/>
    <row r="185" ht="18" customHeight="1" x14ac:dyDescent="0.25"/>
    <row r="186" ht="18" customHeight="1" x14ac:dyDescent="0.25"/>
    <row r="187" ht="18" customHeight="1" x14ac:dyDescent="0.25"/>
    <row r="188" ht="18" customHeight="1" x14ac:dyDescent="0.25"/>
    <row r="189" ht="18" customHeight="1" x14ac:dyDescent="0.25"/>
    <row r="190" ht="18" customHeight="1" x14ac:dyDescent="0.25"/>
    <row r="191" ht="18" customHeight="1" x14ac:dyDescent="0.25"/>
    <row r="192" ht="18" customHeight="1" x14ac:dyDescent="0.25"/>
    <row r="193" ht="18" customHeight="1" x14ac:dyDescent="0.25"/>
    <row r="194" ht="18" customHeight="1" x14ac:dyDescent="0.25"/>
    <row r="195" ht="18" customHeight="1" x14ac:dyDescent="0.25"/>
    <row r="196" ht="18" customHeight="1" x14ac:dyDescent="0.25"/>
    <row r="197" ht="18" customHeight="1" x14ac:dyDescent="0.25"/>
    <row r="198" ht="18" customHeight="1" x14ac:dyDescent="0.25"/>
    <row r="199" ht="18" customHeight="1" x14ac:dyDescent="0.25"/>
    <row r="200" ht="18" customHeight="1" x14ac:dyDescent="0.25"/>
    <row r="201" ht="18" customHeight="1" x14ac:dyDescent="0.25"/>
    <row r="202" ht="18" customHeight="1" x14ac:dyDescent="0.25"/>
    <row r="203" ht="18" customHeight="1" x14ac:dyDescent="0.25"/>
    <row r="204" ht="18" customHeight="1" x14ac:dyDescent="0.25"/>
    <row r="205" ht="18" customHeight="1" x14ac:dyDescent="0.25"/>
    <row r="206" ht="18" customHeight="1" x14ac:dyDescent="0.25"/>
    <row r="207" ht="18" customHeight="1" x14ac:dyDescent="0.25"/>
    <row r="208" ht="18" customHeight="1" x14ac:dyDescent="0.25"/>
    <row r="209" ht="18" customHeight="1" x14ac:dyDescent="0.25"/>
    <row r="210" ht="18" customHeight="1" x14ac:dyDescent="0.25"/>
    <row r="211" ht="18" customHeight="1" x14ac:dyDescent="0.25"/>
    <row r="212" ht="18" customHeight="1" x14ac:dyDescent="0.25"/>
    <row r="213" ht="18" customHeight="1" x14ac:dyDescent="0.25"/>
    <row r="214" ht="18" customHeight="1" x14ac:dyDescent="0.25"/>
    <row r="215" ht="18" customHeight="1" x14ac:dyDescent="0.25"/>
    <row r="216" ht="18" customHeight="1" x14ac:dyDescent="0.25"/>
    <row r="217" ht="18" customHeight="1" x14ac:dyDescent="0.25"/>
    <row r="218" ht="18" customHeight="1" x14ac:dyDescent="0.25"/>
    <row r="219" ht="18" customHeight="1" x14ac:dyDescent="0.25"/>
    <row r="220" ht="18" customHeight="1" x14ac:dyDescent="0.25"/>
    <row r="221" ht="18" customHeight="1" x14ac:dyDescent="0.25"/>
    <row r="222" ht="18" customHeight="1" x14ac:dyDescent="0.25"/>
    <row r="223" ht="18" customHeight="1" x14ac:dyDescent="0.25"/>
    <row r="224" ht="18" customHeight="1" x14ac:dyDescent="0.25"/>
    <row r="225" ht="18" customHeight="1" x14ac:dyDescent="0.25"/>
    <row r="226" ht="18" customHeight="1" x14ac:dyDescent="0.25"/>
    <row r="227" ht="18" customHeight="1" x14ac:dyDescent="0.25"/>
    <row r="228" ht="18" customHeight="1" x14ac:dyDescent="0.25"/>
    <row r="229" ht="18" customHeight="1" x14ac:dyDescent="0.25"/>
    <row r="230" ht="18" customHeight="1" x14ac:dyDescent="0.25"/>
    <row r="231" ht="18" customHeight="1" x14ac:dyDescent="0.25"/>
    <row r="232" ht="18" customHeight="1" x14ac:dyDescent="0.25"/>
    <row r="233" ht="18" customHeight="1" x14ac:dyDescent="0.25"/>
    <row r="234" ht="18" customHeight="1" x14ac:dyDescent="0.25"/>
    <row r="235" ht="18" customHeight="1" x14ac:dyDescent="0.25"/>
    <row r="236" ht="18" customHeight="1" x14ac:dyDescent="0.25"/>
    <row r="237" ht="18" customHeight="1" x14ac:dyDescent="0.25"/>
    <row r="238" ht="18" customHeight="1" x14ac:dyDescent="0.25"/>
    <row r="239" ht="18" customHeight="1" x14ac:dyDescent="0.25"/>
    <row r="240" ht="18" customHeight="1" x14ac:dyDescent="0.25"/>
    <row r="241" ht="18" customHeight="1" x14ac:dyDescent="0.25"/>
  </sheetData>
  <pageMargins left="0.7" right="0.7" top="0.75" bottom="0.75" header="0.3" footer="0.3"/>
  <pageSetup paperSize="9" scale="70" orientation="portrait" r:id="rId1"/>
  <ignoredErrors>
    <ignoredError sqref="R56:T56 R64:T64"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187"/>
  <sheetViews>
    <sheetView zoomScale="86" zoomScaleNormal="86" workbookViewId="0">
      <pane ySplit="9" topLeftCell="A10" activePane="bottomLeft" state="frozen"/>
      <selection pane="bottomLeft" activeCell="A4" sqref="A4:S4"/>
    </sheetView>
  </sheetViews>
  <sheetFormatPr defaultRowHeight="12.75" x14ac:dyDescent="0.25"/>
  <cols>
    <col min="1" max="2" width="4.7109375" style="3" customWidth="1"/>
    <col min="3" max="3" width="5.28515625" style="3" customWidth="1"/>
    <col min="4" max="4" width="45.7109375" style="3" customWidth="1"/>
    <col min="5" max="6" width="11.7109375" style="3" customWidth="1"/>
    <col min="7" max="7" width="11.7109375" style="158" customWidth="1"/>
    <col min="8" max="8" width="6.7109375" style="3" customWidth="1"/>
    <col min="9" max="9" width="1.85546875" style="3" customWidth="1"/>
    <col min="10" max="10" width="3.7109375" style="3" customWidth="1"/>
    <col min="11" max="11" width="1.85546875" style="117" customWidth="1"/>
    <col min="12" max="12" width="11.7109375" style="206" customWidth="1"/>
    <col min="13" max="15" width="11.7109375" style="3" customWidth="1"/>
    <col min="16" max="16" width="39" style="3" customWidth="1"/>
    <col min="17" max="17" width="5.28515625" style="3" customWidth="1"/>
    <col min="18" max="19" width="4.7109375" style="3" customWidth="1"/>
    <col min="20" max="20" width="10.7109375" style="3" customWidth="1"/>
    <col min="21" max="21" width="12.7109375" style="1104" bestFit="1" customWidth="1"/>
    <col min="22" max="27" width="10.7109375" style="3" customWidth="1"/>
    <col min="28" max="16384" width="9.140625" style="3"/>
  </cols>
  <sheetData>
    <row r="1" spans="1:30" s="1100" customFormat="1" ht="21" x14ac:dyDescent="0.25">
      <c r="A1" s="444" t="s">
        <v>363</v>
      </c>
      <c r="G1" s="444"/>
      <c r="K1" s="1101"/>
      <c r="L1" s="652"/>
      <c r="S1" s="1102" t="s">
        <v>883</v>
      </c>
      <c r="U1" s="1103"/>
    </row>
    <row r="2" spans="1:30" ht="12.75" customHeight="1" x14ac:dyDescent="0.25"/>
    <row r="3" spans="1:30" ht="12.75" customHeight="1" x14ac:dyDescent="0.25"/>
    <row r="4" spans="1:30" ht="26.25" customHeight="1" x14ac:dyDescent="0.25">
      <c r="A4" s="1352" t="str">
        <f>AA4&amp;AD4</f>
        <v>BANTEAY MEAS DISTRICT IN KAMPOT PROVINCE</v>
      </c>
      <c r="B4" s="1352"/>
      <c r="C4" s="1352"/>
      <c r="D4" s="1352"/>
      <c r="E4" s="1352"/>
      <c r="F4" s="1352"/>
      <c r="G4" s="1352"/>
      <c r="H4" s="1352"/>
      <c r="I4" s="1352"/>
      <c r="J4" s="1352"/>
      <c r="K4" s="1352"/>
      <c r="L4" s="1352"/>
      <c r="M4" s="1352"/>
      <c r="N4" s="1352"/>
      <c r="O4" s="1352"/>
      <c r="P4" s="1352"/>
      <c r="Q4" s="1352"/>
      <c r="R4" s="1352"/>
      <c r="S4" s="1352"/>
      <c r="U4" s="1105" t="str">
        <f>'STUDY VILLAGES'!A8</f>
        <v>BANTEAY MEAS</v>
      </c>
      <c r="V4" s="3" t="s">
        <v>1574</v>
      </c>
      <c r="X4" s="1105" t="str">
        <f>'STUDY VILLAGES'!A7</f>
        <v>KAMPOT</v>
      </c>
      <c r="Y4" s="3" t="s">
        <v>825</v>
      </c>
      <c r="AA4" s="3" t="str">
        <f>U4&amp;V4</f>
        <v xml:space="preserve">BANTEAY MEAS DISTRICT IN </v>
      </c>
      <c r="AD4" s="3" t="str">
        <f>X4&amp;Y4</f>
        <v>KAMPOT PROVINCE</v>
      </c>
    </row>
    <row r="5" spans="1:30" ht="12.75" customHeight="1" x14ac:dyDescent="0.25"/>
    <row r="6" spans="1:30" ht="12.75" customHeight="1" thickBot="1" x14ac:dyDescent="0.3"/>
    <row r="7" spans="1:30" s="1106" customFormat="1" ht="24.95" customHeight="1" thickBot="1" x14ac:dyDescent="0.3">
      <c r="A7" s="1353" t="s">
        <v>1575</v>
      </c>
      <c r="B7" s="1354"/>
      <c r="C7" s="1354"/>
      <c r="D7" s="1354"/>
      <c r="E7" s="1354"/>
      <c r="F7" s="1354"/>
      <c r="G7" s="1354"/>
      <c r="H7" s="1355"/>
      <c r="K7" s="1107"/>
      <c r="L7" s="1353" t="s">
        <v>1576</v>
      </c>
      <c r="M7" s="1354"/>
      <c r="N7" s="1354"/>
      <c r="O7" s="1354"/>
      <c r="P7" s="1354"/>
      <c r="Q7" s="1354"/>
      <c r="R7" s="1354"/>
      <c r="S7" s="1355"/>
      <c r="U7" s="1108" t="s">
        <v>1577</v>
      </c>
      <c r="V7" s="1109">
        <v>4050</v>
      </c>
    </row>
    <row r="9" spans="1:30" s="1113" customFormat="1" ht="30" customHeight="1" x14ac:dyDescent="0.25">
      <c r="A9" s="1110"/>
      <c r="B9" s="1110"/>
      <c r="C9" s="1110"/>
      <c r="D9" s="1110"/>
      <c r="E9" s="1111" t="s">
        <v>891</v>
      </c>
      <c r="F9" s="1112" t="s">
        <v>849</v>
      </c>
      <c r="G9" s="1111" t="s">
        <v>4</v>
      </c>
      <c r="H9" s="1111" t="s">
        <v>5</v>
      </c>
      <c r="K9" s="1114"/>
      <c r="L9" s="1115" t="s">
        <v>4</v>
      </c>
      <c r="M9" s="1112" t="s">
        <v>1578</v>
      </c>
      <c r="N9" s="1112" t="s">
        <v>1346</v>
      </c>
      <c r="O9" s="1112" t="s">
        <v>1390</v>
      </c>
      <c r="P9" s="1116"/>
      <c r="Q9" s="1110"/>
      <c r="R9" s="1110"/>
      <c r="S9" s="1110"/>
      <c r="U9" s="1117"/>
    </row>
    <row r="10" spans="1:30" s="1120" customFormat="1" ht="19.5" thickBot="1" x14ac:dyDescent="0.3">
      <c r="A10" s="1118">
        <v>1</v>
      </c>
      <c r="B10" s="1119" t="s">
        <v>3</v>
      </c>
      <c r="C10" s="1119"/>
      <c r="D10" s="1119"/>
      <c r="E10" s="1118"/>
      <c r="F10" s="1118"/>
      <c r="G10" s="1118"/>
      <c r="H10" s="1118"/>
      <c r="K10" s="1121"/>
      <c r="L10" s="1122"/>
      <c r="M10" s="1123"/>
      <c r="N10" s="1123"/>
      <c r="O10" s="1123"/>
      <c r="P10" s="1124"/>
      <c r="Q10" s="1124"/>
      <c r="R10" s="1125" t="s">
        <v>3</v>
      </c>
      <c r="S10" s="1118">
        <v>1</v>
      </c>
      <c r="U10" s="1126"/>
    </row>
    <row r="11" spans="1:30" s="32" customFormat="1" ht="15.95" customHeight="1" x14ac:dyDescent="0.25">
      <c r="A11" s="1127"/>
      <c r="B11" s="1128">
        <v>1.1000000000000001</v>
      </c>
      <c r="C11" s="1129" t="s">
        <v>1579</v>
      </c>
      <c r="D11" s="1130"/>
      <c r="E11" s="1128"/>
      <c r="F11" s="1128"/>
      <c r="G11" s="1128"/>
      <c r="H11" s="1128"/>
      <c r="K11" s="408"/>
      <c r="L11" s="1131"/>
      <c r="M11" s="1132"/>
      <c r="N11" s="1132"/>
      <c r="O11" s="1132"/>
      <c r="P11" s="1132"/>
      <c r="Q11" s="1133" t="s">
        <v>1580</v>
      </c>
      <c r="R11" s="1128">
        <v>1.1000000000000001</v>
      </c>
      <c r="S11" s="1127"/>
      <c r="U11" s="1134"/>
    </row>
    <row r="12" spans="1:30" ht="15.95" customHeight="1" x14ac:dyDescent="0.25">
      <c r="A12" s="20"/>
      <c r="B12" s="20"/>
      <c r="C12" s="74" t="s">
        <v>1581</v>
      </c>
      <c r="D12" s="178" t="s">
        <v>1582</v>
      </c>
      <c r="E12" s="74"/>
      <c r="F12" s="74"/>
      <c r="G12" s="74"/>
      <c r="H12" s="74"/>
      <c r="L12" s="937"/>
      <c r="M12" s="113"/>
      <c r="N12" s="113"/>
      <c r="O12" s="113"/>
      <c r="P12" s="1135" t="s">
        <v>1583</v>
      </c>
      <c r="Q12" s="74" t="s">
        <v>1581</v>
      </c>
      <c r="R12" s="20"/>
      <c r="S12" s="20"/>
    </row>
    <row r="13" spans="1:30" ht="15.95" customHeight="1" thickBot="1" x14ac:dyDescent="0.3">
      <c r="A13" s="20"/>
      <c r="B13" s="20"/>
      <c r="C13" s="20"/>
      <c r="D13" s="178" t="s">
        <v>1584</v>
      </c>
      <c r="E13" s="424">
        <f>ROUND((E14*4.8)/1000,0)*1000</f>
        <v>16000</v>
      </c>
      <c r="F13" s="424">
        <f>ROUND((F14*4.8)/1000,0)*1000</f>
        <v>83000</v>
      </c>
      <c r="G13" s="18">
        <f>SUM(E13:F13)</f>
        <v>99000</v>
      </c>
      <c r="H13" s="424"/>
      <c r="L13" s="18"/>
      <c r="M13" s="20"/>
      <c r="N13" s="20"/>
      <c r="O13" s="20"/>
      <c r="P13" s="1136"/>
      <c r="Q13" s="20"/>
      <c r="R13" s="20"/>
      <c r="S13" s="20"/>
    </row>
    <row r="14" spans="1:30" ht="15.95" customHeight="1" thickBot="1" x14ac:dyDescent="0.3">
      <c r="A14" s="20"/>
      <c r="B14" s="20"/>
      <c r="C14" s="20"/>
      <c r="D14" s="178" t="s">
        <v>1585</v>
      </c>
      <c r="E14" s="424">
        <f>SAMPLE!V23</f>
        <v>3288.9199999999992</v>
      </c>
      <c r="F14" s="424">
        <f>SAMPLE!W23</f>
        <v>17220.080000000002</v>
      </c>
      <c r="G14" s="18">
        <f>SUM(E14:F14)</f>
        <v>20509</v>
      </c>
      <c r="H14" s="19"/>
      <c r="J14" s="1137"/>
      <c r="L14" s="794">
        <f>SUM(M14:O14)</f>
        <v>13</v>
      </c>
      <c r="M14" s="1138">
        <f>'WHO-SUPPLY'!B12</f>
        <v>5</v>
      </c>
      <c r="N14" s="1138">
        <f>'WHO-SUPPLY'!E12</f>
        <v>8</v>
      </c>
      <c r="O14" s="1138">
        <f>'WHO-SUPPLY'!I12</f>
        <v>0</v>
      </c>
      <c r="P14" s="1135" t="s">
        <v>1586</v>
      </c>
      <c r="Q14" s="20"/>
      <c r="R14" s="20"/>
      <c r="S14" s="20"/>
      <c r="U14" s="1139">
        <v>2</v>
      </c>
    </row>
    <row r="15" spans="1:30" ht="15.95" customHeight="1" x14ac:dyDescent="0.25">
      <c r="A15" s="20"/>
      <c r="B15" s="20"/>
      <c r="C15" s="74" t="s">
        <v>1587</v>
      </c>
      <c r="D15" s="178" t="s">
        <v>1588</v>
      </c>
      <c r="E15" s="111"/>
      <c r="F15" s="111"/>
      <c r="G15" s="937"/>
      <c r="H15" s="937"/>
      <c r="L15" s="937"/>
      <c r="M15" s="113"/>
      <c r="N15" s="113"/>
      <c r="O15" s="113"/>
      <c r="P15" s="1135" t="s">
        <v>1589</v>
      </c>
      <c r="Q15" s="74" t="s">
        <v>1587</v>
      </c>
      <c r="R15" s="20"/>
      <c r="S15" s="20"/>
    </row>
    <row r="16" spans="1:30" ht="15.95" customHeight="1" x14ac:dyDescent="0.25">
      <c r="A16" s="20"/>
      <c r="B16" s="20"/>
      <c r="C16" s="20"/>
      <c r="D16" s="113" t="s">
        <v>1590</v>
      </c>
      <c r="E16" s="17"/>
      <c r="F16" s="17"/>
      <c r="G16" s="18">
        <f>SAMPLE!Y23</f>
        <v>15743.23</v>
      </c>
      <c r="H16" s="19">
        <f>IF($G$18=0,0,G16/$G$18)</f>
        <v>0.76762543273684725</v>
      </c>
      <c r="L16" s="794"/>
      <c r="M16" s="1138">
        <f>'WHO-SUPPLY'!B14</f>
        <v>6900</v>
      </c>
      <c r="N16" s="1138">
        <f>'WHO-SUPPLY'!E14</f>
        <v>0</v>
      </c>
      <c r="O16" s="1138">
        <f>'WHO-SUPPLY'!I14</f>
        <v>0</v>
      </c>
      <c r="P16" s="1135" t="s">
        <v>1591</v>
      </c>
      <c r="Q16" s="20"/>
      <c r="R16" s="20"/>
      <c r="S16" s="20"/>
    </row>
    <row r="17" spans="1:21" ht="15.95" customHeight="1" x14ac:dyDescent="0.25">
      <c r="A17" s="20"/>
      <c r="B17" s="20"/>
      <c r="C17" s="20"/>
      <c r="D17" s="113" t="s">
        <v>1592</v>
      </c>
      <c r="E17" s="198"/>
      <c r="F17" s="198"/>
      <c r="G17" s="18">
        <f>SAMPLE!Z23</f>
        <v>4765.7699999999995</v>
      </c>
      <c r="H17" s="19">
        <f>IF($G$18=0,0,G17/$G$18)</f>
        <v>0.23237456726315273</v>
      </c>
      <c r="L17" s="18"/>
      <c r="M17" s="424">
        <f>'WHO-SUPPLY'!B16</f>
        <v>7460</v>
      </c>
      <c r="N17" s="424">
        <f>'WHO-SUPPLY'!E16</f>
        <v>0</v>
      </c>
      <c r="O17" s="424">
        <f>'WHO-SUPPLY'!I16</f>
        <v>0</v>
      </c>
      <c r="P17" s="1135" t="s">
        <v>1593</v>
      </c>
      <c r="Q17" s="20"/>
      <c r="R17" s="20"/>
      <c r="S17" s="20"/>
    </row>
    <row r="18" spans="1:21" ht="15.95" customHeight="1" x14ac:dyDescent="0.25">
      <c r="A18" s="20"/>
      <c r="B18" s="20"/>
      <c r="C18" s="20"/>
      <c r="D18" s="178" t="s">
        <v>1811</v>
      </c>
      <c r="E18" s="18">
        <f>SUM(E16:E17)</f>
        <v>0</v>
      </c>
      <c r="F18" s="18">
        <f>SUM(F16:F17)</f>
        <v>0</v>
      </c>
      <c r="G18" s="18">
        <f>SUM(G16:G17)</f>
        <v>20509</v>
      </c>
      <c r="H18" s="19">
        <f>IF($G$18=0,0,G18/$G$18)</f>
        <v>1</v>
      </c>
      <c r="L18" s="18"/>
      <c r="M18" s="306"/>
      <c r="N18" s="306"/>
      <c r="O18" s="306"/>
      <c r="P18" s="306"/>
      <c r="Q18" s="20"/>
      <c r="R18" s="20"/>
      <c r="S18" s="20"/>
    </row>
    <row r="19" spans="1:21" ht="15.95" customHeight="1" x14ac:dyDescent="0.25">
      <c r="A19" s="20"/>
      <c r="B19" s="20"/>
      <c r="C19" s="20"/>
      <c r="D19" s="83" t="s">
        <v>1813</v>
      </c>
      <c r="E19" s="66"/>
      <c r="F19" s="66"/>
      <c r="G19" s="205">
        <f>IF(G18=0,0,G16/G18)</f>
        <v>0.76762543273684725</v>
      </c>
      <c r="H19" s="66"/>
      <c r="L19" s="18"/>
      <c r="M19" s="306"/>
      <c r="N19" s="306"/>
      <c r="O19" s="306"/>
      <c r="P19" s="306"/>
      <c r="Q19" s="20"/>
      <c r="R19" s="20"/>
      <c r="S19" s="20"/>
    </row>
    <row r="20" spans="1:21" s="117" customFormat="1" ht="15.95" customHeight="1" x14ac:dyDescent="0.25">
      <c r="A20" s="84"/>
      <c r="B20" s="84"/>
      <c r="C20" s="84"/>
      <c r="D20" s="84"/>
      <c r="E20" s="935"/>
      <c r="F20" s="935"/>
      <c r="G20" s="935"/>
      <c r="H20" s="91"/>
      <c r="L20" s="935"/>
      <c r="M20" s="1140"/>
      <c r="N20" s="1140"/>
      <c r="O20" s="1140"/>
      <c r="P20" s="1140"/>
      <c r="Q20" s="84"/>
      <c r="R20" s="84"/>
      <c r="S20" s="84"/>
      <c r="U20" s="1141"/>
    </row>
    <row r="21" spans="1:21" s="32" customFormat="1" ht="15.95" customHeight="1" x14ac:dyDescent="0.25">
      <c r="A21" s="1142"/>
      <c r="B21" s="1143">
        <v>1.2</v>
      </c>
      <c r="C21" s="1144" t="s">
        <v>1595</v>
      </c>
      <c r="D21" s="1145"/>
      <c r="E21" s="1143"/>
      <c r="F21" s="1143"/>
      <c r="G21" s="1143"/>
      <c r="H21" s="1143"/>
      <c r="K21" s="408"/>
      <c r="L21" s="1146"/>
      <c r="M21" s="1145"/>
      <c r="N21" s="1145"/>
      <c r="O21" s="1145"/>
      <c r="P21" s="1145"/>
      <c r="Q21" s="1147" t="s">
        <v>1595</v>
      </c>
      <c r="R21" s="1143">
        <v>1.2</v>
      </c>
      <c r="S21" s="1142"/>
      <c r="U21" s="1134"/>
    </row>
    <row r="22" spans="1:21" ht="15.95" customHeight="1" x14ac:dyDescent="0.25">
      <c r="A22" s="20"/>
      <c r="B22" s="20"/>
      <c r="C22" s="74" t="s">
        <v>1596</v>
      </c>
      <c r="D22" s="178" t="s">
        <v>1597</v>
      </c>
      <c r="E22" s="936"/>
      <c r="F22" s="936"/>
      <c r="G22" s="936"/>
      <c r="H22" s="936"/>
      <c r="L22" s="937"/>
      <c r="M22" s="113"/>
      <c r="N22" s="113"/>
      <c r="O22" s="113"/>
      <c r="P22" s="1135" t="s">
        <v>1598</v>
      </c>
      <c r="Q22" s="74" t="s">
        <v>1596</v>
      </c>
      <c r="R22" s="20"/>
      <c r="S22" s="20"/>
    </row>
    <row r="23" spans="1:21" ht="15.95" customHeight="1" x14ac:dyDescent="0.25">
      <c r="A23" s="20"/>
      <c r="B23" s="20"/>
      <c r="C23" s="20"/>
      <c r="D23" s="178" t="s">
        <v>1599</v>
      </c>
      <c r="E23" s="936"/>
      <c r="F23" s="936"/>
      <c r="G23" s="935">
        <f>'SUM HH'!AK12</f>
        <v>12</v>
      </c>
      <c r="H23" s="936"/>
      <c r="L23" s="1078"/>
      <c r="M23" s="84"/>
      <c r="N23" s="84"/>
      <c r="O23" s="84"/>
      <c r="P23" s="1165"/>
      <c r="Q23" s="1079"/>
      <c r="R23" s="20"/>
      <c r="S23" s="20"/>
    </row>
    <row r="24" spans="1:21" ht="15.95" customHeight="1" x14ac:dyDescent="0.25">
      <c r="A24" s="20"/>
      <c r="B24" s="20"/>
      <c r="C24" s="20"/>
      <c r="D24" s="178" t="s">
        <v>1600</v>
      </c>
      <c r="E24" s="424">
        <f>'SUM HH'!AI19</f>
        <v>63</v>
      </c>
      <c r="F24" s="424">
        <f>'SUM HH'!AJ19</f>
        <v>316</v>
      </c>
      <c r="G24" s="18">
        <f>SUM(E24:F24)</f>
        <v>379</v>
      </c>
      <c r="H24" s="19"/>
      <c r="L24" s="794">
        <f>SUM(M24:O24)</f>
        <v>9</v>
      </c>
      <c r="M24" s="1138">
        <f>'WHO-SUPPLY'!B23</f>
        <v>5</v>
      </c>
      <c r="N24" s="1138">
        <f>'WHO-SUPPLY'!E23</f>
        <v>4</v>
      </c>
      <c r="O24" s="1138">
        <f>'WHO-SUPPLY'!I23</f>
        <v>0</v>
      </c>
      <c r="P24" s="1135" t="s">
        <v>1810</v>
      </c>
      <c r="Q24" s="20"/>
      <c r="R24" s="20"/>
      <c r="S24" s="20"/>
    </row>
    <row r="25" spans="1:21" s="1151" customFormat="1" ht="15.95" customHeight="1" x14ac:dyDescent="0.25">
      <c r="A25" s="1148"/>
      <c r="B25" s="1148"/>
      <c r="C25" s="1148"/>
      <c r="D25" s="83" t="s">
        <v>1601</v>
      </c>
      <c r="E25" s="993">
        <f>IF(E$14=0,0,E24/E$14)</f>
        <v>1.9155224207338586E-2</v>
      </c>
      <c r="F25" s="993">
        <f>IF(F$14=0,0,F24/F$14)</f>
        <v>1.8350669683299958E-2</v>
      </c>
      <c r="G25" s="1149">
        <f>IF(G$14=0,0,G24/G$14)</f>
        <v>1.8479691842605686E-2</v>
      </c>
      <c r="H25" s="66"/>
      <c r="I25" s="3"/>
      <c r="J25" s="3"/>
      <c r="K25" s="117"/>
      <c r="L25" s="703">
        <f>IF(L$14=0,0,L24/L$14)</f>
        <v>0.69230769230769229</v>
      </c>
      <c r="M25" s="500">
        <f>IF(M$14=0,0,M24/M$14)</f>
        <v>1</v>
      </c>
      <c r="N25" s="500">
        <f>IF(N$14=0,0,N24/N$14)</f>
        <v>0.5</v>
      </c>
      <c r="O25" s="500">
        <f>IF(O$14=0,0,O24/O$14)</f>
        <v>0</v>
      </c>
      <c r="P25" s="1150" t="s">
        <v>1602</v>
      </c>
      <c r="Q25" s="1148"/>
      <c r="R25" s="1148"/>
      <c r="S25" s="1148"/>
      <c r="U25" s="1152"/>
    </row>
    <row r="26" spans="1:21" ht="15.95" customHeight="1" x14ac:dyDescent="0.25">
      <c r="A26" s="20"/>
      <c r="B26" s="20"/>
      <c r="C26" s="20"/>
      <c r="D26" s="178" t="s">
        <v>1603</v>
      </c>
      <c r="E26" s="17"/>
      <c r="F26" s="17"/>
      <c r="G26" s="935"/>
      <c r="H26" s="935"/>
      <c r="L26" s="794"/>
      <c r="M26" s="1138">
        <f>'WHO-SUPPLY'!B13</f>
        <v>575</v>
      </c>
      <c r="N26" s="1138">
        <f>'WHO-SUPPLY'!E13</f>
        <v>0</v>
      </c>
      <c r="O26" s="1138">
        <f>'WHO-SUPPLY'!I13</f>
        <v>0</v>
      </c>
      <c r="P26" s="1135" t="s">
        <v>1604</v>
      </c>
      <c r="Q26" s="20"/>
      <c r="R26" s="20"/>
      <c r="S26" s="20"/>
    </row>
    <row r="27" spans="1:21" ht="15.95" customHeight="1" x14ac:dyDescent="0.25">
      <c r="A27" s="20"/>
      <c r="B27" s="20"/>
      <c r="C27" s="20"/>
      <c r="D27" s="113" t="s">
        <v>1590</v>
      </c>
      <c r="E27" s="424">
        <f>'SUM HH'!AI123</f>
        <v>28</v>
      </c>
      <c r="F27" s="424">
        <f>'SUM HH'!AJ123</f>
        <v>234</v>
      </c>
      <c r="G27" s="18">
        <f>SUM(E27:F27)</f>
        <v>262</v>
      </c>
      <c r="H27" s="221">
        <f>IF($G$29=0,0,G27/$G$29)</f>
        <v>0.69129287598944589</v>
      </c>
      <c r="L27" s="1153"/>
      <c r="M27" s="1154"/>
      <c r="N27" s="1154"/>
      <c r="O27" s="1154"/>
      <c r="P27" s="1154"/>
      <c r="Q27" s="20"/>
      <c r="R27" s="20"/>
      <c r="S27" s="20"/>
    </row>
    <row r="28" spans="1:21" ht="15.95" customHeight="1" x14ac:dyDescent="0.25">
      <c r="A28" s="20"/>
      <c r="B28" s="20"/>
      <c r="C28" s="20"/>
      <c r="D28" s="113" t="s">
        <v>1592</v>
      </c>
      <c r="E28" s="424">
        <f>'SUM HH'!AI124+'SUM HH'!AI125</f>
        <v>35</v>
      </c>
      <c r="F28" s="424">
        <f>'SUM HH'!AJ124+'SUM HH'!AJ125</f>
        <v>82</v>
      </c>
      <c r="G28" s="18">
        <f>SUM(E28:F28)</f>
        <v>117</v>
      </c>
      <c r="H28" s="19">
        <f>IF($G$29=0,0,G28/$G$29)</f>
        <v>0.30870712401055411</v>
      </c>
      <c r="L28" s="1153"/>
      <c r="M28" s="1154"/>
      <c r="N28" s="1154"/>
      <c r="O28" s="1154"/>
      <c r="P28" s="1154"/>
      <c r="Q28" s="20"/>
      <c r="R28" s="20"/>
      <c r="S28" s="20"/>
    </row>
    <row r="29" spans="1:21" ht="15.95" customHeight="1" x14ac:dyDescent="0.25">
      <c r="A29" s="20"/>
      <c r="B29" s="20"/>
      <c r="C29" s="20"/>
      <c r="D29" s="113" t="s">
        <v>1594</v>
      </c>
      <c r="E29" s="18">
        <f>SUM(E27:E28)</f>
        <v>63</v>
      </c>
      <c r="F29" s="18">
        <f>SUM(F27:F28)</f>
        <v>316</v>
      </c>
      <c r="G29" s="18">
        <f>SUM(G27:G28)</f>
        <v>379</v>
      </c>
      <c r="H29" s="19">
        <f>IF($G$29=0,0,G29/$G$29)</f>
        <v>1</v>
      </c>
      <c r="L29" s="18"/>
      <c r="M29" s="20"/>
      <c r="N29" s="20"/>
      <c r="O29" s="20"/>
      <c r="P29" s="20"/>
      <c r="Q29" s="20"/>
      <c r="R29" s="20"/>
      <c r="S29" s="20"/>
    </row>
    <row r="30" spans="1:21" s="1151" customFormat="1" ht="15.95" customHeight="1" x14ac:dyDescent="0.25">
      <c r="A30" s="1148"/>
      <c r="B30" s="1148"/>
      <c r="C30" s="1148"/>
      <c r="D30" s="83" t="s">
        <v>1605</v>
      </c>
      <c r="E30" s="66">
        <f>IF(E29=0,0,E27/E29)</f>
        <v>0.44444444444444442</v>
      </c>
      <c r="F30" s="66">
        <f>IF(F29=0,0,F27/F29)</f>
        <v>0.740506329113924</v>
      </c>
      <c r="G30" s="205">
        <f>IF(G29=0,0,G27/G29)</f>
        <v>0.69129287598944589</v>
      </c>
      <c r="H30" s="66"/>
      <c r="K30" s="1155"/>
      <c r="L30" s="1156"/>
      <c r="M30" s="1157"/>
      <c r="N30" s="1157"/>
      <c r="O30" s="1157"/>
      <c r="P30" s="1158"/>
      <c r="Q30" s="1148"/>
      <c r="R30" s="1148"/>
      <c r="S30" s="1148"/>
      <c r="U30" s="1152"/>
    </row>
    <row r="31" spans="1:21" s="1155" customFormat="1" ht="15.95" customHeight="1" x14ac:dyDescent="0.25">
      <c r="A31" s="1159"/>
      <c r="B31" s="1159"/>
      <c r="C31" s="74" t="s">
        <v>1606</v>
      </c>
      <c r="D31" s="178" t="s">
        <v>1607</v>
      </c>
      <c r="E31" s="936"/>
      <c r="F31" s="936"/>
      <c r="G31" s="936"/>
      <c r="H31" s="936"/>
      <c r="L31" s="1156"/>
      <c r="M31" s="1157"/>
      <c r="N31" s="1157"/>
      <c r="O31" s="1157"/>
      <c r="P31" s="1158"/>
      <c r="Q31" s="1159"/>
      <c r="R31" s="1159"/>
      <c r="S31" s="1159"/>
      <c r="U31" s="1160"/>
    </row>
    <row r="32" spans="1:21" s="1155" customFormat="1" ht="15.95" customHeight="1" x14ac:dyDescent="0.25">
      <c r="A32" s="1159"/>
      <c r="B32" s="1159"/>
      <c r="C32" s="1159"/>
      <c r="D32" s="178" t="s">
        <v>1608</v>
      </c>
      <c r="E32" s="936"/>
      <c r="F32" s="936"/>
      <c r="G32" s="935">
        <f>'SUM HH'!AK14</f>
        <v>12</v>
      </c>
      <c r="H32" s="936"/>
      <c r="L32" s="1156"/>
      <c r="M32" s="1157"/>
      <c r="N32" s="1157"/>
      <c r="O32" s="1157"/>
      <c r="P32" s="1158"/>
      <c r="Q32" s="1159"/>
      <c r="R32" s="1159"/>
      <c r="S32" s="1159"/>
      <c r="U32" s="1160"/>
    </row>
    <row r="33" spans="1:21" s="1155" customFormat="1" ht="15.95" customHeight="1" x14ac:dyDescent="0.25">
      <c r="A33" s="1159"/>
      <c r="B33" s="1159"/>
      <c r="C33" s="20"/>
      <c r="D33" s="178" t="s">
        <v>1609</v>
      </c>
      <c r="E33" s="424">
        <f>'SUM HH'!AI36</f>
        <v>49</v>
      </c>
      <c r="F33" s="424">
        <f>'SUM HH'!AJ36</f>
        <v>123</v>
      </c>
      <c r="G33" s="18">
        <f>SUM(E33:F33)</f>
        <v>172</v>
      </c>
      <c r="H33" s="19"/>
      <c r="L33" s="1156"/>
      <c r="M33" s="1157"/>
      <c r="N33" s="1157"/>
      <c r="O33" s="1157"/>
      <c r="P33" s="1158"/>
      <c r="Q33" s="1159"/>
      <c r="R33" s="1159"/>
      <c r="S33" s="1159"/>
      <c r="U33" s="1160"/>
    </row>
    <row r="34" spans="1:21" s="1155" customFormat="1" ht="15.95" customHeight="1" x14ac:dyDescent="0.25">
      <c r="A34" s="1159"/>
      <c r="B34" s="1159"/>
      <c r="C34" s="1148"/>
      <c r="D34" s="83" t="s">
        <v>1601</v>
      </c>
      <c r="E34" s="993">
        <f>IF(E$14=0,0,E33/E$14)</f>
        <v>1.4898507716818899E-2</v>
      </c>
      <c r="F34" s="993">
        <f>IF(F$14=0,0,F33/F$14)</f>
        <v>7.1428239590059965E-3</v>
      </c>
      <c r="G34" s="1149">
        <f>IF(G$14=0,0,G33/G$14)</f>
        <v>8.3865619971719724E-3</v>
      </c>
      <c r="H34" s="66"/>
      <c r="L34" s="1156"/>
      <c r="M34" s="1157"/>
      <c r="N34" s="1157"/>
      <c r="O34" s="1157"/>
      <c r="P34" s="1158"/>
      <c r="Q34" s="1159"/>
      <c r="R34" s="1159"/>
      <c r="S34" s="1159"/>
      <c r="U34" s="1160"/>
    </row>
    <row r="35" spans="1:21" s="1155" customFormat="1" ht="15.95" customHeight="1" x14ac:dyDescent="0.25">
      <c r="A35" s="1159"/>
      <c r="B35" s="1159"/>
      <c r="C35" s="20"/>
      <c r="D35" s="178" t="s">
        <v>1603</v>
      </c>
      <c r="E35" s="17"/>
      <c r="F35" s="17"/>
      <c r="G35" s="935"/>
      <c r="H35" s="935"/>
      <c r="L35" s="1156"/>
      <c r="M35" s="1157"/>
      <c r="N35" s="1157"/>
      <c r="O35" s="1157"/>
      <c r="P35" s="1158"/>
      <c r="Q35" s="1159"/>
      <c r="R35" s="1159"/>
      <c r="S35" s="1159"/>
      <c r="U35" s="1160"/>
    </row>
    <row r="36" spans="1:21" s="1155" customFormat="1" ht="15.95" customHeight="1" x14ac:dyDescent="0.25">
      <c r="A36" s="1159"/>
      <c r="B36" s="1159"/>
      <c r="C36" s="20"/>
      <c r="D36" s="113" t="s">
        <v>1590</v>
      </c>
      <c r="E36" s="424">
        <f>'SUM HH'!AI128</f>
        <v>17</v>
      </c>
      <c r="F36" s="424">
        <f>'SUM HH'!AJ128</f>
        <v>73</v>
      </c>
      <c r="G36" s="18">
        <f>SUM(E36:F36)</f>
        <v>90</v>
      </c>
      <c r="H36" s="19">
        <f>IF($G$38=0,0,G36/$G$38)</f>
        <v>0.52325581395348841</v>
      </c>
      <c r="L36" s="1156"/>
      <c r="M36" s="1157"/>
      <c r="N36" s="1157"/>
      <c r="O36" s="1157"/>
      <c r="P36" s="1158"/>
      <c r="Q36" s="1159"/>
      <c r="R36" s="1159"/>
      <c r="S36" s="1159"/>
      <c r="U36" s="1160"/>
    </row>
    <row r="37" spans="1:21" s="1155" customFormat="1" ht="15.95" customHeight="1" x14ac:dyDescent="0.25">
      <c r="A37" s="1159"/>
      <c r="B37" s="1159"/>
      <c r="C37" s="20"/>
      <c r="D37" s="113" t="s">
        <v>1592</v>
      </c>
      <c r="E37" s="424">
        <f>SUM('SUM HH'!AI129:AI131)</f>
        <v>32</v>
      </c>
      <c r="F37" s="424">
        <f>SUM('SUM HH'!AJ129:AJ131)</f>
        <v>50</v>
      </c>
      <c r="G37" s="18">
        <f>SUM(E37:F37)</f>
        <v>82</v>
      </c>
      <c r="H37" s="19">
        <f t="shared" ref="H37:H38" si="0">IF($G$38=0,0,G37/$G$38)</f>
        <v>0.47674418604651164</v>
      </c>
      <c r="L37" s="1156"/>
      <c r="M37" s="1157"/>
      <c r="N37" s="1157"/>
      <c r="O37" s="1157"/>
      <c r="P37" s="1158"/>
      <c r="Q37" s="1159"/>
      <c r="R37" s="1159"/>
      <c r="S37" s="1159"/>
      <c r="U37" s="1160"/>
    </row>
    <row r="38" spans="1:21" s="1155" customFormat="1" ht="15.95" customHeight="1" x14ac:dyDescent="0.25">
      <c r="A38" s="1159"/>
      <c r="B38" s="1159"/>
      <c r="C38" s="20"/>
      <c r="D38" s="113" t="s">
        <v>1594</v>
      </c>
      <c r="E38" s="18">
        <f>SUM(E36:E37)</f>
        <v>49</v>
      </c>
      <c r="F38" s="18">
        <f>SUM(F36:F37)</f>
        <v>123</v>
      </c>
      <c r="G38" s="18">
        <f>SUM(G36:G37)</f>
        <v>172</v>
      </c>
      <c r="H38" s="19">
        <f t="shared" si="0"/>
        <v>1</v>
      </c>
      <c r="L38" s="1156"/>
      <c r="M38" s="1157"/>
      <c r="N38" s="1157"/>
      <c r="O38" s="1157"/>
      <c r="P38" s="1158"/>
      <c r="Q38" s="1159"/>
      <c r="R38" s="1159"/>
      <c r="S38" s="1159"/>
      <c r="U38" s="1160"/>
    </row>
    <row r="39" spans="1:21" s="1155" customFormat="1" ht="15.95" customHeight="1" x14ac:dyDescent="0.25">
      <c r="A39" s="1159"/>
      <c r="B39" s="1159"/>
      <c r="C39" s="1148"/>
      <c r="D39" s="83" t="s">
        <v>1605</v>
      </c>
      <c r="E39" s="66">
        <f>IF(E38=0,0,E36/E38)</f>
        <v>0.34693877551020408</v>
      </c>
      <c r="F39" s="66">
        <f>IF(F38=0,0,F36/F38)</f>
        <v>0.5934959349593496</v>
      </c>
      <c r="G39" s="205">
        <f>IF(G38=0,0,G36/G38)</f>
        <v>0.52325581395348841</v>
      </c>
      <c r="H39" s="66"/>
      <c r="L39" s="1156"/>
      <c r="M39" s="1157"/>
      <c r="N39" s="1157"/>
      <c r="O39" s="1157"/>
      <c r="P39" s="1158"/>
      <c r="Q39" s="1159"/>
      <c r="R39" s="1159"/>
      <c r="S39" s="1159"/>
      <c r="U39" s="1160"/>
    </row>
    <row r="40" spans="1:21" s="1155" customFormat="1" ht="15.95" customHeight="1" x14ac:dyDescent="0.25">
      <c r="A40" s="1159"/>
      <c r="B40" s="1159"/>
      <c r="C40" s="1159"/>
      <c r="D40" s="84"/>
      <c r="E40" s="91"/>
      <c r="F40" s="91"/>
      <c r="G40" s="201"/>
      <c r="H40" s="91"/>
      <c r="L40" s="1156"/>
      <c r="M40" s="1157"/>
      <c r="N40" s="1157"/>
      <c r="O40" s="1157"/>
      <c r="P40" s="1158"/>
      <c r="Q40" s="1159"/>
      <c r="R40" s="1159"/>
      <c r="S40" s="1159"/>
      <c r="U40" s="1160"/>
    </row>
    <row r="41" spans="1:21" s="32" customFormat="1" ht="15.95" customHeight="1" x14ac:dyDescent="0.25">
      <c r="A41" s="1161"/>
      <c r="B41" s="1161"/>
      <c r="C41" s="1161"/>
      <c r="D41" s="1162"/>
      <c r="E41" s="1163"/>
      <c r="F41" s="1163"/>
      <c r="G41" s="1163"/>
      <c r="H41" s="1164"/>
      <c r="K41" s="408"/>
      <c r="L41" s="1146"/>
      <c r="M41" s="1145"/>
      <c r="N41" s="1145"/>
      <c r="O41" s="1145"/>
      <c r="P41" s="1145"/>
      <c r="Q41" s="1147" t="s">
        <v>1610</v>
      </c>
      <c r="R41" s="1143">
        <v>1.3</v>
      </c>
      <c r="S41" s="1142"/>
      <c r="U41" s="1134"/>
    </row>
    <row r="42" spans="1:21" ht="15.95" customHeight="1" thickBot="1" x14ac:dyDescent="0.3">
      <c r="A42" s="84"/>
      <c r="B42" s="84"/>
      <c r="C42" s="84"/>
      <c r="D42" s="23"/>
      <c r="E42" s="935"/>
      <c r="F42" s="935"/>
      <c r="G42" s="935"/>
      <c r="H42" s="91"/>
      <c r="L42" s="937"/>
      <c r="M42" s="113"/>
      <c r="N42" s="113"/>
      <c r="O42" s="113"/>
      <c r="P42" s="1135" t="s">
        <v>1611</v>
      </c>
      <c r="Q42" s="74" t="s">
        <v>1612</v>
      </c>
      <c r="R42" s="20"/>
      <c r="S42" s="20"/>
    </row>
    <row r="43" spans="1:21" ht="15.95" customHeight="1" thickBot="1" x14ac:dyDescent="0.3">
      <c r="A43" s="84"/>
      <c r="B43" s="84"/>
      <c r="C43" s="84"/>
      <c r="D43" s="23"/>
      <c r="E43" s="935"/>
      <c r="F43" s="935"/>
      <c r="G43" s="935"/>
      <c r="H43" s="91"/>
      <c r="J43" s="1137"/>
      <c r="L43" s="18" t="str">
        <f>M43</f>
        <v>Average</v>
      </c>
      <c r="M43" s="40" t="str">
        <f>IF(U43=1,"Good",IF(U43=2,"Average",IF(U43=3,"Poor",0)))</f>
        <v>Average</v>
      </c>
      <c r="N43" s="20"/>
      <c r="O43" s="20"/>
      <c r="P43" s="1135" t="s">
        <v>1613</v>
      </c>
      <c r="Q43" s="20"/>
      <c r="R43" s="20"/>
      <c r="S43" s="20"/>
      <c r="U43" s="794">
        <f>PRODUCERS!S63</f>
        <v>2</v>
      </c>
    </row>
    <row r="44" spans="1:21" s="117" customFormat="1" ht="15.95" customHeight="1" x14ac:dyDescent="0.25">
      <c r="A44" s="84"/>
      <c r="B44" s="84"/>
      <c r="C44" s="84"/>
      <c r="D44" s="23"/>
      <c r="E44" s="935"/>
      <c r="F44" s="935"/>
      <c r="G44" s="935"/>
      <c r="H44" s="91"/>
      <c r="J44" s="97"/>
      <c r="L44" s="935"/>
      <c r="M44" s="119"/>
      <c r="N44" s="84"/>
      <c r="O44" s="84"/>
      <c r="P44" s="1165"/>
      <c r="Q44" s="84"/>
      <c r="R44" s="84"/>
      <c r="S44" s="84"/>
      <c r="U44" s="1166"/>
    </row>
    <row r="45" spans="1:21" ht="15.95" customHeight="1" x14ac:dyDescent="0.25">
      <c r="D45" s="4"/>
      <c r="E45" s="1167"/>
      <c r="F45" s="1167"/>
      <c r="G45" s="1168"/>
      <c r="H45" s="4"/>
      <c r="L45" s="1169"/>
      <c r="M45" s="4"/>
      <c r="N45" s="4"/>
      <c r="O45" s="4"/>
      <c r="P45" s="4"/>
      <c r="Q45" s="4"/>
      <c r="R45" s="4"/>
      <c r="S45" s="4"/>
      <c r="U45" s="8"/>
    </row>
    <row r="46" spans="1:21" s="1120" customFormat="1" ht="19.5" thickBot="1" x14ac:dyDescent="0.3">
      <c r="A46" s="1118">
        <v>2</v>
      </c>
      <c r="B46" s="1119" t="s">
        <v>1614</v>
      </c>
      <c r="C46" s="1119"/>
      <c r="D46" s="1119"/>
      <c r="E46" s="1118"/>
      <c r="F46" s="1118"/>
      <c r="G46" s="1118"/>
      <c r="H46" s="1118"/>
      <c r="K46" s="1121"/>
      <c r="L46" s="1122"/>
      <c r="M46" s="1123"/>
      <c r="N46" s="1123"/>
      <c r="O46" s="1123"/>
      <c r="P46" s="1124"/>
      <c r="Q46" s="1124"/>
      <c r="R46" s="1125" t="s">
        <v>1615</v>
      </c>
      <c r="S46" s="1118">
        <v>2</v>
      </c>
      <c r="U46" s="1126"/>
    </row>
    <row r="47" spans="1:21" s="32" customFormat="1" ht="15.95" customHeight="1" x14ac:dyDescent="0.25">
      <c r="A47" s="1142"/>
      <c r="B47" s="1143">
        <v>2.1</v>
      </c>
      <c r="C47" s="1144" t="s">
        <v>1616</v>
      </c>
      <c r="D47" s="1145"/>
      <c r="E47" s="1170"/>
      <c r="F47" s="1170"/>
      <c r="G47" s="1171"/>
      <c r="H47" s="1145"/>
      <c r="K47" s="408"/>
      <c r="L47" s="1163"/>
      <c r="M47" s="1161"/>
      <c r="N47" s="1161"/>
      <c r="O47" s="1161"/>
      <c r="P47" s="1161"/>
      <c r="Q47" s="1161"/>
      <c r="R47" s="1161"/>
      <c r="S47" s="1142"/>
      <c r="U47" s="1172"/>
    </row>
    <row r="48" spans="1:21" ht="15.95" customHeight="1" x14ac:dyDescent="0.25">
      <c r="A48" s="20"/>
      <c r="B48" s="20"/>
      <c r="C48" s="74" t="s">
        <v>1617</v>
      </c>
      <c r="D48" s="178" t="s">
        <v>1618</v>
      </c>
      <c r="E48" s="306"/>
      <c r="F48" s="306"/>
      <c r="G48" s="1173"/>
      <c r="H48" s="20"/>
      <c r="L48" s="18"/>
      <c r="M48" s="20"/>
      <c r="N48" s="20"/>
      <c r="O48" s="20"/>
      <c r="P48" s="20"/>
      <c r="Q48" s="20"/>
      <c r="R48" s="20"/>
      <c r="S48" s="20"/>
      <c r="U48" s="8"/>
    </row>
    <row r="49" spans="1:26" ht="15.95" customHeight="1" x14ac:dyDescent="0.25">
      <c r="A49" s="20"/>
      <c r="B49" s="20"/>
      <c r="C49" s="20"/>
      <c r="D49" s="178" t="s">
        <v>1619</v>
      </c>
      <c r="E49" s="306"/>
      <c r="F49" s="306"/>
      <c r="G49" s="189">
        <f>'SUM HH'!AK172</f>
        <v>0.97888888888888881</v>
      </c>
      <c r="H49" s="20"/>
      <c r="L49" s="18"/>
      <c r="M49" s="20"/>
      <c r="N49" s="20"/>
      <c r="O49" s="20"/>
      <c r="P49" s="20"/>
      <c r="Q49" s="20"/>
      <c r="R49" s="20"/>
      <c r="S49" s="20"/>
      <c r="U49" s="8"/>
      <c r="Y49" s="189">
        <f>G49</f>
        <v>0.97888888888888881</v>
      </c>
      <c r="Z49" s="102">
        <f>IF(Y49=0,0,IF(Y49&lt;=2,1,IF(AND(Y49&gt;2,Y49&lt;=4),2,3)))</f>
        <v>1</v>
      </c>
    </row>
    <row r="50" spans="1:26" ht="15.95" customHeight="1" x14ac:dyDescent="0.25">
      <c r="A50" s="20"/>
      <c r="B50" s="20"/>
      <c r="C50" s="74" t="s">
        <v>1620</v>
      </c>
      <c r="D50" s="178" t="s">
        <v>1621</v>
      </c>
      <c r="E50" s="306"/>
      <c r="F50" s="306"/>
      <c r="G50" s="86"/>
      <c r="H50" s="20"/>
      <c r="L50" s="18"/>
      <c r="M50" s="20"/>
      <c r="N50" s="20"/>
      <c r="O50" s="20"/>
      <c r="P50" s="20"/>
      <c r="Q50" s="20"/>
      <c r="R50" s="20"/>
      <c r="S50" s="20"/>
      <c r="U50" s="8"/>
      <c r="Y50" s="158"/>
    </row>
    <row r="51" spans="1:26" ht="15.95" customHeight="1" x14ac:dyDescent="0.25">
      <c r="A51" s="20"/>
      <c r="B51" s="20"/>
      <c r="C51" s="20"/>
      <c r="D51" s="178" t="s">
        <v>1622</v>
      </c>
      <c r="E51" s="306"/>
      <c r="F51" s="306"/>
      <c r="G51" s="221">
        <f>'SUM HH'!AL176</f>
        <v>0.77272727272727271</v>
      </c>
      <c r="H51" s="20"/>
      <c r="L51" s="18"/>
      <c r="M51" s="20"/>
      <c r="N51" s="20"/>
      <c r="O51" s="20"/>
      <c r="P51" s="20"/>
      <c r="Q51" s="20"/>
      <c r="R51" s="20"/>
      <c r="S51" s="20"/>
      <c r="U51" s="8"/>
      <c r="Y51" s="1174">
        <f>G51</f>
        <v>0.77272727272727271</v>
      </c>
      <c r="Z51" s="102">
        <f>IF(Y51=0,0,IF(Y51&gt;=0.75,1,IF(AND(Y51&gt;0.5,Y51&lt;=0.75),2,3)))</f>
        <v>1</v>
      </c>
    </row>
    <row r="52" spans="1:26" ht="15.95" customHeight="1" thickBot="1" x14ac:dyDescent="0.3">
      <c r="A52" s="20"/>
      <c r="B52" s="20"/>
      <c r="C52" s="74" t="s">
        <v>1623</v>
      </c>
      <c r="D52" s="178" t="s">
        <v>1624</v>
      </c>
      <c r="E52" s="306"/>
      <c r="F52" s="306"/>
      <c r="G52" s="86"/>
      <c r="H52" s="20"/>
      <c r="L52" s="18"/>
      <c r="M52" s="20"/>
      <c r="N52" s="20"/>
      <c r="O52" s="20"/>
      <c r="P52" s="20"/>
      <c r="Q52" s="20"/>
      <c r="R52" s="20"/>
      <c r="S52" s="20"/>
      <c r="U52" s="8"/>
    </row>
    <row r="53" spans="1:26" ht="15.95" customHeight="1" thickBot="1" x14ac:dyDescent="0.3">
      <c r="A53" s="20"/>
      <c r="B53" s="20"/>
      <c r="C53" s="20"/>
      <c r="D53" s="178" t="s">
        <v>1625</v>
      </c>
      <c r="E53" s="306"/>
      <c r="F53" s="306"/>
      <c r="G53" s="18" t="str">
        <f>V53</f>
        <v>Good</v>
      </c>
      <c r="H53" s="20"/>
      <c r="J53" s="1137"/>
      <c r="L53" s="18"/>
      <c r="M53" s="20"/>
      <c r="N53" s="20"/>
      <c r="O53" s="20"/>
      <c r="P53" s="20"/>
      <c r="Q53" s="20"/>
      <c r="R53" s="20"/>
      <c r="S53" s="20"/>
      <c r="U53" s="3">
        <f>IF(Z53=1,1,IF(AND(Z53&gt;1,T53&lt;=2),2,3))</f>
        <v>1</v>
      </c>
      <c r="V53" s="3" t="str">
        <f>IF(U53=1,"Good",IF(AND(U53&gt;1,U53&lt;=3),"Average","Poor"))</f>
        <v>Good</v>
      </c>
      <c r="Z53" s="102">
        <f>AVERAGE(Z49,Z51)</f>
        <v>1</v>
      </c>
    </row>
    <row r="54" spans="1:26" s="117" customFormat="1" ht="15.95" customHeight="1" x14ac:dyDescent="0.25">
      <c r="A54" s="84"/>
      <c r="B54" s="84"/>
      <c r="C54" s="84"/>
      <c r="D54" s="23"/>
      <c r="E54" s="1140"/>
      <c r="F54" s="1140"/>
      <c r="G54" s="935"/>
      <c r="H54" s="84"/>
      <c r="J54" s="97"/>
      <c r="L54" s="935"/>
      <c r="M54" s="84"/>
      <c r="N54" s="84"/>
      <c r="O54" s="84"/>
      <c r="P54" s="84"/>
      <c r="Q54" s="84"/>
      <c r="R54" s="84"/>
      <c r="S54" s="84"/>
      <c r="U54" s="1175"/>
      <c r="Z54" s="139"/>
    </row>
    <row r="55" spans="1:26" s="32" customFormat="1" ht="15.95" customHeight="1" x14ac:dyDescent="0.25">
      <c r="A55" s="1142"/>
      <c r="B55" s="1143">
        <v>2.2000000000000002</v>
      </c>
      <c r="C55" s="1144" t="s">
        <v>21</v>
      </c>
      <c r="D55" s="1145"/>
      <c r="E55" s="1170"/>
      <c r="F55" s="1170"/>
      <c r="G55" s="1171"/>
      <c r="H55" s="1145"/>
      <c r="K55" s="408"/>
      <c r="L55" s="1163"/>
      <c r="M55" s="1161"/>
      <c r="N55" s="1161"/>
      <c r="O55" s="1161"/>
      <c r="P55" s="1161"/>
      <c r="Q55" s="1161"/>
      <c r="R55" s="1161"/>
      <c r="S55" s="1142"/>
      <c r="U55" s="1172"/>
    </row>
    <row r="56" spans="1:26" ht="15.95" customHeight="1" x14ac:dyDescent="0.25">
      <c r="A56" s="20"/>
      <c r="B56" s="20"/>
      <c r="C56" s="74" t="s">
        <v>1626</v>
      </c>
      <c r="D56" s="178" t="s">
        <v>75</v>
      </c>
      <c r="E56" s="114"/>
      <c r="F56" s="114"/>
      <c r="G56" s="112"/>
      <c r="H56" s="113"/>
      <c r="L56" s="935"/>
      <c r="M56" s="84"/>
      <c r="N56" s="84"/>
      <c r="O56" s="84"/>
      <c r="P56" s="84"/>
      <c r="Q56" s="84"/>
      <c r="R56" s="84"/>
      <c r="S56" s="84"/>
      <c r="U56" s="8"/>
    </row>
    <row r="57" spans="1:26" ht="15.95" customHeight="1" x14ac:dyDescent="0.25">
      <c r="A57" s="20"/>
      <c r="B57" s="20"/>
      <c r="C57" s="20"/>
      <c r="D57" s="178" t="s">
        <v>896</v>
      </c>
      <c r="E57" s="424"/>
      <c r="F57" s="424"/>
      <c r="G57" s="1176">
        <f>'SUM HH'!AK103</f>
        <v>0</v>
      </c>
      <c r="H57" s="19">
        <f>IF(G$23=0,0,G57/G$23)</f>
        <v>0</v>
      </c>
      <c r="L57" s="935"/>
      <c r="M57" s="84"/>
      <c r="N57" s="84"/>
      <c r="O57" s="84"/>
      <c r="P57" s="84"/>
      <c r="Q57" s="84"/>
      <c r="R57" s="84"/>
      <c r="S57" s="84"/>
      <c r="U57" s="1169"/>
    </row>
    <row r="58" spans="1:26" ht="15.95" customHeight="1" x14ac:dyDescent="0.25">
      <c r="A58" s="20"/>
      <c r="B58" s="20"/>
      <c r="C58" s="74" t="s">
        <v>1627</v>
      </c>
      <c r="D58" s="178" t="s">
        <v>1628</v>
      </c>
      <c r="E58" s="114"/>
      <c r="F58" s="114"/>
      <c r="G58" s="112"/>
      <c r="H58" s="113"/>
      <c r="L58" s="935"/>
      <c r="M58" s="84"/>
      <c r="N58" s="84"/>
      <c r="O58" s="84"/>
      <c r="P58" s="84"/>
      <c r="Q58" s="84"/>
      <c r="R58" s="84"/>
      <c r="S58" s="84"/>
      <c r="U58" s="1167"/>
    </row>
    <row r="59" spans="1:26" ht="15.95" customHeight="1" x14ac:dyDescent="0.25">
      <c r="A59" s="20"/>
      <c r="B59" s="20"/>
      <c r="C59" s="20"/>
      <c r="D59" s="178" t="s">
        <v>907</v>
      </c>
      <c r="E59" s="424"/>
      <c r="F59" s="424"/>
      <c r="G59" s="1176">
        <f>'SUM HH'!AK106+'SUM HH'!AK107</f>
        <v>0</v>
      </c>
      <c r="H59" s="19">
        <f>IF(G$23=0,0,G59/G$23)</f>
        <v>0</v>
      </c>
      <c r="L59" s="935"/>
      <c r="M59" s="84"/>
      <c r="N59" s="84"/>
      <c r="O59" s="84"/>
      <c r="P59" s="84"/>
      <c r="Q59" s="84"/>
      <c r="R59" s="84"/>
      <c r="S59" s="84"/>
      <c r="U59" s="1169"/>
    </row>
    <row r="60" spans="1:26" ht="15.95" customHeight="1" x14ac:dyDescent="0.25">
      <c r="A60" s="20"/>
      <c r="B60" s="20"/>
      <c r="C60" s="74" t="s">
        <v>1629</v>
      </c>
      <c r="D60" s="178" t="s">
        <v>64</v>
      </c>
      <c r="E60" s="114"/>
      <c r="F60" s="114"/>
      <c r="G60" s="112"/>
      <c r="H60" s="113"/>
      <c r="L60" s="935"/>
      <c r="M60" s="84"/>
      <c r="N60" s="84"/>
      <c r="O60" s="84"/>
      <c r="P60" s="84"/>
      <c r="Q60" s="84"/>
      <c r="R60" s="84"/>
      <c r="S60" s="84"/>
      <c r="U60" s="1167"/>
    </row>
    <row r="61" spans="1:26" ht="15.95" customHeight="1" x14ac:dyDescent="0.25">
      <c r="A61" s="20"/>
      <c r="B61" s="20"/>
      <c r="C61" s="20"/>
      <c r="D61" s="178" t="s">
        <v>1630</v>
      </c>
      <c r="E61" s="424"/>
      <c r="F61" s="424"/>
      <c r="G61" s="1176">
        <f>'SUM HH'!AK109</f>
        <v>5</v>
      </c>
      <c r="H61" s="19">
        <f>IF(G$23=0,0,G61/G$23)</f>
        <v>0.41666666666666669</v>
      </c>
      <c r="L61" s="935"/>
      <c r="M61" s="84"/>
      <c r="N61" s="84"/>
      <c r="O61" s="84"/>
      <c r="P61" s="84"/>
      <c r="Q61" s="84"/>
      <c r="R61" s="84"/>
      <c r="S61" s="84"/>
      <c r="U61" s="1169"/>
    </row>
    <row r="62" spans="1:26" ht="15.95" customHeight="1" x14ac:dyDescent="0.25">
      <c r="A62" s="20"/>
      <c r="B62" s="20"/>
      <c r="C62" s="74" t="s">
        <v>1631</v>
      </c>
      <c r="D62" s="178" t="s">
        <v>1632</v>
      </c>
      <c r="E62" s="114"/>
      <c r="F62" s="114"/>
      <c r="G62" s="112"/>
      <c r="H62" s="113"/>
      <c r="L62" s="935"/>
      <c r="M62" s="84"/>
      <c r="N62" s="84"/>
      <c r="O62" s="84"/>
      <c r="P62" s="84"/>
      <c r="Q62" s="84"/>
      <c r="R62" s="84"/>
      <c r="S62" s="84"/>
      <c r="U62" s="8"/>
    </row>
    <row r="63" spans="1:26" ht="15.95" customHeight="1" x14ac:dyDescent="0.25">
      <c r="A63" s="20"/>
      <c r="B63" s="20"/>
      <c r="C63" s="20"/>
      <c r="D63" s="178" t="s">
        <v>916</v>
      </c>
      <c r="E63" s="424"/>
      <c r="F63" s="424"/>
      <c r="G63" s="1176">
        <f>'SUM HH'!AK112</f>
        <v>7</v>
      </c>
      <c r="H63" s="19">
        <f>IF(G$23=0,0,G63/G$23)</f>
        <v>0.58333333333333337</v>
      </c>
      <c r="J63" s="1177"/>
      <c r="L63" s="935"/>
      <c r="M63" s="84"/>
      <c r="N63" s="84"/>
      <c r="O63" s="84"/>
      <c r="P63" s="84"/>
      <c r="Q63" s="84"/>
      <c r="R63" s="84"/>
      <c r="S63" s="84"/>
      <c r="U63" s="8"/>
    </row>
    <row r="64" spans="1:26" ht="15.95" customHeight="1" x14ac:dyDescent="0.25">
      <c r="A64" s="20"/>
      <c r="B64" s="20"/>
      <c r="C64" s="20"/>
      <c r="D64" s="178" t="s">
        <v>917</v>
      </c>
      <c r="E64" s="424"/>
      <c r="F64" s="424"/>
      <c r="G64" s="1176">
        <f>'SUM HH'!AK113</f>
        <v>5</v>
      </c>
      <c r="H64" s="19">
        <f>IF(G$23=0,0,G64/G$23)</f>
        <v>0.41666666666666669</v>
      </c>
      <c r="J64" s="1177"/>
      <c r="L64" s="935"/>
      <c r="M64" s="84"/>
      <c r="N64" s="84"/>
      <c r="O64" s="84"/>
      <c r="P64" s="84"/>
      <c r="Q64" s="84"/>
      <c r="R64" s="84"/>
      <c r="S64" s="84"/>
      <c r="U64" s="1169"/>
    </row>
    <row r="65" spans="1:22" ht="15.95" customHeight="1" x14ac:dyDescent="0.25">
      <c r="A65" s="20"/>
      <c r="B65" s="20"/>
      <c r="C65" s="20"/>
      <c r="D65" s="178" t="s">
        <v>918</v>
      </c>
      <c r="E65" s="424"/>
      <c r="F65" s="424"/>
      <c r="G65" s="1176">
        <f>'SUM HH'!AK114</f>
        <v>0</v>
      </c>
      <c r="H65" s="19">
        <f>IF(G$23=0,0,G65/G$23)</f>
        <v>0</v>
      </c>
      <c r="J65" s="1177"/>
      <c r="L65" s="935"/>
      <c r="M65" s="84"/>
      <c r="N65" s="84"/>
      <c r="O65" s="84"/>
      <c r="P65" s="84"/>
      <c r="Q65" s="84"/>
      <c r="R65" s="84"/>
      <c r="S65" s="84"/>
      <c r="U65" s="1169"/>
    </row>
    <row r="66" spans="1:22" ht="15.95" customHeight="1" thickBot="1" x14ac:dyDescent="0.3">
      <c r="A66" s="20"/>
      <c r="B66" s="20"/>
      <c r="C66" s="20"/>
      <c r="D66" s="178" t="s">
        <v>919</v>
      </c>
      <c r="E66" s="424"/>
      <c r="F66" s="424"/>
      <c r="G66" s="1176">
        <f>'SUM HH'!AK115</f>
        <v>0</v>
      </c>
      <c r="H66" s="19">
        <f>IF(G$23=0,0,G66/G$23)</f>
        <v>0</v>
      </c>
      <c r="J66" s="1177"/>
      <c r="L66" s="935"/>
      <c r="M66" s="84"/>
      <c r="N66" s="84"/>
      <c r="O66" s="84"/>
      <c r="P66" s="84"/>
      <c r="Q66" s="84"/>
      <c r="R66" s="84"/>
      <c r="S66" s="84"/>
      <c r="U66" s="1169"/>
    </row>
    <row r="67" spans="1:22" ht="15.95" customHeight="1" thickBot="1" x14ac:dyDescent="0.3">
      <c r="A67" s="20"/>
      <c r="B67" s="20"/>
      <c r="C67" s="20"/>
      <c r="D67" s="1178" t="s">
        <v>921</v>
      </c>
      <c r="E67" s="424"/>
      <c r="F67" s="424"/>
      <c r="G67" s="1176">
        <f>'SUM HH'!AK118</f>
        <v>0</v>
      </c>
      <c r="H67" s="19">
        <f>IF(G$23=0,0,G67/G$23)</f>
        <v>0</v>
      </c>
      <c r="J67" s="1137"/>
      <c r="L67" s="935"/>
      <c r="M67" s="84"/>
      <c r="N67" s="84"/>
      <c r="O67" s="84"/>
      <c r="P67" s="84"/>
      <c r="Q67" s="84"/>
      <c r="R67" s="84"/>
      <c r="S67" s="84"/>
      <c r="U67" s="1179">
        <f>IF(G68&gt;=0.5,3,IF(G68&lt;=0.25,1,2))</f>
        <v>1</v>
      </c>
    </row>
    <row r="68" spans="1:22" ht="15.95" customHeight="1" x14ac:dyDescent="0.25">
      <c r="A68" s="20"/>
      <c r="B68" s="20"/>
      <c r="C68" s="20"/>
      <c r="D68" s="83" t="s">
        <v>1633</v>
      </c>
      <c r="E68" s="66"/>
      <c r="F68" s="66"/>
      <c r="G68" s="205">
        <f>G67/G32</f>
        <v>0</v>
      </c>
      <c r="H68" s="66"/>
      <c r="J68" s="1180"/>
      <c r="L68" s="18"/>
      <c r="M68" s="20"/>
      <c r="N68" s="20"/>
      <c r="O68" s="20"/>
      <c r="P68" s="20"/>
      <c r="Q68" s="20"/>
      <c r="R68" s="20"/>
      <c r="S68" s="20"/>
      <c r="U68" s="8"/>
    </row>
    <row r="69" spans="1:22" ht="15.95" customHeight="1" x14ac:dyDescent="0.25">
      <c r="D69" s="4"/>
      <c r="E69" s="1167"/>
      <c r="F69" s="1167"/>
      <c r="G69" s="1168"/>
      <c r="H69" s="4"/>
      <c r="L69" s="1181"/>
      <c r="M69" s="1182"/>
      <c r="N69" s="1182"/>
      <c r="O69" s="1182"/>
      <c r="P69" s="4"/>
      <c r="Q69" s="4"/>
      <c r="R69" s="4"/>
      <c r="S69" s="4"/>
      <c r="U69" s="8"/>
    </row>
    <row r="70" spans="1:22" s="1120" customFormat="1" ht="19.5" thickBot="1" x14ac:dyDescent="0.3">
      <c r="A70" s="1118">
        <v>3</v>
      </c>
      <c r="B70" s="1119" t="s">
        <v>1634</v>
      </c>
      <c r="C70" s="1119"/>
      <c r="D70" s="1119"/>
      <c r="E70" s="1118"/>
      <c r="F70" s="1118"/>
      <c r="G70" s="1118"/>
      <c r="H70" s="1118"/>
      <c r="K70" s="1121"/>
      <c r="L70" s="1122"/>
      <c r="M70" s="1123"/>
      <c r="N70" s="1123"/>
      <c r="O70" s="1123"/>
      <c r="P70" s="1124"/>
      <c r="Q70" s="1124"/>
      <c r="R70" s="1125" t="s">
        <v>1635</v>
      </c>
      <c r="S70" s="1118">
        <v>3</v>
      </c>
      <c r="U70" s="1126"/>
    </row>
    <row r="71" spans="1:22" s="32" customFormat="1" ht="15.95" customHeight="1" x14ac:dyDescent="0.25">
      <c r="A71" s="1142"/>
      <c r="B71" s="1143">
        <v>3.1</v>
      </c>
      <c r="C71" s="1183" t="s">
        <v>1636</v>
      </c>
      <c r="D71" s="1144"/>
      <c r="E71" s="1143"/>
      <c r="F71" s="1143"/>
      <c r="G71" s="1143"/>
      <c r="H71" s="1143"/>
      <c r="K71" s="408"/>
      <c r="L71" s="1146"/>
      <c r="M71" s="1184"/>
      <c r="N71" s="1184"/>
      <c r="O71" s="1184"/>
      <c r="P71" s="1184"/>
      <c r="Q71" s="1147" t="s">
        <v>1637</v>
      </c>
      <c r="R71" s="1143">
        <v>3.1</v>
      </c>
      <c r="S71" s="1142"/>
      <c r="U71" s="1172"/>
    </row>
    <row r="72" spans="1:22" ht="15.95" customHeight="1" x14ac:dyDescent="0.25">
      <c r="A72" s="20"/>
      <c r="B72" s="20"/>
      <c r="C72" s="74" t="s">
        <v>1638</v>
      </c>
      <c r="D72" s="178" t="s">
        <v>1639</v>
      </c>
      <c r="E72" s="113"/>
      <c r="F72" s="113"/>
      <c r="G72" s="178"/>
      <c r="H72" s="113"/>
      <c r="L72" s="937"/>
      <c r="M72" s="178"/>
      <c r="N72" s="178"/>
      <c r="O72" s="178"/>
      <c r="P72" s="1135" t="s">
        <v>1640</v>
      </c>
      <c r="Q72" s="178" t="s">
        <v>1638</v>
      </c>
      <c r="R72" s="20"/>
      <c r="S72" s="20"/>
      <c r="U72" s="8"/>
    </row>
    <row r="73" spans="1:22" ht="15.95" customHeight="1" x14ac:dyDescent="0.25">
      <c r="A73" s="20"/>
      <c r="B73" s="20"/>
      <c r="C73" s="40"/>
      <c r="D73" s="178" t="s">
        <v>1641</v>
      </c>
      <c r="E73" s="84"/>
      <c r="F73" s="84"/>
      <c r="G73" s="23"/>
      <c r="H73" s="84"/>
      <c r="L73" s="935"/>
      <c r="M73" s="84"/>
      <c r="N73" s="84"/>
      <c r="O73" s="84"/>
      <c r="P73" s="84"/>
      <c r="Q73" s="20"/>
      <c r="R73" s="20"/>
      <c r="S73" s="20"/>
      <c r="U73" s="8"/>
    </row>
    <row r="74" spans="1:22" ht="15.95" customHeight="1" x14ac:dyDescent="0.25">
      <c r="A74" s="20"/>
      <c r="B74" s="20"/>
      <c r="C74" s="40"/>
      <c r="D74" s="710" t="s">
        <v>1642</v>
      </c>
      <c r="E74" s="198">
        <f>'SUM HH WITHOUT'!AI167</f>
        <v>30</v>
      </c>
      <c r="F74" s="198">
        <f>'SUM HH WITHOUT'!AJ167</f>
        <v>48</v>
      </c>
      <c r="G74" s="164">
        <f>SUM(E74:F74)</f>
        <v>78</v>
      </c>
      <c r="H74" s="198"/>
      <c r="L74" s="18"/>
      <c r="M74" s="20"/>
      <c r="N74" s="20"/>
      <c r="O74" s="20"/>
      <c r="P74" s="20"/>
      <c r="Q74" s="20"/>
      <c r="R74" s="20"/>
      <c r="S74" s="20"/>
      <c r="U74" s="8"/>
    </row>
    <row r="75" spans="1:22" s="1151" customFormat="1" ht="15.95" customHeight="1" x14ac:dyDescent="0.25">
      <c r="A75" s="1148"/>
      <c r="B75" s="1148"/>
      <c r="C75" s="1185"/>
      <c r="D75" s="178" t="s">
        <v>1643</v>
      </c>
      <c r="E75" s="91">
        <f>IF(E$37=0,0,E74/E$37)</f>
        <v>0.9375</v>
      </c>
      <c r="F75" s="91">
        <f>IF(F$37=0,0,F74/F$37)</f>
        <v>0.96</v>
      </c>
      <c r="G75" s="201">
        <f>IF(G$37=0,0,G74/G$37)</f>
        <v>0.95121951219512191</v>
      </c>
      <c r="H75" s="17"/>
      <c r="K75" s="1155"/>
      <c r="L75" s="18"/>
      <c r="M75" s="424"/>
      <c r="N75" s="20"/>
      <c r="O75" s="20"/>
      <c r="P75" s="20"/>
      <c r="Q75" s="1148"/>
      <c r="R75" s="1148"/>
      <c r="S75" s="1148"/>
      <c r="U75" s="1186"/>
    </row>
    <row r="76" spans="1:22" ht="15.95" customHeight="1" x14ac:dyDescent="0.25">
      <c r="A76" s="20"/>
      <c r="B76" s="20"/>
      <c r="C76" s="40"/>
      <c r="D76" s="178" t="s">
        <v>1644</v>
      </c>
      <c r="E76" s="424"/>
      <c r="F76" s="424"/>
      <c r="G76" s="18">
        <f>G75*G17</f>
        <v>4533.2934146341458</v>
      </c>
      <c r="H76" s="19">
        <f>IF(G17=0,0,G76/G17)</f>
        <v>0.95121951219512191</v>
      </c>
      <c r="L76" s="18">
        <f>M76</f>
        <v>6900</v>
      </c>
      <c r="M76" s="424">
        <f>M16</f>
        <v>6900</v>
      </c>
      <c r="N76" s="20"/>
      <c r="O76" s="20"/>
      <c r="P76" s="1135" t="s">
        <v>1645</v>
      </c>
      <c r="Q76" s="20"/>
      <c r="R76" s="20"/>
      <c r="S76" s="20"/>
      <c r="U76" s="8"/>
    </row>
    <row r="77" spans="1:22" ht="15.95" customHeight="1" x14ac:dyDescent="0.25">
      <c r="A77" s="20"/>
      <c r="B77" s="20"/>
      <c r="C77" s="74" t="s">
        <v>1646</v>
      </c>
      <c r="D77" s="178" t="s">
        <v>1647</v>
      </c>
      <c r="E77" s="113"/>
      <c r="F77" s="113"/>
      <c r="G77" s="178"/>
      <c r="H77" s="113"/>
      <c r="L77" s="935"/>
      <c r="M77" s="84"/>
      <c r="N77" s="84"/>
      <c r="O77" s="84"/>
      <c r="P77" s="84"/>
      <c r="Q77" s="84"/>
      <c r="R77" s="20"/>
      <c r="S77" s="20"/>
      <c r="U77" s="8"/>
    </row>
    <row r="78" spans="1:22" ht="15.95" customHeight="1" x14ac:dyDescent="0.25">
      <c r="A78" s="20"/>
      <c r="B78" s="20"/>
      <c r="C78" s="40"/>
      <c r="D78" s="178" t="s">
        <v>1648</v>
      </c>
      <c r="E78" s="84"/>
      <c r="F78" s="84"/>
      <c r="G78" s="23"/>
      <c r="H78" s="84"/>
      <c r="L78" s="935"/>
      <c r="M78" s="84"/>
      <c r="N78" s="84"/>
      <c r="O78" s="84"/>
      <c r="P78" s="84"/>
      <c r="Q78" s="84"/>
      <c r="R78" s="20"/>
      <c r="S78" s="20"/>
      <c r="U78" s="8"/>
    </row>
    <row r="79" spans="1:22" ht="15.95" customHeight="1" x14ac:dyDescent="0.25">
      <c r="A79" s="20"/>
      <c r="B79" s="20"/>
      <c r="C79" s="40"/>
      <c r="D79" s="710" t="s">
        <v>1649</v>
      </c>
      <c r="E79" s="198">
        <f>'SUM HH WITH'!AI288</f>
        <v>2</v>
      </c>
      <c r="F79" s="198">
        <f>'SUM HH WITH'!AJ288</f>
        <v>7</v>
      </c>
      <c r="G79" s="164">
        <f>SUM(E79:F79)</f>
        <v>9</v>
      </c>
      <c r="H79" s="84"/>
      <c r="I79" s="117"/>
      <c r="J79" s="117"/>
      <c r="L79" s="935"/>
      <c r="M79" s="84"/>
      <c r="N79" s="84"/>
      <c r="O79" s="84"/>
      <c r="P79" s="84"/>
      <c r="Q79" s="84"/>
      <c r="R79" s="20"/>
      <c r="S79" s="20"/>
      <c r="U79" s="8"/>
      <c r="V79" s="424">
        <f>G79</f>
        <v>9</v>
      </c>
    </row>
    <row r="80" spans="1:22" ht="15.95" customHeight="1" x14ac:dyDescent="0.25">
      <c r="A80" s="20"/>
      <c r="B80" s="20"/>
      <c r="C80" s="40"/>
      <c r="D80" s="710" t="s">
        <v>1650</v>
      </c>
      <c r="E80" s="198">
        <f>'SUM HH WITH'!AI289</f>
        <v>0</v>
      </c>
      <c r="F80" s="198">
        <f>'SUM HH WITH'!AJ289</f>
        <v>0</v>
      </c>
      <c r="G80" s="164">
        <f>SUM(E80:F80)</f>
        <v>0</v>
      </c>
      <c r="H80" s="84"/>
      <c r="I80" s="117"/>
      <c r="J80" s="117"/>
      <c r="L80" s="935"/>
      <c r="M80" s="84"/>
      <c r="N80" s="84"/>
      <c r="O80" s="84"/>
      <c r="P80" s="84"/>
      <c r="Q80" s="84"/>
      <c r="R80" s="20"/>
      <c r="S80" s="20"/>
      <c r="U80" s="8"/>
      <c r="V80" s="424">
        <f>G80</f>
        <v>0</v>
      </c>
    </row>
    <row r="81" spans="1:27" ht="15.95" customHeight="1" x14ac:dyDescent="0.25">
      <c r="A81" s="20"/>
      <c r="B81" s="20"/>
      <c r="C81" s="40"/>
      <c r="D81" s="113" t="s">
        <v>1651</v>
      </c>
      <c r="E81" s="164">
        <f>SUM(E79:E80)</f>
        <v>2</v>
      </c>
      <c r="F81" s="164">
        <f>SUM(F79:F80)</f>
        <v>7</v>
      </c>
      <c r="G81" s="164">
        <f>SUM(G79:G80)</f>
        <v>9</v>
      </c>
      <c r="H81" s="20"/>
      <c r="L81" s="18"/>
      <c r="M81" s="20"/>
      <c r="N81" s="20"/>
      <c r="O81" s="20"/>
      <c r="P81" s="20"/>
      <c r="Q81" s="20"/>
      <c r="R81" s="20"/>
      <c r="S81" s="20"/>
      <c r="U81" s="8"/>
      <c r="V81" s="424">
        <f>SUM(V79:V80)</f>
        <v>9</v>
      </c>
    </row>
    <row r="82" spans="1:27" ht="15.95" customHeight="1" x14ac:dyDescent="0.25">
      <c r="A82" s="20"/>
      <c r="B82" s="20"/>
      <c r="C82" s="40"/>
      <c r="D82" s="178" t="s">
        <v>1652</v>
      </c>
      <c r="E82" s="19">
        <f>IF(E$36=0,0,E81/E$36)</f>
        <v>0.11764705882352941</v>
      </c>
      <c r="F82" s="19">
        <f t="shared" ref="F82:G82" si="1">IF(F$36=0,0,F81/F$36)</f>
        <v>9.5890410958904104E-2</v>
      </c>
      <c r="G82" s="221">
        <f t="shared" si="1"/>
        <v>0.1</v>
      </c>
      <c r="H82" s="20"/>
      <c r="L82" s="18"/>
      <c r="M82" s="20"/>
      <c r="N82" s="20"/>
      <c r="O82" s="20"/>
      <c r="P82" s="20"/>
      <c r="Q82" s="20"/>
      <c r="R82" s="20"/>
      <c r="S82" s="20"/>
      <c r="U82" s="8"/>
      <c r="V82" s="221">
        <f>IF(G$27=0,0,V81/G$27)</f>
        <v>3.4351145038167941E-2</v>
      </c>
    </row>
    <row r="83" spans="1:27" ht="15.95" customHeight="1" x14ac:dyDescent="0.25">
      <c r="A83" s="20"/>
      <c r="B83" s="20"/>
      <c r="C83" s="40"/>
      <c r="D83" s="178" t="s">
        <v>1644</v>
      </c>
      <c r="E83" s="19"/>
      <c r="F83" s="19"/>
      <c r="G83" s="18">
        <f>G82*G16</f>
        <v>1574.3230000000001</v>
      </c>
      <c r="H83" s="19">
        <f>IF($G$16=0,0,G83/$G$16)</f>
        <v>0.1</v>
      </c>
      <c r="L83" s="18">
        <f>M83</f>
        <v>6900</v>
      </c>
      <c r="M83" s="424">
        <f>M16</f>
        <v>6900</v>
      </c>
      <c r="N83" s="20"/>
      <c r="O83" s="20"/>
      <c r="P83" s="1135" t="s">
        <v>1645</v>
      </c>
      <c r="Q83" s="20"/>
      <c r="R83" s="20"/>
      <c r="S83" s="20"/>
      <c r="U83" s="8"/>
      <c r="V83" s="18">
        <f>V82*G16</f>
        <v>540.79797709923662</v>
      </c>
    </row>
    <row r="84" spans="1:27" ht="15.95" customHeight="1" x14ac:dyDescent="0.25">
      <c r="A84" s="20"/>
      <c r="B84" s="20"/>
      <c r="C84" s="74" t="s">
        <v>1653</v>
      </c>
      <c r="D84" s="178" t="s">
        <v>1654</v>
      </c>
      <c r="E84" s="113"/>
      <c r="F84" s="113"/>
      <c r="G84" s="178"/>
      <c r="H84" s="113"/>
      <c r="L84" s="937"/>
      <c r="M84" s="473"/>
      <c r="N84" s="113"/>
      <c r="O84" s="113"/>
      <c r="P84" s="1135" t="s">
        <v>1655</v>
      </c>
      <c r="Q84" s="74" t="s">
        <v>1653</v>
      </c>
      <c r="R84" s="20"/>
      <c r="S84" s="20"/>
      <c r="U84" s="8"/>
      <c r="V84" s="306"/>
    </row>
    <row r="85" spans="1:27" ht="15.95" customHeight="1" thickBot="1" x14ac:dyDescent="0.3">
      <c r="A85" s="20"/>
      <c r="B85" s="20"/>
      <c r="C85" s="40"/>
      <c r="D85" s="178" t="s">
        <v>1656</v>
      </c>
      <c r="E85" s="84"/>
      <c r="F85" s="84"/>
      <c r="G85" s="1187">
        <f>G76+G83</f>
        <v>6107.6164146341462</v>
      </c>
      <c r="H85" s="19"/>
      <c r="L85" s="18"/>
      <c r="M85" s="20"/>
      <c r="N85" s="20"/>
      <c r="O85" s="20"/>
      <c r="P85" s="20"/>
      <c r="Q85" s="20"/>
      <c r="R85" s="20"/>
      <c r="S85" s="20"/>
      <c r="U85" s="8"/>
      <c r="V85" s="18">
        <f>V83+G76</f>
        <v>5074.0913917333828</v>
      </c>
    </row>
    <row r="86" spans="1:27" ht="15.95" customHeight="1" thickBot="1" x14ac:dyDescent="0.3">
      <c r="A86" s="20"/>
      <c r="B86" s="20"/>
      <c r="C86" s="40"/>
      <c r="D86" s="178" t="s">
        <v>1657</v>
      </c>
      <c r="E86" s="84"/>
      <c r="F86" s="1188"/>
      <c r="G86" s="1189">
        <v>0.85</v>
      </c>
      <c r="H86" s="462"/>
      <c r="L86" s="18"/>
      <c r="M86" s="20"/>
      <c r="N86" s="20"/>
      <c r="O86" s="20"/>
      <c r="P86" s="20"/>
      <c r="Q86" s="20"/>
      <c r="R86" s="20"/>
      <c r="S86" s="20"/>
      <c r="U86" s="8"/>
      <c r="V86" s="19">
        <f>G86</f>
        <v>0.85</v>
      </c>
    </row>
    <row r="87" spans="1:27" ht="15.95" customHeight="1" thickBot="1" x14ac:dyDescent="0.3">
      <c r="A87" s="20"/>
      <c r="B87" s="20"/>
      <c r="C87" s="40"/>
      <c r="D87" s="178" t="s">
        <v>1658</v>
      </c>
      <c r="E87" s="91"/>
      <c r="F87" s="91"/>
      <c r="G87" s="1190">
        <f>ROUND((G85*G86)/25,0)*25</f>
        <v>5200</v>
      </c>
      <c r="H87" s="19"/>
      <c r="L87" s="18"/>
      <c r="M87" s="20"/>
      <c r="N87" s="20"/>
      <c r="O87" s="20"/>
      <c r="P87" s="20"/>
      <c r="Q87" s="20"/>
      <c r="R87" s="20"/>
      <c r="S87" s="20"/>
      <c r="U87" s="8"/>
      <c r="V87" s="18">
        <f>ROUND((V85*V86)/25,0)*25</f>
        <v>4325</v>
      </c>
    </row>
    <row r="88" spans="1:27" ht="15.95" customHeight="1" thickBot="1" x14ac:dyDescent="0.3">
      <c r="A88" s="20"/>
      <c r="B88" s="20"/>
      <c r="C88" s="40"/>
      <c r="D88" s="178" t="s">
        <v>1828</v>
      </c>
      <c r="E88" s="91"/>
      <c r="F88" s="91"/>
      <c r="G88" s="1191">
        <v>1</v>
      </c>
      <c r="H88" s="84"/>
      <c r="L88" s="18"/>
      <c r="M88" s="20"/>
      <c r="N88" s="20"/>
      <c r="O88" s="20"/>
      <c r="P88" s="20"/>
      <c r="Q88" s="20"/>
      <c r="R88" s="20"/>
      <c r="S88" s="20"/>
      <c r="U88" s="8"/>
      <c r="V88" s="1192">
        <f>G88</f>
        <v>1</v>
      </c>
      <c r="Z88" s="1193">
        <v>-0.1</v>
      </c>
      <c r="AA88" s="1193">
        <v>0.1</v>
      </c>
    </row>
    <row r="89" spans="1:27" ht="15.95" customHeight="1" thickBot="1" x14ac:dyDescent="0.3">
      <c r="A89" s="20"/>
      <c r="B89" s="20"/>
      <c r="C89" s="40"/>
      <c r="D89" s="178" t="s">
        <v>1660</v>
      </c>
      <c r="E89" s="424"/>
      <c r="F89" s="424"/>
      <c r="G89" s="18">
        <f>IF(G87=0,0,IF(G88=0,0,ROUND((G87/G88)/25,0)*25))</f>
        <v>5200</v>
      </c>
      <c r="H89" s="19"/>
      <c r="J89" s="1137"/>
      <c r="K89" s="97"/>
      <c r="L89" s="18">
        <f>M89</f>
        <v>7460</v>
      </c>
      <c r="M89" s="424">
        <f>M17</f>
        <v>7460</v>
      </c>
      <c r="N89" s="20"/>
      <c r="O89" s="20"/>
      <c r="P89" s="1135" t="s">
        <v>1661</v>
      </c>
      <c r="Q89" s="20"/>
      <c r="R89" s="306"/>
      <c r="S89" s="20"/>
      <c r="U89" s="18">
        <f>IF(X89=0,0,IF(X89&lt;=Z89,1,IF(AND(X89&gt;Z89,X89&lt;=AA89),2,IF(X89&gt;AA89,3,0))))</f>
        <v>1</v>
      </c>
      <c r="V89" s="1194">
        <f>IF(V87=0,0,IF(V88=0,0,ROUND((V87/V88)/25,0)*25))</f>
        <v>4325</v>
      </c>
      <c r="X89" s="424">
        <f>G89</f>
        <v>5200</v>
      </c>
      <c r="Y89" s="424">
        <f>L89</f>
        <v>7460</v>
      </c>
      <c r="Z89" s="424">
        <f>Y89+(Y89*Z88)</f>
        <v>6714</v>
      </c>
      <c r="AA89" s="424">
        <f>Y89+(Y89*AA88)</f>
        <v>8206</v>
      </c>
    </row>
    <row r="90" spans="1:27" s="117" customFormat="1" ht="15.95" customHeight="1" x14ac:dyDescent="0.25">
      <c r="A90" s="20"/>
      <c r="B90" s="84"/>
      <c r="C90" s="119"/>
      <c r="D90" s="23"/>
      <c r="E90" s="17"/>
      <c r="F90" s="17"/>
      <c r="G90" s="935"/>
      <c r="H90" s="91"/>
      <c r="J90" s="97"/>
      <c r="K90" s="97"/>
      <c r="L90" s="935"/>
      <c r="M90" s="17"/>
      <c r="N90" s="84"/>
      <c r="O90" s="84"/>
      <c r="P90" s="1165"/>
      <c r="Q90" s="84"/>
      <c r="R90" s="1140"/>
      <c r="S90" s="84"/>
      <c r="U90" s="1175"/>
      <c r="V90" s="1195"/>
      <c r="X90" s="95"/>
      <c r="Y90" s="95"/>
      <c r="Z90" s="95"/>
      <c r="AA90" s="95"/>
    </row>
    <row r="91" spans="1:27" s="32" customFormat="1" ht="15.95" customHeight="1" x14ac:dyDescent="0.25">
      <c r="A91" s="1142"/>
      <c r="B91" s="1143">
        <v>3.2</v>
      </c>
      <c r="C91" s="1144" t="s">
        <v>1662</v>
      </c>
      <c r="D91" s="1144"/>
      <c r="E91" s="1144"/>
      <c r="F91" s="1144"/>
      <c r="G91" s="1144"/>
      <c r="H91" s="1144"/>
      <c r="K91" s="408"/>
      <c r="L91" s="1146"/>
      <c r="M91" s="1145"/>
      <c r="N91" s="1145"/>
      <c r="O91" s="1145"/>
      <c r="P91" s="1145"/>
      <c r="Q91" s="1147" t="s">
        <v>1663</v>
      </c>
      <c r="R91" s="1143">
        <v>3.2</v>
      </c>
      <c r="S91" s="1142"/>
      <c r="U91" s="1172"/>
    </row>
    <row r="92" spans="1:27" ht="15.95" customHeight="1" x14ac:dyDescent="0.25">
      <c r="A92" s="20"/>
      <c r="B92" s="20"/>
      <c r="C92" s="74" t="s">
        <v>1664</v>
      </c>
      <c r="D92" s="178" t="s">
        <v>1647</v>
      </c>
      <c r="E92" s="113"/>
      <c r="F92" s="113"/>
      <c r="G92" s="178"/>
      <c r="H92" s="113"/>
      <c r="L92" s="935"/>
      <c r="M92" s="84"/>
      <c r="N92" s="84"/>
      <c r="O92" s="84"/>
      <c r="P92" s="84"/>
      <c r="Q92" s="84"/>
      <c r="R92" s="20"/>
      <c r="S92" s="20"/>
      <c r="U92" s="8"/>
    </row>
    <row r="93" spans="1:27" ht="15.95" hidden="1" customHeight="1" x14ac:dyDescent="0.25">
      <c r="A93" s="20"/>
      <c r="B93" s="20"/>
      <c r="C93" s="20"/>
      <c r="D93" s="1196" t="s">
        <v>1665</v>
      </c>
      <c r="E93" s="1197">
        <f>'SUM HH WITH'!AI177</f>
        <v>14</v>
      </c>
      <c r="F93" s="1197">
        <f>'SUM HH WITH'!AJ177</f>
        <v>127</v>
      </c>
      <c r="G93" s="1197">
        <f>SUM(E93:F93)</f>
        <v>141</v>
      </c>
      <c r="H93" s="1196"/>
      <c r="L93" s="935"/>
      <c r="M93" s="84"/>
      <c r="N93" s="84"/>
      <c r="O93" s="84"/>
      <c r="P93" s="84"/>
      <c r="Q93" s="84"/>
      <c r="R93" s="20"/>
      <c r="S93" s="20"/>
      <c r="U93" s="8"/>
    </row>
    <row r="94" spans="1:27" ht="15.95" customHeight="1" x14ac:dyDescent="0.25">
      <c r="A94" s="20"/>
      <c r="B94" s="20"/>
      <c r="C94" s="20"/>
      <c r="D94" s="178" t="s">
        <v>1666</v>
      </c>
      <c r="E94" s="19">
        <f>IF(E$27=0,0,E93/E$27)</f>
        <v>0.5</v>
      </c>
      <c r="F94" s="19">
        <f>IF(F$27=0,0,F93/F$27)</f>
        <v>0.54273504273504269</v>
      </c>
      <c r="G94" s="221">
        <f>IF(G$27=0,0,G93/G$27)</f>
        <v>0.53816793893129766</v>
      </c>
      <c r="H94" s="20"/>
      <c r="L94" s="18"/>
      <c r="M94" s="20"/>
      <c r="N94" s="20"/>
      <c r="O94" s="20"/>
      <c r="P94" s="20"/>
      <c r="Q94" s="20"/>
      <c r="R94" s="20"/>
      <c r="S94" s="20"/>
      <c r="U94" s="8"/>
    </row>
    <row r="95" spans="1:27" ht="15.95" hidden="1" customHeight="1" x14ac:dyDescent="0.25">
      <c r="A95" s="20"/>
      <c r="B95" s="20"/>
      <c r="C95" s="40"/>
      <c r="D95" s="1196" t="s">
        <v>1667</v>
      </c>
      <c r="E95" s="1197">
        <f>'SUM HH WITH'!AI185</f>
        <v>12</v>
      </c>
      <c r="F95" s="1197">
        <f>'SUM HH WITH'!AJ185</f>
        <v>191</v>
      </c>
      <c r="G95" s="1197">
        <f>SUM(E95:F95)</f>
        <v>203</v>
      </c>
      <c r="H95" s="1196"/>
      <c r="L95" s="18"/>
      <c r="M95" s="20"/>
      <c r="N95" s="20"/>
      <c r="O95" s="20"/>
      <c r="P95" s="20"/>
      <c r="Q95" s="20"/>
      <c r="R95" s="20"/>
      <c r="S95" s="20"/>
      <c r="U95" s="8"/>
    </row>
    <row r="96" spans="1:27" ht="15.95" customHeight="1" x14ac:dyDescent="0.25">
      <c r="A96" s="20"/>
      <c r="B96" s="20"/>
      <c r="C96" s="40"/>
      <c r="D96" s="178" t="s">
        <v>1668</v>
      </c>
      <c r="E96" s="19">
        <f>IF(E$27=0,0,E95/E$27)</f>
        <v>0.42857142857142855</v>
      </c>
      <c r="F96" s="19">
        <f>IF(F$27=0,0,F95/F$27)</f>
        <v>0.81623931623931623</v>
      </c>
      <c r="G96" s="221">
        <f>IF(G$27=0,0,G95/G$27)</f>
        <v>0.77480916030534353</v>
      </c>
      <c r="H96" s="20"/>
      <c r="L96" s="18"/>
      <c r="M96" s="20"/>
      <c r="N96" s="20"/>
      <c r="O96" s="20"/>
      <c r="P96" s="20"/>
      <c r="Q96" s="20"/>
      <c r="R96" s="20"/>
      <c r="S96" s="20"/>
      <c r="U96" s="8"/>
    </row>
    <row r="97" spans="1:34" ht="15.95" customHeight="1" x14ac:dyDescent="0.25">
      <c r="A97" s="20"/>
      <c r="B97" s="20"/>
      <c r="C97" s="20"/>
      <c r="D97" s="178" t="s">
        <v>1669</v>
      </c>
      <c r="E97" s="84"/>
      <c r="F97" s="84"/>
      <c r="G97" s="23"/>
      <c r="H97" s="84"/>
      <c r="L97" s="18"/>
      <c r="M97" s="20"/>
      <c r="N97" s="20"/>
      <c r="O97" s="20"/>
      <c r="P97" s="20"/>
      <c r="Q97" s="20"/>
      <c r="R97" s="20"/>
      <c r="S97" s="20"/>
      <c r="U97" s="8"/>
    </row>
    <row r="98" spans="1:34" ht="15.95" customHeight="1" x14ac:dyDescent="0.25">
      <c r="A98" s="20"/>
      <c r="B98" s="20"/>
      <c r="C98" s="20"/>
      <c r="D98" s="710" t="s">
        <v>1670</v>
      </c>
      <c r="E98" s="198">
        <f>'SUM HH WITH'!AI287</f>
        <v>13</v>
      </c>
      <c r="F98" s="198">
        <f>'SUM HH WITH'!AJ287</f>
        <v>23</v>
      </c>
      <c r="G98" s="164">
        <f>SUM(E98:F98)</f>
        <v>36</v>
      </c>
      <c r="H98" s="197">
        <f>IF(G36=0,0,G98/G36)</f>
        <v>0.4</v>
      </c>
      <c r="L98" s="18"/>
      <c r="M98" s="20"/>
      <c r="N98" s="20"/>
      <c r="O98" s="20"/>
      <c r="P98" s="20"/>
      <c r="Q98" s="20"/>
      <c r="R98" s="20"/>
      <c r="S98" s="20"/>
      <c r="U98" s="8"/>
    </row>
    <row r="99" spans="1:34" ht="15.95" customHeight="1" x14ac:dyDescent="0.25">
      <c r="A99" s="20"/>
      <c r="B99" s="20"/>
      <c r="C99" s="74" t="s">
        <v>1671</v>
      </c>
      <c r="D99" s="178" t="s">
        <v>1654</v>
      </c>
      <c r="E99" s="113"/>
      <c r="F99" s="113"/>
      <c r="G99" s="937"/>
      <c r="H99" s="113"/>
      <c r="J99" s="100"/>
      <c r="L99" s="937"/>
      <c r="M99" s="113"/>
      <c r="N99" s="113"/>
      <c r="O99" s="113"/>
      <c r="P99" s="1135" t="s">
        <v>1655</v>
      </c>
      <c r="Q99" s="74" t="s">
        <v>1671</v>
      </c>
      <c r="R99" s="20"/>
      <c r="S99" s="20"/>
      <c r="U99" s="8"/>
    </row>
    <row r="100" spans="1:34" ht="15.95" customHeight="1" x14ac:dyDescent="0.25">
      <c r="A100" s="20"/>
      <c r="B100" s="20"/>
      <c r="C100" s="20"/>
      <c r="D100" s="178" t="s">
        <v>1672</v>
      </c>
      <c r="E100" s="19">
        <f>E98/E36</f>
        <v>0.76470588235294112</v>
      </c>
      <c r="F100" s="19">
        <f>F98/F36</f>
        <v>0.31506849315068491</v>
      </c>
      <c r="G100" s="221">
        <f>G98/G36</f>
        <v>0.4</v>
      </c>
      <c r="H100" s="20"/>
      <c r="J100" s="100"/>
      <c r="L100" s="18"/>
      <c r="M100" s="20"/>
      <c r="N100" s="20"/>
      <c r="O100" s="20"/>
      <c r="P100" s="20"/>
      <c r="Q100" s="20"/>
      <c r="R100" s="20"/>
      <c r="S100" s="20"/>
      <c r="U100" s="8"/>
    </row>
    <row r="101" spans="1:34" ht="15.95" customHeight="1" x14ac:dyDescent="0.25">
      <c r="A101" s="20"/>
      <c r="B101" s="20"/>
      <c r="C101" s="20"/>
      <c r="D101" s="178" t="s">
        <v>1658</v>
      </c>
      <c r="E101" s="20"/>
      <c r="F101" s="20"/>
      <c r="G101" s="18">
        <f>G100*G16</f>
        <v>6297.2920000000004</v>
      </c>
      <c r="H101" s="19">
        <f>IF($G$16=0,0,G101/$G$16)</f>
        <v>0.4</v>
      </c>
      <c r="J101" s="100"/>
      <c r="K101" s="97"/>
      <c r="L101" s="18"/>
      <c r="M101" s="20"/>
      <c r="N101" s="20"/>
      <c r="O101" s="20"/>
      <c r="P101" s="20"/>
      <c r="Q101" s="20"/>
      <c r="R101" s="20"/>
      <c r="S101" s="20"/>
      <c r="U101" s="8"/>
    </row>
    <row r="102" spans="1:34" ht="15.95" customHeight="1" x14ac:dyDescent="0.25">
      <c r="A102" s="20"/>
      <c r="B102" s="20"/>
      <c r="C102" s="20"/>
      <c r="D102" s="178" t="s">
        <v>1659</v>
      </c>
      <c r="E102" s="91"/>
      <c r="F102" s="91"/>
      <c r="G102" s="199">
        <f>G88</f>
        <v>1</v>
      </c>
      <c r="H102" s="20"/>
      <c r="J102" s="100"/>
      <c r="K102" s="97"/>
      <c r="L102" s="18"/>
      <c r="M102" s="20"/>
      <c r="N102" s="20"/>
      <c r="O102" s="20"/>
      <c r="P102" s="20"/>
      <c r="Q102" s="20"/>
      <c r="R102" s="20"/>
      <c r="S102" s="20"/>
      <c r="U102" s="8"/>
      <c r="Z102" s="546">
        <f>Z88</f>
        <v>-0.1</v>
      </c>
      <c r="AA102" s="546">
        <f>AA88</f>
        <v>0.1</v>
      </c>
    </row>
    <row r="103" spans="1:34" ht="15.95" customHeight="1" thickBot="1" x14ac:dyDescent="0.3">
      <c r="A103" s="20"/>
      <c r="B103" s="20"/>
      <c r="C103" s="20"/>
      <c r="D103" s="178" t="s">
        <v>1673</v>
      </c>
      <c r="E103" s="424"/>
      <c r="F103" s="424"/>
      <c r="G103" s="18">
        <f>IF(G102=0,0,ROUND((G101/G102)/25,0)*25)</f>
        <v>6300</v>
      </c>
      <c r="H103" s="19">
        <f>IF($G$16=0,0,G103/$G$16)</f>
        <v>0.40017201044512468</v>
      </c>
      <c r="J103" s="1198"/>
      <c r="K103" s="97"/>
      <c r="L103" s="18"/>
      <c r="M103" s="424"/>
      <c r="N103" s="20"/>
      <c r="O103" s="20"/>
      <c r="Q103" s="20"/>
      <c r="R103" s="20"/>
      <c r="S103" s="20"/>
      <c r="U103" s="1181"/>
      <c r="X103" s="1199"/>
      <c r="Y103" s="1199"/>
      <c r="Z103" s="1200">
        <f>Z88</f>
        <v>-0.1</v>
      </c>
      <c r="AA103" s="1200">
        <f>AA88</f>
        <v>0.1</v>
      </c>
    </row>
    <row r="104" spans="1:34" ht="15.95" customHeight="1" thickBot="1" x14ac:dyDescent="0.3">
      <c r="A104" s="20"/>
      <c r="B104" s="20"/>
      <c r="C104" s="20"/>
      <c r="D104" s="178" t="s">
        <v>1674</v>
      </c>
      <c r="E104" s="424"/>
      <c r="F104" s="424"/>
      <c r="G104" s="18">
        <f>G103+G89</f>
        <v>11500</v>
      </c>
      <c r="H104" s="19"/>
      <c r="J104" s="1137"/>
      <c r="K104" s="97"/>
      <c r="L104" s="18">
        <f>M104</f>
        <v>7460</v>
      </c>
      <c r="M104" s="424">
        <f>M17</f>
        <v>7460</v>
      </c>
      <c r="N104" s="20"/>
      <c r="O104" s="20"/>
      <c r="P104" s="1135" t="s">
        <v>1661</v>
      </c>
      <c r="Q104" s="20"/>
      <c r="R104" s="20"/>
      <c r="S104" s="20"/>
      <c r="U104" s="1179">
        <f>IF(X104=0,0,IF(X104&lt;=Z104,1,IF(AND(X104&gt;Z104,X104&lt;=AA104),2,IF(X104&gt;AA104,3,0))))</f>
        <v>3</v>
      </c>
      <c r="X104" s="1199">
        <f>G104</f>
        <v>11500</v>
      </c>
      <c r="Y104" s="1199">
        <f>L104</f>
        <v>7460</v>
      </c>
      <c r="Z104" s="1199">
        <f>Y104+(Y104*Z103)</f>
        <v>6714</v>
      </c>
      <c r="AA104" s="1199">
        <f>Y104+(Y104*AA103)</f>
        <v>8206</v>
      </c>
    </row>
    <row r="105" spans="1:34" s="117" customFormat="1" ht="15.95" customHeight="1" x14ac:dyDescent="0.25">
      <c r="A105" s="84"/>
      <c r="B105" s="84"/>
      <c r="C105" s="84"/>
      <c r="D105" s="23"/>
      <c r="E105" s="17"/>
      <c r="F105" s="17"/>
      <c r="G105" s="935"/>
      <c r="H105" s="91"/>
      <c r="J105" s="97"/>
      <c r="K105" s="97"/>
      <c r="L105" s="935"/>
      <c r="M105" s="17"/>
      <c r="N105" s="84"/>
      <c r="O105" s="84"/>
      <c r="P105" s="1165"/>
      <c r="Q105" s="84"/>
      <c r="R105" s="84"/>
      <c r="S105" s="84"/>
      <c r="U105" s="1175"/>
      <c r="X105" s="95"/>
      <c r="Y105" s="95"/>
      <c r="Z105" s="95"/>
      <c r="AA105" s="95"/>
    </row>
    <row r="106" spans="1:34" s="408" customFormat="1" ht="15.95" customHeight="1" thickBot="1" x14ac:dyDescent="0.3">
      <c r="A106" s="1161"/>
      <c r="B106" s="1161"/>
      <c r="C106" s="1161"/>
      <c r="D106" s="1162"/>
      <c r="E106" s="1201"/>
      <c r="F106" s="1201"/>
      <c r="G106" s="1163"/>
      <c r="H106" s="1164"/>
      <c r="J106" s="32"/>
      <c r="L106" s="1146"/>
      <c r="M106" s="1145"/>
      <c r="N106" s="1145"/>
      <c r="O106" s="1145"/>
      <c r="P106" s="1145"/>
      <c r="Q106" s="1147" t="s">
        <v>1675</v>
      </c>
      <c r="R106" s="1143">
        <v>3.3</v>
      </c>
      <c r="S106" s="1142"/>
      <c r="T106" s="32"/>
      <c r="U106" s="1172"/>
      <c r="V106" s="32"/>
      <c r="W106" s="32"/>
      <c r="X106" s="32"/>
      <c r="Y106" s="32"/>
      <c r="Z106" s="32"/>
      <c r="AA106" s="32"/>
      <c r="AB106" s="32"/>
      <c r="AC106" s="32"/>
      <c r="AD106" s="32"/>
      <c r="AE106" s="32"/>
      <c r="AF106" s="32"/>
      <c r="AG106" s="32"/>
      <c r="AH106" s="32"/>
    </row>
    <row r="107" spans="1:34" s="117" customFormat="1" ht="15.95" customHeight="1" thickBot="1" x14ac:dyDescent="0.3">
      <c r="A107" s="84"/>
      <c r="B107" s="84"/>
      <c r="C107" s="84"/>
      <c r="D107" s="23"/>
      <c r="E107" s="17"/>
      <c r="F107" s="17"/>
      <c r="G107" s="935"/>
      <c r="H107" s="91"/>
      <c r="J107" s="1137"/>
      <c r="L107" s="18" t="str">
        <f>M107</f>
        <v>Good</v>
      </c>
      <c r="M107" s="40" t="str">
        <f>IF(U107=0,0,IF(U107&lt;=1,"Good",IF(U107=2,"Average",IF(U107=3,"Poor",0))))</f>
        <v>Good</v>
      </c>
      <c r="N107" s="20"/>
      <c r="O107" s="20"/>
      <c r="P107" s="1135" t="s">
        <v>1676</v>
      </c>
      <c r="Q107" s="74" t="s">
        <v>1677</v>
      </c>
      <c r="R107" s="20"/>
      <c r="S107" s="20"/>
      <c r="T107" s="3"/>
      <c r="U107" s="794">
        <f>Y107</f>
        <v>1</v>
      </c>
      <c r="V107" s="3"/>
      <c r="W107" s="3"/>
      <c r="X107" s="3"/>
      <c r="Y107" s="189">
        <f>ROUND((PRODUCERS!P316)/1,0)*1</f>
        <v>1</v>
      </c>
      <c r="Z107" s="3"/>
      <c r="AA107" s="3"/>
      <c r="AB107" s="3"/>
      <c r="AC107" s="3"/>
      <c r="AD107" s="3"/>
      <c r="AE107" s="3"/>
      <c r="AF107" s="3"/>
      <c r="AG107" s="3"/>
      <c r="AH107" s="3"/>
    </row>
    <row r="108" spans="1:34" s="117" customFormat="1" ht="15.95" customHeight="1" x14ac:dyDescent="0.25">
      <c r="A108" s="84"/>
      <c r="B108" s="84"/>
      <c r="C108" s="84"/>
      <c r="D108" s="23"/>
      <c r="E108" s="17"/>
      <c r="F108" s="17"/>
      <c r="G108" s="935"/>
      <c r="H108" s="91"/>
      <c r="J108" s="97"/>
      <c r="K108" s="97"/>
      <c r="L108" s="935"/>
      <c r="M108" s="17"/>
      <c r="N108" s="84"/>
      <c r="O108" s="84"/>
      <c r="P108" s="1165"/>
      <c r="Q108" s="84"/>
      <c r="R108" s="84"/>
      <c r="S108" s="84"/>
      <c r="U108" s="1175"/>
      <c r="X108" s="95"/>
      <c r="Y108" s="95"/>
      <c r="Z108" s="95"/>
      <c r="AA108" s="95"/>
    </row>
    <row r="109" spans="1:34" s="32" customFormat="1" ht="15.95" customHeight="1" x14ac:dyDescent="0.25">
      <c r="A109" s="1142"/>
      <c r="B109" s="1143">
        <v>3.4</v>
      </c>
      <c r="C109" s="1144" t="s">
        <v>1678</v>
      </c>
      <c r="D109" s="1144"/>
      <c r="E109" s="1144"/>
      <c r="F109" s="1144"/>
      <c r="G109" s="1144"/>
      <c r="H109" s="1144"/>
      <c r="K109" s="408"/>
      <c r="L109" s="1146"/>
      <c r="M109" s="1145"/>
      <c r="N109" s="1145"/>
      <c r="O109" s="1145"/>
      <c r="P109" s="1145"/>
      <c r="Q109" s="1147" t="s">
        <v>1679</v>
      </c>
      <c r="R109" s="1143">
        <v>3.4</v>
      </c>
      <c r="S109" s="1142"/>
      <c r="U109" s="1172"/>
    </row>
    <row r="110" spans="1:34" ht="15.95" customHeight="1" x14ac:dyDescent="0.25">
      <c r="A110" s="20"/>
      <c r="B110" s="20"/>
      <c r="C110" s="74" t="s">
        <v>1680</v>
      </c>
      <c r="D110" s="178" t="s">
        <v>1681</v>
      </c>
      <c r="E110" s="113"/>
      <c r="F110" s="113"/>
      <c r="G110" s="178"/>
      <c r="H110" s="113"/>
      <c r="L110" s="937"/>
      <c r="M110" s="113"/>
      <c r="N110" s="113"/>
      <c r="O110" s="113"/>
      <c r="P110" s="1135" t="s">
        <v>1682</v>
      </c>
      <c r="Q110" s="74" t="s">
        <v>1680</v>
      </c>
      <c r="R110" s="84"/>
      <c r="S110" s="20"/>
      <c r="U110" s="8"/>
    </row>
    <row r="111" spans="1:34" ht="15.95" hidden="1" customHeight="1" x14ac:dyDescent="0.25">
      <c r="A111" s="20"/>
      <c r="B111" s="20"/>
      <c r="C111" s="20"/>
      <c r="D111" s="963" t="s">
        <v>1683</v>
      </c>
      <c r="E111" s="1202">
        <f>'SUM HH WITH'!AI17</f>
        <v>28</v>
      </c>
      <c r="F111" s="1202">
        <f>'SUM HH WITH'!AJ17</f>
        <v>234</v>
      </c>
      <c r="G111" s="1202">
        <f t="shared" ref="G111:G116" si="2">SUM(E111:F111)</f>
        <v>262</v>
      </c>
      <c r="H111" s="963"/>
      <c r="L111" s="1203"/>
      <c r="M111" s="20"/>
      <c r="N111" s="20"/>
      <c r="O111" s="424"/>
      <c r="P111" s="20"/>
      <c r="Q111" s="20"/>
      <c r="R111" s="20"/>
      <c r="S111" s="20"/>
      <c r="U111" s="8"/>
    </row>
    <row r="112" spans="1:34" ht="15.95" hidden="1" customHeight="1" x14ac:dyDescent="0.25">
      <c r="A112" s="20"/>
      <c r="B112" s="20"/>
      <c r="C112" s="20"/>
      <c r="D112" s="963" t="s">
        <v>1684</v>
      </c>
      <c r="E112" s="1202">
        <f>E36</f>
        <v>17</v>
      </c>
      <c r="F112" s="1202">
        <f>F36</f>
        <v>73</v>
      </c>
      <c r="G112" s="1202">
        <f t="shared" si="2"/>
        <v>90</v>
      </c>
      <c r="H112" s="963"/>
      <c r="L112" s="1203"/>
      <c r="M112" s="20"/>
      <c r="N112" s="20"/>
      <c r="O112" s="424"/>
      <c r="P112" s="20"/>
      <c r="Q112" s="20"/>
      <c r="R112" s="20"/>
      <c r="S112" s="20"/>
      <c r="U112" s="8"/>
    </row>
    <row r="113" spans="1:27" ht="15.95" hidden="1" customHeight="1" x14ac:dyDescent="0.25">
      <c r="A113" s="20"/>
      <c r="B113" s="20"/>
      <c r="C113" s="20"/>
      <c r="D113" s="1204" t="s">
        <v>1685</v>
      </c>
      <c r="E113" s="1205">
        <f>SUM(E111:E112)</f>
        <v>45</v>
      </c>
      <c r="F113" s="1205">
        <f>SUM(F111:F112)</f>
        <v>307</v>
      </c>
      <c r="G113" s="1205">
        <f t="shared" si="2"/>
        <v>352</v>
      </c>
      <c r="H113" s="963"/>
      <c r="L113" s="1203"/>
      <c r="M113" s="20"/>
      <c r="N113" s="20"/>
      <c r="O113" s="424"/>
      <c r="P113" s="20"/>
      <c r="Q113" s="20"/>
      <c r="R113" s="20"/>
      <c r="S113" s="20"/>
      <c r="U113" s="8"/>
    </row>
    <row r="114" spans="1:27" ht="15.95" hidden="1" customHeight="1" x14ac:dyDescent="0.25">
      <c r="A114" s="20"/>
      <c r="B114" s="20"/>
      <c r="C114" s="20"/>
      <c r="D114" s="963" t="s">
        <v>1686</v>
      </c>
      <c r="E114" s="1202">
        <f>'SUM HH WITH'!AI411</f>
        <v>1</v>
      </c>
      <c r="F114" s="1202">
        <f>'SUM HH WITH'!AJ411</f>
        <v>25</v>
      </c>
      <c r="G114" s="1202">
        <f t="shared" si="2"/>
        <v>26</v>
      </c>
      <c r="H114" s="1206">
        <f>G114/G111</f>
        <v>9.9236641221374045E-2</v>
      </c>
      <c r="L114" s="1203"/>
      <c r="M114" s="20"/>
      <c r="N114" s="20"/>
      <c r="O114" s="424"/>
      <c r="P114" s="20"/>
      <c r="Q114" s="20"/>
      <c r="R114" s="20"/>
      <c r="S114" s="20"/>
      <c r="U114" s="8"/>
    </row>
    <row r="115" spans="1:27" ht="15.95" hidden="1" customHeight="1" x14ac:dyDescent="0.25">
      <c r="A115" s="20"/>
      <c r="B115" s="20"/>
      <c r="C115" s="20"/>
      <c r="D115" s="963" t="s">
        <v>1687</v>
      </c>
      <c r="E115" s="1202">
        <f>'SUM HH WITH'!AI454</f>
        <v>1</v>
      </c>
      <c r="F115" s="1202">
        <f>'SUM HH WITH'!AJ454</f>
        <v>11</v>
      </c>
      <c r="G115" s="1202">
        <f t="shared" si="2"/>
        <v>12</v>
      </c>
      <c r="H115" s="1206">
        <f>G115/G112</f>
        <v>0.13333333333333333</v>
      </c>
      <c r="L115" s="1203"/>
      <c r="M115" s="20"/>
      <c r="N115" s="20"/>
      <c r="O115" s="424"/>
      <c r="P115" s="20"/>
      <c r="Q115" s="20"/>
      <c r="R115" s="20"/>
      <c r="S115" s="20"/>
      <c r="U115" s="8"/>
    </row>
    <row r="116" spans="1:27" ht="15.95" hidden="1" customHeight="1" x14ac:dyDescent="0.25">
      <c r="A116" s="20"/>
      <c r="B116" s="20"/>
      <c r="C116" s="20"/>
      <c r="D116" s="1204" t="s">
        <v>1688</v>
      </c>
      <c r="E116" s="1205">
        <f>SUM(E114:E115)</f>
        <v>2</v>
      </c>
      <c r="F116" s="1205">
        <f>SUM(F114:F115)</f>
        <v>36</v>
      </c>
      <c r="G116" s="1205">
        <f t="shared" si="2"/>
        <v>38</v>
      </c>
      <c r="H116" s="1206">
        <f>G116/G113</f>
        <v>0.10795454545454546</v>
      </c>
      <c r="L116" s="1203"/>
      <c r="M116" s="20"/>
      <c r="N116" s="20"/>
      <c r="O116" s="424"/>
      <c r="P116" s="20"/>
      <c r="Q116" s="20"/>
      <c r="R116" s="20"/>
      <c r="S116" s="20"/>
      <c r="U116" s="8"/>
    </row>
    <row r="117" spans="1:27" ht="15.95" hidden="1" customHeight="1" x14ac:dyDescent="0.25">
      <c r="A117" s="20"/>
      <c r="B117" s="20"/>
      <c r="C117" s="20"/>
      <c r="D117" s="963" t="s">
        <v>1689</v>
      </c>
      <c r="E117" s="1206">
        <f>E116/E113</f>
        <v>4.4444444444444446E-2</v>
      </c>
      <c r="F117" s="1206">
        <f t="shared" ref="F117:G117" si="3">F116/F113</f>
        <v>0.11726384364820847</v>
      </c>
      <c r="G117" s="1206">
        <f t="shared" si="3"/>
        <v>0.10795454545454546</v>
      </c>
      <c r="H117" s="963"/>
      <c r="L117" s="1203"/>
      <c r="M117" s="20"/>
      <c r="N117" s="20"/>
      <c r="O117" s="424"/>
      <c r="P117" s="20"/>
      <c r="Q117" s="20"/>
      <c r="R117" s="20"/>
      <c r="S117" s="20"/>
      <c r="U117" s="8"/>
    </row>
    <row r="118" spans="1:27" ht="15.95" hidden="1" customHeight="1" x14ac:dyDescent="0.25">
      <c r="A118" s="20"/>
      <c r="B118" s="20"/>
      <c r="C118" s="20"/>
      <c r="D118" s="963" t="s">
        <v>1690</v>
      </c>
      <c r="E118" s="1207">
        <f>'SUM HH WITH'!AI194</f>
        <v>1.625</v>
      </c>
      <c r="F118" s="1207">
        <f>'SUM HH WITH'!AJ194</f>
        <v>4.3717948717948714</v>
      </c>
      <c r="G118" s="1207">
        <f>'SUM HH WITH'!AK194</f>
        <v>2.9983974358974357</v>
      </c>
      <c r="H118" s="963"/>
      <c r="L118" s="1203"/>
      <c r="M118" s="20"/>
      <c r="N118" s="20"/>
      <c r="O118" s="424"/>
      <c r="P118" s="20"/>
      <c r="Q118" s="20"/>
      <c r="R118" s="20"/>
      <c r="S118" s="20"/>
      <c r="U118" s="8"/>
    </row>
    <row r="119" spans="1:27" ht="15.95" customHeight="1" x14ac:dyDescent="0.25">
      <c r="A119" s="20"/>
      <c r="B119" s="20"/>
      <c r="C119" s="20"/>
      <c r="D119" s="178" t="s">
        <v>1691</v>
      </c>
      <c r="E119" s="684"/>
      <c r="F119" s="684"/>
      <c r="G119" s="684">
        <f>G118*G117</f>
        <v>0.32369063228438227</v>
      </c>
      <c r="H119" s="20"/>
      <c r="L119" s="18"/>
      <c r="M119" s="20"/>
      <c r="N119" s="20"/>
      <c r="O119" s="424"/>
      <c r="P119" s="20"/>
      <c r="Q119" s="20"/>
      <c r="R119" s="20"/>
      <c r="S119" s="20"/>
      <c r="U119" s="8"/>
      <c r="Z119" s="546">
        <f>Z88</f>
        <v>-0.1</v>
      </c>
      <c r="AA119" s="546">
        <f>AA88</f>
        <v>0.1</v>
      </c>
    </row>
    <row r="120" spans="1:27" ht="15.95" customHeight="1" thickBot="1" x14ac:dyDescent="0.3">
      <c r="A120" s="20"/>
      <c r="B120" s="20"/>
      <c r="C120" s="20"/>
      <c r="D120" s="178" t="s">
        <v>1829</v>
      </c>
      <c r="E120" s="684"/>
      <c r="F120" s="684"/>
      <c r="G120" s="1320">
        <v>0.18181818181818182</v>
      </c>
      <c r="H120" s="20"/>
      <c r="L120" s="18"/>
      <c r="M120" s="20"/>
      <c r="N120" s="20"/>
      <c r="O120" s="424"/>
      <c r="P120" s="20"/>
      <c r="Q120" s="20"/>
      <c r="R120" s="20"/>
      <c r="S120" s="20"/>
      <c r="U120" s="8"/>
      <c r="Z120" s="546"/>
      <c r="AA120" s="546"/>
    </row>
    <row r="121" spans="1:27" ht="15.95" customHeight="1" thickBot="1" x14ac:dyDescent="0.3">
      <c r="A121" s="20"/>
      <c r="B121" s="20"/>
      <c r="C121" s="20"/>
      <c r="D121" s="178" t="s">
        <v>1673</v>
      </c>
      <c r="E121" s="424"/>
      <c r="F121" s="424"/>
      <c r="G121" s="18">
        <f>ROUND((G16*G120)/50,0)*50</f>
        <v>2850</v>
      </c>
      <c r="H121" s="20"/>
      <c r="J121" s="1137"/>
      <c r="L121" s="18">
        <f>O121</f>
        <v>0</v>
      </c>
      <c r="M121" s="20"/>
      <c r="N121" s="20"/>
      <c r="O121" s="424">
        <f>O16</f>
        <v>0</v>
      </c>
      <c r="P121" s="1135" t="s">
        <v>1692</v>
      </c>
      <c r="Q121" s="20"/>
      <c r="R121" s="20"/>
      <c r="S121" s="20"/>
      <c r="U121" s="18">
        <f>IF(X121=0,0,IF(X121&lt;=Z121,1,IF(AND(X121&gt;Z121,X121&lt;=AA121),2,IF(X121&gt;AA121,3,0))))</f>
        <v>3</v>
      </c>
      <c r="X121" s="424">
        <f>G121</f>
        <v>2850</v>
      </c>
      <c r="Y121" s="424">
        <f>L121</f>
        <v>0</v>
      </c>
      <c r="Z121" s="424">
        <f>Y121+(Y121*Z119)</f>
        <v>0</v>
      </c>
      <c r="AA121" s="424">
        <f>Y121+(Y121*AA119)</f>
        <v>0</v>
      </c>
    </row>
    <row r="122" spans="1:27" ht="15.95" customHeight="1" thickBot="1" x14ac:dyDescent="0.3">
      <c r="A122" s="20"/>
      <c r="B122" s="20"/>
      <c r="C122" s="74" t="s">
        <v>1693</v>
      </c>
      <c r="D122" s="178" t="s">
        <v>1694</v>
      </c>
      <c r="E122" s="113"/>
      <c r="F122" s="113"/>
      <c r="G122" s="178"/>
      <c r="H122" s="113"/>
      <c r="L122" s="937"/>
      <c r="M122" s="113"/>
      <c r="N122" s="113"/>
      <c r="O122" s="113"/>
      <c r="P122" s="1135" t="s">
        <v>1695</v>
      </c>
      <c r="Q122" s="74" t="s">
        <v>1693</v>
      </c>
      <c r="R122" s="84"/>
      <c r="S122" s="20"/>
      <c r="U122" s="8"/>
    </row>
    <row r="123" spans="1:27" ht="15.95" customHeight="1" thickBot="1" x14ac:dyDescent="0.3">
      <c r="A123" s="20"/>
      <c r="B123" s="20"/>
      <c r="C123" s="20"/>
      <c r="D123" s="178" t="s">
        <v>1696</v>
      </c>
      <c r="E123" s="424"/>
      <c r="F123" s="424"/>
      <c r="G123" s="18">
        <f>ROUND((G120*G14)/50,0)*50</f>
        <v>3750</v>
      </c>
      <c r="H123" s="20"/>
      <c r="J123" s="1137"/>
      <c r="K123" s="1208"/>
      <c r="L123" s="18">
        <f>O123</f>
        <v>0</v>
      </c>
      <c r="M123" s="20"/>
      <c r="N123" s="20"/>
      <c r="O123" s="1138">
        <f>O17</f>
        <v>0</v>
      </c>
      <c r="P123" s="1135" t="s">
        <v>1661</v>
      </c>
      <c r="Q123" s="20"/>
      <c r="R123" s="20"/>
      <c r="S123" s="20"/>
      <c r="U123" s="18">
        <f>IF(X123=0,0,IF(X123&lt;=Z123,1,IF(AND(X123&gt;Z123,X123&lt;=AA123),2,IF(X123&gt;AA123,3,0))))</f>
        <v>3</v>
      </c>
      <c r="X123" s="424">
        <f>G123</f>
        <v>3750</v>
      </c>
      <c r="Y123" s="424">
        <f>L123</f>
        <v>0</v>
      </c>
      <c r="Z123" s="424">
        <f>Y123+(Y123*Z119)</f>
        <v>0</v>
      </c>
      <c r="AA123" s="424">
        <f>Y123+(Y123*AA119)</f>
        <v>0</v>
      </c>
    </row>
    <row r="124" spans="1:27" ht="15.95" customHeight="1" x14ac:dyDescent="0.25">
      <c r="G124" s="1311"/>
      <c r="U124" s="8"/>
    </row>
    <row r="125" spans="1:27" s="1120" customFormat="1" ht="19.5" thickBot="1" x14ac:dyDescent="0.3">
      <c r="A125" s="1118">
        <v>4</v>
      </c>
      <c r="B125" s="1119" t="s">
        <v>1697</v>
      </c>
      <c r="C125" s="1119"/>
      <c r="D125" s="1119"/>
      <c r="E125" s="1118"/>
      <c r="F125" s="1118"/>
      <c r="G125" s="1118"/>
      <c r="H125" s="1118"/>
      <c r="K125" s="1121"/>
      <c r="L125" s="1122"/>
      <c r="M125" s="1123"/>
      <c r="N125" s="1123"/>
      <c r="O125" s="1123"/>
      <c r="P125" s="1124"/>
      <c r="Q125" s="1124"/>
      <c r="R125" s="1125" t="s">
        <v>1698</v>
      </c>
      <c r="S125" s="1118">
        <v>4</v>
      </c>
      <c r="U125" s="1126"/>
    </row>
    <row r="126" spans="1:27" s="32" customFormat="1" ht="15.95" customHeight="1" x14ac:dyDescent="0.25">
      <c r="A126" s="1142"/>
      <c r="B126" s="1143">
        <v>4.0999999999999996</v>
      </c>
      <c r="C126" s="1144" t="s">
        <v>1699</v>
      </c>
      <c r="D126" s="1144"/>
      <c r="E126" s="1144"/>
      <c r="F126" s="1144"/>
      <c r="G126" s="1144"/>
      <c r="H126" s="1144"/>
      <c r="K126" s="408"/>
      <c r="L126" s="1146"/>
      <c r="M126" s="1145"/>
      <c r="N126" s="1145"/>
      <c r="O126" s="1145"/>
      <c r="P126" s="1145"/>
      <c r="Q126" s="1147" t="s">
        <v>1700</v>
      </c>
      <c r="R126" s="1143">
        <v>4.0999999999999996</v>
      </c>
      <c r="S126" s="1142"/>
      <c r="U126" s="1172"/>
    </row>
    <row r="127" spans="1:27" ht="15.95" customHeight="1" x14ac:dyDescent="0.25">
      <c r="A127" s="20"/>
      <c r="B127" s="20"/>
      <c r="C127" s="74" t="s">
        <v>1701</v>
      </c>
      <c r="D127" s="178" t="s">
        <v>1702</v>
      </c>
      <c r="E127" s="113"/>
      <c r="F127" s="113"/>
      <c r="G127" s="178"/>
      <c r="H127" s="113"/>
      <c r="L127" s="937"/>
      <c r="M127" s="113"/>
      <c r="N127" s="113"/>
      <c r="O127" s="113"/>
      <c r="P127" s="1135" t="s">
        <v>1817</v>
      </c>
      <c r="Q127" s="74" t="s">
        <v>1701</v>
      </c>
      <c r="R127" s="20"/>
      <c r="S127" s="20"/>
      <c r="U127" s="8"/>
    </row>
    <row r="128" spans="1:27" ht="15.95" customHeight="1" x14ac:dyDescent="0.25">
      <c r="A128" s="20"/>
      <c r="B128" s="20"/>
      <c r="C128" s="20"/>
      <c r="D128" s="178" t="s">
        <v>1703</v>
      </c>
      <c r="E128" s="84"/>
      <c r="F128" s="84"/>
      <c r="G128" s="23"/>
      <c r="H128" s="84"/>
      <c r="I128" s="117"/>
      <c r="J128" s="117"/>
      <c r="L128" s="935"/>
      <c r="M128" s="84"/>
      <c r="N128" s="84"/>
      <c r="O128" s="84"/>
      <c r="P128" s="1165"/>
      <c r="Q128" s="936"/>
      <c r="R128" s="20"/>
      <c r="S128" s="20"/>
      <c r="U128" s="8"/>
    </row>
    <row r="129" spans="1:26" ht="15.95" customHeight="1" x14ac:dyDescent="0.25">
      <c r="A129" s="20"/>
      <c r="B129" s="20"/>
      <c r="C129" s="20"/>
      <c r="D129" s="113" t="s">
        <v>1704</v>
      </c>
      <c r="E129" s="1209">
        <f>'SUM HH WITH'!AI211</f>
        <v>0</v>
      </c>
      <c r="F129" s="1209">
        <f>'SUM HH WITH'!AJ211</f>
        <v>5</v>
      </c>
      <c r="G129" s="1210">
        <f>SUM(E129:F129)</f>
        <v>5</v>
      </c>
      <c r="H129" s="19">
        <f>IF($G$132=0,0,G129/$G$132)</f>
        <v>1.9083969465648856E-2</v>
      </c>
      <c r="L129" s="18"/>
      <c r="M129" s="20"/>
      <c r="N129" s="20"/>
      <c r="O129" s="20"/>
      <c r="P129" s="20"/>
      <c r="Q129" s="20"/>
      <c r="R129" s="20"/>
      <c r="S129" s="20"/>
      <c r="U129" s="8"/>
    </row>
    <row r="130" spans="1:26" ht="15.95" customHeight="1" x14ac:dyDescent="0.25">
      <c r="A130" s="20"/>
      <c r="B130" s="20"/>
      <c r="C130" s="20"/>
      <c r="D130" s="113" t="s">
        <v>1705</v>
      </c>
      <c r="E130" s="1209">
        <f>'SUM HH WITH'!AI206</f>
        <v>1</v>
      </c>
      <c r="F130" s="1209">
        <f>'SUM HH WITH'!AJ206</f>
        <v>6</v>
      </c>
      <c r="G130" s="1210">
        <f>SUM(E130:F130)</f>
        <v>7</v>
      </c>
      <c r="H130" s="19">
        <f>IF($G$132=0,0,G130/$G$132)</f>
        <v>2.6717557251908396E-2</v>
      </c>
      <c r="L130" s="18"/>
      <c r="M130" s="20"/>
      <c r="N130" s="20"/>
      <c r="O130" s="20"/>
      <c r="P130" s="20"/>
      <c r="Q130" s="20"/>
      <c r="R130" s="20"/>
      <c r="S130" s="20"/>
      <c r="U130" s="8"/>
    </row>
    <row r="131" spans="1:26" ht="15.95" customHeight="1" x14ac:dyDescent="0.25">
      <c r="A131" s="20"/>
      <c r="B131" s="20"/>
      <c r="C131" s="20"/>
      <c r="D131" s="113" t="s">
        <v>1706</v>
      </c>
      <c r="E131" s="1209">
        <f>'SUM HH WITH'!AI207</f>
        <v>27</v>
      </c>
      <c r="F131" s="1209">
        <f>'SUM HH WITH'!AJ207</f>
        <v>223</v>
      </c>
      <c r="G131" s="1210">
        <f>SUM(E131:F131)</f>
        <v>250</v>
      </c>
      <c r="H131" s="19">
        <f>IF($G$132=0,0,G131/$G$132)</f>
        <v>0.95419847328244278</v>
      </c>
      <c r="L131" s="18"/>
      <c r="M131" s="20"/>
      <c r="N131" s="20"/>
      <c r="O131" s="20"/>
      <c r="P131" s="20"/>
      <c r="Q131" s="20"/>
      <c r="R131" s="20"/>
      <c r="S131" s="20"/>
      <c r="U131" s="8"/>
    </row>
    <row r="132" spans="1:26" ht="15.95" hidden="1" customHeight="1" x14ac:dyDescent="0.25">
      <c r="A132" s="20"/>
      <c r="B132" s="20"/>
      <c r="C132" s="20"/>
      <c r="D132" s="904"/>
      <c r="E132" s="1211">
        <f>SUM(E129:E131)</f>
        <v>28</v>
      </c>
      <c r="F132" s="1211">
        <f>SUM(F129:F131)</f>
        <v>234</v>
      </c>
      <c r="G132" s="1212">
        <f>SUM(G129:G131)</f>
        <v>262</v>
      </c>
      <c r="H132" s="130">
        <f>IF($G$132=0,0,G132/$G$132)</f>
        <v>1</v>
      </c>
      <c r="L132" s="18"/>
      <c r="M132" s="20"/>
      <c r="N132" s="20"/>
      <c r="O132" s="20"/>
      <c r="P132" s="20"/>
      <c r="Q132" s="20"/>
      <c r="R132" s="20"/>
      <c r="S132" s="20"/>
      <c r="U132" s="8"/>
    </row>
    <row r="133" spans="1:26" ht="15.95" customHeight="1" thickBot="1" x14ac:dyDescent="0.3">
      <c r="A133" s="20"/>
      <c r="B133" s="20"/>
      <c r="C133" s="20"/>
      <c r="D133" s="178" t="s">
        <v>1707</v>
      </c>
      <c r="E133" s="675">
        <f>IF(E132=0,0,E131/E132)</f>
        <v>0.9642857142857143</v>
      </c>
      <c r="F133" s="675">
        <f>IF(F132=0,0,F131/F132)</f>
        <v>0.95299145299145294</v>
      </c>
      <c r="G133" s="1213">
        <f>IF(G132=0,0,G131/G132)</f>
        <v>0.95419847328244278</v>
      </c>
      <c r="H133" s="20"/>
      <c r="L133" s="18"/>
      <c r="M133" s="20"/>
      <c r="N133" s="20"/>
      <c r="O133" s="20"/>
      <c r="P133" s="20"/>
      <c r="Q133" s="20"/>
      <c r="R133" s="20"/>
      <c r="S133" s="20"/>
      <c r="U133" s="8"/>
    </row>
    <row r="134" spans="1:26" ht="15.95" customHeight="1" thickBot="1" x14ac:dyDescent="0.3">
      <c r="A134" s="20"/>
      <c r="B134" s="20"/>
      <c r="C134" s="20"/>
      <c r="D134" s="178" t="s">
        <v>1708</v>
      </c>
      <c r="E134" s="17">
        <f>'SUM HH WITH'!AI210</f>
        <v>350000</v>
      </c>
      <c r="F134" s="17">
        <f>'SUM HH WITH'!AJ210</f>
        <v>1520000</v>
      </c>
      <c r="G134" s="935">
        <f>'SUM HH WITH'!AK210</f>
        <v>1400000</v>
      </c>
      <c r="H134" s="20"/>
      <c r="J134" s="1137"/>
      <c r="L134" s="18">
        <f>ROUND((150*V7)/10000,0)*10000</f>
        <v>610000</v>
      </c>
      <c r="M134" s="113"/>
      <c r="N134" s="113"/>
      <c r="O134" s="113"/>
      <c r="P134" s="1135" t="s">
        <v>1709</v>
      </c>
      <c r="Q134" s="20"/>
      <c r="R134" s="20"/>
      <c r="S134" s="20"/>
      <c r="U134" s="18">
        <f>IF(Y134=0,0,IF(G134&gt;L134,1,IF(G134&gt;Z134,2,3)))</f>
        <v>1</v>
      </c>
      <c r="X134" s="1193">
        <v>0.15</v>
      </c>
      <c r="Y134" s="424">
        <f>L134</f>
        <v>610000</v>
      </c>
      <c r="Z134" s="424">
        <f>Y134-(Y134*X134)</f>
        <v>518500</v>
      </c>
    </row>
    <row r="135" spans="1:26" ht="15.95" customHeight="1" x14ac:dyDescent="0.25">
      <c r="A135" s="20"/>
      <c r="B135" s="20"/>
      <c r="C135" s="20"/>
      <c r="D135" s="178" t="s">
        <v>1710</v>
      </c>
      <c r="E135" s="17">
        <f t="shared" ref="E135:F135" si="4">ROUND((E134/$V$7)/5,0)*5</f>
        <v>85</v>
      </c>
      <c r="F135" s="17">
        <f t="shared" si="4"/>
        <v>375</v>
      </c>
      <c r="G135" s="935">
        <f>ROUND((G134/$V$7)/5,0)*5</f>
        <v>345</v>
      </c>
      <c r="H135" s="20"/>
      <c r="J135" s="1177"/>
      <c r="L135" s="935">
        <f>ROUND((L134/$V$7)/5,0)*5</f>
        <v>150</v>
      </c>
      <c r="M135" s="113"/>
      <c r="N135" s="113"/>
      <c r="O135" s="113"/>
      <c r="P135" s="1135" t="s">
        <v>1711</v>
      </c>
      <c r="Q135" s="20"/>
      <c r="R135" s="20"/>
      <c r="S135" s="20"/>
      <c r="U135" s="1169"/>
      <c r="Y135" s="339"/>
      <c r="Z135" s="339"/>
    </row>
    <row r="136" spans="1:26" s="117" customFormat="1" ht="15.95" customHeight="1" x14ac:dyDescent="0.25">
      <c r="A136" s="84"/>
      <c r="B136" s="84"/>
      <c r="C136" s="84"/>
      <c r="D136" s="23"/>
      <c r="E136" s="17"/>
      <c r="F136" s="17"/>
      <c r="G136" s="935"/>
      <c r="H136" s="84"/>
      <c r="J136" s="97"/>
      <c r="L136" s="935"/>
      <c r="M136" s="84"/>
      <c r="N136" s="84"/>
      <c r="O136" s="84"/>
      <c r="P136" s="1165"/>
      <c r="Q136" s="84"/>
      <c r="R136" s="84"/>
      <c r="S136" s="84"/>
      <c r="U136" s="1175"/>
      <c r="X136" s="1214"/>
      <c r="Y136" s="95"/>
      <c r="Z136" s="95"/>
    </row>
    <row r="137" spans="1:26" s="32" customFormat="1" ht="15.95" customHeight="1" x14ac:dyDescent="0.25">
      <c r="A137" s="1142"/>
      <c r="B137" s="1143">
        <v>4.2</v>
      </c>
      <c r="C137" s="1144" t="s">
        <v>1712</v>
      </c>
      <c r="D137" s="1144"/>
      <c r="E137" s="1144"/>
      <c r="F137" s="1144"/>
      <c r="G137" s="1144"/>
      <c r="H137" s="1144"/>
      <c r="K137" s="408"/>
      <c r="L137" s="1146"/>
      <c r="M137" s="1145"/>
      <c r="N137" s="1145"/>
      <c r="O137" s="1145"/>
      <c r="P137" s="1145"/>
      <c r="Q137" s="1147" t="s">
        <v>1713</v>
      </c>
      <c r="R137" s="1143">
        <v>4.2</v>
      </c>
      <c r="S137" s="1142"/>
      <c r="U137" s="1172"/>
      <c r="Y137" s="1215"/>
      <c r="Z137" s="1215"/>
    </row>
    <row r="138" spans="1:26" ht="15.95" customHeight="1" x14ac:dyDescent="0.25">
      <c r="A138" s="20"/>
      <c r="B138" s="20"/>
      <c r="C138" s="74" t="s">
        <v>1714</v>
      </c>
      <c r="D138" s="178" t="s">
        <v>1715</v>
      </c>
      <c r="E138" s="113"/>
      <c r="F138" s="113"/>
      <c r="G138" s="178"/>
      <c r="H138" s="113"/>
      <c r="L138" s="937"/>
      <c r="M138" s="113"/>
      <c r="N138" s="113"/>
      <c r="O138" s="113"/>
      <c r="P138" s="1135" t="s">
        <v>1716</v>
      </c>
      <c r="Q138" s="74" t="s">
        <v>1714</v>
      </c>
      <c r="R138" s="20"/>
      <c r="S138" s="20"/>
      <c r="U138" s="8"/>
      <c r="Y138" s="339"/>
      <c r="Z138" s="339"/>
    </row>
    <row r="139" spans="1:26" ht="15.95" customHeight="1" x14ac:dyDescent="0.25">
      <c r="A139" s="20"/>
      <c r="B139" s="20"/>
      <c r="C139" s="20"/>
      <c r="D139" s="178" t="s">
        <v>1717</v>
      </c>
      <c r="E139" s="84"/>
      <c r="F139" s="84"/>
      <c r="G139" s="84"/>
      <c r="H139" s="84"/>
      <c r="L139" s="18"/>
      <c r="M139" s="20"/>
      <c r="N139" s="20"/>
      <c r="O139" s="20"/>
      <c r="P139" s="20"/>
      <c r="Q139" s="20"/>
      <c r="R139" s="20"/>
      <c r="S139" s="20"/>
      <c r="U139" s="8"/>
      <c r="Y139" s="339"/>
      <c r="Z139" s="339"/>
    </row>
    <row r="140" spans="1:26" ht="15.95" customHeight="1" x14ac:dyDescent="0.25">
      <c r="A140" s="20"/>
      <c r="B140" s="20"/>
      <c r="C140" s="20"/>
      <c r="D140" s="710" t="s">
        <v>1718</v>
      </c>
      <c r="E140" s="1216">
        <f>'SUM HH WITH'!AI245+'SUM HH WITH'!AI253</f>
        <v>0</v>
      </c>
      <c r="F140" s="1216">
        <f>'SUM HH WITH'!AJ245+'SUM HH WITH'!AJ253</f>
        <v>4</v>
      </c>
      <c r="G140" s="1216">
        <f>SUM(E140:F140)</f>
        <v>4</v>
      </c>
      <c r="H140" s="1217"/>
      <c r="L140" s="18"/>
      <c r="M140" s="20"/>
      <c r="N140" s="20"/>
      <c r="O140" s="20"/>
      <c r="P140" s="20"/>
      <c r="Q140" s="20"/>
      <c r="R140" s="20"/>
      <c r="S140" s="20"/>
      <c r="U140" s="8"/>
      <c r="Y140" s="339"/>
      <c r="Z140" s="339"/>
    </row>
    <row r="141" spans="1:26" ht="15.95" customHeight="1" x14ac:dyDescent="0.25">
      <c r="A141" s="20"/>
      <c r="B141" s="20"/>
      <c r="C141" s="20"/>
      <c r="D141" s="710" t="s">
        <v>1719</v>
      </c>
      <c r="E141" s="1216">
        <f>'SUM HH WITH'!AI248+'SUM HH WITH'!AI244</f>
        <v>27</v>
      </c>
      <c r="F141" s="1216">
        <f>'SUM HH WITH'!AJ248+'SUM HH WITH'!AJ244</f>
        <v>215</v>
      </c>
      <c r="G141" s="1216">
        <f>SUM(E141:F141)</f>
        <v>242</v>
      </c>
      <c r="H141" s="1217"/>
      <c r="L141" s="18"/>
      <c r="M141" s="20"/>
      <c r="N141" s="20"/>
      <c r="O141" s="20"/>
      <c r="P141" s="20"/>
      <c r="Q141" s="20"/>
      <c r="R141" s="20"/>
      <c r="S141" s="20"/>
      <c r="U141" s="8"/>
      <c r="Y141" s="339"/>
      <c r="Z141" s="339"/>
    </row>
    <row r="142" spans="1:26" ht="15.95" customHeight="1" x14ac:dyDescent="0.25">
      <c r="A142" s="20"/>
      <c r="B142" s="20"/>
      <c r="C142" s="20"/>
      <c r="D142" s="710" t="s">
        <v>1720</v>
      </c>
      <c r="E142" s="1216">
        <f>'SUM HH WITH'!AI249</f>
        <v>1</v>
      </c>
      <c r="F142" s="1216">
        <f>'SUM HH WITH'!AJ249</f>
        <v>15</v>
      </c>
      <c r="G142" s="1216">
        <f>SUM(E142:F142)</f>
        <v>16</v>
      </c>
      <c r="H142" s="1217"/>
      <c r="L142" s="18"/>
      <c r="M142" s="20"/>
      <c r="N142" s="20"/>
      <c r="O142" s="20"/>
      <c r="P142" s="20"/>
      <c r="Q142" s="20"/>
      <c r="R142" s="20"/>
      <c r="S142" s="20"/>
      <c r="U142" s="8"/>
      <c r="Y142" s="339"/>
      <c r="Z142" s="339"/>
    </row>
    <row r="143" spans="1:26" ht="15.95" hidden="1" customHeight="1" x14ac:dyDescent="0.25">
      <c r="A143" s="20"/>
      <c r="B143" s="20"/>
      <c r="C143" s="20"/>
      <c r="D143" s="963"/>
      <c r="E143" s="1218">
        <f>SUM(E140:E142)</f>
        <v>28</v>
      </c>
      <c r="F143" s="1218">
        <f>SUM(F140:F142)</f>
        <v>234</v>
      </c>
      <c r="G143" s="1218">
        <f>SUM(G140:G142)</f>
        <v>262</v>
      </c>
      <c r="H143" s="963"/>
      <c r="L143" s="18"/>
      <c r="M143" s="20"/>
      <c r="N143" s="20"/>
      <c r="O143" s="20"/>
      <c r="P143" s="20"/>
      <c r="Q143" s="20"/>
      <c r="R143" s="20"/>
      <c r="S143" s="20"/>
      <c r="U143" s="8"/>
      <c r="Y143" s="339"/>
      <c r="Z143" s="339"/>
    </row>
    <row r="144" spans="1:26" ht="15.95" customHeight="1" thickBot="1" x14ac:dyDescent="0.3">
      <c r="A144" s="20"/>
      <c r="B144" s="20"/>
      <c r="C144" s="20"/>
      <c r="D144" s="178" t="s">
        <v>1721</v>
      </c>
      <c r="E144" s="675">
        <f>IF(E143=0,0,E142/E143)</f>
        <v>3.5714285714285712E-2</v>
      </c>
      <c r="F144" s="675">
        <f>IF(F143=0,0,F142/F143)</f>
        <v>6.4102564102564097E-2</v>
      </c>
      <c r="G144" s="1213">
        <f>IF(G143=0,0,G142/G143)</f>
        <v>6.1068702290076333E-2</v>
      </c>
      <c r="H144" s="1217"/>
      <c r="L144" s="18"/>
      <c r="M144" s="20"/>
      <c r="N144" s="20"/>
      <c r="O144" s="20"/>
      <c r="P144" s="20"/>
      <c r="Q144" s="20"/>
      <c r="R144" s="20"/>
      <c r="S144" s="20"/>
      <c r="U144" s="8"/>
      <c r="Y144" s="339"/>
      <c r="Z144" s="339"/>
    </row>
    <row r="145" spans="1:28" ht="15.95" customHeight="1" thickBot="1" x14ac:dyDescent="0.3">
      <c r="A145" s="20"/>
      <c r="B145" s="20"/>
      <c r="C145" s="20"/>
      <c r="D145" s="178" t="s">
        <v>1722</v>
      </c>
      <c r="E145" s="18">
        <f>'SUM HH WITH'!AI252</f>
        <v>50000</v>
      </c>
      <c r="F145" s="18">
        <f>'SUM HH WITH'!AJ252</f>
        <v>70000</v>
      </c>
      <c r="G145" s="18">
        <f>'SUM HH WITH'!AK252</f>
        <v>70000</v>
      </c>
      <c r="H145" s="20"/>
      <c r="J145" s="1137"/>
      <c r="L145" s="18">
        <f>ROUND((L134*0.05)/5000,)*5000</f>
        <v>30000</v>
      </c>
      <c r="M145" s="113"/>
      <c r="N145" s="113"/>
      <c r="O145" s="113"/>
      <c r="P145" s="1135" t="s">
        <v>1723</v>
      </c>
      <c r="Q145" s="20"/>
      <c r="R145" s="20"/>
      <c r="S145" s="20"/>
      <c r="U145" s="18">
        <f>IF(Y145=0,0,IF(G145&gt;L145,1,IF(G145&gt;Z145,2,3)))</f>
        <v>1</v>
      </c>
      <c r="X145" s="546">
        <f>X134</f>
        <v>0.15</v>
      </c>
      <c r="Y145" s="424">
        <f>L145</f>
        <v>30000</v>
      </c>
      <c r="Z145" s="424">
        <f>Y145-(Y145*X145)</f>
        <v>25500</v>
      </c>
    </row>
    <row r="146" spans="1:28" ht="15.95" customHeight="1" x14ac:dyDescent="0.25">
      <c r="A146" s="20"/>
      <c r="B146" s="20"/>
      <c r="C146" s="20"/>
      <c r="D146" s="178" t="s">
        <v>1724</v>
      </c>
      <c r="E146" s="17">
        <f>ROUND((E145/$V$7)/1,0)*1</f>
        <v>12</v>
      </c>
      <c r="F146" s="17">
        <f t="shared" ref="F146:G146" si="5">ROUND((F145/$V$7)/1,0)*1</f>
        <v>17</v>
      </c>
      <c r="G146" s="935">
        <f t="shared" si="5"/>
        <v>17</v>
      </c>
      <c r="H146" s="20"/>
      <c r="J146" s="1177"/>
      <c r="L146" s="935">
        <f t="shared" ref="L146" si="6">ROUND((L145/$V$7)/1,0)*1</f>
        <v>7</v>
      </c>
      <c r="M146" s="113"/>
      <c r="N146" s="113"/>
      <c r="O146" s="113"/>
      <c r="P146" s="1135" t="s">
        <v>1725</v>
      </c>
      <c r="Q146" s="20"/>
      <c r="R146" s="20"/>
      <c r="S146" s="20"/>
      <c r="U146" s="1169"/>
      <c r="X146" s="1219"/>
      <c r="Y146" s="339"/>
      <c r="Z146" s="339"/>
    </row>
    <row r="147" spans="1:28" s="117" customFormat="1" ht="15.95" customHeight="1" x14ac:dyDescent="0.25">
      <c r="A147" s="84"/>
      <c r="B147" s="84"/>
      <c r="C147" s="84"/>
      <c r="D147" s="23"/>
      <c r="E147" s="17"/>
      <c r="F147" s="17"/>
      <c r="G147" s="935"/>
      <c r="H147" s="84"/>
      <c r="J147" s="97"/>
      <c r="L147" s="935"/>
      <c r="M147" s="84"/>
      <c r="N147" s="84"/>
      <c r="O147" s="84"/>
      <c r="P147" s="1165"/>
      <c r="Q147" s="84"/>
      <c r="R147" s="84"/>
      <c r="S147" s="84"/>
      <c r="U147" s="1175"/>
      <c r="X147" s="1219"/>
      <c r="Y147" s="95"/>
      <c r="Z147" s="95"/>
    </row>
    <row r="148" spans="1:28" s="32" customFormat="1" ht="15.95" customHeight="1" x14ac:dyDescent="0.25">
      <c r="A148" s="1142"/>
      <c r="B148" s="1143">
        <v>4.3</v>
      </c>
      <c r="C148" s="1144" t="s">
        <v>1726</v>
      </c>
      <c r="D148" s="1144"/>
      <c r="E148" s="1144"/>
      <c r="F148" s="1144"/>
      <c r="G148" s="1144"/>
      <c r="H148" s="1144"/>
      <c r="K148" s="408"/>
      <c r="L148" s="1146"/>
      <c r="M148" s="1145"/>
      <c r="N148" s="1145"/>
      <c r="O148" s="1145"/>
      <c r="P148" s="1145"/>
      <c r="Q148" s="1147" t="s">
        <v>1727</v>
      </c>
      <c r="R148" s="1143">
        <v>4.3</v>
      </c>
      <c r="S148" s="1142"/>
      <c r="U148" s="1172"/>
      <c r="Y148" s="1215"/>
      <c r="Z148" s="1215"/>
    </row>
    <row r="149" spans="1:28" ht="15.95" customHeight="1" x14ac:dyDescent="0.25">
      <c r="A149" s="20"/>
      <c r="B149" s="20"/>
      <c r="C149" s="74" t="s">
        <v>1728</v>
      </c>
      <c r="D149" s="178" t="s">
        <v>1729</v>
      </c>
      <c r="E149" s="113"/>
      <c r="F149" s="113"/>
      <c r="G149" s="178"/>
      <c r="H149" s="113"/>
      <c r="L149" s="937"/>
      <c r="M149" s="113"/>
      <c r="N149" s="113"/>
      <c r="O149" s="113"/>
      <c r="P149" s="1135" t="s">
        <v>1730</v>
      </c>
      <c r="Q149" s="74" t="s">
        <v>1728</v>
      </c>
      <c r="R149" s="20"/>
      <c r="S149" s="20"/>
      <c r="U149" s="8"/>
      <c r="Y149" s="339"/>
      <c r="Z149" s="339"/>
    </row>
    <row r="150" spans="1:28" ht="15.95" hidden="1" customHeight="1" x14ac:dyDescent="0.25">
      <c r="A150" s="20"/>
      <c r="B150" s="20"/>
      <c r="C150" s="20"/>
      <c r="D150" s="963" t="s">
        <v>1731</v>
      </c>
      <c r="E150" s="1220">
        <f>'SUM HH WITH'!AI411</f>
        <v>1</v>
      </c>
      <c r="F150" s="1220">
        <f>'SUM HH WITH'!AJ411</f>
        <v>25</v>
      </c>
      <c r="G150" s="961">
        <f>SUM(E150:F150)</f>
        <v>26</v>
      </c>
      <c r="H150" s="963"/>
      <c r="L150" s="935"/>
      <c r="M150" s="84"/>
      <c r="N150" s="84"/>
      <c r="O150" s="84"/>
      <c r="P150" s="1165"/>
      <c r="Q150" s="936"/>
      <c r="R150" s="20"/>
      <c r="S150" s="20"/>
      <c r="U150" s="8"/>
      <c r="Y150" s="339"/>
      <c r="Z150" s="339"/>
    </row>
    <row r="151" spans="1:28" ht="15.95" hidden="1" customHeight="1" x14ac:dyDescent="0.25">
      <c r="A151" s="20"/>
      <c r="B151" s="20"/>
      <c r="C151" s="20"/>
      <c r="D151" s="963" t="s">
        <v>1732</v>
      </c>
      <c r="E151" s="1220">
        <f>'SUM HH WITH'!AI454</f>
        <v>1</v>
      </c>
      <c r="F151" s="1220">
        <f>'SUM HH WITH'!AJ454</f>
        <v>11</v>
      </c>
      <c r="G151" s="961">
        <f>SUM(E151:F151)</f>
        <v>12</v>
      </c>
      <c r="H151" s="963"/>
      <c r="L151" s="935"/>
      <c r="M151" s="84"/>
      <c r="N151" s="84"/>
      <c r="O151" s="84"/>
      <c r="P151" s="1165"/>
      <c r="Q151" s="936"/>
      <c r="R151" s="20"/>
      <c r="S151" s="20"/>
      <c r="U151" s="8"/>
      <c r="Y151" s="339"/>
      <c r="Z151" s="339"/>
    </row>
    <row r="152" spans="1:28" ht="15.95" hidden="1" customHeight="1" x14ac:dyDescent="0.25">
      <c r="A152" s="20"/>
      <c r="B152" s="20"/>
      <c r="C152" s="20"/>
      <c r="D152" s="963" t="s">
        <v>1733</v>
      </c>
      <c r="E152" s="961">
        <f>SUM(E150:E151)</f>
        <v>2</v>
      </c>
      <c r="F152" s="961">
        <f>SUM(F150:F151)</f>
        <v>36</v>
      </c>
      <c r="G152" s="961">
        <f>SUM(E152:F152)</f>
        <v>38</v>
      </c>
      <c r="H152" s="963"/>
      <c r="L152" s="935"/>
      <c r="M152" s="84"/>
      <c r="N152" s="84"/>
      <c r="O152" s="84"/>
      <c r="P152" s="1165"/>
      <c r="Q152" s="936"/>
      <c r="R152" s="20"/>
      <c r="S152" s="20"/>
      <c r="U152" s="8"/>
      <c r="Y152" s="339"/>
      <c r="Z152" s="339"/>
    </row>
    <row r="153" spans="1:28" ht="15.95" hidden="1" customHeight="1" x14ac:dyDescent="0.25">
      <c r="A153" s="20"/>
      <c r="B153" s="20"/>
      <c r="C153" s="20"/>
      <c r="D153" s="963" t="s">
        <v>1734</v>
      </c>
      <c r="E153" s="1220">
        <f>E27</f>
        <v>28</v>
      </c>
      <c r="F153" s="1220">
        <f>F27</f>
        <v>234</v>
      </c>
      <c r="G153" s="961">
        <f t="shared" ref="G153:G155" si="7">SUM(E153:F153)</f>
        <v>262</v>
      </c>
      <c r="H153" s="963"/>
      <c r="L153" s="935"/>
      <c r="M153" s="84"/>
      <c r="N153" s="84"/>
      <c r="O153" s="84"/>
      <c r="P153" s="1165"/>
      <c r="Q153" s="936"/>
      <c r="R153" s="20"/>
      <c r="S153" s="20"/>
      <c r="U153" s="8"/>
      <c r="Y153" s="339"/>
      <c r="Z153" s="339"/>
    </row>
    <row r="154" spans="1:28" ht="15.95" hidden="1" customHeight="1" x14ac:dyDescent="0.25">
      <c r="A154" s="20"/>
      <c r="B154" s="20"/>
      <c r="C154" s="20"/>
      <c r="D154" s="963" t="s">
        <v>1735</v>
      </c>
      <c r="E154" s="1220">
        <f>E36</f>
        <v>17</v>
      </c>
      <c r="F154" s="1220">
        <f>F36</f>
        <v>73</v>
      </c>
      <c r="G154" s="961">
        <f t="shared" si="7"/>
        <v>90</v>
      </c>
      <c r="H154" s="963"/>
      <c r="L154" s="935"/>
      <c r="M154" s="84"/>
      <c r="N154" s="84"/>
      <c r="O154" s="84"/>
      <c r="P154" s="1165"/>
      <c r="Q154" s="936"/>
      <c r="R154" s="20"/>
      <c r="S154" s="20"/>
      <c r="U154" s="8"/>
      <c r="Y154" s="339"/>
      <c r="Z154" s="339"/>
    </row>
    <row r="155" spans="1:28" ht="15.95" hidden="1" customHeight="1" x14ac:dyDescent="0.25">
      <c r="A155" s="20"/>
      <c r="B155" s="20"/>
      <c r="C155" s="20"/>
      <c r="D155" s="963" t="s">
        <v>1736</v>
      </c>
      <c r="E155" s="961">
        <f>SUM(E153:E154)</f>
        <v>45</v>
      </c>
      <c r="F155" s="961">
        <f>SUM(F153:F154)</f>
        <v>307</v>
      </c>
      <c r="G155" s="961">
        <f t="shared" si="7"/>
        <v>352</v>
      </c>
      <c r="H155" s="963"/>
      <c r="L155" s="935"/>
      <c r="M155" s="84"/>
      <c r="N155" s="84"/>
      <c r="O155" s="84"/>
      <c r="P155" s="1165"/>
      <c r="Q155" s="936"/>
      <c r="R155" s="20"/>
      <c r="S155" s="20"/>
      <c r="U155" s="8"/>
      <c r="Y155" s="339"/>
      <c r="Z155" s="339"/>
    </row>
    <row r="156" spans="1:28" ht="15.95" customHeight="1" x14ac:dyDescent="0.25">
      <c r="A156" s="20"/>
      <c r="B156" s="20"/>
      <c r="C156" s="20"/>
      <c r="D156" s="178" t="s">
        <v>1737</v>
      </c>
      <c r="E156" s="19">
        <f>E152/E155</f>
        <v>4.4444444444444446E-2</v>
      </c>
      <c r="F156" s="19">
        <f t="shared" ref="F156:G156" si="8">F152/F155</f>
        <v>0.11726384364820847</v>
      </c>
      <c r="G156" s="221">
        <f t="shared" si="8"/>
        <v>0.10795454545454546</v>
      </c>
      <c r="H156" s="20"/>
      <c r="L156" s="18">
        <f>100/6*4050</f>
        <v>67500</v>
      </c>
      <c r="M156" s="20"/>
      <c r="N156" s="20"/>
      <c r="O156" s="20"/>
      <c r="P156" s="1165" t="s">
        <v>1738</v>
      </c>
      <c r="Q156" s="20"/>
      <c r="R156" s="20"/>
      <c r="S156" s="20"/>
      <c r="U156" s="8"/>
      <c r="Y156" s="339"/>
      <c r="Z156" s="339"/>
    </row>
    <row r="157" spans="1:28" ht="15.95" customHeight="1" thickBot="1" x14ac:dyDescent="0.3">
      <c r="A157" s="20"/>
      <c r="B157" s="20"/>
      <c r="C157" s="20"/>
      <c r="D157" s="178"/>
      <c r="E157" s="1192"/>
      <c r="F157" s="1192"/>
      <c r="G157" s="189"/>
      <c r="H157" s="20"/>
      <c r="L157" s="189">
        <f>ROUND(('SUM HH WITH'!AK198)/1,0)*1</f>
        <v>5</v>
      </c>
      <c r="M157" s="20"/>
      <c r="N157" s="20"/>
      <c r="O157" s="20"/>
      <c r="P157" s="1221" t="s">
        <v>1739</v>
      </c>
      <c r="Q157" s="20"/>
      <c r="R157" s="20"/>
      <c r="S157" s="20"/>
      <c r="U157" s="8"/>
    </row>
    <row r="158" spans="1:28" ht="15.95" customHeight="1" thickBot="1" x14ac:dyDescent="0.3">
      <c r="A158" s="20"/>
      <c r="B158" s="20"/>
      <c r="C158" s="20"/>
      <c r="D158" s="178" t="s">
        <v>1740</v>
      </c>
      <c r="E158" s="424">
        <f>'SUM HH WITH'!AI436</f>
        <v>10000</v>
      </c>
      <c r="F158" s="424">
        <f>'SUM HH WITH'!AJ436</f>
        <v>20000</v>
      </c>
      <c r="G158" s="18">
        <f>'SUM HH WITH'!AK436</f>
        <v>20000</v>
      </c>
      <c r="H158" s="20"/>
      <c r="J158" s="1137"/>
      <c r="L158" s="794">
        <f>ROUND((L156*L157)/1000,0)*1000</f>
        <v>338000</v>
      </c>
      <c r="M158" s="20"/>
      <c r="N158" s="20"/>
      <c r="O158" s="20"/>
      <c r="P158" s="1135" t="s">
        <v>1741</v>
      </c>
      <c r="Q158" s="20"/>
      <c r="R158" s="20"/>
      <c r="S158" s="20"/>
      <c r="U158" s="82">
        <f>IF(Y158=0,0,IF(G158&gt;L158,1,IF(G158&gt;=Z158,1,IF(AND(G158&gt;AB158,G158&lt;Z158),2,3))))</f>
        <v>3</v>
      </c>
      <c r="V158" s="1222"/>
      <c r="W158" s="1222"/>
      <c r="X158" s="703">
        <f>X134</f>
        <v>0.15</v>
      </c>
      <c r="Y158" s="81">
        <f>L158</f>
        <v>338000</v>
      </c>
      <c r="Z158" s="81">
        <f>Y158-(Y158*X158)</f>
        <v>287300</v>
      </c>
      <c r="AA158" s="66">
        <v>0.25</v>
      </c>
      <c r="AB158" s="81">
        <f>Y158-(Y158*AA158)</f>
        <v>253500</v>
      </c>
    </row>
    <row r="159" spans="1:28" ht="15.95" customHeight="1" x14ac:dyDescent="0.25">
      <c r="A159" s="20"/>
      <c r="B159" s="20"/>
      <c r="C159" s="20"/>
      <c r="D159" s="178" t="s">
        <v>1742</v>
      </c>
      <c r="E159" s="424">
        <f>E158/$V$7</f>
        <v>2.4691358024691357</v>
      </c>
      <c r="F159" s="424">
        <f t="shared" ref="F159:G159" si="9">F158/$V$7</f>
        <v>4.9382716049382713</v>
      </c>
      <c r="G159" s="18">
        <f t="shared" si="9"/>
        <v>4.9382716049382713</v>
      </c>
      <c r="H159" s="20"/>
      <c r="J159" s="1177"/>
      <c r="L159" s="18">
        <f>ROUND((L158/$V$7)/5,0)*5</f>
        <v>85</v>
      </c>
      <c r="M159" s="20"/>
      <c r="N159" s="20"/>
      <c r="O159" s="20"/>
      <c r="P159" s="1135" t="s">
        <v>1743</v>
      </c>
      <c r="Q159" s="20"/>
      <c r="R159" s="20"/>
      <c r="S159" s="20"/>
      <c r="U159" s="1175"/>
      <c r="V159" s="117"/>
      <c r="W159" s="117"/>
      <c r="X159" s="1219"/>
      <c r="Y159" s="95"/>
      <c r="Z159" s="95"/>
      <c r="AA159" s="1223"/>
      <c r="AB159" s="95"/>
    </row>
    <row r="160" spans="1:28" s="117" customFormat="1" ht="15.95" customHeight="1" x14ac:dyDescent="0.25">
      <c r="A160" s="84"/>
      <c r="B160" s="84"/>
      <c r="C160" s="84"/>
      <c r="D160" s="23"/>
      <c r="E160" s="17"/>
      <c r="F160" s="17"/>
      <c r="G160" s="935"/>
      <c r="H160" s="84"/>
      <c r="J160" s="97"/>
      <c r="L160" s="164"/>
      <c r="M160" s="84"/>
      <c r="N160" s="84"/>
      <c r="O160" s="84"/>
      <c r="P160" s="1165"/>
      <c r="Q160" s="84"/>
      <c r="R160" s="84"/>
      <c r="S160" s="84"/>
      <c r="U160" s="1175"/>
      <c r="X160" s="1219"/>
      <c r="Y160" s="95"/>
      <c r="Z160" s="95"/>
      <c r="AA160" s="1223"/>
      <c r="AB160" s="95"/>
    </row>
    <row r="161" spans="1:33" s="32" customFormat="1" ht="15.95" customHeight="1" x14ac:dyDescent="0.25">
      <c r="A161" s="1142"/>
      <c r="B161" s="1143">
        <v>4.4000000000000004</v>
      </c>
      <c r="C161" s="1144" t="s">
        <v>1744</v>
      </c>
      <c r="D161" s="1144"/>
      <c r="E161" s="1144"/>
      <c r="F161" s="1144"/>
      <c r="G161" s="1144"/>
      <c r="H161" s="1144"/>
      <c r="K161" s="408"/>
      <c r="L161" s="1146"/>
      <c r="M161" s="1145"/>
      <c r="N161" s="1145"/>
      <c r="O161" s="1145"/>
      <c r="P161" s="1145"/>
      <c r="Q161" s="1147" t="s">
        <v>1745</v>
      </c>
      <c r="R161" s="1143">
        <v>4.4000000000000004</v>
      </c>
      <c r="S161" s="1142"/>
      <c r="U161" s="1172"/>
    </row>
    <row r="162" spans="1:33" ht="15.95" customHeight="1" x14ac:dyDescent="0.25">
      <c r="A162" s="20"/>
      <c r="B162" s="20"/>
      <c r="C162" s="74" t="s">
        <v>1746</v>
      </c>
      <c r="D162" s="178" t="s">
        <v>1747</v>
      </c>
      <c r="E162" s="111"/>
      <c r="F162" s="111"/>
      <c r="G162" s="937"/>
      <c r="H162" s="113"/>
      <c r="J162" s="1177"/>
      <c r="L162" s="937"/>
      <c r="M162" s="113"/>
      <c r="N162" s="113"/>
      <c r="O162" s="113"/>
      <c r="P162" s="1135" t="s">
        <v>1817</v>
      </c>
      <c r="Q162" s="74" t="s">
        <v>1746</v>
      </c>
      <c r="R162" s="20"/>
      <c r="S162" s="20"/>
      <c r="U162" s="1169"/>
    </row>
    <row r="163" spans="1:33" ht="15.95" customHeight="1" x14ac:dyDescent="0.25">
      <c r="A163" s="20"/>
      <c r="B163" s="84"/>
      <c r="C163" s="936"/>
      <c r="D163" s="785" t="s">
        <v>1748</v>
      </c>
      <c r="E163" s="111"/>
      <c r="F163" s="111"/>
      <c r="G163" s="937"/>
      <c r="H163" s="113"/>
      <c r="J163" s="1177"/>
      <c r="L163" s="935"/>
      <c r="M163" s="84"/>
      <c r="N163" s="84"/>
      <c r="O163" s="84"/>
      <c r="P163" s="1165"/>
      <c r="Q163" s="936"/>
      <c r="R163" s="20"/>
      <c r="S163" s="20"/>
      <c r="U163" s="1169"/>
    </row>
    <row r="164" spans="1:33" ht="15.95" customHeight="1" x14ac:dyDescent="0.25">
      <c r="A164" s="20"/>
      <c r="B164" s="84"/>
      <c r="C164" s="936"/>
      <c r="D164" s="710" t="s">
        <v>1749</v>
      </c>
      <c r="E164" s="17">
        <f>'SUM HH WITHOUT'!AI167</f>
        <v>30</v>
      </c>
      <c r="F164" s="17">
        <f>'SUM HH WITHOUT'!AJ167</f>
        <v>48</v>
      </c>
      <c r="G164" s="935">
        <f>SUM(E164:F164)</f>
        <v>78</v>
      </c>
      <c r="H164" s="84"/>
      <c r="I164" s="117"/>
      <c r="J164" s="97"/>
      <c r="L164" s="935"/>
      <c r="M164" s="84"/>
      <c r="N164" s="84"/>
      <c r="O164" s="84"/>
      <c r="P164" s="1165"/>
      <c r="Q164" s="936"/>
      <c r="R164" s="20"/>
      <c r="S164" s="20"/>
      <c r="U164" s="1169"/>
    </row>
    <row r="165" spans="1:33" ht="15.95" customHeight="1" x14ac:dyDescent="0.25">
      <c r="A165" s="20"/>
      <c r="B165" s="20"/>
      <c r="C165" s="20"/>
      <c r="D165" s="785" t="s">
        <v>1750</v>
      </c>
      <c r="E165" s="111"/>
      <c r="F165" s="111"/>
      <c r="G165" s="937"/>
      <c r="H165" s="113"/>
      <c r="J165" s="1177"/>
      <c r="L165" s="935"/>
      <c r="M165" s="84"/>
      <c r="N165" s="84"/>
      <c r="O165" s="84"/>
      <c r="P165" s="1165"/>
      <c r="Q165" s="936"/>
      <c r="R165" s="20"/>
      <c r="S165" s="20"/>
      <c r="U165" s="1169"/>
    </row>
    <row r="166" spans="1:33" ht="15.95" customHeight="1" x14ac:dyDescent="0.25">
      <c r="A166" s="20"/>
      <c r="B166" s="20"/>
      <c r="C166" s="20"/>
      <c r="D166" s="710" t="s">
        <v>1751</v>
      </c>
      <c r="E166" s="198">
        <f>'SUM HH WITHOUT'!AI196</f>
        <v>23</v>
      </c>
      <c r="F166" s="198">
        <f>'SUM HH WITHOUT'!AJ196</f>
        <v>41</v>
      </c>
      <c r="G166" s="164">
        <f>SUM(E166:F166)</f>
        <v>64</v>
      </c>
      <c r="H166" s="197">
        <f>G166/G164</f>
        <v>0.82051282051282048</v>
      </c>
      <c r="J166" s="1177"/>
      <c r="L166" s="18"/>
      <c r="M166" s="20"/>
      <c r="N166" s="20"/>
      <c r="O166" s="20"/>
      <c r="P166" s="1165"/>
      <c r="Q166" s="20"/>
      <c r="R166" s="20"/>
      <c r="S166" s="20"/>
      <c r="U166" s="1169"/>
      <c r="V166" s="1224">
        <f>AE166</f>
        <v>0.88034188034188032</v>
      </c>
      <c r="X166" s="424">
        <f>G28</f>
        <v>117</v>
      </c>
      <c r="Y166" s="424">
        <f>G164</f>
        <v>78</v>
      </c>
      <c r="Z166" s="424">
        <f>G166</f>
        <v>64</v>
      </c>
      <c r="AA166" s="1225">
        <f>IF(Y166=0,0,Z166/Y166)</f>
        <v>0.82051282051282048</v>
      </c>
      <c r="AB166" s="1226">
        <f>X166-Y166</f>
        <v>39</v>
      </c>
      <c r="AC166" s="1226">
        <f>X166-Z166</f>
        <v>53</v>
      </c>
      <c r="AD166" s="1227">
        <f>IF(Z166=0,0,Z166+AB166)</f>
        <v>103</v>
      </c>
      <c r="AE166" s="1228">
        <f>IF(AD166=0,"",AD166/X166)</f>
        <v>0.88034188034188032</v>
      </c>
      <c r="AF166"/>
      <c r="AG166" s="1229"/>
    </row>
    <row r="167" spans="1:33" ht="15.95" customHeight="1" thickBot="1" x14ac:dyDescent="0.3">
      <c r="A167" s="20"/>
      <c r="B167" s="20"/>
      <c r="C167" s="20"/>
      <c r="D167" s="178" t="s">
        <v>1752</v>
      </c>
      <c r="E167" s="19">
        <f>E166/E164</f>
        <v>0.76666666666666672</v>
      </c>
      <c r="F167" s="19">
        <f t="shared" ref="F167:G167" si="10">F166/F164</f>
        <v>0.85416666666666663</v>
      </c>
      <c r="G167" s="221">
        <f t="shared" si="10"/>
        <v>0.82051282051282048</v>
      </c>
      <c r="H167" s="20"/>
      <c r="J167" s="1177"/>
      <c r="L167" s="18"/>
      <c r="M167" s="20"/>
      <c r="N167" s="20"/>
      <c r="O167" s="20"/>
      <c r="P167" s="1165"/>
      <c r="Q167" s="20"/>
      <c r="R167" s="20"/>
      <c r="S167" s="20"/>
      <c r="U167" s="1169"/>
    </row>
    <row r="168" spans="1:33" ht="15.95" customHeight="1" thickBot="1" x14ac:dyDescent="0.3">
      <c r="A168" s="20"/>
      <c r="B168" s="20"/>
      <c r="C168" s="20"/>
      <c r="D168" s="178" t="s">
        <v>1753</v>
      </c>
      <c r="E168" s="198">
        <f>'SUM HH WITHOUT'!AI216</f>
        <v>370000</v>
      </c>
      <c r="F168" s="198">
        <f>'SUM HH WITHOUT'!AJ216</f>
        <v>280000</v>
      </c>
      <c r="G168" s="164">
        <f>'SUM HH WITHOUT'!AK216</f>
        <v>330000</v>
      </c>
      <c r="H168" s="1217"/>
      <c r="J168" s="1137"/>
      <c r="L168" s="18">
        <f>L134</f>
        <v>610000</v>
      </c>
      <c r="M168" s="113"/>
      <c r="N168" s="113"/>
      <c r="O168" s="113"/>
      <c r="P168" s="1135" t="s">
        <v>1709</v>
      </c>
      <c r="Q168" s="20"/>
      <c r="R168" s="20"/>
      <c r="S168" s="20"/>
      <c r="U168" s="18">
        <f>IF(Y168=0,0,IF(G168&gt;L168,1,IF(G168&gt;Z168,2,3)))</f>
        <v>3</v>
      </c>
      <c r="X168" s="1193">
        <v>0.15</v>
      </c>
      <c r="Y168" s="424">
        <f>L168</f>
        <v>610000</v>
      </c>
      <c r="Z168" s="424">
        <f>Y168-(Y168*X168)</f>
        <v>518500</v>
      </c>
    </row>
    <row r="169" spans="1:33" ht="15.95" customHeight="1" x14ac:dyDescent="0.25">
      <c r="A169" s="20"/>
      <c r="B169" s="20"/>
      <c r="C169" s="20"/>
      <c r="D169" s="178" t="s">
        <v>1754</v>
      </c>
      <c r="E169" s="424">
        <f>E168/$V$7</f>
        <v>91.358024691358025</v>
      </c>
      <c r="F169" s="424">
        <f t="shared" ref="F169:G169" si="11">F168/$V$7</f>
        <v>69.135802469135797</v>
      </c>
      <c r="G169" s="18">
        <f t="shared" si="11"/>
        <v>81.481481481481481</v>
      </c>
      <c r="H169" s="1217"/>
      <c r="J169" s="1177"/>
      <c r="L169" s="935">
        <f>ROUND((L168/$V$7)/5,0)*5</f>
        <v>150</v>
      </c>
      <c r="M169" s="113"/>
      <c r="N169" s="113"/>
      <c r="O169" s="113"/>
      <c r="P169" s="1135" t="s">
        <v>1711</v>
      </c>
      <c r="Q169" s="20"/>
      <c r="R169" s="20"/>
      <c r="S169" s="20"/>
      <c r="U169" s="1169"/>
    </row>
    <row r="170" spans="1:33" ht="15.95" customHeight="1" x14ac:dyDescent="0.25">
      <c r="U170" s="8"/>
    </row>
    <row r="171" spans="1:33" ht="15.95" customHeight="1" thickBot="1" x14ac:dyDescent="0.3">
      <c r="A171" s="1118"/>
      <c r="B171" s="1119"/>
      <c r="C171" s="1119"/>
      <c r="D171" s="1119"/>
      <c r="E171" s="1118"/>
      <c r="F171" s="1118"/>
      <c r="G171" s="1118"/>
      <c r="H171" s="1118"/>
      <c r="I171" s="1120"/>
      <c r="J171" s="1120"/>
      <c r="K171" s="1121"/>
      <c r="L171" s="1122"/>
      <c r="M171" s="1123"/>
      <c r="N171" s="1123"/>
      <c r="O171" s="1123"/>
      <c r="P171" s="1124"/>
      <c r="Q171" s="1124"/>
      <c r="R171" s="1125" t="s">
        <v>1755</v>
      </c>
      <c r="S171" s="1118">
        <v>5</v>
      </c>
      <c r="U171" s="8"/>
    </row>
    <row r="172" spans="1:33" ht="15.95" customHeight="1" x14ac:dyDescent="0.25">
      <c r="A172" s="1142"/>
      <c r="B172" s="1143"/>
      <c r="C172" s="1144"/>
      <c r="D172" s="1144"/>
      <c r="E172" s="1144"/>
      <c r="F172" s="1144"/>
      <c r="G172" s="1144"/>
      <c r="H172" s="1144"/>
      <c r="I172" s="32"/>
      <c r="J172" s="32"/>
      <c r="K172" s="408"/>
      <c r="L172" s="1146"/>
      <c r="M172" s="1145"/>
      <c r="N172" s="1145"/>
      <c r="O172" s="1145"/>
      <c r="P172" s="1145"/>
      <c r="Q172" s="1147" t="s">
        <v>1756</v>
      </c>
      <c r="R172" s="1143">
        <v>5.0999999999999996</v>
      </c>
      <c r="S172" s="1142"/>
      <c r="T172" s="32"/>
      <c r="U172" s="1230"/>
    </row>
    <row r="173" spans="1:33" ht="15.95" customHeight="1" thickBot="1" x14ac:dyDescent="0.3">
      <c r="A173" s="84"/>
      <c r="B173" s="84"/>
      <c r="C173" s="936"/>
      <c r="D173" s="23"/>
      <c r="E173" s="84"/>
      <c r="F173" s="84"/>
      <c r="G173" s="23"/>
      <c r="H173" s="84"/>
      <c r="L173" s="937"/>
      <c r="M173" s="113"/>
      <c r="N173" s="113"/>
      <c r="O173" s="113"/>
      <c r="P173" s="1135" t="s">
        <v>1611</v>
      </c>
      <c r="Q173" s="74" t="s">
        <v>1757</v>
      </c>
      <c r="R173" s="20"/>
      <c r="S173" s="20"/>
      <c r="U173" s="1231"/>
    </row>
    <row r="174" spans="1:33" ht="15.95" customHeight="1" thickBot="1" x14ac:dyDescent="0.3">
      <c r="A174" s="84"/>
      <c r="B174" s="84"/>
      <c r="C174" s="84"/>
      <c r="D174" s="23"/>
      <c r="E174" s="91"/>
      <c r="F174" s="91"/>
      <c r="G174" s="201"/>
      <c r="H174" s="84"/>
      <c r="J174" s="1137"/>
      <c r="L174" s="18">
        <f>M174</f>
        <v>0</v>
      </c>
      <c r="M174" s="40">
        <f>IF(U174=1,"Good",IF(U174=2,"Average",IF(U174=3,"Poor",0)))</f>
        <v>0</v>
      </c>
      <c r="N174" s="20"/>
      <c r="O174" s="20"/>
      <c r="P174" s="1135" t="s">
        <v>1758</v>
      </c>
      <c r="Q174" s="20"/>
      <c r="R174" s="20"/>
      <c r="S174" s="20"/>
      <c r="U174" s="794">
        <f>PRODUCERS!P390</f>
        <v>2.2000000000000002</v>
      </c>
    </row>
    <row r="175" spans="1:33" ht="15.95" customHeight="1" x14ac:dyDescent="0.25">
      <c r="U175" s="8"/>
    </row>
    <row r="176" spans="1:33" s="1120" customFormat="1" ht="19.5" thickBot="1" x14ac:dyDescent="0.3">
      <c r="A176" s="1118">
        <v>6</v>
      </c>
      <c r="B176" s="1119" t="s">
        <v>1759</v>
      </c>
      <c r="C176" s="1119"/>
      <c r="D176" s="1119"/>
      <c r="E176" s="1118"/>
      <c r="F176" s="1118"/>
      <c r="G176" s="1118"/>
      <c r="H176" s="1118"/>
      <c r="K176" s="1121"/>
      <c r="L176" s="1122"/>
      <c r="M176" s="1123"/>
      <c r="N176" s="1123"/>
      <c r="O176" s="1123"/>
      <c r="P176" s="1124"/>
      <c r="Q176" s="1124"/>
      <c r="R176" s="1125" t="s">
        <v>1760</v>
      </c>
      <c r="S176" s="1118">
        <v>6</v>
      </c>
      <c r="U176" s="1126"/>
    </row>
    <row r="177" spans="1:26" s="32" customFormat="1" ht="15.95" customHeight="1" x14ac:dyDescent="0.25">
      <c r="A177" s="1142"/>
      <c r="B177" s="1143">
        <v>6.1</v>
      </c>
      <c r="C177" s="1144" t="s">
        <v>288</v>
      </c>
      <c r="D177" s="1144"/>
      <c r="E177" s="1144"/>
      <c r="F177" s="1144"/>
      <c r="G177" s="1144"/>
      <c r="H177" s="1144"/>
      <c r="K177" s="408"/>
      <c r="L177" s="1146"/>
      <c r="M177" s="1145"/>
      <c r="N177" s="1145"/>
      <c r="O177" s="1145"/>
      <c r="P177" s="1145"/>
      <c r="Q177" s="1147" t="s">
        <v>1761</v>
      </c>
      <c r="R177" s="1143">
        <v>6.1</v>
      </c>
      <c r="S177" s="1142"/>
      <c r="U177" s="1172"/>
    </row>
    <row r="178" spans="1:26" ht="15.95" customHeight="1" thickBot="1" x14ac:dyDescent="0.3">
      <c r="A178" s="20"/>
      <c r="B178" s="20"/>
      <c r="C178" s="74" t="s">
        <v>1762</v>
      </c>
      <c r="D178" s="178" t="s">
        <v>1763</v>
      </c>
      <c r="E178" s="113"/>
      <c r="F178" s="113"/>
      <c r="G178" s="178"/>
      <c r="H178" s="113"/>
      <c r="L178" s="937"/>
      <c r="M178" s="113"/>
      <c r="N178" s="113"/>
      <c r="O178" s="113"/>
      <c r="P178" s="1135" t="s">
        <v>1764</v>
      </c>
      <c r="Q178" s="74" t="s">
        <v>1762</v>
      </c>
      <c r="R178" s="20"/>
      <c r="S178" s="20"/>
      <c r="U178" s="1169"/>
      <c r="V178" s="4"/>
    </row>
    <row r="179" spans="1:26" ht="15.95" customHeight="1" thickBot="1" x14ac:dyDescent="0.3">
      <c r="A179" s="20"/>
      <c r="B179" s="20"/>
      <c r="C179" s="20"/>
      <c r="D179" s="178" t="s">
        <v>1765</v>
      </c>
      <c r="E179" s="91">
        <f>'SUM HH'!AI185</f>
        <v>0.51473922902494329</v>
      </c>
      <c r="F179" s="91">
        <f>'SUM HH'!AJ185</f>
        <v>0.60542800453514733</v>
      </c>
      <c r="G179" s="201">
        <f>'SUM HH'!AK185</f>
        <v>0.53549206349206346</v>
      </c>
      <c r="H179" s="84"/>
      <c r="J179" s="1137"/>
      <c r="L179" s="18"/>
      <c r="M179" s="20"/>
      <c r="N179" s="20"/>
      <c r="O179" s="20"/>
      <c r="P179" s="20"/>
      <c r="Q179" s="20"/>
      <c r="R179" s="20"/>
      <c r="S179" s="20"/>
      <c r="U179" s="18">
        <f>IF(G179=0,0,IF(G179&gt;=Z179,1,IF(AND(G179&gt;=Y179,G179&lt;Z179),2,3)))</f>
        <v>2</v>
      </c>
      <c r="V179" s="1232">
        <f>G179</f>
        <v>0.53549206349206346</v>
      </c>
      <c r="W179" s="1233">
        <f>V179*X179</f>
        <v>0.53549206349206346</v>
      </c>
      <c r="X179" s="40">
        <v>1</v>
      </c>
      <c r="Y179" s="19">
        <v>0.5</v>
      </c>
      <c r="Z179" s="19">
        <v>0.75</v>
      </c>
    </row>
    <row r="180" spans="1:26" ht="15.95" customHeight="1" thickBot="1" x14ac:dyDescent="0.3">
      <c r="A180" s="20"/>
      <c r="B180" s="20"/>
      <c r="C180" s="20"/>
      <c r="D180" s="178" t="s">
        <v>1766</v>
      </c>
      <c r="E180" s="19">
        <f>('SUM HH WITH'!AI176+'SUM HH WITH'!AI177)/'SUM HH WITH'!AI178</f>
        <v>0.6785714285714286</v>
      </c>
      <c r="F180" s="19">
        <f>('SUM HH WITH'!AJ176+'SUM HH WITH'!AJ177)/'SUM HH WITH'!AJ178</f>
        <v>0.76068376068376065</v>
      </c>
      <c r="G180" s="221">
        <f>('SUM HH WITH'!AK176+'SUM HH WITH'!AK177)/'SUM HH WITH'!AK178</f>
        <v>0.75190839694656486</v>
      </c>
      <c r="H180" s="20"/>
      <c r="J180" s="1137"/>
      <c r="L180" s="18"/>
      <c r="M180" s="20"/>
      <c r="N180" s="20"/>
      <c r="O180" s="20"/>
      <c r="P180" s="20"/>
      <c r="Q180" s="20"/>
      <c r="R180" s="20"/>
      <c r="S180" s="20"/>
      <c r="U180" s="18">
        <f>IF(G180=0,0,IF(G180&gt;=Z180,1,IF(AND(G180&gt;=Y180,G180&lt;Z180),2,3)))</f>
        <v>1</v>
      </c>
      <c r="V180" s="1232">
        <f>G180</f>
        <v>0.75190839694656486</v>
      </c>
      <c r="W180" s="1233">
        <f>V180*X180</f>
        <v>0.75190839694656486</v>
      </c>
      <c r="X180" s="40">
        <v>1</v>
      </c>
      <c r="Y180" s="19">
        <v>0.5</v>
      </c>
      <c r="Z180" s="19">
        <v>0.75</v>
      </c>
    </row>
    <row r="181" spans="1:26" s="117" customFormat="1" ht="15.95" customHeight="1" thickBot="1" x14ac:dyDescent="0.3">
      <c r="A181" s="84"/>
      <c r="B181" s="84"/>
      <c r="C181" s="84"/>
      <c r="D181" s="23"/>
      <c r="E181" s="91"/>
      <c r="F181" s="91"/>
      <c r="G181" s="201"/>
      <c r="H181" s="84"/>
      <c r="J181" s="1234"/>
      <c r="L181" s="935"/>
      <c r="M181" s="84"/>
      <c r="N181" s="84"/>
      <c r="O181" s="84"/>
      <c r="P181" s="84"/>
      <c r="Q181" s="84"/>
      <c r="R181" s="84"/>
      <c r="S181" s="84"/>
      <c r="U181" s="1235"/>
      <c r="V181" s="1236">
        <f>AVERAGE(V179:V180)</f>
        <v>0.64370023021931422</v>
      </c>
      <c r="W181" s="1237">
        <f>SUM(W179:W180)</f>
        <v>1.2874004604386284</v>
      </c>
      <c r="X181" s="119">
        <f>SUM(X179:X180)</f>
        <v>2</v>
      </c>
      <c r="Y181" s="1223"/>
      <c r="Z181" s="1223"/>
    </row>
    <row r="182" spans="1:26" ht="15.95" customHeight="1" thickBot="1" x14ac:dyDescent="0.3">
      <c r="A182" s="20"/>
      <c r="B182" s="20"/>
      <c r="C182" s="20"/>
      <c r="D182" s="178" t="s">
        <v>1767</v>
      </c>
      <c r="E182" s="19"/>
      <c r="F182" s="19"/>
      <c r="G182" s="221"/>
      <c r="H182" s="20"/>
      <c r="J182" s="1137"/>
      <c r="L182" s="221"/>
      <c r="M182" s="19"/>
      <c r="N182" s="20"/>
      <c r="O182" s="20"/>
      <c r="P182" s="20"/>
      <c r="Q182" s="20"/>
      <c r="R182" s="20"/>
      <c r="S182" s="20"/>
      <c r="U182" s="935">
        <f>IF(W182=0,0,IF(W182&gt;=0.75,1,IF(AND(W182&lt;0.75,W182&gt;=0.5),2,3)))</f>
        <v>2</v>
      </c>
      <c r="V182" s="1238"/>
      <c r="W182" s="19">
        <f>W181/X181</f>
        <v>0.64370023021931422</v>
      </c>
    </row>
    <row r="183" spans="1:26" ht="15.95" customHeight="1" thickBot="1" x14ac:dyDescent="0.3">
      <c r="A183" s="20"/>
      <c r="B183" s="20"/>
      <c r="C183" s="20"/>
      <c r="D183" s="23"/>
      <c r="E183" s="19"/>
      <c r="F183" s="19"/>
      <c r="G183" s="221"/>
      <c r="H183" s="20"/>
      <c r="J183" s="1137"/>
      <c r="L183" s="221" t="str">
        <f>M183</f>
        <v>Average</v>
      </c>
      <c r="M183" s="40" t="str">
        <f>IF(U183=0,0,IF(U183&lt;=1,"Good",IF(U183=2,"Average",IF(U183=3,"Poor",0))))</f>
        <v>Average</v>
      </c>
      <c r="N183" s="20"/>
      <c r="O183" s="20"/>
      <c r="P183" s="1135" t="s">
        <v>1768</v>
      </c>
      <c r="Q183" s="20"/>
      <c r="R183" s="20"/>
      <c r="S183" s="20"/>
      <c r="U183" s="1179">
        <f>ROUND((AVERAGE(U174,U107,U66))/1,0)*1</f>
        <v>2</v>
      </c>
      <c r="V183" s="1239"/>
    </row>
    <row r="184" spans="1:26" ht="15.95" customHeight="1" thickBot="1" x14ac:dyDescent="0.3">
      <c r="A184" s="20"/>
      <c r="B184" s="20"/>
      <c r="C184" s="20"/>
      <c r="D184" s="84"/>
      <c r="E184" s="91"/>
      <c r="F184" s="91"/>
      <c r="G184" s="201"/>
      <c r="H184" s="84"/>
      <c r="J184"/>
      <c r="L184" s="201"/>
      <c r="M184" s="91"/>
      <c r="N184" s="84"/>
      <c r="O184" s="84"/>
      <c r="P184" s="1165"/>
      <c r="Q184" s="20"/>
      <c r="R184" s="20"/>
      <c r="S184" s="20"/>
      <c r="U184" s="1240">
        <f>IF(U182=0,0,IF(U183=0,0,AVERAGE(U182:U183)))</f>
        <v>2</v>
      </c>
      <c r="V184" s="1239"/>
      <c r="Y184" s="19">
        <v>0.5</v>
      </c>
      <c r="Z184" s="19">
        <v>0.75</v>
      </c>
    </row>
    <row r="185" spans="1:26" ht="15.95" customHeight="1" thickBot="1" x14ac:dyDescent="0.3">
      <c r="A185" s="20"/>
      <c r="B185" s="20"/>
      <c r="C185" s="20"/>
      <c r="D185" s="178" t="s">
        <v>1769</v>
      </c>
      <c r="E185" s="19"/>
      <c r="F185" s="19"/>
      <c r="G185" s="221"/>
      <c r="H185" s="20"/>
      <c r="J185" s="1137"/>
      <c r="L185" s="201"/>
      <c r="M185" s="91"/>
      <c r="N185" s="84"/>
      <c r="O185" s="84"/>
      <c r="P185" s="1135" t="s">
        <v>1770</v>
      </c>
      <c r="Q185" s="20"/>
      <c r="R185" s="20"/>
      <c r="S185" s="20"/>
      <c r="U185" s="18">
        <f>IF(U184=0,0,IF(U184&lt;=1,1,IF(AND(U184&gt;1,U184&lt;=2),2,3)))</f>
        <v>2</v>
      </c>
    </row>
    <row r="186" spans="1:26" ht="15.95" customHeight="1" x14ac:dyDescent="0.25">
      <c r="G186" s="3"/>
      <c r="K186" s="3"/>
      <c r="L186" s="3"/>
      <c r="U186" s="3"/>
    </row>
    <row r="187" spans="1:26" ht="15.95" customHeight="1" x14ac:dyDescent="0.25">
      <c r="G187" s="3"/>
      <c r="K187" s="3"/>
      <c r="L187" s="3"/>
    </row>
  </sheetData>
  <mergeCells count="3">
    <mergeCell ref="A4:S4"/>
    <mergeCell ref="A7:H7"/>
    <mergeCell ref="L7:S7"/>
  </mergeCells>
  <conditionalFormatting sqref="J63:J66 J162:J167 J169">
    <cfRule type="expression" dxfId="63" priority="65">
      <formula>U63=0</formula>
    </cfRule>
    <cfRule type="expression" dxfId="62" priority="66">
      <formula>AND(U63&lt;1.1,U63&gt;1)</formula>
    </cfRule>
    <cfRule type="expression" dxfId="61" priority="67">
      <formula>U63&gt;=1.1</formula>
    </cfRule>
    <cfRule type="expression" dxfId="60" priority="68">
      <formula>U63&lt;=1</formula>
    </cfRule>
  </conditionalFormatting>
  <conditionalFormatting sqref="J53:J54 J185 J182 J180 J43:J44">
    <cfRule type="expression" dxfId="59" priority="61">
      <formula>U43=0</formula>
    </cfRule>
    <cfRule type="expression" dxfId="58" priority="62">
      <formula>U43=2</formula>
    </cfRule>
    <cfRule type="expression" dxfId="57" priority="63">
      <formula>U43=3</formula>
    </cfRule>
    <cfRule type="expression" dxfId="56" priority="64">
      <formula>U43=1</formula>
    </cfRule>
  </conditionalFormatting>
  <conditionalFormatting sqref="J67 J108">
    <cfRule type="expression" dxfId="55" priority="57">
      <formula>U67=0</formula>
    </cfRule>
    <cfRule type="expression" dxfId="54" priority="58">
      <formula>U67=2</formula>
    </cfRule>
    <cfRule type="expression" dxfId="53" priority="59">
      <formula>U67=3</formula>
    </cfRule>
    <cfRule type="expression" dxfId="52" priority="60">
      <formula>U67=1</formula>
    </cfRule>
  </conditionalFormatting>
  <conditionalFormatting sqref="J134:J136">
    <cfRule type="expression" dxfId="51" priority="53">
      <formula>U134=0</formula>
    </cfRule>
    <cfRule type="expression" dxfId="50" priority="54">
      <formula>U134=2</formula>
    </cfRule>
    <cfRule type="expression" dxfId="49" priority="55">
      <formula>U134=3</formula>
    </cfRule>
    <cfRule type="expression" dxfId="48" priority="56">
      <formula>U134=1</formula>
    </cfRule>
  </conditionalFormatting>
  <conditionalFormatting sqref="J145:J147">
    <cfRule type="expression" dxfId="47" priority="49">
      <formula>U145=0</formula>
    </cfRule>
    <cfRule type="expression" dxfId="46" priority="50">
      <formula>U145=2</formula>
    </cfRule>
    <cfRule type="expression" dxfId="45" priority="51">
      <formula>U145=3</formula>
    </cfRule>
    <cfRule type="expression" dxfId="44" priority="52">
      <formula>U145=1</formula>
    </cfRule>
  </conditionalFormatting>
  <conditionalFormatting sqref="J158:J160">
    <cfRule type="expression" dxfId="43" priority="45">
      <formula>U158=0</formula>
    </cfRule>
    <cfRule type="expression" dxfId="42" priority="46">
      <formula>U158=2</formula>
    </cfRule>
    <cfRule type="expression" dxfId="41" priority="47">
      <formula>U158=3</formula>
    </cfRule>
    <cfRule type="expression" dxfId="40" priority="48">
      <formula>U158=1</formula>
    </cfRule>
  </conditionalFormatting>
  <conditionalFormatting sqref="J179">
    <cfRule type="expression" dxfId="39" priority="41">
      <formula>U179=0</formula>
    </cfRule>
    <cfRule type="expression" dxfId="38" priority="42">
      <formula>U179=2</formula>
    </cfRule>
    <cfRule type="expression" dxfId="37" priority="43">
      <formula>U179=3</formula>
    </cfRule>
    <cfRule type="expression" dxfId="36" priority="44">
      <formula>U179=1</formula>
    </cfRule>
  </conditionalFormatting>
  <conditionalFormatting sqref="J89:J90">
    <cfRule type="expression" dxfId="35" priority="37">
      <formula>U89=0</formula>
    </cfRule>
    <cfRule type="expression" dxfId="34" priority="38">
      <formula>U89=2</formula>
    </cfRule>
    <cfRule type="expression" dxfId="33" priority="39">
      <formula>U89=3</formula>
    </cfRule>
    <cfRule type="expression" dxfId="32" priority="40">
      <formula>U89=1</formula>
    </cfRule>
  </conditionalFormatting>
  <conditionalFormatting sqref="J123">
    <cfRule type="expression" dxfId="31" priority="29">
      <formula>U123=0</formula>
    </cfRule>
    <cfRule type="expression" dxfId="30" priority="30">
      <formula>U123=2</formula>
    </cfRule>
    <cfRule type="expression" dxfId="29" priority="31">
      <formula>U123=3</formula>
    </cfRule>
    <cfRule type="expression" dxfId="28" priority="32">
      <formula>U123=1</formula>
    </cfRule>
  </conditionalFormatting>
  <conditionalFormatting sqref="J107">
    <cfRule type="expression" dxfId="27" priority="25">
      <formula>U107=0</formula>
    </cfRule>
    <cfRule type="expression" dxfId="26" priority="26">
      <formula>U107=2</formula>
    </cfRule>
    <cfRule type="expression" dxfId="25" priority="27">
      <formula>U107=3</formula>
    </cfRule>
    <cfRule type="expression" dxfId="24" priority="28">
      <formula>U107=1</formula>
    </cfRule>
  </conditionalFormatting>
  <conditionalFormatting sqref="J183">
    <cfRule type="expression" dxfId="23" priority="21">
      <formula>U183=0</formula>
    </cfRule>
    <cfRule type="expression" dxfId="22" priority="22">
      <formula>U183=2</formula>
    </cfRule>
    <cfRule type="expression" dxfId="21" priority="23">
      <formula>U183=3</formula>
    </cfRule>
    <cfRule type="expression" dxfId="20" priority="24">
      <formula>U183=1</formula>
    </cfRule>
  </conditionalFormatting>
  <conditionalFormatting sqref="J14">
    <cfRule type="expression" dxfId="19" priority="17">
      <formula>U14=0</formula>
    </cfRule>
    <cfRule type="expression" dxfId="18" priority="18">
      <formula>U14=2</formula>
    </cfRule>
    <cfRule type="expression" dxfId="17" priority="19">
      <formula>U14=3</formula>
    </cfRule>
    <cfRule type="expression" dxfId="16" priority="20">
      <formula>U14=1</formula>
    </cfRule>
  </conditionalFormatting>
  <conditionalFormatting sqref="J103:J105">
    <cfRule type="expression" dxfId="15" priority="13">
      <formula>U103=0</formula>
    </cfRule>
    <cfRule type="expression" dxfId="14" priority="14">
      <formula>U103=2</formula>
    </cfRule>
    <cfRule type="expression" dxfId="13" priority="15">
      <formula>U103=3</formula>
    </cfRule>
    <cfRule type="expression" dxfId="12" priority="16">
      <formula>U103=1</formula>
    </cfRule>
  </conditionalFormatting>
  <conditionalFormatting sqref="J168">
    <cfRule type="expression" dxfId="11" priority="9">
      <formula>U168=0</formula>
    </cfRule>
    <cfRule type="expression" dxfId="10" priority="10">
      <formula>U168=2</formula>
    </cfRule>
    <cfRule type="expression" dxfId="9" priority="11">
      <formula>U168=3</formula>
    </cfRule>
    <cfRule type="expression" dxfId="8" priority="12">
      <formula>U168=1</formula>
    </cfRule>
  </conditionalFormatting>
  <conditionalFormatting sqref="J174">
    <cfRule type="expression" dxfId="7" priority="5">
      <formula>U174=0</formula>
    </cfRule>
    <cfRule type="expression" dxfId="6" priority="6">
      <formula>U174=2</formula>
    </cfRule>
    <cfRule type="expression" dxfId="5" priority="7">
      <formula>U174=3</formula>
    </cfRule>
    <cfRule type="expression" dxfId="4" priority="8">
      <formula>U174=1</formula>
    </cfRule>
  </conditionalFormatting>
  <conditionalFormatting sqref="J121">
    <cfRule type="expression" dxfId="3" priority="1">
      <formula>U121=0</formula>
    </cfRule>
    <cfRule type="expression" dxfId="2" priority="2">
      <formula>U121=2</formula>
    </cfRule>
    <cfRule type="expression" dxfId="1" priority="3">
      <formula>U121=3</formula>
    </cfRule>
    <cfRule type="expression" dxfId="0" priority="4">
      <formula>U121=1</formula>
    </cfRule>
  </conditionalFormatting>
  <printOptions horizontalCentered="1"/>
  <pageMargins left="0.75" right="0.75" top="0.75" bottom="0.75" header="0.3" footer="0.3"/>
  <pageSetup paperSize="9" scale="57" orientation="landscape" r:id="rId1"/>
  <headerFooter>
    <oddFooter>&amp;L&amp;10&amp;F&amp;C&amp;10&amp;P / &amp;N&amp;R&amp;10SANITATION DEMAND AND SUPPLY STUDY</oddFooter>
  </headerFooter>
  <rowBreaks count="2" manualBreakCount="2">
    <brk id="54" max="19" man="1"/>
    <brk id="98" max="19" man="1"/>
  </rowBreaks>
  <ignoredErrors>
    <ignoredError sqref="E94:G95"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90" zoomScaleNormal="90" workbookViewId="0">
      <selection activeCell="A4" sqref="A4"/>
    </sheetView>
  </sheetViews>
  <sheetFormatPr defaultRowHeight="15" x14ac:dyDescent="0.25"/>
  <cols>
    <col min="1" max="1" width="7.7109375" style="520" customWidth="1"/>
    <col min="2" max="3" width="22.7109375" style="441" customWidth="1"/>
    <col min="4" max="5" width="22.7109375" style="441" hidden="1" customWidth="1"/>
    <col min="6" max="6" width="22.7109375" style="441" customWidth="1"/>
    <col min="7" max="8" width="22.7109375" style="441" hidden="1" customWidth="1"/>
    <col min="9" max="9" width="22.7109375" style="441" customWidth="1"/>
    <col min="10" max="10" width="2.7109375" style="441" customWidth="1"/>
    <col min="11" max="12" width="16.7109375" style="520" customWidth="1"/>
    <col min="13" max="20" width="9.140625" style="441"/>
    <col min="21" max="21" width="22.28515625" style="441" bestFit="1" customWidth="1"/>
    <col min="22" max="22" width="9.140625" style="441"/>
    <col min="23" max="23" width="10.5703125" style="430" bestFit="1" customWidth="1"/>
    <col min="24" max="16384" width="9.140625" style="441"/>
  </cols>
  <sheetData>
    <row r="1" spans="1:23" ht="18.75" x14ac:dyDescent="0.25">
      <c r="A1" s="1" t="s">
        <v>363</v>
      </c>
    </row>
    <row r="2" spans="1:23" ht="18.75" x14ac:dyDescent="0.25">
      <c r="A2" s="5" t="s">
        <v>0</v>
      </c>
    </row>
    <row r="3" spans="1:23" x14ac:dyDescent="0.25">
      <c r="A3" s="441"/>
    </row>
    <row r="4" spans="1:23" ht="21" x14ac:dyDescent="0.25">
      <c r="A4" s="443" t="s">
        <v>819</v>
      </c>
    </row>
    <row r="7" spans="1:23" ht="15.75" x14ac:dyDescent="0.25">
      <c r="A7" s="910" t="s">
        <v>827</v>
      </c>
      <c r="B7" s="911"/>
      <c r="L7" s="909" t="s">
        <v>1398</v>
      </c>
      <c r="U7" s="441" t="str">
        <f>A7&amp;W7</f>
        <v>KAMPOT PROVINCE</v>
      </c>
      <c r="W7" s="430" t="s">
        <v>825</v>
      </c>
    </row>
    <row r="8" spans="1:23" ht="15.75" x14ac:dyDescent="0.25">
      <c r="A8" s="910" t="s">
        <v>828</v>
      </c>
      <c r="B8" s="911"/>
      <c r="U8" s="441" t="str">
        <f>A8&amp;W8</f>
        <v>BANTEAY MEAS DISTRICT</v>
      </c>
      <c r="W8" s="430" t="s">
        <v>826</v>
      </c>
    </row>
    <row r="9" spans="1:23" ht="45" x14ac:dyDescent="0.25">
      <c r="A9" s="912" t="s">
        <v>1075</v>
      </c>
      <c r="B9" s="913" t="s">
        <v>761</v>
      </c>
      <c r="C9" s="914" t="s">
        <v>820</v>
      </c>
      <c r="D9" s="914"/>
      <c r="E9" s="914"/>
      <c r="F9" s="914" t="s">
        <v>821</v>
      </c>
      <c r="G9" s="914"/>
      <c r="H9" s="914"/>
      <c r="I9" s="914" t="s">
        <v>822</v>
      </c>
      <c r="K9" s="915" t="s">
        <v>902</v>
      </c>
      <c r="L9" s="915" t="s">
        <v>904</v>
      </c>
    </row>
    <row r="10" spans="1:23" ht="18" customHeight="1" x14ac:dyDescent="0.25">
      <c r="A10" s="644" t="s">
        <v>1068</v>
      </c>
      <c r="B10" s="435" t="str">
        <f>'STUDY VILLAGES_ORI'!B8</f>
        <v>SAMRAONG LEU</v>
      </c>
      <c r="C10" s="439" t="s">
        <v>1824</v>
      </c>
      <c r="D10" s="439"/>
      <c r="E10" s="439"/>
      <c r="F10" s="439" t="s">
        <v>1823</v>
      </c>
      <c r="G10" s="916"/>
      <c r="H10" s="917"/>
      <c r="I10" s="644"/>
      <c r="J10" s="918"/>
      <c r="K10" s="919">
        <v>5</v>
      </c>
      <c r="L10" s="919">
        <v>2</v>
      </c>
    </row>
    <row r="11" spans="1:23" ht="18" customHeight="1" x14ac:dyDescent="0.25">
      <c r="A11" s="644" t="s">
        <v>1069</v>
      </c>
      <c r="B11" s="435" t="str">
        <f>'STUDY VILLAGES_ORI'!B10</f>
        <v>SK KHANG LECH</v>
      </c>
      <c r="C11" s="439" t="str">
        <f>'STUDY VILLAGES_ORI'!D10</f>
        <v>Chamlang Chrey</v>
      </c>
      <c r="D11" s="439"/>
      <c r="E11" s="439"/>
      <c r="F11" s="439" t="str">
        <f>'STUDY VILLAGES_ORI'!D11</f>
        <v>Prey Ta Prit</v>
      </c>
      <c r="G11" s="439"/>
      <c r="H11" s="439"/>
      <c r="I11" s="644"/>
      <c r="J11" s="918"/>
      <c r="K11" s="919">
        <v>5</v>
      </c>
      <c r="L11" s="919">
        <v>2</v>
      </c>
    </row>
    <row r="12" spans="1:23" ht="18" customHeight="1" x14ac:dyDescent="0.25">
      <c r="A12" s="644" t="s">
        <v>1070</v>
      </c>
      <c r="B12" s="435" t="str">
        <f>'STUDY VILLAGES_ORI'!B12</f>
        <v>SK KHANG TBOUNG</v>
      </c>
      <c r="C12" s="439" t="str">
        <f>'STUDY VILLAGES_ORI'!D12</f>
        <v>Phnum Touch</v>
      </c>
      <c r="D12" s="439"/>
      <c r="E12" s="439"/>
      <c r="F12" s="439"/>
      <c r="G12" s="439"/>
      <c r="H12" s="439"/>
      <c r="I12" s="644"/>
      <c r="J12" s="918"/>
      <c r="K12" s="919">
        <v>4</v>
      </c>
      <c r="L12" s="919">
        <v>1</v>
      </c>
    </row>
    <row r="13" spans="1:23" ht="18" customHeight="1" x14ac:dyDescent="0.25">
      <c r="A13" s="644" t="s">
        <v>1071</v>
      </c>
      <c r="B13" s="435" t="str">
        <f>'STUDY VILLAGES_ORI'!B13</f>
        <v>T M KHANG KAEUT</v>
      </c>
      <c r="C13" s="439" t="str">
        <f>'STUDY VILLAGES_ORI'!D13</f>
        <v>Angk Mli</v>
      </c>
      <c r="D13" s="439"/>
      <c r="E13" s="439"/>
      <c r="F13" s="439" t="str">
        <f>'STUDY VILLAGES_ORI'!D14</f>
        <v>Chrak Sdau</v>
      </c>
      <c r="G13" s="439"/>
      <c r="H13" s="439"/>
      <c r="I13" s="644"/>
      <c r="J13" s="918"/>
      <c r="K13" s="919">
        <v>6</v>
      </c>
      <c r="L13" s="919">
        <v>2</v>
      </c>
    </row>
    <row r="14" spans="1:23" ht="18" customHeight="1" x14ac:dyDescent="0.25">
      <c r="A14" s="644" t="s">
        <v>1072</v>
      </c>
      <c r="B14" s="435" t="str">
        <f>'STUDY VILLAGES_ORI'!B15</f>
        <v>TNAOT CHEUNG SRANG</v>
      </c>
      <c r="C14" s="439" t="str">
        <f>'STUDY VILLAGES_ORI'!D15</f>
        <v>Kouk Veaeng</v>
      </c>
      <c r="D14" s="920"/>
      <c r="E14" s="920"/>
      <c r="F14" s="920" t="str">
        <f>'STUDY VILLAGES_ORI'!D16</f>
        <v>Ruessei Chum</v>
      </c>
      <c r="G14" s="920"/>
      <c r="H14" s="920"/>
      <c r="I14" s="644" t="str">
        <f>'STUDY VILLAGES_ORI'!D17</f>
        <v>Ta Lang</v>
      </c>
      <c r="J14" s="918"/>
      <c r="K14" s="919">
        <v>8</v>
      </c>
      <c r="L14" s="919">
        <v>3</v>
      </c>
      <c r="N14" s="907"/>
    </row>
    <row r="15" spans="1:23" ht="18" customHeight="1" x14ac:dyDescent="0.25">
      <c r="A15" s="644" t="s">
        <v>1073</v>
      </c>
      <c r="B15" s="435" t="str">
        <f>'STUDY VILLAGES_ORI'!B18</f>
        <v>V A KHANG CHEUNG</v>
      </c>
      <c r="C15" s="447" t="str">
        <f>'STUDY VILLAGES_ORI'!D18</f>
        <v>Ponhea Angkor</v>
      </c>
      <c r="D15" s="447"/>
      <c r="E15" s="447"/>
      <c r="F15" s="439" t="s">
        <v>1827</v>
      </c>
      <c r="G15" s="439"/>
      <c r="H15" s="439"/>
      <c r="I15" s="644"/>
      <c r="J15" s="918"/>
      <c r="K15" s="919">
        <v>5</v>
      </c>
      <c r="L15" s="919">
        <v>2</v>
      </c>
    </row>
    <row r="16" spans="1:23" ht="18" customHeight="1" x14ac:dyDescent="0.25">
      <c r="A16" s="644" t="s">
        <v>1074</v>
      </c>
      <c r="B16" s="435"/>
      <c r="C16" s="447"/>
      <c r="D16" s="447"/>
      <c r="E16" s="447"/>
      <c r="F16" s="439"/>
      <c r="G16" s="439"/>
      <c r="H16" s="439"/>
      <c r="I16" s="644"/>
      <c r="J16" s="918"/>
      <c r="K16" s="919"/>
      <c r="L16" s="919"/>
    </row>
    <row r="17" spans="1:23" ht="18" customHeight="1" x14ac:dyDescent="0.25">
      <c r="A17" s="644"/>
      <c r="B17" s="434">
        <f>COUNTA(B10:B16)</f>
        <v>6</v>
      </c>
      <c r="C17" s="434">
        <f t="shared" ref="C17:I17" si="0">COUNTA(C10:C16)</f>
        <v>6</v>
      </c>
      <c r="D17" s="434"/>
      <c r="E17" s="434"/>
      <c r="F17" s="434">
        <f t="shared" si="0"/>
        <v>5</v>
      </c>
      <c r="G17" s="434"/>
      <c r="H17" s="434"/>
      <c r="I17" s="434">
        <f t="shared" si="0"/>
        <v>1</v>
      </c>
      <c r="K17" s="518">
        <f>SUM(K10:K16)</f>
        <v>33</v>
      </c>
      <c r="L17" s="518">
        <f>SUM(L10:L16)</f>
        <v>12</v>
      </c>
    </row>
    <row r="18" spans="1:23" ht="18" customHeight="1" x14ac:dyDescent="0.25">
      <c r="C18" s="1356">
        <f>SUM(C17:I17)</f>
        <v>12</v>
      </c>
      <c r="D18" s="1357"/>
      <c r="E18" s="1357"/>
      <c r="F18" s="1357"/>
      <c r="G18" s="1357"/>
      <c r="H18" s="1357"/>
      <c r="I18" s="1358"/>
    </row>
    <row r="19" spans="1:23" ht="18" customHeight="1" x14ac:dyDescent="0.25"/>
    <row r="20" spans="1:23" ht="18" customHeight="1" x14ac:dyDescent="0.25"/>
    <row r="21" spans="1:23" ht="18" customHeight="1" x14ac:dyDescent="0.25">
      <c r="A21" s="896" t="s">
        <v>827</v>
      </c>
      <c r="B21" s="897"/>
      <c r="U21" s="441" t="str">
        <f>A21&amp;W21</f>
        <v>KAMPOT PROVINCE</v>
      </c>
      <c r="W21" s="430" t="s">
        <v>825</v>
      </c>
    </row>
    <row r="22" spans="1:23" ht="18" customHeight="1" x14ac:dyDescent="0.25">
      <c r="A22" s="896" t="s">
        <v>829</v>
      </c>
      <c r="B22" s="897"/>
      <c r="U22" s="441" t="str">
        <f>A22&amp;W22</f>
        <v>CHUM KIRI DISTRICT</v>
      </c>
      <c r="W22" s="430" t="s">
        <v>826</v>
      </c>
    </row>
    <row r="23" spans="1:23" ht="30" x14ac:dyDescent="0.25">
      <c r="A23" s="645" t="s">
        <v>1075</v>
      </c>
      <c r="B23" s="433" t="s">
        <v>761</v>
      </c>
      <c r="C23" s="445" t="s">
        <v>820</v>
      </c>
      <c r="D23" s="445"/>
      <c r="E23" s="445"/>
      <c r="F23" s="445" t="s">
        <v>821</v>
      </c>
      <c r="G23" s="445"/>
      <c r="H23" s="445"/>
      <c r="I23" s="445" t="s">
        <v>822</v>
      </c>
      <c r="K23" s="517" t="s">
        <v>902</v>
      </c>
      <c r="L23" s="517" t="s">
        <v>904</v>
      </c>
    </row>
    <row r="24" spans="1:23" ht="18" customHeight="1" x14ac:dyDescent="0.25">
      <c r="A24" s="448" t="s">
        <v>1068</v>
      </c>
      <c r="B24" s="438" t="s">
        <v>836</v>
      </c>
      <c r="C24" s="438" t="str">
        <f>'STUDY VILLAGES_ORI'!D24</f>
        <v>Chres</v>
      </c>
      <c r="D24" s="438"/>
      <c r="E24" s="438"/>
      <c r="F24" s="438" t="str">
        <f>'STUDY VILLAGES_ORI'!D25</f>
        <v>Trapeang Cheuteal</v>
      </c>
      <c r="G24" s="438"/>
      <c r="H24" s="438"/>
      <c r="I24" s="449"/>
      <c r="K24" s="521">
        <v>4</v>
      </c>
      <c r="L24" s="521">
        <v>2</v>
      </c>
    </row>
    <row r="25" spans="1:23" ht="18" customHeight="1" x14ac:dyDescent="0.25">
      <c r="A25" s="644" t="s">
        <v>1069</v>
      </c>
      <c r="B25" s="435" t="s">
        <v>837</v>
      </c>
      <c r="C25" s="435" t="str">
        <f>'STUDY VILLAGES_ORI'!D26</f>
        <v>Chek</v>
      </c>
      <c r="D25" s="435"/>
      <c r="E25" s="435"/>
      <c r="F25" s="435" t="str">
        <f>'STUDY VILLAGES_ORI'!D27</f>
        <v>Thmei</v>
      </c>
      <c r="G25" s="435"/>
      <c r="H25" s="435"/>
      <c r="I25" s="436"/>
      <c r="K25" s="518">
        <v>7</v>
      </c>
      <c r="L25" s="518">
        <v>3</v>
      </c>
    </row>
    <row r="26" spans="1:23" ht="18" customHeight="1" x14ac:dyDescent="0.25">
      <c r="A26" s="448" t="s">
        <v>1070</v>
      </c>
      <c r="B26" s="438" t="s">
        <v>838</v>
      </c>
      <c r="C26" s="438" t="str">
        <f>'STUDY VILLAGES_ORI'!D28</f>
        <v>Damnak Chheu Kram</v>
      </c>
      <c r="D26" s="438"/>
      <c r="E26" s="438"/>
      <c r="F26" s="438" t="str">
        <f>'STUDY VILLAGES_ORI'!D29</f>
        <v>Dou Ov</v>
      </c>
      <c r="G26" s="438"/>
      <c r="H26" s="438"/>
      <c r="I26" s="449"/>
      <c r="K26" s="521">
        <v>5</v>
      </c>
      <c r="L26" s="521">
        <v>2</v>
      </c>
    </row>
    <row r="27" spans="1:23" ht="18" customHeight="1" x14ac:dyDescent="0.25">
      <c r="A27" s="644" t="s">
        <v>1071</v>
      </c>
      <c r="B27" s="435" t="s">
        <v>839</v>
      </c>
      <c r="C27" s="435" t="str">
        <f>'STUDY VILLAGES_ORI'!D30</f>
        <v>Kamnab</v>
      </c>
      <c r="D27" s="435"/>
      <c r="E27" s="435"/>
      <c r="F27" s="435" t="str">
        <f>'STUDY VILLAGES_ORI'!D31</f>
        <v>Srae Chaeng</v>
      </c>
      <c r="G27" s="435"/>
      <c r="H27" s="435"/>
      <c r="I27" s="436"/>
      <c r="K27" s="518">
        <v>5</v>
      </c>
      <c r="L27" s="518">
        <v>3</v>
      </c>
    </row>
    <row r="28" spans="1:23" ht="18" customHeight="1" x14ac:dyDescent="0.25">
      <c r="A28" s="448" t="s">
        <v>1072</v>
      </c>
      <c r="B28" s="438" t="s">
        <v>840</v>
      </c>
      <c r="C28" s="438" t="str">
        <f>'STUDY VILLAGES_ORI'!D32</f>
        <v>Prey Yav</v>
      </c>
      <c r="D28" s="438"/>
      <c r="E28" s="438"/>
      <c r="F28" s="438" t="str">
        <f>'STUDY VILLAGES_ORI'!D33</f>
        <v>Tbaeng Pok</v>
      </c>
      <c r="G28" s="438"/>
      <c r="H28" s="438"/>
      <c r="I28" s="449"/>
      <c r="K28" s="521">
        <v>6</v>
      </c>
      <c r="L28" s="521">
        <v>2</v>
      </c>
    </row>
    <row r="29" spans="1:23" ht="18" customHeight="1" x14ac:dyDescent="0.25">
      <c r="A29" s="644" t="s">
        <v>1073</v>
      </c>
      <c r="B29" s="435" t="s">
        <v>841</v>
      </c>
      <c r="C29" s="435" t="str">
        <f>'STUDY VILLAGES_ORI'!D34</f>
        <v>Srae Samraong</v>
      </c>
      <c r="D29" s="435"/>
      <c r="E29" s="435"/>
      <c r="F29" s="435"/>
      <c r="G29" s="435"/>
      <c r="H29" s="435"/>
      <c r="I29" s="436"/>
      <c r="K29" s="518">
        <v>5</v>
      </c>
      <c r="L29" s="518">
        <v>1</v>
      </c>
    </row>
    <row r="30" spans="1:23" ht="18" customHeight="1" x14ac:dyDescent="0.25">
      <c r="A30" s="448" t="s">
        <v>1074</v>
      </c>
      <c r="B30" s="438" t="s">
        <v>842</v>
      </c>
      <c r="C30" s="438" t="str">
        <f>'STUDY VILLAGES_ORI'!D35</f>
        <v>Rovieng</v>
      </c>
      <c r="D30" s="438"/>
      <c r="E30" s="438"/>
      <c r="F30" s="438" t="str">
        <f>'STUDY VILLAGES_ORI'!D36</f>
        <v>Ta Reach</v>
      </c>
      <c r="G30" s="438"/>
      <c r="H30" s="438"/>
      <c r="I30" s="449"/>
      <c r="K30" s="521">
        <v>5</v>
      </c>
      <c r="L30" s="521">
        <v>2</v>
      </c>
    </row>
    <row r="31" spans="1:23" ht="18" customHeight="1" x14ac:dyDescent="0.25">
      <c r="A31" s="644"/>
      <c r="B31" s="434">
        <f>COUNTA(B24:B30)</f>
        <v>7</v>
      </c>
      <c r="C31" s="434">
        <f>B31</f>
        <v>7</v>
      </c>
      <c r="D31" s="434"/>
      <c r="E31" s="434"/>
      <c r="F31" s="434">
        <f>COUNTA(F24:F30)</f>
        <v>6</v>
      </c>
      <c r="G31" s="434"/>
      <c r="H31" s="434"/>
      <c r="I31" s="436"/>
      <c r="K31" s="518">
        <f>SUM(K24:K30)</f>
        <v>37</v>
      </c>
      <c r="L31" s="518">
        <f>SUM(L24:L30)</f>
        <v>15</v>
      </c>
    </row>
    <row r="32" spans="1:23" ht="18" customHeight="1" x14ac:dyDescent="0.25">
      <c r="C32" s="1356">
        <f>SUM(C31:I31)</f>
        <v>13</v>
      </c>
      <c r="D32" s="1357"/>
      <c r="E32" s="1357"/>
      <c r="F32" s="1357"/>
      <c r="G32" s="1357"/>
      <c r="H32" s="1357"/>
      <c r="I32" s="1358"/>
    </row>
    <row r="33" spans="1:23" ht="18" customHeight="1" x14ac:dyDescent="0.25"/>
    <row r="34" spans="1:23" ht="18" customHeight="1" x14ac:dyDescent="0.25"/>
    <row r="35" spans="1:23" ht="18" customHeight="1" x14ac:dyDescent="0.25">
      <c r="A35" s="896" t="s">
        <v>823</v>
      </c>
      <c r="B35" s="897"/>
      <c r="U35" s="441" t="str">
        <f>A35&amp;W35</f>
        <v>KAMPONG SPEU PROVINCE</v>
      </c>
      <c r="W35" s="430" t="s">
        <v>825</v>
      </c>
    </row>
    <row r="36" spans="1:23" ht="18" customHeight="1" x14ac:dyDescent="0.25">
      <c r="A36" s="896" t="s">
        <v>824</v>
      </c>
      <c r="B36" s="897"/>
      <c r="U36" s="441" t="str">
        <f>A36&amp;W36</f>
        <v>BASEDTH DISTRICT</v>
      </c>
      <c r="W36" s="430" t="s">
        <v>826</v>
      </c>
    </row>
    <row r="37" spans="1:23" ht="30" x14ac:dyDescent="0.25">
      <c r="A37" s="645" t="s">
        <v>1075</v>
      </c>
      <c r="B37" s="433" t="s">
        <v>761</v>
      </c>
      <c r="C37" s="445" t="s">
        <v>820</v>
      </c>
      <c r="D37" s="445"/>
      <c r="E37" s="445"/>
      <c r="F37" s="445" t="s">
        <v>821</v>
      </c>
      <c r="G37" s="445"/>
      <c r="H37" s="445"/>
      <c r="I37" s="445" t="s">
        <v>822</v>
      </c>
      <c r="K37" s="517" t="s">
        <v>902</v>
      </c>
      <c r="L37" s="517" t="s">
        <v>904</v>
      </c>
    </row>
    <row r="38" spans="1:23" ht="18" customHeight="1" x14ac:dyDescent="0.25">
      <c r="A38" s="448" t="s">
        <v>1068</v>
      </c>
      <c r="B38" s="440" t="s">
        <v>843</v>
      </c>
      <c r="C38" s="440" t="str">
        <f>'STUDY VILLAGES_ORI'!D41</f>
        <v>Krang Troak</v>
      </c>
      <c r="D38" s="440"/>
      <c r="E38" s="440"/>
      <c r="F38" s="438" t="str">
        <f>'STUDY VILLAGES_ORI'!D42</f>
        <v>Trapeang Krosang</v>
      </c>
      <c r="G38" s="438"/>
      <c r="H38" s="438"/>
      <c r="I38" s="449"/>
      <c r="K38" s="521">
        <v>14</v>
      </c>
      <c r="L38" s="521">
        <v>3</v>
      </c>
    </row>
    <row r="39" spans="1:23" ht="18" customHeight="1" x14ac:dyDescent="0.25">
      <c r="A39" s="644" t="s">
        <v>1069</v>
      </c>
      <c r="B39" s="437" t="s">
        <v>844</v>
      </c>
      <c r="C39" s="437" t="str">
        <f>'STUDY VILLAGES_ORI'!D43</f>
        <v>Poh Tbaeng</v>
      </c>
      <c r="D39" s="437"/>
      <c r="E39" s="437"/>
      <c r="F39" s="435" t="str">
        <f>'STUDY VILLAGES_ORI'!D44</f>
        <v>Trapeang Tuk</v>
      </c>
      <c r="G39" s="435"/>
      <c r="H39" s="435"/>
      <c r="I39" s="436"/>
      <c r="K39" s="518">
        <v>15</v>
      </c>
      <c r="L39" s="518">
        <v>4</v>
      </c>
    </row>
    <row r="40" spans="1:23" ht="18" customHeight="1" x14ac:dyDescent="0.25">
      <c r="A40" s="448" t="s">
        <v>1070</v>
      </c>
      <c r="B40" s="440" t="s">
        <v>845</v>
      </c>
      <c r="C40" s="440" t="str">
        <f>'STUDY VILLAGES_ORI'!D45</f>
        <v>Prey Khla</v>
      </c>
      <c r="D40" s="440"/>
      <c r="E40" s="440"/>
      <c r="F40" s="438" t="str">
        <f>'STUDY VILLAGES_ORI'!D46</f>
        <v>Prey Romdel</v>
      </c>
      <c r="G40" s="438"/>
      <c r="H40" s="438"/>
      <c r="I40" s="449"/>
      <c r="K40" s="521">
        <v>9</v>
      </c>
      <c r="L40" s="521">
        <v>3</v>
      </c>
    </row>
    <row r="41" spans="1:23" ht="18" customHeight="1" x14ac:dyDescent="0.25">
      <c r="A41" s="644" t="s">
        <v>1071</v>
      </c>
      <c r="B41" s="437" t="s">
        <v>846</v>
      </c>
      <c r="C41" s="437" t="str">
        <f>'STUDY VILLAGES_ORI'!D47</f>
        <v>Prey Roang</v>
      </c>
      <c r="D41" s="437"/>
      <c r="E41" s="437"/>
      <c r="F41" s="435" t="str">
        <f>'STUDY VILLAGES_ORI'!D48</f>
        <v>Sach Trey</v>
      </c>
      <c r="G41" s="435"/>
      <c r="H41" s="435"/>
      <c r="I41" s="436"/>
      <c r="K41" s="518">
        <v>13</v>
      </c>
      <c r="L41" s="518">
        <v>4</v>
      </c>
    </row>
    <row r="42" spans="1:23" ht="18" customHeight="1" x14ac:dyDescent="0.25">
      <c r="A42" s="448" t="s">
        <v>1072</v>
      </c>
      <c r="B42" s="440" t="s">
        <v>847</v>
      </c>
      <c r="C42" s="440" t="str">
        <f>'STUDY VILLAGES_ORI'!D49</f>
        <v>Boeung</v>
      </c>
      <c r="D42" s="440"/>
      <c r="E42" s="440"/>
      <c r="F42" s="438" t="str">
        <f>'STUDY VILLAGES_ORI'!D50</f>
        <v>Trapeang Veng</v>
      </c>
      <c r="G42" s="438"/>
      <c r="H42" s="438"/>
      <c r="I42" s="449"/>
      <c r="K42" s="521">
        <v>9</v>
      </c>
      <c r="L42" s="521">
        <v>3</v>
      </c>
    </row>
    <row r="43" spans="1:23" ht="18" customHeight="1" x14ac:dyDescent="0.25">
      <c r="A43" s="644" t="s">
        <v>1073</v>
      </c>
      <c r="B43" s="437" t="s">
        <v>848</v>
      </c>
      <c r="C43" s="437" t="str">
        <f>'STUDY VILLAGES_ORI'!D51</f>
        <v>Trapeang Khtum</v>
      </c>
      <c r="D43" s="437"/>
      <c r="E43" s="437"/>
      <c r="F43" s="435" t="str">
        <f>'STUDY VILLAGES_ORI'!D52</f>
        <v>Troyeung Te</v>
      </c>
      <c r="G43" s="435"/>
      <c r="H43" s="435"/>
      <c r="I43" s="436"/>
      <c r="K43" s="518">
        <v>15</v>
      </c>
      <c r="L43" s="518">
        <v>4</v>
      </c>
    </row>
    <row r="44" spans="1:23" ht="18" customHeight="1" x14ac:dyDescent="0.25">
      <c r="A44" s="448" t="s">
        <v>1074</v>
      </c>
      <c r="B44" s="440"/>
      <c r="C44" s="440"/>
      <c r="D44" s="440"/>
      <c r="E44" s="440"/>
      <c r="F44" s="438"/>
      <c r="G44" s="438"/>
      <c r="H44" s="438"/>
      <c r="I44" s="449"/>
      <c r="K44" s="521"/>
      <c r="L44" s="521"/>
    </row>
    <row r="45" spans="1:23" ht="18" customHeight="1" x14ac:dyDescent="0.25">
      <c r="A45" s="644"/>
      <c r="B45" s="434">
        <f>COUNTA(B38:B44)</f>
        <v>6</v>
      </c>
      <c r="C45" s="434">
        <f>B45</f>
        <v>6</v>
      </c>
      <c r="D45" s="434"/>
      <c r="E45" s="434"/>
      <c r="F45" s="434">
        <f>COUNTA(F38:F44)</f>
        <v>6</v>
      </c>
      <c r="G45" s="434"/>
      <c r="H45" s="434"/>
      <c r="I45" s="436"/>
      <c r="K45" s="518">
        <f>SUM(K38:K44)</f>
        <v>75</v>
      </c>
      <c r="L45" s="518">
        <f>SUM(L38:L44)</f>
        <v>21</v>
      </c>
    </row>
    <row r="46" spans="1:23" ht="18" customHeight="1" x14ac:dyDescent="0.25">
      <c r="C46" s="1356">
        <f>SUM(C45:I45)</f>
        <v>12</v>
      </c>
      <c r="D46" s="1357"/>
      <c r="E46" s="1357"/>
      <c r="F46" s="1357"/>
      <c r="G46" s="1357"/>
      <c r="H46" s="1357"/>
      <c r="I46" s="1358"/>
    </row>
    <row r="48" spans="1:23" x14ac:dyDescent="0.25">
      <c r="B48" s="446">
        <f>B45+B31+B17</f>
        <v>19</v>
      </c>
      <c r="C48" s="1359">
        <f>C46+C32+C18</f>
        <v>37</v>
      </c>
      <c r="D48" s="1359"/>
      <c r="E48" s="1359"/>
      <c r="F48" s="1359"/>
      <c r="G48" s="1359"/>
      <c r="H48" s="1359"/>
      <c r="I48" s="1359"/>
    </row>
    <row r="50" spans="6:9" x14ac:dyDescent="0.25">
      <c r="F50" s="446">
        <f>C48/4</f>
        <v>9.25</v>
      </c>
      <c r="I50" s="441" t="s">
        <v>1397</v>
      </c>
    </row>
  </sheetData>
  <mergeCells count="4">
    <mergeCell ref="C18:I18"/>
    <mergeCell ref="C32:I32"/>
    <mergeCell ref="C46:I46"/>
    <mergeCell ref="C48:I48"/>
  </mergeCells>
  <pageMargins left="0.7" right="0.7" top="0.75" bottom="0.75" header="0.3" footer="0.3"/>
  <pageSetup paperSize="9" orientation="portrait" r:id="rId1"/>
  <ignoredErrors>
    <ignoredError sqref="C31 C45"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5"/>
  <sheetViews>
    <sheetView zoomScale="80" zoomScaleNormal="80" workbookViewId="0">
      <selection activeCell="A6" sqref="A6"/>
    </sheetView>
  </sheetViews>
  <sheetFormatPr defaultRowHeight="12.75" x14ac:dyDescent="0.25"/>
  <cols>
    <col min="1" max="1" width="55.7109375" style="3" customWidth="1"/>
    <col min="2" max="9" width="13.7109375" style="3" customWidth="1"/>
    <col min="10" max="16384" width="9.140625" style="3"/>
  </cols>
  <sheetData>
    <row r="1" spans="1:11" ht="17.100000000000001" customHeight="1" x14ac:dyDescent="0.25">
      <c r="A1" s="1" t="s">
        <v>363</v>
      </c>
      <c r="I1" s="898" t="s">
        <v>883</v>
      </c>
    </row>
    <row r="2" spans="1:11" ht="17.100000000000001" customHeight="1" x14ac:dyDescent="0.25">
      <c r="A2" s="1" t="str">
        <f>'STUDY VILLAGES'!U7</f>
        <v>KAMPOT PROVINCE</v>
      </c>
    </row>
    <row r="3" spans="1:11" ht="17.100000000000001" customHeight="1" x14ac:dyDescent="0.25">
      <c r="A3" s="1" t="str">
        <f>'STUDY VILLAGES'!U8</f>
        <v>BANTEAY MEAS DISTRICT</v>
      </c>
    </row>
    <row r="4" spans="1:11" ht="17.100000000000001" customHeight="1" x14ac:dyDescent="0.25"/>
    <row r="5" spans="1:11" ht="21" customHeight="1" x14ac:dyDescent="0.25">
      <c r="A5" s="1" t="s">
        <v>1377</v>
      </c>
      <c r="B5" s="9" t="s">
        <v>1378</v>
      </c>
      <c r="C5" s="10"/>
      <c r="D5" s="899"/>
    </row>
    <row r="6" spans="1:11" ht="21" customHeight="1" x14ac:dyDescent="0.25">
      <c r="A6" s="444" t="s">
        <v>1379</v>
      </c>
      <c r="B6" s="9" t="s">
        <v>2</v>
      </c>
      <c r="C6" s="10"/>
      <c r="D6" s="895"/>
    </row>
    <row r="7" spans="1:11" ht="8.1" customHeight="1" x14ac:dyDescent="0.25"/>
    <row r="8" spans="1:11" ht="18" customHeight="1" x14ac:dyDescent="0.25">
      <c r="B8" s="1360" t="s">
        <v>1396</v>
      </c>
      <c r="C8" s="1362" t="s">
        <v>1380</v>
      </c>
      <c r="D8" s="1363"/>
      <c r="E8" s="1364"/>
      <c r="F8" s="1365" t="s">
        <v>1390</v>
      </c>
      <c r="G8" s="1365"/>
      <c r="H8" s="1365"/>
      <c r="I8" s="1365"/>
    </row>
    <row r="9" spans="1:11" ht="27.95" customHeight="1" x14ac:dyDescent="0.25">
      <c r="B9" s="1361"/>
      <c r="C9" s="900" t="s">
        <v>1381</v>
      </c>
      <c r="D9" s="900" t="s">
        <v>1382</v>
      </c>
      <c r="E9" s="900" t="s">
        <v>4</v>
      </c>
      <c r="F9" s="934" t="s">
        <v>1391</v>
      </c>
      <c r="G9" s="934" t="s">
        <v>1392</v>
      </c>
      <c r="H9" s="934" t="s">
        <v>1393</v>
      </c>
      <c r="I9" s="934" t="s">
        <v>4</v>
      </c>
    </row>
    <row r="10" spans="1:11" ht="18" customHeight="1" thickBot="1" x14ac:dyDescent="0.3">
      <c r="A10" s="906" t="s">
        <v>1383</v>
      </c>
      <c r="B10" s="901"/>
      <c r="C10" s="901"/>
      <c r="D10" s="901"/>
      <c r="E10" s="901"/>
      <c r="F10" s="901"/>
      <c r="G10" s="901"/>
      <c r="H10" s="901"/>
      <c r="I10" s="901"/>
    </row>
    <row r="11" spans="1:11" s="158" customFormat="1" ht="18" customHeight="1" x14ac:dyDescent="0.25">
      <c r="A11" s="902" t="s">
        <v>1384</v>
      </c>
      <c r="B11" s="257">
        <f>ROUND((1+PRODUCERS!P422)/1,0)*1</f>
        <v>5</v>
      </c>
      <c r="C11" s="257">
        <f>'HARDWARE STORES'!P105+'HARDWARE STORES'!P104</f>
        <v>6</v>
      </c>
      <c r="D11" s="257"/>
      <c r="E11" s="257">
        <f>SUM(C11:D11)</f>
        <v>6</v>
      </c>
      <c r="F11" s="257"/>
      <c r="G11" s="257"/>
      <c r="H11" s="257"/>
      <c r="I11" s="257">
        <f>SUM(F11:H11)</f>
        <v>0</v>
      </c>
      <c r="K11" s="18">
        <f>B11+E11+I11</f>
        <v>11</v>
      </c>
    </row>
    <row r="12" spans="1:11" s="158" customFormat="1" ht="18" customHeight="1" x14ac:dyDescent="0.25">
      <c r="A12" s="902" t="s">
        <v>1385</v>
      </c>
      <c r="B12" s="903">
        <v>5</v>
      </c>
      <c r="C12" s="905">
        <v>8</v>
      </c>
      <c r="D12" s="905"/>
      <c r="E12" s="905">
        <f t="shared" ref="E12:E16" si="0">SUM(C12:D12)</f>
        <v>8</v>
      </c>
      <c r="F12" s="903"/>
      <c r="G12" s="903"/>
      <c r="H12" s="903"/>
      <c r="I12" s="905">
        <f t="shared" ref="I12:I16" si="1">SUM(F12:H12)</f>
        <v>0</v>
      </c>
    </row>
    <row r="13" spans="1:11" ht="18" customHeight="1" x14ac:dyDescent="0.25">
      <c r="A13" s="178" t="s">
        <v>1819</v>
      </c>
      <c r="B13" s="17">
        <f>B12*B25</f>
        <v>575</v>
      </c>
      <c r="C13" s="17"/>
      <c r="D13" s="17"/>
      <c r="E13" s="257">
        <f t="shared" si="0"/>
        <v>0</v>
      </c>
      <c r="F13" s="17"/>
      <c r="G13" s="17"/>
      <c r="H13" s="17"/>
      <c r="I13" s="257">
        <f t="shared" si="1"/>
        <v>0</v>
      </c>
    </row>
    <row r="14" spans="1:11" ht="18" customHeight="1" x14ac:dyDescent="0.25">
      <c r="A14" s="178" t="s">
        <v>1820</v>
      </c>
      <c r="B14" s="17">
        <f>ROUND((B13*12)/10,0)*10</f>
        <v>6900</v>
      </c>
      <c r="C14" s="17"/>
      <c r="D14" s="17"/>
      <c r="E14" s="257">
        <f t="shared" si="0"/>
        <v>0</v>
      </c>
      <c r="F14" s="17"/>
      <c r="G14" s="17"/>
      <c r="H14" s="17"/>
      <c r="I14" s="257">
        <f t="shared" si="1"/>
        <v>0</v>
      </c>
    </row>
    <row r="15" spans="1:11" ht="18" customHeight="1" x14ac:dyDescent="0.25">
      <c r="A15" s="178" t="s">
        <v>1386</v>
      </c>
      <c r="B15" s="201">
        <f>IF(B14=0,0,(B19-B14)/B14)</f>
        <v>8.1081081081081169E-2</v>
      </c>
      <c r="C15" s="17"/>
      <c r="D15" s="17"/>
      <c r="E15" s="257">
        <f t="shared" si="0"/>
        <v>0</v>
      </c>
      <c r="F15" s="17"/>
      <c r="G15" s="17"/>
      <c r="H15" s="17"/>
      <c r="I15" s="257">
        <f t="shared" si="1"/>
        <v>0</v>
      </c>
    </row>
    <row r="16" spans="1:11" s="158" customFormat="1" ht="18" customHeight="1" x14ac:dyDescent="0.25">
      <c r="A16" s="178" t="s">
        <v>1387</v>
      </c>
      <c r="B16" s="935">
        <f>ROUND((B14+(B15*B14))/10,0)*10</f>
        <v>7460</v>
      </c>
      <c r="C16" s="1078"/>
      <c r="D16" s="1078"/>
      <c r="E16" s="257">
        <f t="shared" si="0"/>
        <v>0</v>
      </c>
      <c r="F16" s="1078"/>
      <c r="G16" s="1078"/>
      <c r="H16" s="1078"/>
      <c r="I16" s="257">
        <f t="shared" si="1"/>
        <v>0</v>
      </c>
    </row>
    <row r="17" spans="1:9" s="158" customFormat="1" ht="18" customHeight="1" x14ac:dyDescent="0.25">
      <c r="A17" s="904"/>
      <c r="B17" s="130">
        <f>PRODUCERS!P216</f>
        <v>0.82499999999999996</v>
      </c>
      <c r="C17" s="129"/>
      <c r="D17" s="129"/>
      <c r="E17" s="129"/>
      <c r="F17" s="129"/>
      <c r="G17" s="129"/>
      <c r="H17" s="129"/>
      <c r="I17" s="130"/>
    </row>
    <row r="18" spans="1:9" s="158" customFormat="1" ht="18" customHeight="1" x14ac:dyDescent="0.25">
      <c r="A18" s="904"/>
      <c r="B18" s="130">
        <f>IF(B17=1,1,B17+0.1)</f>
        <v>0.92499999999999993</v>
      </c>
      <c r="C18" s="129"/>
      <c r="D18" s="129"/>
      <c r="E18" s="129"/>
      <c r="F18" s="129"/>
      <c r="G18" s="129"/>
      <c r="H18" s="129"/>
      <c r="I18" s="130"/>
    </row>
    <row r="19" spans="1:9" ht="18" customHeight="1" x14ac:dyDescent="0.25">
      <c r="A19" s="904"/>
      <c r="B19" s="123">
        <f>IF(B18=0,0,B14/B18*1)</f>
        <v>7459.45945945946</v>
      </c>
      <c r="C19" s="129"/>
      <c r="D19" s="129"/>
      <c r="E19" s="129"/>
      <c r="F19" s="129"/>
      <c r="G19" s="129"/>
      <c r="H19" s="129"/>
      <c r="I19" s="123"/>
    </row>
    <row r="20" spans="1:9" ht="18" customHeight="1" x14ac:dyDescent="0.25">
      <c r="E20" s="117"/>
      <c r="F20" s="117"/>
      <c r="G20" s="117"/>
      <c r="H20" s="117"/>
      <c r="I20" s="117"/>
    </row>
    <row r="21" spans="1:9" ht="18" customHeight="1" x14ac:dyDescent="0.25">
      <c r="E21" s="117"/>
      <c r="F21" s="117"/>
      <c r="G21" s="117"/>
      <c r="H21" s="117"/>
      <c r="I21" s="117"/>
    </row>
    <row r="22" spans="1:9" ht="18" customHeight="1" thickBot="1" x14ac:dyDescent="0.3">
      <c r="A22" s="906" t="s">
        <v>1388</v>
      </c>
      <c r="B22" s="901"/>
      <c r="C22" s="901"/>
      <c r="D22" s="901"/>
      <c r="E22" s="901"/>
      <c r="F22" s="901"/>
      <c r="G22" s="901"/>
      <c r="H22" s="901"/>
      <c r="I22" s="901"/>
    </row>
    <row r="23" spans="1:9" ht="18" customHeight="1" x14ac:dyDescent="0.25">
      <c r="A23" s="178" t="s">
        <v>1389</v>
      </c>
      <c r="B23" s="17">
        <f>PRODUCERS!N49</f>
        <v>5</v>
      </c>
      <c r="C23" s="198">
        <f>'HARDWARE STORES'!N27</f>
        <v>2</v>
      </c>
      <c r="D23" s="198">
        <f>'HARDWARE STORES'!N28</f>
        <v>2</v>
      </c>
      <c r="E23" s="257">
        <f t="shared" ref="E23:E25" si="2">SUM(C23:D23)</f>
        <v>4</v>
      </c>
      <c r="F23" s="17"/>
      <c r="G23" s="17"/>
      <c r="H23" s="17"/>
      <c r="I23" s="257">
        <f t="shared" ref="I23:I25" si="3">SUM(F23:H23)</f>
        <v>0</v>
      </c>
    </row>
    <row r="24" spans="1:9" ht="18" customHeight="1" x14ac:dyDescent="0.25">
      <c r="A24" s="178" t="s">
        <v>1395</v>
      </c>
      <c r="B24" s="17">
        <f>B23*B25</f>
        <v>575</v>
      </c>
      <c r="C24" s="17"/>
      <c r="D24" s="17"/>
      <c r="E24" s="257">
        <f t="shared" si="2"/>
        <v>0</v>
      </c>
      <c r="F24" s="17"/>
      <c r="G24" s="17"/>
      <c r="H24" s="17"/>
      <c r="I24" s="257">
        <f t="shared" si="3"/>
        <v>0</v>
      </c>
    </row>
    <row r="25" spans="1:9" ht="18" customHeight="1" x14ac:dyDescent="0.25">
      <c r="A25" s="178" t="s">
        <v>1394</v>
      </c>
      <c r="B25" s="424">
        <f>PRODUCERS!R135</f>
        <v>115</v>
      </c>
      <c r="C25" s="17"/>
      <c r="D25" s="17"/>
      <c r="E25" s="257">
        <f t="shared" si="2"/>
        <v>0</v>
      </c>
      <c r="F25" s="17"/>
      <c r="G25" s="17"/>
      <c r="H25" s="17"/>
      <c r="I25" s="257">
        <f t="shared" si="3"/>
        <v>0</v>
      </c>
    </row>
  </sheetData>
  <mergeCells count="3">
    <mergeCell ref="B8:B9"/>
    <mergeCell ref="C8:E8"/>
    <mergeCell ref="F8:I8"/>
  </mergeCells>
  <printOptions horizontalCentered="1"/>
  <pageMargins left="0.75" right="0.75" top="0.75" bottom="0.75" header="0.3" footer="0.3"/>
  <pageSetup paperSize="9" scale="75" orientation="portrait" r:id="rId1"/>
  <ignoredErrors>
    <ignoredError sqref="E12"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5"/>
  <sheetViews>
    <sheetView zoomScale="80" zoomScaleNormal="80" workbookViewId="0">
      <selection activeCell="A3" sqref="A3"/>
    </sheetView>
  </sheetViews>
  <sheetFormatPr defaultColWidth="9.140625" defaultRowHeight="12.75" x14ac:dyDescent="0.25"/>
  <cols>
    <col min="1" max="1" width="5.7109375" style="1075" customWidth="1"/>
    <col min="2" max="2" width="25.7109375" style="1075" customWidth="1"/>
    <col min="3" max="13" width="10.7109375" style="1075" customWidth="1"/>
    <col min="14" max="16384" width="9.140625" style="1075"/>
  </cols>
  <sheetData>
    <row r="1" spans="1:26" ht="18.75" x14ac:dyDescent="0.25">
      <c r="A1" s="1" t="s">
        <v>363</v>
      </c>
      <c r="B1" s="2"/>
      <c r="C1" s="2"/>
      <c r="D1" s="3"/>
      <c r="E1" s="3"/>
      <c r="F1" s="3"/>
      <c r="G1" s="5" t="s">
        <v>883</v>
      </c>
    </row>
    <row r="2" spans="1:26" ht="9.9499999999999993" customHeight="1" x14ac:dyDescent="0.25">
      <c r="A2" s="2"/>
      <c r="B2" s="2"/>
      <c r="C2" s="2"/>
      <c r="D2" s="3"/>
      <c r="E2" s="3"/>
      <c r="F2" s="3"/>
      <c r="G2" s="2"/>
    </row>
    <row r="3" spans="1:26" ht="17.100000000000001" customHeight="1" x14ac:dyDescent="0.25">
      <c r="A3" s="444" t="str">
        <f>'STUDY VILLAGES'!U7</f>
        <v>KAMPOT PROVINCE</v>
      </c>
      <c r="B3" s="2"/>
      <c r="C3" s="2"/>
      <c r="D3" s="3"/>
      <c r="E3" s="3"/>
      <c r="F3" s="3"/>
      <c r="G3" s="444" t="str">
        <f>'STUDY VILLAGES'!U8</f>
        <v>BANTEAY MEAS DISTRICT</v>
      </c>
    </row>
    <row r="4" spans="1:26" ht="17.100000000000001" customHeight="1" x14ac:dyDescent="0.25">
      <c r="A4" s="3"/>
      <c r="B4" s="2"/>
      <c r="C4" s="2"/>
      <c r="D4" s="3"/>
      <c r="E4" s="3"/>
      <c r="F4" s="3"/>
      <c r="G4" s="2"/>
    </row>
    <row r="5" spans="1:26" ht="17.100000000000001" customHeight="1" x14ac:dyDescent="0.25"/>
    <row r="6" spans="1:26" s="1076" customFormat="1" ht="51" x14ac:dyDescent="0.25">
      <c r="A6" s="1001"/>
      <c r="B6" s="1002" t="s">
        <v>1501</v>
      </c>
      <c r="C6" s="1003" t="s">
        <v>1502</v>
      </c>
      <c r="D6" s="1003" t="s">
        <v>1503</v>
      </c>
      <c r="E6" s="1003" t="s">
        <v>1504</v>
      </c>
      <c r="F6" s="1072" t="s">
        <v>1541</v>
      </c>
      <c r="G6" s="1072" t="s">
        <v>1542</v>
      </c>
      <c r="H6" s="1072" t="s">
        <v>1543</v>
      </c>
      <c r="I6" s="1003" t="s">
        <v>1505</v>
      </c>
      <c r="J6" s="1073" t="s">
        <v>1506</v>
      </c>
      <c r="K6" s="1074" t="s">
        <v>1544</v>
      </c>
      <c r="L6" s="1003"/>
      <c r="M6" s="1003"/>
      <c r="O6" s="1366" t="s">
        <v>1507</v>
      </c>
      <c r="P6" s="1366"/>
      <c r="R6" s="1366" t="s">
        <v>1508</v>
      </c>
      <c r="S6" s="1366"/>
      <c r="V6" s="1366" t="s">
        <v>1505</v>
      </c>
      <c r="W6" s="1366"/>
      <c r="Y6" s="1366" t="s">
        <v>1503</v>
      </c>
      <c r="Z6" s="1366"/>
    </row>
    <row r="7" spans="1:26" ht="17.100000000000001" customHeight="1" x14ac:dyDescent="0.25">
      <c r="A7" s="1004"/>
      <c r="B7" s="1003"/>
      <c r="C7" s="1003" t="s">
        <v>1509</v>
      </c>
      <c r="D7" s="1003" t="s">
        <v>1510</v>
      </c>
      <c r="E7" s="1003" t="s">
        <v>1510</v>
      </c>
      <c r="F7" s="1003" t="s">
        <v>1509</v>
      </c>
      <c r="G7" s="1003" t="s">
        <v>1509</v>
      </c>
      <c r="H7" s="1002"/>
      <c r="I7" s="1005"/>
      <c r="J7" s="1003"/>
      <c r="K7" s="1003"/>
      <c r="L7" s="1003"/>
      <c r="M7" s="1006"/>
      <c r="O7" s="1007" t="s">
        <v>735</v>
      </c>
      <c r="P7" s="1007" t="s">
        <v>556</v>
      </c>
      <c r="R7" s="1007" t="s">
        <v>1505</v>
      </c>
      <c r="S7" s="1007" t="s">
        <v>1511</v>
      </c>
      <c r="V7" s="1007" t="s">
        <v>735</v>
      </c>
      <c r="W7" s="1007" t="s">
        <v>556</v>
      </c>
      <c r="Y7" s="1007" t="s">
        <v>1511</v>
      </c>
      <c r="Z7" s="1007" t="s">
        <v>1512</v>
      </c>
    </row>
    <row r="8" spans="1:26" ht="17.100000000000001" customHeight="1" x14ac:dyDescent="0.25">
      <c r="A8" s="1026" t="s">
        <v>1069</v>
      </c>
      <c r="B8" s="1027" t="s">
        <v>1526</v>
      </c>
      <c r="C8" s="1028">
        <v>1</v>
      </c>
      <c r="D8" s="1029">
        <v>1</v>
      </c>
      <c r="E8" s="1030">
        <v>0.18</v>
      </c>
      <c r="F8" s="1031"/>
      <c r="G8" s="1032"/>
      <c r="H8" s="1033" t="s">
        <v>1525</v>
      </c>
      <c r="I8" s="1034">
        <v>1268</v>
      </c>
      <c r="J8" s="1033">
        <v>5</v>
      </c>
      <c r="K8" s="1035">
        <v>2</v>
      </c>
      <c r="L8" s="1010"/>
      <c r="M8" s="1010"/>
      <c r="O8" s="1011">
        <f>I8*E8</f>
        <v>228.23999999999998</v>
      </c>
      <c r="P8" s="1011">
        <f>I8-O8</f>
        <v>1039.76</v>
      </c>
      <c r="R8" s="1012">
        <f>I8</f>
        <v>1268</v>
      </c>
      <c r="S8" s="1012">
        <f>I8*D8</f>
        <v>1268</v>
      </c>
      <c r="V8" s="1012">
        <f>I8*E8</f>
        <v>228.23999999999998</v>
      </c>
      <c r="W8" s="1012">
        <f>I8-V8</f>
        <v>1039.76</v>
      </c>
      <c r="Y8" s="1012">
        <f>D8*I8</f>
        <v>1268</v>
      </c>
      <c r="Z8" s="1012">
        <f>I8-Y8</f>
        <v>0</v>
      </c>
    </row>
    <row r="9" spans="1:26" ht="17.100000000000001" customHeight="1" x14ac:dyDescent="0.25">
      <c r="A9" s="1036" t="s">
        <v>1068</v>
      </c>
      <c r="B9" s="1037" t="s">
        <v>1524</v>
      </c>
      <c r="C9" s="1038">
        <v>1</v>
      </c>
      <c r="D9" s="1039">
        <v>1</v>
      </c>
      <c r="E9" s="1008">
        <v>0.12</v>
      </c>
      <c r="F9" s="1040"/>
      <c r="G9" s="1041"/>
      <c r="H9" s="1042" t="s">
        <v>1525</v>
      </c>
      <c r="I9" s="1043">
        <v>1016</v>
      </c>
      <c r="J9" s="1042">
        <v>5</v>
      </c>
      <c r="K9" s="1009">
        <v>2</v>
      </c>
      <c r="L9" s="1010"/>
      <c r="M9" s="1010"/>
      <c r="N9" s="1013"/>
      <c r="O9" s="1011">
        <f t="shared" ref="O9:O13" si="0">I9*E9</f>
        <v>121.92</v>
      </c>
      <c r="P9" s="1011">
        <f t="shared" ref="P9:P13" si="1">I9-O9</f>
        <v>894.08</v>
      </c>
      <c r="R9" s="1012">
        <f t="shared" ref="R9:R13" si="2">I9</f>
        <v>1016</v>
      </c>
      <c r="S9" s="1012">
        <f t="shared" ref="S9:S13" si="3">I9*D9</f>
        <v>1016</v>
      </c>
      <c r="V9" s="1012">
        <f t="shared" ref="V9:V22" si="4">I9*E9</f>
        <v>121.92</v>
      </c>
      <c r="W9" s="1012">
        <f t="shared" ref="W9:W22" si="5">I9-V9</f>
        <v>894.08</v>
      </c>
      <c r="Y9" s="1012">
        <f t="shared" ref="Y9:Y22" si="6">D9*I9</f>
        <v>1016</v>
      </c>
      <c r="Z9" s="1012">
        <f t="shared" ref="Z9:Z22" si="7">I9-Y9</f>
        <v>0</v>
      </c>
    </row>
    <row r="10" spans="1:26" ht="17.100000000000001" customHeight="1" x14ac:dyDescent="0.25">
      <c r="A10" s="1026" t="s">
        <v>1072</v>
      </c>
      <c r="B10" s="1037" t="s">
        <v>1529</v>
      </c>
      <c r="C10" s="1038">
        <v>1</v>
      </c>
      <c r="D10" s="1039">
        <v>0.51</v>
      </c>
      <c r="E10" s="1008">
        <v>0.13</v>
      </c>
      <c r="F10" s="1040"/>
      <c r="G10" s="1041"/>
      <c r="H10" s="1045" t="s">
        <v>1530</v>
      </c>
      <c r="I10" s="1046">
        <v>720</v>
      </c>
      <c r="J10" s="1042">
        <v>4</v>
      </c>
      <c r="K10" s="1009">
        <v>1</v>
      </c>
      <c r="L10" s="1010"/>
      <c r="M10" s="1010"/>
      <c r="N10" s="1013"/>
      <c r="O10" s="1011">
        <f t="shared" si="0"/>
        <v>93.600000000000009</v>
      </c>
      <c r="P10" s="1011">
        <f t="shared" si="1"/>
        <v>626.4</v>
      </c>
      <c r="R10" s="1012">
        <f t="shared" si="2"/>
        <v>720</v>
      </c>
      <c r="S10" s="1012">
        <f t="shared" si="3"/>
        <v>367.2</v>
      </c>
      <c r="V10" s="1012">
        <f t="shared" si="4"/>
        <v>93.600000000000009</v>
      </c>
      <c r="W10" s="1012">
        <f t="shared" si="5"/>
        <v>626.4</v>
      </c>
      <c r="Y10" s="1012">
        <f t="shared" si="6"/>
        <v>367.2</v>
      </c>
      <c r="Z10" s="1012">
        <f t="shared" si="7"/>
        <v>352.8</v>
      </c>
    </row>
    <row r="11" spans="1:26" ht="17.100000000000001" customHeight="1" x14ac:dyDescent="0.25">
      <c r="A11" s="1036" t="s">
        <v>1073</v>
      </c>
      <c r="B11" s="1037" t="s">
        <v>1531</v>
      </c>
      <c r="C11" s="1038">
        <v>1</v>
      </c>
      <c r="D11" s="1039">
        <v>0.43</v>
      </c>
      <c r="E11" s="1008">
        <v>0.22</v>
      </c>
      <c r="F11" s="1040"/>
      <c r="G11" s="1044"/>
      <c r="H11" s="1042"/>
      <c r="I11" s="1043">
        <v>1748</v>
      </c>
      <c r="J11" s="1042">
        <v>8</v>
      </c>
      <c r="K11" s="1009">
        <v>3</v>
      </c>
      <c r="L11" s="1010"/>
      <c r="M11" s="1010"/>
      <c r="N11" s="1013"/>
      <c r="O11" s="1011">
        <f t="shared" si="0"/>
        <v>384.56</v>
      </c>
      <c r="P11" s="1011">
        <f t="shared" si="1"/>
        <v>1363.44</v>
      </c>
      <c r="R11" s="1012">
        <f t="shared" si="2"/>
        <v>1748</v>
      </c>
      <c r="S11" s="1012">
        <f t="shared" si="3"/>
        <v>751.64</v>
      </c>
      <c r="V11" s="1012">
        <f t="shared" si="4"/>
        <v>384.56</v>
      </c>
      <c r="W11" s="1012">
        <f t="shared" si="5"/>
        <v>1363.44</v>
      </c>
      <c r="Y11" s="1012">
        <f t="shared" si="6"/>
        <v>751.64</v>
      </c>
      <c r="Z11" s="1012">
        <f t="shared" si="7"/>
        <v>996.36</v>
      </c>
    </row>
    <row r="12" spans="1:26" ht="17.100000000000001" customHeight="1" x14ac:dyDescent="0.25">
      <c r="A12" s="1026" t="s">
        <v>1070</v>
      </c>
      <c r="B12" s="1037" t="s">
        <v>1527</v>
      </c>
      <c r="C12" s="1038">
        <v>1</v>
      </c>
      <c r="D12" s="1039">
        <v>0.93</v>
      </c>
      <c r="E12" s="1008">
        <v>0.1</v>
      </c>
      <c r="F12" s="1040"/>
      <c r="G12" s="1044"/>
      <c r="H12" s="1042" t="s">
        <v>1525</v>
      </c>
      <c r="I12" s="1043">
        <v>1180</v>
      </c>
      <c r="J12" s="1042">
        <v>6</v>
      </c>
      <c r="K12" s="1009">
        <v>2</v>
      </c>
      <c r="L12" s="1010"/>
      <c r="M12" s="1010"/>
      <c r="N12" s="1013"/>
      <c r="O12" s="1011">
        <f t="shared" si="0"/>
        <v>118</v>
      </c>
      <c r="P12" s="1011">
        <f t="shared" si="1"/>
        <v>1062</v>
      </c>
      <c r="R12" s="1012">
        <f t="shared" si="2"/>
        <v>1180</v>
      </c>
      <c r="S12" s="1012">
        <f t="shared" si="3"/>
        <v>1097.4000000000001</v>
      </c>
      <c r="V12" s="1012">
        <f t="shared" si="4"/>
        <v>118</v>
      </c>
      <c r="W12" s="1012">
        <f t="shared" si="5"/>
        <v>1062</v>
      </c>
      <c r="Y12" s="1012">
        <f t="shared" si="6"/>
        <v>1097.4000000000001</v>
      </c>
      <c r="Z12" s="1012">
        <f t="shared" si="7"/>
        <v>82.599999999999909</v>
      </c>
    </row>
    <row r="13" spans="1:26" ht="17.100000000000001" customHeight="1" x14ac:dyDescent="0.25">
      <c r="A13" s="1036" t="s">
        <v>1071</v>
      </c>
      <c r="B13" s="1037" t="s">
        <v>1528</v>
      </c>
      <c r="C13" s="1038">
        <v>1</v>
      </c>
      <c r="D13" s="1039">
        <v>0.73</v>
      </c>
      <c r="E13" s="1008">
        <v>0.14000000000000001</v>
      </c>
      <c r="F13" s="1040"/>
      <c r="G13" s="1041"/>
      <c r="H13" s="1042" t="s">
        <v>1525</v>
      </c>
      <c r="I13" s="1043">
        <v>1513</v>
      </c>
      <c r="J13" s="1042">
        <v>5</v>
      </c>
      <c r="K13" s="1009">
        <v>2</v>
      </c>
      <c r="L13" s="1010"/>
      <c r="M13" s="1010"/>
      <c r="N13" s="1013"/>
      <c r="O13" s="1011">
        <f t="shared" si="0"/>
        <v>211.82000000000002</v>
      </c>
      <c r="P13" s="1011">
        <f t="shared" si="1"/>
        <v>1301.18</v>
      </c>
      <c r="R13" s="1012">
        <f t="shared" si="2"/>
        <v>1513</v>
      </c>
      <c r="S13" s="1012">
        <f t="shared" si="3"/>
        <v>1104.49</v>
      </c>
      <c r="V13" s="1012">
        <f t="shared" si="4"/>
        <v>211.82000000000002</v>
      </c>
      <c r="W13" s="1012">
        <f t="shared" si="5"/>
        <v>1301.18</v>
      </c>
      <c r="Y13" s="1012">
        <f t="shared" si="6"/>
        <v>1104.49</v>
      </c>
      <c r="Z13" s="1012">
        <f t="shared" si="7"/>
        <v>408.51</v>
      </c>
    </row>
    <row r="14" spans="1:26" ht="17.100000000000001" customHeight="1" x14ac:dyDescent="0.25">
      <c r="A14" s="1047" t="s">
        <v>1074</v>
      </c>
      <c r="B14" s="1048" t="s">
        <v>1532</v>
      </c>
      <c r="C14" s="1049"/>
      <c r="D14" s="1050">
        <v>1</v>
      </c>
      <c r="E14" s="1014">
        <v>0.21</v>
      </c>
      <c r="F14" s="1051"/>
      <c r="G14" s="1052"/>
      <c r="H14" s="1053"/>
      <c r="I14" s="1054">
        <v>1211</v>
      </c>
      <c r="J14" s="1055">
        <v>5</v>
      </c>
      <c r="K14" s="1056"/>
      <c r="L14" s="1015"/>
      <c r="M14" s="1015"/>
      <c r="N14" s="1013"/>
      <c r="O14" s="1077"/>
      <c r="P14" s="1077"/>
      <c r="R14" s="1012"/>
      <c r="S14" s="1012"/>
      <c r="V14" s="1012">
        <f t="shared" si="4"/>
        <v>254.31</v>
      </c>
      <c r="W14" s="1012">
        <f t="shared" si="5"/>
        <v>956.69</v>
      </c>
      <c r="Y14" s="1012">
        <f t="shared" si="6"/>
        <v>1211</v>
      </c>
      <c r="Z14" s="1012">
        <f t="shared" si="7"/>
        <v>0</v>
      </c>
    </row>
    <row r="15" spans="1:26" ht="17.100000000000001" customHeight="1" x14ac:dyDescent="0.25">
      <c r="A15" s="1057" t="s">
        <v>1513</v>
      </c>
      <c r="B15" s="1048" t="s">
        <v>1533</v>
      </c>
      <c r="C15" s="1049"/>
      <c r="D15" s="1050">
        <v>0.97</v>
      </c>
      <c r="E15" s="1014">
        <v>0.22</v>
      </c>
      <c r="F15" s="1051"/>
      <c r="G15" s="1052"/>
      <c r="H15" s="1053"/>
      <c r="I15" s="1054">
        <v>1371</v>
      </c>
      <c r="J15" s="1055">
        <v>5</v>
      </c>
      <c r="K15" s="1056"/>
      <c r="L15" s="1015"/>
      <c r="M15" s="1015"/>
      <c r="N15" s="1013"/>
      <c r="O15" s="1077"/>
      <c r="P15" s="1077"/>
      <c r="R15" s="1012"/>
      <c r="S15" s="1012"/>
      <c r="V15" s="1012">
        <f t="shared" si="4"/>
        <v>301.62</v>
      </c>
      <c r="W15" s="1012">
        <f t="shared" si="5"/>
        <v>1069.3800000000001</v>
      </c>
      <c r="Y15" s="1012">
        <f t="shared" si="6"/>
        <v>1329.87</v>
      </c>
      <c r="Z15" s="1012">
        <f t="shared" si="7"/>
        <v>41.130000000000109</v>
      </c>
    </row>
    <row r="16" spans="1:26" ht="17.100000000000001" customHeight="1" x14ac:dyDescent="0.25">
      <c r="A16" s="1047" t="s">
        <v>1514</v>
      </c>
      <c r="B16" s="1048" t="s">
        <v>1534</v>
      </c>
      <c r="C16" s="1049"/>
      <c r="D16" s="1050">
        <v>0.94</v>
      </c>
      <c r="E16" s="1014">
        <v>0.18</v>
      </c>
      <c r="F16" s="1051"/>
      <c r="G16" s="1052"/>
      <c r="H16" s="1053"/>
      <c r="I16" s="1054">
        <v>1343</v>
      </c>
      <c r="J16" s="1055">
        <v>6</v>
      </c>
      <c r="K16" s="1056"/>
      <c r="L16" s="1015"/>
      <c r="M16" s="1015"/>
      <c r="N16" s="1013"/>
      <c r="O16" s="1077"/>
      <c r="P16" s="1077"/>
      <c r="R16" s="1012"/>
      <c r="S16" s="1012"/>
      <c r="V16" s="1012">
        <f t="shared" si="4"/>
        <v>241.73999999999998</v>
      </c>
      <c r="W16" s="1012">
        <f t="shared" si="5"/>
        <v>1101.26</v>
      </c>
      <c r="Y16" s="1012">
        <f t="shared" si="6"/>
        <v>1262.4199999999998</v>
      </c>
      <c r="Z16" s="1012">
        <f t="shared" si="7"/>
        <v>80.580000000000155</v>
      </c>
    </row>
    <row r="17" spans="1:27" ht="17.100000000000001" customHeight="1" x14ac:dyDescent="0.25">
      <c r="A17" s="1057" t="s">
        <v>1515</v>
      </c>
      <c r="B17" s="1048" t="s">
        <v>1535</v>
      </c>
      <c r="C17" s="1049"/>
      <c r="D17" s="1050">
        <v>0.94</v>
      </c>
      <c r="E17" s="1058">
        <v>0.1</v>
      </c>
      <c r="F17" s="1051"/>
      <c r="G17" s="1052"/>
      <c r="H17" s="1053"/>
      <c r="I17" s="1054">
        <v>1765</v>
      </c>
      <c r="J17" s="1055">
        <v>9</v>
      </c>
      <c r="K17" s="1056"/>
      <c r="L17" s="1015"/>
      <c r="M17" s="1015"/>
      <c r="N17" s="1013"/>
      <c r="O17" s="1077"/>
      <c r="P17" s="1077"/>
      <c r="R17" s="1012"/>
      <c r="S17" s="1012"/>
      <c r="V17" s="1012">
        <f t="shared" si="4"/>
        <v>176.5</v>
      </c>
      <c r="W17" s="1012">
        <f t="shared" si="5"/>
        <v>1588.5</v>
      </c>
      <c r="Y17" s="1012">
        <f t="shared" si="6"/>
        <v>1659.1</v>
      </c>
      <c r="Z17" s="1012">
        <f t="shared" si="7"/>
        <v>105.90000000000009</v>
      </c>
    </row>
    <row r="18" spans="1:27" ht="17.100000000000001" customHeight="1" x14ac:dyDescent="0.25">
      <c r="A18" s="1047" t="s">
        <v>1516</v>
      </c>
      <c r="B18" s="1059" t="s">
        <v>1536</v>
      </c>
      <c r="C18" s="1049"/>
      <c r="D18" s="1050">
        <v>0.7</v>
      </c>
      <c r="E18" s="1058">
        <v>0.14000000000000001</v>
      </c>
      <c r="F18" s="1051"/>
      <c r="G18" s="1052"/>
      <c r="H18" s="1060" t="s">
        <v>1530</v>
      </c>
      <c r="I18" s="1054">
        <v>1926</v>
      </c>
      <c r="J18" s="1055">
        <v>8</v>
      </c>
      <c r="K18" s="1056"/>
      <c r="L18" s="1015"/>
      <c r="M18" s="1015"/>
      <c r="N18" s="1013"/>
      <c r="O18" s="1077"/>
      <c r="P18" s="1077"/>
      <c r="R18" s="1012"/>
      <c r="S18" s="1012"/>
      <c r="V18" s="1012">
        <f t="shared" si="4"/>
        <v>269.64000000000004</v>
      </c>
      <c r="W18" s="1012">
        <f t="shared" si="5"/>
        <v>1656.36</v>
      </c>
      <c r="Y18" s="1012">
        <f t="shared" si="6"/>
        <v>1348.1999999999998</v>
      </c>
      <c r="Z18" s="1012">
        <f t="shared" si="7"/>
        <v>577.80000000000018</v>
      </c>
    </row>
    <row r="19" spans="1:27" ht="17.100000000000001" customHeight="1" x14ac:dyDescent="0.25">
      <c r="A19" s="1057" t="s">
        <v>1517</v>
      </c>
      <c r="B19" s="1048" t="s">
        <v>1537</v>
      </c>
      <c r="C19" s="1049"/>
      <c r="D19" s="1050">
        <v>0.68</v>
      </c>
      <c r="E19" s="1014">
        <v>0.12</v>
      </c>
      <c r="F19" s="1051"/>
      <c r="G19" s="1052"/>
      <c r="H19" s="1053"/>
      <c r="I19" s="1054">
        <v>2413</v>
      </c>
      <c r="J19" s="1055">
        <v>8</v>
      </c>
      <c r="K19" s="1056"/>
      <c r="L19" s="1015"/>
      <c r="M19" s="1015"/>
      <c r="N19" s="1013"/>
      <c r="O19" s="1077"/>
      <c r="P19" s="1077"/>
      <c r="R19" s="1012"/>
      <c r="S19" s="1012"/>
      <c r="V19" s="1012">
        <f t="shared" si="4"/>
        <v>289.56</v>
      </c>
      <c r="W19" s="1012">
        <f t="shared" si="5"/>
        <v>2123.44</v>
      </c>
      <c r="Y19" s="1012">
        <f t="shared" si="6"/>
        <v>1640.8400000000001</v>
      </c>
      <c r="Z19" s="1012">
        <f t="shared" si="7"/>
        <v>772.15999999999985</v>
      </c>
    </row>
    <row r="20" spans="1:27" ht="17.100000000000001" customHeight="1" x14ac:dyDescent="0.25">
      <c r="A20" s="1047" t="s">
        <v>1518</v>
      </c>
      <c r="B20" s="1059" t="s">
        <v>1538</v>
      </c>
      <c r="C20" s="1049"/>
      <c r="D20" s="1050">
        <v>0.68</v>
      </c>
      <c r="E20" s="1014">
        <v>0.14000000000000001</v>
      </c>
      <c r="F20" s="1051"/>
      <c r="G20" s="1052"/>
      <c r="H20" s="1053"/>
      <c r="I20" s="1061">
        <v>957</v>
      </c>
      <c r="J20" s="1055">
        <v>5</v>
      </c>
      <c r="K20" s="1056"/>
      <c r="L20" s="1015"/>
      <c r="M20" s="1015"/>
      <c r="N20" s="1013"/>
      <c r="O20" s="1077"/>
      <c r="P20" s="1077"/>
      <c r="R20" s="1012"/>
      <c r="S20" s="1012"/>
      <c r="V20" s="1012">
        <f t="shared" si="4"/>
        <v>133.98000000000002</v>
      </c>
      <c r="W20" s="1012">
        <f t="shared" si="5"/>
        <v>823.02</v>
      </c>
      <c r="Y20" s="1012">
        <f t="shared" si="6"/>
        <v>650.76</v>
      </c>
      <c r="Z20" s="1012">
        <f t="shared" si="7"/>
        <v>306.24</v>
      </c>
    </row>
    <row r="21" spans="1:27" ht="17.100000000000001" customHeight="1" x14ac:dyDescent="0.25">
      <c r="A21" s="1057" t="s">
        <v>1519</v>
      </c>
      <c r="B21" s="1059" t="s">
        <v>1539</v>
      </c>
      <c r="C21" s="1049"/>
      <c r="D21" s="1050">
        <v>0.55000000000000004</v>
      </c>
      <c r="E21" s="1014">
        <v>0.22</v>
      </c>
      <c r="F21" s="1051"/>
      <c r="G21" s="1052"/>
      <c r="H21" s="1053"/>
      <c r="I21" s="1054">
        <v>1451</v>
      </c>
      <c r="J21" s="1055">
        <v>4</v>
      </c>
      <c r="K21" s="1056"/>
      <c r="L21" s="1015"/>
      <c r="M21" s="1015"/>
      <c r="N21" s="1013"/>
      <c r="O21" s="1077"/>
      <c r="P21" s="1077"/>
      <c r="R21" s="1012"/>
      <c r="S21" s="1012"/>
      <c r="V21" s="1012">
        <f t="shared" si="4"/>
        <v>319.22000000000003</v>
      </c>
      <c r="W21" s="1012">
        <f t="shared" si="5"/>
        <v>1131.78</v>
      </c>
      <c r="Y21" s="1012">
        <f t="shared" si="6"/>
        <v>798.05000000000007</v>
      </c>
      <c r="Z21" s="1012">
        <f t="shared" si="7"/>
        <v>652.94999999999993</v>
      </c>
    </row>
    <row r="22" spans="1:27" ht="17.100000000000001" customHeight="1" x14ac:dyDescent="0.25">
      <c r="A22" s="1047" t="s">
        <v>1520</v>
      </c>
      <c r="B22" s="1062" t="s">
        <v>1540</v>
      </c>
      <c r="C22" s="1063"/>
      <c r="D22" s="1064">
        <v>0.38</v>
      </c>
      <c r="E22" s="1065">
        <v>0.23</v>
      </c>
      <c r="F22" s="1066"/>
      <c r="G22" s="1067"/>
      <c r="H22" s="1068"/>
      <c r="I22" s="1069">
        <v>627</v>
      </c>
      <c r="J22" s="1070">
        <v>5</v>
      </c>
      <c r="K22" s="1071"/>
      <c r="L22" s="1015"/>
      <c r="M22" s="1015"/>
      <c r="N22" s="1013"/>
      <c r="O22" s="1077"/>
      <c r="P22" s="1077"/>
      <c r="R22" s="1012"/>
      <c r="S22" s="1012"/>
      <c r="V22" s="1012">
        <f t="shared" si="4"/>
        <v>144.21</v>
      </c>
      <c r="W22" s="1012">
        <f t="shared" si="5"/>
        <v>482.78999999999996</v>
      </c>
      <c r="Y22" s="1012">
        <f t="shared" si="6"/>
        <v>238.26</v>
      </c>
      <c r="Z22" s="1012">
        <f t="shared" si="7"/>
        <v>388.74</v>
      </c>
    </row>
    <row r="23" spans="1:27" ht="17.100000000000001" customHeight="1" x14ac:dyDescent="0.25">
      <c r="A23" s="1077"/>
      <c r="B23" s="1016" t="s">
        <v>320</v>
      </c>
      <c r="C23" s="1017">
        <f>SUM(C8:C22)</f>
        <v>6</v>
      </c>
      <c r="D23" s="1012"/>
      <c r="E23" s="1018"/>
      <c r="F23" s="1017">
        <f t="shared" ref="F23:G23" si="8">SUM(F8:F22)</f>
        <v>0</v>
      </c>
      <c r="G23" s="1017">
        <f t="shared" si="8"/>
        <v>0</v>
      </c>
      <c r="H23" s="1017"/>
      <c r="I23" s="1017">
        <f t="shared" ref="I23:K23" si="9">SUM(I8:I22)</f>
        <v>20509</v>
      </c>
      <c r="J23" s="1017">
        <f t="shared" si="9"/>
        <v>88</v>
      </c>
      <c r="K23" s="1017">
        <f t="shared" si="9"/>
        <v>12</v>
      </c>
      <c r="L23" s="1017"/>
      <c r="M23" s="1017"/>
      <c r="O23" s="1017">
        <f t="shared" ref="O23:P23" si="10">SUM(O8:O22)</f>
        <v>1158.1399999999999</v>
      </c>
      <c r="P23" s="1017">
        <f t="shared" si="10"/>
        <v>6286.8600000000006</v>
      </c>
      <c r="R23" s="1017">
        <f t="shared" ref="R23:S23" si="11">SUM(R8:R22)</f>
        <v>7445</v>
      </c>
      <c r="S23" s="1017">
        <f t="shared" si="11"/>
        <v>5604.73</v>
      </c>
      <c r="T23" s="1019">
        <f>S23/R23</f>
        <v>0.75281799865681664</v>
      </c>
      <c r="V23" s="1017">
        <f t="shared" ref="V23:W23" si="12">SUM(V8:V22)</f>
        <v>3288.9199999999992</v>
      </c>
      <c r="W23" s="1017">
        <f t="shared" si="12"/>
        <v>17220.080000000002</v>
      </c>
      <c r="Y23" s="1017">
        <f t="shared" ref="Y23:Z23" si="13">SUM(Y8:Y22)</f>
        <v>15743.23</v>
      </c>
      <c r="Z23" s="1017">
        <f t="shared" si="13"/>
        <v>4765.7699999999995</v>
      </c>
      <c r="AA23" s="1017">
        <f>Z23+Y23</f>
        <v>20509</v>
      </c>
    </row>
    <row r="24" spans="1:27" ht="17.100000000000001" customHeight="1" x14ac:dyDescent="0.25">
      <c r="D24" s="1020"/>
      <c r="E24" s="1020"/>
      <c r="O24" s="1367">
        <f>O23+P23</f>
        <v>7445</v>
      </c>
      <c r="P24" s="1368"/>
    </row>
    <row r="25" spans="1:27" ht="17.100000000000001" customHeight="1" x14ac:dyDescent="0.25">
      <c r="B25" s="1021" t="s">
        <v>1521</v>
      </c>
      <c r="C25" s="1022"/>
      <c r="D25" s="1023">
        <f>Y25</f>
        <v>0.76762543273684725</v>
      </c>
      <c r="E25" s="1023">
        <f>W25</f>
        <v>0.16036471792871418</v>
      </c>
      <c r="K25" s="1024">
        <f>K23/I23</f>
        <v>5.8510897654688186E-4</v>
      </c>
      <c r="P25" s="1024">
        <f>O23/O24</f>
        <v>0.15555943586299528</v>
      </c>
      <c r="W25" s="1024">
        <f>V23/I23</f>
        <v>0.16036471792871418</v>
      </c>
      <c r="Y25" s="1024">
        <f>Y23/AA23</f>
        <v>0.76762543273684725</v>
      </c>
    </row>
    <row r="27" spans="1:27" x14ac:dyDescent="0.25">
      <c r="D27" s="1025" t="s">
        <v>1522</v>
      </c>
    </row>
    <row r="28" spans="1:27" x14ac:dyDescent="0.25">
      <c r="D28" s="1025" t="s">
        <v>1523</v>
      </c>
    </row>
    <row r="35" spans="9:9" x14ac:dyDescent="0.25">
      <c r="I35" s="1075">
        <f>I23*0.85</f>
        <v>17432.649999999998</v>
      </c>
    </row>
  </sheetData>
  <sortState ref="A8:M13">
    <sortCondition ref="B8:B13"/>
  </sortState>
  <mergeCells count="5">
    <mergeCell ref="O6:P6"/>
    <mergeCell ref="R6:S6"/>
    <mergeCell ref="V6:W6"/>
    <mergeCell ref="Y6:Z6"/>
    <mergeCell ref="O24:P2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BU672"/>
  <sheetViews>
    <sheetView zoomScale="80" zoomScaleNormal="80" workbookViewId="0">
      <pane xSplit="6" ySplit="9" topLeftCell="G10" activePane="bottomRight" state="frozen"/>
      <selection activeCell="A2" sqref="A2"/>
      <selection pane="topRight" activeCell="A2" sqref="A2"/>
      <selection pane="bottomLeft" activeCell="A2" sqref="A2"/>
      <selection pane="bottomRight" activeCell="G5" sqref="G5"/>
    </sheetView>
  </sheetViews>
  <sheetFormatPr defaultRowHeight="16.5" customHeight="1" x14ac:dyDescent="0.25"/>
  <cols>
    <col min="1" max="2" width="4.7109375" style="2" customWidth="1"/>
    <col min="3" max="3" width="6.7109375" style="2" customWidth="1"/>
    <col min="4" max="4" width="7.7109375" style="3" customWidth="1"/>
    <col min="5" max="5" width="4.7109375" style="3" customWidth="1"/>
    <col min="6" max="6" width="35.7109375" style="3" customWidth="1"/>
    <col min="7" max="7" width="10.140625" style="2" customWidth="1"/>
    <col min="8" max="38" width="10.140625" style="3" customWidth="1"/>
    <col min="39" max="39" width="9.140625" style="3"/>
    <col min="40" max="40" width="14.28515625" style="3" bestFit="1" customWidth="1"/>
    <col min="41" max="42" width="10.140625" style="3" bestFit="1" customWidth="1"/>
    <col min="43" max="16384" width="9.140625" style="3"/>
  </cols>
  <sheetData>
    <row r="1" spans="1:38" ht="16.5" customHeight="1" x14ac:dyDescent="0.25">
      <c r="A1" s="1" t="s">
        <v>363</v>
      </c>
      <c r="G1" s="5" t="s">
        <v>883</v>
      </c>
    </row>
    <row r="2" spans="1:38" ht="9.9499999999999993" customHeight="1" x14ac:dyDescent="0.25"/>
    <row r="3" spans="1:38" ht="16.5" customHeight="1" x14ac:dyDescent="0.25">
      <c r="A3" s="444" t="str">
        <f>'STUDY VILLAGES'!U7</f>
        <v>KAMPOT PROVINCE</v>
      </c>
      <c r="G3" s="444" t="str">
        <f>'STUDY VILLAGES'!U8</f>
        <v>BANTEAY MEAS DISTRICT</v>
      </c>
    </row>
    <row r="4" spans="1:38" ht="9.9499999999999993" customHeight="1" x14ac:dyDescent="0.25">
      <c r="A4" s="3"/>
    </row>
    <row r="5" spans="1:38" ht="16.5" customHeight="1" x14ac:dyDescent="0.25">
      <c r="A5" s="444" t="s">
        <v>1039</v>
      </c>
      <c r="G5" s="632" t="s">
        <v>1040</v>
      </c>
    </row>
    <row r="6" spans="1:38" ht="16.5" customHeight="1" x14ac:dyDescent="0.25">
      <c r="A6" s="12"/>
      <c r="B6" s="138"/>
      <c r="C6" s="97"/>
      <c r="D6" s="450"/>
      <c r="E6" s="450"/>
      <c r="F6" s="450"/>
    </row>
    <row r="7" spans="1:38" ht="16.5" customHeight="1" x14ac:dyDescent="0.25">
      <c r="D7" s="2"/>
      <c r="E7" s="2"/>
      <c r="F7" s="2"/>
      <c r="G7" s="1369" t="s">
        <v>884</v>
      </c>
      <c r="H7" s="1369"/>
      <c r="I7" s="1369"/>
      <c r="J7" s="1369"/>
      <c r="K7" s="1369" t="s">
        <v>885</v>
      </c>
      <c r="L7" s="1369"/>
      <c r="M7" s="1369"/>
      <c r="N7" s="1369"/>
      <c r="O7" s="1369" t="s">
        <v>886</v>
      </c>
      <c r="P7" s="1369"/>
      <c r="Q7" s="1369"/>
      <c r="R7" s="1369"/>
      <c r="S7" s="1369" t="s">
        <v>887</v>
      </c>
      <c r="T7" s="1369"/>
      <c r="U7" s="1369"/>
      <c r="V7" s="1369"/>
      <c r="W7" s="1369" t="s">
        <v>888</v>
      </c>
      <c r="X7" s="1369"/>
      <c r="Y7" s="1369"/>
      <c r="Z7" s="1369"/>
      <c r="AA7" s="1369" t="s">
        <v>889</v>
      </c>
      <c r="AB7" s="1369"/>
      <c r="AC7" s="1369"/>
      <c r="AD7" s="1369"/>
      <c r="AE7" s="1369" t="s">
        <v>890</v>
      </c>
      <c r="AF7" s="1369"/>
      <c r="AG7" s="1369"/>
      <c r="AH7" s="1370"/>
      <c r="AI7" s="1374" t="s">
        <v>892</v>
      </c>
      <c r="AJ7" s="1369"/>
      <c r="AK7" s="1369"/>
      <c r="AL7" s="1369"/>
    </row>
    <row r="8" spans="1:38" ht="16.5" customHeight="1" x14ac:dyDescent="0.25">
      <c r="D8" s="2"/>
      <c r="E8" s="2"/>
      <c r="F8" s="2"/>
      <c r="G8" s="1371" t="str">
        <f>'HH WITH COM #1 '!$L$3</f>
        <v>SAMRAONG LEU</v>
      </c>
      <c r="H8" s="1372"/>
      <c r="I8" s="1372"/>
      <c r="J8" s="1372"/>
      <c r="K8" s="1371" t="str">
        <f>'HH WITH COM #2'!$L$3</f>
        <v>SK KHANG LECH</v>
      </c>
      <c r="L8" s="1372"/>
      <c r="M8" s="1372"/>
      <c r="N8" s="1372"/>
      <c r="O8" s="1371" t="str">
        <f>'HH WITH COM #3'!$L$3</f>
        <v>SK KHANG TBOUNG</v>
      </c>
      <c r="P8" s="1372"/>
      <c r="Q8" s="1372"/>
      <c r="R8" s="1372"/>
      <c r="S8" s="1371" t="str">
        <f>'HH WITH COM #4'!$L$3</f>
        <v>T M KHANG KAEUT</v>
      </c>
      <c r="T8" s="1372"/>
      <c r="U8" s="1372"/>
      <c r="V8" s="1372"/>
      <c r="W8" s="1371" t="str">
        <f>'HH WITH COM #5'!$L$3</f>
        <v>TNAOT CHEUNG SRANG</v>
      </c>
      <c r="X8" s="1372"/>
      <c r="Y8" s="1372"/>
      <c r="Z8" s="1372"/>
      <c r="AA8" s="1371" t="str">
        <f>'HH WITH COM #6'!$L$3</f>
        <v>V A KHANG CHEUNG</v>
      </c>
      <c r="AB8" s="1372"/>
      <c r="AC8" s="1372"/>
      <c r="AD8" s="1372"/>
      <c r="AE8" s="1371">
        <f>'HH WITH COM #7'!$L$3</f>
        <v>0</v>
      </c>
      <c r="AF8" s="1372"/>
      <c r="AG8" s="1372"/>
      <c r="AH8" s="1373"/>
      <c r="AI8" s="1375" t="str">
        <f>G3</f>
        <v>BANTEAY MEAS DISTRICT</v>
      </c>
      <c r="AJ8" s="1372"/>
      <c r="AK8" s="1372"/>
      <c r="AL8" s="1372"/>
    </row>
    <row r="9" spans="1:38" ht="16.5" customHeight="1" x14ac:dyDescent="0.25">
      <c r="A9" s="21"/>
      <c r="B9" s="21"/>
      <c r="C9" s="21"/>
      <c r="D9" s="4"/>
      <c r="E9" s="4"/>
      <c r="F9" s="451"/>
      <c r="G9" s="452" t="s">
        <v>891</v>
      </c>
      <c r="H9" s="452" t="s">
        <v>849</v>
      </c>
      <c r="I9" s="452" t="s">
        <v>4</v>
      </c>
      <c r="J9" s="452" t="s">
        <v>5</v>
      </c>
      <c r="K9" s="452" t="s">
        <v>891</v>
      </c>
      <c r="L9" s="452" t="s">
        <v>849</v>
      </c>
      <c r="M9" s="452" t="s">
        <v>4</v>
      </c>
      <c r="N9" s="452" t="s">
        <v>5</v>
      </c>
      <c r="O9" s="452" t="s">
        <v>891</v>
      </c>
      <c r="P9" s="452" t="s">
        <v>849</v>
      </c>
      <c r="Q9" s="452" t="s">
        <v>4</v>
      </c>
      <c r="R9" s="452" t="s">
        <v>5</v>
      </c>
      <c r="S9" s="452" t="s">
        <v>891</v>
      </c>
      <c r="T9" s="452" t="s">
        <v>849</v>
      </c>
      <c r="U9" s="452" t="s">
        <v>4</v>
      </c>
      <c r="V9" s="452" t="s">
        <v>5</v>
      </c>
      <c r="W9" s="452" t="s">
        <v>891</v>
      </c>
      <c r="X9" s="452" t="s">
        <v>849</v>
      </c>
      <c r="Y9" s="452" t="s">
        <v>4</v>
      </c>
      <c r="Z9" s="452" t="s">
        <v>5</v>
      </c>
      <c r="AA9" s="452" t="s">
        <v>891</v>
      </c>
      <c r="AB9" s="452" t="s">
        <v>849</v>
      </c>
      <c r="AC9" s="452" t="s">
        <v>4</v>
      </c>
      <c r="AD9" s="452" t="s">
        <v>5</v>
      </c>
      <c r="AE9" s="452" t="s">
        <v>891</v>
      </c>
      <c r="AF9" s="452" t="s">
        <v>849</v>
      </c>
      <c r="AG9" s="452" t="s">
        <v>4</v>
      </c>
      <c r="AH9" s="605" t="s">
        <v>5</v>
      </c>
      <c r="AI9" s="618" t="s">
        <v>891</v>
      </c>
      <c r="AJ9" s="538" t="s">
        <v>849</v>
      </c>
      <c r="AK9" s="538" t="s">
        <v>4</v>
      </c>
      <c r="AL9" s="538" t="s">
        <v>5</v>
      </c>
    </row>
    <row r="10" spans="1:38" s="456" customFormat="1" ht="16.5" customHeight="1" thickBot="1" x14ac:dyDescent="0.3">
      <c r="A10" s="24" t="s">
        <v>850</v>
      </c>
      <c r="B10" s="453" t="s">
        <v>851</v>
      </c>
      <c r="C10" s="26"/>
      <c r="D10" s="454"/>
      <c r="E10" s="454"/>
      <c r="F10" s="455"/>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606"/>
      <c r="AI10" s="630"/>
      <c r="AJ10" s="24"/>
      <c r="AK10" s="24"/>
      <c r="AL10" s="24"/>
    </row>
    <row r="11" spans="1:38" s="117" customFormat="1" ht="16.5" customHeight="1" x14ac:dyDescent="0.25">
      <c r="A11" s="253"/>
      <c r="B11" s="275" t="s">
        <v>898</v>
      </c>
      <c r="C11" s="457" t="s">
        <v>903</v>
      </c>
      <c r="D11" s="458"/>
      <c r="E11" s="458"/>
      <c r="F11" s="459"/>
      <c r="G11" s="425"/>
      <c r="H11" s="425"/>
      <c r="I11" s="257">
        <f>'STUDY VILLAGES'!$K$10</f>
        <v>5</v>
      </c>
      <c r="J11" s="460"/>
      <c r="K11" s="425"/>
      <c r="L11" s="425"/>
      <c r="M11" s="257">
        <f>'STUDY VILLAGES'!$K$11</f>
        <v>5</v>
      </c>
      <c r="N11" s="460"/>
      <c r="O11" s="425"/>
      <c r="P11" s="425"/>
      <c r="Q11" s="257">
        <f>'STUDY VILLAGES'!$K$12</f>
        <v>4</v>
      </c>
      <c r="R11" s="460"/>
      <c r="S11" s="425"/>
      <c r="T11" s="425"/>
      <c r="U11" s="257">
        <f>'STUDY VILLAGES'!$K$13</f>
        <v>6</v>
      </c>
      <c r="V11" s="460"/>
      <c r="W11" s="425"/>
      <c r="X11" s="425"/>
      <c r="Y11" s="257">
        <f>'STUDY VILLAGES'!$K$14</f>
        <v>8</v>
      </c>
      <c r="Z11" s="460"/>
      <c r="AA11" s="425"/>
      <c r="AB11" s="425"/>
      <c r="AC11" s="257">
        <f>'STUDY VILLAGES'!$K$15</f>
        <v>5</v>
      </c>
      <c r="AD11" s="460"/>
      <c r="AE11" s="460"/>
      <c r="AF11" s="460"/>
      <c r="AG11" s="257">
        <f>'STUDY VILLAGES'!$K$16</f>
        <v>0</v>
      </c>
      <c r="AH11" s="607"/>
      <c r="AI11" s="629"/>
      <c r="AJ11" s="425"/>
      <c r="AK11" s="257">
        <f t="shared" ref="AK11:AK12" si="0">I11+M11+Q11+U11+Y11+AC11+AG11</f>
        <v>33</v>
      </c>
      <c r="AL11" s="460"/>
    </row>
    <row r="12" spans="1:38" s="117" customFormat="1" ht="16.5" customHeight="1" x14ac:dyDescent="0.25">
      <c r="A12" s="253"/>
      <c r="B12" s="275" t="s">
        <v>852</v>
      </c>
      <c r="C12" s="457" t="s">
        <v>897</v>
      </c>
      <c r="D12" s="458"/>
      <c r="E12" s="458"/>
      <c r="F12" s="459"/>
      <c r="G12" s="425"/>
      <c r="H12" s="425"/>
      <c r="I12" s="257">
        <f>'STUDY VILLAGES'!$L$10</f>
        <v>2</v>
      </c>
      <c r="J12" s="460"/>
      <c r="K12" s="425"/>
      <c r="L12" s="425"/>
      <c r="M12" s="257">
        <f>'STUDY VILLAGES'!$L$11</f>
        <v>2</v>
      </c>
      <c r="N12" s="460"/>
      <c r="O12" s="425"/>
      <c r="P12" s="425"/>
      <c r="Q12" s="257">
        <f>'STUDY VILLAGES'!$L$12</f>
        <v>1</v>
      </c>
      <c r="R12" s="460"/>
      <c r="S12" s="425"/>
      <c r="T12" s="425"/>
      <c r="U12" s="257">
        <f>'STUDY VILLAGES'!$L$13</f>
        <v>2</v>
      </c>
      <c r="V12" s="460"/>
      <c r="W12" s="425"/>
      <c r="X12" s="425"/>
      <c r="Y12" s="257">
        <f>'STUDY VILLAGES'!$L$14</f>
        <v>3</v>
      </c>
      <c r="Z12" s="460"/>
      <c r="AA12" s="425"/>
      <c r="AB12" s="425"/>
      <c r="AC12" s="257">
        <f>'STUDY VILLAGES'!$L$15</f>
        <v>2</v>
      </c>
      <c r="AD12" s="460"/>
      <c r="AE12" s="460"/>
      <c r="AF12" s="460"/>
      <c r="AG12" s="257">
        <f>'STUDY VILLAGES'!$L$16</f>
        <v>0</v>
      </c>
      <c r="AH12" s="607"/>
      <c r="AI12" s="391"/>
      <c r="AJ12" s="17"/>
      <c r="AK12" s="539">
        <f t="shared" si="0"/>
        <v>12</v>
      </c>
      <c r="AL12" s="91"/>
    </row>
    <row r="13" spans="1:38" ht="16.5" customHeight="1" x14ac:dyDescent="0.25">
      <c r="A13" s="40"/>
      <c r="B13" s="40"/>
      <c r="C13" s="464" t="s">
        <v>901</v>
      </c>
      <c r="D13" s="464"/>
      <c r="E13" s="464"/>
      <c r="F13" s="465"/>
      <c r="G13" s="66"/>
      <c r="H13" s="66"/>
      <c r="I13" s="66">
        <f>IF(I11=0,0,I12/I11)</f>
        <v>0.4</v>
      </c>
      <c r="J13" s="66"/>
      <c r="K13" s="66"/>
      <c r="L13" s="66"/>
      <c r="M13" s="66">
        <f>IF(M11=0,0,M12/M11)</f>
        <v>0.4</v>
      </c>
      <c r="N13" s="66"/>
      <c r="O13" s="66"/>
      <c r="P13" s="66"/>
      <c r="Q13" s="66">
        <f>IF(Q11=0,0,Q12/Q11)</f>
        <v>0.25</v>
      </c>
      <c r="R13" s="66"/>
      <c r="S13" s="66"/>
      <c r="T13" s="66"/>
      <c r="U13" s="66">
        <f>IF(U11=0,0,U12/U11)</f>
        <v>0.33333333333333331</v>
      </c>
      <c r="V13" s="66"/>
      <c r="W13" s="66"/>
      <c r="X13" s="66"/>
      <c r="Y13" s="66">
        <f>IF(Y11=0,0,Y12/Y11)</f>
        <v>0.375</v>
      </c>
      <c r="Z13" s="66"/>
      <c r="AA13" s="66"/>
      <c r="AB13" s="66"/>
      <c r="AC13" s="66">
        <f>IF(AC11=0,0,AC12/AC11)</f>
        <v>0.4</v>
      </c>
      <c r="AD13" s="66"/>
      <c r="AE13" s="66"/>
      <c r="AF13" s="66"/>
      <c r="AG13" s="66">
        <f>IF(AG11=0,0,AG12/AG11)</f>
        <v>0</v>
      </c>
      <c r="AH13" s="608"/>
      <c r="AI13" s="619"/>
      <c r="AJ13" s="66"/>
      <c r="AK13" s="66">
        <f>IF(AK11=0,0,AK12/AK11)</f>
        <v>0.36363636363636365</v>
      </c>
      <c r="AL13" s="66"/>
    </row>
    <row r="14" spans="1:38" s="117" customFormat="1" ht="16.5" customHeight="1" x14ac:dyDescent="0.25">
      <c r="A14" s="253"/>
      <c r="B14" s="115" t="s">
        <v>853</v>
      </c>
      <c r="C14" s="457" t="s">
        <v>899</v>
      </c>
      <c r="D14" s="458"/>
      <c r="E14" s="458"/>
      <c r="F14" s="459"/>
      <c r="G14" s="425"/>
      <c r="H14" s="425"/>
      <c r="I14" s="257">
        <f>'HH WITH COM #1 '!$AC$9</f>
        <v>2</v>
      </c>
      <c r="J14" s="460"/>
      <c r="K14" s="425"/>
      <c r="L14" s="425"/>
      <c r="M14" s="257">
        <f>'HH WITH COM #2'!$AC$9</f>
        <v>2</v>
      </c>
      <c r="N14" s="460"/>
      <c r="O14" s="425"/>
      <c r="P14" s="425"/>
      <c r="Q14" s="257">
        <f>'HH WITH COM #3'!$AC$9</f>
        <v>1</v>
      </c>
      <c r="R14" s="460"/>
      <c r="S14" s="425"/>
      <c r="T14" s="425"/>
      <c r="U14" s="257">
        <f>'HH WITH COM #4'!$AC$9</f>
        <v>2</v>
      </c>
      <c r="V14" s="460"/>
      <c r="W14" s="425"/>
      <c r="X14" s="425"/>
      <c r="Y14" s="257">
        <f>'HH WITH COM #5'!$AC$9</f>
        <v>3</v>
      </c>
      <c r="Z14" s="460"/>
      <c r="AA14" s="425"/>
      <c r="AB14" s="425"/>
      <c r="AC14" s="257">
        <f>'HH WITH COM #6'!$AC$9</f>
        <v>2</v>
      </c>
      <c r="AD14" s="460"/>
      <c r="AE14" s="460"/>
      <c r="AF14" s="460"/>
      <c r="AG14" s="257">
        <f>'HH WITH COM #7'!$AC$9</f>
        <v>0</v>
      </c>
      <c r="AH14" s="607"/>
      <c r="AI14" s="391"/>
      <c r="AJ14" s="17"/>
      <c r="AK14" s="539">
        <f t="shared" ref="AK14" si="1">I14+M14+Q14+U14+Y14+AC14+AG14</f>
        <v>12</v>
      </c>
      <c r="AL14" s="91"/>
    </row>
    <row r="15" spans="1:38" ht="16.5" customHeight="1" x14ac:dyDescent="0.25">
      <c r="A15" s="40"/>
      <c r="B15" s="40"/>
      <c r="C15" s="464" t="s">
        <v>901</v>
      </c>
      <c r="D15" s="464"/>
      <c r="E15" s="464"/>
      <c r="F15" s="465"/>
      <c r="G15" s="66"/>
      <c r="H15" s="66"/>
      <c r="I15" s="66">
        <f>IF(I11=0,0,I14/I11)</f>
        <v>0.4</v>
      </c>
      <c r="J15" s="66"/>
      <c r="K15" s="66"/>
      <c r="L15" s="66"/>
      <c r="M15" s="66">
        <f>IF(M11=0,0,M14/M11)</f>
        <v>0.4</v>
      </c>
      <c r="N15" s="66"/>
      <c r="O15" s="66"/>
      <c r="P15" s="66"/>
      <c r="Q15" s="66">
        <f>IF(Q11=0,0,Q14/Q11)</f>
        <v>0.25</v>
      </c>
      <c r="R15" s="66"/>
      <c r="S15" s="66"/>
      <c r="T15" s="66"/>
      <c r="U15" s="66">
        <f>IF(U11=0,0,U14/U11)</f>
        <v>0.33333333333333331</v>
      </c>
      <c r="V15" s="66"/>
      <c r="W15" s="66"/>
      <c r="X15" s="66"/>
      <c r="Y15" s="66">
        <f>IF(Y11=0,0,Y14/Y11)</f>
        <v>0.375</v>
      </c>
      <c r="Z15" s="66"/>
      <c r="AA15" s="66"/>
      <c r="AB15" s="66"/>
      <c r="AC15" s="66">
        <f>IF(AC11=0,0,AC14/AC11)</f>
        <v>0.4</v>
      </c>
      <c r="AD15" s="66"/>
      <c r="AE15" s="66"/>
      <c r="AF15" s="66"/>
      <c r="AG15" s="66">
        <f>IF(AG11=0,0,AG14/AG11)</f>
        <v>0</v>
      </c>
      <c r="AH15" s="608"/>
      <c r="AI15" s="619"/>
      <c r="AJ15" s="66"/>
      <c r="AK15" s="66">
        <f>IF(AK11=0,0,AK14/AK11)</f>
        <v>0.36363636363636365</v>
      </c>
      <c r="AL15" s="66"/>
    </row>
    <row r="16" spans="1:38" s="117" customFormat="1" ht="16.5" hidden="1" customHeight="1" x14ac:dyDescent="0.25">
      <c r="A16" s="253"/>
      <c r="B16" s="275" t="s">
        <v>1452</v>
      </c>
      <c r="C16" s="457" t="s">
        <v>999</v>
      </c>
      <c r="D16" s="458"/>
      <c r="E16" s="458"/>
      <c r="F16" s="459"/>
      <c r="G16" s="425"/>
      <c r="H16" s="425"/>
      <c r="I16" s="257">
        <f>SUM(G16:H16)</f>
        <v>0</v>
      </c>
      <c r="J16" s="460">
        <f>IF(I$16=0,0,I16/I$16)</f>
        <v>0</v>
      </c>
      <c r="K16" s="425"/>
      <c r="L16" s="425"/>
      <c r="M16" s="257">
        <f>SUM(K16:L16)</f>
        <v>0</v>
      </c>
      <c r="N16" s="460">
        <f>IF(M$16=0,0,M16/M$16)</f>
        <v>0</v>
      </c>
      <c r="O16" s="425"/>
      <c r="P16" s="425"/>
      <c r="Q16" s="257">
        <f>SUM(O16:P16)</f>
        <v>0</v>
      </c>
      <c r="R16" s="460">
        <f>IF(Q$16=0,0,Q16/Q$16)</f>
        <v>0</v>
      </c>
      <c r="S16" s="425"/>
      <c r="T16" s="425"/>
      <c r="U16" s="257">
        <f>SUM(S16:T16)</f>
        <v>0</v>
      </c>
      <c r="V16" s="460">
        <f>IF(U$16=0,0,U16/U$16)</f>
        <v>0</v>
      </c>
      <c r="W16" s="425"/>
      <c r="X16" s="425"/>
      <c r="Y16" s="257">
        <f>SUM(W16:X16)</f>
        <v>0</v>
      </c>
      <c r="Z16" s="460">
        <f>IF(Y$16=0,0,Y16/Y$16)</f>
        <v>0</v>
      </c>
      <c r="AA16" s="425"/>
      <c r="AB16" s="425"/>
      <c r="AC16" s="257">
        <f>SUM(AA16:AB16)</f>
        <v>0</v>
      </c>
      <c r="AD16" s="460">
        <f>IF(AC$16=0,0,AC16/AC$16)</f>
        <v>0</v>
      </c>
      <c r="AE16" s="460"/>
      <c r="AF16" s="460"/>
      <c r="AG16" s="257">
        <f>SUM(AE16:AF16)</f>
        <v>0</v>
      </c>
      <c r="AH16" s="607">
        <f>IF(AG$16=0,0,AG16/AG$16)</f>
        <v>0</v>
      </c>
      <c r="AI16" s="391">
        <f>G16+K16+O16+S16+W16+AA16+AE16</f>
        <v>0</v>
      </c>
      <c r="AJ16" s="17">
        <f>H16+L16+P16+T16+X16+AB16+AF16</f>
        <v>0</v>
      </c>
      <c r="AK16" s="539">
        <f>SUM(AI16:AJ16)</f>
        <v>0</v>
      </c>
      <c r="AL16" s="91">
        <f>IF(AK$16=0,0,AK16/AK$16)</f>
        <v>0</v>
      </c>
    </row>
    <row r="17" spans="1:38" s="117" customFormat="1" ht="16.5" customHeight="1" x14ac:dyDescent="0.25">
      <c r="A17" s="119"/>
      <c r="B17" s="275" t="s">
        <v>1453</v>
      </c>
      <c r="C17" s="461" t="s">
        <v>1454</v>
      </c>
      <c r="D17" s="428"/>
      <c r="E17" s="428"/>
      <c r="F17" s="462"/>
      <c r="G17" s="17">
        <f>G23</f>
        <v>28</v>
      </c>
      <c r="H17" s="17">
        <f>H23</f>
        <v>234</v>
      </c>
      <c r="I17" s="116">
        <f>SUM(G17:H17)</f>
        <v>262</v>
      </c>
      <c r="J17" s="565">
        <f>IF(I$16=0,0,I17/I$16)</f>
        <v>0</v>
      </c>
      <c r="K17" s="17">
        <f>K23</f>
        <v>0</v>
      </c>
      <c r="L17" s="17">
        <f>L23</f>
        <v>0</v>
      </c>
      <c r="M17" s="116">
        <f>SUM(K17:L17)</f>
        <v>0</v>
      </c>
      <c r="N17" s="565">
        <f>IF(M$16=0,0,M17/M$16)</f>
        <v>0</v>
      </c>
      <c r="O17" s="17">
        <f>O23</f>
        <v>0</v>
      </c>
      <c r="P17" s="17">
        <f>P23</f>
        <v>0</v>
      </c>
      <c r="Q17" s="116">
        <f>SUM(O17:P17)</f>
        <v>0</v>
      </c>
      <c r="R17" s="565">
        <f>IF(Q$16=0,0,Q17/Q$16)</f>
        <v>0</v>
      </c>
      <c r="S17" s="17">
        <f>S23</f>
        <v>0</v>
      </c>
      <c r="T17" s="17">
        <f>T23</f>
        <v>0</v>
      </c>
      <c r="U17" s="116">
        <f>SUM(S17:T17)</f>
        <v>0</v>
      </c>
      <c r="V17" s="565">
        <f>IF(U$16=0,0,U17/U$16)</f>
        <v>0</v>
      </c>
      <c r="W17" s="17">
        <f>W23</f>
        <v>0</v>
      </c>
      <c r="X17" s="17">
        <f>X23</f>
        <v>0</v>
      </c>
      <c r="Y17" s="116">
        <f>SUM(W17:X17)</f>
        <v>0</v>
      </c>
      <c r="Z17" s="565">
        <f>IF(Y$16=0,0,Y17/Y$16)</f>
        <v>0</v>
      </c>
      <c r="AA17" s="17">
        <f>AA23</f>
        <v>0</v>
      </c>
      <c r="AB17" s="17">
        <f>AB23</f>
        <v>0</v>
      </c>
      <c r="AC17" s="116">
        <f>SUM(AA17:AB17)</f>
        <v>0</v>
      </c>
      <c r="AD17" s="565">
        <f>IF(AC$16=0,0,AC17/AC$16)</f>
        <v>0</v>
      </c>
      <c r="AE17" s="17">
        <f>AE23</f>
        <v>0</v>
      </c>
      <c r="AF17" s="17">
        <f>AF23</f>
        <v>0</v>
      </c>
      <c r="AG17" s="116">
        <f>SUM(AE17:AF17)</f>
        <v>0</v>
      </c>
      <c r="AH17" s="609">
        <f>IF(AG$16=0,0,AG17/AG$16)</f>
        <v>0</v>
      </c>
      <c r="AI17" s="391">
        <f>G17+K17+O17+S17+W17+AA17+AE17</f>
        <v>28</v>
      </c>
      <c r="AJ17" s="17">
        <f>H17+L17+P17+T17+X17+AB17+AF17</f>
        <v>234</v>
      </c>
      <c r="AK17" s="539">
        <f>SUM(AI17:AJ17)</f>
        <v>262</v>
      </c>
      <c r="AL17" s="463">
        <f>IF(AK$16=0,0,AK17/AK$16)</f>
        <v>0</v>
      </c>
    </row>
    <row r="18" spans="1:38" s="97" customFormat="1" ht="16.5" customHeight="1" x14ac:dyDescent="0.25">
      <c r="A18" s="515"/>
      <c r="B18" s="515"/>
      <c r="C18" s="515"/>
      <c r="D18" s="12"/>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395"/>
      <c r="AJ18" s="91"/>
      <c r="AK18" s="91"/>
      <c r="AL18" s="91"/>
    </row>
    <row r="19" spans="1:38" s="456" customFormat="1" ht="16.5" customHeight="1" thickBot="1" x14ac:dyDescent="0.3">
      <c r="A19" s="24">
        <v>0</v>
      </c>
      <c r="B19" s="453" t="s">
        <v>3</v>
      </c>
      <c r="C19" s="26"/>
      <c r="D19" s="454"/>
      <c r="E19" s="454"/>
      <c r="F19" s="455"/>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606"/>
      <c r="AI19" s="630"/>
      <c r="AJ19" s="24"/>
      <c r="AK19" s="24"/>
      <c r="AL19" s="24"/>
    </row>
    <row r="20" spans="1:38" ht="16.5" customHeight="1" x14ac:dyDescent="0.25">
      <c r="A20" s="47"/>
      <c r="B20" s="414">
        <v>0</v>
      </c>
      <c r="C20" s="42" t="s">
        <v>1488</v>
      </c>
      <c r="D20" s="50"/>
      <c r="E20" s="269"/>
      <c r="F20" s="270"/>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s="272"/>
      <c r="AG20" s="272"/>
      <c r="AH20" s="610"/>
      <c r="AI20" s="631"/>
      <c r="AJ20" s="272"/>
      <c r="AK20" s="272"/>
      <c r="AL20" s="272"/>
    </row>
    <row r="21" spans="1:38" ht="16.5" customHeight="1" x14ac:dyDescent="0.25">
      <c r="A21" s="40"/>
      <c r="B21" s="55"/>
      <c r="C21" s="467" t="s">
        <v>626</v>
      </c>
      <c r="D21" s="468" t="s">
        <v>368</v>
      </c>
      <c r="E21" s="75"/>
      <c r="F21" s="76"/>
      <c r="G21" s="17">
        <f>'HH WITH COM #1 '!$W$13</f>
        <v>3</v>
      </c>
      <c r="H21" s="17">
        <f>'HH WITH COM #1 '!$X$13</f>
        <v>78</v>
      </c>
      <c r="I21" s="116">
        <f>SUM(G21:H21)</f>
        <v>81</v>
      </c>
      <c r="J21" s="91">
        <f>IF(I$23=0,0,I21/I$23)</f>
        <v>0.30916030534351147</v>
      </c>
      <c r="K21" s="17">
        <f>'HH WITH COM #2'!$W$13</f>
        <v>0</v>
      </c>
      <c r="L21" s="17">
        <f>'HH WITH COM #2'!$X$13</f>
        <v>0</v>
      </c>
      <c r="M21" s="116">
        <f>SUM(K21:L21)</f>
        <v>0</v>
      </c>
      <c r="N21" s="91">
        <f>IF(M$23=0,0,M21/M$23)</f>
        <v>0</v>
      </c>
      <c r="O21" s="17">
        <f>'HH WITH COM #3'!$W$13</f>
        <v>0</v>
      </c>
      <c r="P21" s="17">
        <f>'HH WITH COM #3'!$X$13</f>
        <v>0</v>
      </c>
      <c r="Q21" s="116">
        <f>SUM(O21:P21)</f>
        <v>0</v>
      </c>
      <c r="R21" s="91">
        <f>IF(Q$23=0,0,Q21/Q$23)</f>
        <v>0</v>
      </c>
      <c r="S21" s="17">
        <f>'HH WITH COM #4'!$W$13</f>
        <v>0</v>
      </c>
      <c r="T21" s="17">
        <f>'HH WITH COM #4'!$X$13</f>
        <v>0</v>
      </c>
      <c r="U21" s="116">
        <f>SUM(S21:T21)</f>
        <v>0</v>
      </c>
      <c r="V21" s="91">
        <f>IF(U$23=0,0,U21/U$23)</f>
        <v>0</v>
      </c>
      <c r="W21" s="17">
        <f>'HH WITH COM #5'!$W$13</f>
        <v>0</v>
      </c>
      <c r="X21" s="17">
        <f>'HH WITH COM #5'!$X$13</f>
        <v>0</v>
      </c>
      <c r="Y21" s="116">
        <f>SUM(W21:X21)</f>
        <v>0</v>
      </c>
      <c r="Z21" s="91">
        <f>IF(Y$23=0,0,Y21/Y$23)</f>
        <v>0</v>
      </c>
      <c r="AA21" s="17">
        <f>'HH WITH COM #6'!$W$13</f>
        <v>0</v>
      </c>
      <c r="AB21" s="17">
        <f>'HH WITH COM #6'!$X$13</f>
        <v>0</v>
      </c>
      <c r="AC21" s="116">
        <f>SUM(AA21:AB21)</f>
        <v>0</v>
      </c>
      <c r="AD21" s="91">
        <f>IF(AC$23=0,0,AC21/AC$23)</f>
        <v>0</v>
      </c>
      <c r="AE21" s="17">
        <f>'HH WITH COM #7'!$W$13</f>
        <v>0</v>
      </c>
      <c r="AF21" s="17">
        <f>'HH WITH COM #7'!$X$13</f>
        <v>0</v>
      </c>
      <c r="AG21" s="116">
        <f>SUM(AE21:AF21)</f>
        <v>0</v>
      </c>
      <c r="AH21" s="373">
        <f>IF(AG$23=0,0,AG21/AG$23)</f>
        <v>0</v>
      </c>
      <c r="AI21" s="391">
        <f t="shared" ref="AI21:AI22" si="2">G21+K21+O21+S21+W21+AA21+AE21</f>
        <v>3</v>
      </c>
      <c r="AJ21" s="17">
        <f t="shared" ref="AJ21:AJ22" si="3">H21+L21+P21+T21+X21+AB21+AF21</f>
        <v>78</v>
      </c>
      <c r="AK21" s="539">
        <f>SUM(AI21:AJ21)</f>
        <v>81</v>
      </c>
      <c r="AL21" s="91">
        <f>IF(AK$23=0,0,AK21/AK$23)</f>
        <v>0.30916030534351147</v>
      </c>
    </row>
    <row r="22" spans="1:38" ht="16.5" customHeight="1" x14ac:dyDescent="0.25">
      <c r="A22" s="40"/>
      <c r="B22" s="55"/>
      <c r="C22" s="467" t="s">
        <v>627</v>
      </c>
      <c r="D22" s="468" t="s">
        <v>369</v>
      </c>
      <c r="E22" s="75"/>
      <c r="F22" s="76"/>
      <c r="G22" s="17">
        <f>'HH WITH COM #1 '!$W$14</f>
        <v>25</v>
      </c>
      <c r="H22" s="17">
        <f>'HH WITH COM #1 '!$X$14</f>
        <v>156</v>
      </c>
      <c r="I22" s="116">
        <f>SUM(G22:H22)</f>
        <v>181</v>
      </c>
      <c r="J22" s="91">
        <f t="shared" ref="J22:J23" si="4">IF(I$23=0,0,I22/I$23)</f>
        <v>0.69083969465648853</v>
      </c>
      <c r="K22" s="17">
        <f>'HH WITH COM #2'!$W$14</f>
        <v>0</v>
      </c>
      <c r="L22" s="17">
        <f>'HH WITH COM #2'!$X$14</f>
        <v>0</v>
      </c>
      <c r="M22" s="116">
        <f>SUM(K22:L22)</f>
        <v>0</v>
      </c>
      <c r="N22" s="91">
        <f t="shared" ref="N22:N23" si="5">IF(M$23=0,0,M22/M$23)</f>
        <v>0</v>
      </c>
      <c r="O22" s="17">
        <f>'HH WITH COM #3'!$W$14</f>
        <v>0</v>
      </c>
      <c r="P22" s="17">
        <f>'HH WITH COM #3'!$X$14</f>
        <v>0</v>
      </c>
      <c r="Q22" s="116">
        <f>SUM(O22:P22)</f>
        <v>0</v>
      </c>
      <c r="R22" s="91">
        <f t="shared" ref="R22:R23" si="6">IF(Q$23=0,0,Q22/Q$23)</f>
        <v>0</v>
      </c>
      <c r="S22" s="17">
        <f>'HH WITH COM #4'!$W$14</f>
        <v>0</v>
      </c>
      <c r="T22" s="17">
        <f>'HH WITH COM #4'!$X$14</f>
        <v>0</v>
      </c>
      <c r="U22" s="116">
        <f>SUM(S22:T22)</f>
        <v>0</v>
      </c>
      <c r="V22" s="91">
        <f t="shared" ref="V22:V23" si="7">IF(U$23=0,0,U22/U$23)</f>
        <v>0</v>
      </c>
      <c r="W22" s="17">
        <f>'HH WITH COM #5'!$W$14</f>
        <v>0</v>
      </c>
      <c r="X22" s="17">
        <f>'HH WITH COM #5'!$X$14</f>
        <v>0</v>
      </c>
      <c r="Y22" s="116">
        <f>SUM(W22:X22)</f>
        <v>0</v>
      </c>
      <c r="Z22" s="91">
        <f t="shared" ref="Z22:Z23" si="8">IF(Y$23=0,0,Y22/Y$23)</f>
        <v>0</v>
      </c>
      <c r="AA22" s="17">
        <f>'HH WITH COM #6'!$W$14</f>
        <v>0</v>
      </c>
      <c r="AB22" s="17">
        <f>'HH WITH COM #6'!$X$14</f>
        <v>0</v>
      </c>
      <c r="AC22" s="116">
        <f>SUM(AA22:AB22)</f>
        <v>0</v>
      </c>
      <c r="AD22" s="91">
        <f t="shared" ref="AD22:AD23" si="9">IF(AC$23=0,0,AC22/AC$23)</f>
        <v>0</v>
      </c>
      <c r="AE22" s="17">
        <f>'HH WITH COM #7'!$W$14</f>
        <v>0</v>
      </c>
      <c r="AF22" s="17">
        <f>'HH WITH COM #7'!$X$14</f>
        <v>0</v>
      </c>
      <c r="AG22" s="116">
        <f>SUM(AE22:AF22)</f>
        <v>0</v>
      </c>
      <c r="AH22" s="373">
        <f t="shared" ref="AH22:AH23" si="10">IF(AG$23=0,0,AG22/AG$23)</f>
        <v>0</v>
      </c>
      <c r="AI22" s="391">
        <f t="shared" si="2"/>
        <v>25</v>
      </c>
      <c r="AJ22" s="17">
        <f t="shared" si="3"/>
        <v>156</v>
      </c>
      <c r="AK22" s="539">
        <f>SUM(AI22:AJ22)</f>
        <v>181</v>
      </c>
      <c r="AL22" s="91">
        <f t="shared" ref="AL22:AL23" si="11">IF(AK$23=0,0,AK22/AK$23)</f>
        <v>0.69083969465648853</v>
      </c>
    </row>
    <row r="23" spans="1:38" ht="16.5" customHeight="1" x14ac:dyDescent="0.25">
      <c r="A23" s="119"/>
      <c r="B23" s="420"/>
      <c r="C23" s="422"/>
      <c r="D23" s="134"/>
      <c r="E23" s="184"/>
      <c r="F23" s="469"/>
      <c r="G23" s="82">
        <f>SUM(G21:G22)</f>
        <v>28</v>
      </c>
      <c r="H23" s="82">
        <f t="shared" ref="H23" si="12">SUM(H21:H22)</f>
        <v>234</v>
      </c>
      <c r="I23" s="82">
        <f>SUM(I21:I22)</f>
        <v>262</v>
      </c>
      <c r="J23" s="66">
        <f t="shared" si="4"/>
        <v>1</v>
      </c>
      <c r="K23" s="82">
        <f>SUM(K21:K22)</f>
        <v>0</v>
      </c>
      <c r="L23" s="82">
        <f t="shared" ref="L23" si="13">SUM(L21:L22)</f>
        <v>0</v>
      </c>
      <c r="M23" s="82">
        <f>SUM(M21:M22)</f>
        <v>0</v>
      </c>
      <c r="N23" s="66">
        <f t="shared" si="5"/>
        <v>0</v>
      </c>
      <c r="O23" s="82">
        <f>SUM(O21:O22)</f>
        <v>0</v>
      </c>
      <c r="P23" s="82">
        <f t="shared" ref="P23" si="14">SUM(P21:P22)</f>
        <v>0</v>
      </c>
      <c r="Q23" s="82">
        <f>SUM(Q21:Q22)</f>
        <v>0</v>
      </c>
      <c r="R23" s="66">
        <f t="shared" si="6"/>
        <v>0</v>
      </c>
      <c r="S23" s="82">
        <f>SUM(S21:S22)</f>
        <v>0</v>
      </c>
      <c r="T23" s="82">
        <f t="shared" ref="T23" si="15">SUM(T21:T22)</f>
        <v>0</v>
      </c>
      <c r="U23" s="82">
        <f>SUM(U21:U22)</f>
        <v>0</v>
      </c>
      <c r="V23" s="66">
        <f t="shared" si="7"/>
        <v>0</v>
      </c>
      <c r="W23" s="82">
        <f>SUM(W21:W22)</f>
        <v>0</v>
      </c>
      <c r="X23" s="82">
        <f t="shared" ref="X23" si="16">SUM(X21:X22)</f>
        <v>0</v>
      </c>
      <c r="Y23" s="82">
        <f>SUM(Y21:Y22)</f>
        <v>0</v>
      </c>
      <c r="Z23" s="66">
        <f t="shared" si="8"/>
        <v>0</v>
      </c>
      <c r="AA23" s="82">
        <f>SUM(AA21:AA22)</f>
        <v>0</v>
      </c>
      <c r="AB23" s="82">
        <f t="shared" ref="AB23" si="17">SUM(AB21:AB22)</f>
        <v>0</v>
      </c>
      <c r="AC23" s="82">
        <f>SUM(AC21:AC22)</f>
        <v>0</v>
      </c>
      <c r="AD23" s="66">
        <f t="shared" si="9"/>
        <v>0</v>
      </c>
      <c r="AE23" s="82">
        <f>SUM(AE21:AE22)</f>
        <v>0</v>
      </c>
      <c r="AF23" s="82">
        <f t="shared" ref="AF23" si="18">SUM(AF21:AF22)</f>
        <v>0</v>
      </c>
      <c r="AG23" s="82">
        <f>SUM(AG21:AG22)</f>
        <v>0</v>
      </c>
      <c r="AH23" s="608">
        <f t="shared" si="10"/>
        <v>0</v>
      </c>
      <c r="AI23" s="381">
        <f>SUM(AI21:AI22)</f>
        <v>28</v>
      </c>
      <c r="AJ23" s="82">
        <f t="shared" ref="AJ23" si="19">SUM(AJ21:AJ22)</f>
        <v>234</v>
      </c>
      <c r="AK23" s="82">
        <f>SUM(AK21:AK22)</f>
        <v>262</v>
      </c>
      <c r="AL23" s="66">
        <f t="shared" si="11"/>
        <v>1</v>
      </c>
    </row>
    <row r="24" spans="1:38" ht="16.5" hidden="1" customHeight="1" x14ac:dyDescent="0.25">
      <c r="A24" s="47"/>
      <c r="B24" s="41">
        <v>0.2</v>
      </c>
      <c r="C24" s="69" t="s">
        <v>370</v>
      </c>
      <c r="D24" s="269"/>
      <c r="E24" s="269"/>
      <c r="F24" s="270"/>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c r="AE24" s="272"/>
      <c r="AF24" s="272"/>
      <c r="AG24" s="272"/>
      <c r="AH24" s="610"/>
      <c r="AI24" s="377"/>
      <c r="AJ24" s="71"/>
      <c r="AK24" s="71"/>
      <c r="AL24" s="71"/>
    </row>
    <row r="25" spans="1:38" ht="16.5" hidden="1" customHeight="1" x14ac:dyDescent="0.25">
      <c r="A25" s="40"/>
      <c r="B25" s="40"/>
      <c r="C25" s="473" t="s">
        <v>7</v>
      </c>
      <c r="D25" s="303" t="s">
        <v>9</v>
      </c>
      <c r="E25" s="75"/>
      <c r="F25" s="76"/>
      <c r="G25" s="17">
        <f>'HH WITH COM #1 '!$W$23</f>
        <v>0</v>
      </c>
      <c r="H25" s="17">
        <f>'HH WITH COM #1 '!$X$23</f>
        <v>0</v>
      </c>
      <c r="I25" s="116">
        <f>SUM(G25:H25)</f>
        <v>0</v>
      </c>
      <c r="J25" s="91">
        <f>IF(I$28=0,0,I25/I$28)</f>
        <v>0</v>
      </c>
      <c r="K25" s="17">
        <f>'HH WITH COM #2'!$W$23</f>
        <v>0</v>
      </c>
      <c r="L25" s="17">
        <f>'HH WITH COM #2'!$X$23</f>
        <v>0</v>
      </c>
      <c r="M25" s="116">
        <f>SUM(K25:L25)</f>
        <v>0</v>
      </c>
      <c r="N25" s="91">
        <f>IF(M$28=0,0,M25/M$28)</f>
        <v>0</v>
      </c>
      <c r="O25" s="17">
        <f>'HH WITH COM #3'!$W$23</f>
        <v>0</v>
      </c>
      <c r="P25" s="17">
        <f>'HH WITH COM #3'!$X$23</f>
        <v>0</v>
      </c>
      <c r="Q25" s="116">
        <f>SUM(O25:P25)</f>
        <v>0</v>
      </c>
      <c r="R25" s="91">
        <f>IF(Q$28=0,0,Q25/Q$28)</f>
        <v>0</v>
      </c>
      <c r="S25" s="17">
        <f>'HH WITH COM #4'!$W$23</f>
        <v>0</v>
      </c>
      <c r="T25" s="17">
        <f>'HH WITH COM #4'!$X$23</f>
        <v>0</v>
      </c>
      <c r="U25" s="116">
        <f>SUM(S25:T25)</f>
        <v>0</v>
      </c>
      <c r="V25" s="91">
        <f>IF(U$28=0,0,U25/U$28)</f>
        <v>0</v>
      </c>
      <c r="W25" s="17">
        <f>'HH WITH COM #5'!$W$23</f>
        <v>0</v>
      </c>
      <c r="X25" s="17">
        <f>'HH WITH COM #5'!$X$23</f>
        <v>0</v>
      </c>
      <c r="Y25" s="116">
        <f>SUM(W25:X25)</f>
        <v>0</v>
      </c>
      <c r="Z25" s="91">
        <f>IF(Y$28=0,0,Y25/Y$28)</f>
        <v>0</v>
      </c>
      <c r="AA25" s="17">
        <f>'HH WITH COM #6'!$W$23</f>
        <v>0</v>
      </c>
      <c r="AB25" s="17">
        <f>'HH WITH COM #6'!$X$23</f>
        <v>0</v>
      </c>
      <c r="AC25" s="116">
        <f>SUM(AA25:AB25)</f>
        <v>0</v>
      </c>
      <c r="AD25" s="91">
        <f>IF(AC$28=0,0,AC25/AC$28)</f>
        <v>0</v>
      </c>
      <c r="AE25" s="17">
        <f>'HH WITH COM #7'!$W$23</f>
        <v>0</v>
      </c>
      <c r="AF25" s="17">
        <f>'HH WITH COM #7'!$X$23</f>
        <v>0</v>
      </c>
      <c r="AG25" s="116">
        <f>SUM(AE25:AF25)</f>
        <v>0</v>
      </c>
      <c r="AH25" s="373">
        <f>IF(AG$28=0,0,AG25/AG$28)</f>
        <v>0</v>
      </c>
      <c r="AI25" s="391">
        <f t="shared" ref="AI25:AI27" si="20">G25+K25+O25+S25+W25+AA25+AE25</f>
        <v>0</v>
      </c>
      <c r="AJ25" s="17">
        <f t="shared" ref="AJ25:AJ27" si="21">H25+L25+P25+T25+X25+AB25+AF25</f>
        <v>0</v>
      </c>
      <c r="AK25" s="539">
        <f>SUM(AI25:AJ25)</f>
        <v>0</v>
      </c>
      <c r="AL25" s="91">
        <f>IF(AK$28=0,0,AK25/AK$28)</f>
        <v>0</v>
      </c>
    </row>
    <row r="26" spans="1:38" ht="16.5" hidden="1" customHeight="1" x14ac:dyDescent="0.25">
      <c r="A26" s="40"/>
      <c r="B26" s="40"/>
      <c r="C26" s="473" t="s">
        <v>8</v>
      </c>
      <c r="D26" s="303" t="s">
        <v>10</v>
      </c>
      <c r="E26" s="75"/>
      <c r="F26" s="76"/>
      <c r="G26" s="17">
        <f>'HH WITH COM #1 '!$W$24</f>
        <v>0</v>
      </c>
      <c r="H26" s="17">
        <f>'HH WITH COM #1 '!$X$24</f>
        <v>0</v>
      </c>
      <c r="I26" s="116">
        <f t="shared" ref="I26:I27" si="22">SUM(G26:H26)</f>
        <v>0</v>
      </c>
      <c r="J26" s="91">
        <f t="shared" ref="J26:J27" si="23">IF(I$28=0,0,I26/I$28)</f>
        <v>0</v>
      </c>
      <c r="K26" s="17">
        <f>'HH WITH COM #2'!$W$24</f>
        <v>0</v>
      </c>
      <c r="L26" s="17">
        <f>'HH WITH COM #2'!$X$24</f>
        <v>0</v>
      </c>
      <c r="M26" s="116">
        <f t="shared" ref="M26:M27" si="24">SUM(K26:L26)</f>
        <v>0</v>
      </c>
      <c r="N26" s="91">
        <f t="shared" ref="N26:N27" si="25">IF(M$28=0,0,M26/M$28)</f>
        <v>0</v>
      </c>
      <c r="O26" s="17">
        <f>'HH WITH COM #3'!$W$24</f>
        <v>0</v>
      </c>
      <c r="P26" s="17">
        <f>'HH WITH COM #3'!$X$24</f>
        <v>0</v>
      </c>
      <c r="Q26" s="116">
        <f t="shared" ref="Q26:Q27" si="26">SUM(O26:P26)</f>
        <v>0</v>
      </c>
      <c r="R26" s="91">
        <f t="shared" ref="R26:R27" si="27">IF(Q$28=0,0,Q26/Q$28)</f>
        <v>0</v>
      </c>
      <c r="S26" s="17">
        <f>'HH WITH COM #4'!$W$24</f>
        <v>0</v>
      </c>
      <c r="T26" s="17">
        <f>'HH WITH COM #4'!$X$24</f>
        <v>0</v>
      </c>
      <c r="U26" s="116">
        <f t="shared" ref="U26:U27" si="28">SUM(S26:T26)</f>
        <v>0</v>
      </c>
      <c r="V26" s="91">
        <f t="shared" ref="V26:V27" si="29">IF(U$28=0,0,U26/U$28)</f>
        <v>0</v>
      </c>
      <c r="W26" s="17">
        <f>'HH WITH COM #5'!$W$24</f>
        <v>0</v>
      </c>
      <c r="X26" s="17">
        <f>'HH WITH COM #5'!$X$24</f>
        <v>0</v>
      </c>
      <c r="Y26" s="116">
        <f t="shared" ref="Y26:Y27" si="30">SUM(W26:X26)</f>
        <v>0</v>
      </c>
      <c r="Z26" s="91">
        <f t="shared" ref="Z26:Z27" si="31">IF(Y$28=0,0,Y26/Y$28)</f>
        <v>0</v>
      </c>
      <c r="AA26" s="17">
        <f>'HH WITH COM #6'!$W$24</f>
        <v>0</v>
      </c>
      <c r="AB26" s="17">
        <f>'HH WITH COM #6'!$X$24</f>
        <v>0</v>
      </c>
      <c r="AC26" s="116">
        <f t="shared" ref="AC26:AC27" si="32">SUM(AA26:AB26)</f>
        <v>0</v>
      </c>
      <c r="AD26" s="91">
        <f t="shared" ref="AD26:AD27" si="33">IF(AC$28=0,0,AC26/AC$28)</f>
        <v>0</v>
      </c>
      <c r="AE26" s="17">
        <f>'HH WITH COM #7'!$W$24</f>
        <v>0</v>
      </c>
      <c r="AF26" s="17">
        <f>'HH WITH COM #7'!$X$24</f>
        <v>0</v>
      </c>
      <c r="AG26" s="116">
        <f t="shared" ref="AG26:AG27" si="34">SUM(AE26:AF26)</f>
        <v>0</v>
      </c>
      <c r="AH26" s="373">
        <f t="shared" ref="AH26:AH27" si="35">IF(AG$28=0,0,AG26/AG$28)</f>
        <v>0</v>
      </c>
      <c r="AI26" s="391">
        <f t="shared" si="20"/>
        <v>0</v>
      </c>
      <c r="AJ26" s="17">
        <f t="shared" si="21"/>
        <v>0</v>
      </c>
      <c r="AK26" s="539">
        <f t="shared" ref="AK26:AK27" si="36">SUM(AI26:AJ26)</f>
        <v>0</v>
      </c>
      <c r="AL26" s="91">
        <f t="shared" ref="AL26:AL27" si="37">IF(AK$28=0,0,AK26/AK$28)</f>
        <v>0</v>
      </c>
    </row>
    <row r="27" spans="1:38" ht="16.5" hidden="1" customHeight="1" x14ac:dyDescent="0.25">
      <c r="A27" s="40"/>
      <c r="B27" s="40"/>
      <c r="C27" s="473" t="s">
        <v>531</v>
      </c>
      <c r="D27" s="303" t="s">
        <v>530</v>
      </c>
      <c r="E27" s="75"/>
      <c r="F27" s="76"/>
      <c r="G27" s="17">
        <f>'HH WITH COM #1 '!$W$25</f>
        <v>0</v>
      </c>
      <c r="H27" s="17">
        <f>'HH WITH COM #1 '!$X$25</f>
        <v>0</v>
      </c>
      <c r="I27" s="116">
        <f t="shared" si="22"/>
        <v>0</v>
      </c>
      <c r="J27" s="91">
        <f t="shared" si="23"/>
        <v>0</v>
      </c>
      <c r="K27" s="17">
        <f>'HH WITH COM #2'!$W$25</f>
        <v>0</v>
      </c>
      <c r="L27" s="17">
        <f>'HH WITH COM #2'!$X$25</f>
        <v>0</v>
      </c>
      <c r="M27" s="116">
        <f t="shared" si="24"/>
        <v>0</v>
      </c>
      <c r="N27" s="91">
        <f t="shared" si="25"/>
        <v>0</v>
      </c>
      <c r="O27" s="17">
        <f>'HH WITH COM #3'!$W$25</f>
        <v>0</v>
      </c>
      <c r="P27" s="17">
        <f>'HH WITH COM #3'!$X$25</f>
        <v>0</v>
      </c>
      <c r="Q27" s="116">
        <f t="shared" si="26"/>
        <v>0</v>
      </c>
      <c r="R27" s="91">
        <f t="shared" si="27"/>
        <v>0</v>
      </c>
      <c r="S27" s="17">
        <f>'HH WITH COM #4'!$W$25</f>
        <v>0</v>
      </c>
      <c r="T27" s="17">
        <f>'HH WITH COM #4'!$X$25</f>
        <v>0</v>
      </c>
      <c r="U27" s="116">
        <f t="shared" si="28"/>
        <v>0</v>
      </c>
      <c r="V27" s="91">
        <f t="shared" si="29"/>
        <v>0</v>
      </c>
      <c r="W27" s="17">
        <f>'HH WITH COM #5'!$W$25</f>
        <v>0</v>
      </c>
      <c r="X27" s="17">
        <f>'HH WITH COM #5'!$X$25</f>
        <v>0</v>
      </c>
      <c r="Y27" s="116">
        <f t="shared" si="30"/>
        <v>0</v>
      </c>
      <c r="Z27" s="91">
        <f t="shared" si="31"/>
        <v>0</v>
      </c>
      <c r="AA27" s="17">
        <f>'HH WITH COM #6'!$W$25</f>
        <v>0</v>
      </c>
      <c r="AB27" s="17">
        <f>'HH WITH COM #6'!$X$25</f>
        <v>0</v>
      </c>
      <c r="AC27" s="116">
        <f t="shared" si="32"/>
        <v>0</v>
      </c>
      <c r="AD27" s="91">
        <f t="shared" si="33"/>
        <v>0</v>
      </c>
      <c r="AE27" s="17">
        <f>'HH WITH COM #7'!$W$25</f>
        <v>0</v>
      </c>
      <c r="AF27" s="17">
        <f>'HH WITH COM #7'!$X$25</f>
        <v>0</v>
      </c>
      <c r="AG27" s="116">
        <f t="shared" si="34"/>
        <v>0</v>
      </c>
      <c r="AH27" s="373">
        <f t="shared" si="35"/>
        <v>0</v>
      </c>
      <c r="AI27" s="391">
        <f t="shared" si="20"/>
        <v>0</v>
      </c>
      <c r="AJ27" s="17">
        <f t="shared" si="21"/>
        <v>0</v>
      </c>
      <c r="AK27" s="539">
        <f t="shared" si="36"/>
        <v>0</v>
      </c>
      <c r="AL27" s="91">
        <f t="shared" si="37"/>
        <v>0</v>
      </c>
    </row>
    <row r="28" spans="1:38" ht="16.5" hidden="1" customHeight="1" x14ac:dyDescent="0.25">
      <c r="A28" s="40"/>
      <c r="B28" s="179"/>
      <c r="C28" s="119"/>
      <c r="D28" s="134"/>
      <c r="E28" s="184"/>
      <c r="F28" s="469"/>
      <c r="G28" s="82">
        <f>SUM(G25:G27)</f>
        <v>0</v>
      </c>
      <c r="H28" s="82">
        <f>SUM(H25:H27)</f>
        <v>0</v>
      </c>
      <c r="I28" s="82">
        <f>SUM(I25:I27)</f>
        <v>0</v>
      </c>
      <c r="J28" s="66">
        <f>IF(I$28=0,0,I28/I$28)</f>
        <v>0</v>
      </c>
      <c r="K28" s="82">
        <f>SUM(K25:K27)</f>
        <v>0</v>
      </c>
      <c r="L28" s="82">
        <f>SUM(L25:L27)</f>
        <v>0</v>
      </c>
      <c r="M28" s="82">
        <f>SUM(M25:M27)</f>
        <v>0</v>
      </c>
      <c r="N28" s="66">
        <f>IF(M$28=0,0,M28/M$28)</f>
        <v>0</v>
      </c>
      <c r="O28" s="82">
        <f>SUM(O25:O27)</f>
        <v>0</v>
      </c>
      <c r="P28" s="82">
        <f>SUM(P25:P27)</f>
        <v>0</v>
      </c>
      <c r="Q28" s="82">
        <f>SUM(Q25:Q27)</f>
        <v>0</v>
      </c>
      <c r="R28" s="66">
        <f>IF(Q$28=0,0,Q28/Q$28)</f>
        <v>0</v>
      </c>
      <c r="S28" s="82">
        <f>SUM(S25:S27)</f>
        <v>0</v>
      </c>
      <c r="T28" s="82">
        <f>SUM(T25:T27)</f>
        <v>0</v>
      </c>
      <c r="U28" s="82">
        <f>SUM(U25:U27)</f>
        <v>0</v>
      </c>
      <c r="V28" s="66">
        <f>IF(U$28=0,0,U28/U$28)</f>
        <v>0</v>
      </c>
      <c r="W28" s="82">
        <f>SUM(W25:W27)</f>
        <v>0</v>
      </c>
      <c r="X28" s="82">
        <f>SUM(X25:X27)</f>
        <v>0</v>
      </c>
      <c r="Y28" s="82">
        <f>SUM(Y25:Y27)</f>
        <v>0</v>
      </c>
      <c r="Z28" s="66">
        <f>IF(Y$28=0,0,Y28/Y$28)</f>
        <v>0</v>
      </c>
      <c r="AA28" s="82">
        <f>SUM(AA25:AA27)</f>
        <v>0</v>
      </c>
      <c r="AB28" s="82">
        <f>SUM(AB25:AB27)</f>
        <v>0</v>
      </c>
      <c r="AC28" s="82">
        <f>SUM(AC25:AC27)</f>
        <v>0</v>
      </c>
      <c r="AD28" s="66">
        <f>IF(AC$28=0,0,AC28/AC$28)</f>
        <v>0</v>
      </c>
      <c r="AE28" s="66"/>
      <c r="AF28" s="66"/>
      <c r="AG28" s="82">
        <f>SUM(AG25:AG27)</f>
        <v>0</v>
      </c>
      <c r="AH28" s="608">
        <f>IF(AG$28=0,0,AG28/AG$28)</f>
        <v>0</v>
      </c>
      <c r="AI28" s="381">
        <f>SUM(AI25:AI27)</f>
        <v>0</v>
      </c>
      <c r="AJ28" s="82">
        <f>SUM(AJ25:AJ27)</f>
        <v>0</v>
      </c>
      <c r="AK28" s="82">
        <f>SUM(AK25:AK27)</f>
        <v>0</v>
      </c>
      <c r="AL28" s="66">
        <f>IF(AK$28=0,0,AK28/AK$28)</f>
        <v>0</v>
      </c>
    </row>
    <row r="29" spans="1:38" ht="16.5" hidden="1" customHeight="1" x14ac:dyDescent="0.25">
      <c r="A29" s="40"/>
      <c r="B29" s="40"/>
      <c r="C29" s="84"/>
      <c r="D29" s="464" t="s">
        <v>855</v>
      </c>
      <c r="E29" s="464"/>
      <c r="F29" s="465"/>
      <c r="G29" s="66">
        <f>IF(G17=0,0,G25/G17)</f>
        <v>0</v>
      </c>
      <c r="H29" s="66">
        <f>IF(H17=0,0,H25/H17)</f>
        <v>0</v>
      </c>
      <c r="I29" s="66">
        <f>IF(I17=0,0,I25/I17)</f>
        <v>0</v>
      </c>
      <c r="J29" s="66"/>
      <c r="K29" s="66">
        <f>IF(K17=0,0,K25/K17)</f>
        <v>0</v>
      </c>
      <c r="L29" s="66">
        <f>IF(L17=0,0,L25/L17)</f>
        <v>0</v>
      </c>
      <c r="M29" s="66">
        <f>IF(M17=0,0,M25/M17)</f>
        <v>0</v>
      </c>
      <c r="N29" s="66"/>
      <c r="O29" s="66">
        <f>IF(O17=0,0,O25/O17)</f>
        <v>0</v>
      </c>
      <c r="P29" s="66">
        <f>IF(P17=0,0,P25/P17)</f>
        <v>0</v>
      </c>
      <c r="Q29" s="66">
        <f>IF(Q17=0,0,Q25/Q17)</f>
        <v>0</v>
      </c>
      <c r="R29" s="66"/>
      <c r="S29" s="66">
        <f>IF(S17=0,0,S25/S17)</f>
        <v>0</v>
      </c>
      <c r="T29" s="66">
        <f>IF(T17=0,0,T25/T17)</f>
        <v>0</v>
      </c>
      <c r="U29" s="66">
        <f>IF(U17=0,0,U25/U17)</f>
        <v>0</v>
      </c>
      <c r="V29" s="66"/>
      <c r="W29" s="66">
        <f>IF(W17=0,0,W25/W17)</f>
        <v>0</v>
      </c>
      <c r="X29" s="66">
        <f>IF(X17=0,0,X25/X17)</f>
        <v>0</v>
      </c>
      <c r="Y29" s="66">
        <f>IF(Y17=0,0,Y25/Y17)</f>
        <v>0</v>
      </c>
      <c r="Z29" s="66"/>
      <c r="AA29" s="66">
        <f>IF(AA17=0,0,AA25/AA17)</f>
        <v>0</v>
      </c>
      <c r="AB29" s="66">
        <f>IF(AB17=0,0,AB25/AB17)</f>
        <v>0</v>
      </c>
      <c r="AC29" s="66">
        <f>IF(AC17=0,0,AC25/AC17)</f>
        <v>0</v>
      </c>
      <c r="AD29" s="66"/>
      <c r="AE29" s="66"/>
      <c r="AF29" s="66"/>
      <c r="AG29" s="66">
        <f>IF(AG17=0,0,AG25/AG17)</f>
        <v>0</v>
      </c>
      <c r="AH29" s="608"/>
      <c r="AI29" s="619">
        <f>IF(AI17=0,0,AI25/AI17)</f>
        <v>0</v>
      </c>
      <c r="AJ29" s="66">
        <f>IF(AJ17=0,0,AJ25/AJ17)</f>
        <v>0</v>
      </c>
      <c r="AK29" s="66">
        <f>IF(AK17=0,0,AK25/AK17)</f>
        <v>0</v>
      </c>
      <c r="AL29" s="66"/>
    </row>
    <row r="30" spans="1:38" ht="16.5" customHeight="1" x14ac:dyDescent="0.25">
      <c r="A30" s="47"/>
      <c r="B30" s="414">
        <v>0.1</v>
      </c>
      <c r="C30" s="42" t="s">
        <v>1489</v>
      </c>
      <c r="D30" s="50"/>
      <c r="E30" s="269"/>
      <c r="F30" s="270"/>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72"/>
      <c r="AE30" s="272"/>
      <c r="AF30" s="272"/>
      <c r="AG30" s="272"/>
      <c r="AH30" s="610"/>
      <c r="AI30" s="377"/>
      <c r="AJ30" s="71"/>
      <c r="AK30" s="71"/>
      <c r="AL30" s="71"/>
    </row>
    <row r="31" spans="1:38" ht="16.5" customHeight="1" x14ac:dyDescent="0.25">
      <c r="A31" s="40"/>
      <c r="B31" s="55"/>
      <c r="C31" s="467" t="s">
        <v>371</v>
      </c>
      <c r="D31" s="511" t="s">
        <v>629</v>
      </c>
      <c r="E31" s="75"/>
      <c r="F31" s="76"/>
      <c r="G31" s="17">
        <f>'HH WITH COM #1 '!$W$18</f>
        <v>0</v>
      </c>
      <c r="H31" s="17">
        <f>'HH WITH COM #1 '!$X$18</f>
        <v>3</v>
      </c>
      <c r="I31" s="116">
        <f>SUM(G31:H31)</f>
        <v>3</v>
      </c>
      <c r="J31" s="91">
        <f>IF(I$33=0,0,I31/I$33)</f>
        <v>0.2</v>
      </c>
      <c r="K31" s="17">
        <f>'HH WITH COM #2'!$W$18</f>
        <v>0</v>
      </c>
      <c r="L31" s="17">
        <f>'HH WITH COM #2'!$X$18</f>
        <v>6</v>
      </c>
      <c r="M31" s="116">
        <f>SUM(K31:L31)</f>
        <v>6</v>
      </c>
      <c r="N31" s="91">
        <f>IF(M$33=0,0,M31/M$33)</f>
        <v>0.42857142857142855</v>
      </c>
      <c r="O31" s="17">
        <f>'HH WITH COM #3'!$W$18</f>
        <v>0</v>
      </c>
      <c r="P31" s="17">
        <f>'HH WITH COM #3'!$X$18</f>
        <v>2</v>
      </c>
      <c r="Q31" s="116">
        <f>SUM(O31:P31)</f>
        <v>2</v>
      </c>
      <c r="R31" s="91">
        <f>IF(Q$33=0,0,Q31/Q$33)</f>
        <v>0.22222222222222221</v>
      </c>
      <c r="S31" s="17">
        <f>'HH WITH COM #4'!$W$18</f>
        <v>0</v>
      </c>
      <c r="T31" s="17">
        <f>'HH WITH COM #4'!$X$18</f>
        <v>4</v>
      </c>
      <c r="U31" s="116">
        <f>SUM(S31:T31)</f>
        <v>4</v>
      </c>
      <c r="V31" s="91">
        <f>IF(U$33=0,0,U31/U$33)</f>
        <v>0.25</v>
      </c>
      <c r="W31" s="17">
        <f>'HH WITH COM #5'!$W$18</f>
        <v>2</v>
      </c>
      <c r="X31" s="17">
        <f>'HH WITH COM #5'!$X$18</f>
        <v>9</v>
      </c>
      <c r="Y31" s="116">
        <f>SUM(W31:X31)</f>
        <v>11</v>
      </c>
      <c r="Z31" s="91">
        <f>IF(Y$33=0,0,Y31/Y$33)</f>
        <v>0.52380952380952384</v>
      </c>
      <c r="AA31" s="17">
        <f>'HH WITH COM #6'!$W$18</f>
        <v>0</v>
      </c>
      <c r="AB31" s="17">
        <f>'HH WITH COM #6'!$X$18</f>
        <v>3</v>
      </c>
      <c r="AC31" s="116">
        <f>SUM(AA31:AB31)</f>
        <v>3</v>
      </c>
      <c r="AD31" s="91">
        <f>IF(AC$33=0,0,AC31/AC$33)</f>
        <v>0.2</v>
      </c>
      <c r="AE31" s="17">
        <f>'HH WITH COM #7'!$W$18</f>
        <v>0</v>
      </c>
      <c r="AF31" s="17">
        <f>'HH WITH COM #7'!$X$18</f>
        <v>0</v>
      </c>
      <c r="AG31" s="116">
        <f>SUM(AE31:AF31)</f>
        <v>0</v>
      </c>
      <c r="AH31" s="373">
        <f>IF(AG$33=0,0,AG31/AG$33)</f>
        <v>0</v>
      </c>
      <c r="AI31" s="391">
        <f t="shared" ref="AI31:AI32" si="38">G31+K31+O31+S31+W31+AA31+AE31</f>
        <v>2</v>
      </c>
      <c r="AJ31" s="17">
        <f t="shared" ref="AJ31:AJ32" si="39">H31+L31+P31+T31+X31+AB31+AF31</f>
        <v>27</v>
      </c>
      <c r="AK31" s="539">
        <f>SUM(AI31:AJ31)</f>
        <v>29</v>
      </c>
      <c r="AL31" s="91">
        <f>IF(AK$33=0,0,AK31/AK$33)</f>
        <v>0.32222222222222224</v>
      </c>
    </row>
    <row r="32" spans="1:38" ht="16.5" customHeight="1" x14ac:dyDescent="0.25">
      <c r="A32" s="40"/>
      <c r="B32" s="55"/>
      <c r="C32" s="467" t="s">
        <v>372</v>
      </c>
      <c r="D32" s="511" t="s">
        <v>630</v>
      </c>
      <c r="E32" s="75"/>
      <c r="F32" s="76"/>
      <c r="G32" s="17">
        <f>'HH WITH COM #1 '!$W$19</f>
        <v>7</v>
      </c>
      <c r="H32" s="17">
        <f>'HH WITH COM #1 '!$X$19</f>
        <v>5</v>
      </c>
      <c r="I32" s="116">
        <f>SUM(G32:H32)</f>
        <v>12</v>
      </c>
      <c r="J32" s="91">
        <f>IF(I$33=0,0,I32/I$33)</f>
        <v>0.8</v>
      </c>
      <c r="K32" s="17">
        <f>'HH WITH COM #2'!$W$19</f>
        <v>4</v>
      </c>
      <c r="L32" s="17">
        <f>'HH WITH COM #2'!$X$19</f>
        <v>4</v>
      </c>
      <c r="M32" s="116">
        <f>SUM(K32:L32)</f>
        <v>8</v>
      </c>
      <c r="N32" s="91">
        <f>IF(M$33=0,0,M32/M$33)</f>
        <v>0.5714285714285714</v>
      </c>
      <c r="O32" s="17">
        <f>'HH WITH COM #3'!$W$19</f>
        <v>0</v>
      </c>
      <c r="P32" s="17">
        <f>'HH WITH COM #3'!$X$19</f>
        <v>7</v>
      </c>
      <c r="Q32" s="116">
        <f>SUM(O32:P32)</f>
        <v>7</v>
      </c>
      <c r="R32" s="91">
        <f>IF(Q$33=0,0,Q32/Q$33)</f>
        <v>0.77777777777777779</v>
      </c>
      <c r="S32" s="17">
        <f>'HH WITH COM #4'!$W$19</f>
        <v>1</v>
      </c>
      <c r="T32" s="17">
        <f>'HH WITH COM #4'!$X$19</f>
        <v>11</v>
      </c>
      <c r="U32" s="116">
        <f>SUM(S32:T32)</f>
        <v>12</v>
      </c>
      <c r="V32" s="91">
        <f>IF(U$33=0,0,U32/U$33)</f>
        <v>0.75</v>
      </c>
      <c r="W32" s="17">
        <f>'HH WITH COM #5'!$W$19</f>
        <v>0</v>
      </c>
      <c r="X32" s="17">
        <f>'HH WITH COM #5'!$X$19</f>
        <v>10</v>
      </c>
      <c r="Y32" s="116">
        <f>SUM(W32:X32)</f>
        <v>10</v>
      </c>
      <c r="Z32" s="91">
        <f>IF(Y$33=0,0,Y32/Y$33)</f>
        <v>0.47619047619047616</v>
      </c>
      <c r="AA32" s="17">
        <f>'HH WITH COM #6'!$W$19</f>
        <v>3</v>
      </c>
      <c r="AB32" s="17">
        <f>'HH WITH COM #6'!$X$19</f>
        <v>9</v>
      </c>
      <c r="AC32" s="116">
        <f>SUM(AA32:AB32)</f>
        <v>12</v>
      </c>
      <c r="AD32" s="91">
        <f>IF(AC$33=0,0,AC32/AC$33)</f>
        <v>0.8</v>
      </c>
      <c r="AE32" s="17">
        <f>'HH WITH COM #7'!$W$19</f>
        <v>0</v>
      </c>
      <c r="AF32" s="17">
        <f>'HH WITH COM #7'!$X$19</f>
        <v>0</v>
      </c>
      <c r="AG32" s="116">
        <f>SUM(AE32:AF32)</f>
        <v>0</v>
      </c>
      <c r="AH32" s="373">
        <f>IF(AG$33=0,0,AG32/AG$33)</f>
        <v>0</v>
      </c>
      <c r="AI32" s="391">
        <f t="shared" si="38"/>
        <v>15</v>
      </c>
      <c r="AJ32" s="17">
        <f t="shared" si="39"/>
        <v>46</v>
      </c>
      <c r="AK32" s="539">
        <f>SUM(AI32:AJ32)</f>
        <v>61</v>
      </c>
      <c r="AL32" s="91">
        <f>IF(AK$33=0,0,AK32/AK$33)</f>
        <v>0.67777777777777781</v>
      </c>
    </row>
    <row r="33" spans="1:38" ht="16.5" customHeight="1" x14ac:dyDescent="0.25">
      <c r="A33" s="40"/>
      <c r="B33" s="40"/>
      <c r="C33" s="185"/>
      <c r="D33" s="134"/>
      <c r="E33" s="184"/>
      <c r="F33" s="469"/>
      <c r="G33" s="82">
        <f>SUM(G31:G32)</f>
        <v>7</v>
      </c>
      <c r="H33" s="82">
        <f t="shared" ref="H33" si="40">SUM(H31:H32)</f>
        <v>8</v>
      </c>
      <c r="I33" s="82">
        <f>SUM(I31:I32)</f>
        <v>15</v>
      </c>
      <c r="J33" s="66">
        <f>IF(I$33=0,0,I33/I$33)</f>
        <v>1</v>
      </c>
      <c r="K33" s="82">
        <f>SUM(K31:K32)</f>
        <v>4</v>
      </c>
      <c r="L33" s="82">
        <f t="shared" ref="L33" si="41">SUM(L31:L32)</f>
        <v>10</v>
      </c>
      <c r="M33" s="82">
        <f>SUM(M31:M32)</f>
        <v>14</v>
      </c>
      <c r="N33" s="66">
        <f>IF(M$33=0,0,M33/M$33)</f>
        <v>1</v>
      </c>
      <c r="O33" s="82">
        <f>SUM(O31:O32)</f>
        <v>0</v>
      </c>
      <c r="P33" s="82">
        <f t="shared" ref="P33" si="42">SUM(P31:P32)</f>
        <v>9</v>
      </c>
      <c r="Q33" s="82">
        <f>SUM(Q31:Q32)</f>
        <v>9</v>
      </c>
      <c r="R33" s="66">
        <f>IF(Q$33=0,0,Q33/Q$33)</f>
        <v>1</v>
      </c>
      <c r="S33" s="82">
        <f>SUM(S31:S32)</f>
        <v>1</v>
      </c>
      <c r="T33" s="82">
        <f t="shared" ref="T33" si="43">SUM(T31:T32)</f>
        <v>15</v>
      </c>
      <c r="U33" s="82">
        <f>SUM(U31:U32)</f>
        <v>16</v>
      </c>
      <c r="V33" s="66">
        <f>IF(U$33=0,0,U33/U$33)</f>
        <v>1</v>
      </c>
      <c r="W33" s="82">
        <f>SUM(W31:W32)</f>
        <v>2</v>
      </c>
      <c r="X33" s="82">
        <f t="shared" ref="X33" si="44">SUM(X31:X32)</f>
        <v>19</v>
      </c>
      <c r="Y33" s="82">
        <f>SUM(Y31:Y32)</f>
        <v>21</v>
      </c>
      <c r="Z33" s="66">
        <f>IF(Y$33=0,0,Y33/Y$33)</f>
        <v>1</v>
      </c>
      <c r="AA33" s="82">
        <f>SUM(AA31:AA32)</f>
        <v>3</v>
      </c>
      <c r="AB33" s="82">
        <f t="shared" ref="AB33" si="45">SUM(AB31:AB32)</f>
        <v>12</v>
      </c>
      <c r="AC33" s="82">
        <f>SUM(AC31:AC32)</f>
        <v>15</v>
      </c>
      <c r="AD33" s="66">
        <f>IF(AC$33=0,0,AC33/AC$33)</f>
        <v>1</v>
      </c>
      <c r="AE33" s="82">
        <f>SUM(AE31:AE32)</f>
        <v>0</v>
      </c>
      <c r="AF33" s="82">
        <f t="shared" ref="AF33" si="46">SUM(AF31:AF32)</f>
        <v>0</v>
      </c>
      <c r="AG33" s="82">
        <f>SUM(AG31:AG32)</f>
        <v>0</v>
      </c>
      <c r="AH33" s="608">
        <f>IF(AG$33=0,0,AG33/AG$33)</f>
        <v>0</v>
      </c>
      <c r="AI33" s="381">
        <f>SUM(AI31:AI32)</f>
        <v>17</v>
      </c>
      <c r="AJ33" s="82">
        <f t="shared" ref="AJ33" si="47">SUM(AJ31:AJ32)</f>
        <v>73</v>
      </c>
      <c r="AK33" s="82">
        <f>SUM(AK31:AK32)</f>
        <v>90</v>
      </c>
      <c r="AL33" s="66">
        <f>IF(AK$33=0,0,AK33/AK$33)</f>
        <v>1</v>
      </c>
    </row>
    <row r="34" spans="1:38" s="97" customFormat="1" ht="16.5" customHeight="1" x14ac:dyDescent="0.25">
      <c r="A34" s="68"/>
      <c r="B34" s="68"/>
      <c r="C34" s="68"/>
      <c r="D34" s="166"/>
      <c r="E34" s="458"/>
      <c r="F34" s="458"/>
      <c r="G34" s="466"/>
      <c r="H34" s="466"/>
      <c r="I34" s="466"/>
      <c r="J34" s="466"/>
      <c r="K34" s="466"/>
      <c r="L34" s="466"/>
      <c r="M34" s="466"/>
      <c r="N34" s="466"/>
      <c r="O34" s="466"/>
      <c r="P34" s="466"/>
      <c r="Q34" s="466"/>
      <c r="R34" s="466"/>
      <c r="S34" s="466"/>
      <c r="T34" s="466"/>
      <c r="U34" s="466"/>
      <c r="V34" s="466"/>
      <c r="W34" s="466"/>
      <c r="X34" s="466"/>
      <c r="Y34" s="466"/>
      <c r="Z34" s="466"/>
      <c r="AA34" s="466"/>
      <c r="AB34" s="466"/>
      <c r="AC34" s="466"/>
      <c r="AD34" s="466"/>
      <c r="AE34" s="466"/>
      <c r="AF34" s="466"/>
      <c r="AG34" s="466"/>
      <c r="AH34" s="466"/>
      <c r="AI34" s="466"/>
      <c r="AJ34" s="466"/>
      <c r="AK34" s="466"/>
      <c r="AL34" s="466"/>
    </row>
    <row r="35" spans="1:38" s="456" customFormat="1" ht="16.5" customHeight="1" thickBot="1" x14ac:dyDescent="0.3">
      <c r="A35" s="24" t="s">
        <v>13</v>
      </c>
      <c r="B35" s="453" t="s">
        <v>14</v>
      </c>
      <c r="C35" s="26"/>
      <c r="D35" s="454"/>
      <c r="E35" s="454"/>
      <c r="F35" s="455"/>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606"/>
      <c r="AI35" s="630"/>
      <c r="AJ35" s="24"/>
      <c r="AK35" s="24"/>
      <c r="AL35" s="24"/>
    </row>
    <row r="36" spans="1:38" ht="16.5" customHeight="1" x14ac:dyDescent="0.25">
      <c r="A36" s="47"/>
      <c r="B36" s="471" t="s">
        <v>15</v>
      </c>
      <c r="C36" s="472" t="s">
        <v>893</v>
      </c>
      <c r="D36" s="269"/>
      <c r="E36" s="269"/>
      <c r="F36" s="270"/>
      <c r="G36" s="425">
        <f>'HH WITH COM #1 '!$W$33</f>
        <v>28</v>
      </c>
      <c r="H36" s="425">
        <f>'HH WITH COM #1 '!$X$33</f>
        <v>234</v>
      </c>
      <c r="I36" s="425">
        <f>SUM(G36:H36)</f>
        <v>262</v>
      </c>
      <c r="J36" s="425"/>
      <c r="K36" s="425">
        <f>'HH WITH COM #2'!$W$33</f>
        <v>0</v>
      </c>
      <c r="L36" s="425">
        <f>'HH WITH COM #2'!$X$33</f>
        <v>0</v>
      </c>
      <c r="M36" s="425">
        <f>SUM(K36:L36)</f>
        <v>0</v>
      </c>
      <c r="N36" s="425"/>
      <c r="O36" s="425">
        <f>'HH WITH COM #3'!$W$33</f>
        <v>0</v>
      </c>
      <c r="P36" s="425">
        <f>'HH WITH COM #3'!$X$33</f>
        <v>0</v>
      </c>
      <c r="Q36" s="425">
        <f>SUM(O36:P36)</f>
        <v>0</v>
      </c>
      <c r="R36" s="425"/>
      <c r="S36" s="425">
        <f>'HH WITH COM #4'!$W$33</f>
        <v>0</v>
      </c>
      <c r="T36" s="425">
        <f>'HH WITH COM #4'!$X$33</f>
        <v>0</v>
      </c>
      <c r="U36" s="425">
        <f>SUM(S36:T36)</f>
        <v>0</v>
      </c>
      <c r="V36" s="425"/>
      <c r="W36" s="425">
        <f>'HH WITH COM #5'!$W$33</f>
        <v>0</v>
      </c>
      <c r="X36" s="425">
        <f>'HH WITH COM #5'!$X$33</f>
        <v>0</v>
      </c>
      <c r="Y36" s="425">
        <f>SUM(W36:X36)</f>
        <v>0</v>
      </c>
      <c r="Z36" s="425"/>
      <c r="AA36" s="425">
        <f>'HH WITH COM #6'!$W$33</f>
        <v>0</v>
      </c>
      <c r="AB36" s="425">
        <f>'HH WITH COM #6'!$X$33</f>
        <v>0</v>
      </c>
      <c r="AC36" s="425">
        <f>SUM(AA36:AB36)</f>
        <v>0</v>
      </c>
      <c r="AD36" s="425"/>
      <c r="AE36" s="425">
        <f>'HH WITH COM #7'!$W$33</f>
        <v>0</v>
      </c>
      <c r="AF36" s="425">
        <f>'HH WITH COM #7'!$X$33</f>
        <v>0</v>
      </c>
      <c r="AG36" s="425">
        <f>SUM(AE36:AF36)</f>
        <v>0</v>
      </c>
      <c r="AH36" s="611"/>
      <c r="AI36" s="629">
        <f>G36+K36+O36+S36+W36+AA36+AE36</f>
        <v>28</v>
      </c>
      <c r="AJ36" s="425">
        <f>H36+L36+P36+T36+X36+AB36+AF36</f>
        <v>234</v>
      </c>
      <c r="AK36" s="257">
        <f>SUM(AI36:AJ36)</f>
        <v>262</v>
      </c>
      <c r="AL36" s="425"/>
    </row>
    <row r="37" spans="1:38" ht="16.5" customHeight="1" x14ac:dyDescent="0.25">
      <c r="A37" s="102"/>
      <c r="B37" s="102"/>
      <c r="C37" s="464" t="s">
        <v>854</v>
      </c>
      <c r="D37" s="464"/>
      <c r="E37" s="464"/>
      <c r="F37" s="465"/>
      <c r="G37" s="66">
        <f>IF(I36=0,0,G36/I36)</f>
        <v>0.10687022900763359</v>
      </c>
      <c r="H37" s="66">
        <f>IF(I36=0,0,H36/I36)</f>
        <v>0.89312977099236646</v>
      </c>
      <c r="I37" s="66">
        <f>IF(I36=0,0,I36/I36)</f>
        <v>1</v>
      </c>
      <c r="J37" s="66"/>
      <c r="K37" s="66">
        <f>IF(M36=0,0,K36/M36)</f>
        <v>0</v>
      </c>
      <c r="L37" s="66">
        <f>IF(M36=0,0,L36/M36)</f>
        <v>0</v>
      </c>
      <c r="M37" s="66">
        <f>IF(M36=0,0,M36/M36)</f>
        <v>0</v>
      </c>
      <c r="N37" s="66"/>
      <c r="O37" s="66">
        <f>IF(Q36=0,0,O36/Q36)</f>
        <v>0</v>
      </c>
      <c r="P37" s="66">
        <f>IF(Q36=0,0,P36/Q36)</f>
        <v>0</v>
      </c>
      <c r="Q37" s="66">
        <f>IF(Q36=0,0,Q36/Q36)</f>
        <v>0</v>
      </c>
      <c r="R37" s="66"/>
      <c r="S37" s="66">
        <f>IF(U36=0,0,S36/U36)</f>
        <v>0</v>
      </c>
      <c r="T37" s="66">
        <f>IF(U36=0,0,T36/U36)</f>
        <v>0</v>
      </c>
      <c r="U37" s="66">
        <f>IF(U36=0,0,U36/U36)</f>
        <v>0</v>
      </c>
      <c r="V37" s="66"/>
      <c r="W37" s="66">
        <f>IF(Y36=0,0,W36/Y36)</f>
        <v>0</v>
      </c>
      <c r="X37" s="66">
        <f>IF(Y36=0,0,X36/Y36)</f>
        <v>0</v>
      </c>
      <c r="Y37" s="66">
        <f>IF(Y36=0,0,Y36/Y36)</f>
        <v>0</v>
      </c>
      <c r="Z37" s="66"/>
      <c r="AA37" s="66">
        <f>IF(AC36=0,0,AA36/AC36)</f>
        <v>0</v>
      </c>
      <c r="AB37" s="66">
        <f>IF(AC36=0,0,AB36/AC36)</f>
        <v>0</v>
      </c>
      <c r="AC37" s="66">
        <f>IF(AC36=0,0,AC36/AC36)</f>
        <v>0</v>
      </c>
      <c r="AD37" s="66"/>
      <c r="AE37" s="66">
        <f>IF(AG36=0,0,AE36/AG36)</f>
        <v>0</v>
      </c>
      <c r="AF37" s="66">
        <f>IF(AG36=0,0,AF36/AG36)</f>
        <v>0</v>
      </c>
      <c r="AG37" s="66">
        <f>IF(AG36=0,0,AG36/AG36)</f>
        <v>0</v>
      </c>
      <c r="AH37" s="608"/>
      <c r="AI37" s="619">
        <f>IF(AK36=0,0,AI36/AK36)</f>
        <v>0.10687022900763359</v>
      </c>
      <c r="AJ37" s="66">
        <f>IF(AK36=0,0,AJ36/AK36)</f>
        <v>0.89312977099236646</v>
      </c>
      <c r="AK37" s="66">
        <f>IF(AK36=0,0,AK36/AK36)</f>
        <v>1</v>
      </c>
      <c r="AL37" s="66"/>
    </row>
    <row r="38" spans="1:38" ht="16.5" customHeight="1" x14ac:dyDescent="0.25">
      <c r="A38" s="47"/>
      <c r="B38" s="471" t="s">
        <v>856</v>
      </c>
      <c r="C38" s="472" t="s">
        <v>894</v>
      </c>
      <c r="D38" s="269"/>
      <c r="E38" s="269"/>
      <c r="F38" s="270"/>
      <c r="G38" s="425">
        <f>'HH WITH COM #1 '!$W$20</f>
        <v>7</v>
      </c>
      <c r="H38" s="425">
        <f>'HH WITH COM #1 '!$X$20</f>
        <v>8</v>
      </c>
      <c r="I38" s="425">
        <f>SUM(G38:H38)</f>
        <v>15</v>
      </c>
      <c r="J38" s="425"/>
      <c r="K38" s="425">
        <f>'HH WITH COM #2'!$W$20</f>
        <v>4</v>
      </c>
      <c r="L38" s="425">
        <f>'HH WITH COM #2'!$X$20</f>
        <v>10</v>
      </c>
      <c r="M38" s="425">
        <f>SUM(K38:L38)</f>
        <v>14</v>
      </c>
      <c r="N38" s="425"/>
      <c r="O38" s="425">
        <f>'HH WITH COM #3'!$W$20</f>
        <v>0</v>
      </c>
      <c r="P38" s="425">
        <f>'HH WITH COM #3'!$X$20</f>
        <v>9</v>
      </c>
      <c r="Q38" s="425">
        <f>SUM(O38:P38)</f>
        <v>9</v>
      </c>
      <c r="R38" s="425"/>
      <c r="S38" s="425">
        <f>'HH WITH COM #4'!$W$20</f>
        <v>1</v>
      </c>
      <c r="T38" s="425">
        <f>'HH WITH COM #4'!$X$20</f>
        <v>15</v>
      </c>
      <c r="U38" s="425">
        <f>SUM(S38:T38)</f>
        <v>16</v>
      </c>
      <c r="V38" s="425"/>
      <c r="W38" s="425">
        <f>'HH WITH COM #5'!$W$20</f>
        <v>2</v>
      </c>
      <c r="X38" s="425">
        <f>'HH WITH COM #5'!$X$20</f>
        <v>19</v>
      </c>
      <c r="Y38" s="425">
        <f>SUM(W38:X38)</f>
        <v>21</v>
      </c>
      <c r="Z38" s="425"/>
      <c r="AA38" s="425">
        <f>'HH WITH COM #6'!$W$20</f>
        <v>3</v>
      </c>
      <c r="AB38" s="425">
        <f>'HH WITH COM #6'!$X$20</f>
        <v>12</v>
      </c>
      <c r="AC38" s="425">
        <f>SUM(AA38:AB38)</f>
        <v>15</v>
      </c>
      <c r="AD38" s="425"/>
      <c r="AE38" s="425">
        <f>'HH WITH COM #7'!$W$20</f>
        <v>0</v>
      </c>
      <c r="AF38" s="425">
        <f>'HH WITH COM #7'!$X$20</f>
        <v>0</v>
      </c>
      <c r="AG38" s="425">
        <f>SUM(AE38:AF38)</f>
        <v>0</v>
      </c>
      <c r="AH38" s="611"/>
      <c r="AI38" s="391">
        <f>G38+K38+O38+S38+W38+AA38+AE38</f>
        <v>17</v>
      </c>
      <c r="AJ38" s="17">
        <f>H38+L38+P38+T38+X38+AB38+AF38</f>
        <v>73</v>
      </c>
      <c r="AK38" s="539">
        <f>SUM(AI38:AJ38)</f>
        <v>90</v>
      </c>
      <c r="AL38" s="17"/>
    </row>
    <row r="39" spans="1:38" ht="16.5" customHeight="1" x14ac:dyDescent="0.25">
      <c r="A39" s="102"/>
      <c r="B39" s="102"/>
      <c r="C39" s="464" t="s">
        <v>1455</v>
      </c>
      <c r="D39" s="464"/>
      <c r="E39" s="464"/>
      <c r="F39" s="465"/>
      <c r="G39" s="66">
        <f>IF(I38=0,0,G38/I38)</f>
        <v>0.46666666666666667</v>
      </c>
      <c r="H39" s="66">
        <f>IF(I38=0,0,H38/I38)</f>
        <v>0.53333333333333333</v>
      </c>
      <c r="I39" s="66">
        <f>IF(I38=0,0,I38/I38)</f>
        <v>1</v>
      </c>
      <c r="J39" s="66"/>
      <c r="K39" s="66">
        <f>IF(M38=0,0,K38/M38)</f>
        <v>0.2857142857142857</v>
      </c>
      <c r="L39" s="66">
        <f>IF(M38=0,0,L38/M38)</f>
        <v>0.7142857142857143</v>
      </c>
      <c r="M39" s="66">
        <f>IF(M38=0,0,M38/M38)</f>
        <v>1</v>
      </c>
      <c r="N39" s="66"/>
      <c r="O39" s="66">
        <f>IF(Q38=0,0,O38/Q38)</f>
        <v>0</v>
      </c>
      <c r="P39" s="66">
        <f>IF(Q38=0,0,P38/Q38)</f>
        <v>1</v>
      </c>
      <c r="Q39" s="66">
        <f>IF(Q38=0,0,Q38/Q38)</f>
        <v>1</v>
      </c>
      <c r="R39" s="66"/>
      <c r="S39" s="66">
        <f>IF(U38=0,0,S38/U38)</f>
        <v>6.25E-2</v>
      </c>
      <c r="T39" s="66">
        <f>IF(U38=0,0,T38/U38)</f>
        <v>0.9375</v>
      </c>
      <c r="U39" s="66">
        <f>IF(U38=0,0,U38/U38)</f>
        <v>1</v>
      </c>
      <c r="V39" s="66"/>
      <c r="W39" s="66">
        <f>IF(Y38=0,0,W38/Y38)</f>
        <v>9.5238095238095233E-2</v>
      </c>
      <c r="X39" s="66">
        <f>IF(Y38=0,0,X38/Y38)</f>
        <v>0.90476190476190477</v>
      </c>
      <c r="Y39" s="66">
        <f>IF(Y38=0,0,Y38/Y38)</f>
        <v>1</v>
      </c>
      <c r="Z39" s="66"/>
      <c r="AA39" s="66">
        <f>IF(AC38=0,0,AA38/AC38)</f>
        <v>0.2</v>
      </c>
      <c r="AB39" s="66">
        <f>IF(AC38=0,0,AB38/AC38)</f>
        <v>0.8</v>
      </c>
      <c r="AC39" s="66">
        <f>IF(AC38=0,0,AC38/AC38)</f>
        <v>1</v>
      </c>
      <c r="AD39" s="66"/>
      <c r="AE39" s="66">
        <f>IF(AG38=0,0,AE38/AG38)</f>
        <v>0</v>
      </c>
      <c r="AF39" s="66">
        <f>IF(AG38=0,0,AF38/AG38)</f>
        <v>0</v>
      </c>
      <c r="AG39" s="66">
        <f>IF(AG38=0,0,AG38/AG38)</f>
        <v>0</v>
      </c>
      <c r="AH39" s="608"/>
      <c r="AI39" s="619">
        <f>IF(AK38=0,0,AI38/AK38)</f>
        <v>0.18888888888888888</v>
      </c>
      <c r="AJ39" s="66">
        <f>IF(AK38=0,0,AJ38/AK38)</f>
        <v>0.81111111111111112</v>
      </c>
      <c r="AK39" s="66">
        <f>IF(AK38=0,0,AK38/AK38)</f>
        <v>1</v>
      </c>
      <c r="AL39" s="66"/>
    </row>
    <row r="40" spans="1:38" s="97" customFormat="1" ht="16.5" customHeight="1" x14ac:dyDescent="0.25">
      <c r="A40" s="68"/>
      <c r="B40" s="68"/>
      <c r="C40" s="68"/>
      <c r="D40" s="166"/>
      <c r="E40" s="458"/>
      <c r="F40" s="458"/>
      <c r="G40" s="466"/>
      <c r="H40" s="466"/>
      <c r="I40" s="466"/>
      <c r="J40" s="466"/>
      <c r="K40" s="466"/>
      <c r="L40" s="466"/>
      <c r="M40" s="466"/>
      <c r="N40" s="466"/>
      <c r="O40" s="466"/>
      <c r="P40" s="466"/>
      <c r="Q40" s="466"/>
      <c r="R40" s="466"/>
      <c r="S40" s="466"/>
      <c r="T40" s="466"/>
      <c r="U40" s="466"/>
      <c r="V40" s="466"/>
      <c r="W40" s="466"/>
      <c r="X40" s="466"/>
      <c r="Y40" s="466"/>
      <c r="Z40" s="466"/>
      <c r="AA40" s="466"/>
      <c r="AB40" s="466"/>
      <c r="AC40" s="466"/>
      <c r="AD40" s="466"/>
      <c r="AE40" s="466"/>
      <c r="AF40" s="466"/>
      <c r="AG40" s="466"/>
      <c r="AH40" s="466"/>
      <c r="AI40" s="466"/>
      <c r="AJ40" s="466"/>
      <c r="AK40" s="466"/>
      <c r="AL40" s="466"/>
    </row>
    <row r="41" spans="1:38" s="456" customFormat="1" ht="16.5" customHeight="1" thickBot="1" x14ac:dyDescent="0.3">
      <c r="A41" s="24" t="s">
        <v>20</v>
      </c>
      <c r="B41" s="453" t="s">
        <v>21</v>
      </c>
      <c r="C41" s="26"/>
      <c r="D41" s="454"/>
      <c r="E41" s="454"/>
      <c r="F41" s="455"/>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606"/>
      <c r="AI41" s="630"/>
      <c r="AJ41" s="24"/>
      <c r="AK41" s="24"/>
      <c r="AL41" s="24"/>
    </row>
    <row r="42" spans="1:38" ht="16.5" customHeight="1" x14ac:dyDescent="0.25">
      <c r="A42" s="47"/>
      <c r="B42" s="471" t="s">
        <v>22</v>
      </c>
      <c r="C42" s="472" t="s">
        <v>23</v>
      </c>
      <c r="D42" s="269"/>
      <c r="E42" s="269"/>
      <c r="F42" s="270"/>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c r="AE42" s="272"/>
      <c r="AF42" s="272"/>
      <c r="AG42" s="272"/>
      <c r="AH42" s="610"/>
      <c r="AI42" s="631"/>
      <c r="AJ42" s="272"/>
      <c r="AK42" s="272"/>
      <c r="AL42" s="272"/>
    </row>
    <row r="43" spans="1:38" s="117" customFormat="1" ht="16.5" customHeight="1" x14ac:dyDescent="0.25">
      <c r="A43" s="253"/>
      <c r="B43" s="253"/>
      <c r="C43" s="103" t="s">
        <v>631</v>
      </c>
      <c r="D43" s="313" t="s">
        <v>658</v>
      </c>
      <c r="E43" s="108"/>
      <c r="F43" s="58"/>
      <c r="G43" s="512"/>
      <c r="H43" s="512"/>
      <c r="I43" s="512"/>
      <c r="J43" s="512"/>
      <c r="K43" s="512"/>
      <c r="L43" s="512"/>
      <c r="M43" s="512"/>
      <c r="N43" s="512"/>
      <c r="O43" s="512"/>
      <c r="P43" s="512"/>
      <c r="Q43" s="512"/>
      <c r="R43" s="512"/>
      <c r="S43" s="512"/>
      <c r="T43" s="512"/>
      <c r="U43" s="512"/>
      <c r="V43" s="512"/>
      <c r="W43" s="512"/>
      <c r="X43" s="512"/>
      <c r="Y43" s="512"/>
      <c r="Z43" s="512"/>
      <c r="AA43" s="512"/>
      <c r="AB43" s="512"/>
      <c r="AC43" s="512"/>
      <c r="AD43" s="512"/>
      <c r="AE43" s="512"/>
      <c r="AF43" s="512"/>
      <c r="AG43" s="512"/>
      <c r="AH43" s="612"/>
      <c r="AI43" s="380"/>
      <c r="AJ43" s="111"/>
      <c r="AK43" s="111"/>
      <c r="AL43" s="111"/>
    </row>
    <row r="44" spans="1:38" s="117" customFormat="1" ht="16.5" customHeight="1" x14ac:dyDescent="0.25">
      <c r="A44" s="253"/>
      <c r="B44" s="253"/>
      <c r="C44" s="253"/>
      <c r="D44" s="473" t="s">
        <v>632</v>
      </c>
      <c r="E44" s="487" t="s">
        <v>659</v>
      </c>
      <c r="F44" s="58"/>
      <c r="G44" s="425">
        <f>'HH WITH COM #1 '!$W$38</f>
        <v>1</v>
      </c>
      <c r="H44" s="425">
        <f>'HH WITH COM #1 '!$X$38</f>
        <v>2</v>
      </c>
      <c r="I44" s="257">
        <f>SUM(G44:H44)</f>
        <v>3</v>
      </c>
      <c r="J44" s="91">
        <f>IF(I$47=0,0,I44/I$47)</f>
        <v>0.2</v>
      </c>
      <c r="K44" s="425">
        <f>'HH WITH COM #2'!$W$38</f>
        <v>2</v>
      </c>
      <c r="L44" s="425">
        <f>'HH WITH COM #2'!$X$38</f>
        <v>6</v>
      </c>
      <c r="M44" s="257">
        <f>SUM(K44:L44)</f>
        <v>8</v>
      </c>
      <c r="N44" s="91">
        <f>IF(M$47=0,0,M44/M$47)</f>
        <v>0.5714285714285714</v>
      </c>
      <c r="O44" s="425">
        <f>'HH WITH COM #3'!$W$38</f>
        <v>0</v>
      </c>
      <c r="P44" s="425">
        <f>'HH WITH COM #3'!$X$38</f>
        <v>0</v>
      </c>
      <c r="Q44" s="257">
        <f>SUM(O44:P44)</f>
        <v>0</v>
      </c>
      <c r="R44" s="91">
        <f>IF(Q$47=0,0,Q44/Q$47)</f>
        <v>0</v>
      </c>
      <c r="S44" s="425">
        <f>'HH WITH COM #4'!$W$38</f>
        <v>1</v>
      </c>
      <c r="T44" s="425">
        <f>'HH WITH COM #4'!$X$38</f>
        <v>15</v>
      </c>
      <c r="U44" s="257">
        <f>SUM(S44:T44)</f>
        <v>16</v>
      </c>
      <c r="V44" s="91">
        <f>IF(U$47=0,0,U44/U$47)</f>
        <v>1</v>
      </c>
      <c r="W44" s="425">
        <f>'HH WITH COM #5'!$W$38</f>
        <v>1</v>
      </c>
      <c r="X44" s="425">
        <f>'HH WITH COM #5'!$X$38</f>
        <v>5</v>
      </c>
      <c r="Y44" s="257">
        <f>SUM(W44:X44)</f>
        <v>6</v>
      </c>
      <c r="Z44" s="91">
        <f>IF(Y$47=0,0,Y44/Y$47)</f>
        <v>0.2857142857142857</v>
      </c>
      <c r="AA44" s="425">
        <f>'HH WITH COM #6'!$W$38</f>
        <v>0</v>
      </c>
      <c r="AB44" s="425">
        <f>'HH WITH COM #6'!$X$38</f>
        <v>9</v>
      </c>
      <c r="AC44" s="257">
        <f>SUM(AA44:AB44)</f>
        <v>9</v>
      </c>
      <c r="AD44" s="91">
        <f>IF(AC$47=0,0,AC44/AC$47)</f>
        <v>0.6</v>
      </c>
      <c r="AE44" s="425">
        <f>'HH WITH COM #7'!$W$38</f>
        <v>0</v>
      </c>
      <c r="AF44" s="425">
        <f>'HH WITH COM #7'!$X$38</f>
        <v>0</v>
      </c>
      <c r="AG44" s="257">
        <f>SUM(AE44:AF44)</f>
        <v>0</v>
      </c>
      <c r="AH44" s="373">
        <f>IF(AG$47=0,0,AG44/AG$47)</f>
        <v>0</v>
      </c>
      <c r="AI44" s="391">
        <f t="shared" ref="AI44:AI46" si="48">G44+K44+O44+S44+W44+AA44+AE44</f>
        <v>5</v>
      </c>
      <c r="AJ44" s="17">
        <f t="shared" ref="AJ44:AJ46" si="49">H44+L44+P44+T44+X44+AB44+AF44</f>
        <v>37</v>
      </c>
      <c r="AK44" s="539">
        <f t="shared" ref="AK44:AK46" si="50">SUM(AI44:AJ44)</f>
        <v>42</v>
      </c>
      <c r="AL44" s="91">
        <f>IF(AK$47=0,0,AK44/AK$47)</f>
        <v>0.46666666666666667</v>
      </c>
    </row>
    <row r="45" spans="1:38" s="117" customFormat="1" ht="16.5" customHeight="1" x14ac:dyDescent="0.25">
      <c r="A45" s="253"/>
      <c r="B45" s="253"/>
      <c r="C45" s="253"/>
      <c r="D45" s="473" t="s">
        <v>633</v>
      </c>
      <c r="E45" s="487" t="s">
        <v>634</v>
      </c>
      <c r="F45" s="58"/>
      <c r="G45" s="425">
        <f>'HH WITH COM #1 '!$W$39</f>
        <v>4</v>
      </c>
      <c r="H45" s="425">
        <f>'HH WITH COM #1 '!$X$39</f>
        <v>0</v>
      </c>
      <c r="I45" s="257">
        <f t="shared" ref="I45:I46" si="51">SUM(G45:H45)</f>
        <v>4</v>
      </c>
      <c r="J45" s="91">
        <f t="shared" ref="J45:J47" si="52">IF(I$47=0,0,I45/I$47)</f>
        <v>0.26666666666666666</v>
      </c>
      <c r="K45" s="425">
        <f>'HH WITH COM #2'!$W$39</f>
        <v>2</v>
      </c>
      <c r="L45" s="425">
        <f>'HH WITH COM #2'!$X$39</f>
        <v>4</v>
      </c>
      <c r="M45" s="257">
        <f t="shared" ref="M45:M46" si="53">SUM(K45:L45)</f>
        <v>6</v>
      </c>
      <c r="N45" s="91">
        <f t="shared" ref="N45:N47" si="54">IF(M$47=0,0,M45/M$47)</f>
        <v>0.42857142857142855</v>
      </c>
      <c r="O45" s="425">
        <f>'HH WITH COM #3'!$W$39</f>
        <v>0</v>
      </c>
      <c r="P45" s="425">
        <f>'HH WITH COM #3'!$X$39</f>
        <v>9</v>
      </c>
      <c r="Q45" s="257">
        <f t="shared" ref="Q45:Q46" si="55">SUM(O45:P45)</f>
        <v>9</v>
      </c>
      <c r="R45" s="91">
        <f t="shared" ref="R45:R47" si="56">IF(Q$47=0,0,Q45/Q$47)</f>
        <v>1</v>
      </c>
      <c r="S45" s="425">
        <f>'HH WITH COM #4'!$W$39</f>
        <v>0</v>
      </c>
      <c r="T45" s="425">
        <f>'HH WITH COM #4'!$X$39</f>
        <v>0</v>
      </c>
      <c r="U45" s="257">
        <f t="shared" ref="U45:U46" si="57">SUM(S45:T45)</f>
        <v>0</v>
      </c>
      <c r="V45" s="91">
        <f t="shared" ref="V45:V47" si="58">IF(U$47=0,0,U45/U$47)</f>
        <v>0</v>
      </c>
      <c r="W45" s="425">
        <f>'HH WITH COM #5'!$W$39</f>
        <v>1</v>
      </c>
      <c r="X45" s="425">
        <f>'HH WITH COM #5'!$X$39</f>
        <v>1</v>
      </c>
      <c r="Y45" s="257">
        <f t="shared" ref="Y45:Y46" si="59">SUM(W45:X45)</f>
        <v>2</v>
      </c>
      <c r="Z45" s="91">
        <f t="shared" ref="Z45:Z47" si="60">IF(Y$47=0,0,Y45/Y$47)</f>
        <v>9.5238095238095233E-2</v>
      </c>
      <c r="AA45" s="425">
        <f>'HH WITH COM #6'!$W$39</f>
        <v>3</v>
      </c>
      <c r="AB45" s="425">
        <f>'HH WITH COM #6'!$X$39</f>
        <v>3</v>
      </c>
      <c r="AC45" s="257">
        <f t="shared" ref="AC45:AC46" si="61">SUM(AA45:AB45)</f>
        <v>6</v>
      </c>
      <c r="AD45" s="91">
        <f t="shared" ref="AD45:AD47" si="62">IF(AC$47=0,0,AC45/AC$47)</f>
        <v>0.4</v>
      </c>
      <c r="AE45" s="425">
        <f>'HH WITH COM #7'!$W$39</f>
        <v>0</v>
      </c>
      <c r="AF45" s="425">
        <f>'HH WITH COM #7'!$X$39</f>
        <v>0</v>
      </c>
      <c r="AG45" s="257">
        <f t="shared" ref="AG45:AG46" si="63">SUM(AE45:AF45)</f>
        <v>0</v>
      </c>
      <c r="AH45" s="373">
        <f t="shared" ref="AH45:AH47" si="64">IF(AG$47=0,0,AG45/AG$47)</f>
        <v>0</v>
      </c>
      <c r="AI45" s="391">
        <f t="shared" si="48"/>
        <v>10</v>
      </c>
      <c r="AJ45" s="17">
        <f t="shared" si="49"/>
        <v>17</v>
      </c>
      <c r="AK45" s="539">
        <f t="shared" si="50"/>
        <v>27</v>
      </c>
      <c r="AL45" s="91">
        <f t="shared" ref="AL45:AL47" si="65">IF(AK$47=0,0,AK45/AK$47)</f>
        <v>0.3</v>
      </c>
    </row>
    <row r="46" spans="1:38" s="117" customFormat="1" ht="16.5" customHeight="1" x14ac:dyDescent="0.25">
      <c r="A46" s="253"/>
      <c r="B46" s="253"/>
      <c r="C46" s="253"/>
      <c r="D46" s="473" t="s">
        <v>744</v>
      </c>
      <c r="E46" s="487" t="s">
        <v>745</v>
      </c>
      <c r="F46" s="58"/>
      <c r="G46" s="425">
        <f>'HH WITH COM #1 '!$W$40</f>
        <v>2</v>
      </c>
      <c r="H46" s="425">
        <f>'HH WITH COM #1 '!$X$40</f>
        <v>6</v>
      </c>
      <c r="I46" s="257">
        <f t="shared" si="51"/>
        <v>8</v>
      </c>
      <c r="J46" s="91">
        <f t="shared" si="52"/>
        <v>0.53333333333333333</v>
      </c>
      <c r="K46" s="425">
        <f>'HH WITH COM #2'!$W$40</f>
        <v>0</v>
      </c>
      <c r="L46" s="425">
        <f>'HH WITH COM #2'!$X$40</f>
        <v>0</v>
      </c>
      <c r="M46" s="257">
        <f t="shared" si="53"/>
        <v>0</v>
      </c>
      <c r="N46" s="91">
        <f t="shared" si="54"/>
        <v>0</v>
      </c>
      <c r="O46" s="425">
        <f>'HH WITH COM #3'!$W$40</f>
        <v>0</v>
      </c>
      <c r="P46" s="425">
        <f>'HH WITH COM #3'!$X$40</f>
        <v>0</v>
      </c>
      <c r="Q46" s="257">
        <f t="shared" si="55"/>
        <v>0</v>
      </c>
      <c r="R46" s="91">
        <f t="shared" si="56"/>
        <v>0</v>
      </c>
      <c r="S46" s="425">
        <f>'HH WITH COM #4'!$W$40</f>
        <v>0</v>
      </c>
      <c r="T46" s="425">
        <f>'HH WITH COM #4'!$X$40</f>
        <v>0</v>
      </c>
      <c r="U46" s="257">
        <f t="shared" si="57"/>
        <v>0</v>
      </c>
      <c r="V46" s="91">
        <f t="shared" si="58"/>
        <v>0</v>
      </c>
      <c r="W46" s="425">
        <f>'HH WITH COM #5'!$W$40</f>
        <v>0</v>
      </c>
      <c r="X46" s="425">
        <f>'HH WITH COM #5'!$X$40</f>
        <v>13</v>
      </c>
      <c r="Y46" s="257">
        <f t="shared" si="59"/>
        <v>13</v>
      </c>
      <c r="Z46" s="91">
        <f t="shared" si="60"/>
        <v>0.61904761904761907</v>
      </c>
      <c r="AA46" s="425">
        <f>'HH WITH COM #6'!$W$40</f>
        <v>0</v>
      </c>
      <c r="AB46" s="425">
        <f>'HH WITH COM #6'!$X$40</f>
        <v>0</v>
      </c>
      <c r="AC46" s="257">
        <f t="shared" si="61"/>
        <v>0</v>
      </c>
      <c r="AD46" s="91">
        <f t="shared" si="62"/>
        <v>0</v>
      </c>
      <c r="AE46" s="425">
        <f>'HH WITH COM #7'!$W$40</f>
        <v>0</v>
      </c>
      <c r="AF46" s="425">
        <f>'HH WITH COM #7'!$X$40</f>
        <v>0</v>
      </c>
      <c r="AG46" s="257">
        <f t="shared" si="63"/>
        <v>0</v>
      </c>
      <c r="AH46" s="373">
        <f t="shared" si="64"/>
        <v>0</v>
      </c>
      <c r="AI46" s="391">
        <f t="shared" si="48"/>
        <v>2</v>
      </c>
      <c r="AJ46" s="17">
        <f t="shared" si="49"/>
        <v>19</v>
      </c>
      <c r="AK46" s="539">
        <f t="shared" si="50"/>
        <v>21</v>
      </c>
      <c r="AL46" s="91">
        <f t="shared" si="65"/>
        <v>0.23333333333333334</v>
      </c>
    </row>
    <row r="47" spans="1:38" ht="16.5" customHeight="1" x14ac:dyDescent="0.25">
      <c r="A47" s="40"/>
      <c r="B47" s="179"/>
      <c r="C47" s="253"/>
      <c r="D47" s="134"/>
      <c r="E47" s="184"/>
      <c r="F47" s="469"/>
      <c r="G47" s="82">
        <f>SUM(G44:G46)</f>
        <v>7</v>
      </c>
      <c r="H47" s="82">
        <f t="shared" ref="H47:AK47" si="66">SUM(H44:H46)</f>
        <v>8</v>
      </c>
      <c r="I47" s="82">
        <f t="shared" si="66"/>
        <v>15</v>
      </c>
      <c r="J47" s="66">
        <f t="shared" si="52"/>
        <v>1</v>
      </c>
      <c r="K47" s="82">
        <f>SUM(K44:K46)</f>
        <v>4</v>
      </c>
      <c r="L47" s="82">
        <f t="shared" ref="L47" si="67">SUM(L44:L46)</f>
        <v>10</v>
      </c>
      <c r="M47" s="82">
        <f t="shared" ref="M47" si="68">SUM(M44:M46)</f>
        <v>14</v>
      </c>
      <c r="N47" s="66">
        <f t="shared" si="54"/>
        <v>1</v>
      </c>
      <c r="O47" s="82">
        <f>SUM(O44:O46)</f>
        <v>0</v>
      </c>
      <c r="P47" s="82">
        <f t="shared" ref="P47" si="69">SUM(P44:P46)</f>
        <v>9</v>
      </c>
      <c r="Q47" s="82">
        <f t="shared" ref="Q47" si="70">SUM(Q44:Q46)</f>
        <v>9</v>
      </c>
      <c r="R47" s="66">
        <f t="shared" si="56"/>
        <v>1</v>
      </c>
      <c r="S47" s="82">
        <f>SUM(S44:S46)</f>
        <v>1</v>
      </c>
      <c r="T47" s="82">
        <f t="shared" ref="T47" si="71">SUM(T44:T46)</f>
        <v>15</v>
      </c>
      <c r="U47" s="82">
        <f t="shared" ref="U47" si="72">SUM(U44:U46)</f>
        <v>16</v>
      </c>
      <c r="V47" s="66">
        <f t="shared" si="58"/>
        <v>1</v>
      </c>
      <c r="W47" s="82">
        <f>SUM(W44:W46)</f>
        <v>2</v>
      </c>
      <c r="X47" s="82">
        <f t="shared" ref="X47" si="73">SUM(X44:X46)</f>
        <v>19</v>
      </c>
      <c r="Y47" s="82">
        <f t="shared" ref="Y47" si="74">SUM(Y44:Y46)</f>
        <v>21</v>
      </c>
      <c r="Z47" s="66">
        <f t="shared" si="60"/>
        <v>1</v>
      </c>
      <c r="AA47" s="82">
        <f>SUM(AA44:AA46)</f>
        <v>3</v>
      </c>
      <c r="AB47" s="82">
        <f t="shared" ref="AB47" si="75">SUM(AB44:AB46)</f>
        <v>12</v>
      </c>
      <c r="AC47" s="82">
        <f t="shared" ref="AC47" si="76">SUM(AC44:AC46)</f>
        <v>15</v>
      </c>
      <c r="AD47" s="66">
        <f t="shared" si="62"/>
        <v>1</v>
      </c>
      <c r="AE47" s="82">
        <f>SUM(AE44:AE46)</f>
        <v>0</v>
      </c>
      <c r="AF47" s="82">
        <f t="shared" ref="AF47" si="77">SUM(AF44:AF46)</f>
        <v>0</v>
      </c>
      <c r="AG47" s="82">
        <f t="shared" ref="AG47" si="78">SUM(AG44:AG46)</f>
        <v>0</v>
      </c>
      <c r="AH47" s="608">
        <f t="shared" si="64"/>
        <v>0</v>
      </c>
      <c r="AI47" s="381">
        <f t="shared" si="66"/>
        <v>17</v>
      </c>
      <c r="AJ47" s="82">
        <f t="shared" si="66"/>
        <v>73</v>
      </c>
      <c r="AK47" s="82">
        <f t="shared" si="66"/>
        <v>90</v>
      </c>
      <c r="AL47" s="66">
        <f t="shared" si="65"/>
        <v>1</v>
      </c>
    </row>
    <row r="48" spans="1:38" s="117" customFormat="1" ht="16.5" customHeight="1" x14ac:dyDescent="0.25">
      <c r="A48" s="253"/>
      <c r="B48" s="253"/>
      <c r="C48" s="103" t="s">
        <v>24</v>
      </c>
      <c r="D48" s="313" t="s">
        <v>373</v>
      </c>
      <c r="E48" s="108"/>
      <c r="F48" s="58"/>
      <c r="G48" s="512"/>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612"/>
      <c r="AI48" s="380"/>
      <c r="AJ48" s="111"/>
      <c r="AK48" s="111"/>
      <c r="AL48" s="111"/>
    </row>
    <row r="49" spans="1:38" ht="16.5" customHeight="1" x14ac:dyDescent="0.25">
      <c r="A49" s="40"/>
      <c r="B49" s="40"/>
      <c r="C49" s="23"/>
      <c r="D49" s="473" t="s">
        <v>25</v>
      </c>
      <c r="E49" s="562" t="s">
        <v>384</v>
      </c>
      <c r="F49" s="105"/>
      <c r="G49" s="17">
        <f>'HH WITH COM #1 '!$W$44</f>
        <v>0</v>
      </c>
      <c r="H49" s="17">
        <f>'HH WITH COM #1 '!$X$44</f>
        <v>1</v>
      </c>
      <c r="I49" s="257">
        <f>SUM(G49:H49)</f>
        <v>1</v>
      </c>
      <c r="J49" s="91">
        <f>IF(I$63=0,0,I49/I$63)</f>
        <v>3.8167938931297708E-3</v>
      </c>
      <c r="K49" s="17">
        <f>'HH WITH COM #2'!$W$44</f>
        <v>0</v>
      </c>
      <c r="L49" s="17">
        <f>'HH WITH COM #2'!$X$44</f>
        <v>0</v>
      </c>
      <c r="M49" s="257">
        <f>SUM(K49:L49)</f>
        <v>0</v>
      </c>
      <c r="N49" s="91">
        <f>IF(M$63=0,0,M49/M$63)</f>
        <v>0</v>
      </c>
      <c r="O49" s="17">
        <f>'HH WITH COM #3'!$W$44</f>
        <v>0</v>
      </c>
      <c r="P49" s="17">
        <f>'HH WITH COM #3'!$X$44</f>
        <v>0</v>
      </c>
      <c r="Q49" s="257">
        <f>SUM(O49:P49)</f>
        <v>0</v>
      </c>
      <c r="R49" s="91">
        <f>IF(Q$63=0,0,Q49/Q$63)</f>
        <v>0</v>
      </c>
      <c r="S49" s="17">
        <f>'HH WITH COM #4'!$W$44</f>
        <v>0</v>
      </c>
      <c r="T49" s="17">
        <f>'HH WITH COM #4'!$X$44</f>
        <v>0</v>
      </c>
      <c r="U49" s="257">
        <f>SUM(S49:T49)</f>
        <v>0</v>
      </c>
      <c r="V49" s="91">
        <f>IF(U$63=0,0,U49/U$63)</f>
        <v>0</v>
      </c>
      <c r="W49" s="17">
        <f>'HH WITH COM #5'!$W$44</f>
        <v>0</v>
      </c>
      <c r="X49" s="17">
        <f>'HH WITH COM #5'!$X$44</f>
        <v>0</v>
      </c>
      <c r="Y49" s="257">
        <f>SUM(W49:X49)</f>
        <v>0</v>
      </c>
      <c r="Z49" s="91">
        <f>IF(Y$63=0,0,Y49/Y$63)</f>
        <v>0</v>
      </c>
      <c r="AA49" s="17">
        <f>'HH WITH COM #6'!$W$44</f>
        <v>0</v>
      </c>
      <c r="AB49" s="17">
        <f>'HH WITH COM #6'!$X$44</f>
        <v>0</v>
      </c>
      <c r="AC49" s="257">
        <f>SUM(AA49:AB49)</f>
        <v>0</v>
      </c>
      <c r="AD49" s="91">
        <f>IF(AC$63=0,0,AC49/AC$63)</f>
        <v>0</v>
      </c>
      <c r="AE49" s="17">
        <f>'HH WITH COM #7'!$W$44</f>
        <v>0</v>
      </c>
      <c r="AF49" s="17">
        <f>'HH WITH COM #7'!$X$44</f>
        <v>0</v>
      </c>
      <c r="AG49" s="257">
        <f>SUM(AE49:AF49)</f>
        <v>0</v>
      </c>
      <c r="AH49" s="373">
        <f>IF(AG$63=0,0,AG49/AG$63)</f>
        <v>0</v>
      </c>
      <c r="AI49" s="391">
        <f t="shared" ref="AI49:AI62" si="79">G49+K49+O49+S49+W49+AA49+AE49</f>
        <v>0</v>
      </c>
      <c r="AJ49" s="17">
        <f t="shared" ref="AJ49:AJ62" si="80">H49+L49+P49+T49+X49+AB49+AF49</f>
        <v>1</v>
      </c>
      <c r="AK49" s="539">
        <f t="shared" ref="AK49:AK62" si="81">SUM(AI49:AJ49)</f>
        <v>1</v>
      </c>
      <c r="AL49" s="91">
        <f>IF(AK$63=0,0,AK49/AK$63)</f>
        <v>3.8167938931297708E-3</v>
      </c>
    </row>
    <row r="50" spans="1:38" ht="16.5" customHeight="1" x14ac:dyDescent="0.25">
      <c r="A50" s="40"/>
      <c r="B50" s="40"/>
      <c r="C50" s="23"/>
      <c r="D50" s="473" t="s">
        <v>27</v>
      </c>
      <c r="E50" s="562" t="s">
        <v>385</v>
      </c>
      <c r="F50" s="105"/>
      <c r="G50" s="17">
        <f>'HH WITH COM #1 '!$W$45</f>
        <v>0</v>
      </c>
      <c r="H50" s="17">
        <f>'HH WITH COM #1 '!$X$45</f>
        <v>0</v>
      </c>
      <c r="I50" s="257">
        <f t="shared" ref="I50:I62" si="82">SUM(G50:H50)</f>
        <v>0</v>
      </c>
      <c r="J50" s="91">
        <f t="shared" ref="J50:J63" si="83">IF(I$63=0,0,I50/I$63)</f>
        <v>0</v>
      </c>
      <c r="K50" s="17">
        <f>'HH WITH COM #2'!$W$45</f>
        <v>0</v>
      </c>
      <c r="L50" s="17">
        <f>'HH WITH COM #2'!$X$45</f>
        <v>0</v>
      </c>
      <c r="M50" s="257">
        <f t="shared" ref="M50:M62" si="84">SUM(K50:L50)</f>
        <v>0</v>
      </c>
      <c r="N50" s="91">
        <f t="shared" ref="N50:N63" si="85">IF(M$63=0,0,M50/M$63)</f>
        <v>0</v>
      </c>
      <c r="O50" s="17">
        <f>'HH WITH COM #3'!$W$45</f>
        <v>0</v>
      </c>
      <c r="P50" s="17">
        <f>'HH WITH COM #3'!$X$45</f>
        <v>0</v>
      </c>
      <c r="Q50" s="257">
        <f t="shared" ref="Q50:Q62" si="86">SUM(O50:P50)</f>
        <v>0</v>
      </c>
      <c r="R50" s="91">
        <f t="shared" ref="R50:R63" si="87">IF(Q$63=0,0,Q50/Q$63)</f>
        <v>0</v>
      </c>
      <c r="S50" s="17">
        <f>'HH WITH COM #4'!$W$45</f>
        <v>0</v>
      </c>
      <c r="T50" s="17">
        <f>'HH WITH COM #4'!$X$45</f>
        <v>0</v>
      </c>
      <c r="U50" s="257">
        <f t="shared" ref="U50:U62" si="88">SUM(S50:T50)</f>
        <v>0</v>
      </c>
      <c r="V50" s="91">
        <f t="shared" ref="V50:V63" si="89">IF(U$63=0,0,U50/U$63)</f>
        <v>0</v>
      </c>
      <c r="W50" s="17">
        <f>'HH WITH COM #5'!$W$45</f>
        <v>0</v>
      </c>
      <c r="X50" s="17">
        <f>'HH WITH COM #5'!$X$45</f>
        <v>0</v>
      </c>
      <c r="Y50" s="257">
        <f t="shared" ref="Y50:Y62" si="90">SUM(W50:X50)</f>
        <v>0</v>
      </c>
      <c r="Z50" s="91">
        <f t="shared" ref="Z50:Z63" si="91">IF(Y$63=0,0,Y50/Y$63)</f>
        <v>0</v>
      </c>
      <c r="AA50" s="17">
        <f>'HH WITH COM #6'!$W$45</f>
        <v>0</v>
      </c>
      <c r="AB50" s="17">
        <f>'HH WITH COM #6'!$X$45</f>
        <v>0</v>
      </c>
      <c r="AC50" s="257">
        <f t="shared" ref="AC50:AC62" si="92">SUM(AA50:AB50)</f>
        <v>0</v>
      </c>
      <c r="AD50" s="91">
        <f t="shared" ref="AD50:AD63" si="93">IF(AC$63=0,0,AC50/AC$63)</f>
        <v>0</v>
      </c>
      <c r="AE50" s="17">
        <f>'HH WITH COM #7'!$W$45</f>
        <v>0</v>
      </c>
      <c r="AF50" s="17">
        <f>'HH WITH COM #7'!$X$45</f>
        <v>0</v>
      </c>
      <c r="AG50" s="257">
        <f t="shared" ref="AG50:AG62" si="94">SUM(AE50:AF50)</f>
        <v>0</v>
      </c>
      <c r="AH50" s="373">
        <f t="shared" ref="AH50:AH63" si="95">IF(AG$63=0,0,AG50/AG$63)</f>
        <v>0</v>
      </c>
      <c r="AI50" s="391">
        <f t="shared" si="79"/>
        <v>0</v>
      </c>
      <c r="AJ50" s="17">
        <f t="shared" si="80"/>
        <v>0</v>
      </c>
      <c r="AK50" s="539">
        <f t="shared" si="81"/>
        <v>0</v>
      </c>
      <c r="AL50" s="91">
        <f t="shared" ref="AL50:AL63" si="96">IF(AK$63=0,0,AK50/AK$63)</f>
        <v>0</v>
      </c>
    </row>
    <row r="51" spans="1:38" ht="16.5" customHeight="1" x14ac:dyDescent="0.25">
      <c r="A51" s="40"/>
      <c r="B51" s="40"/>
      <c r="C51" s="23"/>
      <c r="D51" s="473" t="s">
        <v>29</v>
      </c>
      <c r="E51" s="562" t="s">
        <v>386</v>
      </c>
      <c r="F51" s="105"/>
      <c r="G51" s="17">
        <f>'HH WITH COM #1 '!$W$46</f>
        <v>0</v>
      </c>
      <c r="H51" s="17">
        <f>'HH WITH COM #1 '!$X$46</f>
        <v>0</v>
      </c>
      <c r="I51" s="257">
        <f t="shared" si="82"/>
        <v>0</v>
      </c>
      <c r="J51" s="91">
        <f t="shared" si="83"/>
        <v>0</v>
      </c>
      <c r="K51" s="17">
        <f>'HH WITH COM #2'!$W$46</f>
        <v>0</v>
      </c>
      <c r="L51" s="17">
        <f>'HH WITH COM #2'!$X$46</f>
        <v>0</v>
      </c>
      <c r="M51" s="257">
        <f t="shared" si="84"/>
        <v>0</v>
      </c>
      <c r="N51" s="91">
        <f t="shared" si="85"/>
        <v>0</v>
      </c>
      <c r="O51" s="17">
        <f>'HH WITH COM #3'!$W$46</f>
        <v>0</v>
      </c>
      <c r="P51" s="17">
        <f>'HH WITH COM #3'!$X$46</f>
        <v>0</v>
      </c>
      <c r="Q51" s="257">
        <f t="shared" si="86"/>
        <v>0</v>
      </c>
      <c r="R51" s="91">
        <f t="shared" si="87"/>
        <v>0</v>
      </c>
      <c r="S51" s="17">
        <f>'HH WITH COM #4'!$W$46</f>
        <v>0</v>
      </c>
      <c r="T51" s="17">
        <f>'HH WITH COM #4'!$X$46</f>
        <v>0</v>
      </c>
      <c r="U51" s="257">
        <f t="shared" si="88"/>
        <v>0</v>
      </c>
      <c r="V51" s="91">
        <f t="shared" si="89"/>
        <v>0</v>
      </c>
      <c r="W51" s="17">
        <f>'HH WITH COM #5'!$W$46</f>
        <v>0</v>
      </c>
      <c r="X51" s="17">
        <f>'HH WITH COM #5'!$X$46</f>
        <v>0</v>
      </c>
      <c r="Y51" s="257">
        <f t="shared" si="90"/>
        <v>0</v>
      </c>
      <c r="Z51" s="91">
        <f t="shared" si="91"/>
        <v>0</v>
      </c>
      <c r="AA51" s="17">
        <f>'HH WITH COM #6'!$W$46</f>
        <v>0</v>
      </c>
      <c r="AB51" s="17">
        <f>'HH WITH COM #6'!$X$46</f>
        <v>0</v>
      </c>
      <c r="AC51" s="257">
        <f t="shared" si="92"/>
        <v>0</v>
      </c>
      <c r="AD51" s="91">
        <f t="shared" si="93"/>
        <v>0</v>
      </c>
      <c r="AE51" s="17">
        <f>'HH WITH COM #7'!$W$46</f>
        <v>0</v>
      </c>
      <c r="AF51" s="17">
        <f>'HH WITH COM #7'!$X$46</f>
        <v>0</v>
      </c>
      <c r="AG51" s="257">
        <f t="shared" si="94"/>
        <v>0</v>
      </c>
      <c r="AH51" s="373">
        <f t="shared" si="95"/>
        <v>0</v>
      </c>
      <c r="AI51" s="391">
        <f t="shared" si="79"/>
        <v>0</v>
      </c>
      <c r="AJ51" s="17">
        <f t="shared" si="80"/>
        <v>0</v>
      </c>
      <c r="AK51" s="539">
        <f t="shared" si="81"/>
        <v>0</v>
      </c>
      <c r="AL51" s="91">
        <f t="shared" si="96"/>
        <v>0</v>
      </c>
    </row>
    <row r="52" spans="1:38" ht="16.5" customHeight="1" x14ac:dyDescent="0.25">
      <c r="A52" s="40"/>
      <c r="B52" s="40"/>
      <c r="C52" s="23"/>
      <c r="D52" s="473" t="s">
        <v>31</v>
      </c>
      <c r="E52" s="562" t="s">
        <v>533</v>
      </c>
      <c r="F52" s="105"/>
      <c r="G52" s="17">
        <f>'HH WITH COM #1 '!$W$47</f>
        <v>1</v>
      </c>
      <c r="H52" s="17">
        <f>'HH WITH COM #1 '!$X$47</f>
        <v>7</v>
      </c>
      <c r="I52" s="257">
        <f t="shared" si="82"/>
        <v>8</v>
      </c>
      <c r="J52" s="91">
        <f t="shared" si="83"/>
        <v>3.0534351145038167E-2</v>
      </c>
      <c r="K52" s="17">
        <f>'HH WITH COM #2'!$W$47</f>
        <v>0</v>
      </c>
      <c r="L52" s="17">
        <f>'HH WITH COM #2'!$X$47</f>
        <v>0</v>
      </c>
      <c r="M52" s="257">
        <f t="shared" si="84"/>
        <v>0</v>
      </c>
      <c r="N52" s="91">
        <f t="shared" si="85"/>
        <v>0</v>
      </c>
      <c r="O52" s="17">
        <f>'HH WITH COM #3'!$W$47</f>
        <v>0</v>
      </c>
      <c r="P52" s="17">
        <f>'HH WITH COM #3'!$X$47</f>
        <v>0</v>
      </c>
      <c r="Q52" s="257">
        <f t="shared" si="86"/>
        <v>0</v>
      </c>
      <c r="R52" s="91">
        <f t="shared" si="87"/>
        <v>0</v>
      </c>
      <c r="S52" s="17">
        <f>'HH WITH COM #4'!$W$47</f>
        <v>0</v>
      </c>
      <c r="T52" s="17">
        <f>'HH WITH COM #4'!$X$47</f>
        <v>0</v>
      </c>
      <c r="U52" s="257">
        <f t="shared" si="88"/>
        <v>0</v>
      </c>
      <c r="V52" s="91">
        <f t="shared" si="89"/>
        <v>0</v>
      </c>
      <c r="W52" s="17">
        <f>'HH WITH COM #5'!$W$47</f>
        <v>0</v>
      </c>
      <c r="X52" s="17">
        <f>'HH WITH COM #5'!$X$47</f>
        <v>0</v>
      </c>
      <c r="Y52" s="257">
        <f t="shared" si="90"/>
        <v>0</v>
      </c>
      <c r="Z52" s="91">
        <f t="shared" si="91"/>
        <v>0</v>
      </c>
      <c r="AA52" s="17">
        <f>'HH WITH COM #6'!$W$47</f>
        <v>0</v>
      </c>
      <c r="AB52" s="17">
        <f>'HH WITH COM #6'!$X$47</f>
        <v>0</v>
      </c>
      <c r="AC52" s="257">
        <f t="shared" si="92"/>
        <v>0</v>
      </c>
      <c r="AD52" s="91">
        <f t="shared" si="93"/>
        <v>0</v>
      </c>
      <c r="AE52" s="17">
        <f>'HH WITH COM #7'!$W$47</f>
        <v>0</v>
      </c>
      <c r="AF52" s="17">
        <f>'HH WITH COM #7'!$X$47</f>
        <v>0</v>
      </c>
      <c r="AG52" s="257">
        <f t="shared" si="94"/>
        <v>0</v>
      </c>
      <c r="AH52" s="373">
        <f t="shared" si="95"/>
        <v>0</v>
      </c>
      <c r="AI52" s="391">
        <f t="shared" si="79"/>
        <v>1</v>
      </c>
      <c r="AJ52" s="17">
        <f t="shared" si="80"/>
        <v>7</v>
      </c>
      <c r="AK52" s="539">
        <f t="shared" si="81"/>
        <v>8</v>
      </c>
      <c r="AL52" s="91">
        <f t="shared" si="96"/>
        <v>3.0534351145038167E-2</v>
      </c>
    </row>
    <row r="53" spans="1:38" ht="16.5" customHeight="1" x14ac:dyDescent="0.25">
      <c r="A53" s="40"/>
      <c r="B53" s="40"/>
      <c r="C53" s="23"/>
      <c r="D53" s="473" t="s">
        <v>374</v>
      </c>
      <c r="E53" s="562" t="s">
        <v>534</v>
      </c>
      <c r="F53" s="105"/>
      <c r="G53" s="17">
        <f>'HH WITH COM #1 '!$W$48</f>
        <v>0</v>
      </c>
      <c r="H53" s="17">
        <f>'HH WITH COM #1 '!$X$48</f>
        <v>4</v>
      </c>
      <c r="I53" s="257">
        <f t="shared" si="82"/>
        <v>4</v>
      </c>
      <c r="J53" s="91">
        <f t="shared" si="83"/>
        <v>1.5267175572519083E-2</v>
      </c>
      <c r="K53" s="17">
        <f>'HH WITH COM #2'!$W$48</f>
        <v>0</v>
      </c>
      <c r="L53" s="17">
        <f>'HH WITH COM #2'!$X$48</f>
        <v>0</v>
      </c>
      <c r="M53" s="257">
        <f t="shared" si="84"/>
        <v>0</v>
      </c>
      <c r="N53" s="91">
        <f t="shared" si="85"/>
        <v>0</v>
      </c>
      <c r="O53" s="17">
        <f>'HH WITH COM #3'!$W$48</f>
        <v>0</v>
      </c>
      <c r="P53" s="17">
        <f>'HH WITH COM #3'!$X$48</f>
        <v>0</v>
      </c>
      <c r="Q53" s="257">
        <f t="shared" si="86"/>
        <v>0</v>
      </c>
      <c r="R53" s="91">
        <f t="shared" si="87"/>
        <v>0</v>
      </c>
      <c r="S53" s="17">
        <f>'HH WITH COM #4'!$W$48</f>
        <v>0</v>
      </c>
      <c r="T53" s="17">
        <f>'HH WITH COM #4'!$X$48</f>
        <v>0</v>
      </c>
      <c r="U53" s="257">
        <f t="shared" si="88"/>
        <v>0</v>
      </c>
      <c r="V53" s="91">
        <f t="shared" si="89"/>
        <v>0</v>
      </c>
      <c r="W53" s="17">
        <f>'HH WITH COM #5'!$W$48</f>
        <v>0</v>
      </c>
      <c r="X53" s="17">
        <f>'HH WITH COM #5'!$X$48</f>
        <v>0</v>
      </c>
      <c r="Y53" s="257">
        <f t="shared" si="90"/>
        <v>0</v>
      </c>
      <c r="Z53" s="91">
        <f t="shared" si="91"/>
        <v>0</v>
      </c>
      <c r="AA53" s="17">
        <f>'HH WITH COM #6'!$W$48</f>
        <v>0</v>
      </c>
      <c r="AB53" s="17">
        <f>'HH WITH COM #6'!$X$48</f>
        <v>0</v>
      </c>
      <c r="AC53" s="257">
        <f t="shared" si="92"/>
        <v>0</v>
      </c>
      <c r="AD53" s="91">
        <f t="shared" si="93"/>
        <v>0</v>
      </c>
      <c r="AE53" s="17">
        <f>'HH WITH COM #7'!$W$48</f>
        <v>0</v>
      </c>
      <c r="AF53" s="17">
        <f>'HH WITH COM #7'!$X$48</f>
        <v>0</v>
      </c>
      <c r="AG53" s="257">
        <f t="shared" si="94"/>
        <v>0</v>
      </c>
      <c r="AH53" s="373">
        <f t="shared" si="95"/>
        <v>0</v>
      </c>
      <c r="AI53" s="391">
        <f t="shared" si="79"/>
        <v>0</v>
      </c>
      <c r="AJ53" s="17">
        <f t="shared" si="80"/>
        <v>4</v>
      </c>
      <c r="AK53" s="539">
        <f t="shared" si="81"/>
        <v>4</v>
      </c>
      <c r="AL53" s="91">
        <f t="shared" si="96"/>
        <v>1.5267175572519083E-2</v>
      </c>
    </row>
    <row r="54" spans="1:38" ht="16.5" customHeight="1" x14ac:dyDescent="0.25">
      <c r="A54" s="40"/>
      <c r="B54" s="40"/>
      <c r="C54" s="23"/>
      <c r="D54" s="473" t="s">
        <v>375</v>
      </c>
      <c r="E54" s="562" t="s">
        <v>535</v>
      </c>
      <c r="F54" s="105"/>
      <c r="G54" s="17">
        <f>'HH WITH COM #1 '!$W$49</f>
        <v>3</v>
      </c>
      <c r="H54" s="17">
        <f>'HH WITH COM #1 '!$X$49</f>
        <v>2</v>
      </c>
      <c r="I54" s="257">
        <f t="shared" si="82"/>
        <v>5</v>
      </c>
      <c r="J54" s="91">
        <f t="shared" si="83"/>
        <v>1.9083969465648856E-2</v>
      </c>
      <c r="K54" s="17">
        <f>'HH WITH COM #2'!$W$49</f>
        <v>0</v>
      </c>
      <c r="L54" s="17">
        <f>'HH WITH COM #2'!$X$49</f>
        <v>0</v>
      </c>
      <c r="M54" s="257">
        <f t="shared" si="84"/>
        <v>0</v>
      </c>
      <c r="N54" s="91">
        <f t="shared" si="85"/>
        <v>0</v>
      </c>
      <c r="O54" s="17">
        <f>'HH WITH COM #3'!$W$49</f>
        <v>0</v>
      </c>
      <c r="P54" s="17">
        <f>'HH WITH COM #3'!$X$49</f>
        <v>0</v>
      </c>
      <c r="Q54" s="257">
        <f t="shared" si="86"/>
        <v>0</v>
      </c>
      <c r="R54" s="91">
        <f t="shared" si="87"/>
        <v>0</v>
      </c>
      <c r="S54" s="17">
        <f>'HH WITH COM #4'!$W$49</f>
        <v>0</v>
      </c>
      <c r="T54" s="17">
        <f>'HH WITH COM #4'!$X$49</f>
        <v>0</v>
      </c>
      <c r="U54" s="257">
        <f t="shared" si="88"/>
        <v>0</v>
      </c>
      <c r="V54" s="91">
        <f t="shared" si="89"/>
        <v>0</v>
      </c>
      <c r="W54" s="17">
        <f>'HH WITH COM #5'!$W$49</f>
        <v>0</v>
      </c>
      <c r="X54" s="17">
        <f>'HH WITH COM #5'!$X$49</f>
        <v>0</v>
      </c>
      <c r="Y54" s="257">
        <f t="shared" si="90"/>
        <v>0</v>
      </c>
      <c r="Z54" s="91">
        <f t="shared" si="91"/>
        <v>0</v>
      </c>
      <c r="AA54" s="17">
        <f>'HH WITH COM #6'!$W$49</f>
        <v>0</v>
      </c>
      <c r="AB54" s="17">
        <f>'HH WITH COM #6'!$X$49</f>
        <v>0</v>
      </c>
      <c r="AC54" s="257">
        <f t="shared" si="92"/>
        <v>0</v>
      </c>
      <c r="AD54" s="91">
        <f t="shared" si="93"/>
        <v>0</v>
      </c>
      <c r="AE54" s="17">
        <f>'HH WITH COM #7'!$W$49</f>
        <v>0</v>
      </c>
      <c r="AF54" s="17">
        <f>'HH WITH COM #7'!$X$49</f>
        <v>0</v>
      </c>
      <c r="AG54" s="257">
        <f t="shared" si="94"/>
        <v>0</v>
      </c>
      <c r="AH54" s="373">
        <f t="shared" si="95"/>
        <v>0</v>
      </c>
      <c r="AI54" s="391">
        <f t="shared" si="79"/>
        <v>3</v>
      </c>
      <c r="AJ54" s="17">
        <f t="shared" si="80"/>
        <v>2</v>
      </c>
      <c r="AK54" s="539">
        <f t="shared" si="81"/>
        <v>5</v>
      </c>
      <c r="AL54" s="91">
        <f t="shared" si="96"/>
        <v>1.9083969465648856E-2</v>
      </c>
    </row>
    <row r="55" spans="1:38" ht="16.5" customHeight="1" x14ac:dyDescent="0.25">
      <c r="A55" s="40"/>
      <c r="B55" s="40"/>
      <c r="C55" s="23"/>
      <c r="D55" s="473" t="s">
        <v>376</v>
      </c>
      <c r="E55" s="562" t="s">
        <v>387</v>
      </c>
      <c r="F55" s="105"/>
      <c r="G55" s="17">
        <f>'HH WITH COM #1 '!$W$50</f>
        <v>0</v>
      </c>
      <c r="H55" s="17">
        <f>'HH WITH COM #1 '!$X$50</f>
        <v>0</v>
      </c>
      <c r="I55" s="257">
        <f t="shared" si="82"/>
        <v>0</v>
      </c>
      <c r="J55" s="91">
        <f t="shared" si="83"/>
        <v>0</v>
      </c>
      <c r="K55" s="17">
        <f>'HH WITH COM #2'!$W$50</f>
        <v>0</v>
      </c>
      <c r="L55" s="17">
        <f>'HH WITH COM #2'!$X$50</f>
        <v>0</v>
      </c>
      <c r="M55" s="257">
        <f t="shared" si="84"/>
        <v>0</v>
      </c>
      <c r="N55" s="91">
        <f t="shared" si="85"/>
        <v>0</v>
      </c>
      <c r="O55" s="17">
        <f>'HH WITH COM #3'!$W$50</f>
        <v>0</v>
      </c>
      <c r="P55" s="17">
        <f>'HH WITH COM #3'!$X$50</f>
        <v>0</v>
      </c>
      <c r="Q55" s="257">
        <f t="shared" si="86"/>
        <v>0</v>
      </c>
      <c r="R55" s="91">
        <f t="shared" si="87"/>
        <v>0</v>
      </c>
      <c r="S55" s="17">
        <f>'HH WITH COM #4'!$W$50</f>
        <v>0</v>
      </c>
      <c r="T55" s="17">
        <f>'HH WITH COM #4'!$X$50</f>
        <v>0</v>
      </c>
      <c r="U55" s="257">
        <f t="shared" si="88"/>
        <v>0</v>
      </c>
      <c r="V55" s="91">
        <f t="shared" si="89"/>
        <v>0</v>
      </c>
      <c r="W55" s="17">
        <f>'HH WITH COM #5'!$W$50</f>
        <v>0</v>
      </c>
      <c r="X55" s="17">
        <f>'HH WITH COM #5'!$X$50</f>
        <v>0</v>
      </c>
      <c r="Y55" s="257">
        <f t="shared" si="90"/>
        <v>0</v>
      </c>
      <c r="Z55" s="91">
        <f t="shared" si="91"/>
        <v>0</v>
      </c>
      <c r="AA55" s="17">
        <f>'HH WITH COM #6'!$W$50</f>
        <v>0</v>
      </c>
      <c r="AB55" s="17">
        <f>'HH WITH COM #6'!$X$50</f>
        <v>0</v>
      </c>
      <c r="AC55" s="257">
        <f t="shared" si="92"/>
        <v>0</v>
      </c>
      <c r="AD55" s="91">
        <f t="shared" si="93"/>
        <v>0</v>
      </c>
      <c r="AE55" s="17">
        <f>'HH WITH COM #7'!$W$50</f>
        <v>0</v>
      </c>
      <c r="AF55" s="17">
        <f>'HH WITH COM #7'!$X$50</f>
        <v>0</v>
      </c>
      <c r="AG55" s="257">
        <f t="shared" si="94"/>
        <v>0</v>
      </c>
      <c r="AH55" s="373">
        <f t="shared" si="95"/>
        <v>0</v>
      </c>
      <c r="AI55" s="391">
        <f t="shared" si="79"/>
        <v>0</v>
      </c>
      <c r="AJ55" s="17">
        <f t="shared" si="80"/>
        <v>0</v>
      </c>
      <c r="AK55" s="539">
        <f t="shared" si="81"/>
        <v>0</v>
      </c>
      <c r="AL55" s="91">
        <f t="shared" si="96"/>
        <v>0</v>
      </c>
    </row>
    <row r="56" spans="1:38" ht="16.5" customHeight="1" x14ac:dyDescent="0.25">
      <c r="A56" s="40"/>
      <c r="B56" s="40"/>
      <c r="C56" s="23"/>
      <c r="D56" s="473" t="s">
        <v>377</v>
      </c>
      <c r="E56" s="562" t="s">
        <v>388</v>
      </c>
      <c r="F56" s="105"/>
      <c r="G56" s="17">
        <f>'HH WITH COM #1 '!$W$51</f>
        <v>0</v>
      </c>
      <c r="H56" s="17">
        <f>'HH WITH COM #1 '!$X$51</f>
        <v>0</v>
      </c>
      <c r="I56" s="257">
        <f t="shared" si="82"/>
        <v>0</v>
      </c>
      <c r="J56" s="91">
        <f t="shared" si="83"/>
        <v>0</v>
      </c>
      <c r="K56" s="17">
        <f>'HH WITH COM #2'!$W$51</f>
        <v>0</v>
      </c>
      <c r="L56" s="17">
        <f>'HH WITH COM #2'!$X$51</f>
        <v>0</v>
      </c>
      <c r="M56" s="257">
        <f t="shared" si="84"/>
        <v>0</v>
      </c>
      <c r="N56" s="91">
        <f t="shared" si="85"/>
        <v>0</v>
      </c>
      <c r="O56" s="17">
        <f>'HH WITH COM #3'!$W$51</f>
        <v>0</v>
      </c>
      <c r="P56" s="17">
        <f>'HH WITH COM #3'!$X$51</f>
        <v>0</v>
      </c>
      <c r="Q56" s="257">
        <f t="shared" si="86"/>
        <v>0</v>
      </c>
      <c r="R56" s="91">
        <f t="shared" si="87"/>
        <v>0</v>
      </c>
      <c r="S56" s="17">
        <f>'HH WITH COM #4'!$W$51</f>
        <v>0</v>
      </c>
      <c r="T56" s="17">
        <f>'HH WITH COM #4'!$X$51</f>
        <v>0</v>
      </c>
      <c r="U56" s="257">
        <f t="shared" si="88"/>
        <v>0</v>
      </c>
      <c r="V56" s="91">
        <f t="shared" si="89"/>
        <v>0</v>
      </c>
      <c r="W56" s="17">
        <f>'HH WITH COM #5'!$W$51</f>
        <v>0</v>
      </c>
      <c r="X56" s="17">
        <f>'HH WITH COM #5'!$X$51</f>
        <v>0</v>
      </c>
      <c r="Y56" s="257">
        <f t="shared" si="90"/>
        <v>0</v>
      </c>
      <c r="Z56" s="91">
        <f t="shared" si="91"/>
        <v>0</v>
      </c>
      <c r="AA56" s="17">
        <f>'HH WITH COM #6'!$W$51</f>
        <v>0</v>
      </c>
      <c r="AB56" s="17">
        <f>'HH WITH COM #6'!$X$51</f>
        <v>0</v>
      </c>
      <c r="AC56" s="257">
        <f t="shared" si="92"/>
        <v>0</v>
      </c>
      <c r="AD56" s="91">
        <f t="shared" si="93"/>
        <v>0</v>
      </c>
      <c r="AE56" s="17">
        <f>'HH WITH COM #7'!$W$51</f>
        <v>0</v>
      </c>
      <c r="AF56" s="17">
        <f>'HH WITH COM #7'!$X$51</f>
        <v>0</v>
      </c>
      <c r="AG56" s="257">
        <f t="shared" si="94"/>
        <v>0</v>
      </c>
      <c r="AH56" s="373">
        <f t="shared" si="95"/>
        <v>0</v>
      </c>
      <c r="AI56" s="391">
        <f t="shared" si="79"/>
        <v>0</v>
      </c>
      <c r="AJ56" s="17">
        <f t="shared" si="80"/>
        <v>0</v>
      </c>
      <c r="AK56" s="539">
        <f t="shared" si="81"/>
        <v>0</v>
      </c>
      <c r="AL56" s="91">
        <f t="shared" si="96"/>
        <v>0</v>
      </c>
    </row>
    <row r="57" spans="1:38" ht="16.5" customHeight="1" x14ac:dyDescent="0.25">
      <c r="A57" s="40"/>
      <c r="B57" s="40"/>
      <c r="C57" s="23"/>
      <c r="D57" s="473" t="s">
        <v>378</v>
      </c>
      <c r="E57" s="562" t="s">
        <v>532</v>
      </c>
      <c r="F57" s="105"/>
      <c r="G57" s="17">
        <f>'HH WITH COM #1 '!$W$52</f>
        <v>21</v>
      </c>
      <c r="H57" s="17">
        <f>'HH WITH COM #1 '!$X$52</f>
        <v>203</v>
      </c>
      <c r="I57" s="257">
        <f t="shared" si="82"/>
        <v>224</v>
      </c>
      <c r="J57" s="91">
        <f t="shared" si="83"/>
        <v>0.85496183206106868</v>
      </c>
      <c r="K57" s="17">
        <f>'HH WITH COM #2'!$W$52</f>
        <v>0</v>
      </c>
      <c r="L57" s="17">
        <f>'HH WITH COM #2'!$X$52</f>
        <v>0</v>
      </c>
      <c r="M57" s="257">
        <f t="shared" si="84"/>
        <v>0</v>
      </c>
      <c r="N57" s="91">
        <f t="shared" si="85"/>
        <v>0</v>
      </c>
      <c r="O57" s="17">
        <f>'HH WITH COM #3'!$W$52</f>
        <v>0</v>
      </c>
      <c r="P57" s="17">
        <f>'HH WITH COM #3'!$X$52</f>
        <v>0</v>
      </c>
      <c r="Q57" s="257">
        <f t="shared" si="86"/>
        <v>0</v>
      </c>
      <c r="R57" s="91">
        <f t="shared" si="87"/>
        <v>0</v>
      </c>
      <c r="S57" s="17">
        <f>'HH WITH COM #4'!$W$52</f>
        <v>0</v>
      </c>
      <c r="T57" s="17">
        <f>'HH WITH COM #4'!$X$52</f>
        <v>0</v>
      </c>
      <c r="U57" s="257">
        <f t="shared" si="88"/>
        <v>0</v>
      </c>
      <c r="V57" s="91">
        <f t="shared" si="89"/>
        <v>0</v>
      </c>
      <c r="W57" s="17">
        <f>'HH WITH COM #5'!$W$52</f>
        <v>0</v>
      </c>
      <c r="X57" s="17">
        <f>'HH WITH COM #5'!$X$52</f>
        <v>0</v>
      </c>
      <c r="Y57" s="257">
        <f t="shared" si="90"/>
        <v>0</v>
      </c>
      <c r="Z57" s="91">
        <f t="shared" si="91"/>
        <v>0</v>
      </c>
      <c r="AA57" s="17">
        <f>'HH WITH COM #6'!$W$52</f>
        <v>0</v>
      </c>
      <c r="AB57" s="17">
        <f>'HH WITH COM #6'!$X$52</f>
        <v>0</v>
      </c>
      <c r="AC57" s="257">
        <f t="shared" si="92"/>
        <v>0</v>
      </c>
      <c r="AD57" s="91">
        <f t="shared" si="93"/>
        <v>0</v>
      </c>
      <c r="AE57" s="17">
        <f>'HH WITH COM #7'!$W$52</f>
        <v>0</v>
      </c>
      <c r="AF57" s="17">
        <f>'HH WITH COM #7'!$X$52</f>
        <v>0</v>
      </c>
      <c r="AG57" s="257">
        <f t="shared" si="94"/>
        <v>0</v>
      </c>
      <c r="AH57" s="373">
        <f t="shared" si="95"/>
        <v>0</v>
      </c>
      <c r="AI57" s="391">
        <f t="shared" si="79"/>
        <v>21</v>
      </c>
      <c r="AJ57" s="17">
        <f t="shared" si="80"/>
        <v>203</v>
      </c>
      <c r="AK57" s="539">
        <f t="shared" si="81"/>
        <v>224</v>
      </c>
      <c r="AL57" s="91">
        <f t="shared" si="96"/>
        <v>0.85496183206106868</v>
      </c>
    </row>
    <row r="58" spans="1:38" ht="16.5" customHeight="1" x14ac:dyDescent="0.25">
      <c r="A58" s="40"/>
      <c r="B58" s="40"/>
      <c r="C58" s="23"/>
      <c r="D58" s="473" t="s">
        <v>379</v>
      </c>
      <c r="E58" s="562" t="s">
        <v>389</v>
      </c>
      <c r="F58" s="105"/>
      <c r="G58" s="17">
        <f>'HH WITH COM #1 '!$W$53</f>
        <v>0</v>
      </c>
      <c r="H58" s="17">
        <f>'HH WITH COM #1 '!$X$53</f>
        <v>0</v>
      </c>
      <c r="I58" s="257">
        <f t="shared" si="82"/>
        <v>0</v>
      </c>
      <c r="J58" s="91">
        <f t="shared" si="83"/>
        <v>0</v>
      </c>
      <c r="K58" s="17">
        <f>'HH WITH COM #2'!$W$53</f>
        <v>0</v>
      </c>
      <c r="L58" s="17">
        <f>'HH WITH COM #2'!$X$53</f>
        <v>0</v>
      </c>
      <c r="M58" s="257">
        <f t="shared" si="84"/>
        <v>0</v>
      </c>
      <c r="N58" s="91">
        <f t="shared" si="85"/>
        <v>0</v>
      </c>
      <c r="O58" s="17">
        <f>'HH WITH COM #3'!$W$53</f>
        <v>0</v>
      </c>
      <c r="P58" s="17">
        <f>'HH WITH COM #3'!$X$53</f>
        <v>0</v>
      </c>
      <c r="Q58" s="257">
        <f t="shared" si="86"/>
        <v>0</v>
      </c>
      <c r="R58" s="91">
        <f t="shared" si="87"/>
        <v>0</v>
      </c>
      <c r="S58" s="17">
        <f>'HH WITH COM #4'!$W$53</f>
        <v>0</v>
      </c>
      <c r="T58" s="17">
        <f>'HH WITH COM #4'!$X$53</f>
        <v>0</v>
      </c>
      <c r="U58" s="257">
        <f t="shared" si="88"/>
        <v>0</v>
      </c>
      <c r="V58" s="91">
        <f t="shared" si="89"/>
        <v>0</v>
      </c>
      <c r="W58" s="17">
        <f>'HH WITH COM #5'!$W$53</f>
        <v>0</v>
      </c>
      <c r="X58" s="17">
        <f>'HH WITH COM #5'!$X$53</f>
        <v>0</v>
      </c>
      <c r="Y58" s="257">
        <f t="shared" si="90"/>
        <v>0</v>
      </c>
      <c r="Z58" s="91">
        <f t="shared" si="91"/>
        <v>0</v>
      </c>
      <c r="AA58" s="17">
        <f>'HH WITH COM #6'!$W$53</f>
        <v>0</v>
      </c>
      <c r="AB58" s="17">
        <f>'HH WITH COM #6'!$X$53</f>
        <v>0</v>
      </c>
      <c r="AC58" s="257">
        <f t="shared" si="92"/>
        <v>0</v>
      </c>
      <c r="AD58" s="91">
        <f t="shared" si="93"/>
        <v>0</v>
      </c>
      <c r="AE58" s="17">
        <f>'HH WITH COM #7'!$W$53</f>
        <v>0</v>
      </c>
      <c r="AF58" s="17">
        <f>'HH WITH COM #7'!$X$53</f>
        <v>0</v>
      </c>
      <c r="AG58" s="257">
        <f t="shared" si="94"/>
        <v>0</v>
      </c>
      <c r="AH58" s="373">
        <f t="shared" si="95"/>
        <v>0</v>
      </c>
      <c r="AI58" s="391">
        <f t="shared" si="79"/>
        <v>0</v>
      </c>
      <c r="AJ58" s="17">
        <f t="shared" si="80"/>
        <v>0</v>
      </c>
      <c r="AK58" s="539">
        <f t="shared" si="81"/>
        <v>0</v>
      </c>
      <c r="AL58" s="91">
        <f t="shared" si="96"/>
        <v>0</v>
      </c>
    </row>
    <row r="59" spans="1:38" ht="16.5" customHeight="1" x14ac:dyDescent="0.25">
      <c r="A59" s="40"/>
      <c r="B59" s="40"/>
      <c r="C59" s="23"/>
      <c r="D59" s="473" t="s">
        <v>380</v>
      </c>
      <c r="E59" s="562" t="s">
        <v>390</v>
      </c>
      <c r="F59" s="105"/>
      <c r="G59" s="17">
        <f>'HH WITH COM #1 '!$W$54</f>
        <v>0</v>
      </c>
      <c r="H59" s="17">
        <f>'HH WITH COM #1 '!$X$54</f>
        <v>0</v>
      </c>
      <c r="I59" s="257">
        <f t="shared" si="82"/>
        <v>0</v>
      </c>
      <c r="J59" s="91">
        <f t="shared" si="83"/>
        <v>0</v>
      </c>
      <c r="K59" s="17">
        <f>'HH WITH COM #2'!$W$54</f>
        <v>0</v>
      </c>
      <c r="L59" s="17">
        <f>'HH WITH COM #2'!$X$54</f>
        <v>0</v>
      </c>
      <c r="M59" s="257">
        <f t="shared" si="84"/>
        <v>0</v>
      </c>
      <c r="N59" s="91">
        <f t="shared" si="85"/>
        <v>0</v>
      </c>
      <c r="O59" s="17">
        <f>'HH WITH COM #3'!$W$54</f>
        <v>0</v>
      </c>
      <c r="P59" s="17">
        <f>'HH WITH COM #3'!$X$54</f>
        <v>0</v>
      </c>
      <c r="Q59" s="257">
        <f t="shared" si="86"/>
        <v>0</v>
      </c>
      <c r="R59" s="91">
        <f t="shared" si="87"/>
        <v>0</v>
      </c>
      <c r="S59" s="17">
        <f>'HH WITH COM #4'!$W$54</f>
        <v>0</v>
      </c>
      <c r="T59" s="17">
        <f>'HH WITH COM #4'!$X$54</f>
        <v>0</v>
      </c>
      <c r="U59" s="257">
        <f t="shared" si="88"/>
        <v>0</v>
      </c>
      <c r="V59" s="91">
        <f t="shared" si="89"/>
        <v>0</v>
      </c>
      <c r="W59" s="17">
        <f>'HH WITH COM #5'!$W$54</f>
        <v>0</v>
      </c>
      <c r="X59" s="17">
        <f>'HH WITH COM #5'!$X$54</f>
        <v>0</v>
      </c>
      <c r="Y59" s="257">
        <f t="shared" si="90"/>
        <v>0</v>
      </c>
      <c r="Z59" s="91">
        <f t="shared" si="91"/>
        <v>0</v>
      </c>
      <c r="AA59" s="17">
        <f>'HH WITH COM #6'!$W$54</f>
        <v>0</v>
      </c>
      <c r="AB59" s="17">
        <f>'HH WITH COM #6'!$X$54</f>
        <v>0</v>
      </c>
      <c r="AC59" s="257">
        <f t="shared" si="92"/>
        <v>0</v>
      </c>
      <c r="AD59" s="91">
        <f t="shared" si="93"/>
        <v>0</v>
      </c>
      <c r="AE59" s="17">
        <f>'HH WITH COM #7'!$W$54</f>
        <v>0</v>
      </c>
      <c r="AF59" s="17">
        <f>'HH WITH COM #7'!$X$54</f>
        <v>0</v>
      </c>
      <c r="AG59" s="257">
        <f t="shared" si="94"/>
        <v>0</v>
      </c>
      <c r="AH59" s="373">
        <f t="shared" si="95"/>
        <v>0</v>
      </c>
      <c r="AI59" s="391">
        <f t="shared" si="79"/>
        <v>0</v>
      </c>
      <c r="AJ59" s="17">
        <f t="shared" si="80"/>
        <v>0</v>
      </c>
      <c r="AK59" s="539">
        <f t="shared" si="81"/>
        <v>0</v>
      </c>
      <c r="AL59" s="91">
        <f t="shared" si="96"/>
        <v>0</v>
      </c>
    </row>
    <row r="60" spans="1:38" ht="16.5" customHeight="1" x14ac:dyDescent="0.25">
      <c r="A60" s="40"/>
      <c r="B60" s="40"/>
      <c r="C60" s="23"/>
      <c r="D60" s="473" t="s">
        <v>381</v>
      </c>
      <c r="E60" s="562" t="s">
        <v>536</v>
      </c>
      <c r="F60" s="105"/>
      <c r="G60" s="17">
        <f>'HH WITH COM #1 '!$W$55</f>
        <v>3</v>
      </c>
      <c r="H60" s="17">
        <f>'HH WITH COM #1 '!$X$55</f>
        <v>15</v>
      </c>
      <c r="I60" s="257">
        <f t="shared" si="82"/>
        <v>18</v>
      </c>
      <c r="J60" s="91">
        <f t="shared" si="83"/>
        <v>6.8702290076335881E-2</v>
      </c>
      <c r="K60" s="17">
        <f>'HH WITH COM #2'!$W$55</f>
        <v>0</v>
      </c>
      <c r="L60" s="17">
        <f>'HH WITH COM #2'!$X$55</f>
        <v>0</v>
      </c>
      <c r="M60" s="257">
        <f t="shared" si="84"/>
        <v>0</v>
      </c>
      <c r="N60" s="91">
        <f t="shared" si="85"/>
        <v>0</v>
      </c>
      <c r="O60" s="17">
        <f>'HH WITH COM #3'!$W$55</f>
        <v>0</v>
      </c>
      <c r="P60" s="17">
        <f>'HH WITH COM #3'!$X$55</f>
        <v>0</v>
      </c>
      <c r="Q60" s="257">
        <f t="shared" si="86"/>
        <v>0</v>
      </c>
      <c r="R60" s="91">
        <f t="shared" si="87"/>
        <v>0</v>
      </c>
      <c r="S60" s="17">
        <f>'HH WITH COM #4'!$W$55</f>
        <v>0</v>
      </c>
      <c r="T60" s="17">
        <f>'HH WITH COM #4'!$X$55</f>
        <v>0</v>
      </c>
      <c r="U60" s="257">
        <f t="shared" si="88"/>
        <v>0</v>
      </c>
      <c r="V60" s="91">
        <f t="shared" si="89"/>
        <v>0</v>
      </c>
      <c r="W60" s="17">
        <f>'HH WITH COM #5'!$W$55</f>
        <v>0</v>
      </c>
      <c r="X60" s="17">
        <f>'HH WITH COM #5'!$X$55</f>
        <v>0</v>
      </c>
      <c r="Y60" s="257">
        <f t="shared" si="90"/>
        <v>0</v>
      </c>
      <c r="Z60" s="91">
        <f t="shared" si="91"/>
        <v>0</v>
      </c>
      <c r="AA60" s="17">
        <f>'HH WITH COM #6'!$W$55</f>
        <v>0</v>
      </c>
      <c r="AB60" s="17">
        <f>'HH WITH COM #6'!$X$55</f>
        <v>0</v>
      </c>
      <c r="AC60" s="257">
        <f t="shared" si="92"/>
        <v>0</v>
      </c>
      <c r="AD60" s="91">
        <f t="shared" si="93"/>
        <v>0</v>
      </c>
      <c r="AE60" s="17">
        <f>'HH WITH COM #7'!$W$55</f>
        <v>0</v>
      </c>
      <c r="AF60" s="17">
        <f>'HH WITH COM #7'!$X$55</f>
        <v>0</v>
      </c>
      <c r="AG60" s="257">
        <f t="shared" si="94"/>
        <v>0</v>
      </c>
      <c r="AH60" s="373">
        <f t="shared" si="95"/>
        <v>0</v>
      </c>
      <c r="AI60" s="391">
        <f t="shared" si="79"/>
        <v>3</v>
      </c>
      <c r="AJ60" s="17">
        <f t="shared" si="80"/>
        <v>15</v>
      </c>
      <c r="AK60" s="539">
        <f t="shared" si="81"/>
        <v>18</v>
      </c>
      <c r="AL60" s="91">
        <f t="shared" si="96"/>
        <v>6.8702290076335881E-2</v>
      </c>
    </row>
    <row r="61" spans="1:38" ht="16.5" customHeight="1" x14ac:dyDescent="0.25">
      <c r="A61" s="40"/>
      <c r="B61" s="40"/>
      <c r="C61" s="23"/>
      <c r="D61" s="473" t="s">
        <v>382</v>
      </c>
      <c r="E61" s="562" t="s">
        <v>391</v>
      </c>
      <c r="F61" s="105"/>
      <c r="G61" s="17">
        <f>'HH WITH COM #1 '!$W$56</f>
        <v>0</v>
      </c>
      <c r="H61" s="17">
        <f>'HH WITH COM #1 '!$X$56</f>
        <v>2</v>
      </c>
      <c r="I61" s="257">
        <f t="shared" si="82"/>
        <v>2</v>
      </c>
      <c r="J61" s="91">
        <f t="shared" si="83"/>
        <v>7.6335877862595417E-3</v>
      </c>
      <c r="K61" s="17">
        <f>'HH WITH COM #2'!$W$56</f>
        <v>0</v>
      </c>
      <c r="L61" s="17">
        <f>'HH WITH COM #2'!$X$56</f>
        <v>0</v>
      </c>
      <c r="M61" s="257">
        <f t="shared" si="84"/>
        <v>0</v>
      </c>
      <c r="N61" s="91">
        <f t="shared" si="85"/>
        <v>0</v>
      </c>
      <c r="O61" s="17">
        <f>'HH WITH COM #3'!$W$56</f>
        <v>0</v>
      </c>
      <c r="P61" s="17">
        <f>'HH WITH COM #3'!$X$56</f>
        <v>0</v>
      </c>
      <c r="Q61" s="257">
        <f t="shared" si="86"/>
        <v>0</v>
      </c>
      <c r="R61" s="91">
        <f t="shared" si="87"/>
        <v>0</v>
      </c>
      <c r="S61" s="17">
        <f>'HH WITH COM #4'!$W$56</f>
        <v>0</v>
      </c>
      <c r="T61" s="17">
        <f>'HH WITH COM #4'!$X$56</f>
        <v>0</v>
      </c>
      <c r="U61" s="257">
        <f t="shared" si="88"/>
        <v>0</v>
      </c>
      <c r="V61" s="91">
        <f t="shared" si="89"/>
        <v>0</v>
      </c>
      <c r="W61" s="17">
        <f>'HH WITH COM #5'!$W$56</f>
        <v>0</v>
      </c>
      <c r="X61" s="17">
        <f>'HH WITH COM #5'!$X$56</f>
        <v>0</v>
      </c>
      <c r="Y61" s="257">
        <f t="shared" si="90"/>
        <v>0</v>
      </c>
      <c r="Z61" s="91">
        <f t="shared" si="91"/>
        <v>0</v>
      </c>
      <c r="AA61" s="17">
        <f>'HH WITH COM #6'!$W$56</f>
        <v>0</v>
      </c>
      <c r="AB61" s="17">
        <f>'HH WITH COM #6'!$X$56</f>
        <v>0</v>
      </c>
      <c r="AC61" s="257">
        <f t="shared" si="92"/>
        <v>0</v>
      </c>
      <c r="AD61" s="91">
        <f t="shared" si="93"/>
        <v>0</v>
      </c>
      <c r="AE61" s="17">
        <f>'HH WITH COM #7'!$W$56</f>
        <v>0</v>
      </c>
      <c r="AF61" s="17">
        <f>'HH WITH COM #7'!$X$56</f>
        <v>0</v>
      </c>
      <c r="AG61" s="257">
        <f t="shared" si="94"/>
        <v>0</v>
      </c>
      <c r="AH61" s="373">
        <f t="shared" si="95"/>
        <v>0</v>
      </c>
      <c r="AI61" s="391">
        <f t="shared" si="79"/>
        <v>0</v>
      </c>
      <c r="AJ61" s="17">
        <f t="shared" si="80"/>
        <v>2</v>
      </c>
      <c r="AK61" s="539">
        <f t="shared" si="81"/>
        <v>2</v>
      </c>
      <c r="AL61" s="91">
        <f t="shared" si="96"/>
        <v>7.6335877862595417E-3</v>
      </c>
    </row>
    <row r="62" spans="1:38" ht="16.5" customHeight="1" x14ac:dyDescent="0.25">
      <c r="A62" s="40"/>
      <c r="B62" s="40"/>
      <c r="C62" s="23"/>
      <c r="D62" s="473" t="s">
        <v>383</v>
      </c>
      <c r="E62" s="562" t="s">
        <v>392</v>
      </c>
      <c r="F62" s="105"/>
      <c r="G62" s="17">
        <f>'HH WITH COM #1 '!$W$57</f>
        <v>0</v>
      </c>
      <c r="H62" s="17">
        <f>'HH WITH COM #1 '!$X$57</f>
        <v>0</v>
      </c>
      <c r="I62" s="257">
        <f t="shared" si="82"/>
        <v>0</v>
      </c>
      <c r="J62" s="91">
        <f t="shared" si="83"/>
        <v>0</v>
      </c>
      <c r="K62" s="17">
        <f>'HH WITH COM #2'!$W$57</f>
        <v>0</v>
      </c>
      <c r="L62" s="17">
        <f>'HH WITH COM #2'!$X$57</f>
        <v>0</v>
      </c>
      <c r="M62" s="257">
        <f t="shared" si="84"/>
        <v>0</v>
      </c>
      <c r="N62" s="91">
        <f t="shared" si="85"/>
        <v>0</v>
      </c>
      <c r="O62" s="17">
        <f>'HH WITH COM #3'!$W$57</f>
        <v>0</v>
      </c>
      <c r="P62" s="17">
        <f>'HH WITH COM #3'!$X$57</f>
        <v>0</v>
      </c>
      <c r="Q62" s="257">
        <f t="shared" si="86"/>
        <v>0</v>
      </c>
      <c r="R62" s="91">
        <f t="shared" si="87"/>
        <v>0</v>
      </c>
      <c r="S62" s="17">
        <f>'HH WITH COM #4'!$W$57</f>
        <v>0</v>
      </c>
      <c r="T62" s="17">
        <f>'HH WITH COM #4'!$X$57</f>
        <v>0</v>
      </c>
      <c r="U62" s="257">
        <f t="shared" si="88"/>
        <v>0</v>
      </c>
      <c r="V62" s="91">
        <f t="shared" si="89"/>
        <v>0</v>
      </c>
      <c r="W62" s="17">
        <f>'HH WITH COM #5'!$W$57</f>
        <v>0</v>
      </c>
      <c r="X62" s="17">
        <f>'HH WITH COM #5'!$X$57</f>
        <v>0</v>
      </c>
      <c r="Y62" s="257">
        <f t="shared" si="90"/>
        <v>0</v>
      </c>
      <c r="Z62" s="91">
        <f t="shared" si="91"/>
        <v>0</v>
      </c>
      <c r="AA62" s="17">
        <f>'HH WITH COM #6'!$W$57</f>
        <v>0</v>
      </c>
      <c r="AB62" s="17">
        <f>'HH WITH COM #6'!$X$57</f>
        <v>0</v>
      </c>
      <c r="AC62" s="257">
        <f t="shared" si="92"/>
        <v>0</v>
      </c>
      <c r="AD62" s="91">
        <f t="shared" si="93"/>
        <v>0</v>
      </c>
      <c r="AE62" s="17">
        <f>'HH WITH COM #7'!$W$57</f>
        <v>0</v>
      </c>
      <c r="AF62" s="17">
        <f>'HH WITH COM #7'!$X$57</f>
        <v>0</v>
      </c>
      <c r="AG62" s="257">
        <f t="shared" si="94"/>
        <v>0</v>
      </c>
      <c r="AH62" s="373">
        <f t="shared" si="95"/>
        <v>0</v>
      </c>
      <c r="AI62" s="391">
        <f t="shared" si="79"/>
        <v>0</v>
      </c>
      <c r="AJ62" s="17">
        <f t="shared" si="80"/>
        <v>0</v>
      </c>
      <c r="AK62" s="539">
        <f t="shared" si="81"/>
        <v>0</v>
      </c>
      <c r="AL62" s="91">
        <f t="shared" si="96"/>
        <v>0</v>
      </c>
    </row>
    <row r="63" spans="1:38" ht="16.5" customHeight="1" x14ac:dyDescent="0.25">
      <c r="A63" s="40"/>
      <c r="B63" s="179"/>
      <c r="C63" s="40"/>
      <c r="D63" s="78"/>
      <c r="E63" s="78"/>
      <c r="F63" s="184"/>
      <c r="G63" s="82">
        <f>SUM(G49:G62)</f>
        <v>28</v>
      </c>
      <c r="H63" s="82">
        <f t="shared" ref="H63:I63" si="97">SUM(H49:H62)</f>
        <v>234</v>
      </c>
      <c r="I63" s="82">
        <f t="shared" si="97"/>
        <v>262</v>
      </c>
      <c r="J63" s="66">
        <f t="shared" si="83"/>
        <v>1</v>
      </c>
      <c r="K63" s="82">
        <f>SUM(K49:K62)</f>
        <v>0</v>
      </c>
      <c r="L63" s="82">
        <f t="shared" ref="L63" si="98">SUM(L49:L62)</f>
        <v>0</v>
      </c>
      <c r="M63" s="82">
        <f t="shared" ref="M63" si="99">SUM(M49:M62)</f>
        <v>0</v>
      </c>
      <c r="N63" s="66">
        <f t="shared" si="85"/>
        <v>0</v>
      </c>
      <c r="O63" s="82">
        <f>SUM(O49:O62)</f>
        <v>0</v>
      </c>
      <c r="P63" s="82">
        <f t="shared" ref="P63" si="100">SUM(P49:P62)</f>
        <v>0</v>
      </c>
      <c r="Q63" s="82">
        <f t="shared" ref="Q63" si="101">SUM(Q49:Q62)</f>
        <v>0</v>
      </c>
      <c r="R63" s="66">
        <f t="shared" si="87"/>
        <v>0</v>
      </c>
      <c r="S63" s="82">
        <f>SUM(S49:S62)</f>
        <v>0</v>
      </c>
      <c r="T63" s="82">
        <f t="shared" ref="T63" si="102">SUM(T49:T62)</f>
        <v>0</v>
      </c>
      <c r="U63" s="82">
        <f t="shared" ref="U63" si="103">SUM(U49:U62)</f>
        <v>0</v>
      </c>
      <c r="V63" s="66">
        <f t="shared" si="89"/>
        <v>0</v>
      </c>
      <c r="W63" s="82">
        <f>SUM(W49:W62)</f>
        <v>0</v>
      </c>
      <c r="X63" s="82">
        <f t="shared" ref="X63" si="104">SUM(X49:X62)</f>
        <v>0</v>
      </c>
      <c r="Y63" s="82">
        <f t="shared" ref="Y63" si="105">SUM(Y49:Y62)</f>
        <v>0</v>
      </c>
      <c r="Z63" s="66">
        <f t="shared" si="91"/>
        <v>0</v>
      </c>
      <c r="AA63" s="82">
        <f>SUM(AA49:AA62)</f>
        <v>0</v>
      </c>
      <c r="AB63" s="82">
        <f t="shared" ref="AB63" si="106">SUM(AB49:AB62)</f>
        <v>0</v>
      </c>
      <c r="AC63" s="82">
        <f t="shared" ref="AC63" si="107">SUM(AC49:AC62)</f>
        <v>0</v>
      </c>
      <c r="AD63" s="66">
        <f t="shared" si="93"/>
        <v>0</v>
      </c>
      <c r="AE63" s="82">
        <f>SUM(AE49:AE62)</f>
        <v>0</v>
      </c>
      <c r="AF63" s="82">
        <f t="shared" ref="AF63" si="108">SUM(AF49:AF62)</f>
        <v>0</v>
      </c>
      <c r="AG63" s="82">
        <f t="shared" ref="AG63" si="109">SUM(AG49:AG62)</f>
        <v>0</v>
      </c>
      <c r="AH63" s="608">
        <f t="shared" si="95"/>
        <v>0</v>
      </c>
      <c r="AI63" s="381">
        <f>SUM(AI49:AI62)</f>
        <v>28</v>
      </c>
      <c r="AJ63" s="82">
        <f t="shared" ref="AJ63" si="110">SUM(AJ49:AJ62)</f>
        <v>234</v>
      </c>
      <c r="AK63" s="82">
        <f t="shared" ref="AK63" si="111">SUM(AK49:AK62)</f>
        <v>262</v>
      </c>
      <c r="AL63" s="66">
        <f t="shared" si="96"/>
        <v>1</v>
      </c>
    </row>
    <row r="64" spans="1:38" s="117" customFormat="1" ht="16.5" customHeight="1" x14ac:dyDescent="0.25">
      <c r="A64" s="119"/>
      <c r="B64" s="102"/>
      <c r="C64" s="103" t="s">
        <v>33</v>
      </c>
      <c r="D64" s="110" t="s">
        <v>736</v>
      </c>
      <c r="E64" s="108"/>
      <c r="F64" s="108"/>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358"/>
      <c r="AI64" s="380"/>
      <c r="AJ64" s="111"/>
      <c r="AK64" s="111"/>
      <c r="AL64" s="111"/>
    </row>
    <row r="65" spans="1:38" s="117" customFormat="1" ht="16.5" customHeight="1" x14ac:dyDescent="0.25">
      <c r="A65" s="119"/>
      <c r="B65" s="23"/>
      <c r="C65" s="23"/>
      <c r="D65" s="473" t="s">
        <v>34</v>
      </c>
      <c r="E65" s="105" t="s">
        <v>26</v>
      </c>
      <c r="F65" s="105"/>
      <c r="G65" s="17">
        <f>'HH WITH COM #1 '!$W$61</f>
        <v>6</v>
      </c>
      <c r="H65" s="17">
        <f>'HH WITH COM #1 '!$X$61</f>
        <v>8</v>
      </c>
      <c r="I65" s="116">
        <f>SUM(G65:H65)</f>
        <v>14</v>
      </c>
      <c r="J65" s="91">
        <f>IF(I$69=0,0,I65/I$69)</f>
        <v>0.93333333333333335</v>
      </c>
      <c r="K65" s="17">
        <f>'HH WITH COM #2'!$W$61</f>
        <v>3</v>
      </c>
      <c r="L65" s="17">
        <f>'HH WITH COM #2'!$X$61</f>
        <v>8</v>
      </c>
      <c r="M65" s="116">
        <f>SUM(K65:L65)</f>
        <v>11</v>
      </c>
      <c r="N65" s="91">
        <f>IF(M$69=0,0,M65/M$69)</f>
        <v>0.7857142857142857</v>
      </c>
      <c r="O65" s="17">
        <f>'HH WITH COM #3'!$W$61</f>
        <v>0</v>
      </c>
      <c r="P65" s="17">
        <f>'HH WITH COM #3'!$X$61</f>
        <v>0</v>
      </c>
      <c r="Q65" s="116">
        <f>SUM(O65:P65)</f>
        <v>0</v>
      </c>
      <c r="R65" s="91">
        <f>IF(Q$69=0,0,Q65/Q$69)</f>
        <v>0</v>
      </c>
      <c r="S65" s="17">
        <f>'HH WITH COM #4'!$W$61</f>
        <v>0</v>
      </c>
      <c r="T65" s="17">
        <f>'HH WITH COM #4'!$X$61</f>
        <v>9</v>
      </c>
      <c r="U65" s="116">
        <f>SUM(S65:T65)</f>
        <v>9</v>
      </c>
      <c r="V65" s="91">
        <f>IF(U$69=0,0,U65/U$69)</f>
        <v>0.5625</v>
      </c>
      <c r="W65" s="17">
        <f>'HH WITH COM #5'!$W$61</f>
        <v>1</v>
      </c>
      <c r="X65" s="17">
        <f>'HH WITH COM #5'!$X$61</f>
        <v>19</v>
      </c>
      <c r="Y65" s="116">
        <f>SUM(W65:X65)</f>
        <v>20</v>
      </c>
      <c r="Z65" s="91">
        <f>IF(Y$69=0,0,Y65/Y$69)</f>
        <v>0.95238095238095233</v>
      </c>
      <c r="AA65" s="17">
        <f>'HH WITH COM #6'!$W$61</f>
        <v>0</v>
      </c>
      <c r="AB65" s="17">
        <f>'HH WITH COM #6'!$X$61</f>
        <v>9</v>
      </c>
      <c r="AC65" s="116">
        <f>SUM(AA65:AB65)</f>
        <v>9</v>
      </c>
      <c r="AD65" s="91">
        <f>IF(AC$69=0,0,AC65/AC$69)</f>
        <v>0.6</v>
      </c>
      <c r="AE65" s="17">
        <f>'HH WITH COM #7'!$W$61</f>
        <v>0</v>
      </c>
      <c r="AF65" s="17">
        <f>'HH WITH COM #7'!$X$61</f>
        <v>0</v>
      </c>
      <c r="AG65" s="116">
        <f>SUM(AE65:AF65)</f>
        <v>0</v>
      </c>
      <c r="AH65" s="373">
        <f>IF(AG$69=0,0,AG65/AG$69)</f>
        <v>0</v>
      </c>
      <c r="AI65" s="391">
        <f t="shared" ref="AI65:AI68" si="112">G65+K65+O65+S65+W65+AA65+AE65</f>
        <v>10</v>
      </c>
      <c r="AJ65" s="17">
        <f t="shared" ref="AJ65:AJ68" si="113">H65+L65+P65+T65+X65+AB65+AF65</f>
        <v>53</v>
      </c>
      <c r="AK65" s="539">
        <f>SUM(AI65:AJ65)</f>
        <v>63</v>
      </c>
      <c r="AL65" s="91">
        <f>IF(AK$69=0,0,AK65/AK$69)</f>
        <v>0.7</v>
      </c>
    </row>
    <row r="66" spans="1:38" s="117" customFormat="1" ht="16.5" customHeight="1" x14ac:dyDescent="0.25">
      <c r="A66" s="119"/>
      <c r="B66" s="23"/>
      <c r="C66" s="23"/>
      <c r="D66" s="473" t="s">
        <v>36</v>
      </c>
      <c r="E66" s="105" t="s">
        <v>28</v>
      </c>
      <c r="F66" s="105"/>
      <c r="G66" s="17">
        <f>'HH WITH COM #1 '!$W$62</f>
        <v>1</v>
      </c>
      <c r="H66" s="17">
        <f>'HH WITH COM #1 '!$X$62</f>
        <v>0</v>
      </c>
      <c r="I66" s="116">
        <f>SUM(G66:H66)</f>
        <v>1</v>
      </c>
      <c r="J66" s="91">
        <f>IF(I$69=0,0,I66/I$69)</f>
        <v>6.6666666666666666E-2</v>
      </c>
      <c r="K66" s="17">
        <f>'HH WITH COM #2'!$W$62</f>
        <v>1</v>
      </c>
      <c r="L66" s="17">
        <f>'HH WITH COM #2'!$X$62</f>
        <v>2</v>
      </c>
      <c r="M66" s="116">
        <f>SUM(K66:L66)</f>
        <v>3</v>
      </c>
      <c r="N66" s="91">
        <f>IF(M$69=0,0,M66/M$69)</f>
        <v>0.21428571428571427</v>
      </c>
      <c r="O66" s="17">
        <f>'HH WITH COM #3'!$W$62</f>
        <v>0</v>
      </c>
      <c r="P66" s="17">
        <f>'HH WITH COM #3'!$X$62</f>
        <v>0</v>
      </c>
      <c r="Q66" s="116">
        <f>SUM(O66:P66)</f>
        <v>0</v>
      </c>
      <c r="R66" s="91">
        <f>IF(Q$69=0,0,Q66/Q$69)</f>
        <v>0</v>
      </c>
      <c r="S66" s="17">
        <f>'HH WITH COM #4'!$W$62</f>
        <v>1</v>
      </c>
      <c r="T66" s="17">
        <f>'HH WITH COM #4'!$X$62</f>
        <v>6</v>
      </c>
      <c r="U66" s="116">
        <f>SUM(S66:T66)</f>
        <v>7</v>
      </c>
      <c r="V66" s="91">
        <f>IF(U$69=0,0,U66/U$69)</f>
        <v>0.4375</v>
      </c>
      <c r="W66" s="17">
        <f>'HH WITH COM #5'!$W$62</f>
        <v>0</v>
      </c>
      <c r="X66" s="17">
        <f>'HH WITH COM #5'!$X$62</f>
        <v>0</v>
      </c>
      <c r="Y66" s="116">
        <f>SUM(W66:X66)</f>
        <v>0</v>
      </c>
      <c r="Z66" s="91">
        <f>IF(Y$69=0,0,Y66/Y$69)</f>
        <v>0</v>
      </c>
      <c r="AA66" s="17">
        <f>'HH WITH COM #6'!$W$62</f>
        <v>3</v>
      </c>
      <c r="AB66" s="17">
        <f>'HH WITH COM #6'!$X$62</f>
        <v>3</v>
      </c>
      <c r="AC66" s="116">
        <f>SUM(AA66:AB66)</f>
        <v>6</v>
      </c>
      <c r="AD66" s="91">
        <f>IF(AC$69=0,0,AC66/AC$69)</f>
        <v>0.4</v>
      </c>
      <c r="AE66" s="17">
        <f>'HH WITH COM #7'!$W$62</f>
        <v>0</v>
      </c>
      <c r="AF66" s="17">
        <f>'HH WITH COM #7'!$X$62</f>
        <v>0</v>
      </c>
      <c r="AG66" s="116">
        <f>SUM(AE66:AF66)</f>
        <v>0</v>
      </c>
      <c r="AH66" s="373">
        <f>IF(AG$69=0,0,AG66/AG$69)</f>
        <v>0</v>
      </c>
      <c r="AI66" s="391">
        <f t="shared" si="112"/>
        <v>6</v>
      </c>
      <c r="AJ66" s="17">
        <f t="shared" si="113"/>
        <v>11</v>
      </c>
      <c r="AK66" s="539">
        <f>SUM(AI66:AJ66)</f>
        <v>17</v>
      </c>
      <c r="AL66" s="91">
        <f>IF(AK$69=0,0,AK66/AK$69)</f>
        <v>0.18888888888888888</v>
      </c>
    </row>
    <row r="67" spans="1:38" s="117" customFormat="1" ht="16.5" customHeight="1" x14ac:dyDescent="0.25">
      <c r="A67" s="119"/>
      <c r="B67" s="23"/>
      <c r="C67" s="23"/>
      <c r="D67" s="473" t="s">
        <v>38</v>
      </c>
      <c r="E67" s="105" t="s">
        <v>30</v>
      </c>
      <c r="F67" s="105"/>
      <c r="G67" s="17">
        <f>'HH WITH COM #1 '!$W$63</f>
        <v>0</v>
      </c>
      <c r="H67" s="17">
        <f>'HH WITH COM #1 '!$X$63</f>
        <v>0</v>
      </c>
      <c r="I67" s="116">
        <f>SUM(G67:H67)</f>
        <v>0</v>
      </c>
      <c r="J67" s="91">
        <f>IF(I$69=0,0,I67/I$69)</f>
        <v>0</v>
      </c>
      <c r="K67" s="17">
        <f>'HH WITH COM #2'!$W$63</f>
        <v>0</v>
      </c>
      <c r="L67" s="17">
        <f>'HH WITH COM #2'!$X$63</f>
        <v>0</v>
      </c>
      <c r="M67" s="116">
        <f>SUM(K67:L67)</f>
        <v>0</v>
      </c>
      <c r="N67" s="91">
        <f>IF(M$69=0,0,M67/M$69)</f>
        <v>0</v>
      </c>
      <c r="O67" s="17">
        <f>'HH WITH COM #3'!$W$63</f>
        <v>0</v>
      </c>
      <c r="P67" s="17">
        <f>'HH WITH COM #3'!$X$63</f>
        <v>0</v>
      </c>
      <c r="Q67" s="116">
        <f>SUM(O67:P67)</f>
        <v>0</v>
      </c>
      <c r="R67" s="91">
        <f>IF(Q$69=0,0,Q67/Q$69)</f>
        <v>0</v>
      </c>
      <c r="S67" s="17">
        <f>'HH WITH COM #4'!$W$63</f>
        <v>0</v>
      </c>
      <c r="T67" s="17">
        <f>'HH WITH COM #4'!$X$63</f>
        <v>0</v>
      </c>
      <c r="U67" s="116">
        <f>SUM(S67:T67)</f>
        <v>0</v>
      </c>
      <c r="V67" s="91">
        <f>IF(U$69=0,0,U67/U$69)</f>
        <v>0</v>
      </c>
      <c r="W67" s="17">
        <f>'HH WITH COM #5'!$W$63</f>
        <v>1</v>
      </c>
      <c r="X67" s="17">
        <f>'HH WITH COM #5'!$X$63</f>
        <v>0</v>
      </c>
      <c r="Y67" s="116">
        <f>SUM(W67:X67)</f>
        <v>1</v>
      </c>
      <c r="Z67" s="91">
        <f>IF(Y$69=0,0,Y67/Y$69)</f>
        <v>4.7619047619047616E-2</v>
      </c>
      <c r="AA67" s="17">
        <f>'HH WITH COM #6'!$W$63</f>
        <v>0</v>
      </c>
      <c r="AB67" s="17">
        <f>'HH WITH COM #6'!$X$63</f>
        <v>0</v>
      </c>
      <c r="AC67" s="116">
        <f>SUM(AA67:AB67)</f>
        <v>0</v>
      </c>
      <c r="AD67" s="91">
        <f>IF(AC$69=0,0,AC67/AC$69)</f>
        <v>0</v>
      </c>
      <c r="AE67" s="17">
        <f>'HH WITH COM #7'!$W$63</f>
        <v>0</v>
      </c>
      <c r="AF67" s="17">
        <f>'HH WITH COM #7'!$X$63</f>
        <v>0</v>
      </c>
      <c r="AG67" s="116">
        <f>SUM(AE67:AF67)</f>
        <v>0</v>
      </c>
      <c r="AH67" s="373">
        <f>IF(AG$69=0,0,AG67/AG$69)</f>
        <v>0</v>
      </c>
      <c r="AI67" s="391">
        <f t="shared" si="112"/>
        <v>1</v>
      </c>
      <c r="AJ67" s="17">
        <f t="shared" si="113"/>
        <v>0</v>
      </c>
      <c r="AK67" s="539">
        <f>SUM(AI67:AJ67)</f>
        <v>1</v>
      </c>
      <c r="AL67" s="91">
        <f>IF(AK$69=0,0,AK67/AK$69)</f>
        <v>1.1111111111111112E-2</v>
      </c>
    </row>
    <row r="68" spans="1:38" s="117" customFormat="1" ht="16.5" customHeight="1" x14ac:dyDescent="0.25">
      <c r="A68" s="119"/>
      <c r="B68" s="23"/>
      <c r="C68" s="23"/>
      <c r="D68" s="473" t="s">
        <v>40</v>
      </c>
      <c r="E68" s="105" t="s">
        <v>32</v>
      </c>
      <c r="F68" s="105"/>
      <c r="G68" s="17">
        <f>'HH WITH COM #1 '!$W$64</f>
        <v>0</v>
      </c>
      <c r="H68" s="17">
        <f>'HH WITH COM #1 '!$X$64</f>
        <v>0</v>
      </c>
      <c r="I68" s="116">
        <f>SUM(G68:H68)</f>
        <v>0</v>
      </c>
      <c r="J68" s="91">
        <f>IF(I$69=0,0,I68/I$69)</f>
        <v>0</v>
      </c>
      <c r="K68" s="17">
        <f>'HH WITH COM #2'!$W$64</f>
        <v>0</v>
      </c>
      <c r="L68" s="17">
        <f>'HH WITH COM #2'!$X$64</f>
        <v>0</v>
      </c>
      <c r="M68" s="116">
        <f>SUM(K68:L68)</f>
        <v>0</v>
      </c>
      <c r="N68" s="91">
        <f>IF(M$69=0,0,M68/M$69)</f>
        <v>0</v>
      </c>
      <c r="O68" s="17">
        <f>'HH WITH COM #3'!$W$64</f>
        <v>0</v>
      </c>
      <c r="P68" s="17">
        <f>'HH WITH COM #3'!$X$64</f>
        <v>9</v>
      </c>
      <c r="Q68" s="116">
        <f>SUM(O68:P68)</f>
        <v>9</v>
      </c>
      <c r="R68" s="91">
        <f>IF(Q$69=0,0,Q68/Q$69)</f>
        <v>1</v>
      </c>
      <c r="S68" s="17">
        <f>'HH WITH COM #4'!$W$64</f>
        <v>0</v>
      </c>
      <c r="T68" s="17">
        <f>'HH WITH COM #4'!$X$64</f>
        <v>0</v>
      </c>
      <c r="U68" s="116">
        <f>SUM(S68:T68)</f>
        <v>0</v>
      </c>
      <c r="V68" s="91">
        <f>IF(U$69=0,0,U68/U$69)</f>
        <v>0</v>
      </c>
      <c r="W68" s="17">
        <f>'HH WITH COM #5'!$W$64</f>
        <v>0</v>
      </c>
      <c r="X68" s="17">
        <f>'HH WITH COM #5'!$X$64</f>
        <v>0</v>
      </c>
      <c r="Y68" s="116">
        <f>SUM(W68:X68)</f>
        <v>0</v>
      </c>
      <c r="Z68" s="91">
        <f>IF(Y$69=0,0,Y68/Y$69)</f>
        <v>0</v>
      </c>
      <c r="AA68" s="17">
        <f>'HH WITH COM #6'!$W$64</f>
        <v>0</v>
      </c>
      <c r="AB68" s="17">
        <f>'HH WITH COM #6'!$X$64</f>
        <v>0</v>
      </c>
      <c r="AC68" s="116">
        <f>SUM(AA68:AB68)</f>
        <v>0</v>
      </c>
      <c r="AD68" s="91">
        <f>IF(AC$69=0,0,AC68/AC$69)</f>
        <v>0</v>
      </c>
      <c r="AE68" s="17">
        <f>'HH WITH COM #7'!$W$64</f>
        <v>0</v>
      </c>
      <c r="AF68" s="17">
        <f>'HH WITH COM #7'!$X$64</f>
        <v>0</v>
      </c>
      <c r="AG68" s="116">
        <f>SUM(AE68:AF68)</f>
        <v>0</v>
      </c>
      <c r="AH68" s="373">
        <f>IF(AG$69=0,0,AG68/AG$69)</f>
        <v>0</v>
      </c>
      <c r="AI68" s="391">
        <f t="shared" si="112"/>
        <v>0</v>
      </c>
      <c r="AJ68" s="17">
        <f t="shared" si="113"/>
        <v>9</v>
      </c>
      <c r="AK68" s="539">
        <f>SUM(AI68:AJ68)</f>
        <v>9</v>
      </c>
      <c r="AL68" s="91">
        <f>IF(AK$69=0,0,AK68/AK$69)</f>
        <v>0.1</v>
      </c>
    </row>
    <row r="69" spans="1:38" s="117" customFormat="1" ht="16.5" customHeight="1" x14ac:dyDescent="0.25">
      <c r="A69" s="119"/>
      <c r="B69" s="119"/>
      <c r="C69" s="119"/>
      <c r="D69" s="185"/>
      <c r="E69" s="184"/>
      <c r="F69" s="469"/>
      <c r="G69" s="82">
        <f>SUM(G65:G68)</f>
        <v>7</v>
      </c>
      <c r="H69" s="82">
        <f>SUM(H65:H68)</f>
        <v>8</v>
      </c>
      <c r="I69" s="82">
        <f>SUM(I65:I68)</f>
        <v>15</v>
      </c>
      <c r="J69" s="66">
        <f>IF(I$69=0,0,I69/I$69)</f>
        <v>1</v>
      </c>
      <c r="K69" s="82">
        <f>SUM(K65:K68)</f>
        <v>4</v>
      </c>
      <c r="L69" s="82">
        <f>SUM(L65:L68)</f>
        <v>10</v>
      </c>
      <c r="M69" s="82">
        <f>SUM(M65:M68)</f>
        <v>14</v>
      </c>
      <c r="N69" s="66">
        <f>IF(M$69=0,0,M69/M$69)</f>
        <v>1</v>
      </c>
      <c r="O69" s="82">
        <f>SUM(O65:O68)</f>
        <v>0</v>
      </c>
      <c r="P69" s="82">
        <f>SUM(P65:P68)</f>
        <v>9</v>
      </c>
      <c r="Q69" s="82">
        <f>SUM(Q65:Q68)</f>
        <v>9</v>
      </c>
      <c r="R69" s="66">
        <f>IF(Q$69=0,0,Q69/Q$69)</f>
        <v>1</v>
      </c>
      <c r="S69" s="82">
        <f>SUM(S65:S68)</f>
        <v>1</v>
      </c>
      <c r="T69" s="82">
        <f>SUM(T65:T68)</f>
        <v>15</v>
      </c>
      <c r="U69" s="82">
        <f>SUM(U65:U68)</f>
        <v>16</v>
      </c>
      <c r="V69" s="66">
        <f>IF(U$69=0,0,U69/U$69)</f>
        <v>1</v>
      </c>
      <c r="W69" s="82">
        <f>SUM(W65:W68)</f>
        <v>2</v>
      </c>
      <c r="X69" s="82">
        <f>SUM(X65:X68)</f>
        <v>19</v>
      </c>
      <c r="Y69" s="82">
        <f>SUM(Y65:Y68)</f>
        <v>21</v>
      </c>
      <c r="Z69" s="66">
        <f>IF(Y$69=0,0,Y69/Y$69)</f>
        <v>1</v>
      </c>
      <c r="AA69" s="82">
        <f>SUM(AA65:AA68)</f>
        <v>3</v>
      </c>
      <c r="AB69" s="82">
        <f>SUM(AB65:AB68)</f>
        <v>12</v>
      </c>
      <c r="AC69" s="82">
        <f>SUM(AC65:AC68)</f>
        <v>15</v>
      </c>
      <c r="AD69" s="66">
        <f>IF(AC$69=0,0,AC69/AC$69)</f>
        <v>1</v>
      </c>
      <c r="AE69" s="82">
        <f>SUM(AE65:AE68)</f>
        <v>0</v>
      </c>
      <c r="AF69" s="82">
        <f>SUM(AF65:AF68)</f>
        <v>0</v>
      </c>
      <c r="AG69" s="82">
        <f>SUM(AG65:AG68)</f>
        <v>0</v>
      </c>
      <c r="AH69" s="608">
        <f>IF(AG$69=0,0,AG69/AG$69)</f>
        <v>0</v>
      </c>
      <c r="AI69" s="381">
        <f>SUM(AI65:AI68)</f>
        <v>17</v>
      </c>
      <c r="AJ69" s="82">
        <f>SUM(AJ65:AJ68)</f>
        <v>73</v>
      </c>
      <c r="AK69" s="82">
        <f>SUM(AK65:AK68)</f>
        <v>90</v>
      </c>
      <c r="AL69" s="66">
        <f>IF(AK$69=0,0,AK69/AK$69)</f>
        <v>1</v>
      </c>
    </row>
    <row r="70" spans="1:38" s="117" customFormat="1" ht="16.5" customHeight="1" x14ac:dyDescent="0.25">
      <c r="A70" s="119"/>
      <c r="B70" s="119"/>
      <c r="C70" s="103" t="s">
        <v>393</v>
      </c>
      <c r="D70" s="110" t="s">
        <v>737</v>
      </c>
      <c r="E70" s="108"/>
      <c r="F70" s="108"/>
      <c r="G70" s="419"/>
      <c r="H70" s="419"/>
      <c r="I70" s="419"/>
      <c r="J70" s="419"/>
      <c r="K70" s="419"/>
      <c r="L70" s="419"/>
      <c r="M70" s="419"/>
      <c r="N70" s="419"/>
      <c r="O70" s="419"/>
      <c r="P70" s="419"/>
      <c r="Q70" s="419"/>
      <c r="R70" s="419"/>
      <c r="S70" s="419"/>
      <c r="T70" s="419"/>
      <c r="U70" s="419"/>
      <c r="V70" s="419"/>
      <c r="W70" s="419"/>
      <c r="X70" s="419"/>
      <c r="Y70" s="419"/>
      <c r="Z70" s="419"/>
      <c r="AA70" s="419"/>
      <c r="AB70" s="419"/>
      <c r="AC70" s="419"/>
      <c r="AD70" s="419"/>
      <c r="AE70" s="419"/>
      <c r="AF70" s="419"/>
      <c r="AG70" s="419"/>
      <c r="AH70" s="364"/>
      <c r="AI70" s="385"/>
      <c r="AJ70" s="545"/>
      <c r="AK70" s="545"/>
      <c r="AL70" s="545"/>
    </row>
    <row r="71" spans="1:38" s="117" customFormat="1" ht="16.5" customHeight="1" x14ac:dyDescent="0.25">
      <c r="A71" s="119"/>
      <c r="B71" s="119"/>
      <c r="C71" s="118"/>
      <c r="D71" s="474" t="s">
        <v>394</v>
      </c>
      <c r="E71" s="475" t="s">
        <v>35</v>
      </c>
      <c r="F71" s="475"/>
      <c r="G71" s="17">
        <f>'HH WITH COM #1 '!$W$68</f>
        <v>7</v>
      </c>
      <c r="H71" s="17">
        <f>'HH WITH COM #1 '!$X$68</f>
        <v>8</v>
      </c>
      <c r="I71" s="116">
        <f>SUM(G71:H71)</f>
        <v>15</v>
      </c>
      <c r="J71" s="91">
        <f t="shared" ref="J71:J76" si="114">IF(I$76=0,0,I71/I$76)</f>
        <v>1</v>
      </c>
      <c r="K71" s="17">
        <f>'HH WITH COM #2'!$W$68</f>
        <v>4</v>
      </c>
      <c r="L71" s="17">
        <f>'HH WITH COM #2'!$X$68</f>
        <v>10</v>
      </c>
      <c r="M71" s="116">
        <f>SUM(K71:L71)</f>
        <v>14</v>
      </c>
      <c r="N71" s="91">
        <f t="shared" ref="N71:N76" si="115">IF(M$76=0,0,M71/M$76)</f>
        <v>1</v>
      </c>
      <c r="O71" s="17">
        <f>'HH WITH COM #3'!$W$68</f>
        <v>0</v>
      </c>
      <c r="P71" s="17">
        <f>'HH WITH COM #3'!$X$68</f>
        <v>9</v>
      </c>
      <c r="Q71" s="116">
        <f>SUM(O71:P71)</f>
        <v>9</v>
      </c>
      <c r="R71" s="91">
        <f t="shared" ref="R71:R76" si="116">IF(Q$76=0,0,Q71/Q$76)</f>
        <v>1</v>
      </c>
      <c r="S71" s="17">
        <f>'HH WITH COM #4'!$W$68</f>
        <v>1</v>
      </c>
      <c r="T71" s="17">
        <f>'HH WITH COM #4'!$X$68</f>
        <v>15</v>
      </c>
      <c r="U71" s="116">
        <f>SUM(S71:T71)</f>
        <v>16</v>
      </c>
      <c r="V71" s="91">
        <f t="shared" ref="V71:V76" si="117">IF(U$76=0,0,U71/U$76)</f>
        <v>1</v>
      </c>
      <c r="W71" s="17">
        <f>'HH WITH COM #5'!$W$68</f>
        <v>2</v>
      </c>
      <c r="X71" s="17">
        <f>'HH WITH COM #5'!$X$68</f>
        <v>19</v>
      </c>
      <c r="Y71" s="116">
        <f>SUM(W71:X71)</f>
        <v>21</v>
      </c>
      <c r="Z71" s="91">
        <f t="shared" ref="Z71:Z76" si="118">IF(Y$76=0,0,Y71/Y$76)</f>
        <v>1</v>
      </c>
      <c r="AA71" s="17">
        <f>'HH WITH COM #6'!$W$68</f>
        <v>0</v>
      </c>
      <c r="AB71" s="17">
        <f>'HH WITH COM #6'!$X$68</f>
        <v>8</v>
      </c>
      <c r="AC71" s="116">
        <f>SUM(AA71:AB71)</f>
        <v>8</v>
      </c>
      <c r="AD71" s="91">
        <f t="shared" ref="AD71:AD76" si="119">IF(AC$76=0,0,AC71/AC$76)</f>
        <v>0.53333333333333333</v>
      </c>
      <c r="AE71" s="17">
        <f>'HH WITH COM #7'!$W$68</f>
        <v>0</v>
      </c>
      <c r="AF71" s="17">
        <f>'HH WITH COM #7'!$X$68</f>
        <v>0</v>
      </c>
      <c r="AG71" s="116">
        <f>SUM(AE71:AF71)</f>
        <v>0</v>
      </c>
      <c r="AH71" s="373">
        <f t="shared" ref="AH71:AH76" si="120">IF(AG$76=0,0,AG71/AG$76)</f>
        <v>0</v>
      </c>
      <c r="AI71" s="391">
        <f t="shared" ref="AI71:AI75" si="121">G71+K71+O71+S71+W71+AA71+AE71</f>
        <v>14</v>
      </c>
      <c r="AJ71" s="17">
        <f t="shared" ref="AJ71:AJ75" si="122">H71+L71+P71+T71+X71+AB71+AF71</f>
        <v>69</v>
      </c>
      <c r="AK71" s="539">
        <f>SUM(AI71:AJ71)</f>
        <v>83</v>
      </c>
      <c r="AL71" s="91">
        <f t="shared" ref="AL71:AL76" si="123">IF(AK$76=0,0,AK71/AK$76)</f>
        <v>0.92222222222222228</v>
      </c>
    </row>
    <row r="72" spans="1:38" s="117" customFormat="1" ht="16.5" customHeight="1" x14ac:dyDescent="0.25">
      <c r="A72" s="119"/>
      <c r="B72" s="119"/>
      <c r="C72" s="118"/>
      <c r="D72" s="474" t="s">
        <v>395</v>
      </c>
      <c r="E72" s="475" t="s">
        <v>37</v>
      </c>
      <c r="F72" s="475"/>
      <c r="G72" s="17">
        <f>'HH WITH COM #1 '!$W$69</f>
        <v>0</v>
      </c>
      <c r="H72" s="17">
        <f>'HH WITH COM #1 '!$X$69</f>
        <v>0</v>
      </c>
      <c r="I72" s="116">
        <f>SUM(G72:H72)</f>
        <v>0</v>
      </c>
      <c r="J72" s="91">
        <f t="shared" si="114"/>
        <v>0</v>
      </c>
      <c r="K72" s="17">
        <f>'HH WITH COM #2'!$W$69</f>
        <v>0</v>
      </c>
      <c r="L72" s="17">
        <f>'HH WITH COM #2'!$X$69</f>
        <v>0</v>
      </c>
      <c r="M72" s="116">
        <f>SUM(K72:L72)</f>
        <v>0</v>
      </c>
      <c r="N72" s="91">
        <f t="shared" si="115"/>
        <v>0</v>
      </c>
      <c r="O72" s="17">
        <f>'HH WITH COM #3'!$W$69</f>
        <v>0</v>
      </c>
      <c r="P72" s="17">
        <f>'HH WITH COM #3'!$X$69</f>
        <v>0</v>
      </c>
      <c r="Q72" s="116">
        <f>SUM(O72:P72)</f>
        <v>0</v>
      </c>
      <c r="R72" s="91">
        <f t="shared" si="116"/>
        <v>0</v>
      </c>
      <c r="S72" s="17">
        <f>'HH WITH COM #4'!$W$69</f>
        <v>0</v>
      </c>
      <c r="T72" s="17">
        <f>'HH WITH COM #4'!$X$69</f>
        <v>0</v>
      </c>
      <c r="U72" s="116">
        <f>SUM(S72:T72)</f>
        <v>0</v>
      </c>
      <c r="V72" s="91">
        <f t="shared" si="117"/>
        <v>0</v>
      </c>
      <c r="W72" s="17">
        <f>'HH WITH COM #5'!$W$69</f>
        <v>0</v>
      </c>
      <c r="X72" s="17">
        <f>'HH WITH COM #5'!$X$69</f>
        <v>0</v>
      </c>
      <c r="Y72" s="116">
        <f>SUM(W72:X72)</f>
        <v>0</v>
      </c>
      <c r="Z72" s="91">
        <f t="shared" si="118"/>
        <v>0</v>
      </c>
      <c r="AA72" s="17">
        <f>'HH WITH COM #6'!$W$69</f>
        <v>0</v>
      </c>
      <c r="AB72" s="17">
        <f>'HH WITH COM #6'!$X$69</f>
        <v>0</v>
      </c>
      <c r="AC72" s="116">
        <f>SUM(AA72:AB72)</f>
        <v>0</v>
      </c>
      <c r="AD72" s="91">
        <f t="shared" si="119"/>
        <v>0</v>
      </c>
      <c r="AE72" s="17">
        <f>'HH WITH COM #7'!$W$69</f>
        <v>0</v>
      </c>
      <c r="AF72" s="17">
        <f>'HH WITH COM #7'!$X$69</f>
        <v>0</v>
      </c>
      <c r="AG72" s="116">
        <f>SUM(AE72:AF72)</f>
        <v>0</v>
      </c>
      <c r="AH72" s="373">
        <f t="shared" si="120"/>
        <v>0</v>
      </c>
      <c r="AI72" s="391">
        <f t="shared" si="121"/>
        <v>0</v>
      </c>
      <c r="AJ72" s="17">
        <f t="shared" si="122"/>
        <v>0</v>
      </c>
      <c r="AK72" s="539">
        <f>SUM(AI72:AJ72)</f>
        <v>0</v>
      </c>
      <c r="AL72" s="91">
        <f t="shared" si="123"/>
        <v>0</v>
      </c>
    </row>
    <row r="73" spans="1:38" s="117" customFormat="1" ht="16.5" customHeight="1" x14ac:dyDescent="0.25">
      <c r="A73" s="119"/>
      <c r="B73" s="119"/>
      <c r="C73" s="118"/>
      <c r="D73" s="474" t="s">
        <v>396</v>
      </c>
      <c r="E73" s="475" t="s">
        <v>39</v>
      </c>
      <c r="F73" s="475"/>
      <c r="G73" s="17">
        <f>'HH WITH COM #1 '!$W$70</f>
        <v>0</v>
      </c>
      <c r="H73" s="17">
        <f>'HH WITH COM #1 '!$X$70</f>
        <v>0</v>
      </c>
      <c r="I73" s="116">
        <f>SUM(G73:H73)</f>
        <v>0</v>
      </c>
      <c r="J73" s="91">
        <f t="shared" si="114"/>
        <v>0</v>
      </c>
      <c r="K73" s="17">
        <f>'HH WITH COM #2'!$W$70</f>
        <v>0</v>
      </c>
      <c r="L73" s="17">
        <f>'HH WITH COM #2'!$X$70</f>
        <v>0</v>
      </c>
      <c r="M73" s="116">
        <f>SUM(K73:L73)</f>
        <v>0</v>
      </c>
      <c r="N73" s="91">
        <f t="shared" si="115"/>
        <v>0</v>
      </c>
      <c r="O73" s="17">
        <f>'HH WITH COM #3'!$W$70</f>
        <v>0</v>
      </c>
      <c r="P73" s="17">
        <f>'HH WITH COM #3'!$X$70</f>
        <v>0</v>
      </c>
      <c r="Q73" s="116">
        <f>SUM(O73:P73)</f>
        <v>0</v>
      </c>
      <c r="R73" s="91">
        <f t="shared" si="116"/>
        <v>0</v>
      </c>
      <c r="S73" s="17">
        <f>'HH WITH COM #4'!$W$70</f>
        <v>0</v>
      </c>
      <c r="T73" s="17">
        <f>'HH WITH COM #4'!$X$70</f>
        <v>0</v>
      </c>
      <c r="U73" s="116">
        <f>SUM(S73:T73)</f>
        <v>0</v>
      </c>
      <c r="V73" s="91">
        <f t="shared" si="117"/>
        <v>0</v>
      </c>
      <c r="W73" s="17">
        <f>'HH WITH COM #5'!$W$70</f>
        <v>0</v>
      </c>
      <c r="X73" s="17">
        <f>'HH WITH COM #5'!$X$70</f>
        <v>0</v>
      </c>
      <c r="Y73" s="116">
        <f>SUM(W73:X73)</f>
        <v>0</v>
      </c>
      <c r="Z73" s="91">
        <f t="shared" si="118"/>
        <v>0</v>
      </c>
      <c r="AA73" s="17">
        <f>'HH WITH COM #6'!$W$70</f>
        <v>3</v>
      </c>
      <c r="AB73" s="17">
        <f>'HH WITH COM #6'!$X$70</f>
        <v>4</v>
      </c>
      <c r="AC73" s="116">
        <f>SUM(AA73:AB73)</f>
        <v>7</v>
      </c>
      <c r="AD73" s="91">
        <f t="shared" si="119"/>
        <v>0.46666666666666667</v>
      </c>
      <c r="AE73" s="17">
        <f>'HH WITH COM #7'!$W$70</f>
        <v>0</v>
      </c>
      <c r="AF73" s="17">
        <f>'HH WITH COM #7'!$X$70</f>
        <v>0</v>
      </c>
      <c r="AG73" s="116">
        <f>SUM(AE73:AF73)</f>
        <v>0</v>
      </c>
      <c r="AH73" s="373">
        <f t="shared" si="120"/>
        <v>0</v>
      </c>
      <c r="AI73" s="391">
        <f t="shared" si="121"/>
        <v>3</v>
      </c>
      <c r="AJ73" s="17">
        <f t="shared" si="122"/>
        <v>4</v>
      </c>
      <c r="AK73" s="539">
        <f>SUM(AI73:AJ73)</f>
        <v>7</v>
      </c>
      <c r="AL73" s="91">
        <f t="shared" si="123"/>
        <v>7.7777777777777779E-2</v>
      </c>
    </row>
    <row r="74" spans="1:38" s="117" customFormat="1" ht="16.5" customHeight="1" x14ac:dyDescent="0.25">
      <c r="A74" s="119"/>
      <c r="B74" s="119"/>
      <c r="C74" s="118"/>
      <c r="D74" s="474" t="s">
        <v>397</v>
      </c>
      <c r="E74" s="475" t="s">
        <v>41</v>
      </c>
      <c r="F74" s="475"/>
      <c r="G74" s="17">
        <f>'HH WITH COM #1 '!$W$71</f>
        <v>0</v>
      </c>
      <c r="H74" s="17">
        <f>'HH WITH COM #1 '!$X$71</f>
        <v>0</v>
      </c>
      <c r="I74" s="116">
        <f>SUM(G74:H74)</f>
        <v>0</v>
      </c>
      <c r="J74" s="91">
        <f t="shared" si="114"/>
        <v>0</v>
      </c>
      <c r="K74" s="17">
        <f>'HH WITH COM #2'!$W$71</f>
        <v>0</v>
      </c>
      <c r="L74" s="17">
        <f>'HH WITH COM #2'!$X$71</f>
        <v>0</v>
      </c>
      <c r="M74" s="116">
        <f>SUM(K74:L74)</f>
        <v>0</v>
      </c>
      <c r="N74" s="91">
        <f t="shared" si="115"/>
        <v>0</v>
      </c>
      <c r="O74" s="17">
        <f>'HH WITH COM #3'!$W$71</f>
        <v>0</v>
      </c>
      <c r="P74" s="17">
        <f>'HH WITH COM #3'!$X$71</f>
        <v>0</v>
      </c>
      <c r="Q74" s="116">
        <f>SUM(O74:P74)</f>
        <v>0</v>
      </c>
      <c r="R74" s="91">
        <f t="shared" si="116"/>
        <v>0</v>
      </c>
      <c r="S74" s="17">
        <f>'HH WITH COM #4'!$W$71</f>
        <v>0</v>
      </c>
      <c r="T74" s="17">
        <f>'HH WITH COM #4'!$X$71</f>
        <v>0</v>
      </c>
      <c r="U74" s="116">
        <f>SUM(S74:T74)</f>
        <v>0</v>
      </c>
      <c r="V74" s="91">
        <f t="shared" si="117"/>
        <v>0</v>
      </c>
      <c r="W74" s="17">
        <f>'HH WITH COM #5'!$W$71</f>
        <v>0</v>
      </c>
      <c r="X74" s="17">
        <f>'HH WITH COM #5'!$X$71</f>
        <v>0</v>
      </c>
      <c r="Y74" s="116">
        <f>SUM(W74:X74)</f>
        <v>0</v>
      </c>
      <c r="Z74" s="91">
        <f t="shared" si="118"/>
        <v>0</v>
      </c>
      <c r="AA74" s="17">
        <f>'HH WITH COM #6'!$W$71</f>
        <v>0</v>
      </c>
      <c r="AB74" s="17">
        <f>'HH WITH COM #6'!$X$71</f>
        <v>0</v>
      </c>
      <c r="AC74" s="116">
        <f>SUM(AA74:AB74)</f>
        <v>0</v>
      </c>
      <c r="AD74" s="91">
        <f t="shared" si="119"/>
        <v>0</v>
      </c>
      <c r="AE74" s="17">
        <f>'HH WITH COM #7'!$W$71</f>
        <v>0</v>
      </c>
      <c r="AF74" s="17">
        <f>'HH WITH COM #7'!$X$71</f>
        <v>0</v>
      </c>
      <c r="AG74" s="116">
        <f>SUM(AE74:AF74)</f>
        <v>0</v>
      </c>
      <c r="AH74" s="373">
        <f t="shared" si="120"/>
        <v>0</v>
      </c>
      <c r="AI74" s="391">
        <f t="shared" si="121"/>
        <v>0</v>
      </c>
      <c r="AJ74" s="17">
        <f t="shared" si="122"/>
        <v>0</v>
      </c>
      <c r="AK74" s="539">
        <f>SUM(AI74:AJ74)</f>
        <v>0</v>
      </c>
      <c r="AL74" s="91">
        <f t="shared" si="123"/>
        <v>0</v>
      </c>
    </row>
    <row r="75" spans="1:38" s="117" customFormat="1" ht="16.5" customHeight="1" x14ac:dyDescent="0.25">
      <c r="A75" s="119"/>
      <c r="B75" s="119"/>
      <c r="C75" s="118"/>
      <c r="D75" s="474" t="s">
        <v>398</v>
      </c>
      <c r="E75" s="475" t="s">
        <v>42</v>
      </c>
      <c r="F75" s="475"/>
      <c r="G75" s="17">
        <f>'HH WITH COM #1 '!$W$72</f>
        <v>0</v>
      </c>
      <c r="H75" s="17">
        <f>'HH WITH COM #1 '!$X$72</f>
        <v>0</v>
      </c>
      <c r="I75" s="116">
        <f>SUM(G75:H75)</f>
        <v>0</v>
      </c>
      <c r="J75" s="91">
        <f t="shared" si="114"/>
        <v>0</v>
      </c>
      <c r="K75" s="17">
        <f>'HH WITH COM #2'!$W$72</f>
        <v>0</v>
      </c>
      <c r="L75" s="17">
        <f>'HH WITH COM #2'!$X$72</f>
        <v>0</v>
      </c>
      <c r="M75" s="116">
        <f>SUM(K75:L75)</f>
        <v>0</v>
      </c>
      <c r="N75" s="91">
        <f t="shared" si="115"/>
        <v>0</v>
      </c>
      <c r="O75" s="17">
        <f>'HH WITH COM #3'!$W$72</f>
        <v>0</v>
      </c>
      <c r="P75" s="17">
        <f>'HH WITH COM #3'!$X$72</f>
        <v>0</v>
      </c>
      <c r="Q75" s="116">
        <f>SUM(O75:P75)</f>
        <v>0</v>
      </c>
      <c r="R75" s="91">
        <f t="shared" si="116"/>
        <v>0</v>
      </c>
      <c r="S75" s="17">
        <f>'HH WITH COM #4'!$W$72</f>
        <v>0</v>
      </c>
      <c r="T75" s="17">
        <f>'HH WITH COM #4'!$X$72</f>
        <v>0</v>
      </c>
      <c r="U75" s="116">
        <f>SUM(S75:T75)</f>
        <v>0</v>
      </c>
      <c r="V75" s="91">
        <f t="shared" si="117"/>
        <v>0</v>
      </c>
      <c r="W75" s="17">
        <f>'HH WITH COM #5'!$W$72</f>
        <v>0</v>
      </c>
      <c r="X75" s="17">
        <f>'HH WITH COM #5'!$X$72</f>
        <v>0</v>
      </c>
      <c r="Y75" s="116">
        <f>SUM(W75:X75)</f>
        <v>0</v>
      </c>
      <c r="Z75" s="91">
        <f t="shared" si="118"/>
        <v>0</v>
      </c>
      <c r="AA75" s="17">
        <f>'HH WITH COM #6'!$W$72</f>
        <v>0</v>
      </c>
      <c r="AB75" s="17">
        <f>'HH WITH COM #6'!$X$72</f>
        <v>0</v>
      </c>
      <c r="AC75" s="116">
        <f>SUM(AA75:AB75)</f>
        <v>0</v>
      </c>
      <c r="AD75" s="91">
        <f t="shared" si="119"/>
        <v>0</v>
      </c>
      <c r="AE75" s="17">
        <f>'HH WITH COM #7'!$W$72</f>
        <v>0</v>
      </c>
      <c r="AF75" s="17">
        <f>'HH WITH COM #7'!$X$72</f>
        <v>0</v>
      </c>
      <c r="AG75" s="116">
        <f>SUM(AE75:AF75)</f>
        <v>0</v>
      </c>
      <c r="AH75" s="373">
        <f t="shared" si="120"/>
        <v>0</v>
      </c>
      <c r="AI75" s="391">
        <f t="shared" si="121"/>
        <v>0</v>
      </c>
      <c r="AJ75" s="17">
        <f t="shared" si="122"/>
        <v>0</v>
      </c>
      <c r="AK75" s="539">
        <f>SUM(AI75:AJ75)</f>
        <v>0</v>
      </c>
      <c r="AL75" s="91">
        <f t="shared" si="123"/>
        <v>0</v>
      </c>
    </row>
    <row r="76" spans="1:38" s="117" customFormat="1" ht="16.5" customHeight="1" x14ac:dyDescent="0.25">
      <c r="A76" s="119"/>
      <c r="B76" s="119"/>
      <c r="C76" s="119"/>
      <c r="D76" s="185"/>
      <c r="E76" s="184"/>
      <c r="F76" s="469"/>
      <c r="G76" s="82">
        <f>SUM(G71:G75)</f>
        <v>7</v>
      </c>
      <c r="H76" s="82">
        <f>SUM(H71:H75)</f>
        <v>8</v>
      </c>
      <c r="I76" s="82">
        <f>SUM(I71:I75)</f>
        <v>15</v>
      </c>
      <c r="J76" s="66">
        <f t="shared" si="114"/>
        <v>1</v>
      </c>
      <c r="K76" s="82">
        <f>SUM(K71:K75)</f>
        <v>4</v>
      </c>
      <c r="L76" s="82">
        <f>SUM(L71:L75)</f>
        <v>10</v>
      </c>
      <c r="M76" s="82">
        <f>SUM(M71:M75)</f>
        <v>14</v>
      </c>
      <c r="N76" s="66">
        <f t="shared" si="115"/>
        <v>1</v>
      </c>
      <c r="O76" s="82">
        <f>SUM(O71:O75)</f>
        <v>0</v>
      </c>
      <c r="P76" s="82">
        <f>SUM(P71:P75)</f>
        <v>9</v>
      </c>
      <c r="Q76" s="82">
        <f>SUM(Q71:Q75)</f>
        <v>9</v>
      </c>
      <c r="R76" s="66">
        <f t="shared" si="116"/>
        <v>1</v>
      </c>
      <c r="S76" s="82">
        <f>SUM(S71:S75)</f>
        <v>1</v>
      </c>
      <c r="T76" s="82">
        <f>SUM(T71:T75)</f>
        <v>15</v>
      </c>
      <c r="U76" s="82">
        <f>SUM(U71:U75)</f>
        <v>16</v>
      </c>
      <c r="V76" s="66">
        <f t="shared" si="117"/>
        <v>1</v>
      </c>
      <c r="W76" s="82">
        <f>SUM(W71:W75)</f>
        <v>2</v>
      </c>
      <c r="X76" s="82">
        <f>SUM(X71:X75)</f>
        <v>19</v>
      </c>
      <c r="Y76" s="82">
        <f>SUM(Y71:Y75)</f>
        <v>21</v>
      </c>
      <c r="Z76" s="66">
        <f t="shared" si="118"/>
        <v>1</v>
      </c>
      <c r="AA76" s="82">
        <f>SUM(AA71:AA75)</f>
        <v>3</v>
      </c>
      <c r="AB76" s="82">
        <f>SUM(AB71:AB75)</f>
        <v>12</v>
      </c>
      <c r="AC76" s="82">
        <f>SUM(AC71:AC75)</f>
        <v>15</v>
      </c>
      <c r="AD76" s="66">
        <f t="shared" si="119"/>
        <v>1</v>
      </c>
      <c r="AE76" s="82">
        <f>SUM(AE71:AE75)</f>
        <v>0</v>
      </c>
      <c r="AF76" s="82">
        <f>SUM(AF71:AF75)</f>
        <v>0</v>
      </c>
      <c r="AG76" s="82">
        <f>SUM(AG71:AG75)</f>
        <v>0</v>
      </c>
      <c r="AH76" s="608">
        <f t="shared" si="120"/>
        <v>0</v>
      </c>
      <c r="AI76" s="381">
        <f>SUM(AI71:AI75)</f>
        <v>17</v>
      </c>
      <c r="AJ76" s="82">
        <f>SUM(AJ71:AJ75)</f>
        <v>73</v>
      </c>
      <c r="AK76" s="82">
        <f>SUM(AK71:AK75)</f>
        <v>90</v>
      </c>
      <c r="AL76" s="66">
        <f t="shared" si="123"/>
        <v>1</v>
      </c>
    </row>
    <row r="77" spans="1:38" s="117" customFormat="1" ht="16.5" customHeight="1" x14ac:dyDescent="0.25">
      <c r="A77" s="119"/>
      <c r="B77" s="41" t="s">
        <v>43</v>
      </c>
      <c r="C77" s="476" t="s">
        <v>44</v>
      </c>
      <c r="D77" s="477"/>
      <c r="E77" s="478"/>
      <c r="F77" s="478"/>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355"/>
      <c r="AI77" s="377"/>
      <c r="AJ77" s="71"/>
      <c r="AK77" s="71"/>
      <c r="AL77" s="71"/>
    </row>
    <row r="78" spans="1:38" s="117" customFormat="1" ht="16.5" customHeight="1" x14ac:dyDescent="0.25">
      <c r="A78" s="119"/>
      <c r="B78" s="102"/>
      <c r="C78" s="103" t="s">
        <v>45</v>
      </c>
      <c r="D78" s="108" t="s">
        <v>46</v>
      </c>
      <c r="E78" s="108"/>
      <c r="F78" s="108"/>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c r="AD78" s="111"/>
      <c r="AE78" s="111"/>
      <c r="AF78" s="111"/>
      <c r="AG78" s="111"/>
      <c r="AH78" s="358"/>
      <c r="AI78" s="380"/>
      <c r="AJ78" s="111"/>
      <c r="AK78" s="111"/>
      <c r="AL78" s="111"/>
    </row>
    <row r="79" spans="1:38" s="117" customFormat="1" ht="16.5" customHeight="1" x14ac:dyDescent="0.25">
      <c r="A79" s="119"/>
      <c r="B79" s="102"/>
      <c r="C79" s="102"/>
      <c r="D79" s="474" t="s">
        <v>47</v>
      </c>
      <c r="E79" s="475" t="s">
        <v>35</v>
      </c>
      <c r="F79" s="475"/>
      <c r="G79" s="17"/>
      <c r="H79" s="17"/>
      <c r="I79" s="116">
        <f>'HH WITH COM #1 '!$Y$77</f>
        <v>2</v>
      </c>
      <c r="J79" s="91">
        <f>IF(I$83=0,0,I79/I$83)</f>
        <v>1</v>
      </c>
      <c r="K79" s="17"/>
      <c r="L79" s="17"/>
      <c r="M79" s="116">
        <f>'HH WITH COM #2'!$Y$77</f>
        <v>2</v>
      </c>
      <c r="N79" s="91">
        <f>IF(M$83=0,0,M79/M$83)</f>
        <v>1</v>
      </c>
      <c r="O79" s="17"/>
      <c r="P79" s="17"/>
      <c r="Q79" s="116">
        <f>'HH WITH COM #3'!$Y$77</f>
        <v>1</v>
      </c>
      <c r="R79" s="91">
        <f>IF(Q$83=0,0,Q79/Q$83)</f>
        <v>1</v>
      </c>
      <c r="S79" s="17"/>
      <c r="T79" s="17"/>
      <c r="U79" s="116">
        <f>'HH WITH COM #4'!$Y$77</f>
        <v>2</v>
      </c>
      <c r="V79" s="91">
        <f>IF(U$83=0,0,U79/U$83)</f>
        <v>1</v>
      </c>
      <c r="W79" s="17"/>
      <c r="X79" s="17"/>
      <c r="Y79" s="116">
        <f>'HH WITH COM #5'!$Y$77</f>
        <v>3</v>
      </c>
      <c r="Z79" s="91">
        <f>IF(Y$83=0,0,Y79/Y$83)</f>
        <v>1</v>
      </c>
      <c r="AA79" s="17"/>
      <c r="AB79" s="17"/>
      <c r="AC79" s="116">
        <f>'HH WITH COM #6'!$Y$77</f>
        <v>2</v>
      </c>
      <c r="AD79" s="91">
        <f>IF(AC$83=0,0,AC79/AC$83)</f>
        <v>1</v>
      </c>
      <c r="AE79" s="17"/>
      <c r="AF79" s="17"/>
      <c r="AG79" s="116">
        <f>'HH WITH COM #7'!$Y$77</f>
        <v>0</v>
      </c>
      <c r="AH79" s="373">
        <f>IF(AG$83=0,0,AG79/AG$83)</f>
        <v>0</v>
      </c>
      <c r="AI79" s="391"/>
      <c r="AJ79" s="17"/>
      <c r="AK79" s="539">
        <f t="shared" ref="AK79:AK82" si="124">I79+M79+Q79+U79+Y79+AC79+AG79</f>
        <v>12</v>
      </c>
      <c r="AL79" s="91">
        <f>IF(AK$83=0,0,AK79/AK$83)</f>
        <v>1</v>
      </c>
    </row>
    <row r="80" spans="1:38" s="117" customFormat="1" ht="16.5" customHeight="1" x14ac:dyDescent="0.25">
      <c r="A80" s="119"/>
      <c r="B80" s="102"/>
      <c r="C80" s="102"/>
      <c r="D80" s="474" t="s">
        <v>48</v>
      </c>
      <c r="E80" s="475" t="s">
        <v>49</v>
      </c>
      <c r="F80" s="475"/>
      <c r="G80" s="17"/>
      <c r="H80" s="17"/>
      <c r="I80" s="116">
        <f>'HH WITH COM #1 '!$Y$78</f>
        <v>0</v>
      </c>
      <c r="J80" s="91">
        <f>IF(I$83=0,0,I80/I$83)</f>
        <v>0</v>
      </c>
      <c r="K80" s="17"/>
      <c r="L80" s="17"/>
      <c r="M80" s="116">
        <f>'HH WITH COM #2'!$Y$78</f>
        <v>0</v>
      </c>
      <c r="N80" s="91">
        <f>IF(M$83=0,0,M80/M$83)</f>
        <v>0</v>
      </c>
      <c r="O80" s="17"/>
      <c r="P80" s="17"/>
      <c r="Q80" s="116">
        <f>'HH WITH COM #3'!$Y$78</f>
        <v>0</v>
      </c>
      <c r="R80" s="91">
        <f>IF(Q$83=0,0,Q80/Q$83)</f>
        <v>0</v>
      </c>
      <c r="S80" s="17"/>
      <c r="T80" s="17"/>
      <c r="U80" s="116">
        <f>'HH WITH COM #4'!$Y$78</f>
        <v>0</v>
      </c>
      <c r="V80" s="91">
        <f>IF(U$83=0,0,U80/U$83)</f>
        <v>0</v>
      </c>
      <c r="W80" s="17"/>
      <c r="X80" s="17"/>
      <c r="Y80" s="116">
        <f>'HH WITH COM #5'!$Y$78</f>
        <v>0</v>
      </c>
      <c r="Z80" s="91">
        <f>IF(Y$83=0,0,Y80/Y$83)</f>
        <v>0</v>
      </c>
      <c r="AA80" s="17"/>
      <c r="AB80" s="17"/>
      <c r="AC80" s="116">
        <f>'HH WITH COM #6'!$Y$78</f>
        <v>0</v>
      </c>
      <c r="AD80" s="91">
        <f>IF(AC$83=0,0,AC80/AC$83)</f>
        <v>0</v>
      </c>
      <c r="AE80" s="17"/>
      <c r="AF80" s="17"/>
      <c r="AG80" s="116">
        <f>'HH WITH COM #7'!$Y$78</f>
        <v>0</v>
      </c>
      <c r="AH80" s="373">
        <f>IF(AG$83=0,0,AG80/AG$83)</f>
        <v>0</v>
      </c>
      <c r="AI80" s="391"/>
      <c r="AJ80" s="17"/>
      <c r="AK80" s="539">
        <f t="shared" si="124"/>
        <v>0</v>
      </c>
      <c r="AL80" s="91">
        <f>IF(AK$83=0,0,AK80/AK$83)</f>
        <v>0</v>
      </c>
    </row>
    <row r="81" spans="1:38" s="117" customFormat="1" ht="16.5" customHeight="1" x14ac:dyDescent="0.25">
      <c r="A81" s="119"/>
      <c r="B81" s="102"/>
      <c r="C81" s="102"/>
      <c r="D81" s="474" t="s">
        <v>50</v>
      </c>
      <c r="E81" s="475" t="s">
        <v>51</v>
      </c>
      <c r="F81" s="475"/>
      <c r="G81" s="17"/>
      <c r="H81" s="17"/>
      <c r="I81" s="116">
        <f>'HH WITH COM #1 '!$Y$79</f>
        <v>0</v>
      </c>
      <c r="J81" s="91">
        <f>IF(I$83=0,0,I81/I$83)</f>
        <v>0</v>
      </c>
      <c r="K81" s="17"/>
      <c r="L81" s="17"/>
      <c r="M81" s="116">
        <f>'HH WITH COM #2'!$Y$79</f>
        <v>0</v>
      </c>
      <c r="N81" s="91">
        <f>IF(M$83=0,0,M81/M$83)</f>
        <v>0</v>
      </c>
      <c r="O81" s="17"/>
      <c r="P81" s="17"/>
      <c r="Q81" s="116">
        <f>'HH WITH COM #3'!$Y$79</f>
        <v>0</v>
      </c>
      <c r="R81" s="91">
        <f>IF(Q$83=0,0,Q81/Q$83)</f>
        <v>0</v>
      </c>
      <c r="S81" s="17"/>
      <c r="T81" s="17"/>
      <c r="U81" s="116">
        <f>'HH WITH COM #4'!$Y$79</f>
        <v>0</v>
      </c>
      <c r="V81" s="91">
        <f>IF(U$83=0,0,U81/U$83)</f>
        <v>0</v>
      </c>
      <c r="W81" s="17"/>
      <c r="X81" s="17"/>
      <c r="Y81" s="116">
        <f>'HH WITH COM #5'!$Y$79</f>
        <v>0</v>
      </c>
      <c r="Z81" s="91">
        <f>IF(Y$83=0,0,Y81/Y$83)</f>
        <v>0</v>
      </c>
      <c r="AA81" s="17"/>
      <c r="AB81" s="17"/>
      <c r="AC81" s="116">
        <f>'HH WITH COM #6'!$Y$79</f>
        <v>0</v>
      </c>
      <c r="AD81" s="91">
        <f>IF(AC$83=0,0,AC81/AC$83)</f>
        <v>0</v>
      </c>
      <c r="AE81" s="17"/>
      <c r="AF81" s="17"/>
      <c r="AG81" s="116">
        <f>'HH WITH COM #7'!$Y$79</f>
        <v>0</v>
      </c>
      <c r="AH81" s="373">
        <f>IF(AG$83=0,0,AG81/AG$83)</f>
        <v>0</v>
      </c>
      <c r="AI81" s="391"/>
      <c r="AJ81" s="17"/>
      <c r="AK81" s="539">
        <f t="shared" si="124"/>
        <v>0</v>
      </c>
      <c r="AL81" s="91">
        <f>IF(AK$83=0,0,AK81/AK$83)</f>
        <v>0</v>
      </c>
    </row>
    <row r="82" spans="1:38" s="117" customFormat="1" ht="16.5" customHeight="1" x14ac:dyDescent="0.25">
      <c r="A82" s="119"/>
      <c r="B82" s="102"/>
      <c r="C82" s="102"/>
      <c r="D82" s="474" t="s">
        <v>52</v>
      </c>
      <c r="E82" s="475" t="s">
        <v>53</v>
      </c>
      <c r="F82" s="475"/>
      <c r="G82" s="17"/>
      <c r="H82" s="17"/>
      <c r="I82" s="116">
        <f>'HH WITH COM #1 '!$Y$80</f>
        <v>0</v>
      </c>
      <c r="J82" s="91">
        <f>IF(I$83=0,0,I82/I$83)</f>
        <v>0</v>
      </c>
      <c r="K82" s="17"/>
      <c r="L82" s="17"/>
      <c r="M82" s="116">
        <f>'HH WITH COM #2'!$Y$80</f>
        <v>0</v>
      </c>
      <c r="N82" s="91">
        <f>IF(M$83=0,0,M82/M$83)</f>
        <v>0</v>
      </c>
      <c r="O82" s="17"/>
      <c r="P82" s="17"/>
      <c r="Q82" s="116">
        <f>'HH WITH COM #3'!$Y$80</f>
        <v>0</v>
      </c>
      <c r="R82" s="91">
        <f>IF(Q$83=0,0,Q82/Q$83)</f>
        <v>0</v>
      </c>
      <c r="S82" s="17"/>
      <c r="T82" s="17"/>
      <c r="U82" s="116">
        <f>'HH WITH COM #4'!$Y$80</f>
        <v>0</v>
      </c>
      <c r="V82" s="91">
        <f>IF(U$83=0,0,U82/U$83)</f>
        <v>0</v>
      </c>
      <c r="W82" s="17"/>
      <c r="X82" s="17"/>
      <c r="Y82" s="116">
        <f>'HH WITH COM #5'!$Y$80</f>
        <v>0</v>
      </c>
      <c r="Z82" s="91">
        <f>IF(Y$83=0,0,Y82/Y$83)</f>
        <v>0</v>
      </c>
      <c r="AA82" s="17"/>
      <c r="AB82" s="17"/>
      <c r="AC82" s="116">
        <f>'HH WITH COM #6'!$Y$80</f>
        <v>0</v>
      </c>
      <c r="AD82" s="91">
        <f>IF(AC$83=0,0,AC82/AC$83)</f>
        <v>0</v>
      </c>
      <c r="AE82" s="17"/>
      <c r="AF82" s="17"/>
      <c r="AG82" s="116">
        <f>'HH WITH COM #7'!$Y$80</f>
        <v>0</v>
      </c>
      <c r="AH82" s="373">
        <f>IF(AG$83=0,0,AG82/AG$83)</f>
        <v>0</v>
      </c>
      <c r="AI82" s="391"/>
      <c r="AJ82" s="17"/>
      <c r="AK82" s="539">
        <f t="shared" si="124"/>
        <v>0</v>
      </c>
      <c r="AL82" s="91">
        <f>IF(AK$83=0,0,AK82/AK$83)</f>
        <v>0</v>
      </c>
    </row>
    <row r="83" spans="1:38" s="117" customFormat="1" ht="16.5" customHeight="1" x14ac:dyDescent="0.25">
      <c r="A83" s="119"/>
      <c r="B83" s="40"/>
      <c r="C83" s="40"/>
      <c r="D83" s="479"/>
      <c r="E83" s="78"/>
      <c r="F83" s="79"/>
      <c r="G83" s="82"/>
      <c r="H83" s="82"/>
      <c r="I83" s="82">
        <f>SUM(I79:I82)</f>
        <v>2</v>
      </c>
      <c r="J83" s="66">
        <f>IF(I$83=0,0,I83/I$83)</f>
        <v>1</v>
      </c>
      <c r="K83" s="82"/>
      <c r="L83" s="82"/>
      <c r="M83" s="82">
        <f>SUM(M79:M82)</f>
        <v>2</v>
      </c>
      <c r="N83" s="66">
        <f>IF(M$83=0,0,M83/M$83)</f>
        <v>1</v>
      </c>
      <c r="O83" s="82"/>
      <c r="P83" s="82"/>
      <c r="Q83" s="82">
        <f>SUM(Q79:Q82)</f>
        <v>1</v>
      </c>
      <c r="R83" s="66">
        <f>IF(Q$83=0,0,Q83/Q$83)</f>
        <v>1</v>
      </c>
      <c r="S83" s="82"/>
      <c r="T83" s="82"/>
      <c r="U83" s="82">
        <f>SUM(U79:U82)</f>
        <v>2</v>
      </c>
      <c r="V83" s="66">
        <f>IF(U$83=0,0,U83/U$83)</f>
        <v>1</v>
      </c>
      <c r="W83" s="82"/>
      <c r="X83" s="82"/>
      <c r="Y83" s="82">
        <f>SUM(Y79:Y82)</f>
        <v>3</v>
      </c>
      <c r="Z83" s="66">
        <f>IF(Y$83=0,0,Y83/Y$83)</f>
        <v>1</v>
      </c>
      <c r="AA83" s="82"/>
      <c r="AB83" s="82"/>
      <c r="AC83" s="82">
        <f>SUM(AC79:AC82)</f>
        <v>2</v>
      </c>
      <c r="AD83" s="66">
        <f>IF(AC$83=0,0,AC83/AC$83)</f>
        <v>1</v>
      </c>
      <c r="AE83" s="82"/>
      <c r="AF83" s="82"/>
      <c r="AG83" s="82">
        <f>SUM(AG79:AG82)</f>
        <v>0</v>
      </c>
      <c r="AH83" s="608">
        <f>IF(AG$83=0,0,AG83/AG$83)</f>
        <v>0</v>
      </c>
      <c r="AI83" s="381"/>
      <c r="AJ83" s="82"/>
      <c r="AK83" s="82">
        <f>SUM(AK79:AK82)</f>
        <v>12</v>
      </c>
      <c r="AL83" s="66">
        <f>IF(AK$83=0,0,AK83/AK$83)</f>
        <v>1</v>
      </c>
    </row>
    <row r="84" spans="1:38" s="117" customFormat="1" ht="16.5" customHeight="1" x14ac:dyDescent="0.25">
      <c r="A84" s="119"/>
      <c r="B84" s="102"/>
      <c r="C84" s="103" t="s">
        <v>54</v>
      </c>
      <c r="D84" s="108" t="s">
        <v>55</v>
      </c>
      <c r="E84" s="108"/>
      <c r="F84" s="108"/>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c r="AD84" s="111"/>
      <c r="AE84" s="111"/>
      <c r="AF84" s="111"/>
      <c r="AG84" s="111"/>
      <c r="AH84" s="358"/>
      <c r="AI84" s="380"/>
      <c r="AJ84" s="111"/>
      <c r="AK84" s="545"/>
      <c r="AL84" s="111"/>
    </row>
    <row r="85" spans="1:38" s="117" customFormat="1" ht="16.5" customHeight="1" x14ac:dyDescent="0.25">
      <c r="A85" s="119"/>
      <c r="B85" s="118"/>
      <c r="C85" s="118"/>
      <c r="D85" s="474" t="s">
        <v>56</v>
      </c>
      <c r="E85" s="475" t="s">
        <v>35</v>
      </c>
      <c r="F85" s="475"/>
      <c r="G85" s="17"/>
      <c r="H85" s="17"/>
      <c r="I85" s="116">
        <f>'HH WITH COM #1 '!$Y$764</f>
        <v>0</v>
      </c>
      <c r="J85" s="91">
        <f>IF(I$89=0,0,I85/I$89)</f>
        <v>0</v>
      </c>
      <c r="K85" s="17"/>
      <c r="L85" s="17"/>
      <c r="M85" s="116">
        <f>'HH WITH COM #2'!$Y$764</f>
        <v>0</v>
      </c>
      <c r="N85" s="91">
        <f>IF(M$89=0,0,M85/M$89)</f>
        <v>0</v>
      </c>
      <c r="O85" s="17"/>
      <c r="P85" s="17"/>
      <c r="Q85" s="116">
        <f>'HH WITH COM #3'!$Y$764</f>
        <v>0</v>
      </c>
      <c r="R85" s="91">
        <f>IF(Q$89=0,0,Q85/Q$89)</f>
        <v>0</v>
      </c>
      <c r="S85" s="17"/>
      <c r="T85" s="17"/>
      <c r="U85" s="116">
        <f>'HH WITH COM #4'!$Y$764</f>
        <v>0</v>
      </c>
      <c r="V85" s="91">
        <f>IF(U$89=0,0,U85/U$89)</f>
        <v>0</v>
      </c>
      <c r="W85" s="17"/>
      <c r="X85" s="17"/>
      <c r="Y85" s="116">
        <f>'HH WITH COM #5'!$Y$764</f>
        <v>0</v>
      </c>
      <c r="Z85" s="91">
        <f>IF(Y$89=0,0,Y85/Y$89)</f>
        <v>0</v>
      </c>
      <c r="AA85" s="17"/>
      <c r="AB85" s="17"/>
      <c r="AC85" s="116">
        <f>'HH WITH COM #6'!$Y$764</f>
        <v>0</v>
      </c>
      <c r="AD85" s="91">
        <f>IF(AC$89=0,0,AC85/AC$89)</f>
        <v>0</v>
      </c>
      <c r="AE85" s="17"/>
      <c r="AF85" s="17"/>
      <c r="AG85" s="116">
        <f>'HH WITH COM #7'!$Y$764</f>
        <v>0</v>
      </c>
      <c r="AH85" s="373">
        <f>IF(AG$89=0,0,AG85/AG$89)</f>
        <v>0</v>
      </c>
      <c r="AI85" s="391"/>
      <c r="AJ85" s="17"/>
      <c r="AK85" s="539">
        <f t="shared" ref="AK85:AK88" si="125">I85+M85+Q85+U85+Y85+AC85+AG85</f>
        <v>0</v>
      </c>
      <c r="AL85" s="91">
        <f>IF(AK$89=0,0,AK85/AK$89)</f>
        <v>0</v>
      </c>
    </row>
    <row r="86" spans="1:38" s="117" customFormat="1" ht="16.5" customHeight="1" x14ac:dyDescent="0.25">
      <c r="A86" s="119"/>
      <c r="B86" s="118"/>
      <c r="C86" s="118"/>
      <c r="D86" s="474" t="s">
        <v>57</v>
      </c>
      <c r="E86" s="475" t="s">
        <v>58</v>
      </c>
      <c r="F86" s="475"/>
      <c r="G86" s="17"/>
      <c r="H86" s="17"/>
      <c r="I86" s="116">
        <f>'HH WITH COM #1 '!$Y$85</f>
        <v>0</v>
      </c>
      <c r="J86" s="91">
        <f>IF(I$89=0,0,I86/I$89)</f>
        <v>0</v>
      </c>
      <c r="K86" s="17"/>
      <c r="L86" s="17"/>
      <c r="M86" s="116">
        <f>'HH WITH COM #2'!$Y$85</f>
        <v>0</v>
      </c>
      <c r="N86" s="91">
        <f>IF(M$89=0,0,M86/M$89)</f>
        <v>0</v>
      </c>
      <c r="O86" s="17"/>
      <c r="P86" s="17"/>
      <c r="Q86" s="116">
        <f>'HH WITH COM #3'!$Y$85</f>
        <v>0</v>
      </c>
      <c r="R86" s="91">
        <f>IF(Q$89=0,0,Q86/Q$89)</f>
        <v>0</v>
      </c>
      <c r="S86" s="17"/>
      <c r="T86" s="17"/>
      <c r="U86" s="116">
        <f>'HH WITH COM #4'!$Y$85</f>
        <v>0</v>
      </c>
      <c r="V86" s="91">
        <f>IF(U$89=0,0,U86/U$89)</f>
        <v>0</v>
      </c>
      <c r="W86" s="17"/>
      <c r="X86" s="17"/>
      <c r="Y86" s="116">
        <f>'HH WITH COM #5'!$Y$85</f>
        <v>0</v>
      </c>
      <c r="Z86" s="91">
        <f>IF(Y$89=0,0,Y86/Y$89)</f>
        <v>0</v>
      </c>
      <c r="AA86" s="17"/>
      <c r="AB86" s="17"/>
      <c r="AC86" s="116">
        <f>'HH WITH COM #6'!$Y$85</f>
        <v>0</v>
      </c>
      <c r="AD86" s="91">
        <f>IF(AC$89=0,0,AC86/AC$89)</f>
        <v>0</v>
      </c>
      <c r="AE86" s="17"/>
      <c r="AF86" s="17"/>
      <c r="AG86" s="116">
        <f>'HH WITH COM #7'!$Y$85</f>
        <v>0</v>
      </c>
      <c r="AH86" s="373">
        <f>IF(AG$89=0,0,AG86/AG$89)</f>
        <v>0</v>
      </c>
      <c r="AI86" s="391"/>
      <c r="AJ86" s="17"/>
      <c r="AK86" s="539">
        <f t="shared" si="125"/>
        <v>0</v>
      </c>
      <c r="AL86" s="91">
        <f>IF(AK$89=0,0,AK86/AK$89)</f>
        <v>0</v>
      </c>
    </row>
    <row r="87" spans="1:38" s="117" customFormat="1" ht="16.5" customHeight="1" x14ac:dyDescent="0.25">
      <c r="A87" s="119"/>
      <c r="B87" s="118"/>
      <c r="C87" s="118"/>
      <c r="D87" s="474" t="s">
        <v>59</v>
      </c>
      <c r="E87" s="475" t="s">
        <v>60</v>
      </c>
      <c r="F87" s="475"/>
      <c r="G87" s="17"/>
      <c r="H87" s="17"/>
      <c r="I87" s="116">
        <f>'HH WITH COM #1 '!$Y$86</f>
        <v>0</v>
      </c>
      <c r="J87" s="91">
        <f>IF(I$89=0,0,I87/I$89)</f>
        <v>0</v>
      </c>
      <c r="K87" s="17"/>
      <c r="L87" s="17"/>
      <c r="M87" s="116">
        <f>'HH WITH COM #2'!$Y$86</f>
        <v>0</v>
      </c>
      <c r="N87" s="91">
        <f>IF(M$89=0,0,M87/M$89)</f>
        <v>0</v>
      </c>
      <c r="O87" s="17"/>
      <c r="P87" s="17"/>
      <c r="Q87" s="116">
        <f>'HH WITH COM #3'!$Y$86</f>
        <v>0</v>
      </c>
      <c r="R87" s="91">
        <f>IF(Q$89=0,0,Q87/Q$89)</f>
        <v>0</v>
      </c>
      <c r="S87" s="17"/>
      <c r="T87" s="17"/>
      <c r="U87" s="116">
        <f>'HH WITH COM #4'!$Y$86</f>
        <v>0</v>
      </c>
      <c r="V87" s="91">
        <f>IF(U$89=0,0,U87/U$89)</f>
        <v>0</v>
      </c>
      <c r="W87" s="17"/>
      <c r="X87" s="17"/>
      <c r="Y87" s="116">
        <f>'HH WITH COM #5'!$Y$86</f>
        <v>0</v>
      </c>
      <c r="Z87" s="91">
        <f>IF(Y$89=0,0,Y87/Y$89)</f>
        <v>0</v>
      </c>
      <c r="AA87" s="17"/>
      <c r="AB87" s="17"/>
      <c r="AC87" s="116">
        <f>'HH WITH COM #6'!$Y$86</f>
        <v>0</v>
      </c>
      <c r="AD87" s="91">
        <f>IF(AC$89=0,0,AC87/AC$89)</f>
        <v>0</v>
      </c>
      <c r="AE87" s="17"/>
      <c r="AF87" s="17"/>
      <c r="AG87" s="116">
        <f>'HH WITH COM #7'!$Y$86</f>
        <v>0</v>
      </c>
      <c r="AH87" s="373">
        <f>IF(AG$89=0,0,AG87/AG$89)</f>
        <v>0</v>
      </c>
      <c r="AI87" s="391"/>
      <c r="AJ87" s="17"/>
      <c r="AK87" s="539">
        <f t="shared" si="125"/>
        <v>0</v>
      </c>
      <c r="AL87" s="91">
        <f>IF(AK$89=0,0,AK87/AK$89)</f>
        <v>0</v>
      </c>
    </row>
    <row r="88" spans="1:38" s="117" customFormat="1" ht="16.5" customHeight="1" x14ac:dyDescent="0.25">
      <c r="A88" s="119"/>
      <c r="B88" s="118"/>
      <c r="C88" s="118"/>
      <c r="D88" s="474" t="s">
        <v>61</v>
      </c>
      <c r="E88" s="475" t="s">
        <v>62</v>
      </c>
      <c r="F88" s="475"/>
      <c r="G88" s="17"/>
      <c r="H88" s="17"/>
      <c r="I88" s="116">
        <f>'HH WITH COM #1 '!$Y$87</f>
        <v>0</v>
      </c>
      <c r="J88" s="91">
        <f>IF(I$89=0,0,I88/I$89)</f>
        <v>0</v>
      </c>
      <c r="K88" s="17"/>
      <c r="L88" s="17"/>
      <c r="M88" s="116">
        <f>'HH WITH COM #2'!$Y$87</f>
        <v>0</v>
      </c>
      <c r="N88" s="91">
        <f>IF(M$89=0,0,M88/M$89)</f>
        <v>0</v>
      </c>
      <c r="O88" s="17"/>
      <c r="P88" s="17"/>
      <c r="Q88" s="116">
        <f>'HH WITH COM #3'!$Y$87</f>
        <v>0</v>
      </c>
      <c r="R88" s="91">
        <f>IF(Q$89=0,0,Q88/Q$89)</f>
        <v>0</v>
      </c>
      <c r="S88" s="17"/>
      <c r="T88" s="17"/>
      <c r="U88" s="116">
        <f>'HH WITH COM #4'!$Y$87</f>
        <v>0</v>
      </c>
      <c r="V88" s="91">
        <f>IF(U$89=0,0,U88/U$89)</f>
        <v>0</v>
      </c>
      <c r="W88" s="17"/>
      <c r="X88" s="17"/>
      <c r="Y88" s="116">
        <f>'HH WITH COM #5'!$Y$87</f>
        <v>0</v>
      </c>
      <c r="Z88" s="91">
        <f>IF(Y$89=0,0,Y88/Y$89)</f>
        <v>0</v>
      </c>
      <c r="AA88" s="17"/>
      <c r="AB88" s="17"/>
      <c r="AC88" s="116">
        <f>'HH WITH COM #6'!$Y$87</f>
        <v>0</v>
      </c>
      <c r="AD88" s="91">
        <f>IF(AC$89=0,0,AC88/AC$89)</f>
        <v>0</v>
      </c>
      <c r="AE88" s="17"/>
      <c r="AF88" s="17"/>
      <c r="AG88" s="116">
        <f>'HH WITH COM #7'!$Y$87</f>
        <v>0</v>
      </c>
      <c r="AH88" s="373">
        <f>IF(AG$89=0,0,AG88/AG$89)</f>
        <v>0</v>
      </c>
      <c r="AI88" s="391"/>
      <c r="AJ88" s="17"/>
      <c r="AK88" s="539">
        <f t="shared" si="125"/>
        <v>0</v>
      </c>
      <c r="AL88" s="91">
        <f>IF(AK$89=0,0,AK88/AK$89)</f>
        <v>0</v>
      </c>
    </row>
    <row r="89" spans="1:38" s="117" customFormat="1" ht="16.5" customHeight="1" x14ac:dyDescent="0.25">
      <c r="A89" s="119"/>
      <c r="B89" s="40"/>
      <c r="C89" s="40"/>
      <c r="D89" s="479"/>
      <c r="E89" s="78"/>
      <c r="F89" s="79"/>
      <c r="G89" s="82"/>
      <c r="H89" s="82"/>
      <c r="I89" s="82">
        <f>SUM(I85:I88)</f>
        <v>0</v>
      </c>
      <c r="J89" s="66">
        <f>IF(I$89=0,0,I89/I$89)</f>
        <v>0</v>
      </c>
      <c r="K89" s="82"/>
      <c r="L89" s="82"/>
      <c r="M89" s="82">
        <f>SUM(M85:M88)</f>
        <v>0</v>
      </c>
      <c r="N89" s="66">
        <f>IF(M$89=0,0,M89/M$89)</f>
        <v>0</v>
      </c>
      <c r="O89" s="82"/>
      <c r="P89" s="82"/>
      <c r="Q89" s="82">
        <f>SUM(Q85:Q88)</f>
        <v>0</v>
      </c>
      <c r="R89" s="66">
        <f>IF(Q$89=0,0,Q89/Q$89)</f>
        <v>0</v>
      </c>
      <c r="S89" s="82"/>
      <c r="T89" s="82"/>
      <c r="U89" s="82">
        <f>SUM(U85:U88)</f>
        <v>0</v>
      </c>
      <c r="V89" s="66">
        <f>IF(U$89=0,0,U89/U$89)</f>
        <v>0</v>
      </c>
      <c r="W89" s="82"/>
      <c r="X89" s="82"/>
      <c r="Y89" s="82">
        <f>SUM(Y85:Y88)</f>
        <v>0</v>
      </c>
      <c r="Z89" s="66">
        <f>IF(Y$89=0,0,Y89/Y$89)</f>
        <v>0</v>
      </c>
      <c r="AA89" s="82"/>
      <c r="AB89" s="82"/>
      <c r="AC89" s="82">
        <f>SUM(AC85:AC88)</f>
        <v>0</v>
      </c>
      <c r="AD89" s="66">
        <f>IF(AC$89=0,0,AC89/AC$89)</f>
        <v>0</v>
      </c>
      <c r="AE89" s="82"/>
      <c r="AF89" s="82"/>
      <c r="AG89" s="82">
        <f>SUM(AG85:AG88)</f>
        <v>0</v>
      </c>
      <c r="AH89" s="608">
        <f>IF(AG$89=0,0,AG89/AG$89)</f>
        <v>0</v>
      </c>
      <c r="AI89" s="381"/>
      <c r="AJ89" s="82"/>
      <c r="AK89" s="82">
        <f>SUM(AK85:AK88)</f>
        <v>0</v>
      </c>
      <c r="AL89" s="66">
        <f>IF(AK$89=0,0,AK89/AK$89)</f>
        <v>0</v>
      </c>
    </row>
    <row r="90" spans="1:38" s="117" customFormat="1" ht="16.5" customHeight="1" x14ac:dyDescent="0.25">
      <c r="A90" s="119"/>
      <c r="B90" s="41" t="s">
        <v>63</v>
      </c>
      <c r="C90" s="476" t="s">
        <v>64</v>
      </c>
      <c r="D90" s="477"/>
      <c r="E90" s="478"/>
      <c r="F90" s="478"/>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355"/>
      <c r="AI90" s="377"/>
      <c r="AJ90" s="71"/>
      <c r="AK90" s="71"/>
      <c r="AL90" s="71"/>
    </row>
    <row r="91" spans="1:38" s="117" customFormat="1" ht="16.5" customHeight="1" x14ac:dyDescent="0.25">
      <c r="A91" s="119"/>
      <c r="B91" s="102"/>
      <c r="C91" s="103" t="s">
        <v>65</v>
      </c>
      <c r="D91" s="108" t="s">
        <v>66</v>
      </c>
      <c r="E91" s="108"/>
      <c r="F91" s="108"/>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c r="AD91" s="111"/>
      <c r="AE91" s="111"/>
      <c r="AF91" s="111"/>
      <c r="AG91" s="111"/>
      <c r="AH91" s="358"/>
      <c r="AI91" s="380"/>
      <c r="AJ91" s="111"/>
      <c r="AK91" s="111"/>
      <c r="AL91" s="111"/>
    </row>
    <row r="92" spans="1:38" s="117" customFormat="1" ht="16.5" customHeight="1" x14ac:dyDescent="0.25">
      <c r="A92" s="119"/>
      <c r="B92" s="118"/>
      <c r="C92" s="118"/>
      <c r="D92" s="474" t="s">
        <v>67</v>
      </c>
      <c r="E92" s="480" t="s">
        <v>857</v>
      </c>
      <c r="F92" s="475"/>
      <c r="G92" s="481"/>
      <c r="H92" s="17"/>
      <c r="I92" s="116">
        <f>'HH WITH COM #1 '!$Y$92</f>
        <v>1</v>
      </c>
      <c r="J92" s="91">
        <f>IF(I$96=0,0,I92/I$96)</f>
        <v>0.5</v>
      </c>
      <c r="K92" s="481"/>
      <c r="L92" s="17"/>
      <c r="M92" s="116">
        <f>'HH WITH COM #2'!$Y$92</f>
        <v>2</v>
      </c>
      <c r="N92" s="91">
        <f>IF(M$96=0,0,M92/M$96)</f>
        <v>1</v>
      </c>
      <c r="O92" s="481"/>
      <c r="P92" s="17"/>
      <c r="Q92" s="116">
        <f>'HH WITH COM #3'!$Y$92</f>
        <v>0</v>
      </c>
      <c r="R92" s="91">
        <f>IF(Q$96=0,0,Q92/Q$96)</f>
        <v>0</v>
      </c>
      <c r="S92" s="481"/>
      <c r="T92" s="17"/>
      <c r="U92" s="116">
        <f>'HH WITH COM #4'!$Y$92</f>
        <v>1</v>
      </c>
      <c r="V92" s="91">
        <f>IF(U$96=0,0,U92/U$96)</f>
        <v>0.5</v>
      </c>
      <c r="W92" s="481"/>
      <c r="X92" s="17"/>
      <c r="Y92" s="116">
        <f>'HH WITH COM #5'!$Y$92</f>
        <v>3</v>
      </c>
      <c r="Z92" s="91">
        <f>IF(Y$96=0,0,Y92/Y$96)</f>
        <v>1</v>
      </c>
      <c r="AA92" s="481"/>
      <c r="AB92" s="17"/>
      <c r="AC92" s="116">
        <f>'HH WITH COM #6'!$Y$92</f>
        <v>0</v>
      </c>
      <c r="AD92" s="91">
        <f>IF(AC$96=0,0,AC92/AC$96)</f>
        <v>0</v>
      </c>
      <c r="AE92" s="481"/>
      <c r="AF92" s="17"/>
      <c r="AG92" s="116">
        <f>'HH WITH COM #7'!$Y$92</f>
        <v>0</v>
      </c>
      <c r="AH92" s="373">
        <f>IF(AG$96=0,0,AG92/AG$96)</f>
        <v>0</v>
      </c>
      <c r="AI92" s="391"/>
      <c r="AJ92" s="17"/>
      <c r="AK92" s="539">
        <f t="shared" ref="AK92:AK95" si="126">I92+M92+Q92+U92+Y92+AC92+AG92</f>
        <v>7</v>
      </c>
      <c r="AL92" s="91">
        <f>IF(AK$96=0,0,AK92/AK$96)</f>
        <v>0.58333333333333337</v>
      </c>
    </row>
    <row r="93" spans="1:38" s="117" customFormat="1" ht="16.5" customHeight="1" x14ac:dyDescent="0.25">
      <c r="A93" s="119"/>
      <c r="B93" s="118"/>
      <c r="C93" s="118"/>
      <c r="D93" s="474" t="s">
        <v>69</v>
      </c>
      <c r="E93" s="482" t="s">
        <v>858</v>
      </c>
      <c r="F93" s="483"/>
      <c r="G93" s="481"/>
      <c r="H93" s="17"/>
      <c r="I93" s="116">
        <f>'HH WITH COM #1 '!$Y$93</f>
        <v>1</v>
      </c>
      <c r="J93" s="91">
        <f>IF(I$96=0,0,I93/I$96)</f>
        <v>0.5</v>
      </c>
      <c r="K93" s="481"/>
      <c r="L93" s="17"/>
      <c r="M93" s="116">
        <f>'HH WITH COM #2'!$Y$93</f>
        <v>0</v>
      </c>
      <c r="N93" s="91">
        <f>IF(M$96=0,0,M93/M$96)</f>
        <v>0</v>
      </c>
      <c r="O93" s="481"/>
      <c r="P93" s="17"/>
      <c r="Q93" s="116">
        <f>'HH WITH COM #3'!$Y$93</f>
        <v>1</v>
      </c>
      <c r="R93" s="91">
        <f>IF(Q$96=0,0,Q93/Q$96)</f>
        <v>1</v>
      </c>
      <c r="S93" s="481"/>
      <c r="T93" s="17"/>
      <c r="U93" s="116">
        <f>'HH WITH COM #4'!$Y$93</f>
        <v>1</v>
      </c>
      <c r="V93" s="91">
        <f>IF(U$96=0,0,U93/U$96)</f>
        <v>0.5</v>
      </c>
      <c r="W93" s="481"/>
      <c r="X93" s="17"/>
      <c r="Y93" s="116">
        <f>'HH WITH COM #5'!$Y$93</f>
        <v>0</v>
      </c>
      <c r="Z93" s="91">
        <f>IF(Y$96=0,0,Y93/Y$96)</f>
        <v>0</v>
      </c>
      <c r="AA93" s="481"/>
      <c r="AB93" s="17"/>
      <c r="AC93" s="116">
        <f>'HH WITH COM #6'!$Y$93</f>
        <v>2</v>
      </c>
      <c r="AD93" s="91">
        <f>IF(AC$96=0,0,AC93/AC$96)</f>
        <v>1</v>
      </c>
      <c r="AE93" s="481"/>
      <c r="AF93" s="17"/>
      <c r="AG93" s="116">
        <f>'HH WITH COM #7'!$Y$93</f>
        <v>0</v>
      </c>
      <c r="AH93" s="373">
        <f>IF(AG$96=0,0,AG93/AG$96)</f>
        <v>0</v>
      </c>
      <c r="AI93" s="391"/>
      <c r="AJ93" s="17"/>
      <c r="AK93" s="539">
        <f t="shared" si="126"/>
        <v>5</v>
      </c>
      <c r="AL93" s="91">
        <f>IF(AK$96=0,0,AK93/AK$96)</f>
        <v>0.41666666666666669</v>
      </c>
    </row>
    <row r="94" spans="1:38" s="117" customFormat="1" ht="16.5" customHeight="1" x14ac:dyDescent="0.25">
      <c r="A94" s="119"/>
      <c r="B94" s="118"/>
      <c r="C94" s="118"/>
      <c r="D94" s="474" t="s">
        <v>71</v>
      </c>
      <c r="E94" s="482" t="s">
        <v>859</v>
      </c>
      <c r="F94" s="475"/>
      <c r="G94" s="481"/>
      <c r="H94" s="17"/>
      <c r="I94" s="116">
        <f>'HH WITH COM #1 '!$Y$94</f>
        <v>0</v>
      </c>
      <c r="J94" s="91">
        <f>IF(I$96=0,0,I94/I$96)</f>
        <v>0</v>
      </c>
      <c r="K94" s="481"/>
      <c r="L94" s="17"/>
      <c r="M94" s="116">
        <f>'HH WITH COM #2'!$Y$94</f>
        <v>0</v>
      </c>
      <c r="N94" s="91">
        <f>IF(M$96=0,0,M94/M$96)</f>
        <v>0</v>
      </c>
      <c r="O94" s="481"/>
      <c r="P94" s="17"/>
      <c r="Q94" s="116">
        <f>'HH WITH COM #3'!$Y$94</f>
        <v>0</v>
      </c>
      <c r="R94" s="91">
        <f>IF(Q$96=0,0,Q94/Q$96)</f>
        <v>0</v>
      </c>
      <c r="S94" s="481"/>
      <c r="T94" s="17"/>
      <c r="U94" s="116">
        <f>'HH WITH COM #4'!$Y$94</f>
        <v>0</v>
      </c>
      <c r="V94" s="91">
        <f>IF(U$96=0,0,U94/U$96)</f>
        <v>0</v>
      </c>
      <c r="W94" s="481"/>
      <c r="X94" s="17"/>
      <c r="Y94" s="116">
        <f>'HH WITH COM #5'!$Y$94</f>
        <v>0</v>
      </c>
      <c r="Z94" s="91">
        <f>IF(Y$96=0,0,Y94/Y$96)</f>
        <v>0</v>
      </c>
      <c r="AA94" s="481"/>
      <c r="AB94" s="17"/>
      <c r="AC94" s="116">
        <f>'HH WITH COM #6'!$Y$94</f>
        <v>0</v>
      </c>
      <c r="AD94" s="91">
        <f>IF(AC$96=0,0,AC94/AC$96)</f>
        <v>0</v>
      </c>
      <c r="AE94" s="481"/>
      <c r="AF94" s="17"/>
      <c r="AG94" s="116">
        <f>'HH WITH COM #7'!$Y$94</f>
        <v>0</v>
      </c>
      <c r="AH94" s="373">
        <f>IF(AG$96=0,0,AG94/AG$96)</f>
        <v>0</v>
      </c>
      <c r="AI94" s="391"/>
      <c r="AJ94" s="17"/>
      <c r="AK94" s="539">
        <f t="shared" si="126"/>
        <v>0</v>
      </c>
      <c r="AL94" s="91">
        <f>IF(AK$96=0,0,AK94/AK$96)</f>
        <v>0</v>
      </c>
    </row>
    <row r="95" spans="1:38" s="117" customFormat="1" ht="16.5" customHeight="1" x14ac:dyDescent="0.25">
      <c r="A95" s="119"/>
      <c r="B95" s="118"/>
      <c r="C95" s="118"/>
      <c r="D95" s="474" t="s">
        <v>73</v>
      </c>
      <c r="E95" s="482" t="s">
        <v>561</v>
      </c>
      <c r="F95" s="483"/>
      <c r="G95" s="481"/>
      <c r="H95" s="17"/>
      <c r="I95" s="116">
        <f>'HH WITH COM #1 '!$Y$95</f>
        <v>0</v>
      </c>
      <c r="J95" s="91">
        <f>IF(I$96=0,0,I95/I$96)</f>
        <v>0</v>
      </c>
      <c r="K95" s="481"/>
      <c r="L95" s="17"/>
      <c r="M95" s="116">
        <f>'HH WITH COM #2'!$Y$95</f>
        <v>0</v>
      </c>
      <c r="N95" s="91">
        <f>IF(M$96=0,0,M95/M$96)</f>
        <v>0</v>
      </c>
      <c r="O95" s="481"/>
      <c r="P95" s="17"/>
      <c r="Q95" s="116">
        <f>'HH WITH COM #3'!$Y$95</f>
        <v>0</v>
      </c>
      <c r="R95" s="91">
        <f>IF(Q$96=0,0,Q95/Q$96)</f>
        <v>0</v>
      </c>
      <c r="S95" s="481"/>
      <c r="T95" s="17"/>
      <c r="U95" s="116">
        <f>'HH WITH COM #4'!$Y$95</f>
        <v>0</v>
      </c>
      <c r="V95" s="91">
        <f>IF(U$96=0,0,U95/U$96)</f>
        <v>0</v>
      </c>
      <c r="W95" s="481"/>
      <c r="X95" s="17"/>
      <c r="Y95" s="116">
        <f>'HH WITH COM #5'!$Y$95</f>
        <v>0</v>
      </c>
      <c r="Z95" s="91">
        <f>IF(Y$96=0,0,Y95/Y$96)</f>
        <v>0</v>
      </c>
      <c r="AA95" s="481"/>
      <c r="AB95" s="17"/>
      <c r="AC95" s="116">
        <f>'HH WITH COM #6'!$Y$95</f>
        <v>0</v>
      </c>
      <c r="AD95" s="91">
        <f>IF(AC$96=0,0,AC95/AC$96)</f>
        <v>0</v>
      </c>
      <c r="AE95" s="481"/>
      <c r="AF95" s="17"/>
      <c r="AG95" s="116">
        <f>'HH WITH COM #7'!$Y$95</f>
        <v>0</v>
      </c>
      <c r="AH95" s="373">
        <f>IF(AG$96=0,0,AG95/AG$96)</f>
        <v>0</v>
      </c>
      <c r="AI95" s="391"/>
      <c r="AJ95" s="17"/>
      <c r="AK95" s="539">
        <f t="shared" si="126"/>
        <v>0</v>
      </c>
      <c r="AL95" s="91">
        <f>IF(AK$96=0,0,AK95/AK$96)</f>
        <v>0</v>
      </c>
    </row>
    <row r="96" spans="1:38" s="117" customFormat="1" ht="16.5" customHeight="1" x14ac:dyDescent="0.25">
      <c r="A96" s="119"/>
      <c r="B96" s="40"/>
      <c r="C96" s="40"/>
      <c r="D96" s="479"/>
      <c r="E96" s="78"/>
      <c r="F96" s="79"/>
      <c r="G96" s="82"/>
      <c r="H96" s="82"/>
      <c r="I96" s="82">
        <f>SUM(I92:I95)</f>
        <v>2</v>
      </c>
      <c r="J96" s="66">
        <f>IF(I$96=0,0,I96/I$96)</f>
        <v>1</v>
      </c>
      <c r="K96" s="82"/>
      <c r="L96" s="82"/>
      <c r="M96" s="82">
        <f>SUM(M92:M95)</f>
        <v>2</v>
      </c>
      <c r="N96" s="66">
        <f>IF(M$96=0,0,M96/M$96)</f>
        <v>1</v>
      </c>
      <c r="O96" s="82"/>
      <c r="P96" s="82"/>
      <c r="Q96" s="82">
        <f>SUM(Q92:Q95)</f>
        <v>1</v>
      </c>
      <c r="R96" s="66">
        <f>IF(Q$96=0,0,Q96/Q$96)</f>
        <v>1</v>
      </c>
      <c r="S96" s="82"/>
      <c r="T96" s="82"/>
      <c r="U96" s="82">
        <f>SUM(U92:U95)</f>
        <v>2</v>
      </c>
      <c r="V96" s="66">
        <f>IF(U$96=0,0,U96/U$96)</f>
        <v>1</v>
      </c>
      <c r="W96" s="82"/>
      <c r="X96" s="82"/>
      <c r="Y96" s="82">
        <f>SUM(Y92:Y95)</f>
        <v>3</v>
      </c>
      <c r="Z96" s="66">
        <f>IF(Y$96=0,0,Y96/Y$96)</f>
        <v>1</v>
      </c>
      <c r="AA96" s="82"/>
      <c r="AB96" s="82"/>
      <c r="AC96" s="82">
        <f>SUM(AC92:AC95)</f>
        <v>2</v>
      </c>
      <c r="AD96" s="66">
        <f>IF(AC$96=0,0,AC96/AC$96)</f>
        <v>1</v>
      </c>
      <c r="AE96" s="82"/>
      <c r="AF96" s="82"/>
      <c r="AG96" s="82">
        <f>SUM(AG92:AG95)</f>
        <v>0</v>
      </c>
      <c r="AH96" s="608">
        <f>IF(AG$96=0,0,AG96/AG$96)</f>
        <v>0</v>
      </c>
      <c r="AI96" s="381"/>
      <c r="AJ96" s="82"/>
      <c r="AK96" s="82">
        <f>SUM(AK92:AK95)</f>
        <v>12</v>
      </c>
      <c r="AL96" s="66">
        <f>IF(AK$96=0,0,AK96/AK$96)</f>
        <v>1</v>
      </c>
    </row>
    <row r="97" spans="1:38" s="117" customFormat="1" ht="16.5" customHeight="1" x14ac:dyDescent="0.25">
      <c r="A97" s="119"/>
      <c r="B97" s="41" t="s">
        <v>74</v>
      </c>
      <c r="C97" s="476" t="s">
        <v>12</v>
      </c>
      <c r="D97" s="477"/>
      <c r="E97" s="478"/>
      <c r="F97" s="478"/>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355"/>
      <c r="AI97" s="377"/>
      <c r="AJ97" s="71"/>
      <c r="AK97" s="71"/>
      <c r="AL97" s="71"/>
    </row>
    <row r="98" spans="1:38" s="117" customFormat="1" ht="16.5" customHeight="1" x14ac:dyDescent="0.25">
      <c r="A98" s="119"/>
      <c r="B98" s="102"/>
      <c r="C98" s="103" t="s">
        <v>80</v>
      </c>
      <c r="D98" s="85" t="s">
        <v>896</v>
      </c>
      <c r="E98" s="475"/>
      <c r="F98" s="108"/>
      <c r="G98" s="17"/>
      <c r="H98" s="17"/>
      <c r="I98" s="116">
        <f>'HH WITH COM #1 '!$Y$109</f>
        <v>0</v>
      </c>
      <c r="J98" s="17"/>
      <c r="K98" s="17"/>
      <c r="L98" s="17"/>
      <c r="M98" s="116">
        <f>'HH WITH COM #2'!$Y$109</f>
        <v>0</v>
      </c>
      <c r="N98" s="17"/>
      <c r="O98" s="17"/>
      <c r="P98" s="17"/>
      <c r="Q98" s="116">
        <f>'HH WITH COM #3'!$Y$109</f>
        <v>0</v>
      </c>
      <c r="R98" s="17"/>
      <c r="S98" s="17"/>
      <c r="T98" s="17"/>
      <c r="U98" s="116">
        <f>'HH WITH COM #4'!$Y$109</f>
        <v>0</v>
      </c>
      <c r="V98" s="17"/>
      <c r="W98" s="17"/>
      <c r="X98" s="17"/>
      <c r="Y98" s="116">
        <f>'HH WITH COM #5'!$Y$109</f>
        <v>0</v>
      </c>
      <c r="Z98" s="17"/>
      <c r="AA98" s="17"/>
      <c r="AB98" s="17"/>
      <c r="AC98" s="116">
        <f>'HH WITH COM #6'!$Y$109</f>
        <v>0</v>
      </c>
      <c r="AD98" s="17"/>
      <c r="AE98" s="17"/>
      <c r="AF98" s="17"/>
      <c r="AG98" s="116">
        <f>'HH WITH COM #7'!$Y$109</f>
        <v>0</v>
      </c>
      <c r="AH98" s="359"/>
      <c r="AI98" s="391"/>
      <c r="AJ98" s="17"/>
      <c r="AK98" s="539">
        <f t="shared" ref="AK98" si="127">I98+M98+Q98+U98+Y98+AC98+AG98</f>
        <v>0</v>
      </c>
      <c r="AL98" s="17"/>
    </row>
    <row r="99" spans="1:38" ht="16.5" customHeight="1" x14ac:dyDescent="0.25">
      <c r="A99" s="47"/>
      <c r="B99" s="470"/>
      <c r="C99" s="40"/>
      <c r="D99" s="464" t="s">
        <v>913</v>
      </c>
      <c r="E99" s="464"/>
      <c r="F99" s="465"/>
      <c r="G99" s="66"/>
      <c r="H99" s="66"/>
      <c r="I99" s="66">
        <f>IF(I$14=0,0,I98/I$14)</f>
        <v>0</v>
      </c>
      <c r="J99" s="66"/>
      <c r="K99" s="66"/>
      <c r="L99" s="66"/>
      <c r="M99" s="66">
        <f>IF(M$14=0,0,M98/M$14)</f>
        <v>0</v>
      </c>
      <c r="N99" s="66"/>
      <c r="O99" s="66"/>
      <c r="P99" s="66"/>
      <c r="Q99" s="66">
        <f>IF(Q$14=0,0,Q98/Q$14)</f>
        <v>0</v>
      </c>
      <c r="R99" s="66"/>
      <c r="S99" s="66"/>
      <c r="T99" s="66"/>
      <c r="U99" s="66">
        <f>IF(U$14=0,0,U98/U$14)</f>
        <v>0</v>
      </c>
      <c r="V99" s="66"/>
      <c r="W99" s="66"/>
      <c r="X99" s="66"/>
      <c r="Y99" s="66">
        <f>IF(Y$14=0,0,Y98/Y$14)</f>
        <v>0</v>
      </c>
      <c r="Z99" s="66"/>
      <c r="AA99" s="66"/>
      <c r="AB99" s="66"/>
      <c r="AC99" s="66">
        <f>IF(AC$14=0,0,AC98/AC$14)</f>
        <v>0</v>
      </c>
      <c r="AD99" s="66"/>
      <c r="AE99" s="66"/>
      <c r="AF99" s="66"/>
      <c r="AG99" s="66">
        <f>IF(AG$14=0,0,AG98/AG$14)</f>
        <v>0</v>
      </c>
      <c r="AH99" s="608"/>
      <c r="AI99" s="619"/>
      <c r="AJ99" s="66"/>
      <c r="AK99" s="66">
        <f>IF(AK$14=0,0,AK98/AK$14)</f>
        <v>0</v>
      </c>
      <c r="AL99" s="66"/>
    </row>
    <row r="100" spans="1:38" s="117" customFormat="1" ht="16.5" customHeight="1" x14ac:dyDescent="0.25">
      <c r="A100" s="119"/>
      <c r="B100" s="119"/>
      <c r="C100" s="103" t="s">
        <v>86</v>
      </c>
      <c r="D100" s="85" t="s">
        <v>911</v>
      </c>
      <c r="E100" s="475"/>
      <c r="F100" s="108"/>
      <c r="G100" s="111"/>
      <c r="H100" s="111"/>
      <c r="I100" s="419"/>
      <c r="J100" s="111"/>
      <c r="K100" s="111"/>
      <c r="L100" s="111"/>
      <c r="M100" s="419"/>
      <c r="N100" s="111"/>
      <c r="O100" s="111"/>
      <c r="P100" s="111"/>
      <c r="Q100" s="419"/>
      <c r="R100" s="111"/>
      <c r="S100" s="111"/>
      <c r="T100" s="111"/>
      <c r="U100" s="419"/>
      <c r="V100" s="111"/>
      <c r="W100" s="111"/>
      <c r="X100" s="111"/>
      <c r="Y100" s="419"/>
      <c r="Z100" s="111"/>
      <c r="AA100" s="111"/>
      <c r="AB100" s="111"/>
      <c r="AC100" s="419"/>
      <c r="AD100" s="111"/>
      <c r="AE100" s="111"/>
      <c r="AF100" s="111"/>
      <c r="AG100" s="419"/>
      <c r="AH100" s="358"/>
      <c r="AI100" s="380"/>
      <c r="AJ100" s="111"/>
      <c r="AK100" s="545"/>
      <c r="AL100" s="111"/>
    </row>
    <row r="101" spans="1:38" s="117" customFormat="1" ht="16.5" customHeight="1" x14ac:dyDescent="0.25">
      <c r="A101" s="253"/>
      <c r="B101" s="522"/>
      <c r="C101" s="119"/>
      <c r="D101" s="105" t="s">
        <v>908</v>
      </c>
      <c r="E101" s="523"/>
      <c r="F101" s="524"/>
      <c r="G101" s="17"/>
      <c r="H101" s="17"/>
      <c r="I101" s="116">
        <f>'HH WITH COM #1 '!$Y$116</f>
        <v>0</v>
      </c>
      <c r="J101" s="17"/>
      <c r="K101" s="17"/>
      <c r="L101" s="17"/>
      <c r="M101" s="116">
        <f>'HH WITH COM #2'!$Y$116</f>
        <v>0</v>
      </c>
      <c r="N101" s="17"/>
      <c r="O101" s="17"/>
      <c r="P101" s="17"/>
      <c r="Q101" s="116">
        <f>'HH WITH COM #3'!$Y$116</f>
        <v>0</v>
      </c>
      <c r="R101" s="17"/>
      <c r="S101" s="17"/>
      <c r="T101" s="17"/>
      <c r="U101" s="116">
        <f>'HH WITH COM #4'!$Y$116</f>
        <v>0</v>
      </c>
      <c r="V101" s="17"/>
      <c r="W101" s="17"/>
      <c r="X101" s="17"/>
      <c r="Y101" s="116">
        <f>'HH WITH COM #5'!$Y$116</f>
        <v>0</v>
      </c>
      <c r="Z101" s="17"/>
      <c r="AA101" s="17"/>
      <c r="AB101" s="17"/>
      <c r="AC101" s="116">
        <f>'HH WITH COM #6'!$Y$116</f>
        <v>0</v>
      </c>
      <c r="AD101" s="17"/>
      <c r="AE101" s="17"/>
      <c r="AF101" s="17"/>
      <c r="AG101" s="116">
        <f>'HH WITH COM #7'!$Y$116</f>
        <v>0</v>
      </c>
      <c r="AH101" s="359"/>
      <c r="AI101" s="391"/>
      <c r="AJ101" s="17"/>
      <c r="AK101" s="539">
        <f t="shared" ref="AK101:AK104" si="128">I101+M101+Q101+U101+Y101+AC101+AG101</f>
        <v>0</v>
      </c>
      <c r="AL101" s="17"/>
    </row>
    <row r="102" spans="1:38" s="117" customFormat="1" ht="16.5" customHeight="1" x14ac:dyDescent="0.25">
      <c r="A102" s="253"/>
      <c r="B102" s="522"/>
      <c r="C102" s="119"/>
      <c r="D102" s="105" t="s">
        <v>909</v>
      </c>
      <c r="E102" s="523"/>
      <c r="F102" s="524"/>
      <c r="G102" s="17"/>
      <c r="H102" s="17"/>
      <c r="I102" s="116">
        <f>'HH WITH COM #1 '!$Y$117</f>
        <v>0</v>
      </c>
      <c r="J102" s="17"/>
      <c r="K102" s="17"/>
      <c r="L102" s="17"/>
      <c r="M102" s="116">
        <f>'HH WITH COM #2'!$Y$117</f>
        <v>0</v>
      </c>
      <c r="N102" s="17"/>
      <c r="O102" s="17"/>
      <c r="P102" s="17"/>
      <c r="Q102" s="116">
        <f>'HH WITH COM #3'!$Y$117</f>
        <v>0</v>
      </c>
      <c r="R102" s="17"/>
      <c r="S102" s="17"/>
      <c r="T102" s="17"/>
      <c r="U102" s="116">
        <f>'HH WITH COM #4'!$Y$117</f>
        <v>0</v>
      </c>
      <c r="V102" s="17"/>
      <c r="W102" s="17"/>
      <c r="X102" s="17"/>
      <c r="Y102" s="116">
        <f>'HH WITH COM #5'!$Y$117</f>
        <v>0</v>
      </c>
      <c r="Z102" s="17"/>
      <c r="AA102" s="17"/>
      <c r="AB102" s="17"/>
      <c r="AC102" s="116">
        <f>'HH WITH COM #6'!$Y$117</f>
        <v>0</v>
      </c>
      <c r="AD102" s="17"/>
      <c r="AE102" s="17"/>
      <c r="AF102" s="17"/>
      <c r="AG102" s="116">
        <f>'HH WITH COM #7'!$Y$117</f>
        <v>0</v>
      </c>
      <c r="AH102" s="359"/>
      <c r="AI102" s="391"/>
      <c r="AJ102" s="17"/>
      <c r="AK102" s="539">
        <f t="shared" si="128"/>
        <v>0</v>
      </c>
      <c r="AL102" s="17"/>
    </row>
    <row r="103" spans="1:38" ht="16.5" customHeight="1" x14ac:dyDescent="0.25">
      <c r="A103" s="47"/>
      <c r="B103" s="470"/>
      <c r="C103" s="40"/>
      <c r="D103" s="464" t="s">
        <v>912</v>
      </c>
      <c r="E103" s="464"/>
      <c r="F103" s="465"/>
      <c r="G103" s="66"/>
      <c r="H103" s="66"/>
      <c r="I103" s="66">
        <f>IF(I$14=0,0,I102/I$14)</f>
        <v>0</v>
      </c>
      <c r="J103" s="66"/>
      <c r="K103" s="66"/>
      <c r="L103" s="66"/>
      <c r="M103" s="66">
        <f>IF(M$14=0,0,M102/M$14)</f>
        <v>0</v>
      </c>
      <c r="N103" s="66"/>
      <c r="O103" s="66"/>
      <c r="P103" s="66"/>
      <c r="Q103" s="66">
        <f>IF(Q$14=0,0,Q102/Q$14)</f>
        <v>0</v>
      </c>
      <c r="R103" s="66"/>
      <c r="S103" s="66"/>
      <c r="T103" s="66"/>
      <c r="U103" s="66">
        <f>IF(U$14=0,0,U102/U$14)</f>
        <v>0</v>
      </c>
      <c r="V103" s="66"/>
      <c r="W103" s="66"/>
      <c r="X103" s="66"/>
      <c r="Y103" s="66">
        <f>IF(Y$14=0,0,Y102/Y$14)</f>
        <v>0</v>
      </c>
      <c r="Z103" s="66"/>
      <c r="AA103" s="66"/>
      <c r="AB103" s="66"/>
      <c r="AC103" s="66">
        <f>IF(AC$14=0,0,AC102/AC$14)</f>
        <v>0</v>
      </c>
      <c r="AD103" s="66"/>
      <c r="AE103" s="66"/>
      <c r="AF103" s="66"/>
      <c r="AG103" s="66">
        <f>IF(AG$14=0,0,AG102/AG$14)</f>
        <v>0</v>
      </c>
      <c r="AH103" s="608"/>
      <c r="AI103" s="619"/>
      <c r="AJ103" s="66"/>
      <c r="AK103" s="66">
        <f>IF(AK$14=0,0,AK102/AK$14)</f>
        <v>0</v>
      </c>
      <c r="AL103" s="66"/>
    </row>
    <row r="104" spans="1:38" s="117" customFormat="1" ht="16.5" customHeight="1" x14ac:dyDescent="0.25">
      <c r="A104" s="119"/>
      <c r="B104" s="119"/>
      <c r="C104" s="103" t="s">
        <v>92</v>
      </c>
      <c r="D104" s="85" t="s">
        <v>914</v>
      </c>
      <c r="E104" s="475"/>
      <c r="F104" s="108"/>
      <c r="G104" s="17"/>
      <c r="H104" s="17"/>
      <c r="I104" s="116">
        <f>'HH WITH COM #1 '!$Y$122</f>
        <v>1</v>
      </c>
      <c r="J104" s="17"/>
      <c r="K104" s="17"/>
      <c r="L104" s="17"/>
      <c r="M104" s="116">
        <f>'HH WITH COM #2'!$Y$122</f>
        <v>0</v>
      </c>
      <c r="N104" s="17"/>
      <c r="O104" s="17"/>
      <c r="P104" s="17"/>
      <c r="Q104" s="116">
        <f>'HH WITH COM #3'!$Y$122</f>
        <v>1</v>
      </c>
      <c r="R104" s="17"/>
      <c r="S104" s="17"/>
      <c r="T104" s="17"/>
      <c r="U104" s="116">
        <f>'HH WITH COM #4'!$Y$122</f>
        <v>1</v>
      </c>
      <c r="V104" s="17"/>
      <c r="W104" s="17"/>
      <c r="X104" s="17"/>
      <c r="Y104" s="116">
        <f>'HH WITH COM #5'!$Y$122</f>
        <v>0</v>
      </c>
      <c r="Z104" s="17"/>
      <c r="AA104" s="17"/>
      <c r="AB104" s="17"/>
      <c r="AC104" s="116">
        <f>'HH WITH COM #6'!$Y$122</f>
        <v>2</v>
      </c>
      <c r="AD104" s="17"/>
      <c r="AE104" s="17"/>
      <c r="AF104" s="17"/>
      <c r="AG104" s="116">
        <f>'HH WITH COM #7'!$Y$122</f>
        <v>0</v>
      </c>
      <c r="AH104" s="359"/>
      <c r="AI104" s="391"/>
      <c r="AJ104" s="17"/>
      <c r="AK104" s="539">
        <f t="shared" si="128"/>
        <v>5</v>
      </c>
      <c r="AL104" s="17"/>
    </row>
    <row r="105" spans="1:38" ht="16.5" customHeight="1" x14ac:dyDescent="0.25">
      <c r="A105" s="47"/>
      <c r="B105" s="470"/>
      <c r="C105" s="40"/>
      <c r="D105" s="464" t="s">
        <v>854</v>
      </c>
      <c r="E105" s="464"/>
      <c r="F105" s="465"/>
      <c r="G105" s="66"/>
      <c r="H105" s="66"/>
      <c r="I105" s="66">
        <f>IF(I$14=0,0,I104/I$14)</f>
        <v>0.5</v>
      </c>
      <c r="J105" s="66"/>
      <c r="K105" s="66"/>
      <c r="L105" s="66"/>
      <c r="M105" s="66">
        <f>IF(M$14=0,0,M104/M$14)</f>
        <v>0</v>
      </c>
      <c r="N105" s="66"/>
      <c r="O105" s="66"/>
      <c r="P105" s="66"/>
      <c r="Q105" s="66">
        <f>IF(Q$14=0,0,Q104/Q$14)</f>
        <v>1</v>
      </c>
      <c r="R105" s="66"/>
      <c r="S105" s="66"/>
      <c r="T105" s="66"/>
      <c r="U105" s="66">
        <f>IF(U$14=0,0,U104/U$14)</f>
        <v>0.5</v>
      </c>
      <c r="V105" s="66"/>
      <c r="W105" s="66"/>
      <c r="X105" s="66"/>
      <c r="Y105" s="66">
        <f>IF(Y$14=0,0,Y104/Y$14)</f>
        <v>0</v>
      </c>
      <c r="Z105" s="66"/>
      <c r="AA105" s="66"/>
      <c r="AB105" s="66"/>
      <c r="AC105" s="66">
        <f>IF(AC$14=0,0,AC104/AC$14)</f>
        <v>1</v>
      </c>
      <c r="AD105" s="66"/>
      <c r="AE105" s="66"/>
      <c r="AF105" s="66"/>
      <c r="AG105" s="66">
        <f>IF(AG$14=0,0,AG104/AG$14)</f>
        <v>0</v>
      </c>
      <c r="AH105" s="608"/>
      <c r="AI105" s="619"/>
      <c r="AJ105" s="66"/>
      <c r="AK105" s="66">
        <f>IF(AK$14=0,0,AK104/AK$14)</f>
        <v>0.41666666666666669</v>
      </c>
      <c r="AL105" s="66"/>
    </row>
    <row r="106" spans="1:38" s="117" customFormat="1" ht="16.5" customHeight="1" x14ac:dyDescent="0.25">
      <c r="A106" s="119"/>
      <c r="B106" s="119"/>
      <c r="C106" s="103" t="s">
        <v>93</v>
      </c>
      <c r="D106" s="85" t="s">
        <v>915</v>
      </c>
      <c r="E106" s="475"/>
      <c r="F106" s="108"/>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c r="AD106" s="111"/>
      <c r="AE106" s="111"/>
      <c r="AF106" s="111"/>
      <c r="AG106" s="111"/>
      <c r="AH106" s="358"/>
      <c r="AI106" s="380"/>
      <c r="AJ106" s="111"/>
      <c r="AK106" s="111"/>
      <c r="AL106" s="111"/>
    </row>
    <row r="107" spans="1:38" s="117" customFormat="1" ht="16.5" customHeight="1" x14ac:dyDescent="0.25">
      <c r="A107" s="119"/>
      <c r="B107" s="119"/>
      <c r="C107" s="132"/>
      <c r="D107" s="484" t="s">
        <v>916</v>
      </c>
      <c r="E107" s="105"/>
      <c r="F107" s="76"/>
      <c r="G107" s="17"/>
      <c r="H107" s="17"/>
      <c r="I107" s="116">
        <f>'HH WITH COM #1 '!$Y$124</f>
        <v>1</v>
      </c>
      <c r="J107" s="91">
        <f>IF(I$111=0,0,I107/I$111)</f>
        <v>0.5</v>
      </c>
      <c r="K107" s="17"/>
      <c r="L107" s="17"/>
      <c r="M107" s="116">
        <f>'HH WITH COM #2'!$Y$124</f>
        <v>2</v>
      </c>
      <c r="N107" s="91">
        <f>IF(M$111=0,0,M107/M$111)</f>
        <v>1</v>
      </c>
      <c r="O107" s="17"/>
      <c r="P107" s="17"/>
      <c r="Q107" s="116">
        <f>'HH WITH COM #3'!$Y$124</f>
        <v>0</v>
      </c>
      <c r="R107" s="91">
        <f>IF(Q$111=0,0,Q107/Q$111)</f>
        <v>0</v>
      </c>
      <c r="S107" s="17"/>
      <c r="T107" s="17"/>
      <c r="U107" s="116">
        <f>'HH WITH COM #4'!$Y$124</f>
        <v>1</v>
      </c>
      <c r="V107" s="91">
        <f>IF(U$111=0,0,U107/U$111)</f>
        <v>0.5</v>
      </c>
      <c r="W107" s="17"/>
      <c r="X107" s="17"/>
      <c r="Y107" s="116">
        <f>'HH WITH COM #5'!$Y$124</f>
        <v>3</v>
      </c>
      <c r="Z107" s="91">
        <f>IF(Y$111=0,0,Y107/Y$111)</f>
        <v>1</v>
      </c>
      <c r="AA107" s="17"/>
      <c r="AB107" s="17"/>
      <c r="AC107" s="116">
        <f>'HH WITH COM #6'!$Y$124</f>
        <v>0</v>
      </c>
      <c r="AD107" s="91">
        <f>IF(AC$111=0,0,AC107/AC$111)</f>
        <v>0</v>
      </c>
      <c r="AE107" s="17"/>
      <c r="AF107" s="17"/>
      <c r="AG107" s="116">
        <f>'HH WITH COM #7'!$Y$124</f>
        <v>0</v>
      </c>
      <c r="AH107" s="373">
        <f>IF(AG$111=0,0,AG107/AG$111)</f>
        <v>0</v>
      </c>
      <c r="AI107" s="391"/>
      <c r="AJ107" s="17"/>
      <c r="AK107" s="539">
        <f t="shared" ref="AK107:AK113" si="129">I107+M107+Q107+U107+Y107+AC107+AG107</f>
        <v>7</v>
      </c>
      <c r="AL107" s="91">
        <f>IF(AK$111=0,0,AK107/AK$111)</f>
        <v>0.58333333333333337</v>
      </c>
    </row>
    <row r="108" spans="1:38" s="117" customFormat="1" ht="16.5" customHeight="1" x14ac:dyDescent="0.25">
      <c r="A108" s="119"/>
      <c r="B108" s="119"/>
      <c r="C108" s="135"/>
      <c r="D108" s="484" t="s">
        <v>917</v>
      </c>
      <c r="E108" s="105"/>
      <c r="F108" s="76"/>
      <c r="G108" s="17"/>
      <c r="H108" s="17"/>
      <c r="I108" s="116">
        <f>'HH WITH COM #1 '!$Y$125</f>
        <v>1</v>
      </c>
      <c r="J108" s="91">
        <f>IF(I$111=0,0,I108/I$111)</f>
        <v>0.5</v>
      </c>
      <c r="K108" s="17"/>
      <c r="L108" s="17"/>
      <c r="M108" s="116">
        <f>'HH WITH COM #2'!$Y$125</f>
        <v>0</v>
      </c>
      <c r="N108" s="91">
        <f>IF(M$111=0,0,M108/M$111)</f>
        <v>0</v>
      </c>
      <c r="O108" s="17"/>
      <c r="P108" s="17"/>
      <c r="Q108" s="116">
        <f>'HH WITH COM #3'!$Y$125</f>
        <v>1</v>
      </c>
      <c r="R108" s="91">
        <f>IF(Q$111=0,0,Q108/Q$111)</f>
        <v>1</v>
      </c>
      <c r="S108" s="17"/>
      <c r="T108" s="17"/>
      <c r="U108" s="116">
        <f>'HH WITH COM #4'!$Y$125</f>
        <v>1</v>
      </c>
      <c r="V108" s="91">
        <f>IF(U$111=0,0,U108/U$111)</f>
        <v>0.5</v>
      </c>
      <c r="W108" s="17"/>
      <c r="X108" s="17"/>
      <c r="Y108" s="116">
        <f>'HH WITH COM #5'!$Y$125</f>
        <v>0</v>
      </c>
      <c r="Z108" s="91">
        <f>IF(Y$111=0,0,Y108/Y$111)</f>
        <v>0</v>
      </c>
      <c r="AA108" s="17"/>
      <c r="AB108" s="17"/>
      <c r="AC108" s="116">
        <f>'HH WITH COM #6'!$Y$125</f>
        <v>2</v>
      </c>
      <c r="AD108" s="91">
        <f>IF(AC$111=0,0,AC108/AC$111)</f>
        <v>1</v>
      </c>
      <c r="AE108" s="17"/>
      <c r="AF108" s="17"/>
      <c r="AG108" s="116">
        <f>'HH WITH COM #7'!$Y$125</f>
        <v>0</v>
      </c>
      <c r="AH108" s="373">
        <f>IF(AG$111=0,0,AG108/AG$111)</f>
        <v>0</v>
      </c>
      <c r="AI108" s="391"/>
      <c r="AJ108" s="17"/>
      <c r="AK108" s="539">
        <f t="shared" si="129"/>
        <v>5</v>
      </c>
      <c r="AL108" s="91">
        <f>IF(AK$111=0,0,AK108/AK$111)</f>
        <v>0.41666666666666669</v>
      </c>
    </row>
    <row r="109" spans="1:38" s="117" customFormat="1" ht="16.5" customHeight="1" x14ac:dyDescent="0.25">
      <c r="A109" s="119"/>
      <c r="B109" s="119"/>
      <c r="C109" s="136"/>
      <c r="D109" s="484" t="s">
        <v>918</v>
      </c>
      <c r="E109" s="105"/>
      <c r="F109" s="76"/>
      <c r="G109" s="17"/>
      <c r="H109" s="17"/>
      <c r="I109" s="116">
        <f>'HH WITH COM #1 '!$Y$126</f>
        <v>0</v>
      </c>
      <c r="J109" s="91">
        <f>IF(I$111=0,0,I109/I$111)</f>
        <v>0</v>
      </c>
      <c r="K109" s="17"/>
      <c r="L109" s="17"/>
      <c r="M109" s="116">
        <f>'HH WITH COM #2'!$Y$126</f>
        <v>0</v>
      </c>
      <c r="N109" s="91">
        <f>IF(M$111=0,0,M109/M$111)</f>
        <v>0</v>
      </c>
      <c r="O109" s="17"/>
      <c r="P109" s="17"/>
      <c r="Q109" s="116">
        <f>'HH WITH COM #3'!$Y$126</f>
        <v>0</v>
      </c>
      <c r="R109" s="91">
        <f>IF(Q$111=0,0,Q109/Q$111)</f>
        <v>0</v>
      </c>
      <c r="S109" s="17"/>
      <c r="T109" s="17"/>
      <c r="U109" s="116">
        <f>'HH WITH COM #4'!$Y$126</f>
        <v>0</v>
      </c>
      <c r="V109" s="91">
        <f>IF(U$111=0,0,U109/U$111)</f>
        <v>0</v>
      </c>
      <c r="W109" s="17"/>
      <c r="X109" s="17"/>
      <c r="Y109" s="116">
        <f>'HH WITH COM #5'!$Y$126</f>
        <v>0</v>
      </c>
      <c r="Z109" s="91">
        <f>IF(Y$111=0,0,Y109/Y$111)</f>
        <v>0</v>
      </c>
      <c r="AA109" s="17"/>
      <c r="AB109" s="17"/>
      <c r="AC109" s="116">
        <f>'HH WITH COM #6'!$Y$126</f>
        <v>0</v>
      </c>
      <c r="AD109" s="91">
        <f>IF(AC$111=0,0,AC109/AC$111)</f>
        <v>0</v>
      </c>
      <c r="AE109" s="17"/>
      <c r="AF109" s="17"/>
      <c r="AG109" s="116">
        <f>'HH WITH COM #7'!$Y$126</f>
        <v>0</v>
      </c>
      <c r="AH109" s="373">
        <f>IF(AG$111=0,0,AG109/AG$111)</f>
        <v>0</v>
      </c>
      <c r="AI109" s="391"/>
      <c r="AJ109" s="17"/>
      <c r="AK109" s="539">
        <f t="shared" si="129"/>
        <v>0</v>
      </c>
      <c r="AL109" s="91">
        <f>IF(AK$111=0,0,AK109/AK$111)</f>
        <v>0</v>
      </c>
    </row>
    <row r="110" spans="1:38" s="117" customFormat="1" ht="16.5" customHeight="1" x14ac:dyDescent="0.25">
      <c r="A110" s="119"/>
      <c r="B110" s="119"/>
      <c r="C110" s="137"/>
      <c r="D110" s="484" t="s">
        <v>919</v>
      </c>
      <c r="E110" s="105"/>
      <c r="F110" s="76"/>
      <c r="G110" s="17"/>
      <c r="H110" s="17"/>
      <c r="I110" s="116">
        <f>'HH WITH COM #1 '!$Y$127</f>
        <v>0</v>
      </c>
      <c r="J110" s="91">
        <f>IF(I$111=0,0,I110/I$111)</f>
        <v>0</v>
      </c>
      <c r="K110" s="17"/>
      <c r="L110" s="17"/>
      <c r="M110" s="116">
        <f>'HH WITH COM #2'!$Y$127</f>
        <v>0</v>
      </c>
      <c r="N110" s="91">
        <f>IF(M$111=0,0,M110/M$111)</f>
        <v>0</v>
      </c>
      <c r="O110" s="17"/>
      <c r="P110" s="17"/>
      <c r="Q110" s="116">
        <f>'HH WITH COM #3'!$Y$127</f>
        <v>0</v>
      </c>
      <c r="R110" s="91">
        <f>IF(Q$111=0,0,Q110/Q$111)</f>
        <v>0</v>
      </c>
      <c r="S110" s="17"/>
      <c r="T110" s="17"/>
      <c r="U110" s="116">
        <f>'HH WITH COM #4'!$Y$127</f>
        <v>0</v>
      </c>
      <c r="V110" s="91">
        <f>IF(U$111=0,0,U110/U$111)</f>
        <v>0</v>
      </c>
      <c r="W110" s="17"/>
      <c r="X110" s="17"/>
      <c r="Y110" s="116">
        <f>'HH WITH COM #5'!$Y$127</f>
        <v>0</v>
      </c>
      <c r="Z110" s="91">
        <f>IF(Y$111=0,0,Y110/Y$111)</f>
        <v>0</v>
      </c>
      <c r="AA110" s="17"/>
      <c r="AB110" s="17"/>
      <c r="AC110" s="116">
        <f>'HH WITH COM #6'!$Y$127</f>
        <v>0</v>
      </c>
      <c r="AD110" s="91">
        <f>IF(AC$111=0,0,AC110/AC$111)</f>
        <v>0</v>
      </c>
      <c r="AE110" s="17"/>
      <c r="AF110" s="17"/>
      <c r="AG110" s="116">
        <f>'HH WITH COM #7'!$Y$127</f>
        <v>0</v>
      </c>
      <c r="AH110" s="373">
        <f>IF(AG$111=0,0,AG110/AG$111)</f>
        <v>0</v>
      </c>
      <c r="AI110" s="391"/>
      <c r="AJ110" s="17"/>
      <c r="AK110" s="539">
        <f t="shared" si="129"/>
        <v>0</v>
      </c>
      <c r="AL110" s="91">
        <f>IF(AK$111=0,0,AK110/AK$111)</f>
        <v>0</v>
      </c>
    </row>
    <row r="111" spans="1:38" s="117" customFormat="1" ht="16.5" customHeight="1" x14ac:dyDescent="0.25">
      <c r="A111" s="119"/>
      <c r="B111" s="40"/>
      <c r="C111" s="40"/>
      <c r="D111" s="485"/>
      <c r="E111" s="486"/>
      <c r="F111" s="79"/>
      <c r="G111" s="82"/>
      <c r="H111" s="82"/>
      <c r="I111" s="82">
        <f>SUM(I107:I110)</f>
        <v>2</v>
      </c>
      <c r="J111" s="66">
        <f>IF(I$111=0,0,I111/I$111)</f>
        <v>1</v>
      </c>
      <c r="K111" s="82"/>
      <c r="L111" s="82"/>
      <c r="M111" s="82">
        <f>SUM(M107:M110)</f>
        <v>2</v>
      </c>
      <c r="N111" s="66">
        <f>IF(M$111=0,0,M111/M$111)</f>
        <v>1</v>
      </c>
      <c r="O111" s="82"/>
      <c r="P111" s="82"/>
      <c r="Q111" s="82">
        <f>SUM(Q107:Q110)</f>
        <v>1</v>
      </c>
      <c r="R111" s="66">
        <f>IF(Q$111=0,0,Q111/Q$111)</f>
        <v>1</v>
      </c>
      <c r="S111" s="82"/>
      <c r="T111" s="82"/>
      <c r="U111" s="82">
        <f>SUM(U107:U110)</f>
        <v>2</v>
      </c>
      <c r="V111" s="66">
        <f>IF(U$111=0,0,U111/U$111)</f>
        <v>1</v>
      </c>
      <c r="W111" s="82"/>
      <c r="X111" s="82"/>
      <c r="Y111" s="82">
        <f>SUM(Y107:Y110)</f>
        <v>3</v>
      </c>
      <c r="Z111" s="66">
        <f>IF(Y$111=0,0,Y111/Y$111)</f>
        <v>1</v>
      </c>
      <c r="AA111" s="82"/>
      <c r="AB111" s="82"/>
      <c r="AC111" s="82">
        <f>SUM(AC107:AC110)</f>
        <v>2</v>
      </c>
      <c r="AD111" s="66">
        <f>IF(AC$111=0,0,AC111/AC$111)</f>
        <v>1</v>
      </c>
      <c r="AE111" s="82"/>
      <c r="AF111" s="82"/>
      <c r="AG111" s="82">
        <f>SUM(AG107:AG110)</f>
        <v>0</v>
      </c>
      <c r="AH111" s="608">
        <f>IF(AG$111=0,0,AG111/AG$111)</f>
        <v>0</v>
      </c>
      <c r="AI111" s="381"/>
      <c r="AJ111" s="82"/>
      <c r="AK111" s="82">
        <f t="shared" si="129"/>
        <v>12</v>
      </c>
      <c r="AL111" s="66">
        <f>IF(AK$111=0,0,AK111/AK$111)</f>
        <v>1</v>
      </c>
    </row>
    <row r="112" spans="1:38" ht="16.5" customHeight="1" x14ac:dyDescent="0.25">
      <c r="A112" s="47"/>
      <c r="B112" s="470"/>
      <c r="C112" s="40"/>
      <c r="D112" s="464" t="s">
        <v>920</v>
      </c>
      <c r="E112" s="464"/>
      <c r="F112" s="465"/>
      <c r="G112" s="66"/>
      <c r="H112" s="66"/>
      <c r="I112" s="66">
        <f>IF(I$14=0,0,I110/I$14)</f>
        <v>0</v>
      </c>
      <c r="J112" s="66"/>
      <c r="K112" s="66"/>
      <c r="L112" s="66"/>
      <c r="M112" s="66">
        <f>IF(M$14=0,0,M110/M$14)</f>
        <v>0</v>
      </c>
      <c r="N112" s="66"/>
      <c r="O112" s="66"/>
      <c r="P112" s="66"/>
      <c r="Q112" s="66">
        <f>IF(Q$14=0,0,Q110/Q$14)</f>
        <v>0</v>
      </c>
      <c r="R112" s="66"/>
      <c r="S112" s="66"/>
      <c r="T112" s="66"/>
      <c r="U112" s="66">
        <f>IF(U$14=0,0,U110/U$14)</f>
        <v>0</v>
      </c>
      <c r="V112" s="66"/>
      <c r="W112" s="66"/>
      <c r="X112" s="66"/>
      <c r="Y112" s="66">
        <f>IF(Y$14=0,0,Y110/Y$14)</f>
        <v>0</v>
      </c>
      <c r="Z112" s="66"/>
      <c r="AA112" s="66"/>
      <c r="AB112" s="66"/>
      <c r="AC112" s="66">
        <f>IF(AC$14=0,0,AC110/AC$14)</f>
        <v>0</v>
      </c>
      <c r="AD112" s="66"/>
      <c r="AE112" s="66"/>
      <c r="AF112" s="66"/>
      <c r="AG112" s="66">
        <f>IF(AG$14=0,0,AG110/AG$14)</f>
        <v>0</v>
      </c>
      <c r="AH112" s="608"/>
      <c r="AI112" s="619"/>
      <c r="AJ112" s="66"/>
      <c r="AK112" s="66">
        <f>IF(AK$14=0,0,AK110/AK$14)</f>
        <v>0</v>
      </c>
      <c r="AL112" s="66"/>
    </row>
    <row r="113" spans="1:38" ht="16.5" customHeight="1" x14ac:dyDescent="0.25">
      <c r="A113" s="47"/>
      <c r="B113" s="470"/>
      <c r="C113" s="103" t="s">
        <v>99</v>
      </c>
      <c r="D113" s="85" t="s">
        <v>921</v>
      </c>
      <c r="E113" s="487"/>
      <c r="F113" s="488"/>
      <c r="G113" s="17"/>
      <c r="H113" s="17"/>
      <c r="I113" s="116">
        <f>'HH WITH COM #1 '!$Y$133</f>
        <v>0</v>
      </c>
      <c r="J113" s="91"/>
      <c r="K113" s="17"/>
      <c r="L113" s="17"/>
      <c r="M113" s="116">
        <f>'HH WITH COM #2'!$Y$133</f>
        <v>0</v>
      </c>
      <c r="N113" s="91"/>
      <c r="O113" s="17"/>
      <c r="P113" s="17"/>
      <c r="Q113" s="116">
        <f>'HH WITH COM #3'!$Y$133</f>
        <v>0</v>
      </c>
      <c r="R113" s="91"/>
      <c r="S113" s="17"/>
      <c r="T113" s="17"/>
      <c r="U113" s="116">
        <f>'HH WITH COM #4'!$Y$133</f>
        <v>0</v>
      </c>
      <c r="V113" s="91"/>
      <c r="W113" s="17"/>
      <c r="X113" s="17"/>
      <c r="Y113" s="116">
        <f>'HH WITH COM #5'!$Y$133</f>
        <v>0</v>
      </c>
      <c r="Z113" s="91"/>
      <c r="AA113" s="17"/>
      <c r="AB113" s="17"/>
      <c r="AC113" s="116">
        <f>'HH WITH COM #6'!$Y$133</f>
        <v>0</v>
      </c>
      <c r="AD113" s="91"/>
      <c r="AE113" s="17"/>
      <c r="AF113" s="17"/>
      <c r="AG113" s="116">
        <f>'HH WITH COM #7'!$Y$133</f>
        <v>0</v>
      </c>
      <c r="AH113" s="373"/>
      <c r="AI113" s="391"/>
      <c r="AJ113" s="17"/>
      <c r="AK113" s="539">
        <f t="shared" si="129"/>
        <v>0</v>
      </c>
      <c r="AL113" s="91"/>
    </row>
    <row r="114" spans="1:38" ht="16.5" customHeight="1" x14ac:dyDescent="0.25">
      <c r="A114" s="47"/>
      <c r="B114" s="470"/>
      <c r="C114" s="40"/>
      <c r="D114" s="464" t="s">
        <v>854</v>
      </c>
      <c r="E114" s="464"/>
      <c r="F114" s="465"/>
      <c r="G114" s="66"/>
      <c r="H114" s="66"/>
      <c r="I114" s="66">
        <f>IF(I$14=0,0,I113/I$14)</f>
        <v>0</v>
      </c>
      <c r="J114" s="66"/>
      <c r="K114" s="66"/>
      <c r="L114" s="66"/>
      <c r="M114" s="66">
        <f>IF(M$14=0,0,M113/M$14)</f>
        <v>0</v>
      </c>
      <c r="N114" s="66"/>
      <c r="O114" s="66"/>
      <c r="P114" s="66"/>
      <c r="Q114" s="66">
        <f>IF(Q$14=0,0,Q113/Q$14)</f>
        <v>0</v>
      </c>
      <c r="R114" s="66"/>
      <c r="S114" s="66"/>
      <c r="T114" s="66"/>
      <c r="U114" s="66">
        <f>IF(U$14=0,0,U113/U$14)</f>
        <v>0</v>
      </c>
      <c r="V114" s="66"/>
      <c r="W114" s="66"/>
      <c r="X114" s="66"/>
      <c r="Y114" s="66">
        <f>IF(Y$14=0,0,Y113/Y$14)</f>
        <v>0</v>
      </c>
      <c r="Z114" s="66"/>
      <c r="AA114" s="66"/>
      <c r="AB114" s="66"/>
      <c r="AC114" s="66">
        <f>IF(AC$14=0,0,AC113/AC$14)</f>
        <v>0</v>
      </c>
      <c r="AD114" s="66"/>
      <c r="AE114" s="66"/>
      <c r="AF114" s="66"/>
      <c r="AG114" s="66">
        <f>IF(AG$14=0,0,AG113/AG$14)</f>
        <v>0</v>
      </c>
      <c r="AH114" s="608"/>
      <c r="AI114" s="619"/>
      <c r="AJ114" s="66"/>
      <c r="AK114" s="66">
        <f>IF(AK$14=0,0,AK113/AK$14)</f>
        <v>0</v>
      </c>
      <c r="AL114" s="66"/>
    </row>
    <row r="115" spans="1:38" s="97" customFormat="1" ht="16.5" customHeight="1" x14ac:dyDescent="0.25">
      <c r="A115" s="68"/>
      <c r="B115" s="68"/>
      <c r="C115" s="68"/>
      <c r="D115" s="166"/>
      <c r="E115" s="458"/>
      <c r="F115" s="458"/>
      <c r="G115" s="466"/>
      <c r="H115" s="466"/>
      <c r="I115" s="466"/>
      <c r="J115" s="466"/>
      <c r="K115" s="466"/>
      <c r="L115" s="466"/>
      <c r="M115" s="466"/>
      <c r="N115" s="466"/>
      <c r="O115" s="466"/>
      <c r="P115" s="466"/>
      <c r="Q115" s="466"/>
      <c r="R115" s="466"/>
      <c r="S115" s="466"/>
      <c r="T115" s="466"/>
      <c r="U115" s="466"/>
      <c r="V115" s="466"/>
      <c r="W115" s="466"/>
      <c r="X115" s="466"/>
      <c r="Y115" s="466"/>
      <c r="Z115" s="466"/>
      <c r="AA115" s="466"/>
      <c r="AB115" s="466"/>
      <c r="AC115" s="466"/>
      <c r="AD115" s="466"/>
      <c r="AE115" s="466"/>
      <c r="AF115" s="466"/>
      <c r="AG115" s="466"/>
      <c r="AH115" s="466"/>
      <c r="AI115" s="466"/>
      <c r="AJ115" s="466"/>
      <c r="AK115" s="466"/>
      <c r="AL115" s="466"/>
    </row>
    <row r="116" spans="1:38" s="456" customFormat="1" ht="16.5" customHeight="1" thickBot="1" x14ac:dyDescent="0.3">
      <c r="A116" s="24" t="s">
        <v>100</v>
      </c>
      <c r="B116" s="453" t="s">
        <v>101</v>
      </c>
      <c r="C116" s="26"/>
      <c r="D116" s="454"/>
      <c r="E116" s="454"/>
      <c r="F116" s="455"/>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606"/>
      <c r="AI116" s="630"/>
      <c r="AJ116" s="24"/>
      <c r="AK116" s="24"/>
      <c r="AL116" s="24"/>
    </row>
    <row r="117" spans="1:38" s="117" customFormat="1" ht="16.5" customHeight="1" x14ac:dyDescent="0.25">
      <c r="A117" s="119"/>
      <c r="B117" s="41" t="s">
        <v>102</v>
      </c>
      <c r="C117" s="476" t="s">
        <v>924</v>
      </c>
      <c r="D117" s="477"/>
      <c r="E117" s="478"/>
      <c r="F117" s="478"/>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355"/>
      <c r="AI117" s="631"/>
      <c r="AJ117" s="272"/>
      <c r="AK117" s="272"/>
      <c r="AL117" s="272"/>
    </row>
    <row r="118" spans="1:38" ht="16.5" customHeight="1" x14ac:dyDescent="0.25">
      <c r="A118" s="40"/>
      <c r="B118" s="40"/>
      <c r="C118" s="473" t="s">
        <v>104</v>
      </c>
      <c r="D118" s="526" t="s">
        <v>404</v>
      </c>
      <c r="E118" s="417"/>
      <c r="F118" s="417"/>
      <c r="G118" s="17">
        <f>'HH WITH COM #1 '!$W$137</f>
        <v>25</v>
      </c>
      <c r="H118" s="17">
        <f>'HH WITH COM #1 '!$X$137</f>
        <v>225</v>
      </c>
      <c r="I118" s="116">
        <f>SUM(G118:H118)</f>
        <v>250</v>
      </c>
      <c r="J118" s="91">
        <f>IF(I$128=0,0,I118/I$128)</f>
        <v>0.95419847328244278</v>
      </c>
      <c r="K118" s="17">
        <f>'HH WITH COM #2'!$W$137</f>
        <v>0</v>
      </c>
      <c r="L118" s="17">
        <f>'HH WITH COM #2'!$X$137</f>
        <v>0</v>
      </c>
      <c r="M118" s="116">
        <f>SUM(K118:L118)</f>
        <v>0</v>
      </c>
      <c r="N118" s="91">
        <f>IF(M$128=0,0,M118/M$128)</f>
        <v>0</v>
      </c>
      <c r="O118" s="17">
        <f>'HH WITH COM #3'!$W$137</f>
        <v>0</v>
      </c>
      <c r="P118" s="17">
        <f>'HH WITH COM #3'!$X$137</f>
        <v>0</v>
      </c>
      <c r="Q118" s="116">
        <f>SUM(O118:P118)</f>
        <v>0</v>
      </c>
      <c r="R118" s="91">
        <f>IF(Q$128=0,0,Q118/Q$128)</f>
        <v>0</v>
      </c>
      <c r="S118" s="17">
        <f>'HH WITH COM #4'!$W$137</f>
        <v>0</v>
      </c>
      <c r="T118" s="17">
        <f>'HH WITH COM #4'!$X$137</f>
        <v>0</v>
      </c>
      <c r="U118" s="116">
        <f>SUM(S118:T118)</f>
        <v>0</v>
      </c>
      <c r="V118" s="91">
        <f>IF(U$128=0,0,U118/U$128)</f>
        <v>0</v>
      </c>
      <c r="W118" s="17">
        <f>'HH WITH COM #5'!$W$137</f>
        <v>0</v>
      </c>
      <c r="X118" s="17">
        <f>'HH WITH COM #5'!$X$137</f>
        <v>0</v>
      </c>
      <c r="Y118" s="116">
        <f>SUM(W118:X118)</f>
        <v>0</v>
      </c>
      <c r="Z118" s="91">
        <f>IF(Y$128=0,0,Y118/Y$128)</f>
        <v>0</v>
      </c>
      <c r="AA118" s="17">
        <f>'HH WITH COM #6'!$W$137</f>
        <v>0</v>
      </c>
      <c r="AB118" s="17">
        <f>'HH WITH COM #6'!$X$137</f>
        <v>0</v>
      </c>
      <c r="AC118" s="116">
        <f>SUM(AA118:AB118)</f>
        <v>0</v>
      </c>
      <c r="AD118" s="91">
        <f>IF(AC$128=0,0,AC118/AC$128)</f>
        <v>0</v>
      </c>
      <c r="AE118" s="17">
        <f>'HH WITH COM #7'!$W$137</f>
        <v>0</v>
      </c>
      <c r="AF118" s="17">
        <f>'HH WITH COM #7'!$X$137</f>
        <v>0</v>
      </c>
      <c r="AG118" s="116">
        <f>SUM(AE118:AF118)</f>
        <v>0</v>
      </c>
      <c r="AH118" s="373">
        <f>IF(AG$128=0,0,AG118/AG$128)</f>
        <v>0</v>
      </c>
      <c r="AI118" s="391">
        <f t="shared" ref="AI118:AI127" si="130">G118+K118+O118+S118+W118+AA118+AE118</f>
        <v>25</v>
      </c>
      <c r="AJ118" s="17">
        <f t="shared" ref="AJ118:AJ127" si="131">H118+L118+P118+T118+X118+AB118+AF118</f>
        <v>225</v>
      </c>
      <c r="AK118" s="539">
        <f>SUM(AI118:AJ118)</f>
        <v>250</v>
      </c>
      <c r="AL118" s="91">
        <f>IF(AK$128=0,0,AK118/AK$128)</f>
        <v>0.95419847328244278</v>
      </c>
    </row>
    <row r="119" spans="1:38" ht="16.5" customHeight="1" x14ac:dyDescent="0.25">
      <c r="A119" s="40"/>
      <c r="B119" s="40"/>
      <c r="C119" s="473" t="s">
        <v>105</v>
      </c>
      <c r="D119" s="526" t="s">
        <v>405</v>
      </c>
      <c r="E119" s="417"/>
      <c r="F119" s="417"/>
      <c r="G119" s="17">
        <f>'HH WITH COM #1 '!$W$138</f>
        <v>0</v>
      </c>
      <c r="H119" s="17">
        <f>'HH WITH COM #1 '!$X$138</f>
        <v>1</v>
      </c>
      <c r="I119" s="116">
        <f t="shared" ref="I119:I127" si="132">SUM(G119:H119)</f>
        <v>1</v>
      </c>
      <c r="J119" s="91">
        <f t="shared" ref="J119:J127" si="133">IF(I$128=0,0,I119/I$128)</f>
        <v>3.8167938931297708E-3</v>
      </c>
      <c r="K119" s="17">
        <f>'HH WITH COM #2'!$W$138</f>
        <v>0</v>
      </c>
      <c r="L119" s="17">
        <f>'HH WITH COM #2'!$X$138</f>
        <v>0</v>
      </c>
      <c r="M119" s="116">
        <f t="shared" ref="M119:M127" si="134">SUM(K119:L119)</f>
        <v>0</v>
      </c>
      <c r="N119" s="91">
        <f t="shared" ref="N119:N127" si="135">IF(M$128=0,0,M119/M$128)</f>
        <v>0</v>
      </c>
      <c r="O119" s="17">
        <f>'HH WITH COM #3'!$W$138</f>
        <v>0</v>
      </c>
      <c r="P119" s="17">
        <f>'HH WITH COM #3'!$X$138</f>
        <v>0</v>
      </c>
      <c r="Q119" s="116">
        <f t="shared" ref="Q119:Q127" si="136">SUM(O119:P119)</f>
        <v>0</v>
      </c>
      <c r="R119" s="91">
        <f t="shared" ref="R119:R127" si="137">IF(Q$128=0,0,Q119/Q$128)</f>
        <v>0</v>
      </c>
      <c r="S119" s="17">
        <f>'HH WITH COM #4'!$W$138</f>
        <v>0</v>
      </c>
      <c r="T119" s="17">
        <f>'HH WITH COM #4'!$X$138</f>
        <v>0</v>
      </c>
      <c r="U119" s="116">
        <f t="shared" ref="U119:U127" si="138">SUM(S119:T119)</f>
        <v>0</v>
      </c>
      <c r="V119" s="91">
        <f t="shared" ref="V119:V127" si="139">IF(U$128=0,0,U119/U$128)</f>
        <v>0</v>
      </c>
      <c r="W119" s="17">
        <f>'HH WITH COM #5'!$W$138</f>
        <v>0</v>
      </c>
      <c r="X119" s="17">
        <f>'HH WITH COM #5'!$X$138</f>
        <v>0</v>
      </c>
      <c r="Y119" s="116">
        <f t="shared" ref="Y119:Y127" si="140">SUM(W119:X119)</f>
        <v>0</v>
      </c>
      <c r="Z119" s="91">
        <f t="shared" ref="Z119:Z127" si="141">IF(Y$128=0,0,Y119/Y$128)</f>
        <v>0</v>
      </c>
      <c r="AA119" s="17">
        <f>'HH WITH COM #6'!$W$138</f>
        <v>0</v>
      </c>
      <c r="AB119" s="17">
        <f>'HH WITH COM #6'!$X$138</f>
        <v>0</v>
      </c>
      <c r="AC119" s="116">
        <f t="shared" ref="AC119:AC127" si="142">SUM(AA119:AB119)</f>
        <v>0</v>
      </c>
      <c r="AD119" s="91">
        <f t="shared" ref="AD119:AD127" si="143">IF(AC$128=0,0,AC119/AC$128)</f>
        <v>0</v>
      </c>
      <c r="AE119" s="17">
        <f>'HH WITH COM #7'!$W$138</f>
        <v>0</v>
      </c>
      <c r="AF119" s="17">
        <f>'HH WITH COM #7'!$X$138</f>
        <v>0</v>
      </c>
      <c r="AG119" s="116">
        <f t="shared" ref="AG119:AG127" si="144">SUM(AE119:AF119)</f>
        <v>0</v>
      </c>
      <c r="AH119" s="373">
        <f t="shared" ref="AH119:AH127" si="145">IF(AG$128=0,0,AG119/AG$128)</f>
        <v>0</v>
      </c>
      <c r="AI119" s="391">
        <f t="shared" si="130"/>
        <v>0</v>
      </c>
      <c r="AJ119" s="17">
        <f t="shared" si="131"/>
        <v>1</v>
      </c>
      <c r="AK119" s="539">
        <f t="shared" ref="AK119:AK127" si="146">SUM(AI119:AJ119)</f>
        <v>1</v>
      </c>
      <c r="AL119" s="91">
        <f t="shared" ref="AL119:AL127" si="147">IF(AK$128=0,0,AK119/AK$128)</f>
        <v>3.8167938931297708E-3</v>
      </c>
    </row>
    <row r="120" spans="1:38" ht="16.5" customHeight="1" x14ac:dyDescent="0.25">
      <c r="A120" s="40"/>
      <c r="B120" s="40"/>
      <c r="C120" s="473" t="s">
        <v>106</v>
      </c>
      <c r="D120" s="526" t="s">
        <v>406</v>
      </c>
      <c r="E120" s="417"/>
      <c r="F120" s="417"/>
      <c r="G120" s="17">
        <f>'HH WITH COM #1 '!$W$139</f>
        <v>2</v>
      </c>
      <c r="H120" s="17">
        <f>'HH WITH COM #1 '!$X$139</f>
        <v>3</v>
      </c>
      <c r="I120" s="116">
        <f t="shared" si="132"/>
        <v>5</v>
      </c>
      <c r="J120" s="91">
        <f t="shared" si="133"/>
        <v>1.9083969465648856E-2</v>
      </c>
      <c r="K120" s="17">
        <f>'HH WITH COM #2'!$W$139</f>
        <v>0</v>
      </c>
      <c r="L120" s="17">
        <f>'HH WITH COM #2'!$X$139</f>
        <v>0</v>
      </c>
      <c r="M120" s="116">
        <f t="shared" si="134"/>
        <v>0</v>
      </c>
      <c r="N120" s="91">
        <f t="shared" si="135"/>
        <v>0</v>
      </c>
      <c r="O120" s="17">
        <f>'HH WITH COM #3'!$W$139</f>
        <v>0</v>
      </c>
      <c r="P120" s="17">
        <f>'HH WITH COM #3'!$X$139</f>
        <v>0</v>
      </c>
      <c r="Q120" s="116">
        <f t="shared" si="136"/>
        <v>0</v>
      </c>
      <c r="R120" s="91">
        <f t="shared" si="137"/>
        <v>0</v>
      </c>
      <c r="S120" s="17">
        <f>'HH WITH COM #4'!$W$139</f>
        <v>0</v>
      </c>
      <c r="T120" s="17">
        <f>'HH WITH COM #4'!$X$139</f>
        <v>0</v>
      </c>
      <c r="U120" s="116">
        <f t="shared" si="138"/>
        <v>0</v>
      </c>
      <c r="V120" s="91">
        <f t="shared" si="139"/>
        <v>0</v>
      </c>
      <c r="W120" s="17">
        <f>'HH WITH COM #5'!$W$139</f>
        <v>0</v>
      </c>
      <c r="X120" s="17">
        <f>'HH WITH COM #5'!$X$139</f>
        <v>0</v>
      </c>
      <c r="Y120" s="116">
        <f t="shared" si="140"/>
        <v>0</v>
      </c>
      <c r="Z120" s="91">
        <f t="shared" si="141"/>
        <v>0</v>
      </c>
      <c r="AA120" s="17">
        <f>'HH WITH COM #6'!$W$139</f>
        <v>0</v>
      </c>
      <c r="AB120" s="17">
        <f>'HH WITH COM #6'!$X$139</f>
        <v>0</v>
      </c>
      <c r="AC120" s="116">
        <f t="shared" si="142"/>
        <v>0</v>
      </c>
      <c r="AD120" s="91">
        <f t="shared" si="143"/>
        <v>0</v>
      </c>
      <c r="AE120" s="17">
        <f>'HH WITH COM #7'!$W$139</f>
        <v>0</v>
      </c>
      <c r="AF120" s="17">
        <f>'HH WITH COM #7'!$X$139</f>
        <v>0</v>
      </c>
      <c r="AG120" s="116">
        <f t="shared" si="144"/>
        <v>0</v>
      </c>
      <c r="AH120" s="373">
        <f t="shared" si="145"/>
        <v>0</v>
      </c>
      <c r="AI120" s="391">
        <f t="shared" si="130"/>
        <v>2</v>
      </c>
      <c r="AJ120" s="17">
        <f t="shared" si="131"/>
        <v>3</v>
      </c>
      <c r="AK120" s="539">
        <f t="shared" si="146"/>
        <v>5</v>
      </c>
      <c r="AL120" s="91">
        <f t="shared" si="147"/>
        <v>1.9083969465648856E-2</v>
      </c>
    </row>
    <row r="121" spans="1:38" ht="16.5" customHeight="1" x14ac:dyDescent="0.25">
      <c r="A121" s="40"/>
      <c r="B121" s="40"/>
      <c r="C121" s="473" t="s">
        <v>107</v>
      </c>
      <c r="D121" s="526" t="s">
        <v>407</v>
      </c>
      <c r="E121" s="75"/>
      <c r="F121" s="75"/>
      <c r="G121" s="17">
        <f>'HH WITH COM #1 '!$W$140</f>
        <v>1</v>
      </c>
      <c r="H121" s="17">
        <f>'HH WITH COM #1 '!$X$140</f>
        <v>5</v>
      </c>
      <c r="I121" s="116">
        <f t="shared" si="132"/>
        <v>6</v>
      </c>
      <c r="J121" s="91">
        <f t="shared" si="133"/>
        <v>2.2900763358778626E-2</v>
      </c>
      <c r="K121" s="17">
        <f>'HH WITH COM #2'!$W$140</f>
        <v>0</v>
      </c>
      <c r="L121" s="17">
        <f>'HH WITH COM #2'!$X$140</f>
        <v>0</v>
      </c>
      <c r="M121" s="116">
        <f t="shared" si="134"/>
        <v>0</v>
      </c>
      <c r="N121" s="91">
        <f t="shared" si="135"/>
        <v>0</v>
      </c>
      <c r="O121" s="17">
        <f>'HH WITH COM #3'!$W$140</f>
        <v>0</v>
      </c>
      <c r="P121" s="17">
        <f>'HH WITH COM #3'!$X$140</f>
        <v>0</v>
      </c>
      <c r="Q121" s="116">
        <f t="shared" si="136"/>
        <v>0</v>
      </c>
      <c r="R121" s="91">
        <f t="shared" si="137"/>
        <v>0</v>
      </c>
      <c r="S121" s="17">
        <f>'HH WITH COM #4'!$W$140</f>
        <v>0</v>
      </c>
      <c r="T121" s="17">
        <f>'HH WITH COM #4'!$X$140</f>
        <v>0</v>
      </c>
      <c r="U121" s="116">
        <f t="shared" si="138"/>
        <v>0</v>
      </c>
      <c r="V121" s="91">
        <f t="shared" si="139"/>
        <v>0</v>
      </c>
      <c r="W121" s="17">
        <f>'HH WITH COM #5'!$W$140</f>
        <v>0</v>
      </c>
      <c r="X121" s="17">
        <f>'HH WITH COM #5'!$X$140</f>
        <v>0</v>
      </c>
      <c r="Y121" s="116">
        <f t="shared" si="140"/>
        <v>0</v>
      </c>
      <c r="Z121" s="91">
        <f t="shared" si="141"/>
        <v>0</v>
      </c>
      <c r="AA121" s="17">
        <f>'HH WITH COM #6'!$W$140</f>
        <v>0</v>
      </c>
      <c r="AB121" s="17">
        <f>'HH WITH COM #6'!$X$140</f>
        <v>0</v>
      </c>
      <c r="AC121" s="116">
        <f t="shared" si="142"/>
        <v>0</v>
      </c>
      <c r="AD121" s="91">
        <f t="shared" si="143"/>
        <v>0</v>
      </c>
      <c r="AE121" s="17">
        <f>'HH WITH COM #7'!$W$140</f>
        <v>0</v>
      </c>
      <c r="AF121" s="17">
        <f>'HH WITH COM #7'!$X$140</f>
        <v>0</v>
      </c>
      <c r="AG121" s="116">
        <f t="shared" si="144"/>
        <v>0</v>
      </c>
      <c r="AH121" s="373">
        <f t="shared" si="145"/>
        <v>0</v>
      </c>
      <c r="AI121" s="391">
        <f t="shared" si="130"/>
        <v>1</v>
      </c>
      <c r="AJ121" s="17">
        <f t="shared" si="131"/>
        <v>5</v>
      </c>
      <c r="AK121" s="539">
        <f t="shared" si="146"/>
        <v>6</v>
      </c>
      <c r="AL121" s="91">
        <f t="shared" si="147"/>
        <v>2.2900763358778626E-2</v>
      </c>
    </row>
    <row r="122" spans="1:38" ht="16.5" customHeight="1" x14ac:dyDescent="0.25">
      <c r="A122" s="40"/>
      <c r="B122" s="40"/>
      <c r="C122" s="467" t="s">
        <v>108</v>
      </c>
      <c r="D122" s="526" t="s">
        <v>408</v>
      </c>
      <c r="E122" s="417"/>
      <c r="F122" s="417"/>
      <c r="G122" s="17">
        <f>'HH WITH COM #1 '!$W$141</f>
        <v>0</v>
      </c>
      <c r="H122" s="17">
        <f>'HH WITH COM #1 '!$X$141</f>
        <v>0</v>
      </c>
      <c r="I122" s="116">
        <f t="shared" si="132"/>
        <v>0</v>
      </c>
      <c r="J122" s="91">
        <f t="shared" si="133"/>
        <v>0</v>
      </c>
      <c r="K122" s="17">
        <f>'HH WITH COM #2'!$W$141</f>
        <v>0</v>
      </c>
      <c r="L122" s="17">
        <f>'HH WITH COM #2'!$X$141</f>
        <v>0</v>
      </c>
      <c r="M122" s="116">
        <f t="shared" si="134"/>
        <v>0</v>
      </c>
      <c r="N122" s="91">
        <f t="shared" si="135"/>
        <v>0</v>
      </c>
      <c r="O122" s="17">
        <f>'HH WITH COM #3'!$W$141</f>
        <v>0</v>
      </c>
      <c r="P122" s="17">
        <f>'HH WITH COM #3'!$X$141</f>
        <v>0</v>
      </c>
      <c r="Q122" s="116">
        <f t="shared" si="136"/>
        <v>0</v>
      </c>
      <c r="R122" s="91">
        <f t="shared" si="137"/>
        <v>0</v>
      </c>
      <c r="S122" s="17">
        <f>'HH WITH COM #4'!$W$141</f>
        <v>0</v>
      </c>
      <c r="T122" s="17">
        <f>'HH WITH COM #4'!$X$141</f>
        <v>0</v>
      </c>
      <c r="U122" s="116">
        <f t="shared" si="138"/>
        <v>0</v>
      </c>
      <c r="V122" s="91">
        <f t="shared" si="139"/>
        <v>0</v>
      </c>
      <c r="W122" s="17">
        <f>'HH WITH COM #5'!$W$141</f>
        <v>0</v>
      </c>
      <c r="X122" s="17">
        <f>'HH WITH COM #5'!$X$141</f>
        <v>0</v>
      </c>
      <c r="Y122" s="116">
        <f t="shared" si="140"/>
        <v>0</v>
      </c>
      <c r="Z122" s="91">
        <f t="shared" si="141"/>
        <v>0</v>
      </c>
      <c r="AA122" s="17">
        <f>'HH WITH COM #6'!$W$141</f>
        <v>0</v>
      </c>
      <c r="AB122" s="17">
        <f>'HH WITH COM #6'!$X$141</f>
        <v>0</v>
      </c>
      <c r="AC122" s="116">
        <f t="shared" si="142"/>
        <v>0</v>
      </c>
      <c r="AD122" s="91">
        <f t="shared" si="143"/>
        <v>0</v>
      </c>
      <c r="AE122" s="17">
        <f>'HH WITH COM #7'!$W$141</f>
        <v>0</v>
      </c>
      <c r="AF122" s="17">
        <f>'HH WITH COM #7'!$X$141</f>
        <v>0</v>
      </c>
      <c r="AG122" s="116">
        <f t="shared" si="144"/>
        <v>0</v>
      </c>
      <c r="AH122" s="373">
        <f t="shared" si="145"/>
        <v>0</v>
      </c>
      <c r="AI122" s="391">
        <f t="shared" si="130"/>
        <v>0</v>
      </c>
      <c r="AJ122" s="17">
        <f t="shared" si="131"/>
        <v>0</v>
      </c>
      <c r="AK122" s="539">
        <f t="shared" si="146"/>
        <v>0</v>
      </c>
      <c r="AL122" s="91">
        <f t="shared" si="147"/>
        <v>0</v>
      </c>
    </row>
    <row r="123" spans="1:38" ht="16.5" customHeight="1" x14ac:dyDescent="0.25">
      <c r="A123" s="40"/>
      <c r="B123" s="40"/>
      <c r="C123" s="473" t="s">
        <v>399</v>
      </c>
      <c r="D123" s="526" t="s">
        <v>409</v>
      </c>
      <c r="E123" s="417"/>
      <c r="F123" s="417"/>
      <c r="G123" s="17">
        <f>'HH WITH COM #1 '!$W$142</f>
        <v>0</v>
      </c>
      <c r="H123" s="17">
        <f>'HH WITH COM #1 '!$X$142</f>
        <v>0</v>
      </c>
      <c r="I123" s="116">
        <f t="shared" si="132"/>
        <v>0</v>
      </c>
      <c r="J123" s="91">
        <f t="shared" si="133"/>
        <v>0</v>
      </c>
      <c r="K123" s="17">
        <f>'HH WITH COM #2'!$W$142</f>
        <v>0</v>
      </c>
      <c r="L123" s="17">
        <f>'HH WITH COM #2'!$X$142</f>
        <v>0</v>
      </c>
      <c r="M123" s="116">
        <f t="shared" si="134"/>
        <v>0</v>
      </c>
      <c r="N123" s="91">
        <f t="shared" si="135"/>
        <v>0</v>
      </c>
      <c r="O123" s="17">
        <f>'HH WITH COM #3'!$W$142</f>
        <v>0</v>
      </c>
      <c r="P123" s="17">
        <f>'HH WITH COM #3'!$X$142</f>
        <v>0</v>
      </c>
      <c r="Q123" s="116">
        <f t="shared" si="136"/>
        <v>0</v>
      </c>
      <c r="R123" s="91">
        <f t="shared" si="137"/>
        <v>0</v>
      </c>
      <c r="S123" s="17">
        <f>'HH WITH COM #4'!$W$142</f>
        <v>0</v>
      </c>
      <c r="T123" s="17">
        <f>'HH WITH COM #4'!$X$142</f>
        <v>0</v>
      </c>
      <c r="U123" s="116">
        <f t="shared" si="138"/>
        <v>0</v>
      </c>
      <c r="V123" s="91">
        <f t="shared" si="139"/>
        <v>0</v>
      </c>
      <c r="W123" s="17">
        <f>'HH WITH COM #5'!$W$142</f>
        <v>0</v>
      </c>
      <c r="X123" s="17">
        <f>'HH WITH COM #5'!$X$142</f>
        <v>0</v>
      </c>
      <c r="Y123" s="116">
        <f t="shared" si="140"/>
        <v>0</v>
      </c>
      <c r="Z123" s="91">
        <f t="shared" si="141"/>
        <v>0</v>
      </c>
      <c r="AA123" s="17">
        <f>'HH WITH COM #6'!$W$142</f>
        <v>0</v>
      </c>
      <c r="AB123" s="17">
        <f>'HH WITH COM #6'!$X$142</f>
        <v>0</v>
      </c>
      <c r="AC123" s="116">
        <f t="shared" si="142"/>
        <v>0</v>
      </c>
      <c r="AD123" s="91">
        <f t="shared" si="143"/>
        <v>0</v>
      </c>
      <c r="AE123" s="17">
        <f>'HH WITH COM #7'!$W$142</f>
        <v>0</v>
      </c>
      <c r="AF123" s="17">
        <f>'HH WITH COM #7'!$X$142</f>
        <v>0</v>
      </c>
      <c r="AG123" s="116">
        <f t="shared" si="144"/>
        <v>0</v>
      </c>
      <c r="AH123" s="373">
        <f t="shared" si="145"/>
        <v>0</v>
      </c>
      <c r="AI123" s="391">
        <f t="shared" si="130"/>
        <v>0</v>
      </c>
      <c r="AJ123" s="17">
        <f t="shared" si="131"/>
        <v>0</v>
      </c>
      <c r="AK123" s="539">
        <f t="shared" si="146"/>
        <v>0</v>
      </c>
      <c r="AL123" s="91">
        <f t="shared" si="147"/>
        <v>0</v>
      </c>
    </row>
    <row r="124" spans="1:38" ht="16.5" customHeight="1" x14ac:dyDescent="0.25">
      <c r="A124" s="40"/>
      <c r="B124" s="40"/>
      <c r="C124" s="467" t="s">
        <v>400</v>
      </c>
      <c r="D124" s="526" t="s">
        <v>410</v>
      </c>
      <c r="E124" s="417"/>
      <c r="F124" s="417"/>
      <c r="G124" s="17">
        <f>'HH WITH COM #1 '!$W$143</f>
        <v>0</v>
      </c>
      <c r="H124" s="17">
        <f>'HH WITH COM #1 '!$X$143</f>
        <v>0</v>
      </c>
      <c r="I124" s="116">
        <f t="shared" si="132"/>
        <v>0</v>
      </c>
      <c r="J124" s="91">
        <f t="shared" si="133"/>
        <v>0</v>
      </c>
      <c r="K124" s="17">
        <f>'HH WITH COM #2'!$W$143</f>
        <v>0</v>
      </c>
      <c r="L124" s="17">
        <f>'HH WITH COM #2'!$X$143</f>
        <v>0</v>
      </c>
      <c r="M124" s="116">
        <f t="shared" si="134"/>
        <v>0</v>
      </c>
      <c r="N124" s="91">
        <f t="shared" si="135"/>
        <v>0</v>
      </c>
      <c r="O124" s="17">
        <f>'HH WITH COM #3'!$W$143</f>
        <v>0</v>
      </c>
      <c r="P124" s="17">
        <f>'HH WITH COM #3'!$X$143</f>
        <v>0</v>
      </c>
      <c r="Q124" s="116">
        <f t="shared" si="136"/>
        <v>0</v>
      </c>
      <c r="R124" s="91">
        <f t="shared" si="137"/>
        <v>0</v>
      </c>
      <c r="S124" s="17">
        <f>'HH WITH COM #4'!$W$143</f>
        <v>0</v>
      </c>
      <c r="T124" s="17">
        <f>'HH WITH COM #4'!$X$143</f>
        <v>0</v>
      </c>
      <c r="U124" s="116">
        <f t="shared" si="138"/>
        <v>0</v>
      </c>
      <c r="V124" s="91">
        <f t="shared" si="139"/>
        <v>0</v>
      </c>
      <c r="W124" s="17">
        <f>'HH WITH COM #5'!$W$143</f>
        <v>0</v>
      </c>
      <c r="X124" s="17">
        <f>'HH WITH COM #5'!$X$143</f>
        <v>0</v>
      </c>
      <c r="Y124" s="116">
        <f t="shared" si="140"/>
        <v>0</v>
      </c>
      <c r="Z124" s="91">
        <f t="shared" si="141"/>
        <v>0</v>
      </c>
      <c r="AA124" s="17">
        <f>'HH WITH COM #6'!$W$143</f>
        <v>0</v>
      </c>
      <c r="AB124" s="17">
        <f>'HH WITH COM #6'!$X$143</f>
        <v>0</v>
      </c>
      <c r="AC124" s="116">
        <f t="shared" si="142"/>
        <v>0</v>
      </c>
      <c r="AD124" s="91">
        <f t="shared" si="143"/>
        <v>0</v>
      </c>
      <c r="AE124" s="17">
        <f>'HH WITH COM #7'!$W$143</f>
        <v>0</v>
      </c>
      <c r="AF124" s="17">
        <f>'HH WITH COM #7'!$X$143</f>
        <v>0</v>
      </c>
      <c r="AG124" s="116">
        <f t="shared" si="144"/>
        <v>0</v>
      </c>
      <c r="AH124" s="373">
        <f t="shared" si="145"/>
        <v>0</v>
      </c>
      <c r="AI124" s="391">
        <f t="shared" si="130"/>
        <v>0</v>
      </c>
      <c r="AJ124" s="17">
        <f t="shared" si="131"/>
        <v>0</v>
      </c>
      <c r="AK124" s="539">
        <f t="shared" si="146"/>
        <v>0</v>
      </c>
      <c r="AL124" s="91">
        <f t="shared" si="147"/>
        <v>0</v>
      </c>
    </row>
    <row r="125" spans="1:38" ht="16.5" customHeight="1" x14ac:dyDescent="0.25">
      <c r="A125" s="40"/>
      <c r="B125" s="40"/>
      <c r="C125" s="473" t="s">
        <v>401</v>
      </c>
      <c r="D125" s="526" t="s">
        <v>411</v>
      </c>
      <c r="E125" s="417"/>
      <c r="F125" s="417"/>
      <c r="G125" s="17">
        <f>'HH WITH COM #1 '!$W$144</f>
        <v>0</v>
      </c>
      <c r="H125" s="17">
        <f>'HH WITH COM #1 '!$X$144</f>
        <v>0</v>
      </c>
      <c r="I125" s="116">
        <f t="shared" si="132"/>
        <v>0</v>
      </c>
      <c r="J125" s="91">
        <f t="shared" si="133"/>
        <v>0</v>
      </c>
      <c r="K125" s="17">
        <f>'HH WITH COM #2'!$W$144</f>
        <v>0</v>
      </c>
      <c r="L125" s="17">
        <f>'HH WITH COM #2'!$X$144</f>
        <v>0</v>
      </c>
      <c r="M125" s="116">
        <f t="shared" si="134"/>
        <v>0</v>
      </c>
      <c r="N125" s="91">
        <f t="shared" si="135"/>
        <v>0</v>
      </c>
      <c r="O125" s="17">
        <f>'HH WITH COM #3'!$W$144</f>
        <v>0</v>
      </c>
      <c r="P125" s="17">
        <f>'HH WITH COM #3'!$X$144</f>
        <v>0</v>
      </c>
      <c r="Q125" s="116">
        <f t="shared" si="136"/>
        <v>0</v>
      </c>
      <c r="R125" s="91">
        <f t="shared" si="137"/>
        <v>0</v>
      </c>
      <c r="S125" s="17">
        <f>'HH WITH COM #4'!$W$144</f>
        <v>0</v>
      </c>
      <c r="T125" s="17">
        <f>'HH WITH COM #4'!$X$144</f>
        <v>0</v>
      </c>
      <c r="U125" s="116">
        <f t="shared" si="138"/>
        <v>0</v>
      </c>
      <c r="V125" s="91">
        <f t="shared" si="139"/>
        <v>0</v>
      </c>
      <c r="W125" s="17">
        <f>'HH WITH COM #5'!$W$144</f>
        <v>0</v>
      </c>
      <c r="X125" s="17">
        <f>'HH WITH COM #5'!$X$144</f>
        <v>0</v>
      </c>
      <c r="Y125" s="116">
        <f t="shared" si="140"/>
        <v>0</v>
      </c>
      <c r="Z125" s="91">
        <f t="shared" si="141"/>
        <v>0</v>
      </c>
      <c r="AA125" s="17">
        <f>'HH WITH COM #6'!$W$144</f>
        <v>0</v>
      </c>
      <c r="AB125" s="17">
        <f>'HH WITH COM #6'!$X$144</f>
        <v>0</v>
      </c>
      <c r="AC125" s="116">
        <f t="shared" si="142"/>
        <v>0</v>
      </c>
      <c r="AD125" s="91">
        <f t="shared" si="143"/>
        <v>0</v>
      </c>
      <c r="AE125" s="17">
        <f>'HH WITH COM #7'!$W$144</f>
        <v>0</v>
      </c>
      <c r="AF125" s="17">
        <f>'HH WITH COM #7'!$X$144</f>
        <v>0</v>
      </c>
      <c r="AG125" s="116">
        <f t="shared" si="144"/>
        <v>0</v>
      </c>
      <c r="AH125" s="373">
        <f t="shared" si="145"/>
        <v>0</v>
      </c>
      <c r="AI125" s="391">
        <f t="shared" si="130"/>
        <v>0</v>
      </c>
      <c r="AJ125" s="17">
        <f t="shared" si="131"/>
        <v>0</v>
      </c>
      <c r="AK125" s="539">
        <f t="shared" si="146"/>
        <v>0</v>
      </c>
      <c r="AL125" s="91">
        <f t="shared" si="147"/>
        <v>0</v>
      </c>
    </row>
    <row r="126" spans="1:38" ht="16.5" customHeight="1" x14ac:dyDescent="0.25">
      <c r="A126" s="40"/>
      <c r="B126" s="40"/>
      <c r="C126" s="467" t="s">
        <v>402</v>
      </c>
      <c r="D126" s="526" t="s">
        <v>412</v>
      </c>
      <c r="E126" s="417"/>
      <c r="F126" s="417"/>
      <c r="G126" s="17">
        <f>'HH WITH COM #1 '!$W$145</f>
        <v>0</v>
      </c>
      <c r="H126" s="17">
        <f>'HH WITH COM #1 '!$X$145</f>
        <v>0</v>
      </c>
      <c r="I126" s="116">
        <f t="shared" si="132"/>
        <v>0</v>
      </c>
      <c r="J126" s="91">
        <f t="shared" si="133"/>
        <v>0</v>
      </c>
      <c r="K126" s="17">
        <f>'HH WITH COM #2'!$W$145</f>
        <v>0</v>
      </c>
      <c r="L126" s="17">
        <f>'HH WITH COM #2'!$X$145</f>
        <v>0</v>
      </c>
      <c r="M126" s="116">
        <f t="shared" si="134"/>
        <v>0</v>
      </c>
      <c r="N126" s="91">
        <f t="shared" si="135"/>
        <v>0</v>
      </c>
      <c r="O126" s="17">
        <f>'HH WITH COM #3'!$W$145</f>
        <v>0</v>
      </c>
      <c r="P126" s="17">
        <f>'HH WITH COM #3'!$X$145</f>
        <v>0</v>
      </c>
      <c r="Q126" s="116">
        <f t="shared" si="136"/>
        <v>0</v>
      </c>
      <c r="R126" s="91">
        <f t="shared" si="137"/>
        <v>0</v>
      </c>
      <c r="S126" s="17">
        <f>'HH WITH COM #4'!$W$145</f>
        <v>0</v>
      </c>
      <c r="T126" s="17">
        <f>'HH WITH COM #4'!$X$145</f>
        <v>0</v>
      </c>
      <c r="U126" s="116">
        <f t="shared" si="138"/>
        <v>0</v>
      </c>
      <c r="V126" s="91">
        <f t="shared" si="139"/>
        <v>0</v>
      </c>
      <c r="W126" s="17">
        <f>'HH WITH COM #5'!$W$145</f>
        <v>0</v>
      </c>
      <c r="X126" s="17">
        <f>'HH WITH COM #5'!$X$145</f>
        <v>0</v>
      </c>
      <c r="Y126" s="116">
        <f t="shared" si="140"/>
        <v>0</v>
      </c>
      <c r="Z126" s="91">
        <f t="shared" si="141"/>
        <v>0</v>
      </c>
      <c r="AA126" s="17">
        <f>'HH WITH COM #6'!$W$145</f>
        <v>0</v>
      </c>
      <c r="AB126" s="17">
        <f>'HH WITH COM #6'!$X$145</f>
        <v>0</v>
      </c>
      <c r="AC126" s="116">
        <f t="shared" si="142"/>
        <v>0</v>
      </c>
      <c r="AD126" s="91">
        <f t="shared" si="143"/>
        <v>0</v>
      </c>
      <c r="AE126" s="17">
        <f>'HH WITH COM #7'!$W$145</f>
        <v>0</v>
      </c>
      <c r="AF126" s="17">
        <f>'HH WITH COM #7'!$X$145</f>
        <v>0</v>
      </c>
      <c r="AG126" s="116">
        <f t="shared" si="144"/>
        <v>0</v>
      </c>
      <c r="AH126" s="373">
        <f t="shared" si="145"/>
        <v>0</v>
      </c>
      <c r="AI126" s="391">
        <f t="shared" si="130"/>
        <v>0</v>
      </c>
      <c r="AJ126" s="17">
        <f t="shared" si="131"/>
        <v>0</v>
      </c>
      <c r="AK126" s="539">
        <f t="shared" si="146"/>
        <v>0</v>
      </c>
      <c r="AL126" s="91">
        <f t="shared" si="147"/>
        <v>0</v>
      </c>
    </row>
    <row r="127" spans="1:38" ht="16.5" customHeight="1" x14ac:dyDescent="0.25">
      <c r="A127" s="40"/>
      <c r="B127" s="40"/>
      <c r="C127" s="473" t="s">
        <v>403</v>
      </c>
      <c r="D127" s="526" t="s">
        <v>392</v>
      </c>
      <c r="E127" s="417"/>
      <c r="F127" s="417"/>
      <c r="G127" s="17">
        <f>'HH WITH COM #1 '!$W$146</f>
        <v>0</v>
      </c>
      <c r="H127" s="17">
        <f>'HH WITH COM #1 '!$X$146</f>
        <v>0</v>
      </c>
      <c r="I127" s="116">
        <f t="shared" si="132"/>
        <v>0</v>
      </c>
      <c r="J127" s="91">
        <f t="shared" si="133"/>
        <v>0</v>
      </c>
      <c r="K127" s="17">
        <f>'HH WITH COM #2'!$W$146</f>
        <v>0</v>
      </c>
      <c r="L127" s="17">
        <f>'HH WITH COM #2'!$X$146</f>
        <v>0</v>
      </c>
      <c r="M127" s="116">
        <f t="shared" si="134"/>
        <v>0</v>
      </c>
      <c r="N127" s="91">
        <f t="shared" si="135"/>
        <v>0</v>
      </c>
      <c r="O127" s="17">
        <f>'HH WITH COM #3'!$W$146</f>
        <v>0</v>
      </c>
      <c r="P127" s="17">
        <f>'HH WITH COM #3'!$X$146</f>
        <v>0</v>
      </c>
      <c r="Q127" s="116">
        <f t="shared" si="136"/>
        <v>0</v>
      </c>
      <c r="R127" s="91">
        <f t="shared" si="137"/>
        <v>0</v>
      </c>
      <c r="S127" s="17">
        <f>'HH WITH COM #4'!$W$146</f>
        <v>0</v>
      </c>
      <c r="T127" s="17">
        <f>'HH WITH COM #4'!$X$146</f>
        <v>0</v>
      </c>
      <c r="U127" s="116">
        <f t="shared" si="138"/>
        <v>0</v>
      </c>
      <c r="V127" s="91">
        <f t="shared" si="139"/>
        <v>0</v>
      </c>
      <c r="W127" s="17">
        <f>'HH WITH COM #5'!$W$146</f>
        <v>0</v>
      </c>
      <c r="X127" s="17">
        <f>'HH WITH COM #5'!$X$146</f>
        <v>0</v>
      </c>
      <c r="Y127" s="116">
        <f t="shared" si="140"/>
        <v>0</v>
      </c>
      <c r="Z127" s="91">
        <f t="shared" si="141"/>
        <v>0</v>
      </c>
      <c r="AA127" s="17">
        <f>'HH WITH COM #6'!$W$146</f>
        <v>0</v>
      </c>
      <c r="AB127" s="17">
        <f>'HH WITH COM #6'!$X$146</f>
        <v>0</v>
      </c>
      <c r="AC127" s="116">
        <f t="shared" si="142"/>
        <v>0</v>
      </c>
      <c r="AD127" s="91">
        <f t="shared" si="143"/>
        <v>0</v>
      </c>
      <c r="AE127" s="17">
        <f>'HH WITH COM #7'!$W$146</f>
        <v>0</v>
      </c>
      <c r="AF127" s="17">
        <f>'HH WITH COM #7'!$X$146</f>
        <v>0</v>
      </c>
      <c r="AG127" s="116">
        <f t="shared" si="144"/>
        <v>0</v>
      </c>
      <c r="AH127" s="373">
        <f t="shared" si="145"/>
        <v>0</v>
      </c>
      <c r="AI127" s="391">
        <f t="shared" si="130"/>
        <v>0</v>
      </c>
      <c r="AJ127" s="17">
        <f t="shared" si="131"/>
        <v>0</v>
      </c>
      <c r="AK127" s="539">
        <f t="shared" si="146"/>
        <v>0</v>
      </c>
      <c r="AL127" s="91">
        <f t="shared" si="147"/>
        <v>0</v>
      </c>
    </row>
    <row r="128" spans="1:38" ht="16.5" customHeight="1" x14ac:dyDescent="0.25">
      <c r="A128" s="40"/>
      <c r="B128" s="40"/>
      <c r="C128" s="40"/>
      <c r="D128" s="134"/>
      <c r="E128" s="490"/>
      <c r="F128" s="491"/>
      <c r="G128" s="82">
        <f>SUM(G118:G127)</f>
        <v>28</v>
      </c>
      <c r="H128" s="82">
        <f t="shared" ref="H128:I128" si="148">SUM(H118:H127)</f>
        <v>234</v>
      </c>
      <c r="I128" s="82">
        <f t="shared" si="148"/>
        <v>262</v>
      </c>
      <c r="J128" s="66">
        <f>IF(I$128=0,0,I128/I$128)</f>
        <v>1</v>
      </c>
      <c r="K128" s="82">
        <f>SUM(K118:K127)</f>
        <v>0</v>
      </c>
      <c r="L128" s="82">
        <f t="shared" ref="L128" si="149">SUM(L118:L127)</f>
        <v>0</v>
      </c>
      <c r="M128" s="82">
        <f t="shared" ref="M128" si="150">SUM(M118:M127)</f>
        <v>0</v>
      </c>
      <c r="N128" s="66">
        <f>IF(M$128=0,0,M128/M$128)</f>
        <v>0</v>
      </c>
      <c r="O128" s="82">
        <f>SUM(O118:O127)</f>
        <v>0</v>
      </c>
      <c r="P128" s="82">
        <f t="shared" ref="P128" si="151">SUM(P118:P127)</f>
        <v>0</v>
      </c>
      <c r="Q128" s="82">
        <f t="shared" ref="Q128" si="152">SUM(Q118:Q127)</f>
        <v>0</v>
      </c>
      <c r="R128" s="66">
        <f>IF(Q$128=0,0,Q128/Q$128)</f>
        <v>0</v>
      </c>
      <c r="S128" s="82">
        <f>SUM(S118:S127)</f>
        <v>0</v>
      </c>
      <c r="T128" s="82">
        <f t="shared" ref="T128" si="153">SUM(T118:T127)</f>
        <v>0</v>
      </c>
      <c r="U128" s="82">
        <f t="shared" ref="U128" si="154">SUM(U118:U127)</f>
        <v>0</v>
      </c>
      <c r="V128" s="66">
        <f>IF(U$128=0,0,U128/U$128)</f>
        <v>0</v>
      </c>
      <c r="W128" s="82">
        <f>SUM(W118:W127)</f>
        <v>0</v>
      </c>
      <c r="X128" s="82">
        <f t="shared" ref="X128" si="155">SUM(X118:X127)</f>
        <v>0</v>
      </c>
      <c r="Y128" s="82">
        <f t="shared" ref="Y128" si="156">SUM(Y118:Y127)</f>
        <v>0</v>
      </c>
      <c r="Z128" s="66">
        <f>IF(Y$128=0,0,Y128/Y$128)</f>
        <v>0</v>
      </c>
      <c r="AA128" s="82">
        <f>SUM(AA118:AA127)</f>
        <v>0</v>
      </c>
      <c r="AB128" s="82">
        <f t="shared" ref="AB128" si="157">SUM(AB118:AB127)</f>
        <v>0</v>
      </c>
      <c r="AC128" s="82">
        <f t="shared" ref="AC128" si="158">SUM(AC118:AC127)</f>
        <v>0</v>
      </c>
      <c r="AD128" s="66">
        <f>IF(AC$128=0,0,AC128/AC$128)</f>
        <v>0</v>
      </c>
      <c r="AE128" s="82">
        <f>SUM(AE118:AE127)</f>
        <v>0</v>
      </c>
      <c r="AF128" s="82">
        <f t="shared" ref="AF128" si="159">SUM(AF118:AF127)</f>
        <v>0</v>
      </c>
      <c r="AG128" s="82">
        <f t="shared" ref="AG128" si="160">SUM(AG118:AG127)</f>
        <v>0</v>
      </c>
      <c r="AH128" s="608">
        <f>IF(AG$128=0,0,AG128/AG$128)</f>
        <v>0</v>
      </c>
      <c r="AI128" s="381">
        <f>SUM(AI118:AI127)</f>
        <v>28</v>
      </c>
      <c r="AJ128" s="82">
        <f t="shared" ref="AJ128:AK128" si="161">SUM(AJ118:AJ127)</f>
        <v>234</v>
      </c>
      <c r="AK128" s="82">
        <f t="shared" si="161"/>
        <v>262</v>
      </c>
      <c r="AL128" s="66">
        <f>IF(AK$128=0,0,AK128/AK$128)</f>
        <v>1</v>
      </c>
    </row>
    <row r="129" spans="1:38" s="117" customFormat="1" ht="16.5" customHeight="1" x14ac:dyDescent="0.25">
      <c r="A129" s="119"/>
      <c r="B129" s="41" t="s">
        <v>110</v>
      </c>
      <c r="C129" s="476" t="s">
        <v>861</v>
      </c>
      <c r="D129" s="477"/>
      <c r="E129" s="478"/>
      <c r="F129" s="478"/>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355"/>
      <c r="AI129" s="377"/>
      <c r="AJ129" s="71"/>
      <c r="AK129" s="71"/>
      <c r="AL129" s="71"/>
    </row>
    <row r="130" spans="1:38" ht="16.5" customHeight="1" x14ac:dyDescent="0.25">
      <c r="A130" s="40"/>
      <c r="B130" s="40"/>
      <c r="C130" s="318" t="s">
        <v>112</v>
      </c>
      <c r="D130" s="484" t="s">
        <v>862</v>
      </c>
      <c r="E130" s="75"/>
      <c r="F130" s="76"/>
      <c r="G130" s="17">
        <f>'HH WITH COM #1 '!$W$150</f>
        <v>5</v>
      </c>
      <c r="H130" s="17">
        <f>'HH WITH COM #1 '!$X$150</f>
        <v>1</v>
      </c>
      <c r="I130" s="116">
        <f>SUM(G130:H130)</f>
        <v>6</v>
      </c>
      <c r="J130" s="91">
        <f>IF(I$132=0,0,I130/I$132)</f>
        <v>0.4</v>
      </c>
      <c r="K130" s="17">
        <f>'HH WITH COM #2'!$W$150</f>
        <v>2</v>
      </c>
      <c r="L130" s="17">
        <f>'HH WITH COM #2'!$X$150</f>
        <v>1</v>
      </c>
      <c r="M130" s="116">
        <f>SUM(K130:L130)</f>
        <v>3</v>
      </c>
      <c r="N130" s="91">
        <f>IF(M$132=0,0,M130/M$132)</f>
        <v>0.21428571428571427</v>
      </c>
      <c r="O130" s="17">
        <f>'HH WITH COM #3'!$W$150</f>
        <v>0</v>
      </c>
      <c r="P130" s="17">
        <f>'HH WITH COM #3'!$X$150</f>
        <v>0</v>
      </c>
      <c r="Q130" s="116">
        <f>SUM(O130:P130)</f>
        <v>0</v>
      </c>
      <c r="R130" s="91">
        <f>IF(Q$132=0,0,Q130/Q$132)</f>
        <v>0</v>
      </c>
      <c r="S130" s="17">
        <f>'HH WITH COM #4'!$W$150</f>
        <v>0</v>
      </c>
      <c r="T130" s="17">
        <f>'HH WITH COM #4'!$X$150</f>
        <v>1</v>
      </c>
      <c r="U130" s="116">
        <f>SUM(S130:T130)</f>
        <v>1</v>
      </c>
      <c r="V130" s="91">
        <f>IF(U$132=0,0,U130/U$132)</f>
        <v>6.25E-2</v>
      </c>
      <c r="W130" s="17">
        <f>'HH WITH COM #5'!$W$150</f>
        <v>1</v>
      </c>
      <c r="X130" s="17">
        <f>'HH WITH COM #5'!$X$150</f>
        <v>1</v>
      </c>
      <c r="Y130" s="116">
        <f>SUM(W130:X130)</f>
        <v>2</v>
      </c>
      <c r="Z130" s="91">
        <f>IF(Y$132=0,0,Y130/Y$132)</f>
        <v>9.5238095238095233E-2</v>
      </c>
      <c r="AA130" s="17">
        <f>'HH WITH COM #6'!$W$150</f>
        <v>1</v>
      </c>
      <c r="AB130" s="17">
        <f>'HH WITH COM #6'!$X$150</f>
        <v>2</v>
      </c>
      <c r="AC130" s="116">
        <f>SUM(AA130:AB130)</f>
        <v>3</v>
      </c>
      <c r="AD130" s="91">
        <f>IF(AC$132=0,0,AC130/AC$132)</f>
        <v>0.2</v>
      </c>
      <c r="AE130" s="17">
        <f>'HH WITH COM #7'!$W$150</f>
        <v>0</v>
      </c>
      <c r="AF130" s="17">
        <f>'HH WITH COM #7'!$X$150</f>
        <v>0</v>
      </c>
      <c r="AG130" s="116">
        <f>SUM(AE130:AF130)</f>
        <v>0</v>
      </c>
      <c r="AH130" s="373">
        <f>IF(AG$132=0,0,AG130/AG$132)</f>
        <v>0</v>
      </c>
      <c r="AI130" s="391">
        <f t="shared" ref="AI130:AI131" si="162">G130+K130+O130+S130+W130+AA130+AE130</f>
        <v>9</v>
      </c>
      <c r="AJ130" s="17">
        <f t="shared" ref="AJ130:AJ131" si="163">H130+L130+P130+T130+X130+AB130+AF130</f>
        <v>6</v>
      </c>
      <c r="AK130" s="539">
        <f>SUM(AI130:AJ130)</f>
        <v>15</v>
      </c>
      <c r="AL130" s="91">
        <f>IF(AK$132=0,0,AK130/AK$132)</f>
        <v>0.16666666666666666</v>
      </c>
    </row>
    <row r="131" spans="1:38" ht="16.5" customHeight="1" x14ac:dyDescent="0.25">
      <c r="A131" s="40"/>
      <c r="B131" s="40"/>
      <c r="C131" s="318" t="s">
        <v>114</v>
      </c>
      <c r="D131" s="484" t="s">
        <v>863</v>
      </c>
      <c r="E131" s="75"/>
      <c r="F131" s="76"/>
      <c r="G131" s="17">
        <f>'HH WITH COM #1 '!$W$151</f>
        <v>2</v>
      </c>
      <c r="H131" s="17">
        <f>'HH WITH COM #1 '!$X$151</f>
        <v>7</v>
      </c>
      <c r="I131" s="116">
        <f>SUM(G131:H131)</f>
        <v>9</v>
      </c>
      <c r="J131" s="91">
        <f>IF(I$132=0,0,I131/I$132)</f>
        <v>0.6</v>
      </c>
      <c r="K131" s="17">
        <f>'HH WITH COM #2'!$W$151</f>
        <v>2</v>
      </c>
      <c r="L131" s="17">
        <f>'HH WITH COM #2'!$X$151</f>
        <v>9</v>
      </c>
      <c r="M131" s="116">
        <f>SUM(K131:L131)</f>
        <v>11</v>
      </c>
      <c r="N131" s="91">
        <f>IF(M$132=0,0,M131/M$132)</f>
        <v>0.7857142857142857</v>
      </c>
      <c r="O131" s="17">
        <f>'HH WITH COM #3'!$W$151</f>
        <v>0</v>
      </c>
      <c r="P131" s="17">
        <f>'HH WITH COM #3'!$X$151</f>
        <v>9</v>
      </c>
      <c r="Q131" s="116">
        <f>SUM(O131:P131)</f>
        <v>9</v>
      </c>
      <c r="R131" s="91">
        <f>IF(Q$132=0,0,Q131/Q$132)</f>
        <v>1</v>
      </c>
      <c r="S131" s="17">
        <f>'HH WITH COM #4'!$W$151</f>
        <v>1</v>
      </c>
      <c r="T131" s="17">
        <f>'HH WITH COM #4'!$X$151</f>
        <v>14</v>
      </c>
      <c r="U131" s="116">
        <f>SUM(S131:T131)</f>
        <v>15</v>
      </c>
      <c r="V131" s="91">
        <f>IF(U$132=0,0,U131/U$132)</f>
        <v>0.9375</v>
      </c>
      <c r="W131" s="17">
        <f>'HH WITH COM #5'!$W$151</f>
        <v>1</v>
      </c>
      <c r="X131" s="17">
        <f>'HH WITH COM #5'!$X$151</f>
        <v>18</v>
      </c>
      <c r="Y131" s="116">
        <f>SUM(W131:X131)</f>
        <v>19</v>
      </c>
      <c r="Z131" s="91">
        <f>IF(Y$132=0,0,Y131/Y$132)</f>
        <v>0.90476190476190477</v>
      </c>
      <c r="AA131" s="17">
        <f>'HH WITH COM #6'!$W$151</f>
        <v>2</v>
      </c>
      <c r="AB131" s="17">
        <f>'HH WITH COM #6'!$X$151</f>
        <v>10</v>
      </c>
      <c r="AC131" s="116">
        <f>SUM(AA131:AB131)</f>
        <v>12</v>
      </c>
      <c r="AD131" s="91">
        <f>IF(AC$132=0,0,AC131/AC$132)</f>
        <v>0.8</v>
      </c>
      <c r="AE131" s="17">
        <f>'HH WITH COM #7'!$W$151</f>
        <v>0</v>
      </c>
      <c r="AF131" s="17">
        <f>'HH WITH COM #7'!$X$151</f>
        <v>0</v>
      </c>
      <c r="AG131" s="116">
        <f>SUM(AE131:AF131)</f>
        <v>0</v>
      </c>
      <c r="AH131" s="373">
        <f>IF(AG$132=0,0,AG131/AG$132)</f>
        <v>0</v>
      </c>
      <c r="AI131" s="391">
        <f t="shared" si="162"/>
        <v>8</v>
      </c>
      <c r="AJ131" s="17">
        <f t="shared" si="163"/>
        <v>67</v>
      </c>
      <c r="AK131" s="539">
        <f>SUM(AI131:AJ131)</f>
        <v>75</v>
      </c>
      <c r="AL131" s="91">
        <f>IF(AK$132=0,0,AK131/AK$132)</f>
        <v>0.83333333333333337</v>
      </c>
    </row>
    <row r="132" spans="1:38" ht="16.5" customHeight="1" x14ac:dyDescent="0.25">
      <c r="A132" s="40"/>
      <c r="B132" s="40"/>
      <c r="C132" s="40"/>
      <c r="D132" s="203"/>
      <c r="E132" s="490"/>
      <c r="F132" s="491"/>
      <c r="G132" s="82">
        <f>SUM(G130:G131)</f>
        <v>7</v>
      </c>
      <c r="H132" s="82">
        <f>SUM(H130:H131)</f>
        <v>8</v>
      </c>
      <c r="I132" s="82">
        <f>SUM(I130:I131)</f>
        <v>15</v>
      </c>
      <c r="J132" s="66">
        <f>IF(I$132=0,0,I132/I$132)</f>
        <v>1</v>
      </c>
      <c r="K132" s="82">
        <f>SUM(K130:K131)</f>
        <v>4</v>
      </c>
      <c r="L132" s="82">
        <f>SUM(L130:L131)</f>
        <v>10</v>
      </c>
      <c r="M132" s="82">
        <f>SUM(M130:M131)</f>
        <v>14</v>
      </c>
      <c r="N132" s="66">
        <f>IF(M$132=0,0,M132/M$132)</f>
        <v>1</v>
      </c>
      <c r="O132" s="82">
        <f>SUM(O130:O131)</f>
        <v>0</v>
      </c>
      <c r="P132" s="82">
        <f>SUM(P130:P131)</f>
        <v>9</v>
      </c>
      <c r="Q132" s="82">
        <f>SUM(Q130:Q131)</f>
        <v>9</v>
      </c>
      <c r="R132" s="66">
        <f>IF(Q$132=0,0,Q132/Q$132)</f>
        <v>1</v>
      </c>
      <c r="S132" s="82">
        <f>SUM(S130:S131)</f>
        <v>1</v>
      </c>
      <c r="T132" s="82">
        <f>SUM(T130:T131)</f>
        <v>15</v>
      </c>
      <c r="U132" s="82">
        <f>SUM(U130:U131)</f>
        <v>16</v>
      </c>
      <c r="V132" s="66">
        <f>IF(U$132=0,0,U132/U$132)</f>
        <v>1</v>
      </c>
      <c r="W132" s="82">
        <f>SUM(W130:W131)</f>
        <v>2</v>
      </c>
      <c r="X132" s="82">
        <f>SUM(X130:X131)</f>
        <v>19</v>
      </c>
      <c r="Y132" s="82">
        <f>SUM(Y130:Y131)</f>
        <v>21</v>
      </c>
      <c r="Z132" s="66">
        <f>IF(Y$132=0,0,Y132/Y$132)</f>
        <v>1</v>
      </c>
      <c r="AA132" s="82">
        <f>SUM(AA130:AA131)</f>
        <v>3</v>
      </c>
      <c r="AB132" s="82">
        <f>SUM(AB130:AB131)</f>
        <v>12</v>
      </c>
      <c r="AC132" s="82">
        <f>SUM(AC130:AC131)</f>
        <v>15</v>
      </c>
      <c r="AD132" s="66">
        <f>IF(AC$132=0,0,AC132/AC$132)</f>
        <v>1</v>
      </c>
      <c r="AE132" s="82">
        <f>SUM(AE130:AE131)</f>
        <v>0</v>
      </c>
      <c r="AF132" s="82">
        <f>SUM(AF130:AF131)</f>
        <v>0</v>
      </c>
      <c r="AG132" s="82">
        <f>SUM(AG130:AG131)</f>
        <v>0</v>
      </c>
      <c r="AH132" s="608">
        <f>IF(AG$132=0,0,AG132/AG$132)</f>
        <v>0</v>
      </c>
      <c r="AI132" s="381">
        <f>SUM(AI130:AI131)</f>
        <v>17</v>
      </c>
      <c r="AJ132" s="82">
        <f>SUM(AJ130:AJ131)</f>
        <v>73</v>
      </c>
      <c r="AK132" s="82">
        <f>SUM(AK130:AK131)</f>
        <v>90</v>
      </c>
      <c r="AL132" s="66">
        <f>IF(AK$132=0,0,AK132/AK$132)</f>
        <v>1</v>
      </c>
    </row>
    <row r="133" spans="1:38" s="117" customFormat="1" ht="16.5" customHeight="1" x14ac:dyDescent="0.25">
      <c r="A133" s="119"/>
      <c r="B133" s="41" t="s">
        <v>116</v>
      </c>
      <c r="C133" s="476" t="s">
        <v>427</v>
      </c>
      <c r="D133" s="477"/>
      <c r="E133" s="478"/>
      <c r="F133" s="478"/>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355"/>
      <c r="AI133" s="377"/>
      <c r="AJ133" s="71"/>
      <c r="AK133" s="71"/>
      <c r="AL133" s="71"/>
    </row>
    <row r="134" spans="1:38" ht="16.5" customHeight="1" x14ac:dyDescent="0.25">
      <c r="A134" s="40"/>
      <c r="B134" s="40"/>
      <c r="C134" s="318" t="s">
        <v>117</v>
      </c>
      <c r="D134" s="484" t="s">
        <v>428</v>
      </c>
      <c r="E134" s="417"/>
      <c r="F134" s="417"/>
      <c r="G134" s="17">
        <f>'HH WITH COM #1 '!$W$155</f>
        <v>21</v>
      </c>
      <c r="H134" s="17">
        <f>'HH WITH COM #1 '!$X$155</f>
        <v>52</v>
      </c>
      <c r="I134" s="116">
        <f>SUM(G134:H134)</f>
        <v>73</v>
      </c>
      <c r="J134" s="91">
        <f>IF(I$140=0,0,I134/I$140)</f>
        <v>0.2786259541984733</v>
      </c>
      <c r="K134" s="17">
        <f>'HH WITH COM #2'!$W$155</f>
        <v>0</v>
      </c>
      <c r="L134" s="17">
        <f>'HH WITH COM #2'!$X$155</f>
        <v>0</v>
      </c>
      <c r="M134" s="116">
        <f>SUM(K134:L134)</f>
        <v>0</v>
      </c>
      <c r="N134" s="91">
        <f>IF(M$140=0,0,M134/M$140)</f>
        <v>0</v>
      </c>
      <c r="O134" s="17">
        <f>'HH WITH COM #3'!$W$155</f>
        <v>0</v>
      </c>
      <c r="P134" s="17">
        <f>'HH WITH COM #3'!$X$155</f>
        <v>0</v>
      </c>
      <c r="Q134" s="116">
        <f>SUM(O134:P134)</f>
        <v>0</v>
      </c>
      <c r="R134" s="91">
        <f>IF(Q$140=0,0,Q134/Q$140)</f>
        <v>0</v>
      </c>
      <c r="S134" s="17">
        <f>'HH WITH COM #4'!$W$155</f>
        <v>0</v>
      </c>
      <c r="T134" s="17">
        <f>'HH WITH COM #4'!$X$155</f>
        <v>0</v>
      </c>
      <c r="U134" s="116">
        <f>SUM(S134:T134)</f>
        <v>0</v>
      </c>
      <c r="V134" s="91">
        <f>IF(U$140=0,0,U134/U$140)</f>
        <v>0</v>
      </c>
      <c r="W134" s="17">
        <f>'HH WITH COM #5'!$W$155</f>
        <v>0</v>
      </c>
      <c r="X134" s="17">
        <f>'HH WITH COM #5'!$X$155</f>
        <v>0</v>
      </c>
      <c r="Y134" s="116">
        <f>SUM(W134:X134)</f>
        <v>0</v>
      </c>
      <c r="Z134" s="91">
        <f>IF(Y$140=0,0,Y134/Y$140)</f>
        <v>0</v>
      </c>
      <c r="AA134" s="17">
        <f>'HH WITH COM #6'!$W$155</f>
        <v>0</v>
      </c>
      <c r="AB134" s="17">
        <f>'HH WITH COM #6'!$X$155</f>
        <v>0</v>
      </c>
      <c r="AC134" s="116">
        <f>SUM(AA134:AB134)</f>
        <v>0</v>
      </c>
      <c r="AD134" s="91">
        <f>IF(AC$140=0,0,AC134/AC$140)</f>
        <v>0</v>
      </c>
      <c r="AE134" s="17">
        <f>'HH WITH COM #7'!$W$155</f>
        <v>0</v>
      </c>
      <c r="AF134" s="17">
        <f>'HH WITH COM #7'!$X$155</f>
        <v>0</v>
      </c>
      <c r="AG134" s="116">
        <f>SUM(AE134:AF134)</f>
        <v>0</v>
      </c>
      <c r="AH134" s="373">
        <f>IF(AG$140=0,0,AG134/AG$140)</f>
        <v>0</v>
      </c>
      <c r="AI134" s="391">
        <f t="shared" ref="AI134:AI139" si="164">G134+K134+O134+S134+W134+AA134+AE134</f>
        <v>21</v>
      </c>
      <c r="AJ134" s="17">
        <f t="shared" ref="AJ134:AJ139" si="165">H134+L134+P134+T134+X134+AB134+AF134</f>
        <v>52</v>
      </c>
      <c r="AK134" s="539">
        <f t="shared" ref="AK134:AK139" si="166">SUM(AI134:AJ134)</f>
        <v>73</v>
      </c>
      <c r="AL134" s="91">
        <f>IF(AK$140=0,0,AK134/AK$140)</f>
        <v>0.2786259541984733</v>
      </c>
    </row>
    <row r="135" spans="1:38" ht="16.5" customHeight="1" x14ac:dyDescent="0.25">
      <c r="A135" s="40"/>
      <c r="B135" s="40"/>
      <c r="C135" s="318" t="s">
        <v>118</v>
      </c>
      <c r="D135" s="484" t="s">
        <v>429</v>
      </c>
      <c r="E135" s="417"/>
      <c r="F135" s="417"/>
      <c r="G135" s="17">
        <f>'HH WITH COM #1 '!$W$156</f>
        <v>1</v>
      </c>
      <c r="H135" s="17">
        <f>'HH WITH COM #1 '!$X$156</f>
        <v>39</v>
      </c>
      <c r="I135" s="116">
        <f t="shared" ref="I135:I139" si="167">SUM(G135:H135)</f>
        <v>40</v>
      </c>
      <c r="J135" s="91">
        <f t="shared" ref="J135:J140" si="168">IF(I$140=0,0,I135/I$140)</f>
        <v>0.15267175572519084</v>
      </c>
      <c r="K135" s="17">
        <f>'HH WITH COM #2'!$W$156</f>
        <v>0</v>
      </c>
      <c r="L135" s="17">
        <f>'HH WITH COM #2'!$X$156</f>
        <v>0</v>
      </c>
      <c r="M135" s="116">
        <f t="shared" ref="M135:M139" si="169">SUM(K135:L135)</f>
        <v>0</v>
      </c>
      <c r="N135" s="91">
        <f t="shared" ref="N135:N140" si="170">IF(M$140=0,0,M135/M$140)</f>
        <v>0</v>
      </c>
      <c r="O135" s="17">
        <f>'HH WITH COM #3'!$W$156</f>
        <v>0</v>
      </c>
      <c r="P135" s="17">
        <f>'HH WITH COM #3'!$X$156</f>
        <v>0</v>
      </c>
      <c r="Q135" s="116">
        <f t="shared" ref="Q135:Q139" si="171">SUM(O135:P135)</f>
        <v>0</v>
      </c>
      <c r="R135" s="91">
        <f t="shared" ref="R135:R140" si="172">IF(Q$140=0,0,Q135/Q$140)</f>
        <v>0</v>
      </c>
      <c r="S135" s="17">
        <f>'HH WITH COM #4'!$W$156</f>
        <v>0</v>
      </c>
      <c r="T135" s="17">
        <f>'HH WITH COM #4'!$X$156</f>
        <v>0</v>
      </c>
      <c r="U135" s="116">
        <f t="shared" ref="U135:U139" si="173">SUM(S135:T135)</f>
        <v>0</v>
      </c>
      <c r="V135" s="91">
        <f t="shared" ref="V135:V140" si="174">IF(U$140=0,0,U135/U$140)</f>
        <v>0</v>
      </c>
      <c r="W135" s="17">
        <f>'HH WITH COM #5'!$W$156</f>
        <v>0</v>
      </c>
      <c r="X135" s="17">
        <f>'HH WITH COM #5'!$X$156</f>
        <v>0</v>
      </c>
      <c r="Y135" s="116">
        <f t="shared" ref="Y135:Y139" si="175">SUM(W135:X135)</f>
        <v>0</v>
      </c>
      <c r="Z135" s="91">
        <f t="shared" ref="Z135:Z140" si="176">IF(Y$140=0,0,Y135/Y$140)</f>
        <v>0</v>
      </c>
      <c r="AA135" s="17">
        <f>'HH WITH COM #6'!$W$156</f>
        <v>0</v>
      </c>
      <c r="AB135" s="17">
        <f>'HH WITH COM #6'!$X$156</f>
        <v>0</v>
      </c>
      <c r="AC135" s="116">
        <f t="shared" ref="AC135:AC139" si="177">SUM(AA135:AB135)</f>
        <v>0</v>
      </c>
      <c r="AD135" s="91">
        <f t="shared" ref="AD135:AD140" si="178">IF(AC$140=0,0,AC135/AC$140)</f>
        <v>0</v>
      </c>
      <c r="AE135" s="17">
        <f>'HH WITH COM #7'!$W$156</f>
        <v>0</v>
      </c>
      <c r="AF135" s="17">
        <f>'HH WITH COM #7'!$X$156</f>
        <v>0</v>
      </c>
      <c r="AG135" s="116">
        <f t="shared" ref="AG135:AG139" si="179">SUM(AE135:AF135)</f>
        <v>0</v>
      </c>
      <c r="AH135" s="373">
        <f t="shared" ref="AH135:AH140" si="180">IF(AG$140=0,0,AG135/AG$140)</f>
        <v>0</v>
      </c>
      <c r="AI135" s="391">
        <f t="shared" si="164"/>
        <v>1</v>
      </c>
      <c r="AJ135" s="17">
        <f t="shared" si="165"/>
        <v>39</v>
      </c>
      <c r="AK135" s="539">
        <f t="shared" si="166"/>
        <v>40</v>
      </c>
      <c r="AL135" s="91">
        <f t="shared" ref="AL135:AL140" si="181">IF(AK$140=0,0,AK135/AK$140)</f>
        <v>0.15267175572519084</v>
      </c>
    </row>
    <row r="136" spans="1:38" ht="16.5" customHeight="1" x14ac:dyDescent="0.25">
      <c r="A136" s="40"/>
      <c r="B136" s="40"/>
      <c r="C136" s="318" t="s">
        <v>119</v>
      </c>
      <c r="D136" s="484" t="s">
        <v>430</v>
      </c>
      <c r="E136" s="417"/>
      <c r="F136" s="417"/>
      <c r="G136" s="17">
        <f>'HH WITH COM #1 '!$W$157</f>
        <v>4</v>
      </c>
      <c r="H136" s="17">
        <f>'HH WITH COM #1 '!$X$157</f>
        <v>68</v>
      </c>
      <c r="I136" s="116">
        <f t="shared" si="167"/>
        <v>72</v>
      </c>
      <c r="J136" s="91">
        <f t="shared" si="168"/>
        <v>0.27480916030534353</v>
      </c>
      <c r="K136" s="17">
        <f>'HH WITH COM #2'!$W$157</f>
        <v>0</v>
      </c>
      <c r="L136" s="17">
        <f>'HH WITH COM #2'!$X$157</f>
        <v>0</v>
      </c>
      <c r="M136" s="116">
        <f t="shared" si="169"/>
        <v>0</v>
      </c>
      <c r="N136" s="91">
        <f t="shared" si="170"/>
        <v>0</v>
      </c>
      <c r="O136" s="17">
        <f>'HH WITH COM #3'!$W$157</f>
        <v>0</v>
      </c>
      <c r="P136" s="17">
        <f>'HH WITH COM #3'!$X$157</f>
        <v>0</v>
      </c>
      <c r="Q136" s="116">
        <f t="shared" si="171"/>
        <v>0</v>
      </c>
      <c r="R136" s="91">
        <f t="shared" si="172"/>
        <v>0</v>
      </c>
      <c r="S136" s="17">
        <f>'HH WITH COM #4'!$W$157</f>
        <v>0</v>
      </c>
      <c r="T136" s="17">
        <f>'HH WITH COM #4'!$X$157</f>
        <v>0</v>
      </c>
      <c r="U136" s="116">
        <f t="shared" si="173"/>
        <v>0</v>
      </c>
      <c r="V136" s="91">
        <f t="shared" si="174"/>
        <v>0</v>
      </c>
      <c r="W136" s="17">
        <f>'HH WITH COM #5'!$W$157</f>
        <v>0</v>
      </c>
      <c r="X136" s="17">
        <f>'HH WITH COM #5'!$X$157</f>
        <v>0</v>
      </c>
      <c r="Y136" s="116">
        <f t="shared" si="175"/>
        <v>0</v>
      </c>
      <c r="Z136" s="91">
        <f t="shared" si="176"/>
        <v>0</v>
      </c>
      <c r="AA136" s="17">
        <f>'HH WITH COM #6'!$W$157</f>
        <v>0</v>
      </c>
      <c r="AB136" s="17">
        <f>'HH WITH COM #6'!$X$157</f>
        <v>0</v>
      </c>
      <c r="AC136" s="116">
        <f t="shared" si="177"/>
        <v>0</v>
      </c>
      <c r="AD136" s="91">
        <f t="shared" si="178"/>
        <v>0</v>
      </c>
      <c r="AE136" s="17">
        <f>'HH WITH COM #7'!$W$157</f>
        <v>0</v>
      </c>
      <c r="AF136" s="17">
        <f>'HH WITH COM #7'!$X$157</f>
        <v>0</v>
      </c>
      <c r="AG136" s="116">
        <f t="shared" si="179"/>
        <v>0</v>
      </c>
      <c r="AH136" s="373">
        <f t="shared" si="180"/>
        <v>0</v>
      </c>
      <c r="AI136" s="391">
        <f t="shared" si="164"/>
        <v>4</v>
      </c>
      <c r="AJ136" s="17">
        <f t="shared" si="165"/>
        <v>68</v>
      </c>
      <c r="AK136" s="539">
        <f t="shared" si="166"/>
        <v>72</v>
      </c>
      <c r="AL136" s="91">
        <f t="shared" si="181"/>
        <v>0.27480916030534353</v>
      </c>
    </row>
    <row r="137" spans="1:38" ht="16.5" customHeight="1" x14ac:dyDescent="0.25">
      <c r="A137" s="40"/>
      <c r="B137" s="40"/>
      <c r="C137" s="318" t="s">
        <v>120</v>
      </c>
      <c r="D137" s="484" t="s">
        <v>431</v>
      </c>
      <c r="E137" s="417"/>
      <c r="F137" s="417"/>
      <c r="G137" s="17">
        <f>'HH WITH COM #1 '!$W$158</f>
        <v>2</v>
      </c>
      <c r="H137" s="17">
        <f>'HH WITH COM #1 '!$X$158</f>
        <v>50</v>
      </c>
      <c r="I137" s="116">
        <f t="shared" si="167"/>
        <v>52</v>
      </c>
      <c r="J137" s="91">
        <f t="shared" si="168"/>
        <v>0.19847328244274809</v>
      </c>
      <c r="K137" s="17">
        <f>'HH WITH COM #2'!$W$158</f>
        <v>0</v>
      </c>
      <c r="L137" s="17">
        <f>'HH WITH COM #2'!$X$158</f>
        <v>0</v>
      </c>
      <c r="M137" s="116">
        <f t="shared" si="169"/>
        <v>0</v>
      </c>
      <c r="N137" s="91">
        <f t="shared" si="170"/>
        <v>0</v>
      </c>
      <c r="O137" s="17">
        <f>'HH WITH COM #3'!$W$158</f>
        <v>0</v>
      </c>
      <c r="P137" s="17">
        <f>'HH WITH COM #3'!$X$158</f>
        <v>0</v>
      </c>
      <c r="Q137" s="116">
        <f t="shared" si="171"/>
        <v>0</v>
      </c>
      <c r="R137" s="91">
        <f t="shared" si="172"/>
        <v>0</v>
      </c>
      <c r="S137" s="17">
        <f>'HH WITH COM #4'!$W$158</f>
        <v>0</v>
      </c>
      <c r="T137" s="17">
        <f>'HH WITH COM #4'!$X$158</f>
        <v>0</v>
      </c>
      <c r="U137" s="116">
        <f t="shared" si="173"/>
        <v>0</v>
      </c>
      <c r="V137" s="91">
        <f t="shared" si="174"/>
        <v>0</v>
      </c>
      <c r="W137" s="17">
        <f>'HH WITH COM #5'!$W$158</f>
        <v>0</v>
      </c>
      <c r="X137" s="17">
        <f>'HH WITH COM #5'!$X$158</f>
        <v>0</v>
      </c>
      <c r="Y137" s="116">
        <f t="shared" si="175"/>
        <v>0</v>
      </c>
      <c r="Z137" s="91">
        <f t="shared" si="176"/>
        <v>0</v>
      </c>
      <c r="AA137" s="17">
        <f>'HH WITH COM #6'!$W$158</f>
        <v>0</v>
      </c>
      <c r="AB137" s="17">
        <f>'HH WITH COM #6'!$X$158</f>
        <v>0</v>
      </c>
      <c r="AC137" s="116">
        <f t="shared" si="177"/>
        <v>0</v>
      </c>
      <c r="AD137" s="91">
        <f t="shared" si="178"/>
        <v>0</v>
      </c>
      <c r="AE137" s="17">
        <f>'HH WITH COM #7'!$W$158</f>
        <v>0</v>
      </c>
      <c r="AF137" s="17">
        <f>'HH WITH COM #7'!$X$158</f>
        <v>0</v>
      </c>
      <c r="AG137" s="116">
        <f t="shared" si="179"/>
        <v>0</v>
      </c>
      <c r="AH137" s="373">
        <f t="shared" si="180"/>
        <v>0</v>
      </c>
      <c r="AI137" s="391">
        <f t="shared" si="164"/>
        <v>2</v>
      </c>
      <c r="AJ137" s="17">
        <f t="shared" si="165"/>
        <v>50</v>
      </c>
      <c r="AK137" s="539">
        <f t="shared" si="166"/>
        <v>52</v>
      </c>
      <c r="AL137" s="91">
        <f t="shared" si="181"/>
        <v>0.19847328244274809</v>
      </c>
    </row>
    <row r="138" spans="1:38" ht="16.5" customHeight="1" x14ac:dyDescent="0.25">
      <c r="A138" s="40"/>
      <c r="B138" s="40"/>
      <c r="C138" s="318" t="s">
        <v>121</v>
      </c>
      <c r="D138" s="484" t="s">
        <v>432</v>
      </c>
      <c r="E138" s="417"/>
      <c r="F138" s="417"/>
      <c r="G138" s="17">
        <f>'HH WITH COM #1 '!$W$159</f>
        <v>0</v>
      </c>
      <c r="H138" s="17">
        <f>'HH WITH COM #1 '!$X$159</f>
        <v>25</v>
      </c>
      <c r="I138" s="116">
        <f t="shared" si="167"/>
        <v>25</v>
      </c>
      <c r="J138" s="91">
        <f t="shared" si="168"/>
        <v>9.5419847328244281E-2</v>
      </c>
      <c r="K138" s="17">
        <f>'HH WITH COM #2'!$W$159</f>
        <v>0</v>
      </c>
      <c r="L138" s="17">
        <f>'HH WITH COM #2'!$X$159</f>
        <v>0</v>
      </c>
      <c r="M138" s="116">
        <f t="shared" si="169"/>
        <v>0</v>
      </c>
      <c r="N138" s="91">
        <f t="shared" si="170"/>
        <v>0</v>
      </c>
      <c r="O138" s="17">
        <f>'HH WITH COM #3'!$W$159</f>
        <v>0</v>
      </c>
      <c r="P138" s="17">
        <f>'HH WITH COM #3'!$X$159</f>
        <v>0</v>
      </c>
      <c r="Q138" s="116">
        <f t="shared" si="171"/>
        <v>0</v>
      </c>
      <c r="R138" s="91">
        <f t="shared" si="172"/>
        <v>0</v>
      </c>
      <c r="S138" s="17">
        <f>'HH WITH COM #4'!$W$159</f>
        <v>0</v>
      </c>
      <c r="T138" s="17">
        <f>'HH WITH COM #4'!$X$159</f>
        <v>0</v>
      </c>
      <c r="U138" s="116">
        <f t="shared" si="173"/>
        <v>0</v>
      </c>
      <c r="V138" s="91">
        <f t="shared" si="174"/>
        <v>0</v>
      </c>
      <c r="W138" s="17">
        <f>'HH WITH COM #5'!$W$159</f>
        <v>0</v>
      </c>
      <c r="X138" s="17">
        <f>'HH WITH COM #5'!$X$159</f>
        <v>0</v>
      </c>
      <c r="Y138" s="116">
        <f t="shared" si="175"/>
        <v>0</v>
      </c>
      <c r="Z138" s="91">
        <f t="shared" si="176"/>
        <v>0</v>
      </c>
      <c r="AA138" s="17">
        <f>'HH WITH COM #6'!$W$159</f>
        <v>0</v>
      </c>
      <c r="AB138" s="17">
        <f>'HH WITH COM #6'!$X$159</f>
        <v>0</v>
      </c>
      <c r="AC138" s="116">
        <f t="shared" si="177"/>
        <v>0</v>
      </c>
      <c r="AD138" s="91">
        <f t="shared" si="178"/>
        <v>0</v>
      </c>
      <c r="AE138" s="17">
        <f>'HH WITH COM #7'!$W$159</f>
        <v>0</v>
      </c>
      <c r="AF138" s="17">
        <f>'HH WITH COM #7'!$X$159</f>
        <v>0</v>
      </c>
      <c r="AG138" s="116">
        <f t="shared" si="179"/>
        <v>0</v>
      </c>
      <c r="AH138" s="373">
        <f t="shared" si="180"/>
        <v>0</v>
      </c>
      <c r="AI138" s="391">
        <f t="shared" si="164"/>
        <v>0</v>
      </c>
      <c r="AJ138" s="17">
        <f t="shared" si="165"/>
        <v>25</v>
      </c>
      <c r="AK138" s="539">
        <f t="shared" si="166"/>
        <v>25</v>
      </c>
      <c r="AL138" s="91">
        <f t="shared" si="181"/>
        <v>9.5419847328244281E-2</v>
      </c>
    </row>
    <row r="139" spans="1:38" ht="16.5" customHeight="1" x14ac:dyDescent="0.25">
      <c r="A139" s="40"/>
      <c r="B139" s="40"/>
      <c r="C139" s="318" t="s">
        <v>122</v>
      </c>
      <c r="D139" s="484" t="s">
        <v>129</v>
      </c>
      <c r="E139" s="417"/>
      <c r="F139" s="417"/>
      <c r="G139" s="17">
        <f>'HH WITH COM #1 '!$W$160</f>
        <v>0</v>
      </c>
      <c r="H139" s="17">
        <f>'HH WITH COM #1 '!$X$160</f>
        <v>0</v>
      </c>
      <c r="I139" s="116">
        <f t="shared" si="167"/>
        <v>0</v>
      </c>
      <c r="J139" s="91">
        <f t="shared" si="168"/>
        <v>0</v>
      </c>
      <c r="K139" s="17">
        <f>'HH WITH COM #2'!$W$160</f>
        <v>0</v>
      </c>
      <c r="L139" s="17">
        <f>'HH WITH COM #2'!$X$160</f>
        <v>0</v>
      </c>
      <c r="M139" s="116">
        <f t="shared" si="169"/>
        <v>0</v>
      </c>
      <c r="N139" s="91">
        <f t="shared" si="170"/>
        <v>0</v>
      </c>
      <c r="O139" s="17">
        <f>'HH WITH COM #3'!$W$160</f>
        <v>0</v>
      </c>
      <c r="P139" s="17">
        <f>'HH WITH COM #3'!$X$160</f>
        <v>0</v>
      </c>
      <c r="Q139" s="116">
        <f t="shared" si="171"/>
        <v>0</v>
      </c>
      <c r="R139" s="91">
        <f t="shared" si="172"/>
        <v>0</v>
      </c>
      <c r="S139" s="17">
        <f>'HH WITH COM #4'!$W$160</f>
        <v>0</v>
      </c>
      <c r="T139" s="17">
        <f>'HH WITH COM #4'!$X$160</f>
        <v>0</v>
      </c>
      <c r="U139" s="116">
        <f t="shared" si="173"/>
        <v>0</v>
      </c>
      <c r="V139" s="91">
        <f t="shared" si="174"/>
        <v>0</v>
      </c>
      <c r="W139" s="17">
        <f>'HH WITH COM #5'!$W$160</f>
        <v>0</v>
      </c>
      <c r="X139" s="17">
        <f>'HH WITH COM #5'!$X$160</f>
        <v>0</v>
      </c>
      <c r="Y139" s="116">
        <f t="shared" si="175"/>
        <v>0</v>
      </c>
      <c r="Z139" s="91">
        <f t="shared" si="176"/>
        <v>0</v>
      </c>
      <c r="AA139" s="17">
        <f>'HH WITH COM #6'!$W$160</f>
        <v>0</v>
      </c>
      <c r="AB139" s="17">
        <f>'HH WITH COM #6'!$X$160</f>
        <v>0</v>
      </c>
      <c r="AC139" s="116">
        <f t="shared" si="177"/>
        <v>0</v>
      </c>
      <c r="AD139" s="91">
        <f t="shared" si="178"/>
        <v>0</v>
      </c>
      <c r="AE139" s="17">
        <f>'HH WITH COM #7'!$W$160</f>
        <v>0</v>
      </c>
      <c r="AF139" s="17">
        <f>'HH WITH COM #7'!$X$160</f>
        <v>0</v>
      </c>
      <c r="AG139" s="116">
        <f t="shared" si="179"/>
        <v>0</v>
      </c>
      <c r="AH139" s="373">
        <f t="shared" si="180"/>
        <v>0</v>
      </c>
      <c r="AI139" s="391">
        <f t="shared" si="164"/>
        <v>0</v>
      </c>
      <c r="AJ139" s="17">
        <f t="shared" si="165"/>
        <v>0</v>
      </c>
      <c r="AK139" s="539">
        <f t="shared" si="166"/>
        <v>0</v>
      </c>
      <c r="AL139" s="91">
        <f t="shared" si="181"/>
        <v>0</v>
      </c>
    </row>
    <row r="140" spans="1:38" ht="16.5" customHeight="1" x14ac:dyDescent="0.25">
      <c r="A140" s="40"/>
      <c r="B140" s="40"/>
      <c r="C140" s="40"/>
      <c r="D140" s="490"/>
      <c r="E140" s="490"/>
      <c r="F140" s="490"/>
      <c r="G140" s="82">
        <f>SUM(G134:G139)</f>
        <v>28</v>
      </c>
      <c r="H140" s="82">
        <f t="shared" ref="H140:I140" si="182">SUM(H134:H139)</f>
        <v>234</v>
      </c>
      <c r="I140" s="82">
        <f t="shared" si="182"/>
        <v>262</v>
      </c>
      <c r="J140" s="66">
        <f t="shared" si="168"/>
        <v>1</v>
      </c>
      <c r="K140" s="82">
        <f>SUM(K134:K139)</f>
        <v>0</v>
      </c>
      <c r="L140" s="82">
        <f t="shared" ref="L140" si="183">SUM(L134:L139)</f>
        <v>0</v>
      </c>
      <c r="M140" s="82">
        <f t="shared" ref="M140" si="184">SUM(M134:M139)</f>
        <v>0</v>
      </c>
      <c r="N140" s="66">
        <f t="shared" si="170"/>
        <v>0</v>
      </c>
      <c r="O140" s="82">
        <f>SUM(O134:O139)</f>
        <v>0</v>
      </c>
      <c r="P140" s="82">
        <f t="shared" ref="P140" si="185">SUM(P134:P139)</f>
        <v>0</v>
      </c>
      <c r="Q140" s="82">
        <f t="shared" ref="Q140" si="186">SUM(Q134:Q139)</f>
        <v>0</v>
      </c>
      <c r="R140" s="66">
        <f t="shared" si="172"/>
        <v>0</v>
      </c>
      <c r="S140" s="82">
        <f>SUM(S134:S139)</f>
        <v>0</v>
      </c>
      <c r="T140" s="82">
        <f t="shared" ref="T140" si="187">SUM(T134:T139)</f>
        <v>0</v>
      </c>
      <c r="U140" s="82">
        <f t="shared" ref="U140" si="188">SUM(U134:U139)</f>
        <v>0</v>
      </c>
      <c r="V140" s="66">
        <f t="shared" si="174"/>
        <v>0</v>
      </c>
      <c r="W140" s="82">
        <f>SUM(W134:W139)</f>
        <v>0</v>
      </c>
      <c r="X140" s="82">
        <f t="shared" ref="X140" si="189">SUM(X134:X139)</f>
        <v>0</v>
      </c>
      <c r="Y140" s="82">
        <f t="shared" ref="Y140" si="190">SUM(Y134:Y139)</f>
        <v>0</v>
      </c>
      <c r="Z140" s="66">
        <f t="shared" si="176"/>
        <v>0</v>
      </c>
      <c r="AA140" s="82">
        <f>SUM(AA134:AA139)</f>
        <v>0</v>
      </c>
      <c r="AB140" s="82">
        <f t="shared" ref="AB140" si="191">SUM(AB134:AB139)</f>
        <v>0</v>
      </c>
      <c r="AC140" s="82">
        <f t="shared" ref="AC140" si="192">SUM(AC134:AC139)</f>
        <v>0</v>
      </c>
      <c r="AD140" s="66">
        <f t="shared" si="178"/>
        <v>0</v>
      </c>
      <c r="AE140" s="82">
        <f>SUM(AE134:AE139)</f>
        <v>0</v>
      </c>
      <c r="AF140" s="82">
        <f t="shared" ref="AF140" si="193">SUM(AF134:AF139)</f>
        <v>0</v>
      </c>
      <c r="AG140" s="82">
        <f t="shared" ref="AG140" si="194">SUM(AG134:AG139)</f>
        <v>0</v>
      </c>
      <c r="AH140" s="608">
        <f t="shared" si="180"/>
        <v>0</v>
      </c>
      <c r="AI140" s="381">
        <f>SUM(AI134:AI139)</f>
        <v>28</v>
      </c>
      <c r="AJ140" s="82">
        <f t="shared" ref="AJ140" si="195">SUM(AJ134:AJ139)</f>
        <v>234</v>
      </c>
      <c r="AK140" s="82">
        <f t="shared" ref="AK140" si="196">SUM(AK134:AK139)</f>
        <v>262</v>
      </c>
      <c r="AL140" s="66">
        <f t="shared" si="181"/>
        <v>1</v>
      </c>
    </row>
    <row r="141" spans="1:38" s="117" customFormat="1" ht="16.5" customHeight="1" x14ac:dyDescent="0.25">
      <c r="A141" s="119"/>
      <c r="B141" s="41" t="s">
        <v>123</v>
      </c>
      <c r="C141" s="476" t="s">
        <v>426</v>
      </c>
      <c r="D141" s="477"/>
      <c r="E141" s="478"/>
      <c r="F141" s="478"/>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355"/>
      <c r="AI141" s="377"/>
      <c r="AJ141" s="71"/>
      <c r="AK141" s="71"/>
      <c r="AL141" s="71"/>
    </row>
    <row r="142" spans="1:38" ht="16.5" customHeight="1" x14ac:dyDescent="0.25">
      <c r="A142" s="40"/>
      <c r="B142" s="40"/>
      <c r="C142" s="473" t="s">
        <v>125</v>
      </c>
      <c r="D142" s="105" t="s">
        <v>148</v>
      </c>
      <c r="E142" s="417"/>
      <c r="F142" s="417"/>
      <c r="G142" s="17">
        <f>'HH WITH COM #1 '!$W$164</f>
        <v>22</v>
      </c>
      <c r="H142" s="17">
        <f>'HH WITH COM #1 '!$X$164</f>
        <v>183</v>
      </c>
      <c r="I142" s="116">
        <f>SUM(G142:H142)</f>
        <v>205</v>
      </c>
      <c r="J142" s="91">
        <f>IF(I$144=0,0,I142/I$144)</f>
        <v>0.78244274809160308</v>
      </c>
      <c r="K142" s="17">
        <f>'HH WITH COM #2'!$W$164</f>
        <v>0</v>
      </c>
      <c r="L142" s="17">
        <f>'HH WITH COM #2'!$X$164</f>
        <v>0</v>
      </c>
      <c r="M142" s="116">
        <f>SUM(K142:L142)</f>
        <v>0</v>
      </c>
      <c r="N142" s="91">
        <f>IF(M$144=0,0,M142/M$144)</f>
        <v>0</v>
      </c>
      <c r="O142" s="17">
        <f>'HH WITH COM #3'!$W$164</f>
        <v>0</v>
      </c>
      <c r="P142" s="17">
        <f>'HH WITH COM #3'!$X$164</f>
        <v>0</v>
      </c>
      <c r="Q142" s="116">
        <f>SUM(O142:P142)</f>
        <v>0</v>
      </c>
      <c r="R142" s="91">
        <f>IF(Q$144=0,0,Q142/Q$144)</f>
        <v>0</v>
      </c>
      <c r="S142" s="17">
        <f>'HH WITH COM #4'!$W$164</f>
        <v>0</v>
      </c>
      <c r="T142" s="17">
        <f>'HH WITH COM #4'!$X$164</f>
        <v>0</v>
      </c>
      <c r="U142" s="116">
        <f>SUM(S142:T142)</f>
        <v>0</v>
      </c>
      <c r="V142" s="91">
        <f>IF(U$144=0,0,U142/U$144)</f>
        <v>0</v>
      </c>
      <c r="W142" s="17">
        <f>'HH WITH COM #5'!$W$164</f>
        <v>0</v>
      </c>
      <c r="X142" s="17">
        <f>'HH WITH COM #5'!$X$164</f>
        <v>0</v>
      </c>
      <c r="Y142" s="116">
        <f>SUM(W142:X142)</f>
        <v>0</v>
      </c>
      <c r="Z142" s="91">
        <f>IF(Y$144=0,0,Y142/Y$144)</f>
        <v>0</v>
      </c>
      <c r="AA142" s="17">
        <f>'HH WITH COM #6'!$W$164</f>
        <v>0</v>
      </c>
      <c r="AB142" s="17">
        <f>'HH WITH COM #6'!$X$164</f>
        <v>0</v>
      </c>
      <c r="AC142" s="116">
        <f>SUM(AA142:AB142)</f>
        <v>0</v>
      </c>
      <c r="AD142" s="91">
        <f>IF(AC$144=0,0,AC142/AC$144)</f>
        <v>0</v>
      </c>
      <c r="AE142" s="17">
        <f>'HH WITH COM #7'!$W$164</f>
        <v>0</v>
      </c>
      <c r="AF142" s="17">
        <f>'HH WITH COM #7'!$X$164</f>
        <v>0</v>
      </c>
      <c r="AG142" s="116">
        <f>SUM(AE142:AF142)</f>
        <v>0</v>
      </c>
      <c r="AH142" s="373">
        <f>IF(AG$144=0,0,AG142/AG$144)</f>
        <v>0</v>
      </c>
      <c r="AI142" s="391">
        <f t="shared" ref="AI142:AI143" si="197">G142+K142+O142+S142+W142+AA142+AE142</f>
        <v>22</v>
      </c>
      <c r="AJ142" s="17">
        <f t="shared" ref="AJ142:AJ143" si="198">H142+L142+P142+T142+X142+AB142+AF142</f>
        <v>183</v>
      </c>
      <c r="AK142" s="539">
        <f t="shared" ref="AK142:AK143" si="199">SUM(AI142:AJ142)</f>
        <v>205</v>
      </c>
      <c r="AL142" s="91">
        <f>IF(AK$144=0,0,AK142/AK$144)</f>
        <v>0.78244274809160308</v>
      </c>
    </row>
    <row r="143" spans="1:38" ht="16.5" customHeight="1" x14ac:dyDescent="0.25">
      <c r="A143" s="40"/>
      <c r="B143" s="40"/>
      <c r="C143" s="473" t="s">
        <v>126</v>
      </c>
      <c r="D143" s="105" t="s">
        <v>149</v>
      </c>
      <c r="E143" s="417"/>
      <c r="F143" s="417"/>
      <c r="G143" s="17">
        <f>'HH WITH COM #1 '!$W$165</f>
        <v>6</v>
      </c>
      <c r="H143" s="17">
        <f>'HH WITH COM #1 '!$X$165</f>
        <v>51</v>
      </c>
      <c r="I143" s="116">
        <f>SUM(G143:H143)</f>
        <v>57</v>
      </c>
      <c r="J143" s="91">
        <f t="shared" ref="J143:J144" si="200">IF(I$144=0,0,I143/I$144)</f>
        <v>0.21755725190839695</v>
      </c>
      <c r="K143" s="17">
        <f>'HH WITH COM #2'!$W$165</f>
        <v>0</v>
      </c>
      <c r="L143" s="17">
        <f>'HH WITH COM #2'!$X$165</f>
        <v>0</v>
      </c>
      <c r="M143" s="116">
        <f>SUM(K143:L143)</f>
        <v>0</v>
      </c>
      <c r="N143" s="91">
        <f t="shared" ref="N143:N144" si="201">IF(M$144=0,0,M143/M$144)</f>
        <v>0</v>
      </c>
      <c r="O143" s="17">
        <f>'HH WITH COM #3'!$W$165</f>
        <v>0</v>
      </c>
      <c r="P143" s="17">
        <f>'HH WITH COM #3'!$X$165</f>
        <v>0</v>
      </c>
      <c r="Q143" s="116">
        <f>SUM(O143:P143)</f>
        <v>0</v>
      </c>
      <c r="R143" s="91">
        <f t="shared" ref="R143:R144" si="202">IF(Q$144=0,0,Q143/Q$144)</f>
        <v>0</v>
      </c>
      <c r="S143" s="17">
        <f>'HH WITH COM #4'!$W$165</f>
        <v>0</v>
      </c>
      <c r="T143" s="17">
        <f>'HH WITH COM #4'!$X$165</f>
        <v>0</v>
      </c>
      <c r="U143" s="116">
        <f>SUM(S143:T143)</f>
        <v>0</v>
      </c>
      <c r="V143" s="91">
        <f t="shared" ref="V143:V144" si="203">IF(U$144=0,0,U143/U$144)</f>
        <v>0</v>
      </c>
      <c r="W143" s="17">
        <f>'HH WITH COM #5'!$W$165</f>
        <v>0</v>
      </c>
      <c r="X143" s="17">
        <f>'HH WITH COM #5'!$X$165</f>
        <v>0</v>
      </c>
      <c r="Y143" s="116">
        <f>SUM(W143:X143)</f>
        <v>0</v>
      </c>
      <c r="Z143" s="91">
        <f t="shared" ref="Z143:Z144" si="204">IF(Y$144=0,0,Y143/Y$144)</f>
        <v>0</v>
      </c>
      <c r="AA143" s="17">
        <f>'HH WITH COM #6'!$W$165</f>
        <v>0</v>
      </c>
      <c r="AB143" s="17">
        <f>'HH WITH COM #6'!$X$165</f>
        <v>0</v>
      </c>
      <c r="AC143" s="116">
        <f>SUM(AA143:AB143)</f>
        <v>0</v>
      </c>
      <c r="AD143" s="91">
        <f t="shared" ref="AD143:AD144" si="205">IF(AC$144=0,0,AC143/AC$144)</f>
        <v>0</v>
      </c>
      <c r="AE143" s="17">
        <f>'HH WITH COM #7'!$W$165</f>
        <v>0</v>
      </c>
      <c r="AF143" s="17">
        <f>'HH WITH COM #7'!$X$165</f>
        <v>0</v>
      </c>
      <c r="AG143" s="116">
        <f>SUM(AE143:AF143)</f>
        <v>0</v>
      </c>
      <c r="AH143" s="373">
        <f t="shared" ref="AH143:AH144" si="206">IF(AG$144=0,0,AG143/AG$144)</f>
        <v>0</v>
      </c>
      <c r="AI143" s="391">
        <f t="shared" si="197"/>
        <v>6</v>
      </c>
      <c r="AJ143" s="17">
        <f t="shared" si="198"/>
        <v>51</v>
      </c>
      <c r="AK143" s="539">
        <f t="shared" si="199"/>
        <v>57</v>
      </c>
      <c r="AL143" s="91">
        <f t="shared" ref="AL143:AL144" si="207">IF(AK$144=0,0,AK143/AK$144)</f>
        <v>0.21755725190839695</v>
      </c>
    </row>
    <row r="144" spans="1:38" ht="16.5" customHeight="1" x14ac:dyDescent="0.25">
      <c r="A144" s="40"/>
      <c r="B144" s="40"/>
      <c r="C144" s="40"/>
      <c r="D144" s="490"/>
      <c r="E144" s="490"/>
      <c r="F144" s="490"/>
      <c r="G144" s="82">
        <f>SUM(G142:G143)</f>
        <v>28</v>
      </c>
      <c r="H144" s="82">
        <f t="shared" ref="H144:I144" si="208">SUM(H142:H143)</f>
        <v>234</v>
      </c>
      <c r="I144" s="82">
        <f t="shared" si="208"/>
        <v>262</v>
      </c>
      <c r="J144" s="66">
        <f t="shared" si="200"/>
        <v>1</v>
      </c>
      <c r="K144" s="82">
        <f>SUM(K142:K143)</f>
        <v>0</v>
      </c>
      <c r="L144" s="82">
        <f t="shared" ref="L144" si="209">SUM(L142:L143)</f>
        <v>0</v>
      </c>
      <c r="M144" s="82">
        <f t="shared" ref="M144" si="210">SUM(M142:M143)</f>
        <v>0</v>
      </c>
      <c r="N144" s="66">
        <f t="shared" si="201"/>
        <v>0</v>
      </c>
      <c r="O144" s="82">
        <f>SUM(O142:O143)</f>
        <v>0</v>
      </c>
      <c r="P144" s="82">
        <f t="shared" ref="P144" si="211">SUM(P142:P143)</f>
        <v>0</v>
      </c>
      <c r="Q144" s="82">
        <f t="shared" ref="Q144" si="212">SUM(Q142:Q143)</f>
        <v>0</v>
      </c>
      <c r="R144" s="66">
        <f t="shared" si="202"/>
        <v>0</v>
      </c>
      <c r="S144" s="82">
        <f>SUM(S142:S143)</f>
        <v>0</v>
      </c>
      <c r="T144" s="82">
        <f t="shared" ref="T144" si="213">SUM(T142:T143)</f>
        <v>0</v>
      </c>
      <c r="U144" s="82">
        <f t="shared" ref="U144" si="214">SUM(U142:U143)</f>
        <v>0</v>
      </c>
      <c r="V144" s="66">
        <f t="shared" si="203"/>
        <v>0</v>
      </c>
      <c r="W144" s="82">
        <f>SUM(W142:W143)</f>
        <v>0</v>
      </c>
      <c r="X144" s="82">
        <f t="shared" ref="X144" si="215">SUM(X142:X143)</f>
        <v>0</v>
      </c>
      <c r="Y144" s="82">
        <f t="shared" ref="Y144" si="216">SUM(Y142:Y143)</f>
        <v>0</v>
      </c>
      <c r="Z144" s="66">
        <f t="shared" si="204"/>
        <v>0</v>
      </c>
      <c r="AA144" s="82">
        <f>SUM(AA142:AA143)</f>
        <v>0</v>
      </c>
      <c r="AB144" s="82">
        <f t="shared" ref="AB144" si="217">SUM(AB142:AB143)</f>
        <v>0</v>
      </c>
      <c r="AC144" s="82">
        <f t="shared" ref="AC144" si="218">SUM(AC142:AC143)</f>
        <v>0</v>
      </c>
      <c r="AD144" s="66">
        <f t="shared" si="205"/>
        <v>0</v>
      </c>
      <c r="AE144" s="82">
        <f>SUM(AE142:AE143)</f>
        <v>0</v>
      </c>
      <c r="AF144" s="82">
        <f t="shared" ref="AF144" si="219">SUM(AF142:AF143)</f>
        <v>0</v>
      </c>
      <c r="AG144" s="82">
        <f t="shared" ref="AG144" si="220">SUM(AG142:AG143)</f>
        <v>0</v>
      </c>
      <c r="AH144" s="608">
        <f t="shared" si="206"/>
        <v>0</v>
      </c>
      <c r="AI144" s="381">
        <f>SUM(AI142:AI143)</f>
        <v>28</v>
      </c>
      <c r="AJ144" s="82">
        <f t="shared" ref="AJ144" si="221">SUM(AJ142:AJ143)</f>
        <v>234</v>
      </c>
      <c r="AK144" s="82">
        <f t="shared" ref="AK144" si="222">SUM(AK142:AK143)</f>
        <v>262</v>
      </c>
      <c r="AL144" s="66">
        <f t="shared" si="207"/>
        <v>1</v>
      </c>
    </row>
    <row r="145" spans="1:38" s="117" customFormat="1" ht="16.5" customHeight="1" x14ac:dyDescent="0.25">
      <c r="A145" s="119"/>
      <c r="B145" s="41" t="s">
        <v>130</v>
      </c>
      <c r="C145" s="476" t="s">
        <v>413</v>
      </c>
      <c r="D145" s="477"/>
      <c r="E145" s="478"/>
      <c r="F145" s="478"/>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355"/>
      <c r="AI145" s="377"/>
      <c r="AJ145" s="71"/>
      <c r="AK145" s="71"/>
      <c r="AL145" s="71"/>
    </row>
    <row r="146" spans="1:38" ht="16.5" customHeight="1" x14ac:dyDescent="0.25">
      <c r="A146" s="40"/>
      <c r="B146" s="40"/>
      <c r="C146" s="473" t="s">
        <v>131</v>
      </c>
      <c r="D146" s="303" t="s">
        <v>925</v>
      </c>
      <c r="E146" s="417"/>
      <c r="F146" s="417"/>
      <c r="G146" s="17">
        <f>'HH WITH COM #1 '!$W$169</f>
        <v>0</v>
      </c>
      <c r="H146" s="17">
        <f>'HH WITH COM #1 '!$X$169</f>
        <v>0</v>
      </c>
      <c r="I146" s="116">
        <f t="shared" ref="I146:I150" si="223">SUM(G146:H146)</f>
        <v>0</v>
      </c>
      <c r="J146" s="91">
        <f>IF(I$151=0,0,I146/I$151)</f>
        <v>0</v>
      </c>
      <c r="K146" s="17">
        <f>'HH WITH COM #2'!$W$169</f>
        <v>0</v>
      </c>
      <c r="L146" s="17">
        <f>'HH WITH COM #2'!$X$169</f>
        <v>0</v>
      </c>
      <c r="M146" s="116">
        <f t="shared" ref="M146:M150" si="224">SUM(K146:L146)</f>
        <v>0</v>
      </c>
      <c r="N146" s="91">
        <f>IF(M$151=0,0,M146/M$151)</f>
        <v>0</v>
      </c>
      <c r="O146" s="17">
        <f>'HH WITH COM #3'!$W$169</f>
        <v>0</v>
      </c>
      <c r="P146" s="17">
        <f>'HH WITH COM #3'!$X$169</f>
        <v>0</v>
      </c>
      <c r="Q146" s="116">
        <f t="shared" ref="Q146:Q150" si="225">SUM(O146:P146)</f>
        <v>0</v>
      </c>
      <c r="R146" s="91">
        <f>IF(Q$151=0,0,Q146/Q$151)</f>
        <v>0</v>
      </c>
      <c r="S146" s="17">
        <f>'HH WITH COM #4'!$W$169</f>
        <v>0</v>
      </c>
      <c r="T146" s="17">
        <f>'HH WITH COM #4'!$X$169</f>
        <v>0</v>
      </c>
      <c r="U146" s="116">
        <f t="shared" ref="U146:U150" si="226">SUM(S146:T146)</f>
        <v>0</v>
      </c>
      <c r="V146" s="91">
        <f>IF(U$151=0,0,U146/U$151)</f>
        <v>0</v>
      </c>
      <c r="W146" s="17">
        <f>'HH WITH COM #5'!$W$169</f>
        <v>0</v>
      </c>
      <c r="X146" s="17">
        <f>'HH WITH COM #5'!$X$169</f>
        <v>0</v>
      </c>
      <c r="Y146" s="116">
        <f t="shared" ref="Y146:Y150" si="227">SUM(W146:X146)</f>
        <v>0</v>
      </c>
      <c r="Z146" s="91">
        <f>IF(Y$151=0,0,Y146/Y$151)</f>
        <v>0</v>
      </c>
      <c r="AA146" s="17">
        <f>'HH WITH COM #6'!$W$169</f>
        <v>0</v>
      </c>
      <c r="AB146" s="17">
        <f>'HH WITH COM #6'!$X$169</f>
        <v>0</v>
      </c>
      <c r="AC146" s="116">
        <f t="shared" ref="AC146:AC150" si="228">SUM(AA146:AB146)</f>
        <v>0</v>
      </c>
      <c r="AD146" s="91">
        <f>IF(AC$151=0,0,AC146/AC$151)</f>
        <v>0</v>
      </c>
      <c r="AE146" s="17">
        <f>'HH WITH COM #7'!$W$169</f>
        <v>0</v>
      </c>
      <c r="AF146" s="17">
        <f>'HH WITH COM #7'!$X$169</f>
        <v>0</v>
      </c>
      <c r="AG146" s="116">
        <f t="shared" ref="AG146:AG150" si="229">SUM(AE146:AF146)</f>
        <v>0</v>
      </c>
      <c r="AH146" s="373">
        <f>IF(AG$151=0,0,AG146/AG$151)</f>
        <v>0</v>
      </c>
      <c r="AI146" s="391">
        <f t="shared" ref="AI146:AI150" si="230">G146+K146+O146+S146+W146+AA146+AE146</f>
        <v>0</v>
      </c>
      <c r="AJ146" s="17">
        <f t="shared" ref="AJ146:AJ150" si="231">H146+L146+P146+T146+X146+AB146+AF146</f>
        <v>0</v>
      </c>
      <c r="AK146" s="539">
        <f t="shared" ref="AK146:AK150" si="232">SUM(AI146:AJ146)</f>
        <v>0</v>
      </c>
      <c r="AL146" s="91">
        <f>IF(AK$151=0,0,AK146/AK$151)</f>
        <v>0</v>
      </c>
    </row>
    <row r="147" spans="1:38" ht="16.5" customHeight="1" x14ac:dyDescent="0.25">
      <c r="A147" s="40"/>
      <c r="B147" s="40"/>
      <c r="C147" s="473" t="s">
        <v>132</v>
      </c>
      <c r="D147" s="303" t="s">
        <v>926</v>
      </c>
      <c r="E147" s="417"/>
      <c r="F147" s="417"/>
      <c r="G147" s="17">
        <f>'HH WITH COM #1 '!$W$170</f>
        <v>0</v>
      </c>
      <c r="H147" s="17">
        <f>'HH WITH COM #1 '!$X$170</f>
        <v>0</v>
      </c>
      <c r="I147" s="116">
        <f t="shared" si="223"/>
        <v>0</v>
      </c>
      <c r="J147" s="91">
        <f t="shared" ref="J147:J151" si="233">IF(I$151=0,0,I147/I$151)</f>
        <v>0</v>
      </c>
      <c r="K147" s="17">
        <f>'HH WITH COM #2'!$W$170</f>
        <v>1</v>
      </c>
      <c r="L147" s="17">
        <f>'HH WITH COM #2'!$X$170</f>
        <v>1</v>
      </c>
      <c r="M147" s="116">
        <f t="shared" si="224"/>
        <v>2</v>
      </c>
      <c r="N147" s="91">
        <f t="shared" ref="N147:N151" si="234">IF(M$151=0,0,M147/M$151)</f>
        <v>0.14285714285714285</v>
      </c>
      <c r="O147" s="17">
        <f>'HH WITH COM #3'!$W$170</f>
        <v>0</v>
      </c>
      <c r="P147" s="17">
        <f>'HH WITH COM #3'!$X$170</f>
        <v>0</v>
      </c>
      <c r="Q147" s="116">
        <f t="shared" si="225"/>
        <v>0</v>
      </c>
      <c r="R147" s="91">
        <f t="shared" ref="R147:R151" si="235">IF(Q$151=0,0,Q147/Q$151)</f>
        <v>0</v>
      </c>
      <c r="S147" s="17">
        <f>'HH WITH COM #4'!$W$170</f>
        <v>0</v>
      </c>
      <c r="T147" s="17">
        <f>'HH WITH COM #4'!$X$170</f>
        <v>1</v>
      </c>
      <c r="U147" s="116">
        <f t="shared" si="226"/>
        <v>1</v>
      </c>
      <c r="V147" s="91">
        <f t="shared" ref="V147:V151" si="236">IF(U$151=0,0,U147/U$151)</f>
        <v>6.25E-2</v>
      </c>
      <c r="W147" s="17">
        <f>'HH WITH COM #5'!$W$170</f>
        <v>1</v>
      </c>
      <c r="X147" s="17">
        <f>'HH WITH COM #5'!$X$170</f>
        <v>0</v>
      </c>
      <c r="Y147" s="116">
        <f t="shared" si="227"/>
        <v>1</v>
      </c>
      <c r="Z147" s="91">
        <f t="shared" ref="Z147:Z151" si="237">IF(Y$151=0,0,Y147/Y$151)</f>
        <v>4.7619047619047616E-2</v>
      </c>
      <c r="AA147" s="17">
        <f>'HH WITH COM #6'!$W$170</f>
        <v>0</v>
      </c>
      <c r="AB147" s="17">
        <f>'HH WITH COM #6'!$X$170</f>
        <v>1</v>
      </c>
      <c r="AC147" s="116">
        <f t="shared" si="228"/>
        <v>1</v>
      </c>
      <c r="AD147" s="91">
        <f t="shared" ref="AD147:AD151" si="238">IF(AC$151=0,0,AC147/AC$151)</f>
        <v>6.6666666666666666E-2</v>
      </c>
      <c r="AE147" s="17">
        <f>'HH WITH COM #7'!$W$170</f>
        <v>0</v>
      </c>
      <c r="AF147" s="17">
        <f>'HH WITH COM #7'!$X$170</f>
        <v>0</v>
      </c>
      <c r="AG147" s="116">
        <f t="shared" si="229"/>
        <v>0</v>
      </c>
      <c r="AH147" s="373">
        <f t="shared" ref="AH147:AH151" si="239">IF(AG$151=0,0,AG147/AG$151)</f>
        <v>0</v>
      </c>
      <c r="AI147" s="391">
        <f t="shared" si="230"/>
        <v>2</v>
      </c>
      <c r="AJ147" s="17">
        <f t="shared" si="231"/>
        <v>3</v>
      </c>
      <c r="AK147" s="539">
        <f t="shared" si="232"/>
        <v>5</v>
      </c>
      <c r="AL147" s="91">
        <f t="shared" ref="AL147:AL151" si="240">IF(AK$151=0,0,AK147/AK$151)</f>
        <v>5.5555555555555552E-2</v>
      </c>
    </row>
    <row r="148" spans="1:38" ht="16.5" customHeight="1" x14ac:dyDescent="0.25">
      <c r="A148" s="40"/>
      <c r="B148" s="40"/>
      <c r="C148" s="473" t="s">
        <v>133</v>
      </c>
      <c r="D148" s="303" t="s">
        <v>927</v>
      </c>
      <c r="E148" s="417"/>
      <c r="F148" s="417"/>
      <c r="G148" s="17">
        <f>'HH WITH COM #1 '!$W$171</f>
        <v>5</v>
      </c>
      <c r="H148" s="17">
        <f>'HH WITH COM #1 '!$X$171</f>
        <v>1</v>
      </c>
      <c r="I148" s="116">
        <f t="shared" si="223"/>
        <v>6</v>
      </c>
      <c r="J148" s="91">
        <f t="shared" si="233"/>
        <v>0.4</v>
      </c>
      <c r="K148" s="17">
        <f>'HH WITH COM #2'!$W$171</f>
        <v>2</v>
      </c>
      <c r="L148" s="17">
        <f>'HH WITH COM #2'!$X$171</f>
        <v>4</v>
      </c>
      <c r="M148" s="116">
        <f t="shared" si="224"/>
        <v>6</v>
      </c>
      <c r="N148" s="91">
        <f t="shared" si="234"/>
        <v>0.42857142857142855</v>
      </c>
      <c r="O148" s="17">
        <f>'HH WITH COM #3'!$W$171</f>
        <v>0</v>
      </c>
      <c r="P148" s="17">
        <f>'HH WITH COM #3'!$X$171</f>
        <v>1</v>
      </c>
      <c r="Q148" s="116">
        <f t="shared" si="225"/>
        <v>1</v>
      </c>
      <c r="R148" s="91">
        <f t="shared" si="235"/>
        <v>0.1111111111111111</v>
      </c>
      <c r="S148" s="17">
        <f>'HH WITH COM #4'!$W$171</f>
        <v>0</v>
      </c>
      <c r="T148" s="17">
        <f>'HH WITH COM #4'!$X$171</f>
        <v>7</v>
      </c>
      <c r="U148" s="116">
        <f t="shared" si="226"/>
        <v>7</v>
      </c>
      <c r="V148" s="91">
        <f t="shared" si="236"/>
        <v>0.4375</v>
      </c>
      <c r="W148" s="17">
        <f>'HH WITH COM #5'!$W$171</f>
        <v>0</v>
      </c>
      <c r="X148" s="17">
        <f>'HH WITH COM #5'!$X$171</f>
        <v>2</v>
      </c>
      <c r="Y148" s="116">
        <f t="shared" si="227"/>
        <v>2</v>
      </c>
      <c r="Z148" s="91">
        <f t="shared" si="237"/>
        <v>9.5238095238095233E-2</v>
      </c>
      <c r="AA148" s="17">
        <f>'HH WITH COM #6'!$W$171</f>
        <v>2</v>
      </c>
      <c r="AB148" s="17">
        <f>'HH WITH COM #6'!$X$171</f>
        <v>3</v>
      </c>
      <c r="AC148" s="116">
        <f t="shared" si="228"/>
        <v>5</v>
      </c>
      <c r="AD148" s="91">
        <f t="shared" si="238"/>
        <v>0.33333333333333331</v>
      </c>
      <c r="AE148" s="17">
        <f>'HH WITH COM #7'!$W$171</f>
        <v>0</v>
      </c>
      <c r="AF148" s="17">
        <f>'HH WITH COM #7'!$X$171</f>
        <v>0</v>
      </c>
      <c r="AG148" s="116">
        <f t="shared" si="229"/>
        <v>0</v>
      </c>
      <c r="AH148" s="373">
        <f t="shared" si="239"/>
        <v>0</v>
      </c>
      <c r="AI148" s="391">
        <f t="shared" si="230"/>
        <v>9</v>
      </c>
      <c r="AJ148" s="17">
        <f t="shared" si="231"/>
        <v>18</v>
      </c>
      <c r="AK148" s="539">
        <f t="shared" si="232"/>
        <v>27</v>
      </c>
      <c r="AL148" s="91">
        <f t="shared" si="240"/>
        <v>0.3</v>
      </c>
    </row>
    <row r="149" spans="1:38" ht="16.5" customHeight="1" x14ac:dyDescent="0.25">
      <c r="A149" s="40"/>
      <c r="B149" s="40"/>
      <c r="C149" s="473" t="s">
        <v>134</v>
      </c>
      <c r="D149" s="303" t="s">
        <v>928</v>
      </c>
      <c r="E149" s="417"/>
      <c r="F149" s="417"/>
      <c r="G149" s="17">
        <f>'HH WITH COM #1 '!$W$172</f>
        <v>2</v>
      </c>
      <c r="H149" s="17">
        <f>'HH WITH COM #1 '!$X$172</f>
        <v>7</v>
      </c>
      <c r="I149" s="116">
        <f t="shared" si="223"/>
        <v>9</v>
      </c>
      <c r="J149" s="91">
        <f t="shared" si="233"/>
        <v>0.6</v>
      </c>
      <c r="K149" s="17">
        <f>'HH WITH COM #2'!$W$172</f>
        <v>1</v>
      </c>
      <c r="L149" s="17">
        <f>'HH WITH COM #2'!$X$172</f>
        <v>5</v>
      </c>
      <c r="M149" s="116">
        <f t="shared" si="224"/>
        <v>6</v>
      </c>
      <c r="N149" s="91">
        <f t="shared" si="234"/>
        <v>0.42857142857142855</v>
      </c>
      <c r="O149" s="17">
        <f>'HH WITH COM #3'!$W$172</f>
        <v>0</v>
      </c>
      <c r="P149" s="17">
        <f>'HH WITH COM #3'!$X$172</f>
        <v>8</v>
      </c>
      <c r="Q149" s="116">
        <f t="shared" si="225"/>
        <v>8</v>
      </c>
      <c r="R149" s="91">
        <f t="shared" si="235"/>
        <v>0.88888888888888884</v>
      </c>
      <c r="S149" s="17">
        <f>'HH WITH COM #4'!$W$172</f>
        <v>1</v>
      </c>
      <c r="T149" s="17">
        <f>'HH WITH COM #4'!$X$172</f>
        <v>7</v>
      </c>
      <c r="U149" s="116">
        <f t="shared" si="226"/>
        <v>8</v>
      </c>
      <c r="V149" s="91">
        <f t="shared" si="236"/>
        <v>0.5</v>
      </c>
      <c r="W149" s="17">
        <f>'HH WITH COM #5'!$W$172</f>
        <v>1</v>
      </c>
      <c r="X149" s="17">
        <f>'HH WITH COM #5'!$X$172</f>
        <v>17</v>
      </c>
      <c r="Y149" s="116">
        <f t="shared" si="227"/>
        <v>18</v>
      </c>
      <c r="Z149" s="91">
        <f t="shared" si="237"/>
        <v>0.8571428571428571</v>
      </c>
      <c r="AA149" s="17">
        <f>'HH WITH COM #6'!$W$172</f>
        <v>1</v>
      </c>
      <c r="AB149" s="17">
        <f>'HH WITH COM #6'!$X$172</f>
        <v>8</v>
      </c>
      <c r="AC149" s="116">
        <f t="shared" si="228"/>
        <v>9</v>
      </c>
      <c r="AD149" s="91">
        <f t="shared" si="238"/>
        <v>0.6</v>
      </c>
      <c r="AE149" s="17">
        <f>'HH WITH COM #7'!$W$172</f>
        <v>0</v>
      </c>
      <c r="AF149" s="17">
        <f>'HH WITH COM #7'!$X$172</f>
        <v>0</v>
      </c>
      <c r="AG149" s="116">
        <f t="shared" si="229"/>
        <v>0</v>
      </c>
      <c r="AH149" s="373">
        <f t="shared" si="239"/>
        <v>0</v>
      </c>
      <c r="AI149" s="391">
        <f t="shared" si="230"/>
        <v>6</v>
      </c>
      <c r="AJ149" s="17">
        <f t="shared" si="231"/>
        <v>52</v>
      </c>
      <c r="AK149" s="539">
        <f t="shared" si="232"/>
        <v>58</v>
      </c>
      <c r="AL149" s="91">
        <f t="shared" si="240"/>
        <v>0.64444444444444449</v>
      </c>
    </row>
    <row r="150" spans="1:38" ht="16.5" customHeight="1" x14ac:dyDescent="0.25">
      <c r="A150" s="40"/>
      <c r="B150" s="40"/>
      <c r="C150" s="473" t="s">
        <v>135</v>
      </c>
      <c r="D150" s="303" t="s">
        <v>458</v>
      </c>
      <c r="E150" s="417"/>
      <c r="F150" s="417"/>
      <c r="G150" s="17">
        <f>'HH WITH COM #1 '!$W$173</f>
        <v>0</v>
      </c>
      <c r="H150" s="17">
        <f>'HH WITH COM #1 '!$X$173</f>
        <v>0</v>
      </c>
      <c r="I150" s="116">
        <f t="shared" si="223"/>
        <v>0</v>
      </c>
      <c r="J150" s="91">
        <f t="shared" si="233"/>
        <v>0</v>
      </c>
      <c r="K150" s="17">
        <f>'HH WITH COM #2'!$W$173</f>
        <v>0</v>
      </c>
      <c r="L150" s="17">
        <f>'HH WITH COM #2'!$X$173</f>
        <v>0</v>
      </c>
      <c r="M150" s="116">
        <f t="shared" si="224"/>
        <v>0</v>
      </c>
      <c r="N150" s="91">
        <f t="shared" si="234"/>
        <v>0</v>
      </c>
      <c r="O150" s="17">
        <f>'HH WITH COM #3'!$W$173</f>
        <v>0</v>
      </c>
      <c r="P150" s="17">
        <f>'HH WITH COM #3'!$X$173</f>
        <v>0</v>
      </c>
      <c r="Q150" s="116">
        <f t="shared" si="225"/>
        <v>0</v>
      </c>
      <c r="R150" s="91">
        <f t="shared" si="235"/>
        <v>0</v>
      </c>
      <c r="S150" s="17">
        <f>'HH WITH COM #4'!$W$173</f>
        <v>0</v>
      </c>
      <c r="T150" s="17">
        <f>'HH WITH COM #4'!$X$173</f>
        <v>0</v>
      </c>
      <c r="U150" s="116">
        <f t="shared" si="226"/>
        <v>0</v>
      </c>
      <c r="V150" s="91">
        <f t="shared" si="236"/>
        <v>0</v>
      </c>
      <c r="W150" s="17">
        <f>'HH WITH COM #5'!$W$173</f>
        <v>0</v>
      </c>
      <c r="X150" s="17">
        <f>'HH WITH COM #5'!$X$173</f>
        <v>0</v>
      </c>
      <c r="Y150" s="116">
        <f t="shared" si="227"/>
        <v>0</v>
      </c>
      <c r="Z150" s="91">
        <f t="shared" si="237"/>
        <v>0</v>
      </c>
      <c r="AA150" s="17">
        <f>'HH WITH COM #6'!$W$173</f>
        <v>0</v>
      </c>
      <c r="AB150" s="17">
        <f>'HH WITH COM #6'!$X$173</f>
        <v>0</v>
      </c>
      <c r="AC150" s="116">
        <f t="shared" si="228"/>
        <v>0</v>
      </c>
      <c r="AD150" s="91">
        <f t="shared" si="238"/>
        <v>0</v>
      </c>
      <c r="AE150" s="17">
        <f>'HH WITH COM #7'!$W$173</f>
        <v>0</v>
      </c>
      <c r="AF150" s="17">
        <f>'HH WITH COM #7'!$X$173</f>
        <v>0</v>
      </c>
      <c r="AG150" s="116">
        <f t="shared" si="229"/>
        <v>0</v>
      </c>
      <c r="AH150" s="373">
        <f t="shared" si="239"/>
        <v>0</v>
      </c>
      <c r="AI150" s="391">
        <f t="shared" si="230"/>
        <v>0</v>
      </c>
      <c r="AJ150" s="17">
        <f t="shared" si="231"/>
        <v>0</v>
      </c>
      <c r="AK150" s="539">
        <f t="shared" si="232"/>
        <v>0</v>
      </c>
      <c r="AL150" s="91">
        <f t="shared" si="240"/>
        <v>0</v>
      </c>
    </row>
    <row r="151" spans="1:38" ht="16.5" customHeight="1" x14ac:dyDescent="0.25">
      <c r="A151" s="40"/>
      <c r="B151" s="40"/>
      <c r="C151" s="40"/>
      <c r="D151" s="490"/>
      <c r="E151" s="490"/>
      <c r="F151" s="490"/>
      <c r="G151" s="82">
        <f>SUM(G146:G150)</f>
        <v>7</v>
      </c>
      <c r="H151" s="82">
        <f t="shared" ref="H151:I151" si="241">SUM(H146:H150)</f>
        <v>8</v>
      </c>
      <c r="I151" s="82">
        <f t="shared" si="241"/>
        <v>15</v>
      </c>
      <c r="J151" s="66">
        <f t="shared" si="233"/>
        <v>1</v>
      </c>
      <c r="K151" s="82">
        <f>SUM(K146:K150)</f>
        <v>4</v>
      </c>
      <c r="L151" s="82">
        <f t="shared" ref="L151" si="242">SUM(L146:L150)</f>
        <v>10</v>
      </c>
      <c r="M151" s="82">
        <f t="shared" ref="M151" si="243">SUM(M146:M150)</f>
        <v>14</v>
      </c>
      <c r="N151" s="66">
        <f t="shared" si="234"/>
        <v>1</v>
      </c>
      <c r="O151" s="82">
        <f>SUM(O146:O150)</f>
        <v>0</v>
      </c>
      <c r="P151" s="82">
        <f t="shared" ref="P151" si="244">SUM(P146:P150)</f>
        <v>9</v>
      </c>
      <c r="Q151" s="82">
        <f t="shared" ref="Q151" si="245">SUM(Q146:Q150)</f>
        <v>9</v>
      </c>
      <c r="R151" s="66">
        <f t="shared" si="235"/>
        <v>1</v>
      </c>
      <c r="S151" s="82">
        <f>SUM(S146:S150)</f>
        <v>1</v>
      </c>
      <c r="T151" s="82">
        <f t="shared" ref="T151" si="246">SUM(T146:T150)</f>
        <v>15</v>
      </c>
      <c r="U151" s="82">
        <f t="shared" ref="U151" si="247">SUM(U146:U150)</f>
        <v>16</v>
      </c>
      <c r="V151" s="66">
        <f t="shared" si="236"/>
        <v>1</v>
      </c>
      <c r="W151" s="82">
        <f>SUM(W146:W150)</f>
        <v>2</v>
      </c>
      <c r="X151" s="82">
        <f t="shared" ref="X151" si="248">SUM(X146:X150)</f>
        <v>19</v>
      </c>
      <c r="Y151" s="82">
        <f t="shared" ref="Y151" si="249">SUM(Y146:Y150)</f>
        <v>21</v>
      </c>
      <c r="Z151" s="66">
        <f t="shared" si="237"/>
        <v>1</v>
      </c>
      <c r="AA151" s="82">
        <f>SUM(AA146:AA150)</f>
        <v>3</v>
      </c>
      <c r="AB151" s="82">
        <f t="shared" ref="AB151" si="250">SUM(AB146:AB150)</f>
        <v>12</v>
      </c>
      <c r="AC151" s="82">
        <f t="shared" ref="AC151" si="251">SUM(AC146:AC150)</f>
        <v>15</v>
      </c>
      <c r="AD151" s="66">
        <f t="shared" si="238"/>
        <v>1</v>
      </c>
      <c r="AE151" s="82">
        <f>SUM(AE146:AE150)</f>
        <v>0</v>
      </c>
      <c r="AF151" s="82">
        <f t="shared" ref="AF151" si="252">SUM(AF146:AF150)</f>
        <v>0</v>
      </c>
      <c r="AG151" s="82">
        <f t="shared" ref="AG151" si="253">SUM(AG146:AG150)</f>
        <v>0</v>
      </c>
      <c r="AH151" s="608">
        <f t="shared" si="239"/>
        <v>0</v>
      </c>
      <c r="AI151" s="381">
        <f>SUM(AI146:AI150)</f>
        <v>17</v>
      </c>
      <c r="AJ151" s="82">
        <f t="shared" ref="AJ151" si="254">SUM(AJ146:AJ150)</f>
        <v>73</v>
      </c>
      <c r="AK151" s="82">
        <f t="shared" ref="AK151" si="255">SUM(AK146:AK150)</f>
        <v>90</v>
      </c>
      <c r="AL151" s="66">
        <f t="shared" si="240"/>
        <v>1</v>
      </c>
    </row>
    <row r="152" spans="1:38" s="117" customFormat="1" ht="16.5" customHeight="1" x14ac:dyDescent="0.25">
      <c r="A152" s="119"/>
      <c r="B152" s="41" t="s">
        <v>137</v>
      </c>
      <c r="C152" s="476" t="s">
        <v>864</v>
      </c>
      <c r="D152" s="477"/>
      <c r="E152" s="478"/>
      <c r="F152" s="478"/>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355"/>
      <c r="AI152" s="377"/>
      <c r="AJ152" s="71"/>
      <c r="AK152" s="71"/>
      <c r="AL152" s="71"/>
    </row>
    <row r="153" spans="1:38" s="117" customFormat="1" ht="16.5" customHeight="1" x14ac:dyDescent="0.25">
      <c r="A153" s="119"/>
      <c r="B153" s="119"/>
      <c r="C153" s="473" t="s">
        <v>139</v>
      </c>
      <c r="D153" s="489" t="s">
        <v>666</v>
      </c>
      <c r="E153" s="75"/>
      <c r="F153" s="76"/>
      <c r="G153" s="111"/>
      <c r="H153" s="111"/>
      <c r="I153" s="419"/>
      <c r="J153" s="131"/>
      <c r="K153" s="111"/>
      <c r="L153" s="111"/>
      <c r="M153" s="419"/>
      <c r="N153" s="131"/>
      <c r="O153" s="111"/>
      <c r="P153" s="111"/>
      <c r="Q153" s="419"/>
      <c r="R153" s="131"/>
      <c r="S153" s="111"/>
      <c r="T153" s="111"/>
      <c r="U153" s="419"/>
      <c r="V153" s="131"/>
      <c r="W153" s="111"/>
      <c r="X153" s="111"/>
      <c r="Y153" s="419"/>
      <c r="Z153" s="131"/>
      <c r="AA153" s="111"/>
      <c r="AB153" s="111"/>
      <c r="AC153" s="419"/>
      <c r="AD153" s="131"/>
      <c r="AE153" s="131"/>
      <c r="AF153" s="131"/>
      <c r="AG153" s="419"/>
      <c r="AH153" s="613"/>
      <c r="AI153" s="380"/>
      <c r="AJ153" s="111"/>
      <c r="AK153" s="545"/>
      <c r="AL153" s="131"/>
    </row>
    <row r="154" spans="1:38" s="117" customFormat="1" ht="16.5" customHeight="1" x14ac:dyDescent="0.25">
      <c r="A154" s="119"/>
      <c r="B154" s="119"/>
      <c r="C154" s="119"/>
      <c r="D154" s="473" t="s">
        <v>140</v>
      </c>
      <c r="E154" s="303" t="s">
        <v>414</v>
      </c>
      <c r="F154" s="76"/>
      <c r="G154" s="17">
        <f>'HH WITH COM #1 '!$W$178</f>
        <v>0</v>
      </c>
      <c r="H154" s="17">
        <f>'HH WITH COM #1 '!$X$178</f>
        <v>0</v>
      </c>
      <c r="I154" s="116">
        <f>SUM(G154:H154)</f>
        <v>0</v>
      </c>
      <c r="J154" s="91">
        <f>IF(I$162=0,0,I154/I$162)</f>
        <v>0</v>
      </c>
      <c r="K154" s="17">
        <f>'HH WITH COM #2'!$W$178</f>
        <v>0</v>
      </c>
      <c r="L154" s="17">
        <f>'HH WITH COM #2'!$X$178</f>
        <v>0</v>
      </c>
      <c r="M154" s="116">
        <f>SUM(K154:L154)</f>
        <v>0</v>
      </c>
      <c r="N154" s="91">
        <f>IF(M$162=0,0,M154/M$162)</f>
        <v>0</v>
      </c>
      <c r="O154" s="17">
        <f>'HH WITH COM #3'!$W$178</f>
        <v>0</v>
      </c>
      <c r="P154" s="17">
        <f>'HH WITH COM #3'!$X$178</f>
        <v>0</v>
      </c>
      <c r="Q154" s="116">
        <f>SUM(O154:P154)</f>
        <v>0</v>
      </c>
      <c r="R154" s="91">
        <f>IF(Q$162=0,0,Q154/Q$162)</f>
        <v>0</v>
      </c>
      <c r="S154" s="17">
        <f>'HH WITH COM #4'!$W$178</f>
        <v>0</v>
      </c>
      <c r="T154" s="17">
        <f>'HH WITH COM #4'!$X$178</f>
        <v>1</v>
      </c>
      <c r="U154" s="116">
        <f>SUM(S154:T154)</f>
        <v>1</v>
      </c>
      <c r="V154" s="91">
        <f>IF(U$162=0,0,U154/U$162)</f>
        <v>6.25E-2</v>
      </c>
      <c r="W154" s="17">
        <f>'HH WITH COM #5'!$W$178</f>
        <v>0</v>
      </c>
      <c r="X154" s="17">
        <f>'HH WITH COM #5'!$X$178</f>
        <v>0</v>
      </c>
      <c r="Y154" s="116">
        <f>SUM(W154:X154)</f>
        <v>0</v>
      </c>
      <c r="Z154" s="91">
        <f>IF(Y$162=0,0,Y154/Y$162)</f>
        <v>0</v>
      </c>
      <c r="AA154" s="17">
        <f>'HH WITH COM #6'!$W$178</f>
        <v>0</v>
      </c>
      <c r="AB154" s="17">
        <f>'HH WITH COM #6'!$X$178</f>
        <v>0</v>
      </c>
      <c r="AC154" s="116">
        <f>SUM(AA154:AB154)</f>
        <v>0</v>
      </c>
      <c r="AD154" s="91">
        <f>IF(AC$162=0,0,AC154/AC$162)</f>
        <v>0</v>
      </c>
      <c r="AE154" s="17">
        <f>'HH WITH COM #7'!$W$178</f>
        <v>0</v>
      </c>
      <c r="AF154" s="17">
        <f>'HH WITH COM #7'!$X$178</f>
        <v>0</v>
      </c>
      <c r="AG154" s="116">
        <f>SUM(AE154:AF154)</f>
        <v>0</v>
      </c>
      <c r="AH154" s="373">
        <f>IF(AG$162=0,0,AG154/AG$162)</f>
        <v>0</v>
      </c>
      <c r="AI154" s="391">
        <f t="shared" ref="AI154:AI161" si="256">G154+K154+O154+S154+W154+AA154+AE154</f>
        <v>0</v>
      </c>
      <c r="AJ154" s="17">
        <f t="shared" ref="AJ154:AJ161" si="257">H154+L154+P154+T154+X154+AB154+AF154</f>
        <v>1</v>
      </c>
      <c r="AK154" s="539">
        <f t="shared" ref="AK154:AK161" si="258">SUM(AI154:AJ154)</f>
        <v>1</v>
      </c>
      <c r="AL154" s="91">
        <f>IF(AK$162=0,0,AK154/AK$162)</f>
        <v>1.1111111111111112E-2</v>
      </c>
    </row>
    <row r="155" spans="1:38" s="117" customFormat="1" ht="16.5" customHeight="1" x14ac:dyDescent="0.25">
      <c r="A155" s="119"/>
      <c r="B155" s="119"/>
      <c r="C155" s="119"/>
      <c r="D155" s="473" t="s">
        <v>660</v>
      </c>
      <c r="E155" s="303" t="s">
        <v>415</v>
      </c>
      <c r="F155" s="76"/>
      <c r="G155" s="17">
        <f>'HH WITH COM #1 '!$W$179</f>
        <v>5</v>
      </c>
      <c r="H155" s="17">
        <f>'HH WITH COM #1 '!$X$179</f>
        <v>1</v>
      </c>
      <c r="I155" s="116">
        <f t="shared" ref="I155:I161" si="259">SUM(G155:H155)</f>
        <v>6</v>
      </c>
      <c r="J155" s="91">
        <f t="shared" ref="J155:J161" si="260">IF(I$162=0,0,I155/I$162)</f>
        <v>0.4</v>
      </c>
      <c r="K155" s="17">
        <f>'HH WITH COM #2'!$W$179</f>
        <v>1</v>
      </c>
      <c r="L155" s="17">
        <f>'HH WITH COM #2'!$X$179</f>
        <v>0</v>
      </c>
      <c r="M155" s="116">
        <f t="shared" ref="M155:M161" si="261">SUM(K155:L155)</f>
        <v>1</v>
      </c>
      <c r="N155" s="91">
        <f t="shared" ref="N155:N161" si="262">IF(M$162=0,0,M155/M$162)</f>
        <v>7.1428571428571425E-2</v>
      </c>
      <c r="O155" s="17">
        <f>'HH WITH COM #3'!$W$179</f>
        <v>0</v>
      </c>
      <c r="P155" s="17">
        <f>'HH WITH COM #3'!$X$179</f>
        <v>1</v>
      </c>
      <c r="Q155" s="116">
        <f t="shared" ref="Q155:Q161" si="263">SUM(O155:P155)</f>
        <v>1</v>
      </c>
      <c r="R155" s="91">
        <f t="shared" ref="R155:R161" si="264">IF(Q$162=0,0,Q155/Q$162)</f>
        <v>0.1111111111111111</v>
      </c>
      <c r="S155" s="17">
        <f>'HH WITH COM #4'!$W$179</f>
        <v>0</v>
      </c>
      <c r="T155" s="17">
        <f>'HH WITH COM #4'!$X$179</f>
        <v>5</v>
      </c>
      <c r="U155" s="116">
        <f t="shared" ref="U155:U161" si="265">SUM(S155:T155)</f>
        <v>5</v>
      </c>
      <c r="V155" s="91">
        <f t="shared" ref="V155:V161" si="266">IF(U$162=0,0,U155/U$162)</f>
        <v>0.3125</v>
      </c>
      <c r="W155" s="17">
        <f>'HH WITH COM #5'!$W$179</f>
        <v>1</v>
      </c>
      <c r="X155" s="17">
        <f>'HH WITH COM #5'!$X$179</f>
        <v>3</v>
      </c>
      <c r="Y155" s="116">
        <f t="shared" ref="Y155:Y161" si="267">SUM(W155:X155)</f>
        <v>4</v>
      </c>
      <c r="Z155" s="91">
        <f t="shared" ref="Z155:Z161" si="268">IF(Y$162=0,0,Y155/Y$162)</f>
        <v>0.19047619047619047</v>
      </c>
      <c r="AA155" s="17">
        <f>'HH WITH COM #6'!$W$179</f>
        <v>2</v>
      </c>
      <c r="AB155" s="17">
        <f>'HH WITH COM #6'!$X$179</f>
        <v>4</v>
      </c>
      <c r="AC155" s="116">
        <f t="shared" ref="AC155:AC161" si="269">SUM(AA155:AB155)</f>
        <v>6</v>
      </c>
      <c r="AD155" s="91">
        <f t="shared" ref="AD155:AD161" si="270">IF(AC$162=0,0,AC155/AC$162)</f>
        <v>0.4</v>
      </c>
      <c r="AE155" s="17">
        <f>'HH WITH COM #7'!$W$179</f>
        <v>0</v>
      </c>
      <c r="AF155" s="17">
        <f>'HH WITH COM #7'!$X$179</f>
        <v>0</v>
      </c>
      <c r="AG155" s="116">
        <f t="shared" ref="AG155:AG161" si="271">SUM(AE155:AF155)</f>
        <v>0</v>
      </c>
      <c r="AH155" s="373">
        <f t="shared" ref="AH155:AH161" si="272">IF(AG$162=0,0,AG155/AG$162)</f>
        <v>0</v>
      </c>
      <c r="AI155" s="391">
        <f t="shared" si="256"/>
        <v>9</v>
      </c>
      <c r="AJ155" s="17">
        <f t="shared" si="257"/>
        <v>14</v>
      </c>
      <c r="AK155" s="539">
        <f t="shared" si="258"/>
        <v>23</v>
      </c>
      <c r="AL155" s="91">
        <f t="shared" ref="AL155:AL161" si="273">IF(AK$162=0,0,AK155/AK$162)</f>
        <v>0.25555555555555554</v>
      </c>
    </row>
    <row r="156" spans="1:38" s="117" customFormat="1" ht="16.5" customHeight="1" x14ac:dyDescent="0.25">
      <c r="A156" s="119"/>
      <c r="B156" s="119"/>
      <c r="C156" s="119"/>
      <c r="D156" s="473" t="s">
        <v>661</v>
      </c>
      <c r="E156" s="303" t="s">
        <v>416</v>
      </c>
      <c r="F156" s="76"/>
      <c r="G156" s="17">
        <f>'HH WITH COM #1 '!$W$180</f>
        <v>0</v>
      </c>
      <c r="H156" s="17">
        <f>'HH WITH COM #1 '!$X$180</f>
        <v>0</v>
      </c>
      <c r="I156" s="116">
        <f t="shared" si="259"/>
        <v>0</v>
      </c>
      <c r="J156" s="91">
        <f t="shared" si="260"/>
        <v>0</v>
      </c>
      <c r="K156" s="17">
        <f>'HH WITH COM #2'!$W$180</f>
        <v>2</v>
      </c>
      <c r="L156" s="17">
        <f>'HH WITH COM #2'!$X$180</f>
        <v>0</v>
      </c>
      <c r="M156" s="116">
        <f t="shared" si="261"/>
        <v>2</v>
      </c>
      <c r="N156" s="91">
        <f t="shared" si="262"/>
        <v>0.14285714285714285</v>
      </c>
      <c r="O156" s="17">
        <f>'HH WITH COM #3'!$W$180</f>
        <v>0</v>
      </c>
      <c r="P156" s="17">
        <f>'HH WITH COM #3'!$X$180</f>
        <v>5</v>
      </c>
      <c r="Q156" s="116">
        <f t="shared" si="263"/>
        <v>5</v>
      </c>
      <c r="R156" s="91">
        <f t="shared" si="264"/>
        <v>0.55555555555555558</v>
      </c>
      <c r="S156" s="17">
        <f>'HH WITH COM #4'!$W$180</f>
        <v>0</v>
      </c>
      <c r="T156" s="17">
        <f>'HH WITH COM #4'!$X$180</f>
        <v>3</v>
      </c>
      <c r="U156" s="116">
        <f t="shared" si="265"/>
        <v>3</v>
      </c>
      <c r="V156" s="91">
        <f t="shared" si="266"/>
        <v>0.1875</v>
      </c>
      <c r="W156" s="17">
        <f>'HH WITH COM #5'!$W$180</f>
        <v>0</v>
      </c>
      <c r="X156" s="17">
        <f>'HH WITH COM #5'!$X$180</f>
        <v>3</v>
      </c>
      <c r="Y156" s="116">
        <f t="shared" si="267"/>
        <v>3</v>
      </c>
      <c r="Z156" s="91">
        <f t="shared" si="268"/>
        <v>0.14285714285714285</v>
      </c>
      <c r="AA156" s="17">
        <f>'HH WITH COM #6'!$W$180</f>
        <v>0</v>
      </c>
      <c r="AB156" s="17">
        <f>'HH WITH COM #6'!$X$180</f>
        <v>0</v>
      </c>
      <c r="AC156" s="116">
        <f t="shared" si="269"/>
        <v>0</v>
      </c>
      <c r="AD156" s="91">
        <f t="shared" si="270"/>
        <v>0</v>
      </c>
      <c r="AE156" s="17">
        <f>'HH WITH COM #7'!$W$180</f>
        <v>0</v>
      </c>
      <c r="AF156" s="17">
        <f>'HH WITH COM #7'!$X$180</f>
        <v>0</v>
      </c>
      <c r="AG156" s="116">
        <f t="shared" si="271"/>
        <v>0</v>
      </c>
      <c r="AH156" s="373">
        <f t="shared" si="272"/>
        <v>0</v>
      </c>
      <c r="AI156" s="391">
        <f t="shared" si="256"/>
        <v>2</v>
      </c>
      <c r="AJ156" s="17">
        <f t="shared" si="257"/>
        <v>11</v>
      </c>
      <c r="AK156" s="539">
        <f t="shared" si="258"/>
        <v>13</v>
      </c>
      <c r="AL156" s="91">
        <f t="shared" si="273"/>
        <v>0.14444444444444443</v>
      </c>
    </row>
    <row r="157" spans="1:38" s="117" customFormat="1" ht="16.5" customHeight="1" x14ac:dyDescent="0.25">
      <c r="A157" s="119"/>
      <c r="B157" s="119"/>
      <c r="C157" s="119"/>
      <c r="D157" s="473" t="s">
        <v>662</v>
      </c>
      <c r="E157" s="303" t="s">
        <v>127</v>
      </c>
      <c r="F157" s="76"/>
      <c r="G157" s="17">
        <f>'HH WITH COM #1 '!$W$181</f>
        <v>1</v>
      </c>
      <c r="H157" s="17">
        <f>'HH WITH COM #1 '!$X$181</f>
        <v>7</v>
      </c>
      <c r="I157" s="116">
        <f t="shared" si="259"/>
        <v>8</v>
      </c>
      <c r="J157" s="91">
        <f t="shared" si="260"/>
        <v>0.53333333333333333</v>
      </c>
      <c r="K157" s="17">
        <f>'HH WITH COM #2'!$W$181</f>
        <v>1</v>
      </c>
      <c r="L157" s="17">
        <f>'HH WITH COM #2'!$X$181</f>
        <v>9</v>
      </c>
      <c r="M157" s="116">
        <f t="shared" si="261"/>
        <v>10</v>
      </c>
      <c r="N157" s="91">
        <f t="shared" si="262"/>
        <v>0.7142857142857143</v>
      </c>
      <c r="O157" s="17">
        <f>'HH WITH COM #3'!$W$181</f>
        <v>0</v>
      </c>
      <c r="P157" s="17">
        <f>'HH WITH COM #3'!$X$181</f>
        <v>3</v>
      </c>
      <c r="Q157" s="116">
        <f t="shared" si="263"/>
        <v>3</v>
      </c>
      <c r="R157" s="91">
        <f t="shared" si="264"/>
        <v>0.33333333333333331</v>
      </c>
      <c r="S157" s="17">
        <f>'HH WITH COM #4'!$W$181</f>
        <v>0</v>
      </c>
      <c r="T157" s="17">
        <f>'HH WITH COM #4'!$X$181</f>
        <v>1</v>
      </c>
      <c r="U157" s="116">
        <f t="shared" si="265"/>
        <v>1</v>
      </c>
      <c r="V157" s="91">
        <f t="shared" si="266"/>
        <v>6.25E-2</v>
      </c>
      <c r="W157" s="17">
        <f>'HH WITH COM #5'!$W$181</f>
        <v>0</v>
      </c>
      <c r="X157" s="17">
        <f>'HH WITH COM #5'!$X$181</f>
        <v>0</v>
      </c>
      <c r="Y157" s="116">
        <f t="shared" si="267"/>
        <v>0</v>
      </c>
      <c r="Z157" s="91">
        <f t="shared" si="268"/>
        <v>0</v>
      </c>
      <c r="AA157" s="17">
        <f>'HH WITH COM #6'!$W$181</f>
        <v>1</v>
      </c>
      <c r="AB157" s="17">
        <f>'HH WITH COM #6'!$X$181</f>
        <v>1</v>
      </c>
      <c r="AC157" s="116">
        <f t="shared" si="269"/>
        <v>2</v>
      </c>
      <c r="AD157" s="91">
        <f t="shared" si="270"/>
        <v>0.13333333333333333</v>
      </c>
      <c r="AE157" s="17">
        <f>'HH WITH COM #7'!$W$181</f>
        <v>0</v>
      </c>
      <c r="AF157" s="17">
        <f>'HH WITH COM #7'!$X$181</f>
        <v>0</v>
      </c>
      <c r="AG157" s="116">
        <f t="shared" si="271"/>
        <v>0</v>
      </c>
      <c r="AH157" s="373">
        <f t="shared" si="272"/>
        <v>0</v>
      </c>
      <c r="AI157" s="391">
        <f t="shared" si="256"/>
        <v>3</v>
      </c>
      <c r="AJ157" s="17">
        <f t="shared" si="257"/>
        <v>21</v>
      </c>
      <c r="AK157" s="539">
        <f t="shared" si="258"/>
        <v>24</v>
      </c>
      <c r="AL157" s="91">
        <f t="shared" si="273"/>
        <v>0.26666666666666666</v>
      </c>
    </row>
    <row r="158" spans="1:38" s="117" customFormat="1" ht="16.5" customHeight="1" x14ac:dyDescent="0.25">
      <c r="A158" s="119"/>
      <c r="B158" s="119"/>
      <c r="C158" s="119"/>
      <c r="D158" s="473" t="s">
        <v>663</v>
      </c>
      <c r="E158" s="303" t="s">
        <v>417</v>
      </c>
      <c r="F158" s="76"/>
      <c r="G158" s="17">
        <f>'HH WITH COM #1 '!$W$182</f>
        <v>1</v>
      </c>
      <c r="H158" s="17">
        <f>'HH WITH COM #1 '!$X$182</f>
        <v>0</v>
      </c>
      <c r="I158" s="116">
        <f t="shared" si="259"/>
        <v>1</v>
      </c>
      <c r="J158" s="91">
        <f t="shared" si="260"/>
        <v>6.6666666666666666E-2</v>
      </c>
      <c r="K158" s="17">
        <f>'HH WITH COM #2'!$W$182</f>
        <v>0</v>
      </c>
      <c r="L158" s="17">
        <f>'HH WITH COM #2'!$X$182</f>
        <v>1</v>
      </c>
      <c r="M158" s="116">
        <f t="shared" si="261"/>
        <v>1</v>
      </c>
      <c r="N158" s="91">
        <f t="shared" si="262"/>
        <v>7.1428571428571425E-2</v>
      </c>
      <c r="O158" s="17">
        <f>'HH WITH COM #3'!$W$182</f>
        <v>0</v>
      </c>
      <c r="P158" s="17">
        <f>'HH WITH COM #3'!$X$182</f>
        <v>0</v>
      </c>
      <c r="Q158" s="116">
        <f t="shared" si="263"/>
        <v>0</v>
      </c>
      <c r="R158" s="91">
        <f t="shared" si="264"/>
        <v>0</v>
      </c>
      <c r="S158" s="17">
        <f>'HH WITH COM #4'!$W$182</f>
        <v>1</v>
      </c>
      <c r="T158" s="17">
        <f>'HH WITH COM #4'!$X$182</f>
        <v>1</v>
      </c>
      <c r="U158" s="116">
        <f t="shared" si="265"/>
        <v>2</v>
      </c>
      <c r="V158" s="91">
        <f t="shared" si="266"/>
        <v>0.125</v>
      </c>
      <c r="W158" s="17">
        <f>'HH WITH COM #5'!$W$182</f>
        <v>0</v>
      </c>
      <c r="X158" s="17">
        <f>'HH WITH COM #5'!$X$182</f>
        <v>6</v>
      </c>
      <c r="Y158" s="116">
        <f t="shared" si="267"/>
        <v>6</v>
      </c>
      <c r="Z158" s="91">
        <f t="shared" si="268"/>
        <v>0.2857142857142857</v>
      </c>
      <c r="AA158" s="17">
        <f>'HH WITH COM #6'!$W$182</f>
        <v>0</v>
      </c>
      <c r="AB158" s="17">
        <f>'HH WITH COM #6'!$X$182</f>
        <v>4</v>
      </c>
      <c r="AC158" s="116">
        <f t="shared" si="269"/>
        <v>4</v>
      </c>
      <c r="AD158" s="91">
        <f t="shared" si="270"/>
        <v>0.26666666666666666</v>
      </c>
      <c r="AE158" s="17">
        <f>'HH WITH COM #7'!$W$182</f>
        <v>0</v>
      </c>
      <c r="AF158" s="17">
        <f>'HH WITH COM #7'!$X$182</f>
        <v>0</v>
      </c>
      <c r="AG158" s="116">
        <f t="shared" si="271"/>
        <v>0</v>
      </c>
      <c r="AH158" s="373">
        <f t="shared" si="272"/>
        <v>0</v>
      </c>
      <c r="AI158" s="391">
        <f t="shared" si="256"/>
        <v>2</v>
      </c>
      <c r="AJ158" s="17">
        <f t="shared" si="257"/>
        <v>12</v>
      </c>
      <c r="AK158" s="539">
        <f t="shared" si="258"/>
        <v>14</v>
      </c>
      <c r="AL158" s="91">
        <f t="shared" si="273"/>
        <v>0.15555555555555556</v>
      </c>
    </row>
    <row r="159" spans="1:38" s="117" customFormat="1" ht="16.5" customHeight="1" x14ac:dyDescent="0.25">
      <c r="A159" s="119"/>
      <c r="B159" s="119"/>
      <c r="C159" s="119"/>
      <c r="D159" s="473" t="s">
        <v>664</v>
      </c>
      <c r="E159" s="303" t="s">
        <v>418</v>
      </c>
      <c r="F159" s="76"/>
      <c r="G159" s="17">
        <f>'HH WITH COM #1 '!$W$183</f>
        <v>0</v>
      </c>
      <c r="H159" s="17">
        <f>'HH WITH COM #1 '!$X$183</f>
        <v>0</v>
      </c>
      <c r="I159" s="116">
        <f t="shared" si="259"/>
        <v>0</v>
      </c>
      <c r="J159" s="91">
        <f t="shared" si="260"/>
        <v>0</v>
      </c>
      <c r="K159" s="17">
        <f>'HH WITH COM #2'!$W$183</f>
        <v>0</v>
      </c>
      <c r="L159" s="17">
        <f>'HH WITH COM #2'!$X$183</f>
        <v>0</v>
      </c>
      <c r="M159" s="116">
        <f t="shared" si="261"/>
        <v>0</v>
      </c>
      <c r="N159" s="91">
        <f t="shared" si="262"/>
        <v>0</v>
      </c>
      <c r="O159" s="17">
        <f>'HH WITH COM #3'!$W$183</f>
        <v>0</v>
      </c>
      <c r="P159" s="17">
        <f>'HH WITH COM #3'!$X$183</f>
        <v>0</v>
      </c>
      <c r="Q159" s="116">
        <f t="shared" si="263"/>
        <v>0</v>
      </c>
      <c r="R159" s="91">
        <f t="shared" si="264"/>
        <v>0</v>
      </c>
      <c r="S159" s="17">
        <f>'HH WITH COM #4'!$W$183</f>
        <v>0</v>
      </c>
      <c r="T159" s="17">
        <f>'HH WITH COM #4'!$X$183</f>
        <v>4</v>
      </c>
      <c r="U159" s="116">
        <f t="shared" si="265"/>
        <v>4</v>
      </c>
      <c r="V159" s="91">
        <f t="shared" si="266"/>
        <v>0.25</v>
      </c>
      <c r="W159" s="17">
        <f>'HH WITH COM #5'!$W$183</f>
        <v>1</v>
      </c>
      <c r="X159" s="17">
        <f>'HH WITH COM #5'!$X$183</f>
        <v>5</v>
      </c>
      <c r="Y159" s="116">
        <f t="shared" si="267"/>
        <v>6</v>
      </c>
      <c r="Z159" s="91">
        <f t="shared" si="268"/>
        <v>0.2857142857142857</v>
      </c>
      <c r="AA159" s="17">
        <f>'HH WITH COM #6'!$W$183</f>
        <v>0</v>
      </c>
      <c r="AB159" s="17">
        <f>'HH WITH COM #6'!$X$183</f>
        <v>2</v>
      </c>
      <c r="AC159" s="116">
        <f t="shared" si="269"/>
        <v>2</v>
      </c>
      <c r="AD159" s="91">
        <f t="shared" si="270"/>
        <v>0.13333333333333333</v>
      </c>
      <c r="AE159" s="17">
        <f>'HH WITH COM #7'!$W$183</f>
        <v>0</v>
      </c>
      <c r="AF159" s="17">
        <f>'HH WITH COM #7'!$X$183</f>
        <v>0</v>
      </c>
      <c r="AG159" s="116">
        <f t="shared" si="271"/>
        <v>0</v>
      </c>
      <c r="AH159" s="373">
        <f t="shared" si="272"/>
        <v>0</v>
      </c>
      <c r="AI159" s="391">
        <f t="shared" si="256"/>
        <v>1</v>
      </c>
      <c r="AJ159" s="17">
        <f t="shared" si="257"/>
        <v>11</v>
      </c>
      <c r="AK159" s="539">
        <f t="shared" si="258"/>
        <v>12</v>
      </c>
      <c r="AL159" s="91">
        <f t="shared" si="273"/>
        <v>0.13333333333333333</v>
      </c>
    </row>
    <row r="160" spans="1:38" s="117" customFormat="1" ht="16.5" customHeight="1" x14ac:dyDescent="0.25">
      <c r="A160" s="119"/>
      <c r="B160" s="119"/>
      <c r="C160" s="473" t="s">
        <v>141</v>
      </c>
      <c r="D160" s="468" t="s">
        <v>929</v>
      </c>
      <c r="E160" s="303"/>
      <c r="F160" s="76"/>
      <c r="G160" s="17">
        <f>'HH WITH COM #1 '!$W$185</f>
        <v>0</v>
      </c>
      <c r="H160" s="17">
        <f>'HH WITH COM #1 '!$X$185</f>
        <v>0</v>
      </c>
      <c r="I160" s="116">
        <f t="shared" si="259"/>
        <v>0</v>
      </c>
      <c r="J160" s="91">
        <f t="shared" si="260"/>
        <v>0</v>
      </c>
      <c r="K160" s="17">
        <f>'HH WITH COM #2'!$W$185</f>
        <v>0</v>
      </c>
      <c r="L160" s="17">
        <f>'HH WITH COM #2'!$X$185</f>
        <v>0</v>
      </c>
      <c r="M160" s="116">
        <f t="shared" si="261"/>
        <v>0</v>
      </c>
      <c r="N160" s="91">
        <f t="shared" si="262"/>
        <v>0</v>
      </c>
      <c r="O160" s="17">
        <f>'HH WITH COM #3'!$W$185</f>
        <v>0</v>
      </c>
      <c r="P160" s="17">
        <f>'HH WITH COM #3'!$X$185</f>
        <v>0</v>
      </c>
      <c r="Q160" s="116">
        <f t="shared" si="263"/>
        <v>0</v>
      </c>
      <c r="R160" s="91">
        <f t="shared" si="264"/>
        <v>0</v>
      </c>
      <c r="S160" s="17">
        <f>'HH WITH COM #4'!$W$185</f>
        <v>0</v>
      </c>
      <c r="T160" s="17">
        <f>'HH WITH COM #4'!$X$185</f>
        <v>0</v>
      </c>
      <c r="U160" s="116">
        <f t="shared" si="265"/>
        <v>0</v>
      </c>
      <c r="V160" s="91">
        <f t="shared" si="266"/>
        <v>0</v>
      </c>
      <c r="W160" s="17">
        <f>'HH WITH COM #5'!$W$185</f>
        <v>0</v>
      </c>
      <c r="X160" s="17">
        <f>'HH WITH COM #5'!$X$185</f>
        <v>2</v>
      </c>
      <c r="Y160" s="116">
        <f t="shared" si="267"/>
        <v>2</v>
      </c>
      <c r="Z160" s="91">
        <f t="shared" si="268"/>
        <v>9.5238095238095233E-2</v>
      </c>
      <c r="AA160" s="17">
        <f>'HH WITH COM #6'!$W$185</f>
        <v>0</v>
      </c>
      <c r="AB160" s="17">
        <f>'HH WITH COM #6'!$X$185</f>
        <v>1</v>
      </c>
      <c r="AC160" s="116">
        <f t="shared" si="269"/>
        <v>1</v>
      </c>
      <c r="AD160" s="91">
        <f t="shared" si="270"/>
        <v>6.6666666666666666E-2</v>
      </c>
      <c r="AE160" s="17">
        <f>'HH WITH COM #7'!$W$185</f>
        <v>0</v>
      </c>
      <c r="AF160" s="17">
        <f>'HH WITH COM #7'!$X$185</f>
        <v>0</v>
      </c>
      <c r="AG160" s="116">
        <f t="shared" si="271"/>
        <v>0</v>
      </c>
      <c r="AH160" s="373">
        <f t="shared" si="272"/>
        <v>0</v>
      </c>
      <c r="AI160" s="391">
        <f t="shared" si="256"/>
        <v>0</v>
      </c>
      <c r="AJ160" s="17">
        <f t="shared" si="257"/>
        <v>3</v>
      </c>
      <c r="AK160" s="539">
        <f t="shared" si="258"/>
        <v>3</v>
      </c>
      <c r="AL160" s="91">
        <f t="shared" si="273"/>
        <v>3.3333333333333333E-2</v>
      </c>
    </row>
    <row r="161" spans="1:38" s="117" customFormat="1" ht="16.5" customHeight="1" x14ac:dyDescent="0.25">
      <c r="A161" s="119"/>
      <c r="B161" s="119"/>
      <c r="C161" s="473" t="s">
        <v>144</v>
      </c>
      <c r="D161" s="492" t="s">
        <v>129</v>
      </c>
      <c r="E161" s="75"/>
      <c r="F161" s="76"/>
      <c r="G161" s="17">
        <f>'HH WITH COM #1 '!$W$186</f>
        <v>0</v>
      </c>
      <c r="H161" s="17">
        <f>'HH WITH COM #1 '!$X$186</f>
        <v>0</v>
      </c>
      <c r="I161" s="116">
        <f t="shared" si="259"/>
        <v>0</v>
      </c>
      <c r="J161" s="91">
        <f t="shared" si="260"/>
        <v>0</v>
      </c>
      <c r="K161" s="17">
        <f>'HH WITH COM #2'!$W$186</f>
        <v>0</v>
      </c>
      <c r="L161" s="17">
        <f>'HH WITH COM #2'!$X$186</f>
        <v>0</v>
      </c>
      <c r="M161" s="116">
        <f t="shared" si="261"/>
        <v>0</v>
      </c>
      <c r="N161" s="91">
        <f t="shared" si="262"/>
        <v>0</v>
      </c>
      <c r="O161" s="17">
        <f>'HH WITH COM #3'!$W$186</f>
        <v>0</v>
      </c>
      <c r="P161" s="17">
        <f>'HH WITH COM #3'!$X$186</f>
        <v>0</v>
      </c>
      <c r="Q161" s="116">
        <f t="shared" si="263"/>
        <v>0</v>
      </c>
      <c r="R161" s="91">
        <f t="shared" si="264"/>
        <v>0</v>
      </c>
      <c r="S161" s="17">
        <f>'HH WITH COM #4'!$W$186</f>
        <v>0</v>
      </c>
      <c r="T161" s="17">
        <f>'HH WITH COM #4'!$X$186</f>
        <v>0</v>
      </c>
      <c r="U161" s="116">
        <f t="shared" si="265"/>
        <v>0</v>
      </c>
      <c r="V161" s="91">
        <f t="shared" si="266"/>
        <v>0</v>
      </c>
      <c r="W161" s="17">
        <f>'HH WITH COM #5'!$W$186</f>
        <v>0</v>
      </c>
      <c r="X161" s="17">
        <f>'HH WITH COM #5'!$X$186</f>
        <v>0</v>
      </c>
      <c r="Y161" s="116">
        <f t="shared" si="267"/>
        <v>0</v>
      </c>
      <c r="Z161" s="91">
        <f t="shared" si="268"/>
        <v>0</v>
      </c>
      <c r="AA161" s="17">
        <f>'HH WITH COM #6'!$W$186</f>
        <v>0</v>
      </c>
      <c r="AB161" s="17">
        <f>'HH WITH COM #6'!$X$186</f>
        <v>0</v>
      </c>
      <c r="AC161" s="116">
        <f t="shared" si="269"/>
        <v>0</v>
      </c>
      <c r="AD161" s="91">
        <f t="shared" si="270"/>
        <v>0</v>
      </c>
      <c r="AE161" s="17">
        <f>'HH WITH COM #7'!$W$186</f>
        <v>0</v>
      </c>
      <c r="AF161" s="17">
        <f>'HH WITH COM #7'!$X$186</f>
        <v>0</v>
      </c>
      <c r="AG161" s="116">
        <f t="shared" si="271"/>
        <v>0</v>
      </c>
      <c r="AH161" s="373">
        <f t="shared" si="272"/>
        <v>0</v>
      </c>
      <c r="AI161" s="391">
        <f t="shared" si="256"/>
        <v>0</v>
      </c>
      <c r="AJ161" s="17">
        <f t="shared" si="257"/>
        <v>0</v>
      </c>
      <c r="AK161" s="539">
        <f t="shared" si="258"/>
        <v>0</v>
      </c>
      <c r="AL161" s="91">
        <f t="shared" si="273"/>
        <v>0</v>
      </c>
    </row>
    <row r="162" spans="1:38" ht="16.5" customHeight="1" x14ac:dyDescent="0.25">
      <c r="A162" s="40"/>
      <c r="B162" s="40"/>
      <c r="C162" s="40"/>
      <c r="D162" s="203"/>
      <c r="E162" s="490"/>
      <c r="F162" s="491"/>
      <c r="G162" s="82">
        <f>SUM(G153:G161)</f>
        <v>7</v>
      </c>
      <c r="H162" s="82">
        <f>SUM(H153:H161)</f>
        <v>8</v>
      </c>
      <c r="I162" s="82">
        <f>SUM(I153:I161)</f>
        <v>15</v>
      </c>
      <c r="J162" s="66">
        <f>IF(I$162=0,0,I162/I$162)</f>
        <v>1</v>
      </c>
      <c r="K162" s="82">
        <f>SUM(K153:K161)</f>
        <v>4</v>
      </c>
      <c r="L162" s="82">
        <f>SUM(L153:L161)</f>
        <v>10</v>
      </c>
      <c r="M162" s="82">
        <f>SUM(M153:M161)</f>
        <v>14</v>
      </c>
      <c r="N162" s="66">
        <f>IF(M$162=0,0,M162/M$162)</f>
        <v>1</v>
      </c>
      <c r="O162" s="82">
        <f>SUM(O153:O161)</f>
        <v>0</v>
      </c>
      <c r="P162" s="82">
        <f>SUM(P153:P161)</f>
        <v>9</v>
      </c>
      <c r="Q162" s="82">
        <f>SUM(Q153:Q161)</f>
        <v>9</v>
      </c>
      <c r="R162" s="66">
        <f>IF(Q$162=0,0,Q162/Q$162)</f>
        <v>1</v>
      </c>
      <c r="S162" s="82">
        <f>SUM(S153:S161)</f>
        <v>1</v>
      </c>
      <c r="T162" s="82">
        <f>SUM(T153:T161)</f>
        <v>15</v>
      </c>
      <c r="U162" s="82">
        <f>SUM(U153:U161)</f>
        <v>16</v>
      </c>
      <c r="V162" s="66">
        <f>IF(U$162=0,0,U162/U$162)</f>
        <v>1</v>
      </c>
      <c r="W162" s="82">
        <f>SUM(W153:W161)</f>
        <v>2</v>
      </c>
      <c r="X162" s="82">
        <f>SUM(X153:X161)</f>
        <v>19</v>
      </c>
      <c r="Y162" s="82">
        <f>SUM(Y153:Y161)</f>
        <v>21</v>
      </c>
      <c r="Z162" s="66">
        <f>IF(Y$162=0,0,Y162/Y$162)</f>
        <v>1</v>
      </c>
      <c r="AA162" s="82">
        <f>SUM(AA153:AA161)</f>
        <v>3</v>
      </c>
      <c r="AB162" s="82">
        <f>SUM(AB153:AB161)</f>
        <v>12</v>
      </c>
      <c r="AC162" s="82">
        <f>SUM(AC153:AC161)</f>
        <v>15</v>
      </c>
      <c r="AD162" s="66">
        <f>IF(AC$162=0,0,AC162/AC$162)</f>
        <v>1</v>
      </c>
      <c r="AE162" s="82">
        <f>SUM(AE153:AE161)</f>
        <v>0</v>
      </c>
      <c r="AF162" s="82">
        <f>SUM(AF153:AF161)</f>
        <v>0</v>
      </c>
      <c r="AG162" s="82">
        <f>SUM(AG153:AG161)</f>
        <v>0</v>
      </c>
      <c r="AH162" s="608">
        <f>IF(AG$162=0,0,AG162/AG$162)</f>
        <v>0</v>
      </c>
      <c r="AI162" s="381">
        <f>SUM(AI153:AI161)</f>
        <v>17</v>
      </c>
      <c r="AJ162" s="82">
        <f>SUM(AJ153:AJ161)</f>
        <v>73</v>
      </c>
      <c r="AK162" s="82">
        <f>SUM(AK153:AK161)</f>
        <v>90</v>
      </c>
      <c r="AL162" s="66">
        <f>IF(AK$162=0,0,AK162/AK$162)</f>
        <v>1</v>
      </c>
    </row>
    <row r="163" spans="1:38" s="117" customFormat="1" ht="16.5" customHeight="1" x14ac:dyDescent="0.25">
      <c r="A163" s="119"/>
      <c r="B163" s="41" t="s">
        <v>145</v>
      </c>
      <c r="C163" s="69" t="s">
        <v>419</v>
      </c>
      <c r="D163" s="477"/>
      <c r="E163" s="478"/>
      <c r="F163" s="478"/>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355"/>
      <c r="AI163" s="377"/>
      <c r="AJ163" s="71"/>
      <c r="AK163" s="71"/>
      <c r="AL163" s="71"/>
    </row>
    <row r="164" spans="1:38" s="117" customFormat="1" ht="16.5" customHeight="1" x14ac:dyDescent="0.25">
      <c r="A164" s="119"/>
      <c r="B164" s="119"/>
      <c r="C164" s="56" t="s">
        <v>519</v>
      </c>
      <c r="D164" s="147" t="s">
        <v>421</v>
      </c>
      <c r="E164" s="108"/>
      <c r="F164" s="108"/>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c r="AD164" s="111"/>
      <c r="AE164" s="111"/>
      <c r="AF164" s="111"/>
      <c r="AG164" s="111"/>
      <c r="AH164" s="358"/>
      <c r="AI164" s="380"/>
      <c r="AJ164" s="111"/>
      <c r="AK164" s="111"/>
      <c r="AL164" s="111"/>
    </row>
    <row r="165" spans="1:38" s="117" customFormat="1" ht="16.5" customHeight="1" x14ac:dyDescent="0.25">
      <c r="A165" s="119"/>
      <c r="B165" s="115"/>
      <c r="C165" s="115"/>
      <c r="D165" s="467" t="s">
        <v>520</v>
      </c>
      <c r="E165" s="495" t="s">
        <v>930</v>
      </c>
      <c r="F165" s="475"/>
      <c r="G165" s="17">
        <f>'HH WITH COM #1 '!$W$209</f>
        <v>0</v>
      </c>
      <c r="H165" s="17">
        <f>'HH WITH COM #1 '!$X$209</f>
        <v>0</v>
      </c>
      <c r="I165" s="116">
        <f>SUM(G165:H165)</f>
        <v>0</v>
      </c>
      <c r="J165" s="91">
        <f>IF(I$169=0,0,I165/I$169)</f>
        <v>0</v>
      </c>
      <c r="K165" s="17">
        <f>'HH WITH COM #2'!$W$209</f>
        <v>0</v>
      </c>
      <c r="L165" s="17">
        <f>'HH WITH COM #2'!$X$209</f>
        <v>0</v>
      </c>
      <c r="M165" s="116">
        <f>SUM(K165:L165)</f>
        <v>0</v>
      </c>
      <c r="N165" s="91">
        <f>IF(M$169=0,0,M165/M$169)</f>
        <v>0</v>
      </c>
      <c r="O165" s="17">
        <f>'HH WITH COM #3'!$W$209</f>
        <v>0</v>
      </c>
      <c r="P165" s="17">
        <f>'HH WITH COM #3'!$X$209</f>
        <v>0</v>
      </c>
      <c r="Q165" s="116">
        <f>SUM(O165:P165)</f>
        <v>0</v>
      </c>
      <c r="R165" s="91">
        <f>IF(Q$169=0,0,Q165/Q$169)</f>
        <v>0</v>
      </c>
      <c r="S165" s="17">
        <f>'HH WITH COM #4'!$W$209</f>
        <v>0</v>
      </c>
      <c r="T165" s="17">
        <f>'HH WITH COM #4'!$X$209</f>
        <v>0</v>
      </c>
      <c r="U165" s="116">
        <f>SUM(S165:T165)</f>
        <v>0</v>
      </c>
      <c r="V165" s="91">
        <f>IF(U$169=0,0,U165/U$169)</f>
        <v>0</v>
      </c>
      <c r="W165" s="17">
        <f>'HH WITH COM #5'!$W$209</f>
        <v>0</v>
      </c>
      <c r="X165" s="17">
        <f>'HH WITH COM #5'!$X$209</f>
        <v>0</v>
      </c>
      <c r="Y165" s="116">
        <f>SUM(W165:X165)</f>
        <v>0</v>
      </c>
      <c r="Z165" s="91">
        <f>IF(Y$169=0,0,Y165/Y$169)</f>
        <v>0</v>
      </c>
      <c r="AA165" s="17">
        <f>'HH WITH COM #6'!$W$209</f>
        <v>1</v>
      </c>
      <c r="AB165" s="17">
        <f>'HH WITH COM #6'!$X$209</f>
        <v>1</v>
      </c>
      <c r="AC165" s="116">
        <f>SUM(AA165:AB165)</f>
        <v>2</v>
      </c>
      <c r="AD165" s="91">
        <f>IF(AC$169=0,0,AC165/AC$169)</f>
        <v>0.13333333333333333</v>
      </c>
      <c r="AE165" s="17">
        <f>'HH WITH COM #7'!$W$209</f>
        <v>0</v>
      </c>
      <c r="AF165" s="17">
        <f>'HH WITH COM #7'!$X$209</f>
        <v>0</v>
      </c>
      <c r="AG165" s="116">
        <f>SUM(AE165:AF165)</f>
        <v>0</v>
      </c>
      <c r="AH165" s="373">
        <f>IF(AG$169=0,0,AG165/AG$169)</f>
        <v>0</v>
      </c>
      <c r="AI165" s="391">
        <f t="shared" ref="AI165:AI168" si="274">G165+K165+O165+S165+W165+AA165+AE165</f>
        <v>1</v>
      </c>
      <c r="AJ165" s="17">
        <f t="shared" ref="AJ165:AJ168" si="275">H165+L165+P165+T165+X165+AB165+AF165</f>
        <v>1</v>
      </c>
      <c r="AK165" s="539">
        <f t="shared" ref="AK165:AK168" si="276">SUM(AI165:AJ165)</f>
        <v>2</v>
      </c>
      <c r="AL165" s="91">
        <f>IF(AK$169=0,0,AK165/AK$169)</f>
        <v>2.2222222222222223E-2</v>
      </c>
    </row>
    <row r="166" spans="1:38" s="97" customFormat="1" ht="16.5" customHeight="1" x14ac:dyDescent="0.25">
      <c r="A166" s="115"/>
      <c r="B166" s="115"/>
      <c r="C166" s="115"/>
      <c r="D166" s="467" t="s">
        <v>521</v>
      </c>
      <c r="E166" s="498" t="s">
        <v>931</v>
      </c>
      <c r="F166" s="492"/>
      <c r="G166" s="17">
        <f>'HH WITH COM #1 '!$W$206</f>
        <v>2</v>
      </c>
      <c r="H166" s="17">
        <f>'HH WITH COM #1 '!$X$206</f>
        <v>4</v>
      </c>
      <c r="I166" s="116">
        <f>SUM(G166:H166)</f>
        <v>6</v>
      </c>
      <c r="J166" s="91">
        <f>IF(I$169=0,0,I166/I$169)</f>
        <v>0.4</v>
      </c>
      <c r="K166" s="17">
        <f>'HH WITH COM #2'!$W$206</f>
        <v>1</v>
      </c>
      <c r="L166" s="17">
        <f>'HH WITH COM #2'!$X$206</f>
        <v>4</v>
      </c>
      <c r="M166" s="116">
        <f>SUM(K166:L166)</f>
        <v>5</v>
      </c>
      <c r="N166" s="91">
        <f>IF(M$169=0,0,M166/M$169)</f>
        <v>0.35714285714285715</v>
      </c>
      <c r="O166" s="17">
        <f>'HH WITH COM #3'!$W$206</f>
        <v>0</v>
      </c>
      <c r="P166" s="17">
        <f>'HH WITH COM #3'!$X$206</f>
        <v>9</v>
      </c>
      <c r="Q166" s="116">
        <f>SUM(O166:P166)</f>
        <v>9</v>
      </c>
      <c r="R166" s="91">
        <f>IF(Q$169=0,0,Q166/Q$169)</f>
        <v>1</v>
      </c>
      <c r="S166" s="17">
        <f>'HH WITH COM #4'!$W$206</f>
        <v>1</v>
      </c>
      <c r="T166" s="17">
        <f>'HH WITH COM #4'!$X$206</f>
        <v>10</v>
      </c>
      <c r="U166" s="116">
        <f>SUM(S166:T166)</f>
        <v>11</v>
      </c>
      <c r="V166" s="91">
        <f>IF(U$169=0,0,U166/U$169)</f>
        <v>0.6875</v>
      </c>
      <c r="W166" s="17">
        <f>'HH WITH COM #5'!$W$206</f>
        <v>1</v>
      </c>
      <c r="X166" s="17">
        <f>'HH WITH COM #5'!$X$206</f>
        <v>11</v>
      </c>
      <c r="Y166" s="116">
        <f>SUM(W166:X166)</f>
        <v>12</v>
      </c>
      <c r="Z166" s="91">
        <f>IF(Y$169=0,0,Y166/Y$169)</f>
        <v>0.5714285714285714</v>
      </c>
      <c r="AA166" s="17">
        <f>'HH WITH COM #6'!$W$206</f>
        <v>1</v>
      </c>
      <c r="AB166" s="17">
        <f>'HH WITH COM #6'!$X$206</f>
        <v>9</v>
      </c>
      <c r="AC166" s="116">
        <f>SUM(AA166:AB166)</f>
        <v>10</v>
      </c>
      <c r="AD166" s="91">
        <f>IF(AC$169=0,0,AC166/AC$169)</f>
        <v>0.66666666666666663</v>
      </c>
      <c r="AE166" s="17">
        <f>'HH WITH COM #7'!$W$206</f>
        <v>0</v>
      </c>
      <c r="AF166" s="17">
        <f>'HH WITH COM #7'!$X$206</f>
        <v>0</v>
      </c>
      <c r="AG166" s="116">
        <f>SUM(AE166:AF166)</f>
        <v>0</v>
      </c>
      <c r="AH166" s="373">
        <f>IF(AG$169=0,0,AG166/AG$169)</f>
        <v>0</v>
      </c>
      <c r="AI166" s="391">
        <f t="shared" si="274"/>
        <v>6</v>
      </c>
      <c r="AJ166" s="17">
        <f t="shared" si="275"/>
        <v>47</v>
      </c>
      <c r="AK166" s="539">
        <f t="shared" si="276"/>
        <v>53</v>
      </c>
      <c r="AL166" s="91">
        <f>IF(AK$169=0,0,AK166/AK$169)</f>
        <v>0.58888888888888891</v>
      </c>
    </row>
    <row r="167" spans="1:38" s="97" customFormat="1" ht="16.5" customHeight="1" x14ac:dyDescent="0.25">
      <c r="A167" s="115"/>
      <c r="B167" s="115"/>
      <c r="C167" s="115"/>
      <c r="D167" s="467" t="s">
        <v>522</v>
      </c>
      <c r="E167" s="495" t="s">
        <v>932</v>
      </c>
      <c r="F167" s="492"/>
      <c r="G167" s="17">
        <f>'HH WITH COM #1 '!$W$207</f>
        <v>4</v>
      </c>
      <c r="H167" s="17">
        <f>'HH WITH COM #1 '!$X$207</f>
        <v>1</v>
      </c>
      <c r="I167" s="116">
        <f>SUM(G167:H167)</f>
        <v>5</v>
      </c>
      <c r="J167" s="91">
        <f>IF(I$169=0,0,I167/I$169)</f>
        <v>0.33333333333333331</v>
      </c>
      <c r="K167" s="17">
        <f>'HH WITH COM #2'!$W$207</f>
        <v>2</v>
      </c>
      <c r="L167" s="17">
        <f>'HH WITH COM #2'!$X$207</f>
        <v>0</v>
      </c>
      <c r="M167" s="116">
        <f>SUM(K167:L167)</f>
        <v>2</v>
      </c>
      <c r="N167" s="91">
        <f>IF(M$169=0,0,M167/M$169)</f>
        <v>0.14285714285714285</v>
      </c>
      <c r="O167" s="17">
        <f>'HH WITH COM #3'!$W$207</f>
        <v>0</v>
      </c>
      <c r="P167" s="17">
        <f>'HH WITH COM #3'!$X$207</f>
        <v>0</v>
      </c>
      <c r="Q167" s="116">
        <f>SUM(O167:P167)</f>
        <v>0</v>
      </c>
      <c r="R167" s="91">
        <f>IF(Q$169=0,0,Q167/Q$169)</f>
        <v>0</v>
      </c>
      <c r="S167" s="17">
        <f>'HH WITH COM #4'!$W$207</f>
        <v>0</v>
      </c>
      <c r="T167" s="17">
        <f>'HH WITH COM #4'!$X$207</f>
        <v>2</v>
      </c>
      <c r="U167" s="116">
        <f>SUM(S167:T167)</f>
        <v>2</v>
      </c>
      <c r="V167" s="91">
        <f>IF(U$169=0,0,U167/U$169)</f>
        <v>0.125</v>
      </c>
      <c r="W167" s="17">
        <f>'HH WITH COM #5'!$W$207</f>
        <v>1</v>
      </c>
      <c r="X167" s="17">
        <f>'HH WITH COM #5'!$X$207</f>
        <v>0</v>
      </c>
      <c r="Y167" s="116">
        <f>SUM(W167:X167)</f>
        <v>1</v>
      </c>
      <c r="Z167" s="91">
        <f>IF(Y$169=0,0,Y167/Y$169)</f>
        <v>4.7619047619047616E-2</v>
      </c>
      <c r="AA167" s="17">
        <f>'HH WITH COM #6'!$W$207</f>
        <v>1</v>
      </c>
      <c r="AB167" s="17">
        <f>'HH WITH COM #6'!$X$207</f>
        <v>2</v>
      </c>
      <c r="AC167" s="116">
        <f>SUM(AA167:AB167)</f>
        <v>3</v>
      </c>
      <c r="AD167" s="91">
        <f>IF(AC$169=0,0,AC167/AC$169)</f>
        <v>0.2</v>
      </c>
      <c r="AE167" s="17">
        <f>'HH WITH COM #7'!$W$207</f>
        <v>0</v>
      </c>
      <c r="AF167" s="17">
        <f>'HH WITH COM #7'!$X$207</f>
        <v>0</v>
      </c>
      <c r="AG167" s="116">
        <f>SUM(AE167:AF167)</f>
        <v>0</v>
      </c>
      <c r="AH167" s="373">
        <f>IF(AG$169=0,0,AG167/AG$169)</f>
        <v>0</v>
      </c>
      <c r="AI167" s="391">
        <f t="shared" si="274"/>
        <v>8</v>
      </c>
      <c r="AJ167" s="17">
        <f t="shared" si="275"/>
        <v>5</v>
      </c>
      <c r="AK167" s="539">
        <f t="shared" si="276"/>
        <v>13</v>
      </c>
      <c r="AL167" s="91">
        <f>IF(AK$169=0,0,AK167/AK$169)</f>
        <v>0.14444444444444443</v>
      </c>
    </row>
    <row r="168" spans="1:38" s="97" customFormat="1" ht="16.5" customHeight="1" x14ac:dyDescent="0.25">
      <c r="A168" s="115"/>
      <c r="B168" s="115"/>
      <c r="C168" s="115"/>
      <c r="D168" s="467" t="s">
        <v>746</v>
      </c>
      <c r="E168" s="495" t="s">
        <v>136</v>
      </c>
      <c r="F168" s="494"/>
      <c r="G168" s="17">
        <f>'HH WITH COM #1 '!$W$208</f>
        <v>1</v>
      </c>
      <c r="H168" s="17">
        <f>'HH WITH COM #1 '!$X$208</f>
        <v>3</v>
      </c>
      <c r="I168" s="116">
        <f>SUM(G168:H168)</f>
        <v>4</v>
      </c>
      <c r="J168" s="91">
        <f>IF(I$169=0,0,I168/I$169)</f>
        <v>0.26666666666666666</v>
      </c>
      <c r="K168" s="17">
        <f>'HH WITH COM #2'!$W$208</f>
        <v>1</v>
      </c>
      <c r="L168" s="17">
        <f>'HH WITH COM #2'!$X$208</f>
        <v>6</v>
      </c>
      <c r="M168" s="116">
        <f>SUM(K168:L168)</f>
        <v>7</v>
      </c>
      <c r="N168" s="91">
        <f>IF(M$169=0,0,M168/M$169)</f>
        <v>0.5</v>
      </c>
      <c r="O168" s="17">
        <f>'HH WITH COM #3'!$W$208</f>
        <v>0</v>
      </c>
      <c r="P168" s="17">
        <f>'HH WITH COM #3'!$X$208</f>
        <v>0</v>
      </c>
      <c r="Q168" s="116">
        <f>SUM(O168:P168)</f>
        <v>0</v>
      </c>
      <c r="R168" s="91">
        <f>IF(Q$169=0,0,Q168/Q$169)</f>
        <v>0</v>
      </c>
      <c r="S168" s="17">
        <f>'HH WITH COM #4'!$W$208</f>
        <v>0</v>
      </c>
      <c r="T168" s="17">
        <f>'HH WITH COM #4'!$X$208</f>
        <v>3</v>
      </c>
      <c r="U168" s="116">
        <f>SUM(S168:T168)</f>
        <v>3</v>
      </c>
      <c r="V168" s="91">
        <f>IF(U$169=0,0,U168/U$169)</f>
        <v>0.1875</v>
      </c>
      <c r="W168" s="17">
        <f>'HH WITH COM #5'!$W$208</f>
        <v>0</v>
      </c>
      <c r="X168" s="17">
        <f>'HH WITH COM #5'!$X$208</f>
        <v>8</v>
      </c>
      <c r="Y168" s="116">
        <f>SUM(W168:X168)</f>
        <v>8</v>
      </c>
      <c r="Z168" s="91">
        <f>IF(Y$169=0,0,Y168/Y$169)</f>
        <v>0.38095238095238093</v>
      </c>
      <c r="AA168" s="17">
        <f>'HH WITH COM #6'!$W$208</f>
        <v>0</v>
      </c>
      <c r="AB168" s="17">
        <f>'HH WITH COM #6'!$X$208</f>
        <v>0</v>
      </c>
      <c r="AC168" s="116">
        <f>SUM(AA168:AB168)</f>
        <v>0</v>
      </c>
      <c r="AD168" s="91">
        <f>IF(AC$169=0,0,AC168/AC$169)</f>
        <v>0</v>
      </c>
      <c r="AE168" s="17">
        <f>'HH WITH COM #7'!$W$208</f>
        <v>0</v>
      </c>
      <c r="AF168" s="17">
        <f>'HH WITH COM #7'!$X$208</f>
        <v>0</v>
      </c>
      <c r="AG168" s="116">
        <f>SUM(AE168:AF168)</f>
        <v>0</v>
      </c>
      <c r="AH168" s="373">
        <f>IF(AG$169=0,0,AG168/AG$169)</f>
        <v>0</v>
      </c>
      <c r="AI168" s="391">
        <f t="shared" si="274"/>
        <v>2</v>
      </c>
      <c r="AJ168" s="17">
        <f t="shared" si="275"/>
        <v>20</v>
      </c>
      <c r="AK168" s="539">
        <f t="shared" si="276"/>
        <v>22</v>
      </c>
      <c r="AL168" s="91">
        <f>IF(AK$169=0,0,AK168/AK$169)</f>
        <v>0.24444444444444444</v>
      </c>
    </row>
    <row r="169" spans="1:38" ht="16.5" customHeight="1" x14ac:dyDescent="0.25">
      <c r="A169" s="40"/>
      <c r="B169" s="40"/>
      <c r="C169" s="40"/>
      <c r="D169" s="203"/>
      <c r="E169" s="490"/>
      <c r="F169" s="491"/>
      <c r="G169" s="82">
        <f>SUM(G165:G168)</f>
        <v>7</v>
      </c>
      <c r="H169" s="82">
        <f>SUM(H165:H168)</f>
        <v>8</v>
      </c>
      <c r="I169" s="82">
        <f>SUM(I165:I168)</f>
        <v>15</v>
      </c>
      <c r="J169" s="66">
        <f>IF(I$169=0,0,I169/I$169)</f>
        <v>1</v>
      </c>
      <c r="K169" s="82">
        <f>SUM(K165:K168)</f>
        <v>4</v>
      </c>
      <c r="L169" s="82">
        <f>SUM(L165:L168)</f>
        <v>10</v>
      </c>
      <c r="M169" s="82">
        <f>SUM(M165:M168)</f>
        <v>14</v>
      </c>
      <c r="N169" s="66">
        <f>IF(M$169=0,0,M169/M$169)</f>
        <v>1</v>
      </c>
      <c r="O169" s="82">
        <f>SUM(O165:O168)</f>
        <v>0</v>
      </c>
      <c r="P169" s="82">
        <f>SUM(P165:P168)</f>
        <v>9</v>
      </c>
      <c r="Q169" s="82">
        <f>SUM(Q165:Q168)</f>
        <v>9</v>
      </c>
      <c r="R169" s="66">
        <f>IF(Q$169=0,0,Q169/Q$169)</f>
        <v>1</v>
      </c>
      <c r="S169" s="82">
        <f>SUM(S165:S168)</f>
        <v>1</v>
      </c>
      <c r="T169" s="82">
        <f>SUM(T165:T168)</f>
        <v>15</v>
      </c>
      <c r="U169" s="82">
        <f>SUM(U165:U168)</f>
        <v>16</v>
      </c>
      <c r="V169" s="66">
        <f>IF(U$169=0,0,U169/U$169)</f>
        <v>1</v>
      </c>
      <c r="W169" s="82">
        <f>SUM(W165:W168)</f>
        <v>2</v>
      </c>
      <c r="X169" s="82">
        <f>SUM(X165:X168)</f>
        <v>19</v>
      </c>
      <c r="Y169" s="82">
        <f>SUM(Y165:Y168)</f>
        <v>21</v>
      </c>
      <c r="Z169" s="66">
        <f>IF(Y$169=0,0,Y169/Y$169)</f>
        <v>1</v>
      </c>
      <c r="AA169" s="82">
        <f>SUM(AA165:AA168)</f>
        <v>3</v>
      </c>
      <c r="AB169" s="82">
        <f>SUM(AB165:AB168)</f>
        <v>12</v>
      </c>
      <c r="AC169" s="82">
        <f>SUM(AC165:AC168)</f>
        <v>15</v>
      </c>
      <c r="AD169" s="66">
        <f>IF(AC$169=0,0,AC169/AC$169)</f>
        <v>1</v>
      </c>
      <c r="AE169" s="82">
        <f>SUM(AE165:AE168)</f>
        <v>0</v>
      </c>
      <c r="AF169" s="82">
        <f>SUM(AF165:AF168)</f>
        <v>0</v>
      </c>
      <c r="AG169" s="82">
        <f>SUM(AG165:AG168)</f>
        <v>0</v>
      </c>
      <c r="AH169" s="608">
        <f>IF(AG$169=0,0,AG169/AG$169)</f>
        <v>0</v>
      </c>
      <c r="AI169" s="381">
        <f>SUM(AI165:AI168)</f>
        <v>17</v>
      </c>
      <c r="AJ169" s="82">
        <f>SUM(AJ165:AJ168)</f>
        <v>73</v>
      </c>
      <c r="AK169" s="82">
        <f>SUM(AK165:AK168)</f>
        <v>90</v>
      </c>
      <c r="AL169" s="66">
        <f>IF(AK$169=0,0,AK169/AK$169)</f>
        <v>1</v>
      </c>
    </row>
    <row r="170" spans="1:38" s="117" customFormat="1" ht="16.5" customHeight="1" x14ac:dyDescent="0.25">
      <c r="A170" s="119"/>
      <c r="B170" s="41" t="s">
        <v>635</v>
      </c>
      <c r="C170" s="476" t="s">
        <v>138</v>
      </c>
      <c r="D170" s="477"/>
      <c r="E170" s="478"/>
      <c r="F170" s="478"/>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355"/>
      <c r="AI170" s="377"/>
      <c r="AJ170" s="71"/>
      <c r="AK170" s="71"/>
      <c r="AL170" s="71"/>
    </row>
    <row r="171" spans="1:38" s="117" customFormat="1" ht="16.5" customHeight="1" x14ac:dyDescent="0.25">
      <c r="A171" s="119"/>
      <c r="B171" s="119"/>
      <c r="C171" s="476" t="s">
        <v>865</v>
      </c>
      <c r="D171" s="477"/>
      <c r="E171" s="478"/>
      <c r="F171" s="478"/>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355"/>
      <c r="AI171" s="377"/>
      <c r="AJ171" s="71"/>
      <c r="AK171" s="71"/>
      <c r="AL171" s="71"/>
    </row>
    <row r="172" spans="1:38" ht="16.5" customHeight="1" x14ac:dyDescent="0.25">
      <c r="A172" s="40"/>
      <c r="B172" s="40"/>
      <c r="C172" s="74" t="s">
        <v>636</v>
      </c>
      <c r="D172" s="147" t="s">
        <v>524</v>
      </c>
      <c r="E172" s="105"/>
      <c r="F172" s="76"/>
      <c r="G172" s="74"/>
      <c r="H172" s="178"/>
      <c r="I172" s="178"/>
      <c r="J172" s="178"/>
      <c r="K172" s="74"/>
      <c r="L172" s="178"/>
      <c r="M172" s="178"/>
      <c r="N172" s="178"/>
      <c r="O172" s="74"/>
      <c r="P172" s="178"/>
      <c r="Q172" s="178"/>
      <c r="R172" s="178"/>
      <c r="S172" s="74"/>
      <c r="T172" s="178"/>
      <c r="U172" s="178"/>
      <c r="V172" s="178"/>
      <c r="W172" s="74"/>
      <c r="X172" s="178"/>
      <c r="Y172" s="178"/>
      <c r="Z172" s="178"/>
      <c r="AA172" s="74"/>
      <c r="AB172" s="178"/>
      <c r="AC172" s="178"/>
      <c r="AD172" s="178"/>
      <c r="AE172" s="178"/>
      <c r="AF172" s="178"/>
      <c r="AG172" s="178"/>
      <c r="AH172" s="85"/>
      <c r="AI172" s="620"/>
      <c r="AJ172" s="178"/>
      <c r="AK172" s="178"/>
      <c r="AL172" s="178"/>
    </row>
    <row r="173" spans="1:38" s="4" customFormat="1" ht="16.5" customHeight="1" x14ac:dyDescent="0.25">
      <c r="A173" s="102"/>
      <c r="B173" s="102"/>
      <c r="C173" s="137"/>
      <c r="D173" s="473" t="s">
        <v>637</v>
      </c>
      <c r="E173" s="303" t="s">
        <v>1460</v>
      </c>
      <c r="F173" s="492"/>
      <c r="G173" s="17">
        <f>'HH WITH COM #1 '!$W$231</f>
        <v>0</v>
      </c>
      <c r="H173" s="17">
        <f>'HH WITH COM #1 '!$X$231</f>
        <v>0</v>
      </c>
      <c r="I173" s="116">
        <f>SUM(G173:H173)</f>
        <v>0</v>
      </c>
      <c r="J173" s="91">
        <f t="shared" ref="J173:J178" si="277">IF(I$178=0,0,I173/I$178)</f>
        <v>0</v>
      </c>
      <c r="K173" s="17">
        <f>'HH WITH COM #2'!$W$231</f>
        <v>0</v>
      </c>
      <c r="L173" s="17">
        <f>'HH WITH COM #2'!$X$231</f>
        <v>0</v>
      </c>
      <c r="M173" s="116">
        <f>SUM(K173:L173)</f>
        <v>0</v>
      </c>
      <c r="N173" s="91">
        <f t="shared" ref="N173:N178" si="278">IF(M$178=0,0,M173/M$178)</f>
        <v>0</v>
      </c>
      <c r="O173" s="17">
        <f>'HH WITH COM #3'!$W$231</f>
        <v>0</v>
      </c>
      <c r="P173" s="17">
        <f>'HH WITH COM #3'!$X$231</f>
        <v>0</v>
      </c>
      <c r="Q173" s="116">
        <f>SUM(O173:P173)</f>
        <v>0</v>
      </c>
      <c r="R173" s="91">
        <f t="shared" ref="R173:R178" si="279">IF(Q$178=0,0,Q173/Q$178)</f>
        <v>0</v>
      </c>
      <c r="S173" s="17">
        <f>'HH WITH COM #4'!$W$231</f>
        <v>0</v>
      </c>
      <c r="T173" s="17">
        <f>'HH WITH COM #4'!$X$231</f>
        <v>0</v>
      </c>
      <c r="U173" s="116">
        <f>SUM(S173:T173)</f>
        <v>0</v>
      </c>
      <c r="V173" s="91">
        <f t="shared" ref="V173:V178" si="280">IF(U$178=0,0,U173/U$178)</f>
        <v>0</v>
      </c>
      <c r="W173" s="17">
        <f>'HH WITH COM #5'!$W$231</f>
        <v>0</v>
      </c>
      <c r="X173" s="17">
        <f>'HH WITH COM #5'!$X$231</f>
        <v>0</v>
      </c>
      <c r="Y173" s="116">
        <f>SUM(W173:X173)</f>
        <v>0</v>
      </c>
      <c r="Z173" s="91">
        <f t="shared" ref="Z173:Z178" si="281">IF(Y$178=0,0,Y173/Y$178)</f>
        <v>0</v>
      </c>
      <c r="AA173" s="17">
        <f>'HH WITH COM #6'!$W$231</f>
        <v>0</v>
      </c>
      <c r="AB173" s="17">
        <f>'HH WITH COM #6'!$X$231</f>
        <v>0</v>
      </c>
      <c r="AC173" s="116">
        <f>SUM(AA173:AB173)</f>
        <v>0</v>
      </c>
      <c r="AD173" s="91">
        <f t="shared" ref="AD173:AD178" si="282">IF(AC$178=0,0,AC173/AC$178)</f>
        <v>0</v>
      </c>
      <c r="AE173" s="17">
        <f>'HH WITH COM #7'!$W$231</f>
        <v>0</v>
      </c>
      <c r="AF173" s="17">
        <f>'HH WITH COM #7'!$X$231</f>
        <v>0</v>
      </c>
      <c r="AG173" s="116">
        <f>SUM(AE173:AF173)</f>
        <v>0</v>
      </c>
      <c r="AH173" s="373">
        <f t="shared" ref="AH173:AH178" si="283">IF(AG$178=0,0,AG173/AG$178)</f>
        <v>0</v>
      </c>
      <c r="AI173" s="391">
        <f t="shared" ref="AI173:AI177" si="284">G173+K173+O173+S173+W173+AA173+AE173</f>
        <v>0</v>
      </c>
      <c r="AJ173" s="17">
        <f t="shared" ref="AJ173:AJ177" si="285">H173+L173+P173+T173+X173+AB173+AF173</f>
        <v>0</v>
      </c>
      <c r="AK173" s="539">
        <f>SUM(AI173:AJ173)</f>
        <v>0</v>
      </c>
      <c r="AL173" s="91">
        <f t="shared" ref="AL173:AL178" si="286">IF(AK$178=0,0,AK173/AK$178)</f>
        <v>0</v>
      </c>
    </row>
    <row r="174" spans="1:38" s="4" customFormat="1" ht="16.5" customHeight="1" x14ac:dyDescent="0.25">
      <c r="A174" s="102"/>
      <c r="B174" s="102"/>
      <c r="C174" s="251"/>
      <c r="D174" s="473" t="s">
        <v>638</v>
      </c>
      <c r="E174" s="303" t="s">
        <v>1461</v>
      </c>
      <c r="F174" s="494"/>
      <c r="G174" s="17">
        <f>'HH WITH COM #1 '!$W$232</f>
        <v>9</v>
      </c>
      <c r="H174" s="17">
        <f>'HH WITH COM #1 '!$X$232</f>
        <v>55</v>
      </c>
      <c r="I174" s="116">
        <f>SUM(G174:H174)</f>
        <v>64</v>
      </c>
      <c r="J174" s="91">
        <f t="shared" si="277"/>
        <v>0.24427480916030533</v>
      </c>
      <c r="K174" s="17">
        <f>'HH WITH COM #2'!$W$232</f>
        <v>0</v>
      </c>
      <c r="L174" s="17">
        <f>'HH WITH COM #2'!$X$232</f>
        <v>0</v>
      </c>
      <c r="M174" s="116">
        <f>SUM(K174:L174)</f>
        <v>0</v>
      </c>
      <c r="N174" s="91">
        <f t="shared" si="278"/>
        <v>0</v>
      </c>
      <c r="O174" s="17">
        <f>'HH WITH COM #3'!$W$232</f>
        <v>0</v>
      </c>
      <c r="P174" s="17">
        <f>'HH WITH COM #3'!$X$232</f>
        <v>0</v>
      </c>
      <c r="Q174" s="116">
        <f>SUM(O174:P174)</f>
        <v>0</v>
      </c>
      <c r="R174" s="91">
        <f t="shared" si="279"/>
        <v>0</v>
      </c>
      <c r="S174" s="17">
        <f>'HH WITH COM #4'!$W$232</f>
        <v>0</v>
      </c>
      <c r="T174" s="17">
        <f>'HH WITH COM #4'!$X$232</f>
        <v>0</v>
      </c>
      <c r="U174" s="116">
        <f>SUM(S174:T174)</f>
        <v>0</v>
      </c>
      <c r="V174" s="91">
        <f t="shared" si="280"/>
        <v>0</v>
      </c>
      <c r="W174" s="17">
        <f>'HH WITH COM #5'!$W$232</f>
        <v>0</v>
      </c>
      <c r="X174" s="17">
        <f>'HH WITH COM #5'!$X$232</f>
        <v>0</v>
      </c>
      <c r="Y174" s="116">
        <f>SUM(W174:X174)</f>
        <v>0</v>
      </c>
      <c r="Z174" s="91">
        <f t="shared" si="281"/>
        <v>0</v>
      </c>
      <c r="AA174" s="17">
        <f>'HH WITH COM #6'!$W$232</f>
        <v>0</v>
      </c>
      <c r="AB174" s="17">
        <f>'HH WITH COM #6'!$X$232</f>
        <v>0</v>
      </c>
      <c r="AC174" s="116">
        <f>SUM(AA174:AB174)</f>
        <v>0</v>
      </c>
      <c r="AD174" s="91">
        <f t="shared" si="282"/>
        <v>0</v>
      </c>
      <c r="AE174" s="17">
        <f>'HH WITH COM #7'!$W$232</f>
        <v>0</v>
      </c>
      <c r="AF174" s="17">
        <f>'HH WITH COM #7'!$X$232</f>
        <v>0</v>
      </c>
      <c r="AG174" s="116">
        <f>SUM(AE174:AF174)</f>
        <v>0</v>
      </c>
      <c r="AH174" s="373">
        <f t="shared" si="283"/>
        <v>0</v>
      </c>
      <c r="AI174" s="391">
        <f t="shared" si="284"/>
        <v>9</v>
      </c>
      <c r="AJ174" s="17">
        <f t="shared" si="285"/>
        <v>55</v>
      </c>
      <c r="AK174" s="539">
        <f>SUM(AI174:AJ174)</f>
        <v>64</v>
      </c>
      <c r="AL174" s="91">
        <f t="shared" si="286"/>
        <v>0.24427480916030533</v>
      </c>
    </row>
    <row r="175" spans="1:38" s="4" customFormat="1" ht="16.5" customHeight="1" x14ac:dyDescent="0.25">
      <c r="A175" s="102"/>
      <c r="B175" s="102"/>
      <c r="C175" s="222"/>
      <c r="D175" s="473" t="s">
        <v>1436</v>
      </c>
      <c r="E175" s="303" t="s">
        <v>1462</v>
      </c>
      <c r="F175" s="494"/>
      <c r="G175" s="17">
        <f>'HH WITH COM #1 '!$W$233</f>
        <v>0</v>
      </c>
      <c r="H175" s="17">
        <f>'HH WITH COM #1 '!$X$233</f>
        <v>1</v>
      </c>
      <c r="I175" s="116">
        <f>SUM(G175:H175)</f>
        <v>1</v>
      </c>
      <c r="J175" s="91">
        <f t="shared" si="277"/>
        <v>3.8167938931297708E-3</v>
      </c>
      <c r="K175" s="17">
        <f>'HH WITH COM #2'!$W$233</f>
        <v>0</v>
      </c>
      <c r="L175" s="17">
        <f>'HH WITH COM #2'!$X$233</f>
        <v>0</v>
      </c>
      <c r="M175" s="116">
        <f>SUM(K175:L175)</f>
        <v>0</v>
      </c>
      <c r="N175" s="91">
        <f t="shared" si="278"/>
        <v>0</v>
      </c>
      <c r="O175" s="17">
        <f>'HH WITH COM #3'!$W$233</f>
        <v>0</v>
      </c>
      <c r="P175" s="17">
        <f>'HH WITH COM #3'!$X$233</f>
        <v>0</v>
      </c>
      <c r="Q175" s="116">
        <f>SUM(O175:P175)</f>
        <v>0</v>
      </c>
      <c r="R175" s="91">
        <f t="shared" si="279"/>
        <v>0</v>
      </c>
      <c r="S175" s="17">
        <f>'HH WITH COM #4'!$W$233</f>
        <v>0</v>
      </c>
      <c r="T175" s="17">
        <f>'HH WITH COM #4'!$X$233</f>
        <v>0</v>
      </c>
      <c r="U175" s="116">
        <f>SUM(S175:T175)</f>
        <v>0</v>
      </c>
      <c r="V175" s="91">
        <f t="shared" si="280"/>
        <v>0</v>
      </c>
      <c r="W175" s="17">
        <f>'HH WITH COM #5'!$W$233</f>
        <v>0</v>
      </c>
      <c r="X175" s="17">
        <f>'HH WITH COM #5'!$X$233</f>
        <v>0</v>
      </c>
      <c r="Y175" s="116">
        <f>SUM(W175:X175)</f>
        <v>0</v>
      </c>
      <c r="Z175" s="91">
        <f t="shared" si="281"/>
        <v>0</v>
      </c>
      <c r="AA175" s="17">
        <f>'HH WITH COM #6'!$W$233</f>
        <v>0</v>
      </c>
      <c r="AB175" s="17">
        <f>'HH WITH COM #6'!$X$233</f>
        <v>0</v>
      </c>
      <c r="AC175" s="116">
        <f>SUM(AA175:AB175)</f>
        <v>0</v>
      </c>
      <c r="AD175" s="91">
        <f t="shared" si="282"/>
        <v>0</v>
      </c>
      <c r="AE175" s="17">
        <f>'HH WITH COM #7'!$W$233</f>
        <v>0</v>
      </c>
      <c r="AF175" s="17">
        <f>'HH WITH COM #7'!$X$233</f>
        <v>0</v>
      </c>
      <c r="AG175" s="116">
        <f>SUM(AE175:AF175)</f>
        <v>0</v>
      </c>
      <c r="AH175" s="373">
        <f t="shared" si="283"/>
        <v>0</v>
      </c>
      <c r="AI175" s="391">
        <f t="shared" si="284"/>
        <v>0</v>
      </c>
      <c r="AJ175" s="17">
        <f t="shared" si="285"/>
        <v>1</v>
      </c>
      <c r="AK175" s="539">
        <f>SUM(AI175:AJ175)</f>
        <v>1</v>
      </c>
      <c r="AL175" s="91">
        <f t="shared" si="286"/>
        <v>3.8167938931297708E-3</v>
      </c>
    </row>
    <row r="176" spans="1:38" s="4" customFormat="1" ht="16.5" customHeight="1" x14ac:dyDescent="0.25">
      <c r="A176" s="102"/>
      <c r="B176" s="102"/>
      <c r="C176" s="157"/>
      <c r="D176" s="473" t="s">
        <v>1456</v>
      </c>
      <c r="E176" s="303" t="s">
        <v>1834</v>
      </c>
      <c r="F176" s="494"/>
      <c r="G176" s="17">
        <f>'HH WITH COM #1 '!$W$234</f>
        <v>5</v>
      </c>
      <c r="H176" s="17">
        <f>'HH WITH COM #1 '!$X$234</f>
        <v>51</v>
      </c>
      <c r="I176" s="116">
        <f>SUM(G176:H176)</f>
        <v>56</v>
      </c>
      <c r="J176" s="91">
        <f t="shared" si="277"/>
        <v>0.21374045801526717</v>
      </c>
      <c r="K176" s="17">
        <f>'HH WITH COM #2'!$W$234</f>
        <v>0</v>
      </c>
      <c r="L176" s="17">
        <f>'HH WITH COM #2'!$X$234</f>
        <v>0</v>
      </c>
      <c r="M176" s="116">
        <f>SUM(K176:L176)</f>
        <v>0</v>
      </c>
      <c r="N176" s="91">
        <f t="shared" si="278"/>
        <v>0</v>
      </c>
      <c r="O176" s="17">
        <f>'HH WITH COM #3'!$W$234</f>
        <v>0</v>
      </c>
      <c r="P176" s="17">
        <f>'HH WITH COM #3'!$X$234</f>
        <v>0</v>
      </c>
      <c r="Q176" s="116">
        <f>SUM(O176:P176)</f>
        <v>0</v>
      </c>
      <c r="R176" s="91">
        <f t="shared" si="279"/>
        <v>0</v>
      </c>
      <c r="S176" s="17">
        <f>'HH WITH COM #4'!$W$234</f>
        <v>0</v>
      </c>
      <c r="T176" s="17">
        <f>'HH WITH COM #4'!$X$234</f>
        <v>0</v>
      </c>
      <c r="U176" s="116">
        <f>SUM(S176:T176)</f>
        <v>0</v>
      </c>
      <c r="V176" s="91">
        <f t="shared" si="280"/>
        <v>0</v>
      </c>
      <c r="W176" s="17">
        <f>'HH WITH COM #5'!$W$234</f>
        <v>0</v>
      </c>
      <c r="X176" s="17">
        <f>'HH WITH COM #5'!$X$234</f>
        <v>0</v>
      </c>
      <c r="Y176" s="116">
        <f>SUM(W176:X176)</f>
        <v>0</v>
      </c>
      <c r="Z176" s="91">
        <f t="shared" si="281"/>
        <v>0</v>
      </c>
      <c r="AA176" s="17">
        <f>'HH WITH COM #6'!$W$234</f>
        <v>0</v>
      </c>
      <c r="AB176" s="17">
        <f>'HH WITH COM #6'!$X$234</f>
        <v>0</v>
      </c>
      <c r="AC176" s="116">
        <f>SUM(AA176:AB176)</f>
        <v>0</v>
      </c>
      <c r="AD176" s="91">
        <f t="shared" si="282"/>
        <v>0</v>
      </c>
      <c r="AE176" s="17">
        <f>'HH WITH COM #7'!$W$234</f>
        <v>0</v>
      </c>
      <c r="AF176" s="17">
        <f>'HH WITH COM #7'!$X$234</f>
        <v>0</v>
      </c>
      <c r="AG176" s="116">
        <f>SUM(AE176:AF176)</f>
        <v>0</v>
      </c>
      <c r="AH176" s="373">
        <f t="shared" si="283"/>
        <v>0</v>
      </c>
      <c r="AI176" s="391">
        <f t="shared" si="284"/>
        <v>5</v>
      </c>
      <c r="AJ176" s="17">
        <f t="shared" si="285"/>
        <v>51</v>
      </c>
      <c r="AK176" s="539">
        <f>SUM(AI176:AJ176)</f>
        <v>56</v>
      </c>
      <c r="AL176" s="91">
        <f t="shared" si="286"/>
        <v>0.21374045801526717</v>
      </c>
    </row>
    <row r="177" spans="1:67" s="4" customFormat="1" ht="16.5" customHeight="1" x14ac:dyDescent="0.25">
      <c r="A177" s="102"/>
      <c r="B177" s="102"/>
      <c r="C177" s="250"/>
      <c r="D177" s="473" t="s">
        <v>1457</v>
      </c>
      <c r="E177" s="303" t="s">
        <v>1463</v>
      </c>
      <c r="F177" s="494"/>
      <c r="G177" s="17">
        <f>'HH WITH COM #1 '!$W$235</f>
        <v>14</v>
      </c>
      <c r="H177" s="17">
        <f>'HH WITH COM #1 '!$X$235</f>
        <v>127</v>
      </c>
      <c r="I177" s="116">
        <f>SUM(G177:H177)</f>
        <v>141</v>
      </c>
      <c r="J177" s="91">
        <f t="shared" si="277"/>
        <v>0.53816793893129766</v>
      </c>
      <c r="K177" s="17">
        <f>'HH WITH COM #2'!$W$235</f>
        <v>0</v>
      </c>
      <c r="L177" s="17">
        <f>'HH WITH COM #2'!$X$235</f>
        <v>0</v>
      </c>
      <c r="M177" s="116">
        <f>SUM(K177:L177)</f>
        <v>0</v>
      </c>
      <c r="N177" s="91">
        <f t="shared" si="278"/>
        <v>0</v>
      </c>
      <c r="O177" s="17">
        <f>'HH WITH COM #3'!$W$235</f>
        <v>0</v>
      </c>
      <c r="P177" s="17">
        <f>'HH WITH COM #3'!$X$235</f>
        <v>0</v>
      </c>
      <c r="Q177" s="116">
        <f>SUM(O177:P177)</f>
        <v>0</v>
      </c>
      <c r="R177" s="91">
        <f t="shared" si="279"/>
        <v>0</v>
      </c>
      <c r="S177" s="17">
        <f>'HH WITH COM #4'!$W$235</f>
        <v>0</v>
      </c>
      <c r="T177" s="17">
        <f>'HH WITH COM #4'!$X$235</f>
        <v>0</v>
      </c>
      <c r="U177" s="116">
        <f>SUM(S177:T177)</f>
        <v>0</v>
      </c>
      <c r="V177" s="91">
        <f t="shared" si="280"/>
        <v>0</v>
      </c>
      <c r="W177" s="17">
        <f>'HH WITH COM #5'!$W$235</f>
        <v>0</v>
      </c>
      <c r="X177" s="17">
        <f>'HH WITH COM #5'!$X$235</f>
        <v>0</v>
      </c>
      <c r="Y177" s="116">
        <f>SUM(W177:X177)</f>
        <v>0</v>
      </c>
      <c r="Z177" s="91">
        <f t="shared" si="281"/>
        <v>0</v>
      </c>
      <c r="AA177" s="17">
        <f>'HH WITH COM #6'!$W$235</f>
        <v>0</v>
      </c>
      <c r="AB177" s="17">
        <f>'HH WITH COM #6'!$X$235</f>
        <v>0</v>
      </c>
      <c r="AC177" s="116">
        <f>SUM(AA177:AB177)</f>
        <v>0</v>
      </c>
      <c r="AD177" s="91">
        <f t="shared" si="282"/>
        <v>0</v>
      </c>
      <c r="AE177" s="17">
        <f>'HH WITH COM #7'!$W$235</f>
        <v>0</v>
      </c>
      <c r="AF177" s="17">
        <f>'HH WITH COM #7'!$X$235</f>
        <v>0</v>
      </c>
      <c r="AG177" s="116">
        <f>SUM(AE177:AF177)</f>
        <v>0</v>
      </c>
      <c r="AH177" s="373">
        <f t="shared" si="283"/>
        <v>0</v>
      </c>
      <c r="AI177" s="391">
        <f t="shared" si="284"/>
        <v>14</v>
      </c>
      <c r="AJ177" s="17">
        <f t="shared" si="285"/>
        <v>127</v>
      </c>
      <c r="AK177" s="539">
        <f>SUM(AI177:AJ177)</f>
        <v>141</v>
      </c>
      <c r="AL177" s="91">
        <f t="shared" si="286"/>
        <v>0.53816793893129766</v>
      </c>
    </row>
    <row r="178" spans="1:67" s="4" customFormat="1" ht="16.5" customHeight="1" x14ac:dyDescent="0.25">
      <c r="A178" s="102"/>
      <c r="B178" s="102"/>
      <c r="C178" s="102"/>
      <c r="D178" s="133"/>
      <c r="E178" s="134"/>
      <c r="F178" s="280"/>
      <c r="G178" s="82">
        <f>SUM(G173:G177)</f>
        <v>28</v>
      </c>
      <c r="H178" s="82">
        <f>SUM(H173:H177)</f>
        <v>234</v>
      </c>
      <c r="I178" s="82">
        <f>SUM(I173:I177)</f>
        <v>262</v>
      </c>
      <c r="J178" s="66">
        <f t="shared" si="277"/>
        <v>1</v>
      </c>
      <c r="K178" s="82">
        <f>SUM(K173:K177)</f>
        <v>0</v>
      </c>
      <c r="L178" s="82">
        <f>SUM(L173:L177)</f>
        <v>0</v>
      </c>
      <c r="M178" s="82">
        <f>SUM(M173:M177)</f>
        <v>0</v>
      </c>
      <c r="N178" s="66">
        <f t="shared" si="278"/>
        <v>0</v>
      </c>
      <c r="O178" s="82">
        <f>SUM(O173:O177)</f>
        <v>0</v>
      </c>
      <c r="P178" s="82">
        <f>SUM(P173:P177)</f>
        <v>0</v>
      </c>
      <c r="Q178" s="82">
        <f>SUM(Q173:Q177)</f>
        <v>0</v>
      </c>
      <c r="R178" s="66">
        <f t="shared" si="279"/>
        <v>0</v>
      </c>
      <c r="S178" s="82">
        <f>SUM(S173:S177)</f>
        <v>0</v>
      </c>
      <c r="T178" s="82">
        <f>SUM(T173:T177)</f>
        <v>0</v>
      </c>
      <c r="U178" s="82">
        <f>SUM(U173:U177)</f>
        <v>0</v>
      </c>
      <c r="V178" s="66">
        <f t="shared" si="280"/>
        <v>0</v>
      </c>
      <c r="W178" s="82">
        <f>SUM(W173:W177)</f>
        <v>0</v>
      </c>
      <c r="X178" s="82">
        <f>SUM(X173:X177)</f>
        <v>0</v>
      </c>
      <c r="Y178" s="82">
        <f>SUM(Y173:Y177)</f>
        <v>0</v>
      </c>
      <c r="Z178" s="66">
        <f t="shared" si="281"/>
        <v>0</v>
      </c>
      <c r="AA178" s="82">
        <f>SUM(AA173:AA177)</f>
        <v>0</v>
      </c>
      <c r="AB178" s="82">
        <f>SUM(AB173:AB177)</f>
        <v>0</v>
      </c>
      <c r="AC178" s="82">
        <f>SUM(AC173:AC177)</f>
        <v>0</v>
      </c>
      <c r="AD178" s="66">
        <f t="shared" si="282"/>
        <v>0</v>
      </c>
      <c r="AE178" s="82">
        <f>SUM(AE173:AE177)</f>
        <v>0</v>
      </c>
      <c r="AF178" s="82">
        <f>SUM(AF173:AF177)</f>
        <v>0</v>
      </c>
      <c r="AG178" s="82">
        <f>SUM(AG173:AG177)</f>
        <v>0</v>
      </c>
      <c r="AH178" s="608">
        <f t="shared" si="283"/>
        <v>0</v>
      </c>
      <c r="AI178" s="381">
        <f>SUM(AI173:AI177)</f>
        <v>28</v>
      </c>
      <c r="AJ178" s="82">
        <f>SUM(AJ173:AJ177)</f>
        <v>234</v>
      </c>
      <c r="AK178" s="82">
        <f>SUM(AK173:AK177)</f>
        <v>262</v>
      </c>
      <c r="AL178" s="66">
        <f t="shared" si="286"/>
        <v>1</v>
      </c>
    </row>
    <row r="179" spans="1:67" s="117" customFormat="1" ht="16.5" customHeight="1" x14ac:dyDescent="0.25">
      <c r="A179" s="119"/>
      <c r="B179" s="119"/>
      <c r="C179" s="476" t="s">
        <v>866</v>
      </c>
      <c r="D179" s="477"/>
      <c r="E179" s="478"/>
      <c r="F179" s="478"/>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355"/>
      <c r="AI179" s="377"/>
      <c r="AJ179" s="71"/>
      <c r="AK179" s="71"/>
      <c r="AL179" s="71"/>
    </row>
    <row r="180" spans="1:67" s="4" customFormat="1" ht="16.5" customHeight="1" x14ac:dyDescent="0.25">
      <c r="A180" s="102"/>
      <c r="B180" s="102"/>
      <c r="C180" s="74" t="s">
        <v>639</v>
      </c>
      <c r="D180" s="147" t="s">
        <v>529</v>
      </c>
      <c r="E180" s="105"/>
      <c r="F180" s="76"/>
      <c r="G180" s="111"/>
      <c r="H180" s="111"/>
      <c r="I180" s="419"/>
      <c r="J180" s="111"/>
      <c r="K180" s="111"/>
      <c r="L180" s="111"/>
      <c r="M180" s="419"/>
      <c r="N180" s="111"/>
      <c r="O180" s="111"/>
      <c r="P180" s="111"/>
      <c r="Q180" s="419"/>
      <c r="R180" s="111"/>
      <c r="S180" s="111"/>
      <c r="T180" s="111"/>
      <c r="U180" s="419"/>
      <c r="V180" s="111"/>
      <c r="W180" s="111"/>
      <c r="X180" s="111"/>
      <c r="Y180" s="419"/>
      <c r="Z180" s="111"/>
      <c r="AA180" s="111"/>
      <c r="AB180" s="111"/>
      <c r="AC180" s="419"/>
      <c r="AD180" s="111"/>
      <c r="AE180" s="111"/>
      <c r="AF180" s="111"/>
      <c r="AG180" s="419"/>
      <c r="AH180" s="358"/>
      <c r="AI180" s="380"/>
      <c r="AJ180" s="111"/>
      <c r="AK180" s="545"/>
      <c r="AL180" s="111"/>
    </row>
    <row r="181" spans="1:67" s="4" customFormat="1" ht="16.5" customHeight="1" x14ac:dyDescent="0.25">
      <c r="A181" s="102"/>
      <c r="B181" s="102"/>
      <c r="C181" s="137"/>
      <c r="D181" s="473" t="s">
        <v>640</v>
      </c>
      <c r="E181" s="303" t="s">
        <v>1464</v>
      </c>
      <c r="F181" s="496"/>
      <c r="G181" s="17">
        <f>'HH WITH COM #1 '!$W$239</f>
        <v>1</v>
      </c>
      <c r="H181" s="17">
        <f>'HH WITH COM #1 '!$X$239</f>
        <v>1</v>
      </c>
      <c r="I181" s="116">
        <f>SUM(G181:H181)</f>
        <v>2</v>
      </c>
      <c r="J181" s="91">
        <f>IF(I$183=0,0,I181/I$183)</f>
        <v>3.7037037037037035E-2</v>
      </c>
      <c r="K181" s="17">
        <f>'HH WITH COM #2'!$W$239</f>
        <v>0</v>
      </c>
      <c r="L181" s="17">
        <f>'HH WITH COM #2'!$X$239</f>
        <v>0</v>
      </c>
      <c r="M181" s="116">
        <f>SUM(K181:L181)</f>
        <v>0</v>
      </c>
      <c r="N181" s="91">
        <f>IF(M$183=0,0,M181/M$183)</f>
        <v>0</v>
      </c>
      <c r="O181" s="17">
        <f>'HH WITH COM #3'!$W$239</f>
        <v>0</v>
      </c>
      <c r="P181" s="17">
        <f>'HH WITH COM #3'!$X$239</f>
        <v>0</v>
      </c>
      <c r="Q181" s="116">
        <f>SUM(O181:P181)</f>
        <v>0</v>
      </c>
      <c r="R181" s="91">
        <f>IF(Q$183=0,0,Q181/Q$183)</f>
        <v>0</v>
      </c>
      <c r="S181" s="17">
        <f>'HH WITH COM #4'!$W$239</f>
        <v>0</v>
      </c>
      <c r="T181" s="17">
        <f>'HH WITH COM #4'!$X$239</f>
        <v>0</v>
      </c>
      <c r="U181" s="116">
        <f>SUM(S181:T181)</f>
        <v>0</v>
      </c>
      <c r="V181" s="91">
        <f>IF(U$183=0,0,U181/U$183)</f>
        <v>0</v>
      </c>
      <c r="W181" s="17">
        <f>'HH WITH COM #5'!$W$239</f>
        <v>0</v>
      </c>
      <c r="X181" s="17">
        <f>'HH WITH COM #5'!$X$239</f>
        <v>0</v>
      </c>
      <c r="Y181" s="116">
        <f>SUM(W181:X181)</f>
        <v>0</v>
      </c>
      <c r="Z181" s="91">
        <f>IF(Y$183=0,0,Y181/Y$183)</f>
        <v>0</v>
      </c>
      <c r="AA181" s="17">
        <f>'HH WITH COM #6'!$W$239</f>
        <v>0</v>
      </c>
      <c r="AB181" s="17">
        <f>'HH WITH COM #6'!$X$239</f>
        <v>0</v>
      </c>
      <c r="AC181" s="116">
        <f>SUM(AA181:AB181)</f>
        <v>0</v>
      </c>
      <c r="AD181" s="91">
        <f>IF(AC$183=0,0,AC181/AC$183)</f>
        <v>0</v>
      </c>
      <c r="AE181" s="17">
        <f>'HH WITH COM #7'!$W$239</f>
        <v>0</v>
      </c>
      <c r="AF181" s="17">
        <f>'HH WITH COM #7'!$X$239</f>
        <v>0</v>
      </c>
      <c r="AG181" s="116">
        <f>SUM(AE181:AF181)</f>
        <v>0</v>
      </c>
      <c r="AH181" s="373">
        <f>IF(AG$183=0,0,AG181/AG$183)</f>
        <v>0</v>
      </c>
      <c r="AI181" s="391">
        <f t="shared" ref="AI181:AI185" si="287">G181+K181+O181+S181+W181+AA181+AE181</f>
        <v>1</v>
      </c>
      <c r="AJ181" s="17">
        <f t="shared" ref="AJ181:AJ185" si="288">H181+L181+P181+T181+X181+AB181+AF181</f>
        <v>1</v>
      </c>
      <c r="AK181" s="539">
        <f>SUM(AI181:AJ181)</f>
        <v>2</v>
      </c>
      <c r="AL181" s="91">
        <f>IF(AK$183=0,0,AK181/AK$186)</f>
        <v>7.6335877862595417E-3</v>
      </c>
    </row>
    <row r="182" spans="1:67" s="4" customFormat="1" ht="16.5" customHeight="1" x14ac:dyDescent="0.25">
      <c r="A182" s="102"/>
      <c r="B182" s="102"/>
      <c r="C182" s="251"/>
      <c r="D182" s="473" t="s">
        <v>641</v>
      </c>
      <c r="E182" s="303" t="s">
        <v>1465</v>
      </c>
      <c r="F182" s="113"/>
      <c r="G182" s="17">
        <f>'HH WITH COM #1 '!$W$240</f>
        <v>0</v>
      </c>
      <c r="H182" s="17">
        <f>'HH WITH COM #1 '!$X$240</f>
        <v>1</v>
      </c>
      <c r="I182" s="116">
        <f t="shared" ref="I182:I185" si="289">SUM(G182:H182)</f>
        <v>1</v>
      </c>
      <c r="J182" s="91">
        <f t="shared" ref="J182:J185" si="290">IF(I$183=0,0,I182/I$183)</f>
        <v>1.8518518518518517E-2</v>
      </c>
      <c r="K182" s="17">
        <f>'HH WITH COM #2'!$W$240</f>
        <v>0</v>
      </c>
      <c r="L182" s="17">
        <f>'HH WITH COM #2'!$X$240</f>
        <v>0</v>
      </c>
      <c r="M182" s="116">
        <f t="shared" ref="M182:M185" si="291">SUM(K182:L182)</f>
        <v>0</v>
      </c>
      <c r="N182" s="91">
        <f t="shared" ref="N182:N185" si="292">IF(M$183=0,0,M182/M$183)</f>
        <v>0</v>
      </c>
      <c r="O182" s="17">
        <f>'HH WITH COM #3'!$W$240</f>
        <v>0</v>
      </c>
      <c r="P182" s="17">
        <f>'HH WITH COM #3'!$X$240</f>
        <v>0</v>
      </c>
      <c r="Q182" s="116">
        <f t="shared" ref="Q182:Q185" si="293">SUM(O182:P182)</f>
        <v>0</v>
      </c>
      <c r="R182" s="91">
        <f t="shared" ref="R182:R185" si="294">IF(Q$183=0,0,Q182/Q$183)</f>
        <v>0</v>
      </c>
      <c r="S182" s="17">
        <f>'HH WITH COM #4'!$W$240</f>
        <v>0</v>
      </c>
      <c r="T182" s="17">
        <f>'HH WITH COM #4'!$X$240</f>
        <v>0</v>
      </c>
      <c r="U182" s="116">
        <f t="shared" ref="U182:U185" si="295">SUM(S182:T182)</f>
        <v>0</v>
      </c>
      <c r="V182" s="91">
        <f t="shared" ref="V182:V185" si="296">IF(U$183=0,0,U182/U$183)</f>
        <v>0</v>
      </c>
      <c r="W182" s="17">
        <f>'HH WITH COM #5'!$W$240</f>
        <v>0</v>
      </c>
      <c r="X182" s="17">
        <f>'HH WITH COM #5'!$X$240</f>
        <v>0</v>
      </c>
      <c r="Y182" s="116">
        <f t="shared" ref="Y182:Y185" si="297">SUM(W182:X182)</f>
        <v>0</v>
      </c>
      <c r="Z182" s="91">
        <f t="shared" ref="Z182:Z185" si="298">IF(Y$183=0,0,Y182/Y$183)</f>
        <v>0</v>
      </c>
      <c r="AA182" s="17">
        <f>'HH WITH COM #6'!$W$240</f>
        <v>0</v>
      </c>
      <c r="AB182" s="17">
        <f>'HH WITH COM #6'!$X$240</f>
        <v>0</v>
      </c>
      <c r="AC182" s="116">
        <f t="shared" ref="AC182:AC185" si="299">SUM(AA182:AB182)</f>
        <v>0</v>
      </c>
      <c r="AD182" s="91">
        <f t="shared" ref="AD182:AD185" si="300">IF(AC$183=0,0,AC182/AC$183)</f>
        <v>0</v>
      </c>
      <c r="AE182" s="17">
        <f>'HH WITH COM #7'!$W$240</f>
        <v>0</v>
      </c>
      <c r="AF182" s="17">
        <f>'HH WITH COM #7'!$X$240</f>
        <v>0</v>
      </c>
      <c r="AG182" s="116">
        <f t="shared" ref="AG182:AG185" si="301">SUM(AE182:AF182)</f>
        <v>0</v>
      </c>
      <c r="AH182" s="373">
        <f t="shared" ref="AH182:AH185" si="302">IF(AG$183=0,0,AG182/AG$183)</f>
        <v>0</v>
      </c>
      <c r="AI182" s="391">
        <f t="shared" si="287"/>
        <v>0</v>
      </c>
      <c r="AJ182" s="17">
        <f t="shared" si="288"/>
        <v>1</v>
      </c>
      <c r="AK182" s="539">
        <f t="shared" ref="AK182:AK185" si="303">SUM(AI182:AJ182)</f>
        <v>1</v>
      </c>
      <c r="AL182" s="91">
        <f t="shared" ref="AL182:AL185" si="304">IF(AK$183=0,0,AK182/AK$186)</f>
        <v>3.8167938931297708E-3</v>
      </c>
    </row>
    <row r="183" spans="1:67" s="4" customFormat="1" ht="16.5" customHeight="1" x14ac:dyDescent="0.25">
      <c r="A183" s="102"/>
      <c r="B183" s="102"/>
      <c r="C183" s="222"/>
      <c r="D183" s="473" t="s">
        <v>1437</v>
      </c>
      <c r="E183" s="303" t="s">
        <v>1466</v>
      </c>
      <c r="F183" s="76"/>
      <c r="G183" s="17">
        <f>'HH WITH COM #1 '!$W$241</f>
        <v>14</v>
      </c>
      <c r="H183" s="17">
        <f>'HH WITH COM #1 '!$X$241</f>
        <v>40</v>
      </c>
      <c r="I183" s="116">
        <f t="shared" si="289"/>
        <v>54</v>
      </c>
      <c r="J183" s="91">
        <f t="shared" si="290"/>
        <v>1</v>
      </c>
      <c r="K183" s="17">
        <f>'HH WITH COM #2'!$W$241</f>
        <v>0</v>
      </c>
      <c r="L183" s="17">
        <f>'HH WITH COM #2'!$X$241</f>
        <v>0</v>
      </c>
      <c r="M183" s="116">
        <f t="shared" si="291"/>
        <v>0</v>
      </c>
      <c r="N183" s="91">
        <f t="shared" si="292"/>
        <v>0</v>
      </c>
      <c r="O183" s="17">
        <f>'HH WITH COM #3'!$W$241</f>
        <v>0</v>
      </c>
      <c r="P183" s="17">
        <f>'HH WITH COM #3'!$X$241</f>
        <v>0</v>
      </c>
      <c r="Q183" s="116">
        <f t="shared" si="293"/>
        <v>0</v>
      </c>
      <c r="R183" s="91">
        <f t="shared" si="294"/>
        <v>0</v>
      </c>
      <c r="S183" s="17">
        <f>'HH WITH COM #4'!$W$241</f>
        <v>0</v>
      </c>
      <c r="T183" s="17">
        <f>'HH WITH COM #4'!$X$241</f>
        <v>0</v>
      </c>
      <c r="U183" s="116">
        <f t="shared" si="295"/>
        <v>0</v>
      </c>
      <c r="V183" s="91">
        <f t="shared" si="296"/>
        <v>0</v>
      </c>
      <c r="W183" s="17">
        <f>'HH WITH COM #5'!$W$241</f>
        <v>0</v>
      </c>
      <c r="X183" s="17">
        <f>'HH WITH COM #5'!$X$241</f>
        <v>0</v>
      </c>
      <c r="Y183" s="116">
        <f t="shared" si="297"/>
        <v>0</v>
      </c>
      <c r="Z183" s="91">
        <f t="shared" si="298"/>
        <v>0</v>
      </c>
      <c r="AA183" s="17">
        <f>'HH WITH COM #6'!$W$241</f>
        <v>0</v>
      </c>
      <c r="AB183" s="17">
        <f>'HH WITH COM #6'!$X$241</f>
        <v>0</v>
      </c>
      <c r="AC183" s="116">
        <f t="shared" si="299"/>
        <v>0</v>
      </c>
      <c r="AD183" s="91">
        <f t="shared" si="300"/>
        <v>0</v>
      </c>
      <c r="AE183" s="17">
        <f>'HH WITH COM #7'!$W$241</f>
        <v>0</v>
      </c>
      <c r="AF183" s="17">
        <f>'HH WITH COM #7'!$X$241</f>
        <v>0</v>
      </c>
      <c r="AG183" s="116">
        <f t="shared" si="301"/>
        <v>0</v>
      </c>
      <c r="AH183" s="373">
        <f t="shared" si="302"/>
        <v>0</v>
      </c>
      <c r="AI183" s="391">
        <f t="shared" si="287"/>
        <v>14</v>
      </c>
      <c r="AJ183" s="17">
        <f t="shared" si="288"/>
        <v>40</v>
      </c>
      <c r="AK183" s="539">
        <f t="shared" si="303"/>
        <v>54</v>
      </c>
      <c r="AL183" s="91">
        <f t="shared" si="304"/>
        <v>0.20610687022900764</v>
      </c>
    </row>
    <row r="184" spans="1:67" s="4" customFormat="1" ht="16.5" customHeight="1" x14ac:dyDescent="0.25">
      <c r="A184" s="102"/>
      <c r="B184" s="102"/>
      <c r="C184" s="157"/>
      <c r="D184" s="473" t="s">
        <v>1458</v>
      </c>
      <c r="E184" s="303" t="s">
        <v>1467</v>
      </c>
      <c r="F184" s="76"/>
      <c r="G184" s="17">
        <f>'HH WITH COM #1 '!$W$242</f>
        <v>1</v>
      </c>
      <c r="H184" s="17">
        <f>'HH WITH COM #1 '!$X$242</f>
        <v>1</v>
      </c>
      <c r="I184" s="116">
        <f t="shared" si="289"/>
        <v>2</v>
      </c>
      <c r="J184" s="91">
        <f t="shared" si="290"/>
        <v>3.7037037037037035E-2</v>
      </c>
      <c r="K184" s="17">
        <f>'HH WITH COM #2'!$W$242</f>
        <v>0</v>
      </c>
      <c r="L184" s="17">
        <f>'HH WITH COM #2'!$X$242</f>
        <v>0</v>
      </c>
      <c r="M184" s="116">
        <f t="shared" si="291"/>
        <v>0</v>
      </c>
      <c r="N184" s="91">
        <f t="shared" si="292"/>
        <v>0</v>
      </c>
      <c r="O184" s="17">
        <f>'HH WITH COM #3'!$W$242</f>
        <v>0</v>
      </c>
      <c r="P184" s="17">
        <f>'HH WITH COM #3'!$X$242</f>
        <v>0</v>
      </c>
      <c r="Q184" s="116">
        <f t="shared" si="293"/>
        <v>0</v>
      </c>
      <c r="R184" s="91">
        <f t="shared" si="294"/>
        <v>0</v>
      </c>
      <c r="S184" s="17">
        <f>'HH WITH COM #4'!$W$242</f>
        <v>0</v>
      </c>
      <c r="T184" s="17">
        <f>'HH WITH COM #4'!$X$242</f>
        <v>0</v>
      </c>
      <c r="U184" s="116">
        <f t="shared" si="295"/>
        <v>0</v>
      </c>
      <c r="V184" s="91">
        <f t="shared" si="296"/>
        <v>0</v>
      </c>
      <c r="W184" s="17">
        <f>'HH WITH COM #5'!$W$242</f>
        <v>0</v>
      </c>
      <c r="X184" s="17">
        <f>'HH WITH COM #5'!$X$242</f>
        <v>0</v>
      </c>
      <c r="Y184" s="116">
        <f t="shared" si="297"/>
        <v>0</v>
      </c>
      <c r="Z184" s="91">
        <f t="shared" si="298"/>
        <v>0</v>
      </c>
      <c r="AA184" s="17">
        <f>'HH WITH COM #6'!$W$242</f>
        <v>0</v>
      </c>
      <c r="AB184" s="17">
        <f>'HH WITH COM #6'!$X$242</f>
        <v>0</v>
      </c>
      <c r="AC184" s="116">
        <f t="shared" si="299"/>
        <v>0</v>
      </c>
      <c r="AD184" s="91">
        <f t="shared" si="300"/>
        <v>0</v>
      </c>
      <c r="AE184" s="17">
        <f>'HH WITH COM #7'!$W$242</f>
        <v>0</v>
      </c>
      <c r="AF184" s="17">
        <f>'HH WITH COM #7'!$X$242</f>
        <v>0</v>
      </c>
      <c r="AG184" s="116">
        <f t="shared" si="301"/>
        <v>0</v>
      </c>
      <c r="AH184" s="373">
        <f t="shared" si="302"/>
        <v>0</v>
      </c>
      <c r="AI184" s="391">
        <f t="shared" si="287"/>
        <v>1</v>
      </c>
      <c r="AJ184" s="17">
        <f t="shared" si="288"/>
        <v>1</v>
      </c>
      <c r="AK184" s="539">
        <f t="shared" si="303"/>
        <v>2</v>
      </c>
      <c r="AL184" s="91">
        <f t="shared" si="304"/>
        <v>7.6335877862595417E-3</v>
      </c>
    </row>
    <row r="185" spans="1:67" s="4" customFormat="1" ht="16.5" customHeight="1" x14ac:dyDescent="0.25">
      <c r="A185" s="119"/>
      <c r="B185" s="119"/>
      <c r="C185" s="250"/>
      <c r="D185" s="473" t="s">
        <v>1459</v>
      </c>
      <c r="E185" s="303" t="s">
        <v>1468</v>
      </c>
      <c r="F185" s="106"/>
      <c r="G185" s="17">
        <f>'HH WITH COM #1 '!$W$243</f>
        <v>12</v>
      </c>
      <c r="H185" s="17">
        <f>'HH WITH COM #1 '!$X$243</f>
        <v>191</v>
      </c>
      <c r="I185" s="116">
        <f t="shared" si="289"/>
        <v>203</v>
      </c>
      <c r="J185" s="91">
        <f t="shared" si="290"/>
        <v>3.7592592592592591</v>
      </c>
      <c r="K185" s="17">
        <f>'HH WITH COM #2'!$W$243</f>
        <v>0</v>
      </c>
      <c r="L185" s="17">
        <f>'HH WITH COM #2'!$X$243</f>
        <v>0</v>
      </c>
      <c r="M185" s="116">
        <f t="shared" si="291"/>
        <v>0</v>
      </c>
      <c r="N185" s="91">
        <f t="shared" si="292"/>
        <v>0</v>
      </c>
      <c r="O185" s="17">
        <f>'HH WITH COM #3'!$W$243</f>
        <v>0</v>
      </c>
      <c r="P185" s="17">
        <f>'HH WITH COM #3'!$X$243</f>
        <v>0</v>
      </c>
      <c r="Q185" s="116">
        <f t="shared" si="293"/>
        <v>0</v>
      </c>
      <c r="R185" s="91">
        <f t="shared" si="294"/>
        <v>0</v>
      </c>
      <c r="S185" s="17">
        <f>'HH WITH COM #4'!$W$243</f>
        <v>0</v>
      </c>
      <c r="T185" s="17">
        <f>'HH WITH COM #4'!$X$243</f>
        <v>0</v>
      </c>
      <c r="U185" s="116">
        <f t="shared" si="295"/>
        <v>0</v>
      </c>
      <c r="V185" s="91">
        <f t="shared" si="296"/>
        <v>0</v>
      </c>
      <c r="W185" s="17">
        <f>'HH WITH COM #5'!$W$243</f>
        <v>0</v>
      </c>
      <c r="X185" s="17">
        <f>'HH WITH COM #5'!$X$243</f>
        <v>0</v>
      </c>
      <c r="Y185" s="116">
        <f t="shared" si="297"/>
        <v>0</v>
      </c>
      <c r="Z185" s="91">
        <f t="shared" si="298"/>
        <v>0</v>
      </c>
      <c r="AA185" s="17">
        <f>'HH WITH COM #6'!$W$243</f>
        <v>0</v>
      </c>
      <c r="AB185" s="17">
        <f>'HH WITH COM #6'!$X$243</f>
        <v>0</v>
      </c>
      <c r="AC185" s="116">
        <f t="shared" si="299"/>
        <v>0</v>
      </c>
      <c r="AD185" s="91">
        <f t="shared" si="300"/>
        <v>0</v>
      </c>
      <c r="AE185" s="17">
        <f>'HH WITH COM #7'!$W$243</f>
        <v>0</v>
      </c>
      <c r="AF185" s="17">
        <f>'HH WITH COM #7'!$X$243</f>
        <v>0</v>
      </c>
      <c r="AG185" s="116">
        <f t="shared" si="301"/>
        <v>0</v>
      </c>
      <c r="AH185" s="373">
        <f t="shared" si="302"/>
        <v>0</v>
      </c>
      <c r="AI185" s="391">
        <f t="shared" si="287"/>
        <v>12</v>
      </c>
      <c r="AJ185" s="17">
        <f t="shared" si="288"/>
        <v>191</v>
      </c>
      <c r="AK185" s="539">
        <f t="shared" si="303"/>
        <v>203</v>
      </c>
      <c r="AL185" s="91">
        <f t="shared" si="304"/>
        <v>0.77480916030534353</v>
      </c>
    </row>
    <row r="186" spans="1:67" s="4" customFormat="1" ht="16.5" customHeight="1" x14ac:dyDescent="0.25">
      <c r="A186" s="1294"/>
      <c r="B186" s="102"/>
      <c r="C186" s="102"/>
      <c r="D186" s="133"/>
      <c r="E186" s="134"/>
      <c r="F186" s="280"/>
      <c r="G186" s="82">
        <f>SUM(G181:G185)</f>
        <v>28</v>
      </c>
      <c r="H186" s="82">
        <f t="shared" ref="H186:I186" si="305">SUM(H181:H185)</f>
        <v>234</v>
      </c>
      <c r="I186" s="82">
        <f t="shared" si="305"/>
        <v>262</v>
      </c>
      <c r="J186" s="66">
        <f>IF(I$186=0,0,I186/I$186)</f>
        <v>1</v>
      </c>
      <c r="K186" s="82">
        <f>SUM(K181:K185)</f>
        <v>0</v>
      </c>
      <c r="L186" s="82">
        <f t="shared" ref="L186" si="306">SUM(L181:L185)</f>
        <v>0</v>
      </c>
      <c r="M186" s="82">
        <f t="shared" ref="M186" si="307">SUM(M181:M185)</f>
        <v>0</v>
      </c>
      <c r="N186" s="66">
        <f>IF(M$186=0,0,M186/M$186)</f>
        <v>0</v>
      </c>
      <c r="O186" s="82">
        <f>SUM(O181:O185)</f>
        <v>0</v>
      </c>
      <c r="P186" s="82">
        <f t="shared" ref="P186" si="308">SUM(P181:P185)</f>
        <v>0</v>
      </c>
      <c r="Q186" s="82">
        <f t="shared" ref="Q186" si="309">SUM(Q181:Q185)</f>
        <v>0</v>
      </c>
      <c r="R186" s="66">
        <f>IF(Q$186=0,0,Q186/Q$186)</f>
        <v>0</v>
      </c>
      <c r="S186" s="82">
        <f>SUM(S181:S185)</f>
        <v>0</v>
      </c>
      <c r="T186" s="82">
        <f t="shared" ref="T186" si="310">SUM(T181:T185)</f>
        <v>0</v>
      </c>
      <c r="U186" s="82">
        <f t="shared" ref="U186" si="311">SUM(U181:U185)</f>
        <v>0</v>
      </c>
      <c r="V186" s="66">
        <f>IF(U$186=0,0,U186/U$186)</f>
        <v>0</v>
      </c>
      <c r="W186" s="82">
        <f>SUM(W181:W185)</f>
        <v>0</v>
      </c>
      <c r="X186" s="82">
        <f t="shared" ref="X186" si="312">SUM(X181:X185)</f>
        <v>0</v>
      </c>
      <c r="Y186" s="82">
        <f t="shared" ref="Y186" si="313">SUM(Y181:Y185)</f>
        <v>0</v>
      </c>
      <c r="Z186" s="66">
        <f>IF(Y$186=0,0,Y186/Y$186)</f>
        <v>0</v>
      </c>
      <c r="AA186" s="82">
        <f>SUM(AA181:AA185)</f>
        <v>0</v>
      </c>
      <c r="AB186" s="82">
        <f t="shared" ref="AB186" si="314">SUM(AB181:AB185)</f>
        <v>0</v>
      </c>
      <c r="AC186" s="82">
        <f t="shared" ref="AC186" si="315">SUM(AC181:AC185)</f>
        <v>0</v>
      </c>
      <c r="AD186" s="66">
        <f>IF(AC$186=0,0,AC186/AC$186)</f>
        <v>0</v>
      </c>
      <c r="AE186" s="82">
        <f>SUM(AE181:AE185)</f>
        <v>0</v>
      </c>
      <c r="AF186" s="82">
        <f t="shared" ref="AF186" si="316">SUM(AF181:AF185)</f>
        <v>0</v>
      </c>
      <c r="AG186" s="82">
        <f t="shared" ref="AG186" si="317">SUM(AG181:AG185)</f>
        <v>0</v>
      </c>
      <c r="AH186" s="608">
        <f>IF(AG$186=0,0,AG186/AG$186)</f>
        <v>0</v>
      </c>
      <c r="AI186" s="381">
        <f>SUM(AI181:AI185)</f>
        <v>28</v>
      </c>
      <c r="AJ186" s="82">
        <f t="shared" ref="AJ186:AK186" si="318">SUM(AJ181:AJ185)</f>
        <v>234</v>
      </c>
      <c r="AK186" s="82">
        <f t="shared" si="318"/>
        <v>262</v>
      </c>
      <c r="AL186" s="66">
        <f>IF(AK$186=0,0,AK186/AK$186)</f>
        <v>1</v>
      </c>
    </row>
    <row r="187" spans="1:67" s="117" customFormat="1" ht="16.5" customHeight="1" x14ac:dyDescent="0.25">
      <c r="A187" s="119"/>
      <c r="B187" s="41" t="s">
        <v>956</v>
      </c>
      <c r="C187" s="476" t="s">
        <v>12</v>
      </c>
      <c r="D187" s="477"/>
      <c r="E187" s="478"/>
      <c r="F187" s="478"/>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355"/>
      <c r="AI187" s="377"/>
      <c r="AJ187" s="71"/>
      <c r="AK187" s="71"/>
      <c r="AL187" s="71"/>
      <c r="AN187" s="213"/>
      <c r="AO187" s="213"/>
      <c r="AP187" s="213"/>
    </row>
    <row r="188" spans="1:67" s="117" customFormat="1" ht="16.5" customHeight="1" x14ac:dyDescent="0.25">
      <c r="A188" s="119"/>
      <c r="B188" s="119"/>
      <c r="C188" s="74" t="s">
        <v>957</v>
      </c>
      <c r="D188" s="108" t="s">
        <v>987</v>
      </c>
      <c r="E188" s="108"/>
      <c r="F188" s="108"/>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c r="AD188" s="111"/>
      <c r="AE188" s="111"/>
      <c r="AF188" s="111"/>
      <c r="AG188" s="111"/>
      <c r="AH188" s="358"/>
      <c r="AI188" s="380"/>
      <c r="AJ188" s="111"/>
      <c r="AK188" s="111"/>
      <c r="AL188" s="111"/>
      <c r="AN188" s="213"/>
      <c r="AO188" s="213"/>
      <c r="AP188" s="213"/>
    </row>
    <row r="189" spans="1:67" s="117" customFormat="1" ht="16.5" customHeight="1" x14ac:dyDescent="0.25">
      <c r="A189" s="119"/>
      <c r="B189" s="119"/>
      <c r="C189" s="119"/>
      <c r="D189" s="473" t="s">
        <v>967</v>
      </c>
      <c r="E189" s="475" t="s">
        <v>988</v>
      </c>
      <c r="F189" s="108"/>
      <c r="G189" s="17">
        <f>G134+G135</f>
        <v>22</v>
      </c>
      <c r="H189" s="17">
        <f>H134+H135</f>
        <v>91</v>
      </c>
      <c r="I189" s="927">
        <f>SUM(G189:H189)</f>
        <v>113</v>
      </c>
      <c r="J189" s="17"/>
      <c r="K189" s="17">
        <f>K134+K135</f>
        <v>0</v>
      </c>
      <c r="L189" s="17">
        <f>L134+L135</f>
        <v>0</v>
      </c>
      <c r="M189" s="927">
        <f>SUM(K189:L189)</f>
        <v>0</v>
      </c>
      <c r="N189" s="17"/>
      <c r="O189" s="17">
        <f>O134+O135</f>
        <v>0</v>
      </c>
      <c r="P189" s="17">
        <f>P134+P135</f>
        <v>0</v>
      </c>
      <c r="Q189" s="927">
        <f>SUM(O189:P189)</f>
        <v>0</v>
      </c>
      <c r="R189" s="17"/>
      <c r="S189" s="17">
        <f>S134+S135</f>
        <v>0</v>
      </c>
      <c r="T189" s="17">
        <f>T134+T135</f>
        <v>0</v>
      </c>
      <c r="U189" s="927">
        <f>SUM(S189:T189)</f>
        <v>0</v>
      </c>
      <c r="V189" s="17"/>
      <c r="W189" s="17">
        <f>W134+W135</f>
        <v>0</v>
      </c>
      <c r="X189" s="17">
        <f>X134+X135</f>
        <v>0</v>
      </c>
      <c r="Y189" s="927">
        <f>SUM(W189:X189)</f>
        <v>0</v>
      </c>
      <c r="Z189" s="17"/>
      <c r="AA189" s="17">
        <f>AA134+AA135</f>
        <v>0</v>
      </c>
      <c r="AB189" s="17">
        <f>AB134+AB135</f>
        <v>0</v>
      </c>
      <c r="AC189" s="927">
        <f>SUM(AA189:AB189)</f>
        <v>0</v>
      </c>
      <c r="AD189" s="17"/>
      <c r="AE189" s="17">
        <f>AE134+AE135</f>
        <v>0</v>
      </c>
      <c r="AF189" s="17">
        <f>AF134+AF135</f>
        <v>0</v>
      </c>
      <c r="AG189" s="927">
        <f>SUM(AE189:AF189)</f>
        <v>0</v>
      </c>
      <c r="AH189" s="359"/>
      <c r="AI189" s="391">
        <f t="shared" ref="AI189:AJ189" si="319">G189+K189+O189+S189+W189+AA189+AE189</f>
        <v>22</v>
      </c>
      <c r="AJ189" s="17">
        <f t="shared" si="319"/>
        <v>91</v>
      </c>
      <c r="AK189" s="927">
        <f>SUM(AI189:AJ189)</f>
        <v>113</v>
      </c>
      <c r="AL189" s="17"/>
      <c r="AN189" s="213"/>
      <c r="AO189" s="213"/>
      <c r="AP189" s="213"/>
    </row>
    <row r="190" spans="1:67" s="4" customFormat="1" ht="16.5" customHeight="1" x14ac:dyDescent="0.25">
      <c r="A190" s="1079"/>
      <c r="B190" s="102"/>
      <c r="C190" s="102"/>
      <c r="D190" s="464" t="s">
        <v>989</v>
      </c>
      <c r="E190" s="134"/>
      <c r="F190" s="280"/>
      <c r="G190" s="66">
        <f>IF(G140=0,0,G189/G140)</f>
        <v>0.7857142857142857</v>
      </c>
      <c r="H190" s="66">
        <f t="shared" ref="H190:I190" si="320">IF(H140=0,0,H189/H140)</f>
        <v>0.3888888888888889</v>
      </c>
      <c r="I190" s="66">
        <f t="shared" si="320"/>
        <v>0.43129770992366412</v>
      </c>
      <c r="J190" s="66"/>
      <c r="K190" s="66">
        <f>IF(K140=0,0,K189/K140)</f>
        <v>0</v>
      </c>
      <c r="L190" s="66">
        <f t="shared" ref="L190:M190" si="321">IF(L140=0,0,L189/L140)</f>
        <v>0</v>
      </c>
      <c r="M190" s="66">
        <f t="shared" si="321"/>
        <v>0</v>
      </c>
      <c r="N190" s="66"/>
      <c r="O190" s="66">
        <f>IF(O140=0,0,O189/O140)</f>
        <v>0</v>
      </c>
      <c r="P190" s="66">
        <f t="shared" ref="P190:Q190" si="322">IF(P140=0,0,P189/P140)</f>
        <v>0</v>
      </c>
      <c r="Q190" s="66">
        <f t="shared" si="322"/>
        <v>0</v>
      </c>
      <c r="R190" s="66"/>
      <c r="S190" s="66">
        <f>IF(S140=0,0,S189/S140)</f>
        <v>0</v>
      </c>
      <c r="T190" s="66">
        <f t="shared" ref="T190:U190" si="323">IF(T140=0,0,T189/T140)</f>
        <v>0</v>
      </c>
      <c r="U190" s="66">
        <f t="shared" si="323"/>
        <v>0</v>
      </c>
      <c r="V190" s="66"/>
      <c r="W190" s="66">
        <f>IF(W140=0,0,W189/W140)</f>
        <v>0</v>
      </c>
      <c r="X190" s="66">
        <f t="shared" ref="X190:Y190" si="324">IF(X140=0,0,X189/X140)</f>
        <v>0</v>
      </c>
      <c r="Y190" s="66">
        <f t="shared" si="324"/>
        <v>0</v>
      </c>
      <c r="Z190" s="66"/>
      <c r="AA190" s="66">
        <f>IF(AA140=0,0,AA189/AA140)</f>
        <v>0</v>
      </c>
      <c r="AB190" s="66">
        <f t="shared" ref="AB190:AC190" si="325">IF(AB140=0,0,AB189/AB140)</f>
        <v>0</v>
      </c>
      <c r="AC190" s="66">
        <f t="shared" si="325"/>
        <v>0</v>
      </c>
      <c r="AD190" s="66"/>
      <c r="AE190" s="66">
        <f>IF(AE140=0,0,AE189/AE140)</f>
        <v>0</v>
      </c>
      <c r="AF190" s="66">
        <f t="shared" ref="AF190:AG190" si="326">IF(AF140=0,0,AF189/AF140)</f>
        <v>0</v>
      </c>
      <c r="AG190" s="66">
        <f t="shared" si="326"/>
        <v>0</v>
      </c>
      <c r="AH190" s="608"/>
      <c r="AI190" s="619">
        <f>IF(AI140=0,0,AI189/AI140)</f>
        <v>0.7857142857142857</v>
      </c>
      <c r="AJ190" s="66">
        <f t="shared" ref="AJ190:AK190" si="327">IF(AJ140=0,0,AJ189/AJ140)</f>
        <v>0.3888888888888889</v>
      </c>
      <c r="AK190" s="66">
        <f t="shared" si="327"/>
        <v>0.43129770992366412</v>
      </c>
      <c r="AL190" s="66"/>
      <c r="AN190" s="21"/>
      <c r="AO190" s="21"/>
      <c r="AP190" s="21"/>
      <c r="BA190" s="117" t="s">
        <v>891</v>
      </c>
      <c r="BB190" s="117"/>
      <c r="BC190" s="117"/>
      <c r="BD190" s="117"/>
      <c r="BE190" s="117"/>
      <c r="BF190" s="117"/>
      <c r="BG190" s="117"/>
      <c r="BH190" s="117"/>
      <c r="BI190" s="117" t="s">
        <v>611</v>
      </c>
      <c r="BJ190" s="117"/>
      <c r="BK190" s="117"/>
      <c r="BL190" s="117"/>
      <c r="BM190" s="117"/>
      <c r="BN190" s="117"/>
      <c r="BO190" s="117"/>
    </row>
    <row r="191" spans="1:67" s="117" customFormat="1" ht="16.5" customHeight="1" x14ac:dyDescent="0.25">
      <c r="A191" s="119"/>
      <c r="B191" s="119"/>
      <c r="C191" s="119"/>
      <c r="D191" s="108" t="s">
        <v>974</v>
      </c>
      <c r="E191" s="108"/>
      <c r="F191" s="108"/>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c r="AD191" s="111"/>
      <c r="AE191" s="111"/>
      <c r="AF191" s="111"/>
      <c r="AG191" s="111"/>
      <c r="AH191" s="358"/>
      <c r="AI191" s="380"/>
      <c r="AJ191" s="111"/>
      <c r="AK191" s="111"/>
      <c r="AL191" s="111"/>
      <c r="AN191" s="213"/>
      <c r="AO191" s="213"/>
      <c r="AP191" s="213"/>
      <c r="BA191" s="2" t="s">
        <v>1068</v>
      </c>
      <c r="BB191" s="2" t="s">
        <v>1069</v>
      </c>
      <c r="BC191" s="2" t="s">
        <v>1070</v>
      </c>
      <c r="BD191" s="2" t="s">
        <v>1071</v>
      </c>
      <c r="BE191" s="2" t="s">
        <v>1072</v>
      </c>
      <c r="BF191" s="2" t="s">
        <v>1073</v>
      </c>
      <c r="BG191" s="2" t="s">
        <v>1074</v>
      </c>
      <c r="BH191" s="3"/>
      <c r="BI191" s="2" t="s">
        <v>1068</v>
      </c>
      <c r="BJ191" s="2" t="s">
        <v>1069</v>
      </c>
      <c r="BK191" s="2" t="s">
        <v>1070</v>
      </c>
      <c r="BL191" s="2" t="s">
        <v>1071</v>
      </c>
      <c r="BM191" s="2" t="s">
        <v>1072</v>
      </c>
      <c r="BN191" s="2" t="s">
        <v>1073</v>
      </c>
      <c r="BO191" s="2" t="s">
        <v>1074</v>
      </c>
    </row>
    <row r="192" spans="1:67" s="117" customFormat="1" ht="16.5" customHeight="1" x14ac:dyDescent="0.25">
      <c r="A192" s="119"/>
      <c r="B192" s="119"/>
      <c r="C192" s="119"/>
      <c r="D192" s="473" t="s">
        <v>971</v>
      </c>
      <c r="E192" s="475" t="s">
        <v>978</v>
      </c>
      <c r="F192" s="475"/>
      <c r="G192" s="403">
        <f>'HH WITH COM #1 '!$AQ$310</f>
        <v>0.75</v>
      </c>
      <c r="H192" s="403">
        <f>'HH WITH COM #1 '!$AW$310</f>
        <v>0.75</v>
      </c>
      <c r="I192" s="403">
        <f>'HH WITH COM #1 '!$AA$310</f>
        <v>0.75</v>
      </c>
      <c r="J192" s="17"/>
      <c r="K192" s="403">
        <f>'HH WITH COM #2'!$AQ$310</f>
        <v>0</v>
      </c>
      <c r="L192" s="403" t="str">
        <f>'HH WITH COM #2'!$AW$310</f>
        <v/>
      </c>
      <c r="M192" s="403">
        <f>'HH WITH COM #2'!$AA$310</f>
        <v>0</v>
      </c>
      <c r="N192" s="17"/>
      <c r="O192" s="403">
        <f>'HH WITH COM #3'!$AQ$310</f>
        <v>0</v>
      </c>
      <c r="P192" s="403" t="str">
        <f>'HH WITH COM #3'!$AW$310</f>
        <v/>
      </c>
      <c r="Q192" s="403">
        <f>'HH WITH COM #3'!$AA$310</f>
        <v>0</v>
      </c>
      <c r="R192" s="17"/>
      <c r="S192" s="403">
        <f>'HH WITH COM #4'!$AQ$310</f>
        <v>0</v>
      </c>
      <c r="T192" s="403" t="str">
        <f>'HH WITH COM #4'!$AW$310</f>
        <v/>
      </c>
      <c r="U192" s="403">
        <f>'HH WITH COM #4'!$AA$310</f>
        <v>0</v>
      </c>
      <c r="V192" s="17"/>
      <c r="W192" s="403">
        <f>'HH WITH COM #5'!$AQ$310</f>
        <v>0</v>
      </c>
      <c r="X192" s="403" t="str">
        <f>'HH WITH COM #5'!$AW$310</f>
        <v/>
      </c>
      <c r="Y192" s="403">
        <f>'HH WITH COM #5'!$AA$310</f>
        <v>0</v>
      </c>
      <c r="Z192" s="17"/>
      <c r="AA192" s="403">
        <f>'HH WITH COM #6'!$AQ$310</f>
        <v>0</v>
      </c>
      <c r="AB192" s="403" t="str">
        <f>'HH WITH COM #6'!$AW$310</f>
        <v/>
      </c>
      <c r="AC192" s="403">
        <f>'HH WITH COM #6'!$AA$310</f>
        <v>0</v>
      </c>
      <c r="AD192" s="17"/>
      <c r="AE192" s="403">
        <f>'HH WITH COM #7'!$AQ$310</f>
        <v>0</v>
      </c>
      <c r="AF192" s="403" t="str">
        <f>'HH WITH COM #7'!$AW$310</f>
        <v/>
      </c>
      <c r="AG192" s="403">
        <f>'HH WITH COM #7'!$AA$310</f>
        <v>0</v>
      </c>
      <c r="AH192" s="359"/>
      <c r="AI192" s="621">
        <f>MIN(BA192:BG192)</f>
        <v>0.75</v>
      </c>
      <c r="AJ192" s="403">
        <f>MIN(BI192:BO192)</f>
        <v>0.75</v>
      </c>
      <c r="AK192" s="403">
        <f>MIN(BA192:BO192)</f>
        <v>0.75</v>
      </c>
      <c r="AL192" s="17"/>
      <c r="AN192" s="976" t="s">
        <v>1469</v>
      </c>
      <c r="AO192" s="213"/>
      <c r="AP192" s="213"/>
      <c r="BA192" s="977">
        <f>IF(G192=0,"",G192)</f>
        <v>0.75</v>
      </c>
      <c r="BB192" s="977" t="str">
        <f>IF(K192=0,"",K192)</f>
        <v/>
      </c>
      <c r="BC192" s="977" t="str">
        <f>IF(O192=0,"",O192)</f>
        <v/>
      </c>
      <c r="BD192" s="977" t="str">
        <f>IF(S192=0,"",S192)</f>
        <v/>
      </c>
      <c r="BE192" s="977" t="str">
        <f>IF(W192=0,"",W192)</f>
        <v/>
      </c>
      <c r="BF192" s="977" t="str">
        <f>IF(AA192=0,"",AA192)</f>
        <v/>
      </c>
      <c r="BG192" s="977" t="str">
        <f>IF(AE192=0,"",AE192)</f>
        <v/>
      </c>
      <c r="BH192" s="978"/>
      <c r="BI192" s="977">
        <f>IF(H192=0,"",H192)</f>
        <v>0.75</v>
      </c>
      <c r="BJ192" s="977" t="str">
        <f>IF(L192=0,"",L192)</f>
        <v/>
      </c>
      <c r="BK192" s="977" t="str">
        <f>IF(P192=0,"",P192)</f>
        <v/>
      </c>
      <c r="BL192" s="977" t="str">
        <f>IF(T192=0,"",T192)</f>
        <v/>
      </c>
      <c r="BM192" s="977" t="str">
        <f>IF(X192=0,"",X192)</f>
        <v/>
      </c>
      <c r="BN192" s="977" t="str">
        <f>IF(AB192=0,"",AB192)</f>
        <v/>
      </c>
      <c r="BO192" s="977" t="str">
        <f>IF(AF192=0,"",AF192)</f>
        <v/>
      </c>
    </row>
    <row r="193" spans="1:67" s="117" customFormat="1" ht="16.5" customHeight="1" x14ac:dyDescent="0.25">
      <c r="A193" s="119"/>
      <c r="B193" s="119"/>
      <c r="C193" s="119"/>
      <c r="D193" s="473" t="s">
        <v>972</v>
      </c>
      <c r="E193" s="475" t="s">
        <v>979</v>
      </c>
      <c r="F193" s="475"/>
      <c r="G193" s="403">
        <f>'HH WITH COM #1 '!$AR$311</f>
        <v>7.5</v>
      </c>
      <c r="H193" s="403">
        <f>'HH WITH COM #1 '!$AX$311</f>
        <v>12.5</v>
      </c>
      <c r="I193" s="403">
        <f>'HH WITH COM #1 '!$AB$311</f>
        <v>12.5</v>
      </c>
      <c r="J193" s="17"/>
      <c r="K193" s="403">
        <f>'HH WITH COM #2'!$AR$311</f>
        <v>0</v>
      </c>
      <c r="L193" s="403" t="str">
        <f>'HH WITH COM #2'!$AX$311</f>
        <v/>
      </c>
      <c r="M193" s="403">
        <f>'HH WITH COM #2'!$AB$311</f>
        <v>0</v>
      </c>
      <c r="N193" s="17"/>
      <c r="O193" s="403">
        <f>'HH WITH COM #3'!$AR$311</f>
        <v>0</v>
      </c>
      <c r="P193" s="403" t="str">
        <f>'HH WITH COM #3'!$AX$311</f>
        <v/>
      </c>
      <c r="Q193" s="403">
        <f>'HH WITH COM #3'!$AB$311</f>
        <v>0</v>
      </c>
      <c r="R193" s="17"/>
      <c r="S193" s="403">
        <f>'HH WITH COM #4'!$AR$311</f>
        <v>0</v>
      </c>
      <c r="T193" s="403" t="str">
        <f>'HH WITH COM #4'!$AX$311</f>
        <v/>
      </c>
      <c r="U193" s="403">
        <f>'HH WITH COM #4'!$AB$311</f>
        <v>0</v>
      </c>
      <c r="V193" s="17"/>
      <c r="W193" s="403">
        <f>'HH WITH COM #5'!$AR$311</f>
        <v>0</v>
      </c>
      <c r="X193" s="403" t="str">
        <f>'HH WITH COM #5'!$AX$311</f>
        <v/>
      </c>
      <c r="Y193" s="403">
        <f>'HH WITH COM #5'!$AB$311</f>
        <v>0</v>
      </c>
      <c r="Z193" s="17"/>
      <c r="AA193" s="403">
        <f>'HH WITH COM #6'!$AR$311</f>
        <v>0</v>
      </c>
      <c r="AB193" s="403" t="str">
        <f>'HH WITH COM #6'!$AX$311</f>
        <v/>
      </c>
      <c r="AC193" s="403">
        <f>'HH WITH COM #6'!$AB$311</f>
        <v>0</v>
      </c>
      <c r="AD193" s="17"/>
      <c r="AE193" s="403">
        <f>'HH WITH COM #7'!$AR$311</f>
        <v>0</v>
      </c>
      <c r="AF193" s="403" t="str">
        <f>'HH WITH COM #7'!$AX$311</f>
        <v/>
      </c>
      <c r="AG193" s="403">
        <f>'HH WITH COM #7'!$AB$311</f>
        <v>0</v>
      </c>
      <c r="AH193" s="359"/>
      <c r="AI193" s="621">
        <f>MAX(G193,K193,O193,S193,W193,AA193,AE193)</f>
        <v>7.5</v>
      </c>
      <c r="AJ193" s="403">
        <f t="shared" ref="AJ193:AK193" si="328">MAX(H193,L193,P193,T193,X193,AB193,AF193)</f>
        <v>12.5</v>
      </c>
      <c r="AK193" s="403">
        <f t="shared" si="328"/>
        <v>12.5</v>
      </c>
      <c r="AL193" s="17"/>
      <c r="AN193" s="976" t="s">
        <v>1469</v>
      </c>
      <c r="AO193" s="213"/>
      <c r="AP193" s="213"/>
      <c r="BA193" s="977">
        <f t="shared" ref="BA193:BA194" si="329">IF(G193=0,"",G193)</f>
        <v>7.5</v>
      </c>
      <c r="BB193" s="977" t="str">
        <f t="shared" ref="BB193:BB194" si="330">IF(K193=0,"",K193)</f>
        <v/>
      </c>
      <c r="BC193" s="977" t="str">
        <f t="shared" ref="BC193:BC194" si="331">IF(O193=0,"",O193)</f>
        <v/>
      </c>
      <c r="BD193" s="977" t="str">
        <f t="shared" ref="BD193:BD194" si="332">IF(S193=0,"",S193)</f>
        <v/>
      </c>
      <c r="BE193" s="977" t="str">
        <f t="shared" ref="BE193:BE194" si="333">IF(W193=0,"",W193)</f>
        <v/>
      </c>
      <c r="BF193" s="977" t="str">
        <f t="shared" ref="BF193:BF194" si="334">IF(AA193=0,"",AA193)</f>
        <v/>
      </c>
      <c r="BG193" s="977" t="str">
        <f t="shared" ref="BG193:BG194" si="335">IF(AE193=0,"",AE193)</f>
        <v/>
      </c>
      <c r="BH193" s="978"/>
      <c r="BI193" s="977">
        <f t="shared" ref="BI193:BI194" si="336">IF(H193=0,"",H193)</f>
        <v>12.5</v>
      </c>
      <c r="BJ193" s="977" t="str">
        <f t="shared" ref="BJ193:BJ194" si="337">IF(L193=0,"",L193)</f>
        <v/>
      </c>
      <c r="BK193" s="977" t="str">
        <f t="shared" ref="BK193:BK194" si="338">IF(P193=0,"",P193)</f>
        <v/>
      </c>
      <c r="BL193" s="977" t="str">
        <f t="shared" ref="BL193:BL194" si="339">IF(T193=0,"",T193)</f>
        <v/>
      </c>
      <c r="BM193" s="977" t="str">
        <f t="shared" ref="BM193:BM194" si="340">IF(X193=0,"",X193)</f>
        <v/>
      </c>
      <c r="BN193" s="977" t="str">
        <f t="shared" ref="BN193:BN194" si="341">IF(AB193=0,"",AB193)</f>
        <v/>
      </c>
      <c r="BO193" s="977" t="str">
        <f t="shared" ref="BO193:BO194" si="342">IF(AF193=0,"",AF193)</f>
        <v/>
      </c>
    </row>
    <row r="194" spans="1:67" s="117" customFormat="1" ht="16.5" customHeight="1" x14ac:dyDescent="0.25">
      <c r="A194" s="953"/>
      <c r="B194" s="119"/>
      <c r="C194" s="119"/>
      <c r="D194" s="473" t="s">
        <v>990</v>
      </c>
      <c r="E194" s="475" t="s">
        <v>959</v>
      </c>
      <c r="F194" s="475"/>
      <c r="G194" s="403">
        <f>'HH WITH COM #1 '!$AS$312</f>
        <v>1.625</v>
      </c>
      <c r="H194" s="403">
        <f>'HH WITH COM #1 '!$AY$312</f>
        <v>4.3717948717948714</v>
      </c>
      <c r="I194" s="403">
        <f>'HH WITH COM #1 '!$AC$312</f>
        <v>2.5405982905982905</v>
      </c>
      <c r="J194" s="17"/>
      <c r="K194" s="403">
        <f>'HH WITH COM #2'!$AS$312</f>
        <v>0</v>
      </c>
      <c r="L194" s="403" t="str">
        <f>'HH WITH COM #2'!$AY$312</f>
        <v/>
      </c>
      <c r="M194" s="403">
        <f>'HH WITH COM #2'!$AC$312</f>
        <v>0</v>
      </c>
      <c r="N194" s="17"/>
      <c r="O194" s="403">
        <f>'HH WITH COM #3'!$AS$312</f>
        <v>0</v>
      </c>
      <c r="P194" s="403" t="str">
        <f>'HH WITH COM #3'!$AY$312</f>
        <v/>
      </c>
      <c r="Q194" s="403">
        <f>'HH WITH COM #3'!$AC$312</f>
        <v>0</v>
      </c>
      <c r="R194" s="17"/>
      <c r="S194" s="403">
        <f>'HH WITH COM #4'!$AS$312</f>
        <v>0</v>
      </c>
      <c r="T194" s="403" t="str">
        <f>'HH WITH COM #4'!$AY$312</f>
        <v/>
      </c>
      <c r="U194" s="403">
        <f>'HH WITH COM #4'!$AC$312</f>
        <v>0</v>
      </c>
      <c r="V194" s="17"/>
      <c r="W194" s="403">
        <f>'HH WITH COM #5'!$AS$312</f>
        <v>0</v>
      </c>
      <c r="X194" s="403" t="str">
        <f>'HH WITH COM #5'!$AY$312</f>
        <v/>
      </c>
      <c r="Y194" s="403">
        <f>'HH WITH COM #5'!$AC$312</f>
        <v>0</v>
      </c>
      <c r="Z194" s="17"/>
      <c r="AA194" s="403">
        <f>'HH WITH COM #6'!$AS$312</f>
        <v>0</v>
      </c>
      <c r="AB194" s="403" t="str">
        <f>'HH WITH COM #6'!$AY$312</f>
        <v/>
      </c>
      <c r="AC194" s="403">
        <f>'HH WITH COM #6'!$AC$312</f>
        <v>0</v>
      </c>
      <c r="AD194" s="17"/>
      <c r="AE194" s="403">
        <f>'HH WITH COM #7'!$AS$312</f>
        <v>0</v>
      </c>
      <c r="AF194" s="403" t="str">
        <f>'HH WITH COM #7'!$AY$312</f>
        <v/>
      </c>
      <c r="AG194" s="403">
        <f>'HH WITH COM #7'!$AC$312</f>
        <v>0</v>
      </c>
      <c r="AH194" s="359"/>
      <c r="AI194" s="621">
        <f>AVERAGE(BA194:BG194)</f>
        <v>1.625</v>
      </c>
      <c r="AJ194" s="403">
        <f>AVERAGE(BI194:BO194)</f>
        <v>4.3717948717948714</v>
      </c>
      <c r="AK194" s="403">
        <f>AVERAGE(BA194:BO194)</f>
        <v>2.9983974358974357</v>
      </c>
      <c r="AL194" s="17"/>
      <c r="AN194" s="976" t="s">
        <v>1469</v>
      </c>
      <c r="AO194" s="213"/>
      <c r="AP194" s="213"/>
      <c r="BA194" s="977">
        <f t="shared" si="329"/>
        <v>1.625</v>
      </c>
      <c r="BB194" s="977" t="str">
        <f t="shared" si="330"/>
        <v/>
      </c>
      <c r="BC194" s="977" t="str">
        <f t="shared" si="331"/>
        <v/>
      </c>
      <c r="BD194" s="977" t="str">
        <f t="shared" si="332"/>
        <v/>
      </c>
      <c r="BE194" s="977" t="str">
        <f t="shared" si="333"/>
        <v/>
      </c>
      <c r="BF194" s="977" t="str">
        <f t="shared" si="334"/>
        <v/>
      </c>
      <c r="BG194" s="977" t="str">
        <f t="shared" si="335"/>
        <v/>
      </c>
      <c r="BH194" s="978"/>
      <c r="BI194" s="977">
        <f t="shared" si="336"/>
        <v>4.3717948717948714</v>
      </c>
      <c r="BJ194" s="977" t="str">
        <f t="shared" si="337"/>
        <v/>
      </c>
      <c r="BK194" s="977" t="str">
        <f t="shared" si="338"/>
        <v/>
      </c>
      <c r="BL194" s="977" t="str">
        <f t="shared" si="339"/>
        <v/>
      </c>
      <c r="BM194" s="977" t="str">
        <f t="shared" si="340"/>
        <v/>
      </c>
      <c r="BN194" s="977" t="str">
        <f t="shared" si="341"/>
        <v/>
      </c>
      <c r="BO194" s="977" t="str">
        <f t="shared" si="342"/>
        <v/>
      </c>
    </row>
    <row r="195" spans="1:67" s="117" customFormat="1" ht="16.5" customHeight="1" x14ac:dyDescent="0.25">
      <c r="A195" s="119"/>
      <c r="B195" s="119"/>
      <c r="C195" s="74" t="s">
        <v>973</v>
      </c>
      <c r="D195" s="931" t="s">
        <v>1470</v>
      </c>
      <c r="E195" s="105"/>
      <c r="F195" s="106"/>
      <c r="G195" s="341"/>
      <c r="H195" s="341"/>
      <c r="I195" s="341"/>
      <c r="J195" s="111"/>
      <c r="K195" s="341"/>
      <c r="L195" s="341"/>
      <c r="M195" s="341"/>
      <c r="N195" s="111"/>
      <c r="O195" s="341"/>
      <c r="P195" s="341"/>
      <c r="Q195" s="341"/>
      <c r="R195" s="111"/>
      <c r="S195" s="341"/>
      <c r="T195" s="341"/>
      <c r="U195" s="341"/>
      <c r="V195" s="111"/>
      <c r="W195" s="341"/>
      <c r="X195" s="341"/>
      <c r="Y195" s="341"/>
      <c r="Z195" s="111"/>
      <c r="AA195" s="341"/>
      <c r="AB195" s="341"/>
      <c r="AC195" s="341"/>
      <c r="AD195" s="111"/>
      <c r="AE195" s="341"/>
      <c r="AF195" s="341"/>
      <c r="AG195" s="341"/>
      <c r="AH195" s="358"/>
      <c r="AI195" s="380"/>
      <c r="AJ195" s="111"/>
      <c r="AK195" s="111"/>
      <c r="AL195" s="111"/>
      <c r="AN195" s="213"/>
      <c r="AO195" s="213"/>
      <c r="AP195" s="213"/>
    </row>
    <row r="196" spans="1:67" s="117" customFormat="1" ht="16.5" customHeight="1" x14ac:dyDescent="0.25">
      <c r="A196" s="953"/>
      <c r="B196" s="119"/>
      <c r="C196" s="787"/>
      <c r="D196" s="467" t="s">
        <v>975</v>
      </c>
      <c r="E196" s="167" t="s">
        <v>1471</v>
      </c>
      <c r="F196" s="979"/>
      <c r="G196" s="403">
        <f>'HH WITH COM #1 '!$AQ$278</f>
        <v>3.5</v>
      </c>
      <c r="H196" s="403">
        <f>'HH WITH COM #1 '!$AW$278</f>
        <v>4.333333333333333</v>
      </c>
      <c r="I196" s="403">
        <f>'HH WITH COM #1 '!$AA$278</f>
        <v>3.5</v>
      </c>
      <c r="J196" s="17"/>
      <c r="K196" s="403">
        <f>'HH WITH COM #2'!$AQ$278</f>
        <v>3.6666666666666665</v>
      </c>
      <c r="L196" s="403">
        <f>'HH WITH COM #2'!$AW$278</f>
        <v>5</v>
      </c>
      <c r="M196" s="403">
        <f>'HH WITH COM #2'!$AA$278</f>
        <v>3.6666666666666665</v>
      </c>
      <c r="N196" s="17"/>
      <c r="O196" s="403">
        <f>'HH WITH COM #3'!$AQ$278</f>
        <v>0</v>
      </c>
      <c r="P196" s="403">
        <f>'HH WITH COM #3'!$AW$278</f>
        <v>4.2222222222222223</v>
      </c>
      <c r="Q196" s="403">
        <f>'HH WITH COM #3'!$AA$278</f>
        <v>4.2222222222222223</v>
      </c>
      <c r="R196" s="17"/>
      <c r="S196" s="403">
        <f>'HH WITH COM #4'!$AQ$278</f>
        <v>6</v>
      </c>
      <c r="T196" s="403">
        <f>'HH WITH COM #4'!$AW$278</f>
        <v>4</v>
      </c>
      <c r="U196" s="403">
        <f>'HH WITH COM #4'!$AA$278</f>
        <v>4</v>
      </c>
      <c r="V196" s="17"/>
      <c r="W196" s="403">
        <f>'HH WITH COM #5'!$AQ$278</f>
        <v>3</v>
      </c>
      <c r="X196" s="403">
        <f>'HH WITH COM #5'!$AW$278</f>
        <v>3.75</v>
      </c>
      <c r="Y196" s="403">
        <f>'HH WITH COM #5'!$AA$278</f>
        <v>3</v>
      </c>
      <c r="Z196" s="17"/>
      <c r="AA196" s="403">
        <f>'HH WITH COM #6'!$AQ$278</f>
        <v>3.6666666666666665</v>
      </c>
      <c r="AB196" s="403">
        <f>'HH WITH COM #6'!$AW$278</f>
        <v>3</v>
      </c>
      <c r="AC196" s="403">
        <f>'HH WITH COM #6'!$AA$278</f>
        <v>3</v>
      </c>
      <c r="AD196" s="17"/>
      <c r="AE196" s="403">
        <f>'HH WITH COM #7'!$AQ$278</f>
        <v>0</v>
      </c>
      <c r="AF196" s="403">
        <f>'HH WITH COM #7'!$AW$278</f>
        <v>0</v>
      </c>
      <c r="AG196" s="403">
        <f>'HH WITH COM #7'!$AA$278</f>
        <v>0</v>
      </c>
      <c r="AH196" s="359"/>
      <c r="AI196" s="621">
        <f>MIN(BA196:BG196)</f>
        <v>3</v>
      </c>
      <c r="AJ196" s="403">
        <f>MIN(BI196:BO196)</f>
        <v>3</v>
      </c>
      <c r="AK196" s="403">
        <f>MIN(BA196:BO196)</f>
        <v>3</v>
      </c>
      <c r="AL196" s="17"/>
      <c r="AN196" s="976" t="s">
        <v>1469</v>
      </c>
      <c r="AO196" s="213"/>
      <c r="AP196" s="213"/>
      <c r="BA196" s="977">
        <f>IF(G196=0,"",G196)</f>
        <v>3.5</v>
      </c>
      <c r="BB196" s="977">
        <f>IF(K196=0,"",K196)</f>
        <v>3.6666666666666665</v>
      </c>
      <c r="BC196" s="977" t="str">
        <f>IF(O196=0,"",O196)</f>
        <v/>
      </c>
      <c r="BD196" s="977">
        <f>IF(S196=0,"",S196)</f>
        <v>6</v>
      </c>
      <c r="BE196" s="977">
        <f>IF(W196=0,"",W196)</f>
        <v>3</v>
      </c>
      <c r="BF196" s="977">
        <f>IF(AA196=0,"",AA196)</f>
        <v>3.6666666666666665</v>
      </c>
      <c r="BG196" s="977" t="str">
        <f>IF(AE196=0,"",AE196)</f>
        <v/>
      </c>
      <c r="BH196" s="978"/>
      <c r="BI196" s="977">
        <f>IF(H196=0,"",H196)</f>
        <v>4.333333333333333</v>
      </c>
      <c r="BJ196" s="977">
        <f>IF(L196=0,"",L196)</f>
        <v>5</v>
      </c>
      <c r="BK196" s="977">
        <f>IF(P196=0,"",P196)</f>
        <v>4.2222222222222223</v>
      </c>
      <c r="BL196" s="977">
        <f>IF(T196=0,"",T196)</f>
        <v>4</v>
      </c>
      <c r="BM196" s="977">
        <f>IF(X196=0,"",X196)</f>
        <v>3.75</v>
      </c>
      <c r="BN196" s="977">
        <f>IF(AB196=0,"",AB196)</f>
        <v>3</v>
      </c>
      <c r="BO196" s="977" t="str">
        <f>IF(AF196=0,"",AF196)</f>
        <v/>
      </c>
    </row>
    <row r="197" spans="1:67" s="117" customFormat="1" ht="16.5" customHeight="1" x14ac:dyDescent="0.25">
      <c r="A197" s="953"/>
      <c r="B197" s="119"/>
      <c r="C197" s="119"/>
      <c r="D197" s="473" t="s">
        <v>976</v>
      </c>
      <c r="E197" s="105" t="s">
        <v>1472</v>
      </c>
      <c r="F197" s="106"/>
      <c r="G197" s="403">
        <f>'HH WITH COM #1 '!$AR$278</f>
        <v>5</v>
      </c>
      <c r="H197" s="403">
        <f>'HH WITH COM #1 '!$AX$278</f>
        <v>5</v>
      </c>
      <c r="I197" s="403">
        <f>'HH WITH COM #1 '!$AB$278</f>
        <v>5</v>
      </c>
      <c r="J197" s="17"/>
      <c r="K197" s="403">
        <f>'HH WITH COM #2'!$AR$278</f>
        <v>5</v>
      </c>
      <c r="L197" s="403">
        <f>'HH WITH COM #2'!$AX$278</f>
        <v>5.2</v>
      </c>
      <c r="M197" s="403">
        <f>'HH WITH COM #2'!$AB$278</f>
        <v>5.2</v>
      </c>
      <c r="N197" s="17"/>
      <c r="O197" s="403">
        <f>'HH WITH COM #3'!$AR$278</f>
        <v>0</v>
      </c>
      <c r="P197" s="403">
        <f>'HH WITH COM #3'!$AX$278</f>
        <v>4.2222222222222223</v>
      </c>
      <c r="Q197" s="403">
        <f>'HH WITH COM #3'!$AB$278</f>
        <v>4.2222222222222223</v>
      </c>
      <c r="R197" s="17"/>
      <c r="S197" s="403">
        <f>'HH WITH COM #4'!$AR$278</f>
        <v>6</v>
      </c>
      <c r="T197" s="403">
        <f>'HH WITH COM #4'!$AX$278</f>
        <v>5.25</v>
      </c>
      <c r="U197" s="403">
        <f>'HH WITH COM #4'!$AB$278</f>
        <v>6</v>
      </c>
      <c r="V197" s="17"/>
      <c r="W197" s="403">
        <f>'HH WITH COM #5'!$AR$278</f>
        <v>7.5</v>
      </c>
      <c r="X197" s="403">
        <f>'HH WITH COM #5'!$AX$278</f>
        <v>7.5</v>
      </c>
      <c r="Y197" s="403">
        <f>'HH WITH COM #5'!$AB$278</f>
        <v>7.5</v>
      </c>
      <c r="Z197" s="17"/>
      <c r="AA197" s="403">
        <f>'HH WITH COM #6'!$AR$278</f>
        <v>3.6666666666666665</v>
      </c>
      <c r="AB197" s="403">
        <f>'HH WITH COM #6'!$AX$278</f>
        <v>6.2857142857142856</v>
      </c>
      <c r="AC197" s="403">
        <f>'HH WITH COM #6'!$AB$278</f>
        <v>6.2857142857142856</v>
      </c>
      <c r="AD197" s="17"/>
      <c r="AE197" s="403">
        <f>'HH WITH COM #7'!$AR$278</f>
        <v>0</v>
      </c>
      <c r="AF197" s="403">
        <f>'HH WITH COM #7'!$AX$278</f>
        <v>0</v>
      </c>
      <c r="AG197" s="403">
        <f>'HH WITH COM #7'!$AB$278</f>
        <v>0</v>
      </c>
      <c r="AH197" s="359"/>
      <c r="AI197" s="621">
        <f>MAX(G197,K197,O197,S197,W197,AA197,AE197)</f>
        <v>7.5</v>
      </c>
      <c r="AJ197" s="403">
        <f t="shared" ref="AJ197:AK197" si="343">MAX(H197,L197,P197,T197,X197,AB197,AF197)</f>
        <v>7.5</v>
      </c>
      <c r="AK197" s="403">
        <f t="shared" si="343"/>
        <v>7.5</v>
      </c>
      <c r="AL197" s="17"/>
      <c r="AN197" s="976" t="s">
        <v>1469</v>
      </c>
      <c r="AO197" s="213"/>
      <c r="AP197" s="213"/>
      <c r="BA197" s="977">
        <f t="shared" ref="BA197:BA198" si="344">IF(G197=0,"",G197)</f>
        <v>5</v>
      </c>
      <c r="BB197" s="977">
        <f t="shared" ref="BB197:BB198" si="345">IF(K197=0,"",K197)</f>
        <v>5</v>
      </c>
      <c r="BC197" s="977" t="str">
        <f t="shared" ref="BC197:BC198" si="346">IF(O197=0,"",O197)</f>
        <v/>
      </c>
      <c r="BD197" s="977">
        <f t="shared" ref="BD197:BD198" si="347">IF(S197=0,"",S197)</f>
        <v>6</v>
      </c>
      <c r="BE197" s="977">
        <f t="shared" ref="BE197:BE198" si="348">IF(W197=0,"",W197)</f>
        <v>7.5</v>
      </c>
      <c r="BF197" s="977">
        <f t="shared" ref="BF197:BF198" si="349">IF(AA197=0,"",AA197)</f>
        <v>3.6666666666666665</v>
      </c>
      <c r="BG197" s="977" t="str">
        <f t="shared" ref="BG197:BG198" si="350">IF(AE197=0,"",AE197)</f>
        <v/>
      </c>
      <c r="BH197" s="978"/>
      <c r="BI197" s="977">
        <f t="shared" ref="BI197:BI198" si="351">IF(H197=0,"",H197)</f>
        <v>5</v>
      </c>
      <c r="BJ197" s="977">
        <f t="shared" ref="BJ197:BJ198" si="352">IF(L197=0,"",L197)</f>
        <v>5.2</v>
      </c>
      <c r="BK197" s="977">
        <f t="shared" ref="BK197:BK198" si="353">IF(P197=0,"",P197)</f>
        <v>4.2222222222222223</v>
      </c>
      <c r="BL197" s="977">
        <f t="shared" ref="BL197:BL198" si="354">IF(T197=0,"",T197)</f>
        <v>5.25</v>
      </c>
      <c r="BM197" s="977">
        <f t="shared" ref="BM197:BM198" si="355">IF(X197=0,"",X197)</f>
        <v>7.5</v>
      </c>
      <c r="BN197" s="977">
        <f t="shared" ref="BN197:BN198" si="356">IF(AB197=0,"",AB197)</f>
        <v>6.2857142857142856</v>
      </c>
      <c r="BO197" s="977" t="str">
        <f t="shared" ref="BO197:BO198" si="357">IF(AF197=0,"",AF197)</f>
        <v/>
      </c>
    </row>
    <row r="198" spans="1:67" s="117" customFormat="1" ht="16.5" customHeight="1" x14ac:dyDescent="0.25">
      <c r="A198" s="953"/>
      <c r="B198" s="119"/>
      <c r="C198" s="119"/>
      <c r="D198" s="473" t="s">
        <v>977</v>
      </c>
      <c r="E198" s="105" t="s">
        <v>1473</v>
      </c>
      <c r="F198" s="106"/>
      <c r="G198" s="403">
        <f>'HH WITH COM #1 '!$AS$278</f>
        <v>4.25</v>
      </c>
      <c r="H198" s="403">
        <f>'HH WITH COM #1 '!$AY$278</f>
        <v>4.6666666666666661</v>
      </c>
      <c r="I198" s="403">
        <f>'HH WITH COM #1 '!$AC$278</f>
        <v>4.458333333333333</v>
      </c>
      <c r="J198" s="17"/>
      <c r="K198" s="403">
        <f>'HH WITH COM #2'!$AS$278</f>
        <v>4.333333333333333</v>
      </c>
      <c r="L198" s="403">
        <f>'HH WITH COM #2'!$AY$278</f>
        <v>5.0999999999999996</v>
      </c>
      <c r="M198" s="403">
        <f>'HH WITH COM #2'!$AC$278</f>
        <v>4.7166666666666668</v>
      </c>
      <c r="N198" s="17"/>
      <c r="O198" s="403">
        <f>'HH WITH COM #3'!$AS$278</f>
        <v>0</v>
      </c>
      <c r="P198" s="403">
        <f>'HH WITH COM #3'!$AY$278</f>
        <v>4.2222222222222223</v>
      </c>
      <c r="Q198" s="403">
        <f>'HH WITH COM #3'!$AC$278</f>
        <v>4.2222222222222223</v>
      </c>
      <c r="R198" s="17"/>
      <c r="S198" s="403">
        <f>'HH WITH COM #4'!$AS$278</f>
        <v>6</v>
      </c>
      <c r="T198" s="403">
        <f>'HH WITH COM #4'!$AY$278</f>
        <v>4.625</v>
      </c>
      <c r="U198" s="403">
        <f>'HH WITH COM #4'!$AC$278</f>
        <v>5.083333333333333</v>
      </c>
      <c r="V198" s="17"/>
      <c r="W198" s="403">
        <f>'HH WITH COM #5'!$AS$278</f>
        <v>5.25</v>
      </c>
      <c r="X198" s="403">
        <f>'HH WITH COM #5'!$AY$278</f>
        <v>5.5</v>
      </c>
      <c r="Y198" s="403">
        <f>'HH WITH COM #5'!$AC$278</f>
        <v>5.4</v>
      </c>
      <c r="Z198" s="17"/>
      <c r="AA198" s="403">
        <f>'HH WITH COM #6'!$AS$278</f>
        <v>3.6666666666666665</v>
      </c>
      <c r="AB198" s="403">
        <f>'HH WITH COM #6'!$AY$278</f>
        <v>4.6428571428571423</v>
      </c>
      <c r="AC198" s="403">
        <f>'HH WITH COM #6'!$AC$278</f>
        <v>4.3174603174603172</v>
      </c>
      <c r="AD198" s="17"/>
      <c r="AE198" s="403">
        <f>'HH WITH COM #7'!$AS$278</f>
        <v>0</v>
      </c>
      <c r="AF198" s="403">
        <f>'HH WITH COM #7'!$AY$278</f>
        <v>0</v>
      </c>
      <c r="AG198" s="403">
        <f>'HH WITH COM #7'!$AC$278</f>
        <v>0</v>
      </c>
      <c r="AH198" s="359"/>
      <c r="AI198" s="621">
        <f>AVERAGE(BA198:BG198)</f>
        <v>4.7</v>
      </c>
      <c r="AJ198" s="403">
        <f>AVERAGE(BI198:BO198)</f>
        <v>4.7927910052910052</v>
      </c>
      <c r="AK198" s="403">
        <f>AVERAGE(BA198:BO198)</f>
        <v>4.7506132756132757</v>
      </c>
      <c r="AL198" s="17"/>
      <c r="AN198" s="976" t="s">
        <v>1469</v>
      </c>
      <c r="AO198" s="213"/>
      <c r="AP198" s="213"/>
      <c r="BA198" s="977">
        <f t="shared" si="344"/>
        <v>4.25</v>
      </c>
      <c r="BB198" s="977">
        <f t="shared" si="345"/>
        <v>4.333333333333333</v>
      </c>
      <c r="BC198" s="977" t="str">
        <f t="shared" si="346"/>
        <v/>
      </c>
      <c r="BD198" s="977">
        <f t="shared" si="347"/>
        <v>6</v>
      </c>
      <c r="BE198" s="977">
        <f t="shared" si="348"/>
        <v>5.25</v>
      </c>
      <c r="BF198" s="977">
        <f t="shared" si="349"/>
        <v>3.6666666666666665</v>
      </c>
      <c r="BG198" s="977" t="str">
        <f t="shared" si="350"/>
        <v/>
      </c>
      <c r="BH198" s="978"/>
      <c r="BI198" s="977">
        <f t="shared" si="351"/>
        <v>4.6666666666666661</v>
      </c>
      <c r="BJ198" s="977">
        <f t="shared" si="352"/>
        <v>5.0999999999999996</v>
      </c>
      <c r="BK198" s="977">
        <f t="shared" si="353"/>
        <v>4.2222222222222223</v>
      </c>
      <c r="BL198" s="977">
        <f t="shared" si="354"/>
        <v>4.625</v>
      </c>
      <c r="BM198" s="977">
        <f t="shared" si="355"/>
        <v>5.5</v>
      </c>
      <c r="BN198" s="977">
        <f t="shared" si="356"/>
        <v>4.6428571428571423</v>
      </c>
      <c r="BO198" s="977" t="str">
        <f t="shared" si="357"/>
        <v/>
      </c>
    </row>
    <row r="199" spans="1:67" s="117" customFormat="1" ht="16.5" customHeight="1" x14ac:dyDescent="0.25">
      <c r="A199" s="119"/>
      <c r="B199" s="119"/>
      <c r="C199" s="74" t="s">
        <v>1474</v>
      </c>
      <c r="D199" s="931" t="s">
        <v>966</v>
      </c>
      <c r="E199" s="105"/>
      <c r="F199" s="106"/>
      <c r="G199" s="341"/>
      <c r="H199" s="341"/>
      <c r="I199" s="341"/>
      <c r="J199" s="111"/>
      <c r="K199" s="341"/>
      <c r="L199" s="341"/>
      <c r="M199" s="341"/>
      <c r="N199" s="111"/>
      <c r="O199" s="341"/>
      <c r="P199" s="341"/>
      <c r="Q199" s="341"/>
      <c r="R199" s="111"/>
      <c r="S199" s="341"/>
      <c r="T199" s="341"/>
      <c r="U199" s="341"/>
      <c r="V199" s="111"/>
      <c r="W199" s="341"/>
      <c r="X199" s="341"/>
      <c r="Y199" s="341"/>
      <c r="Z199" s="111"/>
      <c r="AA199" s="341"/>
      <c r="AB199" s="341"/>
      <c r="AC199" s="341"/>
      <c r="AD199" s="111"/>
      <c r="AE199" s="341"/>
      <c r="AF199" s="341"/>
      <c r="AG199" s="341"/>
      <c r="AH199" s="358"/>
      <c r="AI199" s="380"/>
      <c r="AJ199" s="111"/>
      <c r="AK199" s="111"/>
      <c r="AL199" s="111"/>
      <c r="AN199" s="213"/>
      <c r="AO199" s="213"/>
      <c r="AP199" s="213"/>
    </row>
    <row r="200" spans="1:67" s="757" customFormat="1" ht="16.5" customHeight="1" x14ac:dyDescent="0.25">
      <c r="A200" s="787"/>
      <c r="B200" s="787"/>
      <c r="C200" s="787"/>
      <c r="D200" s="467" t="s">
        <v>1475</v>
      </c>
      <c r="E200" s="167" t="s">
        <v>968</v>
      </c>
      <c r="F200" s="979"/>
      <c r="G200" s="980">
        <f>'HH WITH COM #1 '!$AQ$288</f>
        <v>1.1458333333333308</v>
      </c>
      <c r="H200" s="980">
        <f>'HH WITH COM #1 '!$AW$288</f>
        <v>1.3749999999999971</v>
      </c>
      <c r="I200" s="980">
        <f>'HH WITH COM #1 '!$AA$288</f>
        <v>1.1458333333333308</v>
      </c>
      <c r="J200" s="198"/>
      <c r="K200" s="980">
        <f>'HH WITH COM #2'!$AQ$288</f>
        <v>1.2113095238095211</v>
      </c>
      <c r="L200" s="980">
        <f>'HH WITH COM #2'!$AW$288</f>
        <v>1.6892857142857107</v>
      </c>
      <c r="M200" s="980">
        <f>'HH WITH COM #2'!$AA$288</f>
        <v>1.2113095238095211</v>
      </c>
      <c r="N200" s="198"/>
      <c r="O200" s="980">
        <f>'HH WITH COM #3'!$AQ$288</f>
        <v>0</v>
      </c>
      <c r="P200" s="980">
        <f>'HH WITH COM #3'!$AW$288</f>
        <v>1.2876984126984099</v>
      </c>
      <c r="Q200" s="980">
        <f>'HH WITH COM #3'!$AA$288</f>
        <v>1.2876984126984099</v>
      </c>
      <c r="R200" s="198"/>
      <c r="S200" s="980">
        <f>'HH WITH COM #4'!$AQ$288</f>
        <v>1.96428571428571</v>
      </c>
      <c r="T200" s="980">
        <f>'HH WITH COM #4'!$AW$288</f>
        <v>1.2908163265306096</v>
      </c>
      <c r="U200" s="980">
        <f>'HH WITH COM #4'!$AA$288</f>
        <v>1.2908163265306096</v>
      </c>
      <c r="V200" s="198"/>
      <c r="W200" s="980">
        <f>'HH WITH COM #5'!$AQ$288</f>
        <v>1.0803571428571406</v>
      </c>
      <c r="X200" s="980">
        <f>'HH WITH COM #5'!$AW$288</f>
        <v>1.1785714285714262</v>
      </c>
      <c r="Y200" s="980">
        <f>'HH WITH COM #5'!$AA$288</f>
        <v>1.0803571428571406</v>
      </c>
      <c r="Z200" s="198"/>
      <c r="AA200" s="980">
        <f>'HH WITH COM #6'!$AQ$288</f>
        <v>1.1785714285714259</v>
      </c>
      <c r="AB200" s="980">
        <f>'HH WITH COM #6'!$AW$288</f>
        <v>1.0066964285714264</v>
      </c>
      <c r="AC200" s="980">
        <f>'HH WITH COM #6'!$AA$288</f>
        <v>1.0066964285714264</v>
      </c>
      <c r="AD200" s="198"/>
      <c r="AE200" s="980">
        <f>'HH WITH COM #7'!$AQ$288</f>
        <v>0</v>
      </c>
      <c r="AF200" s="980">
        <f>'HH WITH COM #7'!$AW$288</f>
        <v>0</v>
      </c>
      <c r="AG200" s="980">
        <f>'HH WITH COM #7'!$AA$288</f>
        <v>0</v>
      </c>
      <c r="AH200" s="715"/>
      <c r="AI200" s="621">
        <f>MIN(BA200:BG200)</f>
        <v>1.0803571428571406</v>
      </c>
      <c r="AJ200" s="403">
        <f>MIN(BI200:BO200)</f>
        <v>1.0066964285714264</v>
      </c>
      <c r="AK200" s="403">
        <f>MIN(BA200:BO200)</f>
        <v>1.0066964285714264</v>
      </c>
      <c r="AL200" s="198"/>
      <c r="AN200" s="976" t="s">
        <v>1469</v>
      </c>
      <c r="AO200" s="981"/>
      <c r="AP200" s="981"/>
      <c r="BA200" s="977">
        <f>IF(G200=0,"",G200)</f>
        <v>1.1458333333333308</v>
      </c>
      <c r="BB200" s="977">
        <f>IF(K200=0,"",K200)</f>
        <v>1.2113095238095211</v>
      </c>
      <c r="BC200" s="977" t="str">
        <f>IF(O200=0,"",O200)</f>
        <v/>
      </c>
      <c r="BD200" s="977">
        <f>IF(S200=0,"",S200)</f>
        <v>1.96428571428571</v>
      </c>
      <c r="BE200" s="977">
        <f>IF(W200=0,"",W200)</f>
        <v>1.0803571428571406</v>
      </c>
      <c r="BF200" s="977">
        <f>IF(AA200=0,"",AA200)</f>
        <v>1.1785714285714259</v>
      </c>
      <c r="BG200" s="977" t="str">
        <f>IF(AE200=0,"",AE200)</f>
        <v/>
      </c>
      <c r="BH200" s="978"/>
      <c r="BI200" s="977">
        <f>IF(H200=0,"",H200)</f>
        <v>1.3749999999999971</v>
      </c>
      <c r="BJ200" s="977">
        <f>IF(L200=0,"",L200)</f>
        <v>1.6892857142857107</v>
      </c>
      <c r="BK200" s="977">
        <f>IF(P200=0,"",P200)</f>
        <v>1.2876984126984099</v>
      </c>
      <c r="BL200" s="977">
        <f>IF(T200=0,"",T200)</f>
        <v>1.2908163265306096</v>
      </c>
      <c r="BM200" s="977">
        <f>IF(X200=0,"",X200)</f>
        <v>1.1785714285714262</v>
      </c>
      <c r="BN200" s="977">
        <f>IF(AB200=0,"",AB200)</f>
        <v>1.0066964285714264</v>
      </c>
      <c r="BO200" s="977" t="str">
        <f>IF(AF200=0,"",AF200)</f>
        <v/>
      </c>
    </row>
    <row r="201" spans="1:67" s="117" customFormat="1" ht="16.5" customHeight="1" x14ac:dyDescent="0.25">
      <c r="A201" s="119"/>
      <c r="B201" s="119"/>
      <c r="C201" s="119"/>
      <c r="D201" s="467" t="s">
        <v>1476</v>
      </c>
      <c r="E201" s="105" t="s">
        <v>969</v>
      </c>
      <c r="F201" s="106"/>
      <c r="G201" s="403">
        <f>'HH WITH COM #1 '!$AR$288</f>
        <v>1.5714285714285681</v>
      </c>
      <c r="H201" s="403">
        <f>'HH WITH COM #1 '!$AX$288</f>
        <v>1.5714285714285681</v>
      </c>
      <c r="I201" s="403">
        <f>'HH WITH COM #1 '!$AB$288</f>
        <v>1.5714285714285681</v>
      </c>
      <c r="J201" s="17"/>
      <c r="K201" s="403">
        <f>'HH WITH COM #2'!$AR$288</f>
        <v>1.767857142857139</v>
      </c>
      <c r="L201" s="403">
        <f>'HH WITH COM #2'!$AX$288</f>
        <v>1.7482142857142819</v>
      </c>
      <c r="M201" s="403">
        <f>'HH WITH COM #2'!$AB$288</f>
        <v>1.767857142857139</v>
      </c>
      <c r="N201" s="17"/>
      <c r="O201" s="403">
        <f>'HH WITH COM #3'!$AR$288</f>
        <v>0</v>
      </c>
      <c r="P201" s="403">
        <f>'HH WITH COM #3'!$AX$288</f>
        <v>1.2876984126984099</v>
      </c>
      <c r="Q201" s="403">
        <f>'HH WITH COM #3'!$AB$288</f>
        <v>1.2876984126984099</v>
      </c>
      <c r="R201" s="17"/>
      <c r="S201" s="403">
        <f>'HH WITH COM #4'!$AR$288</f>
        <v>1.96428571428571</v>
      </c>
      <c r="T201" s="403">
        <f>'HH WITH COM #4'!$AX$288</f>
        <v>1.7801339285714248</v>
      </c>
      <c r="U201" s="403">
        <f>'HH WITH COM #4'!$AB$288</f>
        <v>1.96428571428571</v>
      </c>
      <c r="V201" s="17"/>
      <c r="W201" s="403">
        <f>'HH WITH COM #5'!$AR$288</f>
        <v>2.5535714285714231</v>
      </c>
      <c r="X201" s="403">
        <f>'HH WITH COM #5'!$AX$288</f>
        <v>2.5535714285714231</v>
      </c>
      <c r="Y201" s="403">
        <f>'HH WITH COM #5'!$AB$288</f>
        <v>2.5535714285714231</v>
      </c>
      <c r="Z201" s="17"/>
      <c r="AA201" s="403">
        <f>'HH WITH COM #6'!$AR$288</f>
        <v>1.1785714285714259</v>
      </c>
      <c r="AB201" s="403">
        <f>'HH WITH COM #6'!$AX$288</f>
        <v>2.3731778425655925</v>
      </c>
      <c r="AC201" s="403">
        <f>'HH WITH COM #6'!$AB$288</f>
        <v>2.3731778425655925</v>
      </c>
      <c r="AD201" s="17"/>
      <c r="AE201" s="403">
        <f>'HH WITH COM #7'!$AR$288</f>
        <v>0</v>
      </c>
      <c r="AF201" s="403">
        <f>'HH WITH COM #7'!$AX$288</f>
        <v>0</v>
      </c>
      <c r="AG201" s="403">
        <f>'HH WITH COM #7'!$AB$288</f>
        <v>0</v>
      </c>
      <c r="AH201" s="359"/>
      <c r="AI201" s="621">
        <f>MAX(G201,K201,O201,S201,W201,AA201,AE201)</f>
        <v>2.5535714285714231</v>
      </c>
      <c r="AJ201" s="403">
        <f t="shared" ref="AJ201:AK201" si="358">MAX(H201,L201,P201,T201,X201,AB201,AF201)</f>
        <v>2.5535714285714231</v>
      </c>
      <c r="AK201" s="403">
        <f t="shared" si="358"/>
        <v>2.5535714285714231</v>
      </c>
      <c r="AL201" s="17"/>
      <c r="AN201" s="976" t="s">
        <v>1469</v>
      </c>
      <c r="AO201" s="213"/>
      <c r="AP201" s="213"/>
      <c r="BA201" s="977">
        <f t="shared" ref="BA201:BA202" si="359">IF(G201=0,"",G201)</f>
        <v>1.5714285714285681</v>
      </c>
      <c r="BB201" s="977">
        <f t="shared" ref="BB201:BB202" si="360">IF(K201=0,"",K201)</f>
        <v>1.767857142857139</v>
      </c>
      <c r="BC201" s="977" t="str">
        <f t="shared" ref="BC201:BC202" si="361">IF(O201=0,"",O201)</f>
        <v/>
      </c>
      <c r="BD201" s="977">
        <f t="shared" ref="BD201:BD202" si="362">IF(S201=0,"",S201)</f>
        <v>1.96428571428571</v>
      </c>
      <c r="BE201" s="977">
        <f t="shared" ref="BE201:BE202" si="363">IF(W201=0,"",W201)</f>
        <v>2.5535714285714231</v>
      </c>
      <c r="BF201" s="977">
        <f t="shared" ref="BF201:BF202" si="364">IF(AA201=0,"",AA201)</f>
        <v>1.1785714285714259</v>
      </c>
      <c r="BG201" s="977" t="str">
        <f t="shared" ref="BG201:BG202" si="365">IF(AE201=0,"",AE201)</f>
        <v/>
      </c>
      <c r="BH201" s="978"/>
      <c r="BI201" s="977">
        <f t="shared" ref="BI201:BI202" si="366">IF(H201=0,"",H201)</f>
        <v>1.5714285714285681</v>
      </c>
      <c r="BJ201" s="977">
        <f t="shared" ref="BJ201:BJ202" si="367">IF(L201=0,"",L201)</f>
        <v>1.7482142857142819</v>
      </c>
      <c r="BK201" s="977">
        <f t="shared" ref="BK201:BK202" si="368">IF(P201=0,"",P201)</f>
        <v>1.2876984126984099</v>
      </c>
      <c r="BL201" s="977">
        <f t="shared" ref="BL201:BL202" si="369">IF(T201=0,"",T201)</f>
        <v>1.7801339285714248</v>
      </c>
      <c r="BM201" s="977">
        <f t="shared" ref="BM201:BM202" si="370">IF(X201=0,"",X201)</f>
        <v>2.5535714285714231</v>
      </c>
      <c r="BN201" s="977">
        <f t="shared" ref="BN201:BN202" si="371">IF(AB201=0,"",AB201)</f>
        <v>2.3731778425655925</v>
      </c>
      <c r="BO201" s="977" t="str">
        <f t="shared" ref="BO201:BO202" si="372">IF(AF201=0,"",AF201)</f>
        <v/>
      </c>
    </row>
    <row r="202" spans="1:67" s="117" customFormat="1" ht="16.5" customHeight="1" x14ac:dyDescent="0.25">
      <c r="A202" s="119"/>
      <c r="B202" s="119"/>
      <c r="C202" s="119"/>
      <c r="D202" s="467" t="s">
        <v>1477</v>
      </c>
      <c r="E202" s="105" t="s">
        <v>970</v>
      </c>
      <c r="F202" s="106"/>
      <c r="G202" s="403">
        <f>'HH WITH COM #1 '!$AS$288</f>
        <v>1.3586309523809494</v>
      </c>
      <c r="H202" s="403">
        <f>'HH WITH COM #1 '!$AY$288</f>
        <v>1.4732142857142825</v>
      </c>
      <c r="I202" s="403">
        <f>'HH WITH COM #1 '!$AC$288</f>
        <v>1.415922619047616</v>
      </c>
      <c r="J202" s="17"/>
      <c r="K202" s="403">
        <f>'HH WITH COM #2'!$AS$288</f>
        <v>1.4895833333333299</v>
      </c>
      <c r="L202" s="403">
        <f>'HH WITH COM #2'!$AY$288</f>
        <v>1.7187499999999964</v>
      </c>
      <c r="M202" s="403">
        <f>'HH WITH COM #2'!$AC$288</f>
        <v>1.604166666666663</v>
      </c>
      <c r="N202" s="17"/>
      <c r="O202" s="403">
        <f>'HH WITH COM #3'!$AS$288</f>
        <v>0</v>
      </c>
      <c r="P202" s="403">
        <f>'HH WITH COM #3'!$AY$288</f>
        <v>1.2876984126984099</v>
      </c>
      <c r="Q202" s="403">
        <f>'HH WITH COM #3'!$AC$288</f>
        <v>1.2876984126984099</v>
      </c>
      <c r="R202" s="17"/>
      <c r="S202" s="403">
        <f>'HH WITH COM #4'!$AS$288</f>
        <v>1.96428571428571</v>
      </c>
      <c r="T202" s="403">
        <f>'HH WITH COM #4'!$AY$288</f>
        <v>1.5354751275510172</v>
      </c>
      <c r="U202" s="403">
        <f>'HH WITH COM #4'!$AC$288</f>
        <v>1.6784119897959149</v>
      </c>
      <c r="V202" s="17"/>
      <c r="W202" s="403">
        <f>'HH WITH COM #5'!$AS$288</f>
        <v>1.8169642857142818</v>
      </c>
      <c r="X202" s="403">
        <f>'HH WITH COM #5'!$AY$288</f>
        <v>1.9397321428571388</v>
      </c>
      <c r="Y202" s="403">
        <f>'HH WITH COM #5'!$AC$288</f>
        <v>1.890624999999996</v>
      </c>
      <c r="Z202" s="17"/>
      <c r="AA202" s="403">
        <f>'HH WITH COM #6'!$AS$288</f>
        <v>1.1785714285714259</v>
      </c>
      <c r="AB202" s="403">
        <f>'HH WITH COM #6'!$AY$288</f>
        <v>1.6899371355685093</v>
      </c>
      <c r="AC202" s="403">
        <f>'HH WITH COM #6'!$AC$288</f>
        <v>1.519481899902815</v>
      </c>
      <c r="AD202" s="17"/>
      <c r="AE202" s="403">
        <f>'HH WITH COM #7'!$AS$288</f>
        <v>0</v>
      </c>
      <c r="AF202" s="403">
        <f>'HH WITH COM #7'!$AY$288</f>
        <v>0</v>
      </c>
      <c r="AG202" s="403">
        <f>'HH WITH COM #7'!$AC$288</f>
        <v>0</v>
      </c>
      <c r="AH202" s="359"/>
      <c r="AI202" s="621">
        <f>AVERAGE(BA202:BG202)</f>
        <v>1.5616071428571394</v>
      </c>
      <c r="AJ202" s="403">
        <f>AVERAGE(BI202:BO202)</f>
        <v>1.607467850731559</v>
      </c>
      <c r="AK202" s="403">
        <f>AVERAGE(BA202:BO202)</f>
        <v>1.5866220744250048</v>
      </c>
      <c r="AL202" s="17"/>
      <c r="AN202" s="976" t="s">
        <v>1469</v>
      </c>
      <c r="AO202" s="213"/>
      <c r="AP202" s="213"/>
      <c r="BA202" s="977">
        <f t="shared" si="359"/>
        <v>1.3586309523809494</v>
      </c>
      <c r="BB202" s="977">
        <f t="shared" si="360"/>
        <v>1.4895833333333299</v>
      </c>
      <c r="BC202" s="977" t="str">
        <f t="shared" si="361"/>
        <v/>
      </c>
      <c r="BD202" s="977">
        <f t="shared" si="362"/>
        <v>1.96428571428571</v>
      </c>
      <c r="BE202" s="977">
        <f t="shared" si="363"/>
        <v>1.8169642857142818</v>
      </c>
      <c r="BF202" s="977">
        <f t="shared" si="364"/>
        <v>1.1785714285714259</v>
      </c>
      <c r="BG202" s="977" t="str">
        <f t="shared" si="365"/>
        <v/>
      </c>
      <c r="BH202" s="978"/>
      <c r="BI202" s="977">
        <f t="shared" si="366"/>
        <v>1.4732142857142825</v>
      </c>
      <c r="BJ202" s="977">
        <f t="shared" si="367"/>
        <v>1.7187499999999964</v>
      </c>
      <c r="BK202" s="977">
        <f t="shared" si="368"/>
        <v>1.2876984126984099</v>
      </c>
      <c r="BL202" s="977">
        <f t="shared" si="369"/>
        <v>1.5354751275510172</v>
      </c>
      <c r="BM202" s="977">
        <f t="shared" si="370"/>
        <v>1.9397321428571388</v>
      </c>
      <c r="BN202" s="977">
        <f t="shared" si="371"/>
        <v>1.6899371355685093</v>
      </c>
      <c r="BO202" s="977" t="str">
        <f t="shared" si="372"/>
        <v/>
      </c>
    </row>
    <row r="203" spans="1:67" s="97" customFormat="1" ht="16.5" customHeight="1" x14ac:dyDescent="0.25">
      <c r="A203" s="68"/>
      <c r="B203" s="68"/>
      <c r="C203" s="68"/>
      <c r="D203" s="166"/>
      <c r="E203" s="458"/>
      <c r="F203" s="458"/>
      <c r="G203" s="466"/>
      <c r="H203" s="466"/>
      <c r="I203" s="466"/>
      <c r="J203" s="466"/>
      <c r="K203" s="466"/>
      <c r="L203" s="466"/>
      <c r="M203" s="466"/>
      <c r="N203" s="466"/>
      <c r="O203" s="466"/>
      <c r="P203" s="466"/>
      <c r="Q203" s="466"/>
      <c r="R203" s="466"/>
      <c r="S203" s="466"/>
      <c r="T203" s="466"/>
      <c r="U203" s="466"/>
      <c r="V203" s="466"/>
      <c r="W203" s="466"/>
      <c r="X203" s="466"/>
      <c r="Y203" s="466"/>
      <c r="Z203" s="466"/>
      <c r="AA203" s="466"/>
      <c r="AB203" s="466"/>
      <c r="AC203" s="466"/>
      <c r="AD203" s="466"/>
      <c r="AE203" s="466"/>
      <c r="AF203" s="466"/>
      <c r="AG203" s="466"/>
      <c r="AH203" s="466"/>
      <c r="AI203" s="466"/>
      <c r="AJ203" s="466"/>
      <c r="AK203" s="466"/>
      <c r="AL203" s="466"/>
    </row>
    <row r="204" spans="1:67" s="456" customFormat="1" ht="16.5" customHeight="1" thickBot="1" x14ac:dyDescent="0.3">
      <c r="A204" s="24" t="s">
        <v>150</v>
      </c>
      <c r="B204" s="453" t="s">
        <v>151</v>
      </c>
      <c r="C204" s="26"/>
      <c r="D204" s="454"/>
      <c r="E204" s="454"/>
      <c r="F204" s="455"/>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606"/>
      <c r="AI204" s="630"/>
      <c r="AJ204" s="24"/>
      <c r="AK204" s="24"/>
      <c r="AL204" s="24"/>
    </row>
    <row r="205" spans="1:67" s="117" customFormat="1" ht="16.5" customHeight="1" x14ac:dyDescent="0.25">
      <c r="A205" s="119"/>
      <c r="B205" s="41" t="s">
        <v>152</v>
      </c>
      <c r="C205" s="476" t="s">
        <v>982</v>
      </c>
      <c r="D205" s="477"/>
      <c r="E205" s="478"/>
      <c r="F205" s="478"/>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355"/>
      <c r="AI205" s="631"/>
      <c r="AJ205" s="272"/>
      <c r="AK205" s="272"/>
      <c r="AL205" s="272"/>
    </row>
    <row r="206" spans="1:67" s="4" customFormat="1" ht="16.5" customHeight="1" x14ac:dyDescent="0.25">
      <c r="A206" s="40"/>
      <c r="B206" s="40"/>
      <c r="C206" s="473" t="s">
        <v>867</v>
      </c>
      <c r="D206" s="484" t="s">
        <v>173</v>
      </c>
      <c r="E206" s="105"/>
      <c r="F206" s="106"/>
      <c r="G206" s="17">
        <f>'HH WITH COM #1 '!$AT$316</f>
        <v>1</v>
      </c>
      <c r="H206" s="17">
        <f>'HH WITH COM #1 '!$AZ$316</f>
        <v>6</v>
      </c>
      <c r="I206" s="116">
        <f>SUM(G206:H206)</f>
        <v>7</v>
      </c>
      <c r="J206" s="91">
        <f>IF(I$213=0,0,I206/I$213)</f>
        <v>2.6717557251908396E-2</v>
      </c>
      <c r="K206" s="17">
        <f>'HH WITH COM #2'!$AT$316</f>
        <v>0</v>
      </c>
      <c r="L206" s="17">
        <f>'HH WITH COM #2'!$AZ$316</f>
        <v>0</v>
      </c>
      <c r="M206" s="539">
        <f>SUM(K206:L206)</f>
        <v>0</v>
      </c>
      <c r="N206" s="91">
        <f>IF(M$213=0,0,M206/M$213)</f>
        <v>0</v>
      </c>
      <c r="O206" s="17">
        <f>'HH WITH COM #3'!$AT$316</f>
        <v>0</v>
      </c>
      <c r="P206" s="17">
        <f>'HH WITH COM #3'!$AZ$316</f>
        <v>0</v>
      </c>
      <c r="Q206" s="539">
        <f>SUM(O206:P206)</f>
        <v>0</v>
      </c>
      <c r="R206" s="91">
        <f>IF(Q$213=0,0,Q206/Q$213)</f>
        <v>0</v>
      </c>
      <c r="S206" s="17">
        <f>'HH WITH COM #4'!$AT$316</f>
        <v>0</v>
      </c>
      <c r="T206" s="17">
        <f>'HH WITH COM #4'!$AZ$316</f>
        <v>0</v>
      </c>
      <c r="U206" s="539">
        <f>SUM(S206:T206)</f>
        <v>0</v>
      </c>
      <c r="V206" s="91">
        <f>IF(U$213=0,0,U206/U$213)</f>
        <v>0</v>
      </c>
      <c r="W206" s="17">
        <f>'HH WITH COM #5'!$AT$316</f>
        <v>0</v>
      </c>
      <c r="X206" s="17">
        <f>'HH WITH COM #5'!$AZ$316</f>
        <v>0</v>
      </c>
      <c r="Y206" s="539">
        <f>SUM(W206:X206)</f>
        <v>0</v>
      </c>
      <c r="Z206" s="91">
        <f>IF(Y$213=0,0,Y206/Y$213)</f>
        <v>0</v>
      </c>
      <c r="AA206" s="17">
        <f>'HH WITH COM #6'!$AT$316</f>
        <v>0</v>
      </c>
      <c r="AB206" s="17">
        <f>'HH WITH COM #6'!$AZ$316</f>
        <v>0</v>
      </c>
      <c r="AC206" s="539">
        <f>SUM(AA206:AB206)</f>
        <v>0</v>
      </c>
      <c r="AD206" s="91">
        <f>IF(AC$213=0,0,AC206/AC$213)</f>
        <v>0</v>
      </c>
      <c r="AE206" s="17">
        <f>'HH WITH COM #7'!$AT$316</f>
        <v>0</v>
      </c>
      <c r="AF206" s="17">
        <f>'HH WITH COM #7'!$AZ$316</f>
        <v>0</v>
      </c>
      <c r="AG206" s="539">
        <f>SUM(AE206:AF206)</f>
        <v>0</v>
      </c>
      <c r="AH206" s="373">
        <f>IF(AG$213=0,0,AG206/AG$213)</f>
        <v>0</v>
      </c>
      <c r="AI206" s="391">
        <f t="shared" ref="AI206:AJ207" si="373">G206+K206+O206+S206+W206+AA206+AE206</f>
        <v>1</v>
      </c>
      <c r="AJ206" s="17">
        <f t="shared" si="373"/>
        <v>6</v>
      </c>
      <c r="AK206" s="539">
        <f t="shared" ref="AK206:AK212" si="374">SUM(AI206:AJ206)</f>
        <v>7</v>
      </c>
      <c r="AL206" s="91">
        <f>IF(AK$213=0,0,AK206/AK$213)</f>
        <v>2.6717557251908396E-2</v>
      </c>
    </row>
    <row r="207" spans="1:67" s="4" customFormat="1" ht="16.5" customHeight="1" x14ac:dyDescent="0.25">
      <c r="A207" s="40"/>
      <c r="B207" s="40"/>
      <c r="C207" s="473" t="s">
        <v>153</v>
      </c>
      <c r="D207" s="484" t="s">
        <v>544</v>
      </c>
      <c r="E207" s="105"/>
      <c r="F207" s="106"/>
      <c r="G207" s="17">
        <f>'HH WITH COM #1 '!$AT$317</f>
        <v>27</v>
      </c>
      <c r="H207" s="17">
        <f>'HH WITH COM #1 '!$AZ$317</f>
        <v>223</v>
      </c>
      <c r="I207" s="539">
        <f>SUM(G207:H207)</f>
        <v>250</v>
      </c>
      <c r="J207" s="91">
        <f>IF(I$213=0,0,I207/I$213)</f>
        <v>0.95419847328244278</v>
      </c>
      <c r="K207" s="17">
        <f>'HH WITH COM #2'!$AT$317</f>
        <v>0</v>
      </c>
      <c r="L207" s="17">
        <f>'HH WITH COM #2'!$AZ$317</f>
        <v>0</v>
      </c>
      <c r="M207" s="539">
        <f>SUM(K207:L207)</f>
        <v>0</v>
      </c>
      <c r="N207" s="91">
        <f>IF(M$213=0,0,M207/M$213)</f>
        <v>0</v>
      </c>
      <c r="O207" s="17">
        <f>'HH WITH COM #3'!$AT$317</f>
        <v>0</v>
      </c>
      <c r="P207" s="17">
        <f>'HH WITH COM #3'!$AZ$317</f>
        <v>0</v>
      </c>
      <c r="Q207" s="539">
        <f>SUM(O207:P207)</f>
        <v>0</v>
      </c>
      <c r="R207" s="91">
        <f>IF(Q$213=0,0,Q207/Q$213)</f>
        <v>0</v>
      </c>
      <c r="S207" s="17">
        <f>'HH WITH COM #4'!$AT$317</f>
        <v>0</v>
      </c>
      <c r="T207" s="17">
        <f>'HH WITH COM #4'!$AZ$317</f>
        <v>0</v>
      </c>
      <c r="U207" s="539">
        <f>SUM(S207:T207)</f>
        <v>0</v>
      </c>
      <c r="V207" s="91">
        <f>IF(U$213=0,0,U207/U$213)</f>
        <v>0</v>
      </c>
      <c r="W207" s="17">
        <f>'HH WITH COM #5'!$AT$317</f>
        <v>0</v>
      </c>
      <c r="X207" s="17">
        <f>'HH WITH COM #5'!$AZ$317</f>
        <v>0</v>
      </c>
      <c r="Y207" s="539">
        <f>SUM(W207:X207)</f>
        <v>0</v>
      </c>
      <c r="Z207" s="91">
        <f>IF(Y$213=0,0,Y207/Y$213)</f>
        <v>0</v>
      </c>
      <c r="AA207" s="17">
        <f>'HH WITH COM #6'!$AT$317</f>
        <v>0</v>
      </c>
      <c r="AB207" s="17">
        <f>'HH WITH COM #6'!$AZ$317</f>
        <v>0</v>
      </c>
      <c r="AC207" s="539">
        <f>SUM(AA207:AB207)</f>
        <v>0</v>
      </c>
      <c r="AD207" s="91">
        <f>IF(AC$213=0,0,AC207/AC$213)</f>
        <v>0</v>
      </c>
      <c r="AE207" s="17">
        <f>'HH WITH COM #7'!$AT$317</f>
        <v>0</v>
      </c>
      <c r="AF207" s="17">
        <f>'HH WITH COM #7'!$AZ$317</f>
        <v>0</v>
      </c>
      <c r="AG207" s="539">
        <f>SUM(AE207:AF207)</f>
        <v>0</v>
      </c>
      <c r="AH207" s="373">
        <f>IF(AG$213=0,0,AG207/AG$213)</f>
        <v>0</v>
      </c>
      <c r="AI207" s="391">
        <f t="shared" si="373"/>
        <v>27</v>
      </c>
      <c r="AJ207" s="17">
        <f t="shared" si="373"/>
        <v>223</v>
      </c>
      <c r="AK207" s="539">
        <f t="shared" si="374"/>
        <v>250</v>
      </c>
      <c r="AL207" s="91">
        <f>IF(AK$213=0,0,AK207/AK$213)</f>
        <v>0.95419847328244278</v>
      </c>
    </row>
    <row r="208" spans="1:67" s="4" customFormat="1" ht="16.5" customHeight="1" x14ac:dyDescent="0.25">
      <c r="A208" s="40"/>
      <c r="B208" s="40"/>
      <c r="C208" s="473" t="s">
        <v>154</v>
      </c>
      <c r="D208" s="498" t="s">
        <v>484</v>
      </c>
      <c r="E208" s="105"/>
      <c r="F208" s="106"/>
      <c r="G208" s="17">
        <f>ROUND(('HH WITH COM #1 '!$W$318)/10000,0)*10000</f>
        <v>0</v>
      </c>
      <c r="H208" s="17">
        <f>ROUND(('HH WITH COM #1 '!$X$318)/10000,0)*10000</f>
        <v>0</v>
      </c>
      <c r="I208" s="539">
        <f>ROUND(('HH WITH COM #1 '!$Y$318)/10000,0)*10000</f>
        <v>0</v>
      </c>
      <c r="J208" s="91"/>
      <c r="K208" s="17">
        <f>ROUND(('HH WITH COM #2'!$AQ$318)/10000,0)*10000</f>
        <v>0</v>
      </c>
      <c r="L208" s="17">
        <f>ROUND(('HH WITH COM #2'!$AW$318)/10000,0)*10000</f>
        <v>0</v>
      </c>
      <c r="M208" s="539">
        <f>ROUND(('HH WITH COM #2'!$AA$318)/10000,0)*10000</f>
        <v>0</v>
      </c>
      <c r="N208" s="91"/>
      <c r="O208" s="17">
        <f>ROUND(('HH WITH COM #3'!$AQ$318)/10000,0)*10000</f>
        <v>0</v>
      </c>
      <c r="P208" s="17">
        <f>ROUND(('HH WITH COM #3'!$AW$318)/10000,0)*10000</f>
        <v>0</v>
      </c>
      <c r="Q208" s="539">
        <f>ROUND(('HH WITH COM #3'!$AA$318)/10000,0)*10000</f>
        <v>0</v>
      </c>
      <c r="R208" s="91"/>
      <c r="S208" s="17">
        <f>ROUND(('HH WITH COM #4'!$AQ$318)/10000,0)*10000</f>
        <v>0</v>
      </c>
      <c r="T208" s="17">
        <f>ROUND(('HH WITH COM #4'!$AW$318)/10000,0)*10000</f>
        <v>0</v>
      </c>
      <c r="U208" s="539">
        <f>ROUND(('HH WITH COM #4'!$AA$318)/10000,0)*10000</f>
        <v>0</v>
      </c>
      <c r="V208" s="91"/>
      <c r="W208" s="17">
        <f>ROUND(('HH WITH COM #5'!$AQ$318)/10000,0)*10000</f>
        <v>0</v>
      </c>
      <c r="X208" s="17">
        <f>ROUND(('HH WITH COM #5'!$AW$318)/10000,0)*10000</f>
        <v>0</v>
      </c>
      <c r="Y208" s="539">
        <f>ROUND(('HH WITH COM #5'!$AA$318)/10000,0)*10000</f>
        <v>0</v>
      </c>
      <c r="Z208" s="91"/>
      <c r="AA208" s="17">
        <f>ROUND(('HH WITH COM #6'!$AQ$318)/10000,0)*10000</f>
        <v>0</v>
      </c>
      <c r="AB208" s="17">
        <f>ROUND(('HH WITH COM #6'!$AW$318)/10000,0)*10000</f>
        <v>0</v>
      </c>
      <c r="AC208" s="539">
        <f>ROUND(('HH WITH COM #6'!$AA$318)/10000,0)*10000</f>
        <v>0</v>
      </c>
      <c r="AD208" s="91"/>
      <c r="AE208" s="17">
        <f>ROUND(('HH WITH COM #7'!$AQ$318)/10000,0)*10000</f>
        <v>0</v>
      </c>
      <c r="AF208" s="17">
        <f>ROUND(('HH WITH COM #7'!$AW$318)/10000,0)*10000</f>
        <v>0</v>
      </c>
      <c r="AG208" s="539">
        <f>ROUND(('HH WITH COM #7'!$AA$318)/10000,0)*10000</f>
        <v>0</v>
      </c>
      <c r="AH208" s="373"/>
      <c r="AI208" s="391">
        <f>ROUND((AN208)/10000,0)*10000</f>
        <v>0</v>
      </c>
      <c r="AJ208" s="17">
        <f t="shared" ref="AJ208:AK210" si="375">ROUND((AO208)/10000,0)*10000</f>
        <v>0</v>
      </c>
      <c r="AK208" s="927">
        <f t="shared" si="375"/>
        <v>0</v>
      </c>
      <c r="AL208" s="91"/>
      <c r="AN208" s="987">
        <v>0</v>
      </c>
      <c r="AO208" s="987">
        <v>0</v>
      </c>
      <c r="AP208" s="987">
        <v>0</v>
      </c>
    </row>
    <row r="209" spans="1:42" s="4" customFormat="1" ht="16.5" customHeight="1" x14ac:dyDescent="0.25">
      <c r="A209" s="40"/>
      <c r="B209" s="40"/>
      <c r="C209" s="473" t="s">
        <v>155</v>
      </c>
      <c r="D209" s="498" t="s">
        <v>485</v>
      </c>
      <c r="E209" s="105"/>
      <c r="F209" s="106"/>
      <c r="G209" s="17">
        <f>ROUND(('HH WITH COM #1 '!$W$319)/10000,0)*10000</f>
        <v>1500000</v>
      </c>
      <c r="H209" s="17">
        <f>ROUND(('HH WITH COM #1 '!$X$319)/10000,0)*10000</f>
        <v>4400000</v>
      </c>
      <c r="I209" s="539">
        <f>ROUND(('HH WITH COM #1 '!$Y$319)/10000,0)*10000</f>
        <v>4400000</v>
      </c>
      <c r="J209" s="91"/>
      <c r="K209" s="17">
        <f>ROUND(('HH WITH COM #2'!$AR$319)/10000,0)*10000</f>
        <v>0</v>
      </c>
      <c r="L209" s="17">
        <f>ROUND(('HH WITH COM #2'!$AX$319)/10000,0)*10000</f>
        <v>0</v>
      </c>
      <c r="M209" s="539">
        <f>ROUND(('HH WITH COM #2'!$AB$319)/10000,0)*10000</f>
        <v>0</v>
      </c>
      <c r="N209" s="91"/>
      <c r="O209" s="17">
        <f>ROUND(('HH WITH COM #3'!$AR$319)/10000,0)*10000</f>
        <v>0</v>
      </c>
      <c r="P209" s="17">
        <f>ROUND(('HH WITH COM #3'!$AX$319)/10000,0)*10000</f>
        <v>0</v>
      </c>
      <c r="Q209" s="539">
        <f>ROUND(('HH WITH COM #3'!$AB$319)/10000,0)*10000</f>
        <v>0</v>
      </c>
      <c r="R209" s="91"/>
      <c r="S209" s="17">
        <f>ROUND(('HH WITH COM #4'!$AR$319)/10000,0)*10000</f>
        <v>0</v>
      </c>
      <c r="T209" s="17">
        <f>ROUND(('HH WITH COM #4'!$AX$319)/10000,0)*10000</f>
        <v>0</v>
      </c>
      <c r="U209" s="539">
        <f>ROUND(('HH WITH COM #4'!$AB$319)/10000,0)*10000</f>
        <v>0</v>
      </c>
      <c r="V209" s="91"/>
      <c r="W209" s="17">
        <f>ROUND(('HH WITH COM #5'!$AR$319)/10000,0)*10000</f>
        <v>0</v>
      </c>
      <c r="X209" s="17">
        <f>ROUND(('HH WITH COM #5'!$AX$319)/10000,0)*10000</f>
        <v>0</v>
      </c>
      <c r="Y209" s="539">
        <f>ROUND(('HH WITH COM #5'!$AB$319)/10000,0)*10000</f>
        <v>0</v>
      </c>
      <c r="Z209" s="91"/>
      <c r="AA209" s="17">
        <f>ROUND(('HH WITH COM #6'!$AR$319)/10000,0)*10000</f>
        <v>0</v>
      </c>
      <c r="AB209" s="17">
        <f>ROUND(('HH WITH COM #6'!$AX$319)/10000,0)*10000</f>
        <v>0</v>
      </c>
      <c r="AC209" s="539">
        <f>ROUND(('HH WITH COM #6'!$AB$319)/10000,0)*10000</f>
        <v>0</v>
      </c>
      <c r="AD209" s="91"/>
      <c r="AE209" s="17">
        <f>ROUND(('HH WITH COM #7'!$AR$319)/10000,0)*10000</f>
        <v>0</v>
      </c>
      <c r="AF209" s="17">
        <f>ROUND(('HH WITH COM #7'!$AX$319)/10000,0)*10000</f>
        <v>0</v>
      </c>
      <c r="AG209" s="539">
        <f>ROUND(('HH WITH COM #7'!$AB$319)/10000,0)*10000</f>
        <v>0</v>
      </c>
      <c r="AH209" s="373"/>
      <c r="AI209" s="391">
        <f t="shared" ref="AI209:AI210" si="376">ROUND((AN209)/10000,0)*10000</f>
        <v>1500000</v>
      </c>
      <c r="AJ209" s="17">
        <f t="shared" si="375"/>
        <v>4400000</v>
      </c>
      <c r="AK209" s="927">
        <f t="shared" si="375"/>
        <v>4400000</v>
      </c>
      <c r="AL209" s="91"/>
      <c r="AN209" s="987">
        <v>1500000</v>
      </c>
      <c r="AO209" s="987">
        <v>4400000</v>
      </c>
      <c r="AP209" s="987">
        <v>4400000</v>
      </c>
    </row>
    <row r="210" spans="1:42" s="4" customFormat="1" ht="16.5" customHeight="1" x14ac:dyDescent="0.25">
      <c r="A210" s="40"/>
      <c r="B210" s="40"/>
      <c r="C210" s="473" t="s">
        <v>156</v>
      </c>
      <c r="D210" s="498" t="s">
        <v>543</v>
      </c>
      <c r="E210" s="105"/>
      <c r="F210" s="106"/>
      <c r="G210" s="17">
        <f>ROUND(('HH WITH COM #1 '!$W$320)/10000,0)*10000</f>
        <v>350000</v>
      </c>
      <c r="H210" s="17">
        <f>ROUND(('HH WITH COM #1 '!$X$320)/10000,0)*10000</f>
        <v>1520000</v>
      </c>
      <c r="I210" s="539">
        <f>ROUND(('HH WITH COM #1 '!$Y$320)/10000,0)*10000</f>
        <v>1400000</v>
      </c>
      <c r="J210" s="91"/>
      <c r="K210" s="17">
        <f>ROUND(('HH WITH COM #2'!$AS$320)/10000,0)*10000</f>
        <v>0</v>
      </c>
      <c r="L210" s="17">
        <f>ROUND(('HH WITH COM #2'!$AY$320)/10000,0)*10000</f>
        <v>0</v>
      </c>
      <c r="M210" s="539">
        <f>ROUND(('HH WITH COM #2'!$AC$320)/10000,0)*10000</f>
        <v>0</v>
      </c>
      <c r="N210" s="91"/>
      <c r="O210" s="17">
        <f>ROUND(('HH WITH COM #3'!$AS$320)/10000,0)*10000</f>
        <v>0</v>
      </c>
      <c r="P210" s="17">
        <f>ROUND(('HH WITH COM #3'!$AY$320)/10000,0)*10000</f>
        <v>0</v>
      </c>
      <c r="Q210" s="539">
        <f>ROUND(('HH WITH COM #3'!$AC$320)/10000,0)*10000</f>
        <v>0</v>
      </c>
      <c r="R210" s="91"/>
      <c r="S210" s="17">
        <f>ROUND(('HH WITH COM #4'!$AS$320)/10000,0)*10000</f>
        <v>0</v>
      </c>
      <c r="T210" s="17">
        <f>ROUND(('HH WITH COM #4'!$AY$320)/10000,0)*10000</f>
        <v>0</v>
      </c>
      <c r="U210" s="539">
        <f>ROUND(('HH WITH COM #4'!$AC$320)/10000,0)*10000</f>
        <v>0</v>
      </c>
      <c r="V210" s="91"/>
      <c r="W210" s="17">
        <f>ROUND(('HH WITH COM #5'!$AS$320)/10000,0)*10000</f>
        <v>0</v>
      </c>
      <c r="X210" s="17">
        <f>ROUND(('HH WITH COM #5'!$AY$320)/10000,0)*10000</f>
        <v>0</v>
      </c>
      <c r="Y210" s="539">
        <f>ROUND(('HH WITH COM #5'!$AC$320)/10000,0)*10000</f>
        <v>0</v>
      </c>
      <c r="Z210" s="91"/>
      <c r="AA210" s="17">
        <f>ROUND(('HH WITH COM #6'!$AS$320)/10000,0)*10000</f>
        <v>0</v>
      </c>
      <c r="AB210" s="17">
        <f>ROUND(('HH WITH COM #6'!$AY$320)/10000,0)*10000</f>
        <v>0</v>
      </c>
      <c r="AC210" s="539">
        <f>ROUND(('HH WITH COM #6'!$AC$320)/10000,0)*10000</f>
        <v>0</v>
      </c>
      <c r="AD210" s="91"/>
      <c r="AE210" s="17">
        <f>ROUND(('HH WITH COM #7'!$AS$320)/10000,0)*10000</f>
        <v>0</v>
      </c>
      <c r="AF210" s="17">
        <f>ROUND(('HH WITH COM #7'!$AY$320)/10000,0)*10000</f>
        <v>0</v>
      </c>
      <c r="AG210" s="539">
        <f>ROUND(('HH WITH COM #7'!$AC$320)/10000,0)*10000</f>
        <v>0</v>
      </c>
      <c r="AH210" s="373"/>
      <c r="AI210" s="391">
        <f t="shared" si="376"/>
        <v>350000</v>
      </c>
      <c r="AJ210" s="17">
        <f t="shared" si="375"/>
        <v>1520000</v>
      </c>
      <c r="AK210" s="927">
        <f t="shared" si="375"/>
        <v>1400000</v>
      </c>
      <c r="AL210" s="91"/>
      <c r="AN210" s="987">
        <v>345714.28571428574</v>
      </c>
      <c r="AO210" s="987">
        <v>1523558.9519650654</v>
      </c>
      <c r="AP210" s="987">
        <v>1395233.4630350193</v>
      </c>
    </row>
    <row r="211" spans="1:42" s="4" customFormat="1" ht="16.5" customHeight="1" x14ac:dyDescent="0.25">
      <c r="A211" s="40"/>
      <c r="B211" s="40"/>
      <c r="C211" s="473" t="s">
        <v>157</v>
      </c>
      <c r="D211" s="105" t="s">
        <v>129</v>
      </c>
      <c r="E211" s="105"/>
      <c r="F211" s="106"/>
      <c r="G211" s="17">
        <f>'HH WITH COM #1 '!$AT$321</f>
        <v>0</v>
      </c>
      <c r="H211" s="17">
        <f>'HH WITH COM #1 '!$AZ$321</f>
        <v>5</v>
      </c>
      <c r="I211" s="539">
        <f>SUM(G211:H211)</f>
        <v>5</v>
      </c>
      <c r="J211" s="91">
        <f>IF(I$213=0,0,I211/I$213)</f>
        <v>1.9083969465648856E-2</v>
      </c>
      <c r="K211" s="17">
        <f>'HH WITH COM #2'!$AT$321</f>
        <v>0</v>
      </c>
      <c r="L211" s="17">
        <f>'HH WITH COM #2'!$AZ$321</f>
        <v>0</v>
      </c>
      <c r="M211" s="539">
        <f>SUM(K211:L211)</f>
        <v>0</v>
      </c>
      <c r="N211" s="91">
        <f>IF(M$213=0,0,M211/M$213)</f>
        <v>0</v>
      </c>
      <c r="O211" s="17">
        <f>'HH WITH COM #3'!$AT$321</f>
        <v>0</v>
      </c>
      <c r="P211" s="17">
        <f>'HH WITH COM #3'!$AZ$321</f>
        <v>0</v>
      </c>
      <c r="Q211" s="539">
        <f>SUM(O211:P211)</f>
        <v>0</v>
      </c>
      <c r="R211" s="91">
        <f>IF(Q$213=0,0,Q211/Q$213)</f>
        <v>0</v>
      </c>
      <c r="S211" s="17">
        <f>'HH WITH COM #4'!$AT$321</f>
        <v>0</v>
      </c>
      <c r="T211" s="17">
        <f>'HH WITH COM #4'!$AZ$321</f>
        <v>0</v>
      </c>
      <c r="U211" s="539">
        <f>SUM(S211:T211)</f>
        <v>0</v>
      </c>
      <c r="V211" s="91">
        <f>IF(U$213=0,0,U211/U$213)</f>
        <v>0</v>
      </c>
      <c r="W211" s="17">
        <f>'HH WITH COM #5'!$AT$321</f>
        <v>0</v>
      </c>
      <c r="X211" s="17">
        <f>'HH WITH COM #5'!$AZ$321</f>
        <v>0</v>
      </c>
      <c r="Y211" s="539">
        <f>SUM(W211:X211)</f>
        <v>0</v>
      </c>
      <c r="Z211" s="91">
        <f>IF(Y$213=0,0,Y211/Y$213)</f>
        <v>0</v>
      </c>
      <c r="AA211" s="17">
        <f>'HH WITH COM #6'!$AT$321</f>
        <v>0</v>
      </c>
      <c r="AB211" s="17">
        <f>'HH WITH COM #6'!$AZ$321</f>
        <v>0</v>
      </c>
      <c r="AC211" s="539">
        <f>SUM(AA211:AB211)</f>
        <v>0</v>
      </c>
      <c r="AD211" s="91">
        <f>IF(AC$213=0,0,AC211/AC$213)</f>
        <v>0</v>
      </c>
      <c r="AE211" s="17">
        <f>'HH WITH COM #7'!$AT$321</f>
        <v>0</v>
      </c>
      <c r="AF211" s="17">
        <f>'HH WITH COM #7'!$AZ$321</f>
        <v>0</v>
      </c>
      <c r="AG211" s="539">
        <f>SUM(AE211:AF211)</f>
        <v>0</v>
      </c>
      <c r="AH211" s="373">
        <f>IF(AG$213=0,0,AG211/AG$213)</f>
        <v>0</v>
      </c>
      <c r="AI211" s="391">
        <f t="shared" ref="AI211:AJ212" si="377">G211+K211+O211+S211+W211+AA211+AE211</f>
        <v>0</v>
      </c>
      <c r="AJ211" s="17">
        <f t="shared" si="377"/>
        <v>5</v>
      </c>
      <c r="AK211" s="539">
        <f t="shared" si="374"/>
        <v>5</v>
      </c>
      <c r="AL211" s="91">
        <f>IF(AK$213=0,0,AK211/AK$213)</f>
        <v>1.9083969465648856E-2</v>
      </c>
    </row>
    <row r="212" spans="1:42" s="4" customFormat="1" ht="16.5" customHeight="1" x14ac:dyDescent="0.25">
      <c r="A212" s="40"/>
      <c r="B212" s="40"/>
      <c r="C212" s="40"/>
      <c r="D212" s="105" t="s">
        <v>530</v>
      </c>
      <c r="E212" s="105"/>
      <c r="F212" s="106"/>
      <c r="G212" s="17">
        <f>'HH WITH COM #1 '!$AT$322</f>
        <v>0</v>
      </c>
      <c r="H212" s="17">
        <f>'HH WITH COM #1 '!$AZ$322</f>
        <v>0</v>
      </c>
      <c r="I212" s="539">
        <f>SUM(G212:H212)</f>
        <v>0</v>
      </c>
      <c r="J212" s="91">
        <f>IF(I$213=0,0,I212/I$213)</f>
        <v>0</v>
      </c>
      <c r="K212" s="17">
        <f>'HH WITH COM #2'!$AT$322</f>
        <v>0</v>
      </c>
      <c r="L212" s="17">
        <f>'HH WITH COM #2'!$AZ$322</f>
        <v>0</v>
      </c>
      <c r="M212" s="539">
        <f>SUM(K212:L212)</f>
        <v>0</v>
      </c>
      <c r="N212" s="91">
        <f>IF(M$213=0,0,M212/M$213)</f>
        <v>0</v>
      </c>
      <c r="O212" s="17">
        <f>'HH WITH COM #3'!$AT$322</f>
        <v>0</v>
      </c>
      <c r="P212" s="17">
        <f>'HH WITH COM #3'!$AZ$322</f>
        <v>0</v>
      </c>
      <c r="Q212" s="539">
        <f>SUM(O212:P212)</f>
        <v>0</v>
      </c>
      <c r="R212" s="91">
        <f>IF(Q$213=0,0,Q212/Q$213)</f>
        <v>0</v>
      </c>
      <c r="S212" s="17">
        <f>'HH WITH COM #4'!$AT$322</f>
        <v>0</v>
      </c>
      <c r="T212" s="17">
        <f>'HH WITH COM #4'!$AZ$322</f>
        <v>0</v>
      </c>
      <c r="U212" s="539">
        <f>SUM(S212:T212)</f>
        <v>0</v>
      </c>
      <c r="V212" s="91">
        <f>IF(U$213=0,0,U212/U$213)</f>
        <v>0</v>
      </c>
      <c r="W212" s="17">
        <f>'HH WITH COM #5'!$AT$322</f>
        <v>0</v>
      </c>
      <c r="X212" s="17">
        <f>'HH WITH COM #5'!$AZ$322</f>
        <v>0</v>
      </c>
      <c r="Y212" s="539">
        <f>SUM(W212:X212)</f>
        <v>0</v>
      </c>
      <c r="Z212" s="91">
        <f>IF(Y$213=0,0,Y212/Y$213)</f>
        <v>0</v>
      </c>
      <c r="AA212" s="17">
        <f>'HH WITH COM #6'!$AT$322</f>
        <v>0</v>
      </c>
      <c r="AB212" s="17">
        <f>'HH WITH COM #6'!$AZ$322</f>
        <v>0</v>
      </c>
      <c r="AC212" s="539">
        <f>SUM(AA212:AB212)</f>
        <v>0</v>
      </c>
      <c r="AD212" s="91">
        <f>IF(AC$213=0,0,AC212/AC$213)</f>
        <v>0</v>
      </c>
      <c r="AE212" s="17">
        <f>'HH WITH COM #7'!$AT$322</f>
        <v>0</v>
      </c>
      <c r="AF212" s="17">
        <f>'HH WITH COM #7'!$AZ$322</f>
        <v>0</v>
      </c>
      <c r="AG212" s="539">
        <f>SUM(AE212:AF212)</f>
        <v>0</v>
      </c>
      <c r="AH212" s="373">
        <f>IF(AG$213=0,0,AG212/AG$213)</f>
        <v>0</v>
      </c>
      <c r="AI212" s="391">
        <f t="shared" si="377"/>
        <v>0</v>
      </c>
      <c r="AJ212" s="17">
        <f t="shared" si="377"/>
        <v>0</v>
      </c>
      <c r="AK212" s="539">
        <f t="shared" si="374"/>
        <v>0</v>
      </c>
      <c r="AL212" s="91">
        <f>IF(AK$213=0,0,AK212/AK$213)</f>
        <v>0</v>
      </c>
    </row>
    <row r="213" spans="1:42" s="4" customFormat="1" ht="16.5" customHeight="1" x14ac:dyDescent="0.25">
      <c r="A213" s="119"/>
      <c r="B213" s="119"/>
      <c r="C213" s="119"/>
      <c r="D213" s="184"/>
      <c r="E213" s="134"/>
      <c r="F213" s="469"/>
      <c r="G213" s="497">
        <f>G206+G207+G211+G212</f>
        <v>28</v>
      </c>
      <c r="H213" s="497">
        <f t="shared" ref="H213:I213" si="378">H206+H207+H211+H212</f>
        <v>234</v>
      </c>
      <c r="I213" s="497">
        <f t="shared" si="378"/>
        <v>262</v>
      </c>
      <c r="J213" s="66">
        <f>IF(I$213=0,0,I213/I$213)</f>
        <v>1</v>
      </c>
      <c r="K213" s="497">
        <f>K206+K207+K211+K212</f>
        <v>0</v>
      </c>
      <c r="L213" s="497">
        <f t="shared" ref="L213" si="379">L206+L207+L211+L212</f>
        <v>0</v>
      </c>
      <c r="M213" s="497">
        <f t="shared" ref="M213" si="380">M206+M207+M211+M212</f>
        <v>0</v>
      </c>
      <c r="N213" s="66">
        <f>IF(M$213=0,0,M213/M$213)</f>
        <v>0</v>
      </c>
      <c r="O213" s="497">
        <f>O206+O207+O211+O212</f>
        <v>0</v>
      </c>
      <c r="P213" s="497">
        <f t="shared" ref="P213" si="381">P206+P207+P211+P212</f>
        <v>0</v>
      </c>
      <c r="Q213" s="497">
        <f t="shared" ref="Q213" si="382">Q206+Q207+Q211+Q212</f>
        <v>0</v>
      </c>
      <c r="R213" s="66">
        <f>IF(Q$213=0,0,Q213/Q$213)</f>
        <v>0</v>
      </c>
      <c r="S213" s="497">
        <f>S206+S207+S211+S212</f>
        <v>0</v>
      </c>
      <c r="T213" s="497">
        <f t="shared" ref="T213" si="383">T206+T207+T211+T212</f>
        <v>0</v>
      </c>
      <c r="U213" s="497">
        <f t="shared" ref="U213" si="384">U206+U207+U211+U212</f>
        <v>0</v>
      </c>
      <c r="V213" s="66">
        <f>IF(U$213=0,0,U213/U$213)</f>
        <v>0</v>
      </c>
      <c r="W213" s="497">
        <f>W206+W207+W211+W212</f>
        <v>0</v>
      </c>
      <c r="X213" s="497">
        <f t="shared" ref="X213" si="385">X206+X207+X211+X212</f>
        <v>0</v>
      </c>
      <c r="Y213" s="497">
        <f t="shared" ref="Y213" si="386">Y206+Y207+Y211+Y212</f>
        <v>0</v>
      </c>
      <c r="Z213" s="66">
        <f>IF(Y$213=0,0,Y213/Y$213)</f>
        <v>0</v>
      </c>
      <c r="AA213" s="497">
        <f>AA206+AA207+AA211+AA212</f>
        <v>0</v>
      </c>
      <c r="AB213" s="497">
        <f t="shared" ref="AB213" si="387">AB206+AB207+AB211+AB212</f>
        <v>0</v>
      </c>
      <c r="AC213" s="497">
        <f t="shared" ref="AC213" si="388">AC206+AC207+AC211+AC212</f>
        <v>0</v>
      </c>
      <c r="AD213" s="66">
        <f>IF(AC$213=0,0,AC213/AC$213)</f>
        <v>0</v>
      </c>
      <c r="AE213" s="497">
        <f>AE206+AE207+AE211+AE212</f>
        <v>0</v>
      </c>
      <c r="AF213" s="497">
        <f t="shared" ref="AF213" si="389">AF206+AF207+AF211+AF212</f>
        <v>0</v>
      </c>
      <c r="AG213" s="497">
        <f t="shared" ref="AG213" si="390">AG206+AG207+AG211+AG212</f>
        <v>0</v>
      </c>
      <c r="AH213" s="608">
        <f>IF(AG$213=0,0,AG213/AG$213)</f>
        <v>0</v>
      </c>
      <c r="AI213" s="622">
        <f t="shared" ref="AI213" si="391">AI206+AI207+AI211+AI212</f>
        <v>28</v>
      </c>
      <c r="AJ213" s="497">
        <f t="shared" ref="AJ213" si="392">AJ206+AJ207+AJ211+AJ212</f>
        <v>234</v>
      </c>
      <c r="AK213" s="497">
        <f t="shared" ref="AK213" si="393">AK206+AK207+AK211+AK212</f>
        <v>262</v>
      </c>
      <c r="AL213" s="66">
        <f>IF(AK$213=0,0,AK213/AK$213)</f>
        <v>1</v>
      </c>
    </row>
    <row r="214" spans="1:42" s="117" customFormat="1" ht="16.5" customHeight="1" x14ac:dyDescent="0.25">
      <c r="A214" s="119"/>
      <c r="B214" s="41" t="s">
        <v>160</v>
      </c>
      <c r="C214" s="476" t="s">
        <v>983</v>
      </c>
      <c r="D214" s="477"/>
      <c r="E214" s="478"/>
      <c r="F214" s="478"/>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355"/>
      <c r="AI214" s="377"/>
      <c r="AJ214" s="71"/>
      <c r="AK214" s="71"/>
      <c r="AL214" s="71"/>
    </row>
    <row r="215" spans="1:42" s="4" customFormat="1" ht="16.5" customHeight="1" x14ac:dyDescent="0.25">
      <c r="A215" s="40"/>
      <c r="B215" s="40"/>
      <c r="C215" s="473" t="s">
        <v>984</v>
      </c>
      <c r="D215" s="484" t="s">
        <v>173</v>
      </c>
      <c r="E215" s="105"/>
      <c r="F215" s="106"/>
      <c r="G215" s="17">
        <f>'HH WITH COM #1 '!$AT$326</f>
        <v>0</v>
      </c>
      <c r="H215" s="17">
        <f>'HH WITH COM #1 '!$AZ$326</f>
        <v>0</v>
      </c>
      <c r="I215" s="539">
        <f>SUM(G215:H215)</f>
        <v>0</v>
      </c>
      <c r="J215" s="91">
        <f>IF(I$222=0,0,I215/I$222)</f>
        <v>0</v>
      </c>
      <c r="K215" s="17">
        <f>'HH WITH COM #2'!$AT$326</f>
        <v>0</v>
      </c>
      <c r="L215" s="17">
        <f>'HH WITH COM #2'!$AZ$326</f>
        <v>0</v>
      </c>
      <c r="M215" s="539">
        <f>SUM(K215:L215)</f>
        <v>0</v>
      </c>
      <c r="N215" s="91">
        <f>IF(M$222=0,0,M215/M$222)</f>
        <v>0</v>
      </c>
      <c r="O215" s="17">
        <f>'HH WITH COM #3'!$AT$326</f>
        <v>0</v>
      </c>
      <c r="P215" s="17">
        <f>'HH WITH COM #3'!$AZ$326</f>
        <v>0</v>
      </c>
      <c r="Q215" s="539">
        <f>SUM(O215:P215)</f>
        <v>0</v>
      </c>
      <c r="R215" s="91">
        <f>IF(Q$222=0,0,Q215/Q$222)</f>
        <v>0</v>
      </c>
      <c r="S215" s="17">
        <f>'HH WITH COM #4'!$AT$326</f>
        <v>0</v>
      </c>
      <c r="T215" s="17">
        <f>'HH WITH COM #4'!$AZ$326</f>
        <v>0</v>
      </c>
      <c r="U215" s="539">
        <f>SUM(S215:T215)</f>
        <v>0</v>
      </c>
      <c r="V215" s="91">
        <f>IF(U$222=0,0,U215/U$222)</f>
        <v>0</v>
      </c>
      <c r="W215" s="17">
        <f>'HH WITH COM #5'!$AT$326</f>
        <v>0</v>
      </c>
      <c r="X215" s="17">
        <f>'HH WITH COM #5'!$AZ$326</f>
        <v>0</v>
      </c>
      <c r="Y215" s="539">
        <f>SUM(W215:X215)</f>
        <v>0</v>
      </c>
      <c r="Z215" s="91">
        <f>IF(Y$222=0,0,Y215/Y$222)</f>
        <v>0</v>
      </c>
      <c r="AA215" s="17">
        <f>'HH WITH COM #6'!$AT$326</f>
        <v>0</v>
      </c>
      <c r="AB215" s="17">
        <f>'HH WITH COM #6'!$AZ$326</f>
        <v>0</v>
      </c>
      <c r="AC215" s="539">
        <f>SUM(AA215:AB215)</f>
        <v>0</v>
      </c>
      <c r="AD215" s="91">
        <f>IF(AC$222=0,0,AC215/AC$222)</f>
        <v>0</v>
      </c>
      <c r="AE215" s="17">
        <f>'HH WITH COM #7'!$AT$326</f>
        <v>0</v>
      </c>
      <c r="AF215" s="17">
        <f>'HH WITH COM #7'!$AZ$326</f>
        <v>0</v>
      </c>
      <c r="AG215" s="539">
        <f>SUM(AE215:AF215)</f>
        <v>0</v>
      </c>
      <c r="AH215" s="373">
        <f>IF(AG$222=0,0,AG215/AG$222)</f>
        <v>0</v>
      </c>
      <c r="AI215" s="391">
        <f t="shared" ref="AI215:AI216" si="394">G215+K215+O215+S215+W215+AA215+AE215</f>
        <v>0</v>
      </c>
      <c r="AJ215" s="17">
        <f t="shared" ref="AJ215:AJ216" si="395">H215+L215+P215+T215+X215+AB215+AF215</f>
        <v>0</v>
      </c>
      <c r="AK215" s="539">
        <f t="shared" ref="AK215:AK216" si="396">SUM(AI215:AJ215)</f>
        <v>0</v>
      </c>
      <c r="AL215" s="91">
        <f>IF(AK$222=0,0,AK215/AK$222)</f>
        <v>0</v>
      </c>
    </row>
    <row r="216" spans="1:42" s="4" customFormat="1" ht="16.5" customHeight="1" x14ac:dyDescent="0.25">
      <c r="A216" s="40"/>
      <c r="B216" s="40"/>
      <c r="C216" s="473" t="s">
        <v>161</v>
      </c>
      <c r="D216" s="484" t="s">
        <v>544</v>
      </c>
      <c r="E216" s="105"/>
      <c r="F216" s="106"/>
      <c r="G216" s="17">
        <f>'HH WITH COM #1 '!$AT$327</f>
        <v>0</v>
      </c>
      <c r="H216" s="17">
        <f>'HH WITH COM #1 '!$AZ$327</f>
        <v>0</v>
      </c>
      <c r="I216" s="539">
        <f>SUM(G216:H216)</f>
        <v>0</v>
      </c>
      <c r="J216" s="91">
        <f t="shared" ref="J216:J222" si="397">IF(I$222=0,0,I216/I$222)</f>
        <v>0</v>
      </c>
      <c r="K216" s="17">
        <f>'HH WITH COM #2'!$AT$327</f>
        <v>0</v>
      </c>
      <c r="L216" s="17">
        <f>'HH WITH COM #2'!$AZ$327</f>
        <v>0</v>
      </c>
      <c r="M216" s="539">
        <f>SUM(K216:L216)</f>
        <v>0</v>
      </c>
      <c r="N216" s="91">
        <f t="shared" ref="N216:N222" si="398">IF(M$222=0,0,M216/M$222)</f>
        <v>0</v>
      </c>
      <c r="O216" s="17">
        <f>'HH WITH COM #3'!$AT$327</f>
        <v>0</v>
      </c>
      <c r="P216" s="17">
        <f>'HH WITH COM #3'!$AZ$327</f>
        <v>0</v>
      </c>
      <c r="Q216" s="539">
        <f>SUM(O216:P216)</f>
        <v>0</v>
      </c>
      <c r="R216" s="91">
        <f t="shared" ref="R216:R222" si="399">IF(Q$222=0,0,Q216/Q$222)</f>
        <v>0</v>
      </c>
      <c r="S216" s="17">
        <f>'HH WITH COM #4'!$AT$327</f>
        <v>0</v>
      </c>
      <c r="T216" s="17">
        <f>'HH WITH COM #4'!$AZ$327</f>
        <v>0</v>
      </c>
      <c r="U216" s="539">
        <f>SUM(S216:T216)</f>
        <v>0</v>
      </c>
      <c r="V216" s="91">
        <f t="shared" ref="V216:V222" si="400">IF(U$222=0,0,U216/U$222)</f>
        <v>0</v>
      </c>
      <c r="W216" s="17">
        <f>'HH WITH COM #5'!$AT$327</f>
        <v>0</v>
      </c>
      <c r="X216" s="17">
        <f>'HH WITH COM #5'!$AZ$327</f>
        <v>0</v>
      </c>
      <c r="Y216" s="539">
        <f>SUM(W216:X216)</f>
        <v>0</v>
      </c>
      <c r="Z216" s="91">
        <f t="shared" ref="Z216:Z222" si="401">IF(Y$222=0,0,Y216/Y$222)</f>
        <v>0</v>
      </c>
      <c r="AA216" s="17">
        <f>'HH WITH COM #6'!$AT$327</f>
        <v>0</v>
      </c>
      <c r="AB216" s="17">
        <f>'HH WITH COM #6'!$AZ$327</f>
        <v>0</v>
      </c>
      <c r="AC216" s="539">
        <f>SUM(AA216:AB216)</f>
        <v>0</v>
      </c>
      <c r="AD216" s="91">
        <f t="shared" ref="AD216:AD222" si="402">IF(AC$222=0,0,AC216/AC$222)</f>
        <v>0</v>
      </c>
      <c r="AE216" s="17">
        <f>'HH WITH COM #7'!$AT$327</f>
        <v>0</v>
      </c>
      <c r="AF216" s="17">
        <f>'HH WITH COM #7'!$AZ$327</f>
        <v>0</v>
      </c>
      <c r="AG216" s="539">
        <f>SUM(AE216:AF216)</f>
        <v>0</v>
      </c>
      <c r="AH216" s="373">
        <f t="shared" ref="AH216:AH222" si="403">IF(AG$222=0,0,AG216/AG$222)</f>
        <v>0</v>
      </c>
      <c r="AI216" s="391">
        <f t="shared" si="394"/>
        <v>0</v>
      </c>
      <c r="AJ216" s="17">
        <f t="shared" si="395"/>
        <v>0</v>
      </c>
      <c r="AK216" s="539">
        <f t="shared" si="396"/>
        <v>0</v>
      </c>
      <c r="AL216" s="91">
        <f t="shared" ref="AL216:AL222" si="404">IF(AK$222=0,0,AK216/AK$222)</f>
        <v>0</v>
      </c>
    </row>
    <row r="217" spans="1:42" s="4" customFormat="1" ht="16.5" customHeight="1" x14ac:dyDescent="0.25">
      <c r="A217" s="40"/>
      <c r="B217" s="40"/>
      <c r="C217" s="473" t="s">
        <v>163</v>
      </c>
      <c r="D217" s="498" t="s">
        <v>484</v>
      </c>
      <c r="E217" s="105"/>
      <c r="F217" s="106"/>
      <c r="G217" s="17">
        <f>ROUND(('HH WITH COM #1 '!$AQ$328)/10000,0)*10000</f>
        <v>0</v>
      </c>
      <c r="H217" s="17">
        <f>ROUND(('HH WITH COM #1 '!$AW$328)/10000,0)*10000</f>
        <v>0</v>
      </c>
      <c r="I217" s="539">
        <f>ROUND(('HH WITH COM #1 '!$AA$328)/10000,0)*10000</f>
        <v>0</v>
      </c>
      <c r="J217" s="91"/>
      <c r="K217" s="17">
        <f>ROUND(('HH WITH COM #2'!$AQ$328)/10000,0)*10000</f>
        <v>0</v>
      </c>
      <c r="L217" s="17">
        <f>ROUND(('HH WITH COM #2'!$AW$328)/10000,0)*10000</f>
        <v>0</v>
      </c>
      <c r="M217" s="539">
        <f>ROUND(('HH WITH COM #2'!$AA$328)/10000,0)*10000</f>
        <v>0</v>
      </c>
      <c r="N217" s="91"/>
      <c r="O217" s="17">
        <f>ROUND(('HH WITH COM #3'!$AQ$328)/10000,0)*10000</f>
        <v>0</v>
      </c>
      <c r="P217" s="17">
        <f>ROUND(('HH WITH COM #3'!$AW$328)/10000,0)*10000</f>
        <v>0</v>
      </c>
      <c r="Q217" s="539">
        <f>ROUND(('HH WITH COM #3'!$AA$328)/10000,0)*10000</f>
        <v>0</v>
      </c>
      <c r="R217" s="91"/>
      <c r="S217" s="17">
        <f>ROUND(('HH WITH COM #4'!$AQ$328)/10000,0)*10000</f>
        <v>0</v>
      </c>
      <c r="T217" s="17">
        <f>ROUND(('HH WITH COM #4'!$AW$328)/10000,0)*10000</f>
        <v>0</v>
      </c>
      <c r="U217" s="539">
        <f>ROUND(('HH WITH COM #4'!$AA$328)/10000,0)*10000</f>
        <v>0</v>
      </c>
      <c r="V217" s="91"/>
      <c r="W217" s="17">
        <f>ROUND(('HH WITH COM #5'!$AQ$328)/10000,0)*10000</f>
        <v>0</v>
      </c>
      <c r="X217" s="17">
        <f>ROUND(('HH WITH COM #5'!$AW$328)/10000,0)*10000</f>
        <v>0</v>
      </c>
      <c r="Y217" s="539">
        <f>ROUND(('HH WITH COM #5'!$AA$328)/10000,0)*10000</f>
        <v>0</v>
      </c>
      <c r="Z217" s="91"/>
      <c r="AA217" s="17">
        <f>ROUND(('HH WITH COM #6'!$AQ$328)/10000,0)*10000</f>
        <v>0</v>
      </c>
      <c r="AB217" s="17">
        <f>ROUND(('HH WITH COM #6'!$AW$328)/10000,0)*10000</f>
        <v>0</v>
      </c>
      <c r="AC217" s="539">
        <f>ROUND(('HH WITH COM #6'!$AA$328)/10000,0)*10000</f>
        <v>0</v>
      </c>
      <c r="AD217" s="91"/>
      <c r="AE217" s="17">
        <f>ROUND(('HH WITH COM #7'!$AQ$328)/10000,0)*10000</f>
        <v>0</v>
      </c>
      <c r="AF217" s="17">
        <f>ROUND(('HH WITH COM #7'!$AW$328)/10000,0)*10000</f>
        <v>0</v>
      </c>
      <c r="AG217" s="539">
        <f>ROUND(('HH WITH COM #7'!$AA$328)/10000,0)*10000</f>
        <v>0</v>
      </c>
      <c r="AH217" s="373"/>
      <c r="AI217" s="391">
        <f>MIN(G217,K217,O217,S217,W217,AA217,AE217)</f>
        <v>0</v>
      </c>
      <c r="AJ217" s="17">
        <f t="shared" ref="AJ217" si="405">MIN(H217,L217,P217,T217,X217,AB217,AF217)</f>
        <v>0</v>
      </c>
      <c r="AK217" s="539">
        <f t="shared" ref="AK217" si="406">MIN(I217,M217,Q217,U217,Y217,AC217,AG217)</f>
        <v>0</v>
      </c>
      <c r="AL217" s="91"/>
    </row>
    <row r="218" spans="1:42" s="4" customFormat="1" ht="16.5" customHeight="1" x14ac:dyDescent="0.25">
      <c r="A218" s="40"/>
      <c r="B218" s="40"/>
      <c r="C218" s="473" t="s">
        <v>164</v>
      </c>
      <c r="D218" s="498" t="s">
        <v>485</v>
      </c>
      <c r="E218" s="105"/>
      <c r="F218" s="106"/>
      <c r="G218" s="17">
        <f>ROUND(('HH WITH COM #1 '!$AR$329)/10000,0)*10000</f>
        <v>0</v>
      </c>
      <c r="H218" s="17">
        <f>ROUND(('HH WITH COM #1 '!$AX$329)/10000,0)*10000</f>
        <v>0</v>
      </c>
      <c r="I218" s="539">
        <f>ROUND(('HH WITH COM #1 '!$AB$329)/10000,0)*10000</f>
        <v>0</v>
      </c>
      <c r="J218" s="91"/>
      <c r="K218" s="17">
        <f>ROUND(('HH WITH COM #2'!$AR$329)/10000,0)*10000</f>
        <v>0</v>
      </c>
      <c r="L218" s="17">
        <f>ROUND(('HH WITH COM #2'!$AX$329)/10000,0)*10000</f>
        <v>0</v>
      </c>
      <c r="M218" s="539">
        <f>ROUND(('HH WITH COM #2'!$AB$329)/10000,0)*10000</f>
        <v>0</v>
      </c>
      <c r="N218" s="91"/>
      <c r="O218" s="17">
        <f>ROUND(('HH WITH COM #3'!$AR$329)/10000,0)*10000</f>
        <v>0</v>
      </c>
      <c r="P218" s="17">
        <f>ROUND(('HH WITH COM #3'!$AX$329)/10000,0)*10000</f>
        <v>0</v>
      </c>
      <c r="Q218" s="539">
        <f>ROUND(('HH WITH COM #3'!$AB$329)/10000,0)*10000</f>
        <v>0</v>
      </c>
      <c r="R218" s="91"/>
      <c r="S218" s="17">
        <f>ROUND(('HH WITH COM #4'!$AR$329)/10000,0)*10000</f>
        <v>0</v>
      </c>
      <c r="T218" s="17">
        <f>ROUND(('HH WITH COM #4'!$AX$329)/10000,0)*10000</f>
        <v>0</v>
      </c>
      <c r="U218" s="539">
        <f>ROUND(('HH WITH COM #4'!$AB$329)/10000,0)*10000</f>
        <v>0</v>
      </c>
      <c r="V218" s="91"/>
      <c r="W218" s="17">
        <f>ROUND(('HH WITH COM #5'!$AR$329)/10000,0)*10000</f>
        <v>0</v>
      </c>
      <c r="X218" s="17">
        <f>ROUND(('HH WITH COM #5'!$AX$329)/10000,0)*10000</f>
        <v>0</v>
      </c>
      <c r="Y218" s="539">
        <f>ROUND(('HH WITH COM #5'!$AB$329)/10000,0)*10000</f>
        <v>0</v>
      </c>
      <c r="Z218" s="91"/>
      <c r="AA218" s="17">
        <f>ROUND(('HH WITH COM #6'!$AR$329)/10000,0)*10000</f>
        <v>0</v>
      </c>
      <c r="AB218" s="17">
        <f>ROUND(('HH WITH COM #6'!$AX$329)/10000,0)*10000</f>
        <v>0</v>
      </c>
      <c r="AC218" s="539">
        <f>ROUND(('HH WITH COM #6'!$AB$329)/10000,0)*10000</f>
        <v>0</v>
      </c>
      <c r="AD218" s="91"/>
      <c r="AE218" s="17">
        <f>ROUND(('HH WITH COM #7'!$AR$329)/10000,0)*10000</f>
        <v>0</v>
      </c>
      <c r="AF218" s="17">
        <f>ROUND(('HH WITH COM #7'!$AX$329)/10000,0)*10000</f>
        <v>0</v>
      </c>
      <c r="AG218" s="539">
        <f>ROUND(('HH WITH COM #7'!$AB$329)/10000,0)*10000</f>
        <v>0</v>
      </c>
      <c r="AH218" s="373"/>
      <c r="AI218" s="391">
        <f>MAX(G218,K218,O218,S218,W218,AA218,AE218)</f>
        <v>0</v>
      </c>
      <c r="AJ218" s="17">
        <f t="shared" ref="AJ218" si="407">MAX(H218,L218,P218,T218,X218,AB218,AF218)</f>
        <v>0</v>
      </c>
      <c r="AK218" s="539">
        <f t="shared" ref="AK218" si="408">MAX(I218,M218,Q218,U218,Y218,AC218,AG218)</f>
        <v>0</v>
      </c>
      <c r="AL218" s="91"/>
    </row>
    <row r="219" spans="1:42" s="4" customFormat="1" ht="16.5" customHeight="1" x14ac:dyDescent="0.25">
      <c r="A219" s="40"/>
      <c r="B219" s="40"/>
      <c r="C219" s="473" t="s">
        <v>166</v>
      </c>
      <c r="D219" s="498" t="s">
        <v>543</v>
      </c>
      <c r="E219" s="105"/>
      <c r="F219" s="106"/>
      <c r="G219" s="17">
        <f>ROUND(('HH WITH COM #1 '!$AS$330)/10000,0)*10000</f>
        <v>0</v>
      </c>
      <c r="H219" s="17">
        <f>ROUND(('HH WITH COM #1 '!$AY$330)/10000,0)*10000</f>
        <v>0</v>
      </c>
      <c r="I219" s="539">
        <f>ROUND(('HH WITH COM #1 '!$AC$330)/10000,0)*10000</f>
        <v>0</v>
      </c>
      <c r="J219" s="91"/>
      <c r="K219" s="17">
        <f>ROUND(('HH WITH COM #2'!$AS$330)/10000,0)*10000</f>
        <v>0</v>
      </c>
      <c r="L219" s="17">
        <f>ROUND(('HH WITH COM #2'!$AY$330)/10000,0)*10000</f>
        <v>0</v>
      </c>
      <c r="M219" s="539">
        <f>ROUND(('HH WITH COM #2'!$AC$330)/10000,0)*10000</f>
        <v>0</v>
      </c>
      <c r="N219" s="91"/>
      <c r="O219" s="17">
        <f>ROUND(('HH WITH COM #3'!$AS$330)/10000,0)*10000</f>
        <v>0</v>
      </c>
      <c r="P219" s="17">
        <f>ROUND(('HH WITH COM #3'!$AY$330)/10000,0)*10000</f>
        <v>0</v>
      </c>
      <c r="Q219" s="539">
        <f>ROUND(('HH WITH COM #3'!$AC$330)/10000,0)*10000</f>
        <v>0</v>
      </c>
      <c r="R219" s="91"/>
      <c r="S219" s="17">
        <f>ROUND(('HH WITH COM #4'!$AS$330)/10000,0)*10000</f>
        <v>0</v>
      </c>
      <c r="T219" s="17">
        <f>ROUND(('HH WITH COM #4'!$AY$330)/10000,0)*10000</f>
        <v>0</v>
      </c>
      <c r="U219" s="539">
        <f>ROUND(('HH WITH COM #4'!$AC$330)/10000,0)*10000</f>
        <v>0</v>
      </c>
      <c r="V219" s="91"/>
      <c r="W219" s="17">
        <f>ROUND(('HH WITH COM #5'!$AS$330)/10000,0)*10000</f>
        <v>0</v>
      </c>
      <c r="X219" s="17">
        <f>ROUND(('HH WITH COM #5'!$AY$330)/10000,0)*10000</f>
        <v>0</v>
      </c>
      <c r="Y219" s="539">
        <f>ROUND(('HH WITH COM #5'!$AC$330)/10000,0)*10000</f>
        <v>0</v>
      </c>
      <c r="Z219" s="91"/>
      <c r="AA219" s="17">
        <f>ROUND(('HH WITH COM #6'!$AS$330)/10000,0)*10000</f>
        <v>0</v>
      </c>
      <c r="AB219" s="17">
        <f>ROUND(('HH WITH COM #6'!$AY$330)/10000,0)*10000</f>
        <v>0</v>
      </c>
      <c r="AC219" s="539">
        <f>ROUND(('HH WITH COM #6'!$AC$330)/10000,0)*10000</f>
        <v>0</v>
      </c>
      <c r="AD219" s="91"/>
      <c r="AE219" s="17">
        <f>ROUND(('HH WITH COM #7'!$AS$330)/10000,0)*10000</f>
        <v>0</v>
      </c>
      <c r="AF219" s="17">
        <f>ROUND(('HH WITH COM #7'!$AY$330)/10000,0)*10000</f>
        <v>0</v>
      </c>
      <c r="AG219" s="539">
        <f>ROUND(('HH WITH COM #7'!$AC$330)/10000,0)*10000</f>
        <v>0</v>
      </c>
      <c r="AH219" s="373"/>
      <c r="AI219" s="391">
        <f>IF(G219+K219+O219+S219+W219+AA219=0,0,AVERAGE(G219,K219,O219,S219,W219,AA219,AE219))</f>
        <v>0</v>
      </c>
      <c r="AJ219" s="17">
        <f t="shared" ref="AJ219" si="409">IF(H219+L219+P219+T219+X219+AB219=0,0,AVERAGE(H219,L219,P219,T219,X219,AB219,AF219))</f>
        <v>0</v>
      </c>
      <c r="AK219" s="539">
        <f t="shared" ref="AK219" si="410">IF(I219+M219+Q219+U219+Y219+AC219=0,0,AVERAGE(I219,M219,Q219,U219,Y219,AC219,AG219))</f>
        <v>0</v>
      </c>
      <c r="AL219" s="91"/>
    </row>
    <row r="220" spans="1:42" s="4" customFormat="1" ht="16.5" customHeight="1" x14ac:dyDescent="0.25">
      <c r="A220" s="40"/>
      <c r="B220" s="40"/>
      <c r="C220" s="473" t="s">
        <v>168</v>
      </c>
      <c r="D220" s="105" t="s">
        <v>129</v>
      </c>
      <c r="E220" s="105"/>
      <c r="F220" s="106"/>
      <c r="G220" s="17">
        <f>'HH WITH COM #1 '!$AT$331</f>
        <v>0</v>
      </c>
      <c r="H220" s="17">
        <f>'HH WITH COM #1 '!$AZ$331</f>
        <v>0</v>
      </c>
      <c r="I220" s="539">
        <f t="shared" ref="I220:I221" si="411">SUM(G220:H220)</f>
        <v>0</v>
      </c>
      <c r="J220" s="91">
        <f t="shared" si="397"/>
        <v>0</v>
      </c>
      <c r="K220" s="17">
        <f>'HH WITH COM #2'!$AT$331</f>
        <v>0</v>
      </c>
      <c r="L220" s="17">
        <f>'HH WITH COM #2'!$AZ$331</f>
        <v>0</v>
      </c>
      <c r="M220" s="539">
        <f t="shared" ref="M220:M221" si="412">SUM(K220:L220)</f>
        <v>0</v>
      </c>
      <c r="N220" s="91">
        <f t="shared" si="398"/>
        <v>0</v>
      </c>
      <c r="O220" s="17">
        <f>'HH WITH COM #3'!$AT$331</f>
        <v>0</v>
      </c>
      <c r="P220" s="17">
        <f>'HH WITH COM #3'!$AZ$331</f>
        <v>0</v>
      </c>
      <c r="Q220" s="539">
        <f t="shared" ref="Q220:Q221" si="413">SUM(O220:P220)</f>
        <v>0</v>
      </c>
      <c r="R220" s="91">
        <f t="shared" si="399"/>
        <v>0</v>
      </c>
      <c r="S220" s="17">
        <f>'HH WITH COM #4'!$AT$331</f>
        <v>0</v>
      </c>
      <c r="T220" s="17">
        <f>'HH WITH COM #4'!$AZ$331</f>
        <v>0</v>
      </c>
      <c r="U220" s="539">
        <f t="shared" ref="U220:U221" si="414">SUM(S220:T220)</f>
        <v>0</v>
      </c>
      <c r="V220" s="91">
        <f t="shared" si="400"/>
        <v>0</v>
      </c>
      <c r="W220" s="17">
        <f>'HH WITH COM #5'!$AT$331</f>
        <v>0</v>
      </c>
      <c r="X220" s="17">
        <f>'HH WITH COM #5'!$AZ$331</f>
        <v>0</v>
      </c>
      <c r="Y220" s="539">
        <f t="shared" ref="Y220:Y221" si="415">SUM(W220:X220)</f>
        <v>0</v>
      </c>
      <c r="Z220" s="91">
        <f t="shared" si="401"/>
        <v>0</v>
      </c>
      <c r="AA220" s="17">
        <f>'HH WITH COM #6'!$AT$331</f>
        <v>0</v>
      </c>
      <c r="AB220" s="17">
        <f>'HH WITH COM #6'!$AZ$331</f>
        <v>0</v>
      </c>
      <c r="AC220" s="539">
        <f t="shared" ref="AC220:AC221" si="416">SUM(AA220:AB220)</f>
        <v>0</v>
      </c>
      <c r="AD220" s="91">
        <f t="shared" si="402"/>
        <v>0</v>
      </c>
      <c r="AE220" s="17">
        <f>'HH WITH COM #7'!$AT$331</f>
        <v>0</v>
      </c>
      <c r="AF220" s="17">
        <f>'HH WITH COM #7'!$AZ$331</f>
        <v>0</v>
      </c>
      <c r="AG220" s="539">
        <f t="shared" ref="AG220:AG221" si="417">SUM(AE220:AF220)</f>
        <v>0</v>
      </c>
      <c r="AH220" s="373">
        <f t="shared" si="403"/>
        <v>0</v>
      </c>
      <c r="AI220" s="391">
        <f t="shared" ref="AI220:AI221" si="418">G220+K220+O220+S220+W220+AA220+AE220</f>
        <v>0</v>
      </c>
      <c r="AJ220" s="17">
        <f t="shared" ref="AJ220:AJ221" si="419">H220+L220+P220+T220+X220+AB220+AF220</f>
        <v>0</v>
      </c>
      <c r="AK220" s="539">
        <f t="shared" ref="AK220:AK221" si="420">SUM(AI220:AJ220)</f>
        <v>0</v>
      </c>
      <c r="AL220" s="91">
        <f t="shared" si="404"/>
        <v>0</v>
      </c>
    </row>
    <row r="221" spans="1:42" s="4" customFormat="1" ht="16.5" customHeight="1" x14ac:dyDescent="0.25">
      <c r="A221" s="40"/>
      <c r="B221" s="40"/>
      <c r="C221" s="40"/>
      <c r="D221" s="105" t="s">
        <v>530</v>
      </c>
      <c r="E221" s="105"/>
      <c r="F221" s="106"/>
      <c r="G221" s="17">
        <f>'HH WITH COM #1 '!$AT$332</f>
        <v>0</v>
      </c>
      <c r="H221" s="17">
        <f>'HH WITH COM #1 '!$AZ$332</f>
        <v>0</v>
      </c>
      <c r="I221" s="539">
        <f t="shared" si="411"/>
        <v>0</v>
      </c>
      <c r="J221" s="91">
        <f t="shared" si="397"/>
        <v>0</v>
      </c>
      <c r="K221" s="17">
        <f>'HH WITH COM #2'!$AT$332</f>
        <v>0</v>
      </c>
      <c r="L221" s="17">
        <f>'HH WITH COM #2'!$AZ$332</f>
        <v>0</v>
      </c>
      <c r="M221" s="539">
        <f t="shared" si="412"/>
        <v>0</v>
      </c>
      <c r="N221" s="91">
        <f t="shared" si="398"/>
        <v>0</v>
      </c>
      <c r="O221" s="17">
        <f>'HH WITH COM #3'!$AT$332</f>
        <v>0</v>
      </c>
      <c r="P221" s="17">
        <f>'HH WITH COM #3'!$AZ$332</f>
        <v>0</v>
      </c>
      <c r="Q221" s="539">
        <f t="shared" si="413"/>
        <v>0</v>
      </c>
      <c r="R221" s="91">
        <f t="shared" si="399"/>
        <v>0</v>
      </c>
      <c r="S221" s="17">
        <f>'HH WITH COM #4'!$AT$332</f>
        <v>0</v>
      </c>
      <c r="T221" s="17">
        <f>'HH WITH COM #4'!$AZ$332</f>
        <v>0</v>
      </c>
      <c r="U221" s="539">
        <f t="shared" si="414"/>
        <v>0</v>
      </c>
      <c r="V221" s="91">
        <f t="shared" si="400"/>
        <v>0</v>
      </c>
      <c r="W221" s="17">
        <f>'HH WITH COM #5'!$AT$332</f>
        <v>0</v>
      </c>
      <c r="X221" s="17">
        <f>'HH WITH COM #5'!$AZ$332</f>
        <v>0</v>
      </c>
      <c r="Y221" s="539">
        <f t="shared" si="415"/>
        <v>0</v>
      </c>
      <c r="Z221" s="91">
        <f t="shared" si="401"/>
        <v>0</v>
      </c>
      <c r="AA221" s="17">
        <f>'HH WITH COM #6'!$AT$332</f>
        <v>0</v>
      </c>
      <c r="AB221" s="17">
        <f>'HH WITH COM #6'!$AZ$332</f>
        <v>0</v>
      </c>
      <c r="AC221" s="539">
        <f t="shared" si="416"/>
        <v>0</v>
      </c>
      <c r="AD221" s="91">
        <f t="shared" si="402"/>
        <v>0</v>
      </c>
      <c r="AE221" s="17">
        <f>'HH WITH COM #7'!$AT$332</f>
        <v>0</v>
      </c>
      <c r="AF221" s="17">
        <f>'HH WITH COM #7'!$AZ$332</f>
        <v>0</v>
      </c>
      <c r="AG221" s="539">
        <f t="shared" si="417"/>
        <v>0</v>
      </c>
      <c r="AH221" s="373">
        <f t="shared" si="403"/>
        <v>0</v>
      </c>
      <c r="AI221" s="391">
        <f t="shared" si="418"/>
        <v>0</v>
      </c>
      <c r="AJ221" s="17">
        <f t="shared" si="419"/>
        <v>0</v>
      </c>
      <c r="AK221" s="539">
        <f t="shared" si="420"/>
        <v>0</v>
      </c>
      <c r="AL221" s="91">
        <f t="shared" si="404"/>
        <v>0</v>
      </c>
    </row>
    <row r="222" spans="1:42" s="4" customFormat="1" ht="16.5" customHeight="1" x14ac:dyDescent="0.25">
      <c r="A222" s="119"/>
      <c r="B222" s="119"/>
      <c r="C222" s="119"/>
      <c r="D222" s="184"/>
      <c r="E222" s="134"/>
      <c r="F222" s="469"/>
      <c r="G222" s="497">
        <f>G215+G216+G220+G221</f>
        <v>0</v>
      </c>
      <c r="H222" s="497">
        <f t="shared" ref="H222" si="421">H215+H216+H220+H221</f>
        <v>0</v>
      </c>
      <c r="I222" s="497">
        <f t="shared" ref="I222" si="422">I215+I216+I220+I221</f>
        <v>0</v>
      </c>
      <c r="J222" s="66">
        <f t="shared" si="397"/>
        <v>0</v>
      </c>
      <c r="K222" s="497">
        <f>K215+K216+K220+K221</f>
        <v>0</v>
      </c>
      <c r="L222" s="497">
        <f t="shared" ref="L222" si="423">L215+L216+L220+L221</f>
        <v>0</v>
      </c>
      <c r="M222" s="497">
        <f t="shared" ref="M222" si="424">M215+M216+M220+M221</f>
        <v>0</v>
      </c>
      <c r="N222" s="66">
        <f t="shared" si="398"/>
        <v>0</v>
      </c>
      <c r="O222" s="497">
        <f>O215+O216+O220+O221</f>
        <v>0</v>
      </c>
      <c r="P222" s="497">
        <f t="shared" ref="P222" si="425">P215+P216+P220+P221</f>
        <v>0</v>
      </c>
      <c r="Q222" s="497">
        <f t="shared" ref="Q222" si="426">Q215+Q216+Q220+Q221</f>
        <v>0</v>
      </c>
      <c r="R222" s="66">
        <f t="shared" si="399"/>
        <v>0</v>
      </c>
      <c r="S222" s="497">
        <f>S215+S216+S220+S221</f>
        <v>0</v>
      </c>
      <c r="T222" s="497">
        <f t="shared" ref="T222" si="427">T215+T216+T220+T221</f>
        <v>0</v>
      </c>
      <c r="U222" s="497">
        <f t="shared" ref="U222" si="428">U215+U216+U220+U221</f>
        <v>0</v>
      </c>
      <c r="V222" s="66">
        <f t="shared" si="400"/>
        <v>0</v>
      </c>
      <c r="W222" s="497">
        <f>W215+W216+W220+W221</f>
        <v>0</v>
      </c>
      <c r="X222" s="497">
        <f t="shared" ref="X222" si="429">X215+X216+X220+X221</f>
        <v>0</v>
      </c>
      <c r="Y222" s="497">
        <f t="shared" ref="Y222" si="430">Y215+Y216+Y220+Y221</f>
        <v>0</v>
      </c>
      <c r="Z222" s="66">
        <f t="shared" si="401"/>
        <v>0</v>
      </c>
      <c r="AA222" s="497">
        <f>AA215+AA216+AA220+AA221</f>
        <v>0</v>
      </c>
      <c r="AB222" s="497">
        <f t="shared" ref="AB222" si="431">AB215+AB216+AB220+AB221</f>
        <v>0</v>
      </c>
      <c r="AC222" s="497">
        <f t="shared" ref="AC222" si="432">AC215+AC216+AC220+AC221</f>
        <v>0</v>
      </c>
      <c r="AD222" s="66">
        <f t="shared" si="402"/>
        <v>0</v>
      </c>
      <c r="AE222" s="497">
        <f>AE215+AE216+AE220+AE221</f>
        <v>0</v>
      </c>
      <c r="AF222" s="497">
        <f t="shared" ref="AF222" si="433">AF215+AF216+AF220+AF221</f>
        <v>0</v>
      </c>
      <c r="AG222" s="497">
        <f t="shared" ref="AG222" si="434">AG215+AG216+AG220+AG221</f>
        <v>0</v>
      </c>
      <c r="AH222" s="608">
        <f t="shared" si="403"/>
        <v>0</v>
      </c>
      <c r="AI222" s="622">
        <f t="shared" ref="AI222" si="435">AI215+AI216+AI220+AI221</f>
        <v>0</v>
      </c>
      <c r="AJ222" s="497">
        <f t="shared" ref="AJ222" si="436">AJ215+AJ216+AJ220+AJ221</f>
        <v>0</v>
      </c>
      <c r="AK222" s="497">
        <f t="shared" ref="AK222" si="437">AK215+AK216+AK220+AK221</f>
        <v>0</v>
      </c>
      <c r="AL222" s="66">
        <f t="shared" si="404"/>
        <v>0</v>
      </c>
    </row>
    <row r="223" spans="1:42" s="117" customFormat="1" ht="16.5" customHeight="1" x14ac:dyDescent="0.25">
      <c r="A223" s="119"/>
      <c r="B223" s="41" t="s">
        <v>171</v>
      </c>
      <c r="C223" s="476" t="s">
        <v>985</v>
      </c>
      <c r="D223" s="477"/>
      <c r="E223" s="478"/>
      <c r="F223" s="478"/>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355"/>
      <c r="AI223" s="377"/>
      <c r="AJ223" s="71"/>
      <c r="AK223" s="71"/>
      <c r="AL223" s="71"/>
    </row>
    <row r="224" spans="1:42" s="4" customFormat="1" ht="16.5" customHeight="1" x14ac:dyDescent="0.25">
      <c r="A224" s="40"/>
      <c r="B224" s="40"/>
      <c r="C224" s="473" t="s">
        <v>984</v>
      </c>
      <c r="D224" s="484" t="s">
        <v>173</v>
      </c>
      <c r="E224" s="105"/>
      <c r="F224" s="106"/>
      <c r="G224" s="17">
        <f>'HH WITH COM #1 '!$AT$336</f>
        <v>0</v>
      </c>
      <c r="H224" s="17">
        <f>'HH WITH COM #1 '!$AZ$336</f>
        <v>0</v>
      </c>
      <c r="I224" s="539">
        <f>SUM(G224:H224)</f>
        <v>0</v>
      </c>
      <c r="J224" s="91">
        <f>IF(I$231=0,0,I224/I$231)</f>
        <v>0</v>
      </c>
      <c r="K224" s="17">
        <f>'HH WITH COM #2'!$AT$336</f>
        <v>0</v>
      </c>
      <c r="L224" s="17">
        <f>'HH WITH COM #2'!$AZ$336</f>
        <v>0</v>
      </c>
      <c r="M224" s="539">
        <f>SUM(K224:L224)</f>
        <v>0</v>
      </c>
      <c r="N224" s="91">
        <f>IF(M$231=0,0,M224/M$231)</f>
        <v>0</v>
      </c>
      <c r="O224" s="17">
        <f>'HH WITH COM #3'!$AT$336</f>
        <v>0</v>
      </c>
      <c r="P224" s="17">
        <f>'HH WITH COM #3'!$AZ$336</f>
        <v>0</v>
      </c>
      <c r="Q224" s="539">
        <f>SUM(O224:P224)</f>
        <v>0</v>
      </c>
      <c r="R224" s="91">
        <f>IF(Q$231=0,0,Q224/Q$231)</f>
        <v>0</v>
      </c>
      <c r="S224" s="17">
        <f>'HH WITH COM #4'!$AT$336</f>
        <v>0</v>
      </c>
      <c r="T224" s="17">
        <f>'HH WITH COM #4'!$AZ$336</f>
        <v>0</v>
      </c>
      <c r="U224" s="539">
        <f>SUM(S224:T224)</f>
        <v>0</v>
      </c>
      <c r="V224" s="91">
        <f>IF(U$231=0,0,U224/U$231)</f>
        <v>0</v>
      </c>
      <c r="W224" s="17">
        <f>'HH WITH COM #5'!$AT$336</f>
        <v>0</v>
      </c>
      <c r="X224" s="17">
        <f>'HH WITH COM #5'!$AZ$336</f>
        <v>0</v>
      </c>
      <c r="Y224" s="539">
        <f>SUM(W224:X224)</f>
        <v>0</v>
      </c>
      <c r="Z224" s="91">
        <f>IF(Y$231=0,0,Y224/Y$231)</f>
        <v>0</v>
      </c>
      <c r="AA224" s="17">
        <f>'HH WITH COM #6'!$AT$336</f>
        <v>0</v>
      </c>
      <c r="AB224" s="17">
        <f>'HH WITH COM #6'!$AZ$336</f>
        <v>0</v>
      </c>
      <c r="AC224" s="539">
        <f>SUM(AA224:AB224)</f>
        <v>0</v>
      </c>
      <c r="AD224" s="91">
        <f>IF(AC$231=0,0,AC224/AC$231)</f>
        <v>0</v>
      </c>
      <c r="AE224" s="17">
        <f>'HH WITH COM #7'!$AT$336</f>
        <v>0</v>
      </c>
      <c r="AF224" s="17">
        <f>'HH WITH COM #7'!$AZ$336</f>
        <v>0</v>
      </c>
      <c r="AG224" s="539">
        <f>SUM(AE224:AF224)</f>
        <v>0</v>
      </c>
      <c r="AH224" s="373">
        <f>IF(AG$231=0,0,AG224/AG$231)</f>
        <v>0</v>
      </c>
      <c r="AI224" s="391">
        <f t="shared" ref="AI224:AI225" si="438">G224+K224+O224+S224+W224+AA224+AE224</f>
        <v>0</v>
      </c>
      <c r="AJ224" s="17">
        <f t="shared" ref="AJ224:AJ225" si="439">H224+L224+P224+T224+X224+AB224+AF224</f>
        <v>0</v>
      </c>
      <c r="AK224" s="539">
        <f t="shared" ref="AK224:AK225" si="440">SUM(AI224:AJ224)</f>
        <v>0</v>
      </c>
      <c r="AL224" s="91">
        <f>IF(AK$231=0,0,AK224/AK$231)</f>
        <v>0</v>
      </c>
    </row>
    <row r="225" spans="1:38" s="4" customFormat="1" ht="16.5" customHeight="1" x14ac:dyDescent="0.25">
      <c r="A225" s="40"/>
      <c r="B225" s="40"/>
      <c r="C225" s="473" t="s">
        <v>161</v>
      </c>
      <c r="D225" s="484" t="s">
        <v>544</v>
      </c>
      <c r="E225" s="105"/>
      <c r="F225" s="106"/>
      <c r="G225" s="17">
        <f>'HH WITH COM #1 '!$AT$337</f>
        <v>0</v>
      </c>
      <c r="H225" s="17">
        <f>'HH WITH COM #1 '!$AZ$337</f>
        <v>0</v>
      </c>
      <c r="I225" s="539">
        <f>SUM(G225:H225)</f>
        <v>0</v>
      </c>
      <c r="J225" s="91">
        <f t="shared" ref="J225:J231" si="441">IF(I$231=0,0,I225/I$231)</f>
        <v>0</v>
      </c>
      <c r="K225" s="17">
        <f>'HH WITH COM #2'!$AT$337</f>
        <v>0</v>
      </c>
      <c r="L225" s="17">
        <f>'HH WITH COM #2'!$AZ$337</f>
        <v>0</v>
      </c>
      <c r="M225" s="539">
        <f>SUM(K225:L225)</f>
        <v>0</v>
      </c>
      <c r="N225" s="91">
        <f t="shared" ref="N225:N231" si="442">IF(M$231=0,0,M225/M$231)</f>
        <v>0</v>
      </c>
      <c r="O225" s="17">
        <f>'HH WITH COM #3'!$AT$337</f>
        <v>0</v>
      </c>
      <c r="P225" s="17">
        <f>'HH WITH COM #3'!$AZ$337</f>
        <v>0</v>
      </c>
      <c r="Q225" s="539">
        <f>SUM(O225:P225)</f>
        <v>0</v>
      </c>
      <c r="R225" s="91">
        <f t="shared" ref="R225:R231" si="443">IF(Q$231=0,0,Q225/Q$231)</f>
        <v>0</v>
      </c>
      <c r="S225" s="17">
        <f>'HH WITH COM #4'!$AT$337</f>
        <v>0</v>
      </c>
      <c r="T225" s="17">
        <f>'HH WITH COM #4'!$AZ$337</f>
        <v>0</v>
      </c>
      <c r="U225" s="539">
        <f>SUM(S225:T225)</f>
        <v>0</v>
      </c>
      <c r="V225" s="91">
        <f t="shared" ref="V225:V231" si="444">IF(U$231=0,0,U225/U$231)</f>
        <v>0</v>
      </c>
      <c r="W225" s="17">
        <f>'HH WITH COM #5'!$AT$337</f>
        <v>0</v>
      </c>
      <c r="X225" s="17">
        <f>'HH WITH COM #5'!$AZ$337</f>
        <v>0</v>
      </c>
      <c r="Y225" s="539">
        <f>SUM(W225:X225)</f>
        <v>0</v>
      </c>
      <c r="Z225" s="91">
        <f t="shared" ref="Z225:Z231" si="445">IF(Y$231=0,0,Y225/Y$231)</f>
        <v>0</v>
      </c>
      <c r="AA225" s="17">
        <f>'HH WITH COM #6'!$AT$337</f>
        <v>0</v>
      </c>
      <c r="AB225" s="17">
        <f>'HH WITH COM #6'!$AZ$337</f>
        <v>0</v>
      </c>
      <c r="AC225" s="539">
        <f>SUM(AA225:AB225)</f>
        <v>0</v>
      </c>
      <c r="AD225" s="91">
        <f t="shared" ref="AD225:AD231" si="446">IF(AC$231=0,0,AC225/AC$231)</f>
        <v>0</v>
      </c>
      <c r="AE225" s="17">
        <f>'HH WITH COM #7'!$AT$337</f>
        <v>0</v>
      </c>
      <c r="AF225" s="17">
        <f>'HH WITH COM #7'!$AZ$337</f>
        <v>0</v>
      </c>
      <c r="AG225" s="539">
        <f>SUM(AE225:AF225)</f>
        <v>0</v>
      </c>
      <c r="AH225" s="373">
        <f t="shared" ref="AH225:AH231" si="447">IF(AG$231=0,0,AG225/AG$231)</f>
        <v>0</v>
      </c>
      <c r="AI225" s="391">
        <f t="shared" si="438"/>
        <v>0</v>
      </c>
      <c r="AJ225" s="17">
        <f t="shared" si="439"/>
        <v>0</v>
      </c>
      <c r="AK225" s="539">
        <f t="shared" si="440"/>
        <v>0</v>
      </c>
      <c r="AL225" s="91">
        <f t="shared" ref="AL225:AL231" si="448">IF(AK$231=0,0,AK225/AK$231)</f>
        <v>0</v>
      </c>
    </row>
    <row r="226" spans="1:38" s="4" customFormat="1" ht="16.5" customHeight="1" x14ac:dyDescent="0.25">
      <c r="A226" s="40"/>
      <c r="B226" s="40"/>
      <c r="C226" s="473" t="s">
        <v>163</v>
      </c>
      <c r="D226" s="498" t="s">
        <v>484</v>
      </c>
      <c r="E226" s="105"/>
      <c r="F226" s="106"/>
      <c r="G226" s="17">
        <f>ROUND(('HH WITH COM #1 '!$AQ$338)/10000,0)*10000</f>
        <v>0</v>
      </c>
      <c r="H226" s="17">
        <f>ROUND(('HH WITH COM #1 '!$AW$338)/10000,0)*10000</f>
        <v>0</v>
      </c>
      <c r="I226" s="539">
        <f>ROUND(('HH WITH COM #1 '!$AA$338)/10000,0)*10000</f>
        <v>0</v>
      </c>
      <c r="J226" s="91"/>
      <c r="K226" s="17">
        <f>ROUND(('HH WITH COM #2'!$AQ$338)/10000,0)*10000</f>
        <v>0</v>
      </c>
      <c r="L226" s="17">
        <f>ROUND(('HH WITH COM #2'!$AW$338)/10000,0)*10000</f>
        <v>0</v>
      </c>
      <c r="M226" s="539">
        <f>ROUND(('HH WITH COM #2'!$AA$338)/10000,0)*10000</f>
        <v>0</v>
      </c>
      <c r="N226" s="91"/>
      <c r="O226" s="17">
        <f>ROUND(('HH WITH COM #3'!$AQ$338)/10000,0)*10000</f>
        <v>0</v>
      </c>
      <c r="P226" s="17">
        <f>ROUND(('HH WITH COM #3'!$AW$338)/10000,0)*10000</f>
        <v>0</v>
      </c>
      <c r="Q226" s="539">
        <f>ROUND(('HH WITH COM #3'!$AA$338)/10000,0)*10000</f>
        <v>0</v>
      </c>
      <c r="R226" s="91"/>
      <c r="S226" s="17">
        <f>ROUND(('HH WITH COM #4'!$AQ$338)/10000,0)*10000</f>
        <v>0</v>
      </c>
      <c r="T226" s="17">
        <f>ROUND(('HH WITH COM #4'!$AW$338)/10000,0)*10000</f>
        <v>0</v>
      </c>
      <c r="U226" s="539">
        <f>ROUND(('HH WITH COM #4'!$AA$338)/10000,0)*10000</f>
        <v>0</v>
      </c>
      <c r="V226" s="91"/>
      <c r="W226" s="17">
        <f>ROUND(('HH WITH COM #5'!$AQ$338)/10000,0)*10000</f>
        <v>0</v>
      </c>
      <c r="X226" s="17">
        <f>ROUND(('HH WITH COM #5'!$AW$338)/10000,0)*10000</f>
        <v>0</v>
      </c>
      <c r="Y226" s="539">
        <f>ROUND(('HH WITH COM #5'!$AA$338)/10000,0)*10000</f>
        <v>0</v>
      </c>
      <c r="Z226" s="91"/>
      <c r="AA226" s="17">
        <f>ROUND(('HH WITH COM #6'!$AQ$338)/10000,0)*10000</f>
        <v>0</v>
      </c>
      <c r="AB226" s="17">
        <f>ROUND(('HH WITH COM #6'!$AW$338)/10000,0)*10000</f>
        <v>0</v>
      </c>
      <c r="AC226" s="539">
        <f>ROUND(('HH WITH COM #6'!$AA$338)/10000,0)*10000</f>
        <v>0</v>
      </c>
      <c r="AD226" s="91"/>
      <c r="AE226" s="17">
        <f>ROUND(('HH WITH COM #7'!$AQ$338)/10000,0)*10000</f>
        <v>0</v>
      </c>
      <c r="AF226" s="17">
        <f>ROUND(('HH WITH COM #7'!$AW$338)/10000,0)*10000</f>
        <v>0</v>
      </c>
      <c r="AG226" s="539">
        <f>ROUND(('HH WITH COM #7'!$AA$338)/10000,0)*10000</f>
        <v>0</v>
      </c>
      <c r="AH226" s="373"/>
      <c r="AI226" s="391">
        <f>MIN(G226,K226,O226,S226,W226,AA226,AE226)</f>
        <v>0</v>
      </c>
      <c r="AJ226" s="17">
        <f t="shared" ref="AJ226" si="449">MIN(H226,L226,P226,T226,X226,AB226,AF226)</f>
        <v>0</v>
      </c>
      <c r="AK226" s="539">
        <f t="shared" ref="AK226" si="450">MIN(I226,M226,Q226,U226,Y226,AC226,AG226)</f>
        <v>0</v>
      </c>
      <c r="AL226" s="91"/>
    </row>
    <row r="227" spans="1:38" s="4" customFormat="1" ht="16.5" customHeight="1" x14ac:dyDescent="0.25">
      <c r="A227" s="40"/>
      <c r="B227" s="40"/>
      <c r="C227" s="473" t="s">
        <v>164</v>
      </c>
      <c r="D227" s="498" t="s">
        <v>485</v>
      </c>
      <c r="E227" s="105"/>
      <c r="F227" s="106"/>
      <c r="G227" s="17">
        <f>ROUND(('HH WITH COM #1 '!$AR$339)/10000,0)*10000</f>
        <v>0</v>
      </c>
      <c r="H227" s="17">
        <f>ROUND(('HH WITH COM #1 '!$AX$339)/10000,0)*10000</f>
        <v>0</v>
      </c>
      <c r="I227" s="539">
        <f>ROUND(('HH WITH COM #1 '!$AB$339)/10000,0)*10000</f>
        <v>0</v>
      </c>
      <c r="J227" s="91"/>
      <c r="K227" s="17">
        <f>ROUND(('HH WITH COM #2'!$AR$339)/10000,0)*10000</f>
        <v>0</v>
      </c>
      <c r="L227" s="17">
        <f>ROUND(('HH WITH COM #2'!$AX$339)/10000,0)*10000</f>
        <v>0</v>
      </c>
      <c r="M227" s="539">
        <f>ROUND(('HH WITH COM #2'!$AB$339)/10000,0)*10000</f>
        <v>0</v>
      </c>
      <c r="N227" s="91"/>
      <c r="O227" s="17">
        <f>ROUND(('HH WITH COM #3'!$AR$339)/10000,0)*10000</f>
        <v>0</v>
      </c>
      <c r="P227" s="17">
        <f>ROUND(('HH WITH COM #3'!$AX$339)/10000,0)*10000</f>
        <v>0</v>
      </c>
      <c r="Q227" s="539">
        <f>ROUND(('HH WITH COM #3'!$AB$339)/10000,0)*10000</f>
        <v>0</v>
      </c>
      <c r="R227" s="91"/>
      <c r="S227" s="17">
        <f>ROUND(('HH WITH COM #4'!$AR$339)/10000,0)*10000</f>
        <v>0</v>
      </c>
      <c r="T227" s="17">
        <f>ROUND(('HH WITH COM #4'!$AX$339)/10000,0)*10000</f>
        <v>0</v>
      </c>
      <c r="U227" s="539">
        <f>ROUND(('HH WITH COM #4'!$AB$339)/10000,0)*10000</f>
        <v>0</v>
      </c>
      <c r="V227" s="91"/>
      <c r="W227" s="17">
        <f>ROUND(('HH WITH COM #5'!$AR$339)/10000,0)*10000</f>
        <v>0</v>
      </c>
      <c r="X227" s="17">
        <f>ROUND(('HH WITH COM #5'!$AX$339)/10000,0)*10000</f>
        <v>0</v>
      </c>
      <c r="Y227" s="539">
        <f>ROUND(('HH WITH COM #5'!$AB$339)/10000,0)*10000</f>
        <v>0</v>
      </c>
      <c r="Z227" s="91"/>
      <c r="AA227" s="17">
        <f>ROUND(('HH WITH COM #6'!$AR$339)/10000,0)*10000</f>
        <v>0</v>
      </c>
      <c r="AB227" s="17">
        <f>ROUND(('HH WITH COM #6'!$AX$339)/10000,0)*10000</f>
        <v>0</v>
      </c>
      <c r="AC227" s="539">
        <f>ROUND(('HH WITH COM #6'!$AB$339)/10000,0)*10000</f>
        <v>0</v>
      </c>
      <c r="AD227" s="91"/>
      <c r="AE227" s="17">
        <f>ROUND(('HH WITH COM #7'!$AR$339)/10000,0)*10000</f>
        <v>0</v>
      </c>
      <c r="AF227" s="17">
        <f>ROUND(('HH WITH COM #7'!$AX$339)/10000,0)*10000</f>
        <v>0</v>
      </c>
      <c r="AG227" s="539">
        <f>ROUND(('HH WITH COM #7'!$AB$339)/10000,0)*10000</f>
        <v>0</v>
      </c>
      <c r="AH227" s="373"/>
      <c r="AI227" s="391">
        <f>MAX(G227,K227,O227,S227,W227,AA227,AE227)</f>
        <v>0</v>
      </c>
      <c r="AJ227" s="17">
        <f t="shared" ref="AJ227" si="451">MAX(H227,L227,P227,T227,X227,AB227,AF227)</f>
        <v>0</v>
      </c>
      <c r="AK227" s="539">
        <f t="shared" ref="AK227" si="452">MAX(I227,M227,Q227,U227,Y227,AC227,AG227)</f>
        <v>0</v>
      </c>
      <c r="AL227" s="91"/>
    </row>
    <row r="228" spans="1:38" s="4" customFormat="1" ht="16.5" customHeight="1" x14ac:dyDescent="0.25">
      <c r="A228" s="40"/>
      <c r="B228" s="40"/>
      <c r="C228" s="473" t="s">
        <v>166</v>
      </c>
      <c r="D228" s="498" t="s">
        <v>543</v>
      </c>
      <c r="E228" s="105"/>
      <c r="F228" s="106"/>
      <c r="G228" s="17">
        <f>ROUND(('HH WITH COM #1 '!$AS$340)/10000,0)*10000</f>
        <v>0</v>
      </c>
      <c r="H228" s="17">
        <f>ROUND(('HH WITH COM #1 '!$AY$340)/10000,0)*10000</f>
        <v>0</v>
      </c>
      <c r="I228" s="539">
        <f>ROUND(('HH WITH COM #1 '!$AC$340)/10000,0)*10000</f>
        <v>0</v>
      </c>
      <c r="J228" s="91"/>
      <c r="K228" s="17">
        <f>ROUND(('HH WITH COM #2'!$AS$340)/10000,0)*10000</f>
        <v>0</v>
      </c>
      <c r="L228" s="17">
        <f>ROUND(('HH WITH COM #2'!$AY$340)/10000,0)*10000</f>
        <v>0</v>
      </c>
      <c r="M228" s="539">
        <f>ROUND(('HH WITH COM #2'!$AC$340)/10000,0)*10000</f>
        <v>0</v>
      </c>
      <c r="N228" s="91"/>
      <c r="O228" s="17">
        <f>ROUND(('HH WITH COM #3'!$AS$340)/10000,0)*10000</f>
        <v>0</v>
      </c>
      <c r="P228" s="17">
        <f>ROUND(('HH WITH COM #3'!$AY$340)/10000,0)*10000</f>
        <v>0</v>
      </c>
      <c r="Q228" s="539">
        <f>ROUND(('HH WITH COM #3'!$AC$340)/10000,0)*10000</f>
        <v>0</v>
      </c>
      <c r="R228" s="91"/>
      <c r="S228" s="17">
        <f>ROUND(('HH WITH COM #4'!$AS$340)/10000,0)*10000</f>
        <v>0</v>
      </c>
      <c r="T228" s="17">
        <f>ROUND(('HH WITH COM #4'!$AY$340)/10000,0)*10000</f>
        <v>0</v>
      </c>
      <c r="U228" s="539">
        <f>ROUND(('HH WITH COM #4'!$AC$340)/10000,0)*10000</f>
        <v>0</v>
      </c>
      <c r="V228" s="91"/>
      <c r="W228" s="17">
        <f>ROUND(('HH WITH COM #5'!$AS$340)/10000,0)*10000</f>
        <v>0</v>
      </c>
      <c r="X228" s="17">
        <f>ROUND(('HH WITH COM #5'!$AY$340)/10000,0)*10000</f>
        <v>0</v>
      </c>
      <c r="Y228" s="539">
        <f>ROUND(('HH WITH COM #5'!$AC$340)/10000,0)*10000</f>
        <v>0</v>
      </c>
      <c r="Z228" s="91"/>
      <c r="AA228" s="17">
        <f>ROUND(('HH WITH COM #6'!$AS$340)/10000,0)*10000</f>
        <v>0</v>
      </c>
      <c r="AB228" s="17">
        <f>ROUND(('HH WITH COM #6'!$AY$340)/10000,0)*10000</f>
        <v>0</v>
      </c>
      <c r="AC228" s="539">
        <f>ROUND(('HH WITH COM #6'!$AC$340)/10000,0)*10000</f>
        <v>0</v>
      </c>
      <c r="AD228" s="91"/>
      <c r="AE228" s="17">
        <f>ROUND(('HH WITH COM #7'!$AS$340)/10000,0)*10000</f>
        <v>0</v>
      </c>
      <c r="AF228" s="17">
        <f>ROUND(('HH WITH COM #7'!$AY$340)/10000,0)*10000</f>
        <v>0</v>
      </c>
      <c r="AG228" s="539">
        <f>ROUND(('HH WITH COM #7'!$AC$340)/10000,0)*10000</f>
        <v>0</v>
      </c>
      <c r="AH228" s="373"/>
      <c r="AI228" s="391">
        <f>IF(G228+K228+O228+S228+W228+AA228=0,0,AVERAGE(G228,K228,O228,S228,W228,AA228,AE228))</f>
        <v>0</v>
      </c>
      <c r="AJ228" s="17">
        <f t="shared" ref="AJ228" si="453">IF(H228+L228+P228+T228+X228+AB228=0,0,AVERAGE(H228,L228,P228,T228,X228,AB228,AF228))</f>
        <v>0</v>
      </c>
      <c r="AK228" s="539">
        <f t="shared" ref="AK228" si="454">IF(I228+M228+Q228+U228+Y228+AC228=0,0,AVERAGE(I228,M228,Q228,U228,Y228,AC228,AG228))</f>
        <v>0</v>
      </c>
      <c r="AL228" s="91"/>
    </row>
    <row r="229" spans="1:38" s="4" customFormat="1" ht="16.5" customHeight="1" x14ac:dyDescent="0.25">
      <c r="A229" s="40"/>
      <c r="B229" s="40"/>
      <c r="C229" s="473" t="s">
        <v>168</v>
      </c>
      <c r="D229" s="105" t="s">
        <v>129</v>
      </c>
      <c r="E229" s="105"/>
      <c r="F229" s="106"/>
      <c r="G229" s="17">
        <f>'HH WITH COM #1 '!$AT$341</f>
        <v>0</v>
      </c>
      <c r="H229" s="17">
        <f>'HH WITH COM #1 '!$AZ$341</f>
        <v>0</v>
      </c>
      <c r="I229" s="539">
        <f t="shared" ref="I229:I230" si="455">SUM(G229:H229)</f>
        <v>0</v>
      </c>
      <c r="J229" s="91">
        <f t="shared" si="441"/>
        <v>0</v>
      </c>
      <c r="K229" s="17">
        <f>'HH WITH COM #2'!$AT$341</f>
        <v>0</v>
      </c>
      <c r="L229" s="17">
        <f>'HH WITH COM #2'!$AZ$341</f>
        <v>0</v>
      </c>
      <c r="M229" s="539">
        <f t="shared" ref="M229:M230" si="456">SUM(K229:L229)</f>
        <v>0</v>
      </c>
      <c r="N229" s="91">
        <f t="shared" si="442"/>
        <v>0</v>
      </c>
      <c r="O229" s="17">
        <f>'HH WITH COM #3'!$AT$341</f>
        <v>0</v>
      </c>
      <c r="P229" s="17">
        <f>'HH WITH COM #3'!$AZ$341</f>
        <v>0</v>
      </c>
      <c r="Q229" s="539">
        <f t="shared" ref="Q229:Q230" si="457">SUM(O229:P229)</f>
        <v>0</v>
      </c>
      <c r="R229" s="91">
        <f t="shared" si="443"/>
        <v>0</v>
      </c>
      <c r="S229" s="17">
        <f>'HH WITH COM #4'!$AT$341</f>
        <v>0</v>
      </c>
      <c r="T229" s="17">
        <f>'HH WITH COM #4'!$AZ$341</f>
        <v>0</v>
      </c>
      <c r="U229" s="539">
        <f t="shared" ref="U229:U230" si="458">SUM(S229:T229)</f>
        <v>0</v>
      </c>
      <c r="V229" s="91">
        <f t="shared" si="444"/>
        <v>0</v>
      </c>
      <c r="W229" s="17">
        <f>'HH WITH COM #5'!$AT$341</f>
        <v>0</v>
      </c>
      <c r="X229" s="17">
        <f>'HH WITH COM #5'!$AZ$341</f>
        <v>0</v>
      </c>
      <c r="Y229" s="539">
        <f t="shared" ref="Y229:Y230" si="459">SUM(W229:X229)</f>
        <v>0</v>
      </c>
      <c r="Z229" s="91">
        <f t="shared" si="445"/>
        <v>0</v>
      </c>
      <c r="AA229" s="17">
        <f>'HH WITH COM #6'!$AT$341</f>
        <v>0</v>
      </c>
      <c r="AB229" s="17">
        <f>'HH WITH COM #6'!$AZ$341</f>
        <v>0</v>
      </c>
      <c r="AC229" s="539">
        <f t="shared" ref="AC229:AC230" si="460">SUM(AA229:AB229)</f>
        <v>0</v>
      </c>
      <c r="AD229" s="91">
        <f t="shared" si="446"/>
        <v>0</v>
      </c>
      <c r="AE229" s="17">
        <f>'HH WITH COM #7'!$AT$341</f>
        <v>0</v>
      </c>
      <c r="AF229" s="17">
        <f>'HH WITH COM #7'!$AZ$341</f>
        <v>0</v>
      </c>
      <c r="AG229" s="539">
        <f t="shared" ref="AG229:AG230" si="461">SUM(AE229:AF229)</f>
        <v>0</v>
      </c>
      <c r="AH229" s="373">
        <f t="shared" si="447"/>
        <v>0</v>
      </c>
      <c r="AI229" s="391">
        <f t="shared" ref="AI229:AI230" si="462">G229+K229+O229+S229+W229+AA229+AE229</f>
        <v>0</v>
      </c>
      <c r="AJ229" s="17">
        <f t="shared" ref="AJ229:AJ230" si="463">H229+L229+P229+T229+X229+AB229+AF229</f>
        <v>0</v>
      </c>
      <c r="AK229" s="539">
        <f t="shared" ref="AK229:AK230" si="464">SUM(AI229:AJ229)</f>
        <v>0</v>
      </c>
      <c r="AL229" s="91">
        <f t="shared" si="448"/>
        <v>0</v>
      </c>
    </row>
    <row r="230" spans="1:38" s="4" customFormat="1" ht="16.5" customHeight="1" x14ac:dyDescent="0.25">
      <c r="A230" s="40"/>
      <c r="B230" s="40"/>
      <c r="C230" s="40"/>
      <c r="D230" s="105" t="s">
        <v>530</v>
      </c>
      <c r="E230" s="105"/>
      <c r="F230" s="106"/>
      <c r="G230" s="17">
        <f>'HH WITH COM #1 '!$AT$342</f>
        <v>0</v>
      </c>
      <c r="H230" s="17">
        <f>'HH WITH COM #1 '!$AZ$342</f>
        <v>0</v>
      </c>
      <c r="I230" s="539">
        <f t="shared" si="455"/>
        <v>0</v>
      </c>
      <c r="J230" s="91">
        <f t="shared" si="441"/>
        <v>0</v>
      </c>
      <c r="K230" s="17">
        <f>'HH WITH COM #2'!$AT$342</f>
        <v>0</v>
      </c>
      <c r="L230" s="17">
        <f>'HH WITH COM #2'!$AZ$342</f>
        <v>0</v>
      </c>
      <c r="M230" s="539">
        <f t="shared" si="456"/>
        <v>0</v>
      </c>
      <c r="N230" s="91">
        <f t="shared" si="442"/>
        <v>0</v>
      </c>
      <c r="O230" s="17">
        <f>'HH WITH COM #3'!$AT$342</f>
        <v>0</v>
      </c>
      <c r="P230" s="17">
        <f>'HH WITH COM #3'!$AZ$342</f>
        <v>0</v>
      </c>
      <c r="Q230" s="539">
        <f t="shared" si="457"/>
        <v>0</v>
      </c>
      <c r="R230" s="91">
        <f t="shared" si="443"/>
        <v>0</v>
      </c>
      <c r="S230" s="17">
        <f>'HH WITH COM #4'!$AT$342</f>
        <v>0</v>
      </c>
      <c r="T230" s="17">
        <f>'HH WITH COM #4'!$AZ$342</f>
        <v>0</v>
      </c>
      <c r="U230" s="539">
        <f t="shared" si="458"/>
        <v>0</v>
      </c>
      <c r="V230" s="91">
        <f t="shared" si="444"/>
        <v>0</v>
      </c>
      <c r="W230" s="17">
        <f>'HH WITH COM #5'!$AT$342</f>
        <v>0</v>
      </c>
      <c r="X230" s="17">
        <f>'HH WITH COM #5'!$AZ$342</f>
        <v>0</v>
      </c>
      <c r="Y230" s="539">
        <f t="shared" si="459"/>
        <v>0</v>
      </c>
      <c r="Z230" s="91">
        <f t="shared" si="445"/>
        <v>0</v>
      </c>
      <c r="AA230" s="17">
        <f>'HH WITH COM #6'!$AT$342</f>
        <v>0</v>
      </c>
      <c r="AB230" s="17">
        <f>'HH WITH COM #6'!$AZ$342</f>
        <v>0</v>
      </c>
      <c r="AC230" s="539">
        <f t="shared" si="460"/>
        <v>0</v>
      </c>
      <c r="AD230" s="91">
        <f t="shared" si="446"/>
        <v>0</v>
      </c>
      <c r="AE230" s="17">
        <f>'HH WITH COM #7'!$AT$342</f>
        <v>0</v>
      </c>
      <c r="AF230" s="17">
        <f>'HH WITH COM #7'!$AZ$342</f>
        <v>0</v>
      </c>
      <c r="AG230" s="539">
        <f t="shared" si="461"/>
        <v>0</v>
      </c>
      <c r="AH230" s="373">
        <f t="shared" si="447"/>
        <v>0</v>
      </c>
      <c r="AI230" s="391">
        <f t="shared" si="462"/>
        <v>0</v>
      </c>
      <c r="AJ230" s="17">
        <f t="shared" si="463"/>
        <v>0</v>
      </c>
      <c r="AK230" s="539">
        <f t="shared" si="464"/>
        <v>0</v>
      </c>
      <c r="AL230" s="91">
        <f t="shared" si="448"/>
        <v>0</v>
      </c>
    </row>
    <row r="231" spans="1:38" s="4" customFormat="1" ht="16.5" customHeight="1" x14ac:dyDescent="0.25">
      <c r="A231" s="119"/>
      <c r="B231" s="119"/>
      <c r="C231" s="119"/>
      <c r="D231" s="184"/>
      <c r="E231" s="134"/>
      <c r="F231" s="469"/>
      <c r="G231" s="497">
        <f>G224+G225+G229+G230</f>
        <v>0</v>
      </c>
      <c r="H231" s="497">
        <f t="shared" ref="H231" si="465">H224+H225+H229+H230</f>
        <v>0</v>
      </c>
      <c r="I231" s="497">
        <f t="shared" ref="I231" si="466">I224+I225+I229+I230</f>
        <v>0</v>
      </c>
      <c r="J231" s="66">
        <f t="shared" si="441"/>
        <v>0</v>
      </c>
      <c r="K231" s="497">
        <f>K224+K225+K229+K230</f>
        <v>0</v>
      </c>
      <c r="L231" s="497">
        <f t="shared" ref="L231" si="467">L224+L225+L229+L230</f>
        <v>0</v>
      </c>
      <c r="M231" s="497">
        <f t="shared" ref="M231" si="468">M224+M225+M229+M230</f>
        <v>0</v>
      </c>
      <c r="N231" s="66">
        <f t="shared" si="442"/>
        <v>0</v>
      </c>
      <c r="O231" s="497">
        <f>O224+O225+O229+O230</f>
        <v>0</v>
      </c>
      <c r="P231" s="497">
        <f t="shared" ref="P231" si="469">P224+P225+P229+P230</f>
        <v>0</v>
      </c>
      <c r="Q231" s="497">
        <f t="shared" ref="Q231" si="470">Q224+Q225+Q229+Q230</f>
        <v>0</v>
      </c>
      <c r="R231" s="66">
        <f t="shared" si="443"/>
        <v>0</v>
      </c>
      <c r="S231" s="497">
        <f>S224+S225+S229+S230</f>
        <v>0</v>
      </c>
      <c r="T231" s="497">
        <f t="shared" ref="T231" si="471">T224+T225+T229+T230</f>
        <v>0</v>
      </c>
      <c r="U231" s="497">
        <f t="shared" ref="U231" si="472">U224+U225+U229+U230</f>
        <v>0</v>
      </c>
      <c r="V231" s="66">
        <f t="shared" si="444"/>
        <v>0</v>
      </c>
      <c r="W231" s="497">
        <f>W224+W225+W229+W230</f>
        <v>0</v>
      </c>
      <c r="X231" s="497">
        <f t="shared" ref="X231" si="473">X224+X225+X229+X230</f>
        <v>0</v>
      </c>
      <c r="Y231" s="497">
        <f t="shared" ref="Y231" si="474">Y224+Y225+Y229+Y230</f>
        <v>0</v>
      </c>
      <c r="Z231" s="66">
        <f t="shared" si="445"/>
        <v>0</v>
      </c>
      <c r="AA231" s="497">
        <f>AA224+AA225+AA229+AA230</f>
        <v>0</v>
      </c>
      <c r="AB231" s="497">
        <f t="shared" ref="AB231" si="475">AB224+AB225+AB229+AB230</f>
        <v>0</v>
      </c>
      <c r="AC231" s="497">
        <f t="shared" ref="AC231" si="476">AC224+AC225+AC229+AC230</f>
        <v>0</v>
      </c>
      <c r="AD231" s="66">
        <f t="shared" si="446"/>
        <v>0</v>
      </c>
      <c r="AE231" s="497">
        <f>AE224+AE225+AE229+AE230</f>
        <v>0</v>
      </c>
      <c r="AF231" s="497">
        <f t="shared" ref="AF231" si="477">AF224+AF225+AF229+AF230</f>
        <v>0</v>
      </c>
      <c r="AG231" s="497">
        <f t="shared" ref="AG231" si="478">AG224+AG225+AG229+AG230</f>
        <v>0</v>
      </c>
      <c r="AH231" s="608">
        <f t="shared" si="447"/>
        <v>0</v>
      </c>
      <c r="AI231" s="622">
        <f t="shared" ref="AI231" si="479">AI224+AI225+AI229+AI230</f>
        <v>0</v>
      </c>
      <c r="AJ231" s="497">
        <f t="shared" ref="AJ231" si="480">AJ224+AJ225+AJ229+AJ230</f>
        <v>0</v>
      </c>
      <c r="AK231" s="497">
        <f t="shared" ref="AK231" si="481">AK224+AK225+AK229+AK230</f>
        <v>0</v>
      </c>
      <c r="AL231" s="66">
        <f t="shared" si="448"/>
        <v>0</v>
      </c>
    </row>
    <row r="232" spans="1:38" s="117" customFormat="1" ht="16.5" customHeight="1" x14ac:dyDescent="0.25">
      <c r="A232" s="119"/>
      <c r="B232" s="41" t="s">
        <v>180</v>
      </c>
      <c r="C232" s="476" t="s">
        <v>868</v>
      </c>
      <c r="D232" s="477"/>
      <c r="E232" s="478"/>
      <c r="F232" s="478"/>
      <c r="G232" s="71"/>
      <c r="H232" s="71"/>
      <c r="I232" s="71"/>
      <c r="J232" s="71"/>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355"/>
      <c r="AI232" s="377"/>
      <c r="AJ232" s="71"/>
      <c r="AK232" s="71"/>
      <c r="AL232" s="71"/>
    </row>
    <row r="233" spans="1:38" s="97" customFormat="1" ht="16.5" customHeight="1" x14ac:dyDescent="0.25">
      <c r="A233" s="40"/>
      <c r="B233" s="40"/>
      <c r="C233" s="473" t="s">
        <v>440</v>
      </c>
      <c r="D233" s="562" t="s">
        <v>162</v>
      </c>
      <c r="E233" s="417"/>
      <c r="F233" s="281"/>
      <c r="G233" s="198">
        <f>'HH WITH COM #1 '!$W$346</f>
        <v>6</v>
      </c>
      <c r="H233" s="198">
        <f>'HH WITH COM #1 '!$X$346</f>
        <v>12</v>
      </c>
      <c r="I233" s="116">
        <f t="shared" ref="I233:I240" si="482">SUM(G233:H233)</f>
        <v>18</v>
      </c>
      <c r="J233" s="91">
        <f t="shared" ref="J233:J241" si="483">IF(I$241=0,0,I233/I$241)</f>
        <v>6.8702290076335881E-2</v>
      </c>
      <c r="K233" s="198">
        <f>'HH WITH COM #2'!$W$346</f>
        <v>0</v>
      </c>
      <c r="L233" s="198">
        <f>'HH WITH COM #2'!$X$346</f>
        <v>0</v>
      </c>
      <c r="M233" s="539">
        <f t="shared" ref="M233:M240" si="484">SUM(K233:L233)</f>
        <v>0</v>
      </c>
      <c r="N233" s="91">
        <f t="shared" ref="N233:N241" si="485">IF(M$241=0,0,M233/M$241)</f>
        <v>0</v>
      </c>
      <c r="O233" s="198">
        <f>'HH WITH COM #3'!$W$346</f>
        <v>0</v>
      </c>
      <c r="P233" s="198">
        <f>'HH WITH COM #3'!$X$346</f>
        <v>0</v>
      </c>
      <c r="Q233" s="539">
        <f t="shared" ref="Q233:Q240" si="486">SUM(O233:P233)</f>
        <v>0</v>
      </c>
      <c r="R233" s="91">
        <f t="shared" ref="R233:R241" si="487">IF(Q$241=0,0,Q233/Q$241)</f>
        <v>0</v>
      </c>
      <c r="S233" s="198">
        <f>'HH WITH COM #4'!$W$346</f>
        <v>0</v>
      </c>
      <c r="T233" s="198">
        <f>'HH WITH COM #4'!$X$346</f>
        <v>0</v>
      </c>
      <c r="U233" s="539">
        <f t="shared" ref="U233:U240" si="488">SUM(S233:T233)</f>
        <v>0</v>
      </c>
      <c r="V233" s="91">
        <f t="shared" ref="V233:V241" si="489">IF(U$241=0,0,U233/U$241)</f>
        <v>0</v>
      </c>
      <c r="W233" s="198">
        <f>'HH WITH COM #5'!$W$346</f>
        <v>0</v>
      </c>
      <c r="X233" s="198">
        <f>'HH WITH COM #5'!$X$346</f>
        <v>0</v>
      </c>
      <c r="Y233" s="539">
        <f t="shared" ref="Y233:Y240" si="490">SUM(W233:X233)</f>
        <v>0</v>
      </c>
      <c r="Z233" s="91">
        <f t="shared" ref="Z233:Z241" si="491">IF(Y$241=0,0,Y233/Y$241)</f>
        <v>0</v>
      </c>
      <c r="AA233" s="198">
        <f>'HH WITH COM #6'!$W$346</f>
        <v>0</v>
      </c>
      <c r="AB233" s="198">
        <f>'HH WITH COM #6'!$X$346</f>
        <v>0</v>
      </c>
      <c r="AC233" s="539">
        <f t="shared" ref="AC233:AC240" si="492">SUM(AA233:AB233)</f>
        <v>0</v>
      </c>
      <c r="AD233" s="91">
        <f t="shared" ref="AD233:AD241" si="493">IF(AC$241=0,0,AC233/AC$241)</f>
        <v>0</v>
      </c>
      <c r="AE233" s="198">
        <f>'HH WITH COM #7'!$W$346</f>
        <v>0</v>
      </c>
      <c r="AF233" s="198">
        <f>'HH WITH COM #7'!$X$346</f>
        <v>0</v>
      </c>
      <c r="AG233" s="539">
        <f t="shared" ref="AG233:AG240" si="494">SUM(AE233:AF233)</f>
        <v>0</v>
      </c>
      <c r="AH233" s="373">
        <f t="shared" ref="AH233:AH241" si="495">IF(AG$241=0,0,AG233/AG$241)</f>
        <v>0</v>
      </c>
      <c r="AI233" s="391">
        <f t="shared" ref="AI233:AJ240" si="496">G233+K233+O233+S233+W233+AA233+AE233</f>
        <v>6</v>
      </c>
      <c r="AJ233" s="17">
        <f t="shared" si="496"/>
        <v>12</v>
      </c>
      <c r="AK233" s="539">
        <f t="shared" ref="AK233:AK240" si="497">SUM(AI233:AJ233)</f>
        <v>18</v>
      </c>
      <c r="AL233" s="91">
        <f t="shared" ref="AL233:AL241" si="498">IF(AK$241=0,0,AK233/AK$241)</f>
        <v>6.8702290076335881E-2</v>
      </c>
    </row>
    <row r="234" spans="1:38" s="97" customFormat="1" ht="16.5" customHeight="1" x14ac:dyDescent="0.25">
      <c r="A234" s="40"/>
      <c r="B234" s="40"/>
      <c r="C234" s="473" t="s">
        <v>441</v>
      </c>
      <c r="D234" s="562" t="s">
        <v>165</v>
      </c>
      <c r="E234" s="417"/>
      <c r="F234" s="281"/>
      <c r="G234" s="198">
        <f>'HH WITH COM #1 '!$W$347</f>
        <v>7</v>
      </c>
      <c r="H234" s="198">
        <f>'HH WITH COM #1 '!$X$347</f>
        <v>186</v>
      </c>
      <c r="I234" s="116">
        <f t="shared" si="482"/>
        <v>193</v>
      </c>
      <c r="J234" s="91">
        <f t="shared" si="483"/>
        <v>0.73664122137404575</v>
      </c>
      <c r="K234" s="198">
        <f>'HH WITH COM #2'!$W$347</f>
        <v>0</v>
      </c>
      <c r="L234" s="198">
        <f>'HH WITH COM #2'!$X$347</f>
        <v>0</v>
      </c>
      <c r="M234" s="539">
        <f t="shared" si="484"/>
        <v>0</v>
      </c>
      <c r="N234" s="91">
        <f t="shared" si="485"/>
        <v>0</v>
      </c>
      <c r="O234" s="198">
        <f>'HH WITH COM #3'!$W$347</f>
        <v>0</v>
      </c>
      <c r="P234" s="198">
        <f>'HH WITH COM #3'!$X$347</f>
        <v>0</v>
      </c>
      <c r="Q234" s="539">
        <f t="shared" si="486"/>
        <v>0</v>
      </c>
      <c r="R234" s="91">
        <f t="shared" si="487"/>
        <v>0</v>
      </c>
      <c r="S234" s="198">
        <f>'HH WITH COM #4'!$W$347</f>
        <v>0</v>
      </c>
      <c r="T234" s="198">
        <f>'HH WITH COM #4'!$X$347</f>
        <v>0</v>
      </c>
      <c r="U234" s="539">
        <f t="shared" si="488"/>
        <v>0</v>
      </c>
      <c r="V234" s="91">
        <f t="shared" si="489"/>
        <v>0</v>
      </c>
      <c r="W234" s="198">
        <f>'HH WITH COM #5'!$W$347</f>
        <v>0</v>
      </c>
      <c r="X234" s="198">
        <f>'HH WITH COM #5'!$X$347</f>
        <v>0</v>
      </c>
      <c r="Y234" s="539">
        <f t="shared" si="490"/>
        <v>0</v>
      </c>
      <c r="Z234" s="91">
        <f t="shared" si="491"/>
        <v>0</v>
      </c>
      <c r="AA234" s="198">
        <f>'HH WITH COM #6'!$W$347</f>
        <v>0</v>
      </c>
      <c r="AB234" s="198">
        <f>'HH WITH COM #6'!$X$347</f>
        <v>0</v>
      </c>
      <c r="AC234" s="539">
        <f t="shared" si="492"/>
        <v>0</v>
      </c>
      <c r="AD234" s="91">
        <f t="shared" si="493"/>
        <v>0</v>
      </c>
      <c r="AE234" s="198">
        <f>'HH WITH COM #7'!$W$347</f>
        <v>0</v>
      </c>
      <c r="AF234" s="198">
        <f>'HH WITH COM #7'!$X$347</f>
        <v>0</v>
      </c>
      <c r="AG234" s="539">
        <f t="shared" si="494"/>
        <v>0</v>
      </c>
      <c r="AH234" s="373">
        <f t="shared" si="495"/>
        <v>0</v>
      </c>
      <c r="AI234" s="391">
        <f t="shared" si="496"/>
        <v>7</v>
      </c>
      <c r="AJ234" s="17">
        <f t="shared" si="496"/>
        <v>186</v>
      </c>
      <c r="AK234" s="539">
        <f t="shared" si="497"/>
        <v>193</v>
      </c>
      <c r="AL234" s="91">
        <f t="shared" si="498"/>
        <v>0.73664122137404575</v>
      </c>
    </row>
    <row r="235" spans="1:38" s="97" customFormat="1" ht="16.5" customHeight="1" x14ac:dyDescent="0.25">
      <c r="A235" s="40"/>
      <c r="B235" s="40"/>
      <c r="C235" s="473" t="s">
        <v>442</v>
      </c>
      <c r="D235" s="562" t="s">
        <v>167</v>
      </c>
      <c r="E235" s="417"/>
      <c r="F235" s="281"/>
      <c r="G235" s="198">
        <f>'HH WITH COM #1 '!$W$348</f>
        <v>0</v>
      </c>
      <c r="H235" s="198">
        <f>'HH WITH COM #1 '!$X$348</f>
        <v>6</v>
      </c>
      <c r="I235" s="116">
        <f t="shared" si="482"/>
        <v>6</v>
      </c>
      <c r="J235" s="91">
        <f t="shared" si="483"/>
        <v>2.2900763358778626E-2</v>
      </c>
      <c r="K235" s="198">
        <f>'HH WITH COM #2'!$W$348</f>
        <v>0</v>
      </c>
      <c r="L235" s="198">
        <f>'HH WITH COM #2'!$X$348</f>
        <v>0</v>
      </c>
      <c r="M235" s="539">
        <f t="shared" si="484"/>
        <v>0</v>
      </c>
      <c r="N235" s="91">
        <f t="shared" si="485"/>
        <v>0</v>
      </c>
      <c r="O235" s="198">
        <f>'HH WITH COM #3'!$W$348</f>
        <v>0</v>
      </c>
      <c r="P235" s="198">
        <f>'HH WITH COM #3'!$X$348</f>
        <v>0</v>
      </c>
      <c r="Q235" s="539">
        <f t="shared" si="486"/>
        <v>0</v>
      </c>
      <c r="R235" s="91">
        <f t="shared" si="487"/>
        <v>0</v>
      </c>
      <c r="S235" s="198">
        <f>'HH WITH COM #4'!$W$348</f>
        <v>0</v>
      </c>
      <c r="T235" s="198">
        <f>'HH WITH COM #4'!$X$348</f>
        <v>0</v>
      </c>
      <c r="U235" s="539">
        <f t="shared" si="488"/>
        <v>0</v>
      </c>
      <c r="V235" s="91">
        <f t="shared" si="489"/>
        <v>0</v>
      </c>
      <c r="W235" s="198">
        <f>'HH WITH COM #5'!$W$348</f>
        <v>0</v>
      </c>
      <c r="X235" s="198">
        <f>'HH WITH COM #5'!$X$348</f>
        <v>0</v>
      </c>
      <c r="Y235" s="539">
        <f t="shared" si="490"/>
        <v>0</v>
      </c>
      <c r="Z235" s="91">
        <f t="shared" si="491"/>
        <v>0</v>
      </c>
      <c r="AA235" s="198">
        <f>'HH WITH COM #6'!$W$348</f>
        <v>0</v>
      </c>
      <c r="AB235" s="198">
        <f>'HH WITH COM #6'!$X$348</f>
        <v>0</v>
      </c>
      <c r="AC235" s="539">
        <f t="shared" si="492"/>
        <v>0</v>
      </c>
      <c r="AD235" s="91">
        <f t="shared" si="493"/>
        <v>0</v>
      </c>
      <c r="AE235" s="198">
        <f>'HH WITH COM #7'!$W$348</f>
        <v>0</v>
      </c>
      <c r="AF235" s="198">
        <f>'HH WITH COM #7'!$X$348</f>
        <v>0</v>
      </c>
      <c r="AG235" s="539">
        <f t="shared" si="494"/>
        <v>0</v>
      </c>
      <c r="AH235" s="373">
        <f t="shared" si="495"/>
        <v>0</v>
      </c>
      <c r="AI235" s="391">
        <f t="shared" si="496"/>
        <v>0</v>
      </c>
      <c r="AJ235" s="17">
        <f t="shared" si="496"/>
        <v>6</v>
      </c>
      <c r="AK235" s="539">
        <f t="shared" si="497"/>
        <v>6</v>
      </c>
      <c r="AL235" s="91">
        <f t="shared" si="498"/>
        <v>2.2900763358778626E-2</v>
      </c>
    </row>
    <row r="236" spans="1:38" s="97" customFormat="1" ht="16.5" customHeight="1" x14ac:dyDescent="0.25">
      <c r="A236" s="40"/>
      <c r="B236" s="40"/>
      <c r="C236" s="473" t="s">
        <v>443</v>
      </c>
      <c r="D236" s="562" t="s">
        <v>991</v>
      </c>
      <c r="E236" s="417"/>
      <c r="F236" s="281"/>
      <c r="G236" s="198">
        <f>'HH WITH COM #1 '!$W$349</f>
        <v>0</v>
      </c>
      <c r="H236" s="198">
        <f>'HH WITH COM #1 '!$X$349</f>
        <v>7</v>
      </c>
      <c r="I236" s="116">
        <f t="shared" si="482"/>
        <v>7</v>
      </c>
      <c r="J236" s="91">
        <f t="shared" si="483"/>
        <v>2.6717557251908396E-2</v>
      </c>
      <c r="K236" s="198">
        <f>'HH WITH COM #2'!$W$349</f>
        <v>0</v>
      </c>
      <c r="L236" s="198">
        <f>'HH WITH COM #2'!$X$349</f>
        <v>0</v>
      </c>
      <c r="M236" s="539">
        <f t="shared" si="484"/>
        <v>0</v>
      </c>
      <c r="N236" s="91">
        <f t="shared" si="485"/>
        <v>0</v>
      </c>
      <c r="O236" s="198">
        <f>'HH WITH COM #3'!$W$349</f>
        <v>0</v>
      </c>
      <c r="P236" s="198">
        <f>'HH WITH COM #3'!$X$349</f>
        <v>0</v>
      </c>
      <c r="Q236" s="539">
        <f t="shared" si="486"/>
        <v>0</v>
      </c>
      <c r="R236" s="91">
        <f t="shared" si="487"/>
        <v>0</v>
      </c>
      <c r="S236" s="198">
        <f>'HH WITH COM #4'!$W$349</f>
        <v>0</v>
      </c>
      <c r="T236" s="198">
        <f>'HH WITH COM #4'!$X$349</f>
        <v>0</v>
      </c>
      <c r="U236" s="539">
        <f t="shared" si="488"/>
        <v>0</v>
      </c>
      <c r="V236" s="91">
        <f t="shared" si="489"/>
        <v>0</v>
      </c>
      <c r="W236" s="198">
        <f>'HH WITH COM #5'!$W$349</f>
        <v>0</v>
      </c>
      <c r="X236" s="198">
        <f>'HH WITH COM #5'!$X$349</f>
        <v>0</v>
      </c>
      <c r="Y236" s="539">
        <f t="shared" si="490"/>
        <v>0</v>
      </c>
      <c r="Z236" s="91">
        <f t="shared" si="491"/>
        <v>0</v>
      </c>
      <c r="AA236" s="198">
        <f>'HH WITH COM #6'!$W$349</f>
        <v>0</v>
      </c>
      <c r="AB236" s="198">
        <f>'HH WITH COM #6'!$X$349</f>
        <v>0</v>
      </c>
      <c r="AC236" s="539">
        <f t="shared" si="492"/>
        <v>0</v>
      </c>
      <c r="AD236" s="91">
        <f t="shared" si="493"/>
        <v>0</v>
      </c>
      <c r="AE236" s="198">
        <f>'HH WITH COM #7'!$W$349</f>
        <v>0</v>
      </c>
      <c r="AF236" s="198">
        <f>'HH WITH COM #7'!$X$349</f>
        <v>0</v>
      </c>
      <c r="AG236" s="539">
        <f t="shared" si="494"/>
        <v>0</v>
      </c>
      <c r="AH236" s="373">
        <f t="shared" si="495"/>
        <v>0</v>
      </c>
      <c r="AI236" s="391">
        <f t="shared" si="496"/>
        <v>0</v>
      </c>
      <c r="AJ236" s="17">
        <f t="shared" si="496"/>
        <v>7</v>
      </c>
      <c r="AK236" s="539">
        <f t="shared" si="497"/>
        <v>7</v>
      </c>
      <c r="AL236" s="91">
        <f t="shared" si="498"/>
        <v>2.6717557251908396E-2</v>
      </c>
    </row>
    <row r="237" spans="1:38" s="97" customFormat="1" ht="16.5" customHeight="1" x14ac:dyDescent="0.25">
      <c r="A237" s="40"/>
      <c r="B237" s="40"/>
      <c r="C237" s="473" t="s">
        <v>444</v>
      </c>
      <c r="D237" s="562" t="s">
        <v>438</v>
      </c>
      <c r="E237" s="417"/>
      <c r="F237" s="281"/>
      <c r="G237" s="198">
        <f>'HH WITH COM #1 '!$W$350</f>
        <v>5</v>
      </c>
      <c r="H237" s="198">
        <f>'HH WITH COM #1 '!$X$350</f>
        <v>11</v>
      </c>
      <c r="I237" s="116">
        <f t="shared" si="482"/>
        <v>16</v>
      </c>
      <c r="J237" s="91">
        <f t="shared" si="483"/>
        <v>6.1068702290076333E-2</v>
      </c>
      <c r="K237" s="198">
        <f>'HH WITH COM #2'!$W$350</f>
        <v>0</v>
      </c>
      <c r="L237" s="198">
        <f>'HH WITH COM #2'!$X$350</f>
        <v>0</v>
      </c>
      <c r="M237" s="539">
        <f t="shared" si="484"/>
        <v>0</v>
      </c>
      <c r="N237" s="91">
        <f t="shared" si="485"/>
        <v>0</v>
      </c>
      <c r="O237" s="198">
        <f>'HH WITH COM #3'!$W$350</f>
        <v>0</v>
      </c>
      <c r="P237" s="198">
        <f>'HH WITH COM #3'!$X$350</f>
        <v>0</v>
      </c>
      <c r="Q237" s="539">
        <f t="shared" si="486"/>
        <v>0</v>
      </c>
      <c r="R237" s="91">
        <f t="shared" si="487"/>
        <v>0</v>
      </c>
      <c r="S237" s="198">
        <f>'HH WITH COM #4'!$W$350</f>
        <v>0</v>
      </c>
      <c r="T237" s="198">
        <f>'HH WITH COM #4'!$X$350</f>
        <v>0</v>
      </c>
      <c r="U237" s="539">
        <f t="shared" si="488"/>
        <v>0</v>
      </c>
      <c r="V237" s="91">
        <f t="shared" si="489"/>
        <v>0</v>
      </c>
      <c r="W237" s="198">
        <f>'HH WITH COM #5'!$W$350</f>
        <v>0</v>
      </c>
      <c r="X237" s="198">
        <f>'HH WITH COM #5'!$X$350</f>
        <v>0</v>
      </c>
      <c r="Y237" s="539">
        <f t="shared" si="490"/>
        <v>0</v>
      </c>
      <c r="Z237" s="91">
        <f t="shared" si="491"/>
        <v>0</v>
      </c>
      <c r="AA237" s="198">
        <f>'HH WITH COM #6'!$W$350</f>
        <v>0</v>
      </c>
      <c r="AB237" s="198">
        <f>'HH WITH COM #6'!$X$350</f>
        <v>0</v>
      </c>
      <c r="AC237" s="539">
        <f t="shared" si="492"/>
        <v>0</v>
      </c>
      <c r="AD237" s="91">
        <f t="shared" si="493"/>
        <v>0</v>
      </c>
      <c r="AE237" s="198">
        <f>'HH WITH COM #7'!$W$350</f>
        <v>0</v>
      </c>
      <c r="AF237" s="198">
        <f>'HH WITH COM #7'!$X$350</f>
        <v>0</v>
      </c>
      <c r="AG237" s="539">
        <f t="shared" si="494"/>
        <v>0</v>
      </c>
      <c r="AH237" s="373">
        <f t="shared" si="495"/>
        <v>0</v>
      </c>
      <c r="AI237" s="391">
        <f t="shared" si="496"/>
        <v>5</v>
      </c>
      <c r="AJ237" s="17">
        <f t="shared" si="496"/>
        <v>11</v>
      </c>
      <c r="AK237" s="539">
        <f t="shared" si="497"/>
        <v>16</v>
      </c>
      <c r="AL237" s="91">
        <f t="shared" si="498"/>
        <v>6.1068702290076333E-2</v>
      </c>
    </row>
    <row r="238" spans="1:38" s="97" customFormat="1" ht="16.5" customHeight="1" x14ac:dyDescent="0.25">
      <c r="A238" s="40"/>
      <c r="B238" s="40"/>
      <c r="C238" s="473" t="s">
        <v>445</v>
      </c>
      <c r="D238" s="562" t="s">
        <v>439</v>
      </c>
      <c r="E238" s="417"/>
      <c r="F238" s="281"/>
      <c r="G238" s="198">
        <f>'HH WITH COM #1 '!$W$351</f>
        <v>9</v>
      </c>
      <c r="H238" s="198">
        <f>'HH WITH COM #1 '!$X$351</f>
        <v>1</v>
      </c>
      <c r="I238" s="116">
        <f t="shared" si="482"/>
        <v>10</v>
      </c>
      <c r="J238" s="91">
        <f t="shared" si="483"/>
        <v>3.8167938931297711E-2</v>
      </c>
      <c r="K238" s="198">
        <f>'HH WITH COM #2'!$W$351</f>
        <v>0</v>
      </c>
      <c r="L238" s="198">
        <f>'HH WITH COM #2'!$X$351</f>
        <v>0</v>
      </c>
      <c r="M238" s="539">
        <f t="shared" si="484"/>
        <v>0</v>
      </c>
      <c r="N238" s="91">
        <f t="shared" si="485"/>
        <v>0</v>
      </c>
      <c r="O238" s="198">
        <f>'HH WITH COM #3'!$W$351</f>
        <v>0</v>
      </c>
      <c r="P238" s="198">
        <f>'HH WITH COM #3'!$X$351</f>
        <v>0</v>
      </c>
      <c r="Q238" s="539">
        <f t="shared" si="486"/>
        <v>0</v>
      </c>
      <c r="R238" s="91">
        <f t="shared" si="487"/>
        <v>0</v>
      </c>
      <c r="S238" s="198">
        <f>'HH WITH COM #4'!$W$351</f>
        <v>0</v>
      </c>
      <c r="T238" s="198">
        <f>'HH WITH COM #4'!$X$351</f>
        <v>0</v>
      </c>
      <c r="U238" s="539">
        <f t="shared" si="488"/>
        <v>0</v>
      </c>
      <c r="V238" s="91">
        <f t="shared" si="489"/>
        <v>0</v>
      </c>
      <c r="W238" s="198">
        <f>'HH WITH COM #5'!$W$351</f>
        <v>0</v>
      </c>
      <c r="X238" s="198">
        <f>'HH WITH COM #5'!$X$351</f>
        <v>0</v>
      </c>
      <c r="Y238" s="539">
        <f t="shared" si="490"/>
        <v>0</v>
      </c>
      <c r="Z238" s="91">
        <f t="shared" si="491"/>
        <v>0</v>
      </c>
      <c r="AA238" s="198">
        <f>'HH WITH COM #6'!$W$351</f>
        <v>0</v>
      </c>
      <c r="AB238" s="198">
        <f>'HH WITH COM #6'!$X$351</f>
        <v>0</v>
      </c>
      <c r="AC238" s="539">
        <f t="shared" si="492"/>
        <v>0</v>
      </c>
      <c r="AD238" s="91">
        <f t="shared" si="493"/>
        <v>0</v>
      </c>
      <c r="AE238" s="198">
        <f>'HH WITH COM #7'!$W$351</f>
        <v>0</v>
      </c>
      <c r="AF238" s="198">
        <f>'HH WITH COM #7'!$X$351</f>
        <v>0</v>
      </c>
      <c r="AG238" s="539">
        <f t="shared" si="494"/>
        <v>0</v>
      </c>
      <c r="AH238" s="373">
        <f t="shared" si="495"/>
        <v>0</v>
      </c>
      <c r="AI238" s="391">
        <f t="shared" si="496"/>
        <v>9</v>
      </c>
      <c r="AJ238" s="17">
        <f t="shared" si="496"/>
        <v>1</v>
      </c>
      <c r="AK238" s="539">
        <f t="shared" si="497"/>
        <v>10</v>
      </c>
      <c r="AL238" s="91">
        <f t="shared" si="498"/>
        <v>3.8167938931297711E-2</v>
      </c>
    </row>
    <row r="239" spans="1:38" s="97" customFormat="1" ht="16.5" customHeight="1" x14ac:dyDescent="0.25">
      <c r="A239" s="40"/>
      <c r="B239" s="40"/>
      <c r="C239" s="473" t="s">
        <v>446</v>
      </c>
      <c r="D239" s="484" t="s">
        <v>129</v>
      </c>
      <c r="E239" s="417"/>
      <c r="F239" s="281"/>
      <c r="G239" s="198">
        <f>'HH WITH COM #1 '!$W$352</f>
        <v>0</v>
      </c>
      <c r="H239" s="198">
        <f>'HH WITH COM #1 '!$X$352</f>
        <v>0</v>
      </c>
      <c r="I239" s="116">
        <f t="shared" si="482"/>
        <v>0</v>
      </c>
      <c r="J239" s="91">
        <f t="shared" si="483"/>
        <v>0</v>
      </c>
      <c r="K239" s="198">
        <f>'HH WITH COM #2'!$W$352</f>
        <v>0</v>
      </c>
      <c r="L239" s="198">
        <f>'HH WITH COM #2'!$X$352</f>
        <v>0</v>
      </c>
      <c r="M239" s="539">
        <f t="shared" si="484"/>
        <v>0</v>
      </c>
      <c r="N239" s="91">
        <f t="shared" si="485"/>
        <v>0</v>
      </c>
      <c r="O239" s="198">
        <f>'HH WITH COM #3'!$W$352</f>
        <v>0</v>
      </c>
      <c r="P239" s="198">
        <f>'HH WITH COM #3'!$X$352</f>
        <v>0</v>
      </c>
      <c r="Q239" s="539">
        <f t="shared" si="486"/>
        <v>0</v>
      </c>
      <c r="R239" s="91">
        <f t="shared" si="487"/>
        <v>0</v>
      </c>
      <c r="S239" s="198">
        <f>'HH WITH COM #4'!$W$352</f>
        <v>0</v>
      </c>
      <c r="T239" s="198">
        <f>'HH WITH COM #4'!$X$352</f>
        <v>0</v>
      </c>
      <c r="U239" s="539">
        <f t="shared" si="488"/>
        <v>0</v>
      </c>
      <c r="V239" s="91">
        <f t="shared" si="489"/>
        <v>0</v>
      </c>
      <c r="W239" s="198">
        <f>'HH WITH COM #5'!$W$352</f>
        <v>0</v>
      </c>
      <c r="X239" s="198">
        <f>'HH WITH COM #5'!$X$352</f>
        <v>0</v>
      </c>
      <c r="Y239" s="539">
        <f t="shared" si="490"/>
        <v>0</v>
      </c>
      <c r="Z239" s="91">
        <f t="shared" si="491"/>
        <v>0</v>
      </c>
      <c r="AA239" s="198">
        <f>'HH WITH COM #6'!$W$352</f>
        <v>0</v>
      </c>
      <c r="AB239" s="198">
        <f>'HH WITH COM #6'!$X$352</f>
        <v>0</v>
      </c>
      <c r="AC239" s="539">
        <f t="shared" si="492"/>
        <v>0</v>
      </c>
      <c r="AD239" s="91">
        <f t="shared" si="493"/>
        <v>0</v>
      </c>
      <c r="AE239" s="198">
        <f>'HH WITH COM #7'!$W$352</f>
        <v>0</v>
      </c>
      <c r="AF239" s="198">
        <f>'HH WITH COM #7'!$X$352</f>
        <v>0</v>
      </c>
      <c r="AG239" s="539">
        <f t="shared" si="494"/>
        <v>0</v>
      </c>
      <c r="AH239" s="373">
        <f t="shared" si="495"/>
        <v>0</v>
      </c>
      <c r="AI239" s="391">
        <f t="shared" si="496"/>
        <v>0</v>
      </c>
      <c r="AJ239" s="17">
        <f t="shared" si="496"/>
        <v>0</v>
      </c>
      <c r="AK239" s="539">
        <f t="shared" si="497"/>
        <v>0</v>
      </c>
      <c r="AL239" s="91">
        <f t="shared" si="498"/>
        <v>0</v>
      </c>
    </row>
    <row r="240" spans="1:38" s="97" customFormat="1" ht="16.5" customHeight="1" x14ac:dyDescent="0.25">
      <c r="A240" s="40"/>
      <c r="B240" s="40"/>
      <c r="C240" s="40"/>
      <c r="D240" s="484" t="s">
        <v>530</v>
      </c>
      <c r="E240" s="417"/>
      <c r="F240" s="281"/>
      <c r="G240" s="198">
        <f>'HH WITH COM #1 '!$W$353</f>
        <v>1</v>
      </c>
      <c r="H240" s="198">
        <f>'HH WITH COM #1 '!$X$353</f>
        <v>11</v>
      </c>
      <c r="I240" s="116">
        <f t="shared" si="482"/>
        <v>12</v>
      </c>
      <c r="J240" s="91">
        <f t="shared" si="483"/>
        <v>4.5801526717557252E-2</v>
      </c>
      <c r="K240" s="198">
        <f>'HH WITH COM #2'!$W$353</f>
        <v>0</v>
      </c>
      <c r="L240" s="198">
        <f>'HH WITH COM #2'!$X$353</f>
        <v>0</v>
      </c>
      <c r="M240" s="539">
        <f t="shared" si="484"/>
        <v>0</v>
      </c>
      <c r="N240" s="91">
        <f t="shared" si="485"/>
        <v>0</v>
      </c>
      <c r="O240" s="198">
        <f>'HH WITH COM #3'!$W$353</f>
        <v>0</v>
      </c>
      <c r="P240" s="198">
        <f>'HH WITH COM #3'!$X$353</f>
        <v>0</v>
      </c>
      <c r="Q240" s="539">
        <f t="shared" si="486"/>
        <v>0</v>
      </c>
      <c r="R240" s="91">
        <f t="shared" si="487"/>
        <v>0</v>
      </c>
      <c r="S240" s="198">
        <f>'HH WITH COM #4'!$W$353</f>
        <v>0</v>
      </c>
      <c r="T240" s="198">
        <f>'HH WITH COM #4'!$X$353</f>
        <v>0</v>
      </c>
      <c r="U240" s="539">
        <f t="shared" si="488"/>
        <v>0</v>
      </c>
      <c r="V240" s="91">
        <f t="shared" si="489"/>
        <v>0</v>
      </c>
      <c r="W240" s="198">
        <f>'HH WITH COM #5'!$W$353</f>
        <v>0</v>
      </c>
      <c r="X240" s="198">
        <f>'HH WITH COM #5'!$X$353</f>
        <v>0</v>
      </c>
      <c r="Y240" s="539">
        <f t="shared" si="490"/>
        <v>0</v>
      </c>
      <c r="Z240" s="91">
        <f t="shared" si="491"/>
        <v>0</v>
      </c>
      <c r="AA240" s="198">
        <f>'HH WITH COM #6'!$W$353</f>
        <v>0</v>
      </c>
      <c r="AB240" s="198">
        <f>'HH WITH COM #6'!$X$353</f>
        <v>0</v>
      </c>
      <c r="AC240" s="539">
        <f t="shared" si="492"/>
        <v>0</v>
      </c>
      <c r="AD240" s="91">
        <f t="shared" si="493"/>
        <v>0</v>
      </c>
      <c r="AE240" s="198">
        <f>'HH WITH COM #7'!$W$353</f>
        <v>0</v>
      </c>
      <c r="AF240" s="198">
        <f>'HH WITH COM #7'!$X$353</f>
        <v>0</v>
      </c>
      <c r="AG240" s="539">
        <f t="shared" si="494"/>
        <v>0</v>
      </c>
      <c r="AH240" s="373">
        <f t="shared" si="495"/>
        <v>0</v>
      </c>
      <c r="AI240" s="391">
        <f t="shared" si="496"/>
        <v>1</v>
      </c>
      <c r="AJ240" s="17">
        <f t="shared" si="496"/>
        <v>11</v>
      </c>
      <c r="AK240" s="539">
        <f t="shared" si="497"/>
        <v>12</v>
      </c>
      <c r="AL240" s="91">
        <f t="shared" si="498"/>
        <v>4.5801526717557252E-2</v>
      </c>
    </row>
    <row r="241" spans="1:42" s="4" customFormat="1" ht="16.5" customHeight="1" x14ac:dyDescent="0.25">
      <c r="A241" s="119"/>
      <c r="B241" s="119"/>
      <c r="C241" s="119"/>
      <c r="D241" s="184"/>
      <c r="E241" s="134"/>
      <c r="F241" s="469"/>
      <c r="G241" s="497">
        <f>SUM(G233:G240)</f>
        <v>28</v>
      </c>
      <c r="H241" s="497">
        <f>SUM(H233:H240)</f>
        <v>234</v>
      </c>
      <c r="I241" s="497">
        <f>SUM(I233:I240)</f>
        <v>262</v>
      </c>
      <c r="J241" s="66">
        <f t="shared" si="483"/>
        <v>1</v>
      </c>
      <c r="K241" s="497">
        <f>SUM(K233:K240)</f>
        <v>0</v>
      </c>
      <c r="L241" s="497">
        <f>SUM(L233:L240)</f>
        <v>0</v>
      </c>
      <c r="M241" s="497">
        <f>SUM(M233:M240)</f>
        <v>0</v>
      </c>
      <c r="N241" s="66">
        <f t="shared" si="485"/>
        <v>0</v>
      </c>
      <c r="O241" s="497">
        <f>SUM(O233:O240)</f>
        <v>0</v>
      </c>
      <c r="P241" s="497">
        <f>SUM(P233:P240)</f>
        <v>0</v>
      </c>
      <c r="Q241" s="497">
        <f>SUM(Q233:Q240)</f>
        <v>0</v>
      </c>
      <c r="R241" s="66">
        <f t="shared" si="487"/>
        <v>0</v>
      </c>
      <c r="S241" s="497">
        <f>SUM(S233:S240)</f>
        <v>0</v>
      </c>
      <c r="T241" s="497">
        <f>SUM(T233:T240)</f>
        <v>0</v>
      </c>
      <c r="U241" s="497">
        <f>SUM(U233:U240)</f>
        <v>0</v>
      </c>
      <c r="V241" s="66">
        <f t="shared" si="489"/>
        <v>0</v>
      </c>
      <c r="W241" s="497">
        <f>SUM(W233:W240)</f>
        <v>0</v>
      </c>
      <c r="X241" s="497">
        <f>SUM(X233:X240)</f>
        <v>0</v>
      </c>
      <c r="Y241" s="497">
        <f>SUM(Y233:Y240)</f>
        <v>0</v>
      </c>
      <c r="Z241" s="66">
        <f t="shared" si="491"/>
        <v>0</v>
      </c>
      <c r="AA241" s="497">
        <f>SUM(AA233:AA240)</f>
        <v>0</v>
      </c>
      <c r="AB241" s="497">
        <f>SUM(AB233:AB240)</f>
        <v>0</v>
      </c>
      <c r="AC241" s="497">
        <f>SUM(AC233:AC240)</f>
        <v>0</v>
      </c>
      <c r="AD241" s="66">
        <f t="shared" si="493"/>
        <v>0</v>
      </c>
      <c r="AE241" s="497">
        <f>SUM(AE233:AE240)</f>
        <v>0</v>
      </c>
      <c r="AF241" s="497">
        <f>SUM(AF233:AF240)</f>
        <v>0</v>
      </c>
      <c r="AG241" s="497">
        <f>SUM(AG233:AG240)</f>
        <v>0</v>
      </c>
      <c r="AH241" s="608">
        <f t="shared" si="495"/>
        <v>0</v>
      </c>
      <c r="AI241" s="622">
        <f>SUM(AI233:AI240)</f>
        <v>28</v>
      </c>
      <c r="AJ241" s="497">
        <f>SUM(AJ233:AJ240)</f>
        <v>234</v>
      </c>
      <c r="AK241" s="497">
        <f>SUM(AK233:AK240)</f>
        <v>262</v>
      </c>
      <c r="AL241" s="66">
        <f t="shared" si="498"/>
        <v>1</v>
      </c>
    </row>
    <row r="242" spans="1:42" s="117" customFormat="1" ht="16.5" customHeight="1" x14ac:dyDescent="0.25">
      <c r="A242" s="119"/>
      <c r="B242" s="41" t="s">
        <v>447</v>
      </c>
      <c r="C242" s="476" t="s">
        <v>448</v>
      </c>
      <c r="D242" s="477"/>
      <c r="E242" s="478"/>
      <c r="F242" s="478"/>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355"/>
      <c r="AI242" s="377"/>
      <c r="AJ242" s="71"/>
      <c r="AK242" s="71"/>
      <c r="AL242" s="71"/>
    </row>
    <row r="243" spans="1:42" s="4" customFormat="1" ht="16.5" customHeight="1" x14ac:dyDescent="0.25">
      <c r="A243" s="119"/>
      <c r="B243" s="40"/>
      <c r="C243" s="473" t="s">
        <v>449</v>
      </c>
      <c r="D243" s="562" t="s">
        <v>9</v>
      </c>
      <c r="E243" s="75"/>
      <c r="F243" s="105"/>
      <c r="G243" s="563">
        <f>'HH WITH COM #1 '!$W$357</f>
        <v>1</v>
      </c>
      <c r="H243" s="563">
        <f>'HH WITH COM #1 '!$X$357</f>
        <v>15</v>
      </c>
      <c r="I243" s="539">
        <f t="shared" ref="I243:I245" si="499">SUM(G243:H243)</f>
        <v>16</v>
      </c>
      <c r="J243" s="91">
        <f>IF(I$246=0,0,I243/I$246)</f>
        <v>6.1068702290076333E-2</v>
      </c>
      <c r="K243" s="563">
        <f>'HH WITH COM #2'!$W$357</f>
        <v>0</v>
      </c>
      <c r="L243" s="563">
        <f>'HH WITH COM #2'!$X$357</f>
        <v>0</v>
      </c>
      <c r="M243" s="539">
        <f t="shared" ref="M243:M245" si="500">SUM(K243:L243)</f>
        <v>0</v>
      </c>
      <c r="N243" s="91">
        <f>IF(M$246=0,0,M243/M$246)</f>
        <v>0</v>
      </c>
      <c r="O243" s="563">
        <f>'HH WITH COM #3'!$W$357</f>
        <v>0</v>
      </c>
      <c r="P243" s="563">
        <f>'HH WITH COM #3'!$X$357</f>
        <v>0</v>
      </c>
      <c r="Q243" s="539">
        <f t="shared" ref="Q243:Q245" si="501">SUM(O243:P243)</f>
        <v>0</v>
      </c>
      <c r="R243" s="91">
        <f>IF(Q$246=0,0,Q243/Q$246)</f>
        <v>0</v>
      </c>
      <c r="S243" s="563">
        <f>'HH WITH COM #4'!$W$357</f>
        <v>0</v>
      </c>
      <c r="T243" s="563">
        <f>'HH WITH COM #4'!$X$357</f>
        <v>0</v>
      </c>
      <c r="U243" s="539">
        <f t="shared" ref="U243:U245" si="502">SUM(S243:T243)</f>
        <v>0</v>
      </c>
      <c r="V243" s="91">
        <f>IF(U$246=0,0,U243/U$246)</f>
        <v>0</v>
      </c>
      <c r="W243" s="563">
        <f>'HH WITH COM #5'!$W$357</f>
        <v>0</v>
      </c>
      <c r="X243" s="563">
        <f>'HH WITH COM #5'!$X$357</f>
        <v>0</v>
      </c>
      <c r="Y243" s="539">
        <f t="shared" ref="Y243:Y245" si="503">SUM(W243:X243)</f>
        <v>0</v>
      </c>
      <c r="Z243" s="91">
        <f>IF(Y$246=0,0,Y243/Y$246)</f>
        <v>0</v>
      </c>
      <c r="AA243" s="563">
        <f>'HH WITH COM #6'!$W$357</f>
        <v>0</v>
      </c>
      <c r="AB243" s="563">
        <f>'HH WITH COM #6'!$X$357</f>
        <v>0</v>
      </c>
      <c r="AC243" s="539">
        <f t="shared" ref="AC243:AC245" si="504">SUM(AA243:AB243)</f>
        <v>0</v>
      </c>
      <c r="AD243" s="91">
        <f>IF(AC$246=0,0,AC243/AC$246)</f>
        <v>0</v>
      </c>
      <c r="AE243" s="563">
        <f>'HH WITH COM #7'!$W$357</f>
        <v>0</v>
      </c>
      <c r="AF243" s="563">
        <f>'HH WITH COM #7'!$X$357</f>
        <v>0</v>
      </c>
      <c r="AG243" s="539">
        <f t="shared" ref="AG243:AG245" si="505">SUM(AE243:AF243)</f>
        <v>0</v>
      </c>
      <c r="AH243" s="373">
        <f>IF(AG$246=0,0,AG243/AG$246)</f>
        <v>0</v>
      </c>
      <c r="AI243" s="391">
        <f t="shared" ref="AI243:AI245" si="506">G243+K243+O243+S243+W243+AA243+AE243</f>
        <v>1</v>
      </c>
      <c r="AJ243" s="17">
        <f t="shared" ref="AJ243:AJ245" si="507">H243+L243+P243+T243+X243+AB243+AF243</f>
        <v>15</v>
      </c>
      <c r="AK243" s="539">
        <f t="shared" ref="AK243:AK245" si="508">SUM(AI243:AJ243)</f>
        <v>16</v>
      </c>
      <c r="AL243" s="91">
        <f>IF(AK$246=0,0,AK243/AK$246)</f>
        <v>6.1068702290076333E-2</v>
      </c>
    </row>
    <row r="244" spans="1:42" s="4" customFormat="1" ht="16.5" customHeight="1" x14ac:dyDescent="0.25">
      <c r="A244" s="119"/>
      <c r="B244" s="40"/>
      <c r="C244" s="473" t="s">
        <v>450</v>
      </c>
      <c r="D244" s="562" t="s">
        <v>10</v>
      </c>
      <c r="E244" s="75"/>
      <c r="F244" s="105"/>
      <c r="G244" s="563">
        <f>'HH WITH COM #1 '!$W$358</f>
        <v>27</v>
      </c>
      <c r="H244" s="563">
        <f>'HH WITH COM #1 '!$X$358</f>
        <v>215</v>
      </c>
      <c r="I244" s="539">
        <f t="shared" si="499"/>
        <v>242</v>
      </c>
      <c r="J244" s="91">
        <f t="shared" ref="J244:J246" si="509">IF(I$246=0,0,I244/I$246)</f>
        <v>0.92366412213740456</v>
      </c>
      <c r="K244" s="563">
        <f>'HH WITH COM #2'!$W$358</f>
        <v>0</v>
      </c>
      <c r="L244" s="563">
        <f>'HH WITH COM #2'!$X$358</f>
        <v>0</v>
      </c>
      <c r="M244" s="539">
        <f t="shared" si="500"/>
        <v>0</v>
      </c>
      <c r="N244" s="91">
        <f t="shared" ref="N244:N246" si="510">IF(M$246=0,0,M244/M$246)</f>
        <v>0</v>
      </c>
      <c r="O244" s="563">
        <f>'HH WITH COM #3'!$W$358</f>
        <v>0</v>
      </c>
      <c r="P244" s="563">
        <f>'HH WITH COM #3'!$X$358</f>
        <v>0</v>
      </c>
      <c r="Q244" s="539">
        <f t="shared" si="501"/>
        <v>0</v>
      </c>
      <c r="R244" s="91">
        <f t="shared" ref="R244:R246" si="511">IF(Q$246=0,0,Q244/Q$246)</f>
        <v>0</v>
      </c>
      <c r="S244" s="563">
        <f>'HH WITH COM #4'!$W$358</f>
        <v>0</v>
      </c>
      <c r="T244" s="563">
        <f>'HH WITH COM #4'!$X$358</f>
        <v>0</v>
      </c>
      <c r="U244" s="539">
        <f t="shared" si="502"/>
        <v>0</v>
      </c>
      <c r="V244" s="91">
        <f t="shared" ref="V244:V246" si="512">IF(U$246=0,0,U244/U$246)</f>
        <v>0</v>
      </c>
      <c r="W244" s="563">
        <f>'HH WITH COM #5'!$W$358</f>
        <v>0</v>
      </c>
      <c r="X244" s="563">
        <f>'HH WITH COM #5'!$X$358</f>
        <v>0</v>
      </c>
      <c r="Y244" s="539">
        <f t="shared" si="503"/>
        <v>0</v>
      </c>
      <c r="Z244" s="91">
        <f t="shared" ref="Z244:Z246" si="513">IF(Y$246=0,0,Y244/Y$246)</f>
        <v>0</v>
      </c>
      <c r="AA244" s="563">
        <f>'HH WITH COM #6'!$W$358</f>
        <v>0</v>
      </c>
      <c r="AB244" s="563">
        <f>'HH WITH COM #6'!$X$358</f>
        <v>0</v>
      </c>
      <c r="AC244" s="539">
        <f t="shared" si="504"/>
        <v>0</v>
      </c>
      <c r="AD244" s="91">
        <f t="shared" ref="AD244:AD246" si="514">IF(AC$246=0,0,AC244/AC$246)</f>
        <v>0</v>
      </c>
      <c r="AE244" s="563">
        <f>'HH WITH COM #7'!$W$358</f>
        <v>0</v>
      </c>
      <c r="AF244" s="563">
        <f>'HH WITH COM #7'!$X$358</f>
        <v>0</v>
      </c>
      <c r="AG244" s="539">
        <f t="shared" si="505"/>
        <v>0</v>
      </c>
      <c r="AH244" s="373">
        <f t="shared" ref="AH244:AH246" si="515">IF(AG$246=0,0,AG244/AG$246)</f>
        <v>0</v>
      </c>
      <c r="AI244" s="391">
        <f t="shared" si="506"/>
        <v>27</v>
      </c>
      <c r="AJ244" s="17">
        <f t="shared" si="507"/>
        <v>215</v>
      </c>
      <c r="AK244" s="539">
        <f t="shared" si="508"/>
        <v>242</v>
      </c>
      <c r="AL244" s="91">
        <f t="shared" ref="AL244:AL246" si="516">IF(AK$246=0,0,AK244/AK$246)</f>
        <v>0.92366412213740456</v>
      </c>
    </row>
    <row r="245" spans="1:42" s="4" customFormat="1" ht="16.5" customHeight="1" x14ac:dyDescent="0.25">
      <c r="A245" s="119"/>
      <c r="B245" s="40"/>
      <c r="C245" s="473" t="s">
        <v>451</v>
      </c>
      <c r="D245" s="562" t="s">
        <v>129</v>
      </c>
      <c r="E245" s="75"/>
      <c r="F245" s="105"/>
      <c r="G245" s="563">
        <f>'HH WITH COM #1 '!$W$359</f>
        <v>0</v>
      </c>
      <c r="H245" s="563">
        <f>'HH WITH COM #1 '!$X$359</f>
        <v>4</v>
      </c>
      <c r="I245" s="539">
        <f t="shared" si="499"/>
        <v>4</v>
      </c>
      <c r="J245" s="91">
        <f t="shared" si="509"/>
        <v>1.5267175572519083E-2</v>
      </c>
      <c r="K245" s="563">
        <f>'HH WITH COM #2'!$W$359</f>
        <v>0</v>
      </c>
      <c r="L245" s="563">
        <f>'HH WITH COM #2'!$X$359</f>
        <v>0</v>
      </c>
      <c r="M245" s="539">
        <f t="shared" si="500"/>
        <v>0</v>
      </c>
      <c r="N245" s="91">
        <f t="shared" si="510"/>
        <v>0</v>
      </c>
      <c r="O245" s="563">
        <f>'HH WITH COM #3'!$W$359</f>
        <v>0</v>
      </c>
      <c r="P245" s="563">
        <f>'HH WITH COM #3'!$X$359</f>
        <v>0</v>
      </c>
      <c r="Q245" s="539">
        <f t="shared" si="501"/>
        <v>0</v>
      </c>
      <c r="R245" s="91">
        <f t="shared" si="511"/>
        <v>0</v>
      </c>
      <c r="S245" s="563">
        <f>'HH WITH COM #4'!$W$359</f>
        <v>0</v>
      </c>
      <c r="T245" s="563">
        <f>'HH WITH COM #4'!$X$359</f>
        <v>0</v>
      </c>
      <c r="U245" s="539">
        <f t="shared" si="502"/>
        <v>0</v>
      </c>
      <c r="V245" s="91">
        <f t="shared" si="512"/>
        <v>0</v>
      </c>
      <c r="W245" s="563">
        <f>'HH WITH COM #5'!$W$359</f>
        <v>0</v>
      </c>
      <c r="X245" s="563">
        <f>'HH WITH COM #5'!$X$359</f>
        <v>0</v>
      </c>
      <c r="Y245" s="539">
        <f t="shared" si="503"/>
        <v>0</v>
      </c>
      <c r="Z245" s="91">
        <f t="shared" si="513"/>
        <v>0</v>
      </c>
      <c r="AA245" s="563">
        <f>'HH WITH COM #6'!$W$359</f>
        <v>0</v>
      </c>
      <c r="AB245" s="563">
        <f>'HH WITH COM #6'!$X$359</f>
        <v>0</v>
      </c>
      <c r="AC245" s="539">
        <f t="shared" si="504"/>
        <v>0</v>
      </c>
      <c r="AD245" s="91">
        <f t="shared" si="514"/>
        <v>0</v>
      </c>
      <c r="AE245" s="563">
        <f>'HH WITH COM #7'!$W$359</f>
        <v>0</v>
      </c>
      <c r="AF245" s="563">
        <f>'HH WITH COM #7'!$X$359</f>
        <v>0</v>
      </c>
      <c r="AG245" s="539">
        <f t="shared" si="505"/>
        <v>0</v>
      </c>
      <c r="AH245" s="373">
        <f t="shared" si="515"/>
        <v>0</v>
      </c>
      <c r="AI245" s="391">
        <f t="shared" si="506"/>
        <v>0</v>
      </c>
      <c r="AJ245" s="17">
        <f t="shared" si="507"/>
        <v>4</v>
      </c>
      <c r="AK245" s="539">
        <f t="shared" si="508"/>
        <v>4</v>
      </c>
      <c r="AL245" s="91">
        <f t="shared" si="516"/>
        <v>1.5267175572519083E-2</v>
      </c>
    </row>
    <row r="246" spans="1:42" s="4" customFormat="1" ht="16.5" customHeight="1" x14ac:dyDescent="0.25">
      <c r="A246" s="119"/>
      <c r="B246" s="119"/>
      <c r="C246" s="119"/>
      <c r="D246" s="184"/>
      <c r="E246" s="134"/>
      <c r="F246" s="184"/>
      <c r="G246" s="497">
        <f>SUM(G243:G245)</f>
        <v>28</v>
      </c>
      <c r="H246" s="497">
        <f t="shared" ref="H246:I246" si="517">SUM(H243:H245)</f>
        <v>234</v>
      </c>
      <c r="I246" s="497">
        <f t="shared" si="517"/>
        <v>262</v>
      </c>
      <c r="J246" s="66">
        <f t="shared" si="509"/>
        <v>1</v>
      </c>
      <c r="K246" s="497">
        <f>SUM(K243:K245)</f>
        <v>0</v>
      </c>
      <c r="L246" s="497">
        <f t="shared" ref="L246" si="518">SUM(L243:L245)</f>
        <v>0</v>
      </c>
      <c r="M246" s="497">
        <f t="shared" ref="M246" si="519">SUM(M243:M245)</f>
        <v>0</v>
      </c>
      <c r="N246" s="66">
        <f t="shared" si="510"/>
        <v>0</v>
      </c>
      <c r="O246" s="497">
        <f>SUM(O243:O245)</f>
        <v>0</v>
      </c>
      <c r="P246" s="497">
        <f t="shared" ref="P246" si="520">SUM(P243:P245)</f>
        <v>0</v>
      </c>
      <c r="Q246" s="497">
        <f t="shared" ref="Q246" si="521">SUM(Q243:Q245)</f>
        <v>0</v>
      </c>
      <c r="R246" s="66">
        <f t="shared" si="511"/>
        <v>0</v>
      </c>
      <c r="S246" s="497">
        <f>SUM(S243:S245)</f>
        <v>0</v>
      </c>
      <c r="T246" s="497">
        <f t="shared" ref="T246" si="522">SUM(T243:T245)</f>
        <v>0</v>
      </c>
      <c r="U246" s="497">
        <f t="shared" ref="U246" si="523">SUM(U243:U245)</f>
        <v>0</v>
      </c>
      <c r="V246" s="66">
        <f t="shared" si="512"/>
        <v>0</v>
      </c>
      <c r="W246" s="497">
        <f>SUM(W243:W245)</f>
        <v>0</v>
      </c>
      <c r="X246" s="497">
        <f t="shared" ref="X246" si="524">SUM(X243:X245)</f>
        <v>0</v>
      </c>
      <c r="Y246" s="497">
        <f t="shared" ref="Y246" si="525">SUM(Y243:Y245)</f>
        <v>0</v>
      </c>
      <c r="Z246" s="66">
        <f t="shared" si="513"/>
        <v>0</v>
      </c>
      <c r="AA246" s="497">
        <f>SUM(AA243:AA245)</f>
        <v>0</v>
      </c>
      <c r="AB246" s="497">
        <f t="shared" ref="AB246" si="526">SUM(AB243:AB245)</f>
        <v>0</v>
      </c>
      <c r="AC246" s="497">
        <f t="shared" ref="AC246" si="527">SUM(AC243:AC245)</f>
        <v>0</v>
      </c>
      <c r="AD246" s="66">
        <f t="shared" si="514"/>
        <v>0</v>
      </c>
      <c r="AE246" s="497">
        <f>SUM(AE243:AE245)</f>
        <v>0</v>
      </c>
      <c r="AF246" s="497">
        <f t="shared" ref="AF246" si="528">SUM(AF243:AF245)</f>
        <v>0</v>
      </c>
      <c r="AG246" s="497">
        <f t="shared" ref="AG246" si="529">SUM(AG243:AG245)</f>
        <v>0</v>
      </c>
      <c r="AH246" s="608">
        <f t="shared" si="515"/>
        <v>0</v>
      </c>
      <c r="AI246" s="622">
        <f t="shared" ref="AI246:AK246" si="530">SUM(AI243:AI245)</f>
        <v>28</v>
      </c>
      <c r="AJ246" s="497">
        <f t="shared" si="530"/>
        <v>234</v>
      </c>
      <c r="AK246" s="497">
        <f t="shared" si="530"/>
        <v>262</v>
      </c>
      <c r="AL246" s="66">
        <f t="shared" si="516"/>
        <v>1</v>
      </c>
    </row>
    <row r="247" spans="1:42" s="117" customFormat="1" ht="16.5" customHeight="1" x14ac:dyDescent="0.25">
      <c r="A247" s="119"/>
      <c r="B247" s="41" t="s">
        <v>452</v>
      </c>
      <c r="C247" s="476" t="s">
        <v>986</v>
      </c>
      <c r="D247" s="477"/>
      <c r="E247" s="478"/>
      <c r="F247" s="478"/>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355"/>
      <c r="AI247" s="377"/>
      <c r="AJ247" s="71"/>
      <c r="AK247" s="71"/>
      <c r="AL247" s="71"/>
    </row>
    <row r="248" spans="1:42" s="97" customFormat="1" ht="16.5" customHeight="1" x14ac:dyDescent="0.25">
      <c r="A248" s="119"/>
      <c r="B248" s="40"/>
      <c r="C248" s="473" t="s">
        <v>454</v>
      </c>
      <c r="D248" s="484" t="s">
        <v>173</v>
      </c>
      <c r="E248" s="417"/>
      <c r="F248" s="281"/>
      <c r="G248" s="17">
        <f>'HH WITH COM #1 '!$AT$363</f>
        <v>0</v>
      </c>
      <c r="H248" s="17">
        <f>'HH WITH COM #1 '!$AZ$363</f>
        <v>0</v>
      </c>
      <c r="I248" s="539">
        <f>SUM(G248:H248)</f>
        <v>0</v>
      </c>
      <c r="J248" s="91">
        <f>IF(I$255=0,0,I248/I$255)</f>
        <v>0</v>
      </c>
      <c r="K248" s="17">
        <f>'HH WITH COM #2'!$AT$363</f>
        <v>0</v>
      </c>
      <c r="L248" s="17">
        <f>'HH WITH COM #2'!$AZ$363</f>
        <v>0</v>
      </c>
      <c r="M248" s="539">
        <f>SUM(K248:L248)</f>
        <v>0</v>
      </c>
      <c r="N248" s="91">
        <f>IF(M$255=0,0,M248/M$255)</f>
        <v>0</v>
      </c>
      <c r="O248" s="17">
        <f>'HH WITH COM #3'!$AT$363</f>
        <v>0</v>
      </c>
      <c r="P248" s="17">
        <f>'HH WITH COM #3'!$AZ$363</f>
        <v>0</v>
      </c>
      <c r="Q248" s="539">
        <f>SUM(O248:P248)</f>
        <v>0</v>
      </c>
      <c r="R248" s="91">
        <f>IF(Q$255=0,0,Q248/Q$255)</f>
        <v>0</v>
      </c>
      <c r="S248" s="17">
        <f>'HH WITH COM #4'!$AT$363</f>
        <v>0</v>
      </c>
      <c r="T248" s="17">
        <f>'HH WITH COM #4'!$AZ$363</f>
        <v>0</v>
      </c>
      <c r="U248" s="539">
        <f>SUM(S248:T248)</f>
        <v>0</v>
      </c>
      <c r="V248" s="91">
        <f>IF(U$255=0,0,U248/U$255)</f>
        <v>0</v>
      </c>
      <c r="W248" s="17">
        <f>'HH WITH COM #5'!$AT$363</f>
        <v>0</v>
      </c>
      <c r="X248" s="17">
        <f>'HH WITH COM #5'!$AZ$363</f>
        <v>0</v>
      </c>
      <c r="Y248" s="539">
        <f>SUM(W248:X248)</f>
        <v>0</v>
      </c>
      <c r="Z248" s="91">
        <f>IF(Y$255=0,0,Y248/Y$255)</f>
        <v>0</v>
      </c>
      <c r="AA248" s="17">
        <f>'HH WITH COM #6'!$AT$363</f>
        <v>0</v>
      </c>
      <c r="AB248" s="17">
        <f>'HH WITH COM #6'!$AZ$363</f>
        <v>0</v>
      </c>
      <c r="AC248" s="539">
        <f>SUM(AA248:AB248)</f>
        <v>0</v>
      </c>
      <c r="AD248" s="91">
        <f>IF(AC$255=0,0,AC248/AC$255)</f>
        <v>0</v>
      </c>
      <c r="AE248" s="17">
        <f>'HH WITH COM #7'!$AT$363</f>
        <v>0</v>
      </c>
      <c r="AF248" s="17">
        <f>'HH WITH COM #7'!$AZ$363</f>
        <v>0</v>
      </c>
      <c r="AG248" s="539">
        <f>SUM(AE248:AF248)</f>
        <v>0</v>
      </c>
      <c r="AH248" s="373">
        <f>IF(AG$255=0,0,AG248/AG$255)</f>
        <v>0</v>
      </c>
      <c r="AI248" s="391">
        <f t="shared" ref="AI248:AI249" si="531">G248+K248+O248+S248+W248+AA248+AE248</f>
        <v>0</v>
      </c>
      <c r="AJ248" s="17">
        <f t="shared" ref="AJ248:AJ249" si="532">H248+L248+P248+T248+X248+AB248+AF248</f>
        <v>0</v>
      </c>
      <c r="AK248" s="539">
        <f t="shared" ref="AK248:AK249" si="533">SUM(AI248:AJ248)</f>
        <v>0</v>
      </c>
      <c r="AL248" s="91">
        <f>IF(AK$255=0,0,AK248/AK$255)</f>
        <v>0</v>
      </c>
    </row>
    <row r="249" spans="1:42" s="4" customFormat="1" ht="16.5" customHeight="1" x14ac:dyDescent="0.25">
      <c r="A249" s="40"/>
      <c r="B249" s="40"/>
      <c r="C249" s="473" t="s">
        <v>455</v>
      </c>
      <c r="D249" s="484" t="s">
        <v>544</v>
      </c>
      <c r="E249" s="120"/>
      <c r="F249" s="120"/>
      <c r="G249" s="17">
        <f>'HH WITH COM #1 '!$AT$364</f>
        <v>1</v>
      </c>
      <c r="H249" s="17">
        <f>'HH WITH COM #1 '!$AZ$364</f>
        <v>15</v>
      </c>
      <c r="I249" s="539">
        <f>SUM(G249:H249)</f>
        <v>16</v>
      </c>
      <c r="J249" s="91">
        <f t="shared" ref="J249:J255" si="534">IF(I$255=0,0,I249/I$255)</f>
        <v>1</v>
      </c>
      <c r="K249" s="17">
        <f>'HH WITH COM #2'!$AT$364</f>
        <v>0</v>
      </c>
      <c r="L249" s="17">
        <f>'HH WITH COM #2'!$AZ$364</f>
        <v>0</v>
      </c>
      <c r="M249" s="539">
        <f>SUM(K249:L249)</f>
        <v>0</v>
      </c>
      <c r="N249" s="91">
        <f t="shared" ref="N249:N255" si="535">IF(M$255=0,0,M249/M$255)</f>
        <v>0</v>
      </c>
      <c r="O249" s="17">
        <f>'HH WITH COM #3'!$AT$364</f>
        <v>0</v>
      </c>
      <c r="P249" s="17">
        <f>'HH WITH COM #3'!$AZ$364</f>
        <v>0</v>
      </c>
      <c r="Q249" s="539">
        <f>SUM(O249:P249)</f>
        <v>0</v>
      </c>
      <c r="R249" s="91">
        <f t="shared" ref="R249:R255" si="536">IF(Q$255=0,0,Q249/Q$255)</f>
        <v>0</v>
      </c>
      <c r="S249" s="17">
        <f>'HH WITH COM #4'!$AT$364</f>
        <v>0</v>
      </c>
      <c r="T249" s="17">
        <f>'HH WITH COM #4'!$AZ$364</f>
        <v>0</v>
      </c>
      <c r="U249" s="539">
        <f>SUM(S249:T249)</f>
        <v>0</v>
      </c>
      <c r="V249" s="91">
        <f t="shared" ref="V249:V255" si="537">IF(U$255=0,0,U249/U$255)</f>
        <v>0</v>
      </c>
      <c r="W249" s="17">
        <f>'HH WITH COM #5'!$AT$364</f>
        <v>0</v>
      </c>
      <c r="X249" s="17">
        <f>'HH WITH COM #5'!$AZ$364</f>
        <v>0</v>
      </c>
      <c r="Y249" s="539">
        <f>SUM(W249:X249)</f>
        <v>0</v>
      </c>
      <c r="Z249" s="91">
        <f t="shared" ref="Z249:Z255" si="538">IF(Y$255=0,0,Y249/Y$255)</f>
        <v>0</v>
      </c>
      <c r="AA249" s="17">
        <f>'HH WITH COM #6'!$AT$364</f>
        <v>0</v>
      </c>
      <c r="AB249" s="17">
        <f>'HH WITH COM #6'!$AZ$364</f>
        <v>0</v>
      </c>
      <c r="AC249" s="539">
        <f>SUM(AA249:AB249)</f>
        <v>0</v>
      </c>
      <c r="AD249" s="91">
        <f t="shared" ref="AD249:AD255" si="539">IF(AC$255=0,0,AC249/AC$255)</f>
        <v>0</v>
      </c>
      <c r="AE249" s="17">
        <f>'HH WITH COM #7'!$AT$364</f>
        <v>0</v>
      </c>
      <c r="AF249" s="17">
        <f>'HH WITH COM #7'!$AZ$364</f>
        <v>0</v>
      </c>
      <c r="AG249" s="539">
        <f>SUM(AE249:AF249)</f>
        <v>0</v>
      </c>
      <c r="AH249" s="373">
        <f t="shared" ref="AH249:AH255" si="540">IF(AG$255=0,0,AG249/AG$255)</f>
        <v>0</v>
      </c>
      <c r="AI249" s="391">
        <f t="shared" si="531"/>
        <v>1</v>
      </c>
      <c r="AJ249" s="17">
        <f t="shared" si="532"/>
        <v>15</v>
      </c>
      <c r="AK249" s="539">
        <f t="shared" si="533"/>
        <v>16</v>
      </c>
      <c r="AL249" s="91">
        <f t="shared" ref="AL249:AL255" si="541">IF(AK$255=0,0,AK249/AK$255)</f>
        <v>1</v>
      </c>
      <c r="AM249" s="1339">
        <f>AK249/AK246</f>
        <v>6.1068702290076333E-2</v>
      </c>
    </row>
    <row r="250" spans="1:42" s="4" customFormat="1" ht="16.5" customHeight="1" x14ac:dyDescent="0.25">
      <c r="A250" s="40"/>
      <c r="B250" s="40"/>
      <c r="C250" s="473" t="s">
        <v>456</v>
      </c>
      <c r="D250" s="498" t="s">
        <v>484</v>
      </c>
      <c r="E250" s="417"/>
      <c r="F250" s="281"/>
      <c r="G250" s="17">
        <f>ROUND(('HH WITH COM #1 '!$W$365)/10000,0)*10000</f>
        <v>50000</v>
      </c>
      <c r="H250" s="17">
        <f>ROUND(('HH WITH COM #1 '!$X$365)/10000,0)*10000</f>
        <v>10000</v>
      </c>
      <c r="I250" s="539">
        <f>ROUND(('HH WITH COM #1 '!$Y$365)/10000,0)*10000</f>
        <v>10000</v>
      </c>
      <c r="J250" s="91"/>
      <c r="K250" s="17">
        <f>ROUND(('HH WITH COM #2'!$AQ$365)/10000,0)*10000</f>
        <v>0</v>
      </c>
      <c r="L250" s="17">
        <f>ROUND(('HH WITH COM #2'!$AW$365)/10000,0)*10000</f>
        <v>0</v>
      </c>
      <c r="M250" s="539">
        <f>ROUND(('HH WITH COM #2'!$AA$365)/10000,0)*10000</f>
        <v>0</v>
      </c>
      <c r="N250" s="91"/>
      <c r="O250" s="17">
        <f>ROUND(('HH WITH COM #3'!$AQ$365)/10000,0)*10000</f>
        <v>0</v>
      </c>
      <c r="P250" s="17">
        <f>ROUND(('HH WITH COM #3'!$AW$365)/10000,0)*10000</f>
        <v>0</v>
      </c>
      <c r="Q250" s="539">
        <f>ROUND(('HH WITH COM #3'!$AA$365)/10000,0)*10000</f>
        <v>0</v>
      </c>
      <c r="R250" s="91"/>
      <c r="S250" s="17">
        <f>ROUND(('HH WITH COM #4'!$AQ$365)/10000,0)*10000</f>
        <v>0</v>
      </c>
      <c r="T250" s="17">
        <f>ROUND(('HH WITH COM #4'!$AW$365)/10000,0)*10000</f>
        <v>0</v>
      </c>
      <c r="U250" s="539">
        <f>ROUND(('HH WITH COM #4'!$AA$365)/10000,0)*10000</f>
        <v>0</v>
      </c>
      <c r="V250" s="91"/>
      <c r="W250" s="17">
        <f>ROUND(('HH WITH COM #5'!$AQ$365)/10000,0)*10000</f>
        <v>0</v>
      </c>
      <c r="X250" s="17">
        <f>ROUND(('HH WITH COM #5'!$AW$365)/10000,0)*10000</f>
        <v>0</v>
      </c>
      <c r="Y250" s="539">
        <f>ROUND(('HH WITH COM #5'!$AA$365)/10000,0)*10000</f>
        <v>0</v>
      </c>
      <c r="Z250" s="91"/>
      <c r="AA250" s="17">
        <f>ROUND(('HH WITH COM #6'!$AQ$365)/10000,0)*10000</f>
        <v>0</v>
      </c>
      <c r="AB250" s="17">
        <f>ROUND(('HH WITH COM #6'!$AW$365)/10000,0)*10000</f>
        <v>0</v>
      </c>
      <c r="AC250" s="539">
        <f>ROUND(('HH WITH COM #6'!$AA$365)/10000,0)*10000</f>
        <v>0</v>
      </c>
      <c r="AD250" s="91"/>
      <c r="AE250" s="17">
        <f>ROUND(('HH WITH COM #7'!$AQ$365)/10000,0)*10000</f>
        <v>0</v>
      </c>
      <c r="AF250" s="17">
        <f>ROUND(('HH WITH COM #7'!$AW$365)/10000,0)*10000</f>
        <v>0</v>
      </c>
      <c r="AG250" s="539">
        <f>ROUND(('HH WITH COM #7'!$AA$365)/10000,0)*10000</f>
        <v>0</v>
      </c>
      <c r="AH250" s="373"/>
      <c r="AI250" s="391">
        <f>ROUND((AN250)/5000,0)*5000</f>
        <v>50000</v>
      </c>
      <c r="AJ250" s="17">
        <f t="shared" ref="AJ250:AK252" si="542">ROUND((AO250)/5000,0)*5000</f>
        <v>10000</v>
      </c>
      <c r="AK250" s="17">
        <f t="shared" si="542"/>
        <v>10000</v>
      </c>
      <c r="AL250" s="91"/>
      <c r="AN250" s="987">
        <v>48000</v>
      </c>
      <c r="AO250" s="987">
        <v>10000</v>
      </c>
      <c r="AP250" s="987">
        <v>10000</v>
      </c>
    </row>
    <row r="251" spans="1:42" s="4" customFormat="1" ht="16.5" customHeight="1" x14ac:dyDescent="0.25">
      <c r="A251" s="40"/>
      <c r="B251" s="40"/>
      <c r="C251" s="473" t="s">
        <v>546</v>
      </c>
      <c r="D251" s="498" t="s">
        <v>485</v>
      </c>
      <c r="E251" s="417"/>
      <c r="F251" s="281"/>
      <c r="G251" s="17">
        <f>ROUND(('HH WITH COM #1 '!$W$366)/10000,0)*10000</f>
        <v>50000</v>
      </c>
      <c r="H251" s="17">
        <f>ROUND(('HH WITH COM #1 '!$X$366)/10000,0)*10000</f>
        <v>400000</v>
      </c>
      <c r="I251" s="539">
        <f>ROUND(('HH WITH COM #1 '!$Y$366)/10000,0)*10000</f>
        <v>400000</v>
      </c>
      <c r="J251" s="91"/>
      <c r="K251" s="17">
        <f>ROUND(('HH WITH COM #2'!$AR$366)/10000,0)*10000</f>
        <v>0</v>
      </c>
      <c r="L251" s="17">
        <f>ROUND(('HH WITH COM #2'!$AX$366)/10000,0)*10000</f>
        <v>0</v>
      </c>
      <c r="M251" s="539">
        <f>ROUND(('HH WITH COM #2'!$AB$366)/10000,0)*10000</f>
        <v>0</v>
      </c>
      <c r="N251" s="91"/>
      <c r="O251" s="17">
        <f>ROUND(('HH WITH COM #3'!$AR$366)/10000,0)*10000</f>
        <v>0</v>
      </c>
      <c r="P251" s="17">
        <f>ROUND(('HH WITH COM #3'!$AX$366)/10000,0)*10000</f>
        <v>0</v>
      </c>
      <c r="Q251" s="539">
        <f>ROUND(('HH WITH COM #3'!$AB$366)/10000,0)*10000</f>
        <v>0</v>
      </c>
      <c r="R251" s="91"/>
      <c r="S251" s="17">
        <f>ROUND(('HH WITH COM #4'!$AR$366)/10000,0)*10000</f>
        <v>0</v>
      </c>
      <c r="T251" s="17">
        <f>ROUND(('HH WITH COM #4'!$AX$366)/10000,0)*10000</f>
        <v>0</v>
      </c>
      <c r="U251" s="539">
        <f>ROUND(('HH WITH COM #4'!$AB$366)/10000,0)*10000</f>
        <v>0</v>
      </c>
      <c r="V251" s="91"/>
      <c r="W251" s="17">
        <f>ROUND(('HH WITH COM #5'!$AR$366)/10000,0)*10000</f>
        <v>0</v>
      </c>
      <c r="X251" s="17">
        <f>ROUND(('HH WITH COM #5'!$AX$366)/10000,0)*10000</f>
        <v>0</v>
      </c>
      <c r="Y251" s="539">
        <f>ROUND(('HH WITH COM #5'!$AB$366)/10000,0)*10000</f>
        <v>0</v>
      </c>
      <c r="Z251" s="91"/>
      <c r="AA251" s="17">
        <f>ROUND(('HH WITH COM #6'!$AR$366)/10000,0)*10000</f>
        <v>0</v>
      </c>
      <c r="AB251" s="17">
        <f>ROUND(('HH WITH COM #6'!$AX$366)/10000,0)*10000</f>
        <v>0</v>
      </c>
      <c r="AC251" s="539">
        <f>ROUND(('HH WITH COM #6'!$AB$366)/10000,0)*10000</f>
        <v>0</v>
      </c>
      <c r="AD251" s="91"/>
      <c r="AE251" s="17">
        <f>ROUND(('HH WITH COM #7'!$AR$366)/10000,0)*10000</f>
        <v>0</v>
      </c>
      <c r="AF251" s="17">
        <f>ROUND(('HH WITH COM #7'!$AX$366)/10000,0)*10000</f>
        <v>0</v>
      </c>
      <c r="AG251" s="539">
        <f>ROUND(('HH WITH COM #7'!$AB$366)/10000,0)*10000</f>
        <v>0</v>
      </c>
      <c r="AH251" s="373"/>
      <c r="AI251" s="391">
        <f t="shared" ref="AI251:AI252" si="543">ROUND((AN251)/5000,0)*5000</f>
        <v>50000</v>
      </c>
      <c r="AJ251" s="17">
        <f t="shared" si="542"/>
        <v>400000</v>
      </c>
      <c r="AK251" s="17">
        <f t="shared" si="542"/>
        <v>400000</v>
      </c>
      <c r="AL251" s="91"/>
      <c r="AN251" s="987">
        <v>48000</v>
      </c>
      <c r="AO251" s="987">
        <v>400000</v>
      </c>
      <c r="AP251" s="987">
        <v>400000</v>
      </c>
    </row>
    <row r="252" spans="1:42" s="4" customFormat="1" ht="16.5" customHeight="1" x14ac:dyDescent="0.25">
      <c r="A252" s="40"/>
      <c r="B252" s="40"/>
      <c r="C252" s="473" t="s">
        <v>547</v>
      </c>
      <c r="D252" s="498" t="s">
        <v>543</v>
      </c>
      <c r="E252" s="417"/>
      <c r="F252" s="281"/>
      <c r="G252" s="17">
        <f>ROUND(('HH WITH COM #1 '!$W$367)/10000,0)*10000</f>
        <v>50000</v>
      </c>
      <c r="H252" s="17">
        <f>ROUND(('HH WITH COM #1 '!$X$367)/10000,0)*10000</f>
        <v>70000</v>
      </c>
      <c r="I252" s="539">
        <f>ROUND(('HH WITH COM #1 '!$Y$367)/10000,0)*10000</f>
        <v>70000</v>
      </c>
      <c r="J252" s="91"/>
      <c r="K252" s="17">
        <f>ROUND(('HH WITH COM #2'!$AS$367)/10000,0)*10000</f>
        <v>0</v>
      </c>
      <c r="L252" s="17">
        <f>ROUND(('HH WITH COM #2'!$AY$367)/10000,0)*10000</f>
        <v>0</v>
      </c>
      <c r="M252" s="539">
        <f>ROUND(('HH WITH COM #2'!$AC$367)/10000,0)*10000</f>
        <v>0</v>
      </c>
      <c r="N252" s="91"/>
      <c r="O252" s="17">
        <f>ROUND(('HH WITH COM #3'!$AS$367)/10000,0)*10000</f>
        <v>0</v>
      </c>
      <c r="P252" s="17">
        <f>ROUND(('HH WITH COM #3'!$AY$367)/10000,0)*10000</f>
        <v>0</v>
      </c>
      <c r="Q252" s="539">
        <f>ROUND(('HH WITH COM #3'!$AC$367)/10000,0)*10000</f>
        <v>0</v>
      </c>
      <c r="R252" s="91"/>
      <c r="S252" s="17">
        <f>ROUND(('HH WITH COM #4'!$AS$367)/10000,0)*10000</f>
        <v>0</v>
      </c>
      <c r="T252" s="17">
        <f>ROUND(('HH WITH COM #4'!$AY$367)/10000,0)*10000</f>
        <v>0</v>
      </c>
      <c r="U252" s="539">
        <f>ROUND(('HH WITH COM #4'!$AC$367)/10000,0)*10000</f>
        <v>0</v>
      </c>
      <c r="V252" s="91"/>
      <c r="W252" s="17">
        <f>ROUND(('HH WITH COM #5'!$AS$367)/10000,0)*10000</f>
        <v>0</v>
      </c>
      <c r="X252" s="17">
        <f>ROUND(('HH WITH COM #5'!$AY$367)/10000,0)*10000</f>
        <v>0</v>
      </c>
      <c r="Y252" s="539">
        <f>ROUND(('HH WITH COM #5'!$AC$367)/10000,0)*10000</f>
        <v>0</v>
      </c>
      <c r="Z252" s="91"/>
      <c r="AA252" s="17">
        <f>ROUND(('HH WITH COM #6'!$AS$367)/10000,0)*10000</f>
        <v>0</v>
      </c>
      <c r="AB252" s="17">
        <f>ROUND(('HH WITH COM #6'!$AY$367)/10000,0)*10000</f>
        <v>0</v>
      </c>
      <c r="AC252" s="539">
        <f>ROUND(('HH WITH COM #6'!$AC$367)/10000,0)*10000</f>
        <v>0</v>
      </c>
      <c r="AD252" s="91"/>
      <c r="AE252" s="17">
        <f>ROUND(('HH WITH COM #7'!$AS$367)/10000,0)*10000</f>
        <v>0</v>
      </c>
      <c r="AF252" s="17">
        <f>ROUND(('HH WITH COM #7'!$AY$367)/10000,0)*10000</f>
        <v>0</v>
      </c>
      <c r="AG252" s="539">
        <f>ROUND(('HH WITH COM #7'!$AC$367)/10000,0)*10000</f>
        <v>0</v>
      </c>
      <c r="AH252" s="373"/>
      <c r="AI252" s="391">
        <f t="shared" si="543"/>
        <v>50000</v>
      </c>
      <c r="AJ252" s="17">
        <f t="shared" si="542"/>
        <v>70000</v>
      </c>
      <c r="AK252" s="17">
        <f t="shared" si="542"/>
        <v>70000</v>
      </c>
      <c r="AL252" s="91"/>
      <c r="AN252" s="987">
        <v>48000</v>
      </c>
      <c r="AO252" s="987">
        <v>71461.538461538468</v>
      </c>
      <c r="AP252" s="987">
        <v>69785.71428571429</v>
      </c>
    </row>
    <row r="253" spans="1:42" s="4" customFormat="1" ht="16.5" customHeight="1" x14ac:dyDescent="0.25">
      <c r="A253" s="40"/>
      <c r="B253" s="40"/>
      <c r="C253" s="473" t="s">
        <v>548</v>
      </c>
      <c r="D253" s="105" t="s">
        <v>129</v>
      </c>
      <c r="E253" s="417"/>
      <c r="F253" s="281"/>
      <c r="G253" s="17">
        <f>'HH WITH COM #1 '!$AT$368</f>
        <v>0</v>
      </c>
      <c r="H253" s="17">
        <f>'HH WITH COM #1 '!$AZ$368</f>
        <v>0</v>
      </c>
      <c r="I253" s="539">
        <f t="shared" ref="I253:I254" si="544">SUM(G253:H253)</f>
        <v>0</v>
      </c>
      <c r="J253" s="91">
        <f t="shared" si="534"/>
        <v>0</v>
      </c>
      <c r="K253" s="17">
        <f>'HH WITH COM #2'!$AT$368</f>
        <v>0</v>
      </c>
      <c r="L253" s="17">
        <f>'HH WITH COM #2'!$AZ$368</f>
        <v>0</v>
      </c>
      <c r="M253" s="539">
        <f t="shared" ref="M253:M254" si="545">SUM(K253:L253)</f>
        <v>0</v>
      </c>
      <c r="N253" s="91">
        <f t="shared" si="535"/>
        <v>0</v>
      </c>
      <c r="O253" s="17">
        <f>'HH WITH COM #3'!$AT$368</f>
        <v>0</v>
      </c>
      <c r="P253" s="17">
        <f>'HH WITH COM #3'!$AZ$368</f>
        <v>0</v>
      </c>
      <c r="Q253" s="539">
        <f t="shared" ref="Q253:Q254" si="546">SUM(O253:P253)</f>
        <v>0</v>
      </c>
      <c r="R253" s="91">
        <f t="shared" si="536"/>
        <v>0</v>
      </c>
      <c r="S253" s="17">
        <f>'HH WITH COM #4'!$AT$368</f>
        <v>0</v>
      </c>
      <c r="T253" s="17">
        <f>'HH WITH COM #4'!$AZ$368</f>
        <v>0</v>
      </c>
      <c r="U253" s="539">
        <f t="shared" ref="U253:U254" si="547">SUM(S253:T253)</f>
        <v>0</v>
      </c>
      <c r="V253" s="91">
        <f t="shared" si="537"/>
        <v>0</v>
      </c>
      <c r="W253" s="17">
        <f>'HH WITH COM #5'!$AT$368</f>
        <v>0</v>
      </c>
      <c r="X253" s="17">
        <f>'HH WITH COM #5'!$AZ$368</f>
        <v>0</v>
      </c>
      <c r="Y253" s="539">
        <f t="shared" ref="Y253:Y254" si="548">SUM(W253:X253)</f>
        <v>0</v>
      </c>
      <c r="Z253" s="91">
        <f t="shared" si="538"/>
        <v>0</v>
      </c>
      <c r="AA253" s="17">
        <f>'HH WITH COM #6'!$AT$368</f>
        <v>0</v>
      </c>
      <c r="AB253" s="17">
        <f>'HH WITH COM #6'!$AZ$368</f>
        <v>0</v>
      </c>
      <c r="AC253" s="539">
        <f t="shared" ref="AC253:AC254" si="549">SUM(AA253:AB253)</f>
        <v>0</v>
      </c>
      <c r="AD253" s="91">
        <f t="shared" si="539"/>
        <v>0</v>
      </c>
      <c r="AE253" s="17">
        <f>'HH WITH COM #7'!$AT$368</f>
        <v>0</v>
      </c>
      <c r="AF253" s="17">
        <f>'HH WITH COM #7'!$AZ$368</f>
        <v>0</v>
      </c>
      <c r="AG253" s="539">
        <f t="shared" ref="AG253:AG254" si="550">SUM(AE253:AF253)</f>
        <v>0</v>
      </c>
      <c r="AH253" s="373">
        <f t="shared" si="540"/>
        <v>0</v>
      </c>
      <c r="AI253" s="391">
        <f t="shared" ref="AI253:AI254" si="551">G253+K253+O253+S253+W253+AA253+AE253</f>
        <v>0</v>
      </c>
      <c r="AJ253" s="17">
        <f t="shared" ref="AJ253:AJ254" si="552">H253+L253+P253+T253+X253+AB253+AF253</f>
        <v>0</v>
      </c>
      <c r="AK253" s="539">
        <f t="shared" ref="AK253:AK254" si="553">SUM(AI253:AJ253)</f>
        <v>0</v>
      </c>
      <c r="AL253" s="91">
        <f t="shared" si="541"/>
        <v>0</v>
      </c>
    </row>
    <row r="254" spans="1:42" s="4" customFormat="1" ht="16.5" customHeight="1" x14ac:dyDescent="0.25">
      <c r="A254" s="40"/>
      <c r="B254" s="40"/>
      <c r="C254" s="473" t="s">
        <v>549</v>
      </c>
      <c r="D254" s="105" t="s">
        <v>530</v>
      </c>
      <c r="E254" s="417"/>
      <c r="F254" s="281"/>
      <c r="G254" s="17">
        <f>'HH WITH COM #1 '!$AT$369</f>
        <v>0</v>
      </c>
      <c r="H254" s="17">
        <f>'HH WITH COM #1 '!$AZ$369</f>
        <v>0</v>
      </c>
      <c r="I254" s="539">
        <f t="shared" si="544"/>
        <v>0</v>
      </c>
      <c r="J254" s="91">
        <f t="shared" si="534"/>
        <v>0</v>
      </c>
      <c r="K254" s="17">
        <f>'HH WITH COM #2'!$AT$369</f>
        <v>0</v>
      </c>
      <c r="L254" s="17">
        <f>'HH WITH COM #2'!$AZ$369</f>
        <v>0</v>
      </c>
      <c r="M254" s="539">
        <f t="shared" si="545"/>
        <v>0</v>
      </c>
      <c r="N254" s="91">
        <f t="shared" si="535"/>
        <v>0</v>
      </c>
      <c r="O254" s="17">
        <f>'HH WITH COM #3'!$AT$369</f>
        <v>0</v>
      </c>
      <c r="P254" s="17">
        <f>'HH WITH COM #3'!$AZ$369</f>
        <v>0</v>
      </c>
      <c r="Q254" s="539">
        <f t="shared" si="546"/>
        <v>0</v>
      </c>
      <c r="R254" s="91">
        <f t="shared" si="536"/>
        <v>0</v>
      </c>
      <c r="S254" s="17">
        <f>'HH WITH COM #4'!$AT$369</f>
        <v>0</v>
      </c>
      <c r="T254" s="17">
        <f>'HH WITH COM #4'!$AZ$369</f>
        <v>0</v>
      </c>
      <c r="U254" s="539">
        <f t="shared" si="547"/>
        <v>0</v>
      </c>
      <c r="V254" s="91">
        <f t="shared" si="537"/>
        <v>0</v>
      </c>
      <c r="W254" s="17">
        <f>'HH WITH COM #5'!$AT$369</f>
        <v>0</v>
      </c>
      <c r="X254" s="17">
        <f>'HH WITH COM #5'!$AZ$369</f>
        <v>0</v>
      </c>
      <c r="Y254" s="539">
        <f t="shared" si="548"/>
        <v>0</v>
      </c>
      <c r="Z254" s="91">
        <f t="shared" si="538"/>
        <v>0</v>
      </c>
      <c r="AA254" s="17">
        <f>'HH WITH COM #6'!$AT$369</f>
        <v>0</v>
      </c>
      <c r="AB254" s="17">
        <f>'HH WITH COM #6'!$AZ$369</f>
        <v>0</v>
      </c>
      <c r="AC254" s="539">
        <f t="shared" si="549"/>
        <v>0</v>
      </c>
      <c r="AD254" s="91">
        <f t="shared" si="539"/>
        <v>0</v>
      </c>
      <c r="AE254" s="17">
        <f>'HH WITH COM #7'!$AT$369</f>
        <v>0</v>
      </c>
      <c r="AF254" s="17">
        <f>'HH WITH COM #7'!$AZ$369</f>
        <v>0</v>
      </c>
      <c r="AG254" s="539">
        <f t="shared" si="550"/>
        <v>0</v>
      </c>
      <c r="AH254" s="373">
        <f t="shared" si="540"/>
        <v>0</v>
      </c>
      <c r="AI254" s="391">
        <f t="shared" si="551"/>
        <v>0</v>
      </c>
      <c r="AJ254" s="17">
        <f t="shared" si="552"/>
        <v>0</v>
      </c>
      <c r="AK254" s="539">
        <f t="shared" si="553"/>
        <v>0</v>
      </c>
      <c r="AL254" s="91">
        <f t="shared" si="541"/>
        <v>0</v>
      </c>
    </row>
    <row r="255" spans="1:42" s="4" customFormat="1" ht="16.5" customHeight="1" x14ac:dyDescent="0.25">
      <c r="A255" s="119"/>
      <c r="B255" s="119"/>
      <c r="C255" s="119"/>
      <c r="D255" s="184"/>
      <c r="E255" s="134"/>
      <c r="F255" s="469"/>
      <c r="G255" s="497">
        <f>G248+G249+G253+G254</f>
        <v>1</v>
      </c>
      <c r="H255" s="497">
        <f t="shared" ref="H255" si="554">H248+H249+H253+H254</f>
        <v>15</v>
      </c>
      <c r="I255" s="497">
        <f t="shared" ref="I255" si="555">I248+I249+I253+I254</f>
        <v>16</v>
      </c>
      <c r="J255" s="66">
        <f t="shared" si="534"/>
        <v>1</v>
      </c>
      <c r="K255" s="497">
        <f>K248+K249+K253+K254</f>
        <v>0</v>
      </c>
      <c r="L255" s="497">
        <f t="shared" ref="L255" si="556">L248+L249+L253+L254</f>
        <v>0</v>
      </c>
      <c r="M255" s="497">
        <f t="shared" ref="M255" si="557">M248+M249+M253+M254</f>
        <v>0</v>
      </c>
      <c r="N255" s="66">
        <f t="shared" si="535"/>
        <v>0</v>
      </c>
      <c r="O255" s="497">
        <f>O248+O249+O253+O254</f>
        <v>0</v>
      </c>
      <c r="P255" s="497">
        <f t="shared" ref="P255" si="558">P248+P249+P253+P254</f>
        <v>0</v>
      </c>
      <c r="Q255" s="497">
        <f t="shared" ref="Q255" si="559">Q248+Q249+Q253+Q254</f>
        <v>0</v>
      </c>
      <c r="R255" s="66">
        <f t="shared" si="536"/>
        <v>0</v>
      </c>
      <c r="S255" s="497">
        <f>S248+S249+S253+S254</f>
        <v>0</v>
      </c>
      <c r="T255" s="497">
        <f t="shared" ref="T255" si="560">T248+T249+T253+T254</f>
        <v>0</v>
      </c>
      <c r="U255" s="497">
        <f t="shared" ref="U255" si="561">U248+U249+U253+U254</f>
        <v>0</v>
      </c>
      <c r="V255" s="66">
        <f t="shared" si="537"/>
        <v>0</v>
      </c>
      <c r="W255" s="497">
        <f>W248+W249+W253+W254</f>
        <v>0</v>
      </c>
      <c r="X255" s="497">
        <f t="shared" ref="X255" si="562">X248+X249+X253+X254</f>
        <v>0</v>
      </c>
      <c r="Y255" s="497">
        <f t="shared" ref="Y255" si="563">Y248+Y249+Y253+Y254</f>
        <v>0</v>
      </c>
      <c r="Z255" s="66">
        <f t="shared" si="538"/>
        <v>0</v>
      </c>
      <c r="AA255" s="497">
        <f>AA248+AA249+AA253+AA254</f>
        <v>0</v>
      </c>
      <c r="AB255" s="497">
        <f t="shared" ref="AB255" si="564">AB248+AB249+AB253+AB254</f>
        <v>0</v>
      </c>
      <c r="AC255" s="497">
        <f t="shared" ref="AC255" si="565">AC248+AC249+AC253+AC254</f>
        <v>0</v>
      </c>
      <c r="AD255" s="66">
        <f t="shared" si="539"/>
        <v>0</v>
      </c>
      <c r="AE255" s="497">
        <f>AE248+AE249+AE253+AE254</f>
        <v>0</v>
      </c>
      <c r="AF255" s="497">
        <f t="shared" ref="AF255" si="566">AF248+AF249+AF253+AF254</f>
        <v>0</v>
      </c>
      <c r="AG255" s="497">
        <f t="shared" ref="AG255" si="567">AG248+AG249+AG253+AG254</f>
        <v>0</v>
      </c>
      <c r="AH255" s="608">
        <f t="shared" si="540"/>
        <v>0</v>
      </c>
      <c r="AI255" s="622">
        <f t="shared" ref="AI255" si="568">AI248+AI249+AI253+AI254</f>
        <v>1</v>
      </c>
      <c r="AJ255" s="497">
        <f t="shared" ref="AJ255" si="569">AJ248+AJ249+AJ253+AJ254</f>
        <v>15</v>
      </c>
      <c r="AK255" s="497">
        <f t="shared" ref="AK255" si="570">AK248+AK249+AK253+AK254</f>
        <v>16</v>
      </c>
      <c r="AL255" s="66">
        <f t="shared" si="541"/>
        <v>1</v>
      </c>
    </row>
    <row r="256" spans="1:42" s="117" customFormat="1" ht="16.5" customHeight="1" x14ac:dyDescent="0.25">
      <c r="A256" s="119"/>
      <c r="B256" s="41" t="s">
        <v>180</v>
      </c>
      <c r="C256" s="476" t="s">
        <v>12</v>
      </c>
      <c r="D256" s="477"/>
      <c r="E256" s="478"/>
      <c r="F256" s="478"/>
      <c r="G256" s="71"/>
      <c r="H256" s="71"/>
      <c r="I256" s="71"/>
      <c r="J256" s="71"/>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355"/>
      <c r="AI256" s="377"/>
      <c r="AJ256" s="71"/>
      <c r="AK256" s="71"/>
      <c r="AL256" s="71"/>
      <c r="AN256" s="4"/>
      <c r="AO256" s="4"/>
      <c r="AP256" s="4"/>
    </row>
    <row r="257" spans="1:42" s="4" customFormat="1" ht="16.5" customHeight="1" x14ac:dyDescent="0.25">
      <c r="A257" s="119"/>
      <c r="B257" s="119"/>
      <c r="C257" s="473" t="s">
        <v>1059</v>
      </c>
      <c r="D257" s="484" t="s">
        <v>1844</v>
      </c>
      <c r="E257" s="120"/>
      <c r="F257" s="120"/>
      <c r="G257" s="91">
        <f>IF(G213=0,0,G207/G213)</f>
        <v>0.9642857142857143</v>
      </c>
      <c r="H257" s="91">
        <f t="shared" ref="H257:I257" si="571">IF(H213=0,0,H207/H213)</f>
        <v>0.95299145299145294</v>
      </c>
      <c r="I257" s="91">
        <f t="shared" si="571"/>
        <v>0.95419847328244278</v>
      </c>
      <c r="J257" s="197"/>
      <c r="K257" s="91">
        <f>IF(K213=0,0,K207/K213)</f>
        <v>0</v>
      </c>
      <c r="L257" s="91">
        <f t="shared" ref="L257:M257" si="572">IF(L213=0,0,L207/L213)</f>
        <v>0</v>
      </c>
      <c r="M257" s="91">
        <f t="shared" si="572"/>
        <v>0</v>
      </c>
      <c r="N257" s="197"/>
      <c r="O257" s="91">
        <f>IF(O213=0,0,O207/O213)</f>
        <v>0</v>
      </c>
      <c r="P257" s="91">
        <f t="shared" ref="P257:Q257" si="573">IF(P213=0,0,P207/P213)</f>
        <v>0</v>
      </c>
      <c r="Q257" s="91">
        <f t="shared" si="573"/>
        <v>0</v>
      </c>
      <c r="R257" s="197"/>
      <c r="S257" s="91">
        <f>IF(S213=0,0,S207/S213)</f>
        <v>0</v>
      </c>
      <c r="T257" s="91">
        <f t="shared" ref="T257:U257" si="574">IF(T213=0,0,T207/T213)</f>
        <v>0</v>
      </c>
      <c r="U257" s="91">
        <f t="shared" si="574"/>
        <v>0</v>
      </c>
      <c r="V257" s="197"/>
      <c r="W257" s="91">
        <f>IF(W213=0,0,W207/W213)</f>
        <v>0</v>
      </c>
      <c r="X257" s="91">
        <f t="shared" ref="X257:Y257" si="575">IF(X213=0,0,X207/X213)</f>
        <v>0</v>
      </c>
      <c r="Y257" s="91">
        <f t="shared" si="575"/>
        <v>0</v>
      </c>
      <c r="Z257" s="197"/>
      <c r="AA257" s="91">
        <f>IF(AA213=0,0,AA207/AA213)</f>
        <v>0</v>
      </c>
      <c r="AB257" s="91">
        <f t="shared" ref="AB257:AC257" si="576">IF(AB213=0,0,AB207/AB213)</f>
        <v>0</v>
      </c>
      <c r="AC257" s="91">
        <f t="shared" si="576"/>
        <v>0</v>
      </c>
      <c r="AD257" s="197"/>
      <c r="AE257" s="91">
        <f>IF(AE213=0,0,AE207/AE213)</f>
        <v>0</v>
      </c>
      <c r="AF257" s="91">
        <f t="shared" ref="AF257:AG257" si="577">IF(AF213=0,0,AF207/AF213)</f>
        <v>0</v>
      </c>
      <c r="AG257" s="91">
        <f t="shared" si="577"/>
        <v>0</v>
      </c>
      <c r="AH257" s="191"/>
      <c r="AI257" s="395">
        <f>IF(AI213=0,0,AI207/AI213)</f>
        <v>0.9642857142857143</v>
      </c>
      <c r="AJ257" s="91">
        <f t="shared" ref="AJ257:AK257" si="578">IF(AJ213=0,0,AJ207/AJ213)</f>
        <v>0.95299145299145294</v>
      </c>
      <c r="AK257" s="91">
        <f t="shared" si="578"/>
        <v>0.95419847328244278</v>
      </c>
      <c r="AL257" s="197"/>
    </row>
    <row r="258" spans="1:42" s="4" customFormat="1" ht="16.5" customHeight="1" x14ac:dyDescent="0.25">
      <c r="A258" s="119"/>
      <c r="B258" s="119"/>
      <c r="C258" s="473" t="s">
        <v>1060</v>
      </c>
      <c r="D258" s="498" t="s">
        <v>1478</v>
      </c>
      <c r="E258" s="931"/>
      <c r="F258" s="281"/>
      <c r="G258" s="91">
        <f>IF(G213=0,0,G249/G213)</f>
        <v>3.5714285714285712E-2</v>
      </c>
      <c r="H258" s="91">
        <f>IF(H213=0,0,H249/H213)</f>
        <v>6.4102564102564097E-2</v>
      </c>
      <c r="I258" s="91">
        <f>IF(I213=0,0,I249/I213)</f>
        <v>6.1068702290076333E-2</v>
      </c>
      <c r="J258" s="197"/>
      <c r="K258" s="91">
        <f>IF(K213=0,0,K249/K213)</f>
        <v>0</v>
      </c>
      <c r="L258" s="91">
        <f>IF(L213=0,0,L249/L213)</f>
        <v>0</v>
      </c>
      <c r="M258" s="91">
        <f>IF(M213=0,0,M249/M213)</f>
        <v>0</v>
      </c>
      <c r="N258" s="197"/>
      <c r="O258" s="91">
        <f>IF(O213=0,0,O249/O213)</f>
        <v>0</v>
      </c>
      <c r="P258" s="91">
        <f>IF(P213=0,0,P249/P213)</f>
        <v>0</v>
      </c>
      <c r="Q258" s="91">
        <f>IF(Q213=0,0,Q249/Q213)</f>
        <v>0</v>
      </c>
      <c r="R258" s="197"/>
      <c r="S258" s="91">
        <f>IF(S213=0,0,S249/S213)</f>
        <v>0</v>
      </c>
      <c r="T258" s="91">
        <f>IF(T213=0,0,T249/T213)</f>
        <v>0</v>
      </c>
      <c r="U258" s="91">
        <f>IF(U213=0,0,U249/U213)</f>
        <v>0</v>
      </c>
      <c r="V258" s="197"/>
      <c r="W258" s="91">
        <f>IF(W213=0,0,W249/W213)</f>
        <v>0</v>
      </c>
      <c r="X258" s="91">
        <f>IF(X213=0,0,X249/X213)</f>
        <v>0</v>
      </c>
      <c r="Y258" s="91">
        <f>IF(Y213=0,0,Y249/Y213)</f>
        <v>0</v>
      </c>
      <c r="Z258" s="197"/>
      <c r="AA258" s="91">
        <f>IF(AA213=0,0,AA249/AA213)</f>
        <v>0</v>
      </c>
      <c r="AB258" s="91">
        <f>IF(AB213=0,0,AB249/AB213)</f>
        <v>0</v>
      </c>
      <c r="AC258" s="91">
        <f>IF(AC213=0,0,AC249/AC213)</f>
        <v>0</v>
      </c>
      <c r="AD258" s="197"/>
      <c r="AE258" s="91">
        <f>IF(AE213=0,0,AE249/AE213)</f>
        <v>0</v>
      </c>
      <c r="AF258" s="91">
        <f>IF(AF213=0,0,AF249/AF213)</f>
        <v>0</v>
      </c>
      <c r="AG258" s="91">
        <f>IF(AG213=0,0,AG249/AG213)</f>
        <v>0</v>
      </c>
      <c r="AH258" s="191"/>
      <c r="AI258" s="395">
        <f>IF(AI213=0,0,AI249/AI213)</f>
        <v>3.5714285714285712E-2</v>
      </c>
      <c r="AJ258" s="91">
        <f>IF(AJ213=0,0,AJ249/AJ213)</f>
        <v>6.4102564102564097E-2</v>
      </c>
      <c r="AK258" s="91">
        <f>IF(AK213=0,0,AK249/AK213)</f>
        <v>6.1068702290076333E-2</v>
      </c>
      <c r="AL258" s="197"/>
      <c r="AN258" s="21"/>
      <c r="AO258" s="21"/>
      <c r="AP258" s="21"/>
    </row>
    <row r="259" spans="1:42" s="97" customFormat="1" ht="16.5" customHeight="1" x14ac:dyDescent="0.25">
      <c r="A259" s="68"/>
      <c r="B259" s="68"/>
      <c r="C259" s="68"/>
      <c r="D259" s="166"/>
      <c r="E259" s="458"/>
      <c r="F259" s="458"/>
      <c r="G259" s="466"/>
      <c r="H259" s="466"/>
      <c r="I259" s="466"/>
      <c r="J259" s="466"/>
      <c r="K259" s="466"/>
      <c r="L259" s="466"/>
      <c r="M259" s="466"/>
      <c r="N259" s="466"/>
      <c r="O259" s="466"/>
      <c r="P259" s="466"/>
      <c r="Q259" s="466"/>
      <c r="R259" s="466"/>
      <c r="S259" s="466"/>
      <c r="T259" s="466"/>
      <c r="U259" s="466"/>
      <c r="V259" s="466"/>
      <c r="W259" s="466"/>
      <c r="X259" s="466"/>
      <c r="Y259" s="466"/>
      <c r="Z259" s="466"/>
      <c r="AA259" s="466"/>
      <c r="AB259" s="466"/>
      <c r="AC259" s="466"/>
      <c r="AD259" s="466"/>
      <c r="AE259" s="466"/>
      <c r="AF259" s="466"/>
      <c r="AG259" s="466"/>
      <c r="AH259" s="466"/>
      <c r="AI259" s="466"/>
      <c r="AJ259" s="466"/>
      <c r="AK259" s="466"/>
      <c r="AL259" s="466"/>
    </row>
    <row r="260" spans="1:42" s="456" customFormat="1" ht="16.5" customHeight="1" thickBot="1" x14ac:dyDescent="0.3">
      <c r="A260" s="24" t="s">
        <v>183</v>
      </c>
      <c r="B260" s="453" t="s">
        <v>184</v>
      </c>
      <c r="C260" s="26"/>
      <c r="D260" s="454"/>
      <c r="E260" s="454"/>
      <c r="F260" s="455"/>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606"/>
      <c r="AI260" s="630"/>
      <c r="AJ260" s="24"/>
      <c r="AK260" s="24"/>
      <c r="AL260" s="24"/>
    </row>
    <row r="261" spans="1:42" s="117" customFormat="1" ht="16.5" customHeight="1" x14ac:dyDescent="0.25">
      <c r="A261" s="119"/>
      <c r="B261" s="41" t="s">
        <v>185</v>
      </c>
      <c r="C261" s="476" t="s">
        <v>869</v>
      </c>
      <c r="D261" s="477"/>
      <c r="E261" s="478"/>
      <c r="F261" s="478"/>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355"/>
      <c r="AI261" s="631"/>
      <c r="AJ261" s="272"/>
      <c r="AK261" s="272"/>
      <c r="AL261" s="272"/>
    </row>
    <row r="262" spans="1:42" ht="16.5" customHeight="1" x14ac:dyDescent="0.25">
      <c r="A262" s="40"/>
      <c r="B262" s="40"/>
      <c r="C262" s="473" t="s">
        <v>187</v>
      </c>
      <c r="D262" s="105" t="s">
        <v>129</v>
      </c>
      <c r="E262" s="105"/>
      <c r="F262" s="106"/>
      <c r="G262" s="17">
        <f>'HH WITH COM #1 '!$W$376</f>
        <v>0</v>
      </c>
      <c r="H262" s="17">
        <f>'HH WITH COM #1 '!$X$376</f>
        <v>0</v>
      </c>
      <c r="I262" s="116">
        <f>SUM(G262:H262)</f>
        <v>0</v>
      </c>
      <c r="J262" s="197">
        <f>IF(I$265=0,0,I262/I$265)</f>
        <v>0</v>
      </c>
      <c r="K262" s="17">
        <f>'HH WITH COM #2'!$W$376</f>
        <v>0</v>
      </c>
      <c r="L262" s="17">
        <f>'HH WITH COM #2'!$X$376</f>
        <v>0</v>
      </c>
      <c r="M262" s="539">
        <f>SUM(K262:L262)</f>
        <v>0</v>
      </c>
      <c r="N262" s="197">
        <f>IF(M$265=0,0,M262/M$265)</f>
        <v>0</v>
      </c>
      <c r="O262" s="17">
        <f>'HH WITH COM #3'!$W$376</f>
        <v>0</v>
      </c>
      <c r="P262" s="17">
        <f>'HH WITH COM #3'!$X$376</f>
        <v>0</v>
      </c>
      <c r="Q262" s="539">
        <f>SUM(O262:P262)</f>
        <v>0</v>
      </c>
      <c r="R262" s="197">
        <f>IF(Q$265=0,0,Q262/Q$265)</f>
        <v>0</v>
      </c>
      <c r="S262" s="17">
        <f>'HH WITH COM #4'!$W$376</f>
        <v>0</v>
      </c>
      <c r="T262" s="17">
        <f>'HH WITH COM #4'!$X$376</f>
        <v>0</v>
      </c>
      <c r="U262" s="539">
        <f>SUM(S262:T262)</f>
        <v>0</v>
      </c>
      <c r="V262" s="197">
        <f>IF(U$265=0,0,U262/U$265)</f>
        <v>0</v>
      </c>
      <c r="W262" s="17">
        <f>'HH WITH COM #5'!$W$376</f>
        <v>0</v>
      </c>
      <c r="X262" s="17">
        <f>'HH WITH COM #5'!$X$376</f>
        <v>0</v>
      </c>
      <c r="Y262" s="539">
        <f>SUM(W262:X262)</f>
        <v>0</v>
      </c>
      <c r="Z262" s="197">
        <f>IF(Y$265=0,0,Y262/Y$265)</f>
        <v>0</v>
      </c>
      <c r="AA262" s="17">
        <f>'HH WITH COM #6'!$W$376</f>
        <v>0</v>
      </c>
      <c r="AB262" s="17">
        <f>'HH WITH COM #6'!$X$376</f>
        <v>0</v>
      </c>
      <c r="AC262" s="539">
        <f>SUM(AA262:AB262)</f>
        <v>0</v>
      </c>
      <c r="AD262" s="197">
        <f>IF(AC$265=0,0,AC262/AC$265)</f>
        <v>0</v>
      </c>
      <c r="AE262" s="17">
        <f>'HH WITH COM #7'!$W$376</f>
        <v>0</v>
      </c>
      <c r="AF262" s="17">
        <f>'HH WITH COM #7'!$X$376</f>
        <v>0</v>
      </c>
      <c r="AG262" s="539">
        <f>SUM(AE262:AF262)</f>
        <v>0</v>
      </c>
      <c r="AH262" s="191">
        <f>IF(AG$265=0,0,AG262/AG$265)</f>
        <v>0</v>
      </c>
      <c r="AI262" s="391">
        <f t="shared" ref="AI262:AJ279" si="579">G262+K262+O262+S262+W262+AA262+AE262</f>
        <v>0</v>
      </c>
      <c r="AJ262" s="17">
        <f t="shared" ref="AJ262:AJ264" si="580">H262+L262+P262+T262+X262+AB262+AF262</f>
        <v>0</v>
      </c>
      <c r="AK262" s="539">
        <f t="shared" ref="AK262:AK264" si="581">SUM(AI262:AJ262)</f>
        <v>0</v>
      </c>
      <c r="AL262" s="197">
        <f>IF(AK$265=0,0,AK262/AK$265)</f>
        <v>0</v>
      </c>
    </row>
    <row r="263" spans="1:42" ht="16.5" customHeight="1" x14ac:dyDescent="0.25">
      <c r="A263" s="40"/>
      <c r="B263" s="40"/>
      <c r="C263" s="473" t="s">
        <v>188</v>
      </c>
      <c r="D263" s="484" t="s">
        <v>189</v>
      </c>
      <c r="E263" s="75"/>
      <c r="F263" s="76"/>
      <c r="G263" s="17">
        <f>'HH WITH COM #1 '!$W$377</f>
        <v>1</v>
      </c>
      <c r="H263" s="17">
        <f>'HH WITH COM #1 '!$X$377</f>
        <v>3</v>
      </c>
      <c r="I263" s="116">
        <f>SUM(G263:H263)</f>
        <v>4</v>
      </c>
      <c r="J263" s="197">
        <f>IF(I$265=0,0,I263/I$265)</f>
        <v>0.26666666666666666</v>
      </c>
      <c r="K263" s="17">
        <f>'HH WITH COM #2'!$W$377</f>
        <v>1</v>
      </c>
      <c r="L263" s="17">
        <f>'HH WITH COM #2'!$X$377</f>
        <v>4</v>
      </c>
      <c r="M263" s="539">
        <f>SUM(K263:L263)</f>
        <v>5</v>
      </c>
      <c r="N263" s="197">
        <f>IF(M$265=0,0,M263/M$265)</f>
        <v>0.35714285714285715</v>
      </c>
      <c r="O263" s="17">
        <f>'HH WITH COM #3'!$W$377</f>
        <v>0</v>
      </c>
      <c r="P263" s="17">
        <f>'HH WITH COM #3'!$X$377</f>
        <v>9</v>
      </c>
      <c r="Q263" s="539">
        <f>SUM(O263:P263)</f>
        <v>9</v>
      </c>
      <c r="R263" s="197">
        <f>IF(Q$265=0,0,Q263/Q$265)</f>
        <v>1</v>
      </c>
      <c r="S263" s="17">
        <f>'HH WITH COM #4'!$W$377</f>
        <v>0</v>
      </c>
      <c r="T263" s="17">
        <f>'HH WITH COM #4'!$X$377</f>
        <v>6</v>
      </c>
      <c r="U263" s="539">
        <f>SUM(S263:T263)</f>
        <v>6</v>
      </c>
      <c r="V263" s="197">
        <f>IF(U$265=0,0,U263/U$265)</f>
        <v>0.375</v>
      </c>
      <c r="W263" s="17">
        <f>'HH WITH COM #5'!$W$377</f>
        <v>0</v>
      </c>
      <c r="X263" s="17">
        <f>'HH WITH COM #5'!$X$377</f>
        <v>14</v>
      </c>
      <c r="Y263" s="539">
        <f>SUM(W263:X263)</f>
        <v>14</v>
      </c>
      <c r="Z263" s="197">
        <f>IF(Y$265=0,0,Y263/Y$265)</f>
        <v>0.66666666666666663</v>
      </c>
      <c r="AA263" s="17">
        <f>'HH WITH COM #6'!$W$377</f>
        <v>1</v>
      </c>
      <c r="AB263" s="17">
        <f>'HH WITH COM #6'!$X$377</f>
        <v>8</v>
      </c>
      <c r="AC263" s="539">
        <f>SUM(AA263:AB263)</f>
        <v>9</v>
      </c>
      <c r="AD263" s="197">
        <f>IF(AC$265=0,0,AC263/AC$265)</f>
        <v>0.6</v>
      </c>
      <c r="AE263" s="17">
        <f>'HH WITH COM #7'!$W$377</f>
        <v>0</v>
      </c>
      <c r="AF263" s="17">
        <f>'HH WITH COM #7'!$X$377</f>
        <v>0</v>
      </c>
      <c r="AG263" s="539">
        <f>SUM(AE263:AF263)</f>
        <v>0</v>
      </c>
      <c r="AH263" s="191">
        <f>IF(AG$265=0,0,AG263/AG$265)</f>
        <v>0</v>
      </c>
      <c r="AI263" s="391">
        <f t="shared" si="579"/>
        <v>3</v>
      </c>
      <c r="AJ263" s="17">
        <f t="shared" si="580"/>
        <v>44</v>
      </c>
      <c r="AK263" s="539">
        <f t="shared" si="581"/>
        <v>47</v>
      </c>
      <c r="AL263" s="197">
        <f>IF(AK$265=0,0,AK263/AK$265)</f>
        <v>0.52222222222222225</v>
      </c>
    </row>
    <row r="264" spans="1:42" ht="16.5" customHeight="1" x14ac:dyDescent="0.25">
      <c r="A264" s="40"/>
      <c r="B264" s="40"/>
      <c r="C264" s="473" t="s">
        <v>190</v>
      </c>
      <c r="D264" s="498" t="s">
        <v>494</v>
      </c>
      <c r="E264" s="75"/>
      <c r="F264" s="76"/>
      <c r="G264" s="17">
        <f>'HH WITH COM #1 '!$W$378</f>
        <v>6</v>
      </c>
      <c r="H264" s="17">
        <f>'HH WITH COM #1 '!$X$378</f>
        <v>5</v>
      </c>
      <c r="I264" s="116">
        <f>SUM(G264:H264)</f>
        <v>11</v>
      </c>
      <c r="J264" s="197">
        <f>IF(I$265=0,0,I264/I$265)</f>
        <v>0.73333333333333328</v>
      </c>
      <c r="K264" s="17">
        <f>'HH WITH COM #2'!$W$378</f>
        <v>3</v>
      </c>
      <c r="L264" s="17">
        <f>'HH WITH COM #2'!$X$378</f>
        <v>6</v>
      </c>
      <c r="M264" s="539">
        <f>SUM(K264:L264)</f>
        <v>9</v>
      </c>
      <c r="N264" s="197">
        <f>IF(M$265=0,0,M264/M$265)</f>
        <v>0.6428571428571429</v>
      </c>
      <c r="O264" s="17">
        <f>'HH WITH COM #3'!$W$378</f>
        <v>0</v>
      </c>
      <c r="P264" s="17">
        <f>'HH WITH COM #3'!$X$378</f>
        <v>0</v>
      </c>
      <c r="Q264" s="539">
        <f>SUM(O264:P264)</f>
        <v>0</v>
      </c>
      <c r="R264" s="197">
        <f>IF(Q$265=0,0,Q264/Q$265)</f>
        <v>0</v>
      </c>
      <c r="S264" s="17">
        <f>'HH WITH COM #4'!$W$378</f>
        <v>1</v>
      </c>
      <c r="T264" s="17">
        <f>'HH WITH COM #4'!$X$378</f>
        <v>9</v>
      </c>
      <c r="U264" s="539">
        <f>SUM(S264:T264)</f>
        <v>10</v>
      </c>
      <c r="V264" s="197">
        <f>IF(U$265=0,0,U264/U$265)</f>
        <v>0.625</v>
      </c>
      <c r="W264" s="17">
        <f>'HH WITH COM #5'!$W$378</f>
        <v>2</v>
      </c>
      <c r="X264" s="17">
        <f>'HH WITH COM #5'!$X$378</f>
        <v>5</v>
      </c>
      <c r="Y264" s="539">
        <f>SUM(W264:X264)</f>
        <v>7</v>
      </c>
      <c r="Z264" s="197">
        <f>IF(Y$265=0,0,Y264/Y$265)</f>
        <v>0.33333333333333331</v>
      </c>
      <c r="AA264" s="17">
        <f>'HH WITH COM #6'!$W$378</f>
        <v>2</v>
      </c>
      <c r="AB264" s="17">
        <f>'HH WITH COM #6'!$X$378</f>
        <v>4</v>
      </c>
      <c r="AC264" s="539">
        <f>SUM(AA264:AB264)</f>
        <v>6</v>
      </c>
      <c r="AD264" s="197">
        <f>IF(AC$265=0,0,AC264/AC$265)</f>
        <v>0.4</v>
      </c>
      <c r="AE264" s="17">
        <f>'HH WITH COM #7'!$W$378</f>
        <v>0</v>
      </c>
      <c r="AF264" s="17">
        <f>'HH WITH COM #7'!$X$378</f>
        <v>0</v>
      </c>
      <c r="AG264" s="539">
        <f>SUM(AE264:AF264)</f>
        <v>0</v>
      </c>
      <c r="AH264" s="191">
        <f>IF(AG$265=0,0,AG264/AG$265)</f>
        <v>0</v>
      </c>
      <c r="AI264" s="391">
        <f t="shared" si="579"/>
        <v>14</v>
      </c>
      <c r="AJ264" s="17">
        <f t="shared" si="580"/>
        <v>29</v>
      </c>
      <c r="AK264" s="539">
        <f t="shared" si="581"/>
        <v>43</v>
      </c>
      <c r="AL264" s="197">
        <f>IF(AK$265=0,0,AK264/AK$265)</f>
        <v>0.4777777777777778</v>
      </c>
    </row>
    <row r="265" spans="1:42" s="4" customFormat="1" ht="16.5" customHeight="1" x14ac:dyDescent="0.25">
      <c r="A265" s="119"/>
      <c r="B265" s="119"/>
      <c r="C265" s="119"/>
      <c r="D265" s="184"/>
      <c r="E265" s="134"/>
      <c r="F265" s="469"/>
      <c r="G265" s="497">
        <f>SUM(G262:G264)</f>
        <v>7</v>
      </c>
      <c r="H265" s="497">
        <f>SUM(H262:H264)</f>
        <v>8</v>
      </c>
      <c r="I265" s="497">
        <f>SUM(I262:I264)</f>
        <v>15</v>
      </c>
      <c r="J265" s="500">
        <f>IF(I$265=0,0,I265/I$265)</f>
        <v>1</v>
      </c>
      <c r="K265" s="497">
        <f>SUM(K262:K264)</f>
        <v>4</v>
      </c>
      <c r="L265" s="497">
        <f>SUM(L262:L264)</f>
        <v>10</v>
      </c>
      <c r="M265" s="497">
        <f>SUM(M262:M264)</f>
        <v>14</v>
      </c>
      <c r="N265" s="500">
        <f>IF(M$265=0,0,M265/M$265)</f>
        <v>1</v>
      </c>
      <c r="O265" s="497">
        <f>SUM(O262:O264)</f>
        <v>0</v>
      </c>
      <c r="P265" s="497">
        <f>SUM(P262:P264)</f>
        <v>9</v>
      </c>
      <c r="Q265" s="497">
        <f>SUM(Q262:Q264)</f>
        <v>9</v>
      </c>
      <c r="R265" s="500">
        <f>IF(Q$265=0,0,Q265/Q$265)</f>
        <v>1</v>
      </c>
      <c r="S265" s="497">
        <f>SUM(S262:S264)</f>
        <v>1</v>
      </c>
      <c r="T265" s="497">
        <f>SUM(T262:T264)</f>
        <v>15</v>
      </c>
      <c r="U265" s="497">
        <f>SUM(U262:U264)</f>
        <v>16</v>
      </c>
      <c r="V265" s="500">
        <f>IF(U$265=0,0,U265/U$265)</f>
        <v>1</v>
      </c>
      <c r="W265" s="497">
        <f>SUM(W262:W264)</f>
        <v>2</v>
      </c>
      <c r="X265" s="497">
        <f>SUM(X262:X264)</f>
        <v>19</v>
      </c>
      <c r="Y265" s="497">
        <f>SUM(Y262:Y264)</f>
        <v>21</v>
      </c>
      <c r="Z265" s="500">
        <f>IF(Y$265=0,0,Y265/Y$265)</f>
        <v>1</v>
      </c>
      <c r="AA265" s="497">
        <f>SUM(AA262:AA264)</f>
        <v>3</v>
      </c>
      <c r="AB265" s="497">
        <f>SUM(AB262:AB264)</f>
        <v>12</v>
      </c>
      <c r="AC265" s="497">
        <f>SUM(AC262:AC264)</f>
        <v>15</v>
      </c>
      <c r="AD265" s="500">
        <f>IF(AC$265=0,0,AC265/AC$265)</f>
        <v>1</v>
      </c>
      <c r="AE265" s="497">
        <f>SUM(AE262:AE264)</f>
        <v>0</v>
      </c>
      <c r="AF265" s="497">
        <f>SUM(AF262:AF264)</f>
        <v>0</v>
      </c>
      <c r="AG265" s="497">
        <f>SUM(AG262:AG264)</f>
        <v>0</v>
      </c>
      <c r="AH265" s="614">
        <f>IF(AG$265=0,0,AG265/AG$265)</f>
        <v>0</v>
      </c>
      <c r="AI265" s="622">
        <f>SUM(AI262:AI264)</f>
        <v>17</v>
      </c>
      <c r="AJ265" s="497">
        <f>SUM(AJ262:AJ264)</f>
        <v>73</v>
      </c>
      <c r="AK265" s="497">
        <f>SUM(AK262:AK264)</f>
        <v>90</v>
      </c>
      <c r="AL265" s="500">
        <f>IF(AK$265=0,0,AK265/AK$265)</f>
        <v>1</v>
      </c>
    </row>
    <row r="266" spans="1:42" ht="16.5" customHeight="1" x14ac:dyDescent="0.25">
      <c r="A266" s="40"/>
      <c r="B266" s="40"/>
      <c r="C266" s="40"/>
      <c r="D266" s="473" t="s">
        <v>191</v>
      </c>
      <c r="E266" s="484" t="s">
        <v>992</v>
      </c>
      <c r="F266" s="105"/>
      <c r="G266" s="564">
        <f>'HH WITH COM #1 '!$W$382</f>
        <v>0</v>
      </c>
      <c r="H266" s="564">
        <f>'HH WITH COM #1 '!$X$382</f>
        <v>0</v>
      </c>
      <c r="I266" s="116">
        <f t="shared" ref="I266" si="582">SUM(G266:H266)</f>
        <v>0</v>
      </c>
      <c r="J266" s="197">
        <f t="shared" ref="J266:J279" si="583">IF(I$284=0,0,I266/I$284)</f>
        <v>0</v>
      </c>
      <c r="K266" s="564">
        <f>'HH WITH COM #2'!$W$382</f>
        <v>0</v>
      </c>
      <c r="L266" s="564">
        <f>'HH WITH COM #2'!$X$382</f>
        <v>0</v>
      </c>
      <c r="M266" s="539">
        <f t="shared" ref="M266:M280" si="584">SUM(K266:L266)</f>
        <v>0</v>
      </c>
      <c r="N266" s="197">
        <f t="shared" ref="N266:N279" si="585">IF(M$284=0,0,M266/M$284)</f>
        <v>0</v>
      </c>
      <c r="O266" s="564">
        <f>'HH WITH COM #3'!$W$382</f>
        <v>0</v>
      </c>
      <c r="P266" s="564">
        <f>'HH WITH COM #3'!$X$382</f>
        <v>0</v>
      </c>
      <c r="Q266" s="539">
        <f t="shared" ref="Q266:Q280" si="586">SUM(O266:P266)</f>
        <v>0</v>
      </c>
      <c r="R266" s="197">
        <f t="shared" ref="R266:R279" si="587">IF(Q$284=0,0,Q266/Q$284)</f>
        <v>0</v>
      </c>
      <c r="S266" s="564">
        <f>'HH WITH COM #4'!$W$382</f>
        <v>0</v>
      </c>
      <c r="T266" s="564">
        <f>'HH WITH COM #4'!$X$382</f>
        <v>0</v>
      </c>
      <c r="U266" s="539">
        <f t="shared" ref="U266:U280" si="588">SUM(S266:T266)</f>
        <v>0</v>
      </c>
      <c r="V266" s="197">
        <f t="shared" ref="V266:V279" si="589">IF(U$284=0,0,U266/U$284)</f>
        <v>0</v>
      </c>
      <c r="W266" s="564">
        <f>'HH WITH COM #5'!$W$382</f>
        <v>0</v>
      </c>
      <c r="X266" s="564">
        <f>'HH WITH COM #5'!$X$382</f>
        <v>0</v>
      </c>
      <c r="Y266" s="539">
        <f t="shared" ref="Y266:Y280" si="590">SUM(W266:X266)</f>
        <v>0</v>
      </c>
      <c r="Z266" s="197">
        <f t="shared" ref="Z266:Z279" si="591">IF(Y$284=0,0,Y266/Y$284)</f>
        <v>0</v>
      </c>
      <c r="AA266" s="564">
        <f>'HH WITH COM #6'!$W$382</f>
        <v>0</v>
      </c>
      <c r="AB266" s="564">
        <f>'HH WITH COM #6'!$X$382</f>
        <v>0</v>
      </c>
      <c r="AC266" s="539">
        <f t="shared" ref="AC266:AC280" si="592">SUM(AA266:AB266)</f>
        <v>0</v>
      </c>
      <c r="AD266" s="197">
        <f t="shared" ref="AD266:AD279" si="593">IF(AC$284=0,0,AC266/AC$284)</f>
        <v>0</v>
      </c>
      <c r="AE266" s="564">
        <f>'HH WITH COM #7'!$W$382</f>
        <v>0</v>
      </c>
      <c r="AF266" s="564">
        <f>'HH WITH COM #7'!$X$382</f>
        <v>0</v>
      </c>
      <c r="AG266" s="539">
        <f t="shared" ref="AG266:AG280" si="594">SUM(AE266:AF266)</f>
        <v>0</v>
      </c>
      <c r="AH266" s="191">
        <f t="shared" ref="AH266:AH279" si="595">IF(AG$284=0,0,AG266/AG$284)</f>
        <v>0</v>
      </c>
      <c r="AI266" s="391">
        <f t="shared" si="579"/>
        <v>0</v>
      </c>
      <c r="AJ266" s="17">
        <f t="shared" si="579"/>
        <v>0</v>
      </c>
      <c r="AK266" s="539">
        <f t="shared" ref="AK266" si="596">SUM(AI266:AJ266)</f>
        <v>0</v>
      </c>
      <c r="AL266" s="197">
        <f t="shared" ref="AL266:AL279" si="597">IF(AK$284=0,0,AK266/AK$284)</f>
        <v>0</v>
      </c>
    </row>
    <row r="267" spans="1:42" ht="16.5" customHeight="1" x14ac:dyDescent="0.25">
      <c r="A267" s="40"/>
      <c r="B267" s="40"/>
      <c r="C267" s="40"/>
      <c r="D267" s="473" t="s">
        <v>192</v>
      </c>
      <c r="E267" s="105" t="s">
        <v>462</v>
      </c>
      <c r="F267" s="105"/>
      <c r="G267" s="564">
        <f>'HH WITH COM #1 '!$W$383</f>
        <v>0</v>
      </c>
      <c r="H267" s="564">
        <f>'HH WITH COM #1 '!$X$383</f>
        <v>0</v>
      </c>
      <c r="I267" s="539">
        <f t="shared" ref="I267:I280" si="598">SUM(G267:H267)</f>
        <v>0</v>
      </c>
      <c r="J267" s="197">
        <f t="shared" si="583"/>
        <v>0</v>
      </c>
      <c r="K267" s="564">
        <f>'HH WITH COM #2'!$W$383</f>
        <v>0</v>
      </c>
      <c r="L267" s="564">
        <f>'HH WITH COM #2'!$X$383</f>
        <v>0</v>
      </c>
      <c r="M267" s="539">
        <f t="shared" si="584"/>
        <v>0</v>
      </c>
      <c r="N267" s="197">
        <f t="shared" si="585"/>
        <v>0</v>
      </c>
      <c r="O267" s="564">
        <f>'HH WITH COM #3'!$W$383</f>
        <v>0</v>
      </c>
      <c r="P267" s="564">
        <f>'HH WITH COM #3'!$X$383</f>
        <v>0</v>
      </c>
      <c r="Q267" s="539">
        <f t="shared" si="586"/>
        <v>0</v>
      </c>
      <c r="R267" s="197">
        <f t="shared" si="587"/>
        <v>0</v>
      </c>
      <c r="S267" s="564">
        <f>'HH WITH COM #4'!$W$383</f>
        <v>0</v>
      </c>
      <c r="T267" s="564">
        <f>'HH WITH COM #4'!$X$383</f>
        <v>1</v>
      </c>
      <c r="U267" s="539">
        <f t="shared" si="588"/>
        <v>1</v>
      </c>
      <c r="V267" s="197">
        <f t="shared" si="589"/>
        <v>0.1</v>
      </c>
      <c r="W267" s="564">
        <f>'HH WITH COM #5'!$W$383</f>
        <v>0</v>
      </c>
      <c r="X267" s="564">
        <f>'HH WITH COM #5'!$X$383</f>
        <v>0</v>
      </c>
      <c r="Y267" s="539">
        <f t="shared" si="590"/>
        <v>0</v>
      </c>
      <c r="Z267" s="197">
        <f t="shared" si="591"/>
        <v>0</v>
      </c>
      <c r="AA267" s="564">
        <f>'HH WITH COM #6'!$W$383</f>
        <v>0</v>
      </c>
      <c r="AB267" s="564">
        <f>'HH WITH COM #6'!$X$383</f>
        <v>0</v>
      </c>
      <c r="AC267" s="539">
        <f t="shared" si="592"/>
        <v>0</v>
      </c>
      <c r="AD267" s="197">
        <f t="shared" si="593"/>
        <v>0</v>
      </c>
      <c r="AE267" s="564">
        <f>'HH WITH COM #7'!$W$383</f>
        <v>0</v>
      </c>
      <c r="AF267" s="564">
        <f>'HH WITH COM #7'!$X$383</f>
        <v>0</v>
      </c>
      <c r="AG267" s="539">
        <f t="shared" si="594"/>
        <v>0</v>
      </c>
      <c r="AH267" s="191">
        <f t="shared" si="595"/>
        <v>0</v>
      </c>
      <c r="AI267" s="391">
        <f t="shared" si="579"/>
        <v>0</v>
      </c>
      <c r="AJ267" s="17">
        <f t="shared" si="579"/>
        <v>1</v>
      </c>
      <c r="AK267" s="539">
        <f t="shared" ref="AK267:AK279" si="599">SUM(AI267:AJ267)</f>
        <v>1</v>
      </c>
      <c r="AL267" s="197">
        <f t="shared" si="597"/>
        <v>2.3255813953488372E-2</v>
      </c>
    </row>
    <row r="268" spans="1:42" ht="16.5" customHeight="1" x14ac:dyDescent="0.25">
      <c r="A268" s="40"/>
      <c r="B268" s="40"/>
      <c r="C268" s="40"/>
      <c r="D268" s="473" t="s">
        <v>193</v>
      </c>
      <c r="E268" s="484" t="s">
        <v>993</v>
      </c>
      <c r="F268" s="105"/>
      <c r="G268" s="564">
        <f>'HH WITH COM #1 '!$W$384</f>
        <v>0</v>
      </c>
      <c r="H268" s="564">
        <f>'HH WITH COM #1 '!$X$384</f>
        <v>0</v>
      </c>
      <c r="I268" s="539">
        <f t="shared" si="598"/>
        <v>0</v>
      </c>
      <c r="J268" s="197">
        <f t="shared" si="583"/>
        <v>0</v>
      </c>
      <c r="K268" s="564">
        <f>'HH WITH COM #2'!$W$384</f>
        <v>0</v>
      </c>
      <c r="L268" s="564">
        <f>'HH WITH COM #2'!$X$384</f>
        <v>0</v>
      </c>
      <c r="M268" s="539">
        <f t="shared" si="584"/>
        <v>0</v>
      </c>
      <c r="N268" s="197">
        <f t="shared" si="585"/>
        <v>0</v>
      </c>
      <c r="O268" s="564">
        <f>'HH WITH COM #3'!$W$384</f>
        <v>0</v>
      </c>
      <c r="P268" s="564">
        <f>'HH WITH COM #3'!$X$384</f>
        <v>0</v>
      </c>
      <c r="Q268" s="539">
        <f t="shared" si="586"/>
        <v>0</v>
      </c>
      <c r="R268" s="197">
        <f t="shared" si="587"/>
        <v>0</v>
      </c>
      <c r="S268" s="564">
        <f>'HH WITH COM #4'!$W$384</f>
        <v>0</v>
      </c>
      <c r="T268" s="564">
        <f>'HH WITH COM #4'!$X$384</f>
        <v>0</v>
      </c>
      <c r="U268" s="539">
        <f t="shared" si="588"/>
        <v>0</v>
      </c>
      <c r="V268" s="197">
        <f t="shared" si="589"/>
        <v>0</v>
      </c>
      <c r="W268" s="564">
        <f>'HH WITH COM #5'!$W$384</f>
        <v>0</v>
      </c>
      <c r="X268" s="564">
        <f>'HH WITH COM #5'!$X$384</f>
        <v>0</v>
      </c>
      <c r="Y268" s="539">
        <f t="shared" si="590"/>
        <v>0</v>
      </c>
      <c r="Z268" s="197">
        <f t="shared" si="591"/>
        <v>0</v>
      </c>
      <c r="AA268" s="564">
        <f>'HH WITH COM #6'!$W$384</f>
        <v>0</v>
      </c>
      <c r="AB268" s="564">
        <f>'HH WITH COM #6'!$X$384</f>
        <v>1</v>
      </c>
      <c r="AC268" s="539">
        <f t="shared" si="592"/>
        <v>1</v>
      </c>
      <c r="AD268" s="197">
        <f t="shared" si="593"/>
        <v>0.16666666666666666</v>
      </c>
      <c r="AE268" s="564">
        <f>'HH WITH COM #7'!$W$384</f>
        <v>0</v>
      </c>
      <c r="AF268" s="564">
        <f>'HH WITH COM #7'!$X$384</f>
        <v>0</v>
      </c>
      <c r="AG268" s="539">
        <f t="shared" si="594"/>
        <v>0</v>
      </c>
      <c r="AH268" s="191">
        <f t="shared" si="595"/>
        <v>0</v>
      </c>
      <c r="AI268" s="391">
        <f t="shared" si="579"/>
        <v>0</v>
      </c>
      <c r="AJ268" s="17">
        <f t="shared" si="579"/>
        <v>1</v>
      </c>
      <c r="AK268" s="539">
        <f t="shared" si="599"/>
        <v>1</v>
      </c>
      <c r="AL268" s="197">
        <f t="shared" si="597"/>
        <v>2.3255813953488372E-2</v>
      </c>
    </row>
    <row r="269" spans="1:42" ht="16.5" customHeight="1" x14ac:dyDescent="0.25">
      <c r="A269" s="40"/>
      <c r="B269" s="40"/>
      <c r="C269" s="40"/>
      <c r="D269" s="473" t="s">
        <v>194</v>
      </c>
      <c r="E269" s="105" t="s">
        <v>464</v>
      </c>
      <c r="F269" s="105"/>
      <c r="G269" s="564">
        <f>'HH WITH COM #1 '!$W$385</f>
        <v>0</v>
      </c>
      <c r="H269" s="564">
        <f>'HH WITH COM #1 '!$X$385</f>
        <v>0</v>
      </c>
      <c r="I269" s="539">
        <f t="shared" si="598"/>
        <v>0</v>
      </c>
      <c r="J269" s="197">
        <f t="shared" si="583"/>
        <v>0</v>
      </c>
      <c r="K269" s="564">
        <f>'HH WITH COM #2'!$W$385</f>
        <v>0</v>
      </c>
      <c r="L269" s="564">
        <f>'HH WITH COM #2'!$X$385</f>
        <v>0</v>
      </c>
      <c r="M269" s="539">
        <f t="shared" si="584"/>
        <v>0</v>
      </c>
      <c r="N269" s="197">
        <f t="shared" si="585"/>
        <v>0</v>
      </c>
      <c r="O269" s="564">
        <f>'HH WITH COM #3'!$W$385</f>
        <v>0</v>
      </c>
      <c r="P269" s="564">
        <f>'HH WITH COM #3'!$X$385</f>
        <v>0</v>
      </c>
      <c r="Q269" s="539">
        <f t="shared" si="586"/>
        <v>0</v>
      </c>
      <c r="R269" s="197">
        <f t="shared" si="587"/>
        <v>0</v>
      </c>
      <c r="S269" s="564">
        <f>'HH WITH COM #4'!$W$385</f>
        <v>0</v>
      </c>
      <c r="T269" s="564">
        <f>'HH WITH COM #4'!$X$385</f>
        <v>0</v>
      </c>
      <c r="U269" s="539">
        <f t="shared" si="588"/>
        <v>0</v>
      </c>
      <c r="V269" s="197">
        <f t="shared" si="589"/>
        <v>0</v>
      </c>
      <c r="W269" s="564">
        <f>'HH WITH COM #5'!$W$385</f>
        <v>0</v>
      </c>
      <c r="X269" s="564">
        <f>'HH WITH COM #5'!$X$385</f>
        <v>0</v>
      </c>
      <c r="Y269" s="539">
        <f t="shared" si="590"/>
        <v>0</v>
      </c>
      <c r="Z269" s="197">
        <f t="shared" si="591"/>
        <v>0</v>
      </c>
      <c r="AA269" s="564">
        <f>'HH WITH COM #6'!$W$385</f>
        <v>0</v>
      </c>
      <c r="AB269" s="564">
        <f>'HH WITH COM #6'!$X$385</f>
        <v>0</v>
      </c>
      <c r="AC269" s="539">
        <f t="shared" si="592"/>
        <v>0</v>
      </c>
      <c r="AD269" s="197">
        <f t="shared" si="593"/>
        <v>0</v>
      </c>
      <c r="AE269" s="564">
        <f>'HH WITH COM #7'!$W$385</f>
        <v>0</v>
      </c>
      <c r="AF269" s="564">
        <f>'HH WITH COM #7'!$X$385</f>
        <v>0</v>
      </c>
      <c r="AG269" s="539">
        <f t="shared" si="594"/>
        <v>0</v>
      </c>
      <c r="AH269" s="191">
        <f t="shared" si="595"/>
        <v>0</v>
      </c>
      <c r="AI269" s="391">
        <f t="shared" si="579"/>
        <v>0</v>
      </c>
      <c r="AJ269" s="17">
        <f t="shared" si="579"/>
        <v>0</v>
      </c>
      <c r="AK269" s="539">
        <f t="shared" si="599"/>
        <v>0</v>
      </c>
      <c r="AL269" s="197">
        <f t="shared" si="597"/>
        <v>0</v>
      </c>
    </row>
    <row r="270" spans="1:42" ht="16.5" customHeight="1" x14ac:dyDescent="0.25">
      <c r="A270" s="40"/>
      <c r="B270" s="40"/>
      <c r="C270" s="40"/>
      <c r="D270" s="473" t="s">
        <v>195</v>
      </c>
      <c r="E270" s="105" t="s">
        <v>465</v>
      </c>
      <c r="F270" s="105"/>
      <c r="G270" s="564">
        <f>'HH WITH COM #1 '!$W$386</f>
        <v>0</v>
      </c>
      <c r="H270" s="564">
        <f>'HH WITH COM #1 '!$X$386</f>
        <v>0</v>
      </c>
      <c r="I270" s="539">
        <f t="shared" si="598"/>
        <v>0</v>
      </c>
      <c r="J270" s="197">
        <f t="shared" si="583"/>
        <v>0</v>
      </c>
      <c r="K270" s="564">
        <f>'HH WITH COM #2'!$W$386</f>
        <v>0</v>
      </c>
      <c r="L270" s="564">
        <f>'HH WITH COM #2'!$X$386</f>
        <v>0</v>
      </c>
      <c r="M270" s="539">
        <f t="shared" si="584"/>
        <v>0</v>
      </c>
      <c r="N270" s="197">
        <f t="shared" si="585"/>
        <v>0</v>
      </c>
      <c r="O270" s="564">
        <f>'HH WITH COM #3'!$W$386</f>
        <v>0</v>
      </c>
      <c r="P270" s="564">
        <f>'HH WITH COM #3'!$X$386</f>
        <v>0</v>
      </c>
      <c r="Q270" s="539">
        <f t="shared" si="586"/>
        <v>0</v>
      </c>
      <c r="R270" s="197">
        <f t="shared" si="587"/>
        <v>0</v>
      </c>
      <c r="S270" s="564">
        <f>'HH WITH COM #4'!$W$386</f>
        <v>0</v>
      </c>
      <c r="T270" s="564">
        <f>'HH WITH COM #4'!$X$386</f>
        <v>0</v>
      </c>
      <c r="U270" s="539">
        <f t="shared" si="588"/>
        <v>0</v>
      </c>
      <c r="V270" s="197">
        <f t="shared" si="589"/>
        <v>0</v>
      </c>
      <c r="W270" s="564">
        <f>'HH WITH COM #5'!$W$386</f>
        <v>0</v>
      </c>
      <c r="X270" s="564">
        <f>'HH WITH COM #5'!$X$386</f>
        <v>0</v>
      </c>
      <c r="Y270" s="539">
        <f t="shared" si="590"/>
        <v>0</v>
      </c>
      <c r="Z270" s="197">
        <f t="shared" si="591"/>
        <v>0</v>
      </c>
      <c r="AA270" s="564">
        <f>'HH WITH COM #6'!$W$386</f>
        <v>0</v>
      </c>
      <c r="AB270" s="564">
        <f>'HH WITH COM #6'!$X$386</f>
        <v>0</v>
      </c>
      <c r="AC270" s="539">
        <f t="shared" si="592"/>
        <v>0</v>
      </c>
      <c r="AD270" s="197">
        <f t="shared" si="593"/>
        <v>0</v>
      </c>
      <c r="AE270" s="564">
        <f>'HH WITH COM #7'!$W$386</f>
        <v>0</v>
      </c>
      <c r="AF270" s="564">
        <f>'HH WITH COM #7'!$X$386</f>
        <v>0</v>
      </c>
      <c r="AG270" s="539">
        <f t="shared" si="594"/>
        <v>0</v>
      </c>
      <c r="AH270" s="191">
        <f t="shared" si="595"/>
        <v>0</v>
      </c>
      <c r="AI270" s="391">
        <f t="shared" si="579"/>
        <v>0</v>
      </c>
      <c r="AJ270" s="17">
        <f t="shared" si="579"/>
        <v>0</v>
      </c>
      <c r="AK270" s="539">
        <f t="shared" si="599"/>
        <v>0</v>
      </c>
      <c r="AL270" s="197">
        <f t="shared" si="597"/>
        <v>0</v>
      </c>
    </row>
    <row r="271" spans="1:42" ht="16.5" customHeight="1" x14ac:dyDescent="0.25">
      <c r="A271" s="40"/>
      <c r="B271" s="40"/>
      <c r="C271" s="40"/>
      <c r="D271" s="473" t="s">
        <v>196</v>
      </c>
      <c r="E271" s="105" t="s">
        <v>466</v>
      </c>
      <c r="F271" s="105"/>
      <c r="G271" s="564">
        <f>'HH WITH COM #1 '!$W$387</f>
        <v>0</v>
      </c>
      <c r="H271" s="564">
        <f>'HH WITH COM #1 '!$X$387</f>
        <v>0</v>
      </c>
      <c r="I271" s="539">
        <f t="shared" si="598"/>
        <v>0</v>
      </c>
      <c r="J271" s="197">
        <f t="shared" si="583"/>
        <v>0</v>
      </c>
      <c r="K271" s="564">
        <f>'HH WITH COM #2'!$W$387</f>
        <v>0</v>
      </c>
      <c r="L271" s="564">
        <f>'HH WITH COM #2'!$X$387</f>
        <v>0</v>
      </c>
      <c r="M271" s="539">
        <f t="shared" si="584"/>
        <v>0</v>
      </c>
      <c r="N271" s="197">
        <f t="shared" si="585"/>
        <v>0</v>
      </c>
      <c r="O271" s="564">
        <f>'HH WITH COM #3'!$W$387</f>
        <v>0</v>
      </c>
      <c r="P271" s="564">
        <f>'HH WITH COM #3'!$X$387</f>
        <v>0</v>
      </c>
      <c r="Q271" s="539">
        <f t="shared" si="586"/>
        <v>0</v>
      </c>
      <c r="R271" s="197">
        <f t="shared" si="587"/>
        <v>0</v>
      </c>
      <c r="S271" s="564">
        <f>'HH WITH COM #4'!$W$387</f>
        <v>0</v>
      </c>
      <c r="T271" s="564">
        <f>'HH WITH COM #4'!$X$387</f>
        <v>0</v>
      </c>
      <c r="U271" s="539">
        <f t="shared" si="588"/>
        <v>0</v>
      </c>
      <c r="V271" s="197">
        <f t="shared" si="589"/>
        <v>0</v>
      </c>
      <c r="W271" s="564">
        <f>'HH WITH COM #5'!$W$387</f>
        <v>0</v>
      </c>
      <c r="X271" s="564">
        <f>'HH WITH COM #5'!$X$387</f>
        <v>0</v>
      </c>
      <c r="Y271" s="539">
        <f t="shared" si="590"/>
        <v>0</v>
      </c>
      <c r="Z271" s="197">
        <f t="shared" si="591"/>
        <v>0</v>
      </c>
      <c r="AA271" s="564">
        <f>'HH WITH COM #6'!$W$387</f>
        <v>0</v>
      </c>
      <c r="AB271" s="564">
        <f>'HH WITH COM #6'!$X$387</f>
        <v>0</v>
      </c>
      <c r="AC271" s="539">
        <f t="shared" si="592"/>
        <v>0</v>
      </c>
      <c r="AD271" s="197">
        <f t="shared" si="593"/>
        <v>0</v>
      </c>
      <c r="AE271" s="564">
        <f>'HH WITH COM #7'!$W$387</f>
        <v>0</v>
      </c>
      <c r="AF271" s="564">
        <f>'HH WITH COM #7'!$X$387</f>
        <v>0</v>
      </c>
      <c r="AG271" s="539">
        <f t="shared" si="594"/>
        <v>0</v>
      </c>
      <c r="AH271" s="191">
        <f t="shared" si="595"/>
        <v>0</v>
      </c>
      <c r="AI271" s="391">
        <f t="shared" si="579"/>
        <v>0</v>
      </c>
      <c r="AJ271" s="17">
        <f t="shared" si="579"/>
        <v>0</v>
      </c>
      <c r="AK271" s="539">
        <f t="shared" si="599"/>
        <v>0</v>
      </c>
      <c r="AL271" s="197">
        <f t="shared" si="597"/>
        <v>0</v>
      </c>
    </row>
    <row r="272" spans="1:42" ht="16.5" customHeight="1" x14ac:dyDescent="0.25">
      <c r="A272" s="40"/>
      <c r="B272" s="40"/>
      <c r="C272" s="40"/>
      <c r="D272" s="473" t="s">
        <v>197</v>
      </c>
      <c r="E272" s="105" t="s">
        <v>467</v>
      </c>
      <c r="F272" s="105"/>
      <c r="G272" s="564">
        <f>'HH WITH COM #1 '!$W$388</f>
        <v>1</v>
      </c>
      <c r="H272" s="564">
        <f>'HH WITH COM #1 '!$X$388</f>
        <v>0</v>
      </c>
      <c r="I272" s="539">
        <f t="shared" si="598"/>
        <v>1</v>
      </c>
      <c r="J272" s="197">
        <f t="shared" si="583"/>
        <v>9.0909090909090912E-2</v>
      </c>
      <c r="K272" s="564">
        <f>'HH WITH COM #2'!$W$388</f>
        <v>0</v>
      </c>
      <c r="L272" s="564">
        <f>'HH WITH COM #2'!$X$388</f>
        <v>0</v>
      </c>
      <c r="M272" s="539">
        <f t="shared" si="584"/>
        <v>0</v>
      </c>
      <c r="N272" s="197">
        <f t="shared" si="585"/>
        <v>0</v>
      </c>
      <c r="O272" s="564">
        <f>'HH WITH COM #3'!$W$388</f>
        <v>0</v>
      </c>
      <c r="P272" s="564">
        <f>'HH WITH COM #3'!$X$388</f>
        <v>0</v>
      </c>
      <c r="Q272" s="539">
        <f t="shared" si="586"/>
        <v>0</v>
      </c>
      <c r="R272" s="197">
        <f t="shared" si="587"/>
        <v>0</v>
      </c>
      <c r="S272" s="564">
        <f>'HH WITH COM #4'!$W$388</f>
        <v>0</v>
      </c>
      <c r="T272" s="564">
        <f>'HH WITH COM #4'!$X$388</f>
        <v>1</v>
      </c>
      <c r="U272" s="539">
        <f t="shared" si="588"/>
        <v>1</v>
      </c>
      <c r="V272" s="197">
        <f t="shared" si="589"/>
        <v>0.1</v>
      </c>
      <c r="W272" s="564">
        <f>'HH WITH COM #5'!$W$388</f>
        <v>0</v>
      </c>
      <c r="X272" s="564">
        <f>'HH WITH COM #5'!$X$388</f>
        <v>2</v>
      </c>
      <c r="Y272" s="539">
        <f t="shared" si="590"/>
        <v>2</v>
      </c>
      <c r="Z272" s="197">
        <f t="shared" si="591"/>
        <v>0.2857142857142857</v>
      </c>
      <c r="AA272" s="564">
        <f>'HH WITH COM #6'!$W$388</f>
        <v>0</v>
      </c>
      <c r="AB272" s="564">
        <f>'HH WITH COM #6'!$X$388</f>
        <v>0</v>
      </c>
      <c r="AC272" s="539">
        <f t="shared" si="592"/>
        <v>0</v>
      </c>
      <c r="AD272" s="197">
        <f t="shared" si="593"/>
        <v>0</v>
      </c>
      <c r="AE272" s="564">
        <f>'HH WITH COM #7'!$W$388</f>
        <v>0</v>
      </c>
      <c r="AF272" s="564">
        <f>'HH WITH COM #7'!$X$388</f>
        <v>0</v>
      </c>
      <c r="AG272" s="539">
        <f t="shared" si="594"/>
        <v>0</v>
      </c>
      <c r="AH272" s="191">
        <f t="shared" si="595"/>
        <v>0</v>
      </c>
      <c r="AI272" s="391">
        <f t="shared" si="579"/>
        <v>1</v>
      </c>
      <c r="AJ272" s="17">
        <f t="shared" si="579"/>
        <v>3</v>
      </c>
      <c r="AK272" s="539">
        <f t="shared" si="599"/>
        <v>4</v>
      </c>
      <c r="AL272" s="197">
        <f t="shared" si="597"/>
        <v>9.3023255813953487E-2</v>
      </c>
    </row>
    <row r="273" spans="1:40" ht="16.5" customHeight="1" x14ac:dyDescent="0.25">
      <c r="A273" s="40"/>
      <c r="B273" s="40"/>
      <c r="C273" s="40"/>
      <c r="D273" s="473" t="s">
        <v>199</v>
      </c>
      <c r="E273" s="105" t="s">
        <v>994</v>
      </c>
      <c r="F273" s="105"/>
      <c r="G273" s="564">
        <f>'HH WITH COM #1 '!$W$389</f>
        <v>0</v>
      </c>
      <c r="H273" s="564">
        <f>'HH WITH COM #1 '!$X$389</f>
        <v>0</v>
      </c>
      <c r="I273" s="539">
        <f t="shared" si="598"/>
        <v>0</v>
      </c>
      <c r="J273" s="197">
        <f t="shared" si="583"/>
        <v>0</v>
      </c>
      <c r="K273" s="564">
        <f>'HH WITH COM #2'!$W$389</f>
        <v>0</v>
      </c>
      <c r="L273" s="564">
        <f>'HH WITH COM #2'!$X$389</f>
        <v>0</v>
      </c>
      <c r="M273" s="539">
        <f t="shared" si="584"/>
        <v>0</v>
      </c>
      <c r="N273" s="197">
        <f t="shared" si="585"/>
        <v>0</v>
      </c>
      <c r="O273" s="564">
        <f>'HH WITH COM #3'!$W$389</f>
        <v>0</v>
      </c>
      <c r="P273" s="564">
        <f>'HH WITH COM #3'!$X$389</f>
        <v>0</v>
      </c>
      <c r="Q273" s="539">
        <f t="shared" si="586"/>
        <v>0</v>
      </c>
      <c r="R273" s="197">
        <f t="shared" si="587"/>
        <v>0</v>
      </c>
      <c r="S273" s="564">
        <f>'HH WITH COM #4'!$W$389</f>
        <v>0</v>
      </c>
      <c r="T273" s="564">
        <f>'HH WITH COM #4'!$X$389</f>
        <v>0</v>
      </c>
      <c r="U273" s="539">
        <f t="shared" si="588"/>
        <v>0</v>
      </c>
      <c r="V273" s="197">
        <f t="shared" si="589"/>
        <v>0</v>
      </c>
      <c r="W273" s="564">
        <f>'HH WITH COM #5'!$W$389</f>
        <v>0</v>
      </c>
      <c r="X273" s="564">
        <f>'HH WITH COM #5'!$X$389</f>
        <v>0</v>
      </c>
      <c r="Y273" s="539">
        <f t="shared" si="590"/>
        <v>0</v>
      </c>
      <c r="Z273" s="197">
        <f t="shared" si="591"/>
        <v>0</v>
      </c>
      <c r="AA273" s="564">
        <f>'HH WITH COM #6'!$W$389</f>
        <v>0</v>
      </c>
      <c r="AB273" s="564">
        <f>'HH WITH COM #6'!$X$389</f>
        <v>0</v>
      </c>
      <c r="AC273" s="539">
        <f t="shared" si="592"/>
        <v>0</v>
      </c>
      <c r="AD273" s="197">
        <f t="shared" si="593"/>
        <v>0</v>
      </c>
      <c r="AE273" s="564">
        <f>'HH WITH COM #7'!$W$389</f>
        <v>0</v>
      </c>
      <c r="AF273" s="564">
        <f>'HH WITH COM #7'!$X$389</f>
        <v>0</v>
      </c>
      <c r="AG273" s="539">
        <f t="shared" si="594"/>
        <v>0</v>
      </c>
      <c r="AH273" s="191">
        <f t="shared" si="595"/>
        <v>0</v>
      </c>
      <c r="AI273" s="391">
        <f t="shared" si="579"/>
        <v>0</v>
      </c>
      <c r="AJ273" s="17">
        <f t="shared" si="579"/>
        <v>0</v>
      </c>
      <c r="AK273" s="539">
        <f t="shared" si="599"/>
        <v>0</v>
      </c>
      <c r="AL273" s="197">
        <f t="shared" si="597"/>
        <v>0</v>
      </c>
    </row>
    <row r="274" spans="1:40" ht="16.5" customHeight="1" x14ac:dyDescent="0.25">
      <c r="A274" s="40"/>
      <c r="B274" s="40"/>
      <c r="C274" s="40"/>
      <c r="D274" s="473" t="s">
        <v>200</v>
      </c>
      <c r="E274" s="105" t="s">
        <v>468</v>
      </c>
      <c r="F274" s="105"/>
      <c r="G274" s="564">
        <f>'HH WITH COM #1 '!$W$390</f>
        <v>0</v>
      </c>
      <c r="H274" s="564">
        <f>'HH WITH COM #1 '!$X$390</f>
        <v>0</v>
      </c>
      <c r="I274" s="539">
        <f t="shared" si="598"/>
        <v>0</v>
      </c>
      <c r="J274" s="197">
        <f t="shared" si="583"/>
        <v>0</v>
      </c>
      <c r="K274" s="564">
        <f>'HH WITH COM #2'!$W$390</f>
        <v>0</v>
      </c>
      <c r="L274" s="564">
        <f>'HH WITH COM #2'!$X$390</f>
        <v>0</v>
      </c>
      <c r="M274" s="539">
        <f t="shared" si="584"/>
        <v>0</v>
      </c>
      <c r="N274" s="197">
        <f t="shared" si="585"/>
        <v>0</v>
      </c>
      <c r="O274" s="564">
        <f>'HH WITH COM #3'!$W$390</f>
        <v>0</v>
      </c>
      <c r="P274" s="564">
        <f>'HH WITH COM #3'!$X$390</f>
        <v>0</v>
      </c>
      <c r="Q274" s="539">
        <f t="shared" si="586"/>
        <v>0</v>
      </c>
      <c r="R274" s="197">
        <f t="shared" si="587"/>
        <v>0</v>
      </c>
      <c r="S274" s="564">
        <f>'HH WITH COM #4'!$W$390</f>
        <v>0</v>
      </c>
      <c r="T274" s="564">
        <f>'HH WITH COM #4'!$X$390</f>
        <v>0</v>
      </c>
      <c r="U274" s="539">
        <f t="shared" si="588"/>
        <v>0</v>
      </c>
      <c r="V274" s="197">
        <f t="shared" si="589"/>
        <v>0</v>
      </c>
      <c r="W274" s="564">
        <f>'HH WITH COM #5'!$W$390</f>
        <v>0</v>
      </c>
      <c r="X274" s="564">
        <f>'HH WITH COM #5'!$X$390</f>
        <v>1</v>
      </c>
      <c r="Y274" s="539">
        <f t="shared" si="590"/>
        <v>1</v>
      </c>
      <c r="Z274" s="197">
        <f t="shared" si="591"/>
        <v>0.14285714285714285</v>
      </c>
      <c r="AA274" s="564">
        <f>'HH WITH COM #6'!$W$390</f>
        <v>0</v>
      </c>
      <c r="AB274" s="564">
        <f>'HH WITH COM #6'!$X$390</f>
        <v>1</v>
      </c>
      <c r="AC274" s="539">
        <f t="shared" si="592"/>
        <v>1</v>
      </c>
      <c r="AD274" s="197">
        <f t="shared" si="593"/>
        <v>0.16666666666666666</v>
      </c>
      <c r="AE274" s="564">
        <f>'HH WITH COM #7'!$W$390</f>
        <v>0</v>
      </c>
      <c r="AF274" s="564">
        <f>'HH WITH COM #7'!$X$390</f>
        <v>0</v>
      </c>
      <c r="AG274" s="539">
        <f t="shared" si="594"/>
        <v>0</v>
      </c>
      <c r="AH274" s="191">
        <f t="shared" si="595"/>
        <v>0</v>
      </c>
      <c r="AI274" s="391">
        <f t="shared" si="579"/>
        <v>0</v>
      </c>
      <c r="AJ274" s="17">
        <f t="shared" si="579"/>
        <v>2</v>
      </c>
      <c r="AK274" s="539">
        <f t="shared" si="599"/>
        <v>2</v>
      </c>
      <c r="AL274" s="197">
        <f t="shared" si="597"/>
        <v>4.6511627906976744E-2</v>
      </c>
    </row>
    <row r="275" spans="1:40" ht="16.5" customHeight="1" x14ac:dyDescent="0.25">
      <c r="A275" s="40"/>
      <c r="B275" s="40"/>
      <c r="C275" s="40"/>
      <c r="D275" s="473" t="s">
        <v>201</v>
      </c>
      <c r="E275" s="105" t="s">
        <v>469</v>
      </c>
      <c r="F275" s="105"/>
      <c r="G275" s="564">
        <f>'HH WITH COM #1 '!$W$391</f>
        <v>0</v>
      </c>
      <c r="H275" s="564">
        <f>'HH WITH COM #1 '!$X$391</f>
        <v>0</v>
      </c>
      <c r="I275" s="539">
        <f t="shared" si="598"/>
        <v>0</v>
      </c>
      <c r="J275" s="197">
        <f t="shared" si="583"/>
        <v>0</v>
      </c>
      <c r="K275" s="564">
        <f>'HH WITH COM #2'!$W$391</f>
        <v>0</v>
      </c>
      <c r="L275" s="564">
        <f>'HH WITH COM #2'!$X$391</f>
        <v>0</v>
      </c>
      <c r="M275" s="539">
        <f t="shared" si="584"/>
        <v>0</v>
      </c>
      <c r="N275" s="197">
        <f t="shared" si="585"/>
        <v>0</v>
      </c>
      <c r="O275" s="564">
        <f>'HH WITH COM #3'!$W$391</f>
        <v>0</v>
      </c>
      <c r="P275" s="564">
        <f>'HH WITH COM #3'!$X$391</f>
        <v>0</v>
      </c>
      <c r="Q275" s="539">
        <f t="shared" si="586"/>
        <v>0</v>
      </c>
      <c r="R275" s="197">
        <f t="shared" si="587"/>
        <v>0</v>
      </c>
      <c r="S275" s="564">
        <f>'HH WITH COM #4'!$W$391</f>
        <v>0</v>
      </c>
      <c r="T275" s="564">
        <f>'HH WITH COM #4'!$X$391</f>
        <v>0</v>
      </c>
      <c r="U275" s="539">
        <f t="shared" si="588"/>
        <v>0</v>
      </c>
      <c r="V275" s="197">
        <f t="shared" si="589"/>
        <v>0</v>
      </c>
      <c r="W275" s="564">
        <f>'HH WITH COM #5'!$W$391</f>
        <v>0</v>
      </c>
      <c r="X275" s="564">
        <f>'HH WITH COM #5'!$X$391</f>
        <v>0</v>
      </c>
      <c r="Y275" s="539">
        <f t="shared" si="590"/>
        <v>0</v>
      </c>
      <c r="Z275" s="197">
        <f t="shared" si="591"/>
        <v>0</v>
      </c>
      <c r="AA275" s="564">
        <f>'HH WITH COM #6'!$W$391</f>
        <v>0</v>
      </c>
      <c r="AB275" s="564">
        <f>'HH WITH COM #6'!$X$391</f>
        <v>0</v>
      </c>
      <c r="AC275" s="539">
        <f t="shared" si="592"/>
        <v>0</v>
      </c>
      <c r="AD275" s="197">
        <f t="shared" si="593"/>
        <v>0</v>
      </c>
      <c r="AE275" s="564">
        <f>'HH WITH COM #7'!$W$391</f>
        <v>0</v>
      </c>
      <c r="AF275" s="564">
        <f>'HH WITH COM #7'!$X$391</f>
        <v>0</v>
      </c>
      <c r="AG275" s="539">
        <f t="shared" si="594"/>
        <v>0</v>
      </c>
      <c r="AH275" s="191">
        <f t="shared" si="595"/>
        <v>0</v>
      </c>
      <c r="AI275" s="391">
        <f t="shared" si="579"/>
        <v>0</v>
      </c>
      <c r="AJ275" s="17">
        <f t="shared" si="579"/>
        <v>0</v>
      </c>
      <c r="AK275" s="539">
        <f t="shared" si="599"/>
        <v>0</v>
      </c>
      <c r="AL275" s="197">
        <f t="shared" si="597"/>
        <v>0</v>
      </c>
    </row>
    <row r="276" spans="1:40" s="117" customFormat="1" ht="16.5" customHeight="1" x14ac:dyDescent="0.25">
      <c r="A276" s="119"/>
      <c r="B276" s="119"/>
      <c r="C276" s="119"/>
      <c r="D276" s="473" t="s">
        <v>202</v>
      </c>
      <c r="E276" s="105" t="s">
        <v>995</v>
      </c>
      <c r="F276" s="105"/>
      <c r="G276" s="564">
        <f>'HH WITH COM #1 '!$W$392</f>
        <v>0</v>
      </c>
      <c r="H276" s="564">
        <f>'HH WITH COM #1 '!$X$392</f>
        <v>0</v>
      </c>
      <c r="I276" s="539">
        <f t="shared" si="598"/>
        <v>0</v>
      </c>
      <c r="J276" s="197">
        <f t="shared" si="583"/>
        <v>0</v>
      </c>
      <c r="K276" s="564">
        <f>'HH WITH COM #2'!$W$392</f>
        <v>0</v>
      </c>
      <c r="L276" s="564">
        <f>'HH WITH COM #2'!$X$392</f>
        <v>0</v>
      </c>
      <c r="M276" s="539">
        <f t="shared" si="584"/>
        <v>0</v>
      </c>
      <c r="N276" s="197">
        <f t="shared" si="585"/>
        <v>0</v>
      </c>
      <c r="O276" s="564">
        <f>'HH WITH COM #3'!$W$392</f>
        <v>0</v>
      </c>
      <c r="P276" s="564">
        <f>'HH WITH COM #3'!$X$392</f>
        <v>0</v>
      </c>
      <c r="Q276" s="539">
        <f t="shared" si="586"/>
        <v>0</v>
      </c>
      <c r="R276" s="197">
        <f t="shared" si="587"/>
        <v>0</v>
      </c>
      <c r="S276" s="564">
        <f>'HH WITH COM #4'!$W$392</f>
        <v>0</v>
      </c>
      <c r="T276" s="564">
        <f>'HH WITH COM #4'!$X$392</f>
        <v>0</v>
      </c>
      <c r="U276" s="539">
        <f t="shared" si="588"/>
        <v>0</v>
      </c>
      <c r="V276" s="197">
        <f t="shared" si="589"/>
        <v>0</v>
      </c>
      <c r="W276" s="564">
        <f>'HH WITH COM #5'!$W$392</f>
        <v>0</v>
      </c>
      <c r="X276" s="564">
        <f>'HH WITH COM #5'!$X$392</f>
        <v>1</v>
      </c>
      <c r="Y276" s="539">
        <f t="shared" si="590"/>
        <v>1</v>
      </c>
      <c r="Z276" s="197">
        <f t="shared" si="591"/>
        <v>0.14285714285714285</v>
      </c>
      <c r="AA276" s="564">
        <f>'HH WITH COM #6'!$W$392</f>
        <v>0</v>
      </c>
      <c r="AB276" s="564">
        <f>'HH WITH COM #6'!$X$392</f>
        <v>1</v>
      </c>
      <c r="AC276" s="539">
        <f t="shared" si="592"/>
        <v>1</v>
      </c>
      <c r="AD276" s="197">
        <f t="shared" si="593"/>
        <v>0.16666666666666666</v>
      </c>
      <c r="AE276" s="564">
        <f>'HH WITH COM #7'!$W$392</f>
        <v>0</v>
      </c>
      <c r="AF276" s="564">
        <f>'HH WITH COM #7'!$X$392</f>
        <v>0</v>
      </c>
      <c r="AG276" s="539">
        <f t="shared" si="594"/>
        <v>0</v>
      </c>
      <c r="AH276" s="191">
        <f t="shared" si="595"/>
        <v>0</v>
      </c>
      <c r="AI276" s="391">
        <f t="shared" si="579"/>
        <v>0</v>
      </c>
      <c r="AJ276" s="17">
        <f t="shared" si="579"/>
        <v>2</v>
      </c>
      <c r="AK276" s="539">
        <f t="shared" si="599"/>
        <v>2</v>
      </c>
      <c r="AL276" s="197">
        <f t="shared" si="597"/>
        <v>4.6511627906976744E-2</v>
      </c>
    </row>
    <row r="277" spans="1:40" s="117" customFormat="1" ht="16.5" customHeight="1" x14ac:dyDescent="0.25">
      <c r="A277" s="119"/>
      <c r="B277" s="119"/>
      <c r="C277" s="119"/>
      <c r="D277" s="473" t="s">
        <v>203</v>
      </c>
      <c r="E277" s="105" t="s">
        <v>198</v>
      </c>
      <c r="F277" s="105"/>
      <c r="G277" s="564">
        <f>'HH WITH COM #1 '!$W$393</f>
        <v>5</v>
      </c>
      <c r="H277" s="564">
        <f>'HH WITH COM #1 '!$X$393</f>
        <v>4</v>
      </c>
      <c r="I277" s="539">
        <f t="shared" si="598"/>
        <v>9</v>
      </c>
      <c r="J277" s="197">
        <f t="shared" si="583"/>
        <v>0.81818181818181823</v>
      </c>
      <c r="K277" s="564">
        <f>'HH WITH COM #2'!$W$393</f>
        <v>2</v>
      </c>
      <c r="L277" s="564">
        <f>'HH WITH COM #2'!$X$393</f>
        <v>3</v>
      </c>
      <c r="M277" s="539">
        <f t="shared" si="584"/>
        <v>5</v>
      </c>
      <c r="N277" s="197">
        <f t="shared" si="585"/>
        <v>0.55555555555555558</v>
      </c>
      <c r="O277" s="564">
        <f>'HH WITH COM #3'!$W$393</f>
        <v>0</v>
      </c>
      <c r="P277" s="564">
        <f>'HH WITH COM #3'!$X$393</f>
        <v>0</v>
      </c>
      <c r="Q277" s="539">
        <f t="shared" si="586"/>
        <v>0</v>
      </c>
      <c r="R277" s="197">
        <f t="shared" si="587"/>
        <v>0</v>
      </c>
      <c r="S277" s="564">
        <f>'HH WITH COM #4'!$W$393</f>
        <v>1</v>
      </c>
      <c r="T277" s="564">
        <f>'HH WITH COM #4'!$X$393</f>
        <v>7</v>
      </c>
      <c r="U277" s="539">
        <f t="shared" si="588"/>
        <v>8</v>
      </c>
      <c r="V277" s="197">
        <f t="shared" si="589"/>
        <v>0.8</v>
      </c>
      <c r="W277" s="564">
        <f>'HH WITH COM #5'!$W$393</f>
        <v>1</v>
      </c>
      <c r="X277" s="564">
        <f>'HH WITH COM #5'!$X$393</f>
        <v>0</v>
      </c>
      <c r="Y277" s="539">
        <f t="shared" si="590"/>
        <v>1</v>
      </c>
      <c r="Z277" s="197">
        <f t="shared" si="591"/>
        <v>0.14285714285714285</v>
      </c>
      <c r="AA277" s="564">
        <f>'HH WITH COM #6'!$W$393</f>
        <v>2</v>
      </c>
      <c r="AB277" s="564">
        <f>'HH WITH COM #6'!$X$393</f>
        <v>1</v>
      </c>
      <c r="AC277" s="539">
        <f t="shared" si="592"/>
        <v>3</v>
      </c>
      <c r="AD277" s="197">
        <f t="shared" si="593"/>
        <v>0.5</v>
      </c>
      <c r="AE277" s="564">
        <f>'HH WITH COM #7'!$W$393</f>
        <v>0</v>
      </c>
      <c r="AF277" s="564">
        <f>'HH WITH COM #7'!$X$393</f>
        <v>0</v>
      </c>
      <c r="AG277" s="539">
        <f t="shared" si="594"/>
        <v>0</v>
      </c>
      <c r="AH277" s="191">
        <f t="shared" si="595"/>
        <v>0</v>
      </c>
      <c r="AI277" s="391">
        <f t="shared" si="579"/>
        <v>11</v>
      </c>
      <c r="AJ277" s="17">
        <f t="shared" si="579"/>
        <v>15</v>
      </c>
      <c r="AK277" s="539">
        <f t="shared" si="599"/>
        <v>26</v>
      </c>
      <c r="AL277" s="197">
        <f t="shared" si="597"/>
        <v>0.60465116279069764</v>
      </c>
      <c r="AN277" s="91">
        <f>AK277/AK265</f>
        <v>0.28888888888888886</v>
      </c>
    </row>
    <row r="278" spans="1:40" s="117" customFormat="1" ht="16.5" customHeight="1" x14ac:dyDescent="0.25">
      <c r="A278" s="119"/>
      <c r="B278" s="119"/>
      <c r="C278" s="119"/>
      <c r="D278" s="473" t="s">
        <v>204</v>
      </c>
      <c r="E278" s="105" t="s">
        <v>470</v>
      </c>
      <c r="F278" s="105"/>
      <c r="G278" s="564">
        <f>'HH WITH COM #1 '!$W$394</f>
        <v>0</v>
      </c>
      <c r="H278" s="564">
        <f>'HH WITH COM #1 '!$X$394</f>
        <v>0</v>
      </c>
      <c r="I278" s="539">
        <f t="shared" si="598"/>
        <v>0</v>
      </c>
      <c r="J278" s="197">
        <f t="shared" si="583"/>
        <v>0</v>
      </c>
      <c r="K278" s="564">
        <f>'HH WITH COM #2'!$W$394</f>
        <v>1</v>
      </c>
      <c r="L278" s="564">
        <f>'HH WITH COM #2'!$X$394</f>
        <v>2</v>
      </c>
      <c r="M278" s="539">
        <f t="shared" si="584"/>
        <v>3</v>
      </c>
      <c r="N278" s="197">
        <f t="shared" si="585"/>
        <v>0.33333333333333331</v>
      </c>
      <c r="O278" s="564">
        <f>'HH WITH COM #3'!$W$394</f>
        <v>0</v>
      </c>
      <c r="P278" s="564">
        <f>'HH WITH COM #3'!$X$394</f>
        <v>0</v>
      </c>
      <c r="Q278" s="539">
        <f t="shared" si="586"/>
        <v>0</v>
      </c>
      <c r="R278" s="197">
        <f t="shared" si="587"/>
        <v>0</v>
      </c>
      <c r="S278" s="564">
        <f>'HH WITH COM #4'!$W$394</f>
        <v>0</v>
      </c>
      <c r="T278" s="564">
        <f>'HH WITH COM #4'!$X$394</f>
        <v>0</v>
      </c>
      <c r="U278" s="539">
        <f t="shared" si="588"/>
        <v>0</v>
      </c>
      <c r="V278" s="197">
        <f t="shared" si="589"/>
        <v>0</v>
      </c>
      <c r="W278" s="564">
        <f>'HH WITH COM #5'!$W$394</f>
        <v>0</v>
      </c>
      <c r="X278" s="564">
        <f>'HH WITH COM #5'!$X$394</f>
        <v>1</v>
      </c>
      <c r="Y278" s="539">
        <f t="shared" si="590"/>
        <v>1</v>
      </c>
      <c r="Z278" s="197">
        <f t="shared" si="591"/>
        <v>0.14285714285714285</v>
      </c>
      <c r="AA278" s="564">
        <f>'HH WITH COM #6'!$W$394</f>
        <v>0</v>
      </c>
      <c r="AB278" s="564">
        <f>'HH WITH COM #6'!$X$394</f>
        <v>0</v>
      </c>
      <c r="AC278" s="539">
        <f t="shared" si="592"/>
        <v>0</v>
      </c>
      <c r="AD278" s="197">
        <f t="shared" si="593"/>
        <v>0</v>
      </c>
      <c r="AE278" s="564">
        <f>'HH WITH COM #7'!$W$394</f>
        <v>0</v>
      </c>
      <c r="AF278" s="564">
        <f>'HH WITH COM #7'!$X$394</f>
        <v>0</v>
      </c>
      <c r="AG278" s="539">
        <f t="shared" si="594"/>
        <v>0</v>
      </c>
      <c r="AH278" s="191">
        <f t="shared" si="595"/>
        <v>0</v>
      </c>
      <c r="AI278" s="391">
        <f t="shared" si="579"/>
        <v>1</v>
      </c>
      <c r="AJ278" s="17">
        <f t="shared" si="579"/>
        <v>3</v>
      </c>
      <c r="AK278" s="539">
        <f t="shared" si="599"/>
        <v>4</v>
      </c>
      <c r="AL278" s="197">
        <f t="shared" si="597"/>
        <v>9.3023255813953487E-2</v>
      </c>
    </row>
    <row r="279" spans="1:40" s="117" customFormat="1" ht="16.5" customHeight="1" x14ac:dyDescent="0.25">
      <c r="A279" s="119"/>
      <c r="B279" s="119"/>
      <c r="C279" s="119"/>
      <c r="D279" s="473" t="s">
        <v>748</v>
      </c>
      <c r="E279" s="105" t="s">
        <v>205</v>
      </c>
      <c r="F279" s="105"/>
      <c r="G279" s="564">
        <f>'HH WITH COM #1 '!$W$395</f>
        <v>0</v>
      </c>
      <c r="H279" s="564">
        <f>'HH WITH COM #1 '!$X$395</f>
        <v>1</v>
      </c>
      <c r="I279" s="539">
        <f t="shared" si="598"/>
        <v>1</v>
      </c>
      <c r="J279" s="197">
        <f t="shared" si="583"/>
        <v>9.0909090909090912E-2</v>
      </c>
      <c r="K279" s="564">
        <f>'HH WITH COM #2'!$W$395</f>
        <v>0</v>
      </c>
      <c r="L279" s="564">
        <f>'HH WITH COM #2'!$X$395</f>
        <v>1</v>
      </c>
      <c r="M279" s="539">
        <f t="shared" si="584"/>
        <v>1</v>
      </c>
      <c r="N279" s="197">
        <f t="shared" si="585"/>
        <v>0.1111111111111111</v>
      </c>
      <c r="O279" s="564">
        <f>'HH WITH COM #3'!$W$395</f>
        <v>0</v>
      </c>
      <c r="P279" s="564">
        <f>'HH WITH COM #3'!$X$395</f>
        <v>0</v>
      </c>
      <c r="Q279" s="539">
        <f t="shared" si="586"/>
        <v>0</v>
      </c>
      <c r="R279" s="197">
        <f t="shared" si="587"/>
        <v>0</v>
      </c>
      <c r="S279" s="564">
        <f>'HH WITH COM #4'!$W$395</f>
        <v>0</v>
      </c>
      <c r="T279" s="564">
        <f>'HH WITH COM #4'!$X$395</f>
        <v>0</v>
      </c>
      <c r="U279" s="539">
        <f t="shared" si="588"/>
        <v>0</v>
      </c>
      <c r="V279" s="197">
        <f t="shared" si="589"/>
        <v>0</v>
      </c>
      <c r="W279" s="564">
        <f>'HH WITH COM #5'!$W$395</f>
        <v>1</v>
      </c>
      <c r="X279" s="564">
        <f>'HH WITH COM #5'!$X$395</f>
        <v>0</v>
      </c>
      <c r="Y279" s="539">
        <f t="shared" si="590"/>
        <v>1</v>
      </c>
      <c r="Z279" s="197">
        <f t="shared" si="591"/>
        <v>0.14285714285714285</v>
      </c>
      <c r="AA279" s="564">
        <f>'HH WITH COM #6'!$W$395</f>
        <v>0</v>
      </c>
      <c r="AB279" s="564">
        <f>'HH WITH COM #6'!$X$395</f>
        <v>0</v>
      </c>
      <c r="AC279" s="539">
        <f t="shared" si="592"/>
        <v>0</v>
      </c>
      <c r="AD279" s="197">
        <f t="shared" si="593"/>
        <v>0</v>
      </c>
      <c r="AE279" s="564">
        <f>'HH WITH COM #7'!$W$395</f>
        <v>0</v>
      </c>
      <c r="AF279" s="564">
        <f>'HH WITH COM #7'!$X$395</f>
        <v>0</v>
      </c>
      <c r="AG279" s="539">
        <f t="shared" si="594"/>
        <v>0</v>
      </c>
      <c r="AH279" s="191">
        <f t="shared" si="595"/>
        <v>0</v>
      </c>
      <c r="AI279" s="391">
        <f t="shared" si="579"/>
        <v>1</v>
      </c>
      <c r="AJ279" s="17">
        <f t="shared" si="579"/>
        <v>2</v>
      </c>
      <c r="AK279" s="539">
        <f t="shared" si="599"/>
        <v>3</v>
      </c>
      <c r="AL279" s="197">
        <f t="shared" si="597"/>
        <v>6.9767441860465115E-2</v>
      </c>
    </row>
    <row r="280" spans="1:40" s="117" customFormat="1" ht="16.5" customHeight="1" x14ac:dyDescent="0.25">
      <c r="A280" s="119"/>
      <c r="B280" s="119"/>
      <c r="C280" s="119"/>
      <c r="D280" s="473"/>
      <c r="E280" s="105" t="s">
        <v>1836</v>
      </c>
      <c r="F280" s="105"/>
      <c r="G280" s="564">
        <f>'HH WITH COM #1 '!$W$396</f>
        <v>0</v>
      </c>
      <c r="H280" s="564">
        <f>'HH WITH COM #1 '!$X$396</f>
        <v>1</v>
      </c>
      <c r="I280" s="1331">
        <f t="shared" si="598"/>
        <v>1</v>
      </c>
      <c r="J280" s="197"/>
      <c r="K280" s="564">
        <f>'HH WITH COM #2'!$W$396</f>
        <v>0</v>
      </c>
      <c r="L280" s="564">
        <f>'HH WITH COM #2'!$X$396</f>
        <v>0</v>
      </c>
      <c r="M280" s="1331">
        <f t="shared" si="584"/>
        <v>0</v>
      </c>
      <c r="N280" s="197"/>
      <c r="O280" s="564">
        <f>'HH WITH COM #3'!$W$396</f>
        <v>0</v>
      </c>
      <c r="P280" s="564">
        <f>'HH WITH COM #3'!$X$396</f>
        <v>0</v>
      </c>
      <c r="Q280" s="1331">
        <f t="shared" si="586"/>
        <v>0</v>
      </c>
      <c r="R280" s="197"/>
      <c r="S280" s="564">
        <f>'HH WITH COM #4'!$W$396</f>
        <v>0</v>
      </c>
      <c r="T280" s="564">
        <f>'HH WITH COM #4'!$X$396</f>
        <v>0</v>
      </c>
      <c r="U280" s="1331">
        <f t="shared" si="588"/>
        <v>0</v>
      </c>
      <c r="V280" s="197"/>
      <c r="W280" s="564">
        <f>'HH WITH COM #5'!$W$396</f>
        <v>0</v>
      </c>
      <c r="X280" s="564">
        <f>'HH WITH COM #5'!$X$396</f>
        <v>0</v>
      </c>
      <c r="Y280" s="1331">
        <f t="shared" si="590"/>
        <v>0</v>
      </c>
      <c r="Z280" s="197"/>
      <c r="AA280" s="564">
        <f>'HH WITH COM #6'!$W$396</f>
        <v>0</v>
      </c>
      <c r="AB280" s="564">
        <f>'HH WITH COM #6'!$X$396</f>
        <v>0</v>
      </c>
      <c r="AC280" s="1331">
        <f t="shared" si="592"/>
        <v>0</v>
      </c>
      <c r="AD280" s="197"/>
      <c r="AE280" s="564">
        <f>'HH WITH COM #7'!$W$396</f>
        <v>0</v>
      </c>
      <c r="AF280" s="564">
        <f>'HH WITH COM #7'!$X$396</f>
        <v>0</v>
      </c>
      <c r="AG280" s="1331">
        <f t="shared" si="594"/>
        <v>0</v>
      </c>
      <c r="AH280" s="191"/>
      <c r="AI280" s="391">
        <f t="shared" ref="AI280" si="600">G280+K280+O280+S280+W280+AA280+AE280</f>
        <v>0</v>
      </c>
      <c r="AJ280" s="17">
        <f t="shared" ref="AJ280" si="601">H280+L280+P280+T280+X280+AB280+AF280</f>
        <v>1</v>
      </c>
      <c r="AK280" s="1331">
        <f t="shared" ref="AK280" si="602">SUM(AI280:AJ280)</f>
        <v>1</v>
      </c>
      <c r="AL280" s="197"/>
    </row>
    <row r="281" spans="1:40" s="117" customFormat="1" ht="16.5" customHeight="1" x14ac:dyDescent="0.25">
      <c r="A281" s="119"/>
      <c r="B281" s="119"/>
      <c r="C281" s="119"/>
      <c r="D281" s="473"/>
      <c r="E281" s="105"/>
      <c r="F281" s="105"/>
      <c r="G281" s="564"/>
      <c r="H281" s="564"/>
      <c r="I281" s="1331"/>
      <c r="J281" s="197"/>
      <c r="K281" s="564"/>
      <c r="L281" s="564"/>
      <c r="M281" s="1331"/>
      <c r="N281" s="197"/>
      <c r="O281" s="564"/>
      <c r="P281" s="564"/>
      <c r="Q281" s="1331"/>
      <c r="R281" s="197"/>
      <c r="S281" s="564"/>
      <c r="T281" s="564"/>
      <c r="U281" s="1331"/>
      <c r="V281" s="197"/>
      <c r="W281" s="564"/>
      <c r="X281" s="564"/>
      <c r="Y281" s="1331"/>
      <c r="Z281" s="197"/>
      <c r="AA281" s="564"/>
      <c r="AB281" s="564"/>
      <c r="AC281" s="1331"/>
      <c r="AD281" s="197"/>
      <c r="AE281" s="564"/>
      <c r="AF281" s="564"/>
      <c r="AG281" s="1331"/>
      <c r="AH281" s="191"/>
      <c r="AI281" s="391"/>
      <c r="AJ281" s="17"/>
      <c r="AK281" s="1331"/>
      <c r="AL281" s="197"/>
    </row>
    <row r="282" spans="1:40" s="117" customFormat="1" ht="16.5" customHeight="1" x14ac:dyDescent="0.25">
      <c r="A282" s="119"/>
      <c r="B282" s="119"/>
      <c r="C282" s="119"/>
      <c r="D282" s="473"/>
      <c r="E282" s="105"/>
      <c r="F282" s="105"/>
      <c r="G282" s="564"/>
      <c r="H282" s="564"/>
      <c r="I282" s="1331"/>
      <c r="J282" s="197"/>
      <c r="K282" s="564"/>
      <c r="L282" s="564"/>
      <c r="M282" s="1331"/>
      <c r="N282" s="197"/>
      <c r="O282" s="564"/>
      <c r="P282" s="564"/>
      <c r="Q282" s="1331"/>
      <c r="R282" s="197"/>
      <c r="S282" s="564"/>
      <c r="T282" s="564"/>
      <c r="U282" s="1331"/>
      <c r="V282" s="197"/>
      <c r="W282" s="564"/>
      <c r="X282" s="564"/>
      <c r="Y282" s="1331"/>
      <c r="Z282" s="197"/>
      <c r="AA282" s="564"/>
      <c r="AB282" s="564"/>
      <c r="AC282" s="1331"/>
      <c r="AD282" s="197"/>
      <c r="AE282" s="564"/>
      <c r="AF282" s="564"/>
      <c r="AG282" s="1331"/>
      <c r="AH282" s="191"/>
      <c r="AI282" s="391"/>
      <c r="AJ282" s="17"/>
      <c r="AK282" s="1331"/>
      <c r="AL282" s="197"/>
    </row>
    <row r="283" spans="1:40" s="117" customFormat="1" ht="16.5" customHeight="1" x14ac:dyDescent="0.25">
      <c r="A283" s="119"/>
      <c r="B283" s="119"/>
      <c r="C283" s="119"/>
      <c r="D283" s="473"/>
      <c r="E283" s="105"/>
      <c r="F283" s="105"/>
      <c r="G283" s="564"/>
      <c r="H283" s="564"/>
      <c r="I283" s="1331"/>
      <c r="J283" s="197"/>
      <c r="K283" s="564"/>
      <c r="L283" s="564"/>
      <c r="M283" s="1331"/>
      <c r="N283" s="197"/>
      <c r="O283" s="564"/>
      <c r="P283" s="564"/>
      <c r="Q283" s="1331"/>
      <c r="R283" s="197"/>
      <c r="S283" s="564"/>
      <c r="T283" s="564"/>
      <c r="U283" s="1331"/>
      <c r="V283" s="197"/>
      <c r="W283" s="564"/>
      <c r="X283" s="564"/>
      <c r="Y283" s="1331"/>
      <c r="Z283" s="197"/>
      <c r="AA283" s="564"/>
      <c r="AB283" s="564"/>
      <c r="AC283" s="1331"/>
      <c r="AD283" s="197"/>
      <c r="AE283" s="564"/>
      <c r="AF283" s="564"/>
      <c r="AG283" s="1331"/>
      <c r="AH283" s="191"/>
      <c r="AI283" s="391"/>
      <c r="AJ283" s="17"/>
      <c r="AK283" s="1331"/>
      <c r="AL283" s="197"/>
    </row>
    <row r="284" spans="1:40" ht="16.5" customHeight="1" x14ac:dyDescent="0.25">
      <c r="A284" s="40"/>
      <c r="B284" s="40"/>
      <c r="C284" s="40"/>
      <c r="D284" s="185"/>
      <c r="E284" s="184"/>
      <c r="F284" s="469"/>
      <c r="G284" s="82">
        <f>SUM(G266:G279)</f>
        <v>6</v>
      </c>
      <c r="H284" s="82">
        <f t="shared" ref="H284:I284" si="603">SUM(H266:H279)</f>
        <v>5</v>
      </c>
      <c r="I284" s="82">
        <f t="shared" si="603"/>
        <v>11</v>
      </c>
      <c r="J284" s="500">
        <f>IF(I$284=0,0,I284/I$284)</f>
        <v>1</v>
      </c>
      <c r="K284" s="82">
        <f>SUM(K266:K279)</f>
        <v>3</v>
      </c>
      <c r="L284" s="82">
        <f t="shared" ref="L284:M284" si="604">SUM(L266:L279)</f>
        <v>6</v>
      </c>
      <c r="M284" s="82">
        <f t="shared" si="604"/>
        <v>9</v>
      </c>
      <c r="N284" s="500">
        <f>IF(M$284=0,0,M284/M$284)</f>
        <v>1</v>
      </c>
      <c r="O284" s="82">
        <f>SUM(O266:O279)</f>
        <v>0</v>
      </c>
      <c r="P284" s="82">
        <f t="shared" ref="P284:Q284" si="605">SUM(P266:P279)</f>
        <v>0</v>
      </c>
      <c r="Q284" s="82">
        <f t="shared" si="605"/>
        <v>0</v>
      </c>
      <c r="R284" s="500">
        <f>IF(Q$284=0,0,Q284/Q$284)</f>
        <v>0</v>
      </c>
      <c r="S284" s="82">
        <f>SUM(S266:S279)</f>
        <v>1</v>
      </c>
      <c r="T284" s="82">
        <f t="shared" ref="T284:U284" si="606">SUM(T266:T279)</f>
        <v>9</v>
      </c>
      <c r="U284" s="82">
        <f t="shared" si="606"/>
        <v>10</v>
      </c>
      <c r="V284" s="500">
        <f>IF(U$284=0,0,U284/U$284)</f>
        <v>1</v>
      </c>
      <c r="W284" s="82">
        <f>SUM(W266:W279)</f>
        <v>2</v>
      </c>
      <c r="X284" s="82">
        <f t="shared" ref="X284:Y284" si="607">SUM(X266:X279)</f>
        <v>5</v>
      </c>
      <c r="Y284" s="82">
        <f t="shared" si="607"/>
        <v>7</v>
      </c>
      <c r="Z284" s="500">
        <f>IF(Y$284=0,0,Y284/Y$284)</f>
        <v>1</v>
      </c>
      <c r="AA284" s="82">
        <f>SUM(AA266:AA279)</f>
        <v>2</v>
      </c>
      <c r="AB284" s="82">
        <f t="shared" ref="AB284:AC284" si="608">SUM(AB266:AB279)</f>
        <v>4</v>
      </c>
      <c r="AC284" s="82">
        <f t="shared" si="608"/>
        <v>6</v>
      </c>
      <c r="AD284" s="500">
        <f>IF(AC$284=0,0,AC284/AC$284)</f>
        <v>1</v>
      </c>
      <c r="AE284" s="82">
        <f>SUM(AE266:AE279)</f>
        <v>0</v>
      </c>
      <c r="AF284" s="82">
        <f t="shared" ref="AF284:AG284" si="609">SUM(AF266:AF279)</f>
        <v>0</v>
      </c>
      <c r="AG284" s="82">
        <f t="shared" si="609"/>
        <v>0</v>
      </c>
      <c r="AH284" s="614">
        <f>IF(AG$284=0,0,AG284/AG$284)</f>
        <v>0</v>
      </c>
      <c r="AI284" s="381">
        <f>SUM(AI266:AI279)</f>
        <v>14</v>
      </c>
      <c r="AJ284" s="82">
        <f t="shared" ref="AJ284:AK284" si="610">SUM(AJ266:AJ279)</f>
        <v>29</v>
      </c>
      <c r="AK284" s="82">
        <f t="shared" si="610"/>
        <v>43</v>
      </c>
      <c r="AL284" s="500">
        <f>IF(AK$284=0,0,AK284/AK$284)</f>
        <v>1</v>
      </c>
    </row>
    <row r="285" spans="1:40" s="117" customFormat="1" ht="16.5" customHeight="1" x14ac:dyDescent="0.25">
      <c r="A285" s="119"/>
      <c r="B285" s="41" t="s">
        <v>206</v>
      </c>
      <c r="C285" s="476" t="s">
        <v>996</v>
      </c>
      <c r="D285" s="477"/>
      <c r="E285" s="478"/>
      <c r="F285" s="478"/>
      <c r="G285" s="71"/>
      <c r="H285" s="71"/>
      <c r="I285" s="71"/>
      <c r="J285" s="71"/>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355"/>
      <c r="AI285" s="377"/>
      <c r="AJ285" s="71"/>
      <c r="AK285" s="71"/>
      <c r="AL285" s="71"/>
    </row>
    <row r="286" spans="1:40" ht="16.5" customHeight="1" x14ac:dyDescent="0.25">
      <c r="A286" s="40"/>
      <c r="B286" s="40"/>
      <c r="C286" s="467" t="s">
        <v>207</v>
      </c>
      <c r="D286" s="468" t="s">
        <v>173</v>
      </c>
      <c r="E286" s="75"/>
      <c r="F286" s="76"/>
      <c r="G286" s="17">
        <f>'HH WITH COM #1 '!$W$402</f>
        <v>0</v>
      </c>
      <c r="H286" s="17">
        <f>'HH WITH COM #1 '!$X$402</f>
        <v>3</v>
      </c>
      <c r="I286" s="116">
        <f>SUM(G286:H286)</f>
        <v>3</v>
      </c>
      <c r="J286" s="197">
        <f>IF(I$291=0,0,I286/I$291)</f>
        <v>0.2</v>
      </c>
      <c r="K286" s="17">
        <f>'HH WITH COM #2'!$W$402</f>
        <v>1</v>
      </c>
      <c r="L286" s="17">
        <f>'HH WITH COM #2'!$X$402</f>
        <v>4</v>
      </c>
      <c r="M286" s="539">
        <f>SUM(K286:L286)</f>
        <v>5</v>
      </c>
      <c r="N286" s="197">
        <f>IF(M$291=0,0,M286/M$291)</f>
        <v>0.35714285714285715</v>
      </c>
      <c r="O286" s="17">
        <f>'HH WITH COM #3'!$W$402</f>
        <v>0</v>
      </c>
      <c r="P286" s="17">
        <f>'HH WITH COM #3'!$X$402</f>
        <v>9</v>
      </c>
      <c r="Q286" s="539">
        <f>SUM(O286:P286)</f>
        <v>9</v>
      </c>
      <c r="R286" s="197">
        <f>IF(Q$291=0,0,Q286/Q$291)</f>
        <v>1</v>
      </c>
      <c r="S286" s="17">
        <f>'HH WITH COM #4'!$W$402</f>
        <v>0</v>
      </c>
      <c r="T286" s="17">
        <f>'HH WITH COM #4'!$X$402</f>
        <v>6</v>
      </c>
      <c r="U286" s="539">
        <f>SUM(S286:T286)</f>
        <v>6</v>
      </c>
      <c r="V286" s="197">
        <f>IF(U$291=0,0,U286/U$291)</f>
        <v>0.375</v>
      </c>
      <c r="W286" s="17">
        <f>'HH WITH COM #5'!$W$402</f>
        <v>0</v>
      </c>
      <c r="X286" s="17">
        <f>'HH WITH COM #5'!$X$402</f>
        <v>14</v>
      </c>
      <c r="Y286" s="539">
        <f>SUM(W286:X286)</f>
        <v>14</v>
      </c>
      <c r="Z286" s="197">
        <f>IF(Y$291=0,0,Y286/Y$291)</f>
        <v>0.66666666666666663</v>
      </c>
      <c r="AA286" s="17">
        <f>'HH WITH COM #6'!$W$402</f>
        <v>1</v>
      </c>
      <c r="AB286" s="17">
        <f>'HH WITH COM #6'!$X$402</f>
        <v>7</v>
      </c>
      <c r="AC286" s="539">
        <f>SUM(AA286:AB286)</f>
        <v>8</v>
      </c>
      <c r="AD286" s="197">
        <f>IF(AC$291=0,0,AC286/AC$291)</f>
        <v>0.53333333333333333</v>
      </c>
      <c r="AE286" s="17">
        <f>'HH WITH COM #7'!$W$402</f>
        <v>0</v>
      </c>
      <c r="AF286" s="17">
        <f>'HH WITH COM #7'!$X$402</f>
        <v>0</v>
      </c>
      <c r="AG286" s="539">
        <f>SUM(AE286:AF286)</f>
        <v>0</v>
      </c>
      <c r="AH286" s="191">
        <f>IF(AG$291=0,0,AG286/AG$291)</f>
        <v>0</v>
      </c>
      <c r="AI286" s="391">
        <f t="shared" ref="AI286:AI290" si="611">G286+K286+O286+S286+W286+AA286+AE286</f>
        <v>2</v>
      </c>
      <c r="AJ286" s="17">
        <f t="shared" ref="AJ286:AJ290" si="612">H286+L286+P286+T286+X286+AB286+AF286</f>
        <v>43</v>
      </c>
      <c r="AK286" s="539">
        <f>SUM(AI286:AJ286)</f>
        <v>45</v>
      </c>
      <c r="AL286" s="197">
        <f>IF(AK$291=0,0,AK286/AK$291)</f>
        <v>0.5</v>
      </c>
    </row>
    <row r="287" spans="1:40" ht="16.5" customHeight="1" x14ac:dyDescent="0.25">
      <c r="A287" s="40"/>
      <c r="B287" s="40"/>
      <c r="C287" s="467" t="s">
        <v>208</v>
      </c>
      <c r="D287" s="468" t="s">
        <v>209</v>
      </c>
      <c r="E287" s="75"/>
      <c r="F287" s="76"/>
      <c r="G287" s="17">
        <f>'HH WITH COM #1 '!$W$403</f>
        <v>7</v>
      </c>
      <c r="H287" s="17">
        <f>'HH WITH COM #1 '!$X$403</f>
        <v>5</v>
      </c>
      <c r="I287" s="116">
        <f>SUM(G287:H287)</f>
        <v>12</v>
      </c>
      <c r="J287" s="197">
        <f t="shared" ref="J287:J290" si="613">IF(I$291=0,0,I287/I$291)</f>
        <v>0.8</v>
      </c>
      <c r="K287" s="17">
        <f>'HH WITH COM #2'!$W$403</f>
        <v>2</v>
      </c>
      <c r="L287" s="17">
        <f>'HH WITH COM #2'!$X$403</f>
        <v>4</v>
      </c>
      <c r="M287" s="539">
        <f>SUM(K287:L287)</f>
        <v>6</v>
      </c>
      <c r="N287" s="197">
        <f t="shared" ref="N287:N290" si="614">IF(M$291=0,0,M287/M$291)</f>
        <v>0.42857142857142855</v>
      </c>
      <c r="O287" s="17">
        <f>'HH WITH COM #3'!$W$403</f>
        <v>0</v>
      </c>
      <c r="P287" s="17">
        <f>'HH WITH COM #3'!$X$403</f>
        <v>0</v>
      </c>
      <c r="Q287" s="539">
        <f>SUM(O287:P287)</f>
        <v>0</v>
      </c>
      <c r="R287" s="197">
        <f t="shared" ref="R287:R290" si="615">IF(Q$291=0,0,Q287/Q$291)</f>
        <v>0</v>
      </c>
      <c r="S287" s="17">
        <f>'HH WITH COM #4'!$W$403</f>
        <v>1</v>
      </c>
      <c r="T287" s="17">
        <f>'HH WITH COM #4'!$X$403</f>
        <v>7</v>
      </c>
      <c r="U287" s="539">
        <f>SUM(S287:T287)</f>
        <v>8</v>
      </c>
      <c r="V287" s="197">
        <f t="shared" ref="V287:V290" si="616">IF(U$291=0,0,U287/U$291)</f>
        <v>0.5</v>
      </c>
      <c r="W287" s="17">
        <f>'HH WITH COM #5'!$W$403</f>
        <v>1</v>
      </c>
      <c r="X287" s="17">
        <f>'HH WITH COM #5'!$X$403</f>
        <v>4</v>
      </c>
      <c r="Y287" s="539">
        <f>SUM(W287:X287)</f>
        <v>5</v>
      </c>
      <c r="Z287" s="197">
        <f t="shared" ref="Z287:Z290" si="617">IF(Y$291=0,0,Y287/Y$291)</f>
        <v>0.23809523809523808</v>
      </c>
      <c r="AA287" s="17">
        <f>'HH WITH COM #6'!$W$403</f>
        <v>2</v>
      </c>
      <c r="AB287" s="17">
        <f>'HH WITH COM #6'!$X$403</f>
        <v>3</v>
      </c>
      <c r="AC287" s="539">
        <f>SUM(AA287:AB287)</f>
        <v>5</v>
      </c>
      <c r="AD287" s="197">
        <f t="shared" ref="AD287:AD290" si="618">IF(AC$291=0,0,AC287/AC$291)</f>
        <v>0.33333333333333331</v>
      </c>
      <c r="AE287" s="17">
        <f>'HH WITH COM #7'!$W$403</f>
        <v>0</v>
      </c>
      <c r="AF287" s="17">
        <f>'HH WITH COM #7'!$X$403</f>
        <v>0</v>
      </c>
      <c r="AG287" s="539">
        <f>SUM(AE287:AF287)</f>
        <v>0</v>
      </c>
      <c r="AH287" s="191">
        <f t="shared" ref="AH287:AH290" si="619">IF(AG$291=0,0,AG287/AG$291)</f>
        <v>0</v>
      </c>
      <c r="AI287" s="391">
        <f t="shared" si="611"/>
        <v>13</v>
      </c>
      <c r="AJ287" s="17">
        <f t="shared" si="612"/>
        <v>23</v>
      </c>
      <c r="AK287" s="539">
        <f>SUM(AI287:AJ287)</f>
        <v>36</v>
      </c>
      <c r="AL287" s="197">
        <f t="shared" ref="AL287:AL290" si="620">IF(AK$291=0,0,AK287/AK$291)</f>
        <v>0.4</v>
      </c>
    </row>
    <row r="288" spans="1:40" ht="16.5" customHeight="1" x14ac:dyDescent="0.25">
      <c r="A288" s="40"/>
      <c r="B288" s="40"/>
      <c r="C288" s="467" t="s">
        <v>210</v>
      </c>
      <c r="D288" s="468" t="s">
        <v>211</v>
      </c>
      <c r="E288" s="75"/>
      <c r="F288" s="76"/>
      <c r="G288" s="17">
        <f>'HH WITH COM #1 '!$W$404</f>
        <v>0</v>
      </c>
      <c r="H288" s="17">
        <f>'HH WITH COM #1 '!$X$404</f>
        <v>0</v>
      </c>
      <c r="I288" s="116">
        <f>SUM(G288:H288)</f>
        <v>0</v>
      </c>
      <c r="J288" s="197">
        <f t="shared" si="613"/>
        <v>0</v>
      </c>
      <c r="K288" s="17">
        <f>'HH WITH COM #2'!$W$404</f>
        <v>1</v>
      </c>
      <c r="L288" s="17">
        <f>'HH WITH COM #2'!$X$404</f>
        <v>2</v>
      </c>
      <c r="M288" s="539">
        <f>SUM(K288:L288)</f>
        <v>3</v>
      </c>
      <c r="N288" s="197">
        <f t="shared" si="614"/>
        <v>0.21428571428571427</v>
      </c>
      <c r="O288" s="17">
        <f>'HH WITH COM #3'!$W$404</f>
        <v>0</v>
      </c>
      <c r="P288" s="17">
        <f>'HH WITH COM #3'!$X$404</f>
        <v>0</v>
      </c>
      <c r="Q288" s="539">
        <f>SUM(O288:P288)</f>
        <v>0</v>
      </c>
      <c r="R288" s="197">
        <f t="shared" si="615"/>
        <v>0</v>
      </c>
      <c r="S288" s="17">
        <f>'HH WITH COM #4'!$W$404</f>
        <v>0</v>
      </c>
      <c r="T288" s="17">
        <f>'HH WITH COM #4'!$X$404</f>
        <v>2</v>
      </c>
      <c r="U288" s="539">
        <f>SUM(S288:T288)</f>
        <v>2</v>
      </c>
      <c r="V288" s="197">
        <f t="shared" si="616"/>
        <v>0.125</v>
      </c>
      <c r="W288" s="17">
        <f>'HH WITH COM #5'!$W$404</f>
        <v>1</v>
      </c>
      <c r="X288" s="17">
        <f>'HH WITH COM #5'!$X$404</f>
        <v>1</v>
      </c>
      <c r="Y288" s="539">
        <f>SUM(W288:X288)</f>
        <v>2</v>
      </c>
      <c r="Z288" s="197">
        <f t="shared" si="617"/>
        <v>9.5238095238095233E-2</v>
      </c>
      <c r="AA288" s="17">
        <f>'HH WITH COM #6'!$W$404</f>
        <v>0</v>
      </c>
      <c r="AB288" s="17">
        <f>'HH WITH COM #6'!$X$404</f>
        <v>2</v>
      </c>
      <c r="AC288" s="539">
        <f>SUM(AA288:AB288)</f>
        <v>2</v>
      </c>
      <c r="AD288" s="197">
        <f t="shared" si="618"/>
        <v>0.13333333333333333</v>
      </c>
      <c r="AE288" s="17">
        <f>'HH WITH COM #7'!$W$404</f>
        <v>0</v>
      </c>
      <c r="AF288" s="17">
        <f>'HH WITH COM #7'!$X$404</f>
        <v>0</v>
      </c>
      <c r="AG288" s="539">
        <f>SUM(AE288:AF288)</f>
        <v>0</v>
      </c>
      <c r="AH288" s="191">
        <f t="shared" si="619"/>
        <v>0</v>
      </c>
      <c r="AI288" s="391">
        <f t="shared" si="611"/>
        <v>2</v>
      </c>
      <c r="AJ288" s="17">
        <f t="shared" si="612"/>
        <v>7</v>
      </c>
      <c r="AK288" s="539">
        <f>SUM(AI288:AJ288)</f>
        <v>9</v>
      </c>
      <c r="AL288" s="197">
        <f t="shared" si="620"/>
        <v>0.1</v>
      </c>
    </row>
    <row r="289" spans="1:73" ht="16.5" customHeight="1" x14ac:dyDescent="0.25">
      <c r="A289" s="40"/>
      <c r="B289" s="40"/>
      <c r="C289" s="467" t="s">
        <v>212</v>
      </c>
      <c r="D289" s="468" t="s">
        <v>213</v>
      </c>
      <c r="E289" s="75"/>
      <c r="F289" s="76"/>
      <c r="G289" s="17">
        <f>'HH WITH COM #1 '!$W$405</f>
        <v>0</v>
      </c>
      <c r="H289" s="17">
        <f>'HH WITH COM #1 '!$X$405</f>
        <v>0</v>
      </c>
      <c r="I289" s="116">
        <f>SUM(G289:H289)</f>
        <v>0</v>
      </c>
      <c r="J289" s="197">
        <f t="shared" si="613"/>
        <v>0</v>
      </c>
      <c r="K289" s="17">
        <f>'HH WITH COM #2'!$W$405</f>
        <v>0</v>
      </c>
      <c r="L289" s="17">
        <f>'HH WITH COM #2'!$X$405</f>
        <v>0</v>
      </c>
      <c r="M289" s="539">
        <f>SUM(K289:L289)</f>
        <v>0</v>
      </c>
      <c r="N289" s="197">
        <f t="shared" si="614"/>
        <v>0</v>
      </c>
      <c r="O289" s="17">
        <f>'HH WITH COM #3'!$W$405</f>
        <v>0</v>
      </c>
      <c r="P289" s="17">
        <f>'HH WITH COM #3'!$X$405</f>
        <v>0</v>
      </c>
      <c r="Q289" s="539">
        <f>SUM(O289:P289)</f>
        <v>0</v>
      </c>
      <c r="R289" s="197">
        <f t="shared" si="615"/>
        <v>0</v>
      </c>
      <c r="S289" s="17">
        <f>'HH WITH COM #4'!$W$405</f>
        <v>0</v>
      </c>
      <c r="T289" s="17">
        <f>'HH WITH COM #4'!$X$405</f>
        <v>0</v>
      </c>
      <c r="U289" s="539">
        <f>SUM(S289:T289)</f>
        <v>0</v>
      </c>
      <c r="V289" s="197">
        <f t="shared" si="616"/>
        <v>0</v>
      </c>
      <c r="W289" s="17">
        <f>'HH WITH COM #5'!$W$405</f>
        <v>0</v>
      </c>
      <c r="X289" s="17">
        <f>'HH WITH COM #5'!$X$405</f>
        <v>0</v>
      </c>
      <c r="Y289" s="539">
        <f>SUM(W289:X289)</f>
        <v>0</v>
      </c>
      <c r="Z289" s="197">
        <f t="shared" si="617"/>
        <v>0</v>
      </c>
      <c r="AA289" s="17">
        <f>'HH WITH COM #6'!$W$405</f>
        <v>0</v>
      </c>
      <c r="AB289" s="17">
        <f>'HH WITH COM #6'!$X$405</f>
        <v>0</v>
      </c>
      <c r="AC289" s="539">
        <f>SUM(AA289:AB289)</f>
        <v>0</v>
      </c>
      <c r="AD289" s="197">
        <f t="shared" si="618"/>
        <v>0</v>
      </c>
      <c r="AE289" s="17">
        <f>'HH WITH COM #7'!$W$405</f>
        <v>0</v>
      </c>
      <c r="AF289" s="17">
        <f>'HH WITH COM #7'!$X$405</f>
        <v>0</v>
      </c>
      <c r="AG289" s="539">
        <f>SUM(AE289:AF289)</f>
        <v>0</v>
      </c>
      <c r="AH289" s="191">
        <f t="shared" si="619"/>
        <v>0</v>
      </c>
      <c r="AI289" s="391">
        <f t="shared" si="611"/>
        <v>0</v>
      </c>
      <c r="AJ289" s="17">
        <f t="shared" si="612"/>
        <v>0</v>
      </c>
      <c r="AK289" s="539">
        <f>SUM(AI289:AJ289)</f>
        <v>0</v>
      </c>
      <c r="AL289" s="197">
        <f t="shared" si="620"/>
        <v>0</v>
      </c>
    </row>
    <row r="290" spans="1:73" ht="16.5" customHeight="1" x14ac:dyDescent="0.25">
      <c r="A290" s="40"/>
      <c r="B290" s="40"/>
      <c r="C290" s="467" t="s">
        <v>214</v>
      </c>
      <c r="D290" s="495" t="s">
        <v>129</v>
      </c>
      <c r="E290" s="75"/>
      <c r="F290" s="76"/>
      <c r="G290" s="17">
        <f>'HH WITH COM #1 '!$W$406</f>
        <v>0</v>
      </c>
      <c r="H290" s="17">
        <f>'HH WITH COM #1 '!$X$406</f>
        <v>0</v>
      </c>
      <c r="I290" s="116">
        <f>SUM(G290:H290)</f>
        <v>0</v>
      </c>
      <c r="J290" s="197">
        <f t="shared" si="613"/>
        <v>0</v>
      </c>
      <c r="K290" s="17">
        <f>'HH WITH COM #2'!$W$406</f>
        <v>0</v>
      </c>
      <c r="L290" s="17">
        <f>'HH WITH COM #2'!$X$406</f>
        <v>0</v>
      </c>
      <c r="M290" s="539">
        <f>SUM(K290:L290)</f>
        <v>0</v>
      </c>
      <c r="N290" s="197">
        <f t="shared" si="614"/>
        <v>0</v>
      </c>
      <c r="O290" s="17">
        <f>'HH WITH COM #3'!$W$406</f>
        <v>0</v>
      </c>
      <c r="P290" s="17">
        <f>'HH WITH COM #3'!$X$406</f>
        <v>0</v>
      </c>
      <c r="Q290" s="539">
        <f>SUM(O290:P290)</f>
        <v>0</v>
      </c>
      <c r="R290" s="197">
        <f t="shared" si="615"/>
        <v>0</v>
      </c>
      <c r="S290" s="17">
        <f>'HH WITH COM #4'!$W$406</f>
        <v>0</v>
      </c>
      <c r="T290" s="17">
        <f>'HH WITH COM #4'!$X$406</f>
        <v>0</v>
      </c>
      <c r="U290" s="539">
        <f>SUM(S290:T290)</f>
        <v>0</v>
      </c>
      <c r="V290" s="197">
        <f t="shared" si="616"/>
        <v>0</v>
      </c>
      <c r="W290" s="17">
        <f>'HH WITH COM #5'!$W$406</f>
        <v>0</v>
      </c>
      <c r="X290" s="17">
        <f>'HH WITH COM #5'!$X$406</f>
        <v>0</v>
      </c>
      <c r="Y290" s="539">
        <f>SUM(W290:X290)</f>
        <v>0</v>
      </c>
      <c r="Z290" s="197">
        <f t="shared" si="617"/>
        <v>0</v>
      </c>
      <c r="AA290" s="17">
        <f>'HH WITH COM #6'!$W$406</f>
        <v>0</v>
      </c>
      <c r="AB290" s="17">
        <f>'HH WITH COM #6'!$X$406</f>
        <v>0</v>
      </c>
      <c r="AC290" s="539">
        <f>SUM(AA290:AB290)</f>
        <v>0</v>
      </c>
      <c r="AD290" s="197">
        <f t="shared" si="618"/>
        <v>0</v>
      </c>
      <c r="AE290" s="17">
        <f>'HH WITH COM #7'!$W$406</f>
        <v>0</v>
      </c>
      <c r="AF290" s="17">
        <f>'HH WITH COM #7'!$X$406</f>
        <v>0</v>
      </c>
      <c r="AG290" s="539">
        <f>SUM(AE290:AF290)</f>
        <v>0</v>
      </c>
      <c r="AH290" s="191">
        <f t="shared" si="619"/>
        <v>0</v>
      </c>
      <c r="AI290" s="391">
        <f t="shared" si="611"/>
        <v>0</v>
      </c>
      <c r="AJ290" s="17">
        <f t="shared" si="612"/>
        <v>0</v>
      </c>
      <c r="AK290" s="539">
        <f>SUM(AI290:AJ290)</f>
        <v>0</v>
      </c>
      <c r="AL290" s="197">
        <f t="shared" si="620"/>
        <v>0</v>
      </c>
    </row>
    <row r="291" spans="1:73" s="4" customFormat="1" ht="16.5" customHeight="1" x14ac:dyDescent="0.25">
      <c r="A291" s="119"/>
      <c r="B291" s="119"/>
      <c r="C291" s="119"/>
      <c r="D291" s="184"/>
      <c r="E291" s="134"/>
      <c r="F291" s="469"/>
      <c r="G291" s="497">
        <f>SUM(G286:G290)</f>
        <v>7</v>
      </c>
      <c r="H291" s="497">
        <f t="shared" ref="H291:I291" si="621">SUM(H286:H290)</f>
        <v>8</v>
      </c>
      <c r="I291" s="497">
        <f t="shared" si="621"/>
        <v>15</v>
      </c>
      <c r="J291" s="500">
        <f>IF(I$291=0,0,I291/I$291)</f>
        <v>1</v>
      </c>
      <c r="K291" s="497">
        <f>SUM(K286:K290)</f>
        <v>4</v>
      </c>
      <c r="L291" s="497">
        <f t="shared" ref="L291:M291" si="622">SUM(L286:L290)</f>
        <v>10</v>
      </c>
      <c r="M291" s="497">
        <f t="shared" si="622"/>
        <v>14</v>
      </c>
      <c r="N291" s="500">
        <f>IF(M$291=0,0,M291/M$291)</f>
        <v>1</v>
      </c>
      <c r="O291" s="497">
        <f>SUM(O286:O290)</f>
        <v>0</v>
      </c>
      <c r="P291" s="497">
        <f t="shared" ref="P291:Q291" si="623">SUM(P286:P290)</f>
        <v>9</v>
      </c>
      <c r="Q291" s="497">
        <f t="shared" si="623"/>
        <v>9</v>
      </c>
      <c r="R291" s="500">
        <f>IF(Q$291=0,0,Q291/Q$291)</f>
        <v>1</v>
      </c>
      <c r="S291" s="497">
        <f>SUM(S286:S290)</f>
        <v>1</v>
      </c>
      <c r="T291" s="497">
        <f t="shared" ref="T291:U291" si="624">SUM(T286:T290)</f>
        <v>15</v>
      </c>
      <c r="U291" s="497">
        <f t="shared" si="624"/>
        <v>16</v>
      </c>
      <c r="V291" s="500">
        <f>IF(U$291=0,0,U291/U$291)</f>
        <v>1</v>
      </c>
      <c r="W291" s="497">
        <f>SUM(W286:W290)</f>
        <v>2</v>
      </c>
      <c r="X291" s="497">
        <f t="shared" ref="X291:Y291" si="625">SUM(X286:X290)</f>
        <v>19</v>
      </c>
      <c r="Y291" s="497">
        <f t="shared" si="625"/>
        <v>21</v>
      </c>
      <c r="Z291" s="500">
        <f>IF(Y$291=0,0,Y291/Y$291)</f>
        <v>1</v>
      </c>
      <c r="AA291" s="497">
        <f>SUM(AA286:AA290)</f>
        <v>3</v>
      </c>
      <c r="AB291" s="497">
        <f t="shared" ref="AB291:AC291" si="626">SUM(AB286:AB290)</f>
        <v>12</v>
      </c>
      <c r="AC291" s="497">
        <f t="shared" si="626"/>
        <v>15</v>
      </c>
      <c r="AD291" s="500">
        <f>IF(AC$291=0,0,AC291/AC$291)</f>
        <v>1</v>
      </c>
      <c r="AE291" s="497">
        <f>SUM(AE286:AE290)</f>
        <v>0</v>
      </c>
      <c r="AF291" s="497">
        <f t="shared" ref="AF291:AG291" si="627">SUM(AF286:AF290)</f>
        <v>0</v>
      </c>
      <c r="AG291" s="497">
        <f t="shared" si="627"/>
        <v>0</v>
      </c>
      <c r="AH291" s="614">
        <f>IF(AG$291=0,0,AG291/AG$291)</f>
        <v>0</v>
      </c>
      <c r="AI291" s="622">
        <f>SUM(AI286:AI290)</f>
        <v>17</v>
      </c>
      <c r="AJ291" s="497">
        <f t="shared" ref="AJ291:AK291" si="628">SUM(AJ286:AJ290)</f>
        <v>73</v>
      </c>
      <c r="AK291" s="497">
        <f t="shared" si="628"/>
        <v>90</v>
      </c>
      <c r="AL291" s="500">
        <f>IF(AK$291=0,0,AK291/AK$291)</f>
        <v>1</v>
      </c>
    </row>
    <row r="292" spans="1:73" s="4" customFormat="1" ht="16.5" customHeight="1" x14ac:dyDescent="0.25">
      <c r="A292" s="119"/>
      <c r="B292" s="119"/>
      <c r="C292" s="119"/>
      <c r="D292" s="128" t="s">
        <v>286</v>
      </c>
      <c r="E292" s="122"/>
      <c r="F292" s="501"/>
      <c r="G292" s="502">
        <f>SUM(G287:G289)</f>
        <v>7</v>
      </c>
      <c r="H292" s="502">
        <f t="shared" ref="H292:I292" si="629">SUM(H287:H289)</f>
        <v>5</v>
      </c>
      <c r="I292" s="502">
        <f t="shared" si="629"/>
        <v>12</v>
      </c>
      <c r="J292" s="504">
        <f>IF(I$291=0,0,I292/I$291)</f>
        <v>0.8</v>
      </c>
      <c r="K292" s="502">
        <f>SUM(K287:K289)</f>
        <v>3</v>
      </c>
      <c r="L292" s="502">
        <f t="shared" ref="L292:M292" si="630">SUM(L287:L289)</f>
        <v>6</v>
      </c>
      <c r="M292" s="502">
        <f t="shared" si="630"/>
        <v>9</v>
      </c>
      <c r="N292" s="504">
        <f>IF(M$291=0,0,M292/M$291)</f>
        <v>0.6428571428571429</v>
      </c>
      <c r="O292" s="502">
        <f>SUM(O287:O289)</f>
        <v>0</v>
      </c>
      <c r="P292" s="502">
        <f t="shared" ref="P292:Q292" si="631">SUM(P287:P289)</f>
        <v>0</v>
      </c>
      <c r="Q292" s="502">
        <f t="shared" si="631"/>
        <v>0</v>
      </c>
      <c r="R292" s="504">
        <f>IF(Q$291=0,0,Q292/Q$291)</f>
        <v>0</v>
      </c>
      <c r="S292" s="502">
        <f>SUM(S287:S289)</f>
        <v>1</v>
      </c>
      <c r="T292" s="502">
        <f t="shared" ref="T292:U292" si="632">SUM(T287:T289)</f>
        <v>9</v>
      </c>
      <c r="U292" s="502">
        <f t="shared" si="632"/>
        <v>10</v>
      </c>
      <c r="V292" s="504">
        <f>IF(U$291=0,0,U292/U$291)</f>
        <v>0.625</v>
      </c>
      <c r="W292" s="502">
        <f>SUM(W287:W289)</f>
        <v>2</v>
      </c>
      <c r="X292" s="502">
        <f t="shared" ref="X292:Y292" si="633">SUM(X287:X289)</f>
        <v>5</v>
      </c>
      <c r="Y292" s="502">
        <f t="shared" si="633"/>
        <v>7</v>
      </c>
      <c r="Z292" s="504">
        <f>IF(Y$291=0,0,Y292/Y$291)</f>
        <v>0.33333333333333331</v>
      </c>
      <c r="AA292" s="502">
        <f>SUM(AA287:AA289)</f>
        <v>2</v>
      </c>
      <c r="AB292" s="502">
        <f t="shared" ref="AB292:AC292" si="634">SUM(AB287:AB289)</f>
        <v>5</v>
      </c>
      <c r="AC292" s="502">
        <f t="shared" si="634"/>
        <v>7</v>
      </c>
      <c r="AD292" s="504">
        <f>IF(AC$291=0,0,AC292/AC$291)</f>
        <v>0.46666666666666667</v>
      </c>
      <c r="AE292" s="502">
        <f>SUM(AE287:AE289)</f>
        <v>0</v>
      </c>
      <c r="AF292" s="502">
        <f t="shared" ref="AF292:AG292" si="635">SUM(AF287:AF289)</f>
        <v>0</v>
      </c>
      <c r="AG292" s="502">
        <f t="shared" si="635"/>
        <v>0</v>
      </c>
      <c r="AH292" s="194">
        <f>IF(AG$291=0,0,AG292/AG$291)</f>
        <v>0</v>
      </c>
      <c r="AI292" s="623">
        <f t="shared" ref="AI292" si="636">G292+K292+O292+S292+W292+AA292+AE292</f>
        <v>15</v>
      </c>
      <c r="AJ292" s="502">
        <f t="shared" ref="AJ292" si="637">H292+L292+P292+T292+X292+AB292+AF292</f>
        <v>30</v>
      </c>
      <c r="AK292" s="503">
        <f>SUM(AI292:AJ292)</f>
        <v>45</v>
      </c>
      <c r="AL292" s="504">
        <f>IF(AK$291=0,0,AK292/AK$291)</f>
        <v>0.5</v>
      </c>
    </row>
    <row r="293" spans="1:73" s="4" customFormat="1" ht="16.5" customHeight="1" x14ac:dyDescent="0.25">
      <c r="A293" s="119"/>
      <c r="B293" s="119"/>
      <c r="C293" s="119"/>
      <c r="D293" s="184" t="s">
        <v>997</v>
      </c>
      <c r="E293" s="134"/>
      <c r="F293" s="469"/>
      <c r="G293" s="66">
        <f>IF(G$33=0,0,G292/G$33)</f>
        <v>1</v>
      </c>
      <c r="H293" s="66">
        <f t="shared" ref="H293:I293" si="638">IF(H$33=0,0,H292/H$33)</f>
        <v>0.625</v>
      </c>
      <c r="I293" s="66">
        <f t="shared" si="638"/>
        <v>0.8</v>
      </c>
      <c r="J293" s="500"/>
      <c r="K293" s="66">
        <f>IF(K$33=0,0,K292/K$33)</f>
        <v>0.75</v>
      </c>
      <c r="L293" s="66">
        <f t="shared" ref="L293" si="639">IF(L$33=0,0,L292/L$33)</f>
        <v>0.6</v>
      </c>
      <c r="M293" s="66">
        <f t="shared" ref="M293" si="640">IF(M$33=0,0,M292/M$33)</f>
        <v>0.6428571428571429</v>
      </c>
      <c r="N293" s="500"/>
      <c r="O293" s="66">
        <f>IF(O$33=0,0,O292/O$33)</f>
        <v>0</v>
      </c>
      <c r="P293" s="66">
        <f t="shared" ref="P293" si="641">IF(P$33=0,0,P292/P$33)</f>
        <v>0</v>
      </c>
      <c r="Q293" s="66">
        <f t="shared" ref="Q293" si="642">IF(Q$33=0,0,Q292/Q$33)</f>
        <v>0</v>
      </c>
      <c r="R293" s="500"/>
      <c r="S293" s="66">
        <f>IF(S$33=0,0,S292/S$33)</f>
        <v>1</v>
      </c>
      <c r="T293" s="66">
        <f t="shared" ref="T293" si="643">IF(T$33=0,0,T292/T$33)</f>
        <v>0.6</v>
      </c>
      <c r="U293" s="66">
        <f t="shared" ref="U293" si="644">IF(U$33=0,0,U292/U$33)</f>
        <v>0.625</v>
      </c>
      <c r="V293" s="500"/>
      <c r="W293" s="66">
        <f>IF(W$33=0,0,W292/W$33)</f>
        <v>1</v>
      </c>
      <c r="X293" s="66">
        <f t="shared" ref="X293" si="645">IF(X$33=0,0,X292/X$33)</f>
        <v>0.26315789473684209</v>
      </c>
      <c r="Y293" s="66">
        <f t="shared" ref="Y293" si="646">IF(Y$33=0,0,Y292/Y$33)</f>
        <v>0.33333333333333331</v>
      </c>
      <c r="Z293" s="500"/>
      <c r="AA293" s="66">
        <f>IF(AA$33=0,0,AA292/AA$33)</f>
        <v>0.66666666666666663</v>
      </c>
      <c r="AB293" s="66">
        <f t="shared" ref="AB293" si="647">IF(AB$33=0,0,AB292/AB$33)</f>
        <v>0.41666666666666669</v>
      </c>
      <c r="AC293" s="66">
        <f t="shared" ref="AC293" si="648">IF(AC$33=0,0,AC292/AC$33)</f>
        <v>0.46666666666666667</v>
      </c>
      <c r="AD293" s="500"/>
      <c r="AE293" s="66">
        <f>IF(AE$33=0,0,AE292/AE$33)</f>
        <v>0</v>
      </c>
      <c r="AF293" s="66">
        <f t="shared" ref="AF293" si="649">IF(AF$33=0,0,AF292/AF$33)</f>
        <v>0</v>
      </c>
      <c r="AG293" s="66">
        <f t="shared" ref="AG293" si="650">IF(AG$33=0,0,AG292/AG$33)</f>
        <v>0</v>
      </c>
      <c r="AH293" s="614"/>
      <c r="AI293" s="619">
        <f>IF(AI$33=0,0,AI292/AI$33)</f>
        <v>0.88235294117647056</v>
      </c>
      <c r="AJ293" s="66">
        <f t="shared" ref="AJ293" si="651">IF(AJ$33=0,0,AJ292/AJ$33)</f>
        <v>0.41095890410958902</v>
      </c>
      <c r="AK293" s="66">
        <f t="shared" ref="AK293" si="652">IF(AK$33=0,0,AK292/AK$33)</f>
        <v>0.5</v>
      </c>
      <c r="AL293" s="500"/>
    </row>
    <row r="294" spans="1:73" s="117" customFormat="1" ht="16.5" customHeight="1" x14ac:dyDescent="0.25">
      <c r="A294" s="119"/>
      <c r="B294" s="41" t="s">
        <v>215</v>
      </c>
      <c r="C294" s="476" t="s">
        <v>870</v>
      </c>
      <c r="D294" s="477"/>
      <c r="E294" s="478"/>
      <c r="F294" s="478"/>
      <c r="G294" s="71"/>
      <c r="H294" s="71"/>
      <c r="I294" s="71"/>
      <c r="J294" s="71"/>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355"/>
      <c r="AI294" s="377"/>
      <c r="AJ294" s="71"/>
      <c r="AK294" s="71"/>
      <c r="AL294" s="71"/>
    </row>
    <row r="295" spans="1:73" ht="16.5" customHeight="1" x14ac:dyDescent="0.25">
      <c r="A295" s="40"/>
      <c r="B295" s="40"/>
      <c r="C295" s="56" t="s">
        <v>217</v>
      </c>
      <c r="D295" s="57" t="s">
        <v>871</v>
      </c>
      <c r="E295" s="75"/>
      <c r="F295" s="76"/>
      <c r="G295" s="111"/>
      <c r="H295" s="111"/>
      <c r="I295" s="419"/>
      <c r="J295" s="404"/>
      <c r="K295" s="111"/>
      <c r="L295" s="111"/>
      <c r="M295" s="419"/>
      <c r="N295" s="404"/>
      <c r="O295" s="111"/>
      <c r="P295" s="111"/>
      <c r="Q295" s="419"/>
      <c r="R295" s="404"/>
      <c r="S295" s="111"/>
      <c r="T295" s="111"/>
      <c r="U295" s="419"/>
      <c r="V295" s="404"/>
      <c r="W295" s="111"/>
      <c r="X295" s="111"/>
      <c r="Y295" s="419"/>
      <c r="Z295" s="404"/>
      <c r="AA295" s="111"/>
      <c r="AB295" s="111"/>
      <c r="AC295" s="419"/>
      <c r="AD295" s="404"/>
      <c r="AE295" s="404"/>
      <c r="AF295" s="404"/>
      <c r="AG295" s="419"/>
      <c r="AH295" s="615"/>
      <c r="AI295" s="380"/>
      <c r="AJ295" s="111"/>
      <c r="AK295" s="545"/>
      <c r="AL295" s="404"/>
    </row>
    <row r="296" spans="1:73" ht="16.5" customHeight="1" x14ac:dyDescent="0.25">
      <c r="A296" s="40"/>
      <c r="B296" s="40"/>
      <c r="C296" s="40"/>
      <c r="D296" s="473" t="s">
        <v>219</v>
      </c>
      <c r="E296" s="167" t="s">
        <v>474</v>
      </c>
      <c r="F296" s="106"/>
      <c r="G296" s="17">
        <f>'HH WITH COM #1 '!$W$411</f>
        <v>0</v>
      </c>
      <c r="H296" s="17">
        <f>'HH WITH COM #1 '!$X$411</f>
        <v>0</v>
      </c>
      <c r="I296" s="116">
        <f t="shared" ref="I296:I301" si="653">SUM(G296:H296)</f>
        <v>0</v>
      </c>
      <c r="J296" s="197">
        <f>IF(I$302=0,0,I296/I$302)</f>
        <v>0</v>
      </c>
      <c r="K296" s="17">
        <f>'HH WITH COM #2'!$W$411</f>
        <v>0</v>
      </c>
      <c r="L296" s="17">
        <f>'HH WITH COM #2'!$X$411</f>
        <v>0</v>
      </c>
      <c r="M296" s="539">
        <f t="shared" ref="M296:M301" si="654">SUM(K296:L296)</f>
        <v>0</v>
      </c>
      <c r="N296" s="197">
        <f>IF(M$302=0,0,M296/M$302)</f>
        <v>0</v>
      </c>
      <c r="O296" s="17">
        <f>'HH WITH COM #3'!$W$411</f>
        <v>0</v>
      </c>
      <c r="P296" s="17">
        <f>'HH WITH COM #3'!$X$411</f>
        <v>0</v>
      </c>
      <c r="Q296" s="539">
        <f t="shared" ref="Q296:Q301" si="655">SUM(O296:P296)</f>
        <v>0</v>
      </c>
      <c r="R296" s="197">
        <f>IF(Q$302=0,0,Q296/Q$302)</f>
        <v>0</v>
      </c>
      <c r="S296" s="17">
        <f>'HH WITH COM #4'!$W$411</f>
        <v>0</v>
      </c>
      <c r="T296" s="17">
        <f>'HH WITH COM #4'!$X$411</f>
        <v>0</v>
      </c>
      <c r="U296" s="539">
        <f t="shared" ref="U296:U301" si="656">SUM(S296:T296)</f>
        <v>0</v>
      </c>
      <c r="V296" s="197">
        <f>IF(U$302=0,0,U296/U$302)</f>
        <v>0</v>
      </c>
      <c r="W296" s="17">
        <f>'HH WITH COM #5'!$W$411</f>
        <v>0</v>
      </c>
      <c r="X296" s="17">
        <f>'HH WITH COM #5'!$X$411</f>
        <v>0</v>
      </c>
      <c r="Y296" s="539">
        <f t="shared" ref="Y296:Y301" si="657">SUM(W296:X296)</f>
        <v>0</v>
      </c>
      <c r="Z296" s="197">
        <f>IF(Y$302=0,0,Y296/Y$302)</f>
        <v>0</v>
      </c>
      <c r="AA296" s="17">
        <f>'HH WITH COM #6'!$W$411</f>
        <v>0</v>
      </c>
      <c r="AB296" s="17">
        <f>'HH WITH COM #6'!$X$411</f>
        <v>1</v>
      </c>
      <c r="AC296" s="539">
        <f t="shared" ref="AC296:AC301" si="658">SUM(AA296:AB296)</f>
        <v>1</v>
      </c>
      <c r="AD296" s="197">
        <f>IF(AC$302=0,0,AC296/AC$302)</f>
        <v>0.2</v>
      </c>
      <c r="AE296" s="17">
        <f>'HH WITH COM #7'!$W$411</f>
        <v>0</v>
      </c>
      <c r="AF296" s="17">
        <f>'HH WITH COM #7'!$X$411</f>
        <v>0</v>
      </c>
      <c r="AG296" s="539">
        <f t="shared" ref="AG296:AG301" si="659">SUM(AE296:AF296)</f>
        <v>0</v>
      </c>
      <c r="AH296" s="191">
        <f>IF(AG$302=0,0,AG296/AG$302)</f>
        <v>0</v>
      </c>
      <c r="AI296" s="391">
        <f t="shared" ref="AI296:AI301" si="660">G296+K296+O296+S296+W296+AA296+AE296</f>
        <v>0</v>
      </c>
      <c r="AJ296" s="17">
        <f t="shared" ref="AJ296:AJ301" si="661">H296+L296+P296+T296+X296+AB296+AF296</f>
        <v>1</v>
      </c>
      <c r="AK296" s="539">
        <f t="shared" ref="AK296:AK301" si="662">SUM(AI296:AJ296)</f>
        <v>1</v>
      </c>
      <c r="AL296" s="197">
        <f>IF(AK$302=0,0,AK296/AK$302)</f>
        <v>2.7777777777777776E-2</v>
      </c>
    </row>
    <row r="297" spans="1:73" ht="16.5" customHeight="1" x14ac:dyDescent="0.25">
      <c r="A297" s="40"/>
      <c r="B297" s="40"/>
      <c r="C297" s="40"/>
      <c r="D297" s="473" t="s">
        <v>220</v>
      </c>
      <c r="E297" s="167" t="s">
        <v>221</v>
      </c>
      <c r="F297" s="106"/>
      <c r="G297" s="17">
        <f>'HH WITH COM #1 '!$W$412</f>
        <v>1</v>
      </c>
      <c r="H297" s="17">
        <f>'HH WITH COM #1 '!$X$412</f>
        <v>0</v>
      </c>
      <c r="I297" s="116">
        <f t="shared" si="653"/>
        <v>1</v>
      </c>
      <c r="J297" s="197">
        <f t="shared" ref="J297:J302" si="663">IF(I$302=0,0,I297/I$302)</f>
        <v>8.3333333333333329E-2</v>
      </c>
      <c r="K297" s="17">
        <f>'HH WITH COM #2'!$W$412</f>
        <v>0</v>
      </c>
      <c r="L297" s="17">
        <f>'HH WITH COM #2'!$X$412</f>
        <v>0</v>
      </c>
      <c r="M297" s="539">
        <f t="shared" si="654"/>
        <v>0</v>
      </c>
      <c r="N297" s="197">
        <f t="shared" ref="N297:N302" si="664">IF(M$302=0,0,M297/M$302)</f>
        <v>0</v>
      </c>
      <c r="O297" s="17">
        <f>'HH WITH COM #3'!$W$412</f>
        <v>0</v>
      </c>
      <c r="P297" s="17">
        <f>'HH WITH COM #3'!$X$412</f>
        <v>0</v>
      </c>
      <c r="Q297" s="539">
        <f t="shared" si="655"/>
        <v>0</v>
      </c>
      <c r="R297" s="197">
        <f t="shared" ref="R297:R302" si="665">IF(Q$302=0,0,Q297/Q$302)</f>
        <v>0</v>
      </c>
      <c r="S297" s="17">
        <f>'HH WITH COM #4'!$W$412</f>
        <v>0</v>
      </c>
      <c r="T297" s="17">
        <f>'HH WITH COM #4'!$X$412</f>
        <v>1</v>
      </c>
      <c r="U297" s="539">
        <f t="shared" si="656"/>
        <v>1</v>
      </c>
      <c r="V297" s="197">
        <f t="shared" ref="V297:V302" si="666">IF(U$302=0,0,U297/U$302)</f>
        <v>0.125</v>
      </c>
      <c r="W297" s="17">
        <f>'HH WITH COM #5'!$W$412</f>
        <v>0</v>
      </c>
      <c r="X297" s="17">
        <f>'HH WITH COM #5'!$X$412</f>
        <v>2</v>
      </c>
      <c r="Y297" s="539">
        <f t="shared" si="657"/>
        <v>2</v>
      </c>
      <c r="Z297" s="197">
        <f t="shared" ref="Z297:Z302" si="667">IF(Y$302=0,0,Y297/Y$302)</f>
        <v>0.4</v>
      </c>
      <c r="AA297" s="17">
        <f>'HH WITH COM #6'!$W$412</f>
        <v>0</v>
      </c>
      <c r="AB297" s="17">
        <f>'HH WITH COM #6'!$X$412</f>
        <v>0</v>
      </c>
      <c r="AC297" s="539">
        <f t="shared" si="658"/>
        <v>0</v>
      </c>
      <c r="AD297" s="197">
        <f t="shared" ref="AD297:AD302" si="668">IF(AC$302=0,0,AC297/AC$302)</f>
        <v>0</v>
      </c>
      <c r="AE297" s="17">
        <f>'HH WITH COM #7'!$W$412</f>
        <v>0</v>
      </c>
      <c r="AF297" s="17">
        <f>'HH WITH COM #7'!$X$412</f>
        <v>0</v>
      </c>
      <c r="AG297" s="539">
        <f t="shared" si="659"/>
        <v>0</v>
      </c>
      <c r="AH297" s="191">
        <f t="shared" ref="AH297:AH302" si="669">IF(AG$302=0,0,AG297/AG$302)</f>
        <v>0</v>
      </c>
      <c r="AI297" s="391">
        <f t="shared" si="660"/>
        <v>1</v>
      </c>
      <c r="AJ297" s="17">
        <f t="shared" si="661"/>
        <v>3</v>
      </c>
      <c r="AK297" s="539">
        <f t="shared" si="662"/>
        <v>4</v>
      </c>
      <c r="AL297" s="197">
        <f t="shared" ref="AL297:AL302" si="670">IF(AK$302=0,0,AK297/AK$302)</f>
        <v>0.1111111111111111</v>
      </c>
    </row>
    <row r="298" spans="1:73" ht="16.5" customHeight="1" x14ac:dyDescent="0.25">
      <c r="A298" s="40"/>
      <c r="B298" s="40"/>
      <c r="C298" s="40"/>
      <c r="D298" s="473" t="s">
        <v>222</v>
      </c>
      <c r="E298" s="167" t="s">
        <v>223</v>
      </c>
      <c r="F298" s="106"/>
      <c r="G298" s="17">
        <f>'HH WITH COM #1 '!$W$413</f>
        <v>0</v>
      </c>
      <c r="H298" s="17">
        <f>'HH WITH COM #1 '!$X$413</f>
        <v>0</v>
      </c>
      <c r="I298" s="116">
        <f t="shared" si="653"/>
        <v>0</v>
      </c>
      <c r="J298" s="197">
        <f t="shared" si="663"/>
        <v>0</v>
      </c>
      <c r="K298" s="17">
        <f>'HH WITH COM #2'!$W$413</f>
        <v>0</v>
      </c>
      <c r="L298" s="17">
        <f>'HH WITH COM #2'!$X$413</f>
        <v>0</v>
      </c>
      <c r="M298" s="539">
        <f t="shared" si="654"/>
        <v>0</v>
      </c>
      <c r="N298" s="197">
        <f t="shared" si="664"/>
        <v>0</v>
      </c>
      <c r="O298" s="17">
        <f>'HH WITH COM #3'!$W$413</f>
        <v>0</v>
      </c>
      <c r="P298" s="17">
        <f>'HH WITH COM #3'!$X$413</f>
        <v>0</v>
      </c>
      <c r="Q298" s="539">
        <f t="shared" si="655"/>
        <v>0</v>
      </c>
      <c r="R298" s="197">
        <f t="shared" si="665"/>
        <v>0</v>
      </c>
      <c r="S298" s="17">
        <f>'HH WITH COM #4'!$W$413</f>
        <v>0</v>
      </c>
      <c r="T298" s="17">
        <f>'HH WITH COM #4'!$X$413</f>
        <v>0</v>
      </c>
      <c r="U298" s="539">
        <f t="shared" si="656"/>
        <v>0</v>
      </c>
      <c r="V298" s="197">
        <f t="shared" si="666"/>
        <v>0</v>
      </c>
      <c r="W298" s="17">
        <f>'HH WITH COM #5'!$W$413</f>
        <v>0</v>
      </c>
      <c r="X298" s="17">
        <f>'HH WITH COM #5'!$X$413</f>
        <v>0</v>
      </c>
      <c r="Y298" s="539">
        <f t="shared" si="657"/>
        <v>0</v>
      </c>
      <c r="Z298" s="197">
        <f t="shared" si="667"/>
        <v>0</v>
      </c>
      <c r="AA298" s="17">
        <f>'HH WITH COM #6'!$W$413</f>
        <v>0</v>
      </c>
      <c r="AB298" s="17">
        <f>'HH WITH COM #6'!$X$413</f>
        <v>0</v>
      </c>
      <c r="AC298" s="539">
        <f t="shared" si="658"/>
        <v>0</v>
      </c>
      <c r="AD298" s="197">
        <f t="shared" si="668"/>
        <v>0</v>
      </c>
      <c r="AE298" s="17">
        <f>'HH WITH COM #7'!$W$413</f>
        <v>0</v>
      </c>
      <c r="AF298" s="17">
        <f>'HH WITH COM #7'!$X$413</f>
        <v>0</v>
      </c>
      <c r="AG298" s="539">
        <f t="shared" si="659"/>
        <v>0</v>
      </c>
      <c r="AH298" s="191">
        <f t="shared" si="669"/>
        <v>0</v>
      </c>
      <c r="AI298" s="391">
        <f t="shared" si="660"/>
        <v>0</v>
      </c>
      <c r="AJ298" s="17">
        <f t="shared" si="661"/>
        <v>0</v>
      </c>
      <c r="AK298" s="539">
        <f t="shared" si="662"/>
        <v>0</v>
      </c>
      <c r="AL298" s="197">
        <f t="shared" si="670"/>
        <v>0</v>
      </c>
    </row>
    <row r="299" spans="1:73" ht="16.5" customHeight="1" x14ac:dyDescent="0.25">
      <c r="A299" s="40"/>
      <c r="B299" s="40"/>
      <c r="C299" s="40"/>
      <c r="D299" s="473" t="s">
        <v>224</v>
      </c>
      <c r="E299" s="167" t="s">
        <v>225</v>
      </c>
      <c r="F299" s="106"/>
      <c r="G299" s="17">
        <f>'HH WITH COM #1 '!$W$414</f>
        <v>5</v>
      </c>
      <c r="H299" s="17">
        <f>'HH WITH COM #1 '!$X$414</f>
        <v>5</v>
      </c>
      <c r="I299" s="116">
        <f t="shared" si="653"/>
        <v>10</v>
      </c>
      <c r="J299" s="197">
        <f t="shared" si="663"/>
        <v>0.83333333333333337</v>
      </c>
      <c r="K299" s="17">
        <f>'HH WITH COM #2'!$W$414</f>
        <v>2</v>
      </c>
      <c r="L299" s="17">
        <f>'HH WITH COM #2'!$X$414</f>
        <v>3</v>
      </c>
      <c r="M299" s="539">
        <f t="shared" si="654"/>
        <v>5</v>
      </c>
      <c r="N299" s="197">
        <f t="shared" si="664"/>
        <v>0.83333333333333337</v>
      </c>
      <c r="O299" s="17">
        <f>'HH WITH COM #3'!$W$414</f>
        <v>0</v>
      </c>
      <c r="P299" s="17">
        <f>'HH WITH COM #3'!$X$414</f>
        <v>0</v>
      </c>
      <c r="Q299" s="539">
        <f t="shared" si="655"/>
        <v>0</v>
      </c>
      <c r="R299" s="197">
        <f t="shared" si="665"/>
        <v>0</v>
      </c>
      <c r="S299" s="17">
        <f>'HH WITH COM #4'!$W$414</f>
        <v>1</v>
      </c>
      <c r="T299" s="17">
        <f>'HH WITH COM #4'!$X$414</f>
        <v>6</v>
      </c>
      <c r="U299" s="539">
        <f t="shared" si="656"/>
        <v>7</v>
      </c>
      <c r="V299" s="197">
        <f t="shared" si="666"/>
        <v>0.875</v>
      </c>
      <c r="W299" s="17">
        <f>'HH WITH COM #5'!$W$414</f>
        <v>1</v>
      </c>
      <c r="X299" s="17">
        <f>'HH WITH COM #5'!$X$414</f>
        <v>1</v>
      </c>
      <c r="Y299" s="539">
        <f t="shared" si="657"/>
        <v>2</v>
      </c>
      <c r="Z299" s="197">
        <f t="shared" si="667"/>
        <v>0.4</v>
      </c>
      <c r="AA299" s="17">
        <f>'HH WITH COM #6'!$W$414</f>
        <v>2</v>
      </c>
      <c r="AB299" s="17">
        <f>'HH WITH COM #6'!$X$414</f>
        <v>2</v>
      </c>
      <c r="AC299" s="539">
        <f t="shared" si="658"/>
        <v>4</v>
      </c>
      <c r="AD299" s="197">
        <f t="shared" si="668"/>
        <v>0.8</v>
      </c>
      <c r="AE299" s="17">
        <f>'HH WITH COM #7'!$W$414</f>
        <v>0</v>
      </c>
      <c r="AF299" s="17">
        <f>'HH WITH COM #7'!$X$414</f>
        <v>0</v>
      </c>
      <c r="AG299" s="539">
        <f t="shared" si="659"/>
        <v>0</v>
      </c>
      <c r="AH299" s="191">
        <f t="shared" si="669"/>
        <v>0</v>
      </c>
      <c r="AI299" s="391">
        <f t="shared" si="660"/>
        <v>11</v>
      </c>
      <c r="AJ299" s="17">
        <f t="shared" si="661"/>
        <v>17</v>
      </c>
      <c r="AK299" s="539">
        <f t="shared" si="662"/>
        <v>28</v>
      </c>
      <c r="AL299" s="197">
        <f t="shared" si="670"/>
        <v>0.77777777777777779</v>
      </c>
    </row>
    <row r="300" spans="1:73" ht="16.5" customHeight="1" x14ac:dyDescent="0.25">
      <c r="A300" s="40"/>
      <c r="B300" s="40"/>
      <c r="C300" s="40"/>
      <c r="D300" s="473" t="s">
        <v>226</v>
      </c>
      <c r="E300" s="105" t="s">
        <v>227</v>
      </c>
      <c r="F300" s="106"/>
      <c r="G300" s="17">
        <f>'HH WITH COM #1 '!$W$415</f>
        <v>1</v>
      </c>
      <c r="H300" s="17">
        <f>'HH WITH COM #1 '!$X$415</f>
        <v>0</v>
      </c>
      <c r="I300" s="116">
        <f t="shared" si="653"/>
        <v>1</v>
      </c>
      <c r="J300" s="197">
        <f t="shared" si="663"/>
        <v>8.3333333333333329E-2</v>
      </c>
      <c r="K300" s="17">
        <f>'HH WITH COM #2'!$W$415</f>
        <v>0</v>
      </c>
      <c r="L300" s="17">
        <f>'HH WITH COM #2'!$X$415</f>
        <v>0</v>
      </c>
      <c r="M300" s="539">
        <f t="shared" si="654"/>
        <v>0</v>
      </c>
      <c r="N300" s="197">
        <f t="shared" si="664"/>
        <v>0</v>
      </c>
      <c r="O300" s="17">
        <f>'HH WITH COM #3'!$W$415</f>
        <v>0</v>
      </c>
      <c r="P300" s="17">
        <f>'HH WITH COM #3'!$X$415</f>
        <v>0</v>
      </c>
      <c r="Q300" s="539">
        <f t="shared" si="655"/>
        <v>0</v>
      </c>
      <c r="R300" s="197">
        <f t="shared" si="665"/>
        <v>0</v>
      </c>
      <c r="S300" s="17">
        <f>'HH WITH COM #4'!$W$415</f>
        <v>0</v>
      </c>
      <c r="T300" s="17">
        <f>'HH WITH COM #4'!$X$415</f>
        <v>0</v>
      </c>
      <c r="U300" s="539">
        <f t="shared" si="656"/>
        <v>0</v>
      </c>
      <c r="V300" s="197">
        <f t="shared" si="666"/>
        <v>0</v>
      </c>
      <c r="W300" s="17">
        <f>'HH WITH COM #5'!$W$415</f>
        <v>0</v>
      </c>
      <c r="X300" s="17">
        <f>'HH WITH COM #5'!$X$415</f>
        <v>0</v>
      </c>
      <c r="Y300" s="539">
        <f t="shared" si="657"/>
        <v>0</v>
      </c>
      <c r="Z300" s="197">
        <f t="shared" si="667"/>
        <v>0</v>
      </c>
      <c r="AA300" s="17">
        <f>'HH WITH COM #6'!$W$415</f>
        <v>0</v>
      </c>
      <c r="AB300" s="17">
        <f>'HH WITH COM #6'!$X$415</f>
        <v>0</v>
      </c>
      <c r="AC300" s="539">
        <f t="shared" si="658"/>
        <v>0</v>
      </c>
      <c r="AD300" s="197">
        <f t="shared" si="668"/>
        <v>0</v>
      </c>
      <c r="AE300" s="17">
        <f>'HH WITH COM #7'!$W$415</f>
        <v>0</v>
      </c>
      <c r="AF300" s="17">
        <f>'HH WITH COM #7'!$X$415</f>
        <v>0</v>
      </c>
      <c r="AG300" s="539">
        <f t="shared" si="659"/>
        <v>0</v>
      </c>
      <c r="AH300" s="191">
        <f t="shared" si="669"/>
        <v>0</v>
      </c>
      <c r="AI300" s="391">
        <f t="shared" si="660"/>
        <v>1</v>
      </c>
      <c r="AJ300" s="17">
        <f t="shared" si="661"/>
        <v>0</v>
      </c>
      <c r="AK300" s="539">
        <f t="shared" si="662"/>
        <v>1</v>
      </c>
      <c r="AL300" s="197">
        <f t="shared" si="670"/>
        <v>2.7777777777777776E-2</v>
      </c>
    </row>
    <row r="301" spans="1:73" ht="16.5" customHeight="1" x14ac:dyDescent="0.25">
      <c r="A301" s="40"/>
      <c r="B301" s="40"/>
      <c r="C301" s="179"/>
      <c r="D301" s="473" t="s">
        <v>228</v>
      </c>
      <c r="E301" s="105" t="s">
        <v>1000</v>
      </c>
      <c r="F301" s="106"/>
      <c r="G301" s="17">
        <f>'HH WITH COM #1 '!$W$416</f>
        <v>0</v>
      </c>
      <c r="H301" s="17">
        <f>'HH WITH COM #1 '!$X$416</f>
        <v>0</v>
      </c>
      <c r="I301" s="116">
        <f t="shared" si="653"/>
        <v>0</v>
      </c>
      <c r="J301" s="197">
        <f t="shared" si="663"/>
        <v>0</v>
      </c>
      <c r="K301" s="17">
        <f>'HH WITH COM #2'!$W$416</f>
        <v>0</v>
      </c>
      <c r="L301" s="17">
        <f>'HH WITH COM #2'!$X$416</f>
        <v>1</v>
      </c>
      <c r="M301" s="539">
        <f t="shared" si="654"/>
        <v>1</v>
      </c>
      <c r="N301" s="197">
        <f t="shared" si="664"/>
        <v>0.16666666666666666</v>
      </c>
      <c r="O301" s="17">
        <f>'HH WITH COM #3'!$W$416</f>
        <v>0</v>
      </c>
      <c r="P301" s="17">
        <f>'HH WITH COM #3'!$X$416</f>
        <v>0</v>
      </c>
      <c r="Q301" s="539">
        <f t="shared" si="655"/>
        <v>0</v>
      </c>
      <c r="R301" s="197">
        <f t="shared" si="665"/>
        <v>0</v>
      </c>
      <c r="S301" s="17">
        <f>'HH WITH COM #4'!$W$416</f>
        <v>0</v>
      </c>
      <c r="T301" s="17">
        <f>'HH WITH COM #4'!$X$416</f>
        <v>0</v>
      </c>
      <c r="U301" s="539">
        <f t="shared" si="656"/>
        <v>0</v>
      </c>
      <c r="V301" s="197">
        <f t="shared" si="666"/>
        <v>0</v>
      </c>
      <c r="W301" s="17">
        <f>'HH WITH COM #5'!$W$416</f>
        <v>0</v>
      </c>
      <c r="X301" s="17">
        <f>'HH WITH COM #5'!$X$416</f>
        <v>1</v>
      </c>
      <c r="Y301" s="539">
        <f t="shared" si="657"/>
        <v>1</v>
      </c>
      <c r="Z301" s="197">
        <f t="shared" si="667"/>
        <v>0.2</v>
      </c>
      <c r="AA301" s="17">
        <f>'HH WITH COM #6'!$W$416</f>
        <v>0</v>
      </c>
      <c r="AB301" s="17">
        <f>'HH WITH COM #6'!$X$416</f>
        <v>0</v>
      </c>
      <c r="AC301" s="539">
        <f t="shared" si="658"/>
        <v>0</v>
      </c>
      <c r="AD301" s="197">
        <f t="shared" si="668"/>
        <v>0</v>
      </c>
      <c r="AE301" s="17">
        <f>'HH WITH COM #7'!$W$416</f>
        <v>0</v>
      </c>
      <c r="AF301" s="17">
        <f>'HH WITH COM #7'!$X$416</f>
        <v>0</v>
      </c>
      <c r="AG301" s="539">
        <f t="shared" si="659"/>
        <v>0</v>
      </c>
      <c r="AH301" s="191">
        <f t="shared" si="669"/>
        <v>0</v>
      </c>
      <c r="AI301" s="391">
        <f t="shared" si="660"/>
        <v>0</v>
      </c>
      <c r="AJ301" s="17">
        <f t="shared" si="661"/>
        <v>2</v>
      </c>
      <c r="AK301" s="539">
        <f t="shared" si="662"/>
        <v>2</v>
      </c>
      <c r="AL301" s="197">
        <f t="shared" si="670"/>
        <v>5.5555555555555552E-2</v>
      </c>
    </row>
    <row r="302" spans="1:73" ht="16.5" customHeight="1" x14ac:dyDescent="0.25">
      <c r="A302" s="40"/>
      <c r="B302" s="40"/>
      <c r="C302" s="119"/>
      <c r="D302" s="185"/>
      <c r="E302" s="184"/>
      <c r="F302" s="469"/>
      <c r="G302" s="82">
        <f t="shared" ref="G302:H302" si="671">SUM(G296:G301)</f>
        <v>7</v>
      </c>
      <c r="H302" s="82">
        <f t="shared" si="671"/>
        <v>5</v>
      </c>
      <c r="I302" s="82">
        <f>SUM(I296:I301)</f>
        <v>12</v>
      </c>
      <c r="J302" s="500">
        <f t="shared" si="663"/>
        <v>1</v>
      </c>
      <c r="K302" s="82">
        <f t="shared" ref="K302:L302" si="672">SUM(K296:K301)</f>
        <v>2</v>
      </c>
      <c r="L302" s="82">
        <f t="shared" si="672"/>
        <v>4</v>
      </c>
      <c r="M302" s="82">
        <f>SUM(M296:M301)</f>
        <v>6</v>
      </c>
      <c r="N302" s="500">
        <f t="shared" si="664"/>
        <v>1</v>
      </c>
      <c r="O302" s="82">
        <f t="shared" ref="O302:P302" si="673">SUM(O296:O301)</f>
        <v>0</v>
      </c>
      <c r="P302" s="82">
        <f t="shared" si="673"/>
        <v>0</v>
      </c>
      <c r="Q302" s="82">
        <f>SUM(Q296:Q301)</f>
        <v>0</v>
      </c>
      <c r="R302" s="500">
        <f t="shared" si="665"/>
        <v>0</v>
      </c>
      <c r="S302" s="82">
        <f t="shared" ref="S302:T302" si="674">SUM(S296:S301)</f>
        <v>1</v>
      </c>
      <c r="T302" s="82">
        <f t="shared" si="674"/>
        <v>7</v>
      </c>
      <c r="U302" s="82">
        <f>SUM(U296:U301)</f>
        <v>8</v>
      </c>
      <c r="V302" s="500">
        <f t="shared" si="666"/>
        <v>1</v>
      </c>
      <c r="W302" s="82">
        <f t="shared" ref="W302:X302" si="675">SUM(W296:W301)</f>
        <v>1</v>
      </c>
      <c r="X302" s="82">
        <f t="shared" si="675"/>
        <v>4</v>
      </c>
      <c r="Y302" s="82">
        <f>SUM(Y296:Y301)</f>
        <v>5</v>
      </c>
      <c r="Z302" s="500">
        <f t="shared" si="667"/>
        <v>1</v>
      </c>
      <c r="AA302" s="82">
        <f t="shared" ref="AA302:AB302" si="676">SUM(AA296:AA301)</f>
        <v>2</v>
      </c>
      <c r="AB302" s="82">
        <f t="shared" si="676"/>
        <v>3</v>
      </c>
      <c r="AC302" s="82">
        <f>SUM(AC296:AC301)</f>
        <v>5</v>
      </c>
      <c r="AD302" s="500">
        <f t="shared" si="668"/>
        <v>1</v>
      </c>
      <c r="AE302" s="82">
        <f t="shared" ref="AE302:AF302" si="677">SUM(AE296:AE301)</f>
        <v>0</v>
      </c>
      <c r="AF302" s="82">
        <f t="shared" si="677"/>
        <v>0</v>
      </c>
      <c r="AG302" s="82">
        <f>SUM(AG296:AG301)</f>
        <v>0</v>
      </c>
      <c r="AH302" s="614">
        <f t="shared" si="669"/>
        <v>0</v>
      </c>
      <c r="AI302" s="381">
        <f t="shared" ref="AI302:AJ302" si="678">SUM(AI296:AI301)</f>
        <v>13</v>
      </c>
      <c r="AJ302" s="82">
        <f t="shared" si="678"/>
        <v>23</v>
      </c>
      <c r="AK302" s="82">
        <f>SUM(AK296:AK301)</f>
        <v>36</v>
      </c>
      <c r="AL302" s="500">
        <f t="shared" si="670"/>
        <v>1</v>
      </c>
    </row>
    <row r="303" spans="1:73" ht="16.5" customHeight="1" x14ac:dyDescent="0.25">
      <c r="A303" s="40"/>
      <c r="B303" s="40"/>
      <c r="C303" s="56" t="s">
        <v>230</v>
      </c>
      <c r="D303" s="57" t="s">
        <v>1001</v>
      </c>
      <c r="E303" s="75"/>
      <c r="F303" s="76"/>
      <c r="G303" s="111"/>
      <c r="H303" s="111"/>
      <c r="I303" s="419"/>
      <c r="J303" s="404"/>
      <c r="K303" s="111"/>
      <c r="L303" s="111"/>
      <c r="M303" s="419"/>
      <c r="N303" s="404"/>
      <c r="O303" s="111"/>
      <c r="P303" s="111"/>
      <c r="Q303" s="419"/>
      <c r="R303" s="404"/>
      <c r="S303" s="111"/>
      <c r="T303" s="111"/>
      <c r="U303" s="419"/>
      <c r="V303" s="404"/>
      <c r="W303" s="111"/>
      <c r="X303" s="111"/>
      <c r="Y303" s="419"/>
      <c r="Z303" s="404"/>
      <c r="AA303" s="111"/>
      <c r="AB303" s="111"/>
      <c r="AC303" s="419"/>
      <c r="AD303" s="404"/>
      <c r="AE303" s="404"/>
      <c r="AF303" s="404"/>
      <c r="AG303" s="419"/>
      <c r="AH303" s="615"/>
      <c r="AI303" s="380"/>
      <c r="AJ303" s="111"/>
      <c r="AK303" s="545"/>
      <c r="AL303" s="404"/>
      <c r="AN303" s="117"/>
      <c r="AO303" s="117"/>
      <c r="AP303" s="117"/>
      <c r="AQ303" s="117"/>
      <c r="AR303" s="117"/>
      <c r="AS303" s="117"/>
      <c r="AT303" s="117"/>
      <c r="AU303" s="117"/>
      <c r="AV303" s="117"/>
      <c r="AW303" s="117"/>
      <c r="AX303" s="117"/>
      <c r="AY303" s="117"/>
      <c r="AZ303" s="117"/>
      <c r="BA303" s="117" t="s">
        <v>891</v>
      </c>
      <c r="BB303" s="117"/>
      <c r="BC303" s="117"/>
      <c r="BD303" s="117"/>
      <c r="BE303" s="117"/>
      <c r="BF303" s="117"/>
      <c r="BG303" s="117"/>
      <c r="BH303" s="117"/>
      <c r="BI303" s="117" t="s">
        <v>611</v>
      </c>
      <c r="BJ303" s="117"/>
      <c r="BK303" s="117"/>
      <c r="BL303" s="117"/>
      <c r="BM303" s="117"/>
      <c r="BN303" s="117"/>
      <c r="BO303" s="117"/>
      <c r="BP303" s="117"/>
      <c r="BQ303" s="117"/>
      <c r="BR303" s="117"/>
      <c r="BS303" s="117"/>
      <c r="BT303" s="117"/>
      <c r="BU303" s="117"/>
    </row>
    <row r="304" spans="1:73" ht="16.5" customHeight="1" x14ac:dyDescent="0.25">
      <c r="A304" s="40"/>
      <c r="B304" s="40"/>
      <c r="C304" s="68"/>
      <c r="D304" s="473" t="s">
        <v>232</v>
      </c>
      <c r="E304" s="484" t="s">
        <v>173</v>
      </c>
      <c r="F304" s="106"/>
      <c r="G304" s="17">
        <f>'HH WITH COM #1 '!$AT$424</f>
        <v>0</v>
      </c>
      <c r="H304" s="17">
        <f>'HH WITH COM #1 '!$AZ$424</f>
        <v>0</v>
      </c>
      <c r="I304" s="539">
        <f>SUM(G304:H304)</f>
        <v>0</v>
      </c>
      <c r="J304" s="91">
        <f>IF(I$310=0,0,I304/I$310)</f>
        <v>0</v>
      </c>
      <c r="K304" s="17">
        <f>'HH WITH COM #2'!$AT$424</f>
        <v>0</v>
      </c>
      <c r="L304" s="17">
        <f>'HH WITH COM #2'!$AZ$424</f>
        <v>0</v>
      </c>
      <c r="M304" s="539">
        <f>SUM(K304:L304)</f>
        <v>0</v>
      </c>
      <c r="N304" s="91">
        <f>IF(M$310=0,0,M304/M$310)</f>
        <v>0</v>
      </c>
      <c r="O304" s="17">
        <f>'HH WITH COM #3'!$AT$424</f>
        <v>0</v>
      </c>
      <c r="P304" s="17">
        <f>'HH WITH COM #3'!$AZ$424</f>
        <v>0</v>
      </c>
      <c r="Q304" s="539">
        <f>SUM(O304:P304)</f>
        <v>0</v>
      </c>
      <c r="R304" s="91">
        <f>IF(Q$310=0,0,Q304/Q$310)</f>
        <v>0</v>
      </c>
      <c r="S304" s="17">
        <f>'HH WITH COM #4'!$AT$424</f>
        <v>0</v>
      </c>
      <c r="T304" s="17">
        <f>'HH WITH COM #4'!$AZ$424</f>
        <v>0</v>
      </c>
      <c r="U304" s="539">
        <f>SUM(S304:T304)</f>
        <v>0</v>
      </c>
      <c r="V304" s="91">
        <f>IF(U$310=0,0,U304/U$310)</f>
        <v>0</v>
      </c>
      <c r="W304" s="17">
        <f>'HH WITH COM #5'!$AT$424</f>
        <v>0</v>
      </c>
      <c r="X304" s="17">
        <f>'HH WITH COM #5'!$AZ$424</f>
        <v>0</v>
      </c>
      <c r="Y304" s="539">
        <f>SUM(W304:X304)</f>
        <v>0</v>
      </c>
      <c r="Z304" s="91">
        <f>IF(Y$310=0,0,Y304/Y$310)</f>
        <v>0</v>
      </c>
      <c r="AA304" s="17">
        <f>'HH WITH COM #6'!$AT$424</f>
        <v>0</v>
      </c>
      <c r="AB304" s="17">
        <f>'HH WITH COM #6'!$AZ$424</f>
        <v>0</v>
      </c>
      <c r="AC304" s="539">
        <f>SUM(AA304:AB304)</f>
        <v>0</v>
      </c>
      <c r="AD304" s="91">
        <f>IF(AC$310=0,0,AC304/AC$310)</f>
        <v>0</v>
      </c>
      <c r="AE304" s="17">
        <f>'HH WITH COM #7'!$AT$424</f>
        <v>0</v>
      </c>
      <c r="AF304" s="17">
        <f>'HH WITH COM #7'!$AZ$424</f>
        <v>0</v>
      </c>
      <c r="AG304" s="539">
        <f>SUM(AE304:AF304)</f>
        <v>0</v>
      </c>
      <c r="AH304" s="373">
        <f>IF(AG$310=0,0,AG304/AG$310)</f>
        <v>0</v>
      </c>
      <c r="AI304" s="391">
        <f t="shared" ref="AI304:AI305" si="679">G304+K304+O304+S304+W304+AA304+AE304</f>
        <v>0</v>
      </c>
      <c r="AJ304" s="17">
        <f t="shared" ref="AJ304:AJ305" si="680">H304+L304+P304+T304+X304+AB304+AF304</f>
        <v>0</v>
      </c>
      <c r="AK304" s="539">
        <f t="shared" ref="AK304:AK305" si="681">SUM(AI304:AJ304)</f>
        <v>0</v>
      </c>
      <c r="AL304" s="91">
        <f>IF(AK$310=0,0,AK304/AK$310)</f>
        <v>0</v>
      </c>
      <c r="AN304" s="97"/>
      <c r="AO304" s="97"/>
      <c r="AP304" s="97"/>
      <c r="AQ304" s="97"/>
      <c r="AR304" s="97"/>
      <c r="AS304" s="97"/>
      <c r="AT304" s="97"/>
      <c r="AU304" s="97"/>
      <c r="AV304" s="97"/>
      <c r="AW304" s="97"/>
      <c r="AX304" s="97"/>
      <c r="AY304" s="97"/>
      <c r="AZ304" s="97"/>
      <c r="BA304" s="2" t="s">
        <v>1068</v>
      </c>
      <c r="BB304" s="2" t="s">
        <v>1069</v>
      </c>
      <c r="BC304" s="2" t="s">
        <v>1070</v>
      </c>
      <c r="BD304" s="2" t="s">
        <v>1071</v>
      </c>
      <c r="BE304" s="2" t="s">
        <v>1072</v>
      </c>
      <c r="BF304" s="2" t="s">
        <v>1073</v>
      </c>
      <c r="BG304" s="2" t="s">
        <v>1074</v>
      </c>
      <c r="BI304" s="2" t="s">
        <v>1068</v>
      </c>
      <c r="BJ304" s="2" t="s">
        <v>1069</v>
      </c>
      <c r="BK304" s="2" t="s">
        <v>1070</v>
      </c>
      <c r="BL304" s="2" t="s">
        <v>1071</v>
      </c>
      <c r="BM304" s="2" t="s">
        <v>1072</v>
      </c>
      <c r="BN304" s="2" t="s">
        <v>1073</v>
      </c>
      <c r="BO304" s="2" t="s">
        <v>1074</v>
      </c>
      <c r="BS304" s="97"/>
      <c r="BT304" s="97"/>
      <c r="BU304" s="97"/>
    </row>
    <row r="305" spans="1:73" ht="16.5" customHeight="1" x14ac:dyDescent="0.25">
      <c r="A305" s="40"/>
      <c r="B305" s="40"/>
      <c r="C305" s="68"/>
      <c r="D305" s="473" t="s">
        <v>233</v>
      </c>
      <c r="E305" s="484" t="s">
        <v>544</v>
      </c>
      <c r="F305" s="106"/>
      <c r="G305" s="17">
        <f>'HH WITH COM #1 '!$AT$425</f>
        <v>6</v>
      </c>
      <c r="H305" s="17">
        <f>'HH WITH COM #1 '!$AZ$425</f>
        <v>5</v>
      </c>
      <c r="I305" s="539">
        <f>SUM(G305:H305)</f>
        <v>11</v>
      </c>
      <c r="J305" s="91">
        <f t="shared" ref="J305:J310" si="682">IF(I$310=0,0,I305/I$310)</f>
        <v>0.91666666666666663</v>
      </c>
      <c r="K305" s="17">
        <f>'HH WITH COM #2'!$AT$425</f>
        <v>2</v>
      </c>
      <c r="L305" s="17">
        <f>'HH WITH COM #2'!$AZ$425</f>
        <v>4</v>
      </c>
      <c r="M305" s="539">
        <f>SUM(K305:L305)</f>
        <v>6</v>
      </c>
      <c r="N305" s="91">
        <f t="shared" ref="N305:N310" si="683">IF(M$310=0,0,M305/M$310)</f>
        <v>1</v>
      </c>
      <c r="O305" s="17">
        <f>'HH WITH COM #3'!$AT$425</f>
        <v>0</v>
      </c>
      <c r="P305" s="17">
        <f>'HH WITH COM #3'!$AZ$425</f>
        <v>0</v>
      </c>
      <c r="Q305" s="539">
        <f>SUM(O305:P305)</f>
        <v>0</v>
      </c>
      <c r="R305" s="91">
        <f t="shared" ref="R305:R310" si="684">IF(Q$310=0,0,Q305/Q$310)</f>
        <v>0</v>
      </c>
      <c r="S305" s="17">
        <f>'HH WITH COM #4'!$AT$425</f>
        <v>1</v>
      </c>
      <c r="T305" s="17">
        <f>'HH WITH COM #4'!$AZ$425</f>
        <v>7</v>
      </c>
      <c r="U305" s="539">
        <f>SUM(S305:T305)</f>
        <v>8</v>
      </c>
      <c r="V305" s="91">
        <f t="shared" ref="V305:V310" si="685">IF(U$310=0,0,U305/U$310)</f>
        <v>1</v>
      </c>
      <c r="W305" s="17">
        <f>'HH WITH COM #5'!$AT$425</f>
        <v>0</v>
      </c>
      <c r="X305" s="17">
        <f>'HH WITH COM #5'!$AZ$425</f>
        <v>4</v>
      </c>
      <c r="Y305" s="539">
        <f>SUM(W305:X305)</f>
        <v>4</v>
      </c>
      <c r="Z305" s="91">
        <f t="shared" ref="Z305:Z310" si="686">IF(Y$310=0,0,Y305/Y$310)</f>
        <v>0.8</v>
      </c>
      <c r="AA305" s="17">
        <f>'HH WITH COM #6'!$AT$425</f>
        <v>2</v>
      </c>
      <c r="AB305" s="17">
        <f>'HH WITH COM #6'!$AZ$425</f>
        <v>3</v>
      </c>
      <c r="AC305" s="539">
        <f>SUM(AA305:AB305)</f>
        <v>5</v>
      </c>
      <c r="AD305" s="91">
        <f t="shared" ref="AD305:AD310" si="687">IF(AC$310=0,0,AC305/AC$310)</f>
        <v>1</v>
      </c>
      <c r="AE305" s="17">
        <f>'HH WITH COM #7'!$AT$425</f>
        <v>0</v>
      </c>
      <c r="AF305" s="17">
        <f>'HH WITH COM #7'!$AZ$425</f>
        <v>0</v>
      </c>
      <c r="AG305" s="539">
        <f>SUM(AE305:AF305)</f>
        <v>0</v>
      </c>
      <c r="AH305" s="373">
        <f t="shared" ref="AH305:AH310" si="688">IF(AG$310=0,0,AG305/AG$310)</f>
        <v>0</v>
      </c>
      <c r="AI305" s="391">
        <f t="shared" si="679"/>
        <v>11</v>
      </c>
      <c r="AJ305" s="17">
        <f t="shared" si="680"/>
        <v>23</v>
      </c>
      <c r="AK305" s="539">
        <f t="shared" si="681"/>
        <v>34</v>
      </c>
      <c r="AL305" s="91">
        <f t="shared" ref="AL305:AL310" si="689">IF(AK$310=0,0,AK305/AK$310)</f>
        <v>0.94444444444444442</v>
      </c>
      <c r="AN305" s="4"/>
      <c r="AO305" s="4"/>
      <c r="AP305" s="4"/>
      <c r="AQ305" s="4"/>
      <c r="AR305" s="4"/>
      <c r="AS305" s="4"/>
      <c r="AT305" s="4"/>
      <c r="AU305" s="4"/>
      <c r="AV305" s="4"/>
      <c r="AW305" s="4"/>
      <c r="AX305" s="4"/>
      <c r="AY305" s="4"/>
      <c r="AZ305" s="4"/>
      <c r="BS305" s="4"/>
      <c r="BT305" s="4"/>
      <c r="BU305" s="4"/>
    </row>
    <row r="306" spans="1:73" ht="16.5" customHeight="1" x14ac:dyDescent="0.25">
      <c r="A306" s="40"/>
      <c r="B306" s="40"/>
      <c r="C306" s="68"/>
      <c r="D306" s="473" t="s">
        <v>234</v>
      </c>
      <c r="E306" s="498" t="s">
        <v>484</v>
      </c>
      <c r="F306" s="106"/>
      <c r="G306" s="17">
        <f>ROUND(('HH WITH COM #1 '!$AQ$426)/10000,0)*10000</f>
        <v>900000</v>
      </c>
      <c r="H306" s="17">
        <f>ROUND(('HH WITH COM #1 '!$AW$426)/10000,0)*10000</f>
        <v>300000</v>
      </c>
      <c r="I306" s="539">
        <f>ROUND(('HH WITH COM #1 '!$AA$426)/10000,0)*10000</f>
        <v>300000</v>
      </c>
      <c r="J306" s="91"/>
      <c r="K306" s="17">
        <f>ROUND(('HH WITH COM #2'!$AQ$426)/10000,0)*10000</f>
        <v>100000</v>
      </c>
      <c r="L306" s="17">
        <f>ROUND(('HH WITH COM #2'!$AW$426)/10000,0)*10000</f>
        <v>200000</v>
      </c>
      <c r="M306" s="539">
        <f>ROUND(('HH WITH COM #2'!$AA$426)/10000,0)*10000</f>
        <v>100000</v>
      </c>
      <c r="N306" s="91"/>
      <c r="O306" s="17">
        <f>ROUND(('HH WITH COM #3'!$AQ$426)/10000,0)*10000</f>
        <v>0</v>
      </c>
      <c r="P306" s="17">
        <f>ROUND(('HH WITH COM #3'!$AW$426)/10000,0)*10000</f>
        <v>0</v>
      </c>
      <c r="Q306" s="539">
        <f>ROUND(('HH WITH COM #3'!$AA$426)/10000,0)*10000</f>
        <v>0</v>
      </c>
      <c r="R306" s="91"/>
      <c r="S306" s="17">
        <f>ROUND(('HH WITH COM #4'!$AQ$426)/10000,0)*10000</f>
        <v>400000</v>
      </c>
      <c r="T306" s="17">
        <f>ROUND(('HH WITH COM #4'!$AW$426)/10000,0)*10000</f>
        <v>100000</v>
      </c>
      <c r="U306" s="539">
        <f>ROUND(('HH WITH COM #4'!$AA$426)/10000,0)*10000</f>
        <v>100000</v>
      </c>
      <c r="V306" s="91"/>
      <c r="W306" s="17">
        <f>ROUND(('HH WITH COM #5'!$AQ$426)/10000,0)*10000</f>
        <v>0</v>
      </c>
      <c r="X306" s="17">
        <f>ROUND(('HH WITH COM #5'!$AW$426)/10000,0)*10000</f>
        <v>50000</v>
      </c>
      <c r="Y306" s="539">
        <f>ROUND(('HH WITH COM #5'!$AA$426)/10000,0)*10000</f>
        <v>50000</v>
      </c>
      <c r="Z306" s="91"/>
      <c r="AA306" s="17">
        <f>ROUND(('HH WITH COM #6'!$AQ$426)/10000,0)*10000</f>
        <v>400000</v>
      </c>
      <c r="AB306" s="17">
        <f>ROUND(('HH WITH COM #6'!$AW$426)/10000,0)*10000</f>
        <v>250000</v>
      </c>
      <c r="AC306" s="539">
        <f>ROUND(('HH WITH COM #6'!$AA$426)/10000,0)*10000</f>
        <v>250000</v>
      </c>
      <c r="AD306" s="91"/>
      <c r="AE306" s="17">
        <f>ROUND(('HH WITH COM #7'!$AQ$426)/10000,0)*10000</f>
        <v>0</v>
      </c>
      <c r="AF306" s="17">
        <f>ROUND(('HH WITH COM #7'!$AW$426)/10000,0)*10000</f>
        <v>0</v>
      </c>
      <c r="AG306" s="539">
        <f>ROUND(('HH WITH COM #7'!$AA$426)/10000,0)*10000</f>
        <v>0</v>
      </c>
      <c r="AH306" s="373"/>
      <c r="AI306" s="391">
        <f>MIN(BA306:BG306)</f>
        <v>100000</v>
      </c>
      <c r="AJ306" s="17">
        <f>MIN(BI306:BO306)</f>
        <v>50000</v>
      </c>
      <c r="AK306" s="1078">
        <f>MIN(BA306:BG306,BI306:BO306)</f>
        <v>50000</v>
      </c>
      <c r="AL306" s="91"/>
      <c r="AN306" s="988" t="s">
        <v>1482</v>
      </c>
      <c r="AO306" s="4"/>
      <c r="AP306" s="4"/>
      <c r="AQ306" s="4"/>
      <c r="AR306" s="4"/>
      <c r="AS306" s="4"/>
      <c r="AT306" s="4"/>
      <c r="AU306" s="4"/>
      <c r="AV306" s="4"/>
      <c r="AW306" s="4"/>
      <c r="AX306" s="4"/>
      <c r="AY306" s="4"/>
      <c r="AZ306" s="4"/>
      <c r="BA306" s="8">
        <f>IF(G306=0,"",G306)</f>
        <v>900000</v>
      </c>
      <c r="BB306" s="8">
        <f>IF(K306=0,"",K306)</f>
        <v>100000</v>
      </c>
      <c r="BC306" s="8" t="str">
        <f>IF(O306=0,"",O306)</f>
        <v/>
      </c>
      <c r="BD306" s="8">
        <f>IF(S306=0,"",S306)</f>
        <v>400000</v>
      </c>
      <c r="BE306" s="8" t="str">
        <f>IF(W306=0,"",W306)</f>
        <v/>
      </c>
      <c r="BF306" s="8">
        <f>IF(AA306=0,"",AA306)</f>
        <v>400000</v>
      </c>
      <c r="BG306" s="8" t="str">
        <f>IF(AE306=0,"",AE306)</f>
        <v/>
      </c>
      <c r="BH306" s="8">
        <f>SUM(BA306:BG306)</f>
        <v>1800000</v>
      </c>
      <c r="BI306" s="8">
        <f>IF(H306=0,"",H306)</f>
        <v>300000</v>
      </c>
      <c r="BJ306" s="8">
        <f>IF(L306=0,"",L306)</f>
        <v>200000</v>
      </c>
      <c r="BK306" s="8" t="str">
        <f>IF(P306=0,"",P306)</f>
        <v/>
      </c>
      <c r="BL306" s="8">
        <f>IF(T306=0,"",T306)</f>
        <v>100000</v>
      </c>
      <c r="BM306" s="8">
        <f>IF(X306=0,"",X306)</f>
        <v>50000</v>
      </c>
      <c r="BN306" s="8">
        <f>IF(AB306=0,"",AB306)</f>
        <v>250000</v>
      </c>
      <c r="BO306" s="8" t="str">
        <f>IF(AF306=0,"",AF306)</f>
        <v/>
      </c>
      <c r="BP306" s="8">
        <f>SUM(BI306:BO306)</f>
        <v>900000</v>
      </c>
      <c r="BS306" s="4"/>
      <c r="BT306" s="4"/>
      <c r="BU306" s="4"/>
    </row>
    <row r="307" spans="1:73" ht="16.5" customHeight="1" x14ac:dyDescent="0.25">
      <c r="A307" s="40"/>
      <c r="B307" s="40"/>
      <c r="C307" s="68"/>
      <c r="D307" s="473" t="s">
        <v>235</v>
      </c>
      <c r="E307" s="498" t="s">
        <v>485</v>
      </c>
      <c r="F307" s="106"/>
      <c r="G307" s="17">
        <f>ROUND(('HH WITH COM #1 '!$AR$427)/10000,0)*10000</f>
        <v>1500000</v>
      </c>
      <c r="H307" s="17">
        <f>ROUND(('HH WITH COM #1 '!$AX$427)/10000,0)*10000</f>
        <v>2000000</v>
      </c>
      <c r="I307" s="539">
        <f>ROUND(('HH WITH COM #1 '!$AB$427)/10000,0)*10000</f>
        <v>2000000</v>
      </c>
      <c r="J307" s="91"/>
      <c r="K307" s="17">
        <f>ROUND(('HH WITH COM #2'!$AR$427)/10000,0)*10000</f>
        <v>500000</v>
      </c>
      <c r="L307" s="17">
        <f>ROUND(('HH WITH COM #2'!$AX$427)/10000,0)*10000</f>
        <v>2000000</v>
      </c>
      <c r="M307" s="539">
        <f>ROUND(('HH WITH COM #2'!$AB$427)/10000,0)*10000</f>
        <v>2000000</v>
      </c>
      <c r="N307" s="91"/>
      <c r="O307" s="17">
        <f>ROUND(('HH WITH COM #3'!$AR$427)/10000,0)*10000</f>
        <v>0</v>
      </c>
      <c r="P307" s="17">
        <f>ROUND(('HH WITH COM #3'!$AX$427)/10000,0)*10000</f>
        <v>0</v>
      </c>
      <c r="Q307" s="539">
        <f>ROUND(('HH WITH COM #3'!$AB$427)/10000,0)*10000</f>
        <v>0</v>
      </c>
      <c r="R307" s="91"/>
      <c r="S307" s="17">
        <f>ROUND(('HH WITH COM #4'!$AR$427)/10000,0)*10000</f>
        <v>400000</v>
      </c>
      <c r="T307" s="17">
        <f>ROUND(('HH WITH COM #4'!$AX$427)/10000,0)*10000</f>
        <v>800000</v>
      </c>
      <c r="U307" s="539">
        <f>ROUND(('HH WITH COM #4'!$AB$427)/10000,0)*10000</f>
        <v>800000</v>
      </c>
      <c r="V307" s="91"/>
      <c r="W307" s="17">
        <f>ROUND(('HH WITH COM #5'!$AR$427)/10000,0)*10000</f>
        <v>0</v>
      </c>
      <c r="X307" s="17">
        <f>ROUND(('HH WITH COM #5'!$AX$427)/10000,0)*10000</f>
        <v>500000</v>
      </c>
      <c r="Y307" s="539">
        <f>ROUND(('HH WITH COM #5'!$AB$427)/10000,0)*10000</f>
        <v>500000</v>
      </c>
      <c r="Z307" s="91"/>
      <c r="AA307" s="17">
        <f>ROUND(('HH WITH COM #6'!$AR$427)/10000,0)*10000</f>
        <v>600000</v>
      </c>
      <c r="AB307" s="17">
        <f>ROUND(('HH WITH COM #6'!$AX$427)/10000,0)*10000</f>
        <v>500000</v>
      </c>
      <c r="AC307" s="539">
        <f>ROUND(('HH WITH COM #6'!$AB$427)/10000,0)*10000</f>
        <v>600000</v>
      </c>
      <c r="AD307" s="91"/>
      <c r="AE307" s="17">
        <f>ROUND(('HH WITH COM #7'!$AR$427)/10000,0)*10000</f>
        <v>0</v>
      </c>
      <c r="AF307" s="17">
        <f>ROUND(('HH WITH COM #7'!$AX$427)/10000,0)*10000</f>
        <v>0</v>
      </c>
      <c r="AG307" s="539">
        <f>ROUND(('HH WITH COM #7'!$AB$427)/10000,0)*10000</f>
        <v>0</v>
      </c>
      <c r="AH307" s="373"/>
      <c r="AI307" s="391">
        <f>MAX(G307,K307,O307,S307,W307,AA307,AE307)</f>
        <v>1500000</v>
      </c>
      <c r="AJ307" s="17">
        <f t="shared" ref="AJ307:AK307" si="690">MAX(H307,L307,P307,T307,X307,AB307,AF307)</f>
        <v>2000000</v>
      </c>
      <c r="AK307" s="1078">
        <f t="shared" si="690"/>
        <v>2000000</v>
      </c>
      <c r="AL307" s="91"/>
      <c r="AN307" s="988"/>
      <c r="AO307" s="4"/>
      <c r="AP307" s="4"/>
      <c r="AQ307" s="4"/>
      <c r="AR307" s="4"/>
      <c r="AS307" s="4"/>
      <c r="AT307" s="4"/>
      <c r="AU307" s="4"/>
      <c r="AV307" s="4"/>
      <c r="AW307" s="4"/>
      <c r="AX307" s="4"/>
      <c r="AY307" s="4"/>
      <c r="AZ307" s="4"/>
      <c r="BS307" s="4"/>
      <c r="BT307" s="4"/>
      <c r="BU307" s="4"/>
    </row>
    <row r="308" spans="1:73" ht="16.5" customHeight="1" x14ac:dyDescent="0.25">
      <c r="A308" s="40"/>
      <c r="B308" s="40"/>
      <c r="C308" s="68"/>
      <c r="D308" s="473" t="s">
        <v>236</v>
      </c>
      <c r="E308" s="498" t="s">
        <v>543</v>
      </c>
      <c r="F308" s="106"/>
      <c r="G308" s="17">
        <f>ROUND(('HH WITH COM #1 '!$AS$428)/10000,0)*10000</f>
        <v>1150000</v>
      </c>
      <c r="H308" s="17">
        <f>ROUND(('HH WITH COM #1 '!$AY$428)/10000,0)*10000</f>
        <v>1250000</v>
      </c>
      <c r="I308" s="539">
        <f>ROUND(('HH WITH COM #1 '!$AC$428)/10000,0)*10000</f>
        <v>1200000</v>
      </c>
      <c r="J308" s="91"/>
      <c r="K308" s="17">
        <f>ROUND(('HH WITH COM #2'!$AS$428)/10000,0)*10000</f>
        <v>300000</v>
      </c>
      <c r="L308" s="17">
        <f>ROUND(('HH WITH COM #2'!$AY$428)/10000,0)*10000</f>
        <v>1100000</v>
      </c>
      <c r="M308" s="539">
        <f>ROUND(('HH WITH COM #2'!$AC$428)/10000,0)*10000</f>
        <v>830000</v>
      </c>
      <c r="N308" s="91"/>
      <c r="O308" s="17">
        <f>ROUND(('HH WITH COM #3'!$AS$428)/10000,0)*10000</f>
        <v>0</v>
      </c>
      <c r="P308" s="17">
        <f>ROUND(('HH WITH COM #3'!$AY$428)/10000,0)*10000</f>
        <v>0</v>
      </c>
      <c r="Q308" s="539">
        <f>ROUND(('HH WITH COM #3'!$AC$428)/10000,0)*10000</f>
        <v>0</v>
      </c>
      <c r="R308" s="91"/>
      <c r="S308" s="17">
        <f>ROUND(('HH WITH COM #4'!$AS$428)/10000,0)*10000</f>
        <v>400000</v>
      </c>
      <c r="T308" s="17">
        <f>ROUND(('HH WITH COM #4'!$AY$428)/10000,0)*10000</f>
        <v>290000</v>
      </c>
      <c r="U308" s="539">
        <f>ROUND(('HH WITH COM #4'!$AC$428)/10000,0)*10000</f>
        <v>350000</v>
      </c>
      <c r="V308" s="91"/>
      <c r="W308" s="17">
        <f>ROUND(('HH WITH COM #5'!$AS$428)/10000,0)*10000</f>
        <v>0</v>
      </c>
      <c r="X308" s="17">
        <f>ROUND(('HH WITH COM #5'!$AY$428)/10000,0)*10000</f>
        <v>220000</v>
      </c>
      <c r="Y308" s="539">
        <f>ROUND(('HH WITH COM #5'!$AC$428)/10000,0)*10000</f>
        <v>220000</v>
      </c>
      <c r="Z308" s="91"/>
      <c r="AA308" s="17">
        <f>ROUND(('HH WITH COM #6'!$AS$428)/10000,0)*10000</f>
        <v>500000</v>
      </c>
      <c r="AB308" s="17">
        <f>ROUND(('HH WITH COM #6'!$AY$428)/10000,0)*10000</f>
        <v>390000</v>
      </c>
      <c r="AC308" s="539">
        <f>ROUND(('HH WITH COM #6'!$AC$428)/10000,0)*10000</f>
        <v>430000</v>
      </c>
      <c r="AD308" s="91"/>
      <c r="AE308" s="17">
        <f>ROUND(('HH WITH COM #7'!$AS$428)/10000,0)*10000</f>
        <v>0</v>
      </c>
      <c r="AF308" s="17">
        <f>ROUND(('HH WITH COM #7'!$AY$428)/10000,0)*10000</f>
        <v>0</v>
      </c>
      <c r="AG308" s="539">
        <f>ROUND(('HH WITH COM #7'!$AC$428)/10000,0)*10000</f>
        <v>0</v>
      </c>
      <c r="AH308" s="373"/>
      <c r="AI308" s="391">
        <f>ROUND((IF(BH308=0,0,AVERAGE(BA308:BG308)))/10000,0)*10000</f>
        <v>590000</v>
      </c>
      <c r="AJ308" s="17">
        <f>ROUND((IF(BP308=0,0,AVERAGE(BI308:BO308)))/10000,0)*10000</f>
        <v>650000</v>
      </c>
      <c r="AK308" s="1078">
        <f>ROUND((IF(BR308=0,0,AVERAGE(BA308:BG308,BI308:BO308)))/10000,0)*10000</f>
        <v>620000</v>
      </c>
      <c r="AL308" s="91"/>
      <c r="AN308" s="988" t="s">
        <v>1482</v>
      </c>
      <c r="AO308" s="4"/>
      <c r="AP308" s="4"/>
      <c r="AQ308" s="4"/>
      <c r="AR308" s="4"/>
      <c r="AS308" s="4"/>
      <c r="AT308" s="4"/>
      <c r="AU308" s="4"/>
      <c r="AV308" s="4"/>
      <c r="AW308" s="4"/>
      <c r="AX308" s="4"/>
      <c r="AY308" s="4"/>
      <c r="AZ308" s="4"/>
      <c r="BA308" s="8">
        <f>IF(G308=0,"",G308)</f>
        <v>1150000</v>
      </c>
      <c r="BB308" s="8">
        <f>IF(K308=0,"",K308)</f>
        <v>300000</v>
      </c>
      <c r="BC308" s="8" t="str">
        <f>IF(O308=0,"",O308)</f>
        <v/>
      </c>
      <c r="BD308" s="8">
        <f>IF(S308=0,"",S308)</f>
        <v>400000</v>
      </c>
      <c r="BE308" s="8" t="str">
        <f>IF(W308=0,"",W308)</f>
        <v/>
      </c>
      <c r="BF308" s="8">
        <f>IF(AA308=0,"",AA308)</f>
        <v>500000</v>
      </c>
      <c r="BG308" s="8" t="str">
        <f>IF(AE308=0,"",AE308)</f>
        <v/>
      </c>
      <c r="BH308" s="8">
        <f>SUM(BA308:BG308)</f>
        <v>2350000</v>
      </c>
      <c r="BI308" s="8">
        <f>IF(H308=0,"",H308)</f>
        <v>1250000</v>
      </c>
      <c r="BJ308" s="8">
        <f>IF(L308=0,"",L308)</f>
        <v>1100000</v>
      </c>
      <c r="BK308" s="8" t="str">
        <f>IF(P308=0,"",P308)</f>
        <v/>
      </c>
      <c r="BL308" s="8">
        <f>IF(T308=0,"",T308)</f>
        <v>290000</v>
      </c>
      <c r="BM308" s="8">
        <f>IF(X308=0,"",X308)</f>
        <v>220000</v>
      </c>
      <c r="BN308" s="8">
        <f>IF(AB308=0,"",AB308)</f>
        <v>390000</v>
      </c>
      <c r="BO308" s="8" t="str">
        <f>IF(AF308=0,"",AF308)</f>
        <v/>
      </c>
      <c r="BP308" s="8">
        <f>SUM(BI308:BO308)</f>
        <v>3250000</v>
      </c>
      <c r="BR308" s="8">
        <f>BH308+BP308</f>
        <v>5600000</v>
      </c>
      <c r="BS308" s="4"/>
      <c r="BT308" s="4"/>
      <c r="BU308" s="4"/>
    </row>
    <row r="309" spans="1:73" ht="16.5" customHeight="1" x14ac:dyDescent="0.25">
      <c r="A309" s="40"/>
      <c r="B309" s="40"/>
      <c r="C309" s="119"/>
      <c r="D309" s="318" t="s">
        <v>237</v>
      </c>
      <c r="E309" s="105" t="s">
        <v>129</v>
      </c>
      <c r="F309" s="106"/>
      <c r="G309" s="17">
        <f>'HH WITH COM #1 '!$AT$429</f>
        <v>1</v>
      </c>
      <c r="H309" s="17">
        <f>'HH WITH COM #1 '!$AZ$429</f>
        <v>0</v>
      </c>
      <c r="I309" s="539">
        <f t="shared" ref="I309" si="691">SUM(G309:H309)</f>
        <v>1</v>
      </c>
      <c r="J309" s="91">
        <f t="shared" si="682"/>
        <v>8.3333333333333329E-2</v>
      </c>
      <c r="K309" s="17">
        <f>'HH WITH COM #2'!$AT$429</f>
        <v>0</v>
      </c>
      <c r="L309" s="17">
        <f>'HH WITH COM #2'!$AZ$429</f>
        <v>0</v>
      </c>
      <c r="M309" s="539">
        <f t="shared" ref="M309" si="692">SUM(K309:L309)</f>
        <v>0</v>
      </c>
      <c r="N309" s="91">
        <f t="shared" si="683"/>
        <v>0</v>
      </c>
      <c r="O309" s="17">
        <f>'HH WITH COM #3'!$AT$429</f>
        <v>0</v>
      </c>
      <c r="P309" s="17">
        <f>'HH WITH COM #3'!$AZ$429</f>
        <v>0</v>
      </c>
      <c r="Q309" s="539">
        <f t="shared" ref="Q309" si="693">SUM(O309:P309)</f>
        <v>0</v>
      </c>
      <c r="R309" s="91">
        <f t="shared" si="684"/>
        <v>0</v>
      </c>
      <c r="S309" s="17">
        <f>'HH WITH COM #4'!$AT$429</f>
        <v>0</v>
      </c>
      <c r="T309" s="17">
        <f>'HH WITH COM #4'!$AZ$429</f>
        <v>0</v>
      </c>
      <c r="U309" s="539">
        <f t="shared" ref="U309" si="694">SUM(S309:T309)</f>
        <v>0</v>
      </c>
      <c r="V309" s="91">
        <f t="shared" si="685"/>
        <v>0</v>
      </c>
      <c r="W309" s="17">
        <f>'HH WITH COM #5'!$AT$429</f>
        <v>1</v>
      </c>
      <c r="X309" s="17">
        <f>'HH WITH COM #5'!$AZ$429</f>
        <v>0</v>
      </c>
      <c r="Y309" s="539">
        <f t="shared" ref="Y309" si="695">SUM(W309:X309)</f>
        <v>1</v>
      </c>
      <c r="Z309" s="91">
        <f t="shared" si="686"/>
        <v>0.2</v>
      </c>
      <c r="AA309" s="17">
        <f>'HH WITH COM #6'!$AT$429</f>
        <v>0</v>
      </c>
      <c r="AB309" s="17">
        <f>'HH WITH COM #6'!$AZ$429</f>
        <v>0</v>
      </c>
      <c r="AC309" s="539">
        <f t="shared" ref="AC309" si="696">SUM(AA309:AB309)</f>
        <v>0</v>
      </c>
      <c r="AD309" s="91">
        <f t="shared" si="687"/>
        <v>0</v>
      </c>
      <c r="AE309" s="17">
        <f>'HH WITH COM #7'!$AT$429</f>
        <v>0</v>
      </c>
      <c r="AF309" s="17">
        <f>'HH WITH COM #7'!$AZ$429</f>
        <v>0</v>
      </c>
      <c r="AG309" s="539">
        <f t="shared" ref="AG309" si="697">SUM(AE309:AF309)</f>
        <v>0</v>
      </c>
      <c r="AH309" s="373">
        <f t="shared" si="688"/>
        <v>0</v>
      </c>
      <c r="AI309" s="391">
        <f t="shared" ref="AI309" si="698">G309+K309+O309+S309+W309+AA309+AE309</f>
        <v>2</v>
      </c>
      <c r="AJ309" s="17">
        <f t="shared" ref="AJ309" si="699">H309+L309+P309+T309+X309+AB309+AF309</f>
        <v>0</v>
      </c>
      <c r="AK309" s="539">
        <f t="shared" ref="AK309" si="700">SUM(AI309:AJ309)</f>
        <v>2</v>
      </c>
      <c r="AL309" s="91">
        <f t="shared" si="689"/>
        <v>5.5555555555555552E-2</v>
      </c>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row>
    <row r="310" spans="1:73" ht="16.5" customHeight="1" x14ac:dyDescent="0.25">
      <c r="A310" s="40"/>
      <c r="B310" s="40"/>
      <c r="C310" s="119"/>
      <c r="D310" s="184"/>
      <c r="E310" s="134"/>
      <c r="F310" s="469"/>
      <c r="G310" s="497">
        <f>G304+G305+G309</f>
        <v>7</v>
      </c>
      <c r="H310" s="497">
        <f t="shared" ref="H310:I310" si="701">H304+H305+H309</f>
        <v>5</v>
      </c>
      <c r="I310" s="497">
        <f t="shared" si="701"/>
        <v>12</v>
      </c>
      <c r="J310" s="500">
        <f t="shared" si="682"/>
        <v>1</v>
      </c>
      <c r="K310" s="497">
        <f>K304+K305+K309</f>
        <v>2</v>
      </c>
      <c r="L310" s="497">
        <f t="shared" ref="L310" si="702">L304+L305+L309</f>
        <v>4</v>
      </c>
      <c r="M310" s="497">
        <f t="shared" ref="M310" si="703">M304+M305+M309</f>
        <v>6</v>
      </c>
      <c r="N310" s="500">
        <f t="shared" si="683"/>
        <v>1</v>
      </c>
      <c r="O310" s="497">
        <f>O304+O305+O309</f>
        <v>0</v>
      </c>
      <c r="P310" s="497">
        <f t="shared" ref="P310" si="704">P304+P305+P309</f>
        <v>0</v>
      </c>
      <c r="Q310" s="497">
        <f t="shared" ref="Q310" si="705">Q304+Q305+Q309</f>
        <v>0</v>
      </c>
      <c r="R310" s="500">
        <f t="shared" si="684"/>
        <v>0</v>
      </c>
      <c r="S310" s="497">
        <f>S304+S305+S309</f>
        <v>1</v>
      </c>
      <c r="T310" s="497">
        <f t="shared" ref="T310" si="706">T304+T305+T309</f>
        <v>7</v>
      </c>
      <c r="U310" s="497">
        <f t="shared" ref="U310" si="707">U304+U305+U309</f>
        <v>8</v>
      </c>
      <c r="V310" s="500">
        <f t="shared" si="685"/>
        <v>1</v>
      </c>
      <c r="W310" s="497">
        <f>W304+W305+W309</f>
        <v>1</v>
      </c>
      <c r="X310" s="497">
        <f t="shared" ref="X310" si="708">X304+X305+X309</f>
        <v>4</v>
      </c>
      <c r="Y310" s="497">
        <f t="shared" ref="Y310" si="709">Y304+Y305+Y309</f>
        <v>5</v>
      </c>
      <c r="Z310" s="500">
        <f t="shared" si="686"/>
        <v>1</v>
      </c>
      <c r="AA310" s="497">
        <f>AA304+AA305+AA309</f>
        <v>2</v>
      </c>
      <c r="AB310" s="497">
        <f t="shared" ref="AB310" si="710">AB304+AB305+AB309</f>
        <v>3</v>
      </c>
      <c r="AC310" s="497">
        <f t="shared" ref="AC310" si="711">AC304+AC305+AC309</f>
        <v>5</v>
      </c>
      <c r="AD310" s="500">
        <f t="shared" si="687"/>
        <v>1</v>
      </c>
      <c r="AE310" s="497">
        <f>AE304+AE305+AE309</f>
        <v>0</v>
      </c>
      <c r="AF310" s="497">
        <f t="shared" ref="AF310" si="712">AF304+AF305+AF309</f>
        <v>0</v>
      </c>
      <c r="AG310" s="497">
        <f t="shared" ref="AG310" si="713">AG304+AG305+AG309</f>
        <v>0</v>
      </c>
      <c r="AH310" s="614">
        <f t="shared" si="688"/>
        <v>0</v>
      </c>
      <c r="AI310" s="622">
        <f>AI304+AI305+AI309</f>
        <v>13</v>
      </c>
      <c r="AJ310" s="497">
        <f t="shared" ref="AJ310" si="714">AJ304+AJ305+AJ309</f>
        <v>23</v>
      </c>
      <c r="AK310" s="497">
        <f t="shared" ref="AK310" si="715">AK304+AK305+AK309</f>
        <v>36</v>
      </c>
      <c r="AL310" s="500">
        <f t="shared" si="689"/>
        <v>1</v>
      </c>
    </row>
    <row r="311" spans="1:73" ht="16.5" customHeight="1" x14ac:dyDescent="0.25">
      <c r="A311" s="40"/>
      <c r="B311" s="40"/>
      <c r="C311" s="56" t="s">
        <v>238</v>
      </c>
      <c r="D311" s="57" t="s">
        <v>1002</v>
      </c>
      <c r="E311" s="75"/>
      <c r="F311" s="76"/>
      <c r="G311" s="111"/>
      <c r="H311" s="111"/>
      <c r="I311" s="545"/>
      <c r="J311" s="404"/>
      <c r="K311" s="111"/>
      <c r="L311" s="111"/>
      <c r="M311" s="545"/>
      <c r="N311" s="404"/>
      <c r="O311" s="111"/>
      <c r="P311" s="111"/>
      <c r="Q311" s="545"/>
      <c r="R311" s="404"/>
      <c r="S311" s="111"/>
      <c r="T311" s="111"/>
      <c r="U311" s="545"/>
      <c r="V311" s="404"/>
      <c r="W311" s="111"/>
      <c r="X311" s="111"/>
      <c r="Y311" s="545"/>
      <c r="Z311" s="404"/>
      <c r="AA311" s="111"/>
      <c r="AB311" s="111"/>
      <c r="AC311" s="545"/>
      <c r="AD311" s="404"/>
      <c r="AE311" s="404"/>
      <c r="AF311" s="404"/>
      <c r="AG311" s="545"/>
      <c r="AH311" s="615"/>
      <c r="AI311" s="380"/>
      <c r="AJ311" s="111"/>
      <c r="AK311" s="545"/>
      <c r="AL311" s="404"/>
    </row>
    <row r="312" spans="1:73" ht="16.5" customHeight="1" x14ac:dyDescent="0.25">
      <c r="A312" s="40"/>
      <c r="B312" s="40"/>
      <c r="C312" s="68"/>
      <c r="D312" s="467" t="s">
        <v>239</v>
      </c>
      <c r="E312" s="562" t="s">
        <v>478</v>
      </c>
      <c r="F312" s="105"/>
      <c r="G312" s="17">
        <f>'HH WITH COM #1 '!$W$433</f>
        <v>0</v>
      </c>
      <c r="H312" s="17">
        <f>'HH WITH COM #1 '!$X$433</f>
        <v>0</v>
      </c>
      <c r="I312" s="116">
        <f t="shared" ref="I312:I319" si="716">SUM(G312:H312)</f>
        <v>0</v>
      </c>
      <c r="J312" s="197">
        <f>IF(I$320=0,0,I312/I$320)</f>
        <v>0</v>
      </c>
      <c r="K312" s="17">
        <f>'HH WITH COM #2'!$W$433</f>
        <v>0</v>
      </c>
      <c r="L312" s="17">
        <f>'HH WITH COM #2'!$X$433</f>
        <v>0</v>
      </c>
      <c r="M312" s="539">
        <f t="shared" ref="M312:M319" si="717">SUM(K312:L312)</f>
        <v>0</v>
      </c>
      <c r="N312" s="197">
        <f>IF(M$320=0,0,M312/M$320)</f>
        <v>0</v>
      </c>
      <c r="O312" s="17">
        <f>'HH WITH COM #3'!$W$433</f>
        <v>0</v>
      </c>
      <c r="P312" s="17">
        <f>'HH WITH COM #3'!$X$433</f>
        <v>0</v>
      </c>
      <c r="Q312" s="539">
        <f t="shared" ref="Q312:Q319" si="718">SUM(O312:P312)</f>
        <v>0</v>
      </c>
      <c r="R312" s="197">
        <f>IF(Q$320=0,0,Q312/Q$320)</f>
        <v>0</v>
      </c>
      <c r="S312" s="17">
        <f>'HH WITH COM #4'!$W$433</f>
        <v>0</v>
      </c>
      <c r="T312" s="17">
        <f>'HH WITH COM #4'!$X$433</f>
        <v>0</v>
      </c>
      <c r="U312" s="539">
        <f t="shared" ref="U312:U319" si="719">SUM(S312:T312)</f>
        <v>0</v>
      </c>
      <c r="V312" s="197">
        <f>IF(U$320=0,0,U312/U$320)</f>
        <v>0</v>
      </c>
      <c r="W312" s="17">
        <f>'HH WITH COM #5'!$W$433</f>
        <v>0</v>
      </c>
      <c r="X312" s="17">
        <f>'HH WITH COM #5'!$X$433</f>
        <v>0</v>
      </c>
      <c r="Y312" s="539">
        <f t="shared" ref="Y312:Y319" si="720">SUM(W312:X312)</f>
        <v>0</v>
      </c>
      <c r="Z312" s="197">
        <f>IF(Y$320=0,0,Y312/Y$320)</f>
        <v>0</v>
      </c>
      <c r="AA312" s="17">
        <f>'HH WITH COM #6'!$W$433</f>
        <v>0</v>
      </c>
      <c r="AB312" s="17">
        <f>'HH WITH COM #6'!$X$433</f>
        <v>0</v>
      </c>
      <c r="AC312" s="539">
        <f t="shared" ref="AC312:AC319" si="721">SUM(AA312:AB312)</f>
        <v>0</v>
      </c>
      <c r="AD312" s="197">
        <f>IF(AC$320=0,0,AC312/AC$320)</f>
        <v>0</v>
      </c>
      <c r="AE312" s="17">
        <f>'HH WITH COM #7'!$W$433</f>
        <v>0</v>
      </c>
      <c r="AF312" s="17">
        <f>'HH WITH COM #7'!$X$433</f>
        <v>0</v>
      </c>
      <c r="AG312" s="539">
        <f t="shared" ref="AG312:AG319" si="722">SUM(AE312:AF312)</f>
        <v>0</v>
      </c>
      <c r="AH312" s="191">
        <f>IF(AG$320=0,0,AG312/AG$320)</f>
        <v>0</v>
      </c>
      <c r="AI312" s="391">
        <f t="shared" ref="AI312:AJ319" si="723">G312+K312+O312+S312+W312+AA312+AE312</f>
        <v>0</v>
      </c>
      <c r="AJ312" s="17">
        <f t="shared" si="723"/>
        <v>0</v>
      </c>
      <c r="AK312" s="539">
        <f t="shared" ref="AK312" si="724">SUM(AI312:AJ312)</f>
        <v>0</v>
      </c>
      <c r="AL312" s="197">
        <f>IF(AK$320=0,0,AK312/AK$320)</f>
        <v>0</v>
      </c>
    </row>
    <row r="313" spans="1:73" ht="16.5" customHeight="1" x14ac:dyDescent="0.25">
      <c r="A313" s="40"/>
      <c r="B313" s="40"/>
      <c r="C313" s="68"/>
      <c r="D313" s="467" t="s">
        <v>240</v>
      </c>
      <c r="E313" s="562" t="s">
        <v>165</v>
      </c>
      <c r="F313" s="105"/>
      <c r="G313" s="17">
        <f>'HH WITH COM #1 '!$W$434</f>
        <v>7</v>
      </c>
      <c r="H313" s="17">
        <f>'HH WITH COM #1 '!$X$434</f>
        <v>4</v>
      </c>
      <c r="I313" s="539">
        <f t="shared" si="716"/>
        <v>11</v>
      </c>
      <c r="J313" s="197">
        <f t="shared" ref="J313:J319" si="725">IF(I$320=0,0,I313/I$320)</f>
        <v>0.91666666666666663</v>
      </c>
      <c r="K313" s="17">
        <f>'HH WITH COM #2'!$W$434</f>
        <v>2</v>
      </c>
      <c r="L313" s="17">
        <f>'HH WITH COM #2'!$X$434</f>
        <v>4</v>
      </c>
      <c r="M313" s="539">
        <f t="shared" si="717"/>
        <v>6</v>
      </c>
      <c r="N313" s="197">
        <f t="shared" ref="N313:N319" si="726">IF(M$320=0,0,M313/M$320)</f>
        <v>1</v>
      </c>
      <c r="O313" s="17">
        <f>'HH WITH COM #3'!$W$434</f>
        <v>0</v>
      </c>
      <c r="P313" s="17">
        <f>'HH WITH COM #3'!$X$434</f>
        <v>0</v>
      </c>
      <c r="Q313" s="539">
        <f t="shared" si="718"/>
        <v>0</v>
      </c>
      <c r="R313" s="197">
        <f t="shared" ref="R313:R319" si="727">IF(Q$320=0,0,Q313/Q$320)</f>
        <v>0</v>
      </c>
      <c r="S313" s="17">
        <f>'HH WITH COM #4'!$W$434</f>
        <v>1</v>
      </c>
      <c r="T313" s="17">
        <f>'HH WITH COM #4'!$X$434</f>
        <v>7</v>
      </c>
      <c r="U313" s="539">
        <f t="shared" si="719"/>
        <v>8</v>
      </c>
      <c r="V313" s="197">
        <f t="shared" ref="V313:V319" si="728">IF(U$320=0,0,U313/U$320)</f>
        <v>1</v>
      </c>
      <c r="W313" s="17">
        <f>'HH WITH COM #5'!$W$434</f>
        <v>1</v>
      </c>
      <c r="X313" s="17">
        <f>'HH WITH COM #5'!$X$434</f>
        <v>4</v>
      </c>
      <c r="Y313" s="539">
        <f t="shared" si="720"/>
        <v>5</v>
      </c>
      <c r="Z313" s="197">
        <f t="shared" ref="Z313:Z319" si="729">IF(Y$320=0,0,Y313/Y$320)</f>
        <v>1</v>
      </c>
      <c r="AA313" s="17">
        <f>'HH WITH COM #6'!$W$434</f>
        <v>2</v>
      </c>
      <c r="AB313" s="17">
        <f>'HH WITH COM #6'!$X$434</f>
        <v>3</v>
      </c>
      <c r="AC313" s="539">
        <f t="shared" si="721"/>
        <v>5</v>
      </c>
      <c r="AD313" s="197">
        <f t="shared" ref="AD313:AD319" si="730">IF(AC$320=0,0,AC313/AC$320)</f>
        <v>1</v>
      </c>
      <c r="AE313" s="17">
        <f>'HH WITH COM #7'!$W$434</f>
        <v>0</v>
      </c>
      <c r="AF313" s="17">
        <f>'HH WITH COM #7'!$X$434</f>
        <v>0</v>
      </c>
      <c r="AG313" s="539">
        <f t="shared" si="722"/>
        <v>0</v>
      </c>
      <c r="AH313" s="191">
        <f t="shared" ref="AH313:AH319" si="731">IF(AG$320=0,0,AG313/AG$320)</f>
        <v>0</v>
      </c>
      <c r="AI313" s="391">
        <f t="shared" si="723"/>
        <v>13</v>
      </c>
      <c r="AJ313" s="17">
        <f t="shared" si="723"/>
        <v>22</v>
      </c>
      <c r="AK313" s="539">
        <f t="shared" ref="AK313:AK319" si="732">SUM(AI313:AJ313)</f>
        <v>35</v>
      </c>
      <c r="AL313" s="197">
        <f t="shared" ref="AL313:AL319" si="733">IF(AK$320=0,0,AK313/AK$320)</f>
        <v>0.97222222222222221</v>
      </c>
    </row>
    <row r="314" spans="1:73" ht="16.5" customHeight="1" x14ac:dyDescent="0.25">
      <c r="A314" s="40"/>
      <c r="B314" s="40"/>
      <c r="C314" s="68"/>
      <c r="D314" s="467" t="s">
        <v>241</v>
      </c>
      <c r="E314" s="562" t="s">
        <v>167</v>
      </c>
      <c r="F314" s="105"/>
      <c r="G314" s="17">
        <f>'HH WITH COM #1 '!$W$435</f>
        <v>0</v>
      </c>
      <c r="H314" s="17">
        <f>'HH WITH COM #1 '!$X$435</f>
        <v>0</v>
      </c>
      <c r="I314" s="539">
        <f t="shared" si="716"/>
        <v>0</v>
      </c>
      <c r="J314" s="197">
        <f t="shared" si="725"/>
        <v>0</v>
      </c>
      <c r="K314" s="17">
        <f>'HH WITH COM #2'!$W$435</f>
        <v>0</v>
      </c>
      <c r="L314" s="17">
        <f>'HH WITH COM #2'!$X$435</f>
        <v>0</v>
      </c>
      <c r="M314" s="539">
        <f t="shared" si="717"/>
        <v>0</v>
      </c>
      <c r="N314" s="197">
        <f t="shared" si="726"/>
        <v>0</v>
      </c>
      <c r="O314" s="17">
        <f>'HH WITH COM #3'!$W$435</f>
        <v>0</v>
      </c>
      <c r="P314" s="17">
        <f>'HH WITH COM #3'!$X$435</f>
        <v>0</v>
      </c>
      <c r="Q314" s="539">
        <f t="shared" si="718"/>
        <v>0</v>
      </c>
      <c r="R314" s="197">
        <f t="shared" si="727"/>
        <v>0</v>
      </c>
      <c r="S314" s="17">
        <f>'HH WITH COM #4'!$W$435</f>
        <v>0</v>
      </c>
      <c r="T314" s="17">
        <f>'HH WITH COM #4'!$X$435</f>
        <v>0</v>
      </c>
      <c r="U314" s="539">
        <f t="shared" si="719"/>
        <v>0</v>
      </c>
      <c r="V314" s="197">
        <f t="shared" si="728"/>
        <v>0</v>
      </c>
      <c r="W314" s="17">
        <f>'HH WITH COM #5'!$W$435</f>
        <v>0</v>
      </c>
      <c r="X314" s="17">
        <f>'HH WITH COM #5'!$X$435</f>
        <v>0</v>
      </c>
      <c r="Y314" s="539">
        <f t="shared" si="720"/>
        <v>0</v>
      </c>
      <c r="Z314" s="197">
        <f t="shared" si="729"/>
        <v>0</v>
      </c>
      <c r="AA314" s="17">
        <f>'HH WITH COM #6'!$W$435</f>
        <v>0</v>
      </c>
      <c r="AB314" s="17">
        <f>'HH WITH COM #6'!$X$435</f>
        <v>0</v>
      </c>
      <c r="AC314" s="539">
        <f t="shared" si="721"/>
        <v>0</v>
      </c>
      <c r="AD314" s="197">
        <f t="shared" si="730"/>
        <v>0</v>
      </c>
      <c r="AE314" s="17">
        <f>'HH WITH COM #7'!$W$435</f>
        <v>0</v>
      </c>
      <c r="AF314" s="17">
        <f>'HH WITH COM #7'!$X$435</f>
        <v>0</v>
      </c>
      <c r="AG314" s="539">
        <f t="shared" si="722"/>
        <v>0</v>
      </c>
      <c r="AH314" s="191">
        <f t="shared" si="731"/>
        <v>0</v>
      </c>
      <c r="AI314" s="391">
        <f t="shared" si="723"/>
        <v>0</v>
      </c>
      <c r="AJ314" s="17">
        <f t="shared" si="723"/>
        <v>0</v>
      </c>
      <c r="AK314" s="539">
        <f t="shared" si="732"/>
        <v>0</v>
      </c>
      <c r="AL314" s="197">
        <f t="shared" si="733"/>
        <v>0</v>
      </c>
    </row>
    <row r="315" spans="1:73" ht="16.5" customHeight="1" x14ac:dyDescent="0.25">
      <c r="A315" s="40"/>
      <c r="B315" s="40"/>
      <c r="C315" s="68"/>
      <c r="D315" s="467" t="s">
        <v>242</v>
      </c>
      <c r="E315" s="562" t="s">
        <v>437</v>
      </c>
      <c r="F315" s="105"/>
      <c r="G315" s="17">
        <f>'HH WITH COM #1 '!$W$436</f>
        <v>0</v>
      </c>
      <c r="H315" s="17">
        <f>'HH WITH COM #1 '!$X$436</f>
        <v>0</v>
      </c>
      <c r="I315" s="539">
        <f t="shared" si="716"/>
        <v>0</v>
      </c>
      <c r="J315" s="197">
        <f t="shared" si="725"/>
        <v>0</v>
      </c>
      <c r="K315" s="17">
        <f>'HH WITH COM #2'!$W$436</f>
        <v>0</v>
      </c>
      <c r="L315" s="17">
        <f>'HH WITH COM #2'!$X$436</f>
        <v>0</v>
      </c>
      <c r="M315" s="539">
        <f t="shared" si="717"/>
        <v>0</v>
      </c>
      <c r="N315" s="197">
        <f t="shared" si="726"/>
        <v>0</v>
      </c>
      <c r="O315" s="17">
        <f>'HH WITH COM #3'!$W$436</f>
        <v>0</v>
      </c>
      <c r="P315" s="17">
        <f>'HH WITH COM #3'!$X$436</f>
        <v>0</v>
      </c>
      <c r="Q315" s="539">
        <f t="shared" si="718"/>
        <v>0</v>
      </c>
      <c r="R315" s="197">
        <f t="shared" si="727"/>
        <v>0</v>
      </c>
      <c r="S315" s="17">
        <f>'HH WITH COM #4'!$W$436</f>
        <v>0</v>
      </c>
      <c r="T315" s="17">
        <f>'HH WITH COM #4'!$X$436</f>
        <v>0</v>
      </c>
      <c r="U315" s="539">
        <f t="shared" si="719"/>
        <v>0</v>
      </c>
      <c r="V315" s="197">
        <f t="shared" si="728"/>
        <v>0</v>
      </c>
      <c r="W315" s="17">
        <f>'HH WITH COM #5'!$W$436</f>
        <v>0</v>
      </c>
      <c r="X315" s="17">
        <f>'HH WITH COM #5'!$X$436</f>
        <v>0</v>
      </c>
      <c r="Y315" s="539">
        <f t="shared" si="720"/>
        <v>0</v>
      </c>
      <c r="Z315" s="197">
        <f t="shared" si="729"/>
        <v>0</v>
      </c>
      <c r="AA315" s="17">
        <f>'HH WITH COM #6'!$W$436</f>
        <v>0</v>
      </c>
      <c r="AB315" s="17">
        <f>'HH WITH COM #6'!$X$436</f>
        <v>0</v>
      </c>
      <c r="AC315" s="539">
        <f t="shared" si="721"/>
        <v>0</v>
      </c>
      <c r="AD315" s="197">
        <f t="shared" si="730"/>
        <v>0</v>
      </c>
      <c r="AE315" s="17">
        <f>'HH WITH COM #7'!$W$436</f>
        <v>0</v>
      </c>
      <c r="AF315" s="17">
        <f>'HH WITH COM #7'!$X$436</f>
        <v>0</v>
      </c>
      <c r="AG315" s="539">
        <f t="shared" si="722"/>
        <v>0</v>
      </c>
      <c r="AH315" s="191">
        <f t="shared" si="731"/>
        <v>0</v>
      </c>
      <c r="AI315" s="391">
        <f t="shared" si="723"/>
        <v>0</v>
      </c>
      <c r="AJ315" s="17">
        <f t="shared" si="723"/>
        <v>0</v>
      </c>
      <c r="AK315" s="539">
        <f t="shared" si="732"/>
        <v>0</v>
      </c>
      <c r="AL315" s="197">
        <f t="shared" si="733"/>
        <v>0</v>
      </c>
    </row>
    <row r="316" spans="1:73" ht="16.5" customHeight="1" x14ac:dyDescent="0.25">
      <c r="A316" s="40"/>
      <c r="B316" s="40"/>
      <c r="C316" s="68"/>
      <c r="D316" s="467" t="s">
        <v>243</v>
      </c>
      <c r="E316" s="562" t="s">
        <v>438</v>
      </c>
      <c r="F316" s="105"/>
      <c r="G316" s="17">
        <f>'HH WITH COM #1 '!$W$437</f>
        <v>0</v>
      </c>
      <c r="H316" s="17">
        <f>'HH WITH COM #1 '!$X$437</f>
        <v>1</v>
      </c>
      <c r="I316" s="539">
        <f t="shared" si="716"/>
        <v>1</v>
      </c>
      <c r="J316" s="197">
        <f t="shared" si="725"/>
        <v>8.3333333333333329E-2</v>
      </c>
      <c r="K316" s="17">
        <f>'HH WITH COM #2'!$W$437</f>
        <v>0</v>
      </c>
      <c r="L316" s="17">
        <f>'HH WITH COM #2'!$X$437</f>
        <v>0</v>
      </c>
      <c r="M316" s="539">
        <f t="shared" si="717"/>
        <v>0</v>
      </c>
      <c r="N316" s="197">
        <f t="shared" si="726"/>
        <v>0</v>
      </c>
      <c r="O316" s="17">
        <f>'HH WITH COM #3'!$W$437</f>
        <v>0</v>
      </c>
      <c r="P316" s="17">
        <f>'HH WITH COM #3'!$X$437</f>
        <v>0</v>
      </c>
      <c r="Q316" s="539">
        <f t="shared" si="718"/>
        <v>0</v>
      </c>
      <c r="R316" s="197">
        <f t="shared" si="727"/>
        <v>0</v>
      </c>
      <c r="S316" s="17">
        <f>'HH WITH COM #4'!$W$437</f>
        <v>0</v>
      </c>
      <c r="T316" s="17">
        <f>'HH WITH COM #4'!$X$437</f>
        <v>0</v>
      </c>
      <c r="U316" s="539">
        <f t="shared" si="719"/>
        <v>0</v>
      </c>
      <c r="V316" s="197">
        <f t="shared" si="728"/>
        <v>0</v>
      </c>
      <c r="W316" s="17">
        <f>'HH WITH COM #5'!$W$437</f>
        <v>0</v>
      </c>
      <c r="X316" s="17">
        <f>'HH WITH COM #5'!$X$437</f>
        <v>0</v>
      </c>
      <c r="Y316" s="539">
        <f t="shared" si="720"/>
        <v>0</v>
      </c>
      <c r="Z316" s="197">
        <f t="shared" si="729"/>
        <v>0</v>
      </c>
      <c r="AA316" s="17">
        <f>'HH WITH COM #6'!$W$437</f>
        <v>0</v>
      </c>
      <c r="AB316" s="17">
        <f>'HH WITH COM #6'!$X$437</f>
        <v>0</v>
      </c>
      <c r="AC316" s="539">
        <f t="shared" si="721"/>
        <v>0</v>
      </c>
      <c r="AD316" s="197">
        <f t="shared" si="730"/>
        <v>0</v>
      </c>
      <c r="AE316" s="17">
        <f>'HH WITH COM #7'!$W$437</f>
        <v>0</v>
      </c>
      <c r="AF316" s="17">
        <f>'HH WITH COM #7'!$X$437</f>
        <v>0</v>
      </c>
      <c r="AG316" s="539">
        <f t="shared" si="722"/>
        <v>0</v>
      </c>
      <c r="AH316" s="191">
        <f t="shared" si="731"/>
        <v>0</v>
      </c>
      <c r="AI316" s="391">
        <f t="shared" si="723"/>
        <v>0</v>
      </c>
      <c r="AJ316" s="17">
        <f t="shared" si="723"/>
        <v>1</v>
      </c>
      <c r="AK316" s="539">
        <f t="shared" si="732"/>
        <v>1</v>
      </c>
      <c r="AL316" s="197">
        <f t="shared" si="733"/>
        <v>2.7777777777777776E-2</v>
      </c>
    </row>
    <row r="317" spans="1:73" ht="16.5" customHeight="1" x14ac:dyDescent="0.25">
      <c r="A317" s="40"/>
      <c r="B317" s="40"/>
      <c r="C317" s="68"/>
      <c r="D317" s="467" t="s">
        <v>244</v>
      </c>
      <c r="E317" s="562" t="s">
        <v>439</v>
      </c>
      <c r="F317" s="105"/>
      <c r="G317" s="17">
        <f>'HH WITH COM #1 '!$W$438</f>
        <v>0</v>
      </c>
      <c r="H317" s="17">
        <f>'HH WITH COM #1 '!$X$438</f>
        <v>0</v>
      </c>
      <c r="I317" s="539">
        <f t="shared" si="716"/>
        <v>0</v>
      </c>
      <c r="J317" s="197">
        <f t="shared" si="725"/>
        <v>0</v>
      </c>
      <c r="K317" s="17">
        <f>'HH WITH COM #2'!$W$438</f>
        <v>0</v>
      </c>
      <c r="L317" s="17">
        <f>'HH WITH COM #2'!$X$438</f>
        <v>0</v>
      </c>
      <c r="M317" s="539">
        <f t="shared" si="717"/>
        <v>0</v>
      </c>
      <c r="N317" s="197">
        <f t="shared" si="726"/>
        <v>0</v>
      </c>
      <c r="O317" s="17">
        <f>'HH WITH COM #3'!$W$438</f>
        <v>0</v>
      </c>
      <c r="P317" s="17">
        <f>'HH WITH COM #3'!$X$438</f>
        <v>0</v>
      </c>
      <c r="Q317" s="539">
        <f t="shared" si="718"/>
        <v>0</v>
      </c>
      <c r="R317" s="197">
        <f t="shared" si="727"/>
        <v>0</v>
      </c>
      <c r="S317" s="17">
        <f>'HH WITH COM #4'!$W$438</f>
        <v>0</v>
      </c>
      <c r="T317" s="17">
        <f>'HH WITH COM #4'!$X$438</f>
        <v>0</v>
      </c>
      <c r="U317" s="539">
        <f t="shared" si="719"/>
        <v>0</v>
      </c>
      <c r="V317" s="197">
        <f t="shared" si="728"/>
        <v>0</v>
      </c>
      <c r="W317" s="17">
        <f>'HH WITH COM #5'!$W$438</f>
        <v>0</v>
      </c>
      <c r="X317" s="17">
        <f>'HH WITH COM #5'!$X$438</f>
        <v>0</v>
      </c>
      <c r="Y317" s="539">
        <f t="shared" si="720"/>
        <v>0</v>
      </c>
      <c r="Z317" s="197">
        <f t="shared" si="729"/>
        <v>0</v>
      </c>
      <c r="AA317" s="17">
        <f>'HH WITH COM #6'!$W$438</f>
        <v>0</v>
      </c>
      <c r="AB317" s="17">
        <f>'HH WITH COM #6'!$X$438</f>
        <v>0</v>
      </c>
      <c r="AC317" s="539">
        <f t="shared" si="721"/>
        <v>0</v>
      </c>
      <c r="AD317" s="197">
        <f t="shared" si="730"/>
        <v>0</v>
      </c>
      <c r="AE317" s="17">
        <f>'HH WITH COM #7'!$W$438</f>
        <v>0</v>
      </c>
      <c r="AF317" s="17">
        <f>'HH WITH COM #7'!$X$438</f>
        <v>0</v>
      </c>
      <c r="AG317" s="539">
        <f t="shared" si="722"/>
        <v>0</v>
      </c>
      <c r="AH317" s="191">
        <f t="shared" si="731"/>
        <v>0</v>
      </c>
      <c r="AI317" s="391">
        <f t="shared" si="723"/>
        <v>0</v>
      </c>
      <c r="AJ317" s="17">
        <f t="shared" si="723"/>
        <v>0</v>
      </c>
      <c r="AK317" s="539">
        <f t="shared" si="732"/>
        <v>0</v>
      </c>
      <c r="AL317" s="197">
        <f t="shared" si="733"/>
        <v>0</v>
      </c>
    </row>
    <row r="318" spans="1:73" ht="16.5" customHeight="1" x14ac:dyDescent="0.25">
      <c r="A318" s="40"/>
      <c r="B318" s="40"/>
      <c r="C318" s="68"/>
      <c r="D318" s="467" t="s">
        <v>475</v>
      </c>
      <c r="E318" s="484" t="s">
        <v>483</v>
      </c>
      <c r="F318" s="105"/>
      <c r="G318" s="17">
        <f>'HH WITH COM #1 '!$W$439</f>
        <v>0</v>
      </c>
      <c r="H318" s="17">
        <f>'HH WITH COM #1 '!$X$439</f>
        <v>0</v>
      </c>
      <c r="I318" s="539">
        <f t="shared" si="716"/>
        <v>0</v>
      </c>
      <c r="J318" s="197">
        <f t="shared" si="725"/>
        <v>0</v>
      </c>
      <c r="K318" s="17">
        <f>'HH WITH COM #2'!$W$439</f>
        <v>0</v>
      </c>
      <c r="L318" s="17">
        <f>'HH WITH COM #2'!$X$439</f>
        <v>0</v>
      </c>
      <c r="M318" s="539">
        <f t="shared" si="717"/>
        <v>0</v>
      </c>
      <c r="N318" s="197">
        <f t="shared" si="726"/>
        <v>0</v>
      </c>
      <c r="O318" s="17">
        <f>'HH WITH COM #3'!$W$439</f>
        <v>0</v>
      </c>
      <c r="P318" s="17">
        <f>'HH WITH COM #3'!$X$439</f>
        <v>0</v>
      </c>
      <c r="Q318" s="539">
        <f t="shared" si="718"/>
        <v>0</v>
      </c>
      <c r="R318" s="197">
        <f t="shared" si="727"/>
        <v>0</v>
      </c>
      <c r="S318" s="17">
        <f>'HH WITH COM #4'!$W$439</f>
        <v>0</v>
      </c>
      <c r="T318" s="17">
        <f>'HH WITH COM #4'!$X$439</f>
        <v>0</v>
      </c>
      <c r="U318" s="539">
        <f t="shared" si="719"/>
        <v>0</v>
      </c>
      <c r="V318" s="197">
        <f t="shared" si="728"/>
        <v>0</v>
      </c>
      <c r="W318" s="17">
        <f>'HH WITH COM #5'!$W$439</f>
        <v>0</v>
      </c>
      <c r="X318" s="17">
        <f>'HH WITH COM #5'!$X$439</f>
        <v>0</v>
      </c>
      <c r="Y318" s="539">
        <f t="shared" si="720"/>
        <v>0</v>
      </c>
      <c r="Z318" s="197">
        <f t="shared" si="729"/>
        <v>0</v>
      </c>
      <c r="AA318" s="17">
        <f>'HH WITH COM #6'!$W$439</f>
        <v>0</v>
      </c>
      <c r="AB318" s="17">
        <f>'HH WITH COM #6'!$X$439</f>
        <v>0</v>
      </c>
      <c r="AC318" s="539">
        <f t="shared" si="721"/>
        <v>0</v>
      </c>
      <c r="AD318" s="197">
        <f t="shared" si="730"/>
        <v>0</v>
      </c>
      <c r="AE318" s="17">
        <f>'HH WITH COM #7'!$W$439</f>
        <v>0</v>
      </c>
      <c r="AF318" s="17">
        <f>'HH WITH COM #7'!$X$439</f>
        <v>0</v>
      </c>
      <c r="AG318" s="539">
        <f t="shared" si="722"/>
        <v>0</v>
      </c>
      <c r="AH318" s="191">
        <f t="shared" si="731"/>
        <v>0</v>
      </c>
      <c r="AI318" s="391">
        <f t="shared" si="723"/>
        <v>0</v>
      </c>
      <c r="AJ318" s="17">
        <f t="shared" si="723"/>
        <v>0</v>
      </c>
      <c r="AK318" s="539">
        <f t="shared" si="732"/>
        <v>0</v>
      </c>
      <c r="AL318" s="197">
        <f t="shared" si="733"/>
        <v>0</v>
      </c>
    </row>
    <row r="319" spans="1:73" ht="16.5" customHeight="1" x14ac:dyDescent="0.25">
      <c r="A319" s="40"/>
      <c r="B319" s="40"/>
      <c r="C319" s="68"/>
      <c r="D319" s="467" t="s">
        <v>476</v>
      </c>
      <c r="E319" s="167" t="s">
        <v>129</v>
      </c>
      <c r="F319" s="105"/>
      <c r="G319" s="17">
        <f>'HH WITH COM #1 '!$W$440</f>
        <v>0</v>
      </c>
      <c r="H319" s="17">
        <f>'HH WITH COM #1 '!$X$440</f>
        <v>0</v>
      </c>
      <c r="I319" s="539">
        <f t="shared" si="716"/>
        <v>0</v>
      </c>
      <c r="J319" s="197">
        <f t="shared" si="725"/>
        <v>0</v>
      </c>
      <c r="K319" s="17">
        <f>'HH WITH COM #2'!$W$440</f>
        <v>0</v>
      </c>
      <c r="L319" s="17">
        <f>'HH WITH COM #2'!$X$440</f>
        <v>0</v>
      </c>
      <c r="M319" s="539">
        <f t="shared" si="717"/>
        <v>0</v>
      </c>
      <c r="N319" s="197">
        <f t="shared" si="726"/>
        <v>0</v>
      </c>
      <c r="O319" s="17">
        <f>'HH WITH COM #3'!$W$440</f>
        <v>0</v>
      </c>
      <c r="P319" s="17">
        <f>'HH WITH COM #3'!$X$440</f>
        <v>0</v>
      </c>
      <c r="Q319" s="539">
        <f t="shared" si="718"/>
        <v>0</v>
      </c>
      <c r="R319" s="197">
        <f t="shared" si="727"/>
        <v>0</v>
      </c>
      <c r="S319" s="17">
        <f>'HH WITH COM #4'!$W$440</f>
        <v>0</v>
      </c>
      <c r="T319" s="17">
        <f>'HH WITH COM #4'!$X$440</f>
        <v>0</v>
      </c>
      <c r="U319" s="539">
        <f t="shared" si="719"/>
        <v>0</v>
      </c>
      <c r="V319" s="197">
        <f t="shared" si="728"/>
        <v>0</v>
      </c>
      <c r="W319" s="17">
        <f>'HH WITH COM #5'!$W$440</f>
        <v>0</v>
      </c>
      <c r="X319" s="17">
        <f>'HH WITH COM #5'!$X$440</f>
        <v>0</v>
      </c>
      <c r="Y319" s="539">
        <f t="shared" si="720"/>
        <v>0</v>
      </c>
      <c r="Z319" s="197">
        <f t="shared" si="729"/>
        <v>0</v>
      </c>
      <c r="AA319" s="17">
        <f>'HH WITH COM #6'!$W$440</f>
        <v>0</v>
      </c>
      <c r="AB319" s="17">
        <f>'HH WITH COM #6'!$X$440</f>
        <v>0</v>
      </c>
      <c r="AC319" s="539">
        <f t="shared" si="721"/>
        <v>0</v>
      </c>
      <c r="AD319" s="197">
        <f t="shared" si="730"/>
        <v>0</v>
      </c>
      <c r="AE319" s="17">
        <f>'HH WITH COM #7'!$W$440</f>
        <v>0</v>
      </c>
      <c r="AF319" s="17">
        <f>'HH WITH COM #7'!$X$440</f>
        <v>0</v>
      </c>
      <c r="AG319" s="539">
        <f t="shared" si="722"/>
        <v>0</v>
      </c>
      <c r="AH319" s="191">
        <f t="shared" si="731"/>
        <v>0</v>
      </c>
      <c r="AI319" s="391">
        <f t="shared" si="723"/>
        <v>0</v>
      </c>
      <c r="AJ319" s="17">
        <f t="shared" si="723"/>
        <v>0</v>
      </c>
      <c r="AK319" s="539">
        <f t="shared" si="732"/>
        <v>0</v>
      </c>
      <c r="AL319" s="197">
        <f t="shared" si="733"/>
        <v>0</v>
      </c>
    </row>
    <row r="320" spans="1:73" ht="16.5" customHeight="1" x14ac:dyDescent="0.25">
      <c r="A320" s="40"/>
      <c r="B320" s="40"/>
      <c r="C320" s="68"/>
      <c r="D320" s="422"/>
      <c r="E320" s="184"/>
      <c r="F320" s="184"/>
      <c r="G320" s="82">
        <f t="shared" ref="G320:H320" si="734">SUM(G312:G319)</f>
        <v>7</v>
      </c>
      <c r="H320" s="82">
        <f t="shared" si="734"/>
        <v>5</v>
      </c>
      <c r="I320" s="82">
        <f>SUM(I312:I319)</f>
        <v>12</v>
      </c>
      <c r="J320" s="500">
        <f>IF(I$320=0,0,I320/I$320)</f>
        <v>1</v>
      </c>
      <c r="K320" s="82">
        <f t="shared" ref="K320:L320" si="735">SUM(K312:K319)</f>
        <v>2</v>
      </c>
      <c r="L320" s="82">
        <f t="shared" si="735"/>
        <v>4</v>
      </c>
      <c r="M320" s="82">
        <f>SUM(M312:M319)</f>
        <v>6</v>
      </c>
      <c r="N320" s="500">
        <f>IF(M$320=0,0,M320/M$320)</f>
        <v>1</v>
      </c>
      <c r="O320" s="82">
        <f t="shared" ref="O320:P320" si="736">SUM(O312:O319)</f>
        <v>0</v>
      </c>
      <c r="P320" s="82">
        <f t="shared" si="736"/>
        <v>0</v>
      </c>
      <c r="Q320" s="82">
        <f>SUM(Q312:Q319)</f>
        <v>0</v>
      </c>
      <c r="R320" s="500">
        <f>IF(Q$320=0,0,Q320/Q$320)</f>
        <v>0</v>
      </c>
      <c r="S320" s="82">
        <f t="shared" ref="S320:T320" si="737">SUM(S312:S319)</f>
        <v>1</v>
      </c>
      <c r="T320" s="82">
        <f t="shared" si="737"/>
        <v>7</v>
      </c>
      <c r="U320" s="82">
        <f>SUM(U312:U319)</f>
        <v>8</v>
      </c>
      <c r="V320" s="500">
        <f>IF(U$320=0,0,U320/U$320)</f>
        <v>1</v>
      </c>
      <c r="W320" s="82">
        <f t="shared" ref="W320:X320" si="738">SUM(W312:W319)</f>
        <v>1</v>
      </c>
      <c r="X320" s="82">
        <f t="shared" si="738"/>
        <v>4</v>
      </c>
      <c r="Y320" s="82">
        <f>SUM(Y312:Y319)</f>
        <v>5</v>
      </c>
      <c r="Z320" s="500">
        <f>IF(Y$320=0,0,Y320/Y$320)</f>
        <v>1</v>
      </c>
      <c r="AA320" s="82">
        <f t="shared" ref="AA320:AB320" si="739">SUM(AA312:AA319)</f>
        <v>2</v>
      </c>
      <c r="AB320" s="82">
        <f t="shared" si="739"/>
        <v>3</v>
      </c>
      <c r="AC320" s="82">
        <f>SUM(AC312:AC319)</f>
        <v>5</v>
      </c>
      <c r="AD320" s="500">
        <f>IF(AC$320=0,0,AC320/AC$320)</f>
        <v>1</v>
      </c>
      <c r="AE320" s="82">
        <f t="shared" ref="AE320:AF320" si="740">SUM(AE312:AE319)</f>
        <v>0</v>
      </c>
      <c r="AF320" s="82">
        <f t="shared" si="740"/>
        <v>0</v>
      </c>
      <c r="AG320" s="82">
        <f>SUM(AG312:AG319)</f>
        <v>0</v>
      </c>
      <c r="AH320" s="614">
        <f>IF(AG$320=0,0,AG320/AG$320)</f>
        <v>0</v>
      </c>
      <c r="AI320" s="381">
        <f t="shared" ref="AI320:AJ320" si="741">SUM(AI312:AI319)</f>
        <v>13</v>
      </c>
      <c r="AJ320" s="82">
        <f t="shared" si="741"/>
        <v>23</v>
      </c>
      <c r="AK320" s="82">
        <f>SUM(AK312:AK319)</f>
        <v>36</v>
      </c>
      <c r="AL320" s="500">
        <f>IF(AK$320=0,0,AK320/AK$320)</f>
        <v>1</v>
      </c>
    </row>
    <row r="321" spans="1:72" s="117" customFormat="1" ht="16.5" customHeight="1" x14ac:dyDescent="0.25">
      <c r="A321" s="119"/>
      <c r="B321" s="48" t="s">
        <v>245</v>
      </c>
      <c r="C321" s="49" t="s">
        <v>246</v>
      </c>
      <c r="D321" s="477"/>
      <c r="E321" s="478"/>
      <c r="F321" s="478"/>
      <c r="G321" s="71"/>
      <c r="H321" s="71"/>
      <c r="I321" s="71"/>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c r="AH321" s="355"/>
      <c r="AI321" s="377"/>
      <c r="AJ321" s="71"/>
      <c r="AK321" s="71"/>
      <c r="AL321" s="71"/>
    </row>
    <row r="322" spans="1:72" ht="16.5" customHeight="1" x14ac:dyDescent="0.25">
      <c r="A322" s="40"/>
      <c r="B322" s="40"/>
      <c r="C322" s="56" t="s">
        <v>247</v>
      </c>
      <c r="D322" s="149" t="s">
        <v>872</v>
      </c>
      <c r="E322" s="75"/>
      <c r="F322" s="76"/>
      <c r="G322" s="111"/>
      <c r="H322" s="111"/>
      <c r="I322" s="419"/>
      <c r="J322" s="131"/>
      <c r="K322" s="111"/>
      <c r="L322" s="111"/>
      <c r="M322" s="419"/>
      <c r="N322" s="131"/>
      <c r="O322" s="111"/>
      <c r="P322" s="111"/>
      <c r="Q322" s="419"/>
      <c r="R322" s="131"/>
      <c r="S322" s="111"/>
      <c r="T322" s="111"/>
      <c r="U322" s="419"/>
      <c r="V322" s="131"/>
      <c r="W322" s="111"/>
      <c r="X322" s="111"/>
      <c r="Y322" s="419"/>
      <c r="Z322" s="131"/>
      <c r="AA322" s="111"/>
      <c r="AB322" s="111"/>
      <c r="AC322" s="419"/>
      <c r="AD322" s="131"/>
      <c r="AE322" s="131"/>
      <c r="AF322" s="131"/>
      <c r="AG322" s="419"/>
      <c r="AH322" s="613"/>
      <c r="AI322" s="380"/>
      <c r="AJ322" s="111"/>
      <c r="AK322" s="545"/>
      <c r="AL322" s="131"/>
    </row>
    <row r="323" spans="1:72" ht="16.5" customHeight="1" x14ac:dyDescent="0.25">
      <c r="A323" s="40"/>
      <c r="B323" s="40"/>
      <c r="C323" s="40"/>
      <c r="D323" s="473" t="s">
        <v>249</v>
      </c>
      <c r="E323" s="489" t="s">
        <v>1003</v>
      </c>
      <c r="F323" s="105"/>
      <c r="G323" s="17">
        <f>'HH WITH COM #1 '!$W$445</f>
        <v>0</v>
      </c>
      <c r="H323" s="17">
        <f>'HH WITH COM #1 '!$X$445</f>
        <v>0</v>
      </c>
      <c r="I323" s="116">
        <f>SUM(G323:H323)</f>
        <v>0</v>
      </c>
      <c r="J323" s="91">
        <f t="shared" ref="J323:J328" si="742">IF(I$328=0,0,I323/I$328)</f>
        <v>0</v>
      </c>
      <c r="K323" s="17">
        <f>'HH WITH COM #2'!$W$445</f>
        <v>0</v>
      </c>
      <c r="L323" s="17">
        <f>'HH WITH COM #2'!$X$445</f>
        <v>0</v>
      </c>
      <c r="M323" s="539">
        <f>SUM(K323:L323)</f>
        <v>0</v>
      </c>
      <c r="N323" s="91">
        <f t="shared" ref="N323:N328" si="743">IF(M$328=0,0,M323/M$328)</f>
        <v>0</v>
      </c>
      <c r="O323" s="17">
        <f>'HH WITH COM #3'!$W$445</f>
        <v>0</v>
      </c>
      <c r="P323" s="17">
        <f>'HH WITH COM #3'!$X$445</f>
        <v>0</v>
      </c>
      <c r="Q323" s="539">
        <f>SUM(O323:P323)</f>
        <v>0</v>
      </c>
      <c r="R323" s="91">
        <f t="shared" ref="R323:R328" si="744">IF(Q$328=0,0,Q323/Q$328)</f>
        <v>0</v>
      </c>
      <c r="S323" s="17">
        <f>'HH WITH COM #4'!$W$445</f>
        <v>0</v>
      </c>
      <c r="T323" s="17">
        <f>'HH WITH COM #4'!$X$445</f>
        <v>0</v>
      </c>
      <c r="U323" s="539">
        <f>SUM(S323:T323)</f>
        <v>0</v>
      </c>
      <c r="V323" s="91">
        <f t="shared" ref="V323:V328" si="745">IF(U$328=0,0,U323/U$328)</f>
        <v>0</v>
      </c>
      <c r="W323" s="17">
        <f>'HH WITH COM #5'!$W$445</f>
        <v>0</v>
      </c>
      <c r="X323" s="17">
        <f>'HH WITH COM #5'!$X$445</f>
        <v>0</v>
      </c>
      <c r="Y323" s="539">
        <f>SUM(W323:X323)</f>
        <v>0</v>
      </c>
      <c r="Z323" s="91">
        <f t="shared" ref="Z323:Z328" si="746">IF(Y$328=0,0,Y323/Y$328)</f>
        <v>0</v>
      </c>
      <c r="AA323" s="17">
        <f>'HH WITH COM #6'!$W$445</f>
        <v>0</v>
      </c>
      <c r="AB323" s="17">
        <f>'HH WITH COM #6'!$X$445</f>
        <v>0</v>
      </c>
      <c r="AC323" s="539">
        <f>SUM(AA323:AB323)</f>
        <v>0</v>
      </c>
      <c r="AD323" s="91">
        <f t="shared" ref="AD323:AD328" si="747">IF(AC$328=0,0,AC323/AC$328)</f>
        <v>0</v>
      </c>
      <c r="AE323" s="17">
        <f>'HH WITH COM #7'!$W$445</f>
        <v>0</v>
      </c>
      <c r="AF323" s="17">
        <f>'HH WITH COM #7'!$X$445</f>
        <v>0</v>
      </c>
      <c r="AG323" s="539">
        <f>SUM(AE323:AF323)</f>
        <v>0</v>
      </c>
      <c r="AH323" s="373">
        <f t="shared" ref="AH323:AH328" si="748">IF(AG$328=0,0,AG323/AG$328)</f>
        <v>0</v>
      </c>
      <c r="AI323" s="391">
        <f t="shared" ref="AI323:AI327" si="749">G323+K323+O323+S323+W323+AA323+AE323</f>
        <v>0</v>
      </c>
      <c r="AJ323" s="17">
        <f t="shared" ref="AJ323:AJ327" si="750">H323+L323+P323+T323+X323+AB323+AF323</f>
        <v>0</v>
      </c>
      <c r="AK323" s="539">
        <f>SUM(AI323:AJ323)</f>
        <v>0</v>
      </c>
      <c r="AL323" s="91">
        <f t="shared" ref="AL323:AL328" si="751">IF(AK$328=0,0,AK323/AK$328)</f>
        <v>0</v>
      </c>
    </row>
    <row r="324" spans="1:72" ht="16.5" customHeight="1" x14ac:dyDescent="0.25">
      <c r="A324" s="40"/>
      <c r="B324" s="40"/>
      <c r="C324" s="40"/>
      <c r="D324" s="473" t="s">
        <v>250</v>
      </c>
      <c r="E324" s="484" t="s">
        <v>405</v>
      </c>
      <c r="F324" s="105"/>
      <c r="G324" s="17">
        <f>'HH WITH COM #1 '!$W$446</f>
        <v>0</v>
      </c>
      <c r="H324" s="17">
        <f>'HH WITH COM #1 '!$X$446</f>
        <v>0</v>
      </c>
      <c r="I324" s="116">
        <f>SUM(G324:H324)</f>
        <v>0</v>
      </c>
      <c r="J324" s="91">
        <f t="shared" si="742"/>
        <v>0</v>
      </c>
      <c r="K324" s="17">
        <f>'HH WITH COM #2'!$W$446</f>
        <v>0</v>
      </c>
      <c r="L324" s="17">
        <f>'HH WITH COM #2'!$X$446</f>
        <v>0</v>
      </c>
      <c r="M324" s="539">
        <f>SUM(K324:L324)</f>
        <v>0</v>
      </c>
      <c r="N324" s="91">
        <f t="shared" si="743"/>
        <v>0</v>
      </c>
      <c r="O324" s="17">
        <f>'HH WITH COM #3'!$W$446</f>
        <v>0</v>
      </c>
      <c r="P324" s="17">
        <f>'HH WITH COM #3'!$X$446</f>
        <v>0</v>
      </c>
      <c r="Q324" s="539">
        <f>SUM(O324:P324)</f>
        <v>0</v>
      </c>
      <c r="R324" s="91">
        <f t="shared" si="744"/>
        <v>0</v>
      </c>
      <c r="S324" s="17">
        <f>'HH WITH COM #4'!$W$446</f>
        <v>0</v>
      </c>
      <c r="T324" s="17">
        <f>'HH WITH COM #4'!$X$446</f>
        <v>0</v>
      </c>
      <c r="U324" s="539">
        <f>SUM(S324:T324)</f>
        <v>0</v>
      </c>
      <c r="V324" s="91">
        <f t="shared" si="745"/>
        <v>0</v>
      </c>
      <c r="W324" s="17">
        <f>'HH WITH COM #5'!$W$446</f>
        <v>0</v>
      </c>
      <c r="X324" s="17">
        <f>'HH WITH COM #5'!$X$446</f>
        <v>0</v>
      </c>
      <c r="Y324" s="539">
        <f>SUM(W324:X324)</f>
        <v>0</v>
      </c>
      <c r="Z324" s="91">
        <f t="shared" si="746"/>
        <v>0</v>
      </c>
      <c r="AA324" s="17">
        <f>'HH WITH COM #6'!$W$446</f>
        <v>0</v>
      </c>
      <c r="AB324" s="17">
        <f>'HH WITH COM #6'!$X$446</f>
        <v>0</v>
      </c>
      <c r="AC324" s="539">
        <f>SUM(AA324:AB324)</f>
        <v>0</v>
      </c>
      <c r="AD324" s="91">
        <f t="shared" si="747"/>
        <v>0</v>
      </c>
      <c r="AE324" s="17">
        <f>'HH WITH COM #7'!$W$446</f>
        <v>0</v>
      </c>
      <c r="AF324" s="17">
        <f>'HH WITH COM #7'!$X$446</f>
        <v>0</v>
      </c>
      <c r="AG324" s="539">
        <f>SUM(AE324:AF324)</f>
        <v>0</v>
      </c>
      <c r="AH324" s="373">
        <f t="shared" si="748"/>
        <v>0</v>
      </c>
      <c r="AI324" s="391">
        <f t="shared" si="749"/>
        <v>0</v>
      </c>
      <c r="AJ324" s="17">
        <f t="shared" si="750"/>
        <v>0</v>
      </c>
      <c r="AK324" s="539">
        <f>SUM(AI324:AJ324)</f>
        <v>0</v>
      </c>
      <c r="AL324" s="91">
        <f t="shared" si="751"/>
        <v>0</v>
      </c>
    </row>
    <row r="325" spans="1:72" s="117" customFormat="1" ht="16.5" customHeight="1" x14ac:dyDescent="0.25">
      <c r="A325" s="119"/>
      <c r="B325" s="119"/>
      <c r="C325" s="115"/>
      <c r="D325" s="473" t="s">
        <v>251</v>
      </c>
      <c r="E325" s="484" t="s">
        <v>1004</v>
      </c>
      <c r="F325" s="105"/>
      <c r="G325" s="17">
        <f>'HH WITH COM #1 '!$W$447</f>
        <v>0</v>
      </c>
      <c r="H325" s="17">
        <f>'HH WITH COM #1 '!$X$447</f>
        <v>0</v>
      </c>
      <c r="I325" s="116">
        <f>SUM(G325:H325)</f>
        <v>0</v>
      </c>
      <c r="J325" s="91">
        <f t="shared" si="742"/>
        <v>0</v>
      </c>
      <c r="K325" s="17">
        <f>'HH WITH COM #2'!$W$447</f>
        <v>1</v>
      </c>
      <c r="L325" s="17">
        <f>'HH WITH COM #2'!$X$447</f>
        <v>2</v>
      </c>
      <c r="M325" s="539">
        <f>SUM(K325:L325)</f>
        <v>3</v>
      </c>
      <c r="N325" s="91">
        <f t="shared" si="743"/>
        <v>1</v>
      </c>
      <c r="O325" s="17">
        <f>'HH WITH COM #3'!$W$447</f>
        <v>0</v>
      </c>
      <c r="P325" s="17">
        <f>'HH WITH COM #3'!$X$447</f>
        <v>0</v>
      </c>
      <c r="Q325" s="539">
        <f>SUM(O325:P325)</f>
        <v>0</v>
      </c>
      <c r="R325" s="91">
        <f t="shared" si="744"/>
        <v>0</v>
      </c>
      <c r="S325" s="17">
        <f>'HH WITH COM #4'!$W$447</f>
        <v>0</v>
      </c>
      <c r="T325" s="17">
        <f>'HH WITH COM #4'!$X$447</f>
        <v>2</v>
      </c>
      <c r="U325" s="539">
        <f>SUM(S325:T325)</f>
        <v>2</v>
      </c>
      <c r="V325" s="91">
        <f t="shared" si="745"/>
        <v>1</v>
      </c>
      <c r="W325" s="17">
        <f>'HH WITH COM #5'!$W$447</f>
        <v>1</v>
      </c>
      <c r="X325" s="17">
        <f>'HH WITH COM #5'!$X$447</f>
        <v>1</v>
      </c>
      <c r="Y325" s="539">
        <f>SUM(W325:X325)</f>
        <v>2</v>
      </c>
      <c r="Z325" s="91">
        <f t="shared" si="746"/>
        <v>1</v>
      </c>
      <c r="AA325" s="17">
        <f>'HH WITH COM #6'!$W$447</f>
        <v>0</v>
      </c>
      <c r="AB325" s="17">
        <f>'HH WITH COM #6'!$X$447</f>
        <v>2</v>
      </c>
      <c r="AC325" s="539">
        <f>SUM(AA325:AB325)</f>
        <v>2</v>
      </c>
      <c r="AD325" s="91">
        <f t="shared" si="747"/>
        <v>1</v>
      </c>
      <c r="AE325" s="17">
        <f>'HH WITH COM #7'!$W$447</f>
        <v>0</v>
      </c>
      <c r="AF325" s="17">
        <f>'HH WITH COM #7'!$X$447</f>
        <v>0</v>
      </c>
      <c r="AG325" s="539">
        <f>SUM(AE325:AF325)</f>
        <v>0</v>
      </c>
      <c r="AH325" s="373">
        <f t="shared" si="748"/>
        <v>0</v>
      </c>
      <c r="AI325" s="391">
        <f t="shared" si="749"/>
        <v>2</v>
      </c>
      <c r="AJ325" s="17">
        <f t="shared" si="750"/>
        <v>7</v>
      </c>
      <c r="AK325" s="539">
        <f>SUM(AI325:AJ325)</f>
        <v>9</v>
      </c>
      <c r="AL325" s="91">
        <f t="shared" si="751"/>
        <v>1</v>
      </c>
    </row>
    <row r="326" spans="1:72" s="117" customFormat="1" ht="16.5" customHeight="1" x14ac:dyDescent="0.25">
      <c r="A326" s="119"/>
      <c r="B326" s="119"/>
      <c r="C326" s="115"/>
      <c r="D326" s="473" t="s">
        <v>252</v>
      </c>
      <c r="E326" s="489" t="s">
        <v>481</v>
      </c>
      <c r="F326" s="105"/>
      <c r="G326" s="17">
        <f>'HH WITH COM #1 '!$W$448</f>
        <v>0</v>
      </c>
      <c r="H326" s="17">
        <f>'HH WITH COM #1 '!$X$448</f>
        <v>0</v>
      </c>
      <c r="I326" s="116">
        <f>SUM(G326:H326)</f>
        <v>0</v>
      </c>
      <c r="J326" s="91">
        <f t="shared" si="742"/>
        <v>0</v>
      </c>
      <c r="K326" s="17">
        <f>'HH WITH COM #2'!$W$448</f>
        <v>0</v>
      </c>
      <c r="L326" s="17">
        <f>'HH WITH COM #2'!$X$448</f>
        <v>0</v>
      </c>
      <c r="M326" s="539">
        <f>SUM(K326:L326)</f>
        <v>0</v>
      </c>
      <c r="N326" s="91">
        <f t="shared" si="743"/>
        <v>0</v>
      </c>
      <c r="O326" s="17">
        <f>'HH WITH COM #3'!$W$448</f>
        <v>0</v>
      </c>
      <c r="P326" s="17">
        <f>'HH WITH COM #3'!$X$448</f>
        <v>0</v>
      </c>
      <c r="Q326" s="539">
        <f>SUM(O326:P326)</f>
        <v>0</v>
      </c>
      <c r="R326" s="91">
        <f t="shared" si="744"/>
        <v>0</v>
      </c>
      <c r="S326" s="17">
        <f>'HH WITH COM #4'!$W$448</f>
        <v>0</v>
      </c>
      <c r="T326" s="17">
        <f>'HH WITH COM #4'!$X$448</f>
        <v>0</v>
      </c>
      <c r="U326" s="539">
        <f>SUM(S326:T326)</f>
        <v>0</v>
      </c>
      <c r="V326" s="91">
        <f t="shared" si="745"/>
        <v>0</v>
      </c>
      <c r="W326" s="17">
        <f>'HH WITH COM #5'!$W$448</f>
        <v>0</v>
      </c>
      <c r="X326" s="17">
        <f>'HH WITH COM #5'!$X$448</f>
        <v>0</v>
      </c>
      <c r="Y326" s="539">
        <f>SUM(W326:X326)</f>
        <v>0</v>
      </c>
      <c r="Z326" s="91">
        <f t="shared" si="746"/>
        <v>0</v>
      </c>
      <c r="AA326" s="17">
        <f>'HH WITH COM #6'!$W$448</f>
        <v>0</v>
      </c>
      <c r="AB326" s="17">
        <f>'HH WITH COM #6'!$X$448</f>
        <v>0</v>
      </c>
      <c r="AC326" s="539">
        <f>SUM(AA326:AB326)</f>
        <v>0</v>
      </c>
      <c r="AD326" s="91">
        <f t="shared" si="747"/>
        <v>0</v>
      </c>
      <c r="AE326" s="17">
        <f>'HH WITH COM #7'!$W$448</f>
        <v>0</v>
      </c>
      <c r="AF326" s="17">
        <f>'HH WITH COM #7'!$X$448</f>
        <v>0</v>
      </c>
      <c r="AG326" s="539">
        <f>SUM(AE326:AF326)</f>
        <v>0</v>
      </c>
      <c r="AH326" s="373">
        <f t="shared" si="748"/>
        <v>0</v>
      </c>
      <c r="AI326" s="391">
        <f t="shared" si="749"/>
        <v>0</v>
      </c>
      <c r="AJ326" s="17">
        <f t="shared" si="750"/>
        <v>0</v>
      </c>
      <c r="AK326" s="539">
        <f>SUM(AI326:AJ326)</f>
        <v>0</v>
      </c>
      <c r="AL326" s="91">
        <f t="shared" si="751"/>
        <v>0</v>
      </c>
    </row>
    <row r="327" spans="1:72" s="117" customFormat="1" ht="16.5" customHeight="1" x14ac:dyDescent="0.25">
      <c r="A327" s="119"/>
      <c r="B327" s="119"/>
      <c r="C327" s="115"/>
      <c r="D327" s="473" t="s">
        <v>253</v>
      </c>
      <c r="E327" s="489" t="s">
        <v>860</v>
      </c>
      <c r="F327" s="566"/>
      <c r="G327" s="17">
        <f>'HH WITH COM #1 '!$W$449</f>
        <v>0</v>
      </c>
      <c r="H327" s="17">
        <f>'HH WITH COM #1 '!$X$449</f>
        <v>0</v>
      </c>
      <c r="I327" s="116">
        <f>SUM(G327:H327)</f>
        <v>0</v>
      </c>
      <c r="J327" s="91">
        <f t="shared" si="742"/>
        <v>0</v>
      </c>
      <c r="K327" s="17">
        <f>'HH WITH COM #2'!$W$449</f>
        <v>0</v>
      </c>
      <c r="L327" s="17">
        <f>'HH WITH COM #2'!$X$449</f>
        <v>0</v>
      </c>
      <c r="M327" s="539">
        <f>SUM(K327:L327)</f>
        <v>0</v>
      </c>
      <c r="N327" s="91">
        <f t="shared" si="743"/>
        <v>0</v>
      </c>
      <c r="O327" s="17">
        <f>'HH WITH COM #3'!$W$449</f>
        <v>0</v>
      </c>
      <c r="P327" s="17">
        <f>'HH WITH COM #3'!$X$449</f>
        <v>0</v>
      </c>
      <c r="Q327" s="539">
        <f>SUM(O327:P327)</f>
        <v>0</v>
      </c>
      <c r="R327" s="91">
        <f t="shared" si="744"/>
        <v>0</v>
      </c>
      <c r="S327" s="17">
        <f>'HH WITH COM #4'!$W$449</f>
        <v>0</v>
      </c>
      <c r="T327" s="17">
        <f>'HH WITH COM #4'!$X$449</f>
        <v>0</v>
      </c>
      <c r="U327" s="539">
        <f>SUM(S327:T327)</f>
        <v>0</v>
      </c>
      <c r="V327" s="91">
        <f t="shared" si="745"/>
        <v>0</v>
      </c>
      <c r="W327" s="17">
        <f>'HH WITH COM #5'!$W$449</f>
        <v>0</v>
      </c>
      <c r="X327" s="17">
        <f>'HH WITH COM #5'!$X$449</f>
        <v>0</v>
      </c>
      <c r="Y327" s="539">
        <f>SUM(W327:X327)</f>
        <v>0</v>
      </c>
      <c r="Z327" s="91">
        <f t="shared" si="746"/>
        <v>0</v>
      </c>
      <c r="AA327" s="17">
        <f>'HH WITH COM #6'!$W$449</f>
        <v>0</v>
      </c>
      <c r="AB327" s="17">
        <f>'HH WITH COM #6'!$X$449</f>
        <v>0</v>
      </c>
      <c r="AC327" s="539">
        <f>SUM(AA327:AB327)</f>
        <v>0</v>
      </c>
      <c r="AD327" s="91">
        <f t="shared" si="747"/>
        <v>0</v>
      </c>
      <c r="AE327" s="17">
        <f>'HH WITH COM #7'!$W$449</f>
        <v>0</v>
      </c>
      <c r="AF327" s="17">
        <f>'HH WITH COM #7'!$X$449</f>
        <v>0</v>
      </c>
      <c r="AG327" s="539">
        <f>SUM(AE327:AF327)</f>
        <v>0</v>
      </c>
      <c r="AH327" s="373">
        <f t="shared" si="748"/>
        <v>0</v>
      </c>
      <c r="AI327" s="391">
        <f t="shared" si="749"/>
        <v>0</v>
      </c>
      <c r="AJ327" s="17">
        <f t="shared" si="750"/>
        <v>0</v>
      </c>
      <c r="AK327" s="539">
        <f>SUM(AI327:AJ327)</f>
        <v>0</v>
      </c>
      <c r="AL327" s="91">
        <f t="shared" si="751"/>
        <v>0</v>
      </c>
    </row>
    <row r="328" spans="1:72" ht="16.5" customHeight="1" x14ac:dyDescent="0.25">
      <c r="A328" s="40"/>
      <c r="B328" s="40"/>
      <c r="C328" s="40"/>
      <c r="D328" s="185"/>
      <c r="E328" s="184"/>
      <c r="F328" s="469"/>
      <c r="G328" s="82">
        <f t="shared" ref="G328:H328" si="752">SUM(G323:G327)</f>
        <v>0</v>
      </c>
      <c r="H328" s="82">
        <f t="shared" si="752"/>
        <v>0</v>
      </c>
      <c r="I328" s="82">
        <f>SUM(I323:I327)</f>
        <v>0</v>
      </c>
      <c r="J328" s="500">
        <f t="shared" si="742"/>
        <v>0</v>
      </c>
      <c r="K328" s="82">
        <f t="shared" ref="K328:L328" si="753">SUM(K323:K327)</f>
        <v>1</v>
      </c>
      <c r="L328" s="82">
        <f t="shared" si="753"/>
        <v>2</v>
      </c>
      <c r="M328" s="82">
        <f>SUM(M323:M327)</f>
        <v>3</v>
      </c>
      <c r="N328" s="500">
        <f t="shared" si="743"/>
        <v>1</v>
      </c>
      <c r="O328" s="82">
        <f t="shared" ref="O328:P328" si="754">SUM(O323:O327)</f>
        <v>0</v>
      </c>
      <c r="P328" s="82">
        <f t="shared" si="754"/>
        <v>0</v>
      </c>
      <c r="Q328" s="82">
        <f>SUM(Q323:Q327)</f>
        <v>0</v>
      </c>
      <c r="R328" s="500">
        <f t="shared" si="744"/>
        <v>0</v>
      </c>
      <c r="S328" s="82">
        <f t="shared" ref="S328:T328" si="755">SUM(S323:S327)</f>
        <v>0</v>
      </c>
      <c r="T328" s="82">
        <f t="shared" si="755"/>
        <v>2</v>
      </c>
      <c r="U328" s="82">
        <f>SUM(U323:U327)</f>
        <v>2</v>
      </c>
      <c r="V328" s="500">
        <f t="shared" si="745"/>
        <v>1</v>
      </c>
      <c r="W328" s="82">
        <f t="shared" ref="W328:X328" si="756">SUM(W323:W327)</f>
        <v>1</v>
      </c>
      <c r="X328" s="82">
        <f t="shared" si="756"/>
        <v>1</v>
      </c>
      <c r="Y328" s="82">
        <f>SUM(Y323:Y327)</f>
        <v>2</v>
      </c>
      <c r="Z328" s="500">
        <f t="shared" si="746"/>
        <v>1</v>
      </c>
      <c r="AA328" s="82">
        <f t="shared" ref="AA328:AB328" si="757">SUM(AA323:AA327)</f>
        <v>0</v>
      </c>
      <c r="AB328" s="82">
        <f t="shared" si="757"/>
        <v>2</v>
      </c>
      <c r="AC328" s="82">
        <f>SUM(AC323:AC327)</f>
        <v>2</v>
      </c>
      <c r="AD328" s="500">
        <f t="shared" si="747"/>
        <v>1</v>
      </c>
      <c r="AE328" s="82">
        <f t="shared" ref="AE328:AF328" si="758">SUM(AE323:AE327)</f>
        <v>0</v>
      </c>
      <c r="AF328" s="82">
        <f t="shared" si="758"/>
        <v>0</v>
      </c>
      <c r="AG328" s="82">
        <f>SUM(AG323:AG327)</f>
        <v>0</v>
      </c>
      <c r="AH328" s="614">
        <f t="shared" si="748"/>
        <v>0</v>
      </c>
      <c r="AI328" s="381">
        <f t="shared" ref="AI328:AJ328" si="759">SUM(AI323:AI327)</f>
        <v>2</v>
      </c>
      <c r="AJ328" s="82">
        <f t="shared" si="759"/>
        <v>7</v>
      </c>
      <c r="AK328" s="82">
        <f>SUM(AK323:AK327)</f>
        <v>9</v>
      </c>
      <c r="AL328" s="500">
        <f t="shared" si="751"/>
        <v>1</v>
      </c>
    </row>
    <row r="329" spans="1:72" ht="16.5" customHeight="1" x14ac:dyDescent="0.25">
      <c r="A329" s="40"/>
      <c r="B329" s="40"/>
      <c r="C329" s="74" t="s">
        <v>254</v>
      </c>
      <c r="D329" s="120" t="s">
        <v>873</v>
      </c>
      <c r="E329" s="75"/>
      <c r="F329" s="76"/>
      <c r="G329" s="74"/>
      <c r="H329" s="178"/>
      <c r="I329" s="178"/>
      <c r="J329" s="178"/>
      <c r="K329" s="74"/>
      <c r="L329" s="178"/>
      <c r="M329" s="178"/>
      <c r="N329" s="178"/>
      <c r="O329" s="74"/>
      <c r="P329" s="178"/>
      <c r="Q329" s="178"/>
      <c r="R329" s="178"/>
      <c r="S329" s="74"/>
      <c r="T329" s="178"/>
      <c r="U329" s="178"/>
      <c r="V329" s="178"/>
      <c r="W329" s="74"/>
      <c r="X329" s="178"/>
      <c r="Y329" s="178"/>
      <c r="Z329" s="178"/>
      <c r="AA329" s="74"/>
      <c r="AB329" s="178"/>
      <c r="AC329" s="178"/>
      <c r="AD329" s="178"/>
      <c r="AE329" s="178"/>
      <c r="AF329" s="178"/>
      <c r="AG329" s="178"/>
      <c r="AH329" s="85"/>
      <c r="AI329" s="620"/>
      <c r="AJ329" s="178"/>
      <c r="AK329" s="178"/>
      <c r="AL329" s="178"/>
    </row>
    <row r="330" spans="1:72" ht="16.5" customHeight="1" x14ac:dyDescent="0.25">
      <c r="A330" s="40"/>
      <c r="B330" s="40"/>
      <c r="C330" s="40"/>
      <c r="D330" s="506" t="s">
        <v>256</v>
      </c>
      <c r="E330" s="484" t="s">
        <v>862</v>
      </c>
      <c r="F330" s="106"/>
      <c r="G330" s="17">
        <f>'HH WITH COM #1 '!$W$457</f>
        <v>0</v>
      </c>
      <c r="H330" s="17">
        <f>'HH WITH COM #1 '!$X$457</f>
        <v>0</v>
      </c>
      <c r="I330" s="116">
        <f>SUM(G330:H330)</f>
        <v>0</v>
      </c>
      <c r="J330" s="91">
        <f>IF(I$333=0,0,I330/I$333)</f>
        <v>0</v>
      </c>
      <c r="K330" s="17">
        <f>'HH WITH COM #2'!$W$457</f>
        <v>1</v>
      </c>
      <c r="L330" s="17">
        <f>'HH WITH COM #2'!$X$457</f>
        <v>0</v>
      </c>
      <c r="M330" s="539">
        <f>SUM(K330:L330)</f>
        <v>1</v>
      </c>
      <c r="N330" s="91">
        <f>IF(M$333=0,0,M330/M$333)</f>
        <v>0.33333333333333331</v>
      </c>
      <c r="O330" s="17">
        <f>'HH WITH COM #3'!$W$457</f>
        <v>0</v>
      </c>
      <c r="P330" s="17">
        <f>'HH WITH COM #3'!$X$457</f>
        <v>0</v>
      </c>
      <c r="Q330" s="539">
        <f>SUM(O330:P330)</f>
        <v>0</v>
      </c>
      <c r="R330" s="91">
        <f>IF(Q$333=0,0,Q330/Q$333)</f>
        <v>0</v>
      </c>
      <c r="S330" s="17">
        <f>'HH WITH COM #4'!$W$457</f>
        <v>0</v>
      </c>
      <c r="T330" s="17">
        <f>'HH WITH COM #4'!$X$457</f>
        <v>0</v>
      </c>
      <c r="U330" s="539">
        <f>SUM(S330:T330)</f>
        <v>0</v>
      </c>
      <c r="V330" s="91">
        <f>IF(U$333=0,0,U330/U$333)</f>
        <v>0</v>
      </c>
      <c r="W330" s="17">
        <f>'HH WITH COM #5'!$W$457</f>
        <v>0</v>
      </c>
      <c r="X330" s="17">
        <f>'HH WITH COM #5'!$X$457</f>
        <v>0</v>
      </c>
      <c r="Y330" s="539">
        <f>SUM(W330:X330)</f>
        <v>0</v>
      </c>
      <c r="Z330" s="91">
        <f>IF(Y$333=0,0,Y330/Y$333)</f>
        <v>0</v>
      </c>
      <c r="AA330" s="17">
        <f>'HH WITH COM #6'!$W$457</f>
        <v>0</v>
      </c>
      <c r="AB330" s="17">
        <f>'HH WITH COM #6'!$X$457</f>
        <v>0</v>
      </c>
      <c r="AC330" s="539">
        <f>SUM(AA330:AB330)</f>
        <v>0</v>
      </c>
      <c r="AD330" s="91">
        <f>IF(AC$333=0,0,AC330/AC$333)</f>
        <v>0</v>
      </c>
      <c r="AE330" s="17">
        <f>'HH WITH COM #7'!$W$457</f>
        <v>0</v>
      </c>
      <c r="AF330" s="17">
        <f>'HH WITH COM #7'!$X$457</f>
        <v>0</v>
      </c>
      <c r="AG330" s="539">
        <f>SUM(AE330:AF330)</f>
        <v>0</v>
      </c>
      <c r="AH330" s="373">
        <f>IF(AG$333=0,0,AG330/AG$333)</f>
        <v>0</v>
      </c>
      <c r="AI330" s="391">
        <f t="shared" ref="AI330:AI332" si="760">G330+K330+O330+S330+W330+AA330+AE330</f>
        <v>1</v>
      </c>
      <c r="AJ330" s="17">
        <f t="shared" ref="AJ330:AJ332" si="761">H330+L330+P330+T330+X330+AB330+AF330</f>
        <v>0</v>
      </c>
      <c r="AK330" s="539">
        <f>SUM(AI330:AJ330)</f>
        <v>1</v>
      </c>
      <c r="AL330" s="91">
        <f>IF(AK$333=0,0,AK330/AK$333)</f>
        <v>0.1111111111111111</v>
      </c>
    </row>
    <row r="331" spans="1:72" ht="16.5" customHeight="1" x14ac:dyDescent="0.25">
      <c r="A331" s="40"/>
      <c r="B331" s="40"/>
      <c r="C331" s="40"/>
      <c r="D331" s="506" t="s">
        <v>257</v>
      </c>
      <c r="E331" s="484" t="s">
        <v>863</v>
      </c>
      <c r="F331" s="106"/>
      <c r="G331" s="17">
        <f>'HH WITH COM #1 '!$W$458</f>
        <v>0</v>
      </c>
      <c r="H331" s="17">
        <f>'HH WITH COM #1 '!$X$458</f>
        <v>0</v>
      </c>
      <c r="I331" s="116">
        <f>SUM(G331:H331)</f>
        <v>0</v>
      </c>
      <c r="J331" s="91">
        <f>IF(I$333=0,0,I331/I$333)</f>
        <v>0</v>
      </c>
      <c r="K331" s="17">
        <f>'HH WITH COM #2'!$W$458</f>
        <v>0</v>
      </c>
      <c r="L331" s="17">
        <f>'HH WITH COM #2'!$X$458</f>
        <v>2</v>
      </c>
      <c r="M331" s="539">
        <f>SUM(K331:L331)</f>
        <v>2</v>
      </c>
      <c r="N331" s="91">
        <f>IF(M$333=0,0,M331/M$333)</f>
        <v>0.66666666666666663</v>
      </c>
      <c r="O331" s="17">
        <f>'HH WITH COM #3'!$W$458</f>
        <v>0</v>
      </c>
      <c r="P331" s="17">
        <f>'HH WITH COM #3'!$X$458</f>
        <v>0</v>
      </c>
      <c r="Q331" s="539">
        <f>SUM(O331:P331)</f>
        <v>0</v>
      </c>
      <c r="R331" s="91">
        <f>IF(Q$333=0,0,Q331/Q$333)</f>
        <v>0</v>
      </c>
      <c r="S331" s="17">
        <f>'HH WITH COM #4'!$W$458</f>
        <v>0</v>
      </c>
      <c r="T331" s="17">
        <f>'HH WITH COM #4'!$X$458</f>
        <v>2</v>
      </c>
      <c r="U331" s="539">
        <f>SUM(S331:T331)</f>
        <v>2</v>
      </c>
      <c r="V331" s="91">
        <f>IF(U$333=0,0,U331/U$333)</f>
        <v>1</v>
      </c>
      <c r="W331" s="17">
        <f>'HH WITH COM #5'!$W$458</f>
        <v>1</v>
      </c>
      <c r="X331" s="17">
        <f>'HH WITH COM #5'!$X$458</f>
        <v>1</v>
      </c>
      <c r="Y331" s="539">
        <f>SUM(W331:X331)</f>
        <v>2</v>
      </c>
      <c r="Z331" s="91">
        <f>IF(Y$333=0,0,Y331/Y$333)</f>
        <v>1</v>
      </c>
      <c r="AA331" s="17">
        <f>'HH WITH COM #6'!$W$458</f>
        <v>0</v>
      </c>
      <c r="AB331" s="17">
        <f>'HH WITH COM #6'!$X$458</f>
        <v>2</v>
      </c>
      <c r="AC331" s="539">
        <f>SUM(AA331:AB331)</f>
        <v>2</v>
      </c>
      <c r="AD331" s="91">
        <f>IF(AC$333=0,0,AC331/AC$333)</f>
        <v>1</v>
      </c>
      <c r="AE331" s="17">
        <f>'HH WITH COM #7'!$W$458</f>
        <v>0</v>
      </c>
      <c r="AF331" s="17">
        <f>'HH WITH COM #7'!$X$458</f>
        <v>0</v>
      </c>
      <c r="AG331" s="539">
        <f>SUM(AE331:AF331)</f>
        <v>0</v>
      </c>
      <c r="AH331" s="373">
        <f>IF(AG$333=0,0,AG331/AG$333)</f>
        <v>0</v>
      </c>
      <c r="AI331" s="391">
        <f t="shared" si="760"/>
        <v>1</v>
      </c>
      <c r="AJ331" s="17">
        <f t="shared" si="761"/>
        <v>7</v>
      </c>
      <c r="AK331" s="539">
        <f>SUM(AI331:AJ331)</f>
        <v>8</v>
      </c>
      <c r="AL331" s="91">
        <f>IF(AK$333=0,0,AK331/AK$333)</f>
        <v>0.88888888888888884</v>
      </c>
    </row>
    <row r="332" spans="1:72" ht="16.5" customHeight="1" x14ac:dyDescent="0.25">
      <c r="A332" s="40"/>
      <c r="B332" s="40"/>
      <c r="C332" s="40"/>
      <c r="D332" s="506" t="s">
        <v>259</v>
      </c>
      <c r="E332" s="489" t="s">
        <v>874</v>
      </c>
      <c r="F332" s="106"/>
      <c r="G332" s="17">
        <f>'HH WITH COM #1 '!$W$459</f>
        <v>0</v>
      </c>
      <c r="H332" s="17">
        <f>'HH WITH COM #1 '!$X$459</f>
        <v>0</v>
      </c>
      <c r="I332" s="116">
        <f>SUM(G332:H332)</f>
        <v>0</v>
      </c>
      <c r="J332" s="91">
        <f>IF(I$333=0,0,I332/I$333)</f>
        <v>0</v>
      </c>
      <c r="K332" s="17">
        <f>'HH WITH COM #2'!$W$459</f>
        <v>0</v>
      </c>
      <c r="L332" s="17">
        <f>'HH WITH COM #2'!$X$459</f>
        <v>0</v>
      </c>
      <c r="M332" s="539">
        <f>SUM(K332:L332)</f>
        <v>0</v>
      </c>
      <c r="N332" s="91">
        <f>IF(M$333=0,0,M332/M$333)</f>
        <v>0</v>
      </c>
      <c r="O332" s="17">
        <f>'HH WITH COM #3'!$W$459</f>
        <v>0</v>
      </c>
      <c r="P332" s="17">
        <f>'HH WITH COM #3'!$X$459</f>
        <v>0</v>
      </c>
      <c r="Q332" s="539">
        <f>SUM(O332:P332)</f>
        <v>0</v>
      </c>
      <c r="R332" s="91">
        <f>IF(Q$333=0,0,Q332/Q$333)</f>
        <v>0</v>
      </c>
      <c r="S332" s="17">
        <f>'HH WITH COM #4'!$W$459</f>
        <v>0</v>
      </c>
      <c r="T332" s="17">
        <f>'HH WITH COM #4'!$X$459</f>
        <v>0</v>
      </c>
      <c r="U332" s="539">
        <f>SUM(S332:T332)</f>
        <v>0</v>
      </c>
      <c r="V332" s="91">
        <f>IF(U$333=0,0,U332/U$333)</f>
        <v>0</v>
      </c>
      <c r="W332" s="17">
        <f>'HH WITH COM #5'!$W$459</f>
        <v>0</v>
      </c>
      <c r="X332" s="17">
        <f>'HH WITH COM #5'!$X$459</f>
        <v>0</v>
      </c>
      <c r="Y332" s="539">
        <f>SUM(W332:X332)</f>
        <v>0</v>
      </c>
      <c r="Z332" s="91">
        <f>IF(Y$333=0,0,Y332/Y$333)</f>
        <v>0</v>
      </c>
      <c r="AA332" s="17">
        <f>'HH WITH COM #6'!$W$459</f>
        <v>0</v>
      </c>
      <c r="AB332" s="17">
        <f>'HH WITH COM #6'!$X$459</f>
        <v>0</v>
      </c>
      <c r="AC332" s="539">
        <f>SUM(AA332:AB332)</f>
        <v>0</v>
      </c>
      <c r="AD332" s="91">
        <f>IF(AC$333=0,0,AC332/AC$333)</f>
        <v>0</v>
      </c>
      <c r="AE332" s="17">
        <f>'HH WITH COM #7'!$W$459</f>
        <v>0</v>
      </c>
      <c r="AF332" s="17">
        <f>'HH WITH COM #7'!$X$459</f>
        <v>0</v>
      </c>
      <c r="AG332" s="539">
        <f>SUM(AE332:AF332)</f>
        <v>0</v>
      </c>
      <c r="AH332" s="373">
        <f>IF(AG$333=0,0,AG332/AG$333)</f>
        <v>0</v>
      </c>
      <c r="AI332" s="391">
        <f t="shared" si="760"/>
        <v>0</v>
      </c>
      <c r="AJ332" s="17">
        <f t="shared" si="761"/>
        <v>0</v>
      </c>
      <c r="AK332" s="539">
        <f>SUM(AI332:AJ332)</f>
        <v>0</v>
      </c>
      <c r="AL332" s="91">
        <f>IF(AK$333=0,0,AK332/AK$333)</f>
        <v>0</v>
      </c>
    </row>
    <row r="333" spans="1:72" ht="16.5" customHeight="1" x14ac:dyDescent="0.25">
      <c r="A333" s="40"/>
      <c r="B333" s="40"/>
      <c r="C333" s="40"/>
      <c r="D333" s="185"/>
      <c r="E333" s="184"/>
      <c r="F333" s="469"/>
      <c r="G333" s="82">
        <f>SUM(G330:G332)</f>
        <v>0</v>
      </c>
      <c r="H333" s="82">
        <f>SUM(H330:H332)</f>
        <v>0</v>
      </c>
      <c r="I333" s="82">
        <f>SUM(I330:I332)</f>
        <v>0</v>
      </c>
      <c r="J333" s="500">
        <f>IF(I$333=0,0,I333/I$333)</f>
        <v>0</v>
      </c>
      <c r="K333" s="82">
        <f>SUM(K330:K332)</f>
        <v>1</v>
      </c>
      <c r="L333" s="82">
        <f>SUM(L330:L332)</f>
        <v>2</v>
      </c>
      <c r="M333" s="82">
        <f>SUM(M330:M332)</f>
        <v>3</v>
      </c>
      <c r="N333" s="500">
        <f>IF(M$333=0,0,M333/M$333)</f>
        <v>1</v>
      </c>
      <c r="O333" s="82">
        <f>SUM(O330:O332)</f>
        <v>0</v>
      </c>
      <c r="P333" s="82">
        <f>SUM(P330:P332)</f>
        <v>0</v>
      </c>
      <c r="Q333" s="82">
        <f>SUM(Q330:Q332)</f>
        <v>0</v>
      </c>
      <c r="R333" s="500">
        <f>IF(Q$333=0,0,Q333/Q$333)</f>
        <v>0</v>
      </c>
      <c r="S333" s="82">
        <f>SUM(S330:S332)</f>
        <v>0</v>
      </c>
      <c r="T333" s="82">
        <f>SUM(T330:T332)</f>
        <v>2</v>
      </c>
      <c r="U333" s="82">
        <f>SUM(U330:U332)</f>
        <v>2</v>
      </c>
      <c r="V333" s="500">
        <f>IF(U$333=0,0,U333/U$333)</f>
        <v>1</v>
      </c>
      <c r="W333" s="82">
        <f>SUM(W330:W332)</f>
        <v>1</v>
      </c>
      <c r="X333" s="82">
        <f>SUM(X330:X332)</f>
        <v>1</v>
      </c>
      <c r="Y333" s="82">
        <f>SUM(Y330:Y332)</f>
        <v>2</v>
      </c>
      <c r="Z333" s="500">
        <f>IF(Y$333=0,0,Y333/Y$333)</f>
        <v>1</v>
      </c>
      <c r="AA333" s="82">
        <f>SUM(AA330:AA332)</f>
        <v>0</v>
      </c>
      <c r="AB333" s="82">
        <f>SUM(AB330:AB332)</f>
        <v>2</v>
      </c>
      <c r="AC333" s="82">
        <f>SUM(AC330:AC332)</f>
        <v>2</v>
      </c>
      <c r="AD333" s="500">
        <f>IF(AC$333=0,0,AC333/AC$333)</f>
        <v>1</v>
      </c>
      <c r="AE333" s="82">
        <f>SUM(AE330:AE332)</f>
        <v>0</v>
      </c>
      <c r="AF333" s="82">
        <f>SUM(AF330:AF332)</f>
        <v>0</v>
      </c>
      <c r="AG333" s="82">
        <f>SUM(AG330:AG332)</f>
        <v>0</v>
      </c>
      <c r="AH333" s="614">
        <f>IF(AG$333=0,0,AG333/AG$333)</f>
        <v>0</v>
      </c>
      <c r="AI333" s="381">
        <f>SUM(AI330:AI332)</f>
        <v>2</v>
      </c>
      <c r="AJ333" s="82">
        <f>SUM(AJ330:AJ332)</f>
        <v>7</v>
      </c>
      <c r="AK333" s="82">
        <f>SUM(AK330:AK332)</f>
        <v>9</v>
      </c>
      <c r="AL333" s="500">
        <f>IF(AK$333=0,0,AK333/AK$333)</f>
        <v>1</v>
      </c>
    </row>
    <row r="334" spans="1:72" ht="16.5" customHeight="1" x14ac:dyDescent="0.25">
      <c r="A334" s="40"/>
      <c r="B334" s="40"/>
      <c r="C334" s="56" t="s">
        <v>260</v>
      </c>
      <c r="D334" s="57" t="s">
        <v>875</v>
      </c>
      <c r="E334" s="75"/>
      <c r="F334" s="76"/>
      <c r="G334" s="111"/>
      <c r="H334" s="111"/>
      <c r="I334" s="419"/>
      <c r="J334" s="404"/>
      <c r="K334" s="111"/>
      <c r="L334" s="111"/>
      <c r="M334" s="419"/>
      <c r="N334" s="404"/>
      <c r="O334" s="111"/>
      <c r="P334" s="111"/>
      <c r="Q334" s="419"/>
      <c r="R334" s="404"/>
      <c r="S334" s="111"/>
      <c r="T334" s="111"/>
      <c r="U334" s="419"/>
      <c r="V334" s="404"/>
      <c r="W334" s="111"/>
      <c r="X334" s="111"/>
      <c r="Y334" s="419"/>
      <c r="Z334" s="404"/>
      <c r="AA334" s="111"/>
      <c r="AB334" s="111"/>
      <c r="AC334" s="419"/>
      <c r="AD334" s="404"/>
      <c r="AE334" s="404"/>
      <c r="AF334" s="404"/>
      <c r="AG334" s="419"/>
      <c r="AH334" s="615"/>
      <c r="AI334" s="380"/>
      <c r="AJ334" s="111"/>
      <c r="AK334" s="545"/>
      <c r="AL334" s="404"/>
      <c r="AN334" s="117"/>
      <c r="AO334" s="117"/>
      <c r="AP334" s="117"/>
      <c r="AQ334" s="117"/>
      <c r="AR334" s="117"/>
      <c r="AS334" s="117"/>
      <c r="AT334" s="117"/>
      <c r="AU334" s="117"/>
      <c r="AV334" s="117"/>
      <c r="AW334" s="117"/>
      <c r="AX334" s="117"/>
      <c r="AY334" s="117"/>
      <c r="AZ334" s="117"/>
      <c r="BA334" s="117" t="s">
        <v>891</v>
      </c>
      <c r="BB334" s="117"/>
      <c r="BC334" s="117"/>
      <c r="BD334" s="117"/>
      <c r="BE334" s="117"/>
      <c r="BF334" s="117"/>
      <c r="BG334" s="117"/>
      <c r="BH334" s="117"/>
      <c r="BI334" s="117" t="s">
        <v>611</v>
      </c>
      <c r="BJ334" s="117"/>
      <c r="BK334" s="117"/>
      <c r="BL334" s="117"/>
      <c r="BM334" s="117"/>
      <c r="BN334" s="117"/>
      <c r="BO334" s="117"/>
      <c r="BP334" s="117"/>
      <c r="BQ334" s="117"/>
      <c r="BR334" s="117"/>
      <c r="BS334" s="117"/>
      <c r="BT334" s="117"/>
    </row>
    <row r="335" spans="1:72" ht="16.5" customHeight="1" x14ac:dyDescent="0.25">
      <c r="A335" s="40"/>
      <c r="B335" s="40"/>
      <c r="C335" s="68"/>
      <c r="D335" s="467" t="s">
        <v>261</v>
      </c>
      <c r="E335" s="484" t="s">
        <v>173</v>
      </c>
      <c r="F335" s="105"/>
      <c r="G335" s="17">
        <f>'HH WITH COM #1 '!$AT$463</f>
        <v>0</v>
      </c>
      <c r="H335" s="17">
        <f>'HH WITH COM #1 '!$AZ$463</f>
        <v>0</v>
      </c>
      <c r="I335" s="539">
        <f>SUM(G335:H335)</f>
        <v>0</v>
      </c>
      <c r="J335" s="91">
        <f>IF(I$341=0,0,I335/I$341)</f>
        <v>0</v>
      </c>
      <c r="K335" s="17">
        <f>'HH WITH COM #2'!$AT$463</f>
        <v>0</v>
      </c>
      <c r="L335" s="17">
        <f>'HH WITH COM #2'!$AZ$463</f>
        <v>0</v>
      </c>
      <c r="M335" s="539">
        <f>SUM(K335:L335)</f>
        <v>0</v>
      </c>
      <c r="N335" s="91">
        <f>IF(M$341=0,0,M335/M$341)</f>
        <v>0</v>
      </c>
      <c r="O335" s="17">
        <f>'HH WITH COM #3'!$AT$463</f>
        <v>0</v>
      </c>
      <c r="P335" s="17">
        <f>'HH WITH COM #3'!$AZ$463</f>
        <v>0</v>
      </c>
      <c r="Q335" s="539">
        <f>SUM(O335:P335)</f>
        <v>0</v>
      </c>
      <c r="R335" s="91">
        <f>IF(Q$341=0,0,Q335/Q$341)</f>
        <v>0</v>
      </c>
      <c r="S335" s="17">
        <f>'HH WITH COM #4'!$AT$463</f>
        <v>0</v>
      </c>
      <c r="T335" s="17">
        <f>'HH WITH COM #4'!$AZ$463</f>
        <v>0</v>
      </c>
      <c r="U335" s="539">
        <f>SUM(S335:T335)</f>
        <v>0</v>
      </c>
      <c r="V335" s="91">
        <f>IF(U$341=0,0,U335/U$341)</f>
        <v>0</v>
      </c>
      <c r="W335" s="17">
        <f>'HH WITH COM #5'!$AT$463</f>
        <v>0</v>
      </c>
      <c r="X335" s="17">
        <f>'HH WITH COM #5'!$AZ$463</f>
        <v>0</v>
      </c>
      <c r="Y335" s="539">
        <f>SUM(W335:X335)</f>
        <v>0</v>
      </c>
      <c r="Z335" s="91">
        <f>IF(Y$341=0,0,Y335/Y$341)</f>
        <v>0</v>
      </c>
      <c r="AA335" s="17">
        <f>'HH WITH COM #6'!$AT$463</f>
        <v>0</v>
      </c>
      <c r="AB335" s="17">
        <f>'HH WITH COM #6'!$AZ$463</f>
        <v>0</v>
      </c>
      <c r="AC335" s="539">
        <f>SUM(AA335:AB335)</f>
        <v>0</v>
      </c>
      <c r="AD335" s="91">
        <f>IF(AC$341=0,0,AC335/AC$341)</f>
        <v>0</v>
      </c>
      <c r="AE335" s="17">
        <f>'HH WITH COM #7'!$AT$463</f>
        <v>0</v>
      </c>
      <c r="AF335" s="17">
        <f>'HH WITH COM #7'!$AZ$463</f>
        <v>0</v>
      </c>
      <c r="AG335" s="539">
        <f>SUM(AE335:AF335)</f>
        <v>0</v>
      </c>
      <c r="AH335" s="373">
        <f>IF(AG$341=0,0,AG335/AG$341)</f>
        <v>0</v>
      </c>
      <c r="AI335" s="391">
        <f t="shared" ref="AI335:AI336" si="762">G335+K335+O335+S335+W335+AA335+AE335</f>
        <v>0</v>
      </c>
      <c r="AJ335" s="17">
        <f t="shared" ref="AJ335:AJ336" si="763">H335+L335+P335+T335+X335+AB335+AF335</f>
        <v>0</v>
      </c>
      <c r="AK335" s="539">
        <f t="shared" ref="AK335:AK336" si="764">SUM(AI335:AJ335)</f>
        <v>0</v>
      </c>
      <c r="AL335" s="91">
        <f>IF(AK$341=0,0,AK335/AK$341)</f>
        <v>0</v>
      </c>
      <c r="AN335" s="97"/>
      <c r="AO335" s="97"/>
      <c r="AP335" s="97"/>
      <c r="AQ335" s="97"/>
      <c r="AR335" s="97"/>
      <c r="AS335" s="97"/>
      <c r="AT335" s="97"/>
      <c r="AU335" s="97"/>
      <c r="AV335" s="97"/>
      <c r="AW335" s="97"/>
      <c r="AX335" s="97"/>
      <c r="AY335" s="97"/>
      <c r="AZ335" s="97"/>
      <c r="BA335" s="2" t="s">
        <v>1068</v>
      </c>
      <c r="BB335" s="2" t="s">
        <v>1069</v>
      </c>
      <c r="BC335" s="2" t="s">
        <v>1070</v>
      </c>
      <c r="BD335" s="2" t="s">
        <v>1071</v>
      </c>
      <c r="BE335" s="2" t="s">
        <v>1072</v>
      </c>
      <c r="BF335" s="2" t="s">
        <v>1073</v>
      </c>
      <c r="BG335" s="2" t="s">
        <v>1074</v>
      </c>
      <c r="BI335" s="2" t="s">
        <v>1068</v>
      </c>
      <c r="BJ335" s="2" t="s">
        <v>1069</v>
      </c>
      <c r="BK335" s="2" t="s">
        <v>1070</v>
      </c>
      <c r="BL335" s="2" t="s">
        <v>1071</v>
      </c>
      <c r="BM335" s="2" t="s">
        <v>1072</v>
      </c>
      <c r="BN335" s="2" t="s">
        <v>1073</v>
      </c>
      <c r="BO335" s="2" t="s">
        <v>1074</v>
      </c>
      <c r="BS335" s="97"/>
      <c r="BT335" s="97"/>
    </row>
    <row r="336" spans="1:72" ht="16.5" customHeight="1" x14ac:dyDescent="0.25">
      <c r="A336" s="40"/>
      <c r="B336" s="40"/>
      <c r="C336" s="68"/>
      <c r="D336" s="467" t="s">
        <v>262</v>
      </c>
      <c r="E336" s="484" t="s">
        <v>544</v>
      </c>
      <c r="F336" s="105"/>
      <c r="G336" s="17">
        <f>'HH WITH COM #1 '!$AT$464</f>
        <v>0</v>
      </c>
      <c r="H336" s="17">
        <f>'HH WITH COM #1 '!$AZ$464</f>
        <v>0</v>
      </c>
      <c r="I336" s="539">
        <f>SUM(G336:H336)</f>
        <v>0</v>
      </c>
      <c r="J336" s="91">
        <f t="shared" ref="J336:J341" si="765">IF(I$341=0,0,I336/I$341)</f>
        <v>0</v>
      </c>
      <c r="K336" s="17">
        <f>'HH WITH COM #2'!$AT$464</f>
        <v>1</v>
      </c>
      <c r="L336" s="17">
        <f>'HH WITH COM #2'!$AZ$464</f>
        <v>2</v>
      </c>
      <c r="M336" s="539">
        <f>SUM(K336:L336)</f>
        <v>3</v>
      </c>
      <c r="N336" s="91">
        <f t="shared" ref="N336:N341" si="766">IF(M$341=0,0,M336/M$341)</f>
        <v>1</v>
      </c>
      <c r="O336" s="17">
        <f>'HH WITH COM #3'!$AT$464</f>
        <v>0</v>
      </c>
      <c r="P336" s="17">
        <f>'HH WITH COM #3'!$AZ$464</f>
        <v>0</v>
      </c>
      <c r="Q336" s="539">
        <f>SUM(O336:P336)</f>
        <v>0</v>
      </c>
      <c r="R336" s="91">
        <f t="shared" ref="R336:R341" si="767">IF(Q$341=0,0,Q336/Q$341)</f>
        <v>0</v>
      </c>
      <c r="S336" s="17">
        <f>'HH WITH COM #4'!$AT$464</f>
        <v>0</v>
      </c>
      <c r="T336" s="17">
        <f>'HH WITH COM #4'!$AZ$464</f>
        <v>2</v>
      </c>
      <c r="U336" s="539">
        <f>SUM(S336:T336)</f>
        <v>2</v>
      </c>
      <c r="V336" s="91">
        <f t="shared" ref="V336:V341" si="768">IF(U$341=0,0,U336/U$341)</f>
        <v>1</v>
      </c>
      <c r="W336" s="17">
        <f>'HH WITH COM #5'!$AT$464</f>
        <v>1</v>
      </c>
      <c r="X336" s="17">
        <f>'HH WITH COM #5'!$AZ$464</f>
        <v>1</v>
      </c>
      <c r="Y336" s="539">
        <f>SUM(W336:X336)</f>
        <v>2</v>
      </c>
      <c r="Z336" s="91">
        <f t="shared" ref="Z336:Z341" si="769">IF(Y$341=0,0,Y336/Y$341)</f>
        <v>1</v>
      </c>
      <c r="AA336" s="17">
        <f>'HH WITH COM #6'!$AT$464</f>
        <v>0</v>
      </c>
      <c r="AB336" s="17">
        <f>'HH WITH COM #6'!$AZ$464</f>
        <v>2</v>
      </c>
      <c r="AC336" s="539">
        <f>SUM(AA336:AB336)</f>
        <v>2</v>
      </c>
      <c r="AD336" s="91">
        <f t="shared" ref="AD336:AD341" si="770">IF(AC$341=0,0,AC336/AC$341)</f>
        <v>1</v>
      </c>
      <c r="AE336" s="17">
        <f>'HH WITH COM #7'!$AT$464</f>
        <v>0</v>
      </c>
      <c r="AF336" s="17">
        <f>'HH WITH COM #7'!$AZ$464</f>
        <v>0</v>
      </c>
      <c r="AG336" s="539">
        <f>SUM(AE336:AF336)</f>
        <v>0</v>
      </c>
      <c r="AH336" s="373">
        <f t="shared" ref="AH336:AH341" si="771">IF(AG$341=0,0,AG336/AG$341)</f>
        <v>0</v>
      </c>
      <c r="AI336" s="391">
        <f t="shared" si="762"/>
        <v>2</v>
      </c>
      <c r="AJ336" s="17">
        <f t="shared" si="763"/>
        <v>7</v>
      </c>
      <c r="AK336" s="539">
        <f t="shared" si="764"/>
        <v>9</v>
      </c>
      <c r="AL336" s="91">
        <f t="shared" ref="AL336:AL341" si="772">IF(AK$341=0,0,AK336/AK$341)</f>
        <v>1</v>
      </c>
      <c r="AN336" s="4"/>
      <c r="AO336" s="4"/>
      <c r="AP336" s="4"/>
      <c r="AQ336" s="4"/>
      <c r="AR336" s="4"/>
      <c r="AS336" s="4"/>
      <c r="AT336" s="4"/>
      <c r="AU336" s="4"/>
      <c r="AV336" s="4"/>
      <c r="AW336" s="4"/>
      <c r="AX336" s="4"/>
      <c r="AY336" s="4"/>
      <c r="AZ336" s="4"/>
      <c r="BS336" s="4"/>
      <c r="BT336" s="4"/>
    </row>
    <row r="337" spans="1:72" ht="16.5" customHeight="1" x14ac:dyDescent="0.25">
      <c r="A337" s="40"/>
      <c r="B337" s="40"/>
      <c r="C337" s="68"/>
      <c r="D337" s="467" t="s">
        <v>263</v>
      </c>
      <c r="E337" s="498" t="s">
        <v>484</v>
      </c>
      <c r="F337" s="105"/>
      <c r="G337" s="17">
        <f>ROUND(('HH WITH COM #1 '!$AQ$465)/10000,0)*10000</f>
        <v>0</v>
      </c>
      <c r="H337" s="17">
        <f>ROUND(('HH WITH COM #1 '!$AW$465)/10000,0)*10000</f>
        <v>0</v>
      </c>
      <c r="I337" s="539">
        <f>ROUND(('HH WITH COM #1 '!$AA$465)/10000,0)*10000</f>
        <v>0</v>
      </c>
      <c r="J337" s="91"/>
      <c r="K337" s="17">
        <f>ROUND(('HH WITH COM #2'!$AQ$465)/10000,0)*10000</f>
        <v>600000</v>
      </c>
      <c r="L337" s="17">
        <f>ROUND(('HH WITH COM #2'!$AW$465)/10000,0)*10000</f>
        <v>2400000</v>
      </c>
      <c r="M337" s="539">
        <f>ROUND(('HH WITH COM #2'!$AA$465)/10000,0)*10000</f>
        <v>600000</v>
      </c>
      <c r="N337" s="91"/>
      <c r="O337" s="17">
        <f>ROUND(('HH WITH COM #3'!$AQ$465)/10000,0)*10000</f>
        <v>0</v>
      </c>
      <c r="P337" s="17">
        <f>ROUND(('HH WITH COM #3'!$AW$465)/10000,0)*10000</f>
        <v>0</v>
      </c>
      <c r="Q337" s="539">
        <f>ROUND(('HH WITH COM #3'!$AA$465)/10000,0)*10000</f>
        <v>0</v>
      </c>
      <c r="R337" s="91"/>
      <c r="S337" s="17">
        <f>ROUND(('HH WITH COM #4'!$AQ$465)/10000,0)*10000</f>
        <v>0</v>
      </c>
      <c r="T337" s="17">
        <f>ROUND(('HH WITH COM #4'!$AW$465)/10000,0)*10000</f>
        <v>1000000</v>
      </c>
      <c r="U337" s="539">
        <f>ROUND(('HH WITH COM #4'!$AA$465)/10000,0)*10000</f>
        <v>1000000</v>
      </c>
      <c r="V337" s="91"/>
      <c r="W337" s="17">
        <f>ROUND(('HH WITH COM #5'!$AQ$465)/10000,0)*10000</f>
        <v>2500000</v>
      </c>
      <c r="X337" s="17">
        <f>ROUND(('HH WITH COM #5'!$AW$465)/10000,0)*10000</f>
        <v>2000000</v>
      </c>
      <c r="Y337" s="539">
        <f>ROUND(('HH WITH COM #5'!$AA$465)/10000,0)*10000</f>
        <v>2000000</v>
      </c>
      <c r="Z337" s="91"/>
      <c r="AA337" s="17">
        <f>ROUND(('HH WITH COM #6'!$AQ$465)/10000,0)*10000</f>
        <v>0</v>
      </c>
      <c r="AB337" s="17">
        <f>ROUND(('HH WITH COM #6'!$AW$465)/10000,0)*10000</f>
        <v>500000</v>
      </c>
      <c r="AC337" s="539">
        <f>ROUND(('HH WITH COM #6'!$AA$465)/10000,0)*10000</f>
        <v>500000</v>
      </c>
      <c r="AD337" s="91"/>
      <c r="AE337" s="17">
        <f>ROUND(('HH WITH COM #7'!$AQ$465)/10000,0)*10000</f>
        <v>0</v>
      </c>
      <c r="AF337" s="17">
        <f>ROUND(('HH WITH COM #7'!$AW$465)/10000,0)*10000</f>
        <v>0</v>
      </c>
      <c r="AG337" s="539">
        <f>ROUND(('HH WITH COM #7'!$AA$465)/10000,0)*10000</f>
        <v>0</v>
      </c>
      <c r="AH337" s="373"/>
      <c r="AI337" s="391">
        <f>MIN(BA337:BG337)</f>
        <v>600000</v>
      </c>
      <c r="AJ337" s="17">
        <f>MIN(BI337:BO337)</f>
        <v>500000</v>
      </c>
      <c r="AK337" s="1078">
        <f>MIN(BA337:BG337,BI337:BO337)</f>
        <v>500000</v>
      </c>
      <c r="AL337" s="91"/>
      <c r="AN337" s="988" t="s">
        <v>1482</v>
      </c>
      <c r="AO337" s="4"/>
      <c r="AP337" s="4"/>
      <c r="AQ337" s="4"/>
      <c r="AR337" s="4"/>
      <c r="AS337" s="4"/>
      <c r="AT337" s="4"/>
      <c r="AU337" s="4"/>
      <c r="AV337" s="4"/>
      <c r="AW337" s="4"/>
      <c r="AX337" s="4"/>
      <c r="AY337" s="4"/>
      <c r="AZ337" s="4"/>
      <c r="BA337" s="8" t="str">
        <f>IF(G337=0,"",G337)</f>
        <v/>
      </c>
      <c r="BB337" s="8">
        <f>IF(K337=0,"",K337)</f>
        <v>600000</v>
      </c>
      <c r="BC337" s="8" t="str">
        <f>IF(O337=0,"",O337)</f>
        <v/>
      </c>
      <c r="BD337" s="8" t="str">
        <f>IF(S337=0,"",S337)</f>
        <v/>
      </c>
      <c r="BE337" s="8">
        <f>IF(W337=0,"",W337)</f>
        <v>2500000</v>
      </c>
      <c r="BF337" s="8" t="str">
        <f>IF(AA337=0,"",AA337)</f>
        <v/>
      </c>
      <c r="BG337" s="8" t="str">
        <f>IF(AE337=0,"",AE337)</f>
        <v/>
      </c>
      <c r="BH337" s="8">
        <f>SUM(BA337:BG337)</f>
        <v>3100000</v>
      </c>
      <c r="BI337" s="8" t="str">
        <f>IF(H337=0,"",H337)</f>
        <v/>
      </c>
      <c r="BJ337" s="8">
        <f>IF(L337=0,"",L337)</f>
        <v>2400000</v>
      </c>
      <c r="BK337" s="8" t="str">
        <f>IF(P337=0,"",P337)</f>
        <v/>
      </c>
      <c r="BL337" s="8">
        <f>IF(T337=0,"",T337)</f>
        <v>1000000</v>
      </c>
      <c r="BM337" s="8">
        <f>IF(X337=0,"",X337)</f>
        <v>2000000</v>
      </c>
      <c r="BN337" s="8">
        <f>IF(AB337=0,"",AB337)</f>
        <v>500000</v>
      </c>
      <c r="BO337" s="8" t="str">
        <f>IF(AF337=0,"",AF337)</f>
        <v/>
      </c>
      <c r="BP337" s="8">
        <f>SUM(BI337:BO337)</f>
        <v>5900000</v>
      </c>
      <c r="BS337" s="4"/>
      <c r="BT337" s="4"/>
    </row>
    <row r="338" spans="1:72" ht="16.5" customHeight="1" x14ac:dyDescent="0.25">
      <c r="A338" s="40"/>
      <c r="B338" s="40"/>
      <c r="C338" s="68"/>
      <c r="D338" s="467" t="s">
        <v>264</v>
      </c>
      <c r="E338" s="498" t="s">
        <v>485</v>
      </c>
      <c r="F338" s="105"/>
      <c r="G338" s="17">
        <f>ROUND(('HH WITH COM #1 '!$AR$466)/10000,0)*10000</f>
        <v>0</v>
      </c>
      <c r="H338" s="17">
        <f>ROUND(('HH WITH COM #1 '!$AX$466)/10000,0)*10000</f>
        <v>0</v>
      </c>
      <c r="I338" s="539">
        <f>ROUND(('HH WITH COM #1 '!$AB$466)/10000,0)*10000</f>
        <v>0</v>
      </c>
      <c r="J338" s="91"/>
      <c r="K338" s="17">
        <f>ROUND(('HH WITH COM #2'!$AR$466)/10000,0)*10000</f>
        <v>600000</v>
      </c>
      <c r="L338" s="17">
        <f>ROUND(('HH WITH COM #2'!$AX$466)/10000,0)*10000</f>
        <v>2400000</v>
      </c>
      <c r="M338" s="539">
        <f>ROUND(('HH WITH COM #2'!$AB$466)/10000,0)*10000</f>
        <v>2400000</v>
      </c>
      <c r="N338" s="91"/>
      <c r="O338" s="17">
        <f>ROUND(('HH WITH COM #3'!$AR$466)/10000,0)*10000</f>
        <v>0</v>
      </c>
      <c r="P338" s="17">
        <f>ROUND(('HH WITH COM #3'!$AX$466)/10000,0)*10000</f>
        <v>0</v>
      </c>
      <c r="Q338" s="539">
        <f>ROUND(('HH WITH COM #3'!$AB$466)/10000,0)*10000</f>
        <v>0</v>
      </c>
      <c r="R338" s="91"/>
      <c r="S338" s="17">
        <f>ROUND(('HH WITH COM #4'!$AR$466)/10000,0)*10000</f>
        <v>0</v>
      </c>
      <c r="T338" s="17">
        <f>ROUND(('HH WITH COM #4'!$AX$466)/10000,0)*10000</f>
        <v>1000000</v>
      </c>
      <c r="U338" s="539">
        <f>ROUND(('HH WITH COM #4'!$AB$466)/10000,0)*10000</f>
        <v>1000000</v>
      </c>
      <c r="V338" s="91"/>
      <c r="W338" s="17">
        <f>ROUND(('HH WITH COM #5'!$AR$466)/10000,0)*10000</f>
        <v>2500000</v>
      </c>
      <c r="X338" s="17">
        <f>ROUND(('HH WITH COM #5'!$AX$466)/10000,0)*10000</f>
        <v>2000000</v>
      </c>
      <c r="Y338" s="539">
        <f>ROUND(('HH WITH COM #5'!$AB$466)/10000,0)*10000</f>
        <v>2500000</v>
      </c>
      <c r="Z338" s="91"/>
      <c r="AA338" s="17">
        <f>ROUND(('HH WITH COM #6'!$AR$466)/10000,0)*10000</f>
        <v>0</v>
      </c>
      <c r="AB338" s="17">
        <f>ROUND(('HH WITH COM #6'!$AX$466)/10000,0)*10000</f>
        <v>1600000</v>
      </c>
      <c r="AC338" s="539">
        <f>ROUND(('HH WITH COM #6'!$AB$466)/10000,0)*10000</f>
        <v>1600000</v>
      </c>
      <c r="AD338" s="91"/>
      <c r="AE338" s="17">
        <f>ROUND(('HH WITH COM #7'!$AR$466)/10000,0)*10000</f>
        <v>0</v>
      </c>
      <c r="AF338" s="17">
        <f>ROUND(('HH WITH COM #7'!$AX$466)/10000,0)*10000</f>
        <v>0</v>
      </c>
      <c r="AG338" s="539">
        <f>ROUND(('HH WITH COM #7'!$AB$466)/10000,0)*10000</f>
        <v>0</v>
      </c>
      <c r="AH338" s="373"/>
      <c r="AI338" s="391">
        <f>MAX(G338,K338,O338,S338,W338,AA338,AE338)</f>
        <v>2500000</v>
      </c>
      <c r="AJ338" s="17">
        <f t="shared" ref="AJ338" si="773">MAX(H338,L338,P338,T338,X338,AB338,AF338)</f>
        <v>2400000</v>
      </c>
      <c r="AK338" s="1078">
        <f t="shared" ref="AK338" si="774">MAX(I338,M338,Q338,U338,Y338,AC338,AG338)</f>
        <v>2500000</v>
      </c>
      <c r="AL338" s="91"/>
      <c r="AN338" s="988"/>
      <c r="AO338" s="4"/>
      <c r="AP338" s="4"/>
      <c r="AQ338" s="4"/>
      <c r="AR338" s="4"/>
      <c r="AS338" s="4"/>
      <c r="AT338" s="4"/>
      <c r="AU338" s="4"/>
      <c r="AV338" s="4"/>
      <c r="AW338" s="4"/>
      <c r="AX338" s="4"/>
      <c r="AY338" s="4"/>
      <c r="AZ338" s="4"/>
      <c r="BS338" s="4"/>
      <c r="BT338" s="4"/>
    </row>
    <row r="339" spans="1:72" ht="16.5" customHeight="1" x14ac:dyDescent="0.25">
      <c r="A339" s="40"/>
      <c r="B339" s="40"/>
      <c r="C339" s="68"/>
      <c r="D339" s="467" t="s">
        <v>265</v>
      </c>
      <c r="E339" s="498" t="s">
        <v>543</v>
      </c>
      <c r="F339" s="105"/>
      <c r="G339" s="17">
        <f>ROUND(('HH WITH COM #1 '!$AS$467)/10000,0)*10000</f>
        <v>0</v>
      </c>
      <c r="H339" s="17">
        <f>ROUND(('HH WITH COM #1 '!$AY$467)/10000,0)*10000</f>
        <v>0</v>
      </c>
      <c r="I339" s="539">
        <f>ROUND(('HH WITH COM #1 '!$AC$467)/10000,0)*10000</f>
        <v>0</v>
      </c>
      <c r="J339" s="91"/>
      <c r="K339" s="17">
        <f>ROUND(('HH WITH COM #2'!$AS$467)/10000,0)*10000</f>
        <v>600000</v>
      </c>
      <c r="L339" s="17">
        <f>ROUND(('HH WITH COM #2'!$AY$467)/10000,0)*10000</f>
        <v>2400000</v>
      </c>
      <c r="M339" s="539">
        <f>ROUND(('HH WITH COM #2'!$AC$467)/10000,0)*10000</f>
        <v>1500000</v>
      </c>
      <c r="N339" s="91"/>
      <c r="O339" s="17">
        <f>ROUND(('HH WITH COM #3'!$AS$467)/10000,0)*10000</f>
        <v>0</v>
      </c>
      <c r="P339" s="17">
        <f>ROUND(('HH WITH COM #3'!$AY$467)/10000,0)*10000</f>
        <v>0</v>
      </c>
      <c r="Q339" s="539">
        <f>ROUND(('HH WITH COM #3'!$AC$467)/10000,0)*10000</f>
        <v>0</v>
      </c>
      <c r="R339" s="91"/>
      <c r="S339" s="17">
        <f>ROUND(('HH WITH COM #4'!$AS$467)/10000,0)*10000</f>
        <v>0</v>
      </c>
      <c r="T339" s="17">
        <f>ROUND(('HH WITH COM #4'!$AY$467)/10000,0)*10000</f>
        <v>1000000</v>
      </c>
      <c r="U339" s="539">
        <f>ROUND(('HH WITH COM #4'!$AC$467)/10000,0)*10000</f>
        <v>1000000</v>
      </c>
      <c r="V339" s="91"/>
      <c r="W339" s="17">
        <f>ROUND(('HH WITH COM #5'!$AS$467)/10000,0)*10000</f>
        <v>2500000</v>
      </c>
      <c r="X339" s="17">
        <f>ROUND(('HH WITH COM #5'!$AY$467)/10000,0)*10000</f>
        <v>2000000</v>
      </c>
      <c r="Y339" s="539">
        <f>ROUND(('HH WITH COM #5'!$AC$467)/10000,0)*10000</f>
        <v>2250000</v>
      </c>
      <c r="Z339" s="91"/>
      <c r="AA339" s="17">
        <f>ROUND(('HH WITH COM #6'!$AS$467)/10000,0)*10000</f>
        <v>0</v>
      </c>
      <c r="AB339" s="17">
        <f>ROUND(('HH WITH COM #6'!$AY$467)/10000,0)*10000</f>
        <v>1050000</v>
      </c>
      <c r="AC339" s="539">
        <f>ROUND(('HH WITH COM #6'!$AC$467)/10000,0)*10000</f>
        <v>1050000</v>
      </c>
      <c r="AD339" s="91"/>
      <c r="AE339" s="17">
        <f>ROUND(('HH WITH COM #7'!$AS$467)/10000,0)*10000</f>
        <v>0</v>
      </c>
      <c r="AF339" s="17">
        <f>ROUND(('HH WITH COM #7'!$AY$467)/10000,0)*10000</f>
        <v>0</v>
      </c>
      <c r="AG339" s="539">
        <f>ROUND(('HH WITH COM #7'!$AC$467)/10000,0)*10000</f>
        <v>0</v>
      </c>
      <c r="AH339" s="373"/>
      <c r="AI339" s="391">
        <f>ROUND((IF(BH339=0,0,AVERAGE(BA339:BG339)))/10000,0)*10000</f>
        <v>1550000</v>
      </c>
      <c r="AJ339" s="17">
        <f>ROUND((IF(BP339=0,0,AVERAGE(BI339:BO339)))/10000,0)*10000</f>
        <v>1610000</v>
      </c>
      <c r="AK339" s="1078">
        <f>ROUND((IF(BR339=0,0,AVERAGE(BA339:BG339,BI339:BO339)))/10000,0)*10000</f>
        <v>1590000</v>
      </c>
      <c r="AL339" s="91"/>
      <c r="AN339" s="988" t="s">
        <v>1482</v>
      </c>
      <c r="AO339" s="4"/>
      <c r="AP339" s="4"/>
      <c r="AQ339" s="4"/>
      <c r="AR339" s="4"/>
      <c r="AS339" s="4"/>
      <c r="AT339" s="4"/>
      <c r="AU339" s="4"/>
      <c r="AV339" s="4"/>
      <c r="AW339" s="4"/>
      <c r="AX339" s="4"/>
      <c r="AY339" s="4"/>
      <c r="AZ339" s="4"/>
      <c r="BA339" s="8" t="str">
        <f>IF(G339=0,"",G339)</f>
        <v/>
      </c>
      <c r="BB339" s="8">
        <f>IF(K339=0,"",K339)</f>
        <v>600000</v>
      </c>
      <c r="BC339" s="8" t="str">
        <f>IF(O339=0,"",O339)</f>
        <v/>
      </c>
      <c r="BD339" s="8" t="str">
        <f>IF(S339=0,"",S339)</f>
        <v/>
      </c>
      <c r="BE339" s="8">
        <f>IF(W339=0,"",W339)</f>
        <v>2500000</v>
      </c>
      <c r="BF339" s="8" t="str">
        <f>IF(AA339=0,"",AA339)</f>
        <v/>
      </c>
      <c r="BG339" s="8" t="str">
        <f>IF(AE339=0,"",AE339)</f>
        <v/>
      </c>
      <c r="BH339" s="8">
        <f>SUM(BA339:BG339)</f>
        <v>3100000</v>
      </c>
      <c r="BI339" s="8" t="str">
        <f>IF(H339=0,"",H339)</f>
        <v/>
      </c>
      <c r="BJ339" s="8">
        <f>IF(L339=0,"",L339)</f>
        <v>2400000</v>
      </c>
      <c r="BK339" s="8" t="str">
        <f>IF(P339=0,"",P339)</f>
        <v/>
      </c>
      <c r="BL339" s="8">
        <f>IF(T339=0,"",T339)</f>
        <v>1000000</v>
      </c>
      <c r="BM339" s="8">
        <f>IF(X339=0,"",X339)</f>
        <v>2000000</v>
      </c>
      <c r="BN339" s="8">
        <f>IF(AB339=0,"",AB339)</f>
        <v>1050000</v>
      </c>
      <c r="BO339" s="8" t="str">
        <f>IF(AF339=0,"",AF339)</f>
        <v/>
      </c>
      <c r="BP339" s="8">
        <f>SUM(BI339:BO339)</f>
        <v>6450000</v>
      </c>
      <c r="BR339" s="8">
        <f>BH339+BP339</f>
        <v>9550000</v>
      </c>
      <c r="BS339" s="4"/>
      <c r="BT339" s="4"/>
    </row>
    <row r="340" spans="1:72" ht="16.5" customHeight="1" x14ac:dyDescent="0.25">
      <c r="A340" s="40"/>
      <c r="B340" s="40"/>
      <c r="C340" s="68"/>
      <c r="D340" s="467" t="s">
        <v>266</v>
      </c>
      <c r="E340" s="567" t="s">
        <v>598</v>
      </c>
      <c r="F340" s="105"/>
      <c r="G340" s="17">
        <f>'HH WITH COM #1 '!$AT$468</f>
        <v>0</v>
      </c>
      <c r="H340" s="17">
        <f>'HH WITH COM #1 '!$AZ$468</f>
        <v>0</v>
      </c>
      <c r="I340" s="539">
        <f t="shared" ref="I340" si="775">SUM(G340:H340)</f>
        <v>0</v>
      </c>
      <c r="J340" s="91">
        <f t="shared" si="765"/>
        <v>0</v>
      </c>
      <c r="K340" s="17">
        <f>'HH WITH COM #2'!$AT$468</f>
        <v>0</v>
      </c>
      <c r="L340" s="17">
        <f>'HH WITH COM #2'!$AZ$468</f>
        <v>0</v>
      </c>
      <c r="M340" s="539">
        <f t="shared" ref="M340" si="776">SUM(K340:L340)</f>
        <v>0</v>
      </c>
      <c r="N340" s="91">
        <f t="shared" si="766"/>
        <v>0</v>
      </c>
      <c r="O340" s="17">
        <f>'HH WITH COM #3'!$AT$468</f>
        <v>0</v>
      </c>
      <c r="P340" s="17">
        <f>'HH WITH COM #3'!$AZ$468</f>
        <v>0</v>
      </c>
      <c r="Q340" s="539">
        <f t="shared" ref="Q340" si="777">SUM(O340:P340)</f>
        <v>0</v>
      </c>
      <c r="R340" s="91">
        <f t="shared" si="767"/>
        <v>0</v>
      </c>
      <c r="S340" s="17">
        <f>'HH WITH COM #4'!$AT$468</f>
        <v>0</v>
      </c>
      <c r="T340" s="17">
        <f>'HH WITH COM #4'!$AZ$468</f>
        <v>0</v>
      </c>
      <c r="U340" s="539">
        <f t="shared" ref="U340" si="778">SUM(S340:T340)</f>
        <v>0</v>
      </c>
      <c r="V340" s="91">
        <f t="shared" si="768"/>
        <v>0</v>
      </c>
      <c r="W340" s="17">
        <f>'HH WITH COM #5'!$AT$468</f>
        <v>0</v>
      </c>
      <c r="X340" s="17">
        <f>'HH WITH COM #5'!$AZ$468</f>
        <v>0</v>
      </c>
      <c r="Y340" s="539">
        <f t="shared" ref="Y340" si="779">SUM(W340:X340)</f>
        <v>0</v>
      </c>
      <c r="Z340" s="91">
        <f t="shared" si="769"/>
        <v>0</v>
      </c>
      <c r="AA340" s="17">
        <f>'HH WITH COM #6'!$AT$468</f>
        <v>0</v>
      </c>
      <c r="AB340" s="17">
        <f>'HH WITH COM #6'!$AZ$468</f>
        <v>0</v>
      </c>
      <c r="AC340" s="539">
        <f t="shared" ref="AC340" si="780">SUM(AA340:AB340)</f>
        <v>0</v>
      </c>
      <c r="AD340" s="91">
        <f t="shared" si="770"/>
        <v>0</v>
      </c>
      <c r="AE340" s="17">
        <f>'HH WITH COM #7'!$AT$468</f>
        <v>0</v>
      </c>
      <c r="AF340" s="17">
        <f>'HH WITH COM #7'!$AZ$468</f>
        <v>0</v>
      </c>
      <c r="AG340" s="539">
        <f t="shared" ref="AG340" si="781">SUM(AE340:AF340)</f>
        <v>0</v>
      </c>
      <c r="AH340" s="373">
        <f t="shared" si="771"/>
        <v>0</v>
      </c>
      <c r="AI340" s="391">
        <f t="shared" ref="AI340" si="782">G340+K340+O340+S340+W340+AA340+AE340</f>
        <v>0</v>
      </c>
      <c r="AJ340" s="17">
        <f t="shared" ref="AJ340" si="783">H340+L340+P340+T340+X340+AB340+AF340</f>
        <v>0</v>
      </c>
      <c r="AK340" s="539">
        <f t="shared" ref="AK340" si="784">SUM(AI340:AJ340)</f>
        <v>0</v>
      </c>
      <c r="AL340" s="91">
        <f t="shared" si="772"/>
        <v>0</v>
      </c>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row>
    <row r="341" spans="1:72" ht="16.5" customHeight="1" x14ac:dyDescent="0.25">
      <c r="A341" s="40"/>
      <c r="B341" s="40"/>
      <c r="C341" s="68"/>
      <c r="D341" s="422"/>
      <c r="E341" s="184"/>
      <c r="F341" s="184"/>
      <c r="G341" s="497">
        <f>G335+G336+G340</f>
        <v>0</v>
      </c>
      <c r="H341" s="497">
        <f t="shared" ref="H341" si="785">H335+H336+H340</f>
        <v>0</v>
      </c>
      <c r="I341" s="497">
        <f t="shared" ref="I341" si="786">I335+I336+I340</f>
        <v>0</v>
      </c>
      <c r="J341" s="500">
        <f t="shared" si="765"/>
        <v>0</v>
      </c>
      <c r="K341" s="497">
        <f>K335+K336+K340</f>
        <v>1</v>
      </c>
      <c r="L341" s="497">
        <f t="shared" ref="L341" si="787">L335+L336+L340</f>
        <v>2</v>
      </c>
      <c r="M341" s="497">
        <f t="shared" ref="M341" si="788">M335+M336+M340</f>
        <v>3</v>
      </c>
      <c r="N341" s="500">
        <f t="shared" si="766"/>
        <v>1</v>
      </c>
      <c r="O341" s="497">
        <f>O335+O336+O340</f>
        <v>0</v>
      </c>
      <c r="P341" s="497">
        <f t="shared" ref="P341" si="789">P335+P336+P340</f>
        <v>0</v>
      </c>
      <c r="Q341" s="497">
        <f t="shared" ref="Q341" si="790">Q335+Q336+Q340</f>
        <v>0</v>
      </c>
      <c r="R341" s="500">
        <f t="shared" si="767"/>
        <v>0</v>
      </c>
      <c r="S341" s="497">
        <f>S335+S336+S340</f>
        <v>0</v>
      </c>
      <c r="T341" s="497">
        <f t="shared" ref="T341" si="791">T335+T336+T340</f>
        <v>2</v>
      </c>
      <c r="U341" s="497">
        <f t="shared" ref="U341" si="792">U335+U336+U340</f>
        <v>2</v>
      </c>
      <c r="V341" s="500">
        <f t="shared" si="768"/>
        <v>1</v>
      </c>
      <c r="W341" s="497">
        <f>W335+W336+W340</f>
        <v>1</v>
      </c>
      <c r="X341" s="497">
        <f t="shared" ref="X341" si="793">X335+X336+X340</f>
        <v>1</v>
      </c>
      <c r="Y341" s="497">
        <f t="shared" ref="Y341" si="794">Y335+Y336+Y340</f>
        <v>2</v>
      </c>
      <c r="Z341" s="500">
        <f t="shared" si="769"/>
        <v>1</v>
      </c>
      <c r="AA341" s="497">
        <f>AA335+AA336+AA340</f>
        <v>0</v>
      </c>
      <c r="AB341" s="497">
        <f t="shared" ref="AB341" si="795">AB335+AB336+AB340</f>
        <v>2</v>
      </c>
      <c r="AC341" s="497">
        <f t="shared" ref="AC341" si="796">AC335+AC336+AC340</f>
        <v>2</v>
      </c>
      <c r="AD341" s="500">
        <f t="shared" si="770"/>
        <v>1</v>
      </c>
      <c r="AE341" s="497">
        <f>AE335+AE336+AE340</f>
        <v>0</v>
      </c>
      <c r="AF341" s="497">
        <f t="shared" ref="AF341" si="797">AF335+AF336+AF340</f>
        <v>0</v>
      </c>
      <c r="AG341" s="497">
        <f t="shared" ref="AG341" si="798">AG335+AG336+AG340</f>
        <v>0</v>
      </c>
      <c r="AH341" s="614">
        <f t="shared" si="771"/>
        <v>0</v>
      </c>
      <c r="AI341" s="622">
        <f>AI335+AI336+AI340</f>
        <v>2</v>
      </c>
      <c r="AJ341" s="497">
        <f t="shared" ref="AJ341" si="799">AJ335+AJ336+AJ340</f>
        <v>7</v>
      </c>
      <c r="AK341" s="497">
        <f t="shared" ref="AK341" si="800">AK335+AK336+AK340</f>
        <v>9</v>
      </c>
      <c r="AL341" s="500">
        <f t="shared" si="772"/>
        <v>1</v>
      </c>
    </row>
    <row r="342" spans="1:72" ht="16.5" customHeight="1" x14ac:dyDescent="0.25">
      <c r="A342" s="40"/>
      <c r="B342" s="40"/>
      <c r="C342" s="56" t="s">
        <v>267</v>
      </c>
      <c r="D342" s="57" t="s">
        <v>1005</v>
      </c>
      <c r="E342" s="75"/>
      <c r="F342" s="76"/>
      <c r="G342" s="111"/>
      <c r="H342" s="111"/>
      <c r="I342" s="419"/>
      <c r="J342" s="404"/>
      <c r="K342" s="111"/>
      <c r="L342" s="111"/>
      <c r="M342" s="419"/>
      <c r="N342" s="404"/>
      <c r="O342" s="111"/>
      <c r="P342" s="111"/>
      <c r="Q342" s="419"/>
      <c r="R342" s="404"/>
      <c r="S342" s="111"/>
      <c r="T342" s="111"/>
      <c r="U342" s="419"/>
      <c r="V342" s="404"/>
      <c r="W342" s="111"/>
      <c r="X342" s="111"/>
      <c r="Y342" s="419"/>
      <c r="Z342" s="404"/>
      <c r="AA342" s="111"/>
      <c r="AB342" s="111"/>
      <c r="AC342" s="419"/>
      <c r="AD342" s="404"/>
      <c r="AE342" s="404"/>
      <c r="AF342" s="404"/>
      <c r="AG342" s="419"/>
      <c r="AH342" s="615"/>
      <c r="AI342" s="380"/>
      <c r="AJ342" s="111"/>
      <c r="AK342" s="545"/>
      <c r="AL342" s="404"/>
    </row>
    <row r="343" spans="1:72" ht="16.5" customHeight="1" x14ac:dyDescent="0.25">
      <c r="A343" s="40"/>
      <c r="B343" s="40"/>
      <c r="C343" s="68"/>
      <c r="D343" s="467" t="s">
        <v>268</v>
      </c>
      <c r="E343" s="562" t="s">
        <v>478</v>
      </c>
      <c r="F343" s="105"/>
      <c r="G343" s="17">
        <f>'HH WITH COM #1 '!$W$472</f>
        <v>0</v>
      </c>
      <c r="H343" s="17">
        <f>'HH WITH COM #1 '!$X$472</f>
        <v>0</v>
      </c>
      <c r="I343" s="116">
        <f t="shared" ref="I343" si="801">SUM(G343:H343)</f>
        <v>0</v>
      </c>
      <c r="J343" s="197">
        <f>IF(I$351=0,0,I343/I$351)</f>
        <v>0</v>
      </c>
      <c r="K343" s="17">
        <f>'HH WITH COM #2'!$W$472</f>
        <v>0</v>
      </c>
      <c r="L343" s="17">
        <f>'HH WITH COM #2'!$X$472</f>
        <v>0</v>
      </c>
      <c r="M343" s="539">
        <f t="shared" ref="M343:M350" si="802">SUM(K343:L343)</f>
        <v>0</v>
      </c>
      <c r="N343" s="197">
        <f>IF(M$351=0,0,M343/M$351)</f>
        <v>0</v>
      </c>
      <c r="O343" s="17">
        <f>'HH WITH COM #3'!$W$472</f>
        <v>0</v>
      </c>
      <c r="P343" s="17">
        <f>'HH WITH COM #3'!$X$472</f>
        <v>0</v>
      </c>
      <c r="Q343" s="539">
        <f t="shared" ref="Q343:Q350" si="803">SUM(O343:P343)</f>
        <v>0</v>
      </c>
      <c r="R343" s="197">
        <f>IF(Q$351=0,0,Q343/Q$351)</f>
        <v>0</v>
      </c>
      <c r="S343" s="17">
        <f>'HH WITH COM #4'!$W$472</f>
        <v>0</v>
      </c>
      <c r="T343" s="17">
        <f>'HH WITH COM #4'!$X$472</f>
        <v>0</v>
      </c>
      <c r="U343" s="539">
        <f t="shared" ref="U343:U350" si="804">SUM(S343:T343)</f>
        <v>0</v>
      </c>
      <c r="V343" s="197">
        <f>IF(U$351=0,0,U343/U$351)</f>
        <v>0</v>
      </c>
      <c r="W343" s="17">
        <f>'HH WITH COM #5'!$W$472</f>
        <v>0</v>
      </c>
      <c r="X343" s="17">
        <f>'HH WITH COM #5'!$X$472</f>
        <v>0</v>
      </c>
      <c r="Y343" s="539">
        <f t="shared" ref="Y343:Y350" si="805">SUM(W343:X343)</f>
        <v>0</v>
      </c>
      <c r="Z343" s="197">
        <f>IF(Y$351=0,0,Y343/Y$351)</f>
        <v>0</v>
      </c>
      <c r="AA343" s="17">
        <f>'HH WITH COM #6'!$W$472</f>
        <v>0</v>
      </c>
      <c r="AB343" s="17">
        <f>'HH WITH COM #6'!$X$472</f>
        <v>0</v>
      </c>
      <c r="AC343" s="539">
        <f t="shared" ref="AC343:AC350" si="806">SUM(AA343:AB343)</f>
        <v>0</v>
      </c>
      <c r="AD343" s="197">
        <f>IF(AC$351=0,0,AC343/AC$351)</f>
        <v>0</v>
      </c>
      <c r="AE343" s="17">
        <f>'HH WITH COM #7'!$W$472</f>
        <v>0</v>
      </c>
      <c r="AF343" s="17">
        <f>'HH WITH COM #7'!$X$472</f>
        <v>0</v>
      </c>
      <c r="AG343" s="539">
        <f t="shared" ref="AG343:AG350" si="807">SUM(AE343:AF343)</f>
        <v>0</v>
      </c>
      <c r="AH343" s="191">
        <f>IF(AG$351=0,0,AG343/AG$351)</f>
        <v>0</v>
      </c>
      <c r="AI343" s="391">
        <f t="shared" ref="AI343:AI350" si="808">G343+K343+O343+S343+W343+AA343+AE343</f>
        <v>0</v>
      </c>
      <c r="AJ343" s="17">
        <f t="shared" ref="AJ343:AJ350" si="809">H343+L343+P343+T343+X343+AB343+AF343</f>
        <v>0</v>
      </c>
      <c r="AK343" s="539">
        <f t="shared" ref="AK343:AK350" si="810">SUM(AI343:AJ343)</f>
        <v>0</v>
      </c>
      <c r="AL343" s="197">
        <f>IF(AK$351=0,0,AK343/AK$351)</f>
        <v>0</v>
      </c>
    </row>
    <row r="344" spans="1:72" ht="16.5" customHeight="1" x14ac:dyDescent="0.25">
      <c r="A344" s="40"/>
      <c r="B344" s="40"/>
      <c r="C344" s="68"/>
      <c r="D344" s="467" t="s">
        <v>269</v>
      </c>
      <c r="E344" s="562" t="s">
        <v>165</v>
      </c>
      <c r="F344" s="105"/>
      <c r="G344" s="17">
        <f>'HH WITH COM #1 '!$W$473</f>
        <v>0</v>
      </c>
      <c r="H344" s="17">
        <f>'HH WITH COM #1 '!$X$473</f>
        <v>0</v>
      </c>
      <c r="I344" s="539">
        <f t="shared" ref="I344:I350" si="811">SUM(G344:H344)</f>
        <v>0</v>
      </c>
      <c r="J344" s="197">
        <f t="shared" ref="J344:J351" si="812">IF(I$351=0,0,I344/I$351)</f>
        <v>0</v>
      </c>
      <c r="K344" s="17">
        <f>'HH WITH COM #2'!$W$473</f>
        <v>1</v>
      </c>
      <c r="L344" s="17">
        <f>'HH WITH COM #2'!$X$473</f>
        <v>2</v>
      </c>
      <c r="M344" s="539">
        <f t="shared" si="802"/>
        <v>3</v>
      </c>
      <c r="N344" s="197">
        <f t="shared" ref="N344:N351" si="813">IF(M$351=0,0,M344/M$351)</f>
        <v>1</v>
      </c>
      <c r="O344" s="17">
        <f>'HH WITH COM #3'!$W$473</f>
        <v>0</v>
      </c>
      <c r="P344" s="17">
        <f>'HH WITH COM #3'!$X$473</f>
        <v>0</v>
      </c>
      <c r="Q344" s="539">
        <f t="shared" si="803"/>
        <v>0</v>
      </c>
      <c r="R344" s="197">
        <f t="shared" ref="R344:R351" si="814">IF(Q$351=0,0,Q344/Q$351)</f>
        <v>0</v>
      </c>
      <c r="S344" s="17">
        <f>'HH WITH COM #4'!$W$473</f>
        <v>0</v>
      </c>
      <c r="T344" s="17">
        <f>'HH WITH COM #4'!$X$473</f>
        <v>2</v>
      </c>
      <c r="U344" s="539">
        <f t="shared" si="804"/>
        <v>2</v>
      </c>
      <c r="V344" s="197">
        <f t="shared" ref="V344:V351" si="815">IF(U$351=0,0,U344/U$351)</f>
        <v>1</v>
      </c>
      <c r="W344" s="17">
        <f>'HH WITH COM #5'!$W$473</f>
        <v>1</v>
      </c>
      <c r="X344" s="17">
        <f>'HH WITH COM #5'!$X$473</f>
        <v>1</v>
      </c>
      <c r="Y344" s="539">
        <f t="shared" si="805"/>
        <v>2</v>
      </c>
      <c r="Z344" s="197">
        <f t="shared" ref="Z344:Z351" si="816">IF(Y$351=0,0,Y344/Y$351)</f>
        <v>1</v>
      </c>
      <c r="AA344" s="17">
        <f>'HH WITH COM #6'!$W$473</f>
        <v>0</v>
      </c>
      <c r="AB344" s="17">
        <f>'HH WITH COM #6'!$X$473</f>
        <v>2</v>
      </c>
      <c r="AC344" s="539">
        <f t="shared" si="806"/>
        <v>2</v>
      </c>
      <c r="AD344" s="197">
        <f t="shared" ref="AD344:AD351" si="817">IF(AC$351=0,0,AC344/AC$351)</f>
        <v>1</v>
      </c>
      <c r="AE344" s="17">
        <f>'HH WITH COM #7'!$W$473</f>
        <v>0</v>
      </c>
      <c r="AF344" s="17">
        <f>'HH WITH COM #7'!$X$473</f>
        <v>0</v>
      </c>
      <c r="AG344" s="539">
        <f t="shared" si="807"/>
        <v>0</v>
      </c>
      <c r="AH344" s="191">
        <f t="shared" ref="AH344:AH351" si="818">IF(AG$351=0,0,AG344/AG$351)</f>
        <v>0</v>
      </c>
      <c r="AI344" s="391">
        <f t="shared" si="808"/>
        <v>2</v>
      </c>
      <c r="AJ344" s="17">
        <f t="shared" si="809"/>
        <v>7</v>
      </c>
      <c r="AK344" s="539">
        <f t="shared" si="810"/>
        <v>9</v>
      </c>
      <c r="AL344" s="197">
        <f t="shared" ref="AL344:AL351" si="819">IF(AK$351=0,0,AK344/AK$351)</f>
        <v>1</v>
      </c>
    </row>
    <row r="345" spans="1:72" ht="16.5" customHeight="1" x14ac:dyDescent="0.25">
      <c r="A345" s="40"/>
      <c r="B345" s="40"/>
      <c r="C345" s="68"/>
      <c r="D345" s="467" t="s">
        <v>270</v>
      </c>
      <c r="E345" s="562" t="s">
        <v>167</v>
      </c>
      <c r="F345" s="105"/>
      <c r="G345" s="17">
        <f>'HH WITH COM #1 '!$W$474</f>
        <v>0</v>
      </c>
      <c r="H345" s="17">
        <f>'HH WITH COM #1 '!$X$474</f>
        <v>0</v>
      </c>
      <c r="I345" s="539">
        <f t="shared" si="811"/>
        <v>0</v>
      </c>
      <c r="J345" s="197">
        <f t="shared" si="812"/>
        <v>0</v>
      </c>
      <c r="K345" s="17">
        <f>'HH WITH COM #2'!$W$474</f>
        <v>0</v>
      </c>
      <c r="L345" s="17">
        <f>'HH WITH COM #2'!$X$474</f>
        <v>0</v>
      </c>
      <c r="M345" s="539">
        <f t="shared" si="802"/>
        <v>0</v>
      </c>
      <c r="N345" s="197">
        <f t="shared" si="813"/>
        <v>0</v>
      </c>
      <c r="O345" s="17">
        <f>'HH WITH COM #3'!$W$474</f>
        <v>0</v>
      </c>
      <c r="P345" s="17">
        <f>'HH WITH COM #3'!$X$474</f>
        <v>0</v>
      </c>
      <c r="Q345" s="539">
        <f t="shared" si="803"/>
        <v>0</v>
      </c>
      <c r="R345" s="197">
        <f t="shared" si="814"/>
        <v>0</v>
      </c>
      <c r="S345" s="17">
        <f>'HH WITH COM #4'!$W$474</f>
        <v>0</v>
      </c>
      <c r="T345" s="17">
        <f>'HH WITH COM #4'!$X$474</f>
        <v>0</v>
      </c>
      <c r="U345" s="539">
        <f t="shared" si="804"/>
        <v>0</v>
      </c>
      <c r="V345" s="197">
        <f t="shared" si="815"/>
        <v>0</v>
      </c>
      <c r="W345" s="17">
        <f>'HH WITH COM #5'!$W$474</f>
        <v>0</v>
      </c>
      <c r="X345" s="17">
        <f>'HH WITH COM #5'!$X$474</f>
        <v>0</v>
      </c>
      <c r="Y345" s="539">
        <f t="shared" si="805"/>
        <v>0</v>
      </c>
      <c r="Z345" s="197">
        <f t="shared" si="816"/>
        <v>0</v>
      </c>
      <c r="AA345" s="17">
        <f>'HH WITH COM #6'!$W$474</f>
        <v>0</v>
      </c>
      <c r="AB345" s="17">
        <f>'HH WITH COM #6'!$X$474</f>
        <v>0</v>
      </c>
      <c r="AC345" s="539">
        <f t="shared" si="806"/>
        <v>0</v>
      </c>
      <c r="AD345" s="197">
        <f t="shared" si="817"/>
        <v>0</v>
      </c>
      <c r="AE345" s="17">
        <f>'HH WITH COM #7'!$W$474</f>
        <v>0</v>
      </c>
      <c r="AF345" s="17">
        <f>'HH WITH COM #7'!$X$474</f>
        <v>0</v>
      </c>
      <c r="AG345" s="539">
        <f t="shared" si="807"/>
        <v>0</v>
      </c>
      <c r="AH345" s="191">
        <f t="shared" si="818"/>
        <v>0</v>
      </c>
      <c r="AI345" s="391">
        <f t="shared" si="808"/>
        <v>0</v>
      </c>
      <c r="AJ345" s="17">
        <f t="shared" si="809"/>
        <v>0</v>
      </c>
      <c r="AK345" s="539">
        <f t="shared" si="810"/>
        <v>0</v>
      </c>
      <c r="AL345" s="197">
        <f t="shared" si="819"/>
        <v>0</v>
      </c>
    </row>
    <row r="346" spans="1:72" ht="16.5" customHeight="1" x14ac:dyDescent="0.25">
      <c r="A346" s="40"/>
      <c r="B346" s="40"/>
      <c r="C346" s="68"/>
      <c r="D346" s="467" t="s">
        <v>271</v>
      </c>
      <c r="E346" s="562" t="s">
        <v>437</v>
      </c>
      <c r="F346" s="105"/>
      <c r="G346" s="17">
        <f>'HH WITH COM #1 '!$W$475</f>
        <v>0</v>
      </c>
      <c r="H346" s="17">
        <f>'HH WITH COM #1 '!$X$475</f>
        <v>0</v>
      </c>
      <c r="I346" s="539">
        <f t="shared" si="811"/>
        <v>0</v>
      </c>
      <c r="J346" s="197">
        <f t="shared" si="812"/>
        <v>0</v>
      </c>
      <c r="K346" s="17">
        <f>'HH WITH COM #2'!$W$475</f>
        <v>0</v>
      </c>
      <c r="L346" s="17">
        <f>'HH WITH COM #2'!$X$475</f>
        <v>0</v>
      </c>
      <c r="M346" s="539">
        <f t="shared" si="802"/>
        <v>0</v>
      </c>
      <c r="N346" s="197">
        <f t="shared" si="813"/>
        <v>0</v>
      </c>
      <c r="O346" s="17">
        <f>'HH WITH COM #3'!$W$475</f>
        <v>0</v>
      </c>
      <c r="P346" s="17">
        <f>'HH WITH COM #3'!$X$475</f>
        <v>0</v>
      </c>
      <c r="Q346" s="539">
        <f t="shared" si="803"/>
        <v>0</v>
      </c>
      <c r="R346" s="197">
        <f t="shared" si="814"/>
        <v>0</v>
      </c>
      <c r="S346" s="17">
        <f>'HH WITH COM #4'!$W$475</f>
        <v>0</v>
      </c>
      <c r="T346" s="17">
        <f>'HH WITH COM #4'!$X$475</f>
        <v>0</v>
      </c>
      <c r="U346" s="539">
        <f t="shared" si="804"/>
        <v>0</v>
      </c>
      <c r="V346" s="197">
        <f t="shared" si="815"/>
        <v>0</v>
      </c>
      <c r="W346" s="17">
        <f>'HH WITH COM #5'!$W$475</f>
        <v>0</v>
      </c>
      <c r="X346" s="17">
        <f>'HH WITH COM #5'!$X$475</f>
        <v>0</v>
      </c>
      <c r="Y346" s="539">
        <f t="shared" si="805"/>
        <v>0</v>
      </c>
      <c r="Z346" s="197">
        <f t="shared" si="816"/>
        <v>0</v>
      </c>
      <c r="AA346" s="17">
        <f>'HH WITH COM #6'!$W$475</f>
        <v>0</v>
      </c>
      <c r="AB346" s="17">
        <f>'HH WITH COM #6'!$X$475</f>
        <v>0</v>
      </c>
      <c r="AC346" s="539">
        <f t="shared" si="806"/>
        <v>0</v>
      </c>
      <c r="AD346" s="197">
        <f t="shared" si="817"/>
        <v>0</v>
      </c>
      <c r="AE346" s="17">
        <f>'HH WITH COM #7'!$W$475</f>
        <v>0</v>
      </c>
      <c r="AF346" s="17">
        <f>'HH WITH COM #7'!$X$475</f>
        <v>0</v>
      </c>
      <c r="AG346" s="539">
        <f t="shared" si="807"/>
        <v>0</v>
      </c>
      <c r="AH346" s="191">
        <f t="shared" si="818"/>
        <v>0</v>
      </c>
      <c r="AI346" s="391">
        <f t="shared" si="808"/>
        <v>0</v>
      </c>
      <c r="AJ346" s="17">
        <f t="shared" si="809"/>
        <v>0</v>
      </c>
      <c r="AK346" s="539">
        <f t="shared" si="810"/>
        <v>0</v>
      </c>
      <c r="AL346" s="197">
        <f t="shared" si="819"/>
        <v>0</v>
      </c>
    </row>
    <row r="347" spans="1:72" ht="16.5" customHeight="1" x14ac:dyDescent="0.25">
      <c r="A347" s="40"/>
      <c r="B347" s="40"/>
      <c r="C347" s="68"/>
      <c r="D347" s="467" t="s">
        <v>272</v>
      </c>
      <c r="E347" s="562" t="s">
        <v>438</v>
      </c>
      <c r="F347" s="105"/>
      <c r="G347" s="17">
        <f>'HH WITH COM #1 '!$W$476</f>
        <v>0</v>
      </c>
      <c r="H347" s="17">
        <f>'HH WITH COM #1 '!$X$476</f>
        <v>0</v>
      </c>
      <c r="I347" s="539">
        <f t="shared" si="811"/>
        <v>0</v>
      </c>
      <c r="J347" s="197">
        <f t="shared" si="812"/>
        <v>0</v>
      </c>
      <c r="K347" s="17">
        <f>'HH WITH COM #2'!$W$476</f>
        <v>0</v>
      </c>
      <c r="L347" s="17">
        <f>'HH WITH COM #2'!$X$476</f>
        <v>0</v>
      </c>
      <c r="M347" s="539">
        <f t="shared" si="802"/>
        <v>0</v>
      </c>
      <c r="N347" s="197">
        <f t="shared" si="813"/>
        <v>0</v>
      </c>
      <c r="O347" s="17">
        <f>'HH WITH COM #3'!$W$476</f>
        <v>0</v>
      </c>
      <c r="P347" s="17">
        <f>'HH WITH COM #3'!$X$476</f>
        <v>0</v>
      </c>
      <c r="Q347" s="539">
        <f t="shared" si="803"/>
        <v>0</v>
      </c>
      <c r="R347" s="197">
        <f t="shared" si="814"/>
        <v>0</v>
      </c>
      <c r="S347" s="17">
        <f>'HH WITH COM #4'!$W$476</f>
        <v>0</v>
      </c>
      <c r="T347" s="17">
        <f>'HH WITH COM #4'!$X$476</f>
        <v>0</v>
      </c>
      <c r="U347" s="539">
        <f t="shared" si="804"/>
        <v>0</v>
      </c>
      <c r="V347" s="197">
        <f t="shared" si="815"/>
        <v>0</v>
      </c>
      <c r="W347" s="17">
        <f>'HH WITH COM #5'!$W$476</f>
        <v>0</v>
      </c>
      <c r="X347" s="17">
        <f>'HH WITH COM #5'!$X$476</f>
        <v>0</v>
      </c>
      <c r="Y347" s="539">
        <f t="shared" si="805"/>
        <v>0</v>
      </c>
      <c r="Z347" s="197">
        <f t="shared" si="816"/>
        <v>0</v>
      </c>
      <c r="AA347" s="17">
        <f>'HH WITH COM #6'!$W$476</f>
        <v>0</v>
      </c>
      <c r="AB347" s="17">
        <f>'HH WITH COM #6'!$X$476</f>
        <v>0</v>
      </c>
      <c r="AC347" s="539">
        <f t="shared" si="806"/>
        <v>0</v>
      </c>
      <c r="AD347" s="197">
        <f t="shared" si="817"/>
        <v>0</v>
      </c>
      <c r="AE347" s="17">
        <f>'HH WITH COM #7'!$W$476</f>
        <v>0</v>
      </c>
      <c r="AF347" s="17">
        <f>'HH WITH COM #7'!$X$476</f>
        <v>0</v>
      </c>
      <c r="AG347" s="539">
        <f t="shared" si="807"/>
        <v>0</v>
      </c>
      <c r="AH347" s="191">
        <f t="shared" si="818"/>
        <v>0</v>
      </c>
      <c r="AI347" s="391">
        <f t="shared" si="808"/>
        <v>0</v>
      </c>
      <c r="AJ347" s="17">
        <f t="shared" si="809"/>
        <v>0</v>
      </c>
      <c r="AK347" s="539">
        <f t="shared" si="810"/>
        <v>0</v>
      </c>
      <c r="AL347" s="197">
        <f t="shared" si="819"/>
        <v>0</v>
      </c>
    </row>
    <row r="348" spans="1:72" ht="16.5" customHeight="1" x14ac:dyDescent="0.25">
      <c r="A348" s="40"/>
      <c r="B348" s="40"/>
      <c r="C348" s="68"/>
      <c r="D348" s="467" t="s">
        <v>273</v>
      </c>
      <c r="E348" s="562" t="s">
        <v>439</v>
      </c>
      <c r="F348" s="105"/>
      <c r="G348" s="17">
        <f>'HH WITH COM #1 '!$W$477</f>
        <v>0</v>
      </c>
      <c r="H348" s="17">
        <f>'HH WITH COM #1 '!$X$477</f>
        <v>0</v>
      </c>
      <c r="I348" s="539">
        <f t="shared" si="811"/>
        <v>0</v>
      </c>
      <c r="J348" s="197">
        <f t="shared" si="812"/>
        <v>0</v>
      </c>
      <c r="K348" s="17">
        <f>'HH WITH COM #2'!$W$477</f>
        <v>0</v>
      </c>
      <c r="L348" s="17">
        <f>'HH WITH COM #2'!$X$477</f>
        <v>0</v>
      </c>
      <c r="M348" s="539">
        <f t="shared" si="802"/>
        <v>0</v>
      </c>
      <c r="N348" s="197">
        <f t="shared" si="813"/>
        <v>0</v>
      </c>
      <c r="O348" s="17">
        <f>'HH WITH COM #3'!$W$477</f>
        <v>0</v>
      </c>
      <c r="P348" s="17">
        <f>'HH WITH COM #3'!$X$477</f>
        <v>0</v>
      </c>
      <c r="Q348" s="539">
        <f t="shared" si="803"/>
        <v>0</v>
      </c>
      <c r="R348" s="197">
        <f t="shared" si="814"/>
        <v>0</v>
      </c>
      <c r="S348" s="17">
        <f>'HH WITH COM #4'!$W$477</f>
        <v>0</v>
      </c>
      <c r="T348" s="17">
        <f>'HH WITH COM #4'!$X$477</f>
        <v>0</v>
      </c>
      <c r="U348" s="539">
        <f t="shared" si="804"/>
        <v>0</v>
      </c>
      <c r="V348" s="197">
        <f t="shared" si="815"/>
        <v>0</v>
      </c>
      <c r="W348" s="17">
        <f>'HH WITH COM #5'!$W$477</f>
        <v>0</v>
      </c>
      <c r="X348" s="17">
        <f>'HH WITH COM #5'!$X$477</f>
        <v>0</v>
      </c>
      <c r="Y348" s="539">
        <f t="shared" si="805"/>
        <v>0</v>
      </c>
      <c r="Z348" s="197">
        <f t="shared" si="816"/>
        <v>0</v>
      </c>
      <c r="AA348" s="17">
        <f>'HH WITH COM #6'!$W$477</f>
        <v>0</v>
      </c>
      <c r="AB348" s="17">
        <f>'HH WITH COM #6'!$X$477</f>
        <v>0</v>
      </c>
      <c r="AC348" s="539">
        <f t="shared" si="806"/>
        <v>0</v>
      </c>
      <c r="AD348" s="197">
        <f t="shared" si="817"/>
        <v>0</v>
      </c>
      <c r="AE348" s="17">
        <f>'HH WITH COM #7'!$W$477</f>
        <v>0</v>
      </c>
      <c r="AF348" s="17">
        <f>'HH WITH COM #7'!$X$477</f>
        <v>0</v>
      </c>
      <c r="AG348" s="539">
        <f t="shared" si="807"/>
        <v>0</v>
      </c>
      <c r="AH348" s="191">
        <f t="shared" si="818"/>
        <v>0</v>
      </c>
      <c r="AI348" s="391">
        <f t="shared" si="808"/>
        <v>0</v>
      </c>
      <c r="AJ348" s="17">
        <f t="shared" si="809"/>
        <v>0</v>
      </c>
      <c r="AK348" s="539">
        <f t="shared" si="810"/>
        <v>0</v>
      </c>
      <c r="AL348" s="197">
        <f t="shared" si="819"/>
        <v>0</v>
      </c>
    </row>
    <row r="349" spans="1:72" ht="16.5" customHeight="1" x14ac:dyDescent="0.25">
      <c r="A349" s="40"/>
      <c r="B349" s="40"/>
      <c r="C349" s="68"/>
      <c r="D349" s="467" t="s">
        <v>274</v>
      </c>
      <c r="E349" s="484" t="s">
        <v>483</v>
      </c>
      <c r="F349" s="105"/>
      <c r="G349" s="17">
        <f>'HH WITH COM #1 '!$W$478</f>
        <v>0</v>
      </c>
      <c r="H349" s="17">
        <f>'HH WITH COM #1 '!$X$478</f>
        <v>0</v>
      </c>
      <c r="I349" s="539">
        <f t="shared" si="811"/>
        <v>0</v>
      </c>
      <c r="J349" s="197">
        <f t="shared" si="812"/>
        <v>0</v>
      </c>
      <c r="K349" s="17">
        <f>'HH WITH COM #2'!$W$478</f>
        <v>0</v>
      </c>
      <c r="L349" s="17">
        <f>'HH WITH COM #2'!$X$478</f>
        <v>0</v>
      </c>
      <c r="M349" s="539">
        <f t="shared" si="802"/>
        <v>0</v>
      </c>
      <c r="N349" s="197">
        <f t="shared" si="813"/>
        <v>0</v>
      </c>
      <c r="O349" s="17">
        <f>'HH WITH COM #3'!$W$478</f>
        <v>0</v>
      </c>
      <c r="P349" s="17">
        <f>'HH WITH COM #3'!$X$478</f>
        <v>0</v>
      </c>
      <c r="Q349" s="539">
        <f t="shared" si="803"/>
        <v>0</v>
      </c>
      <c r="R349" s="197">
        <f t="shared" si="814"/>
        <v>0</v>
      </c>
      <c r="S349" s="17">
        <f>'HH WITH COM #4'!$W$478</f>
        <v>0</v>
      </c>
      <c r="T349" s="17">
        <f>'HH WITH COM #4'!$X$478</f>
        <v>0</v>
      </c>
      <c r="U349" s="539">
        <f t="shared" si="804"/>
        <v>0</v>
      </c>
      <c r="V349" s="197">
        <f t="shared" si="815"/>
        <v>0</v>
      </c>
      <c r="W349" s="17">
        <f>'HH WITH COM #5'!$W$478</f>
        <v>0</v>
      </c>
      <c r="X349" s="17">
        <f>'HH WITH COM #5'!$X$478</f>
        <v>0</v>
      </c>
      <c r="Y349" s="539">
        <f t="shared" si="805"/>
        <v>0</v>
      </c>
      <c r="Z349" s="197">
        <f t="shared" si="816"/>
        <v>0</v>
      </c>
      <c r="AA349" s="17">
        <f>'HH WITH COM #6'!$W$478</f>
        <v>0</v>
      </c>
      <c r="AB349" s="17">
        <f>'HH WITH COM #6'!$X$478</f>
        <v>0</v>
      </c>
      <c r="AC349" s="539">
        <f t="shared" si="806"/>
        <v>0</v>
      </c>
      <c r="AD349" s="197">
        <f t="shared" si="817"/>
        <v>0</v>
      </c>
      <c r="AE349" s="17">
        <f>'HH WITH COM #7'!$W$478</f>
        <v>0</v>
      </c>
      <c r="AF349" s="17">
        <f>'HH WITH COM #7'!$X$478</f>
        <v>0</v>
      </c>
      <c r="AG349" s="539">
        <f t="shared" si="807"/>
        <v>0</v>
      </c>
      <c r="AH349" s="191">
        <f t="shared" si="818"/>
        <v>0</v>
      </c>
      <c r="AI349" s="391">
        <f t="shared" si="808"/>
        <v>0</v>
      </c>
      <c r="AJ349" s="17">
        <f t="shared" si="809"/>
        <v>0</v>
      </c>
      <c r="AK349" s="539">
        <f t="shared" si="810"/>
        <v>0</v>
      </c>
      <c r="AL349" s="197">
        <f t="shared" si="819"/>
        <v>0</v>
      </c>
    </row>
    <row r="350" spans="1:72" ht="16.5" customHeight="1" x14ac:dyDescent="0.25">
      <c r="A350" s="40"/>
      <c r="B350" s="40"/>
      <c r="C350" s="68"/>
      <c r="D350" s="467" t="s">
        <v>482</v>
      </c>
      <c r="E350" s="167" t="s">
        <v>129</v>
      </c>
      <c r="F350" s="105"/>
      <c r="G350" s="17">
        <f>'HH WITH COM #1 '!$W$479</f>
        <v>0</v>
      </c>
      <c r="H350" s="17">
        <f>'HH WITH COM #1 '!$X$479</f>
        <v>0</v>
      </c>
      <c r="I350" s="539">
        <f t="shared" si="811"/>
        <v>0</v>
      </c>
      <c r="J350" s="197">
        <f t="shared" si="812"/>
        <v>0</v>
      </c>
      <c r="K350" s="17">
        <f>'HH WITH COM #2'!$W$479</f>
        <v>0</v>
      </c>
      <c r="L350" s="17">
        <f>'HH WITH COM #2'!$X$479</f>
        <v>0</v>
      </c>
      <c r="M350" s="539">
        <f t="shared" si="802"/>
        <v>0</v>
      </c>
      <c r="N350" s="197">
        <f t="shared" si="813"/>
        <v>0</v>
      </c>
      <c r="O350" s="17">
        <f>'HH WITH COM #3'!$W$479</f>
        <v>0</v>
      </c>
      <c r="P350" s="17">
        <f>'HH WITH COM #3'!$X$479</f>
        <v>0</v>
      </c>
      <c r="Q350" s="539">
        <f t="shared" si="803"/>
        <v>0</v>
      </c>
      <c r="R350" s="197">
        <f t="shared" si="814"/>
        <v>0</v>
      </c>
      <c r="S350" s="17">
        <f>'HH WITH COM #4'!$W$479</f>
        <v>0</v>
      </c>
      <c r="T350" s="17">
        <f>'HH WITH COM #4'!$X$479</f>
        <v>0</v>
      </c>
      <c r="U350" s="539">
        <f t="shared" si="804"/>
        <v>0</v>
      </c>
      <c r="V350" s="197">
        <f t="shared" si="815"/>
        <v>0</v>
      </c>
      <c r="W350" s="17">
        <f>'HH WITH COM #5'!$W$479</f>
        <v>0</v>
      </c>
      <c r="X350" s="17">
        <f>'HH WITH COM #5'!$X$479</f>
        <v>0</v>
      </c>
      <c r="Y350" s="539">
        <f t="shared" si="805"/>
        <v>0</v>
      </c>
      <c r="Z350" s="197">
        <f t="shared" si="816"/>
        <v>0</v>
      </c>
      <c r="AA350" s="17">
        <f>'HH WITH COM #6'!$W$479</f>
        <v>0</v>
      </c>
      <c r="AB350" s="17">
        <f>'HH WITH COM #6'!$X$479</f>
        <v>0</v>
      </c>
      <c r="AC350" s="539">
        <f t="shared" si="806"/>
        <v>0</v>
      </c>
      <c r="AD350" s="197">
        <f t="shared" si="817"/>
        <v>0</v>
      </c>
      <c r="AE350" s="17">
        <f>'HH WITH COM #7'!$W$479</f>
        <v>0</v>
      </c>
      <c r="AF350" s="17">
        <f>'HH WITH COM #7'!$X$479</f>
        <v>0</v>
      </c>
      <c r="AG350" s="539">
        <f t="shared" si="807"/>
        <v>0</v>
      </c>
      <c r="AH350" s="191">
        <f t="shared" si="818"/>
        <v>0</v>
      </c>
      <c r="AI350" s="391">
        <f t="shared" si="808"/>
        <v>0</v>
      </c>
      <c r="AJ350" s="17">
        <f t="shared" si="809"/>
        <v>0</v>
      </c>
      <c r="AK350" s="539">
        <f t="shared" si="810"/>
        <v>0</v>
      </c>
      <c r="AL350" s="197">
        <f t="shared" si="819"/>
        <v>0</v>
      </c>
    </row>
    <row r="351" spans="1:72" ht="16.5" customHeight="1" x14ac:dyDescent="0.25">
      <c r="A351" s="40"/>
      <c r="B351" s="40"/>
      <c r="C351" s="68"/>
      <c r="D351" s="422"/>
      <c r="E351" s="184"/>
      <c r="F351" s="184"/>
      <c r="G351" s="82">
        <f>SUM(G343:G350)</f>
        <v>0</v>
      </c>
      <c r="H351" s="82">
        <f t="shared" ref="H351:I351" si="820">SUM(H343:H350)</f>
        <v>0</v>
      </c>
      <c r="I351" s="82">
        <f t="shared" si="820"/>
        <v>0</v>
      </c>
      <c r="J351" s="500">
        <f t="shared" si="812"/>
        <v>0</v>
      </c>
      <c r="K351" s="82">
        <f>SUM(K343:K350)</f>
        <v>1</v>
      </c>
      <c r="L351" s="82">
        <f t="shared" ref="L351" si="821">SUM(L343:L350)</f>
        <v>2</v>
      </c>
      <c r="M351" s="82">
        <f t="shared" ref="M351" si="822">SUM(M343:M350)</f>
        <v>3</v>
      </c>
      <c r="N351" s="500">
        <f t="shared" si="813"/>
        <v>1</v>
      </c>
      <c r="O351" s="82">
        <f>SUM(O343:O350)</f>
        <v>0</v>
      </c>
      <c r="P351" s="82">
        <f t="shared" ref="P351" si="823">SUM(P343:P350)</f>
        <v>0</v>
      </c>
      <c r="Q351" s="82">
        <f t="shared" ref="Q351" si="824">SUM(Q343:Q350)</f>
        <v>0</v>
      </c>
      <c r="R351" s="500">
        <f t="shared" si="814"/>
        <v>0</v>
      </c>
      <c r="S351" s="82">
        <f>SUM(S343:S350)</f>
        <v>0</v>
      </c>
      <c r="T351" s="82">
        <f t="shared" ref="T351" si="825">SUM(T343:T350)</f>
        <v>2</v>
      </c>
      <c r="U351" s="82">
        <f t="shared" ref="U351" si="826">SUM(U343:U350)</f>
        <v>2</v>
      </c>
      <c r="V351" s="500">
        <f t="shared" si="815"/>
        <v>1</v>
      </c>
      <c r="W351" s="82">
        <f>SUM(W343:W350)</f>
        <v>1</v>
      </c>
      <c r="X351" s="82">
        <f t="shared" ref="X351" si="827">SUM(X343:X350)</f>
        <v>1</v>
      </c>
      <c r="Y351" s="82">
        <f t="shared" ref="Y351" si="828">SUM(Y343:Y350)</f>
        <v>2</v>
      </c>
      <c r="Z351" s="500">
        <f t="shared" si="816"/>
        <v>1</v>
      </c>
      <c r="AA351" s="82">
        <f>SUM(AA343:AA350)</f>
        <v>0</v>
      </c>
      <c r="AB351" s="82">
        <f t="shared" ref="AB351" si="829">SUM(AB343:AB350)</f>
        <v>2</v>
      </c>
      <c r="AC351" s="82">
        <f t="shared" ref="AC351" si="830">SUM(AC343:AC350)</f>
        <v>2</v>
      </c>
      <c r="AD351" s="500">
        <f t="shared" si="817"/>
        <v>1</v>
      </c>
      <c r="AE351" s="82">
        <f>SUM(AE343:AE350)</f>
        <v>0</v>
      </c>
      <c r="AF351" s="82">
        <f t="shared" ref="AF351" si="831">SUM(AF343:AF350)</f>
        <v>0</v>
      </c>
      <c r="AG351" s="82">
        <f t="shared" ref="AG351" si="832">SUM(AG343:AG350)</f>
        <v>0</v>
      </c>
      <c r="AH351" s="614">
        <f t="shared" si="818"/>
        <v>0</v>
      </c>
      <c r="AI351" s="381">
        <f t="shared" ref="AI351:AJ351" si="833">SUM(AI343:AI348)</f>
        <v>2</v>
      </c>
      <c r="AJ351" s="82">
        <f t="shared" si="833"/>
        <v>7</v>
      </c>
      <c r="AK351" s="82">
        <f>SUM(AK343:AK348)</f>
        <v>9</v>
      </c>
      <c r="AL351" s="500">
        <f t="shared" si="819"/>
        <v>1</v>
      </c>
    </row>
    <row r="352" spans="1:72" s="117" customFormat="1" ht="16.5" customHeight="1" x14ac:dyDescent="0.25">
      <c r="A352" s="119"/>
      <c r="B352" s="41" t="s">
        <v>876</v>
      </c>
      <c r="C352" s="476" t="s">
        <v>12</v>
      </c>
      <c r="D352" s="477"/>
      <c r="E352" s="478"/>
      <c r="F352" s="478"/>
      <c r="G352" s="71"/>
      <c r="H352" s="71"/>
      <c r="I352" s="71"/>
      <c r="J352" s="71"/>
      <c r="K352" s="71"/>
      <c r="L352" s="71"/>
      <c r="M352" s="71"/>
      <c r="N352" s="71"/>
      <c r="O352" s="71"/>
      <c r="P352" s="71"/>
      <c r="Q352" s="71"/>
      <c r="R352" s="71"/>
      <c r="S352" s="71"/>
      <c r="T352" s="71"/>
      <c r="U352" s="71"/>
      <c r="V352" s="71"/>
      <c r="W352" s="71"/>
      <c r="X352" s="71"/>
      <c r="Y352" s="71"/>
      <c r="Z352" s="71"/>
      <c r="AA352" s="71"/>
      <c r="AB352" s="71"/>
      <c r="AC352" s="71"/>
      <c r="AD352" s="71"/>
      <c r="AE352" s="71"/>
      <c r="AF352" s="71"/>
      <c r="AG352" s="71"/>
      <c r="AH352" s="355"/>
      <c r="AI352" s="377"/>
      <c r="AJ352" s="71"/>
      <c r="AK352" s="71"/>
      <c r="AL352" s="71"/>
    </row>
    <row r="353" spans="1:38" ht="16.5" customHeight="1" x14ac:dyDescent="0.25">
      <c r="A353" s="40"/>
      <c r="B353" s="40"/>
      <c r="C353" s="56" t="s">
        <v>277</v>
      </c>
      <c r="D353" s="149" t="s">
        <v>278</v>
      </c>
      <c r="E353" s="75"/>
      <c r="F353" s="76"/>
      <c r="G353" s="17">
        <f>'HH WITH COM #1 '!$W$490</f>
        <v>1</v>
      </c>
      <c r="H353" s="17">
        <f>'HH WITH COM #1 '!$X$490</f>
        <v>3</v>
      </c>
      <c r="I353" s="116">
        <f>SUM(G353:H353)</f>
        <v>4</v>
      </c>
      <c r="J353" s="91"/>
      <c r="K353" s="17">
        <f>'HH WITH COM #2'!$W$490</f>
        <v>1</v>
      </c>
      <c r="L353" s="17">
        <f>'HH WITH COM #2'!$X$490</f>
        <v>4</v>
      </c>
      <c r="M353" s="539">
        <f>SUM(K353:L353)</f>
        <v>5</v>
      </c>
      <c r="N353" s="91"/>
      <c r="O353" s="17">
        <f>'HH WITH COM #3'!$W$490</f>
        <v>0</v>
      </c>
      <c r="P353" s="17">
        <f>'HH WITH COM #3'!$X$490</f>
        <v>9</v>
      </c>
      <c r="Q353" s="539">
        <f>SUM(O353:P353)</f>
        <v>9</v>
      </c>
      <c r="R353" s="91"/>
      <c r="S353" s="17">
        <f>'HH WITH COM #4'!$W$490</f>
        <v>0</v>
      </c>
      <c r="T353" s="17">
        <f>'HH WITH COM #4'!$X$490</f>
        <v>6</v>
      </c>
      <c r="U353" s="539">
        <f>SUM(S353:T353)</f>
        <v>6</v>
      </c>
      <c r="V353" s="91"/>
      <c r="W353" s="17">
        <f>'HH WITH COM #5'!$W$490</f>
        <v>0</v>
      </c>
      <c r="X353" s="17">
        <f>'HH WITH COM #5'!$X$490</f>
        <v>14</v>
      </c>
      <c r="Y353" s="539">
        <f>SUM(W353:X353)</f>
        <v>14</v>
      </c>
      <c r="Z353" s="91"/>
      <c r="AA353" s="17">
        <f>'HH WITH COM #6'!$W$490</f>
        <v>1</v>
      </c>
      <c r="AB353" s="17">
        <f>'HH WITH COM #6'!$X$490</f>
        <v>8</v>
      </c>
      <c r="AC353" s="539">
        <f>SUM(AA353:AB353)</f>
        <v>9</v>
      </c>
      <c r="AD353" s="91"/>
      <c r="AE353" s="17">
        <f>'HH WITH COM #7'!$W$490</f>
        <v>0</v>
      </c>
      <c r="AF353" s="17">
        <f>'HH WITH COM #7'!$X$490</f>
        <v>0</v>
      </c>
      <c r="AG353" s="539">
        <f>SUM(AE353:AF353)</f>
        <v>0</v>
      </c>
      <c r="AH353" s="373"/>
      <c r="AI353" s="391">
        <f t="shared" ref="AI353" si="834">G353+K353+O353+S353+W353+AA353+AE353</f>
        <v>3</v>
      </c>
      <c r="AJ353" s="17">
        <f t="shared" ref="AJ353" si="835">H353+L353+P353+T353+X353+AB353+AF353</f>
        <v>44</v>
      </c>
      <c r="AK353" s="539">
        <f>SUM(AI353:AJ353)</f>
        <v>47</v>
      </c>
      <c r="AL353" s="91"/>
    </row>
    <row r="354" spans="1:38" s="4" customFormat="1" ht="16.5" customHeight="1" x14ac:dyDescent="0.25">
      <c r="A354" s="119"/>
      <c r="B354" s="119"/>
      <c r="C354" s="119"/>
      <c r="D354" s="184" t="s">
        <v>877</v>
      </c>
      <c r="E354" s="134"/>
      <c r="F354" s="469"/>
      <c r="G354" s="66">
        <f>IF(G$151=0,0,G353/G$151)</f>
        <v>0.14285714285714285</v>
      </c>
      <c r="H354" s="66">
        <f t="shared" ref="H354:I354" si="836">IF(H$151=0,0,H353/H$151)</f>
        <v>0.375</v>
      </c>
      <c r="I354" s="66">
        <f t="shared" si="836"/>
        <v>0.26666666666666666</v>
      </c>
      <c r="J354" s="500"/>
      <c r="K354" s="66">
        <f>IF(K$151=0,0,K353/K$151)</f>
        <v>0.25</v>
      </c>
      <c r="L354" s="66">
        <f t="shared" ref="L354" si="837">IF(L$151=0,0,L353/L$151)</f>
        <v>0.4</v>
      </c>
      <c r="M354" s="66">
        <f t="shared" ref="M354" si="838">IF(M$151=0,0,M353/M$151)</f>
        <v>0.35714285714285715</v>
      </c>
      <c r="N354" s="500"/>
      <c r="O354" s="66">
        <f>IF(O$151=0,0,O353/O$151)</f>
        <v>0</v>
      </c>
      <c r="P354" s="66">
        <f t="shared" ref="P354" si="839">IF(P$151=0,0,P353/P$151)</f>
        <v>1</v>
      </c>
      <c r="Q354" s="66">
        <f t="shared" ref="Q354" si="840">IF(Q$151=0,0,Q353/Q$151)</f>
        <v>1</v>
      </c>
      <c r="R354" s="500"/>
      <c r="S354" s="66">
        <f>IF(S$151=0,0,S353/S$151)</f>
        <v>0</v>
      </c>
      <c r="T354" s="66">
        <f t="shared" ref="T354" si="841">IF(T$151=0,0,T353/T$151)</f>
        <v>0.4</v>
      </c>
      <c r="U354" s="66">
        <f t="shared" ref="U354" si="842">IF(U$151=0,0,U353/U$151)</f>
        <v>0.375</v>
      </c>
      <c r="V354" s="500"/>
      <c r="W354" s="66">
        <f>IF(W$151=0,0,W353/W$151)</f>
        <v>0</v>
      </c>
      <c r="X354" s="66">
        <f t="shared" ref="X354" si="843">IF(X$151=0,0,X353/X$151)</f>
        <v>0.73684210526315785</v>
      </c>
      <c r="Y354" s="66">
        <f t="shared" ref="Y354" si="844">IF(Y$151=0,0,Y353/Y$151)</f>
        <v>0.66666666666666663</v>
      </c>
      <c r="Z354" s="500"/>
      <c r="AA354" s="66">
        <f>IF(AA$151=0,0,AA353/AA$151)</f>
        <v>0.33333333333333331</v>
      </c>
      <c r="AB354" s="66">
        <f t="shared" ref="AB354" si="845">IF(AB$151=0,0,AB353/AB$151)</f>
        <v>0.66666666666666663</v>
      </c>
      <c r="AC354" s="66">
        <f t="shared" ref="AC354" si="846">IF(AC$151=0,0,AC353/AC$151)</f>
        <v>0.6</v>
      </c>
      <c r="AD354" s="500"/>
      <c r="AE354" s="66">
        <f>IF(AE$151=0,0,AE353/AE$151)</f>
        <v>0</v>
      </c>
      <c r="AF354" s="66">
        <f t="shared" ref="AF354" si="847">IF(AF$151=0,0,AF353/AF$151)</f>
        <v>0</v>
      </c>
      <c r="AG354" s="66">
        <f t="shared" ref="AG354" si="848">IF(AG$151=0,0,AG353/AG$151)</f>
        <v>0</v>
      </c>
      <c r="AH354" s="614"/>
      <c r="AI354" s="619">
        <f>IF(AI$151=0,0,AI353/AI$151)</f>
        <v>0.17647058823529413</v>
      </c>
      <c r="AJ354" s="66">
        <f t="shared" ref="AJ354" si="849">IF(AJ$151=0,0,AJ353/AJ$151)</f>
        <v>0.60273972602739723</v>
      </c>
      <c r="AK354" s="66">
        <f t="shared" ref="AK354" si="850">IF(AK$151=0,0,AK353/AK$151)</f>
        <v>0.52222222222222225</v>
      </c>
      <c r="AL354" s="500"/>
    </row>
    <row r="355" spans="1:38" ht="16.5" customHeight="1" x14ac:dyDescent="0.25">
      <c r="A355" s="119"/>
      <c r="B355" s="119"/>
      <c r="C355" s="74" t="s">
        <v>279</v>
      </c>
      <c r="D355" s="85" t="s">
        <v>280</v>
      </c>
      <c r="E355" s="156"/>
      <c r="F355" s="76"/>
      <c r="G355" s="111"/>
      <c r="H355" s="111"/>
      <c r="I355" s="419"/>
      <c r="J355" s="131"/>
      <c r="K355" s="111"/>
      <c r="L355" s="111"/>
      <c r="M355" s="419"/>
      <c r="N355" s="131"/>
      <c r="O355" s="111"/>
      <c r="P355" s="111"/>
      <c r="Q355" s="419"/>
      <c r="R355" s="131"/>
      <c r="S355" s="111"/>
      <c r="T355" s="111"/>
      <c r="U355" s="419"/>
      <c r="V355" s="131"/>
      <c r="W355" s="111"/>
      <c r="X355" s="111"/>
      <c r="Y355" s="419"/>
      <c r="Z355" s="131"/>
      <c r="AA355" s="111"/>
      <c r="AB355" s="111"/>
      <c r="AC355" s="419"/>
      <c r="AD355" s="131"/>
      <c r="AE355" s="131"/>
      <c r="AF355" s="131"/>
      <c r="AG355" s="419"/>
      <c r="AH355" s="613"/>
      <c r="AI355" s="380"/>
      <c r="AJ355" s="111"/>
      <c r="AK355" s="545"/>
      <c r="AL355" s="131"/>
    </row>
    <row r="356" spans="1:38" ht="16.5" customHeight="1" x14ac:dyDescent="0.25">
      <c r="A356" s="119"/>
      <c r="B356" s="119"/>
      <c r="C356" s="119"/>
      <c r="D356" s="484" t="s">
        <v>1008</v>
      </c>
      <c r="E356" s="156"/>
      <c r="F356" s="76"/>
      <c r="G356" s="17">
        <f>'HH WITH COM #1 '!$W$500</f>
        <v>7</v>
      </c>
      <c r="H356" s="17">
        <f>'HH WITH COM #1 '!$X$500</f>
        <v>5</v>
      </c>
      <c r="I356" s="116">
        <f>SUM(G356:H356)</f>
        <v>12</v>
      </c>
      <c r="J356" s="569"/>
      <c r="K356" s="17">
        <f>'HH WITH COM #2'!$W$500</f>
        <v>3</v>
      </c>
      <c r="L356" s="17">
        <f>'HH WITH COM #2'!$X$500</f>
        <v>6</v>
      </c>
      <c r="M356" s="539">
        <f>SUM(K356:L356)</f>
        <v>9</v>
      </c>
      <c r="N356" s="569"/>
      <c r="O356" s="17">
        <f>'HH WITH COM #3'!$W$500</f>
        <v>0</v>
      </c>
      <c r="P356" s="17">
        <f>'HH WITH COM #3'!$X$500</f>
        <v>0</v>
      </c>
      <c r="Q356" s="539">
        <f>SUM(O356:P356)</f>
        <v>0</v>
      </c>
      <c r="R356" s="569"/>
      <c r="S356" s="17">
        <f>'HH WITH COM #4'!$W$500</f>
        <v>1</v>
      </c>
      <c r="T356" s="17">
        <f>'HH WITH COM #4'!$X$500</f>
        <v>9</v>
      </c>
      <c r="U356" s="539">
        <f>SUM(S356:T356)</f>
        <v>10</v>
      </c>
      <c r="V356" s="569"/>
      <c r="W356" s="17">
        <f>'HH WITH COM #5'!$W$500</f>
        <v>2</v>
      </c>
      <c r="X356" s="17">
        <f>'HH WITH COM #5'!$X$500</f>
        <v>5</v>
      </c>
      <c r="Y356" s="539">
        <f>SUM(W356:X356)</f>
        <v>7</v>
      </c>
      <c r="Z356" s="569"/>
      <c r="AA356" s="17">
        <f>'HH WITH COM #6'!$W$500</f>
        <v>2</v>
      </c>
      <c r="AB356" s="17">
        <f>'HH WITH COM #6'!$X$500</f>
        <v>5</v>
      </c>
      <c r="AC356" s="539">
        <f>SUM(AA356:AB356)</f>
        <v>7</v>
      </c>
      <c r="AD356" s="569"/>
      <c r="AE356" s="17">
        <f>'HH WITH COM #7'!$W$500</f>
        <v>0</v>
      </c>
      <c r="AF356" s="17">
        <f>'HH WITH COM #7'!$X$500</f>
        <v>0</v>
      </c>
      <c r="AG356" s="539">
        <f>SUM(AE356:AF356)</f>
        <v>0</v>
      </c>
      <c r="AH356" s="616"/>
      <c r="AI356" s="391">
        <f t="shared" ref="AI356" si="851">G356+K356+O356+S356+W356+AA356+AE356</f>
        <v>15</v>
      </c>
      <c r="AJ356" s="17">
        <f t="shared" ref="AJ356" si="852">H356+L356+P356+T356+X356+AB356+AF356</f>
        <v>30</v>
      </c>
      <c r="AK356" s="539">
        <f>SUM(AI356:AJ356)</f>
        <v>45</v>
      </c>
      <c r="AL356" s="91"/>
    </row>
    <row r="357" spans="1:38" s="4" customFormat="1" ht="16.5" customHeight="1" x14ac:dyDescent="0.25">
      <c r="A357" s="119"/>
      <c r="B357" s="119"/>
      <c r="C357" s="119"/>
      <c r="D357" s="184" t="s">
        <v>997</v>
      </c>
      <c r="E357" s="134"/>
      <c r="F357" s="469"/>
      <c r="G357" s="66">
        <f>IF(G$151=0,0,G356/G$151)</f>
        <v>1</v>
      </c>
      <c r="H357" s="66">
        <f t="shared" ref="H357" si="853">IF(H$151=0,0,H356/H$151)</f>
        <v>0.625</v>
      </c>
      <c r="I357" s="66">
        <f t="shared" ref="I357" si="854">IF(I$151=0,0,I356/I$151)</f>
        <v>0.8</v>
      </c>
      <c r="J357" s="500"/>
      <c r="K357" s="66">
        <f>IF(K$151=0,0,K356/K$151)</f>
        <v>0.75</v>
      </c>
      <c r="L357" s="66">
        <f t="shared" ref="L357" si="855">IF(L$151=0,0,L356/L$151)</f>
        <v>0.6</v>
      </c>
      <c r="M357" s="66">
        <f t="shared" ref="M357" si="856">IF(M$151=0,0,M356/M$151)</f>
        <v>0.6428571428571429</v>
      </c>
      <c r="N357" s="500"/>
      <c r="O357" s="66">
        <f>IF(O$151=0,0,O356/O$151)</f>
        <v>0</v>
      </c>
      <c r="P357" s="66">
        <f t="shared" ref="P357" si="857">IF(P$151=0,0,P356/P$151)</f>
        <v>0</v>
      </c>
      <c r="Q357" s="66">
        <f t="shared" ref="Q357" si="858">IF(Q$151=0,0,Q356/Q$151)</f>
        <v>0</v>
      </c>
      <c r="R357" s="500"/>
      <c r="S357" s="66">
        <f>IF(S$151=0,0,S356/S$151)</f>
        <v>1</v>
      </c>
      <c r="T357" s="66">
        <f t="shared" ref="T357" si="859">IF(T$151=0,0,T356/T$151)</f>
        <v>0.6</v>
      </c>
      <c r="U357" s="66">
        <f t="shared" ref="U357" si="860">IF(U$151=0,0,U356/U$151)</f>
        <v>0.625</v>
      </c>
      <c r="V357" s="500"/>
      <c r="W357" s="66">
        <f>IF(W$151=0,0,W356/W$151)</f>
        <v>1</v>
      </c>
      <c r="X357" s="66">
        <f t="shared" ref="X357" si="861">IF(X$151=0,0,X356/X$151)</f>
        <v>0.26315789473684209</v>
      </c>
      <c r="Y357" s="66">
        <f t="shared" ref="Y357" si="862">IF(Y$151=0,0,Y356/Y$151)</f>
        <v>0.33333333333333331</v>
      </c>
      <c r="Z357" s="500"/>
      <c r="AA357" s="66">
        <f>IF(AA$151=0,0,AA356/AA$151)</f>
        <v>0.66666666666666663</v>
      </c>
      <c r="AB357" s="66">
        <f t="shared" ref="AB357" si="863">IF(AB$151=0,0,AB356/AB$151)</f>
        <v>0.41666666666666669</v>
      </c>
      <c r="AC357" s="66">
        <f t="shared" ref="AC357" si="864">IF(AC$151=0,0,AC356/AC$151)</f>
        <v>0.46666666666666667</v>
      </c>
      <c r="AD357" s="500"/>
      <c r="AE357" s="66">
        <f>IF(AE$151=0,0,AE356/AE$151)</f>
        <v>0</v>
      </c>
      <c r="AF357" s="66">
        <f t="shared" ref="AF357" si="865">IF(AF$151=0,0,AF356/AF$151)</f>
        <v>0</v>
      </c>
      <c r="AG357" s="66">
        <f t="shared" ref="AG357" si="866">IF(AG$151=0,0,AG356/AG$151)</f>
        <v>0</v>
      </c>
      <c r="AH357" s="614"/>
      <c r="AI357" s="619">
        <f>IF(AI$151=0,0,AI356/AI$151)</f>
        <v>0.88235294117647056</v>
      </c>
      <c r="AJ357" s="66">
        <f t="shared" ref="AJ357" si="867">IF(AJ$151=0,0,AJ356/AJ$151)</f>
        <v>0.41095890410958902</v>
      </c>
      <c r="AK357" s="66">
        <f t="shared" ref="AK357" si="868">IF(AK$151=0,0,AK356/AK$151)</f>
        <v>0.5</v>
      </c>
      <c r="AL357" s="500"/>
    </row>
    <row r="358" spans="1:38" s="97" customFormat="1" ht="16.5" customHeight="1" x14ac:dyDescent="0.25">
      <c r="A358" s="68"/>
      <c r="B358" s="68"/>
      <c r="C358" s="68"/>
      <c r="D358" s="166"/>
      <c r="E358" s="458"/>
      <c r="F358" s="458"/>
      <c r="G358" s="466"/>
      <c r="H358" s="466"/>
      <c r="I358" s="466"/>
      <c r="J358" s="466"/>
      <c r="K358" s="466"/>
      <c r="L358" s="466"/>
      <c r="M358" s="466"/>
      <c r="N358" s="466"/>
      <c r="O358" s="466"/>
      <c r="P358" s="466"/>
      <c r="Q358" s="466"/>
      <c r="R358" s="466"/>
      <c r="S358" s="466"/>
      <c r="T358" s="466"/>
      <c r="U358" s="466"/>
      <c r="V358" s="466"/>
      <c r="W358" s="466"/>
      <c r="X358" s="466"/>
      <c r="Y358" s="466"/>
      <c r="Z358" s="466"/>
      <c r="AA358" s="466"/>
      <c r="AB358" s="466"/>
      <c r="AC358" s="466"/>
      <c r="AD358" s="466"/>
      <c r="AE358" s="466"/>
      <c r="AF358" s="466"/>
      <c r="AG358" s="466"/>
      <c r="AH358" s="466"/>
      <c r="AI358" s="466"/>
      <c r="AJ358" s="466"/>
      <c r="AK358" s="466"/>
      <c r="AL358" s="466"/>
    </row>
    <row r="359" spans="1:38" s="456" customFormat="1" ht="16.5" customHeight="1" thickBot="1" x14ac:dyDescent="0.3">
      <c r="A359" s="24" t="s">
        <v>287</v>
      </c>
      <c r="B359" s="453" t="s">
        <v>288</v>
      </c>
      <c r="C359" s="26"/>
      <c r="D359" s="454"/>
      <c r="E359" s="454"/>
      <c r="F359" s="455"/>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606"/>
      <c r="AI359" s="630"/>
      <c r="AJ359" s="24"/>
      <c r="AK359" s="24"/>
      <c r="AL359" s="24"/>
    </row>
    <row r="360" spans="1:38" s="117" customFormat="1" ht="16.5" customHeight="1" x14ac:dyDescent="0.25">
      <c r="A360" s="119"/>
      <c r="B360" s="41" t="s">
        <v>289</v>
      </c>
      <c r="C360" s="69" t="s">
        <v>1009</v>
      </c>
      <c r="D360" s="70"/>
      <c r="E360" s="478"/>
      <c r="F360" s="478"/>
      <c r="G360" s="71"/>
      <c r="H360" s="71"/>
      <c r="I360" s="71"/>
      <c r="J360" s="71"/>
      <c r="K360" s="71"/>
      <c r="L360" s="71"/>
      <c r="M360" s="71"/>
      <c r="N360" s="71"/>
      <c r="O360" s="71"/>
      <c r="P360" s="71"/>
      <c r="Q360" s="71"/>
      <c r="R360" s="71"/>
      <c r="S360" s="71"/>
      <c r="T360" s="71"/>
      <c r="U360" s="71"/>
      <c r="V360" s="71"/>
      <c r="W360" s="71"/>
      <c r="X360" s="71"/>
      <c r="Y360" s="71"/>
      <c r="Z360" s="71"/>
      <c r="AA360" s="71"/>
      <c r="AB360" s="71"/>
      <c r="AC360" s="71"/>
      <c r="AD360" s="71"/>
      <c r="AE360" s="71"/>
      <c r="AF360" s="71"/>
      <c r="AG360" s="71"/>
      <c r="AH360" s="355"/>
      <c r="AI360" s="631"/>
      <c r="AJ360" s="272"/>
      <c r="AK360" s="272"/>
      <c r="AL360" s="272"/>
    </row>
    <row r="361" spans="1:38" ht="16.5" customHeight="1" x14ac:dyDescent="0.25">
      <c r="A361" s="40"/>
      <c r="B361" s="40"/>
      <c r="C361" s="473" t="s">
        <v>291</v>
      </c>
      <c r="D361" s="105" t="s">
        <v>292</v>
      </c>
      <c r="E361" s="105"/>
      <c r="F361" s="106"/>
      <c r="G361" s="17">
        <f>'HH WITH COM #1 '!$W$504</f>
        <v>3</v>
      </c>
      <c r="H361" s="17">
        <f>'HH WITH COM #1 '!$X$504</f>
        <v>0</v>
      </c>
      <c r="I361" s="116">
        <f>SUM(G361:H361)</f>
        <v>3</v>
      </c>
      <c r="J361" s="91">
        <f>IF(I$365=0,0,I361/I$365)</f>
        <v>0.2</v>
      </c>
      <c r="K361" s="17">
        <f>'HH WITH COM #2'!$W$504</f>
        <v>0</v>
      </c>
      <c r="L361" s="17">
        <f>'HH WITH COM #2'!$X$504</f>
        <v>0</v>
      </c>
      <c r="M361" s="539">
        <f>SUM(K361:L361)</f>
        <v>0</v>
      </c>
      <c r="N361" s="91">
        <f>IF(M$365=0,0,M361/M$365)</f>
        <v>0</v>
      </c>
      <c r="O361" s="17">
        <f>'HH WITH COM #3'!$W$504</f>
        <v>0</v>
      </c>
      <c r="P361" s="17">
        <f>'HH WITH COM #3'!$X$504</f>
        <v>0</v>
      </c>
      <c r="Q361" s="539">
        <f>SUM(O361:P361)</f>
        <v>0</v>
      </c>
      <c r="R361" s="91">
        <f>IF(Q$365=0,0,Q361/Q$365)</f>
        <v>0</v>
      </c>
      <c r="S361" s="17">
        <f>'HH WITH COM #4'!$W$504</f>
        <v>0</v>
      </c>
      <c r="T361" s="17">
        <f>'HH WITH COM #4'!$X$504</f>
        <v>0</v>
      </c>
      <c r="U361" s="539">
        <f>SUM(S361:T361)</f>
        <v>0</v>
      </c>
      <c r="V361" s="91">
        <f>IF(U$365=0,0,U361/U$365)</f>
        <v>0</v>
      </c>
      <c r="W361" s="17">
        <f>'HH WITH COM #5'!$W$504</f>
        <v>1</v>
      </c>
      <c r="X361" s="17">
        <f>'HH WITH COM #5'!$X$504</f>
        <v>3</v>
      </c>
      <c r="Y361" s="539">
        <f>SUM(W361:X361)</f>
        <v>4</v>
      </c>
      <c r="Z361" s="91">
        <f>IF(Y$365=0,0,Y361/Y$365)</f>
        <v>0.19047619047619047</v>
      </c>
      <c r="AA361" s="17">
        <f>'HH WITH COM #6'!$W$504</f>
        <v>3</v>
      </c>
      <c r="AB361" s="17">
        <f>'HH WITH COM #6'!$X$504</f>
        <v>2</v>
      </c>
      <c r="AC361" s="539">
        <f>SUM(AA361:AB361)</f>
        <v>5</v>
      </c>
      <c r="AD361" s="91">
        <f>IF(AC$365=0,0,AC361/AC$365)</f>
        <v>0.33333333333333331</v>
      </c>
      <c r="AE361" s="17">
        <f>'HH WITH COM #7'!$W$504</f>
        <v>0</v>
      </c>
      <c r="AF361" s="17">
        <f>'HH WITH COM #7'!$X$504</f>
        <v>0</v>
      </c>
      <c r="AG361" s="539">
        <f>SUM(AE361:AF361)</f>
        <v>0</v>
      </c>
      <c r="AH361" s="373">
        <f>IF(AG$365=0,0,AG361/AG$365)</f>
        <v>0</v>
      </c>
      <c r="AI361" s="391">
        <f t="shared" ref="AI361:AI364" si="869">G361+K361+O361+S361+W361+AA361+AE361</f>
        <v>7</v>
      </c>
      <c r="AJ361" s="17">
        <f t="shared" ref="AJ361:AJ364" si="870">H361+L361+P361+T361+X361+AB361+AF361</f>
        <v>5</v>
      </c>
      <c r="AK361" s="539">
        <f t="shared" ref="AK361:AK364" si="871">SUM(AI361:AJ361)</f>
        <v>12</v>
      </c>
      <c r="AL361" s="91">
        <f>IF(AK$365=0,0,AK361/AK$365)</f>
        <v>0.13333333333333333</v>
      </c>
    </row>
    <row r="362" spans="1:38" ht="16.5" customHeight="1" x14ac:dyDescent="0.25">
      <c r="A362" s="40"/>
      <c r="B362" s="40"/>
      <c r="C362" s="473" t="s">
        <v>293</v>
      </c>
      <c r="D362" s="105" t="s">
        <v>11</v>
      </c>
      <c r="E362" s="105"/>
      <c r="F362" s="106"/>
      <c r="G362" s="17">
        <f>'HH WITH COM #1 '!$W$505</f>
        <v>0</v>
      </c>
      <c r="H362" s="17">
        <f>'HH WITH COM #1 '!$X$505</f>
        <v>0</v>
      </c>
      <c r="I362" s="116">
        <f>SUM(G362:H362)</f>
        <v>0</v>
      </c>
      <c r="J362" s="91">
        <f>IF(I$365=0,0,I362/I$365)</f>
        <v>0</v>
      </c>
      <c r="K362" s="17">
        <f>'HH WITH COM #2'!$W$505</f>
        <v>1</v>
      </c>
      <c r="L362" s="17">
        <f>'HH WITH COM #2'!$X$505</f>
        <v>4</v>
      </c>
      <c r="M362" s="539">
        <f>SUM(K362:L362)</f>
        <v>5</v>
      </c>
      <c r="N362" s="91">
        <f>IF(M$365=0,0,M362/M$365)</f>
        <v>0.35714285714285715</v>
      </c>
      <c r="O362" s="17">
        <f>'HH WITH COM #3'!$W$505</f>
        <v>0</v>
      </c>
      <c r="P362" s="17">
        <f>'HH WITH COM #3'!$X$505</f>
        <v>0</v>
      </c>
      <c r="Q362" s="539">
        <f>SUM(O362:P362)</f>
        <v>0</v>
      </c>
      <c r="R362" s="91">
        <f>IF(Q$365=0,0,Q362/Q$365)</f>
        <v>0</v>
      </c>
      <c r="S362" s="17">
        <f>'HH WITH COM #4'!$W$505</f>
        <v>0</v>
      </c>
      <c r="T362" s="17">
        <f>'HH WITH COM #4'!$X$505</f>
        <v>0</v>
      </c>
      <c r="U362" s="539">
        <f>SUM(S362:T362)</f>
        <v>0</v>
      </c>
      <c r="V362" s="91">
        <f>IF(U$365=0,0,U362/U$365)</f>
        <v>0</v>
      </c>
      <c r="W362" s="17">
        <f>'HH WITH COM #5'!$W$505</f>
        <v>0</v>
      </c>
      <c r="X362" s="17">
        <f>'HH WITH COM #5'!$X$505</f>
        <v>9</v>
      </c>
      <c r="Y362" s="539">
        <f>SUM(W362:X362)</f>
        <v>9</v>
      </c>
      <c r="Z362" s="91">
        <f>IF(Y$365=0,0,Y362/Y$365)</f>
        <v>0.42857142857142855</v>
      </c>
      <c r="AA362" s="17">
        <f>'HH WITH COM #6'!$W$505</f>
        <v>0</v>
      </c>
      <c r="AB362" s="17">
        <f>'HH WITH COM #6'!$X$505</f>
        <v>0</v>
      </c>
      <c r="AC362" s="539">
        <f>SUM(AA362:AB362)</f>
        <v>0</v>
      </c>
      <c r="AD362" s="91">
        <f>IF(AC$365=0,0,AC362/AC$365)</f>
        <v>0</v>
      </c>
      <c r="AE362" s="17">
        <f>'HH WITH COM #7'!$W$505</f>
        <v>0</v>
      </c>
      <c r="AF362" s="17">
        <f>'HH WITH COM #7'!$X$505</f>
        <v>0</v>
      </c>
      <c r="AG362" s="539">
        <f>SUM(AE362:AF362)</f>
        <v>0</v>
      </c>
      <c r="AH362" s="373">
        <f>IF(AG$365=0,0,AG362/AG$365)</f>
        <v>0</v>
      </c>
      <c r="AI362" s="391">
        <f t="shared" si="869"/>
        <v>1</v>
      </c>
      <c r="AJ362" s="17">
        <f t="shared" si="870"/>
        <v>13</v>
      </c>
      <c r="AK362" s="539">
        <f t="shared" si="871"/>
        <v>14</v>
      </c>
      <c r="AL362" s="91">
        <f>IF(AK$365=0,0,AK362/AK$365)</f>
        <v>0.15555555555555556</v>
      </c>
    </row>
    <row r="363" spans="1:38" ht="16.5" customHeight="1" x14ac:dyDescent="0.25">
      <c r="A363" s="40"/>
      <c r="B363" s="40"/>
      <c r="C363" s="473" t="s">
        <v>294</v>
      </c>
      <c r="D363" s="105" t="s">
        <v>295</v>
      </c>
      <c r="E363" s="105"/>
      <c r="F363" s="106"/>
      <c r="G363" s="17">
        <f>'HH WITH COM #1 '!$W$506</f>
        <v>0</v>
      </c>
      <c r="H363" s="17">
        <f>'HH WITH COM #1 '!$X$506</f>
        <v>0</v>
      </c>
      <c r="I363" s="116">
        <f>SUM(G363:H363)</f>
        <v>0</v>
      </c>
      <c r="J363" s="91">
        <f>IF(I$365=0,0,I363/I$365)</f>
        <v>0</v>
      </c>
      <c r="K363" s="17">
        <f>'HH WITH COM #2'!$W$506</f>
        <v>1</v>
      </c>
      <c r="L363" s="17">
        <f>'HH WITH COM #2'!$X$506</f>
        <v>1</v>
      </c>
      <c r="M363" s="539">
        <f>SUM(K363:L363)</f>
        <v>2</v>
      </c>
      <c r="N363" s="91">
        <f>IF(M$365=0,0,M363/M$365)</f>
        <v>0.14285714285714285</v>
      </c>
      <c r="O363" s="17">
        <f>'HH WITH COM #3'!$W$506</f>
        <v>0</v>
      </c>
      <c r="P363" s="17">
        <f>'HH WITH COM #3'!$X$506</f>
        <v>0</v>
      </c>
      <c r="Q363" s="539">
        <f>SUM(O363:P363)</f>
        <v>0</v>
      </c>
      <c r="R363" s="91">
        <f>IF(Q$365=0,0,Q363/Q$365)</f>
        <v>0</v>
      </c>
      <c r="S363" s="17">
        <f>'HH WITH COM #4'!$W$506</f>
        <v>0</v>
      </c>
      <c r="T363" s="17">
        <f>'HH WITH COM #4'!$X$506</f>
        <v>0</v>
      </c>
      <c r="U363" s="539">
        <f>SUM(S363:T363)</f>
        <v>0</v>
      </c>
      <c r="V363" s="91">
        <f>IF(U$365=0,0,U363/U$365)</f>
        <v>0</v>
      </c>
      <c r="W363" s="17">
        <f>'HH WITH COM #5'!$W$506</f>
        <v>0</v>
      </c>
      <c r="X363" s="17">
        <f>'HH WITH COM #5'!$X$506</f>
        <v>0</v>
      </c>
      <c r="Y363" s="539">
        <f>SUM(W363:X363)</f>
        <v>0</v>
      </c>
      <c r="Z363" s="91">
        <f>IF(Y$365=0,0,Y363/Y$365)</f>
        <v>0</v>
      </c>
      <c r="AA363" s="17">
        <f>'HH WITH COM #6'!$W$506</f>
        <v>0</v>
      </c>
      <c r="AB363" s="17">
        <f>'HH WITH COM #6'!$X$506</f>
        <v>0</v>
      </c>
      <c r="AC363" s="539">
        <f>SUM(AA363:AB363)</f>
        <v>0</v>
      </c>
      <c r="AD363" s="91">
        <f>IF(AC$365=0,0,AC363/AC$365)</f>
        <v>0</v>
      </c>
      <c r="AE363" s="17">
        <f>'HH WITH COM #7'!$W$506</f>
        <v>0</v>
      </c>
      <c r="AF363" s="17">
        <f>'HH WITH COM #7'!$X$506</f>
        <v>0</v>
      </c>
      <c r="AG363" s="539">
        <f>SUM(AE363:AF363)</f>
        <v>0</v>
      </c>
      <c r="AH363" s="373">
        <f>IF(AG$365=0,0,AG363/AG$365)</f>
        <v>0</v>
      </c>
      <c r="AI363" s="391">
        <f t="shared" si="869"/>
        <v>1</v>
      </c>
      <c r="AJ363" s="17">
        <f t="shared" si="870"/>
        <v>1</v>
      </c>
      <c r="AK363" s="539">
        <f t="shared" si="871"/>
        <v>2</v>
      </c>
      <c r="AL363" s="91">
        <f>IF(AK$365=0,0,AK363/AK$365)</f>
        <v>2.2222222222222223E-2</v>
      </c>
    </row>
    <row r="364" spans="1:38" ht="16.5" customHeight="1" x14ac:dyDescent="0.25">
      <c r="A364" s="40"/>
      <c r="B364" s="40"/>
      <c r="C364" s="473" t="s">
        <v>296</v>
      </c>
      <c r="D364" s="105" t="s">
        <v>9</v>
      </c>
      <c r="E364" s="105"/>
      <c r="F364" s="106"/>
      <c r="G364" s="17">
        <f>'HH WITH COM #1 '!$W$507</f>
        <v>4</v>
      </c>
      <c r="H364" s="17">
        <f>'HH WITH COM #1 '!$X$507</f>
        <v>8</v>
      </c>
      <c r="I364" s="116">
        <f>SUM(G364:H364)</f>
        <v>12</v>
      </c>
      <c r="J364" s="91">
        <f>IF(I$365=0,0,I364/I$365)</f>
        <v>0.8</v>
      </c>
      <c r="K364" s="17">
        <f>'HH WITH COM #2'!$W$507</f>
        <v>2</v>
      </c>
      <c r="L364" s="17">
        <f>'HH WITH COM #2'!$X$507</f>
        <v>5</v>
      </c>
      <c r="M364" s="539">
        <f>SUM(K364:L364)</f>
        <v>7</v>
      </c>
      <c r="N364" s="91">
        <f>IF(M$365=0,0,M364/M$365)</f>
        <v>0.5</v>
      </c>
      <c r="O364" s="17">
        <f>'HH WITH COM #3'!$W$507</f>
        <v>0</v>
      </c>
      <c r="P364" s="17">
        <f>'HH WITH COM #3'!$X$507</f>
        <v>9</v>
      </c>
      <c r="Q364" s="539">
        <f>SUM(O364:P364)</f>
        <v>9</v>
      </c>
      <c r="R364" s="91">
        <f>IF(Q$365=0,0,Q364/Q$365)</f>
        <v>1</v>
      </c>
      <c r="S364" s="17">
        <f>'HH WITH COM #4'!$W$507</f>
        <v>1</v>
      </c>
      <c r="T364" s="17">
        <f>'HH WITH COM #4'!$X$507</f>
        <v>15</v>
      </c>
      <c r="U364" s="539">
        <f>SUM(S364:T364)</f>
        <v>16</v>
      </c>
      <c r="V364" s="91">
        <f>IF(U$365=0,0,U364/U$365)</f>
        <v>1</v>
      </c>
      <c r="W364" s="17">
        <f>'HH WITH COM #5'!$W$507</f>
        <v>1</v>
      </c>
      <c r="X364" s="17">
        <f>'HH WITH COM #5'!$X$507</f>
        <v>7</v>
      </c>
      <c r="Y364" s="539">
        <f>SUM(W364:X364)</f>
        <v>8</v>
      </c>
      <c r="Z364" s="91">
        <f>IF(Y$365=0,0,Y364/Y$365)</f>
        <v>0.38095238095238093</v>
      </c>
      <c r="AA364" s="17">
        <f>'HH WITH COM #6'!$W$507</f>
        <v>0</v>
      </c>
      <c r="AB364" s="17">
        <f>'HH WITH COM #6'!$X$507</f>
        <v>10</v>
      </c>
      <c r="AC364" s="539">
        <f>SUM(AA364:AB364)</f>
        <v>10</v>
      </c>
      <c r="AD364" s="91">
        <f>IF(AC$365=0,0,AC364/AC$365)</f>
        <v>0.66666666666666663</v>
      </c>
      <c r="AE364" s="17">
        <f>'HH WITH COM #7'!$W$507</f>
        <v>0</v>
      </c>
      <c r="AF364" s="17">
        <f>'HH WITH COM #7'!$X$507</f>
        <v>0</v>
      </c>
      <c r="AG364" s="539">
        <f>SUM(AE364:AF364)</f>
        <v>0</v>
      </c>
      <c r="AH364" s="373">
        <f>IF(AG$365=0,0,AG364/AG$365)</f>
        <v>0</v>
      </c>
      <c r="AI364" s="391">
        <f t="shared" si="869"/>
        <v>8</v>
      </c>
      <c r="AJ364" s="17">
        <f t="shared" si="870"/>
        <v>54</v>
      </c>
      <c r="AK364" s="539">
        <f t="shared" si="871"/>
        <v>62</v>
      </c>
      <c r="AL364" s="91">
        <f>IF(AK$365=0,0,AK364/AK$365)</f>
        <v>0.68888888888888888</v>
      </c>
    </row>
    <row r="365" spans="1:38" ht="16.5" customHeight="1" x14ac:dyDescent="0.25">
      <c r="A365" s="40"/>
      <c r="B365" s="40"/>
      <c r="C365" s="119"/>
      <c r="D365" s="185"/>
      <c r="E365" s="184"/>
      <c r="F365" s="469"/>
      <c r="G365" s="82">
        <f>SUM(G361:G364)</f>
        <v>7</v>
      </c>
      <c r="H365" s="82">
        <f>SUM(H361:H364)</f>
        <v>8</v>
      </c>
      <c r="I365" s="82">
        <f>SUM(I361:I364)</f>
        <v>15</v>
      </c>
      <c r="J365" s="66">
        <f>IF(I$365=0,0,I365/I$365)</f>
        <v>1</v>
      </c>
      <c r="K365" s="82">
        <f>SUM(K361:K364)</f>
        <v>4</v>
      </c>
      <c r="L365" s="82">
        <f>SUM(L361:L364)</f>
        <v>10</v>
      </c>
      <c r="M365" s="82">
        <f>SUM(M361:M364)</f>
        <v>14</v>
      </c>
      <c r="N365" s="66">
        <f>IF(M$365=0,0,M365/M$365)</f>
        <v>1</v>
      </c>
      <c r="O365" s="82">
        <f>SUM(O361:O364)</f>
        <v>0</v>
      </c>
      <c r="P365" s="82">
        <f>SUM(P361:P364)</f>
        <v>9</v>
      </c>
      <c r="Q365" s="82">
        <f>SUM(Q361:Q364)</f>
        <v>9</v>
      </c>
      <c r="R365" s="66">
        <f>IF(Q$365=0,0,Q365/Q$365)</f>
        <v>1</v>
      </c>
      <c r="S365" s="82">
        <f>SUM(S361:S364)</f>
        <v>1</v>
      </c>
      <c r="T365" s="82">
        <f>SUM(T361:T364)</f>
        <v>15</v>
      </c>
      <c r="U365" s="82">
        <f>SUM(U361:U364)</f>
        <v>16</v>
      </c>
      <c r="V365" s="66">
        <f>IF(U$365=0,0,U365/U$365)</f>
        <v>1</v>
      </c>
      <c r="W365" s="82">
        <f>SUM(W361:W364)</f>
        <v>2</v>
      </c>
      <c r="X365" s="82">
        <f>SUM(X361:X364)</f>
        <v>19</v>
      </c>
      <c r="Y365" s="82">
        <f>SUM(Y361:Y364)</f>
        <v>21</v>
      </c>
      <c r="Z365" s="66">
        <f>IF(Y$365=0,0,Y365/Y$365)</f>
        <v>1</v>
      </c>
      <c r="AA365" s="82">
        <f>SUM(AA361:AA364)</f>
        <v>3</v>
      </c>
      <c r="AB365" s="82">
        <f>SUM(AB361:AB364)</f>
        <v>12</v>
      </c>
      <c r="AC365" s="82">
        <f>SUM(AC361:AC364)</f>
        <v>15</v>
      </c>
      <c r="AD365" s="66">
        <f>IF(AC$365=0,0,AC365/AC$365)</f>
        <v>1</v>
      </c>
      <c r="AE365" s="82">
        <f>SUM(AE361:AE364)</f>
        <v>0</v>
      </c>
      <c r="AF365" s="82">
        <f>SUM(AF361:AF364)</f>
        <v>0</v>
      </c>
      <c r="AG365" s="82">
        <f>SUM(AG361:AG364)</f>
        <v>0</v>
      </c>
      <c r="AH365" s="608">
        <f>IF(AG$365=0,0,AG365/AG$365)</f>
        <v>0</v>
      </c>
      <c r="AI365" s="381">
        <f>SUM(AI361:AI364)</f>
        <v>17</v>
      </c>
      <c r="AJ365" s="82">
        <f>SUM(AJ361:AJ364)</f>
        <v>73</v>
      </c>
      <c r="AK365" s="82">
        <f>SUM(AK361:AK364)</f>
        <v>90</v>
      </c>
      <c r="AL365" s="66">
        <f>IF(AK$365=0,0,AK365/AK$365)</f>
        <v>1</v>
      </c>
    </row>
    <row r="366" spans="1:38" s="117" customFormat="1" ht="16.5" customHeight="1" x14ac:dyDescent="0.25">
      <c r="A366" s="119"/>
      <c r="B366" s="41" t="s">
        <v>297</v>
      </c>
      <c r="C366" s="69" t="s">
        <v>1010</v>
      </c>
      <c r="D366" s="70"/>
      <c r="E366" s="478"/>
      <c r="F366" s="478"/>
      <c r="G366" s="71"/>
      <c r="H366" s="71"/>
      <c r="I366" s="71"/>
      <c r="J366" s="71"/>
      <c r="K366" s="71"/>
      <c r="L366" s="71"/>
      <c r="M366" s="71"/>
      <c r="N366" s="71"/>
      <c r="O366" s="71"/>
      <c r="P366" s="71"/>
      <c r="Q366" s="71"/>
      <c r="R366" s="71"/>
      <c r="S366" s="71"/>
      <c r="T366" s="71"/>
      <c r="U366" s="71"/>
      <c r="V366" s="71"/>
      <c r="W366" s="71"/>
      <c r="X366" s="71"/>
      <c r="Y366" s="71"/>
      <c r="Z366" s="71"/>
      <c r="AA366" s="71"/>
      <c r="AB366" s="71"/>
      <c r="AC366" s="71"/>
      <c r="AD366" s="71"/>
      <c r="AE366" s="71"/>
      <c r="AF366" s="71"/>
      <c r="AG366" s="71"/>
      <c r="AH366" s="355"/>
      <c r="AI366" s="377"/>
      <c r="AJ366" s="71"/>
      <c r="AK366" s="71"/>
      <c r="AL366" s="71"/>
    </row>
    <row r="367" spans="1:38" ht="16.5" customHeight="1" x14ac:dyDescent="0.25">
      <c r="A367" s="40"/>
      <c r="B367" s="40"/>
      <c r="C367" s="473" t="s">
        <v>298</v>
      </c>
      <c r="D367" s="105" t="s">
        <v>292</v>
      </c>
      <c r="E367" s="105"/>
      <c r="F367" s="106"/>
      <c r="G367" s="17">
        <f>'HH WITH COM #1 '!$W$511</f>
        <v>0</v>
      </c>
      <c r="H367" s="17">
        <f>'HH WITH COM #1 '!$X$511</f>
        <v>0</v>
      </c>
      <c r="I367" s="539">
        <f>SUM(G367:H367)</f>
        <v>0</v>
      </c>
      <c r="J367" s="91">
        <f>IF(I$371=0,0,I367/I$371)</f>
        <v>0</v>
      </c>
      <c r="K367" s="17">
        <f>'HH WITH COM #2'!$W$511</f>
        <v>0</v>
      </c>
      <c r="L367" s="17">
        <f>'HH WITH COM #2'!$X$511</f>
        <v>0</v>
      </c>
      <c r="M367" s="539">
        <f>SUM(K367:L367)</f>
        <v>0</v>
      </c>
      <c r="N367" s="91">
        <f>IF(M$371=0,0,M367/M$371)</f>
        <v>0</v>
      </c>
      <c r="O367" s="17">
        <f>'HH WITH COM #3'!$W$511</f>
        <v>0</v>
      </c>
      <c r="P367" s="17">
        <f>'HH WITH COM #3'!$X$511</f>
        <v>0</v>
      </c>
      <c r="Q367" s="539">
        <f>SUM(O367:P367)</f>
        <v>0</v>
      </c>
      <c r="R367" s="91">
        <f>IF(Q$371=0,0,Q367/Q$371)</f>
        <v>0</v>
      </c>
      <c r="S367" s="17">
        <f>'HH WITH COM #4'!$W$511</f>
        <v>0</v>
      </c>
      <c r="T367" s="17">
        <f>'HH WITH COM #4'!$X$511</f>
        <v>0</v>
      </c>
      <c r="U367" s="539">
        <f>SUM(S367:T367)</f>
        <v>0</v>
      </c>
      <c r="V367" s="91">
        <f>IF(U$371=0,0,U367/U$371)</f>
        <v>0</v>
      </c>
      <c r="W367" s="17">
        <f>'HH WITH COM #5'!$W$511</f>
        <v>0</v>
      </c>
      <c r="X367" s="17">
        <f>'HH WITH COM #5'!$X$511</f>
        <v>0</v>
      </c>
      <c r="Y367" s="539">
        <f>SUM(W367:X367)</f>
        <v>0</v>
      </c>
      <c r="Z367" s="91">
        <f>IF(Y$371=0,0,Y367/Y$371)</f>
        <v>0</v>
      </c>
      <c r="AA367" s="17">
        <f>'HH WITH COM #6'!$W$511</f>
        <v>0</v>
      </c>
      <c r="AB367" s="17">
        <f>'HH WITH COM #6'!$X$511</f>
        <v>0</v>
      </c>
      <c r="AC367" s="539">
        <f>SUM(AA367:AB367)</f>
        <v>0</v>
      </c>
      <c r="AD367" s="91">
        <f>IF(AC$371=0,0,AC367/AC$371)</f>
        <v>0</v>
      </c>
      <c r="AE367" s="17">
        <f>'HH WITH COM #7'!$W$511</f>
        <v>0</v>
      </c>
      <c r="AF367" s="17">
        <f>'HH WITH COM #7'!$X$511</f>
        <v>0</v>
      </c>
      <c r="AG367" s="539">
        <f>SUM(AE367:AF367)</f>
        <v>0</v>
      </c>
      <c r="AH367" s="373">
        <f>IF(AG$371=0,0,AG367/AG$371)</f>
        <v>0</v>
      </c>
      <c r="AI367" s="391">
        <f t="shared" ref="AI367:AI370" si="872">G367+K367+O367+S367+W367+AA367+AE367</f>
        <v>0</v>
      </c>
      <c r="AJ367" s="17">
        <f t="shared" ref="AJ367:AJ370" si="873">H367+L367+P367+T367+X367+AB367+AF367</f>
        <v>0</v>
      </c>
      <c r="AK367" s="539">
        <f t="shared" ref="AK367:AK370" si="874">SUM(AI367:AJ367)</f>
        <v>0</v>
      </c>
      <c r="AL367" s="91">
        <f>IF(AK$371=0,0,AK367/AK$371)</f>
        <v>0</v>
      </c>
    </row>
    <row r="368" spans="1:38" ht="16.5" customHeight="1" x14ac:dyDescent="0.25">
      <c r="A368" s="40"/>
      <c r="B368" s="40"/>
      <c r="C368" s="473" t="s">
        <v>299</v>
      </c>
      <c r="D368" s="105" t="s">
        <v>11</v>
      </c>
      <c r="E368" s="105"/>
      <c r="F368" s="106"/>
      <c r="G368" s="17">
        <f>'HH WITH COM #1 '!$W$512</f>
        <v>1</v>
      </c>
      <c r="H368" s="17">
        <f>'HH WITH COM #1 '!$X$512</f>
        <v>4</v>
      </c>
      <c r="I368" s="539">
        <f>SUM(G368:H368)</f>
        <v>5</v>
      </c>
      <c r="J368" s="91">
        <f t="shared" ref="J368:J371" si="875">IF(I$371=0,0,I368/I$371)</f>
        <v>0.33333333333333331</v>
      </c>
      <c r="K368" s="17">
        <f>'HH WITH COM #2'!$W$512</f>
        <v>1</v>
      </c>
      <c r="L368" s="17">
        <f>'HH WITH COM #2'!$X$512</f>
        <v>2</v>
      </c>
      <c r="M368" s="539">
        <f>SUM(K368:L368)</f>
        <v>3</v>
      </c>
      <c r="N368" s="91">
        <f t="shared" ref="N368:N371" si="876">IF(M$371=0,0,M368/M$371)</f>
        <v>0.21428571428571427</v>
      </c>
      <c r="O368" s="17">
        <f>'HH WITH COM #3'!$W$512</f>
        <v>0</v>
      </c>
      <c r="P368" s="17">
        <f>'HH WITH COM #3'!$X$512</f>
        <v>0</v>
      </c>
      <c r="Q368" s="539">
        <f>SUM(O368:P368)</f>
        <v>0</v>
      </c>
      <c r="R368" s="91">
        <f t="shared" ref="R368:R371" si="877">IF(Q$371=0,0,Q368/Q$371)</f>
        <v>0</v>
      </c>
      <c r="S368" s="17">
        <f>'HH WITH COM #4'!$W$512</f>
        <v>1</v>
      </c>
      <c r="T368" s="17">
        <f>'HH WITH COM #4'!$X$512</f>
        <v>7</v>
      </c>
      <c r="U368" s="539">
        <f>SUM(S368:T368)</f>
        <v>8</v>
      </c>
      <c r="V368" s="91">
        <f t="shared" ref="V368:V371" si="878">IF(U$371=0,0,U368/U$371)</f>
        <v>0.5</v>
      </c>
      <c r="W368" s="17">
        <f>'HH WITH COM #5'!$W$512</f>
        <v>1</v>
      </c>
      <c r="X368" s="17">
        <f>'HH WITH COM #5'!$X$512</f>
        <v>12</v>
      </c>
      <c r="Y368" s="539">
        <f>SUM(W368:X368)</f>
        <v>13</v>
      </c>
      <c r="Z368" s="91">
        <f t="shared" ref="Z368:Z371" si="879">IF(Y$371=0,0,Y368/Y$371)</f>
        <v>0.61904761904761907</v>
      </c>
      <c r="AA368" s="17">
        <f>'HH WITH COM #6'!$W$512</f>
        <v>0</v>
      </c>
      <c r="AB368" s="17">
        <f>'HH WITH COM #6'!$X$512</f>
        <v>0</v>
      </c>
      <c r="AC368" s="539">
        <f>SUM(AA368:AB368)</f>
        <v>0</v>
      </c>
      <c r="AD368" s="91">
        <f t="shared" ref="AD368:AD371" si="880">IF(AC$371=0,0,AC368/AC$371)</f>
        <v>0</v>
      </c>
      <c r="AE368" s="17">
        <f>'HH WITH COM #7'!$W$512</f>
        <v>0</v>
      </c>
      <c r="AF368" s="17">
        <f>'HH WITH COM #7'!$X$512</f>
        <v>0</v>
      </c>
      <c r="AG368" s="539">
        <f>SUM(AE368:AF368)</f>
        <v>0</v>
      </c>
      <c r="AH368" s="373">
        <f t="shared" ref="AH368:AH371" si="881">IF(AG$371=0,0,AG368/AG$371)</f>
        <v>0</v>
      </c>
      <c r="AI368" s="391">
        <f t="shared" si="872"/>
        <v>4</v>
      </c>
      <c r="AJ368" s="17">
        <f t="shared" si="873"/>
        <v>25</v>
      </c>
      <c r="AK368" s="539">
        <f t="shared" si="874"/>
        <v>29</v>
      </c>
      <c r="AL368" s="91">
        <f t="shared" ref="AL368:AL371" si="882">IF(AK$371=0,0,AK368/AK$371)</f>
        <v>0.32222222222222224</v>
      </c>
    </row>
    <row r="369" spans="1:40" ht="16.5" customHeight="1" x14ac:dyDescent="0.25">
      <c r="A369" s="40"/>
      <c r="B369" s="40"/>
      <c r="C369" s="473" t="s">
        <v>301</v>
      </c>
      <c r="D369" s="105" t="s">
        <v>295</v>
      </c>
      <c r="E369" s="105"/>
      <c r="F369" s="106"/>
      <c r="G369" s="17">
        <f>'HH WITH COM #1 '!$W$513</f>
        <v>0</v>
      </c>
      <c r="H369" s="17">
        <f>'HH WITH COM #1 '!$X$513</f>
        <v>0</v>
      </c>
      <c r="I369" s="539">
        <f>SUM(G369:H369)</f>
        <v>0</v>
      </c>
      <c r="J369" s="91">
        <f t="shared" si="875"/>
        <v>0</v>
      </c>
      <c r="K369" s="17">
        <f>'HH WITH COM #2'!$W$513</f>
        <v>3</v>
      </c>
      <c r="L369" s="17">
        <f>'HH WITH COM #2'!$X$513</f>
        <v>5</v>
      </c>
      <c r="M369" s="539">
        <f>SUM(K369:L369)</f>
        <v>8</v>
      </c>
      <c r="N369" s="91">
        <f t="shared" si="876"/>
        <v>0.5714285714285714</v>
      </c>
      <c r="O369" s="17">
        <f>'HH WITH COM #3'!$W$513</f>
        <v>0</v>
      </c>
      <c r="P369" s="17">
        <f>'HH WITH COM #3'!$X$513</f>
        <v>0</v>
      </c>
      <c r="Q369" s="539">
        <f>SUM(O369:P369)</f>
        <v>0</v>
      </c>
      <c r="R369" s="91">
        <f t="shared" si="877"/>
        <v>0</v>
      </c>
      <c r="S369" s="17">
        <f>'HH WITH COM #4'!$W$513</f>
        <v>0</v>
      </c>
      <c r="T369" s="17">
        <f>'HH WITH COM #4'!$X$513</f>
        <v>0</v>
      </c>
      <c r="U369" s="539">
        <f>SUM(S369:T369)</f>
        <v>0</v>
      </c>
      <c r="V369" s="91">
        <f t="shared" si="878"/>
        <v>0</v>
      </c>
      <c r="W369" s="17">
        <f>'HH WITH COM #5'!$W$513</f>
        <v>0</v>
      </c>
      <c r="X369" s="17">
        <f>'HH WITH COM #5'!$X$513</f>
        <v>0</v>
      </c>
      <c r="Y369" s="539">
        <f>SUM(W369:X369)</f>
        <v>0</v>
      </c>
      <c r="Z369" s="91">
        <f t="shared" si="879"/>
        <v>0</v>
      </c>
      <c r="AA369" s="17">
        <f>'HH WITH COM #6'!$W$513</f>
        <v>0</v>
      </c>
      <c r="AB369" s="17">
        <f>'HH WITH COM #6'!$X$513</f>
        <v>1</v>
      </c>
      <c r="AC369" s="539">
        <f>SUM(AA369:AB369)</f>
        <v>1</v>
      </c>
      <c r="AD369" s="91">
        <f t="shared" si="880"/>
        <v>6.6666666666666666E-2</v>
      </c>
      <c r="AE369" s="17">
        <f>'HH WITH COM #7'!$W$513</f>
        <v>0</v>
      </c>
      <c r="AF369" s="17">
        <f>'HH WITH COM #7'!$X$513</f>
        <v>0</v>
      </c>
      <c r="AG369" s="539">
        <f>SUM(AE369:AF369)</f>
        <v>0</v>
      </c>
      <c r="AH369" s="373">
        <f t="shared" si="881"/>
        <v>0</v>
      </c>
      <c r="AI369" s="391">
        <f t="shared" si="872"/>
        <v>3</v>
      </c>
      <c r="AJ369" s="17">
        <f t="shared" si="873"/>
        <v>6</v>
      </c>
      <c r="AK369" s="539">
        <f t="shared" si="874"/>
        <v>9</v>
      </c>
      <c r="AL369" s="91">
        <f t="shared" si="882"/>
        <v>0.1</v>
      </c>
    </row>
    <row r="370" spans="1:40" ht="16.5" customHeight="1" x14ac:dyDescent="0.25">
      <c r="A370" s="40"/>
      <c r="B370" s="40"/>
      <c r="C370" s="473" t="s">
        <v>303</v>
      </c>
      <c r="D370" s="105" t="s">
        <v>9</v>
      </c>
      <c r="E370" s="105"/>
      <c r="F370" s="106"/>
      <c r="G370" s="17">
        <f>'HH WITH COM #1 '!$W$514</f>
        <v>6</v>
      </c>
      <c r="H370" s="17">
        <f>'HH WITH COM #1 '!$X$514</f>
        <v>4</v>
      </c>
      <c r="I370" s="539">
        <f>SUM(G370:H370)</f>
        <v>10</v>
      </c>
      <c r="J370" s="91">
        <f t="shared" si="875"/>
        <v>0.66666666666666663</v>
      </c>
      <c r="K370" s="17">
        <f>'HH WITH COM #2'!$W$514</f>
        <v>0</v>
      </c>
      <c r="L370" s="17">
        <f>'HH WITH COM #2'!$X$514</f>
        <v>3</v>
      </c>
      <c r="M370" s="539">
        <f>SUM(K370:L370)</f>
        <v>3</v>
      </c>
      <c r="N370" s="91">
        <f t="shared" si="876"/>
        <v>0.21428571428571427</v>
      </c>
      <c r="O370" s="17">
        <f>'HH WITH COM #3'!$W$514</f>
        <v>0</v>
      </c>
      <c r="P370" s="17">
        <f>'HH WITH COM #3'!$X$514</f>
        <v>9</v>
      </c>
      <c r="Q370" s="539">
        <f>SUM(O370:P370)</f>
        <v>9</v>
      </c>
      <c r="R370" s="91">
        <f t="shared" si="877"/>
        <v>1</v>
      </c>
      <c r="S370" s="17">
        <f>'HH WITH COM #4'!$W$514</f>
        <v>0</v>
      </c>
      <c r="T370" s="17">
        <f>'HH WITH COM #4'!$X$514</f>
        <v>8</v>
      </c>
      <c r="U370" s="539">
        <f>SUM(S370:T370)</f>
        <v>8</v>
      </c>
      <c r="V370" s="91">
        <f t="shared" si="878"/>
        <v>0.5</v>
      </c>
      <c r="W370" s="17">
        <f>'HH WITH COM #5'!$W$514</f>
        <v>1</v>
      </c>
      <c r="X370" s="17">
        <f>'HH WITH COM #5'!$X$514</f>
        <v>7</v>
      </c>
      <c r="Y370" s="539">
        <f>SUM(W370:X370)</f>
        <v>8</v>
      </c>
      <c r="Z370" s="91">
        <f t="shared" si="879"/>
        <v>0.38095238095238093</v>
      </c>
      <c r="AA370" s="17">
        <f>'HH WITH COM #6'!$W$514</f>
        <v>3</v>
      </c>
      <c r="AB370" s="17">
        <f>'HH WITH COM #6'!$X$514</f>
        <v>11</v>
      </c>
      <c r="AC370" s="539">
        <f>SUM(AA370:AB370)</f>
        <v>14</v>
      </c>
      <c r="AD370" s="91">
        <f t="shared" si="880"/>
        <v>0.93333333333333335</v>
      </c>
      <c r="AE370" s="17">
        <f>'HH WITH COM #7'!$W$514</f>
        <v>0</v>
      </c>
      <c r="AF370" s="17">
        <f>'HH WITH COM #7'!$X$514</f>
        <v>0</v>
      </c>
      <c r="AG370" s="539">
        <f>SUM(AE370:AF370)</f>
        <v>0</v>
      </c>
      <c r="AH370" s="373">
        <f t="shared" si="881"/>
        <v>0</v>
      </c>
      <c r="AI370" s="391">
        <f t="shared" si="872"/>
        <v>10</v>
      </c>
      <c r="AJ370" s="17">
        <f t="shared" si="873"/>
        <v>42</v>
      </c>
      <c r="AK370" s="539">
        <f t="shared" si="874"/>
        <v>52</v>
      </c>
      <c r="AL370" s="91">
        <f t="shared" si="882"/>
        <v>0.57777777777777772</v>
      </c>
    </row>
    <row r="371" spans="1:40" ht="16.5" customHeight="1" x14ac:dyDescent="0.25">
      <c r="A371" s="40"/>
      <c r="B371" s="40"/>
      <c r="C371" s="119"/>
      <c r="D371" s="185"/>
      <c r="E371" s="184"/>
      <c r="F371" s="469"/>
      <c r="G371" s="82">
        <f>SUM(G367:G370)</f>
        <v>7</v>
      </c>
      <c r="H371" s="82">
        <f>SUM(H367:H370)</f>
        <v>8</v>
      </c>
      <c r="I371" s="82">
        <f>SUM(I367:I370)</f>
        <v>15</v>
      </c>
      <c r="J371" s="66">
        <f t="shared" si="875"/>
        <v>1</v>
      </c>
      <c r="K371" s="82">
        <f>SUM(K367:K370)</f>
        <v>4</v>
      </c>
      <c r="L371" s="82">
        <f>SUM(L367:L370)</f>
        <v>10</v>
      </c>
      <c r="M371" s="82">
        <f>SUM(M367:M370)</f>
        <v>14</v>
      </c>
      <c r="N371" s="66">
        <f t="shared" si="876"/>
        <v>1</v>
      </c>
      <c r="O371" s="82">
        <f>SUM(O367:O370)</f>
        <v>0</v>
      </c>
      <c r="P371" s="82">
        <f>SUM(P367:P370)</f>
        <v>9</v>
      </c>
      <c r="Q371" s="82">
        <f>SUM(Q367:Q370)</f>
        <v>9</v>
      </c>
      <c r="R371" s="66">
        <f t="shared" si="877"/>
        <v>1</v>
      </c>
      <c r="S371" s="82">
        <f>SUM(S367:S370)</f>
        <v>1</v>
      </c>
      <c r="T371" s="82">
        <f>SUM(T367:T370)</f>
        <v>15</v>
      </c>
      <c r="U371" s="82">
        <f>SUM(U367:U370)</f>
        <v>16</v>
      </c>
      <c r="V371" s="66">
        <f t="shared" si="878"/>
        <v>1</v>
      </c>
      <c r="W371" s="82">
        <f>SUM(W367:W370)</f>
        <v>2</v>
      </c>
      <c r="X371" s="82">
        <f>SUM(X367:X370)</f>
        <v>19</v>
      </c>
      <c r="Y371" s="82">
        <f>SUM(Y367:Y370)</f>
        <v>21</v>
      </c>
      <c r="Z371" s="66">
        <f t="shared" si="879"/>
        <v>1</v>
      </c>
      <c r="AA371" s="82">
        <f>SUM(AA367:AA370)</f>
        <v>3</v>
      </c>
      <c r="AB371" s="82">
        <f>SUM(AB367:AB370)</f>
        <v>12</v>
      </c>
      <c r="AC371" s="82">
        <f>SUM(AC367:AC370)</f>
        <v>15</v>
      </c>
      <c r="AD371" s="66">
        <f t="shared" si="880"/>
        <v>1</v>
      </c>
      <c r="AE371" s="82">
        <f>SUM(AE367:AE370)</f>
        <v>0</v>
      </c>
      <c r="AF371" s="82">
        <f>SUM(AF367:AF370)</f>
        <v>0</v>
      </c>
      <c r="AG371" s="82">
        <f>SUM(AG367:AG370)</f>
        <v>0</v>
      </c>
      <c r="AH371" s="608">
        <f t="shared" si="881"/>
        <v>0</v>
      </c>
      <c r="AI371" s="381">
        <f>SUM(AI367:AI370)</f>
        <v>17</v>
      </c>
      <c r="AJ371" s="82">
        <f>SUM(AJ367:AJ370)</f>
        <v>73</v>
      </c>
      <c r="AK371" s="82">
        <f>SUM(AK367:AK370)</f>
        <v>90</v>
      </c>
      <c r="AL371" s="66">
        <f t="shared" si="882"/>
        <v>1</v>
      </c>
    </row>
    <row r="372" spans="1:40" s="117" customFormat="1" ht="16.5" customHeight="1" x14ac:dyDescent="0.25">
      <c r="A372" s="119"/>
      <c r="B372" s="41" t="s">
        <v>306</v>
      </c>
      <c r="C372" s="42" t="s">
        <v>878</v>
      </c>
      <c r="D372" s="70"/>
      <c r="E372" s="478"/>
      <c r="F372" s="478"/>
      <c r="G372" s="71"/>
      <c r="H372" s="71"/>
      <c r="I372" s="71"/>
      <c r="J372" s="71"/>
      <c r="K372" s="71"/>
      <c r="L372" s="71"/>
      <c r="M372" s="71"/>
      <c r="N372" s="71"/>
      <c r="O372" s="71"/>
      <c r="P372" s="71"/>
      <c r="Q372" s="71"/>
      <c r="R372" s="71"/>
      <c r="S372" s="71"/>
      <c r="T372" s="71"/>
      <c r="U372" s="71"/>
      <c r="V372" s="71"/>
      <c r="W372" s="71"/>
      <c r="X372" s="71"/>
      <c r="Y372" s="71"/>
      <c r="Z372" s="71"/>
      <c r="AA372" s="71"/>
      <c r="AB372" s="71"/>
      <c r="AC372" s="71"/>
      <c r="AD372" s="71"/>
      <c r="AE372" s="71"/>
      <c r="AF372" s="71"/>
      <c r="AG372" s="71"/>
      <c r="AH372" s="355"/>
      <c r="AI372" s="377"/>
      <c r="AJ372" s="71"/>
      <c r="AK372" s="71"/>
      <c r="AL372" s="71"/>
    </row>
    <row r="373" spans="1:40" s="117" customFormat="1" ht="16.5" customHeight="1" x14ac:dyDescent="0.25">
      <c r="A373" s="119"/>
      <c r="B373" s="40"/>
      <c r="C373" s="473" t="s">
        <v>308</v>
      </c>
      <c r="D373" s="484" t="s">
        <v>292</v>
      </c>
      <c r="E373" s="75"/>
      <c r="F373" s="106"/>
      <c r="G373" s="17">
        <f>'HH WITH COM #1 '!$W$518</f>
        <v>0</v>
      </c>
      <c r="H373" s="17">
        <f>'HH WITH COM #1 '!$X$518</f>
        <v>0</v>
      </c>
      <c r="I373" s="116">
        <f t="shared" ref="I373" si="883">SUM(G373:H373)</f>
        <v>0</v>
      </c>
      <c r="J373" s="91">
        <f>IF(I$384=0,0,I373/I$384)</f>
        <v>0</v>
      </c>
      <c r="K373" s="17">
        <f>'HH WITH COM #2'!$W$518</f>
        <v>1</v>
      </c>
      <c r="L373" s="17">
        <f>'HH WITH COM #2'!$X$518</f>
        <v>2</v>
      </c>
      <c r="M373" s="539">
        <f t="shared" ref="M373:M383" si="884">SUM(K373:L373)</f>
        <v>3</v>
      </c>
      <c r="N373" s="91">
        <f>IF(M$384=0,0,M373/M$384)</f>
        <v>0.15789473684210525</v>
      </c>
      <c r="O373" s="17">
        <f>'HH WITH COM #3'!$W$518</f>
        <v>0</v>
      </c>
      <c r="P373" s="17">
        <f>'HH WITH COM #3'!$X$518</f>
        <v>0</v>
      </c>
      <c r="Q373" s="539">
        <f t="shared" ref="Q373:Q383" si="885">SUM(O373:P373)</f>
        <v>0</v>
      </c>
      <c r="R373" s="91">
        <f>IF(Q$384=0,0,Q373/Q$384)</f>
        <v>0</v>
      </c>
      <c r="S373" s="17">
        <f>'HH WITH COM #4'!$W$518</f>
        <v>0</v>
      </c>
      <c r="T373" s="17">
        <f>'HH WITH COM #4'!$X$518</f>
        <v>0</v>
      </c>
      <c r="U373" s="539">
        <f t="shared" ref="U373:U383" si="886">SUM(S373:T373)</f>
        <v>0</v>
      </c>
      <c r="V373" s="91">
        <f>IF(U$384=0,0,U373/U$384)</f>
        <v>0</v>
      </c>
      <c r="W373" s="17">
        <f>'HH WITH COM #5'!$W$518</f>
        <v>0</v>
      </c>
      <c r="X373" s="17">
        <f>'HH WITH COM #5'!$X$518</f>
        <v>0</v>
      </c>
      <c r="Y373" s="539">
        <f t="shared" ref="Y373:Y383" si="887">SUM(W373:X373)</f>
        <v>0</v>
      </c>
      <c r="Z373" s="91">
        <f>IF(Y$384=0,0,Y373/Y$384)</f>
        <v>0</v>
      </c>
      <c r="AA373" s="17">
        <f>'HH WITH COM #6'!$W$518</f>
        <v>0</v>
      </c>
      <c r="AB373" s="17">
        <f>'HH WITH COM #6'!$X$518</f>
        <v>0</v>
      </c>
      <c r="AC373" s="539">
        <f t="shared" ref="AC373:AC383" si="888">SUM(AA373:AB373)</f>
        <v>0</v>
      </c>
      <c r="AD373" s="91">
        <f>IF(AC$384=0,0,AC373/AC$384)</f>
        <v>0</v>
      </c>
      <c r="AE373" s="17">
        <f>'HH WITH COM #7'!$W$518</f>
        <v>0</v>
      </c>
      <c r="AF373" s="17">
        <f>'HH WITH COM #7'!$X$518</f>
        <v>0</v>
      </c>
      <c r="AG373" s="539">
        <f t="shared" ref="AG373:AG383" si="889">SUM(AE373:AF373)</f>
        <v>0</v>
      </c>
      <c r="AH373" s="373">
        <f>IF(AG$384=0,0,AG373/AG$384)</f>
        <v>0</v>
      </c>
      <c r="AI373" s="391">
        <f t="shared" ref="AI373:AI383" si="890">G373+K373+O373+S373+W373+AA373+AE373</f>
        <v>1</v>
      </c>
      <c r="AJ373" s="17">
        <f t="shared" ref="AJ373:AJ383" si="891">H373+L373+P373+T373+X373+AB373+AF373</f>
        <v>2</v>
      </c>
      <c r="AK373" s="539">
        <f t="shared" ref="AK373:AK383" si="892">SUM(AI373:AJ373)</f>
        <v>3</v>
      </c>
      <c r="AL373" s="91">
        <f>IF(AK$384=0,0,AK373/AK$384)</f>
        <v>2.8571428571428571E-2</v>
      </c>
    </row>
    <row r="374" spans="1:40" s="117" customFormat="1" ht="16.5" customHeight="1" x14ac:dyDescent="0.25">
      <c r="A374" s="119"/>
      <c r="B374" s="40"/>
      <c r="C374" s="473" t="s">
        <v>309</v>
      </c>
      <c r="D374" s="498" t="s">
        <v>757</v>
      </c>
      <c r="E374" s="75"/>
      <c r="F374" s="106"/>
      <c r="G374" s="17">
        <f>'HH WITH COM #1 '!$W$519</f>
        <v>1</v>
      </c>
      <c r="H374" s="17">
        <f>'HH WITH COM #1 '!$X$519</f>
        <v>4</v>
      </c>
      <c r="I374" s="539">
        <f t="shared" ref="I374:I383" si="893">SUM(G374:H374)</f>
        <v>5</v>
      </c>
      <c r="J374" s="91">
        <f t="shared" ref="J374:J383" si="894">IF(I$384=0,0,I374/I$384)</f>
        <v>0.33333333333333331</v>
      </c>
      <c r="K374" s="17">
        <f>'HH WITH COM #2'!$W$519</f>
        <v>0</v>
      </c>
      <c r="L374" s="17">
        <f>'HH WITH COM #2'!$X$519</f>
        <v>0</v>
      </c>
      <c r="M374" s="539">
        <f t="shared" si="884"/>
        <v>0</v>
      </c>
      <c r="N374" s="91">
        <f t="shared" ref="N374:N383" si="895">IF(M$384=0,0,M374/M$384)</f>
        <v>0</v>
      </c>
      <c r="O374" s="17">
        <f>'HH WITH COM #3'!$W$519</f>
        <v>0</v>
      </c>
      <c r="P374" s="17">
        <f>'HH WITH COM #3'!$X$519</f>
        <v>0</v>
      </c>
      <c r="Q374" s="539">
        <f t="shared" si="885"/>
        <v>0</v>
      </c>
      <c r="R374" s="91">
        <f t="shared" ref="R374:R383" si="896">IF(Q$384=0,0,Q374/Q$384)</f>
        <v>0</v>
      </c>
      <c r="S374" s="17">
        <f>'HH WITH COM #4'!$W$519</f>
        <v>1</v>
      </c>
      <c r="T374" s="17">
        <f>'HH WITH COM #4'!$X$519</f>
        <v>7</v>
      </c>
      <c r="U374" s="539">
        <f t="shared" si="886"/>
        <v>8</v>
      </c>
      <c r="V374" s="91">
        <f t="shared" ref="V374:V383" si="897">IF(U$384=0,0,U374/U$384)</f>
        <v>0.5</v>
      </c>
      <c r="W374" s="17">
        <f>'HH WITH COM #5'!$W$519</f>
        <v>0</v>
      </c>
      <c r="X374" s="17">
        <f>'HH WITH COM #5'!$X$519</f>
        <v>9</v>
      </c>
      <c r="Y374" s="539">
        <f t="shared" si="887"/>
        <v>9</v>
      </c>
      <c r="Z374" s="91">
        <f t="shared" ref="Z374:Z383" si="898">IF(Y$384=0,0,Y374/Y$384)</f>
        <v>0.52941176470588236</v>
      </c>
      <c r="AA374" s="17">
        <f>'HH WITH COM #6'!$W$519</f>
        <v>0</v>
      </c>
      <c r="AB374" s="17">
        <f>'HH WITH COM #6'!$X$519</f>
        <v>0</v>
      </c>
      <c r="AC374" s="539">
        <f t="shared" si="888"/>
        <v>0</v>
      </c>
      <c r="AD374" s="91">
        <f t="shared" ref="AD374:AD383" si="899">IF(AC$384=0,0,AC374/AC$384)</f>
        <v>0</v>
      </c>
      <c r="AE374" s="17">
        <f>'HH WITH COM #7'!$W$519</f>
        <v>0</v>
      </c>
      <c r="AF374" s="17">
        <f>'HH WITH COM #7'!$X$519</f>
        <v>0</v>
      </c>
      <c r="AG374" s="539">
        <f t="shared" si="889"/>
        <v>0</v>
      </c>
      <c r="AH374" s="373">
        <f t="shared" ref="AH374:AH383" si="900">IF(AG$384=0,0,AG374/AG$384)</f>
        <v>0</v>
      </c>
      <c r="AI374" s="391">
        <f t="shared" si="890"/>
        <v>2</v>
      </c>
      <c r="AJ374" s="17">
        <f t="shared" si="891"/>
        <v>20</v>
      </c>
      <c r="AK374" s="539">
        <f t="shared" si="892"/>
        <v>22</v>
      </c>
      <c r="AL374" s="91">
        <f t="shared" ref="AL374:AL383" si="901">IF(AK$384=0,0,AK374/AK$384)</f>
        <v>0.20952380952380953</v>
      </c>
    </row>
    <row r="375" spans="1:40" ht="16.5" customHeight="1" x14ac:dyDescent="0.25">
      <c r="A375" s="40"/>
      <c r="B375" s="40"/>
      <c r="C375" s="473" t="s">
        <v>489</v>
      </c>
      <c r="D375" s="484" t="s">
        <v>300</v>
      </c>
      <c r="E375" s="75"/>
      <c r="F375" s="106"/>
      <c r="G375" s="17">
        <f>'HH WITH COM #1 '!$W$520</f>
        <v>0</v>
      </c>
      <c r="H375" s="17">
        <f>'HH WITH COM #1 '!$X$520</f>
        <v>1</v>
      </c>
      <c r="I375" s="539">
        <f t="shared" si="893"/>
        <v>1</v>
      </c>
      <c r="J375" s="91">
        <f t="shared" si="894"/>
        <v>6.6666666666666666E-2</v>
      </c>
      <c r="K375" s="17">
        <f>'HH WITH COM #2'!$W$520</f>
        <v>0</v>
      </c>
      <c r="L375" s="17">
        <f>'HH WITH COM #2'!$X$520</f>
        <v>1</v>
      </c>
      <c r="M375" s="539">
        <f t="shared" si="884"/>
        <v>1</v>
      </c>
      <c r="N375" s="91">
        <f t="shared" si="895"/>
        <v>5.2631578947368418E-2</v>
      </c>
      <c r="O375" s="17">
        <f>'HH WITH COM #3'!$W$520</f>
        <v>0</v>
      </c>
      <c r="P375" s="17">
        <f>'HH WITH COM #3'!$X$520</f>
        <v>0</v>
      </c>
      <c r="Q375" s="539">
        <f t="shared" si="885"/>
        <v>0</v>
      </c>
      <c r="R375" s="91">
        <f t="shared" si="896"/>
        <v>0</v>
      </c>
      <c r="S375" s="17">
        <f>'HH WITH COM #4'!$W$520</f>
        <v>0</v>
      </c>
      <c r="T375" s="17">
        <f>'HH WITH COM #4'!$X$520</f>
        <v>0</v>
      </c>
      <c r="U375" s="539">
        <f t="shared" si="886"/>
        <v>0</v>
      </c>
      <c r="V375" s="91">
        <f t="shared" si="897"/>
        <v>0</v>
      </c>
      <c r="W375" s="17">
        <f>'HH WITH COM #5'!$W$520</f>
        <v>0</v>
      </c>
      <c r="X375" s="17">
        <f>'HH WITH COM #5'!$X$520</f>
        <v>1</v>
      </c>
      <c r="Y375" s="539">
        <f t="shared" si="887"/>
        <v>1</v>
      </c>
      <c r="Z375" s="91">
        <f t="shared" si="898"/>
        <v>5.8823529411764705E-2</v>
      </c>
      <c r="AA375" s="17">
        <f>'HH WITH COM #6'!$W$520</f>
        <v>0</v>
      </c>
      <c r="AB375" s="17">
        <f>'HH WITH COM #6'!$X$520</f>
        <v>1</v>
      </c>
      <c r="AC375" s="539">
        <f t="shared" si="888"/>
        <v>1</v>
      </c>
      <c r="AD375" s="91">
        <f t="shared" si="899"/>
        <v>3.4482758620689655E-2</v>
      </c>
      <c r="AE375" s="17">
        <f>'HH WITH COM #7'!$W$520</f>
        <v>0</v>
      </c>
      <c r="AF375" s="17">
        <f>'HH WITH COM #7'!$X$520</f>
        <v>0</v>
      </c>
      <c r="AG375" s="539">
        <f t="shared" si="889"/>
        <v>0</v>
      </c>
      <c r="AH375" s="373">
        <f t="shared" si="900"/>
        <v>0</v>
      </c>
      <c r="AI375" s="391">
        <f t="shared" si="890"/>
        <v>0</v>
      </c>
      <c r="AJ375" s="17">
        <f t="shared" si="891"/>
        <v>4</v>
      </c>
      <c r="AK375" s="539">
        <f t="shared" si="892"/>
        <v>4</v>
      </c>
      <c r="AL375" s="91">
        <f t="shared" si="901"/>
        <v>3.8095238095238099E-2</v>
      </c>
    </row>
    <row r="376" spans="1:40" s="117" customFormat="1" ht="16.5" customHeight="1" x14ac:dyDescent="0.25">
      <c r="A376" s="119"/>
      <c r="B376" s="40"/>
      <c r="C376" s="473" t="s">
        <v>621</v>
      </c>
      <c r="D376" s="484" t="s">
        <v>670</v>
      </c>
      <c r="E376" s="75"/>
      <c r="F376" s="106"/>
      <c r="G376" s="17">
        <f>'HH WITH COM #1 '!$W$521</f>
        <v>0</v>
      </c>
      <c r="H376" s="17">
        <f>'HH WITH COM #1 '!$X$521</f>
        <v>0</v>
      </c>
      <c r="I376" s="539">
        <f t="shared" si="893"/>
        <v>0</v>
      </c>
      <c r="J376" s="91">
        <f t="shared" si="894"/>
        <v>0</v>
      </c>
      <c r="K376" s="17">
        <f>'HH WITH COM #2'!$W$521</f>
        <v>2</v>
      </c>
      <c r="L376" s="17">
        <f>'HH WITH COM #2'!$X$521</f>
        <v>3</v>
      </c>
      <c r="M376" s="539">
        <f t="shared" si="884"/>
        <v>5</v>
      </c>
      <c r="N376" s="91">
        <f t="shared" si="895"/>
        <v>0.26315789473684209</v>
      </c>
      <c r="O376" s="17">
        <f>'HH WITH COM #3'!$W$521</f>
        <v>0</v>
      </c>
      <c r="P376" s="17">
        <f>'HH WITH COM #3'!$X$521</f>
        <v>5</v>
      </c>
      <c r="Q376" s="539">
        <f t="shared" si="885"/>
        <v>5</v>
      </c>
      <c r="R376" s="91">
        <f t="shared" si="896"/>
        <v>0.55555555555555558</v>
      </c>
      <c r="S376" s="17">
        <f>'HH WITH COM #4'!$W$521</f>
        <v>0</v>
      </c>
      <c r="T376" s="17">
        <f>'HH WITH COM #4'!$X$521</f>
        <v>0</v>
      </c>
      <c r="U376" s="539">
        <f t="shared" si="886"/>
        <v>0</v>
      </c>
      <c r="V376" s="91">
        <f t="shared" si="897"/>
        <v>0</v>
      </c>
      <c r="W376" s="17">
        <f>'HH WITH COM #5'!$W$521</f>
        <v>0</v>
      </c>
      <c r="X376" s="17">
        <f>'HH WITH COM #5'!$X$521</f>
        <v>0</v>
      </c>
      <c r="Y376" s="539">
        <f t="shared" si="887"/>
        <v>0</v>
      </c>
      <c r="Z376" s="91">
        <f t="shared" si="898"/>
        <v>0</v>
      </c>
      <c r="AA376" s="17">
        <f>'HH WITH COM #6'!$W$521</f>
        <v>3</v>
      </c>
      <c r="AB376" s="17">
        <f>'HH WITH COM #6'!$X$521</f>
        <v>4</v>
      </c>
      <c r="AC376" s="539">
        <f t="shared" si="888"/>
        <v>7</v>
      </c>
      <c r="AD376" s="91">
        <f t="shared" si="899"/>
        <v>0.2413793103448276</v>
      </c>
      <c r="AE376" s="17">
        <f>'HH WITH COM #7'!$W$521</f>
        <v>0</v>
      </c>
      <c r="AF376" s="17">
        <f>'HH WITH COM #7'!$X$521</f>
        <v>0</v>
      </c>
      <c r="AG376" s="539">
        <f t="shared" si="889"/>
        <v>0</v>
      </c>
      <c r="AH376" s="373">
        <f t="shared" si="900"/>
        <v>0</v>
      </c>
      <c r="AI376" s="391">
        <f t="shared" si="890"/>
        <v>5</v>
      </c>
      <c r="AJ376" s="17">
        <f t="shared" si="891"/>
        <v>12</v>
      </c>
      <c r="AK376" s="539">
        <f t="shared" si="892"/>
        <v>17</v>
      </c>
      <c r="AL376" s="91">
        <f t="shared" si="901"/>
        <v>0.16190476190476191</v>
      </c>
    </row>
    <row r="377" spans="1:40" ht="16.5" customHeight="1" x14ac:dyDescent="0.25">
      <c r="A377" s="40"/>
      <c r="B377" s="40"/>
      <c r="C377" s="473" t="s">
        <v>622</v>
      </c>
      <c r="D377" s="484" t="s">
        <v>671</v>
      </c>
      <c r="E377" s="75"/>
      <c r="F377" s="106"/>
      <c r="G377" s="17">
        <f>'HH WITH COM #1 '!$W$522</f>
        <v>0</v>
      </c>
      <c r="H377" s="17">
        <f>'HH WITH COM #1 '!$X$522</f>
        <v>0</v>
      </c>
      <c r="I377" s="539">
        <f t="shared" si="893"/>
        <v>0</v>
      </c>
      <c r="J377" s="91">
        <f t="shared" si="894"/>
        <v>0</v>
      </c>
      <c r="K377" s="17">
        <f>'HH WITH COM #2'!$W$522</f>
        <v>0</v>
      </c>
      <c r="L377" s="17">
        <f>'HH WITH COM #2'!$X$522</f>
        <v>0</v>
      </c>
      <c r="M377" s="539">
        <f t="shared" si="884"/>
        <v>0</v>
      </c>
      <c r="N377" s="91">
        <f t="shared" si="895"/>
        <v>0</v>
      </c>
      <c r="O377" s="17">
        <f>'HH WITH COM #3'!$W$522</f>
        <v>0</v>
      </c>
      <c r="P377" s="17">
        <f>'HH WITH COM #3'!$X$522</f>
        <v>0</v>
      </c>
      <c r="Q377" s="539">
        <f t="shared" si="885"/>
        <v>0</v>
      </c>
      <c r="R377" s="91">
        <f t="shared" si="896"/>
        <v>0</v>
      </c>
      <c r="S377" s="17">
        <f>'HH WITH COM #4'!$W$522</f>
        <v>0</v>
      </c>
      <c r="T377" s="17">
        <f>'HH WITH COM #4'!$X$522</f>
        <v>0</v>
      </c>
      <c r="U377" s="539">
        <f t="shared" si="886"/>
        <v>0</v>
      </c>
      <c r="V377" s="91">
        <f t="shared" si="897"/>
        <v>0</v>
      </c>
      <c r="W377" s="17">
        <f>'HH WITH COM #5'!$W$522</f>
        <v>0</v>
      </c>
      <c r="X377" s="17">
        <f>'HH WITH COM #5'!$X$522</f>
        <v>0</v>
      </c>
      <c r="Y377" s="539">
        <f t="shared" si="887"/>
        <v>0</v>
      </c>
      <c r="Z377" s="91">
        <f t="shared" si="898"/>
        <v>0</v>
      </c>
      <c r="AA377" s="17">
        <f>'HH WITH COM #6'!$W$522</f>
        <v>0</v>
      </c>
      <c r="AB377" s="17">
        <f>'HH WITH COM #6'!$X$522</f>
        <v>0</v>
      </c>
      <c r="AC377" s="539">
        <f t="shared" si="888"/>
        <v>0</v>
      </c>
      <c r="AD377" s="91">
        <f t="shared" si="899"/>
        <v>0</v>
      </c>
      <c r="AE377" s="17">
        <f>'HH WITH COM #7'!$W$522</f>
        <v>0</v>
      </c>
      <c r="AF377" s="17">
        <f>'HH WITH COM #7'!$X$522</f>
        <v>0</v>
      </c>
      <c r="AG377" s="539">
        <f t="shared" si="889"/>
        <v>0</v>
      </c>
      <c r="AH377" s="373">
        <f t="shared" si="900"/>
        <v>0</v>
      </c>
      <c r="AI377" s="391">
        <f t="shared" si="890"/>
        <v>0</v>
      </c>
      <c r="AJ377" s="17">
        <f t="shared" si="891"/>
        <v>0</v>
      </c>
      <c r="AK377" s="539">
        <f t="shared" si="892"/>
        <v>0</v>
      </c>
      <c r="AL377" s="91">
        <f t="shared" si="901"/>
        <v>0</v>
      </c>
    </row>
    <row r="378" spans="1:40" s="117" customFormat="1" ht="16.5" customHeight="1" x14ac:dyDescent="0.25">
      <c r="A378" s="119"/>
      <c r="B378" s="40"/>
      <c r="C378" s="473" t="s">
        <v>623</v>
      </c>
      <c r="D378" s="484" t="s">
        <v>302</v>
      </c>
      <c r="E378" s="75"/>
      <c r="F378" s="106"/>
      <c r="G378" s="17">
        <f>'HH WITH COM #1 '!$W$523</f>
        <v>0</v>
      </c>
      <c r="H378" s="17">
        <f>'HH WITH COM #1 '!$X$523</f>
        <v>0</v>
      </c>
      <c r="I378" s="539">
        <f t="shared" si="893"/>
        <v>0</v>
      </c>
      <c r="J378" s="91">
        <f t="shared" si="894"/>
        <v>0</v>
      </c>
      <c r="K378" s="17">
        <f>'HH WITH COM #2'!$W$523</f>
        <v>0</v>
      </c>
      <c r="L378" s="17">
        <f>'HH WITH COM #2'!$X$523</f>
        <v>0</v>
      </c>
      <c r="M378" s="539">
        <f t="shared" si="884"/>
        <v>0</v>
      </c>
      <c r="N378" s="91">
        <f t="shared" si="895"/>
        <v>0</v>
      </c>
      <c r="O378" s="17">
        <f>'HH WITH COM #3'!$W$523</f>
        <v>0</v>
      </c>
      <c r="P378" s="17">
        <f>'HH WITH COM #3'!$X$523</f>
        <v>0</v>
      </c>
      <c r="Q378" s="539">
        <f t="shared" si="885"/>
        <v>0</v>
      </c>
      <c r="R378" s="91">
        <f t="shared" si="896"/>
        <v>0</v>
      </c>
      <c r="S378" s="17">
        <f>'HH WITH COM #4'!$W$523</f>
        <v>0</v>
      </c>
      <c r="T378" s="17">
        <f>'HH WITH COM #4'!$X$523</f>
        <v>8</v>
      </c>
      <c r="U378" s="539">
        <f t="shared" si="886"/>
        <v>8</v>
      </c>
      <c r="V378" s="91">
        <f t="shared" si="897"/>
        <v>0.5</v>
      </c>
      <c r="W378" s="17">
        <f>'HH WITH COM #5'!$W$523</f>
        <v>0</v>
      </c>
      <c r="X378" s="17">
        <f>'HH WITH COM #5'!$X$523</f>
        <v>0</v>
      </c>
      <c r="Y378" s="539">
        <f t="shared" si="887"/>
        <v>0</v>
      </c>
      <c r="Z378" s="91">
        <f t="shared" si="898"/>
        <v>0</v>
      </c>
      <c r="AA378" s="17">
        <f>'HH WITH COM #6'!$W$523</f>
        <v>0</v>
      </c>
      <c r="AB378" s="17">
        <f>'HH WITH COM #6'!$X$523</f>
        <v>6</v>
      </c>
      <c r="AC378" s="539">
        <f t="shared" si="888"/>
        <v>6</v>
      </c>
      <c r="AD378" s="91">
        <f t="shared" si="899"/>
        <v>0.20689655172413793</v>
      </c>
      <c r="AE378" s="17">
        <f>'HH WITH COM #7'!$W$523</f>
        <v>0</v>
      </c>
      <c r="AF378" s="17">
        <f>'HH WITH COM #7'!$X$523</f>
        <v>0</v>
      </c>
      <c r="AG378" s="539">
        <f t="shared" si="889"/>
        <v>0</v>
      </c>
      <c r="AH378" s="373">
        <f t="shared" si="900"/>
        <v>0</v>
      </c>
      <c r="AI378" s="391">
        <f t="shared" si="890"/>
        <v>0</v>
      </c>
      <c r="AJ378" s="17">
        <f t="shared" si="891"/>
        <v>14</v>
      </c>
      <c r="AK378" s="539">
        <f t="shared" si="892"/>
        <v>14</v>
      </c>
      <c r="AL378" s="91">
        <f t="shared" si="901"/>
        <v>0.13333333333333333</v>
      </c>
      <c r="AN378" s="3"/>
    </row>
    <row r="379" spans="1:40" ht="16.5" customHeight="1" x14ac:dyDescent="0.25">
      <c r="A379" s="40"/>
      <c r="B379" s="40"/>
      <c r="C379" s="473" t="s">
        <v>624</v>
      </c>
      <c r="D379" s="484" t="s">
        <v>487</v>
      </c>
      <c r="E379" s="105"/>
      <c r="F379" s="106"/>
      <c r="G379" s="17">
        <f>'HH WITH COM #1 '!$W$524</f>
        <v>0</v>
      </c>
      <c r="H379" s="17">
        <f>'HH WITH COM #1 '!$X$524</f>
        <v>0</v>
      </c>
      <c r="I379" s="539">
        <f t="shared" si="893"/>
        <v>0</v>
      </c>
      <c r="J379" s="91">
        <f t="shared" si="894"/>
        <v>0</v>
      </c>
      <c r="K379" s="17">
        <f>'HH WITH COM #2'!$W$524</f>
        <v>0</v>
      </c>
      <c r="L379" s="17">
        <f>'HH WITH COM #2'!$X$524</f>
        <v>2</v>
      </c>
      <c r="M379" s="539">
        <f t="shared" si="884"/>
        <v>2</v>
      </c>
      <c r="N379" s="91">
        <f t="shared" si="895"/>
        <v>0.10526315789473684</v>
      </c>
      <c r="O379" s="17">
        <f>'HH WITH COM #3'!$W$524</f>
        <v>0</v>
      </c>
      <c r="P379" s="17">
        <f>'HH WITH COM #3'!$X$524</f>
        <v>4</v>
      </c>
      <c r="Q379" s="539">
        <f t="shared" si="885"/>
        <v>4</v>
      </c>
      <c r="R379" s="91">
        <f t="shared" si="896"/>
        <v>0.44444444444444442</v>
      </c>
      <c r="S379" s="17">
        <f>'HH WITH COM #4'!$W$524</f>
        <v>0</v>
      </c>
      <c r="T379" s="17">
        <f>'HH WITH COM #4'!$X$524</f>
        <v>0</v>
      </c>
      <c r="U379" s="539">
        <f t="shared" si="886"/>
        <v>0</v>
      </c>
      <c r="V379" s="91">
        <f t="shared" si="897"/>
        <v>0</v>
      </c>
      <c r="W379" s="17">
        <f>'HH WITH COM #5'!$W$524</f>
        <v>1</v>
      </c>
      <c r="X379" s="17">
        <f>'HH WITH COM #5'!$X$524</f>
        <v>4</v>
      </c>
      <c r="Y379" s="539">
        <f t="shared" si="887"/>
        <v>5</v>
      </c>
      <c r="Z379" s="91">
        <f t="shared" si="898"/>
        <v>0.29411764705882354</v>
      </c>
      <c r="AA379" s="17">
        <f>'HH WITH COM #6'!$W$524</f>
        <v>0</v>
      </c>
      <c r="AB379" s="17">
        <f>'HH WITH COM #6'!$X$524</f>
        <v>1</v>
      </c>
      <c r="AC379" s="539">
        <f t="shared" si="888"/>
        <v>1</v>
      </c>
      <c r="AD379" s="91">
        <f t="shared" si="899"/>
        <v>3.4482758620689655E-2</v>
      </c>
      <c r="AE379" s="17">
        <f>'HH WITH COM #7'!$W$524</f>
        <v>0</v>
      </c>
      <c r="AF379" s="17">
        <f>'HH WITH COM #7'!$X$524</f>
        <v>0</v>
      </c>
      <c r="AG379" s="539">
        <f t="shared" si="889"/>
        <v>0</v>
      </c>
      <c r="AH379" s="373">
        <f t="shared" si="900"/>
        <v>0</v>
      </c>
      <c r="AI379" s="391">
        <f t="shared" si="890"/>
        <v>1</v>
      </c>
      <c r="AJ379" s="17">
        <f t="shared" si="891"/>
        <v>11</v>
      </c>
      <c r="AK379" s="539">
        <f t="shared" si="892"/>
        <v>12</v>
      </c>
      <c r="AL379" s="91">
        <f t="shared" si="901"/>
        <v>0.11428571428571428</v>
      </c>
    </row>
    <row r="380" spans="1:40" ht="16.5" customHeight="1" x14ac:dyDescent="0.25">
      <c r="A380" s="40"/>
      <c r="B380" s="40"/>
      <c r="C380" s="473" t="s">
        <v>625</v>
      </c>
      <c r="D380" s="484" t="s">
        <v>488</v>
      </c>
      <c r="E380" s="75"/>
      <c r="F380" s="106"/>
      <c r="G380" s="17">
        <f>'HH WITH COM #1 '!$W$525</f>
        <v>0</v>
      </c>
      <c r="H380" s="17">
        <f>'HH WITH COM #1 '!$X$525</f>
        <v>0</v>
      </c>
      <c r="I380" s="539">
        <f t="shared" si="893"/>
        <v>0</v>
      </c>
      <c r="J380" s="91">
        <f t="shared" si="894"/>
        <v>0</v>
      </c>
      <c r="K380" s="17">
        <f>'HH WITH COM #2'!$W$525</f>
        <v>0</v>
      </c>
      <c r="L380" s="17">
        <f>'HH WITH COM #2'!$X$525</f>
        <v>0</v>
      </c>
      <c r="M380" s="539">
        <f t="shared" si="884"/>
        <v>0</v>
      </c>
      <c r="N380" s="91">
        <f t="shared" si="895"/>
        <v>0</v>
      </c>
      <c r="O380" s="17">
        <f>'HH WITH COM #3'!$W$525</f>
        <v>0</v>
      </c>
      <c r="P380" s="17">
        <f>'HH WITH COM #3'!$X$525</f>
        <v>0</v>
      </c>
      <c r="Q380" s="539">
        <f t="shared" si="885"/>
        <v>0</v>
      </c>
      <c r="R380" s="91">
        <f t="shared" si="896"/>
        <v>0</v>
      </c>
      <c r="S380" s="17">
        <f>'HH WITH COM #4'!$W$525</f>
        <v>0</v>
      </c>
      <c r="T380" s="17">
        <f>'HH WITH COM #4'!$X$525</f>
        <v>0</v>
      </c>
      <c r="U380" s="539">
        <f t="shared" si="886"/>
        <v>0</v>
      </c>
      <c r="V380" s="91">
        <f t="shared" si="897"/>
        <v>0</v>
      </c>
      <c r="W380" s="17">
        <f>'HH WITH COM #5'!$W$525</f>
        <v>0</v>
      </c>
      <c r="X380" s="17">
        <f>'HH WITH COM #5'!$X$525</f>
        <v>0</v>
      </c>
      <c r="Y380" s="539">
        <f t="shared" si="887"/>
        <v>0</v>
      </c>
      <c r="Z380" s="91">
        <f t="shared" si="898"/>
        <v>0</v>
      </c>
      <c r="AA380" s="17">
        <f>'HH WITH COM #6'!$W$525</f>
        <v>0</v>
      </c>
      <c r="AB380" s="17">
        <f>'HH WITH COM #6'!$X$525</f>
        <v>0</v>
      </c>
      <c r="AC380" s="539">
        <f t="shared" si="888"/>
        <v>0</v>
      </c>
      <c r="AD380" s="91">
        <f t="shared" si="899"/>
        <v>0</v>
      </c>
      <c r="AE380" s="17">
        <f>'HH WITH COM #7'!$W$525</f>
        <v>0</v>
      </c>
      <c r="AF380" s="17">
        <f>'HH WITH COM #7'!$X$525</f>
        <v>0</v>
      </c>
      <c r="AG380" s="539">
        <f t="shared" si="889"/>
        <v>0</v>
      </c>
      <c r="AH380" s="373">
        <f t="shared" si="900"/>
        <v>0</v>
      </c>
      <c r="AI380" s="391">
        <f t="shared" si="890"/>
        <v>0</v>
      </c>
      <c r="AJ380" s="17">
        <f t="shared" si="891"/>
        <v>0</v>
      </c>
      <c r="AK380" s="539">
        <f t="shared" si="892"/>
        <v>0</v>
      </c>
      <c r="AL380" s="91">
        <f t="shared" si="901"/>
        <v>0</v>
      </c>
    </row>
    <row r="381" spans="1:40" ht="16.5" customHeight="1" x14ac:dyDescent="0.25">
      <c r="A381" s="40"/>
      <c r="B381" s="40"/>
      <c r="C381" s="473" t="s">
        <v>668</v>
      </c>
      <c r="D381" s="484" t="s">
        <v>304</v>
      </c>
      <c r="E381" s="75"/>
      <c r="F381" s="106"/>
      <c r="G381" s="17">
        <f>'HH WITH COM #1 '!$W$526</f>
        <v>0</v>
      </c>
      <c r="H381" s="17">
        <f>'HH WITH COM #1 '!$X$526</f>
        <v>0</v>
      </c>
      <c r="I381" s="539">
        <f t="shared" si="893"/>
        <v>0</v>
      </c>
      <c r="J381" s="91">
        <f t="shared" si="894"/>
        <v>0</v>
      </c>
      <c r="K381" s="17">
        <f>'HH WITH COM #2'!$W$526</f>
        <v>0</v>
      </c>
      <c r="L381" s="17">
        <f>'HH WITH COM #2'!$X$526</f>
        <v>0</v>
      </c>
      <c r="M381" s="539">
        <f t="shared" si="884"/>
        <v>0</v>
      </c>
      <c r="N381" s="91">
        <f t="shared" si="895"/>
        <v>0</v>
      </c>
      <c r="O381" s="17">
        <f>'HH WITH COM #3'!$W$526</f>
        <v>0</v>
      </c>
      <c r="P381" s="17">
        <f>'HH WITH COM #3'!$X$526</f>
        <v>0</v>
      </c>
      <c r="Q381" s="539">
        <f t="shared" si="885"/>
        <v>0</v>
      </c>
      <c r="R381" s="91">
        <f t="shared" si="896"/>
        <v>0</v>
      </c>
      <c r="S381" s="17">
        <f>'HH WITH COM #4'!$W$526</f>
        <v>0</v>
      </c>
      <c r="T381" s="17">
        <f>'HH WITH COM #4'!$X$526</f>
        <v>0</v>
      </c>
      <c r="U381" s="539">
        <f t="shared" si="886"/>
        <v>0</v>
      </c>
      <c r="V381" s="91">
        <f t="shared" si="897"/>
        <v>0</v>
      </c>
      <c r="W381" s="17">
        <f>'HH WITH COM #5'!$W$526</f>
        <v>0</v>
      </c>
      <c r="X381" s="17">
        <f>'HH WITH COM #5'!$X$526</f>
        <v>0</v>
      </c>
      <c r="Y381" s="539">
        <f t="shared" si="887"/>
        <v>0</v>
      </c>
      <c r="Z381" s="91">
        <f t="shared" si="898"/>
        <v>0</v>
      </c>
      <c r="AA381" s="17">
        <f>'HH WITH COM #6'!$W$526</f>
        <v>0</v>
      </c>
      <c r="AB381" s="17">
        <f>'HH WITH COM #6'!$X$526</f>
        <v>0</v>
      </c>
      <c r="AC381" s="539">
        <f t="shared" si="888"/>
        <v>0</v>
      </c>
      <c r="AD381" s="91">
        <f t="shared" si="899"/>
        <v>0</v>
      </c>
      <c r="AE381" s="17">
        <f>'HH WITH COM #7'!$W$526</f>
        <v>0</v>
      </c>
      <c r="AF381" s="17">
        <f>'HH WITH COM #7'!$X$526</f>
        <v>0</v>
      </c>
      <c r="AG381" s="539">
        <f t="shared" si="889"/>
        <v>0</v>
      </c>
      <c r="AH381" s="373">
        <f t="shared" si="900"/>
        <v>0</v>
      </c>
      <c r="AI381" s="391">
        <f t="shared" si="890"/>
        <v>0</v>
      </c>
      <c r="AJ381" s="17">
        <f t="shared" si="891"/>
        <v>0</v>
      </c>
      <c r="AK381" s="539">
        <f t="shared" si="892"/>
        <v>0</v>
      </c>
      <c r="AL381" s="91">
        <f t="shared" si="901"/>
        <v>0</v>
      </c>
    </row>
    <row r="382" spans="1:40" ht="16.5" customHeight="1" x14ac:dyDescent="0.25">
      <c r="A382" s="40"/>
      <c r="B382" s="40"/>
      <c r="C382" s="473" t="s">
        <v>669</v>
      </c>
      <c r="D382" s="484" t="s">
        <v>758</v>
      </c>
      <c r="E382" s="75"/>
      <c r="F382" s="106"/>
      <c r="G382" s="17">
        <f>'HH WITH COM #1 '!$W$527</f>
        <v>6</v>
      </c>
      <c r="H382" s="17">
        <f>'HH WITH COM #1 '!$X$527</f>
        <v>3</v>
      </c>
      <c r="I382" s="539">
        <f t="shared" si="893"/>
        <v>9</v>
      </c>
      <c r="J382" s="91">
        <f t="shared" si="894"/>
        <v>0.6</v>
      </c>
      <c r="K382" s="17">
        <f>'HH WITH COM #2'!$W$527</f>
        <v>0</v>
      </c>
      <c r="L382" s="17">
        <f>'HH WITH COM #2'!$X$527</f>
        <v>0</v>
      </c>
      <c r="M382" s="539">
        <f t="shared" si="884"/>
        <v>0</v>
      </c>
      <c r="N382" s="91">
        <f t="shared" si="895"/>
        <v>0</v>
      </c>
      <c r="O382" s="17">
        <f>'HH WITH COM #3'!$W$527</f>
        <v>0</v>
      </c>
      <c r="P382" s="17">
        <f>'HH WITH COM #3'!$X$527</f>
        <v>0</v>
      </c>
      <c r="Q382" s="539">
        <f t="shared" si="885"/>
        <v>0</v>
      </c>
      <c r="R382" s="91">
        <f t="shared" si="896"/>
        <v>0</v>
      </c>
      <c r="S382" s="17">
        <f>'HH WITH COM #4'!$W$527</f>
        <v>0</v>
      </c>
      <c r="T382" s="17">
        <f>'HH WITH COM #4'!$X$527</f>
        <v>0</v>
      </c>
      <c r="U382" s="539">
        <f t="shared" si="886"/>
        <v>0</v>
      </c>
      <c r="V382" s="91">
        <f t="shared" si="897"/>
        <v>0</v>
      </c>
      <c r="W382" s="17">
        <f>'HH WITH COM #5'!$W$527</f>
        <v>0</v>
      </c>
      <c r="X382" s="17">
        <f>'HH WITH COM #5'!$X$527</f>
        <v>2</v>
      </c>
      <c r="Y382" s="539">
        <f t="shared" si="887"/>
        <v>2</v>
      </c>
      <c r="Z382" s="91">
        <f t="shared" si="898"/>
        <v>0.11764705882352941</v>
      </c>
      <c r="AA382" s="17">
        <f>'HH WITH COM #6'!$W$527</f>
        <v>0</v>
      </c>
      <c r="AB382" s="17">
        <f>'HH WITH COM #6'!$X$527</f>
        <v>0</v>
      </c>
      <c r="AC382" s="539">
        <f t="shared" si="888"/>
        <v>0</v>
      </c>
      <c r="AD382" s="91">
        <f t="shared" si="899"/>
        <v>0</v>
      </c>
      <c r="AE382" s="17">
        <f>'HH WITH COM #7'!$W$527</f>
        <v>0</v>
      </c>
      <c r="AF382" s="17">
        <f>'HH WITH COM #7'!$X$527</f>
        <v>0</v>
      </c>
      <c r="AG382" s="539">
        <f t="shared" si="889"/>
        <v>0</v>
      </c>
      <c r="AH382" s="373">
        <f t="shared" si="900"/>
        <v>0</v>
      </c>
      <c r="AI382" s="391">
        <f t="shared" si="890"/>
        <v>6</v>
      </c>
      <c r="AJ382" s="17">
        <f t="shared" si="891"/>
        <v>5</v>
      </c>
      <c r="AK382" s="539">
        <f t="shared" si="892"/>
        <v>11</v>
      </c>
      <c r="AL382" s="91">
        <f t="shared" si="901"/>
        <v>0.10476190476190476</v>
      </c>
    </row>
    <row r="383" spans="1:40" ht="16.5" customHeight="1" x14ac:dyDescent="0.25">
      <c r="A383" s="40"/>
      <c r="B383" s="40"/>
      <c r="C383" s="473" t="s">
        <v>756</v>
      </c>
      <c r="D383" s="484" t="s">
        <v>1011</v>
      </c>
      <c r="E383" s="75"/>
      <c r="F383" s="106"/>
      <c r="G383" s="17">
        <f>'HH WITH COM #1 '!$W$528</f>
        <v>0</v>
      </c>
      <c r="H383" s="17">
        <f>'HH WITH COM #1 '!$X$528</f>
        <v>0</v>
      </c>
      <c r="I383" s="539">
        <f t="shared" si="893"/>
        <v>0</v>
      </c>
      <c r="J383" s="91">
        <f t="shared" si="894"/>
        <v>0</v>
      </c>
      <c r="K383" s="17">
        <f>'HH WITH COM #2'!$W$528</f>
        <v>3</v>
      </c>
      <c r="L383" s="17">
        <f>'HH WITH COM #2'!$X$528</f>
        <v>5</v>
      </c>
      <c r="M383" s="539">
        <f t="shared" si="884"/>
        <v>8</v>
      </c>
      <c r="N383" s="91">
        <f t="shared" si="895"/>
        <v>0.42105263157894735</v>
      </c>
      <c r="O383" s="17">
        <f>'HH WITH COM #3'!$W$528</f>
        <v>0</v>
      </c>
      <c r="P383" s="17">
        <f>'HH WITH COM #3'!$X$528</f>
        <v>0</v>
      </c>
      <c r="Q383" s="539">
        <f t="shared" si="885"/>
        <v>0</v>
      </c>
      <c r="R383" s="91">
        <f t="shared" si="896"/>
        <v>0</v>
      </c>
      <c r="S383" s="17">
        <f>'HH WITH COM #4'!$W$528</f>
        <v>0</v>
      </c>
      <c r="T383" s="17">
        <f>'HH WITH COM #4'!$X$528</f>
        <v>0</v>
      </c>
      <c r="U383" s="539">
        <f t="shared" si="886"/>
        <v>0</v>
      </c>
      <c r="V383" s="91">
        <f t="shared" si="897"/>
        <v>0</v>
      </c>
      <c r="W383" s="17">
        <f>'HH WITH COM #5'!$W$528</f>
        <v>0</v>
      </c>
      <c r="X383" s="17">
        <f>'HH WITH COM #5'!$X$528</f>
        <v>0</v>
      </c>
      <c r="Y383" s="539">
        <f t="shared" si="887"/>
        <v>0</v>
      </c>
      <c r="Z383" s="91">
        <f t="shared" si="898"/>
        <v>0</v>
      </c>
      <c r="AA383" s="17">
        <f>'HH WITH COM #6'!$W$528</f>
        <v>6</v>
      </c>
      <c r="AB383" s="17">
        <f>'HH WITH COM #6'!$X$528</f>
        <v>8</v>
      </c>
      <c r="AC383" s="539">
        <f t="shared" si="888"/>
        <v>14</v>
      </c>
      <c r="AD383" s="91">
        <f t="shared" si="899"/>
        <v>0.48275862068965519</v>
      </c>
      <c r="AE383" s="17">
        <f>'HH WITH COM #7'!$W$528</f>
        <v>0</v>
      </c>
      <c r="AF383" s="17">
        <f>'HH WITH COM #7'!$X$528</f>
        <v>0</v>
      </c>
      <c r="AG383" s="539">
        <f t="shared" si="889"/>
        <v>0</v>
      </c>
      <c r="AH383" s="373">
        <f t="shared" si="900"/>
        <v>0</v>
      </c>
      <c r="AI383" s="391">
        <f t="shared" si="890"/>
        <v>9</v>
      </c>
      <c r="AJ383" s="17">
        <f t="shared" si="891"/>
        <v>13</v>
      </c>
      <c r="AK383" s="539">
        <f t="shared" si="892"/>
        <v>22</v>
      </c>
      <c r="AL383" s="91">
        <f t="shared" si="901"/>
        <v>0.20952380952380953</v>
      </c>
    </row>
    <row r="384" spans="1:40" ht="16.5" customHeight="1" x14ac:dyDescent="0.25">
      <c r="A384" s="40"/>
      <c r="B384" s="40"/>
      <c r="C384" s="119"/>
      <c r="D384" s="185"/>
      <c r="E384" s="184"/>
      <c r="F384" s="469"/>
      <c r="G384" s="82">
        <f>SUM(G373:G383)</f>
        <v>7</v>
      </c>
      <c r="H384" s="82">
        <f t="shared" ref="H384:I384" si="902">SUM(H373:H383)</f>
        <v>8</v>
      </c>
      <c r="I384" s="82">
        <f t="shared" si="902"/>
        <v>15</v>
      </c>
      <c r="J384" s="66">
        <f>IF(I$384=0,0,I384/I$384)</f>
        <v>1</v>
      </c>
      <c r="K384" s="82">
        <f>SUM(K373:K383)</f>
        <v>6</v>
      </c>
      <c r="L384" s="82">
        <f t="shared" ref="L384" si="903">SUM(L373:L383)</f>
        <v>13</v>
      </c>
      <c r="M384" s="82">
        <f t="shared" ref="M384" si="904">SUM(M373:M383)</f>
        <v>19</v>
      </c>
      <c r="N384" s="66">
        <f>IF(M$384=0,0,M384/M$384)</f>
        <v>1</v>
      </c>
      <c r="O384" s="82">
        <f>SUM(O373:O383)</f>
        <v>0</v>
      </c>
      <c r="P384" s="82">
        <f t="shared" ref="P384" si="905">SUM(P373:P383)</f>
        <v>9</v>
      </c>
      <c r="Q384" s="82">
        <f t="shared" ref="Q384" si="906">SUM(Q373:Q383)</f>
        <v>9</v>
      </c>
      <c r="R384" s="66">
        <f>IF(Q$384=0,0,Q384/Q$384)</f>
        <v>1</v>
      </c>
      <c r="S384" s="82">
        <f>SUM(S373:S383)</f>
        <v>1</v>
      </c>
      <c r="T384" s="82">
        <f t="shared" ref="T384" si="907">SUM(T373:T383)</f>
        <v>15</v>
      </c>
      <c r="U384" s="82">
        <f t="shared" ref="U384" si="908">SUM(U373:U383)</f>
        <v>16</v>
      </c>
      <c r="V384" s="66">
        <f>IF(U$384=0,0,U384/U$384)</f>
        <v>1</v>
      </c>
      <c r="W384" s="82">
        <f>SUM(W373:W383)</f>
        <v>1</v>
      </c>
      <c r="X384" s="82">
        <f t="shared" ref="X384" si="909">SUM(X373:X383)</f>
        <v>16</v>
      </c>
      <c r="Y384" s="82">
        <f t="shared" ref="Y384" si="910">SUM(Y373:Y383)</f>
        <v>17</v>
      </c>
      <c r="Z384" s="66">
        <f>IF(Y$384=0,0,Y384/Y$384)</f>
        <v>1</v>
      </c>
      <c r="AA384" s="82">
        <f>SUM(AA373:AA383)</f>
        <v>9</v>
      </c>
      <c r="AB384" s="82">
        <f t="shared" ref="AB384" si="911">SUM(AB373:AB383)</f>
        <v>20</v>
      </c>
      <c r="AC384" s="82">
        <f t="shared" ref="AC384" si="912">SUM(AC373:AC383)</f>
        <v>29</v>
      </c>
      <c r="AD384" s="66">
        <f>IF(AC$384=0,0,AC384/AC$384)</f>
        <v>1</v>
      </c>
      <c r="AE384" s="82">
        <f>SUM(AE373:AE383)</f>
        <v>0</v>
      </c>
      <c r="AF384" s="82">
        <f t="shared" ref="AF384" si="913">SUM(AF373:AF383)</f>
        <v>0</v>
      </c>
      <c r="AG384" s="82">
        <f t="shared" ref="AG384" si="914">SUM(AG373:AG383)</f>
        <v>0</v>
      </c>
      <c r="AH384" s="608">
        <f>IF(AG$384=0,0,AG384/AG$384)</f>
        <v>0</v>
      </c>
      <c r="AI384" s="381">
        <f>SUM(AI373:AI383)</f>
        <v>24</v>
      </c>
      <c r="AJ384" s="82">
        <f t="shared" ref="AJ384" si="915">SUM(AJ373:AJ383)</f>
        <v>81</v>
      </c>
      <c r="AK384" s="82">
        <f t="shared" ref="AK384" si="916">SUM(AK373:AK383)</f>
        <v>105</v>
      </c>
      <c r="AL384" s="66">
        <f>IF(AK$384=0,0,AK384/AK$384)</f>
        <v>1</v>
      </c>
    </row>
    <row r="385" spans="1:70" s="117" customFormat="1" ht="16.5" customHeight="1" x14ac:dyDescent="0.25">
      <c r="A385" s="119"/>
      <c r="B385" s="41" t="s">
        <v>310</v>
      </c>
      <c r="C385" s="42" t="s">
        <v>879</v>
      </c>
      <c r="D385" s="70"/>
      <c r="E385" s="478"/>
      <c r="F385" s="478"/>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71"/>
      <c r="AE385" s="71"/>
      <c r="AF385" s="71"/>
      <c r="AG385" s="71"/>
      <c r="AH385" s="355"/>
      <c r="AI385" s="377"/>
      <c r="AJ385" s="71"/>
      <c r="AK385" s="71"/>
      <c r="AL385" s="71"/>
    </row>
    <row r="386" spans="1:70" s="117" customFormat="1" ht="16.5" customHeight="1" x14ac:dyDescent="0.25">
      <c r="A386" s="119"/>
      <c r="B386" s="119"/>
      <c r="C386" s="467" t="s">
        <v>311</v>
      </c>
      <c r="D386" s="498" t="s">
        <v>9</v>
      </c>
      <c r="E386" s="75"/>
      <c r="F386" s="106"/>
      <c r="G386" s="17">
        <f>'HH WITH COM #1 '!$W$535</f>
        <v>7</v>
      </c>
      <c r="H386" s="17">
        <f>'HH WITH COM #1 '!$X$535</f>
        <v>8</v>
      </c>
      <c r="I386" s="116">
        <f>SUM(G386:H386)</f>
        <v>15</v>
      </c>
      <c r="J386" s="91">
        <f>IF(I$389=0,0,I386/I$389)</f>
        <v>1</v>
      </c>
      <c r="K386" s="17">
        <f>'HH WITH COM #2'!$W$535</f>
        <v>4</v>
      </c>
      <c r="L386" s="17">
        <f>'HH WITH COM #2'!$X$535</f>
        <v>10</v>
      </c>
      <c r="M386" s="539">
        <f>SUM(K386:L386)</f>
        <v>14</v>
      </c>
      <c r="N386" s="91">
        <f>IF(M$389=0,0,M386/M$389)</f>
        <v>1</v>
      </c>
      <c r="O386" s="17">
        <f>'HH WITH COM #3'!$W$535</f>
        <v>0</v>
      </c>
      <c r="P386" s="17">
        <f>'HH WITH COM #3'!$X$535</f>
        <v>9</v>
      </c>
      <c r="Q386" s="539">
        <f>SUM(O386:P386)</f>
        <v>9</v>
      </c>
      <c r="R386" s="91">
        <f>IF(Q$389=0,0,Q386/Q$389)</f>
        <v>1</v>
      </c>
      <c r="S386" s="17">
        <f>'HH WITH COM #4'!$W$535</f>
        <v>1</v>
      </c>
      <c r="T386" s="17">
        <f>'HH WITH COM #4'!$X$535</f>
        <v>15</v>
      </c>
      <c r="U386" s="539">
        <f>SUM(S386:T386)</f>
        <v>16</v>
      </c>
      <c r="V386" s="91">
        <f>IF(U$389=0,0,U386/U$389)</f>
        <v>1</v>
      </c>
      <c r="W386" s="17">
        <f>'HH WITH COM #5'!$W$535</f>
        <v>2</v>
      </c>
      <c r="X386" s="17">
        <f>'HH WITH COM #5'!$X$535</f>
        <v>19</v>
      </c>
      <c r="Y386" s="539">
        <f>SUM(W386:X386)</f>
        <v>21</v>
      </c>
      <c r="Z386" s="91">
        <f>IF(Y$389=0,0,Y386/Y$389)</f>
        <v>1</v>
      </c>
      <c r="AA386" s="17">
        <f>'HH WITH COM #6'!$W$535</f>
        <v>3</v>
      </c>
      <c r="AB386" s="17">
        <f>'HH WITH COM #6'!$X$535</f>
        <v>11</v>
      </c>
      <c r="AC386" s="539">
        <f>SUM(AA386:AB386)</f>
        <v>14</v>
      </c>
      <c r="AD386" s="91">
        <f>IF(AC$389=0,0,AC386/AC$389)</f>
        <v>0.93333333333333335</v>
      </c>
      <c r="AE386" s="17">
        <f>'HH WITH COM #7'!$W$535</f>
        <v>0</v>
      </c>
      <c r="AF386" s="17">
        <f>'HH WITH COM #7'!$X$535</f>
        <v>0</v>
      </c>
      <c r="AG386" s="539">
        <f>SUM(AE386:AF386)</f>
        <v>0</v>
      </c>
      <c r="AH386" s="373">
        <f>IF(AG$389=0,0,AG386/AG$389)</f>
        <v>0</v>
      </c>
      <c r="AI386" s="391">
        <f t="shared" ref="AI386:AI388" si="917">G386+K386+O386+S386+W386+AA386+AE386</f>
        <v>17</v>
      </c>
      <c r="AJ386" s="17">
        <f t="shared" ref="AJ386:AJ388" si="918">H386+L386+P386+T386+X386+AB386+AF386</f>
        <v>72</v>
      </c>
      <c r="AK386" s="539">
        <f t="shared" ref="AK386:AK388" si="919">SUM(AI386:AJ386)</f>
        <v>89</v>
      </c>
      <c r="AL386" s="91">
        <f>IF(AK$389=0,0,AK386/AK$389)</f>
        <v>0.98888888888888893</v>
      </c>
    </row>
    <row r="387" spans="1:70" s="117" customFormat="1" ht="16.5" customHeight="1" x14ac:dyDescent="0.25">
      <c r="A387" s="119"/>
      <c r="B387" s="119"/>
      <c r="C387" s="467" t="s">
        <v>312</v>
      </c>
      <c r="D387" s="498" t="s">
        <v>11</v>
      </c>
      <c r="E387" s="75"/>
      <c r="F387" s="106"/>
      <c r="G387" s="17">
        <f>'HH WITH COM #1 '!$W$536</f>
        <v>0</v>
      </c>
      <c r="H387" s="17">
        <f>'HH WITH COM #1 '!$X$536</f>
        <v>0</v>
      </c>
      <c r="I387" s="539">
        <f t="shared" ref="I387:I388" si="920">SUM(G387:H387)</f>
        <v>0</v>
      </c>
      <c r="J387" s="91">
        <f t="shared" ref="J387:J388" si="921">IF(I$389=0,0,I387/I$389)</f>
        <v>0</v>
      </c>
      <c r="K387" s="17">
        <f>'HH WITH COM #2'!$W$536</f>
        <v>0</v>
      </c>
      <c r="L387" s="17">
        <f>'HH WITH COM #2'!$X$536</f>
        <v>0</v>
      </c>
      <c r="M387" s="539">
        <f t="shared" ref="M387:M388" si="922">SUM(K387:L387)</f>
        <v>0</v>
      </c>
      <c r="N387" s="91">
        <f t="shared" ref="N387:N388" si="923">IF(M$389=0,0,M387/M$389)</f>
        <v>0</v>
      </c>
      <c r="O387" s="17">
        <f>'HH WITH COM #3'!$W$536</f>
        <v>0</v>
      </c>
      <c r="P387" s="17">
        <f>'HH WITH COM #3'!$X$536</f>
        <v>0</v>
      </c>
      <c r="Q387" s="539">
        <f t="shared" ref="Q387:Q388" si="924">SUM(O387:P387)</f>
        <v>0</v>
      </c>
      <c r="R387" s="91">
        <f t="shared" ref="R387:R388" si="925">IF(Q$389=0,0,Q387/Q$389)</f>
        <v>0</v>
      </c>
      <c r="S387" s="17">
        <f>'HH WITH COM #4'!$W$536</f>
        <v>0</v>
      </c>
      <c r="T387" s="17">
        <f>'HH WITH COM #4'!$X$536</f>
        <v>0</v>
      </c>
      <c r="U387" s="539">
        <f t="shared" ref="U387:U388" si="926">SUM(S387:T387)</f>
        <v>0</v>
      </c>
      <c r="V387" s="91">
        <f t="shared" ref="V387:V388" si="927">IF(U$389=0,0,U387/U$389)</f>
        <v>0</v>
      </c>
      <c r="W387" s="17">
        <f>'HH WITH COM #5'!$W$536</f>
        <v>0</v>
      </c>
      <c r="X387" s="17">
        <f>'HH WITH COM #5'!$X$536</f>
        <v>0</v>
      </c>
      <c r="Y387" s="539">
        <f t="shared" ref="Y387:Y388" si="928">SUM(W387:X387)</f>
        <v>0</v>
      </c>
      <c r="Z387" s="91">
        <f t="shared" ref="Z387:Z388" si="929">IF(Y$389=0,0,Y387/Y$389)</f>
        <v>0</v>
      </c>
      <c r="AA387" s="17">
        <f>'HH WITH COM #6'!$W$536</f>
        <v>0</v>
      </c>
      <c r="AB387" s="17">
        <f>'HH WITH COM #6'!$X$536</f>
        <v>1</v>
      </c>
      <c r="AC387" s="539">
        <f t="shared" ref="AC387:AC388" si="930">SUM(AA387:AB387)</f>
        <v>1</v>
      </c>
      <c r="AD387" s="91">
        <f t="shared" ref="AD387:AD388" si="931">IF(AC$389=0,0,AC387/AC$389)</f>
        <v>6.6666666666666666E-2</v>
      </c>
      <c r="AE387" s="17">
        <f>'HH WITH COM #7'!$W$536</f>
        <v>0</v>
      </c>
      <c r="AF387" s="17">
        <f>'HH WITH COM #7'!$X$536</f>
        <v>0</v>
      </c>
      <c r="AG387" s="539">
        <f t="shared" ref="AG387:AG388" si="932">SUM(AE387:AF387)</f>
        <v>0</v>
      </c>
      <c r="AH387" s="373">
        <f t="shared" ref="AH387:AH388" si="933">IF(AG$389=0,0,AG387/AG$389)</f>
        <v>0</v>
      </c>
      <c r="AI387" s="391">
        <f t="shared" si="917"/>
        <v>0</v>
      </c>
      <c r="AJ387" s="17">
        <f t="shared" si="918"/>
        <v>1</v>
      </c>
      <c r="AK387" s="539">
        <f t="shared" si="919"/>
        <v>1</v>
      </c>
      <c r="AL387" s="91">
        <f t="shared" ref="AL387:AL388" si="934">IF(AK$389=0,0,AK387/AK$389)</f>
        <v>1.1111111111111112E-2</v>
      </c>
    </row>
    <row r="388" spans="1:70" s="117" customFormat="1" ht="16.5" customHeight="1" x14ac:dyDescent="0.25">
      <c r="A388" s="119"/>
      <c r="B388" s="119"/>
      <c r="C388" s="467" t="s">
        <v>490</v>
      </c>
      <c r="D388" s="498" t="s">
        <v>617</v>
      </c>
      <c r="E388" s="75"/>
      <c r="F388" s="106"/>
      <c r="G388" s="17">
        <f>'HH WITH COM #1 '!$W$537</f>
        <v>0</v>
      </c>
      <c r="H388" s="17">
        <f>'HH WITH COM #1 '!$X$537</f>
        <v>0</v>
      </c>
      <c r="I388" s="539">
        <f t="shared" si="920"/>
        <v>0</v>
      </c>
      <c r="J388" s="91">
        <f t="shared" si="921"/>
        <v>0</v>
      </c>
      <c r="K388" s="17">
        <f>'HH WITH COM #2'!$W$537</f>
        <v>0</v>
      </c>
      <c r="L388" s="17">
        <f>'HH WITH COM #2'!$X$537</f>
        <v>0</v>
      </c>
      <c r="M388" s="539">
        <f t="shared" si="922"/>
        <v>0</v>
      </c>
      <c r="N388" s="91">
        <f t="shared" si="923"/>
        <v>0</v>
      </c>
      <c r="O388" s="17">
        <f>'HH WITH COM #3'!$W$537</f>
        <v>0</v>
      </c>
      <c r="P388" s="17">
        <f>'HH WITH COM #3'!$X$537</f>
        <v>0</v>
      </c>
      <c r="Q388" s="539">
        <f t="shared" si="924"/>
        <v>0</v>
      </c>
      <c r="R388" s="91">
        <f t="shared" si="925"/>
        <v>0</v>
      </c>
      <c r="S388" s="17">
        <f>'HH WITH COM #4'!$W$537</f>
        <v>0</v>
      </c>
      <c r="T388" s="17">
        <f>'HH WITH COM #4'!$X$537</f>
        <v>0</v>
      </c>
      <c r="U388" s="539">
        <f t="shared" si="926"/>
        <v>0</v>
      </c>
      <c r="V388" s="91">
        <f t="shared" si="927"/>
        <v>0</v>
      </c>
      <c r="W388" s="17">
        <f>'HH WITH COM #5'!$W$537</f>
        <v>0</v>
      </c>
      <c r="X388" s="17">
        <f>'HH WITH COM #5'!$X$537</f>
        <v>0</v>
      </c>
      <c r="Y388" s="539">
        <f t="shared" si="928"/>
        <v>0</v>
      </c>
      <c r="Z388" s="91">
        <f t="shared" si="929"/>
        <v>0</v>
      </c>
      <c r="AA388" s="17">
        <f>'HH WITH COM #6'!$W$537</f>
        <v>0</v>
      </c>
      <c r="AB388" s="17">
        <f>'HH WITH COM #6'!$X$537</f>
        <v>0</v>
      </c>
      <c r="AC388" s="539">
        <f t="shared" si="930"/>
        <v>0</v>
      </c>
      <c r="AD388" s="91">
        <f t="shared" si="931"/>
        <v>0</v>
      </c>
      <c r="AE388" s="17">
        <f>'HH WITH COM #7'!$W$537</f>
        <v>0</v>
      </c>
      <c r="AF388" s="17">
        <f>'HH WITH COM #7'!$X$537</f>
        <v>0</v>
      </c>
      <c r="AG388" s="539">
        <f t="shared" si="932"/>
        <v>0</v>
      </c>
      <c r="AH388" s="373">
        <f t="shared" si="933"/>
        <v>0</v>
      </c>
      <c r="AI388" s="391">
        <f t="shared" si="917"/>
        <v>0</v>
      </c>
      <c r="AJ388" s="17">
        <f t="shared" si="918"/>
        <v>0</v>
      </c>
      <c r="AK388" s="539">
        <f t="shared" si="919"/>
        <v>0</v>
      </c>
      <c r="AL388" s="91">
        <f t="shared" si="934"/>
        <v>0</v>
      </c>
    </row>
    <row r="389" spans="1:70" ht="16.5" customHeight="1" x14ac:dyDescent="0.25">
      <c r="A389" s="40"/>
      <c r="B389" s="40"/>
      <c r="C389" s="119"/>
      <c r="D389" s="185"/>
      <c r="E389" s="184"/>
      <c r="F389" s="469"/>
      <c r="G389" s="82">
        <f>SUM(G386:G388)</f>
        <v>7</v>
      </c>
      <c r="H389" s="82">
        <f>SUM(H386:H388)</f>
        <v>8</v>
      </c>
      <c r="I389" s="82">
        <f>SUM(I386:I388)</f>
        <v>15</v>
      </c>
      <c r="J389" s="66">
        <f>IF(I$389=0,0,I389/I$389)</f>
        <v>1</v>
      </c>
      <c r="K389" s="82">
        <f>SUM(K386:K388)</f>
        <v>4</v>
      </c>
      <c r="L389" s="82">
        <f>SUM(L386:L388)</f>
        <v>10</v>
      </c>
      <c r="M389" s="82">
        <f>SUM(M386:M388)</f>
        <v>14</v>
      </c>
      <c r="N389" s="66">
        <f>IF(M$389=0,0,M389/M$389)</f>
        <v>1</v>
      </c>
      <c r="O389" s="82">
        <f>SUM(O386:O388)</f>
        <v>0</v>
      </c>
      <c r="P389" s="82">
        <f>SUM(P386:P388)</f>
        <v>9</v>
      </c>
      <c r="Q389" s="82">
        <f>SUM(Q386:Q388)</f>
        <v>9</v>
      </c>
      <c r="R389" s="66">
        <f>IF(Q$389=0,0,Q389/Q$389)</f>
        <v>1</v>
      </c>
      <c r="S389" s="82">
        <f>SUM(S386:S388)</f>
        <v>1</v>
      </c>
      <c r="T389" s="82">
        <f>SUM(T386:T388)</f>
        <v>15</v>
      </c>
      <c r="U389" s="82">
        <f>SUM(U386:U388)</f>
        <v>16</v>
      </c>
      <c r="V389" s="66">
        <f>IF(U$389=0,0,U389/U$389)</f>
        <v>1</v>
      </c>
      <c r="W389" s="82">
        <f>SUM(W386:W388)</f>
        <v>2</v>
      </c>
      <c r="X389" s="82">
        <f>SUM(X386:X388)</f>
        <v>19</v>
      </c>
      <c r="Y389" s="82">
        <f>SUM(Y386:Y388)</f>
        <v>21</v>
      </c>
      <c r="Z389" s="66">
        <f>IF(Y$389=0,0,Y389/Y$389)</f>
        <v>1</v>
      </c>
      <c r="AA389" s="82">
        <f>SUM(AA386:AA388)</f>
        <v>3</v>
      </c>
      <c r="AB389" s="82">
        <f>SUM(AB386:AB388)</f>
        <v>12</v>
      </c>
      <c r="AC389" s="82">
        <f>SUM(AC386:AC388)</f>
        <v>15</v>
      </c>
      <c r="AD389" s="66">
        <f>IF(AC$389=0,0,AC389/AC$389)</f>
        <v>1</v>
      </c>
      <c r="AE389" s="82">
        <f>SUM(AE386:AE388)</f>
        <v>0</v>
      </c>
      <c r="AF389" s="82">
        <f>SUM(AF386:AF388)</f>
        <v>0</v>
      </c>
      <c r="AG389" s="82">
        <f>SUM(AG386:AG388)</f>
        <v>0</v>
      </c>
      <c r="AH389" s="608">
        <f>IF(AG$389=0,0,AG389/AG$389)</f>
        <v>0</v>
      </c>
      <c r="AI389" s="381">
        <f>SUM(AI386:AI388)</f>
        <v>17</v>
      </c>
      <c r="AJ389" s="82">
        <f>SUM(AJ386:AJ388)</f>
        <v>73</v>
      </c>
      <c r="AK389" s="82">
        <f>SUM(AK386:AK388)</f>
        <v>90</v>
      </c>
      <c r="AL389" s="66">
        <f>IF(AK$389=0,0,AK389/AK$389)</f>
        <v>1</v>
      </c>
    </row>
    <row r="390" spans="1:70" ht="16.5" customHeight="1" x14ac:dyDescent="0.25">
      <c r="A390" s="40"/>
      <c r="B390" s="119"/>
      <c r="C390" s="467" t="s">
        <v>672</v>
      </c>
      <c r="D390" s="167" t="s">
        <v>1012</v>
      </c>
      <c r="E390" s="75"/>
      <c r="F390" s="76"/>
      <c r="G390" s="499"/>
      <c r="H390" s="499"/>
      <c r="I390" s="200"/>
      <c r="J390" s="131"/>
      <c r="K390" s="499"/>
      <c r="L390" s="499"/>
      <c r="M390" s="200"/>
      <c r="N390" s="131"/>
      <c r="O390" s="499"/>
      <c r="P390" s="499"/>
      <c r="Q390" s="200"/>
      <c r="R390" s="131"/>
      <c r="S390" s="499"/>
      <c r="T390" s="499"/>
      <c r="U390" s="200"/>
      <c r="V390" s="131"/>
      <c r="W390" s="499"/>
      <c r="X390" s="499"/>
      <c r="Y390" s="200"/>
      <c r="Z390" s="131"/>
      <c r="AA390" s="499"/>
      <c r="AB390" s="499"/>
      <c r="AC390" s="200"/>
      <c r="AD390" s="131"/>
      <c r="AE390" s="131"/>
      <c r="AF390" s="131"/>
      <c r="AG390" s="200"/>
      <c r="AH390" s="613"/>
      <c r="AI390" s="624"/>
      <c r="AJ390" s="499"/>
      <c r="AK390" s="200"/>
      <c r="AL390" s="131"/>
      <c r="AM390" s="117"/>
      <c r="AN390" s="2"/>
      <c r="AO390" s="2"/>
      <c r="AP390" s="2"/>
      <c r="BA390" s="2" t="s">
        <v>1068</v>
      </c>
      <c r="BB390" s="2" t="s">
        <v>1069</v>
      </c>
      <c r="BC390" s="2" t="s">
        <v>1070</v>
      </c>
      <c r="BD390" s="2" t="s">
        <v>1071</v>
      </c>
      <c r="BE390" s="2" t="s">
        <v>1072</v>
      </c>
      <c r="BF390" s="2" t="s">
        <v>1073</v>
      </c>
      <c r="BG390" s="2" t="s">
        <v>1074</v>
      </c>
    </row>
    <row r="391" spans="1:70" ht="16.5" customHeight="1" x14ac:dyDescent="0.25">
      <c r="A391" s="40"/>
      <c r="B391" s="119"/>
      <c r="C391" s="119"/>
      <c r="D391" s="167" t="s">
        <v>1013</v>
      </c>
      <c r="E391" s="75"/>
      <c r="F391" s="76"/>
      <c r="G391" s="508"/>
      <c r="H391" s="508"/>
      <c r="I391" s="508">
        <f>'HH WITH COM #1 '!$AA$540</f>
        <v>0.5</v>
      </c>
      <c r="J391" s="91"/>
      <c r="K391" s="508"/>
      <c r="L391" s="508"/>
      <c r="M391" s="508">
        <f>'HH WITH COM #2'!$AA$540</f>
        <v>0.5</v>
      </c>
      <c r="N391" s="91"/>
      <c r="O391" s="508"/>
      <c r="P391" s="508"/>
      <c r="Q391" s="508">
        <f>'HH WITH COM #3'!$AA$540</f>
        <v>0.5</v>
      </c>
      <c r="R391" s="91"/>
      <c r="S391" s="508"/>
      <c r="T391" s="508"/>
      <c r="U391" s="508">
        <f>'HH WITH COM #4'!$AA$540</f>
        <v>1</v>
      </c>
      <c r="V391" s="91"/>
      <c r="W391" s="508"/>
      <c r="X391" s="508"/>
      <c r="Y391" s="508">
        <f>'HH WITH COM #5'!$AA$540</f>
        <v>1</v>
      </c>
      <c r="Z391" s="91"/>
      <c r="AA391" s="508"/>
      <c r="AB391" s="508"/>
      <c r="AC391" s="508">
        <f>'HH WITH COM #6'!$AA$540</f>
        <v>0.5</v>
      </c>
      <c r="AD391" s="91"/>
      <c r="AE391" s="91"/>
      <c r="AF391" s="91"/>
      <c r="AG391" s="508">
        <f>'HH WITH COM #7'!$AA$540</f>
        <v>0</v>
      </c>
      <c r="AH391" s="373"/>
      <c r="AI391" s="625"/>
      <c r="AJ391" s="508"/>
      <c r="AK391" s="199">
        <f>MIN(BA391:BG391)</f>
        <v>0.5</v>
      </c>
      <c r="AL391" s="91"/>
      <c r="AM391" s="117"/>
      <c r="AN391" s="982" t="s">
        <v>1469</v>
      </c>
      <c r="AO391" s="2"/>
      <c r="AP391" s="2"/>
      <c r="BA391" s="983">
        <f>IF(I391=0,"",I391)</f>
        <v>0.5</v>
      </c>
      <c r="BB391" s="983">
        <f>IF(M391=0,"",M391)</f>
        <v>0.5</v>
      </c>
      <c r="BC391" s="983">
        <f>IF(Q391=0,"",Q391)</f>
        <v>0.5</v>
      </c>
      <c r="BD391" s="983">
        <f>IF(U391=0,"",U391)</f>
        <v>1</v>
      </c>
      <c r="BE391" s="983">
        <f>IF(Y391=0,"",Y391)</f>
        <v>1</v>
      </c>
      <c r="BF391" s="983">
        <f>IF(AC391=0,"",AC391)</f>
        <v>0.5</v>
      </c>
      <c r="BG391" s="983" t="str">
        <f>IF(AG391=0,"",AG391)</f>
        <v/>
      </c>
    </row>
    <row r="392" spans="1:70" ht="16.5" customHeight="1" x14ac:dyDescent="0.25">
      <c r="A392" s="40"/>
      <c r="B392" s="119"/>
      <c r="C392" s="119"/>
      <c r="D392" s="167" t="s">
        <v>1014</v>
      </c>
      <c r="E392" s="75"/>
      <c r="F392" s="76"/>
      <c r="G392" s="508"/>
      <c r="H392" s="508"/>
      <c r="I392" s="508">
        <f>'HH WITH COM #1 '!$AB$540</f>
        <v>3</v>
      </c>
      <c r="J392" s="91"/>
      <c r="K392" s="508"/>
      <c r="L392" s="508"/>
      <c r="M392" s="508">
        <f>'HH WITH COM #2'!$AB$540</f>
        <v>1</v>
      </c>
      <c r="N392" s="91"/>
      <c r="O392" s="508"/>
      <c r="P392" s="508"/>
      <c r="Q392" s="508">
        <f>'HH WITH COM #3'!$AB$540</f>
        <v>0.5</v>
      </c>
      <c r="R392" s="91"/>
      <c r="S392" s="508"/>
      <c r="T392" s="508"/>
      <c r="U392" s="508">
        <f>'HH WITH COM #4'!$AB$540</f>
        <v>1.5</v>
      </c>
      <c r="V392" s="91"/>
      <c r="W392" s="508"/>
      <c r="X392" s="508"/>
      <c r="Y392" s="508">
        <f>'HH WITH COM #5'!$AB$540</f>
        <v>1.5</v>
      </c>
      <c r="Z392" s="91"/>
      <c r="AA392" s="508"/>
      <c r="AB392" s="508"/>
      <c r="AC392" s="508">
        <f>'HH WITH COM #6'!$AB$540</f>
        <v>2.5</v>
      </c>
      <c r="AD392" s="91"/>
      <c r="AE392" s="91"/>
      <c r="AF392" s="91"/>
      <c r="AG392" s="508">
        <f>'HH WITH COM #7'!$AB$540</f>
        <v>0</v>
      </c>
      <c r="AH392" s="373"/>
      <c r="AI392" s="625"/>
      <c r="AJ392" s="508"/>
      <c r="AK392" s="199">
        <f>MAX(BA392:BG392)</f>
        <v>3</v>
      </c>
      <c r="AL392" s="91"/>
      <c r="AM392" s="117"/>
      <c r="AN392" s="982" t="s">
        <v>1469</v>
      </c>
      <c r="AO392" s="2"/>
      <c r="AP392" s="2"/>
      <c r="BA392" s="983">
        <f t="shared" ref="BA392:BA393" si="935">IF(I392=0,"",I392)</f>
        <v>3</v>
      </c>
      <c r="BB392" s="983">
        <f t="shared" ref="BB392:BB393" si="936">IF(M392=0,"",M392)</f>
        <v>1</v>
      </c>
      <c r="BC392" s="983">
        <f t="shared" ref="BC392:BC393" si="937">IF(Q392=0,"",Q392)</f>
        <v>0.5</v>
      </c>
      <c r="BD392" s="983">
        <f t="shared" ref="BD392:BD393" si="938">IF(U392=0,"",U392)</f>
        <v>1.5</v>
      </c>
      <c r="BE392" s="983">
        <f t="shared" ref="BE392:BE393" si="939">IF(Y392=0,"",Y392)</f>
        <v>1.5</v>
      </c>
      <c r="BF392" s="983">
        <f t="shared" ref="BF392:BF393" si="940">IF(AC392=0,"",AC392)</f>
        <v>2.5</v>
      </c>
      <c r="BG392" s="983" t="str">
        <f t="shared" ref="BG392:BG393" si="941">IF(AG392=0,"",AG392)</f>
        <v/>
      </c>
    </row>
    <row r="393" spans="1:70" ht="16.5" customHeight="1" x14ac:dyDescent="0.25">
      <c r="A393" s="40"/>
      <c r="B393" s="119"/>
      <c r="C393" s="119"/>
      <c r="D393" s="167" t="s">
        <v>1015</v>
      </c>
      <c r="E393" s="75"/>
      <c r="F393" s="76"/>
      <c r="G393" s="508"/>
      <c r="H393" s="508"/>
      <c r="I393" s="199">
        <f>'HH WITH COM #1 '!$AC$540</f>
        <v>1.75</v>
      </c>
      <c r="J393" s="91"/>
      <c r="K393" s="508"/>
      <c r="L393" s="508"/>
      <c r="M393" s="199">
        <f>'HH WITH COM #2'!$AC$540</f>
        <v>0.75</v>
      </c>
      <c r="N393" s="91"/>
      <c r="O393" s="508"/>
      <c r="P393" s="508"/>
      <c r="Q393" s="199">
        <f>'HH WITH COM #3'!$AC$540</f>
        <v>0.5</v>
      </c>
      <c r="R393" s="91"/>
      <c r="S393" s="508"/>
      <c r="T393" s="508"/>
      <c r="U393" s="199">
        <f>'HH WITH COM #4'!$AC$540</f>
        <v>1.25</v>
      </c>
      <c r="V393" s="91"/>
      <c r="W393" s="508"/>
      <c r="X393" s="508"/>
      <c r="Y393" s="199">
        <f>'HH WITH COM #5'!$AC$540</f>
        <v>1.1666666666666667</v>
      </c>
      <c r="Z393" s="91"/>
      <c r="AA393" s="508"/>
      <c r="AB393" s="508"/>
      <c r="AC393" s="199">
        <f>'HH WITH COM #6'!$AC$540</f>
        <v>1.5</v>
      </c>
      <c r="AD393" s="91"/>
      <c r="AE393" s="91"/>
      <c r="AF393" s="91"/>
      <c r="AG393" s="199">
        <f>'HH WITH COM #7'!$AC$540</f>
        <v>0</v>
      </c>
      <c r="AH393" s="373"/>
      <c r="AI393" s="984"/>
      <c r="AJ393" s="985"/>
      <c r="AK393" s="719">
        <f>AVERAGE(BA393:BG393)</f>
        <v>1.1527777777777779</v>
      </c>
      <c r="AL393" s="197"/>
      <c r="AM393" s="757"/>
      <c r="AN393" s="982" t="s">
        <v>1469</v>
      </c>
      <c r="AO393" s="657"/>
      <c r="AP393" s="657"/>
      <c r="AQ393" s="655"/>
      <c r="AR393" s="655"/>
      <c r="AS393" s="655"/>
      <c r="AT393" s="655"/>
      <c r="AU393" s="655"/>
      <c r="AV393" s="655"/>
      <c r="AW393" s="655"/>
      <c r="AX393" s="655"/>
      <c r="AY393" s="655"/>
      <c r="AZ393" s="655"/>
      <c r="BA393" s="983">
        <f t="shared" si="935"/>
        <v>1.75</v>
      </c>
      <c r="BB393" s="983">
        <f t="shared" si="936"/>
        <v>0.75</v>
      </c>
      <c r="BC393" s="983">
        <f t="shared" si="937"/>
        <v>0.5</v>
      </c>
      <c r="BD393" s="983">
        <f t="shared" si="938"/>
        <v>1.25</v>
      </c>
      <c r="BE393" s="983">
        <f t="shared" si="939"/>
        <v>1.1666666666666667</v>
      </c>
      <c r="BF393" s="983">
        <f t="shared" si="940"/>
        <v>1.5</v>
      </c>
      <c r="BG393" s="983" t="str">
        <f t="shared" si="941"/>
        <v/>
      </c>
      <c r="BH393" s="655"/>
      <c r="BI393" s="986">
        <f>AVERAGE(BA391:BG392)</f>
        <v>1.1666666666666667</v>
      </c>
      <c r="BJ393" s="655"/>
      <c r="BK393" s="655"/>
      <c r="BL393" s="655"/>
      <c r="BM393" s="655"/>
      <c r="BN393" s="655"/>
      <c r="BO393" s="655"/>
      <c r="BP393" s="655"/>
      <c r="BQ393" s="655"/>
      <c r="BR393" s="655"/>
    </row>
    <row r="394" spans="1:70" ht="16.5" customHeight="1" x14ac:dyDescent="0.25">
      <c r="A394" s="40"/>
      <c r="B394" s="40"/>
      <c r="C394" s="119"/>
      <c r="D394" s="185"/>
      <c r="E394" s="184"/>
      <c r="F394" s="469"/>
      <c r="G394" s="82"/>
      <c r="H394" s="82"/>
      <c r="I394" s="82"/>
      <c r="J394" s="66"/>
      <c r="K394" s="82"/>
      <c r="L394" s="82"/>
      <c r="M394" s="82"/>
      <c r="N394" s="66"/>
      <c r="O394" s="82"/>
      <c r="P394" s="82"/>
      <c r="Q394" s="82"/>
      <c r="R394" s="66"/>
      <c r="S394" s="82"/>
      <c r="T394" s="82"/>
      <c r="U394" s="82"/>
      <c r="V394" s="66"/>
      <c r="W394" s="82"/>
      <c r="X394" s="82"/>
      <c r="Y394" s="82"/>
      <c r="Z394" s="66"/>
      <c r="AA394" s="82"/>
      <c r="AB394" s="82"/>
      <c r="AC394" s="82"/>
      <c r="AD394" s="66"/>
      <c r="AE394" s="82"/>
      <c r="AF394" s="82"/>
      <c r="AG394" s="82"/>
      <c r="AH394" s="608"/>
      <c r="AI394" s="381"/>
      <c r="AJ394" s="82"/>
      <c r="AK394" s="82"/>
      <c r="AL394" s="66"/>
    </row>
    <row r="395" spans="1:70" s="117" customFormat="1" ht="16.5" customHeight="1" x14ac:dyDescent="0.25">
      <c r="A395" s="119"/>
      <c r="B395" s="41" t="s">
        <v>313</v>
      </c>
      <c r="C395" s="69" t="s">
        <v>1016</v>
      </c>
      <c r="D395" s="70"/>
      <c r="E395" s="478"/>
      <c r="F395" s="478"/>
      <c r="G395" s="71"/>
      <c r="H395" s="71"/>
      <c r="I395" s="71"/>
      <c r="J395" s="71"/>
      <c r="K395" s="71"/>
      <c r="L395" s="71"/>
      <c r="M395" s="71"/>
      <c r="N395" s="71"/>
      <c r="O395" s="71"/>
      <c r="P395" s="71"/>
      <c r="Q395" s="71"/>
      <c r="R395" s="71"/>
      <c r="S395" s="71"/>
      <c r="T395" s="71"/>
      <c r="U395" s="71"/>
      <c r="V395" s="71"/>
      <c r="W395" s="71"/>
      <c r="X395" s="71"/>
      <c r="Y395" s="71"/>
      <c r="Z395" s="71"/>
      <c r="AA395" s="71"/>
      <c r="AB395" s="71"/>
      <c r="AC395" s="71"/>
      <c r="AD395" s="71"/>
      <c r="AE395" s="71"/>
      <c r="AF395" s="71"/>
      <c r="AG395" s="71"/>
      <c r="AH395" s="355"/>
      <c r="AI395" s="377"/>
      <c r="AJ395" s="71"/>
      <c r="AK395" s="71"/>
      <c r="AL395" s="71"/>
    </row>
    <row r="396" spans="1:70" s="117" customFormat="1" ht="16.5" customHeight="1" x14ac:dyDescent="0.25">
      <c r="A396" s="119"/>
      <c r="B396" s="119"/>
      <c r="C396" s="467" t="s">
        <v>314</v>
      </c>
      <c r="D396" s="167" t="s">
        <v>129</v>
      </c>
      <c r="E396" s="75"/>
      <c r="F396" s="106"/>
      <c r="G396" s="17"/>
      <c r="H396" s="17"/>
      <c r="I396" s="539">
        <f>'HH WITH COM #1 '!$Y$543</f>
        <v>0</v>
      </c>
      <c r="J396" s="91">
        <f>IF(I$399=0,0,I396/I$399)</f>
        <v>0</v>
      </c>
      <c r="K396" s="17"/>
      <c r="L396" s="17"/>
      <c r="M396" s="539">
        <f>'HH WITH COM #2'!$Y$543</f>
        <v>0</v>
      </c>
      <c r="N396" s="91">
        <f>IF(M$399=0,0,M396/M$399)</f>
        <v>0</v>
      </c>
      <c r="O396" s="17"/>
      <c r="P396" s="17"/>
      <c r="Q396" s="539">
        <f>'HH WITH COM #3'!$Y$543</f>
        <v>0</v>
      </c>
      <c r="R396" s="91">
        <f>IF(Q$399=0,0,Q396/Q$399)</f>
        <v>0</v>
      </c>
      <c r="S396" s="17"/>
      <c r="T396" s="17"/>
      <c r="U396" s="539">
        <f>'HH WITH COM #4'!$Y$543</f>
        <v>0</v>
      </c>
      <c r="V396" s="91">
        <f>IF(U$399=0,0,U396/U$399)</f>
        <v>0</v>
      </c>
      <c r="W396" s="17"/>
      <c r="X396" s="17"/>
      <c r="Y396" s="539">
        <f>'HH WITH COM #5'!$Y$543</f>
        <v>0</v>
      </c>
      <c r="Z396" s="91">
        <f>IF(Y$399=0,0,Y396/Y$399)</f>
        <v>0</v>
      </c>
      <c r="AA396" s="17"/>
      <c r="AB396" s="17"/>
      <c r="AC396" s="539">
        <f>'HH WITH COM #6'!$Y$543</f>
        <v>0</v>
      </c>
      <c r="AD396" s="91">
        <f>IF(AC$399=0,0,AC396/AC$399)</f>
        <v>0</v>
      </c>
      <c r="AE396" s="17"/>
      <c r="AF396" s="17"/>
      <c r="AG396" s="539">
        <f>'HH WITH COM #7'!$Y$543</f>
        <v>0</v>
      </c>
      <c r="AH396" s="373">
        <f>IF(AG$399=0,0,AG396/AG$399)</f>
        <v>0</v>
      </c>
      <c r="AI396" s="391"/>
      <c r="AJ396" s="17"/>
      <c r="AK396" s="17">
        <f t="shared" ref="AK396:AK398" si="942">I396+M396+Q396+U396+Y396+AC396+AG396</f>
        <v>0</v>
      </c>
      <c r="AL396" s="91">
        <f>IF(AK$399=0,0,AK396/AK$399)</f>
        <v>0</v>
      </c>
    </row>
    <row r="397" spans="1:70" s="117" customFormat="1" ht="16.5" customHeight="1" x14ac:dyDescent="0.25">
      <c r="A397" s="119"/>
      <c r="B397" s="119"/>
      <c r="C397" s="467" t="s">
        <v>327</v>
      </c>
      <c r="D397" s="167" t="s">
        <v>491</v>
      </c>
      <c r="E397" s="75"/>
      <c r="F397" s="106"/>
      <c r="G397" s="17"/>
      <c r="H397" s="17"/>
      <c r="I397" s="539">
        <f>'HH WITH COM #1 '!$Y$544</f>
        <v>2</v>
      </c>
      <c r="J397" s="91">
        <f t="shared" ref="J397:J399" si="943">IF(I$399=0,0,I397/I$399)</f>
        <v>1</v>
      </c>
      <c r="K397" s="17"/>
      <c r="L397" s="17"/>
      <c r="M397" s="539">
        <f>'HH WITH COM #2'!$Y$544</f>
        <v>2</v>
      </c>
      <c r="N397" s="91">
        <f t="shared" ref="N397:N399" si="944">IF(M$399=0,0,M397/M$399)</f>
        <v>1</v>
      </c>
      <c r="O397" s="17"/>
      <c r="P397" s="17"/>
      <c r="Q397" s="539">
        <f>'HH WITH COM #3'!$Y$544</f>
        <v>1</v>
      </c>
      <c r="R397" s="91">
        <f t="shared" ref="R397:R399" si="945">IF(Q$399=0,0,Q397/Q$399)</f>
        <v>1</v>
      </c>
      <c r="S397" s="17"/>
      <c r="T397" s="17"/>
      <c r="U397" s="539">
        <f>'HH WITH COM #4'!$Y$544</f>
        <v>2</v>
      </c>
      <c r="V397" s="91">
        <f t="shared" ref="V397:V399" si="946">IF(U$399=0,0,U397/U$399)</f>
        <v>1</v>
      </c>
      <c r="W397" s="17"/>
      <c r="X397" s="17"/>
      <c r="Y397" s="539">
        <f>'HH WITH COM #5'!$Y$544</f>
        <v>3</v>
      </c>
      <c r="Z397" s="91">
        <f t="shared" ref="Z397:Z399" si="947">IF(Y$399=0,0,Y397/Y$399)</f>
        <v>1</v>
      </c>
      <c r="AA397" s="17"/>
      <c r="AB397" s="17"/>
      <c r="AC397" s="539">
        <f>'HH WITH COM #6'!$Y$544</f>
        <v>2</v>
      </c>
      <c r="AD397" s="91">
        <f t="shared" ref="AD397:AD399" si="948">IF(AC$399=0,0,AC397/AC$399)</f>
        <v>1</v>
      </c>
      <c r="AE397" s="17"/>
      <c r="AF397" s="17"/>
      <c r="AG397" s="539">
        <f>'HH WITH COM #7'!$Y$544</f>
        <v>0</v>
      </c>
      <c r="AH397" s="373">
        <f t="shared" ref="AH397:AH399" si="949">IF(AG$399=0,0,AG397/AG$399)</f>
        <v>0</v>
      </c>
      <c r="AI397" s="391"/>
      <c r="AJ397" s="17"/>
      <c r="AK397" s="17">
        <f t="shared" si="942"/>
        <v>12</v>
      </c>
      <c r="AL397" s="91">
        <f t="shared" ref="AL397:AL399" si="950">IF(AK$399=0,0,AK397/AK$399)</f>
        <v>1</v>
      </c>
    </row>
    <row r="398" spans="1:70" s="117" customFormat="1" ht="16.5" customHeight="1" x14ac:dyDescent="0.25">
      <c r="A398" s="119"/>
      <c r="B398" s="119"/>
      <c r="C398" s="467" t="s">
        <v>328</v>
      </c>
      <c r="D398" s="167" t="s">
        <v>493</v>
      </c>
      <c r="E398" s="75"/>
      <c r="F398" s="106"/>
      <c r="G398" s="17"/>
      <c r="H398" s="17"/>
      <c r="I398" s="539">
        <f>'HH WITH COM #1 '!$Y$545</f>
        <v>0</v>
      </c>
      <c r="J398" s="91">
        <f t="shared" si="943"/>
        <v>0</v>
      </c>
      <c r="K398" s="17"/>
      <c r="L398" s="17"/>
      <c r="M398" s="539">
        <f>'HH WITH COM #2'!$Y$545</f>
        <v>0</v>
      </c>
      <c r="N398" s="91">
        <f t="shared" si="944"/>
        <v>0</v>
      </c>
      <c r="O398" s="17"/>
      <c r="P398" s="17"/>
      <c r="Q398" s="539">
        <f>'HH WITH COM #3'!$Y$545</f>
        <v>0</v>
      </c>
      <c r="R398" s="91">
        <f t="shared" si="945"/>
        <v>0</v>
      </c>
      <c r="S398" s="17"/>
      <c r="T398" s="17"/>
      <c r="U398" s="539">
        <f>'HH WITH COM #4'!$Y$545</f>
        <v>0</v>
      </c>
      <c r="V398" s="91">
        <f t="shared" si="946"/>
        <v>0</v>
      </c>
      <c r="W398" s="17"/>
      <c r="X398" s="17"/>
      <c r="Y398" s="539">
        <f>'HH WITH COM #5'!$Y$545</f>
        <v>0</v>
      </c>
      <c r="Z398" s="91">
        <f t="shared" si="947"/>
        <v>0</v>
      </c>
      <c r="AA398" s="17"/>
      <c r="AB398" s="17"/>
      <c r="AC398" s="539">
        <f>'HH WITH COM #6'!$Y$545</f>
        <v>0</v>
      </c>
      <c r="AD398" s="91">
        <f t="shared" si="948"/>
        <v>0</v>
      </c>
      <c r="AE398" s="17"/>
      <c r="AF398" s="17"/>
      <c r="AG398" s="539">
        <f>'HH WITH COM #7'!$Y$545</f>
        <v>0</v>
      </c>
      <c r="AH398" s="373">
        <f t="shared" si="949"/>
        <v>0</v>
      </c>
      <c r="AI398" s="391"/>
      <c r="AJ398" s="17"/>
      <c r="AK398" s="17">
        <f t="shared" si="942"/>
        <v>0</v>
      </c>
      <c r="AL398" s="91">
        <f t="shared" si="950"/>
        <v>0</v>
      </c>
    </row>
    <row r="399" spans="1:70" ht="16.5" customHeight="1" x14ac:dyDescent="0.25">
      <c r="A399" s="40"/>
      <c r="B399" s="40"/>
      <c r="C399" s="119"/>
      <c r="D399" s="185"/>
      <c r="E399" s="184"/>
      <c r="F399" s="469"/>
      <c r="G399" s="82"/>
      <c r="H399" s="82"/>
      <c r="I399" s="82">
        <f>SUM(I396:I398)</f>
        <v>2</v>
      </c>
      <c r="J399" s="66">
        <f t="shared" si="943"/>
        <v>1</v>
      </c>
      <c r="K399" s="82"/>
      <c r="L399" s="82"/>
      <c r="M399" s="82">
        <f>SUM(M396:M398)</f>
        <v>2</v>
      </c>
      <c r="N399" s="66">
        <f t="shared" si="944"/>
        <v>1</v>
      </c>
      <c r="O399" s="82"/>
      <c r="P399" s="82"/>
      <c r="Q399" s="82">
        <f>SUM(Q396:Q398)</f>
        <v>1</v>
      </c>
      <c r="R399" s="66">
        <f t="shared" si="945"/>
        <v>1</v>
      </c>
      <c r="S399" s="82"/>
      <c r="T399" s="82"/>
      <c r="U399" s="82">
        <f>SUM(U396:U398)</f>
        <v>2</v>
      </c>
      <c r="V399" s="66">
        <f t="shared" si="946"/>
        <v>1</v>
      </c>
      <c r="W399" s="82"/>
      <c r="X399" s="82"/>
      <c r="Y399" s="82">
        <f>SUM(Y396:Y398)</f>
        <v>3</v>
      </c>
      <c r="Z399" s="66">
        <f t="shared" si="947"/>
        <v>1</v>
      </c>
      <c r="AA399" s="82"/>
      <c r="AB399" s="82"/>
      <c r="AC399" s="82">
        <f>SUM(AC396:AC398)</f>
        <v>2</v>
      </c>
      <c r="AD399" s="66">
        <f t="shared" si="948"/>
        <v>1</v>
      </c>
      <c r="AE399" s="82"/>
      <c r="AF399" s="82"/>
      <c r="AG399" s="82">
        <f>SUM(AG396:AG398)</f>
        <v>0</v>
      </c>
      <c r="AH399" s="608">
        <f t="shared" si="949"/>
        <v>0</v>
      </c>
      <c r="AI399" s="381"/>
      <c r="AJ399" s="82"/>
      <c r="AK399" s="82">
        <f>SUM(AK396:AK398)</f>
        <v>12</v>
      </c>
      <c r="AL399" s="66">
        <f t="shared" si="950"/>
        <v>1</v>
      </c>
    </row>
    <row r="400" spans="1:70" s="117" customFormat="1" ht="16.5" customHeight="1" x14ac:dyDescent="0.25">
      <c r="A400" s="119"/>
      <c r="B400" s="41" t="s">
        <v>313</v>
      </c>
      <c r="C400" s="476" t="s">
        <v>12</v>
      </c>
      <c r="D400" s="477"/>
      <c r="E400" s="478"/>
      <c r="F400" s="478"/>
      <c r="G400" s="71"/>
      <c r="H400" s="71"/>
      <c r="I400" s="71"/>
      <c r="J400" s="71"/>
      <c r="K400" s="71"/>
      <c r="L400" s="71"/>
      <c r="M400" s="71"/>
      <c r="N400" s="71"/>
      <c r="O400" s="71"/>
      <c r="P400" s="71"/>
      <c r="Q400" s="71"/>
      <c r="R400" s="71"/>
      <c r="S400" s="71"/>
      <c r="T400" s="71"/>
      <c r="U400" s="71"/>
      <c r="V400" s="71"/>
      <c r="W400" s="71"/>
      <c r="X400" s="71"/>
      <c r="Y400" s="71"/>
      <c r="Z400" s="71"/>
      <c r="AA400" s="71"/>
      <c r="AB400" s="71"/>
      <c r="AC400" s="71"/>
      <c r="AD400" s="71"/>
      <c r="AE400" s="71"/>
      <c r="AF400" s="71"/>
      <c r="AG400" s="71"/>
      <c r="AH400" s="355"/>
      <c r="AI400" s="377"/>
      <c r="AJ400" s="71"/>
      <c r="AK400" s="71"/>
      <c r="AL400" s="71"/>
    </row>
    <row r="401" spans="1:42" ht="16.5" customHeight="1" x14ac:dyDescent="0.25">
      <c r="A401" s="40"/>
      <c r="B401" s="40"/>
      <c r="C401" s="74" t="s">
        <v>314</v>
      </c>
      <c r="D401" s="417" t="s">
        <v>315</v>
      </c>
      <c r="E401" s="493"/>
      <c r="F401" s="493"/>
      <c r="G401" s="507"/>
      <c r="H401" s="178"/>
      <c r="I401" s="178"/>
      <c r="J401" s="178"/>
      <c r="K401" s="507"/>
      <c r="L401" s="178"/>
      <c r="M401" s="178"/>
      <c r="N401" s="178"/>
      <c r="O401" s="507"/>
      <c r="P401" s="178"/>
      <c r="Q401" s="178"/>
      <c r="R401" s="178"/>
      <c r="S401" s="507"/>
      <c r="T401" s="178"/>
      <c r="U401" s="178"/>
      <c r="V401" s="178"/>
      <c r="W401" s="507"/>
      <c r="X401" s="178"/>
      <c r="Y401" s="178"/>
      <c r="Z401" s="178"/>
      <c r="AA401" s="507"/>
      <c r="AB401" s="178"/>
      <c r="AC401" s="178"/>
      <c r="AD401" s="178"/>
      <c r="AE401" s="76"/>
      <c r="AF401" s="76"/>
      <c r="AG401" s="178"/>
      <c r="AH401" s="85"/>
      <c r="AI401" s="626"/>
      <c r="AJ401" s="178"/>
      <c r="AK401" s="178"/>
      <c r="AL401" s="178"/>
    </row>
    <row r="402" spans="1:42" s="117" customFormat="1" ht="16.5" customHeight="1" x14ac:dyDescent="0.25">
      <c r="A402" s="119"/>
      <c r="B402" s="119"/>
      <c r="C402" s="196"/>
      <c r="D402" s="167" t="s">
        <v>324</v>
      </c>
      <c r="E402" s="105"/>
      <c r="F402" s="106"/>
      <c r="G402" s="17">
        <f>'HH WITH COM #1 '!$W$563</f>
        <v>1</v>
      </c>
      <c r="H402" s="17">
        <f>'HH WITH COM #1 '!$X$563</f>
        <v>1</v>
      </c>
      <c r="I402" s="1321">
        <f>'HH WITH COM #1 '!$Y$563</f>
        <v>1</v>
      </c>
      <c r="J402" s="91">
        <f>IF(I$405=0,0,I402/I$405)</f>
        <v>0.5</v>
      </c>
      <c r="K402" s="17">
        <f>'HH WITH COM #2'!$W$563</f>
        <v>0</v>
      </c>
      <c r="L402" s="17">
        <f>'HH WITH COM #2'!$X$563</f>
        <v>0</v>
      </c>
      <c r="M402" s="1321">
        <f>'HH WITH COM #2'!$Y$563</f>
        <v>0</v>
      </c>
      <c r="N402" s="91">
        <f>IF(M$405=0,0,M402/M$405)</f>
        <v>0</v>
      </c>
      <c r="O402" s="17">
        <f>'HH WITH COM #3'!$W$563</f>
        <v>0</v>
      </c>
      <c r="P402" s="17">
        <f>'HH WITH COM #3'!$X$563</f>
        <v>1</v>
      </c>
      <c r="Q402" s="1321">
        <f>'HH WITH COM #3'!$Y$563</f>
        <v>1</v>
      </c>
      <c r="R402" s="91">
        <f>IF(Q$405=0,0,Q402/Q$405)</f>
        <v>1</v>
      </c>
      <c r="S402" s="17">
        <f>'HH WITH COM #4'!$W$563</f>
        <v>0</v>
      </c>
      <c r="T402" s="17">
        <f>'HH WITH COM #4'!$X$563</f>
        <v>0</v>
      </c>
      <c r="U402" s="1321">
        <f>'HH WITH COM #4'!$Y$563</f>
        <v>0</v>
      </c>
      <c r="V402" s="91">
        <f>IF(U$405=0,0,U402/U$405)</f>
        <v>0</v>
      </c>
      <c r="W402" s="17">
        <f>'HH WITH COM #5'!$W$563</f>
        <v>0</v>
      </c>
      <c r="X402" s="17">
        <f>'HH WITH COM #5'!$X$563</f>
        <v>2</v>
      </c>
      <c r="Y402" s="1321">
        <f>'HH WITH COM #5'!$Y$563</f>
        <v>1</v>
      </c>
      <c r="Z402" s="91">
        <f>IF(Y$405=0,0,Y402/Y$405)</f>
        <v>0.33333333333333331</v>
      </c>
      <c r="AA402" s="17">
        <f>'HH WITH COM #6'!$W$563</f>
        <v>0</v>
      </c>
      <c r="AB402" s="17">
        <f>'HH WITH COM #6'!$X$563</f>
        <v>1</v>
      </c>
      <c r="AC402" s="1321">
        <f>'HH WITH COM #6'!$Y$563</f>
        <v>1</v>
      </c>
      <c r="AD402" s="91">
        <f>IF(AC$405=0,0,AC402/AC$405)</f>
        <v>0.5</v>
      </c>
      <c r="AE402" s="17">
        <f>'HH WITH COM #7'!$W$563</f>
        <v>0</v>
      </c>
      <c r="AF402" s="17">
        <f>'HH WITH COM #7'!$X$563</f>
        <v>0</v>
      </c>
      <c r="AG402" s="1321">
        <f>'HH WITH COM #7'!$Y$563</f>
        <v>0</v>
      </c>
      <c r="AH402" s="373">
        <f>IF(AG$405=0,0,AG402/AG$405)</f>
        <v>0</v>
      </c>
      <c r="AI402" s="391">
        <f>G402+K402+O402+S402+W402+AA402+AE402</f>
        <v>1</v>
      </c>
      <c r="AJ402" s="17">
        <f>H402+L402+P402+T402+X402+AB402+AF402</f>
        <v>5</v>
      </c>
      <c r="AK402" s="1321">
        <f>I402+M402+Q402+U402+Y402+AC402+AG402</f>
        <v>4</v>
      </c>
      <c r="AL402" s="91">
        <f>IF(AK$405=0,0,AK402/AK$405)</f>
        <v>0.33333333333333331</v>
      </c>
    </row>
    <row r="403" spans="1:42" s="117" customFormat="1" ht="16.5" customHeight="1" x14ac:dyDescent="0.25">
      <c r="A403" s="119"/>
      <c r="B403" s="119"/>
      <c r="C403" s="136"/>
      <c r="D403" s="167" t="s">
        <v>325</v>
      </c>
      <c r="E403" s="105"/>
      <c r="F403" s="106"/>
      <c r="G403" s="17">
        <f>'HH WITH COM #1 '!$W$564</f>
        <v>0</v>
      </c>
      <c r="H403" s="17">
        <f>'HH WITH COM #1 '!$X$564</f>
        <v>0</v>
      </c>
      <c r="I403" s="1321">
        <f>'HH WITH COM #1 '!$Y$564</f>
        <v>0</v>
      </c>
      <c r="J403" s="91">
        <f>IF(I$405=0,0,I403/I$405)</f>
        <v>0</v>
      </c>
      <c r="K403" s="17">
        <f>'HH WITH COM #2'!$W$564</f>
        <v>1</v>
      </c>
      <c r="L403" s="17">
        <f>'HH WITH COM #2'!$X$564</f>
        <v>1</v>
      </c>
      <c r="M403" s="1321">
        <f>'HH WITH COM #2'!$Y$564</f>
        <v>1</v>
      </c>
      <c r="N403" s="91">
        <f>IF(M$405=0,0,M403/M$405)</f>
        <v>0.5</v>
      </c>
      <c r="O403" s="17">
        <f>'HH WITH COM #3'!$W$564</f>
        <v>0</v>
      </c>
      <c r="P403" s="17">
        <f>'HH WITH COM #3'!$X$564</f>
        <v>0</v>
      </c>
      <c r="Q403" s="1321">
        <f>'HH WITH COM #3'!$Y$564</f>
        <v>0</v>
      </c>
      <c r="R403" s="91">
        <f>IF(Q$405=0,0,Q403/Q$405)</f>
        <v>0</v>
      </c>
      <c r="S403" s="17">
        <f>'HH WITH COM #4'!$W$564</f>
        <v>0</v>
      </c>
      <c r="T403" s="17">
        <f>'HH WITH COM #4'!$X$564</f>
        <v>1</v>
      </c>
      <c r="U403" s="1321">
        <f>'HH WITH COM #4'!$Y$564</f>
        <v>1</v>
      </c>
      <c r="V403" s="91">
        <f>IF(U$405=0,0,U403/U$405)</f>
        <v>0.5</v>
      </c>
      <c r="W403" s="17">
        <f>'HH WITH COM #5'!$W$564</f>
        <v>1</v>
      </c>
      <c r="X403" s="17">
        <f>'HH WITH COM #5'!$X$564</f>
        <v>0</v>
      </c>
      <c r="Y403" s="1321">
        <f>'HH WITH COM #5'!$Y$564</f>
        <v>0.5</v>
      </c>
      <c r="Z403" s="91">
        <f>IF(Y$405=0,0,Y403/Y$405)</f>
        <v>0.16666666666666666</v>
      </c>
      <c r="AA403" s="17">
        <f>'HH WITH COM #6'!$W$564</f>
        <v>0</v>
      </c>
      <c r="AB403" s="17">
        <f>'HH WITH COM #6'!$X$564</f>
        <v>1</v>
      </c>
      <c r="AC403" s="1321">
        <f>'HH WITH COM #6'!$Y$564</f>
        <v>0.5</v>
      </c>
      <c r="AD403" s="91">
        <f>IF(AC$405=0,0,AC403/AC$405)</f>
        <v>0.25</v>
      </c>
      <c r="AE403" s="17">
        <f>'HH WITH COM #7'!$W$564</f>
        <v>0</v>
      </c>
      <c r="AF403" s="17">
        <f>'HH WITH COM #7'!$X$564</f>
        <v>0</v>
      </c>
      <c r="AG403" s="1321">
        <f>'HH WITH COM #7'!$Y$564</f>
        <v>0</v>
      </c>
      <c r="AH403" s="373">
        <f>IF(AG$405=0,0,AG403/AG$405)</f>
        <v>0</v>
      </c>
      <c r="AI403" s="391">
        <f t="shared" ref="AI403:AK404" si="951">G403+K403+O403+S403+W403+AA403+AE403</f>
        <v>2</v>
      </c>
      <c r="AJ403" s="17">
        <f t="shared" si="951"/>
        <v>3</v>
      </c>
      <c r="AK403" s="1321">
        <f t="shared" si="951"/>
        <v>3</v>
      </c>
      <c r="AL403" s="91">
        <f>IF(AK$405=0,0,AK403/AK$405)</f>
        <v>0.25</v>
      </c>
    </row>
    <row r="404" spans="1:42" s="117" customFormat="1" ht="16.5" customHeight="1" x14ac:dyDescent="0.25">
      <c r="A404" s="119"/>
      <c r="B404" s="119"/>
      <c r="C404" s="137"/>
      <c r="D404" s="167" t="s">
        <v>326</v>
      </c>
      <c r="E404" s="105"/>
      <c r="F404" s="106"/>
      <c r="G404" s="17">
        <f>'HH WITH COM #1 '!$W$565</f>
        <v>1</v>
      </c>
      <c r="H404" s="17">
        <f>'HH WITH COM #1 '!$X$565</f>
        <v>1</v>
      </c>
      <c r="I404" s="1321">
        <f>'HH WITH COM #1 '!$Y$565</f>
        <v>1</v>
      </c>
      <c r="J404" s="91">
        <f>IF(I$405=0,0,I404/I$405)</f>
        <v>0.5</v>
      </c>
      <c r="K404" s="17">
        <f>'HH WITH COM #2'!$W$565</f>
        <v>1</v>
      </c>
      <c r="L404" s="17">
        <f>'HH WITH COM #2'!$X$565</f>
        <v>1</v>
      </c>
      <c r="M404" s="1321">
        <f>'HH WITH COM #2'!$Y$565</f>
        <v>1</v>
      </c>
      <c r="N404" s="91">
        <f>IF(M$405=0,0,M404/M$405)</f>
        <v>0.5</v>
      </c>
      <c r="O404" s="17">
        <f>'HH WITH COM #3'!$W$565</f>
        <v>0</v>
      </c>
      <c r="P404" s="17">
        <f>'HH WITH COM #3'!$X$565</f>
        <v>0</v>
      </c>
      <c r="Q404" s="1321">
        <f>'HH WITH COM #3'!$Y$565</f>
        <v>0</v>
      </c>
      <c r="R404" s="91">
        <f>IF(Q$405=0,0,Q404/Q$405)</f>
        <v>0</v>
      </c>
      <c r="S404" s="17">
        <f>'HH WITH COM #4'!$W$565</f>
        <v>1</v>
      </c>
      <c r="T404" s="17">
        <f>'HH WITH COM #4'!$X$565</f>
        <v>1</v>
      </c>
      <c r="U404" s="1321">
        <f>'HH WITH COM #4'!$Y$565</f>
        <v>1</v>
      </c>
      <c r="V404" s="91">
        <f>IF(U$405=0,0,U404/U$405)</f>
        <v>0.5</v>
      </c>
      <c r="W404" s="17">
        <f>'HH WITH COM #5'!$W$565</f>
        <v>1</v>
      </c>
      <c r="X404" s="17">
        <f>'HH WITH COM #5'!$X$565</f>
        <v>1</v>
      </c>
      <c r="Y404" s="1321">
        <f>'HH WITH COM #5'!$Y$565</f>
        <v>1.5</v>
      </c>
      <c r="Z404" s="91">
        <f>IF(Y$405=0,0,Y404/Y$405)</f>
        <v>0.5</v>
      </c>
      <c r="AA404" s="17">
        <f>'HH WITH COM #6'!$W$565</f>
        <v>1</v>
      </c>
      <c r="AB404" s="17">
        <f>'HH WITH COM #6'!$X$565</f>
        <v>0</v>
      </c>
      <c r="AC404" s="1321">
        <f>'HH WITH COM #6'!$Y$565</f>
        <v>0.5</v>
      </c>
      <c r="AD404" s="91">
        <f>IF(AC$405=0,0,AC404/AC$405)</f>
        <v>0.25</v>
      </c>
      <c r="AE404" s="17">
        <f>'HH WITH COM #7'!$W$565</f>
        <v>0</v>
      </c>
      <c r="AF404" s="17">
        <f>'HH WITH COM #7'!$X$565</f>
        <v>0</v>
      </c>
      <c r="AG404" s="1321">
        <f>'HH WITH COM #7'!$Y$565</f>
        <v>0</v>
      </c>
      <c r="AH404" s="373">
        <f>IF(AG$405=0,0,AG404/AG$405)</f>
        <v>0</v>
      </c>
      <c r="AI404" s="391">
        <f t="shared" si="951"/>
        <v>5</v>
      </c>
      <c r="AJ404" s="17">
        <f t="shared" si="951"/>
        <v>4</v>
      </c>
      <c r="AK404" s="1321">
        <f t="shared" si="951"/>
        <v>5</v>
      </c>
      <c r="AL404" s="91">
        <f>IF(AK$405=0,0,AK404/AK$405)</f>
        <v>0.41666666666666669</v>
      </c>
    </row>
    <row r="405" spans="1:42" s="4" customFormat="1" ht="16.5" customHeight="1" x14ac:dyDescent="0.25">
      <c r="A405" s="119"/>
      <c r="B405" s="119"/>
      <c r="C405" s="119"/>
      <c r="D405" s="184"/>
      <c r="E405" s="134"/>
      <c r="F405" s="184"/>
      <c r="G405" s="509">
        <f>SUM(G402:G404)</f>
        <v>2</v>
      </c>
      <c r="H405" s="509">
        <f t="shared" ref="H405" si="952">SUM(H402:H404)</f>
        <v>2</v>
      </c>
      <c r="I405" s="82">
        <f>SUM(I402:I404)</f>
        <v>2</v>
      </c>
      <c r="J405" s="66">
        <f>IF(I$405=0,0,I405/I$405)</f>
        <v>1</v>
      </c>
      <c r="K405" s="509">
        <f>SUM(K402:K404)</f>
        <v>2</v>
      </c>
      <c r="L405" s="509">
        <f t="shared" ref="L405" si="953">SUM(L402:L404)</f>
        <v>2</v>
      </c>
      <c r="M405" s="82">
        <f>SUM(M402:M404)</f>
        <v>2</v>
      </c>
      <c r="N405" s="66">
        <f>IF(M$405=0,0,M405/M$405)</f>
        <v>1</v>
      </c>
      <c r="O405" s="509">
        <f>SUM(O402:O404)</f>
        <v>0</v>
      </c>
      <c r="P405" s="509">
        <f t="shared" ref="P405" si="954">SUM(P402:P404)</f>
        <v>1</v>
      </c>
      <c r="Q405" s="82">
        <f>SUM(Q402:Q404)</f>
        <v>1</v>
      </c>
      <c r="R405" s="66">
        <f>IF(Q$405=0,0,Q405/Q$405)</f>
        <v>1</v>
      </c>
      <c r="S405" s="509">
        <f>SUM(S402:S404)</f>
        <v>1</v>
      </c>
      <c r="T405" s="509">
        <f t="shared" ref="T405" si="955">SUM(T402:T404)</f>
        <v>2</v>
      </c>
      <c r="U405" s="82">
        <f>SUM(U402:U404)</f>
        <v>2</v>
      </c>
      <c r="V405" s="66">
        <f>IF(U$405=0,0,U405/U$405)</f>
        <v>1</v>
      </c>
      <c r="W405" s="509">
        <f>SUM(W402:W404)</f>
        <v>2</v>
      </c>
      <c r="X405" s="509">
        <f t="shared" ref="X405" si="956">SUM(X402:X404)</f>
        <v>3</v>
      </c>
      <c r="Y405" s="82">
        <f>SUM(Y402:Y404)</f>
        <v>3</v>
      </c>
      <c r="Z405" s="66">
        <f>IF(Y$405=0,0,Y405/Y$405)</f>
        <v>1</v>
      </c>
      <c r="AA405" s="509">
        <f>SUM(AA402:AA404)</f>
        <v>1</v>
      </c>
      <c r="AB405" s="509">
        <f t="shared" ref="AB405" si="957">SUM(AB402:AB404)</f>
        <v>2</v>
      </c>
      <c r="AC405" s="82">
        <f>SUM(AC402:AC404)</f>
        <v>2</v>
      </c>
      <c r="AD405" s="66">
        <f>IF(AC$405=0,0,AC405/AC$405)</f>
        <v>1</v>
      </c>
      <c r="AE405" s="509">
        <f>SUM(AE402:AE404)</f>
        <v>0</v>
      </c>
      <c r="AF405" s="509">
        <f t="shared" ref="AF405" si="958">SUM(AF402:AF404)</f>
        <v>0</v>
      </c>
      <c r="AG405" s="82">
        <f>SUM(AG402:AG404)</f>
        <v>0</v>
      </c>
      <c r="AH405" s="608">
        <f>IF(AG$405=0,0,AG405/AG$405)</f>
        <v>0</v>
      </c>
      <c r="AI405" s="622">
        <f>SUM(AI402:AI404)</f>
        <v>8</v>
      </c>
      <c r="AJ405" s="497">
        <f t="shared" ref="AJ405" si="959">SUM(AJ402:AJ404)</f>
        <v>12</v>
      </c>
      <c r="AK405" s="82">
        <f>SUM(AK402:AK404)</f>
        <v>12</v>
      </c>
      <c r="AL405" s="66">
        <f>IF(AK$405=0,0,AK405/AK$405)</f>
        <v>1</v>
      </c>
    </row>
    <row r="406" spans="1:42" s="4" customFormat="1" ht="16.5" customHeight="1" x14ac:dyDescent="0.25">
      <c r="A406" s="119"/>
      <c r="B406" s="119"/>
      <c r="C406" s="119"/>
      <c r="D406" s="184" t="s">
        <v>1485</v>
      </c>
      <c r="E406" s="134"/>
      <c r="F406" s="469"/>
      <c r="G406" s="66">
        <f>'HH WITH COM #1 '!$W$562</f>
        <v>0.64285714285714279</v>
      </c>
      <c r="H406" s="66">
        <f>'HH WITH COM #1 '!$X$562</f>
        <v>0.74285714285714288</v>
      </c>
      <c r="I406" s="66">
        <f>'HH WITH COM #1 '!$Y$562</f>
        <v>0.69285714285714284</v>
      </c>
      <c r="J406" s="500"/>
      <c r="K406" s="66">
        <f>'HH WITH COM #2'!W562</f>
        <v>0.33333333333333337</v>
      </c>
      <c r="L406" s="66">
        <f>'HH WITH COM #2'!X562</f>
        <v>0.51428571428571423</v>
      </c>
      <c r="M406" s="66">
        <f>'HH WITH COM #2'!Y562</f>
        <v>0.42380952380952375</v>
      </c>
      <c r="N406" s="500"/>
      <c r="O406" s="66" t="str">
        <f>'HH WITH COM #3'!W562</f>
        <v/>
      </c>
      <c r="P406" s="66">
        <f>'HH WITH COM #3'!X562</f>
        <v>0.84126984126984128</v>
      </c>
      <c r="Q406" s="66">
        <f>'HH WITH COM #3'!Y562</f>
        <v>0.84126984126984128</v>
      </c>
      <c r="R406" s="500"/>
      <c r="S406" s="66">
        <f>'HH WITH COM #4'!W562</f>
        <v>0.42857142857142855</v>
      </c>
      <c r="T406" s="66">
        <f>'HH WITH COM #4'!X562</f>
        <v>0.5714285714285714</v>
      </c>
      <c r="U406" s="66">
        <f>'HH WITH COM #4'!Y562</f>
        <v>0.52380952380952384</v>
      </c>
      <c r="V406" s="500"/>
      <c r="W406" s="66">
        <f>'HH WITH COM #5'!W562</f>
        <v>0.5714285714285714</v>
      </c>
      <c r="X406" s="66">
        <f>'HH WITH COM #5'!X562</f>
        <v>0.60476190476190472</v>
      </c>
      <c r="Y406" s="66">
        <f>'HH WITH COM #5'!Y562</f>
        <v>0.59142857142857141</v>
      </c>
      <c r="Z406" s="500"/>
      <c r="AA406" s="66">
        <f>'HH WITH COM #6'!W562</f>
        <v>0.42857142857142855</v>
      </c>
      <c r="AB406" s="66">
        <f>'HH WITH COM #6'!X562</f>
        <v>0.625</v>
      </c>
      <c r="AC406" s="66">
        <f>'HH WITH COM #6'!Y562</f>
        <v>0.55952380952380953</v>
      </c>
      <c r="AD406" s="500"/>
      <c r="AE406" s="66" t="str">
        <f>'HH WITH COM #7'!W562</f>
        <v/>
      </c>
      <c r="AF406" s="66" t="str">
        <f>'HH WITH COM #7'!X562</f>
        <v/>
      </c>
      <c r="AG406" s="66" t="str">
        <f>'HH WITH COM #7'!Y562</f>
        <v/>
      </c>
      <c r="AH406" s="614"/>
      <c r="AI406" s="619">
        <f>AVERAGE(G406,K406,P406,S406,W406,AA406,AE406)</f>
        <v>0.54100529100529093</v>
      </c>
      <c r="AJ406" s="66">
        <f t="shared" ref="AJ406:AK406" si="960">AVERAGE(H406,L406,Q406,T406,X406,AB406,AF406)</f>
        <v>0.64993386243386253</v>
      </c>
      <c r="AK406" s="66">
        <f t="shared" si="960"/>
        <v>0.55828571428571416</v>
      </c>
      <c r="AL406" s="500"/>
      <c r="AN406" s="21"/>
      <c r="AO406" s="21"/>
      <c r="AP406" s="21"/>
    </row>
    <row r="407" spans="1:42" s="4" customFormat="1" ht="16.5" customHeight="1" x14ac:dyDescent="0.25">
      <c r="A407" s="119"/>
      <c r="B407" s="119"/>
      <c r="C407" s="119"/>
      <c r="D407" s="931" t="s">
        <v>880</v>
      </c>
      <c r="E407" s="493"/>
      <c r="F407" s="493"/>
      <c r="G407" s="40" t="str">
        <f>IF(G406="","",IF(G406&gt;=0.75,"Good",IF(AND(G406&gt;=0.5,G406&lt;0.75),"Average",IF(G406&lt;0.5,"Poor",0))))</f>
        <v>Average</v>
      </c>
      <c r="H407" s="40" t="str">
        <f t="shared" ref="H407:I407" si="961">IF(H406="","",IF(H406&gt;=0.75,"Good",IF(AND(H406&gt;=0.5,H406&lt;0.75),"Average",IF(H406&lt;0.5,"Poor",0))))</f>
        <v>Average</v>
      </c>
      <c r="I407" s="102" t="str">
        <f t="shared" si="961"/>
        <v>Average</v>
      </c>
      <c r="J407" s="197"/>
      <c r="K407" s="40" t="str">
        <f>IF(K406="","",IF(K406&gt;=0.75,"Good",IF(AND(K406&gt;=0.5,K406&lt;0.75),"Average",IF(K406&lt;0.5,"Poor",0))))</f>
        <v>Poor</v>
      </c>
      <c r="L407" s="40" t="str">
        <f t="shared" ref="L407:M407" si="962">IF(L406="","",IF(L406&gt;=0.75,"Good",IF(AND(L406&gt;=0.5,L406&lt;0.75),"Average",IF(L406&lt;0.5,"Poor",0))))</f>
        <v>Average</v>
      </c>
      <c r="M407" s="102" t="str">
        <f t="shared" si="962"/>
        <v>Poor</v>
      </c>
      <c r="N407" s="197"/>
      <c r="O407" s="40" t="str">
        <f>IF(O406="","",IF(O406&gt;=0.75,"Good",IF(AND(O406&gt;=0.5,O406&lt;0.75),"Average",IF(O406&lt;0.5,"Poor",0))))</f>
        <v/>
      </c>
      <c r="P407" s="40" t="str">
        <f t="shared" ref="P407:Q407" si="963">IF(P406="","",IF(P406&gt;=0.75,"Good",IF(AND(P406&gt;=0.5,P406&lt;0.75),"Average",IF(P406&lt;0.5,"Poor",0))))</f>
        <v>Good</v>
      </c>
      <c r="Q407" s="102" t="str">
        <f t="shared" si="963"/>
        <v>Good</v>
      </c>
      <c r="R407" s="197"/>
      <c r="S407" s="40" t="str">
        <f>IF(S406="","",IF(S406&gt;=0.75,"Good",IF(AND(S406&gt;=0.5,S406&lt;0.75),"Average",IF(S406&lt;0.5,"Poor",0))))</f>
        <v>Poor</v>
      </c>
      <c r="T407" s="40" t="str">
        <f t="shared" ref="T407:U407" si="964">IF(T406="","",IF(T406&gt;=0.75,"Good",IF(AND(T406&gt;=0.5,T406&lt;0.75),"Average",IF(T406&lt;0.5,"Poor",0))))</f>
        <v>Average</v>
      </c>
      <c r="U407" s="102" t="str">
        <f t="shared" si="964"/>
        <v>Average</v>
      </c>
      <c r="V407" s="197"/>
      <c r="W407" s="40" t="str">
        <f>IF(W406="","",IF(W406&gt;=0.75,"Good",IF(AND(W406&gt;=0.5,W406&lt;0.75),"Average",IF(W406&lt;0.5,"Poor",0))))</f>
        <v>Average</v>
      </c>
      <c r="X407" s="40" t="str">
        <f t="shared" ref="X407:Y407" si="965">IF(X406="","",IF(X406&gt;=0.75,"Good",IF(AND(X406&gt;=0.5,X406&lt;0.75),"Average",IF(X406&lt;0.5,"Poor",0))))</f>
        <v>Average</v>
      </c>
      <c r="Y407" s="102" t="str">
        <f t="shared" si="965"/>
        <v>Average</v>
      </c>
      <c r="Z407" s="197"/>
      <c r="AA407" s="40" t="str">
        <f>IF(AA406="","",IF(AA406&gt;=0.75,"Good",IF(AND(AA406&gt;=0.5,AA406&lt;0.75),"Average",IF(AA406&lt;0.5,"Poor",0))))</f>
        <v>Poor</v>
      </c>
      <c r="AB407" s="40" t="str">
        <f t="shared" ref="AB407:AC407" si="966">IF(AB406="","",IF(AB406&gt;=0.75,"Good",IF(AND(AB406&gt;=0.5,AB406&lt;0.75),"Average",IF(AB406&lt;0.5,"Poor",0))))</f>
        <v>Average</v>
      </c>
      <c r="AC407" s="102" t="str">
        <f t="shared" si="966"/>
        <v>Average</v>
      </c>
      <c r="AD407" s="197"/>
      <c r="AE407" s="40" t="str">
        <f>IF(AE406="","",IF(AE406&gt;=0.75,"Good",IF(AND(AE406&gt;=0.5,AE406&lt;0.75),"Average",IF(AE406&lt;0.5,"Poor",0))))</f>
        <v/>
      </c>
      <c r="AF407" s="40" t="str">
        <f t="shared" ref="AF407:AG407" si="967">IF(AF406="","",IF(AF406&gt;=0.75,"Good",IF(AND(AF406&gt;=0.5,AF406&lt;0.75),"Average",IF(AF406&lt;0.5,"Poor",0))))</f>
        <v/>
      </c>
      <c r="AG407" s="102" t="str">
        <f t="shared" si="967"/>
        <v/>
      </c>
      <c r="AH407" s="191"/>
      <c r="AI407" s="627" t="str">
        <f>IF(AI406="","",IF(AI406&gt;=0.75,"Good",IF(AND(AI406&gt;=0.5,AI406&lt;0.75),"Average",IF(AI406&lt;0.5,"Poor",0))))</f>
        <v>Average</v>
      </c>
      <c r="AJ407" s="40" t="str">
        <f t="shared" ref="AJ407:AK407" si="968">IF(AJ406="","",IF(AJ406&gt;=0.75,"Good",IF(AND(AJ406&gt;=0.5,AJ406&lt;0.75),"Average",IF(AJ406&lt;0.5,"Poor",0))))</f>
        <v>Average</v>
      </c>
      <c r="AK407" s="102" t="str">
        <f t="shared" si="968"/>
        <v>Average</v>
      </c>
      <c r="AL407" s="197"/>
      <c r="AN407" s="21"/>
      <c r="AO407" s="21"/>
      <c r="AP407" s="21"/>
    </row>
    <row r="408" spans="1:42" s="97" customFormat="1" ht="16.5" customHeight="1" x14ac:dyDescent="0.25">
      <c r="A408" s="68"/>
      <c r="B408" s="68"/>
      <c r="C408" s="68"/>
      <c r="D408" s="166"/>
      <c r="E408" s="458"/>
      <c r="F408" s="458"/>
      <c r="G408" s="466"/>
      <c r="H408" s="466"/>
      <c r="I408" s="466"/>
      <c r="J408" s="466"/>
      <c r="K408" s="466"/>
      <c r="L408" s="466"/>
      <c r="M408" s="466"/>
      <c r="N408" s="466"/>
      <c r="O408" s="466"/>
      <c r="P408" s="466"/>
      <c r="Q408" s="466"/>
      <c r="R408" s="466"/>
      <c r="S408" s="466"/>
      <c r="T408" s="466"/>
      <c r="U408" s="466"/>
      <c r="V408" s="466"/>
      <c r="W408" s="466"/>
      <c r="X408" s="466"/>
      <c r="Y408" s="466"/>
      <c r="Z408" s="466"/>
      <c r="AA408" s="466"/>
      <c r="AB408" s="466"/>
      <c r="AC408" s="466"/>
      <c r="AD408" s="466"/>
      <c r="AE408" s="466"/>
      <c r="AF408" s="466"/>
      <c r="AG408" s="466"/>
      <c r="AH408" s="466"/>
      <c r="AI408" s="466"/>
      <c r="AJ408" s="466"/>
      <c r="AK408" s="466"/>
      <c r="AL408" s="466"/>
    </row>
    <row r="409" spans="1:42" s="456" customFormat="1" ht="16.5" customHeight="1" thickBot="1" x14ac:dyDescent="0.3">
      <c r="A409" s="24" t="s">
        <v>329</v>
      </c>
      <c r="B409" s="453" t="s">
        <v>330</v>
      </c>
      <c r="C409" s="26"/>
      <c r="D409" s="454"/>
      <c r="E409" s="454"/>
      <c r="F409" s="455"/>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606"/>
      <c r="AI409" s="630"/>
      <c r="AJ409" s="24"/>
      <c r="AK409" s="24"/>
      <c r="AL409" s="24"/>
    </row>
    <row r="410" spans="1:42" s="117" customFormat="1" ht="16.5" customHeight="1" x14ac:dyDescent="0.25">
      <c r="A410" s="119"/>
      <c r="B410" s="41" t="s">
        <v>331</v>
      </c>
      <c r="C410" s="476" t="s">
        <v>1022</v>
      </c>
      <c r="D410" s="477"/>
      <c r="E410" s="478"/>
      <c r="F410" s="478"/>
      <c r="G410" s="71"/>
      <c r="H410" s="71"/>
      <c r="I410" s="71"/>
      <c r="J410" s="71"/>
      <c r="K410" s="71"/>
      <c r="L410" s="71"/>
      <c r="M410" s="71"/>
      <c r="N410" s="71"/>
      <c r="O410" s="71"/>
      <c r="P410" s="71"/>
      <c r="Q410" s="71"/>
      <c r="R410" s="71"/>
      <c r="S410" s="71"/>
      <c r="T410" s="71"/>
      <c r="U410" s="71"/>
      <c r="V410" s="71"/>
      <c r="W410" s="71"/>
      <c r="X410" s="71"/>
      <c r="Y410" s="71"/>
      <c r="Z410" s="71"/>
      <c r="AA410" s="71"/>
      <c r="AB410" s="71"/>
      <c r="AC410" s="71"/>
      <c r="AD410" s="71"/>
      <c r="AE410" s="71"/>
      <c r="AF410" s="71"/>
      <c r="AG410" s="71"/>
      <c r="AH410" s="355"/>
      <c r="AI410" s="631"/>
      <c r="AJ410" s="272"/>
      <c r="AK410" s="272"/>
      <c r="AL410" s="272"/>
    </row>
    <row r="411" spans="1:42" ht="16.5" customHeight="1" x14ac:dyDescent="0.25">
      <c r="A411" s="40"/>
      <c r="B411" s="40"/>
      <c r="C411" s="473" t="s">
        <v>333</v>
      </c>
      <c r="D411" s="484" t="s">
        <v>9</v>
      </c>
      <c r="E411" s="105"/>
      <c r="F411" s="106"/>
      <c r="G411" s="17">
        <f>'HH WITH COM #1 '!$W$576</f>
        <v>1</v>
      </c>
      <c r="H411" s="17">
        <f>'HH WITH COM #1 '!$X$576</f>
        <v>25</v>
      </c>
      <c r="I411" s="116">
        <f>SUM(G411:H411)</f>
        <v>26</v>
      </c>
      <c r="J411" s="197">
        <f>IF(I$415=0,0,I411/I$415)</f>
        <v>9.9236641221374045E-2</v>
      </c>
      <c r="K411" s="17">
        <f>'HH WITH COM #2'!$W$576</f>
        <v>0</v>
      </c>
      <c r="L411" s="17">
        <f>'HH WITH COM #2'!$X$576</f>
        <v>0</v>
      </c>
      <c r="M411" s="539">
        <f>SUM(K411:L411)</f>
        <v>0</v>
      </c>
      <c r="N411" s="197">
        <f>IF(M$415=0,0,M411/M$415)</f>
        <v>0</v>
      </c>
      <c r="O411" s="17">
        <f>'HH WITH COM #3'!$W$576</f>
        <v>0</v>
      </c>
      <c r="P411" s="17">
        <f>'HH WITH COM #3'!$X$576</f>
        <v>0</v>
      </c>
      <c r="Q411" s="539">
        <f>SUM(O411:P411)</f>
        <v>0</v>
      </c>
      <c r="R411" s="197">
        <f>IF(Q$415=0,0,Q411/Q$415)</f>
        <v>0</v>
      </c>
      <c r="S411" s="17">
        <f>'HH WITH COM #4'!$W$576</f>
        <v>0</v>
      </c>
      <c r="T411" s="17">
        <f>'HH WITH COM #4'!$X$576</f>
        <v>0</v>
      </c>
      <c r="U411" s="539">
        <f>SUM(S411:T411)</f>
        <v>0</v>
      </c>
      <c r="V411" s="197">
        <f>IF(U$415=0,0,U411/U$415)</f>
        <v>0</v>
      </c>
      <c r="W411" s="17">
        <f>'HH WITH COM #5'!$W$576</f>
        <v>0</v>
      </c>
      <c r="X411" s="17">
        <f>'HH WITH COM #5'!$X$576</f>
        <v>0</v>
      </c>
      <c r="Y411" s="539">
        <f>SUM(W411:X411)</f>
        <v>0</v>
      </c>
      <c r="Z411" s="197">
        <f>IF(Y$415=0,0,Y411/Y$415)</f>
        <v>0</v>
      </c>
      <c r="AA411" s="17">
        <f>'HH WITH COM #6'!$W$576</f>
        <v>0</v>
      </c>
      <c r="AB411" s="17">
        <f>'HH WITH COM #6'!$X$576</f>
        <v>0</v>
      </c>
      <c r="AC411" s="539">
        <f>SUM(AA411:AB411)</f>
        <v>0</v>
      </c>
      <c r="AD411" s="197">
        <f>IF(AC$415=0,0,AC411/AC$415)</f>
        <v>0</v>
      </c>
      <c r="AE411" s="17">
        <f>'HH WITH COM #7'!$W$576</f>
        <v>0</v>
      </c>
      <c r="AF411" s="17">
        <f>'HH WITH COM #7'!$X$576</f>
        <v>0</v>
      </c>
      <c r="AG411" s="539">
        <f>SUM(AE411:AF411)</f>
        <v>0</v>
      </c>
      <c r="AH411" s="191">
        <f>IF(AG$415=0,0,AG411/AG$415)</f>
        <v>0</v>
      </c>
      <c r="AI411" s="391">
        <f t="shared" ref="AI411:AI414" si="969">G411+K411+O411+S411+W411+AA411+AE411</f>
        <v>1</v>
      </c>
      <c r="AJ411" s="17">
        <f t="shared" ref="AJ411:AJ414" si="970">H411+L411+P411+T411+X411+AB411+AF411</f>
        <v>25</v>
      </c>
      <c r="AK411" s="539">
        <f>SUM(AI411:AJ411)</f>
        <v>26</v>
      </c>
      <c r="AL411" s="197">
        <f>IF(AK$415=0,0,AK411/AK$415)</f>
        <v>9.9236641221374045E-2</v>
      </c>
    </row>
    <row r="412" spans="1:42" ht="16.5" customHeight="1" x14ac:dyDescent="0.25">
      <c r="A412" s="40"/>
      <c r="B412" s="40"/>
      <c r="C412" s="473" t="s">
        <v>334</v>
      </c>
      <c r="D412" s="484" t="s">
        <v>335</v>
      </c>
      <c r="E412" s="105"/>
      <c r="F412" s="106"/>
      <c r="G412" s="17">
        <f>'HH WITH COM #1 '!$W$577</f>
        <v>27</v>
      </c>
      <c r="H412" s="17">
        <f>'HH WITH COM #1 '!$X$577</f>
        <v>208</v>
      </c>
      <c r="I412" s="539">
        <f t="shared" ref="I412:I414" si="971">SUM(G412:H412)</f>
        <v>235</v>
      </c>
      <c r="J412" s="197">
        <f t="shared" ref="J412:J414" si="972">IF(I$415=0,0,I412/I$415)</f>
        <v>0.89694656488549618</v>
      </c>
      <c r="K412" s="17">
        <f>'HH WITH COM #2'!$W$577</f>
        <v>0</v>
      </c>
      <c r="L412" s="17">
        <f>'HH WITH COM #2'!$X$577</f>
        <v>0</v>
      </c>
      <c r="M412" s="539">
        <f t="shared" ref="M412:M414" si="973">SUM(K412:L412)</f>
        <v>0</v>
      </c>
      <c r="N412" s="197">
        <f t="shared" ref="N412:N414" si="974">IF(M$415=0,0,M412/M$415)</f>
        <v>0</v>
      </c>
      <c r="O412" s="17">
        <f>'HH WITH COM #3'!$W$577</f>
        <v>0</v>
      </c>
      <c r="P412" s="17">
        <f>'HH WITH COM #3'!$X$577</f>
        <v>0</v>
      </c>
      <c r="Q412" s="539">
        <f t="shared" ref="Q412:Q414" si="975">SUM(O412:P412)</f>
        <v>0</v>
      </c>
      <c r="R412" s="197">
        <f t="shared" ref="R412:R414" si="976">IF(Q$415=0,0,Q412/Q$415)</f>
        <v>0</v>
      </c>
      <c r="S412" s="17">
        <f>'HH WITH COM #4'!$W$577</f>
        <v>0</v>
      </c>
      <c r="T412" s="17">
        <f>'HH WITH COM #4'!$X$577</f>
        <v>0</v>
      </c>
      <c r="U412" s="539">
        <f t="shared" ref="U412:U414" si="977">SUM(S412:T412)</f>
        <v>0</v>
      </c>
      <c r="V412" s="197">
        <f t="shared" ref="V412:V414" si="978">IF(U$415=0,0,U412/U$415)</f>
        <v>0</v>
      </c>
      <c r="W412" s="17">
        <f>'HH WITH COM #5'!$W$577</f>
        <v>0</v>
      </c>
      <c r="X412" s="17">
        <f>'HH WITH COM #5'!$X$577</f>
        <v>0</v>
      </c>
      <c r="Y412" s="539">
        <f t="shared" ref="Y412:Y414" si="979">SUM(W412:X412)</f>
        <v>0</v>
      </c>
      <c r="Z412" s="197">
        <f t="shared" ref="Z412:Z414" si="980">IF(Y$415=0,0,Y412/Y$415)</f>
        <v>0</v>
      </c>
      <c r="AA412" s="17">
        <f>'HH WITH COM #6'!$W$577</f>
        <v>0</v>
      </c>
      <c r="AB412" s="17">
        <f>'HH WITH COM #6'!$X$577</f>
        <v>0</v>
      </c>
      <c r="AC412" s="539">
        <f t="shared" ref="AC412:AC414" si="981">SUM(AA412:AB412)</f>
        <v>0</v>
      </c>
      <c r="AD412" s="197">
        <f t="shared" ref="AD412:AD414" si="982">IF(AC$415=0,0,AC412/AC$415)</f>
        <v>0</v>
      </c>
      <c r="AE412" s="17">
        <f>'HH WITH COM #7'!$W$577</f>
        <v>0</v>
      </c>
      <c r="AF412" s="17">
        <f>'HH WITH COM #7'!$X$577</f>
        <v>0</v>
      </c>
      <c r="AG412" s="539">
        <f t="shared" ref="AG412:AG414" si="983">SUM(AE412:AF412)</f>
        <v>0</v>
      </c>
      <c r="AH412" s="191">
        <f t="shared" ref="AH412:AH414" si="984">IF(AG$415=0,0,AG412/AG$415)</f>
        <v>0</v>
      </c>
      <c r="AI412" s="391">
        <f t="shared" si="969"/>
        <v>27</v>
      </c>
      <c r="AJ412" s="17">
        <f t="shared" si="970"/>
        <v>208</v>
      </c>
      <c r="AK412" s="539">
        <f t="shared" ref="AK412:AK413" si="985">SUM(AI412:AJ412)</f>
        <v>235</v>
      </c>
      <c r="AL412" s="197">
        <f t="shared" ref="AL412:AL413" si="986">IF(AK$415=0,0,AK412/AK$415)</f>
        <v>0.89694656488549618</v>
      </c>
    </row>
    <row r="413" spans="1:42" ht="16.5" customHeight="1" x14ac:dyDescent="0.25">
      <c r="A413" s="40"/>
      <c r="B413" s="40"/>
      <c r="C413" s="473" t="s">
        <v>336</v>
      </c>
      <c r="D413" s="484" t="s">
        <v>129</v>
      </c>
      <c r="E413" s="105"/>
      <c r="F413" s="106"/>
      <c r="G413" s="17">
        <f>'HH WITH COM #1 '!$W$578</f>
        <v>0</v>
      </c>
      <c r="H413" s="17">
        <f>'HH WITH COM #1 '!$X$578</f>
        <v>1</v>
      </c>
      <c r="I413" s="539">
        <f t="shared" si="971"/>
        <v>1</v>
      </c>
      <c r="J413" s="197">
        <f t="shared" si="972"/>
        <v>3.8167938931297708E-3</v>
      </c>
      <c r="K413" s="17">
        <f>'HH WITH COM #2'!$W$578</f>
        <v>0</v>
      </c>
      <c r="L413" s="17">
        <f>'HH WITH COM #2'!$X$578</f>
        <v>0</v>
      </c>
      <c r="M413" s="539">
        <f t="shared" si="973"/>
        <v>0</v>
      </c>
      <c r="N413" s="197">
        <f t="shared" si="974"/>
        <v>0</v>
      </c>
      <c r="O413" s="17">
        <f>'HH WITH COM #3'!$W$578</f>
        <v>0</v>
      </c>
      <c r="P413" s="17">
        <f>'HH WITH COM #3'!$X$578</f>
        <v>0</v>
      </c>
      <c r="Q413" s="539">
        <f t="shared" si="975"/>
        <v>0</v>
      </c>
      <c r="R413" s="197">
        <f t="shared" si="976"/>
        <v>0</v>
      </c>
      <c r="S413" s="17">
        <f>'HH WITH COM #4'!$W$578</f>
        <v>0</v>
      </c>
      <c r="T413" s="17">
        <f>'HH WITH COM #4'!$X$578</f>
        <v>0</v>
      </c>
      <c r="U413" s="539">
        <f t="shared" si="977"/>
        <v>0</v>
      </c>
      <c r="V413" s="197">
        <f t="shared" si="978"/>
        <v>0</v>
      </c>
      <c r="W413" s="17">
        <f>'HH WITH COM #5'!$W$578</f>
        <v>0</v>
      </c>
      <c r="X413" s="17">
        <f>'HH WITH COM #5'!$X$578</f>
        <v>0</v>
      </c>
      <c r="Y413" s="539">
        <f t="shared" si="979"/>
        <v>0</v>
      </c>
      <c r="Z413" s="197">
        <f t="shared" si="980"/>
        <v>0</v>
      </c>
      <c r="AA413" s="17">
        <f>'HH WITH COM #6'!$W$578</f>
        <v>0</v>
      </c>
      <c r="AB413" s="17">
        <f>'HH WITH COM #6'!$X$578</f>
        <v>0</v>
      </c>
      <c r="AC413" s="539">
        <f t="shared" si="981"/>
        <v>0</v>
      </c>
      <c r="AD413" s="197">
        <f t="shared" si="982"/>
        <v>0</v>
      </c>
      <c r="AE413" s="17">
        <f>'HH WITH COM #7'!$W$578</f>
        <v>0</v>
      </c>
      <c r="AF413" s="17">
        <f>'HH WITH COM #7'!$X$578</f>
        <v>0</v>
      </c>
      <c r="AG413" s="539">
        <f t="shared" si="983"/>
        <v>0</v>
      </c>
      <c r="AH413" s="191">
        <f t="shared" si="984"/>
        <v>0</v>
      </c>
      <c r="AI413" s="391">
        <f t="shared" si="969"/>
        <v>0</v>
      </c>
      <c r="AJ413" s="17">
        <f t="shared" si="970"/>
        <v>1</v>
      </c>
      <c r="AK413" s="539">
        <f t="shared" si="985"/>
        <v>1</v>
      </c>
      <c r="AL413" s="197">
        <f t="shared" si="986"/>
        <v>3.8167938931297708E-3</v>
      </c>
    </row>
    <row r="414" spans="1:42" ht="16.5" customHeight="1" x14ac:dyDescent="0.25">
      <c r="A414" s="40"/>
      <c r="B414" s="40"/>
      <c r="C414" s="473" t="s">
        <v>554</v>
      </c>
      <c r="D414" s="484" t="s">
        <v>530</v>
      </c>
      <c r="E414" s="105"/>
      <c r="F414" s="106"/>
      <c r="G414" s="17">
        <f>'HH WITH COM #1 '!$W$579</f>
        <v>0</v>
      </c>
      <c r="H414" s="17">
        <f>'HH WITH COM #1 '!$X$579</f>
        <v>0</v>
      </c>
      <c r="I414" s="539">
        <f t="shared" si="971"/>
        <v>0</v>
      </c>
      <c r="J414" s="197">
        <f t="shared" si="972"/>
        <v>0</v>
      </c>
      <c r="K414" s="17">
        <f>'HH WITH COM #2'!$W$579</f>
        <v>0</v>
      </c>
      <c r="L414" s="17">
        <f>'HH WITH COM #2'!$X$579</f>
        <v>0</v>
      </c>
      <c r="M414" s="539">
        <f t="shared" si="973"/>
        <v>0</v>
      </c>
      <c r="N414" s="197">
        <f t="shared" si="974"/>
        <v>0</v>
      </c>
      <c r="O414" s="17">
        <f>'HH WITH COM #3'!$W$579</f>
        <v>0</v>
      </c>
      <c r="P414" s="17">
        <f>'HH WITH COM #3'!$X$579</f>
        <v>0</v>
      </c>
      <c r="Q414" s="539">
        <f t="shared" si="975"/>
        <v>0</v>
      </c>
      <c r="R414" s="197">
        <f t="shared" si="976"/>
        <v>0</v>
      </c>
      <c r="S414" s="17">
        <f>'HH WITH COM #4'!$W$579</f>
        <v>0</v>
      </c>
      <c r="T414" s="17">
        <f>'HH WITH COM #4'!$X$579</f>
        <v>0</v>
      </c>
      <c r="U414" s="539">
        <f t="shared" si="977"/>
        <v>0</v>
      </c>
      <c r="V414" s="197">
        <f t="shared" si="978"/>
        <v>0</v>
      </c>
      <c r="W414" s="17">
        <f>'HH WITH COM #5'!$W$579</f>
        <v>0</v>
      </c>
      <c r="X414" s="17">
        <f>'HH WITH COM #5'!$X$579</f>
        <v>0</v>
      </c>
      <c r="Y414" s="539">
        <f t="shared" si="979"/>
        <v>0</v>
      </c>
      <c r="Z414" s="197">
        <f t="shared" si="980"/>
        <v>0</v>
      </c>
      <c r="AA414" s="17">
        <f>'HH WITH COM #6'!$W$579</f>
        <v>0</v>
      </c>
      <c r="AB414" s="17">
        <f>'HH WITH COM #6'!$X$579</f>
        <v>0</v>
      </c>
      <c r="AC414" s="539">
        <f t="shared" si="981"/>
        <v>0</v>
      </c>
      <c r="AD414" s="197">
        <f t="shared" si="982"/>
        <v>0</v>
      </c>
      <c r="AE414" s="17">
        <f>'HH WITH COM #7'!$W$579</f>
        <v>0</v>
      </c>
      <c r="AF414" s="17">
        <f>'HH WITH COM #7'!$X$579</f>
        <v>0</v>
      </c>
      <c r="AG414" s="539">
        <f t="shared" si="983"/>
        <v>0</v>
      </c>
      <c r="AH414" s="191">
        <f t="shared" si="984"/>
        <v>0</v>
      </c>
      <c r="AI414" s="391">
        <f t="shared" si="969"/>
        <v>0</v>
      </c>
      <c r="AJ414" s="17">
        <f t="shared" si="970"/>
        <v>0</v>
      </c>
      <c r="AK414" s="539">
        <f>SUM(AI414:AJ414)</f>
        <v>0</v>
      </c>
      <c r="AL414" s="197">
        <f>IF(AK$415=0,0,AK414/AK$415)</f>
        <v>0</v>
      </c>
    </row>
    <row r="415" spans="1:42" ht="16.5" customHeight="1" x14ac:dyDescent="0.25">
      <c r="A415" s="40"/>
      <c r="B415" s="40"/>
      <c r="C415" s="40"/>
      <c r="D415" s="134"/>
      <c r="E415" s="184"/>
      <c r="F415" s="469"/>
      <c r="G415" s="82">
        <f>SUM(G411:G414)</f>
        <v>28</v>
      </c>
      <c r="H415" s="82">
        <f t="shared" ref="H415:I415" si="987">SUM(H411:H414)</f>
        <v>234</v>
      </c>
      <c r="I415" s="82">
        <f t="shared" si="987"/>
        <v>262</v>
      </c>
      <c r="J415" s="500">
        <f>IF(I$415=0,0,I415/I$415)</f>
        <v>1</v>
      </c>
      <c r="K415" s="82">
        <f>SUM(K411:K414)</f>
        <v>0</v>
      </c>
      <c r="L415" s="82">
        <f t="shared" ref="L415:M415" si="988">SUM(L411:L414)</f>
        <v>0</v>
      </c>
      <c r="M415" s="82">
        <f t="shared" si="988"/>
        <v>0</v>
      </c>
      <c r="N415" s="500">
        <f>IF(M$415=0,0,M415/M$415)</f>
        <v>0</v>
      </c>
      <c r="O415" s="82">
        <f>SUM(O411:O414)</f>
        <v>0</v>
      </c>
      <c r="P415" s="82">
        <f t="shared" ref="P415:Q415" si="989">SUM(P411:P414)</f>
        <v>0</v>
      </c>
      <c r="Q415" s="82">
        <f t="shared" si="989"/>
        <v>0</v>
      </c>
      <c r="R415" s="500">
        <f>IF(Q$415=0,0,Q415/Q$415)</f>
        <v>0</v>
      </c>
      <c r="S415" s="82">
        <f>SUM(S411:S414)</f>
        <v>0</v>
      </c>
      <c r="T415" s="82">
        <f t="shared" ref="T415:U415" si="990">SUM(T411:T414)</f>
        <v>0</v>
      </c>
      <c r="U415" s="82">
        <f t="shared" si="990"/>
        <v>0</v>
      </c>
      <c r="V415" s="500">
        <f>IF(U$415=0,0,U415/U$415)</f>
        <v>0</v>
      </c>
      <c r="W415" s="82">
        <f>SUM(W411:W414)</f>
        <v>0</v>
      </c>
      <c r="X415" s="82">
        <f t="shared" ref="X415:Y415" si="991">SUM(X411:X414)</f>
        <v>0</v>
      </c>
      <c r="Y415" s="82">
        <f t="shared" si="991"/>
        <v>0</v>
      </c>
      <c r="Z415" s="500">
        <f>IF(Y$415=0,0,Y415/Y$415)</f>
        <v>0</v>
      </c>
      <c r="AA415" s="82">
        <f>SUM(AA411:AA414)</f>
        <v>0</v>
      </c>
      <c r="AB415" s="82">
        <f t="shared" ref="AB415:AC415" si="992">SUM(AB411:AB414)</f>
        <v>0</v>
      </c>
      <c r="AC415" s="82">
        <f t="shared" si="992"/>
        <v>0</v>
      </c>
      <c r="AD415" s="500">
        <f>IF(AC$415=0,0,AC415/AC$415)</f>
        <v>0</v>
      </c>
      <c r="AE415" s="82">
        <f>SUM(AE411:AE414)</f>
        <v>0</v>
      </c>
      <c r="AF415" s="82">
        <f t="shared" ref="AF415:AG415" si="993">SUM(AF411:AF414)</f>
        <v>0</v>
      </c>
      <c r="AG415" s="82">
        <f t="shared" si="993"/>
        <v>0</v>
      </c>
      <c r="AH415" s="614">
        <f>IF(AG$415=0,0,AG415/AG$415)</f>
        <v>0</v>
      </c>
      <c r="AI415" s="381">
        <f>SUM(AI411:AI414)</f>
        <v>28</v>
      </c>
      <c r="AJ415" s="82">
        <f t="shared" ref="AJ415:AK415" si="994">SUM(AJ411:AJ414)</f>
        <v>234</v>
      </c>
      <c r="AK415" s="82">
        <f t="shared" si="994"/>
        <v>262</v>
      </c>
      <c r="AL415" s="500">
        <f>IF(AK$415=0,0,AK415/AK$415)</f>
        <v>1</v>
      </c>
    </row>
    <row r="416" spans="1:42" s="117" customFormat="1" ht="16.5" customHeight="1" x14ac:dyDescent="0.25">
      <c r="A416" s="119"/>
      <c r="B416" s="41" t="s">
        <v>337</v>
      </c>
      <c r="C416" s="476" t="s">
        <v>1023</v>
      </c>
      <c r="D416" s="477"/>
      <c r="E416" s="478"/>
      <c r="F416" s="478"/>
      <c r="G416" s="71"/>
      <c r="H416" s="71"/>
      <c r="I416" s="71"/>
      <c r="J416" s="71"/>
      <c r="K416" s="71"/>
      <c r="L416" s="71"/>
      <c r="M416" s="71"/>
      <c r="N416" s="71"/>
      <c r="O416" s="71"/>
      <c r="P416" s="71"/>
      <c r="Q416" s="71"/>
      <c r="R416" s="71"/>
      <c r="S416" s="71"/>
      <c r="T416" s="71"/>
      <c r="U416" s="71"/>
      <c r="V416" s="71"/>
      <c r="W416" s="71"/>
      <c r="X416" s="71"/>
      <c r="Y416" s="71"/>
      <c r="Z416" s="71"/>
      <c r="AA416" s="71"/>
      <c r="AB416" s="71"/>
      <c r="AC416" s="71"/>
      <c r="AD416" s="71"/>
      <c r="AE416" s="71"/>
      <c r="AF416" s="71"/>
      <c r="AG416" s="71"/>
      <c r="AH416" s="355"/>
      <c r="AI416" s="377"/>
      <c r="AJ416" s="71"/>
      <c r="AK416" s="71"/>
      <c r="AL416" s="71"/>
    </row>
    <row r="417" spans="1:67" ht="16.5" customHeight="1" x14ac:dyDescent="0.25">
      <c r="A417" s="119"/>
      <c r="B417" s="119"/>
      <c r="C417" s="473" t="s">
        <v>499</v>
      </c>
      <c r="D417" s="484" t="s">
        <v>495</v>
      </c>
      <c r="E417" s="105"/>
      <c r="F417" s="106"/>
      <c r="G417" s="17">
        <f>'HH WITH COM #1 '!$W$583</f>
        <v>1</v>
      </c>
      <c r="H417" s="17">
        <f>'HH WITH COM #1 '!$X$583</f>
        <v>15</v>
      </c>
      <c r="I417" s="116">
        <f>SUM(G417:H417)</f>
        <v>16</v>
      </c>
      <c r="J417" s="197">
        <f>IF(I$423=0,0,I417/I$423)</f>
        <v>0.61538461538461542</v>
      </c>
      <c r="K417" s="17">
        <f>'HH WITH COM #2'!$W$583</f>
        <v>0</v>
      </c>
      <c r="L417" s="17">
        <f>'HH WITH COM #2'!$X$583</f>
        <v>0</v>
      </c>
      <c r="M417" s="539">
        <f>SUM(K417:L417)</f>
        <v>0</v>
      </c>
      <c r="N417" s="197">
        <f>IF(M$423=0,0,M417/M$423)</f>
        <v>0</v>
      </c>
      <c r="O417" s="17">
        <f>'HH WITH COM #3'!$W$583</f>
        <v>0</v>
      </c>
      <c r="P417" s="17">
        <f>'HH WITH COM #3'!$X$583</f>
        <v>0</v>
      </c>
      <c r="Q417" s="539">
        <f>SUM(O417:P417)</f>
        <v>0</v>
      </c>
      <c r="R417" s="197">
        <f>IF(Q$423=0,0,Q417/Q$423)</f>
        <v>0</v>
      </c>
      <c r="S417" s="17">
        <f>'HH WITH COM #4'!$W$583</f>
        <v>0</v>
      </c>
      <c r="T417" s="17">
        <f>'HH WITH COM #4'!$X$583</f>
        <v>0</v>
      </c>
      <c r="U417" s="539">
        <f>SUM(S417:T417)</f>
        <v>0</v>
      </c>
      <c r="V417" s="197">
        <f>IF(U$423=0,0,U417/U$423)</f>
        <v>0</v>
      </c>
      <c r="W417" s="17">
        <f>'HH WITH COM #5'!$W$583</f>
        <v>0</v>
      </c>
      <c r="X417" s="17">
        <f>'HH WITH COM #5'!$X$583</f>
        <v>0</v>
      </c>
      <c r="Y417" s="539">
        <f>SUM(W417:X417)</f>
        <v>0</v>
      </c>
      <c r="Z417" s="197">
        <f>IF(Y$423=0,0,Y417/Y$423)</f>
        <v>0</v>
      </c>
      <c r="AA417" s="17">
        <f>'HH WITH COM #6'!$W$583</f>
        <v>0</v>
      </c>
      <c r="AB417" s="17">
        <f>'HH WITH COM #6'!$X$583</f>
        <v>0</v>
      </c>
      <c r="AC417" s="539">
        <f>SUM(AA417:AB417)</f>
        <v>0</v>
      </c>
      <c r="AD417" s="197">
        <f>IF(AC$423=0,0,AC417/AC$423)</f>
        <v>0</v>
      </c>
      <c r="AE417" s="17">
        <f>'HH WITH COM #7'!$W$583</f>
        <v>0</v>
      </c>
      <c r="AF417" s="17">
        <f>'HH WITH COM #7'!$X$583</f>
        <v>0</v>
      </c>
      <c r="AG417" s="539">
        <f>SUM(AE417:AF417)</f>
        <v>0</v>
      </c>
      <c r="AH417" s="191">
        <f>IF(AG$423=0,0,AG417/AG$423)</f>
        <v>0</v>
      </c>
      <c r="AI417" s="391">
        <f t="shared" ref="AI417" si="995">G417+K417+O417+S417+W417+AA417+AE417</f>
        <v>1</v>
      </c>
      <c r="AJ417" s="17">
        <f t="shared" ref="AJ417" si="996">H417+L417+P417+T417+X417+AB417+AF417</f>
        <v>15</v>
      </c>
      <c r="AK417" s="539">
        <f t="shared" ref="AK417" si="997">SUM(AI417:AJ417)</f>
        <v>16</v>
      </c>
      <c r="AL417" s="197">
        <f>IF(AK$423=0,0,AK417/AK$423)</f>
        <v>0.61538461538461542</v>
      </c>
    </row>
    <row r="418" spans="1:67" ht="16.5" customHeight="1" x14ac:dyDescent="0.25">
      <c r="A418" s="40"/>
      <c r="B418" s="40"/>
      <c r="C418" s="473" t="s">
        <v>500</v>
      </c>
      <c r="D418" s="484" t="s">
        <v>496</v>
      </c>
      <c r="E418" s="105"/>
      <c r="F418" s="106"/>
      <c r="G418" s="17">
        <f>'HH WITH COM #1 '!$W$584</f>
        <v>0</v>
      </c>
      <c r="H418" s="17">
        <f>'HH WITH COM #1 '!$X$584</f>
        <v>9</v>
      </c>
      <c r="I418" s="539">
        <f t="shared" ref="I418:I422" si="998">SUM(G418:H418)</f>
        <v>9</v>
      </c>
      <c r="J418" s="197">
        <f t="shared" ref="J418:J423" si="999">IF(I$423=0,0,I418/I$423)</f>
        <v>0.34615384615384615</v>
      </c>
      <c r="K418" s="17">
        <f>'HH WITH COM #2'!$W$584</f>
        <v>0</v>
      </c>
      <c r="L418" s="17">
        <f>'HH WITH COM #2'!$X$584</f>
        <v>0</v>
      </c>
      <c r="M418" s="539">
        <f t="shared" ref="M418:M422" si="1000">SUM(K418:L418)</f>
        <v>0</v>
      </c>
      <c r="N418" s="197">
        <f t="shared" ref="N418:N423" si="1001">IF(M$423=0,0,M418/M$423)</f>
        <v>0</v>
      </c>
      <c r="O418" s="17">
        <f>'HH WITH COM #3'!$W$584</f>
        <v>0</v>
      </c>
      <c r="P418" s="17">
        <f>'HH WITH COM #3'!$X$584</f>
        <v>0</v>
      </c>
      <c r="Q418" s="539">
        <f t="shared" ref="Q418:Q422" si="1002">SUM(O418:P418)</f>
        <v>0</v>
      </c>
      <c r="R418" s="197">
        <f t="shared" ref="R418:R423" si="1003">IF(Q$423=0,0,Q418/Q$423)</f>
        <v>0</v>
      </c>
      <c r="S418" s="17">
        <f>'HH WITH COM #4'!$W$584</f>
        <v>0</v>
      </c>
      <c r="T418" s="17">
        <f>'HH WITH COM #4'!$X$584</f>
        <v>0</v>
      </c>
      <c r="U418" s="539">
        <f t="shared" ref="U418:U422" si="1004">SUM(S418:T418)</f>
        <v>0</v>
      </c>
      <c r="V418" s="197">
        <f t="shared" ref="V418:V423" si="1005">IF(U$423=0,0,U418/U$423)</f>
        <v>0</v>
      </c>
      <c r="W418" s="17">
        <f>'HH WITH COM #5'!$W$584</f>
        <v>0</v>
      </c>
      <c r="X418" s="17">
        <f>'HH WITH COM #5'!$X$584</f>
        <v>0</v>
      </c>
      <c r="Y418" s="539">
        <f t="shared" ref="Y418:Y422" si="1006">SUM(W418:X418)</f>
        <v>0</v>
      </c>
      <c r="Z418" s="197">
        <f t="shared" ref="Z418:Z423" si="1007">IF(Y$423=0,0,Y418/Y$423)</f>
        <v>0</v>
      </c>
      <c r="AA418" s="17">
        <f>'HH WITH COM #6'!$W$584</f>
        <v>0</v>
      </c>
      <c r="AB418" s="17">
        <f>'HH WITH COM #6'!$X$584</f>
        <v>0</v>
      </c>
      <c r="AC418" s="539">
        <f t="shared" ref="AC418:AC422" si="1008">SUM(AA418:AB418)</f>
        <v>0</v>
      </c>
      <c r="AD418" s="197">
        <f t="shared" ref="AD418:AD423" si="1009">IF(AC$423=0,0,AC418/AC$423)</f>
        <v>0</v>
      </c>
      <c r="AE418" s="17">
        <f>'HH WITH COM #7'!$W$584</f>
        <v>0</v>
      </c>
      <c r="AF418" s="17">
        <f>'HH WITH COM #7'!$X$584</f>
        <v>0</v>
      </c>
      <c r="AG418" s="539">
        <f t="shared" ref="AG418:AG422" si="1010">SUM(AE418:AF418)</f>
        <v>0</v>
      </c>
      <c r="AH418" s="191">
        <f t="shared" ref="AH418:AH423" si="1011">IF(AG$423=0,0,AG418/AG$423)</f>
        <v>0</v>
      </c>
      <c r="AI418" s="391">
        <f t="shared" ref="AI418:AI422" si="1012">G418+K418+O418+S418+W418+AA418+AE418</f>
        <v>0</v>
      </c>
      <c r="AJ418" s="17">
        <f t="shared" ref="AJ418:AJ422" si="1013">H418+L418+P418+T418+X418+AB418+AF418</f>
        <v>9</v>
      </c>
      <c r="AK418" s="539">
        <f t="shared" ref="AK418:AK422" si="1014">SUM(AI418:AJ418)</f>
        <v>9</v>
      </c>
      <c r="AL418" s="197">
        <f t="shared" ref="AL418:AL423" si="1015">IF(AK$423=0,0,AK418/AK$423)</f>
        <v>0.34615384615384615</v>
      </c>
    </row>
    <row r="419" spans="1:67" ht="16.5" customHeight="1" x14ac:dyDescent="0.25">
      <c r="A419" s="40"/>
      <c r="B419" s="40"/>
      <c r="C419" s="473" t="s">
        <v>501</v>
      </c>
      <c r="D419" s="484" t="s">
        <v>497</v>
      </c>
      <c r="E419" s="105"/>
      <c r="F419" s="106"/>
      <c r="G419" s="17">
        <f>'HH WITH COM #1 '!$W$585</f>
        <v>0</v>
      </c>
      <c r="H419" s="17">
        <f>'HH WITH COM #1 '!$X$585</f>
        <v>1</v>
      </c>
      <c r="I419" s="539">
        <f t="shared" si="998"/>
        <v>1</v>
      </c>
      <c r="J419" s="197">
        <f t="shared" si="999"/>
        <v>3.8461538461538464E-2</v>
      </c>
      <c r="K419" s="17">
        <f>'HH WITH COM #2'!$W$585</f>
        <v>0</v>
      </c>
      <c r="L419" s="17">
        <f>'HH WITH COM #2'!$X$585</f>
        <v>0</v>
      </c>
      <c r="M419" s="539">
        <f t="shared" si="1000"/>
        <v>0</v>
      </c>
      <c r="N419" s="197">
        <f t="shared" si="1001"/>
        <v>0</v>
      </c>
      <c r="O419" s="17">
        <f>'HH WITH COM #3'!$W$585</f>
        <v>0</v>
      </c>
      <c r="P419" s="17">
        <f>'HH WITH COM #3'!$X$585</f>
        <v>0</v>
      </c>
      <c r="Q419" s="539">
        <f t="shared" si="1002"/>
        <v>0</v>
      </c>
      <c r="R419" s="197">
        <f t="shared" si="1003"/>
        <v>0</v>
      </c>
      <c r="S419" s="17">
        <f>'HH WITH COM #4'!$W$585</f>
        <v>0</v>
      </c>
      <c r="T419" s="17">
        <f>'HH WITH COM #4'!$X$585</f>
        <v>0</v>
      </c>
      <c r="U419" s="539">
        <f t="shared" si="1004"/>
        <v>0</v>
      </c>
      <c r="V419" s="197">
        <f t="shared" si="1005"/>
        <v>0</v>
      </c>
      <c r="W419" s="17">
        <f>'HH WITH COM #5'!$W$585</f>
        <v>0</v>
      </c>
      <c r="X419" s="17">
        <f>'HH WITH COM #5'!$X$585</f>
        <v>0</v>
      </c>
      <c r="Y419" s="539">
        <f t="shared" si="1006"/>
        <v>0</v>
      </c>
      <c r="Z419" s="197">
        <f t="shared" si="1007"/>
        <v>0</v>
      </c>
      <c r="AA419" s="17">
        <f>'HH WITH COM #6'!$W$585</f>
        <v>0</v>
      </c>
      <c r="AB419" s="17">
        <f>'HH WITH COM #6'!$X$585</f>
        <v>0</v>
      </c>
      <c r="AC419" s="539">
        <f t="shared" si="1008"/>
        <v>0</v>
      </c>
      <c r="AD419" s="197">
        <f t="shared" si="1009"/>
        <v>0</v>
      </c>
      <c r="AE419" s="17">
        <f>'HH WITH COM #7'!$W$585</f>
        <v>0</v>
      </c>
      <c r="AF419" s="17">
        <f>'HH WITH COM #7'!$X$585</f>
        <v>0</v>
      </c>
      <c r="AG419" s="539">
        <f t="shared" si="1010"/>
        <v>0</v>
      </c>
      <c r="AH419" s="191">
        <f t="shared" si="1011"/>
        <v>0</v>
      </c>
      <c r="AI419" s="391">
        <f t="shared" si="1012"/>
        <v>0</v>
      </c>
      <c r="AJ419" s="17">
        <f t="shared" si="1013"/>
        <v>1</v>
      </c>
      <c r="AK419" s="539">
        <f t="shared" si="1014"/>
        <v>1</v>
      </c>
      <c r="AL419" s="197">
        <f t="shared" si="1015"/>
        <v>3.8461538461538464E-2</v>
      </c>
    </row>
    <row r="420" spans="1:67" ht="16.5" customHeight="1" x14ac:dyDescent="0.25">
      <c r="A420" s="40"/>
      <c r="B420" s="40"/>
      <c r="C420" s="473" t="s">
        <v>502</v>
      </c>
      <c r="D420" s="484" t="s">
        <v>498</v>
      </c>
      <c r="E420" s="105"/>
      <c r="F420" s="106"/>
      <c r="G420" s="17">
        <f>'HH WITH COM #1 '!$W$586</f>
        <v>0</v>
      </c>
      <c r="H420" s="17">
        <f>'HH WITH COM #1 '!$X$586</f>
        <v>0</v>
      </c>
      <c r="I420" s="539">
        <f t="shared" si="998"/>
        <v>0</v>
      </c>
      <c r="J420" s="197">
        <f t="shared" si="999"/>
        <v>0</v>
      </c>
      <c r="K420" s="17">
        <f>'HH WITH COM #2'!$W$586</f>
        <v>0</v>
      </c>
      <c r="L420" s="17">
        <f>'HH WITH COM #2'!$X$586</f>
        <v>0</v>
      </c>
      <c r="M420" s="539">
        <f t="shared" si="1000"/>
        <v>0</v>
      </c>
      <c r="N420" s="197">
        <f t="shared" si="1001"/>
        <v>0</v>
      </c>
      <c r="O420" s="17">
        <f>'HH WITH COM #3'!$W$586</f>
        <v>0</v>
      </c>
      <c r="P420" s="17">
        <f>'HH WITH COM #3'!$X$586</f>
        <v>0</v>
      </c>
      <c r="Q420" s="539">
        <f t="shared" si="1002"/>
        <v>0</v>
      </c>
      <c r="R420" s="197">
        <f t="shared" si="1003"/>
        <v>0</v>
      </c>
      <c r="S420" s="17">
        <f>'HH WITH COM #4'!$W$586</f>
        <v>0</v>
      </c>
      <c r="T420" s="17">
        <f>'HH WITH COM #4'!$X$586</f>
        <v>0</v>
      </c>
      <c r="U420" s="539">
        <f t="shared" si="1004"/>
        <v>0</v>
      </c>
      <c r="V420" s="197">
        <f t="shared" si="1005"/>
        <v>0</v>
      </c>
      <c r="W420" s="17">
        <f>'HH WITH COM #5'!$W$586</f>
        <v>0</v>
      </c>
      <c r="X420" s="17">
        <f>'HH WITH COM #5'!$X$586</f>
        <v>0</v>
      </c>
      <c r="Y420" s="539">
        <f t="shared" si="1006"/>
        <v>0</v>
      </c>
      <c r="Z420" s="197">
        <f t="shared" si="1007"/>
        <v>0</v>
      </c>
      <c r="AA420" s="17">
        <f>'HH WITH COM #6'!$W$586</f>
        <v>0</v>
      </c>
      <c r="AB420" s="17">
        <f>'HH WITH COM #6'!$X$586</f>
        <v>0</v>
      </c>
      <c r="AC420" s="539">
        <f t="shared" si="1008"/>
        <v>0</v>
      </c>
      <c r="AD420" s="197">
        <f t="shared" si="1009"/>
        <v>0</v>
      </c>
      <c r="AE420" s="17">
        <f>'HH WITH COM #7'!$W$586</f>
        <v>0</v>
      </c>
      <c r="AF420" s="17">
        <f>'HH WITH COM #7'!$X$586</f>
        <v>0</v>
      </c>
      <c r="AG420" s="539">
        <f t="shared" si="1010"/>
        <v>0</v>
      </c>
      <c r="AH420" s="191">
        <f t="shared" si="1011"/>
        <v>0</v>
      </c>
      <c r="AI420" s="391">
        <f t="shared" si="1012"/>
        <v>0</v>
      </c>
      <c r="AJ420" s="17">
        <f t="shared" si="1013"/>
        <v>0</v>
      </c>
      <c r="AK420" s="539">
        <f t="shared" si="1014"/>
        <v>0</v>
      </c>
      <c r="AL420" s="197">
        <f t="shared" si="1015"/>
        <v>0</v>
      </c>
    </row>
    <row r="421" spans="1:67" ht="16.5" customHeight="1" x14ac:dyDescent="0.25">
      <c r="A421" s="40"/>
      <c r="B421" s="40"/>
      <c r="C421" s="473" t="s">
        <v>503</v>
      </c>
      <c r="D421" s="484" t="s">
        <v>129</v>
      </c>
      <c r="E421" s="105"/>
      <c r="F421" s="106"/>
      <c r="G421" s="17">
        <f>'HH WITH COM #1 '!$W$587</f>
        <v>0</v>
      </c>
      <c r="H421" s="17">
        <f>'HH WITH COM #1 '!$X$587</f>
        <v>0</v>
      </c>
      <c r="I421" s="539">
        <f t="shared" si="998"/>
        <v>0</v>
      </c>
      <c r="J421" s="197">
        <f t="shared" si="999"/>
        <v>0</v>
      </c>
      <c r="K421" s="17">
        <f>'HH WITH COM #2'!$W$587</f>
        <v>0</v>
      </c>
      <c r="L421" s="17">
        <f>'HH WITH COM #2'!$X$587</f>
        <v>0</v>
      </c>
      <c r="M421" s="539">
        <f t="shared" si="1000"/>
        <v>0</v>
      </c>
      <c r="N421" s="197">
        <f t="shared" si="1001"/>
        <v>0</v>
      </c>
      <c r="O421" s="17">
        <f>'HH WITH COM #3'!$W$587</f>
        <v>0</v>
      </c>
      <c r="P421" s="17">
        <f>'HH WITH COM #3'!$X$587</f>
        <v>0</v>
      </c>
      <c r="Q421" s="539">
        <f t="shared" si="1002"/>
        <v>0</v>
      </c>
      <c r="R421" s="197">
        <f t="shared" si="1003"/>
        <v>0</v>
      </c>
      <c r="S421" s="17">
        <f>'HH WITH COM #4'!$W$587</f>
        <v>0</v>
      </c>
      <c r="T421" s="17">
        <f>'HH WITH COM #4'!$X$587</f>
        <v>0</v>
      </c>
      <c r="U421" s="539">
        <f t="shared" si="1004"/>
        <v>0</v>
      </c>
      <c r="V421" s="197">
        <f t="shared" si="1005"/>
        <v>0</v>
      </c>
      <c r="W421" s="17">
        <f>'HH WITH COM #5'!$W$587</f>
        <v>0</v>
      </c>
      <c r="X421" s="17">
        <f>'HH WITH COM #5'!$X$587</f>
        <v>0</v>
      </c>
      <c r="Y421" s="539">
        <f t="shared" si="1006"/>
        <v>0</v>
      </c>
      <c r="Z421" s="197">
        <f t="shared" si="1007"/>
        <v>0</v>
      </c>
      <c r="AA421" s="17">
        <f>'HH WITH COM #6'!$W$587</f>
        <v>0</v>
      </c>
      <c r="AB421" s="17">
        <f>'HH WITH COM #6'!$X$587</f>
        <v>0</v>
      </c>
      <c r="AC421" s="539">
        <f t="shared" si="1008"/>
        <v>0</v>
      </c>
      <c r="AD421" s="197">
        <f t="shared" si="1009"/>
        <v>0</v>
      </c>
      <c r="AE421" s="17">
        <f>'HH WITH COM #7'!$W$587</f>
        <v>0</v>
      </c>
      <c r="AF421" s="17">
        <f>'HH WITH COM #7'!$X$587</f>
        <v>0</v>
      </c>
      <c r="AG421" s="539">
        <f t="shared" si="1010"/>
        <v>0</v>
      </c>
      <c r="AH421" s="191">
        <f t="shared" si="1011"/>
        <v>0</v>
      </c>
      <c r="AI421" s="391">
        <f t="shared" si="1012"/>
        <v>0</v>
      </c>
      <c r="AJ421" s="17">
        <f t="shared" si="1013"/>
        <v>0</v>
      </c>
      <c r="AK421" s="539">
        <f t="shared" si="1014"/>
        <v>0</v>
      </c>
      <c r="AL421" s="197">
        <f t="shared" si="1015"/>
        <v>0</v>
      </c>
    </row>
    <row r="422" spans="1:67" ht="16.5" customHeight="1" x14ac:dyDescent="0.25">
      <c r="A422" s="40"/>
      <c r="B422" s="40"/>
      <c r="C422" s="473" t="s">
        <v>551</v>
      </c>
      <c r="D422" s="484" t="s">
        <v>550</v>
      </c>
      <c r="E422" s="105"/>
      <c r="F422" s="106"/>
      <c r="G422" s="17">
        <f>'HH WITH COM #1 '!$W$588</f>
        <v>0</v>
      </c>
      <c r="H422" s="17">
        <f>'HH WITH COM #1 '!$X$588</f>
        <v>0</v>
      </c>
      <c r="I422" s="539">
        <f t="shared" si="998"/>
        <v>0</v>
      </c>
      <c r="J422" s="197">
        <f t="shared" si="999"/>
        <v>0</v>
      </c>
      <c r="K422" s="17">
        <f>'HH WITH COM #2'!$W$588</f>
        <v>0</v>
      </c>
      <c r="L422" s="17">
        <f>'HH WITH COM #2'!$X$588</f>
        <v>0</v>
      </c>
      <c r="M422" s="539">
        <f t="shared" si="1000"/>
        <v>0</v>
      </c>
      <c r="N422" s="197">
        <f t="shared" si="1001"/>
        <v>0</v>
      </c>
      <c r="O422" s="17">
        <f>'HH WITH COM #3'!$W$588</f>
        <v>0</v>
      </c>
      <c r="P422" s="17">
        <f>'HH WITH COM #3'!$X$588</f>
        <v>0</v>
      </c>
      <c r="Q422" s="539">
        <f t="shared" si="1002"/>
        <v>0</v>
      </c>
      <c r="R422" s="197">
        <f t="shared" si="1003"/>
        <v>0</v>
      </c>
      <c r="S422" s="17">
        <f>'HH WITH COM #4'!$W$588</f>
        <v>0</v>
      </c>
      <c r="T422" s="17">
        <f>'HH WITH COM #4'!$X$588</f>
        <v>0</v>
      </c>
      <c r="U422" s="539">
        <f t="shared" si="1004"/>
        <v>0</v>
      </c>
      <c r="V422" s="197">
        <f t="shared" si="1005"/>
        <v>0</v>
      </c>
      <c r="W422" s="17">
        <f>'HH WITH COM #5'!$W$588</f>
        <v>0</v>
      </c>
      <c r="X422" s="17">
        <f>'HH WITH COM #5'!$X$588</f>
        <v>0</v>
      </c>
      <c r="Y422" s="539">
        <f t="shared" si="1006"/>
        <v>0</v>
      </c>
      <c r="Z422" s="197">
        <f t="shared" si="1007"/>
        <v>0</v>
      </c>
      <c r="AA422" s="17">
        <f>'HH WITH COM #6'!$W$588</f>
        <v>0</v>
      </c>
      <c r="AB422" s="17">
        <f>'HH WITH COM #6'!$X$588</f>
        <v>0</v>
      </c>
      <c r="AC422" s="539">
        <f t="shared" si="1008"/>
        <v>0</v>
      </c>
      <c r="AD422" s="197">
        <f t="shared" si="1009"/>
        <v>0</v>
      </c>
      <c r="AE422" s="17">
        <f>'HH WITH COM #7'!$W$588</f>
        <v>0</v>
      </c>
      <c r="AF422" s="17">
        <f>'HH WITH COM #7'!$X$588</f>
        <v>0</v>
      </c>
      <c r="AG422" s="539">
        <f t="shared" si="1010"/>
        <v>0</v>
      </c>
      <c r="AH422" s="191">
        <f t="shared" si="1011"/>
        <v>0</v>
      </c>
      <c r="AI422" s="391">
        <f t="shared" si="1012"/>
        <v>0</v>
      </c>
      <c r="AJ422" s="17">
        <f t="shared" si="1013"/>
        <v>0</v>
      </c>
      <c r="AK422" s="539">
        <f t="shared" si="1014"/>
        <v>0</v>
      </c>
      <c r="AL422" s="197">
        <f t="shared" si="1015"/>
        <v>0</v>
      </c>
    </row>
    <row r="423" spans="1:67" ht="16.5" customHeight="1" x14ac:dyDescent="0.25">
      <c r="A423" s="40"/>
      <c r="B423" s="40"/>
      <c r="C423" s="40"/>
      <c r="D423" s="134"/>
      <c r="E423" s="184"/>
      <c r="F423" s="469"/>
      <c r="G423" s="82">
        <f>SUM(G417:G422)</f>
        <v>1</v>
      </c>
      <c r="H423" s="82">
        <f t="shared" ref="H423:I423" si="1016">SUM(H417:H422)</f>
        <v>25</v>
      </c>
      <c r="I423" s="82">
        <f t="shared" si="1016"/>
        <v>26</v>
      </c>
      <c r="J423" s="500">
        <f t="shared" si="999"/>
        <v>1</v>
      </c>
      <c r="K423" s="82">
        <f>SUM(K417:K422)</f>
        <v>0</v>
      </c>
      <c r="L423" s="82">
        <f t="shared" ref="L423" si="1017">SUM(L417:L422)</f>
        <v>0</v>
      </c>
      <c r="M423" s="82">
        <f t="shared" ref="M423" si="1018">SUM(M417:M422)</f>
        <v>0</v>
      </c>
      <c r="N423" s="500">
        <f t="shared" si="1001"/>
        <v>0</v>
      </c>
      <c r="O423" s="82">
        <f>SUM(O417:O422)</f>
        <v>0</v>
      </c>
      <c r="P423" s="82">
        <f t="shared" ref="P423" si="1019">SUM(P417:P422)</f>
        <v>0</v>
      </c>
      <c r="Q423" s="82">
        <f t="shared" ref="Q423" si="1020">SUM(Q417:Q422)</f>
        <v>0</v>
      </c>
      <c r="R423" s="500">
        <f t="shared" si="1003"/>
        <v>0</v>
      </c>
      <c r="S423" s="82">
        <f>SUM(S417:S422)</f>
        <v>0</v>
      </c>
      <c r="T423" s="82">
        <f t="shared" ref="T423" si="1021">SUM(T417:T422)</f>
        <v>0</v>
      </c>
      <c r="U423" s="82">
        <f t="shared" ref="U423" si="1022">SUM(U417:U422)</f>
        <v>0</v>
      </c>
      <c r="V423" s="500">
        <f t="shared" si="1005"/>
        <v>0</v>
      </c>
      <c r="W423" s="82">
        <f>SUM(W417:W422)</f>
        <v>0</v>
      </c>
      <c r="X423" s="82">
        <f t="shared" ref="X423" si="1023">SUM(X417:X422)</f>
        <v>0</v>
      </c>
      <c r="Y423" s="82">
        <f t="shared" ref="Y423" si="1024">SUM(Y417:Y422)</f>
        <v>0</v>
      </c>
      <c r="Z423" s="500">
        <f t="shared" si="1007"/>
        <v>0</v>
      </c>
      <c r="AA423" s="82">
        <f>SUM(AA417:AA422)</f>
        <v>0</v>
      </c>
      <c r="AB423" s="82">
        <f t="shared" ref="AB423" si="1025">SUM(AB417:AB422)</f>
        <v>0</v>
      </c>
      <c r="AC423" s="82">
        <f t="shared" ref="AC423" si="1026">SUM(AC417:AC422)</f>
        <v>0</v>
      </c>
      <c r="AD423" s="500">
        <f t="shared" si="1009"/>
        <v>0</v>
      </c>
      <c r="AE423" s="82">
        <f>SUM(AE417:AE422)</f>
        <v>0</v>
      </c>
      <c r="AF423" s="82">
        <f t="shared" ref="AF423" si="1027">SUM(AF417:AF422)</f>
        <v>0</v>
      </c>
      <c r="AG423" s="82">
        <f t="shared" ref="AG423" si="1028">SUM(AG417:AG422)</f>
        <v>0</v>
      </c>
      <c r="AH423" s="614">
        <f t="shared" si="1011"/>
        <v>0</v>
      </c>
      <c r="AI423" s="381">
        <f>SUM(AI417:AI422)</f>
        <v>1</v>
      </c>
      <c r="AJ423" s="82">
        <f t="shared" ref="AJ423" si="1029">SUM(AJ417:AJ422)</f>
        <v>25</v>
      </c>
      <c r="AK423" s="82">
        <f t="shared" ref="AK423" si="1030">SUM(AK417:AK422)</f>
        <v>26</v>
      </c>
      <c r="AL423" s="500">
        <f t="shared" si="1015"/>
        <v>1</v>
      </c>
    </row>
    <row r="424" spans="1:67" s="117" customFormat="1" ht="16.5" customHeight="1" x14ac:dyDescent="0.25">
      <c r="A424" s="119"/>
      <c r="B424" s="41" t="s">
        <v>338</v>
      </c>
      <c r="C424" s="476" t="s">
        <v>1024</v>
      </c>
      <c r="D424" s="477"/>
      <c r="E424" s="478"/>
      <c r="F424" s="478"/>
      <c r="G424" s="71"/>
      <c r="H424" s="71"/>
      <c r="I424" s="71"/>
      <c r="J424" s="71"/>
      <c r="K424" s="71"/>
      <c r="L424" s="71"/>
      <c r="M424" s="71"/>
      <c r="N424" s="71"/>
      <c r="O424" s="71"/>
      <c r="P424" s="71"/>
      <c r="Q424" s="71"/>
      <c r="R424" s="71"/>
      <c r="S424" s="71"/>
      <c r="T424" s="71"/>
      <c r="U424" s="71"/>
      <c r="V424" s="71"/>
      <c r="W424" s="71"/>
      <c r="X424" s="71"/>
      <c r="Y424" s="71"/>
      <c r="Z424" s="71"/>
      <c r="AA424" s="71"/>
      <c r="AB424" s="71"/>
      <c r="AC424" s="71"/>
      <c r="AD424" s="71"/>
      <c r="AE424" s="71"/>
      <c r="AF424" s="71"/>
      <c r="AG424" s="71"/>
      <c r="AH424" s="355"/>
      <c r="AI424" s="377"/>
      <c r="AJ424" s="71"/>
      <c r="AK424" s="71"/>
      <c r="AL424" s="71"/>
    </row>
    <row r="425" spans="1:67" ht="16.5" customHeight="1" x14ac:dyDescent="0.25">
      <c r="A425" s="40"/>
      <c r="B425" s="40"/>
      <c r="C425" s="473" t="s">
        <v>339</v>
      </c>
      <c r="D425" s="562" t="s">
        <v>504</v>
      </c>
      <c r="E425" s="105"/>
      <c r="F425" s="106"/>
      <c r="G425" s="17">
        <f>'HH WITH COM #1 '!$W$592</f>
        <v>1</v>
      </c>
      <c r="H425" s="17">
        <f>'HH WITH COM #1 '!$X$592</f>
        <v>23</v>
      </c>
      <c r="I425" s="116">
        <f>SUM(G425:H425)</f>
        <v>24</v>
      </c>
      <c r="J425" s="197">
        <f>IF(I$430=0,0,I425/I$430)</f>
        <v>0.92307692307692313</v>
      </c>
      <c r="K425" s="17">
        <f>'HH WITH COM #2'!$W$592</f>
        <v>0</v>
      </c>
      <c r="L425" s="17">
        <f>'HH WITH COM #2'!$X$592</f>
        <v>0</v>
      </c>
      <c r="M425" s="539">
        <f>SUM(K425:L425)</f>
        <v>0</v>
      </c>
      <c r="N425" s="197">
        <f>IF(M$430=0,0,M425/M$430)</f>
        <v>0</v>
      </c>
      <c r="O425" s="17">
        <f>'HH WITH COM #3'!$W$592</f>
        <v>0</v>
      </c>
      <c r="P425" s="17">
        <f>'HH WITH COM #3'!$X$592</f>
        <v>0</v>
      </c>
      <c r="Q425" s="539">
        <f>SUM(O425:P425)</f>
        <v>0</v>
      </c>
      <c r="R425" s="197">
        <f>IF(Q$430=0,0,Q425/Q$430)</f>
        <v>0</v>
      </c>
      <c r="S425" s="17">
        <f>'HH WITH COM #4'!$W$592</f>
        <v>0</v>
      </c>
      <c r="T425" s="17">
        <f>'HH WITH COM #4'!$X$592</f>
        <v>0</v>
      </c>
      <c r="U425" s="539">
        <f>SUM(S425:T425)</f>
        <v>0</v>
      </c>
      <c r="V425" s="197">
        <f>IF(U$430=0,0,U425/U$430)</f>
        <v>0</v>
      </c>
      <c r="W425" s="17">
        <f>'HH WITH COM #5'!$W$592</f>
        <v>0</v>
      </c>
      <c r="X425" s="17">
        <f>'HH WITH COM #5'!$X$592</f>
        <v>0</v>
      </c>
      <c r="Y425" s="539">
        <f>SUM(W425:X425)</f>
        <v>0</v>
      </c>
      <c r="Z425" s="197">
        <f>IF(Y$430=0,0,Y425/Y$430)</f>
        <v>0</v>
      </c>
      <c r="AA425" s="17">
        <f>'HH WITH COM #6'!$W$592</f>
        <v>0</v>
      </c>
      <c r="AB425" s="17">
        <f>'HH WITH COM #6'!$X$592</f>
        <v>0</v>
      </c>
      <c r="AC425" s="539">
        <f>SUM(AA425:AB425)</f>
        <v>0</v>
      </c>
      <c r="AD425" s="197">
        <f>IF(AC$430=0,0,AC425/AC$430)</f>
        <v>0</v>
      </c>
      <c r="AE425" s="17">
        <f>'HH WITH COM #7'!$W$592</f>
        <v>0</v>
      </c>
      <c r="AF425" s="17">
        <f>'HH WITH COM #7'!$X$592</f>
        <v>0</v>
      </c>
      <c r="AG425" s="539">
        <f>SUM(AE425:AF425)</f>
        <v>0</v>
      </c>
      <c r="AH425" s="191">
        <f>IF(AG$430=0,0,AG425/AG$430)</f>
        <v>0</v>
      </c>
      <c r="AI425" s="391">
        <f t="shared" ref="AI425:AI429" si="1031">G425+K425+O425+S425+W425+AA425+AE425</f>
        <v>1</v>
      </c>
      <c r="AJ425" s="17">
        <f t="shared" ref="AJ425:AJ429" si="1032">H425+L425+P425+T425+X425+AB425+AF425</f>
        <v>23</v>
      </c>
      <c r="AK425" s="539">
        <f>SUM(AI425:AJ425)</f>
        <v>24</v>
      </c>
      <c r="AL425" s="197">
        <f>IF(AK$430=0,0,AK425/AK$430)</f>
        <v>0.92307692307692313</v>
      </c>
    </row>
    <row r="426" spans="1:67" ht="16.5" customHeight="1" x14ac:dyDescent="0.25">
      <c r="A426" s="40"/>
      <c r="B426" s="40"/>
      <c r="C426" s="473" t="s">
        <v>340</v>
      </c>
      <c r="D426" s="562" t="s">
        <v>505</v>
      </c>
      <c r="E426" s="105"/>
      <c r="F426" s="106"/>
      <c r="G426" s="17">
        <f>'HH WITH COM #1 '!$W$593</f>
        <v>0</v>
      </c>
      <c r="H426" s="17">
        <f>'HH WITH COM #1 '!$X$593</f>
        <v>1</v>
      </c>
      <c r="I426" s="539">
        <f t="shared" ref="I426:I429" si="1033">SUM(G426:H426)</f>
        <v>1</v>
      </c>
      <c r="J426" s="197">
        <f t="shared" ref="J426:J429" si="1034">IF(I$430=0,0,I426/I$430)</f>
        <v>3.8461538461538464E-2</v>
      </c>
      <c r="K426" s="17">
        <f>'HH WITH COM #2'!$W$593</f>
        <v>0</v>
      </c>
      <c r="L426" s="17">
        <f>'HH WITH COM #2'!$X$593</f>
        <v>0</v>
      </c>
      <c r="M426" s="539">
        <f t="shared" ref="M426:M429" si="1035">SUM(K426:L426)</f>
        <v>0</v>
      </c>
      <c r="N426" s="197">
        <f t="shared" ref="N426:N429" si="1036">IF(M$430=0,0,M426/M$430)</f>
        <v>0</v>
      </c>
      <c r="O426" s="17">
        <f>'HH WITH COM #3'!$W$593</f>
        <v>0</v>
      </c>
      <c r="P426" s="17">
        <f>'HH WITH COM #3'!$X$593</f>
        <v>0</v>
      </c>
      <c r="Q426" s="539">
        <f t="shared" ref="Q426:Q429" si="1037">SUM(O426:P426)</f>
        <v>0</v>
      </c>
      <c r="R426" s="197">
        <f t="shared" ref="R426:R429" si="1038">IF(Q$430=0,0,Q426/Q$430)</f>
        <v>0</v>
      </c>
      <c r="S426" s="17">
        <f>'HH WITH COM #4'!$W$593</f>
        <v>0</v>
      </c>
      <c r="T426" s="17">
        <f>'HH WITH COM #4'!$X$593</f>
        <v>0</v>
      </c>
      <c r="U426" s="539">
        <f t="shared" ref="U426:U429" si="1039">SUM(S426:T426)</f>
        <v>0</v>
      </c>
      <c r="V426" s="197">
        <f t="shared" ref="V426:V429" si="1040">IF(U$430=0,0,U426/U$430)</f>
        <v>0</v>
      </c>
      <c r="W426" s="17">
        <f>'HH WITH COM #5'!$W$593</f>
        <v>0</v>
      </c>
      <c r="X426" s="17">
        <f>'HH WITH COM #5'!$X$593</f>
        <v>0</v>
      </c>
      <c r="Y426" s="539">
        <f t="shared" ref="Y426:Y429" si="1041">SUM(W426:X426)</f>
        <v>0</v>
      </c>
      <c r="Z426" s="197">
        <f t="shared" ref="Z426:Z429" si="1042">IF(Y$430=0,0,Y426/Y$430)</f>
        <v>0</v>
      </c>
      <c r="AA426" s="17">
        <f>'HH WITH COM #6'!$W$593</f>
        <v>0</v>
      </c>
      <c r="AB426" s="17">
        <f>'HH WITH COM #6'!$X$593</f>
        <v>0</v>
      </c>
      <c r="AC426" s="539">
        <f t="shared" ref="AC426:AC429" si="1043">SUM(AA426:AB426)</f>
        <v>0</v>
      </c>
      <c r="AD426" s="197">
        <f t="shared" ref="AD426:AD429" si="1044">IF(AC$430=0,0,AC426/AC$430)</f>
        <v>0</v>
      </c>
      <c r="AE426" s="17">
        <f>'HH WITH COM #7'!$W$593</f>
        <v>0</v>
      </c>
      <c r="AF426" s="17">
        <f>'HH WITH COM #7'!$X$593</f>
        <v>0</v>
      </c>
      <c r="AG426" s="539">
        <f t="shared" ref="AG426:AG429" si="1045">SUM(AE426:AF426)</f>
        <v>0</v>
      </c>
      <c r="AH426" s="191">
        <f t="shared" ref="AH426:AH429" si="1046">IF(AG$430=0,0,AG426/AG$430)</f>
        <v>0</v>
      </c>
      <c r="AI426" s="391">
        <f t="shared" si="1031"/>
        <v>0</v>
      </c>
      <c r="AJ426" s="17">
        <f t="shared" si="1032"/>
        <v>1</v>
      </c>
      <c r="AK426" s="539">
        <f t="shared" ref="AK426:AK429" si="1047">SUM(AI426:AJ426)</f>
        <v>1</v>
      </c>
      <c r="AL426" s="197">
        <f t="shared" ref="AL426:AL429" si="1048">IF(AK$430=0,0,AK426/AK$430)</f>
        <v>3.8461538461538464E-2</v>
      </c>
    </row>
    <row r="427" spans="1:67" ht="16.5" customHeight="1" x14ac:dyDescent="0.25">
      <c r="A427" s="40"/>
      <c r="B427" s="40"/>
      <c r="C427" s="473" t="s">
        <v>341</v>
      </c>
      <c r="D427" s="562" t="s">
        <v>506</v>
      </c>
      <c r="E427" s="105"/>
      <c r="F427" s="106"/>
      <c r="G427" s="17">
        <f>'HH WITH COM #1 '!$W$594</f>
        <v>0</v>
      </c>
      <c r="H427" s="17">
        <f>'HH WITH COM #1 '!$X$594</f>
        <v>1</v>
      </c>
      <c r="I427" s="539">
        <f t="shared" si="1033"/>
        <v>1</v>
      </c>
      <c r="J427" s="197">
        <f t="shared" si="1034"/>
        <v>3.8461538461538464E-2</v>
      </c>
      <c r="K427" s="17">
        <f>'HH WITH COM #2'!$W$594</f>
        <v>0</v>
      </c>
      <c r="L427" s="17">
        <f>'HH WITH COM #2'!$X$594</f>
        <v>0</v>
      </c>
      <c r="M427" s="539">
        <f t="shared" si="1035"/>
        <v>0</v>
      </c>
      <c r="N427" s="197">
        <f t="shared" si="1036"/>
        <v>0</v>
      </c>
      <c r="O427" s="17">
        <f>'HH WITH COM #3'!$W$594</f>
        <v>0</v>
      </c>
      <c r="P427" s="17">
        <f>'HH WITH COM #3'!$X$594</f>
        <v>0</v>
      </c>
      <c r="Q427" s="539">
        <f t="shared" si="1037"/>
        <v>0</v>
      </c>
      <c r="R427" s="197">
        <f t="shared" si="1038"/>
        <v>0</v>
      </c>
      <c r="S427" s="17">
        <f>'HH WITH COM #4'!$W$594</f>
        <v>0</v>
      </c>
      <c r="T427" s="17">
        <f>'HH WITH COM #4'!$X$594</f>
        <v>0</v>
      </c>
      <c r="U427" s="539">
        <f t="shared" si="1039"/>
        <v>0</v>
      </c>
      <c r="V427" s="197">
        <f t="shared" si="1040"/>
        <v>0</v>
      </c>
      <c r="W427" s="17">
        <f>'HH WITH COM #5'!$W$594</f>
        <v>0</v>
      </c>
      <c r="X427" s="17">
        <f>'HH WITH COM #5'!$X$594</f>
        <v>0</v>
      </c>
      <c r="Y427" s="539">
        <f t="shared" si="1041"/>
        <v>0</v>
      </c>
      <c r="Z427" s="197">
        <f t="shared" si="1042"/>
        <v>0</v>
      </c>
      <c r="AA427" s="17">
        <f>'HH WITH COM #6'!$W$594</f>
        <v>0</v>
      </c>
      <c r="AB427" s="17">
        <f>'HH WITH COM #6'!$X$594</f>
        <v>0</v>
      </c>
      <c r="AC427" s="539">
        <f t="shared" si="1043"/>
        <v>0</v>
      </c>
      <c r="AD427" s="197">
        <f t="shared" si="1044"/>
        <v>0</v>
      </c>
      <c r="AE427" s="17">
        <f>'HH WITH COM #7'!$W$594</f>
        <v>0</v>
      </c>
      <c r="AF427" s="17">
        <f>'HH WITH COM #7'!$X$594</f>
        <v>0</v>
      </c>
      <c r="AG427" s="539">
        <f t="shared" si="1045"/>
        <v>0</v>
      </c>
      <c r="AH427" s="191">
        <f t="shared" si="1046"/>
        <v>0</v>
      </c>
      <c r="AI427" s="391">
        <f t="shared" si="1031"/>
        <v>0</v>
      </c>
      <c r="AJ427" s="17">
        <f t="shared" si="1032"/>
        <v>1</v>
      </c>
      <c r="AK427" s="539">
        <f t="shared" si="1047"/>
        <v>1</v>
      </c>
      <c r="AL427" s="197">
        <f t="shared" si="1048"/>
        <v>3.8461538461538464E-2</v>
      </c>
    </row>
    <row r="428" spans="1:67" ht="16.5" customHeight="1" x14ac:dyDescent="0.25">
      <c r="A428" s="40"/>
      <c r="B428" s="40"/>
      <c r="C428" s="473" t="s">
        <v>342</v>
      </c>
      <c r="D428" s="562" t="s">
        <v>129</v>
      </c>
      <c r="E428" s="105"/>
      <c r="F428" s="106"/>
      <c r="G428" s="17">
        <f>'HH WITH COM #1 '!$W$595</f>
        <v>0</v>
      </c>
      <c r="H428" s="17">
        <f>'HH WITH COM #1 '!$X$595</f>
        <v>0</v>
      </c>
      <c r="I428" s="539">
        <f t="shared" si="1033"/>
        <v>0</v>
      </c>
      <c r="J428" s="197">
        <f t="shared" si="1034"/>
        <v>0</v>
      </c>
      <c r="K428" s="17">
        <f>'HH WITH COM #2'!$W$595</f>
        <v>0</v>
      </c>
      <c r="L428" s="17">
        <f>'HH WITH COM #2'!$X$595</f>
        <v>0</v>
      </c>
      <c r="M428" s="539">
        <f t="shared" si="1035"/>
        <v>0</v>
      </c>
      <c r="N428" s="197">
        <f t="shared" si="1036"/>
        <v>0</v>
      </c>
      <c r="O428" s="17">
        <f>'HH WITH COM #3'!$W$595</f>
        <v>0</v>
      </c>
      <c r="P428" s="17">
        <f>'HH WITH COM #3'!$X$595</f>
        <v>0</v>
      </c>
      <c r="Q428" s="539">
        <f t="shared" si="1037"/>
        <v>0</v>
      </c>
      <c r="R428" s="197">
        <f t="shared" si="1038"/>
        <v>0</v>
      </c>
      <c r="S428" s="17">
        <f>'HH WITH COM #4'!$W$595</f>
        <v>0</v>
      </c>
      <c r="T428" s="17">
        <f>'HH WITH COM #4'!$X$595</f>
        <v>0</v>
      </c>
      <c r="U428" s="539">
        <f t="shared" si="1039"/>
        <v>0</v>
      </c>
      <c r="V428" s="197">
        <f t="shared" si="1040"/>
        <v>0</v>
      </c>
      <c r="W428" s="17">
        <f>'HH WITH COM #5'!$W$595</f>
        <v>0</v>
      </c>
      <c r="X428" s="17">
        <f>'HH WITH COM #5'!$X$595</f>
        <v>0</v>
      </c>
      <c r="Y428" s="539">
        <f t="shared" si="1041"/>
        <v>0</v>
      </c>
      <c r="Z428" s="197">
        <f t="shared" si="1042"/>
        <v>0</v>
      </c>
      <c r="AA428" s="17">
        <f>'HH WITH COM #6'!$W$595</f>
        <v>0</v>
      </c>
      <c r="AB428" s="17">
        <f>'HH WITH COM #6'!$X$595</f>
        <v>0</v>
      </c>
      <c r="AC428" s="539">
        <f t="shared" si="1043"/>
        <v>0</v>
      </c>
      <c r="AD428" s="197">
        <f t="shared" si="1044"/>
        <v>0</v>
      </c>
      <c r="AE428" s="17">
        <f>'HH WITH COM #7'!$W$595</f>
        <v>0</v>
      </c>
      <c r="AF428" s="17">
        <f>'HH WITH COM #7'!$X$595</f>
        <v>0</v>
      </c>
      <c r="AG428" s="539">
        <f t="shared" si="1045"/>
        <v>0</v>
      </c>
      <c r="AH428" s="191">
        <f t="shared" si="1046"/>
        <v>0</v>
      </c>
      <c r="AI428" s="391">
        <f t="shared" si="1031"/>
        <v>0</v>
      </c>
      <c r="AJ428" s="17">
        <f t="shared" si="1032"/>
        <v>0</v>
      </c>
      <c r="AK428" s="539">
        <f t="shared" si="1047"/>
        <v>0</v>
      </c>
      <c r="AL428" s="197">
        <f t="shared" si="1048"/>
        <v>0</v>
      </c>
    </row>
    <row r="429" spans="1:67" ht="16.5" customHeight="1" x14ac:dyDescent="0.25">
      <c r="A429" s="40"/>
      <c r="B429" s="40"/>
      <c r="C429" s="473" t="s">
        <v>553</v>
      </c>
      <c r="D429" s="562" t="s">
        <v>530</v>
      </c>
      <c r="E429" s="105"/>
      <c r="F429" s="106"/>
      <c r="G429" s="17">
        <f>'HH WITH COM #1 '!$W$596</f>
        <v>0</v>
      </c>
      <c r="H429" s="17">
        <f>'HH WITH COM #1 '!$X$596</f>
        <v>0</v>
      </c>
      <c r="I429" s="539">
        <f t="shared" si="1033"/>
        <v>0</v>
      </c>
      <c r="J429" s="197">
        <f t="shared" si="1034"/>
        <v>0</v>
      </c>
      <c r="K429" s="17">
        <f>'HH WITH COM #2'!$W$596</f>
        <v>0</v>
      </c>
      <c r="L429" s="17">
        <f>'HH WITH COM #2'!$X$596</f>
        <v>0</v>
      </c>
      <c r="M429" s="539">
        <f t="shared" si="1035"/>
        <v>0</v>
      </c>
      <c r="N429" s="197">
        <f t="shared" si="1036"/>
        <v>0</v>
      </c>
      <c r="O429" s="17">
        <f>'HH WITH COM #3'!$W$596</f>
        <v>0</v>
      </c>
      <c r="P429" s="17">
        <f>'HH WITH COM #3'!$X$596</f>
        <v>0</v>
      </c>
      <c r="Q429" s="539">
        <f t="shared" si="1037"/>
        <v>0</v>
      </c>
      <c r="R429" s="197">
        <f t="shared" si="1038"/>
        <v>0</v>
      </c>
      <c r="S429" s="17">
        <f>'HH WITH COM #4'!$W$596</f>
        <v>0</v>
      </c>
      <c r="T429" s="17">
        <f>'HH WITH COM #4'!$X$596</f>
        <v>0</v>
      </c>
      <c r="U429" s="539">
        <f t="shared" si="1039"/>
        <v>0</v>
      </c>
      <c r="V429" s="197">
        <f t="shared" si="1040"/>
        <v>0</v>
      </c>
      <c r="W429" s="17">
        <f>'HH WITH COM #5'!$W$596</f>
        <v>0</v>
      </c>
      <c r="X429" s="17">
        <f>'HH WITH COM #5'!$X$596</f>
        <v>0</v>
      </c>
      <c r="Y429" s="539">
        <f t="shared" si="1041"/>
        <v>0</v>
      </c>
      <c r="Z429" s="197">
        <f t="shared" si="1042"/>
        <v>0</v>
      </c>
      <c r="AA429" s="17">
        <f>'HH WITH COM #6'!$W$596</f>
        <v>0</v>
      </c>
      <c r="AB429" s="17">
        <f>'HH WITH COM #6'!$X$596</f>
        <v>0</v>
      </c>
      <c r="AC429" s="539">
        <f t="shared" si="1043"/>
        <v>0</v>
      </c>
      <c r="AD429" s="197">
        <f t="shared" si="1044"/>
        <v>0</v>
      </c>
      <c r="AE429" s="17">
        <f>'HH WITH COM #7'!$W$596</f>
        <v>0</v>
      </c>
      <c r="AF429" s="17">
        <f>'HH WITH COM #7'!$X$596</f>
        <v>0</v>
      </c>
      <c r="AG429" s="539">
        <f t="shared" si="1045"/>
        <v>0</v>
      </c>
      <c r="AH429" s="191">
        <f t="shared" si="1046"/>
        <v>0</v>
      </c>
      <c r="AI429" s="391">
        <f t="shared" si="1031"/>
        <v>0</v>
      </c>
      <c r="AJ429" s="17">
        <f t="shared" si="1032"/>
        <v>0</v>
      </c>
      <c r="AK429" s="539">
        <f t="shared" si="1047"/>
        <v>0</v>
      </c>
      <c r="AL429" s="197">
        <f t="shared" si="1048"/>
        <v>0</v>
      </c>
    </row>
    <row r="430" spans="1:67" ht="16.5" customHeight="1" x14ac:dyDescent="0.25">
      <c r="A430" s="40"/>
      <c r="B430" s="40"/>
      <c r="C430" s="40"/>
      <c r="D430" s="134"/>
      <c r="E430" s="184"/>
      <c r="F430" s="469"/>
      <c r="G430" s="82">
        <f>SUM(G425:G429)</f>
        <v>1</v>
      </c>
      <c r="H430" s="82">
        <f>SUM(H425:H429)</f>
        <v>25</v>
      </c>
      <c r="I430" s="82">
        <f>SUM(I425:I429)</f>
        <v>26</v>
      </c>
      <c r="J430" s="500">
        <f>IF(I$430=0,0,I430/I$430)</f>
        <v>1</v>
      </c>
      <c r="K430" s="82">
        <f>SUM(K425:K429)</f>
        <v>0</v>
      </c>
      <c r="L430" s="82">
        <f>SUM(L425:L429)</f>
        <v>0</v>
      </c>
      <c r="M430" s="82">
        <f>SUM(M425:M429)</f>
        <v>0</v>
      </c>
      <c r="N430" s="500">
        <f>IF(M$430=0,0,M430/M$430)</f>
        <v>0</v>
      </c>
      <c r="O430" s="82">
        <f>SUM(O425:O429)</f>
        <v>0</v>
      </c>
      <c r="P430" s="82">
        <f>SUM(P425:P429)</f>
        <v>0</v>
      </c>
      <c r="Q430" s="82">
        <f>SUM(Q425:Q429)</f>
        <v>0</v>
      </c>
      <c r="R430" s="500">
        <f>IF(Q$430=0,0,Q430/Q$430)</f>
        <v>0</v>
      </c>
      <c r="S430" s="82">
        <f>SUM(S425:S429)</f>
        <v>0</v>
      </c>
      <c r="T430" s="82">
        <f>SUM(T425:T429)</f>
        <v>0</v>
      </c>
      <c r="U430" s="82">
        <f>SUM(U425:U429)</f>
        <v>0</v>
      </c>
      <c r="V430" s="500">
        <f>IF(U$430=0,0,U430/U$430)</f>
        <v>0</v>
      </c>
      <c r="W430" s="82">
        <f>SUM(W425:W429)</f>
        <v>0</v>
      </c>
      <c r="X430" s="82">
        <f>SUM(X425:X429)</f>
        <v>0</v>
      </c>
      <c r="Y430" s="82">
        <f>SUM(Y425:Y429)</f>
        <v>0</v>
      </c>
      <c r="Z430" s="500">
        <f>IF(Y$430=0,0,Y430/Y$430)</f>
        <v>0</v>
      </c>
      <c r="AA430" s="82">
        <f>SUM(AA425:AA429)</f>
        <v>0</v>
      </c>
      <c r="AB430" s="82">
        <f>SUM(AB425:AB429)</f>
        <v>0</v>
      </c>
      <c r="AC430" s="82">
        <f>SUM(AC425:AC429)</f>
        <v>0</v>
      </c>
      <c r="AD430" s="500">
        <f>IF(AC$430=0,0,AC430/AC$430)</f>
        <v>0</v>
      </c>
      <c r="AE430" s="82">
        <f>SUM(AE425:AE429)</f>
        <v>0</v>
      </c>
      <c r="AF430" s="82">
        <f>SUM(AF425:AF429)</f>
        <v>0</v>
      </c>
      <c r="AG430" s="82">
        <f>SUM(AG425:AG429)</f>
        <v>0</v>
      </c>
      <c r="AH430" s="614">
        <f>IF(AG$430=0,0,AG430/AG$430)</f>
        <v>0</v>
      </c>
      <c r="AI430" s="381">
        <f>SUM(AI425:AI429)</f>
        <v>1</v>
      </c>
      <c r="AJ430" s="82">
        <f>SUM(AJ425:AJ429)</f>
        <v>25</v>
      </c>
      <c r="AK430" s="82">
        <f>SUM(AK425:AK429)</f>
        <v>26</v>
      </c>
      <c r="AL430" s="500">
        <f>IF(AK$430=0,0,AK430/AK$430)</f>
        <v>1</v>
      </c>
    </row>
    <row r="431" spans="1:67" s="117" customFormat="1" ht="16.5" customHeight="1" x14ac:dyDescent="0.25">
      <c r="A431" s="119"/>
      <c r="B431" s="41" t="s">
        <v>343</v>
      </c>
      <c r="C431" s="476" t="s">
        <v>881</v>
      </c>
      <c r="D431" s="477"/>
      <c r="E431" s="478"/>
      <c r="F431" s="478"/>
      <c r="G431" s="71"/>
      <c r="H431" s="71"/>
      <c r="I431" s="71"/>
      <c r="J431" s="71"/>
      <c r="K431" s="71"/>
      <c r="L431" s="71"/>
      <c r="M431" s="71"/>
      <c r="N431" s="71"/>
      <c r="O431" s="71"/>
      <c r="P431" s="71"/>
      <c r="Q431" s="71"/>
      <c r="R431" s="71"/>
      <c r="S431" s="71"/>
      <c r="T431" s="71"/>
      <c r="U431" s="71"/>
      <c r="V431" s="71"/>
      <c r="W431" s="71"/>
      <c r="X431" s="71"/>
      <c r="Y431" s="71"/>
      <c r="Z431" s="71"/>
      <c r="AA431" s="71"/>
      <c r="AB431" s="71"/>
      <c r="AC431" s="71"/>
      <c r="AD431" s="71"/>
      <c r="AE431" s="71"/>
      <c r="AF431" s="71"/>
      <c r="AG431" s="71"/>
      <c r="AH431" s="355"/>
      <c r="AI431" s="377"/>
      <c r="AJ431" s="71"/>
      <c r="AK431" s="71"/>
      <c r="AL431" s="71"/>
      <c r="AN431" s="213"/>
      <c r="AO431" s="213"/>
      <c r="AP431" s="213"/>
      <c r="BA431" s="117" t="s">
        <v>891</v>
      </c>
      <c r="BI431" s="117" t="s">
        <v>611</v>
      </c>
    </row>
    <row r="432" spans="1:67" ht="16.5" customHeight="1" x14ac:dyDescent="0.25">
      <c r="A432" s="40"/>
      <c r="B432" s="40"/>
      <c r="C432" s="473" t="s">
        <v>344</v>
      </c>
      <c r="D432" s="484" t="s">
        <v>173</v>
      </c>
      <c r="E432" s="105"/>
      <c r="F432" s="106"/>
      <c r="G432" s="17">
        <f>'HH WITH COM #1 '!$AT$600</f>
        <v>0</v>
      </c>
      <c r="H432" s="17">
        <f>'HH WITH COM #1 '!$AZ$600</f>
        <v>2</v>
      </c>
      <c r="I432" s="539">
        <f>SUM(G432:H432)</f>
        <v>2</v>
      </c>
      <c r="J432" s="91">
        <f>IF(I$255=0,0,I432/I$255)</f>
        <v>0.125</v>
      </c>
      <c r="K432" s="17">
        <f>'HH WITH COM #2'!$AT$600</f>
        <v>0</v>
      </c>
      <c r="L432" s="17">
        <f>'HH WITH COM #2'!$AZ$600</f>
        <v>0</v>
      </c>
      <c r="M432" s="539">
        <f>SUM(K432:L432)</f>
        <v>0</v>
      </c>
      <c r="N432" s="91">
        <f>IF(M$255=0,0,M432/M$255)</f>
        <v>0</v>
      </c>
      <c r="O432" s="17">
        <f>'HH WITH COM #3'!$AT$600</f>
        <v>0</v>
      </c>
      <c r="P432" s="17">
        <f>'HH WITH COM #3'!$AZ$600</f>
        <v>0</v>
      </c>
      <c r="Q432" s="539">
        <f>SUM(O432:P432)</f>
        <v>0</v>
      </c>
      <c r="R432" s="91">
        <f>IF(Q$255=0,0,Q432/Q$255)</f>
        <v>0</v>
      </c>
      <c r="S432" s="17">
        <f>'HH WITH COM #4'!$AT$600</f>
        <v>0</v>
      </c>
      <c r="T432" s="17">
        <f>'HH WITH COM #4'!$AZ$600</f>
        <v>0</v>
      </c>
      <c r="U432" s="539">
        <f>SUM(S432:T432)</f>
        <v>0</v>
      </c>
      <c r="V432" s="91">
        <f>IF(U$255=0,0,U432/U$255)</f>
        <v>0</v>
      </c>
      <c r="W432" s="17">
        <f>'HH WITH COM #5'!$AT$600</f>
        <v>0</v>
      </c>
      <c r="X432" s="17">
        <f>'HH WITH COM #5'!$AZ$600</f>
        <v>0</v>
      </c>
      <c r="Y432" s="539">
        <f>SUM(W432:X432)</f>
        <v>0</v>
      </c>
      <c r="Z432" s="91">
        <f>IF(Y$255=0,0,Y432/Y$255)</f>
        <v>0</v>
      </c>
      <c r="AA432" s="17">
        <f>'HH WITH COM #6'!$AT$600</f>
        <v>0</v>
      </c>
      <c r="AB432" s="17">
        <f>'HH WITH COM #6'!$AZ$600</f>
        <v>0</v>
      </c>
      <c r="AC432" s="539">
        <f>SUM(AA432:AB432)</f>
        <v>0</v>
      </c>
      <c r="AD432" s="91">
        <f>IF(AC$255=0,0,AC432/AC$255)</f>
        <v>0</v>
      </c>
      <c r="AE432" s="17">
        <f>'HH WITH COM #7'!$AT$600</f>
        <v>0</v>
      </c>
      <c r="AF432" s="17">
        <f>'HH WITH COM #7'!$AZ$600</f>
        <v>0</v>
      </c>
      <c r="AG432" s="539">
        <f>SUM(AE432:AF432)</f>
        <v>0</v>
      </c>
      <c r="AH432" s="373">
        <f>IF(AG$255=0,0,AG432/AG$255)</f>
        <v>0</v>
      </c>
      <c r="AI432" s="391">
        <f t="shared" ref="AI432:AJ433" si="1049">G432+K432+O432+S432+W432+AA432+AE432</f>
        <v>0</v>
      </c>
      <c r="AJ432" s="17">
        <f t="shared" si="1049"/>
        <v>2</v>
      </c>
      <c r="AK432" s="927">
        <f t="shared" ref="AK432:AK433" si="1050">SUM(AI432:AJ432)</f>
        <v>2</v>
      </c>
      <c r="AL432" s="91">
        <f t="shared" ref="AL432:AL438" si="1051">IF(AK$439=0,0,AK432/AK$439)</f>
        <v>7.6923076923076927E-2</v>
      </c>
      <c r="AN432" s="2"/>
      <c r="AO432" s="2"/>
      <c r="AP432" s="2"/>
      <c r="BA432" s="2" t="s">
        <v>1068</v>
      </c>
      <c r="BB432" s="2" t="s">
        <v>1069</v>
      </c>
      <c r="BC432" s="2" t="s">
        <v>1070</v>
      </c>
      <c r="BD432" s="2" t="s">
        <v>1071</v>
      </c>
      <c r="BE432" s="2" t="s">
        <v>1072</v>
      </c>
      <c r="BF432" s="2" t="s">
        <v>1073</v>
      </c>
      <c r="BG432" s="2" t="s">
        <v>1074</v>
      </c>
      <c r="BI432" s="2" t="s">
        <v>1068</v>
      </c>
      <c r="BJ432" s="2" t="s">
        <v>1069</v>
      </c>
      <c r="BK432" s="2" t="s">
        <v>1070</v>
      </c>
      <c r="BL432" s="2" t="s">
        <v>1071</v>
      </c>
      <c r="BM432" s="2" t="s">
        <v>1072</v>
      </c>
      <c r="BN432" s="2" t="s">
        <v>1073</v>
      </c>
      <c r="BO432" s="2" t="s">
        <v>1074</v>
      </c>
    </row>
    <row r="433" spans="1:70" ht="16.5" customHeight="1" x14ac:dyDescent="0.25">
      <c r="A433" s="40"/>
      <c r="B433" s="40"/>
      <c r="C433" s="473" t="s">
        <v>345</v>
      </c>
      <c r="D433" s="484" t="s">
        <v>544</v>
      </c>
      <c r="E433" s="105"/>
      <c r="F433" s="106"/>
      <c r="G433" s="17">
        <f>'HH WITH COM #1 '!$AT$601</f>
        <v>1</v>
      </c>
      <c r="H433" s="17">
        <f>'HH WITH COM #1 '!$AZ$601</f>
        <v>19</v>
      </c>
      <c r="I433" s="539">
        <f>SUM(G433:H433)</f>
        <v>20</v>
      </c>
      <c r="J433" s="91">
        <f t="shared" ref="J433:J439" si="1052">IF(I$255=0,0,I433/I$255)</f>
        <v>1.25</v>
      </c>
      <c r="K433" s="17">
        <f>'HH WITH COM #2'!$AT$601</f>
        <v>0</v>
      </c>
      <c r="L433" s="17">
        <f>'HH WITH COM #2'!$AZ$601</f>
        <v>0</v>
      </c>
      <c r="M433" s="539">
        <f>SUM(K433:L433)</f>
        <v>0</v>
      </c>
      <c r="N433" s="91">
        <f t="shared" ref="N433:N439" si="1053">IF(M$255=0,0,M433/M$255)</f>
        <v>0</v>
      </c>
      <c r="O433" s="17">
        <f>'HH WITH COM #3'!$AT$601</f>
        <v>0</v>
      </c>
      <c r="P433" s="17">
        <f>'HH WITH COM #3'!$AZ$601</f>
        <v>0</v>
      </c>
      <c r="Q433" s="539">
        <f>SUM(O433:P433)</f>
        <v>0</v>
      </c>
      <c r="R433" s="91">
        <f t="shared" ref="R433:R439" si="1054">IF(Q$255=0,0,Q433/Q$255)</f>
        <v>0</v>
      </c>
      <c r="S433" s="17">
        <f>'HH WITH COM #4'!$AT$601</f>
        <v>0</v>
      </c>
      <c r="T433" s="17">
        <f>'HH WITH COM #4'!$AZ$601</f>
        <v>0</v>
      </c>
      <c r="U433" s="539">
        <f>SUM(S433:T433)</f>
        <v>0</v>
      </c>
      <c r="V433" s="91">
        <f t="shared" ref="V433:V439" si="1055">IF(U$255=0,0,U433/U$255)</f>
        <v>0</v>
      </c>
      <c r="W433" s="17">
        <f>'HH WITH COM #5'!$AT$601</f>
        <v>0</v>
      </c>
      <c r="X433" s="17">
        <f>'HH WITH COM #5'!$AZ$601</f>
        <v>0</v>
      </c>
      <c r="Y433" s="539">
        <f>SUM(W433:X433)</f>
        <v>0</v>
      </c>
      <c r="Z433" s="91">
        <f t="shared" ref="Z433:Z439" si="1056">IF(Y$255=0,0,Y433/Y$255)</f>
        <v>0</v>
      </c>
      <c r="AA433" s="17">
        <f>'HH WITH COM #6'!$AT$601</f>
        <v>0</v>
      </c>
      <c r="AB433" s="17">
        <f>'HH WITH COM #6'!$AZ$601</f>
        <v>0</v>
      </c>
      <c r="AC433" s="539">
        <f>SUM(AA433:AB433)</f>
        <v>0</v>
      </c>
      <c r="AD433" s="91">
        <f t="shared" ref="AD433:AD439" si="1057">IF(AC$255=0,0,AC433/AC$255)</f>
        <v>0</v>
      </c>
      <c r="AE433" s="17">
        <f>'HH WITH COM #7'!$AT$601</f>
        <v>0</v>
      </c>
      <c r="AF433" s="17">
        <f>'HH WITH COM #7'!$AZ$601</f>
        <v>0</v>
      </c>
      <c r="AG433" s="539">
        <f>SUM(AE433:AF433)</f>
        <v>0</v>
      </c>
      <c r="AH433" s="373">
        <f t="shared" ref="AH433:AH439" si="1058">IF(AG$255=0,0,AG433/AG$255)</f>
        <v>0</v>
      </c>
      <c r="AI433" s="391">
        <f t="shared" si="1049"/>
        <v>1</v>
      </c>
      <c r="AJ433" s="17">
        <f t="shared" si="1049"/>
        <v>19</v>
      </c>
      <c r="AK433" s="927">
        <f t="shared" si="1050"/>
        <v>20</v>
      </c>
      <c r="AL433" s="91">
        <f t="shared" si="1051"/>
        <v>0.76923076923076927</v>
      </c>
      <c r="AN433" s="2"/>
      <c r="AO433" s="2"/>
      <c r="AP433" s="2"/>
    </row>
    <row r="434" spans="1:70" ht="16.5" customHeight="1" x14ac:dyDescent="0.25">
      <c r="A434" s="40"/>
      <c r="B434" s="40"/>
      <c r="C434" s="473" t="s">
        <v>346</v>
      </c>
      <c r="D434" s="498" t="s">
        <v>484</v>
      </c>
      <c r="E434" s="75"/>
      <c r="F434" s="76"/>
      <c r="G434" s="17">
        <f>ROUND(('HH WITH COM #1 '!$W$602)/10000,0)*10000</f>
        <v>10000</v>
      </c>
      <c r="H434" s="17">
        <f>ROUND(('HH WITH COM #1 '!$X$602)/10000,0)*10000</f>
        <v>0</v>
      </c>
      <c r="I434" s="539">
        <f>ROUND(('HH WITH COM #1 '!$Y$602)/10000,0)*10000</f>
        <v>0</v>
      </c>
      <c r="J434" s="91"/>
      <c r="K434" s="17">
        <f>ROUND(('HH WITH COM #2'!$AQ$602)/10000,0)*10000</f>
        <v>0</v>
      </c>
      <c r="L434" s="17">
        <f>ROUND(('HH WITH COM #2'!$AW$602)/10000,0)*10000</f>
        <v>0</v>
      </c>
      <c r="M434" s="539">
        <f>ROUND(('HH WITH COM #2'!$AA$602)/10000,0)*10000</f>
        <v>0</v>
      </c>
      <c r="N434" s="91"/>
      <c r="O434" s="17">
        <f>ROUND(('HH WITH COM #3'!$AQ$602)/10000,0)*10000</f>
        <v>0</v>
      </c>
      <c r="P434" s="17">
        <f>ROUND(('HH WITH COM #3'!$AW$602)/10000,0)*10000</f>
        <v>0</v>
      </c>
      <c r="Q434" s="539">
        <f>ROUND(('HH WITH COM #3'!$AA$602)/10000,0)*10000</f>
        <v>0</v>
      </c>
      <c r="R434" s="91"/>
      <c r="S434" s="17">
        <f>ROUND(('HH WITH COM #4'!$AQ$602)/10000,0)*10000</f>
        <v>0</v>
      </c>
      <c r="T434" s="17">
        <f>ROUND(('HH WITH COM #4'!$AW$602)/10000,0)*10000</f>
        <v>0</v>
      </c>
      <c r="U434" s="539">
        <f>ROUND(('HH WITH COM #4'!$AA$602)/10000,0)*10000</f>
        <v>0</v>
      </c>
      <c r="V434" s="91"/>
      <c r="W434" s="17">
        <f>ROUND(('HH WITH COM #5'!$AQ$602)/10000,0)*10000</f>
        <v>0</v>
      </c>
      <c r="X434" s="17">
        <f>ROUND(('HH WITH COM #5'!$AW$602)/10000,0)*10000</f>
        <v>0</v>
      </c>
      <c r="Y434" s="539">
        <f>ROUND(('HH WITH COM #5'!$AA$602)/10000,0)*10000</f>
        <v>0</v>
      </c>
      <c r="Z434" s="91"/>
      <c r="AA434" s="17">
        <f>ROUND(('HH WITH COM #6'!$AQ$602)/10000,0)*10000</f>
        <v>0</v>
      </c>
      <c r="AB434" s="17">
        <f>ROUND(('HH WITH COM #6'!$AW$602)/10000,0)*10000</f>
        <v>0</v>
      </c>
      <c r="AC434" s="539">
        <f>ROUND(('HH WITH COM #6'!$AA$602)/10000,0)*10000</f>
        <v>0</v>
      </c>
      <c r="AD434" s="91"/>
      <c r="AE434" s="17">
        <f>ROUND(('HH WITH COM #7'!$AQ$602)/10000,0)*10000</f>
        <v>0</v>
      </c>
      <c r="AF434" s="17">
        <f>ROUND(('HH WITH COM #7'!$AW$602)/10000,0)*10000</f>
        <v>0</v>
      </c>
      <c r="AG434" s="539">
        <f>ROUND(('HH WITH COM #7'!$AA$602)/10000,0)*10000</f>
        <v>0</v>
      </c>
      <c r="AH434" s="373"/>
      <c r="AI434" s="391">
        <f>ROUND((AN434)/5000,0)*5000</f>
        <v>10000</v>
      </c>
      <c r="AJ434" s="17">
        <f t="shared" ref="AJ434:AJ436" si="1059">ROUND((AO434)/5000,0)*5000</f>
        <v>0</v>
      </c>
      <c r="AK434" s="17">
        <f t="shared" ref="AK434:AK436" si="1060">ROUND((AP434)/5000,0)*5000</f>
        <v>0</v>
      </c>
      <c r="AL434" s="91"/>
      <c r="AM434" s="4"/>
      <c r="AN434" s="987">
        <v>10000</v>
      </c>
      <c r="AO434" s="987">
        <v>0</v>
      </c>
      <c r="AP434" s="987">
        <v>0</v>
      </c>
    </row>
    <row r="435" spans="1:70" ht="16.5" customHeight="1" x14ac:dyDescent="0.25">
      <c r="A435" s="40"/>
      <c r="B435" s="40"/>
      <c r="C435" s="473" t="s">
        <v>347</v>
      </c>
      <c r="D435" s="498" t="s">
        <v>485</v>
      </c>
      <c r="E435" s="75"/>
      <c r="F435" s="76"/>
      <c r="G435" s="17">
        <f>ROUND(('HH WITH COM #1 '!$W$603)/10000,0)*10000</f>
        <v>10000</v>
      </c>
      <c r="H435" s="17">
        <f>ROUND(('HH WITH COM #1 '!$X$603)/10000,0)*10000</f>
        <v>100000</v>
      </c>
      <c r="I435" s="539">
        <f>ROUND(('HH WITH COM #1 '!$Y$603)/10000,0)*10000</f>
        <v>100000</v>
      </c>
      <c r="J435" s="91"/>
      <c r="K435" s="17">
        <f>ROUND(('HH WITH COM #2'!$AR$603)/10000,0)*10000</f>
        <v>0</v>
      </c>
      <c r="L435" s="17">
        <f>ROUND(('HH WITH COM #2'!$AX$603)/10000,0)*10000</f>
        <v>0</v>
      </c>
      <c r="M435" s="539">
        <f>ROUND(('HH WITH COM #2'!$AB$603)/10000,0)*10000</f>
        <v>0</v>
      </c>
      <c r="N435" s="91"/>
      <c r="O435" s="17">
        <f>ROUND(('HH WITH COM #3'!$AR$603)/10000,0)*10000</f>
        <v>0</v>
      </c>
      <c r="P435" s="17">
        <f>ROUND(('HH WITH COM #3'!$AX$603)/10000,0)*10000</f>
        <v>0</v>
      </c>
      <c r="Q435" s="539">
        <f>ROUND(('HH WITH COM #3'!$AB$603)/10000,0)*10000</f>
        <v>0</v>
      </c>
      <c r="R435" s="91"/>
      <c r="S435" s="17">
        <f>ROUND(('HH WITH COM #4'!$AR$603)/10000,0)*10000</f>
        <v>0</v>
      </c>
      <c r="T435" s="17">
        <f>ROUND(('HH WITH COM #4'!$AX$603)/10000,0)*10000</f>
        <v>0</v>
      </c>
      <c r="U435" s="539">
        <f>ROUND(('HH WITH COM #4'!$AB$603)/10000,0)*10000</f>
        <v>0</v>
      </c>
      <c r="V435" s="91"/>
      <c r="W435" s="17">
        <f>ROUND(('HH WITH COM #5'!$AR$603)/10000,0)*10000</f>
        <v>0</v>
      </c>
      <c r="X435" s="17">
        <f>ROUND(('HH WITH COM #5'!$AX$603)/10000,0)*10000</f>
        <v>0</v>
      </c>
      <c r="Y435" s="539">
        <f>ROUND(('HH WITH COM #5'!$AB$603)/10000,0)*10000</f>
        <v>0</v>
      </c>
      <c r="Z435" s="91"/>
      <c r="AA435" s="17">
        <f>ROUND(('HH WITH COM #6'!$AR$603)/10000,0)*10000</f>
        <v>0</v>
      </c>
      <c r="AB435" s="17">
        <f>ROUND(('HH WITH COM #6'!$AX$603)/10000,0)*10000</f>
        <v>0</v>
      </c>
      <c r="AC435" s="539">
        <f>ROUND(('HH WITH COM #6'!$AB$603)/10000,0)*10000</f>
        <v>0</v>
      </c>
      <c r="AD435" s="91"/>
      <c r="AE435" s="17">
        <f>ROUND(('HH WITH COM #7'!$AR$603)/10000,0)*10000</f>
        <v>0</v>
      </c>
      <c r="AF435" s="17">
        <f>ROUND(('HH WITH COM #7'!$AX$603)/10000,0)*10000</f>
        <v>0</v>
      </c>
      <c r="AG435" s="539">
        <f>ROUND(('HH WITH COM #7'!$AB$603)/10000,0)*10000</f>
        <v>0</v>
      </c>
      <c r="AH435" s="373"/>
      <c r="AI435" s="391">
        <f t="shared" ref="AI435:AI436" si="1061">ROUND((AN435)/5000,0)*5000</f>
        <v>10000</v>
      </c>
      <c r="AJ435" s="17">
        <f t="shared" si="1059"/>
        <v>100000</v>
      </c>
      <c r="AK435" s="17">
        <f t="shared" si="1060"/>
        <v>100000</v>
      </c>
      <c r="AL435" s="91"/>
      <c r="AM435" s="4"/>
      <c r="AN435" s="987">
        <v>10000</v>
      </c>
      <c r="AO435" s="987">
        <v>100000</v>
      </c>
      <c r="AP435" s="987">
        <v>100000</v>
      </c>
    </row>
    <row r="436" spans="1:70" ht="16.5" customHeight="1" x14ac:dyDescent="0.25">
      <c r="A436" s="40"/>
      <c r="B436" s="40"/>
      <c r="C436" s="473" t="s">
        <v>348</v>
      </c>
      <c r="D436" s="498" t="s">
        <v>543</v>
      </c>
      <c r="E436" s="75"/>
      <c r="F436" s="76"/>
      <c r="G436" s="17">
        <f>ROUND(('HH WITH COM #1 '!$W$604)/10000,0)*10000</f>
        <v>10000</v>
      </c>
      <c r="H436" s="17">
        <f>ROUND(('HH WITH COM #1 '!$X$604)/10000,0)*10000</f>
        <v>20000</v>
      </c>
      <c r="I436" s="539">
        <f>ROUND(('HH WITH COM #1 '!$Y$604)/10000,0)*10000</f>
        <v>20000</v>
      </c>
      <c r="J436" s="91"/>
      <c r="K436" s="17">
        <f>ROUND(('HH WITH COM #2'!$AS$604)/10000,0)*10000</f>
        <v>0</v>
      </c>
      <c r="L436" s="17">
        <f>ROUND(('HH WITH COM #2'!$AY$604)/10000,0)*10000</f>
        <v>0</v>
      </c>
      <c r="M436" s="539">
        <f>ROUND(('HH WITH COM #2'!$AC$604)/10000,0)*10000</f>
        <v>0</v>
      </c>
      <c r="N436" s="91"/>
      <c r="O436" s="17">
        <f>ROUND(('HH WITH COM #3'!$AS$604)/10000,0)*10000</f>
        <v>0</v>
      </c>
      <c r="P436" s="17">
        <f>ROUND(('HH WITH COM #3'!$AY$604)/10000,0)*10000</f>
        <v>0</v>
      </c>
      <c r="Q436" s="539">
        <f>ROUND(('HH WITH COM #3'!$AC$604)/10000,0)*10000</f>
        <v>0</v>
      </c>
      <c r="R436" s="91"/>
      <c r="S436" s="17">
        <f>ROUND(('HH WITH COM #4'!$AS$604)/10000,0)*10000</f>
        <v>0</v>
      </c>
      <c r="T436" s="17">
        <f>ROUND(('HH WITH COM #4'!$AY$604)/10000,0)*10000</f>
        <v>0</v>
      </c>
      <c r="U436" s="539">
        <f>ROUND(('HH WITH COM #4'!$AC$604)/10000,0)*10000</f>
        <v>0</v>
      </c>
      <c r="V436" s="91"/>
      <c r="W436" s="17">
        <f>ROUND(('HH WITH COM #5'!$AS$604)/10000,0)*10000</f>
        <v>0</v>
      </c>
      <c r="X436" s="17">
        <f>ROUND(('HH WITH COM #5'!$AY$604)/10000,0)*10000</f>
        <v>0</v>
      </c>
      <c r="Y436" s="539">
        <f>ROUND(('HH WITH COM #5'!$AC$604)/10000,0)*10000</f>
        <v>0</v>
      </c>
      <c r="Z436" s="91"/>
      <c r="AA436" s="17">
        <f>ROUND(('HH WITH COM #6'!$AS$604)/10000,0)*10000</f>
        <v>0</v>
      </c>
      <c r="AB436" s="17">
        <f>ROUND(('HH WITH COM #6'!$AY$604)/10000,0)*10000</f>
        <v>0</v>
      </c>
      <c r="AC436" s="539">
        <f>ROUND(('HH WITH COM #6'!$AC$604)/10000,0)*10000</f>
        <v>0</v>
      </c>
      <c r="AD436" s="91"/>
      <c r="AE436" s="17">
        <f>ROUND(('HH WITH COM #7'!$AS$604)/10000,0)*10000</f>
        <v>0</v>
      </c>
      <c r="AF436" s="17">
        <f>ROUND(('HH WITH COM #7'!$AY$604)/10000,0)*10000</f>
        <v>0</v>
      </c>
      <c r="AG436" s="539">
        <f>ROUND(('HH WITH COM #7'!$AC$604)/10000,0)*10000</f>
        <v>0</v>
      </c>
      <c r="AH436" s="373"/>
      <c r="AI436" s="391">
        <f t="shared" si="1061"/>
        <v>10000</v>
      </c>
      <c r="AJ436" s="17">
        <f t="shared" si="1059"/>
        <v>20000</v>
      </c>
      <c r="AK436" s="17">
        <f t="shared" si="1060"/>
        <v>20000</v>
      </c>
      <c r="AL436" s="91"/>
      <c r="AM436" s="4"/>
      <c r="AN436" s="987">
        <v>10000</v>
      </c>
      <c r="AO436" s="987">
        <v>19642.857142857141</v>
      </c>
      <c r="AP436" s="987">
        <v>19204.545454545456</v>
      </c>
      <c r="AR436" s="3">
        <f>AK436/4050</f>
        <v>4.9382716049382713</v>
      </c>
      <c r="BA436" s="8">
        <f>IF(G436=0,"",G436)</f>
        <v>10000</v>
      </c>
      <c r="BB436" s="8" t="str">
        <f>IF(K436=0,"",K436)</f>
        <v/>
      </c>
      <c r="BC436" s="8" t="str">
        <f>IF(O436=0,"",O436)</f>
        <v/>
      </c>
      <c r="BD436" s="8" t="str">
        <f>IF(S436=0,"",S436)</f>
        <v/>
      </c>
      <c r="BE436" s="8" t="str">
        <f>IF(W436=0,"",W436)</f>
        <v/>
      </c>
      <c r="BF436" s="8" t="str">
        <f>IF(AA436=0,"",AA436)</f>
        <v/>
      </c>
      <c r="BG436" s="8" t="str">
        <f>IF(AE436=0,"",AE436)</f>
        <v/>
      </c>
      <c r="BH436" s="8">
        <f>SUM(BA436:BG436)</f>
        <v>10000</v>
      </c>
      <c r="BI436" s="8">
        <f>IF(H436=0,"",H436)</f>
        <v>20000</v>
      </c>
      <c r="BJ436" s="8" t="str">
        <f>IF(L436=0,"",L436)</f>
        <v/>
      </c>
      <c r="BK436" s="8" t="str">
        <f>IF(P436=0,"",P436)</f>
        <v/>
      </c>
      <c r="BL436" s="8" t="str">
        <f>IF(T436=0,"",T436)</f>
        <v/>
      </c>
      <c r="BM436" s="8" t="str">
        <f>IF(X436=0,"",X436)</f>
        <v/>
      </c>
      <c r="BN436" s="8" t="str">
        <f>IF(AB436=0,"",AB436)</f>
        <v/>
      </c>
      <c r="BO436" s="8" t="str">
        <f>IF(AF436=0,"",AF436)</f>
        <v/>
      </c>
      <c r="BP436" s="8">
        <f>SUM(BI436:BO436)</f>
        <v>20000</v>
      </c>
      <c r="BR436" s="8">
        <f>BH436+BP436</f>
        <v>30000</v>
      </c>
    </row>
    <row r="437" spans="1:70" ht="16.5" customHeight="1" x14ac:dyDescent="0.25">
      <c r="A437" s="40"/>
      <c r="B437" s="40"/>
      <c r="C437" s="473" t="s">
        <v>349</v>
      </c>
      <c r="D437" s="105" t="s">
        <v>129</v>
      </c>
      <c r="E437" s="75"/>
      <c r="F437" s="76"/>
      <c r="G437" s="17">
        <f>'HH WITH COM #1 '!$AT$605</f>
        <v>0</v>
      </c>
      <c r="H437" s="17">
        <f>'HH WITH COM #1 '!$AZ$605</f>
        <v>4</v>
      </c>
      <c r="I437" s="539">
        <f t="shared" ref="I437:I438" si="1062">SUM(G437:H437)</f>
        <v>4</v>
      </c>
      <c r="J437" s="91">
        <f t="shared" si="1052"/>
        <v>0.25</v>
      </c>
      <c r="K437" s="17">
        <f>'HH WITH COM #2'!$AT$605</f>
        <v>0</v>
      </c>
      <c r="L437" s="17">
        <f>'HH WITH COM #2'!$AZ$605</f>
        <v>0</v>
      </c>
      <c r="M437" s="539">
        <f t="shared" ref="M437:M438" si="1063">SUM(K437:L437)</f>
        <v>0</v>
      </c>
      <c r="N437" s="91">
        <f t="shared" si="1053"/>
        <v>0</v>
      </c>
      <c r="O437" s="17">
        <f>'HH WITH COM #3'!$AT$605</f>
        <v>0</v>
      </c>
      <c r="P437" s="17">
        <f>'HH WITH COM #3'!$AZ$605</f>
        <v>0</v>
      </c>
      <c r="Q437" s="539">
        <f t="shared" ref="Q437:Q438" si="1064">SUM(O437:P437)</f>
        <v>0</v>
      </c>
      <c r="R437" s="91">
        <f t="shared" si="1054"/>
        <v>0</v>
      </c>
      <c r="S437" s="17">
        <f>'HH WITH COM #4'!$AT$605</f>
        <v>0</v>
      </c>
      <c r="T437" s="17">
        <f>'HH WITH COM #4'!$AZ$605</f>
        <v>0</v>
      </c>
      <c r="U437" s="539">
        <f t="shared" ref="U437:U438" si="1065">SUM(S437:T437)</f>
        <v>0</v>
      </c>
      <c r="V437" s="91">
        <f t="shared" si="1055"/>
        <v>0</v>
      </c>
      <c r="W437" s="17">
        <f>'HH WITH COM #5'!$AT$605</f>
        <v>0</v>
      </c>
      <c r="X437" s="17">
        <f>'HH WITH COM #5'!$AZ$605</f>
        <v>0</v>
      </c>
      <c r="Y437" s="539">
        <f t="shared" ref="Y437:Y438" si="1066">SUM(W437:X437)</f>
        <v>0</v>
      </c>
      <c r="Z437" s="91">
        <f t="shared" si="1056"/>
        <v>0</v>
      </c>
      <c r="AA437" s="17">
        <f>'HH WITH COM #6'!$AT$605</f>
        <v>0</v>
      </c>
      <c r="AB437" s="17">
        <f>'HH WITH COM #6'!$AZ$605</f>
        <v>0</v>
      </c>
      <c r="AC437" s="539">
        <f t="shared" ref="AC437:AC438" si="1067">SUM(AA437:AB437)</f>
        <v>0</v>
      </c>
      <c r="AD437" s="91">
        <f t="shared" si="1057"/>
        <v>0</v>
      </c>
      <c r="AE437" s="17">
        <f>'HH WITH COM #7'!$AT$605</f>
        <v>0</v>
      </c>
      <c r="AF437" s="17">
        <f>'HH WITH COM #7'!$AZ$605</f>
        <v>0</v>
      </c>
      <c r="AG437" s="539">
        <f t="shared" ref="AG437:AG438" si="1068">SUM(AE437:AF437)</f>
        <v>0</v>
      </c>
      <c r="AH437" s="373">
        <f t="shared" si="1058"/>
        <v>0</v>
      </c>
      <c r="AI437" s="391">
        <f t="shared" ref="AI437:AJ438" si="1069">G437+K437+O437+S437+W437+AA437+AE437</f>
        <v>0</v>
      </c>
      <c r="AJ437" s="17">
        <f t="shared" si="1069"/>
        <v>4</v>
      </c>
      <c r="AK437" s="927">
        <f t="shared" ref="AK437:AK438" si="1070">SUM(AI437:AJ437)</f>
        <v>4</v>
      </c>
      <c r="AL437" s="91">
        <f t="shared" si="1051"/>
        <v>0.15384615384615385</v>
      </c>
      <c r="AN437" s="2"/>
      <c r="AO437" s="2"/>
      <c r="AP437" s="2"/>
    </row>
    <row r="438" spans="1:70" ht="16.5" customHeight="1" x14ac:dyDescent="0.25">
      <c r="A438" s="40"/>
      <c r="B438" s="40"/>
      <c r="C438" s="473" t="s">
        <v>552</v>
      </c>
      <c r="D438" s="105" t="s">
        <v>530</v>
      </c>
      <c r="E438" s="75"/>
      <c r="F438" s="76"/>
      <c r="G438" s="17">
        <f>'HH WITH COM #1 '!$AT$606</f>
        <v>0</v>
      </c>
      <c r="H438" s="17">
        <f>'HH WITH COM #1 '!$AZ$606</f>
        <v>0</v>
      </c>
      <c r="I438" s="539">
        <f t="shared" si="1062"/>
        <v>0</v>
      </c>
      <c r="J438" s="91">
        <f t="shared" si="1052"/>
        <v>0</v>
      </c>
      <c r="K438" s="17">
        <f>'HH WITH COM #2'!$AT$606</f>
        <v>0</v>
      </c>
      <c r="L438" s="17">
        <f>'HH WITH COM #2'!$AZ$606</f>
        <v>0</v>
      </c>
      <c r="M438" s="539">
        <f t="shared" si="1063"/>
        <v>0</v>
      </c>
      <c r="N438" s="91">
        <f t="shared" si="1053"/>
        <v>0</v>
      </c>
      <c r="O438" s="17">
        <f>'HH WITH COM #3'!$AT$606</f>
        <v>0</v>
      </c>
      <c r="P438" s="17">
        <f>'HH WITH COM #3'!$AZ$606</f>
        <v>0</v>
      </c>
      <c r="Q438" s="539">
        <f t="shared" si="1064"/>
        <v>0</v>
      </c>
      <c r="R438" s="91">
        <f t="shared" si="1054"/>
        <v>0</v>
      </c>
      <c r="S438" s="17">
        <f>'HH WITH COM #4'!$AT$606</f>
        <v>0</v>
      </c>
      <c r="T438" s="17">
        <f>'HH WITH COM #4'!$AZ$606</f>
        <v>0</v>
      </c>
      <c r="U438" s="539">
        <f t="shared" si="1065"/>
        <v>0</v>
      </c>
      <c r="V438" s="91">
        <f t="shared" si="1055"/>
        <v>0</v>
      </c>
      <c r="W438" s="17">
        <f>'HH WITH COM #5'!$AT$606</f>
        <v>0</v>
      </c>
      <c r="X438" s="17">
        <f>'HH WITH COM #5'!$AZ$606</f>
        <v>0</v>
      </c>
      <c r="Y438" s="539">
        <f t="shared" si="1066"/>
        <v>0</v>
      </c>
      <c r="Z438" s="91">
        <f t="shared" si="1056"/>
        <v>0</v>
      </c>
      <c r="AA438" s="17">
        <f>'HH WITH COM #6'!$AT$606</f>
        <v>0</v>
      </c>
      <c r="AB438" s="17">
        <f>'HH WITH COM #6'!$AZ$606</f>
        <v>0</v>
      </c>
      <c r="AC438" s="539">
        <f t="shared" si="1067"/>
        <v>0</v>
      </c>
      <c r="AD438" s="91">
        <f t="shared" si="1057"/>
        <v>0</v>
      </c>
      <c r="AE438" s="17">
        <f>'HH WITH COM #7'!$AT$606</f>
        <v>0</v>
      </c>
      <c r="AF438" s="17">
        <f>'HH WITH COM #7'!$AZ$606</f>
        <v>0</v>
      </c>
      <c r="AG438" s="539">
        <f t="shared" si="1068"/>
        <v>0</v>
      </c>
      <c r="AH438" s="373">
        <f t="shared" si="1058"/>
        <v>0</v>
      </c>
      <c r="AI438" s="391">
        <f t="shared" si="1069"/>
        <v>0</v>
      </c>
      <c r="AJ438" s="17">
        <f t="shared" si="1069"/>
        <v>0</v>
      </c>
      <c r="AK438" s="927">
        <f t="shared" si="1070"/>
        <v>0</v>
      </c>
      <c r="AL438" s="91">
        <f t="shared" si="1051"/>
        <v>0</v>
      </c>
      <c r="AN438" s="2"/>
      <c r="AO438" s="2"/>
      <c r="AP438" s="2"/>
    </row>
    <row r="439" spans="1:70" ht="16.5" customHeight="1" x14ac:dyDescent="0.25">
      <c r="A439" s="40"/>
      <c r="B439" s="40"/>
      <c r="C439" s="40"/>
      <c r="D439" s="134"/>
      <c r="E439" s="184"/>
      <c r="F439" s="469"/>
      <c r="G439" s="497">
        <f>G432+G433+G437+G438</f>
        <v>1</v>
      </c>
      <c r="H439" s="497">
        <f t="shared" ref="H439" si="1071">H432+H433+H437+H438</f>
        <v>25</v>
      </c>
      <c r="I439" s="497">
        <f t="shared" ref="I439" si="1072">I432+I433+I437+I438</f>
        <v>26</v>
      </c>
      <c r="J439" s="66">
        <f t="shared" si="1052"/>
        <v>1.625</v>
      </c>
      <c r="K439" s="497">
        <f>K432+K433+K437+K438</f>
        <v>0</v>
      </c>
      <c r="L439" s="497">
        <f t="shared" ref="L439" si="1073">L432+L433+L437+L438</f>
        <v>0</v>
      </c>
      <c r="M439" s="497">
        <f t="shared" ref="M439" si="1074">M432+M433+M437+M438</f>
        <v>0</v>
      </c>
      <c r="N439" s="66">
        <f t="shared" si="1053"/>
        <v>0</v>
      </c>
      <c r="O439" s="497">
        <f>O432+O433+O437+O438</f>
        <v>0</v>
      </c>
      <c r="P439" s="497">
        <f t="shared" ref="P439" si="1075">P432+P433+P437+P438</f>
        <v>0</v>
      </c>
      <c r="Q439" s="497">
        <f t="shared" ref="Q439" si="1076">Q432+Q433+Q437+Q438</f>
        <v>0</v>
      </c>
      <c r="R439" s="66">
        <f t="shared" si="1054"/>
        <v>0</v>
      </c>
      <c r="S439" s="497">
        <f>S432+S433+S437+S438</f>
        <v>0</v>
      </c>
      <c r="T439" s="497">
        <f t="shared" ref="T439" si="1077">T432+T433+T437+T438</f>
        <v>0</v>
      </c>
      <c r="U439" s="497">
        <f t="shared" ref="U439" si="1078">U432+U433+U437+U438</f>
        <v>0</v>
      </c>
      <c r="V439" s="66">
        <f t="shared" si="1055"/>
        <v>0</v>
      </c>
      <c r="W439" s="497">
        <f>W432+W433+W437+W438</f>
        <v>0</v>
      </c>
      <c r="X439" s="497">
        <f t="shared" ref="X439" si="1079">X432+X433+X437+X438</f>
        <v>0</v>
      </c>
      <c r="Y439" s="497">
        <f t="shared" ref="Y439" si="1080">Y432+Y433+Y437+Y438</f>
        <v>0</v>
      </c>
      <c r="Z439" s="66">
        <f t="shared" si="1056"/>
        <v>0</v>
      </c>
      <c r="AA439" s="497">
        <f>AA432+AA433+AA437+AA438</f>
        <v>0</v>
      </c>
      <c r="AB439" s="497">
        <f t="shared" ref="AB439" si="1081">AB432+AB433+AB437+AB438</f>
        <v>0</v>
      </c>
      <c r="AC439" s="497">
        <f t="shared" ref="AC439" si="1082">AC432+AC433+AC437+AC438</f>
        <v>0</v>
      </c>
      <c r="AD439" s="66">
        <f t="shared" si="1057"/>
        <v>0</v>
      </c>
      <c r="AE439" s="497">
        <f>AE432+AE433+AE437+AE438</f>
        <v>0</v>
      </c>
      <c r="AF439" s="497">
        <f t="shared" ref="AF439" si="1083">AF432+AF433+AF437+AF438</f>
        <v>0</v>
      </c>
      <c r="AG439" s="497">
        <f t="shared" ref="AG439" si="1084">AG432+AG433+AG437+AG438</f>
        <v>0</v>
      </c>
      <c r="AH439" s="608">
        <f t="shared" si="1058"/>
        <v>0</v>
      </c>
      <c r="AI439" s="622">
        <f t="shared" ref="AI439" si="1085">AI432+AI433+AI437+AI438</f>
        <v>1</v>
      </c>
      <c r="AJ439" s="497">
        <f t="shared" ref="AJ439" si="1086">AJ432+AJ433+AJ437+AJ438</f>
        <v>25</v>
      </c>
      <c r="AK439" s="497">
        <f t="shared" ref="AK439" si="1087">AK432+AK433+AK437+AK438</f>
        <v>26</v>
      </c>
      <c r="AL439" s="66">
        <f>IF(AK$439=0,0,AK439/AK$439)</f>
        <v>1</v>
      </c>
    </row>
    <row r="440" spans="1:70" s="117" customFormat="1" ht="16.5" customHeight="1" x14ac:dyDescent="0.25">
      <c r="A440" s="119"/>
      <c r="B440" s="41" t="s">
        <v>350</v>
      </c>
      <c r="C440" s="476" t="s">
        <v>882</v>
      </c>
      <c r="D440" s="477"/>
      <c r="E440" s="478"/>
      <c r="F440" s="478"/>
      <c r="G440" s="71"/>
      <c r="H440" s="71"/>
      <c r="I440" s="71"/>
      <c r="J440" s="71"/>
      <c r="K440" s="71"/>
      <c r="L440" s="71"/>
      <c r="M440" s="71"/>
      <c r="N440" s="71"/>
      <c r="O440" s="71"/>
      <c r="P440" s="71"/>
      <c r="Q440" s="71"/>
      <c r="R440" s="71"/>
      <c r="S440" s="71"/>
      <c r="T440" s="71"/>
      <c r="U440" s="71"/>
      <c r="V440" s="71"/>
      <c r="W440" s="71"/>
      <c r="X440" s="71"/>
      <c r="Y440" s="71"/>
      <c r="Z440" s="71"/>
      <c r="AA440" s="71"/>
      <c r="AB440" s="71"/>
      <c r="AC440" s="71"/>
      <c r="AD440" s="71"/>
      <c r="AE440" s="71"/>
      <c r="AF440" s="71"/>
      <c r="AG440" s="71"/>
      <c r="AH440" s="355"/>
      <c r="AI440" s="377"/>
      <c r="AJ440" s="71"/>
      <c r="AK440" s="71"/>
      <c r="AL440" s="71"/>
    </row>
    <row r="441" spans="1:70" ht="16.5" customHeight="1" x14ac:dyDescent="0.25">
      <c r="A441" s="40"/>
      <c r="B441" s="40"/>
      <c r="C441" s="74" t="s">
        <v>351</v>
      </c>
      <c r="D441" s="416" t="s">
        <v>1025</v>
      </c>
      <c r="E441" s="105"/>
      <c r="F441" s="105"/>
      <c r="G441" s="419"/>
      <c r="H441" s="419"/>
      <c r="I441" s="419"/>
      <c r="J441" s="510"/>
      <c r="K441" s="419"/>
      <c r="L441" s="419"/>
      <c r="M441" s="419"/>
      <c r="N441" s="510"/>
      <c r="O441" s="419"/>
      <c r="P441" s="419"/>
      <c r="Q441" s="419"/>
      <c r="R441" s="510"/>
      <c r="S441" s="419"/>
      <c r="T441" s="419"/>
      <c r="U441" s="419"/>
      <c r="V441" s="510"/>
      <c r="W441" s="419"/>
      <c r="X441" s="419"/>
      <c r="Y441" s="419"/>
      <c r="Z441" s="510"/>
      <c r="AA441" s="419"/>
      <c r="AB441" s="419"/>
      <c r="AC441" s="419"/>
      <c r="AD441" s="510"/>
      <c r="AE441" s="510"/>
      <c r="AF441" s="510"/>
      <c r="AG441" s="419"/>
      <c r="AH441" s="617"/>
      <c r="AI441" s="385"/>
      <c r="AJ441" s="545"/>
      <c r="AK441" s="545"/>
      <c r="AL441" s="510"/>
    </row>
    <row r="442" spans="1:70" ht="16.5" customHeight="1" x14ac:dyDescent="0.25">
      <c r="A442" s="40"/>
      <c r="B442" s="40"/>
      <c r="C442" s="40"/>
      <c r="D442" s="505" t="s">
        <v>352</v>
      </c>
      <c r="E442" s="562" t="s">
        <v>512</v>
      </c>
      <c r="F442" s="105"/>
      <c r="G442" s="17">
        <f>'HH WITH COM #1 '!$W$611</f>
        <v>0</v>
      </c>
      <c r="H442" s="17">
        <f>'HH WITH COM #1 '!$X$611</f>
        <v>0</v>
      </c>
      <c r="I442" s="116">
        <f t="shared" ref="I442:I450" si="1088">SUM(G442:H442)</f>
        <v>0</v>
      </c>
      <c r="J442" s="197">
        <f>IF(I$451=0,0,I442/I$451)</f>
        <v>0</v>
      </c>
      <c r="K442" s="17">
        <f>'HH WITH COM #2'!$W$611</f>
        <v>0</v>
      </c>
      <c r="L442" s="17">
        <f>'HH WITH COM #2'!$X$611</f>
        <v>0</v>
      </c>
      <c r="M442" s="539">
        <f t="shared" ref="M442:M450" si="1089">SUM(K442:L442)</f>
        <v>0</v>
      </c>
      <c r="N442" s="197">
        <f>IF(M$451=0,0,M442/M$451)</f>
        <v>0</v>
      </c>
      <c r="O442" s="17">
        <f>'HH WITH COM #3'!$W$611</f>
        <v>0</v>
      </c>
      <c r="P442" s="17">
        <f>'HH WITH COM #3'!$X$611</f>
        <v>0</v>
      </c>
      <c r="Q442" s="539">
        <f t="shared" ref="Q442:Q450" si="1090">SUM(O442:P442)</f>
        <v>0</v>
      </c>
      <c r="R442" s="197">
        <f>IF(Q$451=0,0,Q442/Q$451)</f>
        <v>0</v>
      </c>
      <c r="S442" s="17">
        <f>'HH WITH COM #4'!$W$611</f>
        <v>0</v>
      </c>
      <c r="T442" s="17">
        <f>'HH WITH COM #4'!$X$611</f>
        <v>0</v>
      </c>
      <c r="U442" s="539">
        <f t="shared" ref="U442:U450" si="1091">SUM(S442:T442)</f>
        <v>0</v>
      </c>
      <c r="V442" s="197">
        <f>IF(U$451=0,0,U442/U$451)</f>
        <v>0</v>
      </c>
      <c r="W442" s="17">
        <f>'HH WITH COM #5'!$W$611</f>
        <v>0</v>
      </c>
      <c r="X442" s="17">
        <f>'HH WITH COM #5'!$X$611</f>
        <v>0</v>
      </c>
      <c r="Y442" s="539">
        <f t="shared" ref="Y442:Y450" si="1092">SUM(W442:X442)</f>
        <v>0</v>
      </c>
      <c r="Z442" s="197">
        <f>IF(Y$451=0,0,Y442/Y$451)</f>
        <v>0</v>
      </c>
      <c r="AA442" s="17">
        <f>'HH WITH COM #6'!$W$611</f>
        <v>0</v>
      </c>
      <c r="AB442" s="17">
        <f>'HH WITH COM #6'!$X$611</f>
        <v>0</v>
      </c>
      <c r="AC442" s="539">
        <f t="shared" ref="AC442:AC450" si="1093">SUM(AA442:AB442)</f>
        <v>0</v>
      </c>
      <c r="AD442" s="197">
        <f>IF(AC$451=0,0,AC442/AC$451)</f>
        <v>0</v>
      </c>
      <c r="AE442" s="17">
        <f>'HH WITH COM #7'!$W$611</f>
        <v>0</v>
      </c>
      <c r="AF442" s="17">
        <f>'HH WITH COM #7'!$X$611</f>
        <v>0</v>
      </c>
      <c r="AG442" s="539">
        <f t="shared" ref="AG442:AG450" si="1094">SUM(AE442:AF442)</f>
        <v>0</v>
      </c>
      <c r="AH442" s="191">
        <f>IF(AG$451=0,0,AG442/AG$451)</f>
        <v>0</v>
      </c>
      <c r="AI442" s="391">
        <f t="shared" ref="AI442:AI450" si="1095">G442+K442+O442+S442+W442+AA442+AE442</f>
        <v>0</v>
      </c>
      <c r="AJ442" s="17">
        <f t="shared" ref="AJ442:AJ450" si="1096">H442+L442+P442+T442+X442+AB442+AF442</f>
        <v>0</v>
      </c>
      <c r="AK442" s="539">
        <f t="shared" ref="AK442:AK450" si="1097">SUM(AI442:AJ442)</f>
        <v>0</v>
      </c>
      <c r="AL442" s="197">
        <f>IF(AK$451=0,0,AK442/AK$451)</f>
        <v>0</v>
      </c>
    </row>
    <row r="443" spans="1:70" ht="16.5" customHeight="1" x14ac:dyDescent="0.25">
      <c r="A443" s="40"/>
      <c r="B443" s="40"/>
      <c r="C443" s="40"/>
      <c r="D443" s="505" t="s">
        <v>353</v>
      </c>
      <c r="E443" s="562" t="s">
        <v>513</v>
      </c>
      <c r="F443" s="105"/>
      <c r="G443" s="17">
        <f>'HH WITH COM #1 '!$W$612</f>
        <v>0</v>
      </c>
      <c r="H443" s="17">
        <f>'HH WITH COM #1 '!$X$612</f>
        <v>11</v>
      </c>
      <c r="I443" s="539">
        <f t="shared" si="1088"/>
        <v>11</v>
      </c>
      <c r="J443" s="197">
        <f t="shared" ref="J443:J450" si="1098">IF(I$451=0,0,I443/I$451)</f>
        <v>0.42307692307692307</v>
      </c>
      <c r="K443" s="17">
        <f>'HH WITH COM #2'!$W$612</f>
        <v>0</v>
      </c>
      <c r="L443" s="17">
        <f>'HH WITH COM #2'!$X$612</f>
        <v>0</v>
      </c>
      <c r="M443" s="539">
        <f t="shared" si="1089"/>
        <v>0</v>
      </c>
      <c r="N443" s="197">
        <f t="shared" ref="N443:N450" si="1099">IF(M$451=0,0,M443/M$451)</f>
        <v>0</v>
      </c>
      <c r="O443" s="17">
        <f>'HH WITH COM #3'!$W$612</f>
        <v>0</v>
      </c>
      <c r="P443" s="17">
        <f>'HH WITH COM #3'!$X$612</f>
        <v>0</v>
      </c>
      <c r="Q443" s="539">
        <f t="shared" si="1090"/>
        <v>0</v>
      </c>
      <c r="R443" s="197">
        <f t="shared" ref="R443:R450" si="1100">IF(Q$451=0,0,Q443/Q$451)</f>
        <v>0</v>
      </c>
      <c r="S443" s="17">
        <f>'HH WITH COM #4'!$W$612</f>
        <v>0</v>
      </c>
      <c r="T443" s="17">
        <f>'HH WITH COM #4'!$X$612</f>
        <v>0</v>
      </c>
      <c r="U443" s="539">
        <f t="shared" si="1091"/>
        <v>0</v>
      </c>
      <c r="V443" s="197">
        <f t="shared" ref="V443:V450" si="1101">IF(U$451=0,0,U443/U$451)</f>
        <v>0</v>
      </c>
      <c r="W443" s="17">
        <f>'HH WITH COM #5'!$W$612</f>
        <v>0</v>
      </c>
      <c r="X443" s="17">
        <f>'HH WITH COM #5'!$X$612</f>
        <v>0</v>
      </c>
      <c r="Y443" s="539">
        <f t="shared" si="1092"/>
        <v>0</v>
      </c>
      <c r="Z443" s="197">
        <f t="shared" ref="Z443:Z450" si="1102">IF(Y$451=0,0,Y443/Y$451)</f>
        <v>0</v>
      </c>
      <c r="AA443" s="17">
        <f>'HH WITH COM #6'!$W$612</f>
        <v>0</v>
      </c>
      <c r="AB443" s="17">
        <f>'HH WITH COM #6'!$X$612</f>
        <v>0</v>
      </c>
      <c r="AC443" s="539">
        <f t="shared" si="1093"/>
        <v>0</v>
      </c>
      <c r="AD443" s="197">
        <f t="shared" ref="AD443:AD450" si="1103">IF(AC$451=0,0,AC443/AC$451)</f>
        <v>0</v>
      </c>
      <c r="AE443" s="17">
        <f>'HH WITH COM #7'!$W$612</f>
        <v>0</v>
      </c>
      <c r="AF443" s="17">
        <f>'HH WITH COM #7'!$X$612</f>
        <v>0</v>
      </c>
      <c r="AG443" s="539">
        <f t="shared" si="1094"/>
        <v>0</v>
      </c>
      <c r="AH443" s="191">
        <f t="shared" ref="AH443:AH450" si="1104">IF(AG$451=0,0,AG443/AG$451)</f>
        <v>0</v>
      </c>
      <c r="AI443" s="391">
        <f t="shared" si="1095"/>
        <v>0</v>
      </c>
      <c r="AJ443" s="17">
        <f t="shared" si="1096"/>
        <v>11</v>
      </c>
      <c r="AK443" s="539">
        <f t="shared" si="1097"/>
        <v>11</v>
      </c>
      <c r="AL443" s="197">
        <f t="shared" ref="AL443:AL450" si="1105">IF(AK$451=0,0,AK443/AK$451)</f>
        <v>0.42307692307692307</v>
      </c>
    </row>
    <row r="444" spans="1:70" ht="16.5" customHeight="1" x14ac:dyDescent="0.25">
      <c r="A444" s="40"/>
      <c r="B444" s="40"/>
      <c r="C444" s="40"/>
      <c r="D444" s="505" t="s">
        <v>354</v>
      </c>
      <c r="E444" s="562" t="s">
        <v>514</v>
      </c>
      <c r="F444" s="105"/>
      <c r="G444" s="17">
        <f>'HH WITH COM #1 '!$W$613</f>
        <v>1</v>
      </c>
      <c r="H444" s="17">
        <f>'HH WITH COM #1 '!$X$613</f>
        <v>12</v>
      </c>
      <c r="I444" s="539">
        <f t="shared" si="1088"/>
        <v>13</v>
      </c>
      <c r="J444" s="197">
        <f t="shared" si="1098"/>
        <v>0.5</v>
      </c>
      <c r="K444" s="17">
        <f>'HH WITH COM #2'!$W$613</f>
        <v>0</v>
      </c>
      <c r="L444" s="17">
        <f>'HH WITH COM #2'!$X$613</f>
        <v>0</v>
      </c>
      <c r="M444" s="539">
        <f t="shared" si="1089"/>
        <v>0</v>
      </c>
      <c r="N444" s="197">
        <f t="shared" si="1099"/>
        <v>0</v>
      </c>
      <c r="O444" s="17">
        <f>'HH WITH COM #3'!$W$613</f>
        <v>0</v>
      </c>
      <c r="P444" s="17">
        <f>'HH WITH COM #3'!$X$613</f>
        <v>0</v>
      </c>
      <c r="Q444" s="539">
        <f t="shared" si="1090"/>
        <v>0</v>
      </c>
      <c r="R444" s="197">
        <f t="shared" si="1100"/>
        <v>0</v>
      </c>
      <c r="S444" s="17">
        <f>'HH WITH COM #4'!$W$613</f>
        <v>0</v>
      </c>
      <c r="T444" s="17">
        <f>'HH WITH COM #4'!$X$613</f>
        <v>0</v>
      </c>
      <c r="U444" s="539">
        <f t="shared" si="1091"/>
        <v>0</v>
      </c>
      <c r="V444" s="197">
        <f t="shared" si="1101"/>
        <v>0</v>
      </c>
      <c r="W444" s="17">
        <f>'HH WITH COM #5'!$W$613</f>
        <v>0</v>
      </c>
      <c r="X444" s="17">
        <f>'HH WITH COM #5'!$X$613</f>
        <v>0</v>
      </c>
      <c r="Y444" s="539">
        <f t="shared" si="1092"/>
        <v>0</v>
      </c>
      <c r="Z444" s="197">
        <f t="shared" si="1102"/>
        <v>0</v>
      </c>
      <c r="AA444" s="17">
        <f>'HH WITH COM #6'!$W$613</f>
        <v>0</v>
      </c>
      <c r="AB444" s="17">
        <f>'HH WITH COM #6'!$X$613</f>
        <v>0</v>
      </c>
      <c r="AC444" s="539">
        <f t="shared" si="1093"/>
        <v>0</v>
      </c>
      <c r="AD444" s="197">
        <f t="shared" si="1103"/>
        <v>0</v>
      </c>
      <c r="AE444" s="17">
        <f>'HH WITH COM #7'!$W$613</f>
        <v>0</v>
      </c>
      <c r="AF444" s="17">
        <f>'HH WITH COM #7'!$X$613</f>
        <v>0</v>
      </c>
      <c r="AG444" s="539">
        <f t="shared" si="1094"/>
        <v>0</v>
      </c>
      <c r="AH444" s="191">
        <f t="shared" si="1104"/>
        <v>0</v>
      </c>
      <c r="AI444" s="391">
        <f t="shared" si="1095"/>
        <v>1</v>
      </c>
      <c r="AJ444" s="17">
        <f t="shared" si="1096"/>
        <v>12</v>
      </c>
      <c r="AK444" s="539">
        <f t="shared" si="1097"/>
        <v>13</v>
      </c>
      <c r="AL444" s="197">
        <f t="shared" si="1105"/>
        <v>0.5</v>
      </c>
    </row>
    <row r="445" spans="1:70" ht="16.5" customHeight="1" x14ac:dyDescent="0.25">
      <c r="A445" s="40"/>
      <c r="B445" s="40"/>
      <c r="C445" s="40"/>
      <c r="D445" s="505" t="s">
        <v>355</v>
      </c>
      <c r="E445" s="562" t="s">
        <v>357</v>
      </c>
      <c r="F445" s="105"/>
      <c r="G445" s="17">
        <f>'HH WITH COM #1 '!$W$614</f>
        <v>0</v>
      </c>
      <c r="H445" s="17">
        <f>'HH WITH COM #1 '!$X$614</f>
        <v>1</v>
      </c>
      <c r="I445" s="539">
        <f t="shared" si="1088"/>
        <v>1</v>
      </c>
      <c r="J445" s="197">
        <f t="shared" si="1098"/>
        <v>3.8461538461538464E-2</v>
      </c>
      <c r="K445" s="17">
        <f>'HH WITH COM #2'!$W$614</f>
        <v>0</v>
      </c>
      <c r="L445" s="17">
        <f>'HH WITH COM #2'!$X$614</f>
        <v>0</v>
      </c>
      <c r="M445" s="539">
        <f t="shared" si="1089"/>
        <v>0</v>
      </c>
      <c r="N445" s="197">
        <f t="shared" si="1099"/>
        <v>0</v>
      </c>
      <c r="O445" s="17">
        <f>'HH WITH COM #3'!$W$614</f>
        <v>0</v>
      </c>
      <c r="P445" s="17">
        <f>'HH WITH COM #3'!$X$614</f>
        <v>0</v>
      </c>
      <c r="Q445" s="539">
        <f t="shared" si="1090"/>
        <v>0</v>
      </c>
      <c r="R445" s="197">
        <f t="shared" si="1100"/>
        <v>0</v>
      </c>
      <c r="S445" s="17">
        <f>'HH WITH COM #4'!$W$614</f>
        <v>0</v>
      </c>
      <c r="T445" s="17">
        <f>'HH WITH COM #4'!$X$614</f>
        <v>0</v>
      </c>
      <c r="U445" s="539">
        <f t="shared" si="1091"/>
        <v>0</v>
      </c>
      <c r="V445" s="197">
        <f t="shared" si="1101"/>
        <v>0</v>
      </c>
      <c r="W445" s="17">
        <f>'HH WITH COM #5'!$W$614</f>
        <v>0</v>
      </c>
      <c r="X445" s="17">
        <f>'HH WITH COM #5'!$X$614</f>
        <v>0</v>
      </c>
      <c r="Y445" s="539">
        <f t="shared" si="1092"/>
        <v>0</v>
      </c>
      <c r="Z445" s="197">
        <f t="shared" si="1102"/>
        <v>0</v>
      </c>
      <c r="AA445" s="17">
        <f>'HH WITH COM #6'!$W$614</f>
        <v>0</v>
      </c>
      <c r="AB445" s="17">
        <f>'HH WITH COM #6'!$X$614</f>
        <v>0</v>
      </c>
      <c r="AC445" s="539">
        <f t="shared" si="1093"/>
        <v>0</v>
      </c>
      <c r="AD445" s="197">
        <f t="shared" si="1103"/>
        <v>0</v>
      </c>
      <c r="AE445" s="17">
        <f>'HH WITH COM #7'!$W$614</f>
        <v>0</v>
      </c>
      <c r="AF445" s="17">
        <f>'HH WITH COM #7'!$X$614</f>
        <v>0</v>
      </c>
      <c r="AG445" s="539">
        <f t="shared" si="1094"/>
        <v>0</v>
      </c>
      <c r="AH445" s="191">
        <f t="shared" si="1104"/>
        <v>0</v>
      </c>
      <c r="AI445" s="391">
        <f t="shared" si="1095"/>
        <v>0</v>
      </c>
      <c r="AJ445" s="17">
        <f t="shared" si="1096"/>
        <v>1</v>
      </c>
      <c r="AK445" s="539">
        <f t="shared" si="1097"/>
        <v>1</v>
      </c>
      <c r="AL445" s="197">
        <f t="shared" si="1105"/>
        <v>3.8461538461538464E-2</v>
      </c>
    </row>
    <row r="446" spans="1:70" ht="16.5" customHeight="1" x14ac:dyDescent="0.25">
      <c r="A446" s="40"/>
      <c r="B446" s="40"/>
      <c r="C446" s="40"/>
      <c r="D446" s="505" t="s">
        <v>356</v>
      </c>
      <c r="E446" s="562" t="s">
        <v>515</v>
      </c>
      <c r="F446" s="105"/>
      <c r="G446" s="17">
        <f>'HH WITH COM #1 '!$W$615</f>
        <v>0</v>
      </c>
      <c r="H446" s="17">
        <f>'HH WITH COM #1 '!$X$615</f>
        <v>0</v>
      </c>
      <c r="I446" s="539">
        <f t="shared" si="1088"/>
        <v>0</v>
      </c>
      <c r="J446" s="197">
        <f t="shared" si="1098"/>
        <v>0</v>
      </c>
      <c r="K446" s="17">
        <f>'HH WITH COM #2'!$W$615</f>
        <v>0</v>
      </c>
      <c r="L446" s="17">
        <f>'HH WITH COM #2'!$X$615</f>
        <v>0</v>
      </c>
      <c r="M446" s="539">
        <f t="shared" si="1089"/>
        <v>0</v>
      </c>
      <c r="N446" s="197">
        <f t="shared" si="1099"/>
        <v>0</v>
      </c>
      <c r="O446" s="17">
        <f>'HH WITH COM #3'!$W$615</f>
        <v>0</v>
      </c>
      <c r="P446" s="17">
        <f>'HH WITH COM #3'!$X$615</f>
        <v>0</v>
      </c>
      <c r="Q446" s="539">
        <f t="shared" si="1090"/>
        <v>0</v>
      </c>
      <c r="R446" s="197">
        <f t="shared" si="1100"/>
        <v>0</v>
      </c>
      <c r="S446" s="17">
        <f>'HH WITH COM #4'!$W$615</f>
        <v>0</v>
      </c>
      <c r="T446" s="17">
        <f>'HH WITH COM #4'!$X$615</f>
        <v>0</v>
      </c>
      <c r="U446" s="539">
        <f t="shared" si="1091"/>
        <v>0</v>
      </c>
      <c r="V446" s="197">
        <f t="shared" si="1101"/>
        <v>0</v>
      </c>
      <c r="W446" s="17">
        <f>'HH WITH COM #5'!$W$615</f>
        <v>0</v>
      </c>
      <c r="X446" s="17">
        <f>'HH WITH COM #5'!$X$615</f>
        <v>0</v>
      </c>
      <c r="Y446" s="539">
        <f t="shared" si="1092"/>
        <v>0</v>
      </c>
      <c r="Z446" s="197">
        <f t="shared" si="1102"/>
        <v>0</v>
      </c>
      <c r="AA446" s="17">
        <f>'HH WITH COM #6'!$W$615</f>
        <v>0</v>
      </c>
      <c r="AB446" s="17">
        <f>'HH WITH COM #6'!$X$615</f>
        <v>0</v>
      </c>
      <c r="AC446" s="539">
        <f t="shared" si="1093"/>
        <v>0</v>
      </c>
      <c r="AD446" s="197">
        <f t="shared" si="1103"/>
        <v>0</v>
      </c>
      <c r="AE446" s="17">
        <f>'HH WITH COM #7'!$W$615</f>
        <v>0</v>
      </c>
      <c r="AF446" s="17">
        <f>'HH WITH COM #7'!$X$615</f>
        <v>0</v>
      </c>
      <c r="AG446" s="539">
        <f t="shared" si="1094"/>
        <v>0</v>
      </c>
      <c r="AH446" s="191">
        <f t="shared" si="1104"/>
        <v>0</v>
      </c>
      <c r="AI446" s="391">
        <f t="shared" si="1095"/>
        <v>0</v>
      </c>
      <c r="AJ446" s="17">
        <f t="shared" si="1096"/>
        <v>0</v>
      </c>
      <c r="AK446" s="539">
        <f t="shared" si="1097"/>
        <v>0</v>
      </c>
      <c r="AL446" s="197">
        <f t="shared" si="1105"/>
        <v>0</v>
      </c>
    </row>
    <row r="447" spans="1:70" ht="16.5" customHeight="1" x14ac:dyDescent="0.25">
      <c r="A447" s="40"/>
      <c r="B447" s="40"/>
      <c r="C447" s="40"/>
      <c r="D447" s="505" t="s">
        <v>508</v>
      </c>
      <c r="E447" s="562" t="s">
        <v>516</v>
      </c>
      <c r="F447" s="105"/>
      <c r="G447" s="17">
        <f>'HH WITH COM #1 '!$W$616</f>
        <v>0</v>
      </c>
      <c r="H447" s="17">
        <f>'HH WITH COM #1 '!$X$616</f>
        <v>1</v>
      </c>
      <c r="I447" s="539">
        <f t="shared" si="1088"/>
        <v>1</v>
      </c>
      <c r="J447" s="197">
        <f t="shared" si="1098"/>
        <v>3.8461538461538464E-2</v>
      </c>
      <c r="K447" s="17">
        <f>'HH WITH COM #2'!$W$616</f>
        <v>0</v>
      </c>
      <c r="L447" s="17">
        <f>'HH WITH COM #2'!$X$616</f>
        <v>0</v>
      </c>
      <c r="M447" s="539">
        <f t="shared" si="1089"/>
        <v>0</v>
      </c>
      <c r="N447" s="197">
        <f t="shared" si="1099"/>
        <v>0</v>
      </c>
      <c r="O447" s="17">
        <f>'HH WITH COM #3'!$W$616</f>
        <v>0</v>
      </c>
      <c r="P447" s="17">
        <f>'HH WITH COM #3'!$X$616</f>
        <v>0</v>
      </c>
      <c r="Q447" s="539">
        <f t="shared" si="1090"/>
        <v>0</v>
      </c>
      <c r="R447" s="197">
        <f t="shared" si="1100"/>
        <v>0</v>
      </c>
      <c r="S447" s="17">
        <f>'HH WITH COM #4'!$W$616</f>
        <v>0</v>
      </c>
      <c r="T447" s="17">
        <f>'HH WITH COM #4'!$X$616</f>
        <v>0</v>
      </c>
      <c r="U447" s="539">
        <f t="shared" si="1091"/>
        <v>0</v>
      </c>
      <c r="V447" s="197">
        <f t="shared" si="1101"/>
        <v>0</v>
      </c>
      <c r="W447" s="17">
        <f>'HH WITH COM #5'!$W$616</f>
        <v>0</v>
      </c>
      <c r="X447" s="17">
        <f>'HH WITH COM #5'!$X$616</f>
        <v>0</v>
      </c>
      <c r="Y447" s="539">
        <f t="shared" si="1092"/>
        <v>0</v>
      </c>
      <c r="Z447" s="197">
        <f t="shared" si="1102"/>
        <v>0</v>
      </c>
      <c r="AA447" s="17">
        <f>'HH WITH COM #6'!$W$616</f>
        <v>0</v>
      </c>
      <c r="AB447" s="17">
        <f>'HH WITH COM #6'!$X$616</f>
        <v>0</v>
      </c>
      <c r="AC447" s="539">
        <f t="shared" si="1093"/>
        <v>0</v>
      </c>
      <c r="AD447" s="197">
        <f t="shared" si="1103"/>
        <v>0</v>
      </c>
      <c r="AE447" s="17">
        <f>'HH WITH COM #7'!$W$616</f>
        <v>0</v>
      </c>
      <c r="AF447" s="17">
        <f>'HH WITH COM #7'!$X$616</f>
        <v>0</v>
      </c>
      <c r="AG447" s="539">
        <f t="shared" si="1094"/>
        <v>0</v>
      </c>
      <c r="AH447" s="191">
        <f t="shared" si="1104"/>
        <v>0</v>
      </c>
      <c r="AI447" s="391">
        <f t="shared" si="1095"/>
        <v>0</v>
      </c>
      <c r="AJ447" s="17">
        <f t="shared" si="1096"/>
        <v>1</v>
      </c>
      <c r="AK447" s="539">
        <f t="shared" si="1097"/>
        <v>1</v>
      </c>
      <c r="AL447" s="197">
        <f t="shared" si="1105"/>
        <v>3.8461538461538464E-2</v>
      </c>
    </row>
    <row r="448" spans="1:70" ht="16.5" customHeight="1" x14ac:dyDescent="0.25">
      <c r="A448" s="40"/>
      <c r="B448" s="40"/>
      <c r="C448" s="40"/>
      <c r="D448" s="505" t="s">
        <v>509</v>
      </c>
      <c r="E448" s="562" t="s">
        <v>517</v>
      </c>
      <c r="F448" s="105"/>
      <c r="G448" s="17">
        <f>'HH WITH COM #1 '!$W$617</f>
        <v>0</v>
      </c>
      <c r="H448" s="17">
        <f>'HH WITH COM #1 '!$X$617</f>
        <v>0</v>
      </c>
      <c r="I448" s="539">
        <f t="shared" si="1088"/>
        <v>0</v>
      </c>
      <c r="J448" s="197">
        <f t="shared" si="1098"/>
        <v>0</v>
      </c>
      <c r="K448" s="17">
        <f>'HH WITH COM #2'!$W$617</f>
        <v>0</v>
      </c>
      <c r="L448" s="17">
        <f>'HH WITH COM #2'!$X$617</f>
        <v>0</v>
      </c>
      <c r="M448" s="539">
        <f t="shared" si="1089"/>
        <v>0</v>
      </c>
      <c r="N448" s="197">
        <f t="shared" si="1099"/>
        <v>0</v>
      </c>
      <c r="O448" s="17">
        <f>'HH WITH COM #3'!$W$617</f>
        <v>0</v>
      </c>
      <c r="P448" s="17">
        <f>'HH WITH COM #3'!$X$617</f>
        <v>0</v>
      </c>
      <c r="Q448" s="539">
        <f t="shared" si="1090"/>
        <v>0</v>
      </c>
      <c r="R448" s="197">
        <f t="shared" si="1100"/>
        <v>0</v>
      </c>
      <c r="S448" s="17">
        <f>'HH WITH COM #4'!$W$617</f>
        <v>0</v>
      </c>
      <c r="T448" s="17">
        <f>'HH WITH COM #4'!$X$617</f>
        <v>0</v>
      </c>
      <c r="U448" s="539">
        <f t="shared" si="1091"/>
        <v>0</v>
      </c>
      <c r="V448" s="197">
        <f t="shared" si="1101"/>
        <v>0</v>
      </c>
      <c r="W448" s="17">
        <f>'HH WITH COM #5'!$W$617</f>
        <v>0</v>
      </c>
      <c r="X448" s="17">
        <f>'HH WITH COM #5'!$X$617</f>
        <v>0</v>
      </c>
      <c r="Y448" s="539">
        <f t="shared" si="1092"/>
        <v>0</v>
      </c>
      <c r="Z448" s="197">
        <f t="shared" si="1102"/>
        <v>0</v>
      </c>
      <c r="AA448" s="17">
        <f>'HH WITH COM #6'!$W$617</f>
        <v>0</v>
      </c>
      <c r="AB448" s="17">
        <f>'HH WITH COM #6'!$X$617</f>
        <v>0</v>
      </c>
      <c r="AC448" s="539">
        <f t="shared" si="1093"/>
        <v>0</v>
      </c>
      <c r="AD448" s="197">
        <f t="shared" si="1103"/>
        <v>0</v>
      </c>
      <c r="AE448" s="17">
        <f>'HH WITH COM #7'!$W$617</f>
        <v>0</v>
      </c>
      <c r="AF448" s="17">
        <f>'HH WITH COM #7'!$X$617</f>
        <v>0</v>
      </c>
      <c r="AG448" s="539">
        <f t="shared" si="1094"/>
        <v>0</v>
      </c>
      <c r="AH448" s="191">
        <f t="shared" si="1104"/>
        <v>0</v>
      </c>
      <c r="AI448" s="391">
        <f t="shared" si="1095"/>
        <v>0</v>
      </c>
      <c r="AJ448" s="17">
        <f t="shared" si="1096"/>
        <v>0</v>
      </c>
      <c r="AK448" s="539">
        <f t="shared" si="1097"/>
        <v>0</v>
      </c>
      <c r="AL448" s="197">
        <f t="shared" si="1105"/>
        <v>0</v>
      </c>
    </row>
    <row r="449" spans="1:38" ht="16.5" customHeight="1" x14ac:dyDescent="0.25">
      <c r="A449" s="40"/>
      <c r="B449" s="40"/>
      <c r="C449" s="40"/>
      <c r="D449" s="505" t="s">
        <v>510</v>
      </c>
      <c r="E449" s="562" t="s">
        <v>518</v>
      </c>
      <c r="F449" s="105"/>
      <c r="G449" s="17">
        <f>'HH WITH COM #1 '!$W$618</f>
        <v>0</v>
      </c>
      <c r="H449" s="17">
        <f>'HH WITH COM #1 '!$X$618</f>
        <v>0</v>
      </c>
      <c r="I449" s="539">
        <f t="shared" si="1088"/>
        <v>0</v>
      </c>
      <c r="J449" s="197">
        <f t="shared" si="1098"/>
        <v>0</v>
      </c>
      <c r="K449" s="17">
        <f>'HH WITH COM #2'!$W$618</f>
        <v>0</v>
      </c>
      <c r="L449" s="17">
        <f>'HH WITH COM #2'!$X$618</f>
        <v>0</v>
      </c>
      <c r="M449" s="539">
        <f t="shared" si="1089"/>
        <v>0</v>
      </c>
      <c r="N449" s="197">
        <f t="shared" si="1099"/>
        <v>0</v>
      </c>
      <c r="O449" s="17">
        <f>'HH WITH COM #3'!$W$618</f>
        <v>0</v>
      </c>
      <c r="P449" s="17">
        <f>'HH WITH COM #3'!$X$618</f>
        <v>0</v>
      </c>
      <c r="Q449" s="539">
        <f t="shared" si="1090"/>
        <v>0</v>
      </c>
      <c r="R449" s="197">
        <f t="shared" si="1100"/>
        <v>0</v>
      </c>
      <c r="S449" s="17">
        <f>'HH WITH COM #4'!$W$618</f>
        <v>0</v>
      </c>
      <c r="T449" s="17">
        <f>'HH WITH COM #4'!$X$618</f>
        <v>0</v>
      </c>
      <c r="U449" s="539">
        <f t="shared" si="1091"/>
        <v>0</v>
      </c>
      <c r="V449" s="197">
        <f t="shared" si="1101"/>
        <v>0</v>
      </c>
      <c r="W449" s="17">
        <f>'HH WITH COM #5'!$W$618</f>
        <v>0</v>
      </c>
      <c r="X449" s="17">
        <f>'HH WITH COM #5'!$X$618</f>
        <v>0</v>
      </c>
      <c r="Y449" s="539">
        <f t="shared" si="1092"/>
        <v>0</v>
      </c>
      <c r="Z449" s="197">
        <f t="shared" si="1102"/>
        <v>0</v>
      </c>
      <c r="AA449" s="17">
        <f>'HH WITH COM #6'!$W$618</f>
        <v>0</v>
      </c>
      <c r="AB449" s="17">
        <f>'HH WITH COM #6'!$X$618</f>
        <v>0</v>
      </c>
      <c r="AC449" s="539">
        <f t="shared" si="1093"/>
        <v>0</v>
      </c>
      <c r="AD449" s="197">
        <f t="shared" si="1103"/>
        <v>0</v>
      </c>
      <c r="AE449" s="17">
        <f>'HH WITH COM #7'!$W$618</f>
        <v>0</v>
      </c>
      <c r="AF449" s="17">
        <f>'HH WITH COM #7'!$X$618</f>
        <v>0</v>
      </c>
      <c r="AG449" s="539">
        <f t="shared" si="1094"/>
        <v>0</v>
      </c>
      <c r="AH449" s="191">
        <f t="shared" si="1104"/>
        <v>0</v>
      </c>
      <c r="AI449" s="391">
        <f t="shared" si="1095"/>
        <v>0</v>
      </c>
      <c r="AJ449" s="17">
        <f t="shared" si="1096"/>
        <v>0</v>
      </c>
      <c r="AK449" s="539">
        <f t="shared" si="1097"/>
        <v>0</v>
      </c>
      <c r="AL449" s="197">
        <f t="shared" si="1105"/>
        <v>0</v>
      </c>
    </row>
    <row r="450" spans="1:38" ht="16.5" customHeight="1" x14ac:dyDescent="0.25">
      <c r="A450" s="40"/>
      <c r="B450" s="40"/>
      <c r="C450" s="40"/>
      <c r="D450" s="505" t="s">
        <v>511</v>
      </c>
      <c r="E450" s="562" t="s">
        <v>129</v>
      </c>
      <c r="F450" s="105"/>
      <c r="G450" s="17">
        <f>'HH WITH COM #1 '!$W$619</f>
        <v>0</v>
      </c>
      <c r="H450" s="17">
        <f>'HH WITH COM #1 '!$X$619</f>
        <v>0</v>
      </c>
      <c r="I450" s="539">
        <f t="shared" si="1088"/>
        <v>0</v>
      </c>
      <c r="J450" s="197">
        <f t="shared" si="1098"/>
        <v>0</v>
      </c>
      <c r="K450" s="17">
        <f>'HH WITH COM #2'!$W$619</f>
        <v>0</v>
      </c>
      <c r="L450" s="17">
        <f>'HH WITH COM #2'!$X$619</f>
        <v>0</v>
      </c>
      <c r="M450" s="539">
        <f t="shared" si="1089"/>
        <v>0</v>
      </c>
      <c r="N450" s="197">
        <f t="shared" si="1099"/>
        <v>0</v>
      </c>
      <c r="O450" s="17">
        <f>'HH WITH COM #3'!$W$619</f>
        <v>0</v>
      </c>
      <c r="P450" s="17">
        <f>'HH WITH COM #3'!$X$619</f>
        <v>0</v>
      </c>
      <c r="Q450" s="539">
        <f t="shared" si="1090"/>
        <v>0</v>
      </c>
      <c r="R450" s="197">
        <f t="shared" si="1100"/>
        <v>0</v>
      </c>
      <c r="S450" s="17">
        <f>'HH WITH COM #4'!$W$619</f>
        <v>0</v>
      </c>
      <c r="T450" s="17">
        <f>'HH WITH COM #4'!$X$619</f>
        <v>0</v>
      </c>
      <c r="U450" s="539">
        <f t="shared" si="1091"/>
        <v>0</v>
      </c>
      <c r="V450" s="197">
        <f t="shared" si="1101"/>
        <v>0</v>
      </c>
      <c r="W450" s="17">
        <f>'HH WITH COM #5'!$W$619</f>
        <v>0</v>
      </c>
      <c r="X450" s="17">
        <f>'HH WITH COM #5'!$X$619</f>
        <v>0</v>
      </c>
      <c r="Y450" s="539">
        <f t="shared" si="1092"/>
        <v>0</v>
      </c>
      <c r="Z450" s="197">
        <f t="shared" si="1102"/>
        <v>0</v>
      </c>
      <c r="AA450" s="17">
        <f>'HH WITH COM #6'!$W$619</f>
        <v>0</v>
      </c>
      <c r="AB450" s="17">
        <f>'HH WITH COM #6'!$X$619</f>
        <v>0</v>
      </c>
      <c r="AC450" s="539">
        <f t="shared" si="1093"/>
        <v>0</v>
      </c>
      <c r="AD450" s="197">
        <f t="shared" si="1103"/>
        <v>0</v>
      </c>
      <c r="AE450" s="17">
        <f>'HH WITH COM #7'!$W$619</f>
        <v>0</v>
      </c>
      <c r="AF450" s="17">
        <f>'HH WITH COM #7'!$X$619</f>
        <v>0</v>
      </c>
      <c r="AG450" s="539">
        <f t="shared" si="1094"/>
        <v>0</v>
      </c>
      <c r="AH450" s="191">
        <f t="shared" si="1104"/>
        <v>0</v>
      </c>
      <c r="AI450" s="391">
        <f t="shared" si="1095"/>
        <v>0</v>
      </c>
      <c r="AJ450" s="17">
        <f t="shared" si="1096"/>
        <v>0</v>
      </c>
      <c r="AK450" s="539">
        <f t="shared" si="1097"/>
        <v>0</v>
      </c>
      <c r="AL450" s="197">
        <f t="shared" si="1105"/>
        <v>0</v>
      </c>
    </row>
    <row r="451" spans="1:38" ht="16.5" customHeight="1" x14ac:dyDescent="0.25">
      <c r="A451" s="40"/>
      <c r="B451" s="40"/>
      <c r="C451" s="40"/>
      <c r="D451" s="133"/>
      <c r="E451" s="184"/>
      <c r="F451" s="469"/>
      <c r="G451" s="82">
        <f>SUM(G442:G450)</f>
        <v>1</v>
      </c>
      <c r="H451" s="82">
        <f t="shared" ref="H451:I451" si="1106">SUM(H442:H450)</f>
        <v>25</v>
      </c>
      <c r="I451" s="82">
        <f t="shared" si="1106"/>
        <v>26</v>
      </c>
      <c r="J451" s="500">
        <f>IF(I$451=0,0,I451/I$451)</f>
        <v>1</v>
      </c>
      <c r="K451" s="82">
        <f>SUM(K442:K450)</f>
        <v>0</v>
      </c>
      <c r="L451" s="82">
        <f t="shared" ref="L451" si="1107">SUM(L442:L450)</f>
        <v>0</v>
      </c>
      <c r="M451" s="82">
        <f t="shared" ref="M451" si="1108">SUM(M442:M450)</f>
        <v>0</v>
      </c>
      <c r="N451" s="500">
        <f>IF(M$451=0,0,M451/M$451)</f>
        <v>0</v>
      </c>
      <c r="O451" s="82">
        <f>SUM(O442:O450)</f>
        <v>0</v>
      </c>
      <c r="P451" s="82">
        <f t="shared" ref="P451" si="1109">SUM(P442:P450)</f>
        <v>0</v>
      </c>
      <c r="Q451" s="82">
        <f t="shared" ref="Q451" si="1110">SUM(Q442:Q450)</f>
        <v>0</v>
      </c>
      <c r="R451" s="500">
        <f>IF(Q$451=0,0,Q451/Q$451)</f>
        <v>0</v>
      </c>
      <c r="S451" s="82">
        <f>SUM(S442:S450)</f>
        <v>0</v>
      </c>
      <c r="T451" s="82">
        <f t="shared" ref="T451" si="1111">SUM(T442:T450)</f>
        <v>0</v>
      </c>
      <c r="U451" s="82">
        <f t="shared" ref="U451" si="1112">SUM(U442:U450)</f>
        <v>0</v>
      </c>
      <c r="V451" s="500">
        <f>IF(U$451=0,0,U451/U$451)</f>
        <v>0</v>
      </c>
      <c r="W451" s="82">
        <f>SUM(W442:W450)</f>
        <v>0</v>
      </c>
      <c r="X451" s="82">
        <f t="shared" ref="X451" si="1113">SUM(X442:X450)</f>
        <v>0</v>
      </c>
      <c r="Y451" s="82">
        <f t="shared" ref="Y451" si="1114">SUM(Y442:Y450)</f>
        <v>0</v>
      </c>
      <c r="Z451" s="500">
        <f>IF(Y$451=0,0,Y451/Y$451)</f>
        <v>0</v>
      </c>
      <c r="AA451" s="82">
        <f>SUM(AA442:AA450)</f>
        <v>0</v>
      </c>
      <c r="AB451" s="82">
        <f t="shared" ref="AB451" si="1115">SUM(AB442:AB450)</f>
        <v>0</v>
      </c>
      <c r="AC451" s="82">
        <f t="shared" ref="AC451" si="1116">SUM(AC442:AC450)</f>
        <v>0</v>
      </c>
      <c r="AD451" s="500">
        <f>IF(AC$451=0,0,AC451/AC$451)</f>
        <v>0</v>
      </c>
      <c r="AE451" s="82">
        <f>SUM(AE442:AE450)</f>
        <v>0</v>
      </c>
      <c r="AF451" s="82">
        <f t="shared" ref="AF451" si="1117">SUM(AF442:AF450)</f>
        <v>0</v>
      </c>
      <c r="AG451" s="82">
        <f t="shared" ref="AG451" si="1118">SUM(AG442:AG450)</f>
        <v>0</v>
      </c>
      <c r="AH451" s="614">
        <f>IF(AG$451=0,0,AG451/AG$451)</f>
        <v>0</v>
      </c>
      <c r="AI451" s="381">
        <f>SUM(AI442:AI450)</f>
        <v>1</v>
      </c>
      <c r="AJ451" s="82">
        <f t="shared" ref="AJ451" si="1119">SUM(AJ442:AJ450)</f>
        <v>25</v>
      </c>
      <c r="AK451" s="82">
        <f t="shared" ref="AK451" si="1120">SUM(AK442:AK450)</f>
        <v>26</v>
      </c>
      <c r="AL451" s="500">
        <f>IF(AK$451=0,0,AK451/AK$451)</f>
        <v>1</v>
      </c>
    </row>
    <row r="452" spans="1:38" s="117" customFormat="1" ht="16.5" customHeight="1" x14ac:dyDescent="0.25">
      <c r="A452" s="119"/>
      <c r="B452" s="119"/>
      <c r="C452" s="68"/>
      <c r="D452" s="93"/>
      <c r="E452" s="428"/>
      <c r="F452" s="428"/>
      <c r="G452" s="539"/>
      <c r="H452" s="539"/>
      <c r="I452" s="539"/>
      <c r="J452" s="197"/>
      <c r="K452" s="539"/>
      <c r="L452" s="539"/>
      <c r="M452" s="539"/>
      <c r="N452" s="197"/>
      <c r="O452" s="539"/>
      <c r="P452" s="539"/>
      <c r="Q452" s="539"/>
      <c r="R452" s="197"/>
      <c r="S452" s="539"/>
      <c r="T452" s="539"/>
      <c r="U452" s="539"/>
      <c r="V452" s="197"/>
      <c r="W452" s="539"/>
      <c r="X452" s="539"/>
      <c r="Y452" s="539"/>
      <c r="Z452" s="197"/>
      <c r="AA452" s="539"/>
      <c r="AB452" s="539"/>
      <c r="AC452" s="539"/>
      <c r="AD452" s="197"/>
      <c r="AE452" s="539"/>
      <c r="AF452" s="539"/>
      <c r="AG452" s="539"/>
      <c r="AH452" s="191"/>
      <c r="AI452" s="382"/>
      <c r="AJ452" s="539"/>
      <c r="AK452" s="539"/>
      <c r="AL452" s="197"/>
    </row>
    <row r="453" spans="1:38" s="117" customFormat="1" ht="16.5" customHeight="1" x14ac:dyDescent="0.25">
      <c r="A453" s="119"/>
      <c r="B453" s="41" t="s">
        <v>675</v>
      </c>
      <c r="C453" s="476" t="s">
        <v>1021</v>
      </c>
      <c r="D453" s="477"/>
      <c r="E453" s="478"/>
      <c r="F453" s="478"/>
      <c r="G453" s="71"/>
      <c r="H453" s="71"/>
      <c r="I453" s="71"/>
      <c r="J453" s="71"/>
      <c r="K453" s="71"/>
      <c r="L453" s="71"/>
      <c r="M453" s="71"/>
      <c r="N453" s="71"/>
      <c r="O453" s="71"/>
      <c r="P453" s="71"/>
      <c r="Q453" s="71"/>
      <c r="R453" s="71"/>
      <c r="S453" s="71"/>
      <c r="T453" s="71"/>
      <c r="U453" s="71"/>
      <c r="V453" s="71"/>
      <c r="W453" s="71"/>
      <c r="X453" s="71"/>
      <c r="Y453" s="71"/>
      <c r="Z453" s="71"/>
      <c r="AA453" s="71"/>
      <c r="AB453" s="71"/>
      <c r="AC453" s="71"/>
      <c r="AD453" s="71"/>
      <c r="AE453" s="71"/>
      <c r="AF453" s="71"/>
      <c r="AG453" s="71"/>
      <c r="AH453" s="355"/>
      <c r="AI453" s="377"/>
      <c r="AJ453" s="71"/>
      <c r="AK453" s="71"/>
      <c r="AL453" s="71"/>
    </row>
    <row r="454" spans="1:38" s="409" customFormat="1" ht="16.5" customHeight="1" x14ac:dyDescent="0.25">
      <c r="A454" s="540"/>
      <c r="B454" s="254"/>
      <c r="C454" s="571" t="s">
        <v>676</v>
      </c>
      <c r="D454" s="498" t="s">
        <v>9</v>
      </c>
      <c r="E454" s="574"/>
      <c r="F454" s="574"/>
      <c r="G454" s="573">
        <f>'HH WITH COM #1 '!$W$570</f>
        <v>1</v>
      </c>
      <c r="H454" s="573">
        <f>'HH WITH COM #1 '!$X$570</f>
        <v>7</v>
      </c>
      <c r="I454" s="572">
        <f>SUM(G454:H454)</f>
        <v>8</v>
      </c>
      <c r="J454" s="91">
        <f>IF(I$456=0,0,I454/I$456)</f>
        <v>0.53333333333333333</v>
      </c>
      <c r="K454" s="573">
        <f>'HH WITH COM #2'!$W$570</f>
        <v>0</v>
      </c>
      <c r="L454" s="573">
        <f>'HH WITH COM #2'!$X$570</f>
        <v>1</v>
      </c>
      <c r="M454" s="572">
        <f>SUM(K454:L454)</f>
        <v>1</v>
      </c>
      <c r="N454" s="91">
        <f>IF(M$456=0,0,M454/M$456)</f>
        <v>7.1428571428571425E-2</v>
      </c>
      <c r="O454" s="573">
        <f>'HH WITH COM #3'!$W$570</f>
        <v>0</v>
      </c>
      <c r="P454" s="573">
        <f>'HH WITH COM #3'!$X$570</f>
        <v>0</v>
      </c>
      <c r="Q454" s="572">
        <f>SUM(O454:P454)</f>
        <v>0</v>
      </c>
      <c r="R454" s="91">
        <f>IF(Q$456=0,0,Q454/Q$456)</f>
        <v>0</v>
      </c>
      <c r="S454" s="573">
        <f>'HH WITH COM #4'!$W$570</f>
        <v>0</v>
      </c>
      <c r="T454" s="573">
        <f>'HH WITH COM #4'!$X$570</f>
        <v>1</v>
      </c>
      <c r="U454" s="572">
        <f>SUM(S454:T454)</f>
        <v>1</v>
      </c>
      <c r="V454" s="91">
        <f>IF(U$456=0,0,U454/U$456)</f>
        <v>6.25E-2</v>
      </c>
      <c r="W454" s="573">
        <f>'HH WITH COM #5'!$W$570</f>
        <v>0</v>
      </c>
      <c r="X454" s="573">
        <f>'HH WITH COM #5'!$X$570</f>
        <v>0</v>
      </c>
      <c r="Y454" s="572">
        <f>SUM(W454:X454)</f>
        <v>0</v>
      </c>
      <c r="Z454" s="91">
        <f>IF(Y$456=0,0,Y454/Y$456)</f>
        <v>0</v>
      </c>
      <c r="AA454" s="573">
        <f>'HH WITH COM #6'!$W$570</f>
        <v>0</v>
      </c>
      <c r="AB454" s="573">
        <f>'HH WITH COM #6'!$X$570</f>
        <v>2</v>
      </c>
      <c r="AC454" s="572">
        <f>SUM(AA454:AB454)</f>
        <v>2</v>
      </c>
      <c r="AD454" s="91">
        <f>IF(AC$456=0,0,AC454/AC$456)</f>
        <v>0.13333333333333333</v>
      </c>
      <c r="AE454" s="573">
        <f>'HH WITH COM #7'!$W$570</f>
        <v>0</v>
      </c>
      <c r="AF454" s="573">
        <f>'HH WITH COM #7'!$X$570</f>
        <v>0</v>
      </c>
      <c r="AG454" s="572">
        <f>SUM(AE454:AF454)</f>
        <v>0</v>
      </c>
      <c r="AH454" s="373">
        <f>IF(AG$456=0,0,AG454/AG$456)</f>
        <v>0</v>
      </c>
      <c r="AI454" s="391">
        <f t="shared" ref="AI454:AI455" si="1121">G454+K454+O454+S454+W454+AA454+AE454</f>
        <v>1</v>
      </c>
      <c r="AJ454" s="17">
        <f t="shared" ref="AJ454:AJ455" si="1122">H454+L454+P454+T454+X454+AB454+AF454</f>
        <v>11</v>
      </c>
      <c r="AK454" s="539">
        <f t="shared" ref="AK454:AK455" si="1123">SUM(AI454:AJ454)</f>
        <v>12</v>
      </c>
      <c r="AL454" s="91">
        <f>IF(AK$456=0,0,AK454/AK$456)</f>
        <v>0.13333333333333333</v>
      </c>
    </row>
    <row r="455" spans="1:38" s="409" customFormat="1" ht="16.5" customHeight="1" x14ac:dyDescent="0.25">
      <c r="A455" s="540"/>
      <c r="B455" s="254"/>
      <c r="C455" s="571" t="s">
        <v>677</v>
      </c>
      <c r="D455" s="498" t="s">
        <v>11</v>
      </c>
      <c r="E455" s="574"/>
      <c r="F455" s="574"/>
      <c r="G455" s="573">
        <f>'HH WITH COM #1 '!$W$571</f>
        <v>6</v>
      </c>
      <c r="H455" s="573">
        <f>'HH WITH COM #1 '!$X$571</f>
        <v>1</v>
      </c>
      <c r="I455" s="572">
        <f>SUM(G455:H455)</f>
        <v>7</v>
      </c>
      <c r="J455" s="91">
        <f>IF(I$456=0,0,I455/I$456)</f>
        <v>0.46666666666666667</v>
      </c>
      <c r="K455" s="573">
        <f>'HH WITH COM #2'!$W$571</f>
        <v>4</v>
      </c>
      <c r="L455" s="573">
        <f>'HH WITH COM #2'!$X$571</f>
        <v>9</v>
      </c>
      <c r="M455" s="572">
        <f>SUM(K455:L455)</f>
        <v>13</v>
      </c>
      <c r="N455" s="91">
        <f>IF(M$456=0,0,M455/M$456)</f>
        <v>0.9285714285714286</v>
      </c>
      <c r="O455" s="573">
        <f>'HH WITH COM #3'!$W$571</f>
        <v>0</v>
      </c>
      <c r="P455" s="573">
        <f>'HH WITH COM #3'!$X$571</f>
        <v>9</v>
      </c>
      <c r="Q455" s="572">
        <f>SUM(O455:P455)</f>
        <v>9</v>
      </c>
      <c r="R455" s="91">
        <f>IF(Q$456=0,0,Q455/Q$456)</f>
        <v>1</v>
      </c>
      <c r="S455" s="573">
        <f>'HH WITH COM #4'!$W$571</f>
        <v>1</v>
      </c>
      <c r="T455" s="573">
        <f>'HH WITH COM #4'!$X$571</f>
        <v>14</v>
      </c>
      <c r="U455" s="572">
        <f>SUM(S455:T455)</f>
        <v>15</v>
      </c>
      <c r="V455" s="91">
        <f>IF(U$456=0,0,U455/U$456)</f>
        <v>0.9375</v>
      </c>
      <c r="W455" s="573">
        <f>'HH WITH COM #5'!$W$571</f>
        <v>2</v>
      </c>
      <c r="X455" s="573">
        <f>'HH WITH COM #5'!$X$571</f>
        <v>19</v>
      </c>
      <c r="Y455" s="572">
        <f>SUM(W455:X455)</f>
        <v>21</v>
      </c>
      <c r="Z455" s="91">
        <f>IF(Y$456=0,0,Y455/Y$456)</f>
        <v>1</v>
      </c>
      <c r="AA455" s="573">
        <f>'HH WITH COM #6'!$W$571</f>
        <v>3</v>
      </c>
      <c r="AB455" s="573">
        <f>'HH WITH COM #6'!$X$571</f>
        <v>10</v>
      </c>
      <c r="AC455" s="572">
        <f>SUM(AA455:AB455)</f>
        <v>13</v>
      </c>
      <c r="AD455" s="91">
        <f>IF(AC$456=0,0,AC455/AC$456)</f>
        <v>0.8666666666666667</v>
      </c>
      <c r="AE455" s="573">
        <f>'HH WITH COM #7'!$W$571</f>
        <v>0</v>
      </c>
      <c r="AF455" s="573">
        <f>'HH WITH COM #7'!$X$571</f>
        <v>0</v>
      </c>
      <c r="AG455" s="572">
        <f>SUM(AE455:AF455)</f>
        <v>0</v>
      </c>
      <c r="AH455" s="373">
        <f>IF(AG$456=0,0,AG455/AG$456)</f>
        <v>0</v>
      </c>
      <c r="AI455" s="391">
        <f t="shared" si="1121"/>
        <v>16</v>
      </c>
      <c r="AJ455" s="17">
        <f t="shared" si="1122"/>
        <v>62</v>
      </c>
      <c r="AK455" s="539">
        <f t="shared" si="1123"/>
        <v>78</v>
      </c>
      <c r="AL455" s="91">
        <f>IF(AK$456=0,0,AK455/AK$456)</f>
        <v>0.8666666666666667</v>
      </c>
    </row>
    <row r="456" spans="1:38" ht="16.5" customHeight="1" x14ac:dyDescent="0.25">
      <c r="A456" s="40"/>
      <c r="B456" s="40"/>
      <c r="C456" s="40"/>
      <c r="D456" s="134"/>
      <c r="E456" s="184"/>
      <c r="F456" s="469"/>
      <c r="G456" s="82">
        <f>SUM(G454:G455)</f>
        <v>7</v>
      </c>
      <c r="H456" s="82">
        <f t="shared" ref="H456:I456" si="1124">SUM(H454:H455)</f>
        <v>8</v>
      </c>
      <c r="I456" s="82">
        <f t="shared" si="1124"/>
        <v>15</v>
      </c>
      <c r="J456" s="66">
        <f>IF(I$456=0,0,I456/I$456)</f>
        <v>1</v>
      </c>
      <c r="K456" s="82">
        <f>SUM(K454:K455)</f>
        <v>4</v>
      </c>
      <c r="L456" s="82">
        <f t="shared" ref="L456" si="1125">SUM(L454:L455)</f>
        <v>10</v>
      </c>
      <c r="M456" s="82">
        <f t="shared" ref="M456" si="1126">SUM(M454:M455)</f>
        <v>14</v>
      </c>
      <c r="N456" s="66">
        <f>IF(M$456=0,0,M456/M$456)</f>
        <v>1</v>
      </c>
      <c r="O456" s="82">
        <f>SUM(O454:O455)</f>
        <v>0</v>
      </c>
      <c r="P456" s="82">
        <f t="shared" ref="P456" si="1127">SUM(P454:P455)</f>
        <v>9</v>
      </c>
      <c r="Q456" s="82">
        <f t="shared" ref="Q456" si="1128">SUM(Q454:Q455)</f>
        <v>9</v>
      </c>
      <c r="R456" s="66">
        <f>IF(Q$456=0,0,Q456/Q$456)</f>
        <v>1</v>
      </c>
      <c r="S456" s="82">
        <f>SUM(S454:S455)</f>
        <v>1</v>
      </c>
      <c r="T456" s="82">
        <f t="shared" ref="T456" si="1129">SUM(T454:T455)</f>
        <v>15</v>
      </c>
      <c r="U456" s="82">
        <f t="shared" ref="U456" si="1130">SUM(U454:U455)</f>
        <v>16</v>
      </c>
      <c r="V456" s="66">
        <f>IF(U$456=0,0,U456/U$456)</f>
        <v>1</v>
      </c>
      <c r="W456" s="82">
        <f>SUM(W454:W455)</f>
        <v>2</v>
      </c>
      <c r="X456" s="82">
        <f t="shared" ref="X456" si="1131">SUM(X454:X455)</f>
        <v>19</v>
      </c>
      <c r="Y456" s="82">
        <f t="shared" ref="Y456" si="1132">SUM(Y454:Y455)</f>
        <v>21</v>
      </c>
      <c r="Z456" s="66">
        <f>IF(Y$456=0,0,Y456/Y$456)</f>
        <v>1</v>
      </c>
      <c r="AA456" s="82">
        <f>SUM(AA454:AA455)</f>
        <v>3</v>
      </c>
      <c r="AB456" s="82">
        <f t="shared" ref="AB456" si="1133">SUM(AB454:AB455)</f>
        <v>12</v>
      </c>
      <c r="AC456" s="82">
        <f t="shared" ref="AC456" si="1134">SUM(AC454:AC455)</f>
        <v>15</v>
      </c>
      <c r="AD456" s="66">
        <f>IF(AC$456=0,0,AC456/AC$456)</f>
        <v>1</v>
      </c>
      <c r="AE456" s="82">
        <f>SUM(AE454:AE455)</f>
        <v>0</v>
      </c>
      <c r="AF456" s="82">
        <f t="shared" ref="AF456" si="1135">SUM(AF454:AF455)</f>
        <v>0</v>
      </c>
      <c r="AG456" s="82">
        <f t="shared" ref="AG456" si="1136">SUM(AG454:AG455)</f>
        <v>0</v>
      </c>
      <c r="AH456" s="608">
        <f>IF(AG$456=0,0,AG456/AG$456)</f>
        <v>0</v>
      </c>
      <c r="AI456" s="381">
        <f>SUM(AI454:AI455)</f>
        <v>17</v>
      </c>
      <c r="AJ456" s="82">
        <f t="shared" ref="AJ456" si="1137">SUM(AJ454:AJ455)</f>
        <v>73</v>
      </c>
      <c r="AK456" s="82">
        <f t="shared" ref="AK456" si="1138">SUM(AK454:AK455)</f>
        <v>90</v>
      </c>
      <c r="AL456" s="66">
        <f>IF(AK$456=0,0,AK456/AK$456)</f>
        <v>1</v>
      </c>
    </row>
    <row r="457" spans="1:38" s="117" customFormat="1" ht="16.5" customHeight="1" x14ac:dyDescent="0.25">
      <c r="A457" s="119"/>
      <c r="B457" s="41" t="s">
        <v>678</v>
      </c>
      <c r="C457" s="476" t="s">
        <v>679</v>
      </c>
      <c r="D457" s="477"/>
      <c r="E457" s="478"/>
      <c r="F457" s="478"/>
      <c r="G457" s="71"/>
      <c r="H457" s="71"/>
      <c r="I457" s="71"/>
      <c r="J457" s="71"/>
      <c r="K457" s="71"/>
      <c r="L457" s="71"/>
      <c r="M457" s="71"/>
      <c r="N457" s="71"/>
      <c r="O457" s="71"/>
      <c r="P457" s="71"/>
      <c r="Q457" s="71"/>
      <c r="R457" s="71"/>
      <c r="S457" s="71"/>
      <c r="T457" s="71"/>
      <c r="U457" s="71"/>
      <c r="V457" s="71"/>
      <c r="W457" s="71"/>
      <c r="X457" s="71"/>
      <c r="Y457" s="71"/>
      <c r="Z457" s="71"/>
      <c r="AA457" s="71"/>
      <c r="AB457" s="71"/>
      <c r="AC457" s="71"/>
      <c r="AD457" s="71"/>
      <c r="AE457" s="71"/>
      <c r="AF457" s="71"/>
      <c r="AG457" s="71"/>
      <c r="AH457" s="355"/>
      <c r="AI457" s="377"/>
      <c r="AJ457" s="71"/>
      <c r="AK457" s="71"/>
      <c r="AL457" s="71"/>
    </row>
    <row r="458" spans="1:38" ht="16.5" customHeight="1" x14ac:dyDescent="0.25">
      <c r="A458" s="40"/>
      <c r="B458" s="119"/>
      <c r="C458" s="473" t="s">
        <v>680</v>
      </c>
      <c r="D458" s="562" t="s">
        <v>504</v>
      </c>
      <c r="E458" s="105"/>
      <c r="F458" s="105"/>
      <c r="G458" s="539"/>
      <c r="H458" s="539"/>
      <c r="I458" s="539">
        <f>'HH WITH COM #1 '!$Y$623</f>
        <v>1</v>
      </c>
      <c r="J458" s="91">
        <f>IF(I$463=0,0,I458/I$463)</f>
        <v>0.5</v>
      </c>
      <c r="K458" s="539"/>
      <c r="L458" s="539"/>
      <c r="M458" s="539">
        <f>'HH WITH COM #2'!$Y$623</f>
        <v>1</v>
      </c>
      <c r="N458" s="91">
        <f>IF(M$463=0,0,M458/M$463)</f>
        <v>0.5</v>
      </c>
      <c r="O458" s="539"/>
      <c r="P458" s="539"/>
      <c r="Q458" s="539">
        <f>'HH WITH COM #3'!$Y$623</f>
        <v>1</v>
      </c>
      <c r="R458" s="91">
        <f>IF(Q$463=0,0,Q458/Q$463)</f>
        <v>1</v>
      </c>
      <c r="S458" s="539"/>
      <c r="T458" s="539"/>
      <c r="U458" s="539">
        <f>'HH WITH COM #4'!$Y$623</f>
        <v>1</v>
      </c>
      <c r="V458" s="91">
        <f>IF(U$463=0,0,U458/U$463)</f>
        <v>0.5</v>
      </c>
      <c r="W458" s="539"/>
      <c r="X458" s="539"/>
      <c r="Y458" s="539">
        <f>'HH WITH COM #5'!$Y$623</f>
        <v>1</v>
      </c>
      <c r="Z458" s="91">
        <f>IF(Y$463=0,0,Y458/Y$463)</f>
        <v>0.33333333333333331</v>
      </c>
      <c r="AA458" s="539"/>
      <c r="AB458" s="539"/>
      <c r="AC458" s="539">
        <f>'HH WITH COM #6'!$Y$623</f>
        <v>1</v>
      </c>
      <c r="AD458" s="91">
        <f>IF(AC$463=0,0,AC458/AC$463)</f>
        <v>0.5</v>
      </c>
      <c r="AE458" s="539"/>
      <c r="AF458" s="539"/>
      <c r="AG458" s="539">
        <f>'HH WITH COM #7'!$Y$623</f>
        <v>0</v>
      </c>
      <c r="AH458" s="373">
        <f>IF(AG$463=0,0,AG458/AG$463)</f>
        <v>0</v>
      </c>
      <c r="AI458" s="382"/>
      <c r="AJ458" s="539"/>
      <c r="AK458" s="539">
        <f t="shared" ref="AK458:AK462" si="1139">I458+M458+Q458+U458+Y458+AC458+AG458</f>
        <v>6</v>
      </c>
      <c r="AL458" s="91">
        <f>IF(AK$463=0,0,AK458/AK$463)</f>
        <v>0.5</v>
      </c>
    </row>
    <row r="459" spans="1:38" ht="16.5" customHeight="1" x14ac:dyDescent="0.25">
      <c r="A459" s="40"/>
      <c r="B459" s="119"/>
      <c r="C459" s="473" t="s">
        <v>681</v>
      </c>
      <c r="D459" s="562" t="s">
        <v>505</v>
      </c>
      <c r="E459" s="105"/>
      <c r="F459" s="105"/>
      <c r="G459" s="539"/>
      <c r="H459" s="539"/>
      <c r="I459" s="539">
        <f>'HH WITH COM #1 '!$Y$624</f>
        <v>0</v>
      </c>
      <c r="J459" s="91">
        <f t="shared" ref="J459:J463" si="1140">IF(I$463=0,0,I459/I$463)</f>
        <v>0</v>
      </c>
      <c r="K459" s="539"/>
      <c r="L459" s="539"/>
      <c r="M459" s="539">
        <f>'HH WITH COM #2'!$Y$624</f>
        <v>0</v>
      </c>
      <c r="N459" s="91">
        <f t="shared" ref="N459:N463" si="1141">IF(M$463=0,0,M459/M$463)</f>
        <v>0</v>
      </c>
      <c r="O459" s="539"/>
      <c r="P459" s="539"/>
      <c r="Q459" s="539">
        <f>'HH WITH COM #3'!$Y$624</f>
        <v>0</v>
      </c>
      <c r="R459" s="91">
        <f t="shared" ref="R459:R463" si="1142">IF(Q$463=0,0,Q459/Q$463)</f>
        <v>0</v>
      </c>
      <c r="S459" s="539"/>
      <c r="T459" s="539"/>
      <c r="U459" s="539">
        <f>'HH WITH COM #4'!$Y$624</f>
        <v>0</v>
      </c>
      <c r="V459" s="91">
        <f t="shared" ref="V459:V463" si="1143">IF(U$463=0,0,U459/U$463)</f>
        <v>0</v>
      </c>
      <c r="W459" s="539"/>
      <c r="X459" s="539"/>
      <c r="Y459" s="539">
        <f>'HH WITH COM #5'!$Y$624</f>
        <v>0</v>
      </c>
      <c r="Z459" s="91">
        <f t="shared" ref="Z459:Z463" si="1144">IF(Y$463=0,0,Y459/Y$463)</f>
        <v>0</v>
      </c>
      <c r="AA459" s="539"/>
      <c r="AB459" s="539"/>
      <c r="AC459" s="539">
        <f>'HH WITH COM #6'!$Y$624</f>
        <v>0</v>
      </c>
      <c r="AD459" s="91">
        <f t="shared" ref="AD459:AD463" si="1145">IF(AC$463=0,0,AC459/AC$463)</f>
        <v>0</v>
      </c>
      <c r="AE459" s="539"/>
      <c r="AF459" s="539"/>
      <c r="AG459" s="539">
        <f>'HH WITH COM #7'!$Y$624</f>
        <v>0</v>
      </c>
      <c r="AH459" s="373">
        <f t="shared" ref="AH459:AH463" si="1146">IF(AG$463=0,0,AG459/AG$463)</f>
        <v>0</v>
      </c>
      <c r="AI459" s="382"/>
      <c r="AJ459" s="539"/>
      <c r="AK459" s="539">
        <f t="shared" si="1139"/>
        <v>0</v>
      </c>
      <c r="AL459" s="91">
        <f t="shared" ref="AL459:AL463" si="1147">IF(AK$463=0,0,AK459/AK$463)</f>
        <v>0</v>
      </c>
    </row>
    <row r="460" spans="1:38" ht="16.5" customHeight="1" x14ac:dyDescent="0.25">
      <c r="A460" s="40"/>
      <c r="B460" s="119"/>
      <c r="C460" s="473" t="s">
        <v>682</v>
      </c>
      <c r="D460" s="562" t="s">
        <v>683</v>
      </c>
      <c r="E460" s="105"/>
      <c r="F460" s="105"/>
      <c r="G460" s="539"/>
      <c r="H460" s="539"/>
      <c r="I460" s="539">
        <f>'HH WITH COM #1 '!$Y$625</f>
        <v>0</v>
      </c>
      <c r="J460" s="91">
        <f t="shared" si="1140"/>
        <v>0</v>
      </c>
      <c r="K460" s="539"/>
      <c r="L460" s="539"/>
      <c r="M460" s="539">
        <f>'HH WITH COM #2'!$Y$625</f>
        <v>0</v>
      </c>
      <c r="N460" s="91">
        <f t="shared" si="1141"/>
        <v>0</v>
      </c>
      <c r="O460" s="539"/>
      <c r="P460" s="539"/>
      <c r="Q460" s="539">
        <f>'HH WITH COM #3'!$Y$625</f>
        <v>0</v>
      </c>
      <c r="R460" s="91">
        <f t="shared" si="1142"/>
        <v>0</v>
      </c>
      <c r="S460" s="539"/>
      <c r="T460" s="539"/>
      <c r="U460" s="539">
        <f>'HH WITH COM #4'!$Y$625</f>
        <v>0</v>
      </c>
      <c r="V460" s="91">
        <f t="shared" si="1143"/>
        <v>0</v>
      </c>
      <c r="W460" s="539"/>
      <c r="X460" s="539"/>
      <c r="Y460" s="539">
        <f>'HH WITH COM #5'!$Y$625</f>
        <v>0</v>
      </c>
      <c r="Z460" s="91">
        <f t="shared" si="1144"/>
        <v>0</v>
      </c>
      <c r="AA460" s="539"/>
      <c r="AB460" s="539"/>
      <c r="AC460" s="539">
        <f>'HH WITH COM #6'!$Y$625</f>
        <v>0</v>
      </c>
      <c r="AD460" s="91">
        <f t="shared" si="1145"/>
        <v>0</v>
      </c>
      <c r="AE460" s="539"/>
      <c r="AF460" s="539"/>
      <c r="AG460" s="539">
        <f>'HH WITH COM #7'!$Y$625</f>
        <v>0</v>
      </c>
      <c r="AH460" s="373">
        <f t="shared" si="1146"/>
        <v>0</v>
      </c>
      <c r="AI460" s="382"/>
      <c r="AJ460" s="539"/>
      <c r="AK460" s="539">
        <f t="shared" si="1139"/>
        <v>0</v>
      </c>
      <c r="AL460" s="91">
        <f t="shared" si="1147"/>
        <v>0</v>
      </c>
    </row>
    <row r="461" spans="1:38" ht="16.5" customHeight="1" x14ac:dyDescent="0.25">
      <c r="A461" s="40"/>
      <c r="B461" s="119"/>
      <c r="C461" s="473" t="s">
        <v>684</v>
      </c>
      <c r="D461" s="562" t="s">
        <v>685</v>
      </c>
      <c r="E461" s="105"/>
      <c r="F461" s="105"/>
      <c r="G461" s="539"/>
      <c r="H461" s="539"/>
      <c r="I461" s="539">
        <f>'HH WITH COM #1 '!$Y$626</f>
        <v>0</v>
      </c>
      <c r="J461" s="91">
        <f t="shared" si="1140"/>
        <v>0</v>
      </c>
      <c r="K461" s="539"/>
      <c r="L461" s="539"/>
      <c r="M461" s="539">
        <f>'HH WITH COM #2'!$Y$626</f>
        <v>1</v>
      </c>
      <c r="N461" s="91">
        <f t="shared" si="1141"/>
        <v>0.5</v>
      </c>
      <c r="O461" s="539"/>
      <c r="P461" s="539"/>
      <c r="Q461" s="539">
        <f>'HH WITH COM #3'!$Y$626</f>
        <v>0</v>
      </c>
      <c r="R461" s="91">
        <f t="shared" si="1142"/>
        <v>0</v>
      </c>
      <c r="S461" s="539"/>
      <c r="T461" s="539"/>
      <c r="U461" s="539">
        <f>'HH WITH COM #4'!$Y$626</f>
        <v>0</v>
      </c>
      <c r="V461" s="91">
        <f t="shared" si="1143"/>
        <v>0</v>
      </c>
      <c r="W461" s="539"/>
      <c r="X461" s="539"/>
      <c r="Y461" s="539">
        <f>'HH WITH COM #5'!$Y$626</f>
        <v>1</v>
      </c>
      <c r="Z461" s="91">
        <f t="shared" si="1144"/>
        <v>0.33333333333333331</v>
      </c>
      <c r="AA461" s="539"/>
      <c r="AB461" s="539"/>
      <c r="AC461" s="539">
        <f>'HH WITH COM #6'!$Y$626</f>
        <v>1</v>
      </c>
      <c r="AD461" s="91">
        <f t="shared" si="1145"/>
        <v>0.5</v>
      </c>
      <c r="AE461" s="539"/>
      <c r="AF461" s="539"/>
      <c r="AG461" s="539">
        <f>'HH WITH COM #7'!$Y$626</f>
        <v>0</v>
      </c>
      <c r="AH461" s="373">
        <f t="shared" si="1146"/>
        <v>0</v>
      </c>
      <c r="AI461" s="382"/>
      <c r="AJ461" s="539"/>
      <c r="AK461" s="539">
        <f t="shared" si="1139"/>
        <v>3</v>
      </c>
      <c r="AL461" s="91">
        <f t="shared" si="1147"/>
        <v>0.25</v>
      </c>
    </row>
    <row r="462" spans="1:38" ht="16.5" customHeight="1" x14ac:dyDescent="0.25">
      <c r="A462" s="40"/>
      <c r="B462" s="119"/>
      <c r="C462" s="473" t="s">
        <v>686</v>
      </c>
      <c r="D462" s="562" t="s">
        <v>129</v>
      </c>
      <c r="E462" s="105"/>
      <c r="F462" s="105"/>
      <c r="G462" s="539"/>
      <c r="H462" s="539"/>
      <c r="I462" s="539">
        <f>'HH WITH COM #1 '!$Y$627</f>
        <v>1</v>
      </c>
      <c r="J462" s="91">
        <f t="shared" si="1140"/>
        <v>0.5</v>
      </c>
      <c r="K462" s="539"/>
      <c r="L462" s="539"/>
      <c r="M462" s="539">
        <f>'HH WITH COM #2'!$Y$627</f>
        <v>0</v>
      </c>
      <c r="N462" s="91">
        <f t="shared" si="1141"/>
        <v>0</v>
      </c>
      <c r="O462" s="539"/>
      <c r="P462" s="539"/>
      <c r="Q462" s="539">
        <f>'HH WITH COM #3'!$Y$627</f>
        <v>0</v>
      </c>
      <c r="R462" s="91">
        <f t="shared" si="1142"/>
        <v>0</v>
      </c>
      <c r="S462" s="539"/>
      <c r="T462" s="539"/>
      <c r="U462" s="539">
        <f>'HH WITH COM #4'!$Y$627</f>
        <v>1</v>
      </c>
      <c r="V462" s="91">
        <f t="shared" si="1143"/>
        <v>0.5</v>
      </c>
      <c r="W462" s="539"/>
      <c r="X462" s="539"/>
      <c r="Y462" s="539">
        <f>'HH WITH COM #5'!$Y$627</f>
        <v>1</v>
      </c>
      <c r="Z462" s="91">
        <f t="shared" si="1144"/>
        <v>0.33333333333333331</v>
      </c>
      <c r="AA462" s="539"/>
      <c r="AB462" s="539"/>
      <c r="AC462" s="539">
        <f>'HH WITH COM #6'!$Y$627</f>
        <v>0</v>
      </c>
      <c r="AD462" s="91">
        <f t="shared" si="1145"/>
        <v>0</v>
      </c>
      <c r="AE462" s="539"/>
      <c r="AF462" s="539"/>
      <c r="AG462" s="539">
        <f>'HH WITH COM #7'!$Y$627</f>
        <v>0</v>
      </c>
      <c r="AH462" s="373">
        <f t="shared" si="1146"/>
        <v>0</v>
      </c>
      <c r="AI462" s="382"/>
      <c r="AJ462" s="539"/>
      <c r="AK462" s="539">
        <f t="shared" si="1139"/>
        <v>3</v>
      </c>
      <c r="AL462" s="91">
        <f t="shared" si="1147"/>
        <v>0.25</v>
      </c>
    </row>
    <row r="463" spans="1:38" ht="16.5" customHeight="1" x14ac:dyDescent="0.25">
      <c r="A463" s="40"/>
      <c r="B463" s="40"/>
      <c r="C463" s="40"/>
      <c r="D463" s="134"/>
      <c r="E463" s="184"/>
      <c r="F463" s="184"/>
      <c r="G463" s="82"/>
      <c r="H463" s="82"/>
      <c r="I463" s="82">
        <f>SUM(I458:I462)</f>
        <v>2</v>
      </c>
      <c r="J463" s="66">
        <f t="shared" si="1140"/>
        <v>1</v>
      </c>
      <c r="K463" s="82"/>
      <c r="L463" s="82"/>
      <c r="M463" s="82">
        <f>SUM(M458:M462)</f>
        <v>2</v>
      </c>
      <c r="N463" s="66">
        <f t="shared" si="1141"/>
        <v>1</v>
      </c>
      <c r="O463" s="82"/>
      <c r="P463" s="82"/>
      <c r="Q463" s="82">
        <f>SUM(Q458:Q462)</f>
        <v>1</v>
      </c>
      <c r="R463" s="66">
        <f t="shared" si="1142"/>
        <v>1</v>
      </c>
      <c r="S463" s="82"/>
      <c r="T463" s="82"/>
      <c r="U463" s="82">
        <f>SUM(U458:U462)</f>
        <v>2</v>
      </c>
      <c r="V463" s="66">
        <f t="shared" si="1143"/>
        <v>1</v>
      </c>
      <c r="W463" s="82"/>
      <c r="X463" s="82"/>
      <c r="Y463" s="82">
        <f>SUM(Y458:Y462)</f>
        <v>3</v>
      </c>
      <c r="Z463" s="66">
        <f t="shared" si="1144"/>
        <v>1</v>
      </c>
      <c r="AA463" s="82"/>
      <c r="AB463" s="82"/>
      <c r="AC463" s="82">
        <f>SUM(AC458:AC462)</f>
        <v>2</v>
      </c>
      <c r="AD463" s="66">
        <f t="shared" si="1145"/>
        <v>1</v>
      </c>
      <c r="AE463" s="82"/>
      <c r="AF463" s="82"/>
      <c r="AG463" s="82">
        <f>SUM(AG458:AG462)</f>
        <v>0</v>
      </c>
      <c r="AH463" s="608">
        <f t="shared" si="1146"/>
        <v>0</v>
      </c>
      <c r="AI463" s="381"/>
      <c r="AJ463" s="82"/>
      <c r="AK463" s="82">
        <f>SUM(AK458:AK462)</f>
        <v>12</v>
      </c>
      <c r="AL463" s="66">
        <f t="shared" si="1147"/>
        <v>1</v>
      </c>
    </row>
    <row r="464" spans="1:38" s="117" customFormat="1" ht="16.5" customHeight="1" x14ac:dyDescent="0.25">
      <c r="A464" s="119"/>
      <c r="B464" s="41" t="s">
        <v>687</v>
      </c>
      <c r="C464" s="476" t="s">
        <v>1026</v>
      </c>
      <c r="D464" s="477"/>
      <c r="E464" s="478"/>
      <c r="F464" s="478"/>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71"/>
      <c r="AE464" s="71"/>
      <c r="AF464" s="71"/>
      <c r="AG464" s="71"/>
      <c r="AH464" s="355"/>
      <c r="AI464" s="377"/>
      <c r="AJ464" s="71"/>
      <c r="AK464" s="71"/>
      <c r="AL464" s="71"/>
    </row>
    <row r="465" spans="1:38" ht="16.5" customHeight="1" x14ac:dyDescent="0.25">
      <c r="A465" s="40"/>
      <c r="B465" s="40"/>
      <c r="C465" s="467" t="s">
        <v>689</v>
      </c>
      <c r="D465" s="167" t="s">
        <v>1027</v>
      </c>
      <c r="E465" s="105"/>
      <c r="F465" s="105"/>
      <c r="G465" s="111"/>
      <c r="H465" s="111"/>
      <c r="I465" s="111"/>
      <c r="J465" s="404"/>
      <c r="K465" s="111"/>
      <c r="L465" s="111"/>
      <c r="M465" s="111"/>
      <c r="N465" s="404"/>
      <c r="O465" s="111"/>
      <c r="P465" s="111"/>
      <c r="Q465" s="111"/>
      <c r="R465" s="404"/>
      <c r="S465" s="111"/>
      <c r="T465" s="111"/>
      <c r="U465" s="111"/>
      <c r="V465" s="404"/>
      <c r="W465" s="111"/>
      <c r="X465" s="111"/>
      <c r="Y465" s="111"/>
      <c r="Z465" s="404"/>
      <c r="AA465" s="111"/>
      <c r="AB465" s="111"/>
      <c r="AC465" s="111"/>
      <c r="AD465" s="404"/>
      <c r="AE465" s="111"/>
      <c r="AF465" s="111"/>
      <c r="AG465" s="111"/>
      <c r="AH465" s="615"/>
      <c r="AI465" s="380"/>
      <c r="AJ465" s="111"/>
      <c r="AK465" s="111"/>
      <c r="AL465" s="404"/>
    </row>
    <row r="466" spans="1:38" ht="16.5" customHeight="1" x14ac:dyDescent="0.25">
      <c r="A466" s="40"/>
      <c r="B466" s="40"/>
      <c r="C466" s="40"/>
      <c r="D466" s="473" t="s">
        <v>691</v>
      </c>
      <c r="E466" s="105" t="s">
        <v>692</v>
      </c>
      <c r="F466" s="105"/>
      <c r="G466" s="575"/>
      <c r="H466" s="575"/>
      <c r="I466" s="575">
        <f>'HH WITH COM #1 '!$Y$632</f>
        <v>2</v>
      </c>
      <c r="J466" s="91">
        <f>IF(I$472=0,0,I466/I$472)</f>
        <v>1</v>
      </c>
      <c r="K466" s="575"/>
      <c r="L466" s="575"/>
      <c r="M466" s="575">
        <f>'HH WITH COM #2'!$Y$632</f>
        <v>2</v>
      </c>
      <c r="N466" s="91">
        <f>IF(M$472=0,0,M466/M$472)</f>
        <v>1</v>
      </c>
      <c r="O466" s="575"/>
      <c r="P466" s="575"/>
      <c r="Q466" s="575">
        <f>'HH WITH COM #3'!$Y$632</f>
        <v>1</v>
      </c>
      <c r="R466" s="91">
        <f>IF(Q$472=0,0,Q466/Q$472)</f>
        <v>1</v>
      </c>
      <c r="S466" s="575"/>
      <c r="T466" s="575"/>
      <c r="U466" s="575">
        <f>'HH WITH COM #4'!$Y$632</f>
        <v>1</v>
      </c>
      <c r="V466" s="91">
        <f>IF(U$472=0,0,U466/U$472)</f>
        <v>0.5</v>
      </c>
      <c r="W466" s="575"/>
      <c r="X466" s="575"/>
      <c r="Y466" s="575">
        <f>'HH WITH COM #5'!$Y$632</f>
        <v>3</v>
      </c>
      <c r="Z466" s="91">
        <f>IF(Y$472=0,0,Y466/Y$472)</f>
        <v>1</v>
      </c>
      <c r="AA466" s="575"/>
      <c r="AB466" s="575"/>
      <c r="AC466" s="575">
        <f>'HH WITH COM #6'!$Y$632</f>
        <v>2</v>
      </c>
      <c r="AD466" s="91">
        <f>IF(AC$472=0,0,AC466/AC$472)</f>
        <v>1</v>
      </c>
      <c r="AE466" s="575"/>
      <c r="AF466" s="575"/>
      <c r="AG466" s="575">
        <f>'HH WITH COM #7'!$Y$632</f>
        <v>0</v>
      </c>
      <c r="AH466" s="373">
        <f>IF(AG$472=0,0,AG466/AG$472)</f>
        <v>0</v>
      </c>
      <c r="AI466" s="628"/>
      <c r="AJ466" s="575"/>
      <c r="AK466" s="539">
        <f t="shared" ref="AK466:AK467" si="1148">I466+M466+Q466+U466+Y466+AC466+AG466</f>
        <v>11</v>
      </c>
      <c r="AL466" s="91">
        <f>IF(AK$472=0,0,AK466/AK$472)</f>
        <v>0.91666666666666663</v>
      </c>
    </row>
    <row r="467" spans="1:38" ht="16.5" customHeight="1" x14ac:dyDescent="0.25">
      <c r="A467" s="40"/>
      <c r="B467" s="40"/>
      <c r="C467" s="40"/>
      <c r="D467" s="473" t="s">
        <v>704</v>
      </c>
      <c r="E467" s="105" t="s">
        <v>697</v>
      </c>
      <c r="F467" s="105"/>
      <c r="G467" s="575"/>
      <c r="H467" s="575"/>
      <c r="I467" s="575">
        <f>'HH WITH COM #1 '!$Y$634</f>
        <v>0</v>
      </c>
      <c r="J467" s="91">
        <f t="shared" ref="J467:J472" si="1149">IF(I$472=0,0,I467/I$472)</f>
        <v>0</v>
      </c>
      <c r="K467" s="575"/>
      <c r="L467" s="575"/>
      <c r="M467" s="575">
        <f>'HH WITH COM #2'!$Y$634</f>
        <v>0</v>
      </c>
      <c r="N467" s="91">
        <f t="shared" ref="N467:N472" si="1150">IF(M$472=0,0,M467/M$472)</f>
        <v>0</v>
      </c>
      <c r="O467" s="575"/>
      <c r="P467" s="575"/>
      <c r="Q467" s="575">
        <f>'HH WITH COM #3'!$Y$634</f>
        <v>0</v>
      </c>
      <c r="R467" s="91">
        <f t="shared" ref="R467:R472" si="1151">IF(Q$472=0,0,Q467/Q$472)</f>
        <v>0</v>
      </c>
      <c r="S467" s="575"/>
      <c r="T467" s="575"/>
      <c r="U467" s="575">
        <f>'HH WITH COM #4'!$Y$634</f>
        <v>0</v>
      </c>
      <c r="V467" s="91">
        <f t="shared" ref="V467:V472" si="1152">IF(U$472=0,0,U467/U$472)</f>
        <v>0</v>
      </c>
      <c r="W467" s="575"/>
      <c r="X467" s="575"/>
      <c r="Y467" s="575">
        <f>'HH WITH COM #5'!$Y$634</f>
        <v>0</v>
      </c>
      <c r="Z467" s="91">
        <f t="shared" ref="Z467:Z472" si="1153">IF(Y$472=0,0,Y467/Y$472)</f>
        <v>0</v>
      </c>
      <c r="AA467" s="575"/>
      <c r="AB467" s="575"/>
      <c r="AC467" s="575">
        <f>'HH WITH COM #6'!$Y$634</f>
        <v>0</v>
      </c>
      <c r="AD467" s="91">
        <f t="shared" ref="AD467:AD472" si="1154">IF(AC$472=0,0,AC467/AC$472)</f>
        <v>0</v>
      </c>
      <c r="AE467" s="575"/>
      <c r="AF467" s="575"/>
      <c r="AG467" s="575">
        <f>'HH WITH COM #7'!$Y$634</f>
        <v>0</v>
      </c>
      <c r="AH467" s="373">
        <f t="shared" ref="AH467:AH472" si="1155">IF(AG$472=0,0,AG467/AG$472)</f>
        <v>0</v>
      </c>
      <c r="AI467" s="628"/>
      <c r="AJ467" s="575"/>
      <c r="AK467" s="539">
        <f t="shared" si="1148"/>
        <v>0</v>
      </c>
      <c r="AL467" s="91">
        <f t="shared" ref="AL467:AL472" si="1156">IF(AK$472=0,0,AK467/AK$472)</f>
        <v>0</v>
      </c>
    </row>
    <row r="468" spans="1:38" ht="16.5" customHeight="1" x14ac:dyDescent="0.25">
      <c r="A468" s="40"/>
      <c r="B468" s="40"/>
      <c r="C468" s="40"/>
      <c r="D468" s="1376" t="s">
        <v>695</v>
      </c>
      <c r="E468" s="562" t="s">
        <v>1029</v>
      </c>
      <c r="F468" s="105"/>
      <c r="G468" s="575"/>
      <c r="H468" s="575"/>
      <c r="I468" s="575">
        <f>ROUND(('HH WITH COM #1 '!$AA$633)/5000,0)*5000</f>
        <v>0</v>
      </c>
      <c r="J468" s="91"/>
      <c r="K468" s="575"/>
      <c r="L468" s="575"/>
      <c r="M468" s="575">
        <f>ROUND(('HH WITH COM #2'!$AA$633)/5000,0)*5000</f>
        <v>0</v>
      </c>
      <c r="N468" s="91"/>
      <c r="O468" s="575"/>
      <c r="P468" s="575"/>
      <c r="Q468" s="575">
        <f>ROUND(('HH WITH COM #3'!$AA$633)/5000,0)*5000</f>
        <v>0</v>
      </c>
      <c r="R468" s="91"/>
      <c r="S468" s="575"/>
      <c r="T468" s="575"/>
      <c r="U468" s="575">
        <f>ROUND(('HH WITH COM #4'!$AA$633)/5000,0)*5000</f>
        <v>0</v>
      </c>
      <c r="V468" s="91"/>
      <c r="W468" s="575"/>
      <c r="X468" s="575"/>
      <c r="Y468" s="575">
        <f>ROUND(('HH WITH COM #5'!$AA$633)/5000,0)*5000</f>
        <v>0</v>
      </c>
      <c r="Z468" s="91"/>
      <c r="AA468" s="575"/>
      <c r="AB468" s="575"/>
      <c r="AC468" s="575">
        <f>ROUND(('HH WITH COM #6'!$AA$633)/5000,0)*5000</f>
        <v>0</v>
      </c>
      <c r="AD468" s="91"/>
      <c r="AE468" s="575"/>
      <c r="AF468" s="575"/>
      <c r="AG468" s="575">
        <f>ROUND(('HH WITH COM #7'!$AA$633)/5000,0)*5000</f>
        <v>0</v>
      </c>
      <c r="AH468" s="373"/>
      <c r="AI468" s="628"/>
      <c r="AJ468" s="575"/>
      <c r="AK468" s="539">
        <f t="shared" ref="AK468" si="1157">MIN(I468,M468,Q468,U468,Y468,AC468,AG468)</f>
        <v>0</v>
      </c>
      <c r="AL468" s="91"/>
    </row>
    <row r="469" spans="1:38" ht="16.5" customHeight="1" x14ac:dyDescent="0.25">
      <c r="A469" s="40"/>
      <c r="B469" s="40"/>
      <c r="C469" s="40"/>
      <c r="D469" s="1377"/>
      <c r="E469" s="562" t="s">
        <v>1030</v>
      </c>
      <c r="F469" s="105"/>
      <c r="G469" s="575"/>
      <c r="H469" s="575"/>
      <c r="I469" s="575">
        <f>ROUND(('HH WITH COM #1 '!$AB$633)/5000,0)*5000</f>
        <v>0</v>
      </c>
      <c r="J469" s="91"/>
      <c r="K469" s="575"/>
      <c r="L469" s="575"/>
      <c r="M469" s="575">
        <f>ROUND(('HH WITH COM #2'!$AB$633)/5000,0)*5000</f>
        <v>0</v>
      </c>
      <c r="N469" s="91"/>
      <c r="O469" s="575"/>
      <c r="P469" s="575"/>
      <c r="Q469" s="575">
        <f>ROUND(('HH WITH COM #3'!$AB$633)/5000,0)*5000</f>
        <v>0</v>
      </c>
      <c r="R469" s="91"/>
      <c r="S469" s="575"/>
      <c r="T469" s="575"/>
      <c r="U469" s="575">
        <f>ROUND(('HH WITH COM #4'!$AB$633)/5000,0)*5000</f>
        <v>0</v>
      </c>
      <c r="V469" s="91"/>
      <c r="W469" s="575"/>
      <c r="X469" s="575"/>
      <c r="Y469" s="575">
        <f>ROUND(('HH WITH COM #5'!$AB$633)/5000,0)*5000</f>
        <v>0</v>
      </c>
      <c r="Z469" s="91"/>
      <c r="AA469" s="575"/>
      <c r="AB469" s="575"/>
      <c r="AC469" s="575">
        <f>ROUND(('HH WITH COM #6'!$AB$633)/5000,0)*5000</f>
        <v>0</v>
      </c>
      <c r="AD469" s="91"/>
      <c r="AE469" s="575"/>
      <c r="AF469" s="575"/>
      <c r="AG469" s="575">
        <f>ROUND(('HH WITH COM #7'!$AB$633)/5000,0)*5000</f>
        <v>0</v>
      </c>
      <c r="AH469" s="373"/>
      <c r="AI469" s="628"/>
      <c r="AJ469" s="575"/>
      <c r="AK469" s="539">
        <f t="shared" ref="AK469" si="1158">MAX(I469,M469,Q469,U469,Y469,AC469,AG469)</f>
        <v>0</v>
      </c>
      <c r="AL469" s="91"/>
    </row>
    <row r="470" spans="1:38" ht="16.5" customHeight="1" x14ac:dyDescent="0.25">
      <c r="A470" s="40"/>
      <c r="B470" s="40"/>
      <c r="C470" s="40"/>
      <c r="D470" s="1378"/>
      <c r="E470" s="562" t="s">
        <v>1031</v>
      </c>
      <c r="F470" s="105"/>
      <c r="G470" s="575"/>
      <c r="H470" s="575"/>
      <c r="I470" s="575">
        <f>ROUND(('HH WITH COM #1 '!$AC$633)/5000,0)*5000</f>
        <v>0</v>
      </c>
      <c r="J470" s="91"/>
      <c r="K470" s="575"/>
      <c r="L470" s="575"/>
      <c r="M470" s="575">
        <f>ROUND(('HH WITH COM #2'!$AC$633)/5000,0)*5000</f>
        <v>0</v>
      </c>
      <c r="N470" s="91"/>
      <c r="O470" s="575"/>
      <c r="P470" s="575"/>
      <c r="Q470" s="575">
        <f>ROUND(('HH WITH COM #3'!$AC$633)/5000,0)*5000</f>
        <v>0</v>
      </c>
      <c r="R470" s="91"/>
      <c r="S470" s="575"/>
      <c r="T470" s="575"/>
      <c r="U470" s="575">
        <f>ROUND(('HH WITH COM #4'!$AC$633)/5000,0)*5000</f>
        <v>0</v>
      </c>
      <c r="V470" s="91"/>
      <c r="W470" s="575"/>
      <c r="X470" s="575"/>
      <c r="Y470" s="575">
        <f>ROUND(('HH WITH COM #5'!$AC$633)/5000,0)*5000</f>
        <v>0</v>
      </c>
      <c r="Z470" s="91"/>
      <c r="AA470" s="575"/>
      <c r="AB470" s="575"/>
      <c r="AC470" s="575">
        <f>ROUND(('HH WITH COM #6'!$AC$633)/5000,0)*5000</f>
        <v>0</v>
      </c>
      <c r="AD470" s="91"/>
      <c r="AE470" s="575"/>
      <c r="AF470" s="575"/>
      <c r="AG470" s="575">
        <f>ROUND(('HH WITH COM #7'!$AC$633)/5000,0)*5000</f>
        <v>0</v>
      </c>
      <c r="AH470" s="373"/>
      <c r="AI470" s="628"/>
      <c r="AJ470" s="575"/>
      <c r="AK470" s="539">
        <f t="shared" ref="AK470" si="1159">IF(I470+M470+Q470+U470+Y470+AC470=0,0,AVERAGE(I470,M470,Q470,U470,Y470,AC470,AG470))</f>
        <v>0</v>
      </c>
      <c r="AL470" s="91"/>
    </row>
    <row r="471" spans="1:38" ht="16.5" customHeight="1" x14ac:dyDescent="0.25">
      <c r="A471" s="40"/>
      <c r="B471" s="40"/>
      <c r="C471" s="40"/>
      <c r="D471" s="473" t="s">
        <v>1028</v>
      </c>
      <c r="E471" s="562" t="s">
        <v>696</v>
      </c>
      <c r="F471" s="105"/>
      <c r="G471" s="575"/>
      <c r="H471" s="575"/>
      <c r="I471" s="575">
        <f>'HH WITH COM #1 '!$Y$635</f>
        <v>0</v>
      </c>
      <c r="J471" s="91">
        <f t="shared" si="1149"/>
        <v>0</v>
      </c>
      <c r="K471" s="575"/>
      <c r="L471" s="575"/>
      <c r="M471" s="575">
        <f>'HH WITH COM #2'!$Y$635</f>
        <v>0</v>
      </c>
      <c r="N471" s="91">
        <f t="shared" si="1150"/>
        <v>0</v>
      </c>
      <c r="O471" s="575"/>
      <c r="P471" s="575"/>
      <c r="Q471" s="575">
        <f>'HH WITH COM #3'!$Y$635</f>
        <v>0</v>
      </c>
      <c r="R471" s="91">
        <f t="shared" si="1151"/>
        <v>0</v>
      </c>
      <c r="S471" s="575"/>
      <c r="T471" s="575"/>
      <c r="U471" s="575">
        <f>'HH WITH COM #4'!$Y$635</f>
        <v>1</v>
      </c>
      <c r="V471" s="91">
        <f t="shared" si="1152"/>
        <v>0.5</v>
      </c>
      <c r="W471" s="575"/>
      <c r="X471" s="575"/>
      <c r="Y471" s="575">
        <f>'HH WITH COM #5'!$Y$635</f>
        <v>0</v>
      </c>
      <c r="Z471" s="91">
        <f t="shared" si="1153"/>
        <v>0</v>
      </c>
      <c r="AA471" s="575"/>
      <c r="AB471" s="575"/>
      <c r="AC471" s="575">
        <f>'HH WITH COM #6'!$Y$635</f>
        <v>0</v>
      </c>
      <c r="AD471" s="91">
        <f t="shared" si="1154"/>
        <v>0</v>
      </c>
      <c r="AE471" s="575"/>
      <c r="AF471" s="575"/>
      <c r="AG471" s="575">
        <f>'HH WITH COM #7'!$Y$635</f>
        <v>0</v>
      </c>
      <c r="AH471" s="373">
        <f t="shared" si="1155"/>
        <v>0</v>
      </c>
      <c r="AI471" s="628"/>
      <c r="AJ471" s="575"/>
      <c r="AK471" s="539">
        <f t="shared" ref="AK471" si="1160">I471+M471+Q471+U471+Y471+AC471+AG471</f>
        <v>1</v>
      </c>
      <c r="AL471" s="91">
        <f t="shared" si="1156"/>
        <v>8.3333333333333329E-2</v>
      </c>
    </row>
    <row r="472" spans="1:38" ht="16.5" customHeight="1" x14ac:dyDescent="0.25">
      <c r="A472" s="40"/>
      <c r="B472" s="40"/>
      <c r="C472" s="40"/>
      <c r="D472" s="134"/>
      <c r="E472" s="184"/>
      <c r="F472" s="184"/>
      <c r="G472" s="82"/>
      <c r="H472" s="82"/>
      <c r="I472" s="82">
        <f>I466+I467+I471</f>
        <v>2</v>
      </c>
      <c r="J472" s="66">
        <f t="shared" si="1149"/>
        <v>1</v>
      </c>
      <c r="K472" s="82"/>
      <c r="L472" s="82"/>
      <c r="M472" s="82">
        <f>M466+M467+M471</f>
        <v>2</v>
      </c>
      <c r="N472" s="66">
        <f t="shared" si="1150"/>
        <v>1</v>
      </c>
      <c r="O472" s="82"/>
      <c r="P472" s="82"/>
      <c r="Q472" s="82">
        <f>Q466+Q467+Q471</f>
        <v>1</v>
      </c>
      <c r="R472" s="66">
        <f t="shared" si="1151"/>
        <v>1</v>
      </c>
      <c r="S472" s="82"/>
      <c r="T472" s="82"/>
      <c r="U472" s="82">
        <f>U466+U467+U471</f>
        <v>2</v>
      </c>
      <c r="V472" s="66">
        <f t="shared" si="1152"/>
        <v>1</v>
      </c>
      <c r="W472" s="82"/>
      <c r="X472" s="82"/>
      <c r="Y472" s="82">
        <f>Y466+Y467+Y471</f>
        <v>3</v>
      </c>
      <c r="Z472" s="66">
        <f t="shared" si="1153"/>
        <v>1</v>
      </c>
      <c r="AA472" s="82"/>
      <c r="AB472" s="82"/>
      <c r="AC472" s="82">
        <f>AC466+AC467+AC471</f>
        <v>2</v>
      </c>
      <c r="AD472" s="66">
        <f t="shared" si="1154"/>
        <v>1</v>
      </c>
      <c r="AE472" s="82"/>
      <c r="AF472" s="82"/>
      <c r="AG472" s="82">
        <f>AG466+AG467+AG471</f>
        <v>0</v>
      </c>
      <c r="AH472" s="608">
        <f t="shared" si="1155"/>
        <v>0</v>
      </c>
      <c r="AI472" s="381"/>
      <c r="AJ472" s="82"/>
      <c r="AK472" s="82">
        <f>AK466+AK467+AK471</f>
        <v>12</v>
      </c>
      <c r="AL472" s="66">
        <f t="shared" si="1156"/>
        <v>1</v>
      </c>
    </row>
    <row r="473" spans="1:38" ht="16.5" customHeight="1" x14ac:dyDescent="0.25">
      <c r="A473" s="40"/>
      <c r="B473" s="40"/>
      <c r="C473" s="467" t="s">
        <v>698</v>
      </c>
      <c r="D473" s="167" t="s">
        <v>1032</v>
      </c>
      <c r="E473" s="105"/>
      <c r="F473" s="105"/>
      <c r="G473" s="111"/>
      <c r="H473" s="111"/>
      <c r="I473" s="111"/>
      <c r="J473" s="404"/>
      <c r="K473" s="111"/>
      <c r="L473" s="111"/>
      <c r="M473" s="111"/>
      <c r="N473" s="404"/>
      <c r="O473" s="111"/>
      <c r="P473" s="111"/>
      <c r="Q473" s="111"/>
      <c r="R473" s="404"/>
      <c r="S473" s="111"/>
      <c r="T473" s="111"/>
      <c r="U473" s="111"/>
      <c r="V473" s="404"/>
      <c r="W473" s="111"/>
      <c r="X473" s="111"/>
      <c r="Y473" s="111"/>
      <c r="Z473" s="404"/>
      <c r="AA473" s="111"/>
      <c r="AB473" s="111"/>
      <c r="AC473" s="111"/>
      <c r="AD473" s="404"/>
      <c r="AE473" s="111"/>
      <c r="AF473" s="111"/>
      <c r="AG473" s="111"/>
      <c r="AH473" s="615"/>
      <c r="AI473" s="380"/>
      <c r="AJ473" s="111"/>
      <c r="AK473" s="111"/>
      <c r="AL473" s="404"/>
    </row>
    <row r="474" spans="1:38" ht="16.5" customHeight="1" x14ac:dyDescent="0.25">
      <c r="A474" s="40"/>
      <c r="B474" s="40"/>
      <c r="C474" s="40"/>
      <c r="D474" s="473" t="s">
        <v>702</v>
      </c>
      <c r="E474" s="105" t="s">
        <v>692</v>
      </c>
      <c r="F474" s="105"/>
      <c r="G474" s="575"/>
      <c r="H474" s="575"/>
      <c r="I474" s="575">
        <f>'HH WITH COM #1 '!$Y$639</f>
        <v>2</v>
      </c>
      <c r="J474" s="91">
        <f>IF(I$480=0,0,I474/I$480)</f>
        <v>1</v>
      </c>
      <c r="K474" s="575"/>
      <c r="L474" s="575"/>
      <c r="M474" s="575">
        <f>'HH WITH COM #2'!$Y$639</f>
        <v>2</v>
      </c>
      <c r="N474" s="91">
        <f>IF(M$480=0,0,M474/M$480)</f>
        <v>1</v>
      </c>
      <c r="O474" s="575"/>
      <c r="P474" s="575"/>
      <c r="Q474" s="575">
        <f>'HH WITH COM #3'!$Y$639</f>
        <v>1</v>
      </c>
      <c r="R474" s="91">
        <f>IF(Q$480=0,0,Q474/Q$480)</f>
        <v>1</v>
      </c>
      <c r="S474" s="575"/>
      <c r="T474" s="575"/>
      <c r="U474" s="575">
        <f>'HH WITH COM #4'!$Y$639</f>
        <v>1</v>
      </c>
      <c r="V474" s="91">
        <f>IF(U$480=0,0,U474/U$480)</f>
        <v>0.5</v>
      </c>
      <c r="W474" s="575"/>
      <c r="X474" s="575"/>
      <c r="Y474" s="575">
        <f>'HH WITH COM #5'!$Y$639</f>
        <v>3</v>
      </c>
      <c r="Z474" s="91">
        <f>IF(Y$480=0,0,Y474/Y$480)</f>
        <v>1</v>
      </c>
      <c r="AA474" s="575"/>
      <c r="AB474" s="575"/>
      <c r="AC474" s="575">
        <f>'HH WITH COM #6'!$Y$639</f>
        <v>2</v>
      </c>
      <c r="AD474" s="91">
        <f>IF(AC$480=0,0,AC474/AC$480)</f>
        <v>1</v>
      </c>
      <c r="AE474" s="575"/>
      <c r="AF474" s="575"/>
      <c r="AG474" s="575">
        <f>'HH WITH COM #7'!$Y$639</f>
        <v>0</v>
      </c>
      <c r="AH474" s="373">
        <f>IF(AG$480=0,0,AG474/AG$480)</f>
        <v>0</v>
      </c>
      <c r="AI474" s="628"/>
      <c r="AJ474" s="575"/>
      <c r="AK474" s="539">
        <f t="shared" ref="AK474:AK475" si="1161">I474+M474+Q474+U474+Y474+AC474+AG474</f>
        <v>11</v>
      </c>
      <c r="AL474" s="91">
        <f>IF(AK$480=0,0,AK474/AK$480)</f>
        <v>0.91666666666666663</v>
      </c>
    </row>
    <row r="475" spans="1:38" ht="16.5" customHeight="1" x14ac:dyDescent="0.25">
      <c r="A475" s="40"/>
      <c r="B475" s="40"/>
      <c r="C475" s="40"/>
      <c r="D475" s="473" t="s">
        <v>702</v>
      </c>
      <c r="E475" s="105" t="s">
        <v>697</v>
      </c>
      <c r="F475" s="105"/>
      <c r="G475" s="575"/>
      <c r="H475" s="575"/>
      <c r="I475" s="575">
        <f>'HH WITH COM #1 '!$Y$641</f>
        <v>0</v>
      </c>
      <c r="J475" s="91">
        <f t="shared" ref="J475:J480" si="1162">IF(I$480=0,0,I475/I$480)</f>
        <v>0</v>
      </c>
      <c r="K475" s="575"/>
      <c r="L475" s="575"/>
      <c r="M475" s="575">
        <f>'HH WITH COM #2'!$Y$641</f>
        <v>0</v>
      </c>
      <c r="N475" s="91">
        <f t="shared" ref="N475:N480" si="1163">IF(M$480=0,0,M475/M$480)</f>
        <v>0</v>
      </c>
      <c r="O475" s="575"/>
      <c r="P475" s="575"/>
      <c r="Q475" s="575">
        <f>'HH WITH COM #3'!$Y$641</f>
        <v>0</v>
      </c>
      <c r="R475" s="91">
        <f t="shared" ref="R475:R480" si="1164">IF(Q$480=0,0,Q475/Q$480)</f>
        <v>0</v>
      </c>
      <c r="S475" s="575"/>
      <c r="T475" s="575"/>
      <c r="U475" s="575">
        <f>'HH WITH COM #4'!$Y$641</f>
        <v>0</v>
      </c>
      <c r="V475" s="91">
        <f t="shared" ref="V475:V480" si="1165">IF(U$480=0,0,U475/U$480)</f>
        <v>0</v>
      </c>
      <c r="W475" s="575"/>
      <c r="X475" s="575"/>
      <c r="Y475" s="575">
        <f>'HH WITH COM #5'!$Y$641</f>
        <v>0</v>
      </c>
      <c r="Z475" s="91">
        <f t="shared" ref="Z475:Z480" si="1166">IF(Y$480=0,0,Y475/Y$480)</f>
        <v>0</v>
      </c>
      <c r="AA475" s="575"/>
      <c r="AB475" s="575"/>
      <c r="AC475" s="575">
        <f>'HH WITH COM #6'!$Y$641</f>
        <v>0</v>
      </c>
      <c r="AD475" s="91">
        <f t="shared" ref="AD475:AD480" si="1167">IF(AC$480=0,0,AC475/AC$480)</f>
        <v>0</v>
      </c>
      <c r="AE475" s="575"/>
      <c r="AF475" s="575"/>
      <c r="AG475" s="575">
        <f>'HH WITH COM #7'!$Y$641</f>
        <v>0</v>
      </c>
      <c r="AH475" s="373">
        <f t="shared" ref="AH475:AH480" si="1168">IF(AG$480=0,0,AG475/AG$480)</f>
        <v>0</v>
      </c>
      <c r="AI475" s="628"/>
      <c r="AJ475" s="575"/>
      <c r="AK475" s="539">
        <f t="shared" si="1161"/>
        <v>0</v>
      </c>
      <c r="AL475" s="91">
        <f t="shared" ref="AL475:AL480" si="1169">IF(AK$480=0,0,AK475/AK$480)</f>
        <v>0</v>
      </c>
    </row>
    <row r="476" spans="1:38" ht="16.5" customHeight="1" x14ac:dyDescent="0.25">
      <c r="A476" s="40"/>
      <c r="B476" s="40"/>
      <c r="C476" s="40"/>
      <c r="D476" s="1376" t="s">
        <v>703</v>
      </c>
      <c r="E476" s="562" t="s">
        <v>1029</v>
      </c>
      <c r="F476" s="105"/>
      <c r="G476" s="575"/>
      <c r="H476" s="575"/>
      <c r="I476" s="575">
        <f>ROUND(('HH WITH COM #1 '!$AA$640)/5000,0)*5000</f>
        <v>0</v>
      </c>
      <c r="J476" s="91"/>
      <c r="K476" s="575"/>
      <c r="L476" s="575"/>
      <c r="M476" s="575">
        <f>ROUND(('HH WITH COM #2'!$AA$640)/5000,0)*5000</f>
        <v>0</v>
      </c>
      <c r="N476" s="91"/>
      <c r="O476" s="575"/>
      <c r="P476" s="575"/>
      <c r="Q476" s="575">
        <f>ROUND(('HH WITH COM #3'!$AA$640)/5000,0)*5000</f>
        <v>0</v>
      </c>
      <c r="R476" s="91"/>
      <c r="S476" s="575"/>
      <c r="T476" s="575"/>
      <c r="U476" s="575">
        <f>ROUND(('HH WITH COM #4'!$AA$640)/5000,0)*5000</f>
        <v>0</v>
      </c>
      <c r="V476" s="91"/>
      <c r="W476" s="575"/>
      <c r="X476" s="575"/>
      <c r="Y476" s="575">
        <f>ROUND(('HH WITH COM #5'!$AA$640)/5000,0)*5000</f>
        <v>0</v>
      </c>
      <c r="Z476" s="91"/>
      <c r="AA476" s="575"/>
      <c r="AB476" s="575"/>
      <c r="AC476" s="575">
        <f>ROUND(('HH WITH COM #6'!$AA$640)/5000,0)*5000</f>
        <v>0</v>
      </c>
      <c r="AD476" s="91"/>
      <c r="AE476" s="575"/>
      <c r="AF476" s="575"/>
      <c r="AG476" s="575">
        <f>ROUND(('HH WITH COM #7'!$AA$640)/5000,0)*5000</f>
        <v>0</v>
      </c>
      <c r="AH476" s="373"/>
      <c r="AI476" s="628"/>
      <c r="AJ476" s="575"/>
      <c r="AK476" s="539">
        <f t="shared" ref="AK476" si="1170">MIN(I476,M476,Q476,U476,Y476,AC476,AG476)</f>
        <v>0</v>
      </c>
      <c r="AL476" s="91"/>
    </row>
    <row r="477" spans="1:38" ht="16.5" customHeight="1" x14ac:dyDescent="0.25">
      <c r="A477" s="40"/>
      <c r="B477" s="40"/>
      <c r="C477" s="40"/>
      <c r="D477" s="1377"/>
      <c r="E477" s="562" t="s">
        <v>1030</v>
      </c>
      <c r="F477" s="105"/>
      <c r="G477" s="575"/>
      <c r="H477" s="575"/>
      <c r="I477" s="575">
        <f>ROUND(('HH WITH COM #1 '!$AB$640)/5000,0)*5000</f>
        <v>0</v>
      </c>
      <c r="J477" s="91"/>
      <c r="K477" s="575"/>
      <c r="L477" s="575"/>
      <c r="M477" s="575">
        <f>ROUND(('HH WITH COM #2'!$AB$640)/5000,0)*5000</f>
        <v>0</v>
      </c>
      <c r="N477" s="91"/>
      <c r="O477" s="575"/>
      <c r="P477" s="575"/>
      <c r="Q477" s="575">
        <f>ROUND(('HH WITH COM #3'!$AB$640)/5000,0)*5000</f>
        <v>0</v>
      </c>
      <c r="R477" s="91"/>
      <c r="S477" s="575"/>
      <c r="T477" s="575"/>
      <c r="U477" s="575">
        <f>ROUND(('HH WITH COM #4'!$AB$640)/5000,0)*5000</f>
        <v>0</v>
      </c>
      <c r="V477" s="91"/>
      <c r="W477" s="575"/>
      <c r="X477" s="575"/>
      <c r="Y477" s="575">
        <f>ROUND(('HH WITH COM #5'!$AB$640)/5000,0)*5000</f>
        <v>0</v>
      </c>
      <c r="Z477" s="91"/>
      <c r="AA477" s="575"/>
      <c r="AB477" s="575"/>
      <c r="AC477" s="575">
        <f>ROUND(('HH WITH COM #6'!$AB$640)/5000,0)*5000</f>
        <v>0</v>
      </c>
      <c r="AD477" s="91"/>
      <c r="AE477" s="575"/>
      <c r="AF477" s="575"/>
      <c r="AG477" s="575">
        <f>ROUND(('HH WITH COM #7'!$AB$640)/5000,0)*5000</f>
        <v>0</v>
      </c>
      <c r="AH477" s="373"/>
      <c r="AI477" s="628"/>
      <c r="AJ477" s="575"/>
      <c r="AK477" s="539">
        <f t="shared" ref="AK477" si="1171">MAX(I477,M477,Q477,U477,Y477,AC477,AG477)</f>
        <v>0</v>
      </c>
      <c r="AL477" s="91"/>
    </row>
    <row r="478" spans="1:38" ht="16.5" customHeight="1" x14ac:dyDescent="0.25">
      <c r="A478" s="40"/>
      <c r="B478" s="40"/>
      <c r="C478" s="40"/>
      <c r="D478" s="1378"/>
      <c r="E478" s="562" t="s">
        <v>1031</v>
      </c>
      <c r="F478" s="105"/>
      <c r="G478" s="575"/>
      <c r="H478" s="575"/>
      <c r="I478" s="575">
        <f>ROUND(('HH WITH COM #1 '!$AC$640)/5000,0)*5000</f>
        <v>0</v>
      </c>
      <c r="J478" s="91"/>
      <c r="K478" s="575"/>
      <c r="L478" s="575"/>
      <c r="M478" s="575">
        <f>ROUND(('HH WITH COM #2'!$AC$640)/5000,0)*5000</f>
        <v>0</v>
      </c>
      <c r="N478" s="91"/>
      <c r="O478" s="575"/>
      <c r="P478" s="575"/>
      <c r="Q478" s="575">
        <f>ROUND(('HH WITH COM #3'!$AC$640)/5000,0)*5000</f>
        <v>0</v>
      </c>
      <c r="R478" s="91"/>
      <c r="S478" s="575"/>
      <c r="T478" s="575"/>
      <c r="U478" s="575">
        <f>ROUND(('HH WITH COM #4'!$AC$640)/5000,0)*5000</f>
        <v>0</v>
      </c>
      <c r="V478" s="91"/>
      <c r="W478" s="575"/>
      <c r="X478" s="575"/>
      <c r="Y478" s="575">
        <f>ROUND(('HH WITH COM #5'!$AC$640)/5000,0)*5000</f>
        <v>0</v>
      </c>
      <c r="Z478" s="91"/>
      <c r="AA478" s="575"/>
      <c r="AB478" s="575"/>
      <c r="AC478" s="575">
        <f>ROUND(('HH WITH COM #6'!$AC$640)/5000,0)*5000</f>
        <v>0</v>
      </c>
      <c r="AD478" s="91"/>
      <c r="AE478" s="575"/>
      <c r="AF478" s="575"/>
      <c r="AG478" s="575">
        <f>ROUND(('HH WITH COM #7'!$AC$640)/5000,0)*5000</f>
        <v>0</v>
      </c>
      <c r="AH478" s="373"/>
      <c r="AI478" s="628"/>
      <c r="AJ478" s="575"/>
      <c r="AK478" s="539">
        <f t="shared" ref="AK478" si="1172">IF(I478+M478+Q478+U478+Y478+AC478=0,0,AVERAGE(I478,M478,Q478,U478,Y478,AC478,AG478))</f>
        <v>0</v>
      </c>
      <c r="AL478" s="91"/>
    </row>
    <row r="479" spans="1:38" ht="16.5" customHeight="1" x14ac:dyDescent="0.25">
      <c r="A479" s="40"/>
      <c r="B479" s="40"/>
      <c r="C479" s="40"/>
      <c r="D479" s="473" t="s">
        <v>1033</v>
      </c>
      <c r="E479" s="562" t="s">
        <v>696</v>
      </c>
      <c r="F479" s="105"/>
      <c r="G479" s="575"/>
      <c r="H479" s="575"/>
      <c r="I479" s="575">
        <f>'HH WITH COM #1 '!$Y$642</f>
        <v>0</v>
      </c>
      <c r="J479" s="91">
        <f t="shared" si="1162"/>
        <v>0</v>
      </c>
      <c r="K479" s="575"/>
      <c r="L479" s="575"/>
      <c r="M479" s="575">
        <f>'HH WITH COM #2'!$Y$642</f>
        <v>0</v>
      </c>
      <c r="N479" s="91">
        <f t="shared" si="1163"/>
        <v>0</v>
      </c>
      <c r="O479" s="575"/>
      <c r="P479" s="575"/>
      <c r="Q479" s="575">
        <f>'HH WITH COM #3'!$Y$642</f>
        <v>0</v>
      </c>
      <c r="R479" s="91">
        <f t="shared" si="1164"/>
        <v>0</v>
      </c>
      <c r="S479" s="575"/>
      <c r="T479" s="575"/>
      <c r="U479" s="575">
        <f>'HH WITH COM #4'!$Y$642</f>
        <v>1</v>
      </c>
      <c r="V479" s="91">
        <f t="shared" si="1165"/>
        <v>0.5</v>
      </c>
      <c r="W479" s="575"/>
      <c r="X479" s="575"/>
      <c r="Y479" s="575">
        <f>'HH WITH COM #5'!$Y$642</f>
        <v>0</v>
      </c>
      <c r="Z479" s="91">
        <f t="shared" si="1166"/>
        <v>0</v>
      </c>
      <c r="AA479" s="575"/>
      <c r="AB479" s="575"/>
      <c r="AC479" s="575">
        <f>'HH WITH COM #6'!$Y$642</f>
        <v>0</v>
      </c>
      <c r="AD479" s="91">
        <f t="shared" si="1167"/>
        <v>0</v>
      </c>
      <c r="AE479" s="575"/>
      <c r="AF479" s="575"/>
      <c r="AG479" s="575">
        <f>'HH WITH COM #7'!$Y$642</f>
        <v>0</v>
      </c>
      <c r="AH479" s="373">
        <f t="shared" si="1168"/>
        <v>0</v>
      </c>
      <c r="AI479" s="628"/>
      <c r="AJ479" s="575"/>
      <c r="AK479" s="539">
        <f t="shared" ref="AK479" si="1173">I479+M479+Q479+U479+Y479+AC479+AG479</f>
        <v>1</v>
      </c>
      <c r="AL479" s="91">
        <f t="shared" si="1169"/>
        <v>8.3333333333333329E-2</v>
      </c>
    </row>
    <row r="480" spans="1:38" ht="16.5" customHeight="1" x14ac:dyDescent="0.25">
      <c r="A480" s="40"/>
      <c r="B480" s="40"/>
      <c r="C480" s="40"/>
      <c r="D480" s="134"/>
      <c r="E480" s="184"/>
      <c r="F480" s="184"/>
      <c r="G480" s="82"/>
      <c r="H480" s="82"/>
      <c r="I480" s="82">
        <f>I474+I475+I479</f>
        <v>2</v>
      </c>
      <c r="J480" s="66">
        <f t="shared" si="1162"/>
        <v>1</v>
      </c>
      <c r="K480" s="82"/>
      <c r="L480" s="82"/>
      <c r="M480" s="82">
        <f>M474+M475+M479</f>
        <v>2</v>
      </c>
      <c r="N480" s="66">
        <f t="shared" si="1163"/>
        <v>1</v>
      </c>
      <c r="O480" s="82"/>
      <c r="P480" s="82"/>
      <c r="Q480" s="82">
        <f>Q474+Q475+Q479</f>
        <v>1</v>
      </c>
      <c r="R480" s="66">
        <f t="shared" si="1164"/>
        <v>1</v>
      </c>
      <c r="S480" s="82"/>
      <c r="T480" s="82"/>
      <c r="U480" s="82">
        <f>U474+U475+U479</f>
        <v>2</v>
      </c>
      <c r="V480" s="66">
        <f t="shared" si="1165"/>
        <v>1</v>
      </c>
      <c r="W480" s="82"/>
      <c r="X480" s="82"/>
      <c r="Y480" s="82">
        <f>Y474+Y475+Y479</f>
        <v>3</v>
      </c>
      <c r="Z480" s="66">
        <f t="shared" si="1166"/>
        <v>1</v>
      </c>
      <c r="AA480" s="82"/>
      <c r="AB480" s="82"/>
      <c r="AC480" s="82">
        <f>AC474+AC475+AC479</f>
        <v>2</v>
      </c>
      <c r="AD480" s="66">
        <f t="shared" si="1167"/>
        <v>1</v>
      </c>
      <c r="AE480" s="82"/>
      <c r="AF480" s="82"/>
      <c r="AG480" s="82">
        <f>AG474+AG475+AG479</f>
        <v>0</v>
      </c>
      <c r="AH480" s="608">
        <f t="shared" si="1168"/>
        <v>0</v>
      </c>
      <c r="AI480" s="381"/>
      <c r="AJ480" s="82"/>
      <c r="AK480" s="82">
        <f>AK474+AK475+AK479</f>
        <v>12</v>
      </c>
      <c r="AL480" s="66">
        <f t="shared" si="1169"/>
        <v>1</v>
      </c>
    </row>
    <row r="481" spans="1:38" ht="16.5" customHeight="1" x14ac:dyDescent="0.25">
      <c r="A481" s="40"/>
      <c r="B481" s="40"/>
      <c r="C481" s="467" t="s">
        <v>700</v>
      </c>
      <c r="D481" s="167" t="s">
        <v>1034</v>
      </c>
      <c r="E481" s="105"/>
      <c r="F481" s="105"/>
      <c r="G481" s="111"/>
      <c r="H481" s="111"/>
      <c r="I481" s="111"/>
      <c r="J481" s="404"/>
      <c r="K481" s="111"/>
      <c r="L481" s="111"/>
      <c r="M481" s="111"/>
      <c r="N481" s="404"/>
      <c r="O481" s="111"/>
      <c r="P481" s="111"/>
      <c r="Q481" s="111"/>
      <c r="R481" s="404"/>
      <c r="S481" s="111"/>
      <c r="T481" s="111"/>
      <c r="U481" s="111"/>
      <c r="V481" s="404"/>
      <c r="W481" s="111"/>
      <c r="X481" s="111"/>
      <c r="Y481" s="111"/>
      <c r="Z481" s="404"/>
      <c r="AA481" s="111"/>
      <c r="AB481" s="111"/>
      <c r="AC481" s="111"/>
      <c r="AD481" s="404"/>
      <c r="AE481" s="111"/>
      <c r="AF481" s="111"/>
      <c r="AG481" s="111"/>
      <c r="AH481" s="615"/>
      <c r="AI481" s="380"/>
      <c r="AJ481" s="111"/>
      <c r="AK481" s="111"/>
      <c r="AL481" s="404"/>
    </row>
    <row r="482" spans="1:38" ht="16.5" customHeight="1" x14ac:dyDescent="0.25">
      <c r="A482" s="40"/>
      <c r="B482" s="40"/>
      <c r="C482" s="40"/>
      <c r="D482" s="473" t="s">
        <v>705</v>
      </c>
      <c r="E482" s="105" t="s">
        <v>692</v>
      </c>
      <c r="F482" s="105"/>
      <c r="G482" s="575"/>
      <c r="H482" s="575"/>
      <c r="I482" s="575">
        <f>'HH WITH COM #1 '!$Y$646</f>
        <v>2</v>
      </c>
      <c r="J482" s="91">
        <f>IF(I$488=0,0,I482/I$488)</f>
        <v>1</v>
      </c>
      <c r="K482" s="575"/>
      <c r="L482" s="575"/>
      <c r="M482" s="575">
        <f>'HH WITH COM #2'!$Y$646</f>
        <v>2</v>
      </c>
      <c r="N482" s="91">
        <f>IF(M$488=0,0,M482/M$488)</f>
        <v>1</v>
      </c>
      <c r="O482" s="575"/>
      <c r="P482" s="575"/>
      <c r="Q482" s="575">
        <f>'HH WITH COM #3'!$Y$646</f>
        <v>1</v>
      </c>
      <c r="R482" s="91">
        <f>IF(Q$488=0,0,Q482/Q$488)</f>
        <v>1</v>
      </c>
      <c r="S482" s="575"/>
      <c r="T482" s="575"/>
      <c r="U482" s="575">
        <f>'HH WITH COM #4'!$Y$646</f>
        <v>1</v>
      </c>
      <c r="V482" s="91">
        <f>IF(U$488=0,0,U482/U$488)</f>
        <v>0.5</v>
      </c>
      <c r="W482" s="575"/>
      <c r="X482" s="575"/>
      <c r="Y482" s="575">
        <f>'HH WITH COM #5'!$Y$646</f>
        <v>3</v>
      </c>
      <c r="Z482" s="91">
        <f>IF(Y$488=0,0,Y482/Y$488)</f>
        <v>1</v>
      </c>
      <c r="AA482" s="575"/>
      <c r="AB482" s="575"/>
      <c r="AC482" s="575">
        <f>'HH WITH COM #6'!$Y$646</f>
        <v>2</v>
      </c>
      <c r="AD482" s="91">
        <f>IF(AC$488=0,0,AC482/AC$488)</f>
        <v>1</v>
      </c>
      <c r="AE482" s="575"/>
      <c r="AF482" s="575"/>
      <c r="AG482" s="575">
        <f>'HH WITH COM #7'!$Y$646</f>
        <v>0</v>
      </c>
      <c r="AH482" s="373">
        <f>IF(AG$488=0,0,AG482/AG$488)</f>
        <v>0</v>
      </c>
      <c r="AI482" s="628"/>
      <c r="AJ482" s="575"/>
      <c r="AK482" s="539">
        <f t="shared" ref="AK482:AK483" si="1174">I482+M482+Q482+U482+Y482+AC482+AG482</f>
        <v>11</v>
      </c>
      <c r="AL482" s="91">
        <f>IF(AK$488=0,0,AK482/AK$488)</f>
        <v>0.91666666666666663</v>
      </c>
    </row>
    <row r="483" spans="1:38" ht="16.5" customHeight="1" x14ac:dyDescent="0.25">
      <c r="A483" s="40"/>
      <c r="B483" s="40"/>
      <c r="C483" s="40"/>
      <c r="D483" s="473" t="s">
        <v>705</v>
      </c>
      <c r="E483" s="105" t="s">
        <v>697</v>
      </c>
      <c r="F483" s="105"/>
      <c r="G483" s="575"/>
      <c r="H483" s="575"/>
      <c r="I483" s="575">
        <f>'HH WITH COM #1 '!$Y$648</f>
        <v>0</v>
      </c>
      <c r="J483" s="91">
        <f t="shared" ref="J483:J488" si="1175">IF(I$488=0,0,I483/I$488)</f>
        <v>0</v>
      </c>
      <c r="K483" s="575"/>
      <c r="L483" s="575"/>
      <c r="M483" s="575">
        <f>'HH WITH COM #2'!$Y$648</f>
        <v>0</v>
      </c>
      <c r="N483" s="91">
        <f t="shared" ref="N483:N488" si="1176">IF(M$488=0,0,M483/M$488)</f>
        <v>0</v>
      </c>
      <c r="O483" s="575"/>
      <c r="P483" s="575"/>
      <c r="Q483" s="575">
        <f>'HH WITH COM #3'!$Y$648</f>
        <v>0</v>
      </c>
      <c r="R483" s="91">
        <f t="shared" ref="R483:R488" si="1177">IF(Q$488=0,0,Q483/Q$488)</f>
        <v>0</v>
      </c>
      <c r="S483" s="575"/>
      <c r="T483" s="575"/>
      <c r="U483" s="575">
        <f>'HH WITH COM #4'!$Y$648</f>
        <v>0</v>
      </c>
      <c r="V483" s="91">
        <f t="shared" ref="V483:V488" si="1178">IF(U$488=0,0,U483/U$488)</f>
        <v>0</v>
      </c>
      <c r="W483" s="575"/>
      <c r="X483" s="575"/>
      <c r="Y483" s="575">
        <f>'HH WITH COM #5'!$Y$648</f>
        <v>0</v>
      </c>
      <c r="Z483" s="91">
        <f t="shared" ref="Z483:Z488" si="1179">IF(Y$488=0,0,Y483/Y$488)</f>
        <v>0</v>
      </c>
      <c r="AA483" s="575"/>
      <c r="AB483" s="575"/>
      <c r="AC483" s="575">
        <f>'HH WITH COM #6'!$Y$648</f>
        <v>0</v>
      </c>
      <c r="AD483" s="91">
        <f t="shared" ref="AD483:AD488" si="1180">IF(AC$488=0,0,AC483/AC$488)</f>
        <v>0</v>
      </c>
      <c r="AE483" s="575"/>
      <c r="AF483" s="575"/>
      <c r="AG483" s="575">
        <f>'HH WITH COM #7'!$Y$648</f>
        <v>0</v>
      </c>
      <c r="AH483" s="373">
        <f t="shared" ref="AH483:AH488" si="1181">IF(AG$488=0,0,AG483/AG$488)</f>
        <v>0</v>
      </c>
      <c r="AI483" s="628"/>
      <c r="AJ483" s="575"/>
      <c r="AK483" s="539">
        <f t="shared" si="1174"/>
        <v>0</v>
      </c>
      <c r="AL483" s="91">
        <f t="shared" ref="AL483:AL488" si="1182">IF(AK$488=0,0,AK483/AK$488)</f>
        <v>0</v>
      </c>
    </row>
    <row r="484" spans="1:38" ht="16.5" customHeight="1" x14ac:dyDescent="0.25">
      <c r="A484" s="40"/>
      <c r="B484" s="40"/>
      <c r="C484" s="40"/>
      <c r="D484" s="1376" t="s">
        <v>707</v>
      </c>
      <c r="E484" s="562" t="s">
        <v>1029</v>
      </c>
      <c r="F484" s="105"/>
      <c r="G484" s="575"/>
      <c r="H484" s="575"/>
      <c r="I484" s="575">
        <f>ROUND(('HH WITH COM #1 '!$AA$647)/5000,0)*5000</f>
        <v>0</v>
      </c>
      <c r="J484" s="91"/>
      <c r="K484" s="575"/>
      <c r="L484" s="575"/>
      <c r="M484" s="575">
        <f>ROUND(('HH WITH COM #2'!$AA$647)/5000,0)*5000</f>
        <v>0</v>
      </c>
      <c r="N484" s="91"/>
      <c r="O484" s="575"/>
      <c r="P484" s="575"/>
      <c r="Q484" s="575">
        <f>ROUND(('HH WITH COM #3'!$AA$647)/5000,0)*5000</f>
        <v>0</v>
      </c>
      <c r="R484" s="91"/>
      <c r="S484" s="575"/>
      <c r="T484" s="575"/>
      <c r="U484" s="575">
        <f>ROUND(('HH WITH COM #4'!$AA$647)/5000,0)*5000</f>
        <v>0</v>
      </c>
      <c r="V484" s="91"/>
      <c r="W484" s="575"/>
      <c r="X484" s="575"/>
      <c r="Y484" s="575">
        <f>ROUND(('HH WITH COM #5'!$AA$647)/5000,0)*5000</f>
        <v>0</v>
      </c>
      <c r="Z484" s="91"/>
      <c r="AA484" s="575"/>
      <c r="AB484" s="575"/>
      <c r="AC484" s="575">
        <f>ROUND(('HH WITH COM #6'!$AA$647)/5000,0)*5000</f>
        <v>0</v>
      </c>
      <c r="AD484" s="91"/>
      <c r="AE484" s="575"/>
      <c r="AF484" s="575"/>
      <c r="AG484" s="575">
        <f>ROUND(('HH WITH COM #7'!$AA$647)/5000,0)*5000</f>
        <v>0</v>
      </c>
      <c r="AH484" s="373"/>
      <c r="AI484" s="628"/>
      <c r="AJ484" s="575"/>
      <c r="AK484" s="539">
        <f t="shared" ref="AK484" si="1183">MIN(I484,M484,Q484,U484,Y484,AC484,AG484)</f>
        <v>0</v>
      </c>
      <c r="AL484" s="91"/>
    </row>
    <row r="485" spans="1:38" ht="16.5" customHeight="1" x14ac:dyDescent="0.25">
      <c r="A485" s="40"/>
      <c r="B485" s="40"/>
      <c r="C485" s="40"/>
      <c r="D485" s="1377"/>
      <c r="E485" s="562" t="s">
        <v>1030</v>
      </c>
      <c r="F485" s="105"/>
      <c r="G485" s="575"/>
      <c r="H485" s="575"/>
      <c r="I485" s="575">
        <f>ROUND(('HH WITH COM #1 '!$AB$647)/5000,0)*5000</f>
        <v>0</v>
      </c>
      <c r="J485" s="91"/>
      <c r="K485" s="575"/>
      <c r="L485" s="575"/>
      <c r="M485" s="575">
        <f>ROUND(('HH WITH COM #2'!$AB$647)/5000,0)*5000</f>
        <v>0</v>
      </c>
      <c r="N485" s="91"/>
      <c r="O485" s="575"/>
      <c r="P485" s="575"/>
      <c r="Q485" s="575">
        <f>ROUND(('HH WITH COM #3'!$AB$647)/5000,0)*5000</f>
        <v>0</v>
      </c>
      <c r="R485" s="91"/>
      <c r="S485" s="575"/>
      <c r="T485" s="575"/>
      <c r="U485" s="575">
        <f>ROUND(('HH WITH COM #4'!$AB$647)/5000,0)*5000</f>
        <v>0</v>
      </c>
      <c r="V485" s="91"/>
      <c r="W485" s="575"/>
      <c r="X485" s="575"/>
      <c r="Y485" s="575">
        <f>ROUND(('HH WITH COM #5'!$AB$647)/5000,0)*5000</f>
        <v>0</v>
      </c>
      <c r="Z485" s="91"/>
      <c r="AA485" s="575"/>
      <c r="AB485" s="575"/>
      <c r="AC485" s="575">
        <f>ROUND(('HH WITH COM #6'!$AB$647)/5000,0)*5000</f>
        <v>0</v>
      </c>
      <c r="AD485" s="91"/>
      <c r="AE485" s="575"/>
      <c r="AF485" s="575"/>
      <c r="AG485" s="575">
        <f>ROUND(('HH WITH COM #7'!$AB$647)/5000,0)*5000</f>
        <v>0</v>
      </c>
      <c r="AH485" s="373"/>
      <c r="AI485" s="628"/>
      <c r="AJ485" s="575"/>
      <c r="AK485" s="539">
        <f t="shared" ref="AK485" si="1184">MAX(I485,M485,Q485,U485,Y485,AC485,AG485)</f>
        <v>0</v>
      </c>
      <c r="AL485" s="91"/>
    </row>
    <row r="486" spans="1:38" ht="16.5" customHeight="1" x14ac:dyDescent="0.25">
      <c r="A486" s="40"/>
      <c r="B486" s="40"/>
      <c r="C486" s="40"/>
      <c r="D486" s="1378"/>
      <c r="E486" s="562" t="s">
        <v>1031</v>
      </c>
      <c r="F486" s="105"/>
      <c r="G486" s="575"/>
      <c r="H486" s="575"/>
      <c r="I486" s="575">
        <f>ROUND(('HH WITH COM #1 '!$AC$647)/5000,0)*5000</f>
        <v>0</v>
      </c>
      <c r="J486" s="91"/>
      <c r="K486" s="575"/>
      <c r="L486" s="575"/>
      <c r="M486" s="575">
        <f>ROUND(('HH WITH COM #2'!$AC$647)/5000,0)*5000</f>
        <v>0</v>
      </c>
      <c r="N486" s="91"/>
      <c r="O486" s="575"/>
      <c r="P486" s="575"/>
      <c r="Q486" s="575">
        <f>ROUND(('HH WITH COM #3'!$AC$647)/5000,0)*5000</f>
        <v>0</v>
      </c>
      <c r="R486" s="91"/>
      <c r="S486" s="575"/>
      <c r="T486" s="575"/>
      <c r="U486" s="575">
        <f>ROUND(('HH WITH COM #4'!$AC$647)/5000,0)*5000</f>
        <v>0</v>
      </c>
      <c r="V486" s="91"/>
      <c r="W486" s="575"/>
      <c r="X486" s="575"/>
      <c r="Y486" s="575">
        <f>ROUND(('HH WITH COM #5'!$AC$647)/5000,0)*5000</f>
        <v>0</v>
      </c>
      <c r="Z486" s="91"/>
      <c r="AA486" s="575"/>
      <c r="AB486" s="575"/>
      <c r="AC486" s="575">
        <f>ROUND(('HH WITH COM #6'!$AC$647)/5000,0)*5000</f>
        <v>0</v>
      </c>
      <c r="AD486" s="91"/>
      <c r="AE486" s="575"/>
      <c r="AF486" s="575"/>
      <c r="AG486" s="575">
        <f>ROUND(('HH WITH COM #7'!$AC$647)/5000,0)*5000</f>
        <v>0</v>
      </c>
      <c r="AH486" s="373"/>
      <c r="AI486" s="628"/>
      <c r="AJ486" s="575"/>
      <c r="AK486" s="539">
        <f t="shared" ref="AK486" si="1185">IF(I486+M486+Q486+U486+Y486+AC486=0,0,AVERAGE(I486,M486,Q486,U486,Y486,AC486,AG486))</f>
        <v>0</v>
      </c>
      <c r="AL486" s="91"/>
    </row>
    <row r="487" spans="1:38" ht="16.5" customHeight="1" x14ac:dyDescent="0.25">
      <c r="A487" s="40"/>
      <c r="B487" s="40"/>
      <c r="C487" s="40"/>
      <c r="D487" s="473" t="s">
        <v>1035</v>
      </c>
      <c r="E487" s="562" t="s">
        <v>696</v>
      </c>
      <c r="F487" s="105"/>
      <c r="G487" s="575"/>
      <c r="H487" s="575"/>
      <c r="I487" s="575">
        <f>'HH WITH COM #1 '!$Y$649</f>
        <v>0</v>
      </c>
      <c r="J487" s="91">
        <f t="shared" si="1175"/>
        <v>0</v>
      </c>
      <c r="K487" s="575"/>
      <c r="L487" s="575"/>
      <c r="M487" s="575">
        <f>'HH WITH COM #2'!$Y$649</f>
        <v>0</v>
      </c>
      <c r="N487" s="91">
        <f t="shared" si="1176"/>
        <v>0</v>
      </c>
      <c r="O487" s="575"/>
      <c r="P487" s="575"/>
      <c r="Q487" s="575">
        <f>'HH WITH COM #3'!$Y$649</f>
        <v>0</v>
      </c>
      <c r="R487" s="91">
        <f t="shared" si="1177"/>
        <v>0</v>
      </c>
      <c r="S487" s="575"/>
      <c r="T487" s="575"/>
      <c r="U487" s="575">
        <f>'HH WITH COM #4'!$Y$649</f>
        <v>1</v>
      </c>
      <c r="V487" s="91">
        <f t="shared" si="1178"/>
        <v>0.5</v>
      </c>
      <c r="W487" s="575"/>
      <c r="X487" s="575"/>
      <c r="Y487" s="575">
        <f>'HH WITH COM #5'!$Y$649</f>
        <v>0</v>
      </c>
      <c r="Z487" s="91">
        <f t="shared" si="1179"/>
        <v>0</v>
      </c>
      <c r="AA487" s="575"/>
      <c r="AB487" s="575"/>
      <c r="AC487" s="575">
        <f>'HH WITH COM #6'!$Y$649</f>
        <v>0</v>
      </c>
      <c r="AD487" s="91">
        <f t="shared" si="1180"/>
        <v>0</v>
      </c>
      <c r="AE487" s="575"/>
      <c r="AF487" s="575"/>
      <c r="AG487" s="575">
        <f>'HH WITH COM #7'!$Y$649</f>
        <v>0</v>
      </c>
      <c r="AH487" s="373">
        <f t="shared" si="1181"/>
        <v>0</v>
      </c>
      <c r="AI487" s="628"/>
      <c r="AJ487" s="575"/>
      <c r="AK487" s="539">
        <f t="shared" ref="AK487" si="1186">I487+M487+Q487+U487+Y487+AC487+AG487</f>
        <v>1</v>
      </c>
      <c r="AL487" s="91">
        <f t="shared" si="1182"/>
        <v>8.3333333333333329E-2</v>
      </c>
    </row>
    <row r="488" spans="1:38" ht="16.5" customHeight="1" x14ac:dyDescent="0.25">
      <c r="A488" s="40"/>
      <c r="B488" s="40"/>
      <c r="C488" s="40"/>
      <c r="D488" s="134"/>
      <c r="E488" s="184"/>
      <c r="F488" s="184"/>
      <c r="G488" s="82"/>
      <c r="H488" s="82"/>
      <c r="I488" s="82">
        <f>I482+I483+I487</f>
        <v>2</v>
      </c>
      <c r="J488" s="66">
        <f t="shared" si="1175"/>
        <v>1</v>
      </c>
      <c r="K488" s="82"/>
      <c r="L488" s="82"/>
      <c r="M488" s="82">
        <f>M482+M483+M487</f>
        <v>2</v>
      </c>
      <c r="N488" s="66">
        <f t="shared" si="1176"/>
        <v>1</v>
      </c>
      <c r="O488" s="82"/>
      <c r="P488" s="82"/>
      <c r="Q488" s="82">
        <f>Q482+Q483+Q487</f>
        <v>1</v>
      </c>
      <c r="R488" s="66">
        <f t="shared" si="1177"/>
        <v>1</v>
      </c>
      <c r="S488" s="82"/>
      <c r="T488" s="82"/>
      <c r="U488" s="82">
        <f>U482+U483+U487</f>
        <v>2</v>
      </c>
      <c r="V488" s="66">
        <f t="shared" si="1178"/>
        <v>1</v>
      </c>
      <c r="W488" s="82"/>
      <c r="X488" s="82"/>
      <c r="Y488" s="82">
        <f>Y482+Y483+Y487</f>
        <v>3</v>
      </c>
      <c r="Z488" s="66">
        <f t="shared" si="1179"/>
        <v>1</v>
      </c>
      <c r="AA488" s="82"/>
      <c r="AB488" s="82"/>
      <c r="AC488" s="82">
        <f>AC482+AC483+AC487</f>
        <v>2</v>
      </c>
      <c r="AD488" s="66">
        <f t="shared" si="1180"/>
        <v>1</v>
      </c>
      <c r="AE488" s="82"/>
      <c r="AF488" s="82"/>
      <c r="AG488" s="82">
        <f>AG482+AG483+AG487</f>
        <v>0</v>
      </c>
      <c r="AH488" s="608">
        <f t="shared" si="1181"/>
        <v>0</v>
      </c>
      <c r="AI488" s="381"/>
      <c r="AJ488" s="82"/>
      <c r="AK488" s="82">
        <f>AK482+AK483+AK487</f>
        <v>12</v>
      </c>
      <c r="AL488" s="66">
        <f t="shared" si="1182"/>
        <v>1</v>
      </c>
    </row>
    <row r="489" spans="1:38" s="117" customFormat="1" ht="16.5" customHeight="1" x14ac:dyDescent="0.25">
      <c r="A489" s="119"/>
      <c r="B489" s="41" t="s">
        <v>708</v>
      </c>
      <c r="C489" s="476" t="s">
        <v>1036</v>
      </c>
      <c r="D489" s="477"/>
      <c r="E489" s="478"/>
      <c r="F489" s="478"/>
      <c r="G489" s="71"/>
      <c r="H489" s="71"/>
      <c r="I489" s="71"/>
      <c r="J489" s="71"/>
      <c r="K489" s="71"/>
      <c r="L489" s="71"/>
      <c r="M489" s="71"/>
      <c r="N489" s="71"/>
      <c r="O489" s="71"/>
      <c r="P489" s="71"/>
      <c r="Q489" s="71"/>
      <c r="R489" s="71"/>
      <c r="S489" s="71"/>
      <c r="T489" s="71"/>
      <c r="U489" s="71"/>
      <c r="V489" s="71"/>
      <c r="W489" s="71"/>
      <c r="X489" s="71"/>
      <c r="Y489" s="71"/>
      <c r="Z489" s="71"/>
      <c r="AA489" s="71"/>
      <c r="AB489" s="71"/>
      <c r="AC489" s="71"/>
      <c r="AD489" s="71"/>
      <c r="AE489" s="71"/>
      <c r="AF489" s="71"/>
      <c r="AG489" s="71"/>
      <c r="AH489" s="355"/>
      <c r="AI489" s="377"/>
      <c r="AJ489" s="71"/>
      <c r="AK489" s="71"/>
      <c r="AL489" s="71"/>
    </row>
    <row r="490" spans="1:38" ht="16.5" customHeight="1" x14ac:dyDescent="0.25">
      <c r="A490" s="40"/>
      <c r="B490" s="40"/>
      <c r="C490" s="467" t="s">
        <v>710</v>
      </c>
      <c r="D490" s="576" t="s">
        <v>1037</v>
      </c>
      <c r="E490" s="149"/>
      <c r="F490" s="105"/>
      <c r="G490" s="545"/>
      <c r="H490" s="545"/>
      <c r="I490" s="545"/>
      <c r="J490" s="404"/>
      <c r="K490" s="545"/>
      <c r="L490" s="545"/>
      <c r="M490" s="545"/>
      <c r="N490" s="404"/>
      <c r="O490" s="545"/>
      <c r="P490" s="545"/>
      <c r="Q490" s="545"/>
      <c r="R490" s="404"/>
      <c r="S490" s="545"/>
      <c r="T490" s="545"/>
      <c r="U490" s="545"/>
      <c r="V490" s="404"/>
      <c r="W490" s="545"/>
      <c r="X490" s="545"/>
      <c r="Y490" s="545"/>
      <c r="Z490" s="404"/>
      <c r="AA490" s="545"/>
      <c r="AB490" s="545"/>
      <c r="AC490" s="545"/>
      <c r="AD490" s="404"/>
      <c r="AE490" s="545"/>
      <c r="AF490" s="545"/>
      <c r="AG490" s="545"/>
      <c r="AH490" s="615"/>
      <c r="AI490" s="385"/>
      <c r="AJ490" s="545"/>
      <c r="AK490" s="545"/>
      <c r="AL490" s="404"/>
    </row>
    <row r="491" spans="1:38" ht="16.5" customHeight="1" x14ac:dyDescent="0.25">
      <c r="A491" s="40"/>
      <c r="B491" s="40"/>
      <c r="C491" s="40"/>
      <c r="D491" s="505" t="s">
        <v>712</v>
      </c>
      <c r="E491" s="562" t="s">
        <v>692</v>
      </c>
      <c r="F491" s="105"/>
      <c r="G491" s="539"/>
      <c r="H491" s="539"/>
      <c r="I491" s="539">
        <f>'HH WITH COM #1 '!$Y$654</f>
        <v>1</v>
      </c>
      <c r="J491" s="91">
        <f>IF(I$500=0,0,I491/I$500)</f>
        <v>0.5</v>
      </c>
      <c r="K491" s="539"/>
      <c r="L491" s="539"/>
      <c r="M491" s="539">
        <f>'HH WITH COM #2'!$Y$654</f>
        <v>0</v>
      </c>
      <c r="N491" s="91">
        <f>IF(M$500=0,0,M491/M$500)</f>
        <v>0</v>
      </c>
      <c r="O491" s="539"/>
      <c r="P491" s="539"/>
      <c r="Q491" s="539">
        <f>'HH WITH COM #3'!$Y$654</f>
        <v>0</v>
      </c>
      <c r="R491" s="91">
        <f>IF(Q$500=0,0,Q491/Q$500)</f>
        <v>0</v>
      </c>
      <c r="S491" s="539"/>
      <c r="T491" s="539"/>
      <c r="U491" s="539">
        <f>'HH WITH COM #4'!$Y$654</f>
        <v>0</v>
      </c>
      <c r="V491" s="91">
        <f>IF(U$500=0,0,U491/U$500)</f>
        <v>0</v>
      </c>
      <c r="W491" s="539"/>
      <c r="X491" s="539"/>
      <c r="Y491" s="539">
        <f>'HH WITH COM #5'!$Y$654</f>
        <v>1</v>
      </c>
      <c r="Z491" s="91">
        <f>IF(Y$500=0,0,Y491/Y$500)</f>
        <v>0.33333333333333331</v>
      </c>
      <c r="AA491" s="539"/>
      <c r="AB491" s="539"/>
      <c r="AC491" s="539">
        <f>'HH WITH COM #6'!$Y$654</f>
        <v>0</v>
      </c>
      <c r="AD491" s="91">
        <f>IF(AC$500=0,0,AC491/AC$500)</f>
        <v>0</v>
      </c>
      <c r="AE491" s="539"/>
      <c r="AF491" s="539"/>
      <c r="AG491" s="539">
        <f>'HH WITH COM #7'!$Y$654</f>
        <v>0</v>
      </c>
      <c r="AH491" s="373">
        <f>IF(AG$500=0,0,AG491/AG$500)</f>
        <v>0</v>
      </c>
      <c r="AI491" s="628"/>
      <c r="AJ491" s="575"/>
      <c r="AK491" s="539">
        <f t="shared" ref="AK491:AK499" si="1187">I491+M491+Q491+U491+Y491+AC491+AG491</f>
        <v>2</v>
      </c>
      <c r="AL491" s="91">
        <f>IF(AK$500=0,0,AK491/AK$500)</f>
        <v>0.15384615384615385</v>
      </c>
    </row>
    <row r="492" spans="1:38" ht="16.5" customHeight="1" x14ac:dyDescent="0.25">
      <c r="A492" s="40"/>
      <c r="B492" s="40"/>
      <c r="C492" s="40"/>
      <c r="D492" s="505" t="s">
        <v>713</v>
      </c>
      <c r="E492" s="562" t="s">
        <v>512</v>
      </c>
      <c r="F492" s="105"/>
      <c r="G492" s="539"/>
      <c r="H492" s="539"/>
      <c r="I492" s="539">
        <f>'HH WITH COM #1 '!$Y$655</f>
        <v>0</v>
      </c>
      <c r="J492" s="91">
        <f t="shared" ref="J492:J500" si="1188">IF(I$500=0,0,I492/I$500)</f>
        <v>0</v>
      </c>
      <c r="K492" s="539"/>
      <c r="L492" s="539"/>
      <c r="M492" s="539">
        <f>'HH WITH COM #2'!$Y$655</f>
        <v>0</v>
      </c>
      <c r="N492" s="91">
        <f t="shared" ref="N492:N500" si="1189">IF(M$500=0,0,M492/M$500)</f>
        <v>0</v>
      </c>
      <c r="O492" s="539"/>
      <c r="P492" s="539"/>
      <c r="Q492" s="539">
        <f>'HH WITH COM #3'!$Y$655</f>
        <v>0</v>
      </c>
      <c r="R492" s="91">
        <f t="shared" ref="R492:R500" si="1190">IF(Q$500=0,0,Q492/Q$500)</f>
        <v>0</v>
      </c>
      <c r="S492" s="539"/>
      <c r="T492" s="539"/>
      <c r="U492" s="539">
        <f>'HH WITH COM #4'!$Y$655</f>
        <v>0</v>
      </c>
      <c r="V492" s="91">
        <f t="shared" ref="V492:V500" si="1191">IF(U$500=0,0,U492/U$500)</f>
        <v>0</v>
      </c>
      <c r="W492" s="539"/>
      <c r="X492" s="539"/>
      <c r="Y492" s="539">
        <f>'HH WITH COM #5'!$Y$655</f>
        <v>0</v>
      </c>
      <c r="Z492" s="91">
        <f t="shared" ref="Z492:Z500" si="1192">IF(Y$500=0,0,Y492/Y$500)</f>
        <v>0</v>
      </c>
      <c r="AA492" s="539"/>
      <c r="AB492" s="539"/>
      <c r="AC492" s="539">
        <f>'HH WITH COM #6'!$Y$655</f>
        <v>0</v>
      </c>
      <c r="AD492" s="91">
        <f t="shared" ref="AD492:AD500" si="1193">IF(AC$500=0,0,AC492/AC$500)</f>
        <v>0</v>
      </c>
      <c r="AE492" s="539"/>
      <c r="AF492" s="539"/>
      <c r="AG492" s="539">
        <f>'HH WITH COM #7'!$Y$655</f>
        <v>0</v>
      </c>
      <c r="AH492" s="373">
        <f t="shared" ref="AH492:AH500" si="1194">IF(AG$500=0,0,AG492/AG$500)</f>
        <v>0</v>
      </c>
      <c r="AI492" s="628"/>
      <c r="AJ492" s="575"/>
      <c r="AK492" s="539">
        <f t="shared" si="1187"/>
        <v>0</v>
      </c>
      <c r="AL492" s="91">
        <f t="shared" ref="AL492:AL500" si="1195">IF(AK$500=0,0,AK492/AK$500)</f>
        <v>0</v>
      </c>
    </row>
    <row r="493" spans="1:38" ht="16.5" customHeight="1" x14ac:dyDescent="0.25">
      <c r="A493" s="40"/>
      <c r="B493" s="40"/>
      <c r="C493" s="40"/>
      <c r="D493" s="505" t="s">
        <v>714</v>
      </c>
      <c r="E493" s="562" t="s">
        <v>513</v>
      </c>
      <c r="F493" s="105"/>
      <c r="G493" s="539"/>
      <c r="H493" s="539"/>
      <c r="I493" s="539">
        <f>'HH WITH COM #1 '!$Y$656</f>
        <v>0</v>
      </c>
      <c r="J493" s="91">
        <f t="shared" si="1188"/>
        <v>0</v>
      </c>
      <c r="K493" s="539"/>
      <c r="L493" s="539"/>
      <c r="M493" s="539">
        <f>'HH WITH COM #2'!$Y$656</f>
        <v>0</v>
      </c>
      <c r="N493" s="91">
        <f t="shared" si="1189"/>
        <v>0</v>
      </c>
      <c r="O493" s="539"/>
      <c r="P493" s="539"/>
      <c r="Q493" s="539">
        <f>'HH WITH COM #3'!$Y$656</f>
        <v>0</v>
      </c>
      <c r="R493" s="91">
        <f t="shared" si="1190"/>
        <v>0</v>
      </c>
      <c r="S493" s="539"/>
      <c r="T493" s="539"/>
      <c r="U493" s="539">
        <f>'HH WITH COM #4'!$Y$656</f>
        <v>0</v>
      </c>
      <c r="V493" s="91">
        <f t="shared" si="1191"/>
        <v>0</v>
      </c>
      <c r="W493" s="539"/>
      <c r="X493" s="539"/>
      <c r="Y493" s="539">
        <f>'HH WITH COM #5'!$Y$656</f>
        <v>0</v>
      </c>
      <c r="Z493" s="91">
        <f t="shared" si="1192"/>
        <v>0</v>
      </c>
      <c r="AA493" s="539"/>
      <c r="AB493" s="539"/>
      <c r="AC493" s="539">
        <f>'HH WITH COM #6'!$Y$656</f>
        <v>0</v>
      </c>
      <c r="AD493" s="91">
        <f t="shared" si="1193"/>
        <v>0</v>
      </c>
      <c r="AE493" s="539"/>
      <c r="AF493" s="539"/>
      <c r="AG493" s="539">
        <f>'HH WITH COM #7'!$Y$656</f>
        <v>0</v>
      </c>
      <c r="AH493" s="373">
        <f t="shared" si="1194"/>
        <v>0</v>
      </c>
      <c r="AI493" s="628"/>
      <c r="AJ493" s="575"/>
      <c r="AK493" s="539">
        <f t="shared" si="1187"/>
        <v>0</v>
      </c>
      <c r="AL493" s="91">
        <f t="shared" si="1195"/>
        <v>0</v>
      </c>
    </row>
    <row r="494" spans="1:38" ht="16.5" customHeight="1" x14ac:dyDescent="0.25">
      <c r="A494" s="40"/>
      <c r="B494" s="40"/>
      <c r="C494" s="40"/>
      <c r="D494" s="505" t="s">
        <v>715</v>
      </c>
      <c r="E494" s="562" t="s">
        <v>514</v>
      </c>
      <c r="F494" s="105"/>
      <c r="G494" s="539"/>
      <c r="H494" s="539"/>
      <c r="I494" s="539">
        <f>'HH WITH COM #1 '!$Y$657</f>
        <v>1</v>
      </c>
      <c r="J494" s="91">
        <f t="shared" si="1188"/>
        <v>0.5</v>
      </c>
      <c r="K494" s="539"/>
      <c r="L494" s="539"/>
      <c r="M494" s="539">
        <f>'HH WITH COM #2'!$Y$657</f>
        <v>2</v>
      </c>
      <c r="N494" s="91">
        <f t="shared" si="1189"/>
        <v>0.66666666666666663</v>
      </c>
      <c r="O494" s="539"/>
      <c r="P494" s="539"/>
      <c r="Q494" s="539">
        <f>'HH WITH COM #3'!$Y$657</f>
        <v>0</v>
      </c>
      <c r="R494" s="91">
        <f t="shared" si="1190"/>
        <v>0</v>
      </c>
      <c r="S494" s="539"/>
      <c r="T494" s="539"/>
      <c r="U494" s="539">
        <f>'HH WITH COM #4'!$Y$657</f>
        <v>0</v>
      </c>
      <c r="V494" s="91">
        <f t="shared" si="1191"/>
        <v>0</v>
      </c>
      <c r="W494" s="539"/>
      <c r="X494" s="539"/>
      <c r="Y494" s="539">
        <f>'HH WITH COM #5'!$Y$657</f>
        <v>2</v>
      </c>
      <c r="Z494" s="91">
        <f t="shared" si="1192"/>
        <v>0.66666666666666663</v>
      </c>
      <c r="AA494" s="539"/>
      <c r="AB494" s="539"/>
      <c r="AC494" s="539">
        <f>'HH WITH COM #6'!$Y$657</f>
        <v>1</v>
      </c>
      <c r="AD494" s="91">
        <f t="shared" si="1193"/>
        <v>0.5</v>
      </c>
      <c r="AE494" s="539"/>
      <c r="AF494" s="539"/>
      <c r="AG494" s="539">
        <f>'HH WITH COM #7'!$Y$657</f>
        <v>0</v>
      </c>
      <c r="AH494" s="373">
        <f t="shared" si="1194"/>
        <v>0</v>
      </c>
      <c r="AI494" s="628"/>
      <c r="AJ494" s="575"/>
      <c r="AK494" s="539">
        <f t="shared" si="1187"/>
        <v>6</v>
      </c>
      <c r="AL494" s="91">
        <f t="shared" si="1195"/>
        <v>0.46153846153846156</v>
      </c>
    </row>
    <row r="495" spans="1:38" ht="16.5" customHeight="1" x14ac:dyDescent="0.25">
      <c r="A495" s="40"/>
      <c r="B495" s="40"/>
      <c r="C495" s="40"/>
      <c r="D495" s="505" t="s">
        <v>716</v>
      </c>
      <c r="E495" s="562" t="s">
        <v>357</v>
      </c>
      <c r="F495" s="105"/>
      <c r="G495" s="539"/>
      <c r="H495" s="539"/>
      <c r="I495" s="539">
        <f>'HH WITH COM #1 '!$Y$658</f>
        <v>0</v>
      </c>
      <c r="J495" s="91">
        <f t="shared" si="1188"/>
        <v>0</v>
      </c>
      <c r="K495" s="539"/>
      <c r="L495" s="539"/>
      <c r="M495" s="539">
        <f>'HH WITH COM #2'!$Y$658</f>
        <v>0</v>
      </c>
      <c r="N495" s="91">
        <f t="shared" si="1189"/>
        <v>0</v>
      </c>
      <c r="O495" s="539"/>
      <c r="P495" s="539"/>
      <c r="Q495" s="539">
        <f>'HH WITH COM #3'!$Y$658</f>
        <v>0</v>
      </c>
      <c r="R495" s="91">
        <f t="shared" si="1190"/>
        <v>0</v>
      </c>
      <c r="S495" s="539"/>
      <c r="T495" s="539"/>
      <c r="U495" s="539">
        <f>'HH WITH COM #4'!$Y$658</f>
        <v>0</v>
      </c>
      <c r="V495" s="91">
        <f t="shared" si="1191"/>
        <v>0</v>
      </c>
      <c r="W495" s="539"/>
      <c r="X495" s="539"/>
      <c r="Y495" s="539">
        <f>'HH WITH COM #5'!$Y$658</f>
        <v>0</v>
      </c>
      <c r="Z495" s="91">
        <f t="shared" si="1192"/>
        <v>0</v>
      </c>
      <c r="AA495" s="539"/>
      <c r="AB495" s="539"/>
      <c r="AC495" s="539">
        <f>'HH WITH COM #6'!$Y$658</f>
        <v>0</v>
      </c>
      <c r="AD495" s="91">
        <f t="shared" si="1193"/>
        <v>0</v>
      </c>
      <c r="AE495" s="539"/>
      <c r="AF495" s="539"/>
      <c r="AG495" s="539">
        <f>'HH WITH COM #7'!$Y$658</f>
        <v>0</v>
      </c>
      <c r="AH495" s="373">
        <f t="shared" si="1194"/>
        <v>0</v>
      </c>
      <c r="AI495" s="628"/>
      <c r="AJ495" s="575"/>
      <c r="AK495" s="539">
        <f t="shared" si="1187"/>
        <v>0</v>
      </c>
      <c r="AL495" s="91">
        <f t="shared" si="1195"/>
        <v>0</v>
      </c>
    </row>
    <row r="496" spans="1:38" ht="16.5" customHeight="1" x14ac:dyDescent="0.25">
      <c r="A496" s="40"/>
      <c r="B496" s="40"/>
      <c r="C496" s="40"/>
      <c r="D496" s="505" t="s">
        <v>717</v>
      </c>
      <c r="E496" s="562" t="s">
        <v>515</v>
      </c>
      <c r="F496" s="105"/>
      <c r="G496" s="539"/>
      <c r="H496" s="539"/>
      <c r="I496" s="539">
        <f>'HH WITH COM #1 '!$Y$659</f>
        <v>0</v>
      </c>
      <c r="J496" s="91">
        <f t="shared" si="1188"/>
        <v>0</v>
      </c>
      <c r="K496" s="539"/>
      <c r="L496" s="539"/>
      <c r="M496" s="539">
        <f>'HH WITH COM #2'!$Y$659</f>
        <v>1</v>
      </c>
      <c r="N496" s="91">
        <f t="shared" si="1189"/>
        <v>0.33333333333333331</v>
      </c>
      <c r="O496" s="539"/>
      <c r="P496" s="539"/>
      <c r="Q496" s="539">
        <f>'HH WITH COM #3'!$Y$659</f>
        <v>1</v>
      </c>
      <c r="R496" s="91">
        <f t="shared" si="1190"/>
        <v>1</v>
      </c>
      <c r="S496" s="539"/>
      <c r="T496" s="539"/>
      <c r="U496" s="539">
        <f>'HH WITH COM #4'!$Y$659</f>
        <v>1</v>
      </c>
      <c r="V496" s="91">
        <f t="shared" si="1191"/>
        <v>0.5</v>
      </c>
      <c r="W496" s="539"/>
      <c r="X496" s="539"/>
      <c r="Y496" s="539">
        <f>'HH WITH COM #5'!$Y$659</f>
        <v>0</v>
      </c>
      <c r="Z496" s="91">
        <f t="shared" si="1192"/>
        <v>0</v>
      </c>
      <c r="AA496" s="539"/>
      <c r="AB496" s="539"/>
      <c r="AC496" s="539">
        <f>'HH WITH COM #6'!$Y$659</f>
        <v>1</v>
      </c>
      <c r="AD496" s="91">
        <f t="shared" si="1193"/>
        <v>0.5</v>
      </c>
      <c r="AE496" s="539"/>
      <c r="AF496" s="539"/>
      <c r="AG496" s="539">
        <f>'HH WITH COM #7'!$Y$659</f>
        <v>0</v>
      </c>
      <c r="AH496" s="373">
        <f t="shared" si="1194"/>
        <v>0</v>
      </c>
      <c r="AI496" s="628"/>
      <c r="AJ496" s="575"/>
      <c r="AK496" s="539">
        <f t="shared" si="1187"/>
        <v>4</v>
      </c>
      <c r="AL496" s="91">
        <f t="shared" si="1195"/>
        <v>0.30769230769230771</v>
      </c>
    </row>
    <row r="497" spans="1:39" ht="16.5" customHeight="1" x14ac:dyDescent="0.25">
      <c r="A497" s="40"/>
      <c r="B497" s="40"/>
      <c r="C497" s="40"/>
      <c r="D497" s="505" t="s">
        <v>718</v>
      </c>
      <c r="E497" s="562" t="s">
        <v>516</v>
      </c>
      <c r="F497" s="105"/>
      <c r="G497" s="539"/>
      <c r="H497" s="539"/>
      <c r="I497" s="539">
        <f>'HH WITH COM #1 '!$Y$660</f>
        <v>0</v>
      </c>
      <c r="J497" s="91">
        <f t="shared" si="1188"/>
        <v>0</v>
      </c>
      <c r="K497" s="539"/>
      <c r="L497" s="539"/>
      <c r="M497" s="539">
        <f>'HH WITH COM #2'!$Y$660</f>
        <v>0</v>
      </c>
      <c r="N497" s="91">
        <f t="shared" si="1189"/>
        <v>0</v>
      </c>
      <c r="O497" s="539"/>
      <c r="P497" s="539"/>
      <c r="Q497" s="539">
        <f>'HH WITH COM #3'!$Y$660</f>
        <v>0</v>
      </c>
      <c r="R497" s="91">
        <f t="shared" si="1190"/>
        <v>0</v>
      </c>
      <c r="S497" s="539"/>
      <c r="T497" s="539"/>
      <c r="U497" s="539">
        <f>'HH WITH COM #4'!$Y$660</f>
        <v>0</v>
      </c>
      <c r="V497" s="91">
        <f t="shared" si="1191"/>
        <v>0</v>
      </c>
      <c r="W497" s="539"/>
      <c r="X497" s="539"/>
      <c r="Y497" s="539">
        <f>'HH WITH COM #5'!$Y$660</f>
        <v>0</v>
      </c>
      <c r="Z497" s="91">
        <f t="shared" si="1192"/>
        <v>0</v>
      </c>
      <c r="AA497" s="539"/>
      <c r="AB497" s="539"/>
      <c r="AC497" s="539">
        <f>'HH WITH COM #6'!$Y$660</f>
        <v>0</v>
      </c>
      <c r="AD497" s="91">
        <f t="shared" si="1193"/>
        <v>0</v>
      </c>
      <c r="AE497" s="539"/>
      <c r="AF497" s="539"/>
      <c r="AG497" s="539">
        <f>'HH WITH COM #7'!$Y$660</f>
        <v>0</v>
      </c>
      <c r="AH497" s="373">
        <f t="shared" si="1194"/>
        <v>0</v>
      </c>
      <c r="AI497" s="628"/>
      <c r="AJ497" s="575"/>
      <c r="AK497" s="539">
        <f t="shared" si="1187"/>
        <v>0</v>
      </c>
      <c r="AL497" s="91">
        <f t="shared" si="1195"/>
        <v>0</v>
      </c>
    </row>
    <row r="498" spans="1:39" ht="16.5" customHeight="1" x14ac:dyDescent="0.25">
      <c r="A498" s="40"/>
      <c r="B498" s="40"/>
      <c r="C498" s="40"/>
      <c r="D498" s="505" t="s">
        <v>719</v>
      </c>
      <c r="E498" s="562" t="s">
        <v>517</v>
      </c>
      <c r="F498" s="105"/>
      <c r="G498" s="539"/>
      <c r="H498" s="539"/>
      <c r="I498" s="539">
        <f>'HH WITH COM #1 '!$Y$661</f>
        <v>0</v>
      </c>
      <c r="J498" s="91">
        <f t="shared" si="1188"/>
        <v>0</v>
      </c>
      <c r="K498" s="539"/>
      <c r="L498" s="539"/>
      <c r="M498" s="539">
        <f>'HH WITH COM #2'!$Y$661</f>
        <v>0</v>
      </c>
      <c r="N498" s="91">
        <f t="shared" si="1189"/>
        <v>0</v>
      </c>
      <c r="O498" s="539"/>
      <c r="P498" s="539"/>
      <c r="Q498" s="539">
        <f>'HH WITH COM #3'!$Y$661</f>
        <v>0</v>
      </c>
      <c r="R498" s="91">
        <f t="shared" si="1190"/>
        <v>0</v>
      </c>
      <c r="S498" s="539"/>
      <c r="T498" s="539"/>
      <c r="U498" s="539">
        <f>'HH WITH COM #4'!$Y$661</f>
        <v>0</v>
      </c>
      <c r="V498" s="91">
        <f t="shared" si="1191"/>
        <v>0</v>
      </c>
      <c r="W498" s="539"/>
      <c r="X498" s="539"/>
      <c r="Y498" s="539">
        <f>'HH WITH COM #5'!$Y$661</f>
        <v>0</v>
      </c>
      <c r="Z498" s="91">
        <f t="shared" si="1192"/>
        <v>0</v>
      </c>
      <c r="AA498" s="539"/>
      <c r="AB498" s="539"/>
      <c r="AC498" s="539">
        <f>'HH WITH COM #6'!$Y$661</f>
        <v>0</v>
      </c>
      <c r="AD498" s="91">
        <f t="shared" si="1193"/>
        <v>0</v>
      </c>
      <c r="AE498" s="539"/>
      <c r="AF498" s="539"/>
      <c r="AG498" s="539">
        <f>'HH WITH COM #7'!$Y$661</f>
        <v>0</v>
      </c>
      <c r="AH498" s="373">
        <f t="shared" si="1194"/>
        <v>0</v>
      </c>
      <c r="AI498" s="628"/>
      <c r="AJ498" s="575"/>
      <c r="AK498" s="539">
        <f t="shared" si="1187"/>
        <v>0</v>
      </c>
      <c r="AL498" s="91">
        <f t="shared" si="1195"/>
        <v>0</v>
      </c>
    </row>
    <row r="499" spans="1:39" ht="16.5" customHeight="1" x14ac:dyDescent="0.25">
      <c r="A499" s="40"/>
      <c r="B499" s="40"/>
      <c r="C499" s="40"/>
      <c r="D499" s="505" t="s">
        <v>720</v>
      </c>
      <c r="E499" s="562" t="s">
        <v>129</v>
      </c>
      <c r="F499" s="105"/>
      <c r="G499" s="539"/>
      <c r="H499" s="539"/>
      <c r="I499" s="539">
        <f>'HH WITH COM #1 '!$Y$662</f>
        <v>0</v>
      </c>
      <c r="J499" s="91">
        <f t="shared" si="1188"/>
        <v>0</v>
      </c>
      <c r="K499" s="539"/>
      <c r="L499" s="539"/>
      <c r="M499" s="539">
        <f>'HH WITH COM #2'!$Y$662</f>
        <v>0</v>
      </c>
      <c r="N499" s="91">
        <f t="shared" si="1189"/>
        <v>0</v>
      </c>
      <c r="O499" s="539"/>
      <c r="P499" s="539"/>
      <c r="Q499" s="539">
        <f>'HH WITH COM #3'!$Y$662</f>
        <v>0</v>
      </c>
      <c r="R499" s="91">
        <f t="shared" si="1190"/>
        <v>0</v>
      </c>
      <c r="S499" s="539"/>
      <c r="T499" s="539"/>
      <c r="U499" s="539">
        <f>'HH WITH COM #4'!$Y$662</f>
        <v>1</v>
      </c>
      <c r="V499" s="91">
        <f t="shared" si="1191"/>
        <v>0.5</v>
      </c>
      <c r="W499" s="539"/>
      <c r="X499" s="539"/>
      <c r="Y499" s="539">
        <f>'HH WITH COM #5'!$Y$662</f>
        <v>0</v>
      </c>
      <c r="Z499" s="91">
        <f t="shared" si="1192"/>
        <v>0</v>
      </c>
      <c r="AA499" s="539"/>
      <c r="AB499" s="539"/>
      <c r="AC499" s="539">
        <f>'HH WITH COM #6'!$Y$662</f>
        <v>0</v>
      </c>
      <c r="AD499" s="91">
        <f t="shared" si="1193"/>
        <v>0</v>
      </c>
      <c r="AE499" s="539"/>
      <c r="AF499" s="539"/>
      <c r="AG499" s="539">
        <f>'HH WITH COM #7'!$Y$662</f>
        <v>0</v>
      </c>
      <c r="AH499" s="373">
        <f t="shared" si="1194"/>
        <v>0</v>
      </c>
      <c r="AI499" s="628"/>
      <c r="AJ499" s="575"/>
      <c r="AK499" s="539">
        <f t="shared" si="1187"/>
        <v>1</v>
      </c>
      <c r="AL499" s="91">
        <f t="shared" si="1195"/>
        <v>7.6923076923076927E-2</v>
      </c>
    </row>
    <row r="500" spans="1:39" ht="16.5" customHeight="1" x14ac:dyDescent="0.25">
      <c r="A500" s="40"/>
      <c r="B500" s="40"/>
      <c r="C500" s="40"/>
      <c r="D500" s="134"/>
      <c r="E500" s="184"/>
      <c r="F500" s="184"/>
      <c r="G500" s="82"/>
      <c r="H500" s="82"/>
      <c r="I500" s="82">
        <f>SUM(I491:I499)</f>
        <v>2</v>
      </c>
      <c r="J500" s="66">
        <f t="shared" si="1188"/>
        <v>1</v>
      </c>
      <c r="K500" s="82"/>
      <c r="L500" s="82"/>
      <c r="M500" s="82">
        <f>SUM(M491:M499)</f>
        <v>3</v>
      </c>
      <c r="N500" s="66">
        <f t="shared" si="1189"/>
        <v>1</v>
      </c>
      <c r="O500" s="82"/>
      <c r="P500" s="82"/>
      <c r="Q500" s="82">
        <f>SUM(Q491:Q499)</f>
        <v>1</v>
      </c>
      <c r="R500" s="66">
        <f t="shared" si="1190"/>
        <v>1</v>
      </c>
      <c r="S500" s="82"/>
      <c r="T500" s="82"/>
      <c r="U500" s="82">
        <f>SUM(U491:U499)</f>
        <v>2</v>
      </c>
      <c r="V500" s="66">
        <f t="shared" si="1191"/>
        <v>1</v>
      </c>
      <c r="W500" s="82"/>
      <c r="X500" s="82"/>
      <c r="Y500" s="82">
        <f>SUM(Y491:Y499)</f>
        <v>3</v>
      </c>
      <c r="Z500" s="66">
        <f t="shared" si="1192"/>
        <v>1</v>
      </c>
      <c r="AA500" s="82"/>
      <c r="AB500" s="82"/>
      <c r="AC500" s="82">
        <f>SUM(AC491:AC499)</f>
        <v>2</v>
      </c>
      <c r="AD500" s="66">
        <f t="shared" si="1193"/>
        <v>1</v>
      </c>
      <c r="AE500" s="82"/>
      <c r="AF500" s="82"/>
      <c r="AG500" s="82">
        <f>SUM(AG491:AG499)</f>
        <v>0</v>
      </c>
      <c r="AH500" s="608">
        <f t="shared" si="1194"/>
        <v>0</v>
      </c>
      <c r="AI500" s="381"/>
      <c r="AJ500" s="82"/>
      <c r="AK500" s="82">
        <f>SUM(AK491:AK499)</f>
        <v>13</v>
      </c>
      <c r="AL500" s="66">
        <f t="shared" si="1195"/>
        <v>1</v>
      </c>
    </row>
    <row r="501" spans="1:39" ht="16.5" customHeight="1" x14ac:dyDescent="0.25">
      <c r="A501" s="40"/>
      <c r="B501" s="40"/>
      <c r="C501" s="467" t="s">
        <v>721</v>
      </c>
      <c r="D501" s="576" t="s">
        <v>1038</v>
      </c>
      <c r="E501" s="149"/>
      <c r="F501" s="105"/>
      <c r="G501" s="545"/>
      <c r="H501" s="545"/>
      <c r="I501" s="545"/>
      <c r="J501" s="404"/>
      <c r="K501" s="545"/>
      <c r="L501" s="545"/>
      <c r="M501" s="545"/>
      <c r="N501" s="404"/>
      <c r="O501" s="545"/>
      <c r="P501" s="545"/>
      <c r="Q501" s="545"/>
      <c r="R501" s="404"/>
      <c r="S501" s="545"/>
      <c r="T501" s="545"/>
      <c r="U501" s="545"/>
      <c r="V501" s="404"/>
      <c r="W501" s="545"/>
      <c r="X501" s="545"/>
      <c r="Y501" s="545"/>
      <c r="Z501" s="404"/>
      <c r="AA501" s="545"/>
      <c r="AB501" s="545"/>
      <c r="AC501" s="545"/>
      <c r="AD501" s="404"/>
      <c r="AE501" s="545"/>
      <c r="AF501" s="545"/>
      <c r="AG501" s="545"/>
      <c r="AH501" s="615"/>
      <c r="AI501" s="385"/>
      <c r="AJ501" s="545"/>
      <c r="AK501" s="545"/>
      <c r="AL501" s="404"/>
    </row>
    <row r="502" spans="1:39" ht="16.5" customHeight="1" x14ac:dyDescent="0.25">
      <c r="A502" s="40"/>
      <c r="B502" s="40"/>
      <c r="C502" s="68"/>
      <c r="D502" s="467" t="s">
        <v>723</v>
      </c>
      <c r="E502" s="562" t="s">
        <v>692</v>
      </c>
      <c r="F502" s="105"/>
      <c r="G502" s="539"/>
      <c r="H502" s="539"/>
      <c r="I502" s="539">
        <f>'HH WITH COM #1 '!$Y$665</f>
        <v>2</v>
      </c>
      <c r="J502" s="91">
        <f>IF(I$507=0,0,I502/I$507)</f>
        <v>1</v>
      </c>
      <c r="K502" s="539"/>
      <c r="L502" s="539"/>
      <c r="M502" s="539">
        <f>'HH WITH COM #2'!$Y$665</f>
        <v>2</v>
      </c>
      <c r="N502" s="91">
        <f>IF(M$507=0,0,M502/M$507)</f>
        <v>1</v>
      </c>
      <c r="O502" s="539"/>
      <c r="P502" s="539"/>
      <c r="Q502" s="539">
        <f>'HH WITH COM #3'!$Y$665</f>
        <v>0</v>
      </c>
      <c r="R502" s="91">
        <f>IF(Q$507=0,0,Q502/Q$507)</f>
        <v>0</v>
      </c>
      <c r="S502" s="539"/>
      <c r="T502" s="539"/>
      <c r="U502" s="539">
        <f>'HH WITH COM #4'!$Y$665</f>
        <v>1</v>
      </c>
      <c r="V502" s="91">
        <f>IF(U$507=0,0,U502/U$507)</f>
        <v>0.5</v>
      </c>
      <c r="W502" s="539"/>
      <c r="X502" s="539"/>
      <c r="Y502" s="539">
        <f>'HH WITH COM #5'!$Y$665</f>
        <v>2</v>
      </c>
      <c r="Z502" s="91">
        <f>IF(Y$507=0,0,Y502/Y$507)</f>
        <v>0.66666666666666663</v>
      </c>
      <c r="AA502" s="539"/>
      <c r="AB502" s="539"/>
      <c r="AC502" s="539">
        <f>'HH WITH COM #6'!$Y$665</f>
        <v>2</v>
      </c>
      <c r="AD502" s="91">
        <f>IF(AC$507=0,0,AC502/AC$507)</f>
        <v>1</v>
      </c>
      <c r="AE502" s="539"/>
      <c r="AF502" s="539"/>
      <c r="AG502" s="539">
        <f>'HH WITH COM #7'!$Y$665</f>
        <v>0</v>
      </c>
      <c r="AH502" s="373">
        <f>IF(AG$507=0,0,AG502/AG$507)</f>
        <v>0</v>
      </c>
      <c r="AI502" s="628"/>
      <c r="AJ502" s="575"/>
      <c r="AK502" s="539">
        <f t="shared" ref="AK502:AK506" si="1196">I502+M502+Q502+U502+Y502+AC502+AG502</f>
        <v>9</v>
      </c>
      <c r="AL502" s="91">
        <f>IF(AK$507=0,0,AK502/AK$507)</f>
        <v>0.75</v>
      </c>
    </row>
    <row r="503" spans="1:39" ht="16.5" customHeight="1" x14ac:dyDescent="0.25">
      <c r="A503" s="40"/>
      <c r="B503" s="40"/>
      <c r="C503" s="68"/>
      <c r="D503" s="467" t="s">
        <v>724</v>
      </c>
      <c r="E503" s="562" t="s">
        <v>725</v>
      </c>
      <c r="F503" s="105"/>
      <c r="G503" s="539"/>
      <c r="H503" s="539"/>
      <c r="I503" s="539">
        <f>'HH WITH COM #1 '!$Y$666</f>
        <v>0</v>
      </c>
      <c r="J503" s="91">
        <f t="shared" ref="J503:J507" si="1197">IF(I$507=0,0,I503/I$507)</f>
        <v>0</v>
      </c>
      <c r="K503" s="539"/>
      <c r="L503" s="539"/>
      <c r="M503" s="539">
        <f>'HH WITH COM #2'!$Y$666</f>
        <v>0</v>
      </c>
      <c r="N503" s="91">
        <f t="shared" ref="N503:N507" si="1198">IF(M$507=0,0,M503/M$507)</f>
        <v>0</v>
      </c>
      <c r="O503" s="539"/>
      <c r="P503" s="539"/>
      <c r="Q503" s="539">
        <f>'HH WITH COM #3'!$Y$666</f>
        <v>0</v>
      </c>
      <c r="R503" s="91">
        <f t="shared" ref="R503:R507" si="1199">IF(Q$507=0,0,Q503/Q$507)</f>
        <v>0</v>
      </c>
      <c r="S503" s="539"/>
      <c r="T503" s="539"/>
      <c r="U503" s="539">
        <f>'HH WITH COM #4'!$Y$666</f>
        <v>0</v>
      </c>
      <c r="V503" s="91">
        <f t="shared" ref="V503:V507" si="1200">IF(U$507=0,0,U503/U$507)</f>
        <v>0</v>
      </c>
      <c r="W503" s="539"/>
      <c r="X503" s="539"/>
      <c r="Y503" s="539">
        <f>'HH WITH COM #5'!$Y$666</f>
        <v>0</v>
      </c>
      <c r="Z503" s="91">
        <f t="shared" ref="Z503:Z507" si="1201">IF(Y$507=0,0,Y503/Y$507)</f>
        <v>0</v>
      </c>
      <c r="AA503" s="539"/>
      <c r="AB503" s="539"/>
      <c r="AC503" s="539">
        <f>'HH WITH COM #6'!$Y$666</f>
        <v>0</v>
      </c>
      <c r="AD503" s="91">
        <f t="shared" ref="AD503:AD507" si="1202">IF(AC$507=0,0,AC503/AC$507)</f>
        <v>0</v>
      </c>
      <c r="AE503" s="539"/>
      <c r="AF503" s="539"/>
      <c r="AG503" s="539">
        <f>'HH WITH COM #7'!$Y$666</f>
        <v>0</v>
      </c>
      <c r="AH503" s="373">
        <f t="shared" ref="AH503:AH507" si="1203">IF(AG$507=0,0,AG503/AG$507)</f>
        <v>0</v>
      </c>
      <c r="AI503" s="628"/>
      <c r="AJ503" s="575"/>
      <c r="AK503" s="539">
        <f t="shared" si="1196"/>
        <v>0</v>
      </c>
      <c r="AL503" s="91">
        <f t="shared" ref="AL503:AL507" si="1204">IF(AK$507=0,0,AK503/AK$507)</f>
        <v>0</v>
      </c>
    </row>
    <row r="504" spans="1:39" ht="16.5" customHeight="1" x14ac:dyDescent="0.25">
      <c r="A504" s="40"/>
      <c r="B504" s="40"/>
      <c r="C504" s="68"/>
      <c r="D504" s="467" t="s">
        <v>726</v>
      </c>
      <c r="E504" s="562" t="s">
        <v>727</v>
      </c>
      <c r="F504" s="105"/>
      <c r="G504" s="539"/>
      <c r="H504" s="539"/>
      <c r="I504" s="539">
        <f>'HH WITH COM #1 '!$Y$667</f>
        <v>0</v>
      </c>
      <c r="J504" s="91">
        <f t="shared" si="1197"/>
        <v>0</v>
      </c>
      <c r="K504" s="539"/>
      <c r="L504" s="539"/>
      <c r="M504" s="539">
        <f>'HH WITH COM #2'!$Y$667</f>
        <v>0</v>
      </c>
      <c r="N504" s="91">
        <f t="shared" si="1198"/>
        <v>0</v>
      </c>
      <c r="O504" s="539"/>
      <c r="P504" s="539"/>
      <c r="Q504" s="539">
        <f>'HH WITH COM #3'!$Y$667</f>
        <v>0</v>
      </c>
      <c r="R504" s="91">
        <f t="shared" si="1199"/>
        <v>0</v>
      </c>
      <c r="S504" s="539"/>
      <c r="T504" s="539"/>
      <c r="U504" s="539">
        <f>'HH WITH COM #4'!$Y$667</f>
        <v>0</v>
      </c>
      <c r="V504" s="91">
        <f t="shared" si="1200"/>
        <v>0</v>
      </c>
      <c r="W504" s="539"/>
      <c r="X504" s="539"/>
      <c r="Y504" s="539">
        <f>'HH WITH COM #5'!$Y$667</f>
        <v>0</v>
      </c>
      <c r="Z504" s="91">
        <f t="shared" si="1201"/>
        <v>0</v>
      </c>
      <c r="AA504" s="539"/>
      <c r="AB504" s="539"/>
      <c r="AC504" s="539">
        <f>'HH WITH COM #6'!$Y$667</f>
        <v>0</v>
      </c>
      <c r="AD504" s="91">
        <f t="shared" si="1202"/>
        <v>0</v>
      </c>
      <c r="AE504" s="539"/>
      <c r="AF504" s="539"/>
      <c r="AG504" s="539">
        <f>'HH WITH COM #7'!$Y$667</f>
        <v>0</v>
      </c>
      <c r="AH504" s="373">
        <f t="shared" si="1203"/>
        <v>0</v>
      </c>
      <c r="AI504" s="628"/>
      <c r="AJ504" s="575"/>
      <c r="AK504" s="539">
        <f t="shared" si="1196"/>
        <v>0</v>
      </c>
      <c r="AL504" s="91">
        <f t="shared" si="1204"/>
        <v>0</v>
      </c>
    </row>
    <row r="505" spans="1:39" ht="16.5" customHeight="1" x14ac:dyDescent="0.25">
      <c r="A505" s="40"/>
      <c r="B505" s="40"/>
      <c r="C505" s="68"/>
      <c r="D505" s="467" t="s">
        <v>728</v>
      </c>
      <c r="E505" s="562" t="s">
        <v>729</v>
      </c>
      <c r="F505" s="105"/>
      <c r="G505" s="539"/>
      <c r="H505" s="539"/>
      <c r="I505" s="539">
        <f>'HH WITH COM #1 '!$Y$668</f>
        <v>0</v>
      </c>
      <c r="J505" s="91">
        <f t="shared" si="1197"/>
        <v>0</v>
      </c>
      <c r="K505" s="539"/>
      <c r="L505" s="539"/>
      <c r="M505" s="539">
        <f>'HH WITH COM #2'!$Y$668</f>
        <v>0</v>
      </c>
      <c r="N505" s="91">
        <f t="shared" si="1198"/>
        <v>0</v>
      </c>
      <c r="O505" s="539"/>
      <c r="P505" s="539"/>
      <c r="Q505" s="539">
        <f>'HH WITH COM #3'!$Y$668</f>
        <v>0</v>
      </c>
      <c r="R505" s="91">
        <f t="shared" si="1199"/>
        <v>0</v>
      </c>
      <c r="S505" s="539"/>
      <c r="T505" s="539"/>
      <c r="U505" s="539">
        <f>'HH WITH COM #4'!$Y$668</f>
        <v>0</v>
      </c>
      <c r="V505" s="91">
        <f t="shared" si="1200"/>
        <v>0</v>
      </c>
      <c r="W505" s="539"/>
      <c r="X505" s="539"/>
      <c r="Y505" s="539">
        <f>'HH WITH COM #5'!$Y$668</f>
        <v>0</v>
      </c>
      <c r="Z505" s="91">
        <f t="shared" si="1201"/>
        <v>0</v>
      </c>
      <c r="AA505" s="539"/>
      <c r="AB505" s="539"/>
      <c r="AC505" s="539">
        <f>'HH WITH COM #6'!$Y$668</f>
        <v>0</v>
      </c>
      <c r="AD505" s="91">
        <f t="shared" si="1202"/>
        <v>0</v>
      </c>
      <c r="AE505" s="539"/>
      <c r="AF505" s="539"/>
      <c r="AG505" s="539">
        <f>'HH WITH COM #7'!$Y$668</f>
        <v>0</v>
      </c>
      <c r="AH505" s="373">
        <f t="shared" si="1203"/>
        <v>0</v>
      </c>
      <c r="AI505" s="628"/>
      <c r="AJ505" s="575"/>
      <c r="AK505" s="539">
        <f t="shared" si="1196"/>
        <v>0</v>
      </c>
      <c r="AL505" s="91">
        <f t="shared" si="1204"/>
        <v>0</v>
      </c>
    </row>
    <row r="506" spans="1:39" ht="16.5" customHeight="1" x14ac:dyDescent="0.25">
      <c r="A506" s="40"/>
      <c r="B506" s="40"/>
      <c r="C506" s="68"/>
      <c r="D506" s="467" t="s">
        <v>730</v>
      </c>
      <c r="E506" s="562" t="s">
        <v>129</v>
      </c>
      <c r="F506" s="105"/>
      <c r="G506" s="539"/>
      <c r="H506" s="539"/>
      <c r="I506" s="539">
        <f>'HH WITH COM #1 '!$Y$669</f>
        <v>0</v>
      </c>
      <c r="J506" s="91">
        <f t="shared" si="1197"/>
        <v>0</v>
      </c>
      <c r="K506" s="539"/>
      <c r="L506" s="539"/>
      <c r="M506" s="539">
        <f>'HH WITH COM #2'!$Y$669</f>
        <v>0</v>
      </c>
      <c r="N506" s="91">
        <f t="shared" si="1198"/>
        <v>0</v>
      </c>
      <c r="O506" s="539"/>
      <c r="P506" s="539"/>
      <c r="Q506" s="539">
        <f>'HH WITH COM #3'!$Y$669</f>
        <v>1</v>
      </c>
      <c r="R506" s="91">
        <f t="shared" si="1199"/>
        <v>1</v>
      </c>
      <c r="S506" s="539"/>
      <c r="T506" s="539"/>
      <c r="U506" s="539">
        <f>'HH WITH COM #4'!$Y$669</f>
        <v>1</v>
      </c>
      <c r="V506" s="91">
        <f t="shared" si="1200"/>
        <v>0.5</v>
      </c>
      <c r="W506" s="539"/>
      <c r="X506" s="539"/>
      <c r="Y506" s="539">
        <f>'HH WITH COM #5'!$Y$669</f>
        <v>1</v>
      </c>
      <c r="Z506" s="91">
        <f t="shared" si="1201"/>
        <v>0.33333333333333331</v>
      </c>
      <c r="AA506" s="539"/>
      <c r="AB506" s="539"/>
      <c r="AC506" s="539">
        <f>'HH WITH COM #6'!$Y$669</f>
        <v>0</v>
      </c>
      <c r="AD506" s="91">
        <f t="shared" si="1202"/>
        <v>0</v>
      </c>
      <c r="AE506" s="539"/>
      <c r="AF506" s="539"/>
      <c r="AG506" s="539">
        <f>'HH WITH COM #7'!$Y$669</f>
        <v>0</v>
      </c>
      <c r="AH506" s="373">
        <f t="shared" si="1203"/>
        <v>0</v>
      </c>
      <c r="AI506" s="628"/>
      <c r="AJ506" s="575"/>
      <c r="AK506" s="539">
        <f t="shared" si="1196"/>
        <v>3</v>
      </c>
      <c r="AL506" s="91">
        <f t="shared" si="1204"/>
        <v>0.25</v>
      </c>
    </row>
    <row r="507" spans="1:39" ht="16.5" customHeight="1" x14ac:dyDescent="0.25">
      <c r="A507" s="40"/>
      <c r="B507" s="40"/>
      <c r="C507" s="40"/>
      <c r="D507" s="134"/>
      <c r="E507" s="184"/>
      <c r="F507" s="184"/>
      <c r="G507" s="82"/>
      <c r="H507" s="82"/>
      <c r="I507" s="82">
        <f>SUM(I502:I506)</f>
        <v>2</v>
      </c>
      <c r="J507" s="66">
        <f t="shared" si="1197"/>
        <v>1</v>
      </c>
      <c r="K507" s="82"/>
      <c r="L507" s="82"/>
      <c r="M507" s="82">
        <f>SUM(M502:M506)</f>
        <v>2</v>
      </c>
      <c r="N507" s="66">
        <f t="shared" si="1198"/>
        <v>1</v>
      </c>
      <c r="O507" s="82"/>
      <c r="P507" s="82"/>
      <c r="Q507" s="82">
        <f>SUM(Q502:Q506)</f>
        <v>1</v>
      </c>
      <c r="R507" s="66">
        <f t="shared" si="1199"/>
        <v>1</v>
      </c>
      <c r="S507" s="82"/>
      <c r="T507" s="82"/>
      <c r="U507" s="82">
        <f>SUM(U502:U506)</f>
        <v>2</v>
      </c>
      <c r="V507" s="66">
        <f t="shared" si="1200"/>
        <v>1</v>
      </c>
      <c r="W507" s="82"/>
      <c r="X507" s="82"/>
      <c r="Y507" s="82">
        <f>SUM(Y502:Y506)</f>
        <v>3</v>
      </c>
      <c r="Z507" s="66">
        <f t="shared" si="1201"/>
        <v>1</v>
      </c>
      <c r="AA507" s="82"/>
      <c r="AB507" s="82"/>
      <c r="AC507" s="82">
        <f>SUM(AC502:AC506)</f>
        <v>2</v>
      </c>
      <c r="AD507" s="66">
        <f t="shared" si="1202"/>
        <v>1</v>
      </c>
      <c r="AE507" s="82"/>
      <c r="AF507" s="82"/>
      <c r="AG507" s="82">
        <f>SUM(AG502:AG506)</f>
        <v>0</v>
      </c>
      <c r="AH507" s="608">
        <f t="shared" si="1203"/>
        <v>0</v>
      </c>
      <c r="AI507" s="381"/>
      <c r="AJ507" s="82"/>
      <c r="AK507" s="82">
        <f>SUM(AK502:AK506)</f>
        <v>12</v>
      </c>
      <c r="AL507" s="66">
        <f t="shared" si="1204"/>
        <v>1</v>
      </c>
    </row>
    <row r="508" spans="1:39" s="117" customFormat="1" ht="16.5" customHeight="1" x14ac:dyDescent="0.25">
      <c r="A508" s="119"/>
      <c r="B508" s="41" t="s">
        <v>678</v>
      </c>
      <c r="C508" s="476" t="s">
        <v>12</v>
      </c>
      <c r="D508" s="477"/>
      <c r="E508" s="478"/>
      <c r="F508" s="478"/>
      <c r="G508" s="71"/>
      <c r="H508" s="71"/>
      <c r="I508" s="71"/>
      <c r="J508" s="71"/>
      <c r="K508" s="71"/>
      <c r="L508" s="71"/>
      <c r="M508" s="71"/>
      <c r="N508" s="71"/>
      <c r="O508" s="71"/>
      <c r="P508" s="71"/>
      <c r="Q508" s="71"/>
      <c r="R508" s="71"/>
      <c r="S508" s="71"/>
      <c r="T508" s="71"/>
      <c r="U508" s="71"/>
      <c r="V508" s="71"/>
      <c r="W508" s="71"/>
      <c r="X508" s="71"/>
      <c r="Y508" s="71"/>
      <c r="Z508" s="71"/>
      <c r="AA508" s="71"/>
      <c r="AB508" s="71"/>
      <c r="AC508" s="71"/>
      <c r="AD508" s="71"/>
      <c r="AE508" s="71"/>
      <c r="AF508" s="71"/>
      <c r="AG508" s="71"/>
      <c r="AH508" s="355"/>
      <c r="AI508" s="377"/>
      <c r="AJ508" s="71"/>
      <c r="AK508" s="71"/>
      <c r="AL508" s="71"/>
    </row>
    <row r="509" spans="1:39" s="2" customFormat="1" ht="16.5" customHeight="1" x14ac:dyDescent="0.25">
      <c r="D509" s="3"/>
      <c r="E509" s="3"/>
      <c r="F509" s="3"/>
      <c r="H509" s="3"/>
      <c r="I509" s="3"/>
      <c r="J509" s="3"/>
      <c r="L509" s="3"/>
      <c r="M509" s="3"/>
      <c r="N509" s="3"/>
      <c r="P509" s="3"/>
      <c r="Q509" s="3"/>
      <c r="R509" s="3"/>
      <c r="T509" s="3"/>
      <c r="U509" s="3"/>
      <c r="V509" s="3"/>
      <c r="X509" s="3"/>
      <c r="Y509" s="3"/>
      <c r="Z509" s="3"/>
      <c r="AB509" s="3"/>
      <c r="AC509" s="3"/>
      <c r="AD509" s="3"/>
      <c r="AE509" s="3"/>
      <c r="AF509" s="3"/>
      <c r="AG509" s="3"/>
      <c r="AH509" s="3"/>
      <c r="AJ509" s="3"/>
      <c r="AK509" s="3"/>
      <c r="AL509" s="3"/>
      <c r="AM509" s="3"/>
    </row>
    <row r="510" spans="1:39" s="2" customFormat="1" ht="16.5" customHeight="1" x14ac:dyDescent="0.25">
      <c r="D510" s="3"/>
      <c r="E510" s="3"/>
      <c r="F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row>
    <row r="511" spans="1:39" s="2" customFormat="1" ht="16.5" customHeight="1" x14ac:dyDescent="0.25">
      <c r="D511" s="3"/>
      <c r="E511" s="3"/>
      <c r="F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row>
    <row r="512" spans="1:39" s="2" customFormat="1" ht="16.5" customHeight="1" x14ac:dyDescent="0.25">
      <c r="D512" s="3"/>
      <c r="E512" s="3"/>
      <c r="F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row>
    <row r="513" spans="4:39" s="2" customFormat="1" ht="16.5" customHeight="1" x14ac:dyDescent="0.25">
      <c r="D513" s="3"/>
      <c r="E513" s="3"/>
      <c r="F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row>
    <row r="514" spans="4:39" s="2" customFormat="1" ht="16.5" customHeight="1" x14ac:dyDescent="0.25">
      <c r="D514" s="3"/>
      <c r="E514" s="3"/>
      <c r="F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row>
    <row r="515" spans="4:39" s="2" customFormat="1" ht="16.5" customHeight="1" x14ac:dyDescent="0.25">
      <c r="D515" s="3"/>
      <c r="E515" s="3"/>
      <c r="F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row>
    <row r="516" spans="4:39" s="2" customFormat="1" ht="16.5" customHeight="1" x14ac:dyDescent="0.25">
      <c r="D516" s="3"/>
      <c r="E516" s="3"/>
      <c r="F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row>
    <row r="517" spans="4:39" s="2" customFormat="1" ht="16.5" customHeight="1" x14ac:dyDescent="0.25">
      <c r="D517" s="3"/>
      <c r="E517" s="3"/>
      <c r="F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row>
    <row r="518" spans="4:39" s="2" customFormat="1" ht="16.5" customHeight="1" x14ac:dyDescent="0.25">
      <c r="D518" s="3"/>
      <c r="E518" s="3"/>
      <c r="F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row>
    <row r="519" spans="4:39" s="2" customFormat="1" ht="16.5" customHeight="1" x14ac:dyDescent="0.25">
      <c r="D519" s="3"/>
      <c r="E519" s="3"/>
      <c r="F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row>
    <row r="520" spans="4:39" s="2" customFormat="1" ht="16.5" customHeight="1" x14ac:dyDescent="0.25">
      <c r="D520" s="3"/>
      <c r="E520" s="3"/>
      <c r="F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row>
    <row r="521" spans="4:39" s="2" customFormat="1" ht="16.5" customHeight="1" x14ac:dyDescent="0.25">
      <c r="D521" s="3"/>
      <c r="E521" s="3"/>
      <c r="F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row>
    <row r="522" spans="4:39" s="2" customFormat="1" ht="16.5" customHeight="1" x14ac:dyDescent="0.25">
      <c r="D522" s="3"/>
      <c r="E522" s="3"/>
      <c r="F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row>
    <row r="523" spans="4:39" s="2" customFormat="1" ht="16.5" customHeight="1" x14ac:dyDescent="0.25">
      <c r="D523" s="3"/>
      <c r="E523" s="3"/>
      <c r="F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row>
    <row r="524" spans="4:39" s="2" customFormat="1" ht="16.5" customHeight="1" x14ac:dyDescent="0.25">
      <c r="D524" s="3"/>
      <c r="E524" s="3"/>
      <c r="F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row>
    <row r="525" spans="4:39" s="2" customFormat="1" ht="16.5" customHeight="1" x14ac:dyDescent="0.25">
      <c r="D525" s="3"/>
      <c r="E525" s="3"/>
      <c r="F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row>
    <row r="526" spans="4:39" s="2" customFormat="1" ht="16.5" customHeight="1" x14ac:dyDescent="0.25">
      <c r="D526" s="3"/>
      <c r="E526" s="3"/>
      <c r="F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row>
    <row r="527" spans="4:39" s="2" customFormat="1" ht="16.5" customHeight="1" x14ac:dyDescent="0.25">
      <c r="D527" s="3"/>
      <c r="E527" s="3"/>
      <c r="F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row>
    <row r="528" spans="4:39" s="2" customFormat="1" ht="16.5" customHeight="1" x14ac:dyDescent="0.25">
      <c r="D528" s="3"/>
      <c r="E528" s="3"/>
      <c r="F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row>
    <row r="529" spans="4:39" s="2" customFormat="1" ht="16.5" customHeight="1" x14ac:dyDescent="0.25">
      <c r="D529" s="3"/>
      <c r="E529" s="3"/>
      <c r="F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row>
    <row r="530" spans="4:39" s="2" customFormat="1" ht="16.5" customHeight="1" x14ac:dyDescent="0.25">
      <c r="D530" s="3"/>
      <c r="E530" s="3"/>
      <c r="F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row>
    <row r="531" spans="4:39" s="2" customFormat="1" ht="16.5" customHeight="1" x14ac:dyDescent="0.25">
      <c r="D531" s="3"/>
      <c r="E531" s="3"/>
      <c r="F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row>
    <row r="532" spans="4:39" s="2" customFormat="1" ht="16.5" customHeight="1" x14ac:dyDescent="0.25">
      <c r="D532" s="3"/>
      <c r="E532" s="3"/>
      <c r="F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row>
    <row r="533" spans="4:39" s="2" customFormat="1" ht="16.5" customHeight="1" x14ac:dyDescent="0.25">
      <c r="D533" s="3"/>
      <c r="E533" s="3"/>
      <c r="F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row>
    <row r="534" spans="4:39" s="2" customFormat="1" ht="16.5" customHeight="1" x14ac:dyDescent="0.25">
      <c r="D534" s="3"/>
      <c r="E534" s="3"/>
      <c r="F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row>
    <row r="535" spans="4:39" s="2" customFormat="1" ht="16.5" customHeight="1" x14ac:dyDescent="0.25">
      <c r="D535" s="3"/>
      <c r="E535" s="3"/>
      <c r="F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row>
    <row r="536" spans="4:39" s="2" customFormat="1" ht="16.5" customHeight="1" x14ac:dyDescent="0.25">
      <c r="D536" s="3"/>
      <c r="E536" s="3"/>
      <c r="F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row>
    <row r="537" spans="4:39" s="2" customFormat="1" ht="16.5" customHeight="1" x14ac:dyDescent="0.25">
      <c r="D537" s="3"/>
      <c r="E537" s="3"/>
      <c r="F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row>
    <row r="538" spans="4:39" s="2" customFormat="1" ht="16.5" customHeight="1" x14ac:dyDescent="0.25">
      <c r="D538" s="3"/>
      <c r="E538" s="3"/>
      <c r="F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row>
    <row r="539" spans="4:39" s="2" customFormat="1" ht="16.5" customHeight="1" x14ac:dyDescent="0.25">
      <c r="D539" s="3"/>
      <c r="E539" s="3"/>
      <c r="F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row>
    <row r="540" spans="4:39" s="2" customFormat="1" ht="16.5" customHeight="1" x14ac:dyDescent="0.25">
      <c r="D540" s="3"/>
      <c r="E540" s="3"/>
      <c r="F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row>
    <row r="541" spans="4:39" s="2" customFormat="1" ht="16.5" customHeight="1" x14ac:dyDescent="0.25">
      <c r="D541" s="3"/>
      <c r="E541" s="3"/>
      <c r="F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row>
    <row r="542" spans="4:39" s="2" customFormat="1" ht="16.5" customHeight="1" x14ac:dyDescent="0.25">
      <c r="D542" s="3"/>
      <c r="E542" s="3"/>
      <c r="F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row>
    <row r="543" spans="4:39" s="2" customFormat="1" ht="16.5" customHeight="1" x14ac:dyDescent="0.25">
      <c r="D543" s="3"/>
      <c r="E543" s="3"/>
      <c r="F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row>
    <row r="544" spans="4:39" s="2" customFormat="1" ht="16.5" customHeight="1" x14ac:dyDescent="0.25">
      <c r="D544" s="3"/>
      <c r="E544" s="3"/>
      <c r="F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row>
    <row r="545" spans="4:39" s="2" customFormat="1" ht="16.5" customHeight="1" x14ac:dyDescent="0.25">
      <c r="D545" s="3"/>
      <c r="E545" s="3"/>
      <c r="F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row>
    <row r="546" spans="4:39" s="2" customFormat="1" ht="16.5" customHeight="1" x14ac:dyDescent="0.25">
      <c r="D546" s="3"/>
      <c r="E546" s="3"/>
      <c r="F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row>
    <row r="547" spans="4:39" s="2" customFormat="1" ht="16.5" customHeight="1" x14ac:dyDescent="0.25">
      <c r="D547" s="3"/>
      <c r="E547" s="3"/>
      <c r="F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row>
    <row r="548" spans="4:39" s="2" customFormat="1" ht="16.5" customHeight="1" x14ac:dyDescent="0.25">
      <c r="D548" s="3"/>
      <c r="E548" s="3"/>
      <c r="F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row>
    <row r="549" spans="4:39" s="2" customFormat="1" ht="16.5" customHeight="1" x14ac:dyDescent="0.25">
      <c r="D549" s="3"/>
      <c r="E549" s="3"/>
      <c r="F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row>
    <row r="550" spans="4:39" s="2" customFormat="1" ht="16.5" customHeight="1" x14ac:dyDescent="0.25">
      <c r="D550" s="3"/>
      <c r="E550" s="3"/>
      <c r="F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row>
    <row r="551" spans="4:39" s="2" customFormat="1" ht="16.5" customHeight="1" x14ac:dyDescent="0.25">
      <c r="D551" s="3"/>
      <c r="E551" s="3"/>
      <c r="F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row>
    <row r="552" spans="4:39" s="2" customFormat="1" ht="16.5" customHeight="1" x14ac:dyDescent="0.25">
      <c r="D552" s="3"/>
      <c r="E552" s="3"/>
      <c r="F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row>
    <row r="553" spans="4:39" s="2" customFormat="1" ht="16.5" customHeight="1" x14ac:dyDescent="0.25">
      <c r="D553" s="3"/>
      <c r="E553" s="3"/>
      <c r="F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row>
    <row r="554" spans="4:39" s="2" customFormat="1" ht="16.5" customHeight="1" x14ac:dyDescent="0.25">
      <c r="D554" s="3"/>
      <c r="E554" s="3"/>
      <c r="F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row>
    <row r="555" spans="4:39" s="2" customFormat="1" ht="16.5" customHeight="1" x14ac:dyDescent="0.25">
      <c r="D555" s="3"/>
      <c r="E555" s="3"/>
      <c r="F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row>
    <row r="556" spans="4:39" s="2" customFormat="1" ht="16.5" customHeight="1" x14ac:dyDescent="0.25">
      <c r="D556" s="3"/>
      <c r="E556" s="3"/>
      <c r="F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row>
    <row r="557" spans="4:39" s="2" customFormat="1" ht="16.5" customHeight="1" x14ac:dyDescent="0.25">
      <c r="D557" s="3"/>
      <c r="E557" s="3"/>
      <c r="F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row>
    <row r="558" spans="4:39" s="2" customFormat="1" ht="16.5" customHeight="1" x14ac:dyDescent="0.25">
      <c r="D558" s="3"/>
      <c r="E558" s="3"/>
      <c r="F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row>
    <row r="559" spans="4:39" s="2" customFormat="1" ht="16.5" customHeight="1" x14ac:dyDescent="0.25">
      <c r="D559" s="3"/>
      <c r="E559" s="3"/>
      <c r="F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row>
    <row r="560" spans="4:39" s="2" customFormat="1" ht="16.5" customHeight="1" x14ac:dyDescent="0.25">
      <c r="D560" s="3"/>
      <c r="E560" s="3"/>
      <c r="F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row>
    <row r="561" spans="4:39" s="2" customFormat="1" ht="16.5" customHeight="1" x14ac:dyDescent="0.25">
      <c r="D561" s="3"/>
      <c r="E561" s="3"/>
      <c r="F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row>
    <row r="562" spans="4:39" s="2" customFormat="1" ht="16.5" customHeight="1" x14ac:dyDescent="0.25">
      <c r="D562" s="3"/>
      <c r="E562" s="3"/>
      <c r="F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row>
    <row r="563" spans="4:39" s="2" customFormat="1" ht="16.5" customHeight="1" x14ac:dyDescent="0.25">
      <c r="D563" s="3"/>
      <c r="E563" s="3"/>
      <c r="F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row>
    <row r="564" spans="4:39" s="2" customFormat="1" ht="16.5" customHeight="1" x14ac:dyDescent="0.25">
      <c r="D564" s="3"/>
      <c r="E564" s="3"/>
      <c r="F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row>
    <row r="565" spans="4:39" s="2" customFormat="1" ht="16.5" customHeight="1" x14ac:dyDescent="0.25">
      <c r="D565" s="3"/>
      <c r="E565" s="3"/>
      <c r="F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row>
    <row r="566" spans="4:39" s="2" customFormat="1" ht="16.5" customHeight="1" x14ac:dyDescent="0.25">
      <c r="D566" s="3"/>
      <c r="E566" s="3"/>
      <c r="F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row>
    <row r="567" spans="4:39" s="2" customFormat="1" ht="16.5" customHeight="1" x14ac:dyDescent="0.25">
      <c r="D567" s="3"/>
      <c r="E567" s="3"/>
      <c r="F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row>
    <row r="568" spans="4:39" s="2" customFormat="1" ht="16.5" customHeight="1" x14ac:dyDescent="0.25">
      <c r="D568" s="3"/>
      <c r="E568" s="3"/>
      <c r="F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row>
    <row r="569" spans="4:39" s="2" customFormat="1" ht="16.5" customHeight="1" x14ac:dyDescent="0.25">
      <c r="D569" s="3"/>
      <c r="E569" s="3"/>
      <c r="F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row>
    <row r="570" spans="4:39" s="2" customFormat="1" ht="16.5" customHeight="1" x14ac:dyDescent="0.25">
      <c r="D570" s="3"/>
      <c r="E570" s="3"/>
      <c r="F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row>
    <row r="571" spans="4:39" s="2" customFormat="1" ht="16.5" customHeight="1" x14ac:dyDescent="0.25">
      <c r="D571" s="3"/>
      <c r="E571" s="3"/>
      <c r="F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row>
    <row r="572" spans="4:39" s="2" customFormat="1" ht="16.5" customHeight="1" x14ac:dyDescent="0.25">
      <c r="D572" s="3"/>
      <c r="E572" s="3"/>
      <c r="F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row>
    <row r="573" spans="4:39" s="2" customFormat="1" ht="16.5" customHeight="1" x14ac:dyDescent="0.25">
      <c r="D573" s="3"/>
      <c r="E573" s="3"/>
      <c r="F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row>
    <row r="574" spans="4:39" s="2" customFormat="1" ht="16.5" customHeight="1" x14ac:dyDescent="0.25">
      <c r="D574" s="3"/>
      <c r="E574" s="3"/>
      <c r="F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row>
    <row r="575" spans="4:39" s="2" customFormat="1" ht="16.5" customHeight="1" x14ac:dyDescent="0.25">
      <c r="D575" s="3"/>
      <c r="E575" s="3"/>
      <c r="F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row>
    <row r="576" spans="4:39" s="2" customFormat="1" ht="16.5" customHeight="1" x14ac:dyDescent="0.25">
      <c r="D576" s="3"/>
      <c r="E576" s="3"/>
      <c r="F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row>
    <row r="577" spans="4:39" s="2" customFormat="1" ht="16.5" customHeight="1" x14ac:dyDescent="0.25">
      <c r="D577" s="3"/>
      <c r="E577" s="3"/>
      <c r="F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row>
    <row r="578" spans="4:39" s="2" customFormat="1" ht="16.5" customHeight="1" x14ac:dyDescent="0.25">
      <c r="D578" s="3"/>
      <c r="E578" s="3"/>
      <c r="F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row>
    <row r="579" spans="4:39" s="2" customFormat="1" ht="16.5" customHeight="1" x14ac:dyDescent="0.25">
      <c r="D579" s="3"/>
      <c r="E579" s="3"/>
      <c r="F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row>
    <row r="580" spans="4:39" s="2" customFormat="1" ht="16.5" customHeight="1" x14ac:dyDescent="0.25">
      <c r="D580" s="3"/>
      <c r="E580" s="3"/>
      <c r="F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row>
    <row r="581" spans="4:39" s="2" customFormat="1" ht="16.5" customHeight="1" x14ac:dyDescent="0.25">
      <c r="D581" s="3"/>
      <c r="E581" s="3"/>
      <c r="F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row>
    <row r="582" spans="4:39" s="2" customFormat="1" ht="16.5" customHeight="1" x14ac:dyDescent="0.25">
      <c r="D582" s="3"/>
      <c r="E582" s="3"/>
      <c r="F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row>
    <row r="583" spans="4:39" s="2" customFormat="1" ht="16.5" customHeight="1" x14ac:dyDescent="0.25">
      <c r="D583" s="3"/>
      <c r="E583" s="3"/>
      <c r="F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row>
    <row r="584" spans="4:39" s="2" customFormat="1" ht="16.5" customHeight="1" x14ac:dyDescent="0.25">
      <c r="D584" s="3"/>
      <c r="E584" s="3"/>
      <c r="F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row>
    <row r="585" spans="4:39" s="2" customFormat="1" ht="16.5" customHeight="1" x14ac:dyDescent="0.25">
      <c r="D585" s="3"/>
      <c r="E585" s="3"/>
      <c r="F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row>
    <row r="586" spans="4:39" s="2" customFormat="1" ht="16.5" customHeight="1" x14ac:dyDescent="0.25">
      <c r="D586" s="3"/>
      <c r="E586" s="3"/>
      <c r="F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row>
    <row r="587" spans="4:39" s="2" customFormat="1" ht="16.5" customHeight="1" x14ac:dyDescent="0.25">
      <c r="D587" s="3"/>
      <c r="E587" s="3"/>
      <c r="F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row>
    <row r="588" spans="4:39" s="2" customFormat="1" ht="16.5" customHeight="1" x14ac:dyDescent="0.25">
      <c r="D588" s="3"/>
      <c r="E588" s="3"/>
      <c r="F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row>
    <row r="589" spans="4:39" s="2" customFormat="1" ht="16.5" customHeight="1" x14ac:dyDescent="0.25">
      <c r="D589" s="3"/>
      <c r="E589" s="3"/>
      <c r="F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row>
    <row r="590" spans="4:39" s="2" customFormat="1" ht="16.5" customHeight="1" x14ac:dyDescent="0.25">
      <c r="D590" s="3"/>
      <c r="E590" s="3"/>
      <c r="F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row>
    <row r="591" spans="4:39" s="2" customFormat="1" ht="16.5" customHeight="1" x14ac:dyDescent="0.25">
      <c r="D591" s="3"/>
      <c r="E591" s="3"/>
      <c r="F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row>
    <row r="592" spans="4:39" s="2" customFormat="1" ht="16.5" customHeight="1" x14ac:dyDescent="0.25">
      <c r="D592" s="3"/>
      <c r="E592" s="3"/>
      <c r="F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row>
    <row r="593" spans="4:39" s="2" customFormat="1" ht="16.5" customHeight="1" x14ac:dyDescent="0.25">
      <c r="D593" s="3"/>
      <c r="E593" s="3"/>
      <c r="F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row>
    <row r="594" spans="4:39" s="2" customFormat="1" ht="16.5" customHeight="1" x14ac:dyDescent="0.25">
      <c r="D594" s="3"/>
      <c r="E594" s="3"/>
      <c r="F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row>
    <row r="595" spans="4:39" s="2" customFormat="1" ht="16.5" customHeight="1" x14ac:dyDescent="0.25">
      <c r="D595" s="3"/>
      <c r="E595" s="3"/>
      <c r="F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row>
    <row r="596" spans="4:39" s="2" customFormat="1" ht="16.5" customHeight="1" x14ac:dyDescent="0.25">
      <c r="D596" s="3"/>
      <c r="E596" s="3"/>
      <c r="F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row>
    <row r="597" spans="4:39" s="2" customFormat="1" ht="16.5" customHeight="1" x14ac:dyDescent="0.25">
      <c r="D597" s="3"/>
      <c r="E597" s="3"/>
      <c r="F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row>
    <row r="598" spans="4:39" s="2" customFormat="1" ht="16.5" customHeight="1" x14ac:dyDescent="0.25">
      <c r="D598" s="3"/>
      <c r="E598" s="3"/>
      <c r="F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row>
    <row r="599" spans="4:39" s="2" customFormat="1" ht="16.5" customHeight="1" x14ac:dyDescent="0.25">
      <c r="D599" s="3"/>
      <c r="E599" s="3"/>
      <c r="F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row>
    <row r="600" spans="4:39" s="2" customFormat="1" ht="16.5" customHeight="1" x14ac:dyDescent="0.25">
      <c r="D600" s="3"/>
      <c r="E600" s="3"/>
      <c r="F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row>
    <row r="601" spans="4:39" s="2" customFormat="1" ht="16.5" customHeight="1" x14ac:dyDescent="0.25">
      <c r="D601" s="3"/>
      <c r="E601" s="3"/>
      <c r="F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row>
    <row r="602" spans="4:39" s="2" customFormat="1" ht="16.5" customHeight="1" x14ac:dyDescent="0.25">
      <c r="D602" s="3"/>
      <c r="E602" s="3"/>
      <c r="F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row>
    <row r="603" spans="4:39" s="2" customFormat="1" ht="16.5" customHeight="1" x14ac:dyDescent="0.25">
      <c r="D603" s="3"/>
      <c r="E603" s="3"/>
      <c r="F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row>
    <row r="604" spans="4:39" s="2" customFormat="1" ht="16.5" customHeight="1" x14ac:dyDescent="0.25">
      <c r="D604" s="3"/>
      <c r="E604" s="3"/>
      <c r="F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row>
    <row r="605" spans="4:39" s="2" customFormat="1" ht="16.5" customHeight="1" x14ac:dyDescent="0.25">
      <c r="D605" s="3"/>
      <c r="E605" s="3"/>
      <c r="F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row>
    <row r="606" spans="4:39" s="2" customFormat="1" ht="16.5" customHeight="1" x14ac:dyDescent="0.25">
      <c r="D606" s="3"/>
      <c r="E606" s="3"/>
      <c r="F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row>
    <row r="607" spans="4:39" s="2" customFormat="1" ht="16.5" customHeight="1" x14ac:dyDescent="0.25">
      <c r="D607" s="3"/>
      <c r="E607" s="3"/>
      <c r="F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row>
    <row r="608" spans="4:39" s="2" customFormat="1" ht="16.5" customHeight="1" x14ac:dyDescent="0.25">
      <c r="D608" s="3"/>
      <c r="E608" s="3"/>
      <c r="F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row>
    <row r="609" spans="4:39" s="2" customFormat="1" ht="16.5" customHeight="1" x14ac:dyDescent="0.25">
      <c r="D609" s="3"/>
      <c r="E609" s="3"/>
      <c r="F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row>
    <row r="610" spans="4:39" s="2" customFormat="1" ht="16.5" customHeight="1" x14ac:dyDescent="0.25">
      <c r="D610" s="3"/>
      <c r="E610" s="3"/>
      <c r="F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row>
    <row r="611" spans="4:39" s="2" customFormat="1" ht="16.5" customHeight="1" x14ac:dyDescent="0.25">
      <c r="D611" s="3"/>
      <c r="E611" s="3"/>
      <c r="F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row>
    <row r="612" spans="4:39" s="2" customFormat="1" ht="16.5" customHeight="1" x14ac:dyDescent="0.25">
      <c r="D612" s="3"/>
      <c r="E612" s="3"/>
      <c r="F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row>
    <row r="613" spans="4:39" s="2" customFormat="1" ht="16.5" customHeight="1" x14ac:dyDescent="0.25">
      <c r="D613" s="3"/>
      <c r="E613" s="3"/>
      <c r="F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row>
    <row r="614" spans="4:39" s="2" customFormat="1" ht="16.5" customHeight="1" x14ac:dyDescent="0.25">
      <c r="D614" s="3"/>
      <c r="E614" s="3"/>
      <c r="F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row>
    <row r="615" spans="4:39" s="2" customFormat="1" ht="16.5" customHeight="1" x14ac:dyDescent="0.25">
      <c r="D615" s="3"/>
      <c r="E615" s="3"/>
      <c r="F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row>
    <row r="616" spans="4:39" s="2" customFormat="1" ht="16.5" customHeight="1" x14ac:dyDescent="0.25">
      <c r="D616" s="3"/>
      <c r="E616" s="3"/>
      <c r="F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row>
    <row r="617" spans="4:39" s="2" customFormat="1" ht="16.5" customHeight="1" x14ac:dyDescent="0.25">
      <c r="D617" s="3"/>
      <c r="E617" s="3"/>
      <c r="F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row>
    <row r="618" spans="4:39" s="2" customFormat="1" ht="16.5" customHeight="1" x14ac:dyDescent="0.25">
      <c r="D618" s="3"/>
      <c r="E618" s="3"/>
      <c r="F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row>
    <row r="619" spans="4:39" s="2" customFormat="1" ht="16.5" customHeight="1" x14ac:dyDescent="0.25">
      <c r="D619" s="3"/>
      <c r="E619" s="3"/>
      <c r="F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row>
    <row r="620" spans="4:39" s="2" customFormat="1" ht="16.5" customHeight="1" x14ac:dyDescent="0.25">
      <c r="D620" s="3"/>
      <c r="E620" s="3"/>
      <c r="F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row>
    <row r="621" spans="4:39" s="2" customFormat="1" ht="16.5" customHeight="1" x14ac:dyDescent="0.25">
      <c r="D621" s="3"/>
      <c r="E621" s="3"/>
      <c r="F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row>
    <row r="622" spans="4:39" s="2" customFormat="1" ht="16.5" customHeight="1" x14ac:dyDescent="0.25">
      <c r="D622" s="3"/>
      <c r="E622" s="3"/>
      <c r="F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row>
    <row r="623" spans="4:39" s="2" customFormat="1" ht="16.5" customHeight="1" x14ac:dyDescent="0.25">
      <c r="D623" s="3"/>
      <c r="E623" s="3"/>
      <c r="F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row>
    <row r="624" spans="4:39" s="2" customFormat="1" ht="16.5" customHeight="1" x14ac:dyDescent="0.25">
      <c r="D624" s="3"/>
      <c r="E624" s="3"/>
      <c r="F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row>
    <row r="625" spans="4:39" s="2" customFormat="1" ht="16.5" customHeight="1" x14ac:dyDescent="0.25">
      <c r="D625" s="3"/>
      <c r="E625" s="3"/>
      <c r="F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row>
    <row r="626" spans="4:39" s="2" customFormat="1" ht="16.5" customHeight="1" x14ac:dyDescent="0.25">
      <c r="D626" s="3"/>
      <c r="E626" s="3"/>
      <c r="F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row>
    <row r="627" spans="4:39" s="2" customFormat="1" ht="16.5" customHeight="1" x14ac:dyDescent="0.25">
      <c r="D627" s="3"/>
      <c r="E627" s="3"/>
      <c r="F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row>
    <row r="628" spans="4:39" s="2" customFormat="1" ht="16.5" customHeight="1" x14ac:dyDescent="0.25">
      <c r="D628" s="3"/>
      <c r="E628" s="3"/>
      <c r="F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row>
    <row r="629" spans="4:39" s="2" customFormat="1" ht="16.5" customHeight="1" x14ac:dyDescent="0.25">
      <c r="D629" s="3"/>
      <c r="E629" s="3"/>
      <c r="F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row>
    <row r="630" spans="4:39" s="2" customFormat="1" ht="16.5" customHeight="1" x14ac:dyDescent="0.25">
      <c r="D630" s="3"/>
      <c r="E630" s="3"/>
      <c r="F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row>
    <row r="631" spans="4:39" s="2" customFormat="1" ht="16.5" customHeight="1" x14ac:dyDescent="0.25">
      <c r="D631" s="3"/>
      <c r="E631" s="3"/>
      <c r="F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row>
    <row r="632" spans="4:39" s="2" customFormat="1" ht="16.5" customHeight="1" x14ac:dyDescent="0.25">
      <c r="D632" s="3"/>
      <c r="E632" s="3"/>
      <c r="F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row>
    <row r="633" spans="4:39" s="2" customFormat="1" ht="16.5" customHeight="1" x14ac:dyDescent="0.25">
      <c r="D633" s="3"/>
      <c r="E633" s="3"/>
      <c r="F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row>
    <row r="634" spans="4:39" s="2" customFormat="1" ht="16.5" customHeight="1" x14ac:dyDescent="0.25">
      <c r="D634" s="3"/>
      <c r="E634" s="3"/>
      <c r="F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row>
    <row r="635" spans="4:39" s="2" customFormat="1" ht="16.5" customHeight="1" x14ac:dyDescent="0.25">
      <c r="D635" s="3"/>
      <c r="E635" s="3"/>
      <c r="F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row>
    <row r="636" spans="4:39" s="2" customFormat="1" ht="16.5" customHeight="1" x14ac:dyDescent="0.25">
      <c r="D636" s="3"/>
      <c r="E636" s="3"/>
      <c r="F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row>
    <row r="637" spans="4:39" s="2" customFormat="1" ht="16.5" customHeight="1" x14ac:dyDescent="0.25">
      <c r="D637" s="3"/>
      <c r="E637" s="3"/>
      <c r="F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row>
    <row r="638" spans="4:39" s="2" customFormat="1" ht="16.5" customHeight="1" x14ac:dyDescent="0.25">
      <c r="D638" s="3"/>
      <c r="E638" s="3"/>
      <c r="F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row>
    <row r="639" spans="4:39" s="2" customFormat="1" ht="16.5" customHeight="1" x14ac:dyDescent="0.25">
      <c r="D639" s="3"/>
      <c r="E639" s="3"/>
      <c r="F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row>
    <row r="640" spans="4:39" s="2" customFormat="1" ht="16.5" customHeight="1" x14ac:dyDescent="0.25">
      <c r="D640" s="3"/>
      <c r="E640" s="3"/>
      <c r="F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row>
    <row r="641" spans="4:39" s="2" customFormat="1" ht="16.5" customHeight="1" x14ac:dyDescent="0.25">
      <c r="D641" s="3"/>
      <c r="E641" s="3"/>
      <c r="F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row>
    <row r="642" spans="4:39" s="2" customFormat="1" ht="16.5" customHeight="1" x14ac:dyDescent="0.25">
      <c r="D642" s="3"/>
      <c r="E642" s="3"/>
      <c r="F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row>
    <row r="643" spans="4:39" s="2" customFormat="1" ht="16.5" customHeight="1" x14ac:dyDescent="0.25">
      <c r="D643" s="3"/>
      <c r="E643" s="3"/>
      <c r="F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row>
    <row r="644" spans="4:39" s="2" customFormat="1" ht="16.5" customHeight="1" x14ac:dyDescent="0.25">
      <c r="D644" s="3"/>
      <c r="E644" s="3"/>
      <c r="F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row>
    <row r="645" spans="4:39" s="2" customFormat="1" ht="16.5" customHeight="1" x14ac:dyDescent="0.25">
      <c r="D645" s="3"/>
      <c r="E645" s="3"/>
      <c r="F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row>
    <row r="646" spans="4:39" s="2" customFormat="1" ht="16.5" customHeight="1" x14ac:dyDescent="0.25">
      <c r="D646" s="3"/>
      <c r="E646" s="3"/>
      <c r="F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row>
    <row r="647" spans="4:39" s="2" customFormat="1" ht="16.5" customHeight="1" x14ac:dyDescent="0.25">
      <c r="D647" s="3"/>
      <c r="E647" s="3"/>
      <c r="F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row>
    <row r="648" spans="4:39" s="2" customFormat="1" ht="16.5" customHeight="1" x14ac:dyDescent="0.25">
      <c r="D648" s="3"/>
      <c r="E648" s="3"/>
      <c r="F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row>
    <row r="649" spans="4:39" s="2" customFormat="1" ht="16.5" customHeight="1" x14ac:dyDescent="0.25">
      <c r="D649" s="3"/>
      <c r="E649" s="3"/>
      <c r="F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row>
    <row r="650" spans="4:39" s="2" customFormat="1" ht="16.5" customHeight="1" x14ac:dyDescent="0.25">
      <c r="D650" s="3"/>
      <c r="E650" s="3"/>
      <c r="F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row>
    <row r="651" spans="4:39" s="2" customFormat="1" ht="16.5" customHeight="1" x14ac:dyDescent="0.25">
      <c r="D651" s="3"/>
      <c r="E651" s="3"/>
      <c r="F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row>
    <row r="652" spans="4:39" s="2" customFormat="1" ht="16.5" customHeight="1" x14ac:dyDescent="0.25">
      <c r="D652" s="3"/>
      <c r="E652" s="3"/>
      <c r="F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row>
    <row r="653" spans="4:39" s="2" customFormat="1" ht="16.5" customHeight="1" x14ac:dyDescent="0.25">
      <c r="D653" s="3"/>
      <c r="E653" s="3"/>
      <c r="F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row>
    <row r="654" spans="4:39" s="2" customFormat="1" ht="16.5" customHeight="1" x14ac:dyDescent="0.25">
      <c r="D654" s="3"/>
      <c r="E654" s="3"/>
      <c r="F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row>
    <row r="655" spans="4:39" s="2" customFormat="1" ht="16.5" customHeight="1" x14ac:dyDescent="0.25">
      <c r="D655" s="3"/>
      <c r="E655" s="3"/>
      <c r="F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row>
    <row r="656" spans="4:39" s="2" customFormat="1" ht="16.5" customHeight="1" x14ac:dyDescent="0.25">
      <c r="D656" s="3"/>
      <c r="E656" s="3"/>
      <c r="F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row>
    <row r="657" spans="4:39" s="2" customFormat="1" ht="16.5" customHeight="1" x14ac:dyDescent="0.25">
      <c r="D657" s="3"/>
      <c r="E657" s="3"/>
      <c r="F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row>
    <row r="658" spans="4:39" s="2" customFormat="1" ht="16.5" customHeight="1" x14ac:dyDescent="0.25">
      <c r="D658" s="3"/>
      <c r="E658" s="3"/>
      <c r="F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row>
    <row r="659" spans="4:39" s="2" customFormat="1" ht="16.5" customHeight="1" x14ac:dyDescent="0.25">
      <c r="D659" s="3"/>
      <c r="E659" s="3"/>
      <c r="F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row>
    <row r="660" spans="4:39" s="2" customFormat="1" ht="16.5" customHeight="1" x14ac:dyDescent="0.25">
      <c r="D660" s="3"/>
      <c r="E660" s="3"/>
      <c r="F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row>
    <row r="661" spans="4:39" s="2" customFormat="1" ht="16.5" customHeight="1" x14ac:dyDescent="0.25">
      <c r="D661" s="3"/>
      <c r="E661" s="3"/>
      <c r="F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row>
    <row r="662" spans="4:39" s="2" customFormat="1" ht="16.5" customHeight="1" x14ac:dyDescent="0.25">
      <c r="D662" s="3"/>
      <c r="E662" s="3"/>
      <c r="F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row>
    <row r="663" spans="4:39" s="2" customFormat="1" ht="16.5" customHeight="1" x14ac:dyDescent="0.25">
      <c r="D663" s="3"/>
      <c r="E663" s="3"/>
      <c r="F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row>
    <row r="664" spans="4:39" s="2" customFormat="1" ht="16.5" customHeight="1" x14ac:dyDescent="0.25">
      <c r="D664" s="3"/>
      <c r="E664" s="3"/>
      <c r="F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row>
    <row r="665" spans="4:39" s="2" customFormat="1" ht="16.5" customHeight="1" x14ac:dyDescent="0.25">
      <c r="D665" s="3"/>
      <c r="E665" s="3"/>
      <c r="F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row>
    <row r="666" spans="4:39" s="2" customFormat="1" ht="16.5" customHeight="1" x14ac:dyDescent="0.25">
      <c r="D666" s="3"/>
      <c r="E666" s="3"/>
      <c r="F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row>
    <row r="667" spans="4:39" s="2" customFormat="1" ht="16.5" customHeight="1" x14ac:dyDescent="0.25">
      <c r="D667" s="3"/>
      <c r="E667" s="3"/>
      <c r="F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row>
    <row r="668" spans="4:39" s="2" customFormat="1" ht="16.5" customHeight="1" x14ac:dyDescent="0.25">
      <c r="D668" s="3"/>
      <c r="E668" s="3"/>
      <c r="F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row>
    <row r="669" spans="4:39" s="2" customFormat="1" ht="16.5" customHeight="1" x14ac:dyDescent="0.25">
      <c r="D669" s="3"/>
      <c r="E669" s="3"/>
      <c r="F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row>
    <row r="670" spans="4:39" s="2" customFormat="1" ht="16.5" customHeight="1" x14ac:dyDescent="0.25">
      <c r="D670" s="3"/>
      <c r="E670" s="3"/>
      <c r="F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row>
    <row r="671" spans="4:39" s="2" customFormat="1" ht="16.5" customHeight="1" x14ac:dyDescent="0.25">
      <c r="D671" s="3"/>
      <c r="E671" s="3"/>
      <c r="F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row>
    <row r="672" spans="4:39" s="2" customFormat="1" ht="16.5" customHeight="1" x14ac:dyDescent="0.25">
      <c r="D672" s="3"/>
      <c r="E672" s="3"/>
      <c r="F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row>
  </sheetData>
  <mergeCells count="19">
    <mergeCell ref="D468:D470"/>
    <mergeCell ref="D476:D478"/>
    <mergeCell ref="D484:D486"/>
    <mergeCell ref="W7:Z7"/>
    <mergeCell ref="AA7:AD7"/>
    <mergeCell ref="AE7:AH7"/>
    <mergeCell ref="AE8:AH8"/>
    <mergeCell ref="AI7:AL7"/>
    <mergeCell ref="G8:J8"/>
    <mergeCell ref="K8:N8"/>
    <mergeCell ref="O8:R8"/>
    <mergeCell ref="S8:V8"/>
    <mergeCell ref="W8:Z8"/>
    <mergeCell ref="AA8:AD8"/>
    <mergeCell ref="AI8:AL8"/>
    <mergeCell ref="G7:J7"/>
    <mergeCell ref="K7:N7"/>
    <mergeCell ref="O7:R7"/>
    <mergeCell ref="S7:V7"/>
  </mergeCells>
  <printOptions horizontalCentered="1"/>
  <pageMargins left="0.5" right="0.5" top="0.75" bottom="0.75" header="0.3" footer="0.3"/>
  <pageSetup paperSize="9" scale="38" fitToHeight="4" orientation="landscape" r:id="rId1"/>
  <headerFooter>
    <oddFooter>&amp;L&amp;F&amp;C&amp;P / &amp;N&amp;RSANITATION DEMAND AND SUPPLY STUDY</oddFooter>
  </headerFooter>
  <rowBreaks count="6" manualBreakCount="6">
    <brk id="96" max="40" man="1"/>
    <brk id="178" max="40" man="1"/>
    <brk id="203" max="40" man="1"/>
    <brk id="293" max="40" man="1"/>
    <brk id="333" max="40" man="1"/>
    <brk id="399" max="40" man="1"/>
  </rowBreaks>
  <ignoredErrors>
    <ignoredError sqref="J23 N23 J28:AS28 I37:I39 G38:H38 AI37:AK37 M37:AG37 Q23:R23 U23:V23 Y23:Z23 AC23:AD23 AG23:AL23 J33:AH33 J47 N47:AL47 J63:AL63 J69 N69:AL69 J76 N76:AL76 J83 AI39:AK39 AK38 AI38:AJ38 I104 N104:P104 AK104:AN104 AK103 J111 AH111 AL111 I113 AK112 N128:AL128 J128 J132 Z132:AH132 N132:V132 R140:AD140 J140:N140 AH140 Z144:AH144 N144:V144 J144 Z151:AH151 J151:V151 J162 AD162:AH163 R162:AB162 N162 J169:AL169 J178:AL178 J213 N213:S214 V213:AD214 AH213:AH214 J241 N241 R241 V241 Z241 AD241 AH241 J246 N246 R246 V246 Z246 AD246 AH246 AA255:AC255 J255:M255 I265 Y265:AK265 J265:V265 J284 R284 AH284 N284 I291 R291:AD292 J291:Q292 AH291 AK291 AI291:AJ291 Z302:AH302 J302:V302 Z310:AL310 J310:V310 J222 J231 Q221 W222:Y222 AC221 AE231:AG231 AA222:AC222 AA231:AC231 Z223:AH223 Z231 AD231 Z222 AD222:AH222 AH231 S222 O222:Q222 S231:U231 N223:V223 N231:R231 V231 N222 R222 T222:V222 AE255:AG255 AD255 AH255 S255:U255 O255:Q255 N255 R255 V255:Z255 Z320:AH320 J320:V320 Z328:AH328 J328:V328 Z333:AH333 J333:V333 J341:M341 AE341:AG341 AA341:AC341 Z341 AD341 AH341 S341:U341 O341:Q341 N341 R341 V341 W351:AD351 Y357:AK357 I357:U357 Z365:AH365 J365:V365 Z371:AH371 J371:V371 Z384:AH384 J384:V384 J389 V389:AH389 N389:R389 J399 J405 V405:AH405 J415:V415 Z415:AH415 AB423:AD423 AH423 R423:AA423 J423:Q423 Z430:AH431 J430:V430 J439 V439:AH439 N439:R439 Z451:AH451 N451:V451 J451 J456:AM456 R351:V351 J351:Q351 K38:L38 M39:AG39 M38:N38 Q38:R38 Q215 Q216 Q220 N230 N224 Q224:R224 N225 Q225:R225 N226 R226 N227 R227 N228 R228 N229 Q229:R229 Q230:R230 U224:V224 U225:V225 V226 V227 V228 U229:V229 U230:V230 Y215 Y216 Y220 Y221 AC215 AC216 AC220 Z230 Z224 AC224:AD224 Z225 AC225:AD225 Z226 AD226 Z227 AD227 Z228 AD228 Z229 AC229:AD229 AC230:AD230 AG38 AG224:AH224 AG225:AH225 AH226 AH227 AH228 AG229:AH229 AG230:AH230 N405:U405 R104:T104 AH104 AC38:AD38 Y38:Z38 U38:V38 S38:T38 W38:X38 AA38:AB38 AE38:AF38 AD104:AF104 Z104:AB104 V104:X104 U104 Y104 AC104 AG104 V186:AH186 J186:R186 O38:P38 AK13 V284 Z284 AD284"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BU345"/>
  <sheetViews>
    <sheetView zoomScale="80" zoomScaleNormal="80" workbookViewId="0">
      <pane xSplit="6" ySplit="9" topLeftCell="G10" activePane="bottomRight" state="frozen"/>
      <selection activeCell="A2" sqref="A2"/>
      <selection pane="topRight" activeCell="A2" sqref="A2"/>
      <selection pane="bottomLeft" activeCell="A2" sqref="A2"/>
      <selection pane="bottomRight" activeCell="G5" sqref="G5"/>
    </sheetView>
  </sheetViews>
  <sheetFormatPr defaultRowHeight="16.5" customHeight="1" x14ac:dyDescent="0.25"/>
  <cols>
    <col min="1" max="2" width="4.7109375" style="2" customWidth="1"/>
    <col min="3" max="3" width="6.7109375" style="2" customWidth="1"/>
    <col min="4" max="4" width="7.7109375" style="3" customWidth="1"/>
    <col min="5" max="5" width="4.7109375" style="3" customWidth="1"/>
    <col min="6" max="6" width="35.7109375" style="3" customWidth="1"/>
    <col min="7" max="7" width="10.140625" style="2" customWidth="1"/>
    <col min="8" max="38" width="10.140625" style="3" customWidth="1"/>
    <col min="39" max="39" width="9.140625" style="3"/>
    <col min="40" max="40" width="14.28515625" style="3" bestFit="1" customWidth="1"/>
    <col min="41" max="16384" width="9.140625" style="3"/>
  </cols>
  <sheetData>
    <row r="1" spans="1:38" ht="16.5" customHeight="1" x14ac:dyDescent="0.25">
      <c r="A1" s="1" t="s">
        <v>363</v>
      </c>
      <c r="G1" s="5" t="s">
        <v>883</v>
      </c>
    </row>
    <row r="2" spans="1:38" ht="9.9499999999999993" customHeight="1" x14ac:dyDescent="0.25"/>
    <row r="3" spans="1:38" ht="16.5" customHeight="1" x14ac:dyDescent="0.25">
      <c r="A3" s="444" t="str">
        <f>'STUDY VILLAGES'!U7</f>
        <v>KAMPOT PROVINCE</v>
      </c>
      <c r="G3" s="444" t="str">
        <f>'STUDY VILLAGES'!U8</f>
        <v>BANTEAY MEAS DISTRICT</v>
      </c>
    </row>
    <row r="4" spans="1:38" ht="9.9499999999999993" customHeight="1" x14ac:dyDescent="0.25">
      <c r="A4" s="3"/>
    </row>
    <row r="5" spans="1:38" ht="16.5" customHeight="1" x14ac:dyDescent="0.25">
      <c r="A5" s="444" t="s">
        <v>1039</v>
      </c>
      <c r="G5" s="633" t="s">
        <v>1041</v>
      </c>
    </row>
    <row r="6" spans="1:38" ht="16.5" customHeight="1" x14ac:dyDescent="0.25">
      <c r="A6" s="12"/>
      <c r="B6" s="138"/>
      <c r="C6" s="97"/>
      <c r="D6" s="450"/>
      <c r="E6" s="450"/>
      <c r="F6" s="450"/>
    </row>
    <row r="7" spans="1:38" ht="16.5" customHeight="1" x14ac:dyDescent="0.25">
      <c r="D7" s="2"/>
      <c r="E7" s="2"/>
      <c r="F7" s="2"/>
      <c r="G7" s="1369" t="s">
        <v>884</v>
      </c>
      <c r="H7" s="1369"/>
      <c r="I7" s="1369"/>
      <c r="J7" s="1369"/>
      <c r="K7" s="1369" t="s">
        <v>885</v>
      </c>
      <c r="L7" s="1369"/>
      <c r="M7" s="1369"/>
      <c r="N7" s="1369"/>
      <c r="O7" s="1369" t="s">
        <v>886</v>
      </c>
      <c r="P7" s="1369"/>
      <c r="Q7" s="1369"/>
      <c r="R7" s="1369"/>
      <c r="S7" s="1369" t="s">
        <v>887</v>
      </c>
      <c r="T7" s="1369"/>
      <c r="U7" s="1369"/>
      <c r="V7" s="1369"/>
      <c r="W7" s="1369" t="s">
        <v>888</v>
      </c>
      <c r="X7" s="1369"/>
      <c r="Y7" s="1369"/>
      <c r="Z7" s="1369"/>
      <c r="AA7" s="1369" t="s">
        <v>889</v>
      </c>
      <c r="AB7" s="1369"/>
      <c r="AC7" s="1369"/>
      <c r="AD7" s="1369"/>
      <c r="AE7" s="1369" t="s">
        <v>890</v>
      </c>
      <c r="AF7" s="1369"/>
      <c r="AG7" s="1369"/>
      <c r="AH7" s="1370"/>
      <c r="AI7" s="1374" t="s">
        <v>892</v>
      </c>
      <c r="AJ7" s="1369"/>
      <c r="AK7" s="1369"/>
      <c r="AL7" s="1369"/>
    </row>
    <row r="8" spans="1:38" ht="16.5" customHeight="1" x14ac:dyDescent="0.25">
      <c r="D8" s="2"/>
      <c r="E8" s="2"/>
      <c r="F8" s="2"/>
      <c r="G8" s="1371" t="str">
        <f>'HH WITH COM #1 '!$L$3</f>
        <v>SAMRAONG LEU</v>
      </c>
      <c r="H8" s="1372"/>
      <c r="I8" s="1372"/>
      <c r="J8" s="1372"/>
      <c r="K8" s="1371" t="str">
        <f>'HH WITH COM #1 '!$L$3</f>
        <v>SAMRAONG LEU</v>
      </c>
      <c r="L8" s="1372"/>
      <c r="M8" s="1372"/>
      <c r="N8" s="1372"/>
      <c r="O8" s="1371" t="str">
        <f>'HH WITH COM #1 '!$L$3</f>
        <v>SAMRAONG LEU</v>
      </c>
      <c r="P8" s="1372"/>
      <c r="Q8" s="1372"/>
      <c r="R8" s="1372"/>
      <c r="S8" s="1371" t="str">
        <f>'HH WITH COM #1 '!$L$3</f>
        <v>SAMRAONG LEU</v>
      </c>
      <c r="T8" s="1372"/>
      <c r="U8" s="1372"/>
      <c r="V8" s="1372"/>
      <c r="W8" s="1371" t="str">
        <f>'HH WITH COM #1 '!$L$3</f>
        <v>SAMRAONG LEU</v>
      </c>
      <c r="X8" s="1372"/>
      <c r="Y8" s="1372"/>
      <c r="Z8" s="1372"/>
      <c r="AA8" s="1371" t="str">
        <f>'HH WITH COM #1 '!$L$3</f>
        <v>SAMRAONG LEU</v>
      </c>
      <c r="AB8" s="1372"/>
      <c r="AC8" s="1372"/>
      <c r="AD8" s="1372"/>
      <c r="AE8" s="1371" t="str">
        <f>'HH WITH COM #1 '!$L$3</f>
        <v>SAMRAONG LEU</v>
      </c>
      <c r="AF8" s="1372"/>
      <c r="AG8" s="1372"/>
      <c r="AH8" s="1373"/>
      <c r="AI8" s="1375" t="str">
        <f>G3</f>
        <v>BANTEAY MEAS DISTRICT</v>
      </c>
      <c r="AJ8" s="1372"/>
      <c r="AK8" s="1372"/>
      <c r="AL8" s="1372"/>
    </row>
    <row r="9" spans="1:38" ht="16.5" customHeight="1" x14ac:dyDescent="0.25">
      <c r="A9" s="21"/>
      <c r="B9" s="21"/>
      <c r="C9" s="21"/>
      <c r="D9" s="4"/>
      <c r="E9" s="4"/>
      <c r="F9" s="451"/>
      <c r="G9" s="538" t="s">
        <v>891</v>
      </c>
      <c r="H9" s="538" t="s">
        <v>849</v>
      </c>
      <c r="I9" s="538" t="s">
        <v>4</v>
      </c>
      <c r="J9" s="538" t="s">
        <v>5</v>
      </c>
      <c r="K9" s="538" t="s">
        <v>891</v>
      </c>
      <c r="L9" s="538" t="s">
        <v>849</v>
      </c>
      <c r="M9" s="538" t="s">
        <v>4</v>
      </c>
      <c r="N9" s="538" t="s">
        <v>5</v>
      </c>
      <c r="O9" s="538" t="s">
        <v>891</v>
      </c>
      <c r="P9" s="538" t="s">
        <v>849</v>
      </c>
      <c r="Q9" s="538" t="s">
        <v>4</v>
      </c>
      <c r="R9" s="538" t="s">
        <v>5</v>
      </c>
      <c r="S9" s="538" t="s">
        <v>891</v>
      </c>
      <c r="T9" s="538" t="s">
        <v>849</v>
      </c>
      <c r="U9" s="538" t="s">
        <v>4</v>
      </c>
      <c r="V9" s="538" t="s">
        <v>5</v>
      </c>
      <c r="W9" s="538" t="s">
        <v>891</v>
      </c>
      <c r="X9" s="538" t="s">
        <v>849</v>
      </c>
      <c r="Y9" s="538" t="s">
        <v>4</v>
      </c>
      <c r="Z9" s="538" t="s">
        <v>5</v>
      </c>
      <c r="AA9" s="538" t="s">
        <v>891</v>
      </c>
      <c r="AB9" s="538" t="s">
        <v>849</v>
      </c>
      <c r="AC9" s="538" t="s">
        <v>4</v>
      </c>
      <c r="AD9" s="538" t="s">
        <v>5</v>
      </c>
      <c r="AE9" s="538" t="s">
        <v>891</v>
      </c>
      <c r="AF9" s="538" t="s">
        <v>849</v>
      </c>
      <c r="AG9" s="538" t="s">
        <v>4</v>
      </c>
      <c r="AH9" s="605" t="s">
        <v>5</v>
      </c>
      <c r="AI9" s="618" t="s">
        <v>891</v>
      </c>
      <c r="AJ9" s="538" t="s">
        <v>849</v>
      </c>
      <c r="AK9" s="538" t="s">
        <v>4</v>
      </c>
      <c r="AL9" s="538" t="s">
        <v>5</v>
      </c>
    </row>
    <row r="10" spans="1:38" s="456" customFormat="1" ht="16.5" customHeight="1" thickBot="1" x14ac:dyDescent="0.3">
      <c r="A10" s="24" t="s">
        <v>850</v>
      </c>
      <c r="B10" s="453" t="s">
        <v>851</v>
      </c>
      <c r="C10" s="26"/>
      <c r="D10" s="454"/>
      <c r="E10" s="454"/>
      <c r="F10" s="455"/>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606"/>
      <c r="AI10" s="630"/>
      <c r="AJ10" s="24"/>
      <c r="AK10" s="24"/>
      <c r="AL10" s="24"/>
    </row>
    <row r="11" spans="1:38" s="117" customFormat="1" ht="16.5" customHeight="1" x14ac:dyDescent="0.25">
      <c r="A11" s="253"/>
      <c r="B11" s="275" t="s">
        <v>898</v>
      </c>
      <c r="C11" s="457" t="s">
        <v>903</v>
      </c>
      <c r="D11" s="458"/>
      <c r="E11" s="458"/>
      <c r="F11" s="459"/>
      <c r="G11" s="425"/>
      <c r="H11" s="425"/>
      <c r="I11" s="257">
        <f>'STUDY VILLAGES'!$K$10</f>
        <v>5</v>
      </c>
      <c r="J11" s="460"/>
      <c r="K11" s="425"/>
      <c r="L11" s="425"/>
      <c r="M11" s="257">
        <f>'STUDY VILLAGES'!$K$11</f>
        <v>5</v>
      </c>
      <c r="N11" s="460"/>
      <c r="O11" s="425"/>
      <c r="P11" s="425"/>
      <c r="Q11" s="257">
        <f>'STUDY VILLAGES'!$K$12</f>
        <v>4</v>
      </c>
      <c r="R11" s="460"/>
      <c r="S11" s="425"/>
      <c r="T11" s="425"/>
      <c r="U11" s="257">
        <f>'STUDY VILLAGES'!$K$13</f>
        <v>6</v>
      </c>
      <c r="V11" s="460"/>
      <c r="W11" s="425"/>
      <c r="X11" s="425"/>
      <c r="Y11" s="257">
        <f>'STUDY VILLAGES'!$K$14</f>
        <v>8</v>
      </c>
      <c r="Z11" s="460"/>
      <c r="AA11" s="425"/>
      <c r="AB11" s="425"/>
      <c r="AC11" s="257">
        <f>'STUDY VILLAGES'!$K$15</f>
        <v>5</v>
      </c>
      <c r="AD11" s="460"/>
      <c r="AE11" s="460"/>
      <c r="AF11" s="460"/>
      <c r="AG11" s="257">
        <f>'STUDY VILLAGES'!$K$16</f>
        <v>0</v>
      </c>
      <c r="AH11" s="607"/>
      <c r="AI11" s="629"/>
      <c r="AJ11" s="425"/>
      <c r="AK11" s="257">
        <f t="shared" ref="AK11:AK12" si="0">I11+M11+Q11+U11+Y11+AC11+AG11</f>
        <v>33</v>
      </c>
      <c r="AL11" s="460"/>
    </row>
    <row r="12" spans="1:38" s="117" customFormat="1" ht="16.5" customHeight="1" x14ac:dyDescent="0.25">
      <c r="A12" s="253"/>
      <c r="B12" s="275" t="s">
        <v>852</v>
      </c>
      <c r="C12" s="457" t="s">
        <v>897</v>
      </c>
      <c r="D12" s="458"/>
      <c r="E12" s="458"/>
      <c r="F12" s="459"/>
      <c r="G12" s="425"/>
      <c r="H12" s="425"/>
      <c r="I12" s="257">
        <f>'STUDY VILLAGES'!$L$10</f>
        <v>2</v>
      </c>
      <c r="J12" s="460"/>
      <c r="K12" s="425"/>
      <c r="L12" s="425"/>
      <c r="M12" s="257">
        <f>'STUDY VILLAGES'!$L$11</f>
        <v>2</v>
      </c>
      <c r="N12" s="460"/>
      <c r="O12" s="425"/>
      <c r="P12" s="425"/>
      <c r="Q12" s="257">
        <f>'STUDY VILLAGES'!$L$12</f>
        <v>1</v>
      </c>
      <c r="R12" s="460"/>
      <c r="S12" s="425"/>
      <c r="T12" s="425"/>
      <c r="U12" s="257">
        <f>'STUDY VILLAGES'!$L$13</f>
        <v>2</v>
      </c>
      <c r="V12" s="460"/>
      <c r="W12" s="425"/>
      <c r="X12" s="425"/>
      <c r="Y12" s="257">
        <f>'STUDY VILLAGES'!$L$14</f>
        <v>3</v>
      </c>
      <c r="Z12" s="460"/>
      <c r="AA12" s="425"/>
      <c r="AB12" s="425"/>
      <c r="AC12" s="257">
        <f>'STUDY VILLAGES'!$L$15</f>
        <v>2</v>
      </c>
      <c r="AD12" s="460"/>
      <c r="AE12" s="460"/>
      <c r="AF12" s="460"/>
      <c r="AG12" s="257">
        <f>'STUDY VILLAGES'!$L$16</f>
        <v>0</v>
      </c>
      <c r="AH12" s="607"/>
      <c r="AI12" s="391"/>
      <c r="AJ12" s="17"/>
      <c r="AK12" s="539">
        <f t="shared" si="0"/>
        <v>12</v>
      </c>
      <c r="AL12" s="91"/>
    </row>
    <row r="13" spans="1:38" ht="16.5" customHeight="1" x14ac:dyDescent="0.25">
      <c r="A13" s="40"/>
      <c r="B13" s="40"/>
      <c r="C13" s="464" t="s">
        <v>901</v>
      </c>
      <c r="D13" s="464"/>
      <c r="E13" s="464"/>
      <c r="F13" s="465"/>
      <c r="G13" s="66"/>
      <c r="H13" s="66"/>
      <c r="I13" s="66">
        <f>IF(I11=0,0,I12/I11)</f>
        <v>0.4</v>
      </c>
      <c r="J13" s="66"/>
      <c r="K13" s="66"/>
      <c r="L13" s="66"/>
      <c r="M13" s="66">
        <f>IF(M11=0,0,M12/M11)</f>
        <v>0.4</v>
      </c>
      <c r="N13" s="66"/>
      <c r="O13" s="66"/>
      <c r="P13" s="66"/>
      <c r="Q13" s="66">
        <f>IF(Q11=0,0,Q12/Q11)</f>
        <v>0.25</v>
      </c>
      <c r="R13" s="66"/>
      <c r="S13" s="66"/>
      <c r="T13" s="66"/>
      <c r="U13" s="66">
        <f>IF(U11=0,0,U12/U11)</f>
        <v>0.33333333333333331</v>
      </c>
      <c r="V13" s="66"/>
      <c r="W13" s="66"/>
      <c r="X13" s="66"/>
      <c r="Y13" s="66">
        <f>IF(Y11=0,0,Y12/Y11)</f>
        <v>0.375</v>
      </c>
      <c r="Z13" s="66"/>
      <c r="AA13" s="66"/>
      <c r="AB13" s="66"/>
      <c r="AC13" s="66">
        <f>IF(AC11=0,0,AC12/AC11)</f>
        <v>0.4</v>
      </c>
      <c r="AD13" s="66"/>
      <c r="AE13" s="66"/>
      <c r="AF13" s="66"/>
      <c r="AG13" s="66">
        <f>IF(AG11=0,0,AG12/AG11)</f>
        <v>0</v>
      </c>
      <c r="AH13" s="608"/>
      <c r="AI13" s="619"/>
      <c r="AJ13" s="66"/>
      <c r="AK13" s="66">
        <f>IF(AK11=0,0,AK12/AK11)</f>
        <v>0.36363636363636365</v>
      </c>
      <c r="AL13" s="66"/>
    </row>
    <row r="14" spans="1:38" s="117" customFormat="1" ht="16.5" customHeight="1" x14ac:dyDescent="0.25">
      <c r="A14" s="253"/>
      <c r="B14" s="540" t="s">
        <v>853</v>
      </c>
      <c r="C14" s="457" t="s">
        <v>899</v>
      </c>
      <c r="D14" s="458"/>
      <c r="E14" s="458"/>
      <c r="F14" s="459"/>
      <c r="G14" s="425"/>
      <c r="H14" s="425"/>
      <c r="I14" s="257">
        <f>'HH WITH COM #1 '!$AC$9</f>
        <v>2</v>
      </c>
      <c r="J14" s="460"/>
      <c r="K14" s="425"/>
      <c r="L14" s="425"/>
      <c r="M14" s="257">
        <f>'HH WITH COM #2'!$AC$9</f>
        <v>2</v>
      </c>
      <c r="N14" s="460"/>
      <c r="O14" s="425"/>
      <c r="P14" s="425"/>
      <c r="Q14" s="257">
        <f>'HH WITH COM #3'!$AC$9</f>
        <v>1</v>
      </c>
      <c r="R14" s="460"/>
      <c r="S14" s="425"/>
      <c r="T14" s="425"/>
      <c r="U14" s="257">
        <f>'HH WITH COM #4'!$AC$9</f>
        <v>2</v>
      </c>
      <c r="V14" s="460"/>
      <c r="W14" s="425"/>
      <c r="X14" s="425"/>
      <c r="Y14" s="257">
        <f>'HH WITH COM #5'!$AC$9</f>
        <v>3</v>
      </c>
      <c r="Z14" s="460"/>
      <c r="AA14" s="425"/>
      <c r="AB14" s="425"/>
      <c r="AC14" s="257">
        <f>'HH WITH COM #6'!$AC$9</f>
        <v>2</v>
      </c>
      <c r="AD14" s="460"/>
      <c r="AE14" s="460"/>
      <c r="AF14" s="460"/>
      <c r="AG14" s="257">
        <f>'HH WITH COM #7'!$AC$9</f>
        <v>0</v>
      </c>
      <c r="AH14" s="607"/>
      <c r="AI14" s="391"/>
      <c r="AJ14" s="17"/>
      <c r="AK14" s="539">
        <f t="shared" ref="AK14" si="1">I14+M14+Q14+U14+Y14+AC14+AG14</f>
        <v>12</v>
      </c>
      <c r="AL14" s="91"/>
    </row>
    <row r="15" spans="1:38" ht="16.5" customHeight="1" x14ac:dyDescent="0.25">
      <c r="A15" s="40"/>
      <c r="B15" s="40"/>
      <c r="C15" s="464" t="s">
        <v>901</v>
      </c>
      <c r="D15" s="464"/>
      <c r="E15" s="464"/>
      <c r="F15" s="465"/>
      <c r="G15" s="66"/>
      <c r="H15" s="66"/>
      <c r="I15" s="66">
        <f>IF(I11=0,0,I14/I11)</f>
        <v>0.4</v>
      </c>
      <c r="J15" s="66"/>
      <c r="K15" s="66"/>
      <c r="L15" s="66"/>
      <c r="M15" s="66">
        <f>IF(M11=0,0,M14/M11)</f>
        <v>0.4</v>
      </c>
      <c r="N15" s="66"/>
      <c r="O15" s="66"/>
      <c r="P15" s="66"/>
      <c r="Q15" s="66">
        <f>IF(Q11=0,0,Q14/Q11)</f>
        <v>0.25</v>
      </c>
      <c r="R15" s="66"/>
      <c r="S15" s="66"/>
      <c r="T15" s="66"/>
      <c r="U15" s="66">
        <f>IF(U11=0,0,U14/U11)</f>
        <v>0.33333333333333331</v>
      </c>
      <c r="V15" s="66"/>
      <c r="W15" s="66"/>
      <c r="X15" s="66"/>
      <c r="Y15" s="66">
        <f>IF(Y11=0,0,Y14/Y11)</f>
        <v>0.375</v>
      </c>
      <c r="Z15" s="66"/>
      <c r="AA15" s="66"/>
      <c r="AB15" s="66"/>
      <c r="AC15" s="66">
        <f>IF(AC11=0,0,AC14/AC11)</f>
        <v>0.4</v>
      </c>
      <c r="AD15" s="66"/>
      <c r="AE15" s="66"/>
      <c r="AF15" s="66"/>
      <c r="AG15" s="66">
        <f>IF(AG11=0,0,AG14/AG11)</f>
        <v>0</v>
      </c>
      <c r="AH15" s="608"/>
      <c r="AI15" s="619"/>
      <c r="AJ15" s="66"/>
      <c r="AK15" s="66">
        <f>IF(AK11=0,0,AK14/AK11)</f>
        <v>0.36363636363636365</v>
      </c>
      <c r="AL15" s="66"/>
    </row>
    <row r="16" spans="1:38" s="117" customFormat="1" ht="16.5" hidden="1" customHeight="1" x14ac:dyDescent="0.25">
      <c r="A16" s="253"/>
      <c r="B16" s="275" t="s">
        <v>852</v>
      </c>
      <c r="C16" s="457" t="s">
        <v>999</v>
      </c>
      <c r="D16" s="458"/>
      <c r="E16" s="458"/>
      <c r="F16" s="459"/>
      <c r="G16" s="425"/>
      <c r="H16" s="425"/>
      <c r="I16" s="257">
        <f>SUM(G16:H16)</f>
        <v>0</v>
      </c>
      <c r="J16" s="460">
        <f>IF(I$16=0,0,I16/I$16)</f>
        <v>0</v>
      </c>
      <c r="K16" s="425"/>
      <c r="L16" s="425"/>
      <c r="M16" s="257">
        <f>SUM(K16:L16)</f>
        <v>0</v>
      </c>
      <c r="N16" s="460">
        <f>IF(M$16=0,0,M16/M$16)</f>
        <v>0</v>
      </c>
      <c r="O16" s="425"/>
      <c r="P16" s="425"/>
      <c r="Q16" s="257">
        <f>SUM(O16:P16)</f>
        <v>0</v>
      </c>
      <c r="R16" s="460">
        <f>IF(Q$16=0,0,Q16/Q$16)</f>
        <v>0</v>
      </c>
      <c r="S16" s="425"/>
      <c r="T16" s="425"/>
      <c r="U16" s="257">
        <f>SUM(S16:T16)</f>
        <v>0</v>
      </c>
      <c r="V16" s="460">
        <f>IF(U$16=0,0,U16/U$16)</f>
        <v>0</v>
      </c>
      <c r="W16" s="425"/>
      <c r="X16" s="425"/>
      <c r="Y16" s="257">
        <f>SUM(W16:X16)</f>
        <v>0</v>
      </c>
      <c r="Z16" s="460">
        <f>IF(Y$16=0,0,Y16/Y$16)</f>
        <v>0</v>
      </c>
      <c r="AA16" s="425"/>
      <c r="AB16" s="425"/>
      <c r="AC16" s="257">
        <f>SUM(AA16:AB16)</f>
        <v>0</v>
      </c>
      <c r="AD16" s="460">
        <f>IF(AC$16=0,0,AC16/AC$16)</f>
        <v>0</v>
      </c>
      <c r="AE16" s="460"/>
      <c r="AF16" s="460"/>
      <c r="AG16" s="257">
        <f>SUM(AE16:AF16)</f>
        <v>0</v>
      </c>
      <c r="AH16" s="607">
        <f>IF(AG$16=0,0,AG16/AG$16)</f>
        <v>0</v>
      </c>
      <c r="AI16" s="391">
        <f>G16+K16+O16+S16+W16+AA16+AE16</f>
        <v>0</v>
      </c>
      <c r="AJ16" s="17">
        <f>H16+L16+P16+T16+X16+AB16+AF16</f>
        <v>0</v>
      </c>
      <c r="AK16" s="539">
        <f>SUM(AI16:AJ16)</f>
        <v>0</v>
      </c>
      <c r="AL16" s="91">
        <f>IF(AK$16=0,0,AK16/AK$16)</f>
        <v>0</v>
      </c>
    </row>
    <row r="17" spans="1:38" s="117" customFormat="1" ht="16.5" customHeight="1" x14ac:dyDescent="0.25">
      <c r="A17" s="119"/>
      <c r="B17" s="540" t="s">
        <v>1453</v>
      </c>
      <c r="C17" s="461" t="s">
        <v>1479</v>
      </c>
      <c r="D17" s="428"/>
      <c r="E17" s="428"/>
      <c r="F17" s="462"/>
      <c r="G17" s="17">
        <f>G23</f>
        <v>35</v>
      </c>
      <c r="H17" s="17">
        <f>H23</f>
        <v>82</v>
      </c>
      <c r="I17" s="539">
        <f>SUM(G17:H17)</f>
        <v>117</v>
      </c>
      <c r="J17" s="565">
        <f>IF(I$16=0,0,I17/I$16)</f>
        <v>0</v>
      </c>
      <c r="K17" s="17">
        <f>K23</f>
        <v>0</v>
      </c>
      <c r="L17" s="17">
        <f>L23</f>
        <v>0</v>
      </c>
      <c r="M17" s="539">
        <f>SUM(K17:L17)</f>
        <v>0</v>
      </c>
      <c r="N17" s="565">
        <f>IF(M$16=0,0,M17/M$16)</f>
        <v>0</v>
      </c>
      <c r="O17" s="17">
        <f>O23</f>
        <v>0</v>
      </c>
      <c r="P17" s="17">
        <f>P23</f>
        <v>0</v>
      </c>
      <c r="Q17" s="539">
        <f>SUM(O17:P17)</f>
        <v>0</v>
      </c>
      <c r="R17" s="565">
        <f>IF(Q$16=0,0,Q17/Q$16)</f>
        <v>0</v>
      </c>
      <c r="S17" s="17">
        <f>S23</f>
        <v>0</v>
      </c>
      <c r="T17" s="17">
        <f>T23</f>
        <v>0</v>
      </c>
      <c r="U17" s="539">
        <f>SUM(S17:T17)</f>
        <v>0</v>
      </c>
      <c r="V17" s="565">
        <f>IF(U$16=0,0,U17/U$16)</f>
        <v>0</v>
      </c>
      <c r="W17" s="17">
        <f>W23</f>
        <v>0</v>
      </c>
      <c r="X17" s="17">
        <f>X23</f>
        <v>0</v>
      </c>
      <c r="Y17" s="539">
        <f>SUM(W17:X17)</f>
        <v>0</v>
      </c>
      <c r="Z17" s="565">
        <f>IF(Y$16=0,0,Y17/Y$16)</f>
        <v>0</v>
      </c>
      <c r="AA17" s="17">
        <f>AA23</f>
        <v>0</v>
      </c>
      <c r="AB17" s="17">
        <f>AB23</f>
        <v>0</v>
      </c>
      <c r="AC17" s="539">
        <f>SUM(AA17:AB17)</f>
        <v>0</v>
      </c>
      <c r="AD17" s="565">
        <f>IF(AC$16=0,0,AC17/AC$16)</f>
        <v>0</v>
      </c>
      <c r="AE17" s="17">
        <f>AE23</f>
        <v>0</v>
      </c>
      <c r="AF17" s="17">
        <f>AF23</f>
        <v>0</v>
      </c>
      <c r="AG17" s="539">
        <f>SUM(AE17:AF17)</f>
        <v>0</v>
      </c>
      <c r="AH17" s="609">
        <f>IF(AG$16=0,0,AG17/AG$16)</f>
        <v>0</v>
      </c>
      <c r="AI17" s="391">
        <f>G17+K17+O17+S17+W17+AA17+AE17</f>
        <v>35</v>
      </c>
      <c r="AJ17" s="17">
        <f>H17+L17+P17+T17+X17+AB17+AF17</f>
        <v>82</v>
      </c>
      <c r="AK17" s="539">
        <f>SUM(AI17:AJ17)</f>
        <v>117</v>
      </c>
      <c r="AL17" s="463">
        <f>IF(AK$16=0,0,AK17/AK$16)</f>
        <v>0</v>
      </c>
    </row>
    <row r="18" spans="1:38" s="97" customFormat="1" ht="16.5" customHeight="1" x14ac:dyDescent="0.25">
      <c r="A18" s="515"/>
      <c r="B18" s="515"/>
      <c r="C18" s="515"/>
      <c r="D18" s="12"/>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395"/>
      <c r="AJ18" s="91"/>
      <c r="AK18" s="91"/>
      <c r="AL18" s="91"/>
    </row>
    <row r="19" spans="1:38" s="456" customFormat="1" ht="16.5" customHeight="1" thickBot="1" x14ac:dyDescent="0.3">
      <c r="A19" s="24">
        <v>0</v>
      </c>
      <c r="B19" s="453" t="s">
        <v>3</v>
      </c>
      <c r="C19" s="26"/>
      <c r="D19" s="454"/>
      <c r="E19" s="454"/>
      <c r="F19" s="455"/>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606"/>
      <c r="AI19" s="630"/>
      <c r="AJ19" s="24"/>
      <c r="AK19" s="24"/>
      <c r="AL19" s="24"/>
    </row>
    <row r="20" spans="1:38" ht="16.5" customHeight="1" x14ac:dyDescent="0.25">
      <c r="A20" s="47"/>
      <c r="B20" s="414">
        <v>0</v>
      </c>
      <c r="C20" s="42" t="s">
        <v>1488</v>
      </c>
      <c r="D20" s="50"/>
      <c r="E20" s="269"/>
      <c r="F20" s="270"/>
      <c r="G20" s="272"/>
      <c r="H20" s="272"/>
      <c r="I20" s="272"/>
      <c r="J20" s="272"/>
      <c r="K20" s="272"/>
      <c r="L20" s="272"/>
      <c r="M20" s="272"/>
      <c r="N20" s="272"/>
      <c r="O20" s="272"/>
      <c r="P20" s="272"/>
      <c r="Q20" s="272"/>
      <c r="R20" s="272"/>
      <c r="S20" s="272"/>
      <c r="T20" s="272"/>
      <c r="U20" s="272"/>
      <c r="V20" s="272"/>
      <c r="W20" s="272"/>
      <c r="X20" s="272"/>
      <c r="Y20" s="272"/>
      <c r="Z20" s="272"/>
      <c r="AA20" s="272"/>
      <c r="AB20" s="272"/>
      <c r="AC20" s="272"/>
      <c r="AD20" s="272"/>
      <c r="AE20" s="272"/>
      <c r="AF20" s="272"/>
      <c r="AG20" s="272"/>
      <c r="AH20" s="610"/>
      <c r="AI20" s="631"/>
      <c r="AJ20" s="272"/>
      <c r="AK20" s="272"/>
      <c r="AL20" s="272"/>
    </row>
    <row r="21" spans="1:38" ht="16.5" customHeight="1" x14ac:dyDescent="0.25">
      <c r="A21" s="40"/>
      <c r="B21" s="55"/>
      <c r="C21" s="467" t="s">
        <v>626</v>
      </c>
      <c r="D21" s="468" t="s">
        <v>368</v>
      </c>
      <c r="E21" s="75"/>
      <c r="F21" s="76"/>
      <c r="G21" s="17">
        <f>'HH WITHOUT COM #1'!$W$13</f>
        <v>8</v>
      </c>
      <c r="H21" s="17">
        <f>'HH WITHOUT COM #1'!$X$13</f>
        <v>28</v>
      </c>
      <c r="I21" s="539">
        <f>SUM(G21:H21)</f>
        <v>36</v>
      </c>
      <c r="J21" s="91">
        <f>IF(I$23=0,0,I21/I$23)</f>
        <v>0.30769230769230771</v>
      </c>
      <c r="K21" s="17">
        <f>'HH WITHOUT COM #2'!$W$13</f>
        <v>0</v>
      </c>
      <c r="L21" s="17">
        <f>'HH WITHOUT COM #2'!$X$13</f>
        <v>0</v>
      </c>
      <c r="M21" s="539">
        <f>SUM(K21:L21)</f>
        <v>0</v>
      </c>
      <c r="N21" s="91">
        <f>IF(M$23=0,0,M21/M$23)</f>
        <v>0</v>
      </c>
      <c r="O21" s="17">
        <f>'HH WITHOUT COM #3'!$W$13</f>
        <v>0</v>
      </c>
      <c r="P21" s="17">
        <f>'HH WITHOUT COM #3'!$X$13</f>
        <v>0</v>
      </c>
      <c r="Q21" s="539">
        <f>SUM(O21:P21)</f>
        <v>0</v>
      </c>
      <c r="R21" s="91">
        <f>IF(Q$23=0,0,Q21/Q$23)</f>
        <v>0</v>
      </c>
      <c r="S21" s="17">
        <f>'HH WITHOUT COM #4'!$W$13</f>
        <v>0</v>
      </c>
      <c r="T21" s="17">
        <f>'HH WITHOUT COM #4'!$X$13</f>
        <v>0</v>
      </c>
      <c r="U21" s="539">
        <f>SUM(S21:T21)</f>
        <v>0</v>
      </c>
      <c r="V21" s="91">
        <f>IF(U$23=0,0,U21/U$23)</f>
        <v>0</v>
      </c>
      <c r="W21" s="17">
        <f>'HH WITHOUT COM #5'!$W$13</f>
        <v>0</v>
      </c>
      <c r="X21" s="17">
        <f>'HH WITHOUT COM #5'!$X$13</f>
        <v>0</v>
      </c>
      <c r="Y21" s="539">
        <f>SUM(W21:X21)</f>
        <v>0</v>
      </c>
      <c r="Z21" s="91">
        <f>IF(Y$23=0,0,Y21/Y$23)</f>
        <v>0</v>
      </c>
      <c r="AA21" s="17">
        <f>'HH WITHOUT COM #6'!$W$13</f>
        <v>0</v>
      </c>
      <c r="AB21" s="17">
        <f>'HH WITHOUT COM #6'!$X$13</f>
        <v>0</v>
      </c>
      <c r="AC21" s="539">
        <f>SUM(AA21:AB21)</f>
        <v>0</v>
      </c>
      <c r="AD21" s="91">
        <f>IF(AC$23=0,0,AC21/AC$23)</f>
        <v>0</v>
      </c>
      <c r="AE21" s="17">
        <f>'HH WITHOUT COM #7'!$W$13</f>
        <v>0</v>
      </c>
      <c r="AF21" s="17">
        <f>'HH WITHOUT COM #7'!$X$13</f>
        <v>0</v>
      </c>
      <c r="AG21" s="539">
        <f>SUM(AE21:AF21)</f>
        <v>0</v>
      </c>
      <c r="AH21" s="373">
        <f>IF(AG$23=0,0,AG21/AG$23)</f>
        <v>0</v>
      </c>
      <c r="AI21" s="391">
        <f t="shared" ref="AI21:AJ22" si="2">G21+K21+O21+S21+W21+AA21+AE21</f>
        <v>8</v>
      </c>
      <c r="AJ21" s="17">
        <f t="shared" si="2"/>
        <v>28</v>
      </c>
      <c r="AK21" s="539">
        <f>SUM(AI21:AJ21)</f>
        <v>36</v>
      </c>
      <c r="AL21" s="91">
        <f>IF(AK$23=0,0,AK21/AK$23)</f>
        <v>0.30769230769230771</v>
      </c>
    </row>
    <row r="22" spans="1:38" ht="16.5" customHeight="1" x14ac:dyDescent="0.25">
      <c r="A22" s="40"/>
      <c r="B22" s="55"/>
      <c r="C22" s="467" t="s">
        <v>627</v>
      </c>
      <c r="D22" s="468" t="s">
        <v>369</v>
      </c>
      <c r="E22" s="75"/>
      <c r="F22" s="76"/>
      <c r="G22" s="17">
        <f>'HH WITHOUT COM #1'!$W$14</f>
        <v>27</v>
      </c>
      <c r="H22" s="17">
        <f>'HH WITHOUT COM #1'!$X$14</f>
        <v>54</v>
      </c>
      <c r="I22" s="539">
        <f>SUM(G22:H22)</f>
        <v>81</v>
      </c>
      <c r="J22" s="91">
        <f t="shared" ref="J22:J23" si="3">IF(I$23=0,0,I22/I$23)</f>
        <v>0.69230769230769229</v>
      </c>
      <c r="K22" s="17">
        <f>'HH WITHOUT COM #2'!$W$14</f>
        <v>0</v>
      </c>
      <c r="L22" s="17">
        <f>'HH WITHOUT COM #2'!$X$14</f>
        <v>0</v>
      </c>
      <c r="M22" s="539">
        <f>SUM(K22:L22)</f>
        <v>0</v>
      </c>
      <c r="N22" s="91">
        <f t="shared" ref="N22:N23" si="4">IF(M$23=0,0,M22/M$23)</f>
        <v>0</v>
      </c>
      <c r="O22" s="17">
        <f>'HH WITHOUT COM #3'!$W$14</f>
        <v>0</v>
      </c>
      <c r="P22" s="17">
        <f>'HH WITHOUT COM #3'!$X$14</f>
        <v>0</v>
      </c>
      <c r="Q22" s="539">
        <f>SUM(O22:P22)</f>
        <v>0</v>
      </c>
      <c r="R22" s="91">
        <f t="shared" ref="R22:R23" si="5">IF(Q$23=0,0,Q22/Q$23)</f>
        <v>0</v>
      </c>
      <c r="S22" s="17">
        <f>'HH WITHOUT COM #4'!$W$14</f>
        <v>0</v>
      </c>
      <c r="T22" s="17">
        <f>'HH WITHOUT COM #4'!$X$14</f>
        <v>0</v>
      </c>
      <c r="U22" s="539">
        <f>SUM(S22:T22)</f>
        <v>0</v>
      </c>
      <c r="V22" s="91">
        <f t="shared" ref="V22:V23" si="6">IF(U$23=0,0,U22/U$23)</f>
        <v>0</v>
      </c>
      <c r="W22" s="17">
        <f>'HH WITHOUT COM #5'!$W$14</f>
        <v>0</v>
      </c>
      <c r="X22" s="17">
        <f>'HH WITHOUT COM #5'!$X$14</f>
        <v>0</v>
      </c>
      <c r="Y22" s="539">
        <f>SUM(W22:X22)</f>
        <v>0</v>
      </c>
      <c r="Z22" s="91">
        <f t="shared" ref="Z22:Z23" si="7">IF(Y$23=0,0,Y22/Y$23)</f>
        <v>0</v>
      </c>
      <c r="AA22" s="17">
        <f>'HH WITHOUT COM #6'!$W$14</f>
        <v>0</v>
      </c>
      <c r="AB22" s="17">
        <f>'HH WITHOUT COM #6'!$X$14</f>
        <v>0</v>
      </c>
      <c r="AC22" s="539">
        <f>SUM(AA22:AB22)</f>
        <v>0</v>
      </c>
      <c r="AD22" s="91">
        <f t="shared" ref="AD22:AD23" si="8">IF(AC$23=0,0,AC22/AC$23)</f>
        <v>0</v>
      </c>
      <c r="AE22" s="17">
        <f>'HH WITHOUT COM #7'!$W$14</f>
        <v>0</v>
      </c>
      <c r="AF22" s="17">
        <f>'HH WITHOUT COM #7'!$X$14</f>
        <v>0</v>
      </c>
      <c r="AG22" s="539">
        <f>SUM(AE22:AF22)</f>
        <v>0</v>
      </c>
      <c r="AH22" s="373">
        <f t="shared" ref="AH22:AH23" si="9">IF(AG$23=0,0,AG22/AG$23)</f>
        <v>0</v>
      </c>
      <c r="AI22" s="391">
        <f t="shared" si="2"/>
        <v>27</v>
      </c>
      <c r="AJ22" s="17">
        <f t="shared" si="2"/>
        <v>54</v>
      </c>
      <c r="AK22" s="539">
        <f>SUM(AI22:AJ22)</f>
        <v>81</v>
      </c>
      <c r="AL22" s="91">
        <f t="shared" ref="AL22:AL23" si="10">IF(AK$23=0,0,AK22/AK$23)</f>
        <v>0.69230769230769229</v>
      </c>
    </row>
    <row r="23" spans="1:38" ht="16.5" customHeight="1" x14ac:dyDescent="0.25">
      <c r="A23" s="119"/>
      <c r="B23" s="420"/>
      <c r="C23" s="422"/>
      <c r="D23" s="134"/>
      <c r="E23" s="184"/>
      <c r="F23" s="469"/>
      <c r="G23" s="82">
        <f>SUM(G21:G22)</f>
        <v>35</v>
      </c>
      <c r="H23" s="82">
        <f t="shared" ref="H23" si="11">SUM(H21:H22)</f>
        <v>82</v>
      </c>
      <c r="I23" s="82">
        <f>SUM(I21:I22)</f>
        <v>117</v>
      </c>
      <c r="J23" s="66">
        <f t="shared" si="3"/>
        <v>1</v>
      </c>
      <c r="K23" s="82">
        <f>SUM(K21:K22)</f>
        <v>0</v>
      </c>
      <c r="L23" s="82">
        <f t="shared" ref="L23" si="12">SUM(L21:L22)</f>
        <v>0</v>
      </c>
      <c r="M23" s="82">
        <f>SUM(M21:M22)</f>
        <v>0</v>
      </c>
      <c r="N23" s="66">
        <f t="shared" si="4"/>
        <v>0</v>
      </c>
      <c r="O23" s="82">
        <f>SUM(O21:O22)</f>
        <v>0</v>
      </c>
      <c r="P23" s="82">
        <f t="shared" ref="P23" si="13">SUM(P21:P22)</f>
        <v>0</v>
      </c>
      <c r="Q23" s="82">
        <f>SUM(Q21:Q22)</f>
        <v>0</v>
      </c>
      <c r="R23" s="66">
        <f t="shared" si="5"/>
        <v>0</v>
      </c>
      <c r="S23" s="82">
        <f>SUM(S21:S22)</f>
        <v>0</v>
      </c>
      <c r="T23" s="82">
        <f t="shared" ref="T23" si="14">SUM(T21:T22)</f>
        <v>0</v>
      </c>
      <c r="U23" s="82">
        <f>SUM(U21:U22)</f>
        <v>0</v>
      </c>
      <c r="V23" s="66">
        <f t="shared" si="6"/>
        <v>0</v>
      </c>
      <c r="W23" s="82">
        <f>SUM(W21:W22)</f>
        <v>0</v>
      </c>
      <c r="X23" s="82">
        <f t="shared" ref="X23" si="15">SUM(X21:X22)</f>
        <v>0</v>
      </c>
      <c r="Y23" s="82">
        <f>SUM(Y21:Y22)</f>
        <v>0</v>
      </c>
      <c r="Z23" s="66">
        <f t="shared" si="7"/>
        <v>0</v>
      </c>
      <c r="AA23" s="82">
        <f>SUM(AA21:AA22)</f>
        <v>0</v>
      </c>
      <c r="AB23" s="82">
        <f t="shared" ref="AB23" si="16">SUM(AB21:AB22)</f>
        <v>0</v>
      </c>
      <c r="AC23" s="82">
        <f>SUM(AC21:AC22)</f>
        <v>0</v>
      </c>
      <c r="AD23" s="66">
        <f t="shared" si="8"/>
        <v>0</v>
      </c>
      <c r="AE23" s="82">
        <f>SUM(AE21:AE22)</f>
        <v>0</v>
      </c>
      <c r="AF23" s="82">
        <f t="shared" ref="AF23" si="17">SUM(AF21:AF22)</f>
        <v>0</v>
      </c>
      <c r="AG23" s="82">
        <f>SUM(AG21:AG22)</f>
        <v>0</v>
      </c>
      <c r="AH23" s="608">
        <f t="shared" si="9"/>
        <v>0</v>
      </c>
      <c r="AI23" s="381">
        <f>SUM(AI21:AI22)</f>
        <v>35</v>
      </c>
      <c r="AJ23" s="82">
        <f t="shared" ref="AJ23" si="18">SUM(AJ21:AJ22)</f>
        <v>82</v>
      </c>
      <c r="AK23" s="82">
        <f>SUM(AK21:AK22)</f>
        <v>117</v>
      </c>
      <c r="AL23" s="66">
        <f t="shared" si="10"/>
        <v>1</v>
      </c>
    </row>
    <row r="24" spans="1:38" ht="16.5" hidden="1" customHeight="1" x14ac:dyDescent="0.25">
      <c r="A24" s="47"/>
      <c r="B24" s="41">
        <v>0.2</v>
      </c>
      <c r="C24" s="69" t="s">
        <v>370</v>
      </c>
      <c r="D24" s="269"/>
      <c r="E24" s="269"/>
      <c r="F24" s="270"/>
      <c r="G24" s="272"/>
      <c r="H24" s="272"/>
      <c r="I24" s="272"/>
      <c r="J24" s="272"/>
      <c r="K24" s="272"/>
      <c r="L24" s="272"/>
      <c r="M24" s="272"/>
      <c r="N24" s="272"/>
      <c r="O24" s="272"/>
      <c r="P24" s="272"/>
      <c r="Q24" s="272"/>
      <c r="R24" s="272"/>
      <c r="S24" s="272"/>
      <c r="T24" s="272"/>
      <c r="U24" s="272"/>
      <c r="V24" s="272"/>
      <c r="W24" s="272"/>
      <c r="X24" s="272"/>
      <c r="Y24" s="272"/>
      <c r="Z24" s="272"/>
      <c r="AA24" s="272"/>
      <c r="AB24" s="272"/>
      <c r="AC24" s="272"/>
      <c r="AD24" s="272"/>
      <c r="AE24" s="272"/>
      <c r="AF24" s="272"/>
      <c r="AG24" s="272"/>
      <c r="AH24" s="610"/>
      <c r="AI24" s="377"/>
      <c r="AJ24" s="71"/>
      <c r="AK24" s="71"/>
      <c r="AL24" s="71"/>
    </row>
    <row r="25" spans="1:38" ht="16.5" hidden="1" customHeight="1" x14ac:dyDescent="0.25">
      <c r="A25" s="40"/>
      <c r="B25" s="40"/>
      <c r="C25" s="473" t="s">
        <v>7</v>
      </c>
      <c r="D25" s="303" t="s">
        <v>9</v>
      </c>
      <c r="E25" s="75"/>
      <c r="F25" s="76"/>
      <c r="G25" s="17">
        <f>'HH WITHOUT COM #1'!$W$23</f>
        <v>0</v>
      </c>
      <c r="H25" s="17">
        <f>'HH WITHOUT COM #1'!$X$23</f>
        <v>0</v>
      </c>
      <c r="I25" s="539">
        <f>SUM(G25:H25)</f>
        <v>0</v>
      </c>
      <c r="J25" s="91">
        <f>IF(I$28=0,0,I25/I$28)</f>
        <v>0</v>
      </c>
      <c r="K25" s="17">
        <f>'HH WITHOUT COM #1'!$W$23</f>
        <v>0</v>
      </c>
      <c r="L25" s="17">
        <f>'HH WITHOUT COM #1'!$X$23</f>
        <v>0</v>
      </c>
      <c r="M25" s="539">
        <f>SUM(K25:L25)</f>
        <v>0</v>
      </c>
      <c r="N25" s="91">
        <f>IF(M$28=0,0,M25/M$28)</f>
        <v>0</v>
      </c>
      <c r="O25" s="17">
        <f>'HH WITHOUT COM #3'!$W$23</f>
        <v>0</v>
      </c>
      <c r="P25" s="17">
        <f>'HH WITHOUT COM #3'!$X$23</f>
        <v>0</v>
      </c>
      <c r="Q25" s="539">
        <f>SUM(O25:P25)</f>
        <v>0</v>
      </c>
      <c r="R25" s="91">
        <f>IF(Q$28=0,0,Q25/Q$28)</f>
        <v>0</v>
      </c>
      <c r="S25" s="17">
        <f>'HH WITHOUT COM #4'!$W$23</f>
        <v>0</v>
      </c>
      <c r="T25" s="17">
        <f>'HH WITHOUT COM #4'!$X$23</f>
        <v>0</v>
      </c>
      <c r="U25" s="539">
        <f>SUM(S25:T25)</f>
        <v>0</v>
      </c>
      <c r="V25" s="91">
        <f>IF(U$28=0,0,U25/U$28)</f>
        <v>0</v>
      </c>
      <c r="W25" s="17">
        <f>'HH WITHOUT COM #5'!$W$23</f>
        <v>0</v>
      </c>
      <c r="X25" s="17">
        <f>'HH WITHOUT COM #5'!$X$23</f>
        <v>0</v>
      </c>
      <c r="Y25" s="539">
        <f>SUM(W25:X25)</f>
        <v>0</v>
      </c>
      <c r="Z25" s="91">
        <f>IF(Y$28=0,0,Y25/Y$28)</f>
        <v>0</v>
      </c>
      <c r="AA25" s="17">
        <f>'HH WITHOUT COM #6'!$W$23</f>
        <v>0</v>
      </c>
      <c r="AB25" s="17">
        <f>'HH WITHOUT COM #6'!$X$23</f>
        <v>0</v>
      </c>
      <c r="AC25" s="539">
        <f>SUM(AA25:AB25)</f>
        <v>0</v>
      </c>
      <c r="AD25" s="91">
        <f>IF(AC$28=0,0,AC25/AC$28)</f>
        <v>0</v>
      </c>
      <c r="AE25" s="17">
        <f>'HH WITHOUT COM #7'!$W$23</f>
        <v>0</v>
      </c>
      <c r="AF25" s="17">
        <f>'HH WITHOUT COM #7'!$X$23</f>
        <v>0</v>
      </c>
      <c r="AG25" s="539">
        <f>SUM(AE25:AF25)</f>
        <v>0</v>
      </c>
      <c r="AH25" s="373">
        <f>IF(AG$28=0,0,AG25/AG$28)</f>
        <v>0</v>
      </c>
      <c r="AI25" s="391">
        <f t="shared" ref="AI25:AJ27" si="19">G25+K25+O25+S25+W25+AA25+AE25</f>
        <v>0</v>
      </c>
      <c r="AJ25" s="17">
        <f t="shared" si="19"/>
        <v>0</v>
      </c>
      <c r="AK25" s="539">
        <f>SUM(AI25:AJ25)</f>
        <v>0</v>
      </c>
      <c r="AL25" s="91">
        <f>IF(AK$28=0,0,AK25/AK$28)</f>
        <v>0</v>
      </c>
    </row>
    <row r="26" spans="1:38" ht="16.5" hidden="1" customHeight="1" x14ac:dyDescent="0.25">
      <c r="A26" s="40"/>
      <c r="B26" s="40"/>
      <c r="C26" s="473" t="s">
        <v>8</v>
      </c>
      <c r="D26" s="303" t="s">
        <v>10</v>
      </c>
      <c r="E26" s="75"/>
      <c r="F26" s="76"/>
      <c r="G26" s="17">
        <f>'HH WITHOUT COM #1'!$W$24</f>
        <v>0</v>
      </c>
      <c r="H26" s="17">
        <f>'HH WITHOUT COM #1'!$X$24</f>
        <v>0</v>
      </c>
      <c r="I26" s="539">
        <f t="shared" ref="I26:I27" si="20">SUM(G26:H26)</f>
        <v>0</v>
      </c>
      <c r="J26" s="91">
        <f t="shared" ref="J26:J27" si="21">IF(I$28=0,0,I26/I$28)</f>
        <v>0</v>
      </c>
      <c r="K26" s="17">
        <f>'HH WITHOUT COM #1'!$W$24</f>
        <v>0</v>
      </c>
      <c r="L26" s="17">
        <f>'HH WITHOUT COM #1'!$X$24</f>
        <v>0</v>
      </c>
      <c r="M26" s="539">
        <f t="shared" ref="M26:M27" si="22">SUM(K26:L26)</f>
        <v>0</v>
      </c>
      <c r="N26" s="91">
        <f t="shared" ref="N26:N27" si="23">IF(M$28=0,0,M26/M$28)</f>
        <v>0</v>
      </c>
      <c r="O26" s="17">
        <f>'HH WITHOUT COM #3'!$W$24</f>
        <v>0</v>
      </c>
      <c r="P26" s="17">
        <f>'HH WITHOUT COM #3'!$X$24</f>
        <v>0</v>
      </c>
      <c r="Q26" s="539">
        <f t="shared" ref="Q26:Q27" si="24">SUM(O26:P26)</f>
        <v>0</v>
      </c>
      <c r="R26" s="91">
        <f t="shared" ref="R26:R27" si="25">IF(Q$28=0,0,Q26/Q$28)</f>
        <v>0</v>
      </c>
      <c r="S26" s="17">
        <f>'HH WITHOUT COM #4'!$W$24</f>
        <v>0</v>
      </c>
      <c r="T26" s="17">
        <f>'HH WITHOUT COM #4'!$X$24</f>
        <v>0</v>
      </c>
      <c r="U26" s="539">
        <f t="shared" ref="U26:U27" si="26">SUM(S26:T26)</f>
        <v>0</v>
      </c>
      <c r="V26" s="91">
        <f t="shared" ref="V26:V27" si="27">IF(U$28=0,0,U26/U$28)</f>
        <v>0</v>
      </c>
      <c r="W26" s="17">
        <f>'HH WITHOUT COM #5'!$W$24</f>
        <v>0</v>
      </c>
      <c r="X26" s="17">
        <f>'HH WITHOUT COM #5'!$X$24</f>
        <v>0</v>
      </c>
      <c r="Y26" s="539">
        <f t="shared" ref="Y26:Y27" si="28">SUM(W26:X26)</f>
        <v>0</v>
      </c>
      <c r="Z26" s="91">
        <f t="shared" ref="Z26:Z27" si="29">IF(Y$28=0,0,Y26/Y$28)</f>
        <v>0</v>
      </c>
      <c r="AA26" s="17">
        <f>'HH WITHOUT COM #6'!$W$24</f>
        <v>0</v>
      </c>
      <c r="AB26" s="17">
        <f>'HH WITHOUT COM #6'!$X$24</f>
        <v>0</v>
      </c>
      <c r="AC26" s="539">
        <f t="shared" ref="AC26:AC27" si="30">SUM(AA26:AB26)</f>
        <v>0</v>
      </c>
      <c r="AD26" s="91">
        <f t="shared" ref="AD26:AD27" si="31">IF(AC$28=0,0,AC26/AC$28)</f>
        <v>0</v>
      </c>
      <c r="AE26" s="17">
        <f>'HH WITHOUT COM #7'!$W$24</f>
        <v>0</v>
      </c>
      <c r="AF26" s="17">
        <f>'HH WITHOUT COM #7'!$X$24</f>
        <v>0</v>
      </c>
      <c r="AG26" s="539">
        <f t="shared" ref="AG26:AG27" si="32">SUM(AE26:AF26)</f>
        <v>0</v>
      </c>
      <c r="AH26" s="373">
        <f t="shared" ref="AH26:AH27" si="33">IF(AG$28=0,0,AG26/AG$28)</f>
        <v>0</v>
      </c>
      <c r="AI26" s="391">
        <f t="shared" si="19"/>
        <v>0</v>
      </c>
      <c r="AJ26" s="17">
        <f t="shared" si="19"/>
        <v>0</v>
      </c>
      <c r="AK26" s="539">
        <f t="shared" ref="AK26:AK27" si="34">SUM(AI26:AJ26)</f>
        <v>0</v>
      </c>
      <c r="AL26" s="91">
        <f t="shared" ref="AL26:AL27" si="35">IF(AK$28=0,0,AK26/AK$28)</f>
        <v>0</v>
      </c>
    </row>
    <row r="27" spans="1:38" ht="16.5" hidden="1" customHeight="1" x14ac:dyDescent="0.25">
      <c r="A27" s="40"/>
      <c r="B27" s="40"/>
      <c r="C27" s="473" t="s">
        <v>531</v>
      </c>
      <c r="D27" s="303" t="s">
        <v>530</v>
      </c>
      <c r="E27" s="75"/>
      <c r="F27" s="76"/>
      <c r="G27" s="17">
        <f>'HH WITHOUT COM #1'!$W$25</f>
        <v>0</v>
      </c>
      <c r="H27" s="17">
        <f>'HH WITHOUT COM #1'!$X$25</f>
        <v>0</v>
      </c>
      <c r="I27" s="539">
        <f t="shared" si="20"/>
        <v>0</v>
      </c>
      <c r="J27" s="91">
        <f t="shared" si="21"/>
        <v>0</v>
      </c>
      <c r="K27" s="17">
        <f>'HH WITHOUT COM #1'!$W$25</f>
        <v>0</v>
      </c>
      <c r="L27" s="17">
        <f>'HH WITHOUT COM #1'!$X$25</f>
        <v>0</v>
      </c>
      <c r="M27" s="539">
        <f t="shared" si="22"/>
        <v>0</v>
      </c>
      <c r="N27" s="91">
        <f t="shared" si="23"/>
        <v>0</v>
      </c>
      <c r="O27" s="17">
        <f>'HH WITHOUT COM #3'!$W$25</f>
        <v>0</v>
      </c>
      <c r="P27" s="17">
        <f>'HH WITHOUT COM #3'!$X$25</f>
        <v>0</v>
      </c>
      <c r="Q27" s="539">
        <f t="shared" si="24"/>
        <v>0</v>
      </c>
      <c r="R27" s="91">
        <f t="shared" si="25"/>
        <v>0</v>
      </c>
      <c r="S27" s="17">
        <f>'HH WITHOUT COM #4'!$W$25</f>
        <v>0</v>
      </c>
      <c r="T27" s="17">
        <f>'HH WITHOUT COM #4'!$X$25</f>
        <v>0</v>
      </c>
      <c r="U27" s="539">
        <f t="shared" si="26"/>
        <v>0</v>
      </c>
      <c r="V27" s="91">
        <f t="shared" si="27"/>
        <v>0</v>
      </c>
      <c r="W27" s="17">
        <f>'HH WITHOUT COM #5'!$W$25</f>
        <v>0</v>
      </c>
      <c r="X27" s="17">
        <f>'HH WITHOUT COM #5'!$X$25</f>
        <v>0</v>
      </c>
      <c r="Y27" s="539">
        <f t="shared" si="28"/>
        <v>0</v>
      </c>
      <c r="Z27" s="91">
        <f t="shared" si="29"/>
        <v>0</v>
      </c>
      <c r="AA27" s="17">
        <f>'HH WITHOUT COM #6'!$W$25</f>
        <v>0</v>
      </c>
      <c r="AB27" s="17">
        <f>'HH WITHOUT COM #6'!$X$25</f>
        <v>0</v>
      </c>
      <c r="AC27" s="539">
        <f t="shared" si="30"/>
        <v>0</v>
      </c>
      <c r="AD27" s="91">
        <f t="shared" si="31"/>
        <v>0</v>
      </c>
      <c r="AE27" s="17">
        <f>'HH WITHOUT COM #7'!$W$25</f>
        <v>0</v>
      </c>
      <c r="AF27" s="17">
        <f>'HH WITHOUT COM #7'!$X$25</f>
        <v>0</v>
      </c>
      <c r="AG27" s="539">
        <f t="shared" si="32"/>
        <v>0</v>
      </c>
      <c r="AH27" s="373">
        <f t="shared" si="33"/>
        <v>0</v>
      </c>
      <c r="AI27" s="391">
        <f t="shared" si="19"/>
        <v>0</v>
      </c>
      <c r="AJ27" s="17">
        <f t="shared" si="19"/>
        <v>0</v>
      </c>
      <c r="AK27" s="539">
        <f t="shared" si="34"/>
        <v>0</v>
      </c>
      <c r="AL27" s="91">
        <f t="shared" si="35"/>
        <v>0</v>
      </c>
    </row>
    <row r="28" spans="1:38" ht="16.5" hidden="1" customHeight="1" x14ac:dyDescent="0.25">
      <c r="A28" s="40"/>
      <c r="B28" s="179"/>
      <c r="C28" s="119"/>
      <c r="D28" s="134"/>
      <c r="E28" s="184"/>
      <c r="F28" s="469"/>
      <c r="G28" s="82">
        <f>SUM(G25:G27)</f>
        <v>0</v>
      </c>
      <c r="H28" s="82">
        <f>SUM(H25:H27)</f>
        <v>0</v>
      </c>
      <c r="I28" s="82">
        <f>SUM(I25:I27)</f>
        <v>0</v>
      </c>
      <c r="J28" s="66">
        <f>IF(I$28=0,0,I28/I$28)</f>
        <v>0</v>
      </c>
      <c r="K28" s="82">
        <f>SUM(K25:K27)</f>
        <v>0</v>
      </c>
      <c r="L28" s="82">
        <f>SUM(L25:L27)</f>
        <v>0</v>
      </c>
      <c r="M28" s="82">
        <f>SUM(M25:M27)</f>
        <v>0</v>
      </c>
      <c r="N28" s="66">
        <f>IF(M$28=0,0,M28/M$28)</f>
        <v>0</v>
      </c>
      <c r="O28" s="82">
        <f>SUM(O25:O27)</f>
        <v>0</v>
      </c>
      <c r="P28" s="82">
        <f>SUM(P25:P27)</f>
        <v>0</v>
      </c>
      <c r="Q28" s="82">
        <f>SUM(Q25:Q27)</f>
        <v>0</v>
      </c>
      <c r="R28" s="66">
        <f>IF(Q$28=0,0,Q28/Q$28)</f>
        <v>0</v>
      </c>
      <c r="S28" s="82">
        <f>SUM(S25:S27)</f>
        <v>0</v>
      </c>
      <c r="T28" s="82">
        <f>SUM(T25:T27)</f>
        <v>0</v>
      </c>
      <c r="U28" s="82">
        <f>SUM(U25:U27)</f>
        <v>0</v>
      </c>
      <c r="V28" s="66">
        <f>IF(U$28=0,0,U28/U$28)</f>
        <v>0</v>
      </c>
      <c r="W28" s="82">
        <f>SUM(W25:W27)</f>
        <v>0</v>
      </c>
      <c r="X28" s="82">
        <f>SUM(X25:X27)</f>
        <v>0</v>
      </c>
      <c r="Y28" s="82">
        <f>SUM(Y25:Y27)</f>
        <v>0</v>
      </c>
      <c r="Z28" s="66">
        <f>IF(Y$28=0,0,Y28/Y$28)</f>
        <v>0</v>
      </c>
      <c r="AA28" s="82">
        <f>SUM(AA25:AA27)</f>
        <v>0</v>
      </c>
      <c r="AB28" s="82">
        <f>SUM(AB25:AB27)</f>
        <v>0</v>
      </c>
      <c r="AC28" s="82">
        <f>SUM(AC25:AC27)</f>
        <v>0</v>
      </c>
      <c r="AD28" s="66">
        <f>IF(AC$28=0,0,AC28/AC$28)</f>
        <v>0</v>
      </c>
      <c r="AE28" s="66"/>
      <c r="AF28" s="66"/>
      <c r="AG28" s="82">
        <f>SUM(AG25:AG27)</f>
        <v>0</v>
      </c>
      <c r="AH28" s="608">
        <f>IF(AG$28=0,0,AG28/AG$28)</f>
        <v>0</v>
      </c>
      <c r="AI28" s="381">
        <f>SUM(AI25:AI27)</f>
        <v>0</v>
      </c>
      <c r="AJ28" s="82">
        <f>SUM(AJ25:AJ27)</f>
        <v>0</v>
      </c>
      <c r="AK28" s="82">
        <f>SUM(AK25:AK27)</f>
        <v>0</v>
      </c>
      <c r="AL28" s="66">
        <f>IF(AK$28=0,0,AK28/AK$28)</f>
        <v>0</v>
      </c>
    </row>
    <row r="29" spans="1:38" ht="16.5" hidden="1" customHeight="1" x14ac:dyDescent="0.25">
      <c r="A29" s="40"/>
      <c r="B29" s="40"/>
      <c r="C29" s="84"/>
      <c r="D29" s="464" t="s">
        <v>855</v>
      </c>
      <c r="E29" s="464"/>
      <c r="F29" s="465"/>
      <c r="G29" s="66">
        <f>IF(G17=0,0,G25/G17)</f>
        <v>0</v>
      </c>
      <c r="H29" s="66">
        <f>IF(H17=0,0,H25/H17)</f>
        <v>0</v>
      </c>
      <c r="I29" s="66">
        <f>IF(I17=0,0,I25/I17)</f>
        <v>0</v>
      </c>
      <c r="J29" s="66"/>
      <c r="K29" s="66">
        <f>IF(K17=0,0,K25/K17)</f>
        <v>0</v>
      </c>
      <c r="L29" s="66">
        <f>IF(L17=0,0,L25/L17)</f>
        <v>0</v>
      </c>
      <c r="M29" s="66">
        <f>IF(M17=0,0,M25/M17)</f>
        <v>0</v>
      </c>
      <c r="N29" s="66"/>
      <c r="O29" s="66">
        <f>IF(O17=0,0,O25/O17)</f>
        <v>0</v>
      </c>
      <c r="P29" s="66">
        <f>IF(P17=0,0,P25/P17)</f>
        <v>0</v>
      </c>
      <c r="Q29" s="66">
        <f>IF(Q17=0,0,Q25/Q17)</f>
        <v>0</v>
      </c>
      <c r="R29" s="66"/>
      <c r="S29" s="66">
        <f>IF(S17=0,0,S25/S17)</f>
        <v>0</v>
      </c>
      <c r="T29" s="66">
        <f>IF(T17=0,0,T25/T17)</f>
        <v>0</v>
      </c>
      <c r="U29" s="66">
        <f>IF(U17=0,0,U25/U17)</f>
        <v>0</v>
      </c>
      <c r="V29" s="66"/>
      <c r="W29" s="66">
        <f>IF(W17=0,0,W25/W17)</f>
        <v>0</v>
      </c>
      <c r="X29" s="66">
        <f>IF(X17=0,0,X25/X17)</f>
        <v>0</v>
      </c>
      <c r="Y29" s="66">
        <f>IF(Y17=0,0,Y25/Y17)</f>
        <v>0</v>
      </c>
      <c r="Z29" s="66"/>
      <c r="AA29" s="66">
        <f>IF(AA17=0,0,AA25/AA17)</f>
        <v>0</v>
      </c>
      <c r="AB29" s="66">
        <f>IF(AB17=0,0,AB25/AB17)</f>
        <v>0</v>
      </c>
      <c r="AC29" s="66">
        <f>IF(AC17=0,0,AC25/AC17)</f>
        <v>0</v>
      </c>
      <c r="AD29" s="66"/>
      <c r="AE29" s="66"/>
      <c r="AF29" s="66"/>
      <c r="AG29" s="66">
        <f>IF(AG17=0,0,AG25/AG17)</f>
        <v>0</v>
      </c>
      <c r="AH29" s="608"/>
      <c r="AI29" s="619">
        <f>IF(AI17=0,0,AI25/AI17)</f>
        <v>0</v>
      </c>
      <c r="AJ29" s="66">
        <f>IF(AJ17=0,0,AJ25/AJ17)</f>
        <v>0</v>
      </c>
      <c r="AK29" s="66">
        <f>IF(AK17=0,0,AK25/AK17)</f>
        <v>0</v>
      </c>
      <c r="AL29" s="66"/>
    </row>
    <row r="30" spans="1:38" ht="16.5" customHeight="1" x14ac:dyDescent="0.25">
      <c r="A30" s="47"/>
      <c r="B30" s="414">
        <v>0.1</v>
      </c>
      <c r="C30" s="42" t="s">
        <v>1489</v>
      </c>
      <c r="D30" s="50"/>
      <c r="E30" s="269"/>
      <c r="F30" s="270"/>
      <c r="G30" s="272"/>
      <c r="H30" s="272"/>
      <c r="I30" s="272"/>
      <c r="J30" s="272"/>
      <c r="K30" s="272"/>
      <c r="L30" s="272"/>
      <c r="M30" s="272"/>
      <c r="N30" s="272"/>
      <c r="O30" s="272"/>
      <c r="P30" s="272"/>
      <c r="Q30" s="272"/>
      <c r="R30" s="272"/>
      <c r="S30" s="272"/>
      <c r="T30" s="272"/>
      <c r="U30" s="272"/>
      <c r="V30" s="272"/>
      <c r="W30" s="272"/>
      <c r="X30" s="272"/>
      <c r="Y30" s="272"/>
      <c r="Z30" s="272"/>
      <c r="AA30" s="272"/>
      <c r="AB30" s="272"/>
      <c r="AC30" s="272"/>
      <c r="AD30" s="272"/>
      <c r="AE30" s="272"/>
      <c r="AF30" s="272"/>
      <c r="AG30" s="272"/>
      <c r="AH30" s="610"/>
      <c r="AI30" s="377"/>
      <c r="AJ30" s="71"/>
      <c r="AK30" s="71"/>
      <c r="AL30" s="71"/>
    </row>
    <row r="31" spans="1:38" ht="16.5" customHeight="1" x14ac:dyDescent="0.25">
      <c r="A31" s="40"/>
      <c r="B31" s="55"/>
      <c r="C31" s="467" t="s">
        <v>371</v>
      </c>
      <c r="D31" s="511" t="s">
        <v>629</v>
      </c>
      <c r="E31" s="75"/>
      <c r="F31" s="76"/>
      <c r="G31" s="17">
        <f>'HH WITHOUT COM #1'!$W$18</f>
        <v>0</v>
      </c>
      <c r="H31" s="17">
        <f>'HH WITHOUT COM #1'!$X$18</f>
        <v>0</v>
      </c>
      <c r="I31" s="539">
        <f>SUM(G31:H31)</f>
        <v>0</v>
      </c>
      <c r="J31" s="91">
        <f>IF(I$33=0,0,I31/I$33)</f>
        <v>0</v>
      </c>
      <c r="K31" s="17">
        <f>'HH WITHOUT COM #2'!$W$18</f>
        <v>1</v>
      </c>
      <c r="L31" s="17">
        <f>'HH WITHOUT COM #2'!$X$18</f>
        <v>2</v>
      </c>
      <c r="M31" s="539">
        <f>SUM(K31:L31)</f>
        <v>3</v>
      </c>
      <c r="N31" s="91">
        <f>IF(M$33=0,0,M31/M$33)</f>
        <v>0.1875</v>
      </c>
      <c r="O31" s="17">
        <f>'HH WITHOUT COM #3'!$W$18</f>
        <v>1</v>
      </c>
      <c r="P31" s="17">
        <f>'HH WITHOUT COM #3'!$X$18</f>
        <v>3</v>
      </c>
      <c r="Q31" s="539">
        <f>SUM(O31:P31)</f>
        <v>4</v>
      </c>
      <c r="R31" s="91">
        <f>IF(Q$33=0,0,Q31/Q$33)</f>
        <v>0.36363636363636365</v>
      </c>
      <c r="S31" s="17">
        <f>'HH WITHOUT COM #4'!$W$18</f>
        <v>0</v>
      </c>
      <c r="T31" s="17">
        <f>'HH WITHOUT COM #4'!$X$18</f>
        <v>0</v>
      </c>
      <c r="U31" s="539">
        <f>SUM(S31:T31)</f>
        <v>0</v>
      </c>
      <c r="V31" s="91">
        <f>IF(U$33=0,0,U31/U$33)</f>
        <v>0</v>
      </c>
      <c r="W31" s="17">
        <f>'HH WITHOUT COM #5'!$W$18</f>
        <v>2</v>
      </c>
      <c r="X31" s="17">
        <f>'HH WITHOUT COM #5'!$X$18</f>
        <v>4</v>
      </c>
      <c r="Y31" s="539">
        <f>SUM(W31:X31)</f>
        <v>6</v>
      </c>
      <c r="Z31" s="91">
        <f>IF(Y$33=0,0,Y31/Y$33)</f>
        <v>0.21428571428571427</v>
      </c>
      <c r="AA31" s="17">
        <f>'HH WITHOUT COM #6'!$W$18</f>
        <v>1</v>
      </c>
      <c r="AB31" s="17">
        <f>'HH WITHOUT COM #6'!$X$18</f>
        <v>2</v>
      </c>
      <c r="AC31" s="539">
        <f>SUM(AA31:AB31)</f>
        <v>3</v>
      </c>
      <c r="AD31" s="91">
        <f>IF(AC$33=0,0,AC31/AC$33)</f>
        <v>0.2</v>
      </c>
      <c r="AE31" s="17">
        <f>'HH WITHOUT COM #7'!$W$18</f>
        <v>0</v>
      </c>
      <c r="AF31" s="17">
        <f>'HH WITHOUT COM #7'!$X$18</f>
        <v>0</v>
      </c>
      <c r="AG31" s="539">
        <f>SUM(AE31:AF31)</f>
        <v>0</v>
      </c>
      <c r="AH31" s="373">
        <f>IF(AG$33=0,0,AG31/AG$33)</f>
        <v>0</v>
      </c>
      <c r="AI31" s="391">
        <f t="shared" ref="AI31:AJ32" si="36">G31+K31+O31+S31+W31+AA31+AE31</f>
        <v>5</v>
      </c>
      <c r="AJ31" s="17">
        <f t="shared" si="36"/>
        <v>11</v>
      </c>
      <c r="AK31" s="539">
        <f>SUM(AI31:AJ31)</f>
        <v>16</v>
      </c>
      <c r="AL31" s="91">
        <f>IF(AK$33=0,0,AK31/AK$33)</f>
        <v>0.1951219512195122</v>
      </c>
    </row>
    <row r="32" spans="1:38" ht="16.5" customHeight="1" x14ac:dyDescent="0.25">
      <c r="A32" s="40"/>
      <c r="B32" s="55"/>
      <c r="C32" s="467" t="s">
        <v>372</v>
      </c>
      <c r="D32" s="511" t="s">
        <v>630</v>
      </c>
      <c r="E32" s="75"/>
      <c r="F32" s="76"/>
      <c r="G32" s="17">
        <f>'HH WITHOUT COM #1'!$W$19</f>
        <v>2</v>
      </c>
      <c r="H32" s="17">
        <f>'HH WITHOUT COM #1'!$X$19</f>
        <v>3</v>
      </c>
      <c r="I32" s="539">
        <f>SUM(G32:H32)</f>
        <v>5</v>
      </c>
      <c r="J32" s="91">
        <f>IF(I$33=0,0,I32/I$33)</f>
        <v>1</v>
      </c>
      <c r="K32" s="17">
        <f>'HH WITHOUT COM #2'!$W$19</f>
        <v>8</v>
      </c>
      <c r="L32" s="17">
        <f>'HH WITHOUT COM #2'!$X$19</f>
        <v>5</v>
      </c>
      <c r="M32" s="539">
        <f>SUM(K32:L32)</f>
        <v>13</v>
      </c>
      <c r="N32" s="91">
        <f>IF(M$33=0,0,M32/M$33)</f>
        <v>0.8125</v>
      </c>
      <c r="O32" s="17">
        <f>'HH WITHOUT COM #3'!$W$19</f>
        <v>3</v>
      </c>
      <c r="P32" s="17">
        <f>'HH WITHOUT COM #3'!$X$19</f>
        <v>4</v>
      </c>
      <c r="Q32" s="539">
        <f>SUM(O32:P32)</f>
        <v>7</v>
      </c>
      <c r="R32" s="91">
        <f>IF(Q$33=0,0,Q32/Q$33)</f>
        <v>0.63636363636363635</v>
      </c>
      <c r="S32" s="17">
        <f>'HH WITHOUT COM #4'!$W$19</f>
        <v>0</v>
      </c>
      <c r="T32" s="17">
        <f>'HH WITHOUT COM #4'!$X$19</f>
        <v>7</v>
      </c>
      <c r="U32" s="539">
        <f>SUM(S32:T32)</f>
        <v>7</v>
      </c>
      <c r="V32" s="91">
        <f>IF(U$33=0,0,U32/U$33)</f>
        <v>1</v>
      </c>
      <c r="W32" s="17">
        <f>'HH WITHOUT COM #5'!$W$19</f>
        <v>13</v>
      </c>
      <c r="X32" s="17">
        <f>'HH WITHOUT COM #5'!$X$19</f>
        <v>9</v>
      </c>
      <c r="Y32" s="539">
        <f>SUM(W32:X32)</f>
        <v>22</v>
      </c>
      <c r="Z32" s="91">
        <f>IF(Y$33=0,0,Y32/Y$33)</f>
        <v>0.7857142857142857</v>
      </c>
      <c r="AA32" s="17">
        <f>'HH WITHOUT COM #6'!$W$19</f>
        <v>1</v>
      </c>
      <c r="AB32" s="17">
        <f>'HH WITHOUT COM #6'!$X$19</f>
        <v>11</v>
      </c>
      <c r="AC32" s="539">
        <f>SUM(AA32:AB32)</f>
        <v>12</v>
      </c>
      <c r="AD32" s="91">
        <f>IF(AC$33=0,0,AC32/AC$33)</f>
        <v>0.8</v>
      </c>
      <c r="AE32" s="17">
        <f>'HH WITHOUT COM #7'!$W$19</f>
        <v>0</v>
      </c>
      <c r="AF32" s="17">
        <f>'HH WITHOUT COM #7'!$X$19</f>
        <v>0</v>
      </c>
      <c r="AG32" s="539">
        <f>SUM(AE32:AF32)</f>
        <v>0</v>
      </c>
      <c r="AH32" s="373">
        <f>IF(AG$33=0,0,AG32/AG$33)</f>
        <v>0</v>
      </c>
      <c r="AI32" s="391">
        <f t="shared" si="36"/>
        <v>27</v>
      </c>
      <c r="AJ32" s="17">
        <f t="shared" si="36"/>
        <v>39</v>
      </c>
      <c r="AK32" s="539">
        <f>SUM(AI32:AJ32)</f>
        <v>66</v>
      </c>
      <c r="AL32" s="91">
        <f>IF(AK$33=0,0,AK32/AK$33)</f>
        <v>0.80487804878048785</v>
      </c>
    </row>
    <row r="33" spans="1:38" ht="16.5" customHeight="1" x14ac:dyDescent="0.25">
      <c r="A33" s="40"/>
      <c r="B33" s="40"/>
      <c r="C33" s="185"/>
      <c r="D33" s="134"/>
      <c r="E33" s="184"/>
      <c r="F33" s="469"/>
      <c r="G33" s="82">
        <f>SUM(G31:G32)</f>
        <v>2</v>
      </c>
      <c r="H33" s="82">
        <f t="shared" ref="H33" si="37">SUM(H31:H32)</f>
        <v>3</v>
      </c>
      <c r="I33" s="82">
        <f>SUM(I31:I32)</f>
        <v>5</v>
      </c>
      <c r="J33" s="66">
        <f>IF(I$33=0,0,I33/I$33)</f>
        <v>1</v>
      </c>
      <c r="K33" s="82">
        <f>SUM(K31:K32)</f>
        <v>9</v>
      </c>
      <c r="L33" s="82">
        <f t="shared" ref="L33" si="38">SUM(L31:L32)</f>
        <v>7</v>
      </c>
      <c r="M33" s="82">
        <f>SUM(M31:M32)</f>
        <v>16</v>
      </c>
      <c r="N33" s="66">
        <f>IF(M$33=0,0,M33/M$33)</f>
        <v>1</v>
      </c>
      <c r="O33" s="82">
        <f>SUM(O31:O32)</f>
        <v>4</v>
      </c>
      <c r="P33" s="82">
        <f t="shared" ref="P33" si="39">SUM(P31:P32)</f>
        <v>7</v>
      </c>
      <c r="Q33" s="82">
        <f>SUM(Q31:Q32)</f>
        <v>11</v>
      </c>
      <c r="R33" s="66">
        <f>IF(Q$33=0,0,Q33/Q$33)</f>
        <v>1</v>
      </c>
      <c r="S33" s="82">
        <f>SUM(S31:S32)</f>
        <v>0</v>
      </c>
      <c r="T33" s="82">
        <f t="shared" ref="T33" si="40">SUM(T31:T32)</f>
        <v>7</v>
      </c>
      <c r="U33" s="82">
        <f>SUM(U31:U32)</f>
        <v>7</v>
      </c>
      <c r="V33" s="66">
        <f>IF(U$33=0,0,U33/U$33)</f>
        <v>1</v>
      </c>
      <c r="W33" s="82">
        <f>SUM(W31:W32)</f>
        <v>15</v>
      </c>
      <c r="X33" s="82">
        <f t="shared" ref="X33" si="41">SUM(X31:X32)</f>
        <v>13</v>
      </c>
      <c r="Y33" s="82">
        <f>SUM(Y31:Y32)</f>
        <v>28</v>
      </c>
      <c r="Z33" s="66">
        <f>IF(Y$33=0,0,Y33/Y$33)</f>
        <v>1</v>
      </c>
      <c r="AA33" s="82">
        <f>SUM(AA31:AA32)</f>
        <v>2</v>
      </c>
      <c r="AB33" s="82">
        <f t="shared" ref="AB33" si="42">SUM(AB31:AB32)</f>
        <v>13</v>
      </c>
      <c r="AC33" s="82">
        <f>SUM(AC31:AC32)</f>
        <v>15</v>
      </c>
      <c r="AD33" s="66">
        <f>IF(AC$33=0,0,AC33/AC$33)</f>
        <v>1</v>
      </c>
      <c r="AE33" s="82">
        <f>SUM(AE31:AE32)</f>
        <v>0</v>
      </c>
      <c r="AF33" s="82">
        <f t="shared" ref="AF33" si="43">SUM(AF31:AF32)</f>
        <v>0</v>
      </c>
      <c r="AG33" s="82">
        <f>SUM(AG31:AG32)</f>
        <v>0</v>
      </c>
      <c r="AH33" s="608">
        <f>IF(AG$33=0,0,AG33/AG$33)</f>
        <v>0</v>
      </c>
      <c r="AI33" s="381">
        <f>SUM(AI31:AI32)</f>
        <v>32</v>
      </c>
      <c r="AJ33" s="82">
        <f t="shared" ref="AJ33" si="44">SUM(AJ31:AJ32)</f>
        <v>50</v>
      </c>
      <c r="AK33" s="82">
        <f>SUM(AK31:AK32)</f>
        <v>82</v>
      </c>
      <c r="AL33" s="66">
        <f>IF(AK$33=0,0,AK33/AK$33)</f>
        <v>1</v>
      </c>
    </row>
    <row r="34" spans="1:38" s="97" customFormat="1" ht="16.5" customHeight="1" x14ac:dyDescent="0.25">
      <c r="A34" s="68"/>
      <c r="B34" s="68"/>
      <c r="C34" s="68"/>
      <c r="D34" s="166"/>
      <c r="E34" s="458"/>
      <c r="F34" s="458"/>
      <c r="G34" s="466"/>
      <c r="H34" s="466"/>
      <c r="I34" s="466"/>
      <c r="J34" s="466"/>
      <c r="K34" s="466"/>
      <c r="L34" s="466"/>
      <c r="M34" s="466"/>
      <c r="N34" s="466"/>
      <c r="O34" s="466"/>
      <c r="P34" s="466"/>
      <c r="Q34" s="466"/>
      <c r="R34" s="466"/>
      <c r="S34" s="466"/>
      <c r="T34" s="466"/>
      <c r="U34" s="466"/>
      <c r="V34" s="466"/>
      <c r="W34" s="466"/>
      <c r="X34" s="466"/>
      <c r="Y34" s="466"/>
      <c r="Z34" s="466"/>
      <c r="AA34" s="466"/>
      <c r="AB34" s="466"/>
      <c r="AC34" s="466"/>
      <c r="AD34" s="466"/>
      <c r="AE34" s="466"/>
      <c r="AF34" s="466"/>
      <c r="AG34" s="466"/>
      <c r="AH34" s="466"/>
      <c r="AI34" s="466"/>
      <c r="AJ34" s="466"/>
      <c r="AK34" s="466"/>
      <c r="AL34" s="466"/>
    </row>
    <row r="35" spans="1:38" s="456" customFormat="1" ht="16.5" customHeight="1" thickBot="1" x14ac:dyDescent="0.3">
      <c r="A35" s="24" t="s">
        <v>13</v>
      </c>
      <c r="B35" s="453" t="s">
        <v>14</v>
      </c>
      <c r="C35" s="26"/>
      <c r="D35" s="454"/>
      <c r="E35" s="454"/>
      <c r="F35" s="455"/>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606"/>
      <c r="AI35" s="630"/>
      <c r="AJ35" s="24"/>
      <c r="AK35" s="24"/>
      <c r="AL35" s="24"/>
    </row>
    <row r="36" spans="1:38" ht="16.5" customHeight="1" x14ac:dyDescent="0.25">
      <c r="A36" s="47"/>
      <c r="B36" s="471" t="s">
        <v>15</v>
      </c>
      <c r="C36" s="472" t="s">
        <v>893</v>
      </c>
      <c r="D36" s="269"/>
      <c r="E36" s="269"/>
      <c r="F36" s="270"/>
      <c r="G36" s="425">
        <f>'HH WITHOUT COM #1'!$W$33</f>
        <v>35</v>
      </c>
      <c r="H36" s="425">
        <f>'HH WITHOUT COM #1'!$X$33</f>
        <v>82</v>
      </c>
      <c r="I36" s="257">
        <f>SUM(G36:H36)</f>
        <v>117</v>
      </c>
      <c r="J36" s="425"/>
      <c r="K36" s="425">
        <f>'HH WITHOUT COM #2'!$W$33</f>
        <v>0</v>
      </c>
      <c r="L36" s="425">
        <f>'HH WITHOUT COM #2'!$X$33</f>
        <v>0</v>
      </c>
      <c r="M36" s="257">
        <f>SUM(K36:L36)</f>
        <v>0</v>
      </c>
      <c r="N36" s="425"/>
      <c r="O36" s="425">
        <f>'HH WITHOUT COM #3'!$W$33</f>
        <v>0</v>
      </c>
      <c r="P36" s="425">
        <f>'HH WITHOUT COM #3'!$X$33</f>
        <v>0</v>
      </c>
      <c r="Q36" s="257">
        <f>SUM(O36:P36)</f>
        <v>0</v>
      </c>
      <c r="R36" s="425"/>
      <c r="S36" s="425">
        <f>'HH WITHOUT COM #4'!$W$33</f>
        <v>0</v>
      </c>
      <c r="T36" s="425">
        <f>'HH WITHOUT COM #4'!$X$33</f>
        <v>0</v>
      </c>
      <c r="U36" s="257">
        <f>SUM(S36:T36)</f>
        <v>0</v>
      </c>
      <c r="V36" s="425"/>
      <c r="W36" s="425">
        <f>'HH WITHOUT COM #5'!$W$33</f>
        <v>0</v>
      </c>
      <c r="X36" s="425">
        <f>'HH WITHOUT COM #5'!$X$33</f>
        <v>0</v>
      </c>
      <c r="Y36" s="257">
        <f>SUM(W36:X36)</f>
        <v>0</v>
      </c>
      <c r="Z36" s="425"/>
      <c r="AA36" s="425">
        <f>'HH WITHOUT COM #6'!$W$33</f>
        <v>0</v>
      </c>
      <c r="AB36" s="425">
        <f>'HH WITHOUT COM #6'!$X$33</f>
        <v>0</v>
      </c>
      <c r="AC36" s="257">
        <f>SUM(AA36:AB36)</f>
        <v>0</v>
      </c>
      <c r="AD36" s="425"/>
      <c r="AE36" s="425">
        <f>'HH WITHOUT COM #7'!$W$33</f>
        <v>0</v>
      </c>
      <c r="AF36" s="425">
        <f>'HH WITHOUT COM #7'!$X$33</f>
        <v>0</v>
      </c>
      <c r="AG36" s="257">
        <f>SUM(AE36:AF36)</f>
        <v>0</v>
      </c>
      <c r="AH36" s="611"/>
      <c r="AI36" s="629">
        <f>G36+K36+O36+S36+W36+AA36+AE36</f>
        <v>35</v>
      </c>
      <c r="AJ36" s="425">
        <f>H36+L36+P36+T36+X36+AB36+AF36</f>
        <v>82</v>
      </c>
      <c r="AK36" s="257">
        <f>SUM(AI36:AJ36)</f>
        <v>117</v>
      </c>
      <c r="AL36" s="425"/>
    </row>
    <row r="37" spans="1:38" ht="16.5" customHeight="1" x14ac:dyDescent="0.25">
      <c r="A37" s="102"/>
      <c r="B37" s="102"/>
      <c r="C37" s="464" t="s">
        <v>854</v>
      </c>
      <c r="D37" s="464"/>
      <c r="E37" s="464"/>
      <c r="F37" s="465"/>
      <c r="G37" s="66">
        <f>IF(I36=0,0,G36/I36)</f>
        <v>0.29914529914529914</v>
      </c>
      <c r="H37" s="66">
        <f>IF(I36=0,0,H36/I36)</f>
        <v>0.70085470085470081</v>
      </c>
      <c r="I37" s="66">
        <f>IF(I36=0,0,I36/I36)</f>
        <v>1</v>
      </c>
      <c r="J37" s="66"/>
      <c r="K37" s="66">
        <f>IF(M36=0,0,K36/M36)</f>
        <v>0</v>
      </c>
      <c r="L37" s="66">
        <f>IF(M36=0,0,L36/M36)</f>
        <v>0</v>
      </c>
      <c r="M37" s="66">
        <f>IF(M36=0,0,M36/M36)</f>
        <v>0</v>
      </c>
      <c r="N37" s="66"/>
      <c r="O37" s="66">
        <f>IF(Q36=0,0,O36/Q36)</f>
        <v>0</v>
      </c>
      <c r="P37" s="66">
        <f>IF(Q36=0,0,P36/Q36)</f>
        <v>0</v>
      </c>
      <c r="Q37" s="66">
        <f>IF(Q36=0,0,Q36/Q36)</f>
        <v>0</v>
      </c>
      <c r="R37" s="66"/>
      <c r="S37" s="66">
        <f>IF(U36=0,0,S36/U36)</f>
        <v>0</v>
      </c>
      <c r="T37" s="66">
        <f>IF(U36=0,0,T36/U36)</f>
        <v>0</v>
      </c>
      <c r="U37" s="66">
        <f>IF(U36=0,0,U36/U36)</f>
        <v>0</v>
      </c>
      <c r="V37" s="66"/>
      <c r="W37" s="66">
        <f>IF(Y36=0,0,W36/Y36)</f>
        <v>0</v>
      </c>
      <c r="X37" s="66">
        <f>IF(Y36=0,0,X36/Y36)</f>
        <v>0</v>
      </c>
      <c r="Y37" s="66">
        <f>IF(Y36=0,0,Y36/Y36)</f>
        <v>0</v>
      </c>
      <c r="Z37" s="66"/>
      <c r="AA37" s="66">
        <f>IF(AC36=0,0,AA36/AC36)</f>
        <v>0</v>
      </c>
      <c r="AB37" s="66">
        <f>IF(AC36=0,0,AB36/AC36)</f>
        <v>0</v>
      </c>
      <c r="AC37" s="66">
        <f>IF(AC36=0,0,AC36/AC36)</f>
        <v>0</v>
      </c>
      <c r="AD37" s="66"/>
      <c r="AE37" s="66">
        <f>IF(AG36=0,0,AE36/AG36)</f>
        <v>0</v>
      </c>
      <c r="AF37" s="66">
        <f>IF(AG36=0,0,AF36/AG36)</f>
        <v>0</v>
      </c>
      <c r="AG37" s="66">
        <f>IF(AG36=0,0,AG36/AG36)</f>
        <v>0</v>
      </c>
      <c r="AH37" s="608"/>
      <c r="AI37" s="619">
        <f>IF(AK36=0,0,AI36/AK36)</f>
        <v>0.29914529914529914</v>
      </c>
      <c r="AJ37" s="66">
        <f>IF(AK36=0,0,AJ36/AK36)</f>
        <v>0.70085470085470081</v>
      </c>
      <c r="AK37" s="66">
        <f>IF(AK36=0,0,AK36/AK36)</f>
        <v>1</v>
      </c>
      <c r="AL37" s="66"/>
    </row>
    <row r="38" spans="1:38" ht="16.5" customHeight="1" x14ac:dyDescent="0.25">
      <c r="A38" s="47"/>
      <c r="B38" s="471" t="s">
        <v>856</v>
      </c>
      <c r="C38" s="472" t="s">
        <v>894</v>
      </c>
      <c r="D38" s="269"/>
      <c r="E38" s="269"/>
      <c r="F38" s="270"/>
      <c r="G38" s="425">
        <f>'HH WITHOUT COM #1'!$W$20</f>
        <v>2</v>
      </c>
      <c r="H38" s="425">
        <f>'HH WITHOUT COM #1'!$X$20</f>
        <v>3</v>
      </c>
      <c r="I38" s="257">
        <f>SUM(G38:H38)</f>
        <v>5</v>
      </c>
      <c r="J38" s="425"/>
      <c r="K38" s="425">
        <f>'HH WITHOUT COM #2'!$W$20</f>
        <v>9</v>
      </c>
      <c r="L38" s="425">
        <f>'HH WITHOUT COM #2'!$X$20</f>
        <v>7</v>
      </c>
      <c r="M38" s="257">
        <f>SUM(K38:L38)</f>
        <v>16</v>
      </c>
      <c r="N38" s="425"/>
      <c r="O38" s="425">
        <f>'HH WITHOUT COM #3'!$W$20</f>
        <v>4</v>
      </c>
      <c r="P38" s="425">
        <f>'HH WITHOUT COM #3'!$X$20</f>
        <v>7</v>
      </c>
      <c r="Q38" s="257">
        <f>SUM(O38:P38)</f>
        <v>11</v>
      </c>
      <c r="R38" s="425"/>
      <c r="S38" s="425">
        <f>'HH WITHOUT COM #4'!$W$20</f>
        <v>0</v>
      </c>
      <c r="T38" s="425">
        <f>'HH WITHOUT COM #4'!$X$20</f>
        <v>7</v>
      </c>
      <c r="U38" s="257">
        <f>SUM(S38:T38)</f>
        <v>7</v>
      </c>
      <c r="V38" s="425"/>
      <c r="W38" s="425">
        <f>'HH WITHOUT COM #5'!$W$20</f>
        <v>15</v>
      </c>
      <c r="X38" s="425">
        <f>'HH WITHOUT COM #5'!$X$20</f>
        <v>13</v>
      </c>
      <c r="Y38" s="257">
        <f>SUM(W38:X38)</f>
        <v>28</v>
      </c>
      <c r="Z38" s="425"/>
      <c r="AA38" s="425">
        <f>'HH WITHOUT COM #6'!$W$20</f>
        <v>2</v>
      </c>
      <c r="AB38" s="425">
        <f>'HH WITHOUT COM #6'!$X$20</f>
        <v>13</v>
      </c>
      <c r="AC38" s="257">
        <f>SUM(AA38:AB38)</f>
        <v>15</v>
      </c>
      <c r="AD38" s="425"/>
      <c r="AE38" s="425">
        <f>'HH WITHOUT COM #7'!$W$20</f>
        <v>0</v>
      </c>
      <c r="AF38" s="425">
        <f>'HH WITHOUT COM #7'!$X$20</f>
        <v>0</v>
      </c>
      <c r="AG38" s="257">
        <f>SUM(AE38:AF38)</f>
        <v>0</v>
      </c>
      <c r="AH38" s="611"/>
      <c r="AI38" s="391">
        <f>G38+K38+O38+S38+W38+AA38+AE38</f>
        <v>32</v>
      </c>
      <c r="AJ38" s="17">
        <f>H38+L38+P38+T38+X38+AB38+AF38</f>
        <v>50</v>
      </c>
      <c r="AK38" s="539">
        <f>SUM(AI38:AJ38)</f>
        <v>82</v>
      </c>
      <c r="AL38" s="17"/>
    </row>
    <row r="39" spans="1:38" ht="16.5" customHeight="1" x14ac:dyDescent="0.25">
      <c r="A39" s="102"/>
      <c r="B39" s="102"/>
      <c r="C39" s="464" t="s">
        <v>854</v>
      </c>
      <c r="D39" s="464"/>
      <c r="E39" s="464"/>
      <c r="F39" s="465"/>
      <c r="G39" s="66">
        <f>IF(I38=0,0,G38/I38)</f>
        <v>0.4</v>
      </c>
      <c r="H39" s="66">
        <f>IF(I38=0,0,H38/I38)</f>
        <v>0.6</v>
      </c>
      <c r="I39" s="66">
        <f>IF(I38=0,0,I38/I38)</f>
        <v>1</v>
      </c>
      <c r="J39" s="66"/>
      <c r="K39" s="66">
        <f>IF(M38=0,0,K38/M38)</f>
        <v>0.5625</v>
      </c>
      <c r="L39" s="66">
        <f>IF(M38=0,0,L38/M38)</f>
        <v>0.4375</v>
      </c>
      <c r="M39" s="66">
        <f>IF(M38=0,0,M38/M38)</f>
        <v>1</v>
      </c>
      <c r="N39" s="66"/>
      <c r="O39" s="66">
        <f>IF(Q38=0,0,O38/Q38)</f>
        <v>0.36363636363636365</v>
      </c>
      <c r="P39" s="66">
        <f>IF(Q38=0,0,P38/Q38)</f>
        <v>0.63636363636363635</v>
      </c>
      <c r="Q39" s="66">
        <f>IF(Q38=0,0,Q38/Q38)</f>
        <v>1</v>
      </c>
      <c r="R39" s="66"/>
      <c r="S39" s="66">
        <f>IF(U38=0,0,S38/U38)</f>
        <v>0</v>
      </c>
      <c r="T39" s="66">
        <f>IF(U38=0,0,T38/U38)</f>
        <v>1</v>
      </c>
      <c r="U39" s="66">
        <f>IF(U38=0,0,U38/U38)</f>
        <v>1</v>
      </c>
      <c r="V39" s="66"/>
      <c r="W39" s="66">
        <f>IF(Y38=0,0,W38/Y38)</f>
        <v>0.5357142857142857</v>
      </c>
      <c r="X39" s="66">
        <f>IF(Y38=0,0,X38/Y38)</f>
        <v>0.4642857142857143</v>
      </c>
      <c r="Y39" s="66">
        <f>IF(Y38=0,0,Y38/Y38)</f>
        <v>1</v>
      </c>
      <c r="Z39" s="66"/>
      <c r="AA39" s="66">
        <f>IF(AC38=0,0,AA38/AC38)</f>
        <v>0.13333333333333333</v>
      </c>
      <c r="AB39" s="66">
        <f>IF(AC38=0,0,AB38/AC38)</f>
        <v>0.8666666666666667</v>
      </c>
      <c r="AC39" s="66">
        <f>IF(AC38=0,0,AC38/AC38)</f>
        <v>1</v>
      </c>
      <c r="AD39" s="66"/>
      <c r="AE39" s="66">
        <f>IF(AG38=0,0,AE38/AG38)</f>
        <v>0</v>
      </c>
      <c r="AF39" s="66">
        <f>IF(AG38=0,0,AF38/AG38)</f>
        <v>0</v>
      </c>
      <c r="AG39" s="66">
        <f>IF(AG38=0,0,AG38/AG38)</f>
        <v>0</v>
      </c>
      <c r="AH39" s="608"/>
      <c r="AI39" s="619">
        <f>IF(AK38=0,0,AI38/AK38)</f>
        <v>0.3902439024390244</v>
      </c>
      <c r="AJ39" s="66">
        <f>IF(AK38=0,0,AJ38/AK38)</f>
        <v>0.6097560975609756</v>
      </c>
      <c r="AK39" s="66">
        <f>IF(AK38=0,0,AK38/AK38)</f>
        <v>1</v>
      </c>
      <c r="AL39" s="66"/>
    </row>
    <row r="40" spans="1:38" s="97" customFormat="1" ht="16.5" customHeight="1" x14ac:dyDescent="0.25">
      <c r="A40" s="68"/>
      <c r="B40" s="68"/>
      <c r="C40" s="68"/>
      <c r="D40" s="166"/>
      <c r="E40" s="458"/>
      <c r="F40" s="458"/>
      <c r="G40" s="466"/>
      <c r="H40" s="466"/>
      <c r="I40" s="466"/>
      <c r="J40" s="466"/>
      <c r="K40" s="466"/>
      <c r="L40" s="466"/>
      <c r="M40" s="466"/>
      <c r="N40" s="466"/>
      <c r="O40" s="466"/>
      <c r="P40" s="466"/>
      <c r="Q40" s="466"/>
      <c r="R40" s="466"/>
      <c r="S40" s="466"/>
      <c r="T40" s="466"/>
      <c r="U40" s="466"/>
      <c r="V40" s="466"/>
      <c r="W40" s="466"/>
      <c r="X40" s="466"/>
      <c r="Y40" s="466"/>
      <c r="Z40" s="466"/>
      <c r="AA40" s="466"/>
      <c r="AB40" s="466"/>
      <c r="AC40" s="466"/>
      <c r="AD40" s="466"/>
      <c r="AE40" s="466"/>
      <c r="AF40" s="466"/>
      <c r="AG40" s="466"/>
      <c r="AH40" s="466"/>
      <c r="AI40" s="466"/>
      <c r="AJ40" s="466"/>
      <c r="AK40" s="466"/>
      <c r="AL40" s="466"/>
    </row>
    <row r="41" spans="1:38" s="456" customFormat="1" ht="16.5" customHeight="1" thickBot="1" x14ac:dyDescent="0.3">
      <c r="A41" s="24" t="s">
        <v>20</v>
      </c>
      <c r="B41" s="453" t="s">
        <v>21</v>
      </c>
      <c r="C41" s="26"/>
      <c r="D41" s="454"/>
      <c r="E41" s="454"/>
      <c r="F41" s="455"/>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606"/>
      <c r="AI41" s="630"/>
      <c r="AJ41" s="24"/>
      <c r="AK41" s="24"/>
      <c r="AL41" s="24"/>
    </row>
    <row r="42" spans="1:38" ht="16.5" customHeight="1" x14ac:dyDescent="0.25">
      <c r="A42" s="47"/>
      <c r="B42" s="471" t="s">
        <v>22</v>
      </c>
      <c r="C42" s="472" t="s">
        <v>23</v>
      </c>
      <c r="D42" s="269"/>
      <c r="E42" s="269"/>
      <c r="F42" s="270"/>
      <c r="G42" s="272"/>
      <c r="H42" s="272"/>
      <c r="I42" s="272"/>
      <c r="J42" s="272"/>
      <c r="K42" s="272"/>
      <c r="L42" s="272"/>
      <c r="M42" s="272"/>
      <c r="N42" s="272"/>
      <c r="O42" s="272"/>
      <c r="P42" s="272"/>
      <c r="Q42" s="272"/>
      <c r="R42" s="272"/>
      <c r="S42" s="272"/>
      <c r="T42" s="272"/>
      <c r="U42" s="272"/>
      <c r="V42" s="272"/>
      <c r="W42" s="272"/>
      <c r="X42" s="272"/>
      <c r="Y42" s="272"/>
      <c r="Z42" s="272"/>
      <c r="AA42" s="272"/>
      <c r="AB42" s="272"/>
      <c r="AC42" s="272"/>
      <c r="AD42" s="272"/>
      <c r="AE42" s="272"/>
      <c r="AF42" s="272"/>
      <c r="AG42" s="272"/>
      <c r="AH42" s="610"/>
      <c r="AI42" s="631"/>
      <c r="AJ42" s="272"/>
      <c r="AK42" s="272"/>
      <c r="AL42" s="272"/>
    </row>
    <row r="43" spans="1:38" s="117" customFormat="1" ht="16.5" customHeight="1" x14ac:dyDescent="0.25">
      <c r="A43" s="253"/>
      <c r="B43" s="253"/>
      <c r="C43" s="103" t="s">
        <v>631</v>
      </c>
      <c r="D43" s="313" t="s">
        <v>658</v>
      </c>
      <c r="E43" s="108"/>
      <c r="F43" s="58"/>
      <c r="G43" s="512"/>
      <c r="H43" s="512"/>
      <c r="I43" s="512"/>
      <c r="J43" s="512"/>
      <c r="K43" s="512"/>
      <c r="L43" s="512"/>
      <c r="M43" s="512"/>
      <c r="N43" s="512"/>
      <c r="O43" s="512"/>
      <c r="P43" s="512"/>
      <c r="Q43" s="512"/>
      <c r="R43" s="512"/>
      <c r="S43" s="512"/>
      <c r="T43" s="512"/>
      <c r="U43" s="512"/>
      <c r="V43" s="512"/>
      <c r="W43" s="512"/>
      <c r="X43" s="512"/>
      <c r="Y43" s="512"/>
      <c r="Z43" s="512"/>
      <c r="AA43" s="512"/>
      <c r="AB43" s="512"/>
      <c r="AC43" s="512"/>
      <c r="AD43" s="512"/>
      <c r="AE43" s="512"/>
      <c r="AF43" s="512"/>
      <c r="AG43" s="512"/>
      <c r="AH43" s="612"/>
      <c r="AI43" s="380"/>
      <c r="AJ43" s="111"/>
      <c r="AK43" s="111"/>
      <c r="AL43" s="111"/>
    </row>
    <row r="44" spans="1:38" s="117" customFormat="1" ht="16.5" customHeight="1" x14ac:dyDescent="0.25">
      <c r="A44" s="253"/>
      <c r="B44" s="253"/>
      <c r="C44" s="253"/>
      <c r="D44" s="473" t="s">
        <v>632</v>
      </c>
      <c r="E44" s="487" t="s">
        <v>659</v>
      </c>
      <c r="F44" s="58"/>
      <c r="G44" s="425">
        <f>'HH WITHOUT COM #1'!$W$38</f>
        <v>0</v>
      </c>
      <c r="H44" s="425">
        <f>'HH WITHOUT COM #1'!$X$38</f>
        <v>1</v>
      </c>
      <c r="I44" s="257">
        <f>SUM(G44:H44)</f>
        <v>1</v>
      </c>
      <c r="J44" s="91">
        <f>IF(I$47=0,0,I44/I$47)</f>
        <v>0.2</v>
      </c>
      <c r="K44" s="425">
        <f>'HH WITHOUT COM #2'!$W$38</f>
        <v>2</v>
      </c>
      <c r="L44" s="425">
        <f>'HH WITHOUT COM #2'!$X$38</f>
        <v>1</v>
      </c>
      <c r="M44" s="257">
        <f>SUM(K44:L44)</f>
        <v>3</v>
      </c>
      <c r="N44" s="91">
        <f>IF(M$47=0,0,M44/M$47)</f>
        <v>0.1875</v>
      </c>
      <c r="O44" s="425">
        <f>'HH WITHOUT COM #3'!$W$38</f>
        <v>0</v>
      </c>
      <c r="P44" s="425">
        <f>'HH WITHOUT COM #3'!$X$38</f>
        <v>1</v>
      </c>
      <c r="Q44" s="257">
        <f>SUM(O44:P44)</f>
        <v>1</v>
      </c>
      <c r="R44" s="91">
        <f>IF(Q$47=0,0,Q44/Q$47)</f>
        <v>9.0909090909090912E-2</v>
      </c>
      <c r="S44" s="425">
        <f>'HH WITHOUT COM #4'!$W$38</f>
        <v>0</v>
      </c>
      <c r="T44" s="425">
        <f>'HH WITHOUT COM #4'!$X$38</f>
        <v>0</v>
      </c>
      <c r="U44" s="257">
        <f>SUM(S44:T44)</f>
        <v>0</v>
      </c>
      <c r="V44" s="91">
        <f>IF(U$47=0,0,U44/U$47)</f>
        <v>0</v>
      </c>
      <c r="W44" s="425">
        <f>'HH WITHOUT COM #5'!$W$38</f>
        <v>6</v>
      </c>
      <c r="X44" s="425">
        <f>'HH WITHOUT COM #5'!$X$38</f>
        <v>2</v>
      </c>
      <c r="Y44" s="257">
        <f>SUM(W44:X44)</f>
        <v>8</v>
      </c>
      <c r="Z44" s="91">
        <f>IF(Y$47=0,0,Y44/Y$47)</f>
        <v>0.2857142857142857</v>
      </c>
      <c r="AA44" s="425">
        <f>'HH WITHOUT COM #6'!$W$38</f>
        <v>0</v>
      </c>
      <c r="AB44" s="425">
        <f>'HH WITHOUT COM #6'!$X$38</f>
        <v>1</v>
      </c>
      <c r="AC44" s="257">
        <f>SUM(AA44:AB44)</f>
        <v>1</v>
      </c>
      <c r="AD44" s="91">
        <f>IF(AC$47=0,0,AC44/AC$47)</f>
        <v>6.6666666666666666E-2</v>
      </c>
      <c r="AE44" s="425">
        <f>'HH WITHOUT COM #7'!$W$38</f>
        <v>0</v>
      </c>
      <c r="AF44" s="425">
        <f>'HH WITHOUT COM #7'!$X$38</f>
        <v>0</v>
      </c>
      <c r="AG44" s="257">
        <f>SUM(AE44:AF44)</f>
        <v>0</v>
      </c>
      <c r="AH44" s="373">
        <f>IF(AG$47=0,0,AG44/AG$47)</f>
        <v>0</v>
      </c>
      <c r="AI44" s="391">
        <f t="shared" ref="AI44:AJ46" si="45">G44+K44+O44+S44+W44+AA44+AE44</f>
        <v>8</v>
      </c>
      <c r="AJ44" s="17">
        <f t="shared" si="45"/>
        <v>6</v>
      </c>
      <c r="AK44" s="539">
        <f t="shared" ref="AK44:AK46" si="46">SUM(AI44:AJ44)</f>
        <v>14</v>
      </c>
      <c r="AL44" s="91">
        <f>IF(AK$47=0,0,AK44/AK$47)</f>
        <v>0.17073170731707318</v>
      </c>
    </row>
    <row r="45" spans="1:38" s="117" customFormat="1" ht="16.5" customHeight="1" x14ac:dyDescent="0.25">
      <c r="A45" s="253"/>
      <c r="B45" s="253"/>
      <c r="C45" s="253"/>
      <c r="D45" s="473" t="s">
        <v>633</v>
      </c>
      <c r="E45" s="487" t="s">
        <v>634</v>
      </c>
      <c r="F45" s="58"/>
      <c r="G45" s="425">
        <f>'HH WITHOUT COM #1'!$W$39</f>
        <v>2</v>
      </c>
      <c r="H45" s="425">
        <f>'HH WITHOUT COM #1'!$X$39</f>
        <v>2</v>
      </c>
      <c r="I45" s="257">
        <f t="shared" ref="I45:I46" si="47">SUM(G45:H45)</f>
        <v>4</v>
      </c>
      <c r="J45" s="91">
        <f t="shared" ref="J45:J47" si="48">IF(I$47=0,0,I45/I$47)</f>
        <v>0.8</v>
      </c>
      <c r="K45" s="425">
        <f>'HH WITHOUT COM #2'!$W$39</f>
        <v>7</v>
      </c>
      <c r="L45" s="425">
        <f>'HH WITHOUT COM #2'!$X$39</f>
        <v>6</v>
      </c>
      <c r="M45" s="257">
        <f t="shared" ref="M45:M46" si="49">SUM(K45:L45)</f>
        <v>13</v>
      </c>
      <c r="N45" s="91">
        <f t="shared" ref="N45:N47" si="50">IF(M$47=0,0,M45/M$47)</f>
        <v>0.8125</v>
      </c>
      <c r="O45" s="425">
        <f>'HH WITHOUT COM #3'!$W$39</f>
        <v>0</v>
      </c>
      <c r="P45" s="425">
        <f>'HH WITHOUT COM #3'!$X$39</f>
        <v>0</v>
      </c>
      <c r="Q45" s="257">
        <f t="shared" ref="Q45:Q46" si="51">SUM(O45:P45)</f>
        <v>0</v>
      </c>
      <c r="R45" s="91">
        <f t="shared" ref="R45:R47" si="52">IF(Q$47=0,0,Q45/Q$47)</f>
        <v>0</v>
      </c>
      <c r="S45" s="425">
        <f>'HH WITHOUT COM #4'!$W$39</f>
        <v>0</v>
      </c>
      <c r="T45" s="425">
        <f>'HH WITHOUT COM #4'!$X$39</f>
        <v>7</v>
      </c>
      <c r="U45" s="257">
        <f t="shared" ref="U45:U46" si="53">SUM(S45:T45)</f>
        <v>7</v>
      </c>
      <c r="V45" s="91">
        <f t="shared" ref="V45:V47" si="54">IF(U$47=0,0,U45/U$47)</f>
        <v>1</v>
      </c>
      <c r="W45" s="425">
        <f>'HH WITHOUT COM #5'!$W$39</f>
        <v>8</v>
      </c>
      <c r="X45" s="425">
        <f>'HH WITHOUT COM #5'!$X$39</f>
        <v>11</v>
      </c>
      <c r="Y45" s="257">
        <f t="shared" ref="Y45:Y46" si="55">SUM(W45:X45)</f>
        <v>19</v>
      </c>
      <c r="Z45" s="91">
        <f t="shared" ref="Z45:Z47" si="56">IF(Y$47=0,0,Y45/Y$47)</f>
        <v>0.6785714285714286</v>
      </c>
      <c r="AA45" s="425">
        <f>'HH WITHOUT COM #6'!$W$39</f>
        <v>2</v>
      </c>
      <c r="AB45" s="425">
        <f>'HH WITHOUT COM #6'!$X$39</f>
        <v>12</v>
      </c>
      <c r="AC45" s="257">
        <f t="shared" ref="AC45:AC46" si="57">SUM(AA45:AB45)</f>
        <v>14</v>
      </c>
      <c r="AD45" s="91">
        <f t="shared" ref="AD45:AD47" si="58">IF(AC$47=0,0,AC45/AC$47)</f>
        <v>0.93333333333333335</v>
      </c>
      <c r="AE45" s="425">
        <f>'HH WITHOUT COM #7'!$W$39</f>
        <v>0</v>
      </c>
      <c r="AF45" s="425">
        <f>'HH WITHOUT COM #7'!$X$39</f>
        <v>0</v>
      </c>
      <c r="AG45" s="257">
        <f t="shared" ref="AG45:AG46" si="59">SUM(AE45:AF45)</f>
        <v>0</v>
      </c>
      <c r="AH45" s="373">
        <f t="shared" ref="AH45:AH47" si="60">IF(AG$47=0,0,AG45/AG$47)</f>
        <v>0</v>
      </c>
      <c r="AI45" s="391">
        <f t="shared" si="45"/>
        <v>19</v>
      </c>
      <c r="AJ45" s="17">
        <f t="shared" si="45"/>
        <v>38</v>
      </c>
      <c r="AK45" s="539">
        <f t="shared" si="46"/>
        <v>57</v>
      </c>
      <c r="AL45" s="91">
        <f t="shared" ref="AL45:AL47" si="61">IF(AK$47=0,0,AK45/AK$47)</f>
        <v>0.69512195121951215</v>
      </c>
    </row>
    <row r="46" spans="1:38" s="117" customFormat="1" ht="16.5" customHeight="1" x14ac:dyDescent="0.25">
      <c r="A46" s="253"/>
      <c r="B46" s="253"/>
      <c r="C46" s="253"/>
      <c r="D46" s="473" t="s">
        <v>744</v>
      </c>
      <c r="E46" s="487" t="s">
        <v>745</v>
      </c>
      <c r="F46" s="58"/>
      <c r="G46" s="425">
        <f>'HH WITHOUT COM #1'!$W$40</f>
        <v>0</v>
      </c>
      <c r="H46" s="425">
        <f>'HH WITHOUT COM #1'!$X$40</f>
        <v>0</v>
      </c>
      <c r="I46" s="257">
        <f t="shared" si="47"/>
        <v>0</v>
      </c>
      <c r="J46" s="91">
        <f t="shared" si="48"/>
        <v>0</v>
      </c>
      <c r="K46" s="425">
        <f>'HH WITHOUT COM #2'!$W$40</f>
        <v>0</v>
      </c>
      <c r="L46" s="425">
        <f>'HH WITHOUT COM #2'!$X$40</f>
        <v>0</v>
      </c>
      <c r="M46" s="257">
        <f t="shared" si="49"/>
        <v>0</v>
      </c>
      <c r="N46" s="91">
        <f t="shared" si="50"/>
        <v>0</v>
      </c>
      <c r="O46" s="425">
        <f>'HH WITHOUT COM #3'!$W$40</f>
        <v>4</v>
      </c>
      <c r="P46" s="425">
        <f>'HH WITHOUT COM #3'!$X$40</f>
        <v>6</v>
      </c>
      <c r="Q46" s="257">
        <f t="shared" si="51"/>
        <v>10</v>
      </c>
      <c r="R46" s="91">
        <f t="shared" si="52"/>
        <v>0.90909090909090906</v>
      </c>
      <c r="S46" s="425">
        <f>'HH WITHOUT COM #4'!$W$40</f>
        <v>0</v>
      </c>
      <c r="T46" s="425">
        <f>'HH WITHOUT COM #4'!$X$40</f>
        <v>0</v>
      </c>
      <c r="U46" s="257">
        <f t="shared" si="53"/>
        <v>0</v>
      </c>
      <c r="V46" s="91">
        <f t="shared" si="54"/>
        <v>0</v>
      </c>
      <c r="W46" s="425">
        <f>'HH WITHOUT COM #5'!$W$40</f>
        <v>1</v>
      </c>
      <c r="X46" s="425">
        <f>'HH WITHOUT COM #5'!$X$40</f>
        <v>0</v>
      </c>
      <c r="Y46" s="257">
        <f t="shared" si="55"/>
        <v>1</v>
      </c>
      <c r="Z46" s="91">
        <f t="shared" si="56"/>
        <v>3.5714285714285712E-2</v>
      </c>
      <c r="AA46" s="425">
        <f>'HH WITHOUT COM #6'!$W$40</f>
        <v>0</v>
      </c>
      <c r="AB46" s="425">
        <f>'HH WITHOUT COM #6'!$X$40</f>
        <v>0</v>
      </c>
      <c r="AC46" s="257">
        <f t="shared" si="57"/>
        <v>0</v>
      </c>
      <c r="AD46" s="91">
        <f t="shared" si="58"/>
        <v>0</v>
      </c>
      <c r="AE46" s="425">
        <f>'HH WITHOUT COM #7'!$W$40</f>
        <v>0</v>
      </c>
      <c r="AF46" s="425">
        <f>'HH WITHOUT COM #7'!$X$40</f>
        <v>0</v>
      </c>
      <c r="AG46" s="257">
        <f t="shared" si="59"/>
        <v>0</v>
      </c>
      <c r="AH46" s="373">
        <f t="shared" si="60"/>
        <v>0</v>
      </c>
      <c r="AI46" s="391">
        <f t="shared" si="45"/>
        <v>5</v>
      </c>
      <c r="AJ46" s="17">
        <f t="shared" si="45"/>
        <v>6</v>
      </c>
      <c r="AK46" s="539">
        <f t="shared" si="46"/>
        <v>11</v>
      </c>
      <c r="AL46" s="91">
        <f t="shared" si="61"/>
        <v>0.13414634146341464</v>
      </c>
    </row>
    <row r="47" spans="1:38" ht="16.5" customHeight="1" x14ac:dyDescent="0.25">
      <c r="A47" s="40"/>
      <c r="B47" s="179"/>
      <c r="C47" s="253"/>
      <c r="D47" s="134"/>
      <c r="E47" s="184"/>
      <c r="F47" s="469"/>
      <c r="G47" s="82">
        <f>SUM(G44:G46)</f>
        <v>2</v>
      </c>
      <c r="H47" s="82">
        <f t="shared" ref="H47:AK47" si="62">SUM(H44:H46)</f>
        <v>3</v>
      </c>
      <c r="I47" s="82">
        <f t="shared" si="62"/>
        <v>5</v>
      </c>
      <c r="J47" s="66">
        <f t="shared" si="48"/>
        <v>1</v>
      </c>
      <c r="K47" s="82">
        <f>SUM(K44:K46)</f>
        <v>9</v>
      </c>
      <c r="L47" s="82">
        <f t="shared" ref="L47:M47" si="63">SUM(L44:L46)</f>
        <v>7</v>
      </c>
      <c r="M47" s="82">
        <f t="shared" si="63"/>
        <v>16</v>
      </c>
      <c r="N47" s="66">
        <f t="shared" si="50"/>
        <v>1</v>
      </c>
      <c r="O47" s="82">
        <f>SUM(O44:O46)</f>
        <v>4</v>
      </c>
      <c r="P47" s="82">
        <f t="shared" ref="P47:Q47" si="64">SUM(P44:P46)</f>
        <v>7</v>
      </c>
      <c r="Q47" s="82">
        <f t="shared" si="64"/>
        <v>11</v>
      </c>
      <c r="R47" s="66">
        <f t="shared" si="52"/>
        <v>1</v>
      </c>
      <c r="S47" s="82">
        <f>SUM(S44:S46)</f>
        <v>0</v>
      </c>
      <c r="T47" s="82">
        <f t="shared" ref="T47:U47" si="65">SUM(T44:T46)</f>
        <v>7</v>
      </c>
      <c r="U47" s="82">
        <f t="shared" si="65"/>
        <v>7</v>
      </c>
      <c r="V47" s="66">
        <f t="shared" si="54"/>
        <v>1</v>
      </c>
      <c r="W47" s="82">
        <f>SUM(W44:W46)</f>
        <v>15</v>
      </c>
      <c r="X47" s="82">
        <f t="shared" ref="X47:Y47" si="66">SUM(X44:X46)</f>
        <v>13</v>
      </c>
      <c r="Y47" s="82">
        <f t="shared" si="66"/>
        <v>28</v>
      </c>
      <c r="Z47" s="66">
        <f t="shared" si="56"/>
        <v>1</v>
      </c>
      <c r="AA47" s="82">
        <f>SUM(AA44:AA46)</f>
        <v>2</v>
      </c>
      <c r="AB47" s="82">
        <f t="shared" ref="AB47:AC47" si="67">SUM(AB44:AB46)</f>
        <v>13</v>
      </c>
      <c r="AC47" s="82">
        <f t="shared" si="67"/>
        <v>15</v>
      </c>
      <c r="AD47" s="66">
        <f t="shared" si="58"/>
        <v>1</v>
      </c>
      <c r="AE47" s="82">
        <f>SUM(AE44:AE46)</f>
        <v>0</v>
      </c>
      <c r="AF47" s="82">
        <f t="shared" ref="AF47:AG47" si="68">SUM(AF44:AF46)</f>
        <v>0</v>
      </c>
      <c r="AG47" s="82">
        <f t="shared" si="68"/>
        <v>0</v>
      </c>
      <c r="AH47" s="608">
        <f t="shared" si="60"/>
        <v>0</v>
      </c>
      <c r="AI47" s="381">
        <f t="shared" si="62"/>
        <v>32</v>
      </c>
      <c r="AJ47" s="82">
        <f t="shared" si="62"/>
        <v>50</v>
      </c>
      <c r="AK47" s="82">
        <f t="shared" si="62"/>
        <v>82</v>
      </c>
      <c r="AL47" s="66">
        <f t="shared" si="61"/>
        <v>1</v>
      </c>
    </row>
    <row r="48" spans="1:38" s="117" customFormat="1" ht="16.5" customHeight="1" x14ac:dyDescent="0.25">
      <c r="A48" s="253"/>
      <c r="B48" s="253"/>
      <c r="C48" s="103" t="s">
        <v>24</v>
      </c>
      <c r="D48" s="313" t="s">
        <v>373</v>
      </c>
      <c r="E48" s="108"/>
      <c r="F48" s="58"/>
      <c r="G48" s="512"/>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612"/>
      <c r="AI48" s="380"/>
      <c r="AJ48" s="111"/>
      <c r="AK48" s="111"/>
      <c r="AL48" s="111"/>
    </row>
    <row r="49" spans="1:38" ht="16.5" customHeight="1" x14ac:dyDescent="0.25">
      <c r="A49" s="40"/>
      <c r="B49" s="40"/>
      <c r="C49" s="23"/>
      <c r="D49" s="473" t="s">
        <v>25</v>
      </c>
      <c r="E49" s="562" t="s">
        <v>384</v>
      </c>
      <c r="F49" s="105"/>
      <c r="G49" s="17">
        <f>'HH WITHOUT COM #1'!$W$44</f>
        <v>0</v>
      </c>
      <c r="H49" s="17">
        <f>'HH WITHOUT COM #1'!$X$44</f>
        <v>0</v>
      </c>
      <c r="I49" s="257">
        <f>SUM(G49:H49)</f>
        <v>0</v>
      </c>
      <c r="J49" s="91">
        <f>IF(I$63=0,0,I49/I$63)</f>
        <v>0</v>
      </c>
      <c r="K49" s="17">
        <f>'HH WITHOUT COM #2'!$W$44</f>
        <v>0</v>
      </c>
      <c r="L49" s="17">
        <f>'HH WITHOUT COM #2'!$X$44</f>
        <v>0</v>
      </c>
      <c r="M49" s="257">
        <f>SUM(K49:L49)</f>
        <v>0</v>
      </c>
      <c r="N49" s="91">
        <f>IF(M$63=0,0,M49/M$63)</f>
        <v>0</v>
      </c>
      <c r="O49" s="17">
        <f>'HH WITHOUT COM #3'!$W$44</f>
        <v>0</v>
      </c>
      <c r="P49" s="17">
        <f>'HH WITHOUT COM #3'!$X$44</f>
        <v>0</v>
      </c>
      <c r="Q49" s="257">
        <f>SUM(O49:P49)</f>
        <v>0</v>
      </c>
      <c r="R49" s="91">
        <f>IF(Q$63=0,0,Q49/Q$63)</f>
        <v>0</v>
      </c>
      <c r="S49" s="17">
        <f>'HH WITHOUT COM #4'!$W$44</f>
        <v>0</v>
      </c>
      <c r="T49" s="17">
        <f>'HH WITHOUT COM #4'!$X$44</f>
        <v>0</v>
      </c>
      <c r="U49" s="257">
        <f>SUM(S49:T49)</f>
        <v>0</v>
      </c>
      <c r="V49" s="91">
        <f>IF(U$63=0,0,U49/U$63)</f>
        <v>0</v>
      </c>
      <c r="W49" s="17">
        <f>'HH WITHOUT COM #5'!$W$44</f>
        <v>0</v>
      </c>
      <c r="X49" s="17">
        <f>'HH WITHOUT COM #5'!$X$44</f>
        <v>0</v>
      </c>
      <c r="Y49" s="257">
        <f>SUM(W49:X49)</f>
        <v>0</v>
      </c>
      <c r="Z49" s="91">
        <f>IF(Y$63=0,0,Y49/Y$63)</f>
        <v>0</v>
      </c>
      <c r="AA49" s="17">
        <f>'HH WITHOUT COM #6'!$W$44</f>
        <v>0</v>
      </c>
      <c r="AB49" s="17">
        <f>'HH WITHOUT COM #6'!$X$44</f>
        <v>0</v>
      </c>
      <c r="AC49" s="257">
        <f>SUM(AA49:AB49)</f>
        <v>0</v>
      </c>
      <c r="AD49" s="91">
        <f>IF(AC$63=0,0,AC49/AC$63)</f>
        <v>0</v>
      </c>
      <c r="AE49" s="17">
        <f>'HH WITHOUT COM #7'!$W$44</f>
        <v>0</v>
      </c>
      <c r="AF49" s="17">
        <f>'HH WITHOUT COM #7'!$X$44</f>
        <v>0</v>
      </c>
      <c r="AG49" s="257">
        <f>SUM(AE49:AF49)</f>
        <v>0</v>
      </c>
      <c r="AH49" s="373">
        <f>IF(AG$63=0,0,AG49/AG$63)</f>
        <v>0</v>
      </c>
      <c r="AI49" s="391">
        <f t="shared" ref="AI49:AJ62" si="69">G49+K49+O49+S49+W49+AA49+AE49</f>
        <v>0</v>
      </c>
      <c r="AJ49" s="17">
        <f t="shared" si="69"/>
        <v>0</v>
      </c>
      <c r="AK49" s="539">
        <f t="shared" ref="AK49:AK62" si="70">SUM(AI49:AJ49)</f>
        <v>0</v>
      </c>
      <c r="AL49" s="91">
        <f>IF(AK$63=0,0,AK49/AK$63)</f>
        <v>0</v>
      </c>
    </row>
    <row r="50" spans="1:38" ht="16.5" customHeight="1" x14ac:dyDescent="0.25">
      <c r="A50" s="40"/>
      <c r="B50" s="40"/>
      <c r="C50" s="23"/>
      <c r="D50" s="473" t="s">
        <v>27</v>
      </c>
      <c r="E50" s="562" t="s">
        <v>385</v>
      </c>
      <c r="F50" s="105"/>
      <c r="G50" s="17">
        <f>'HH WITHOUT COM #1'!$W$45</f>
        <v>0</v>
      </c>
      <c r="H50" s="17">
        <f>'HH WITHOUT COM #1'!$X$45</f>
        <v>0</v>
      </c>
      <c r="I50" s="257">
        <f t="shared" ref="I50:I62" si="71">SUM(G50:H50)</f>
        <v>0</v>
      </c>
      <c r="J50" s="91">
        <f t="shared" ref="J50:J63" si="72">IF(I$63=0,0,I50/I$63)</f>
        <v>0</v>
      </c>
      <c r="K50" s="17">
        <f>'HH WITHOUT COM #2'!$W$45</f>
        <v>0</v>
      </c>
      <c r="L50" s="17">
        <f>'HH WITHOUT COM #2'!$X$45</f>
        <v>0</v>
      </c>
      <c r="M50" s="257">
        <f t="shared" ref="M50:M62" si="73">SUM(K50:L50)</f>
        <v>0</v>
      </c>
      <c r="N50" s="91">
        <f t="shared" ref="N50:N63" si="74">IF(M$63=0,0,M50/M$63)</f>
        <v>0</v>
      </c>
      <c r="O50" s="17">
        <f>'HH WITHOUT COM #3'!$W$45</f>
        <v>0</v>
      </c>
      <c r="P50" s="17">
        <f>'HH WITHOUT COM #3'!$X$45</f>
        <v>0</v>
      </c>
      <c r="Q50" s="257">
        <f t="shared" ref="Q50:Q62" si="75">SUM(O50:P50)</f>
        <v>0</v>
      </c>
      <c r="R50" s="91">
        <f t="shared" ref="R50:R63" si="76">IF(Q$63=0,0,Q50/Q$63)</f>
        <v>0</v>
      </c>
      <c r="S50" s="17">
        <f>'HH WITHOUT COM #4'!$W$45</f>
        <v>0</v>
      </c>
      <c r="T50" s="17">
        <f>'HH WITHOUT COM #4'!$X$45</f>
        <v>0</v>
      </c>
      <c r="U50" s="257">
        <f t="shared" ref="U50:U62" si="77">SUM(S50:T50)</f>
        <v>0</v>
      </c>
      <c r="V50" s="91">
        <f t="shared" ref="V50:V63" si="78">IF(U$63=0,0,U50/U$63)</f>
        <v>0</v>
      </c>
      <c r="W50" s="17">
        <f>'HH WITHOUT COM #5'!$W$45</f>
        <v>0</v>
      </c>
      <c r="X50" s="17">
        <f>'HH WITHOUT COM #5'!$X$45</f>
        <v>0</v>
      </c>
      <c r="Y50" s="257">
        <f t="shared" ref="Y50:Y62" si="79">SUM(W50:X50)</f>
        <v>0</v>
      </c>
      <c r="Z50" s="91">
        <f t="shared" ref="Z50:Z63" si="80">IF(Y$63=0,0,Y50/Y$63)</f>
        <v>0</v>
      </c>
      <c r="AA50" s="17">
        <f>'HH WITHOUT COM #6'!$W$45</f>
        <v>0</v>
      </c>
      <c r="AB50" s="17">
        <f>'HH WITHOUT COM #6'!$X$45</f>
        <v>0</v>
      </c>
      <c r="AC50" s="257">
        <f t="shared" ref="AC50:AC62" si="81">SUM(AA50:AB50)</f>
        <v>0</v>
      </c>
      <c r="AD50" s="91">
        <f t="shared" ref="AD50:AD63" si="82">IF(AC$63=0,0,AC50/AC$63)</f>
        <v>0</v>
      </c>
      <c r="AE50" s="17">
        <f>'HH WITHOUT COM #7'!$W$45</f>
        <v>0</v>
      </c>
      <c r="AF50" s="17">
        <f>'HH WITHOUT COM #7'!$X$45</f>
        <v>0</v>
      </c>
      <c r="AG50" s="257">
        <f t="shared" ref="AG50:AG62" si="83">SUM(AE50:AF50)</f>
        <v>0</v>
      </c>
      <c r="AH50" s="373">
        <f t="shared" ref="AH50:AH63" si="84">IF(AG$63=0,0,AG50/AG$63)</f>
        <v>0</v>
      </c>
      <c r="AI50" s="391">
        <f t="shared" si="69"/>
        <v>0</v>
      </c>
      <c r="AJ50" s="17">
        <f t="shared" si="69"/>
        <v>0</v>
      </c>
      <c r="AK50" s="539">
        <f t="shared" si="70"/>
        <v>0</v>
      </c>
      <c r="AL50" s="91">
        <f t="shared" ref="AL50:AL63" si="85">IF(AK$63=0,0,AK50/AK$63)</f>
        <v>0</v>
      </c>
    </row>
    <row r="51" spans="1:38" ht="16.5" customHeight="1" x14ac:dyDescent="0.25">
      <c r="A51" s="40"/>
      <c r="B51" s="40"/>
      <c r="C51" s="23"/>
      <c r="D51" s="473" t="s">
        <v>29</v>
      </c>
      <c r="E51" s="562" t="s">
        <v>386</v>
      </c>
      <c r="F51" s="105"/>
      <c r="G51" s="17">
        <f>'HH WITHOUT COM #1'!W$46</f>
        <v>0</v>
      </c>
      <c r="H51" s="17">
        <f>'HH WITHOUT COM #1'!$X$46</f>
        <v>0</v>
      </c>
      <c r="I51" s="257">
        <f t="shared" si="71"/>
        <v>0</v>
      </c>
      <c r="J51" s="91">
        <f t="shared" si="72"/>
        <v>0</v>
      </c>
      <c r="K51" s="17">
        <f>'HH WITHOUT COM #2'!AA$46</f>
        <v>0</v>
      </c>
      <c r="L51" s="17">
        <f>'HH WITHOUT COM #2'!$X$46</f>
        <v>0</v>
      </c>
      <c r="M51" s="257">
        <f t="shared" si="73"/>
        <v>0</v>
      </c>
      <c r="N51" s="91">
        <f t="shared" si="74"/>
        <v>0</v>
      </c>
      <c r="O51" s="17">
        <f>'HH WITHOUT COM #3'!AE$46</f>
        <v>0</v>
      </c>
      <c r="P51" s="17">
        <f>'HH WITHOUT COM #3'!$X$46</f>
        <v>0</v>
      </c>
      <c r="Q51" s="257">
        <f t="shared" si="75"/>
        <v>0</v>
      </c>
      <c r="R51" s="91">
        <f t="shared" si="76"/>
        <v>0</v>
      </c>
      <c r="S51" s="17">
        <f>'HH WITHOUT COM #4'!AI$46</f>
        <v>0</v>
      </c>
      <c r="T51" s="17">
        <f>'HH WITHOUT COM #4'!$X$46</f>
        <v>0</v>
      </c>
      <c r="U51" s="257">
        <f t="shared" si="77"/>
        <v>0</v>
      </c>
      <c r="V51" s="91">
        <f t="shared" si="78"/>
        <v>0</v>
      </c>
      <c r="W51" s="17">
        <f>'HH WITHOUT COM #5'!AM$46</f>
        <v>0</v>
      </c>
      <c r="X51" s="17">
        <f>'HH WITHOUT COM #5'!$X$46</f>
        <v>0</v>
      </c>
      <c r="Y51" s="257">
        <f t="shared" si="79"/>
        <v>0</v>
      </c>
      <c r="Z51" s="91">
        <f t="shared" si="80"/>
        <v>0</v>
      </c>
      <c r="AA51" s="17">
        <f>'HH WITHOUT COM #6'!AQ$46</f>
        <v>0</v>
      </c>
      <c r="AB51" s="17">
        <f>'HH WITHOUT COM #6'!$X$46</f>
        <v>0</v>
      </c>
      <c r="AC51" s="257">
        <f t="shared" si="81"/>
        <v>0</v>
      </c>
      <c r="AD51" s="91">
        <f t="shared" si="82"/>
        <v>0</v>
      </c>
      <c r="AE51" s="17">
        <f>'HH WITHOUT COM #7'!AU$46</f>
        <v>0</v>
      </c>
      <c r="AF51" s="17">
        <f>'HH WITHOUT COM #7'!$X$46</f>
        <v>0</v>
      </c>
      <c r="AG51" s="257">
        <f t="shared" si="83"/>
        <v>0</v>
      </c>
      <c r="AH51" s="373">
        <f t="shared" si="84"/>
        <v>0</v>
      </c>
      <c r="AI51" s="391">
        <f t="shared" si="69"/>
        <v>0</v>
      </c>
      <c r="AJ51" s="17">
        <f t="shared" si="69"/>
        <v>0</v>
      </c>
      <c r="AK51" s="539">
        <f t="shared" si="70"/>
        <v>0</v>
      </c>
      <c r="AL51" s="91">
        <f t="shared" si="85"/>
        <v>0</v>
      </c>
    </row>
    <row r="52" spans="1:38" ht="16.5" customHeight="1" x14ac:dyDescent="0.25">
      <c r="A52" s="40"/>
      <c r="B52" s="40"/>
      <c r="C52" s="23"/>
      <c r="D52" s="473" t="s">
        <v>31</v>
      </c>
      <c r="E52" s="562" t="s">
        <v>533</v>
      </c>
      <c r="F52" s="105"/>
      <c r="G52" s="17">
        <f>'HH WITHOUT COM #1'!$W$47</f>
        <v>1</v>
      </c>
      <c r="H52" s="17">
        <f>'HH WITHOUT COM #1'!$X$47</f>
        <v>2</v>
      </c>
      <c r="I52" s="257">
        <f t="shared" si="71"/>
        <v>3</v>
      </c>
      <c r="J52" s="91">
        <f t="shared" si="72"/>
        <v>2.564102564102564E-2</v>
      </c>
      <c r="K52" s="17">
        <f>'HH WITHOUT COM #2'!$W$47</f>
        <v>0</v>
      </c>
      <c r="L52" s="17">
        <f>'HH WITHOUT COM #2'!$X$47</f>
        <v>0</v>
      </c>
      <c r="M52" s="257">
        <f t="shared" si="73"/>
        <v>0</v>
      </c>
      <c r="N52" s="91">
        <f t="shared" si="74"/>
        <v>0</v>
      </c>
      <c r="O52" s="17">
        <f>'HH WITHOUT COM #3'!$W$47</f>
        <v>0</v>
      </c>
      <c r="P52" s="17">
        <f>'HH WITHOUT COM #3'!$X$47</f>
        <v>0</v>
      </c>
      <c r="Q52" s="257">
        <f t="shared" si="75"/>
        <v>0</v>
      </c>
      <c r="R52" s="91">
        <f t="shared" si="76"/>
        <v>0</v>
      </c>
      <c r="S52" s="17">
        <f>'HH WITHOUT COM #4'!$W$47</f>
        <v>0</v>
      </c>
      <c r="T52" s="17">
        <f>'HH WITHOUT COM #4'!$X$47</f>
        <v>0</v>
      </c>
      <c r="U52" s="257">
        <f t="shared" si="77"/>
        <v>0</v>
      </c>
      <c r="V52" s="91">
        <f t="shared" si="78"/>
        <v>0</v>
      </c>
      <c r="W52" s="17">
        <f>'HH WITHOUT COM #5'!$W$47</f>
        <v>0</v>
      </c>
      <c r="X52" s="17">
        <f>'HH WITHOUT COM #5'!$X$47</f>
        <v>0</v>
      </c>
      <c r="Y52" s="257">
        <f t="shared" si="79"/>
        <v>0</v>
      </c>
      <c r="Z52" s="91">
        <f t="shared" si="80"/>
        <v>0</v>
      </c>
      <c r="AA52" s="17">
        <f>'HH WITHOUT COM #6'!$W$47</f>
        <v>0</v>
      </c>
      <c r="AB52" s="17">
        <f>'HH WITHOUT COM #6'!$X$47</f>
        <v>0</v>
      </c>
      <c r="AC52" s="257">
        <f t="shared" si="81"/>
        <v>0</v>
      </c>
      <c r="AD52" s="91">
        <f t="shared" si="82"/>
        <v>0</v>
      </c>
      <c r="AE52" s="17">
        <f>'HH WITHOUT COM #7'!$W$47</f>
        <v>0</v>
      </c>
      <c r="AF52" s="17">
        <f>'HH WITHOUT COM #7'!$X$47</f>
        <v>0</v>
      </c>
      <c r="AG52" s="257">
        <f t="shared" si="83"/>
        <v>0</v>
      </c>
      <c r="AH52" s="373">
        <f t="shared" si="84"/>
        <v>0</v>
      </c>
      <c r="AI52" s="391">
        <f t="shared" si="69"/>
        <v>1</v>
      </c>
      <c r="AJ52" s="17">
        <f t="shared" si="69"/>
        <v>2</v>
      </c>
      <c r="AK52" s="539">
        <f t="shared" si="70"/>
        <v>3</v>
      </c>
      <c r="AL52" s="91">
        <f t="shared" si="85"/>
        <v>2.564102564102564E-2</v>
      </c>
    </row>
    <row r="53" spans="1:38" ht="16.5" customHeight="1" x14ac:dyDescent="0.25">
      <c r="A53" s="40"/>
      <c r="B53" s="40"/>
      <c r="C53" s="23"/>
      <c r="D53" s="473" t="s">
        <v>374</v>
      </c>
      <c r="E53" s="562" t="s">
        <v>534</v>
      </c>
      <c r="F53" s="105"/>
      <c r="G53" s="17">
        <f>'HH WITHOUT COM #1'!$W$48</f>
        <v>0</v>
      </c>
      <c r="H53" s="17">
        <f>'HH WITHOUT COM #1'!$X$48</f>
        <v>0</v>
      </c>
      <c r="I53" s="257">
        <f t="shared" si="71"/>
        <v>0</v>
      </c>
      <c r="J53" s="91">
        <f t="shared" si="72"/>
        <v>0</v>
      </c>
      <c r="K53" s="17">
        <f>'HH WITHOUT COM #2'!$W$48</f>
        <v>0</v>
      </c>
      <c r="L53" s="17">
        <f>'HH WITHOUT COM #2'!$X$48</f>
        <v>0</v>
      </c>
      <c r="M53" s="257">
        <f t="shared" si="73"/>
        <v>0</v>
      </c>
      <c r="N53" s="91">
        <f t="shared" si="74"/>
        <v>0</v>
      </c>
      <c r="O53" s="17">
        <f>'HH WITHOUT COM #3'!$W$48</f>
        <v>0</v>
      </c>
      <c r="P53" s="17">
        <f>'HH WITHOUT COM #3'!$X$48</f>
        <v>0</v>
      </c>
      <c r="Q53" s="257">
        <f t="shared" si="75"/>
        <v>0</v>
      </c>
      <c r="R53" s="91">
        <f t="shared" si="76"/>
        <v>0</v>
      </c>
      <c r="S53" s="17">
        <f>'HH WITHOUT COM #4'!$W$48</f>
        <v>0</v>
      </c>
      <c r="T53" s="17">
        <f>'HH WITHOUT COM #4'!$X$48</f>
        <v>0</v>
      </c>
      <c r="U53" s="257">
        <f t="shared" si="77"/>
        <v>0</v>
      </c>
      <c r="V53" s="91">
        <f t="shared" si="78"/>
        <v>0</v>
      </c>
      <c r="W53" s="17">
        <f>'HH WITHOUT COM #5'!$W$48</f>
        <v>0</v>
      </c>
      <c r="X53" s="17">
        <f>'HH WITHOUT COM #5'!$X$48</f>
        <v>0</v>
      </c>
      <c r="Y53" s="257">
        <f t="shared" si="79"/>
        <v>0</v>
      </c>
      <c r="Z53" s="91">
        <f t="shared" si="80"/>
        <v>0</v>
      </c>
      <c r="AA53" s="17">
        <f>'HH WITHOUT COM #6'!$W$48</f>
        <v>0</v>
      </c>
      <c r="AB53" s="17">
        <f>'HH WITHOUT COM #6'!$X$48</f>
        <v>0</v>
      </c>
      <c r="AC53" s="257">
        <f t="shared" si="81"/>
        <v>0</v>
      </c>
      <c r="AD53" s="91">
        <f t="shared" si="82"/>
        <v>0</v>
      </c>
      <c r="AE53" s="17">
        <f>'HH WITHOUT COM #7'!$W$48</f>
        <v>0</v>
      </c>
      <c r="AF53" s="17">
        <f>'HH WITHOUT COM #7'!$X$48</f>
        <v>0</v>
      </c>
      <c r="AG53" s="257">
        <f t="shared" si="83"/>
        <v>0</v>
      </c>
      <c r="AH53" s="373">
        <f t="shared" si="84"/>
        <v>0</v>
      </c>
      <c r="AI53" s="391">
        <f t="shared" si="69"/>
        <v>0</v>
      </c>
      <c r="AJ53" s="17">
        <f t="shared" si="69"/>
        <v>0</v>
      </c>
      <c r="AK53" s="539">
        <f t="shared" si="70"/>
        <v>0</v>
      </c>
      <c r="AL53" s="91">
        <f t="shared" si="85"/>
        <v>0</v>
      </c>
    </row>
    <row r="54" spans="1:38" ht="16.5" customHeight="1" x14ac:dyDescent="0.25">
      <c r="A54" s="40"/>
      <c r="B54" s="40"/>
      <c r="C54" s="23"/>
      <c r="D54" s="473" t="s">
        <v>375</v>
      </c>
      <c r="E54" s="562" t="s">
        <v>535</v>
      </c>
      <c r="F54" s="105"/>
      <c r="G54" s="17">
        <f>'HH WITHOUT COM #1'!$W$49</f>
        <v>1</v>
      </c>
      <c r="H54" s="17">
        <f>'HH WITHOUT COM #1'!$X$49</f>
        <v>1</v>
      </c>
      <c r="I54" s="257">
        <f t="shared" si="71"/>
        <v>2</v>
      </c>
      <c r="J54" s="91">
        <f t="shared" si="72"/>
        <v>1.7094017094017096E-2</v>
      </c>
      <c r="K54" s="17">
        <f>'HH WITHOUT COM #2'!$W$49</f>
        <v>0</v>
      </c>
      <c r="L54" s="17">
        <f>'HH WITHOUT COM #2'!$X$49</f>
        <v>0</v>
      </c>
      <c r="M54" s="257">
        <f t="shared" si="73"/>
        <v>0</v>
      </c>
      <c r="N54" s="91">
        <f t="shared" si="74"/>
        <v>0</v>
      </c>
      <c r="O54" s="17">
        <f>'HH WITHOUT COM #3'!$W$49</f>
        <v>0</v>
      </c>
      <c r="P54" s="17">
        <f>'HH WITHOUT COM #3'!$X$49</f>
        <v>0</v>
      </c>
      <c r="Q54" s="257">
        <f t="shared" si="75"/>
        <v>0</v>
      </c>
      <c r="R54" s="91">
        <f t="shared" si="76"/>
        <v>0</v>
      </c>
      <c r="S54" s="17">
        <f>'HH WITHOUT COM #4'!$W$49</f>
        <v>0</v>
      </c>
      <c r="T54" s="17">
        <f>'HH WITHOUT COM #4'!$X$49</f>
        <v>0</v>
      </c>
      <c r="U54" s="257">
        <f t="shared" si="77"/>
        <v>0</v>
      </c>
      <c r="V54" s="91">
        <f t="shared" si="78"/>
        <v>0</v>
      </c>
      <c r="W54" s="17">
        <f>'HH WITHOUT COM #5'!$W$49</f>
        <v>0</v>
      </c>
      <c r="X54" s="17">
        <f>'HH WITHOUT COM #5'!$X$49</f>
        <v>0</v>
      </c>
      <c r="Y54" s="257">
        <f t="shared" si="79"/>
        <v>0</v>
      </c>
      <c r="Z54" s="91">
        <f t="shared" si="80"/>
        <v>0</v>
      </c>
      <c r="AA54" s="17">
        <f>'HH WITHOUT COM #6'!$W$49</f>
        <v>0</v>
      </c>
      <c r="AB54" s="17">
        <f>'HH WITHOUT COM #6'!$X$49</f>
        <v>0</v>
      </c>
      <c r="AC54" s="257">
        <f t="shared" si="81"/>
        <v>0</v>
      </c>
      <c r="AD54" s="91">
        <f t="shared" si="82"/>
        <v>0</v>
      </c>
      <c r="AE54" s="17">
        <f>'HH WITHOUT COM #7'!$W$49</f>
        <v>0</v>
      </c>
      <c r="AF54" s="17">
        <f>'HH WITHOUT COM #7'!$X$49</f>
        <v>0</v>
      </c>
      <c r="AG54" s="257">
        <f t="shared" si="83"/>
        <v>0</v>
      </c>
      <c r="AH54" s="373">
        <f t="shared" si="84"/>
        <v>0</v>
      </c>
      <c r="AI54" s="391">
        <f t="shared" si="69"/>
        <v>1</v>
      </c>
      <c r="AJ54" s="17">
        <f t="shared" si="69"/>
        <v>1</v>
      </c>
      <c r="AK54" s="539">
        <f t="shared" si="70"/>
        <v>2</v>
      </c>
      <c r="AL54" s="91">
        <f t="shared" si="85"/>
        <v>1.7094017094017096E-2</v>
      </c>
    </row>
    <row r="55" spans="1:38" ht="16.5" customHeight="1" x14ac:dyDescent="0.25">
      <c r="A55" s="40"/>
      <c r="B55" s="40"/>
      <c r="C55" s="23"/>
      <c r="D55" s="473" t="s">
        <v>376</v>
      </c>
      <c r="E55" s="562" t="s">
        <v>387</v>
      </c>
      <c r="F55" s="105"/>
      <c r="G55" s="17">
        <f>'HH WITHOUT COM #1'!$W$50</f>
        <v>0</v>
      </c>
      <c r="H55" s="17">
        <f>'HH WITHOUT COM #1'!$X$50</f>
        <v>0</v>
      </c>
      <c r="I55" s="257">
        <f t="shared" si="71"/>
        <v>0</v>
      </c>
      <c r="J55" s="91">
        <f t="shared" si="72"/>
        <v>0</v>
      </c>
      <c r="K55" s="17">
        <f>'HH WITHOUT COM #2'!$W$50</f>
        <v>0</v>
      </c>
      <c r="L55" s="17">
        <f>'HH WITHOUT COM #2'!$X$50</f>
        <v>0</v>
      </c>
      <c r="M55" s="257">
        <f t="shared" si="73"/>
        <v>0</v>
      </c>
      <c r="N55" s="91">
        <f t="shared" si="74"/>
        <v>0</v>
      </c>
      <c r="O55" s="17">
        <f>'HH WITHOUT COM #3'!$W$50</f>
        <v>0</v>
      </c>
      <c r="P55" s="17">
        <f>'HH WITHOUT COM #3'!$X$50</f>
        <v>0</v>
      </c>
      <c r="Q55" s="257">
        <f t="shared" si="75"/>
        <v>0</v>
      </c>
      <c r="R55" s="91">
        <f t="shared" si="76"/>
        <v>0</v>
      </c>
      <c r="S55" s="17">
        <f>'HH WITHOUT COM #4'!$W$50</f>
        <v>0</v>
      </c>
      <c r="T55" s="17">
        <f>'HH WITHOUT COM #4'!$X$50</f>
        <v>0</v>
      </c>
      <c r="U55" s="257">
        <f t="shared" si="77"/>
        <v>0</v>
      </c>
      <c r="V55" s="91">
        <f t="shared" si="78"/>
        <v>0</v>
      </c>
      <c r="W55" s="17">
        <f>'HH WITHOUT COM #5'!$W$50</f>
        <v>0</v>
      </c>
      <c r="X55" s="17">
        <f>'HH WITHOUT COM #5'!$X$50</f>
        <v>0</v>
      </c>
      <c r="Y55" s="257">
        <f t="shared" si="79"/>
        <v>0</v>
      </c>
      <c r="Z55" s="91">
        <f t="shared" si="80"/>
        <v>0</v>
      </c>
      <c r="AA55" s="17">
        <f>'HH WITHOUT COM #6'!$W$50</f>
        <v>0</v>
      </c>
      <c r="AB55" s="17">
        <f>'HH WITHOUT COM #6'!$X$50</f>
        <v>0</v>
      </c>
      <c r="AC55" s="257">
        <f t="shared" si="81"/>
        <v>0</v>
      </c>
      <c r="AD55" s="91">
        <f t="shared" si="82"/>
        <v>0</v>
      </c>
      <c r="AE55" s="17">
        <f>'HH WITHOUT COM #7'!$W$50</f>
        <v>0</v>
      </c>
      <c r="AF55" s="17">
        <f>'HH WITHOUT COM #7'!$X$50</f>
        <v>0</v>
      </c>
      <c r="AG55" s="257">
        <f t="shared" si="83"/>
        <v>0</v>
      </c>
      <c r="AH55" s="373">
        <f t="shared" si="84"/>
        <v>0</v>
      </c>
      <c r="AI55" s="391">
        <f t="shared" si="69"/>
        <v>0</v>
      </c>
      <c r="AJ55" s="17">
        <f t="shared" si="69"/>
        <v>0</v>
      </c>
      <c r="AK55" s="539">
        <f t="shared" si="70"/>
        <v>0</v>
      </c>
      <c r="AL55" s="91">
        <f t="shared" si="85"/>
        <v>0</v>
      </c>
    </row>
    <row r="56" spans="1:38" ht="16.5" customHeight="1" x14ac:dyDescent="0.25">
      <c r="A56" s="40"/>
      <c r="B56" s="40"/>
      <c r="C56" s="23"/>
      <c r="D56" s="473" t="s">
        <v>377</v>
      </c>
      <c r="E56" s="562" t="s">
        <v>388</v>
      </c>
      <c r="F56" s="105"/>
      <c r="G56" s="17">
        <f>'HH WITHOUT COM #1'!$W$51</f>
        <v>0</v>
      </c>
      <c r="H56" s="17">
        <f>'HH WITHOUT COM #1'!$X$51</f>
        <v>0</v>
      </c>
      <c r="I56" s="257">
        <f t="shared" si="71"/>
        <v>0</v>
      </c>
      <c r="J56" s="91">
        <f t="shared" si="72"/>
        <v>0</v>
      </c>
      <c r="K56" s="17">
        <f>'HH WITHOUT COM #2'!$W$51</f>
        <v>0</v>
      </c>
      <c r="L56" s="17">
        <f>'HH WITHOUT COM #2'!$X$51</f>
        <v>0</v>
      </c>
      <c r="M56" s="257">
        <f t="shared" si="73"/>
        <v>0</v>
      </c>
      <c r="N56" s="91">
        <f t="shared" si="74"/>
        <v>0</v>
      </c>
      <c r="O56" s="17">
        <f>'HH WITHOUT COM #3'!$W$51</f>
        <v>0</v>
      </c>
      <c r="P56" s="17">
        <f>'HH WITHOUT COM #3'!$X$51</f>
        <v>0</v>
      </c>
      <c r="Q56" s="257">
        <f t="shared" si="75"/>
        <v>0</v>
      </c>
      <c r="R56" s="91">
        <f t="shared" si="76"/>
        <v>0</v>
      </c>
      <c r="S56" s="17">
        <f>'HH WITHOUT COM #4'!$W$51</f>
        <v>0</v>
      </c>
      <c r="T56" s="17">
        <f>'HH WITHOUT COM #4'!$X$51</f>
        <v>0</v>
      </c>
      <c r="U56" s="257">
        <f t="shared" si="77"/>
        <v>0</v>
      </c>
      <c r="V56" s="91">
        <f t="shared" si="78"/>
        <v>0</v>
      </c>
      <c r="W56" s="17">
        <f>'HH WITHOUT COM #5'!$W$51</f>
        <v>0</v>
      </c>
      <c r="X56" s="17">
        <f>'HH WITHOUT COM #5'!$X$51</f>
        <v>0</v>
      </c>
      <c r="Y56" s="257">
        <f t="shared" si="79"/>
        <v>0</v>
      </c>
      <c r="Z56" s="91">
        <f t="shared" si="80"/>
        <v>0</v>
      </c>
      <c r="AA56" s="17">
        <f>'HH WITHOUT COM #6'!$W$51</f>
        <v>0</v>
      </c>
      <c r="AB56" s="17">
        <f>'HH WITHOUT COM #6'!$X$51</f>
        <v>0</v>
      </c>
      <c r="AC56" s="257">
        <f t="shared" si="81"/>
        <v>0</v>
      </c>
      <c r="AD56" s="91">
        <f t="shared" si="82"/>
        <v>0</v>
      </c>
      <c r="AE56" s="17">
        <f>'HH WITHOUT COM #7'!$W$51</f>
        <v>0</v>
      </c>
      <c r="AF56" s="17">
        <f>'HH WITHOUT COM #7'!$X$51</f>
        <v>0</v>
      </c>
      <c r="AG56" s="257">
        <f t="shared" si="83"/>
        <v>0</v>
      </c>
      <c r="AH56" s="373">
        <f t="shared" si="84"/>
        <v>0</v>
      </c>
      <c r="AI56" s="391">
        <f t="shared" si="69"/>
        <v>0</v>
      </c>
      <c r="AJ56" s="17">
        <f t="shared" si="69"/>
        <v>0</v>
      </c>
      <c r="AK56" s="539">
        <f t="shared" si="70"/>
        <v>0</v>
      </c>
      <c r="AL56" s="91">
        <f t="shared" si="85"/>
        <v>0</v>
      </c>
    </row>
    <row r="57" spans="1:38" ht="16.5" customHeight="1" x14ac:dyDescent="0.25">
      <c r="A57" s="40"/>
      <c r="B57" s="40"/>
      <c r="C57" s="23"/>
      <c r="D57" s="473" t="s">
        <v>378</v>
      </c>
      <c r="E57" s="562" t="s">
        <v>532</v>
      </c>
      <c r="F57" s="105"/>
      <c r="G57" s="17">
        <f>'HH WITHOUT COM #1'!$W$52</f>
        <v>30</v>
      </c>
      <c r="H57" s="17">
        <f>'HH WITHOUT COM #1'!$X$52</f>
        <v>64</v>
      </c>
      <c r="I57" s="257">
        <f t="shared" si="71"/>
        <v>94</v>
      </c>
      <c r="J57" s="91">
        <f t="shared" si="72"/>
        <v>0.80341880341880345</v>
      </c>
      <c r="K57" s="17">
        <f>'HH WITHOUT COM #2'!$W$52</f>
        <v>0</v>
      </c>
      <c r="L57" s="17">
        <f>'HH WITHOUT COM #2'!$X$52</f>
        <v>0</v>
      </c>
      <c r="M57" s="257">
        <f t="shared" si="73"/>
        <v>0</v>
      </c>
      <c r="N57" s="91">
        <f t="shared" si="74"/>
        <v>0</v>
      </c>
      <c r="O57" s="17">
        <f>'HH WITHOUT COM #3'!$W$52</f>
        <v>0</v>
      </c>
      <c r="P57" s="17">
        <f>'HH WITHOUT COM #3'!$X$52</f>
        <v>0</v>
      </c>
      <c r="Q57" s="257">
        <f t="shared" si="75"/>
        <v>0</v>
      </c>
      <c r="R57" s="91">
        <f t="shared" si="76"/>
        <v>0</v>
      </c>
      <c r="S57" s="17">
        <f>'HH WITHOUT COM #4'!$W$52</f>
        <v>0</v>
      </c>
      <c r="T57" s="17">
        <f>'HH WITHOUT COM #4'!$X$52</f>
        <v>0</v>
      </c>
      <c r="U57" s="257">
        <f t="shared" si="77"/>
        <v>0</v>
      </c>
      <c r="V57" s="91">
        <f t="shared" si="78"/>
        <v>0</v>
      </c>
      <c r="W57" s="17">
        <f>'HH WITHOUT COM #5'!$W$52</f>
        <v>0</v>
      </c>
      <c r="X57" s="17">
        <f>'HH WITHOUT COM #5'!$X$52</f>
        <v>0</v>
      </c>
      <c r="Y57" s="257">
        <f t="shared" si="79"/>
        <v>0</v>
      </c>
      <c r="Z57" s="91">
        <f t="shared" si="80"/>
        <v>0</v>
      </c>
      <c r="AA57" s="17">
        <f>'HH WITHOUT COM #6'!$W$52</f>
        <v>0</v>
      </c>
      <c r="AB57" s="17">
        <f>'HH WITHOUT COM #6'!$X$52</f>
        <v>0</v>
      </c>
      <c r="AC57" s="257">
        <f t="shared" si="81"/>
        <v>0</v>
      </c>
      <c r="AD57" s="91">
        <f t="shared" si="82"/>
        <v>0</v>
      </c>
      <c r="AE57" s="17">
        <f>'HH WITHOUT COM #7'!$W$52</f>
        <v>0</v>
      </c>
      <c r="AF57" s="17">
        <f>'HH WITHOUT COM #7'!$X$52</f>
        <v>0</v>
      </c>
      <c r="AG57" s="257">
        <f t="shared" si="83"/>
        <v>0</v>
      </c>
      <c r="AH57" s="373">
        <f t="shared" si="84"/>
        <v>0</v>
      </c>
      <c r="AI57" s="391">
        <f t="shared" si="69"/>
        <v>30</v>
      </c>
      <c r="AJ57" s="17">
        <f t="shared" si="69"/>
        <v>64</v>
      </c>
      <c r="AK57" s="539">
        <f t="shared" si="70"/>
        <v>94</v>
      </c>
      <c r="AL57" s="91">
        <f t="shared" si="85"/>
        <v>0.80341880341880345</v>
      </c>
    </row>
    <row r="58" spans="1:38" ht="16.5" customHeight="1" x14ac:dyDescent="0.25">
      <c r="A58" s="40"/>
      <c r="B58" s="40"/>
      <c r="C58" s="23"/>
      <c r="D58" s="473" t="s">
        <v>379</v>
      </c>
      <c r="E58" s="562" t="s">
        <v>389</v>
      </c>
      <c r="F58" s="105"/>
      <c r="G58" s="17">
        <f>'HH WITHOUT COM #1'!$W$53</f>
        <v>0</v>
      </c>
      <c r="H58" s="17">
        <f>'HH WITHOUT COM #1'!$X$53</f>
        <v>0</v>
      </c>
      <c r="I58" s="257">
        <f t="shared" si="71"/>
        <v>0</v>
      </c>
      <c r="J58" s="91">
        <f t="shared" si="72"/>
        <v>0</v>
      </c>
      <c r="K58" s="17">
        <f>'HH WITHOUT COM #2'!$W$53</f>
        <v>0</v>
      </c>
      <c r="L58" s="17">
        <f>'HH WITHOUT COM #2'!$X$53</f>
        <v>0</v>
      </c>
      <c r="M58" s="257">
        <f t="shared" si="73"/>
        <v>0</v>
      </c>
      <c r="N58" s="91">
        <f t="shared" si="74"/>
        <v>0</v>
      </c>
      <c r="O58" s="17">
        <f>'HH WITHOUT COM #3'!$W$53</f>
        <v>0</v>
      </c>
      <c r="P58" s="17">
        <f>'HH WITHOUT COM #3'!$X$53</f>
        <v>0</v>
      </c>
      <c r="Q58" s="257">
        <f t="shared" si="75"/>
        <v>0</v>
      </c>
      <c r="R58" s="91">
        <f t="shared" si="76"/>
        <v>0</v>
      </c>
      <c r="S58" s="17">
        <f>'HH WITHOUT COM #4'!$W$53</f>
        <v>0</v>
      </c>
      <c r="T58" s="17">
        <f>'HH WITHOUT COM #4'!$X$53</f>
        <v>0</v>
      </c>
      <c r="U58" s="257">
        <f t="shared" si="77"/>
        <v>0</v>
      </c>
      <c r="V58" s="91">
        <f t="shared" si="78"/>
        <v>0</v>
      </c>
      <c r="W58" s="17">
        <f>'HH WITHOUT COM #5'!$W$53</f>
        <v>0</v>
      </c>
      <c r="X58" s="17">
        <f>'HH WITHOUT COM #5'!$X$53</f>
        <v>0</v>
      </c>
      <c r="Y58" s="257">
        <f t="shared" si="79"/>
        <v>0</v>
      </c>
      <c r="Z58" s="91">
        <f t="shared" si="80"/>
        <v>0</v>
      </c>
      <c r="AA58" s="17">
        <f>'HH WITHOUT COM #6'!$W$53</f>
        <v>0</v>
      </c>
      <c r="AB58" s="17">
        <f>'HH WITHOUT COM #6'!$X$53</f>
        <v>0</v>
      </c>
      <c r="AC58" s="257">
        <f t="shared" si="81"/>
        <v>0</v>
      </c>
      <c r="AD58" s="91">
        <f t="shared" si="82"/>
        <v>0</v>
      </c>
      <c r="AE58" s="17">
        <f>'HH WITHOUT COM #7'!$W$53</f>
        <v>0</v>
      </c>
      <c r="AF58" s="17">
        <f>'HH WITHOUT COM #7'!$X$53</f>
        <v>0</v>
      </c>
      <c r="AG58" s="257">
        <f t="shared" si="83"/>
        <v>0</v>
      </c>
      <c r="AH58" s="373">
        <f t="shared" si="84"/>
        <v>0</v>
      </c>
      <c r="AI58" s="391">
        <f t="shared" si="69"/>
        <v>0</v>
      </c>
      <c r="AJ58" s="17">
        <f t="shared" si="69"/>
        <v>0</v>
      </c>
      <c r="AK58" s="539">
        <f t="shared" si="70"/>
        <v>0</v>
      </c>
      <c r="AL58" s="91">
        <f t="shared" si="85"/>
        <v>0</v>
      </c>
    </row>
    <row r="59" spans="1:38" ht="16.5" customHeight="1" x14ac:dyDescent="0.25">
      <c r="A59" s="40"/>
      <c r="B59" s="40"/>
      <c r="C59" s="23"/>
      <c r="D59" s="473" t="s">
        <v>380</v>
      </c>
      <c r="E59" s="562" t="s">
        <v>390</v>
      </c>
      <c r="F59" s="105"/>
      <c r="G59" s="17">
        <f>'HH WITHOUT COM #1'!$W$54</f>
        <v>0</v>
      </c>
      <c r="H59" s="17">
        <f>'HH WITHOUT COM #1'!$X$54</f>
        <v>0</v>
      </c>
      <c r="I59" s="257">
        <f t="shared" si="71"/>
        <v>0</v>
      </c>
      <c r="J59" s="91">
        <f t="shared" si="72"/>
        <v>0</v>
      </c>
      <c r="K59" s="17">
        <f>'HH WITHOUT COM #2'!$W$54</f>
        <v>0</v>
      </c>
      <c r="L59" s="17">
        <f>'HH WITHOUT COM #2'!$X$54</f>
        <v>0</v>
      </c>
      <c r="M59" s="257">
        <f t="shared" si="73"/>
        <v>0</v>
      </c>
      <c r="N59" s="91">
        <f t="shared" si="74"/>
        <v>0</v>
      </c>
      <c r="O59" s="17">
        <f>'HH WITHOUT COM #3'!$W$54</f>
        <v>0</v>
      </c>
      <c r="P59" s="17">
        <f>'HH WITHOUT COM #3'!$X$54</f>
        <v>0</v>
      </c>
      <c r="Q59" s="257">
        <f t="shared" si="75"/>
        <v>0</v>
      </c>
      <c r="R59" s="91">
        <f t="shared" si="76"/>
        <v>0</v>
      </c>
      <c r="S59" s="17">
        <f>'HH WITHOUT COM #4'!$W$54</f>
        <v>0</v>
      </c>
      <c r="T59" s="17">
        <f>'HH WITHOUT COM #4'!$X$54</f>
        <v>0</v>
      </c>
      <c r="U59" s="257">
        <f t="shared" si="77"/>
        <v>0</v>
      </c>
      <c r="V59" s="91">
        <f t="shared" si="78"/>
        <v>0</v>
      </c>
      <c r="W59" s="17">
        <f>'HH WITHOUT COM #5'!$W$54</f>
        <v>0</v>
      </c>
      <c r="X59" s="17">
        <f>'HH WITHOUT COM #5'!$X$54</f>
        <v>0</v>
      </c>
      <c r="Y59" s="257">
        <f t="shared" si="79"/>
        <v>0</v>
      </c>
      <c r="Z59" s="91">
        <f t="shared" si="80"/>
        <v>0</v>
      </c>
      <c r="AA59" s="17">
        <f>'HH WITHOUT COM #6'!$W$54</f>
        <v>0</v>
      </c>
      <c r="AB59" s="17">
        <f>'HH WITHOUT COM #6'!$X$54</f>
        <v>0</v>
      </c>
      <c r="AC59" s="257">
        <f t="shared" si="81"/>
        <v>0</v>
      </c>
      <c r="AD59" s="91">
        <f t="shared" si="82"/>
        <v>0</v>
      </c>
      <c r="AE59" s="17">
        <f>'HH WITHOUT COM #7'!$W$54</f>
        <v>0</v>
      </c>
      <c r="AF59" s="17">
        <f>'HH WITHOUT COM #7'!$X$54</f>
        <v>0</v>
      </c>
      <c r="AG59" s="257">
        <f t="shared" si="83"/>
        <v>0</v>
      </c>
      <c r="AH59" s="373">
        <f t="shared" si="84"/>
        <v>0</v>
      </c>
      <c r="AI59" s="391">
        <f t="shared" si="69"/>
        <v>0</v>
      </c>
      <c r="AJ59" s="17">
        <f t="shared" si="69"/>
        <v>0</v>
      </c>
      <c r="AK59" s="539">
        <f t="shared" si="70"/>
        <v>0</v>
      </c>
      <c r="AL59" s="91">
        <f t="shared" si="85"/>
        <v>0</v>
      </c>
    </row>
    <row r="60" spans="1:38" ht="16.5" customHeight="1" x14ac:dyDescent="0.25">
      <c r="A60" s="40"/>
      <c r="B60" s="40"/>
      <c r="C60" s="23"/>
      <c r="D60" s="473" t="s">
        <v>381</v>
      </c>
      <c r="E60" s="562" t="s">
        <v>536</v>
      </c>
      <c r="F60" s="105"/>
      <c r="G60" s="17">
        <f>'HH WITHOUT COM #1'!$W$55</f>
        <v>2</v>
      </c>
      <c r="H60" s="17">
        <f>'HH WITHOUT COM #1'!$X$55</f>
        <v>15</v>
      </c>
      <c r="I60" s="257">
        <f t="shared" si="71"/>
        <v>17</v>
      </c>
      <c r="J60" s="91">
        <f t="shared" si="72"/>
        <v>0.14529914529914531</v>
      </c>
      <c r="K60" s="17">
        <f>'HH WITHOUT COM #2'!$W$55</f>
        <v>0</v>
      </c>
      <c r="L60" s="17">
        <f>'HH WITHOUT COM #2'!$X$55</f>
        <v>0</v>
      </c>
      <c r="M60" s="257">
        <f t="shared" si="73"/>
        <v>0</v>
      </c>
      <c r="N60" s="91">
        <f t="shared" si="74"/>
        <v>0</v>
      </c>
      <c r="O60" s="17">
        <f>'HH WITHOUT COM #3'!$W$55</f>
        <v>0</v>
      </c>
      <c r="P60" s="17">
        <f>'HH WITHOUT COM #3'!$X$55</f>
        <v>0</v>
      </c>
      <c r="Q60" s="257">
        <f t="shared" si="75"/>
        <v>0</v>
      </c>
      <c r="R60" s="91">
        <f t="shared" si="76"/>
        <v>0</v>
      </c>
      <c r="S60" s="17">
        <f>'HH WITHOUT COM #4'!$W$55</f>
        <v>0</v>
      </c>
      <c r="T60" s="17">
        <f>'HH WITHOUT COM #4'!$X$55</f>
        <v>0</v>
      </c>
      <c r="U60" s="257">
        <f t="shared" si="77"/>
        <v>0</v>
      </c>
      <c r="V60" s="91">
        <f t="shared" si="78"/>
        <v>0</v>
      </c>
      <c r="W60" s="17">
        <f>'HH WITHOUT COM #5'!$W$55</f>
        <v>0</v>
      </c>
      <c r="X60" s="17">
        <f>'HH WITHOUT COM #5'!$X$55</f>
        <v>0</v>
      </c>
      <c r="Y60" s="257">
        <f t="shared" si="79"/>
        <v>0</v>
      </c>
      <c r="Z60" s="91">
        <f t="shared" si="80"/>
        <v>0</v>
      </c>
      <c r="AA60" s="17">
        <f>'HH WITHOUT COM #6'!$W$55</f>
        <v>0</v>
      </c>
      <c r="AB60" s="17">
        <f>'HH WITHOUT COM #6'!$X$55</f>
        <v>0</v>
      </c>
      <c r="AC60" s="257">
        <f t="shared" si="81"/>
        <v>0</v>
      </c>
      <c r="AD60" s="91">
        <f t="shared" si="82"/>
        <v>0</v>
      </c>
      <c r="AE60" s="17">
        <f>'HH WITHOUT COM #7'!$W$55</f>
        <v>0</v>
      </c>
      <c r="AF60" s="17">
        <f>'HH WITHOUT COM #7'!$X$55</f>
        <v>0</v>
      </c>
      <c r="AG60" s="257">
        <f t="shared" si="83"/>
        <v>0</v>
      </c>
      <c r="AH60" s="373">
        <f t="shared" si="84"/>
        <v>0</v>
      </c>
      <c r="AI60" s="391">
        <f t="shared" si="69"/>
        <v>2</v>
      </c>
      <c r="AJ60" s="17">
        <f t="shared" si="69"/>
        <v>15</v>
      </c>
      <c r="AK60" s="539">
        <f t="shared" si="70"/>
        <v>17</v>
      </c>
      <c r="AL60" s="91">
        <f t="shared" si="85"/>
        <v>0.14529914529914531</v>
      </c>
    </row>
    <row r="61" spans="1:38" ht="16.5" customHeight="1" x14ac:dyDescent="0.25">
      <c r="A61" s="40"/>
      <c r="B61" s="40"/>
      <c r="C61" s="23"/>
      <c r="D61" s="473" t="s">
        <v>382</v>
      </c>
      <c r="E61" s="562" t="s">
        <v>391</v>
      </c>
      <c r="F61" s="105"/>
      <c r="G61" s="17">
        <f>'HH WITHOUT COM #1'!$W$56</f>
        <v>0</v>
      </c>
      <c r="H61" s="17">
        <f>'HH WITHOUT COM #1'!$X$56</f>
        <v>0</v>
      </c>
      <c r="I61" s="257">
        <f t="shared" si="71"/>
        <v>0</v>
      </c>
      <c r="J61" s="91">
        <f t="shared" si="72"/>
        <v>0</v>
      </c>
      <c r="K61" s="17">
        <f>'HH WITHOUT COM #2'!$W$56</f>
        <v>0</v>
      </c>
      <c r="L61" s="17">
        <f>'HH WITHOUT COM #2'!$X$56</f>
        <v>0</v>
      </c>
      <c r="M61" s="257">
        <f t="shared" si="73"/>
        <v>0</v>
      </c>
      <c r="N61" s="91">
        <f t="shared" si="74"/>
        <v>0</v>
      </c>
      <c r="O61" s="17">
        <f>'HH WITHOUT COM #3'!$W$56</f>
        <v>0</v>
      </c>
      <c r="P61" s="17">
        <f>'HH WITHOUT COM #3'!$X$56</f>
        <v>0</v>
      </c>
      <c r="Q61" s="257">
        <f t="shared" si="75"/>
        <v>0</v>
      </c>
      <c r="R61" s="91">
        <f t="shared" si="76"/>
        <v>0</v>
      </c>
      <c r="S61" s="17">
        <f>'HH WITHOUT COM #4'!$W$56</f>
        <v>0</v>
      </c>
      <c r="T61" s="17">
        <f>'HH WITHOUT COM #4'!$X$56</f>
        <v>0</v>
      </c>
      <c r="U61" s="257">
        <f t="shared" si="77"/>
        <v>0</v>
      </c>
      <c r="V61" s="91">
        <f t="shared" si="78"/>
        <v>0</v>
      </c>
      <c r="W61" s="17">
        <f>'HH WITHOUT COM #5'!$W$56</f>
        <v>0</v>
      </c>
      <c r="X61" s="17">
        <f>'HH WITHOUT COM #5'!$X$56</f>
        <v>0</v>
      </c>
      <c r="Y61" s="257">
        <f t="shared" si="79"/>
        <v>0</v>
      </c>
      <c r="Z61" s="91">
        <f t="shared" si="80"/>
        <v>0</v>
      </c>
      <c r="AA61" s="17">
        <f>'HH WITHOUT COM #6'!$W$56</f>
        <v>0</v>
      </c>
      <c r="AB61" s="17">
        <f>'HH WITHOUT COM #6'!$X$56</f>
        <v>0</v>
      </c>
      <c r="AC61" s="257">
        <f t="shared" si="81"/>
        <v>0</v>
      </c>
      <c r="AD61" s="91">
        <f t="shared" si="82"/>
        <v>0</v>
      </c>
      <c r="AE61" s="17">
        <f>'HH WITHOUT COM #7'!$W$56</f>
        <v>0</v>
      </c>
      <c r="AF61" s="17">
        <f>'HH WITHOUT COM #7'!$X$56</f>
        <v>0</v>
      </c>
      <c r="AG61" s="257">
        <f t="shared" si="83"/>
        <v>0</v>
      </c>
      <c r="AH61" s="373">
        <f t="shared" si="84"/>
        <v>0</v>
      </c>
      <c r="AI61" s="391">
        <f t="shared" si="69"/>
        <v>0</v>
      </c>
      <c r="AJ61" s="17">
        <f t="shared" si="69"/>
        <v>0</v>
      </c>
      <c r="AK61" s="539">
        <f t="shared" si="70"/>
        <v>0</v>
      </c>
      <c r="AL61" s="91">
        <f t="shared" si="85"/>
        <v>0</v>
      </c>
    </row>
    <row r="62" spans="1:38" ht="16.5" customHeight="1" x14ac:dyDescent="0.25">
      <c r="A62" s="40"/>
      <c r="B62" s="40"/>
      <c r="C62" s="23"/>
      <c r="D62" s="473" t="s">
        <v>383</v>
      </c>
      <c r="E62" s="562" t="s">
        <v>392</v>
      </c>
      <c r="F62" s="105"/>
      <c r="G62" s="17">
        <f>'HH WITHOUT COM #1'!$W$57</f>
        <v>1</v>
      </c>
      <c r="H62" s="17">
        <f>'HH WITHOUT COM #1'!$X$57</f>
        <v>0</v>
      </c>
      <c r="I62" s="257">
        <f t="shared" si="71"/>
        <v>1</v>
      </c>
      <c r="J62" s="91">
        <f t="shared" si="72"/>
        <v>8.5470085470085479E-3</v>
      </c>
      <c r="K62" s="17">
        <f>'HH WITHOUT COM #2'!$W$57</f>
        <v>0</v>
      </c>
      <c r="L62" s="17">
        <f>'HH WITHOUT COM #2'!$X$57</f>
        <v>0</v>
      </c>
      <c r="M62" s="257">
        <f t="shared" si="73"/>
        <v>0</v>
      </c>
      <c r="N62" s="91">
        <f t="shared" si="74"/>
        <v>0</v>
      </c>
      <c r="O62" s="17">
        <f>'HH WITHOUT COM #3'!$W$57</f>
        <v>0</v>
      </c>
      <c r="P62" s="17">
        <f>'HH WITHOUT COM #3'!$X$57</f>
        <v>0</v>
      </c>
      <c r="Q62" s="257">
        <f t="shared" si="75"/>
        <v>0</v>
      </c>
      <c r="R62" s="91">
        <f t="shared" si="76"/>
        <v>0</v>
      </c>
      <c r="S62" s="17">
        <f>'HH WITHOUT COM #4'!$W$57</f>
        <v>0</v>
      </c>
      <c r="T62" s="17">
        <f>'HH WITHOUT COM #4'!$X$57</f>
        <v>0</v>
      </c>
      <c r="U62" s="257">
        <f t="shared" si="77"/>
        <v>0</v>
      </c>
      <c r="V62" s="91">
        <f t="shared" si="78"/>
        <v>0</v>
      </c>
      <c r="W62" s="17">
        <f>'HH WITHOUT COM #5'!$W$57</f>
        <v>0</v>
      </c>
      <c r="X62" s="17">
        <f>'HH WITHOUT COM #5'!$X$57</f>
        <v>0</v>
      </c>
      <c r="Y62" s="257">
        <f t="shared" si="79"/>
        <v>0</v>
      </c>
      <c r="Z62" s="91">
        <f t="shared" si="80"/>
        <v>0</v>
      </c>
      <c r="AA62" s="17">
        <f>'HH WITHOUT COM #6'!$W$57</f>
        <v>0</v>
      </c>
      <c r="AB62" s="17">
        <f>'HH WITHOUT COM #6'!$X$57</f>
        <v>0</v>
      </c>
      <c r="AC62" s="257">
        <f t="shared" si="81"/>
        <v>0</v>
      </c>
      <c r="AD62" s="91">
        <f t="shared" si="82"/>
        <v>0</v>
      </c>
      <c r="AE62" s="17">
        <f>'HH WITHOUT COM #7'!$W$57</f>
        <v>0</v>
      </c>
      <c r="AF62" s="17">
        <f>'HH WITHOUT COM #7'!$X$57</f>
        <v>0</v>
      </c>
      <c r="AG62" s="257">
        <f t="shared" si="83"/>
        <v>0</v>
      </c>
      <c r="AH62" s="373">
        <f t="shared" si="84"/>
        <v>0</v>
      </c>
      <c r="AI62" s="391">
        <f t="shared" si="69"/>
        <v>1</v>
      </c>
      <c r="AJ62" s="17">
        <f t="shared" si="69"/>
        <v>0</v>
      </c>
      <c r="AK62" s="539">
        <f t="shared" si="70"/>
        <v>1</v>
      </c>
      <c r="AL62" s="91">
        <f t="shared" si="85"/>
        <v>8.5470085470085479E-3</v>
      </c>
    </row>
    <row r="63" spans="1:38" ht="16.5" customHeight="1" x14ac:dyDescent="0.25">
      <c r="A63" s="40"/>
      <c r="B63" s="179"/>
      <c r="C63" s="40"/>
      <c r="D63" s="78"/>
      <c r="E63" s="78"/>
      <c r="F63" s="184"/>
      <c r="G63" s="82">
        <f>SUM(G49:G62)</f>
        <v>35</v>
      </c>
      <c r="H63" s="82">
        <f t="shared" ref="H63:I63" si="86">SUM(H49:H62)</f>
        <v>82</v>
      </c>
      <c r="I63" s="82">
        <f t="shared" si="86"/>
        <v>117</v>
      </c>
      <c r="J63" s="66">
        <f t="shared" si="72"/>
        <v>1</v>
      </c>
      <c r="K63" s="82">
        <f>SUM(K49:K62)</f>
        <v>0</v>
      </c>
      <c r="L63" s="82">
        <f t="shared" ref="L63:M63" si="87">SUM(L49:L62)</f>
        <v>0</v>
      </c>
      <c r="M63" s="82">
        <f t="shared" si="87"/>
        <v>0</v>
      </c>
      <c r="N63" s="66">
        <f t="shared" si="74"/>
        <v>0</v>
      </c>
      <c r="O63" s="82">
        <f>SUM(O49:O62)</f>
        <v>0</v>
      </c>
      <c r="P63" s="82">
        <f t="shared" ref="P63:Q63" si="88">SUM(P49:P62)</f>
        <v>0</v>
      </c>
      <c r="Q63" s="82">
        <f t="shared" si="88"/>
        <v>0</v>
      </c>
      <c r="R63" s="66">
        <f t="shared" si="76"/>
        <v>0</v>
      </c>
      <c r="S63" s="82">
        <f>SUM(S49:S62)</f>
        <v>0</v>
      </c>
      <c r="T63" s="82">
        <f t="shared" ref="T63:U63" si="89">SUM(T49:T62)</f>
        <v>0</v>
      </c>
      <c r="U63" s="82">
        <f t="shared" si="89"/>
        <v>0</v>
      </c>
      <c r="V63" s="66">
        <f t="shared" si="78"/>
        <v>0</v>
      </c>
      <c r="W63" s="82">
        <f>SUM(W49:W62)</f>
        <v>0</v>
      </c>
      <c r="X63" s="82">
        <f t="shared" ref="X63:Y63" si="90">SUM(X49:X62)</f>
        <v>0</v>
      </c>
      <c r="Y63" s="82">
        <f t="shared" si="90"/>
        <v>0</v>
      </c>
      <c r="Z63" s="66">
        <f t="shared" si="80"/>
        <v>0</v>
      </c>
      <c r="AA63" s="82">
        <f>SUM(AA49:AA62)</f>
        <v>0</v>
      </c>
      <c r="AB63" s="82">
        <f t="shared" ref="AB63:AC63" si="91">SUM(AB49:AB62)</f>
        <v>0</v>
      </c>
      <c r="AC63" s="82">
        <f t="shared" si="91"/>
        <v>0</v>
      </c>
      <c r="AD63" s="66">
        <f t="shared" si="82"/>
        <v>0</v>
      </c>
      <c r="AE63" s="82">
        <f>SUM(AE49:AE62)</f>
        <v>0</v>
      </c>
      <c r="AF63" s="82">
        <f t="shared" ref="AF63:AG63" si="92">SUM(AF49:AF62)</f>
        <v>0</v>
      </c>
      <c r="AG63" s="82">
        <f t="shared" si="92"/>
        <v>0</v>
      </c>
      <c r="AH63" s="608">
        <f t="shared" si="84"/>
        <v>0</v>
      </c>
      <c r="AI63" s="381">
        <f>SUM(AI49:AI62)</f>
        <v>35</v>
      </c>
      <c r="AJ63" s="82">
        <f t="shared" ref="AJ63:AK63" si="93">SUM(AJ49:AJ62)</f>
        <v>82</v>
      </c>
      <c r="AK63" s="82">
        <f t="shared" si="93"/>
        <v>117</v>
      </c>
      <c r="AL63" s="66">
        <f t="shared" si="85"/>
        <v>1</v>
      </c>
    </row>
    <row r="64" spans="1:38" s="117" customFormat="1" ht="16.5" customHeight="1" x14ac:dyDescent="0.25">
      <c r="A64" s="119"/>
      <c r="B64" s="102"/>
      <c r="C64" s="103" t="s">
        <v>33</v>
      </c>
      <c r="D64" s="110" t="s">
        <v>736</v>
      </c>
      <c r="E64" s="108"/>
      <c r="F64" s="108"/>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358"/>
      <c r="AI64" s="380"/>
      <c r="AJ64" s="111"/>
      <c r="AK64" s="111"/>
      <c r="AL64" s="111"/>
    </row>
    <row r="65" spans="1:38" s="117" customFormat="1" ht="16.5" customHeight="1" x14ac:dyDescent="0.25">
      <c r="A65" s="119"/>
      <c r="B65" s="23"/>
      <c r="C65" s="23"/>
      <c r="D65" s="473" t="s">
        <v>34</v>
      </c>
      <c r="E65" s="105" t="s">
        <v>26</v>
      </c>
      <c r="F65" s="105"/>
      <c r="G65" s="17">
        <f>'HH WITHOUT COM #1'!$W$61</f>
        <v>2</v>
      </c>
      <c r="H65" s="17">
        <f>'HH WITHOUT COM #1'!$X$61</f>
        <v>1</v>
      </c>
      <c r="I65" s="539">
        <f>SUM(G65:H65)</f>
        <v>3</v>
      </c>
      <c r="J65" s="91">
        <f>IF(I$69=0,0,I65/I$69)</f>
        <v>0.6</v>
      </c>
      <c r="K65" s="17">
        <f>'HH WITHOUT COM #2'!$W$61</f>
        <v>6</v>
      </c>
      <c r="L65" s="17">
        <f>'HH WITHOUT COM #2'!$X$61</f>
        <v>4</v>
      </c>
      <c r="M65" s="539">
        <f>SUM(K65:L65)</f>
        <v>10</v>
      </c>
      <c r="N65" s="91">
        <f>IF(M$69=0,0,M65/M$69)</f>
        <v>0.625</v>
      </c>
      <c r="O65" s="17">
        <f>'HH WITHOUT COM #3'!$W$61</f>
        <v>4</v>
      </c>
      <c r="P65" s="17">
        <f>'HH WITHOUT COM #3'!$X$61</f>
        <v>7</v>
      </c>
      <c r="Q65" s="539">
        <f>SUM(O65:P65)</f>
        <v>11</v>
      </c>
      <c r="R65" s="91">
        <f>IF(Q$69=0,0,Q65/Q$69)</f>
        <v>1</v>
      </c>
      <c r="S65" s="17">
        <f>'HH WITHOUT COM #4'!$W$61</f>
        <v>0</v>
      </c>
      <c r="T65" s="17">
        <f>'HH WITHOUT COM #4'!$X$61</f>
        <v>0</v>
      </c>
      <c r="U65" s="539">
        <f>SUM(S65:T65)</f>
        <v>0</v>
      </c>
      <c r="V65" s="91">
        <f>IF(U$69=0,0,U65/U$69)</f>
        <v>0</v>
      </c>
      <c r="W65" s="17">
        <f>'HH WITHOUT COM #5'!$W$61</f>
        <v>13</v>
      </c>
      <c r="X65" s="17">
        <f>'HH WITHOUT COM #5'!$X$61</f>
        <v>10</v>
      </c>
      <c r="Y65" s="539">
        <f>SUM(W65:X65)</f>
        <v>23</v>
      </c>
      <c r="Z65" s="91">
        <f>IF(Y$69=0,0,Y65/Y$69)</f>
        <v>0.8214285714285714</v>
      </c>
      <c r="AA65" s="17">
        <f>'HH WITHOUT COM #6'!$W$61</f>
        <v>0</v>
      </c>
      <c r="AB65" s="17">
        <f>'HH WITHOUT COM #6'!$X$61</f>
        <v>1</v>
      </c>
      <c r="AC65" s="539">
        <f>SUM(AA65:AB65)</f>
        <v>1</v>
      </c>
      <c r="AD65" s="91">
        <f>IF(AC$69=0,0,AC65/AC$69)</f>
        <v>6.6666666666666666E-2</v>
      </c>
      <c r="AE65" s="17">
        <f>'HH WITHOUT COM #7'!$W$61</f>
        <v>0</v>
      </c>
      <c r="AF65" s="17">
        <f>'HH WITHOUT COM #7'!$X$61</f>
        <v>0</v>
      </c>
      <c r="AG65" s="539">
        <f>SUM(AE65:AF65)</f>
        <v>0</v>
      </c>
      <c r="AH65" s="373">
        <f>IF(AG$69=0,0,AG65/AG$69)</f>
        <v>0</v>
      </c>
      <c r="AI65" s="391">
        <f t="shared" ref="AI65:AJ68" si="94">G65+K65+O65+S65+W65+AA65+AE65</f>
        <v>25</v>
      </c>
      <c r="AJ65" s="17">
        <f t="shared" si="94"/>
        <v>23</v>
      </c>
      <c r="AK65" s="539">
        <f>SUM(AI65:AJ65)</f>
        <v>48</v>
      </c>
      <c r="AL65" s="91">
        <f>IF(AK$69=0,0,AK65/AK$69)</f>
        <v>0.58536585365853655</v>
      </c>
    </row>
    <row r="66" spans="1:38" s="117" customFormat="1" ht="16.5" customHeight="1" x14ac:dyDescent="0.25">
      <c r="A66" s="119"/>
      <c r="B66" s="23"/>
      <c r="C66" s="23"/>
      <c r="D66" s="473" t="s">
        <v>36</v>
      </c>
      <c r="E66" s="105" t="s">
        <v>28</v>
      </c>
      <c r="F66" s="105"/>
      <c r="G66" s="17">
        <f>'HH WITHOUT COM #1'!$W$62</f>
        <v>0</v>
      </c>
      <c r="H66" s="17">
        <f>'HH WITHOUT COM #1'!$X$62</f>
        <v>0</v>
      </c>
      <c r="I66" s="539">
        <f>SUM(G66:H66)</f>
        <v>0</v>
      </c>
      <c r="J66" s="91">
        <f>IF(I$69=0,0,I66/I$69)</f>
        <v>0</v>
      </c>
      <c r="K66" s="17">
        <f>'HH WITHOUT COM #2'!$W$62</f>
        <v>1</v>
      </c>
      <c r="L66" s="17">
        <f>'HH WITHOUT COM #2'!$X$62</f>
        <v>3</v>
      </c>
      <c r="M66" s="539">
        <f>SUM(K66:L66)</f>
        <v>4</v>
      </c>
      <c r="N66" s="91">
        <f>IF(M$69=0,0,M66/M$69)</f>
        <v>0.25</v>
      </c>
      <c r="O66" s="17">
        <f>'HH WITHOUT COM #3'!$W$62</f>
        <v>0</v>
      </c>
      <c r="P66" s="17">
        <f>'HH WITHOUT COM #3'!$X$62</f>
        <v>0</v>
      </c>
      <c r="Q66" s="539">
        <f>SUM(O66:P66)</f>
        <v>0</v>
      </c>
      <c r="R66" s="91">
        <f>IF(Q$69=0,0,Q66/Q$69)</f>
        <v>0</v>
      </c>
      <c r="S66" s="17">
        <f>'HH WITHOUT COM #4'!$W$62</f>
        <v>0</v>
      </c>
      <c r="T66" s="17">
        <f>'HH WITHOUT COM #4'!$X$62</f>
        <v>0</v>
      </c>
      <c r="U66" s="539">
        <f>SUM(S66:T66)</f>
        <v>0</v>
      </c>
      <c r="V66" s="91">
        <f>IF(U$69=0,0,U66/U$69)</f>
        <v>0</v>
      </c>
      <c r="W66" s="17">
        <f>'HH WITHOUT COM #5'!$W$62</f>
        <v>2</v>
      </c>
      <c r="X66" s="17">
        <f>'HH WITHOUT COM #5'!$X$62</f>
        <v>3</v>
      </c>
      <c r="Y66" s="539">
        <f>SUM(W66:X66)</f>
        <v>5</v>
      </c>
      <c r="Z66" s="91">
        <f>IF(Y$69=0,0,Y66/Y$69)</f>
        <v>0.17857142857142858</v>
      </c>
      <c r="AA66" s="17">
        <f>'HH WITHOUT COM #6'!$W$62</f>
        <v>1</v>
      </c>
      <c r="AB66" s="17">
        <f>'HH WITHOUT COM #6'!$X$62</f>
        <v>8</v>
      </c>
      <c r="AC66" s="539">
        <f>SUM(AA66:AB66)</f>
        <v>9</v>
      </c>
      <c r="AD66" s="91">
        <f>IF(AC$69=0,0,AC66/AC$69)</f>
        <v>0.6</v>
      </c>
      <c r="AE66" s="17">
        <f>'HH WITHOUT COM #7'!$W$62</f>
        <v>0</v>
      </c>
      <c r="AF66" s="17">
        <f>'HH WITHOUT COM #7'!$X$62</f>
        <v>0</v>
      </c>
      <c r="AG66" s="539">
        <f>SUM(AE66:AF66)</f>
        <v>0</v>
      </c>
      <c r="AH66" s="373">
        <f>IF(AG$69=0,0,AG66/AG$69)</f>
        <v>0</v>
      </c>
      <c r="AI66" s="391">
        <f t="shared" si="94"/>
        <v>4</v>
      </c>
      <c r="AJ66" s="17">
        <f t="shared" si="94"/>
        <v>14</v>
      </c>
      <c r="AK66" s="539">
        <f>SUM(AI66:AJ66)</f>
        <v>18</v>
      </c>
      <c r="AL66" s="91">
        <f>IF(AK$69=0,0,AK66/AK$69)</f>
        <v>0.21951219512195122</v>
      </c>
    </row>
    <row r="67" spans="1:38" s="117" customFormat="1" ht="16.5" customHeight="1" x14ac:dyDescent="0.25">
      <c r="A67" s="119"/>
      <c r="B67" s="23"/>
      <c r="C67" s="23"/>
      <c r="D67" s="473" t="s">
        <v>38</v>
      </c>
      <c r="E67" s="105" t="s">
        <v>30</v>
      </c>
      <c r="F67" s="105"/>
      <c r="G67" s="17">
        <f>'HH WITHOUT COM #1'!$W$63</f>
        <v>0</v>
      </c>
      <c r="H67" s="17">
        <f>'HH WITHOUT COM #1'!$X$63</f>
        <v>2</v>
      </c>
      <c r="I67" s="539">
        <f>SUM(G67:H67)</f>
        <v>2</v>
      </c>
      <c r="J67" s="91">
        <f>IF(I$69=0,0,I67/I$69)</f>
        <v>0.4</v>
      </c>
      <c r="K67" s="17">
        <f>'HH WITHOUT COM #2'!$W$63</f>
        <v>2</v>
      </c>
      <c r="L67" s="17">
        <f>'HH WITHOUT COM #2'!$X$63</f>
        <v>0</v>
      </c>
      <c r="M67" s="539">
        <f>SUM(K67:L67)</f>
        <v>2</v>
      </c>
      <c r="N67" s="91">
        <f>IF(M$69=0,0,M67/M$69)</f>
        <v>0.125</v>
      </c>
      <c r="O67" s="17">
        <f>'HH WITHOUT COM #3'!$W$63</f>
        <v>0</v>
      </c>
      <c r="P67" s="17">
        <f>'HH WITHOUT COM #3'!$X$63</f>
        <v>0</v>
      </c>
      <c r="Q67" s="539">
        <f>SUM(O67:P67)</f>
        <v>0</v>
      </c>
      <c r="R67" s="91">
        <f>IF(Q$69=0,0,Q67/Q$69)</f>
        <v>0</v>
      </c>
      <c r="S67" s="17">
        <f>'HH WITHOUT COM #4'!$W$63</f>
        <v>0</v>
      </c>
      <c r="T67" s="17">
        <f>'HH WITHOUT COM #4'!$X$63</f>
        <v>7</v>
      </c>
      <c r="U67" s="539">
        <f>SUM(S67:T67)</f>
        <v>7</v>
      </c>
      <c r="V67" s="91">
        <f>IF(U$69=0,0,U67/U$69)</f>
        <v>1</v>
      </c>
      <c r="W67" s="17">
        <f>'HH WITHOUT COM #5'!$W$63</f>
        <v>0</v>
      </c>
      <c r="X67" s="17">
        <f>'HH WITHOUT COM #5'!$X$63</f>
        <v>0</v>
      </c>
      <c r="Y67" s="539">
        <f>SUM(W67:X67)</f>
        <v>0</v>
      </c>
      <c r="Z67" s="91">
        <f>IF(Y$69=0,0,Y67/Y$69)</f>
        <v>0</v>
      </c>
      <c r="AA67" s="17">
        <f>'HH WITHOUT COM #6'!$W$63</f>
        <v>1</v>
      </c>
      <c r="AB67" s="17">
        <f>'HH WITHOUT COM #6'!$X$63</f>
        <v>4</v>
      </c>
      <c r="AC67" s="539">
        <f>SUM(AA67:AB67)</f>
        <v>5</v>
      </c>
      <c r="AD67" s="91">
        <f>IF(AC$69=0,0,AC67/AC$69)</f>
        <v>0.33333333333333331</v>
      </c>
      <c r="AE67" s="17">
        <f>'HH WITHOUT COM #7'!$W$63</f>
        <v>0</v>
      </c>
      <c r="AF67" s="17">
        <f>'HH WITHOUT COM #7'!$X$63</f>
        <v>0</v>
      </c>
      <c r="AG67" s="539">
        <f>SUM(AE67:AF67)</f>
        <v>0</v>
      </c>
      <c r="AH67" s="373">
        <f>IF(AG$69=0,0,AG67/AG$69)</f>
        <v>0</v>
      </c>
      <c r="AI67" s="391">
        <f t="shared" si="94"/>
        <v>3</v>
      </c>
      <c r="AJ67" s="17">
        <f t="shared" si="94"/>
        <v>13</v>
      </c>
      <c r="AK67" s="539">
        <f>SUM(AI67:AJ67)</f>
        <v>16</v>
      </c>
      <c r="AL67" s="91">
        <f>IF(AK$69=0,0,AK67/AK$69)</f>
        <v>0.1951219512195122</v>
      </c>
    </row>
    <row r="68" spans="1:38" s="117" customFormat="1" ht="16.5" customHeight="1" x14ac:dyDescent="0.25">
      <c r="A68" s="119"/>
      <c r="B68" s="23"/>
      <c r="C68" s="23"/>
      <c r="D68" s="473" t="s">
        <v>40</v>
      </c>
      <c r="E68" s="105" t="s">
        <v>32</v>
      </c>
      <c r="F68" s="105"/>
      <c r="G68" s="17">
        <f>'HH WITHOUT COM #1'!$W$64</f>
        <v>0</v>
      </c>
      <c r="H68" s="17">
        <f>'HH WITHOUT COM #1'!$X$64</f>
        <v>0</v>
      </c>
      <c r="I68" s="539">
        <f>SUM(G68:H68)</f>
        <v>0</v>
      </c>
      <c r="J68" s="91">
        <f>IF(I$69=0,0,I68/I$69)</f>
        <v>0</v>
      </c>
      <c r="K68" s="17">
        <f>'HH WITHOUT COM #2'!$W$64</f>
        <v>0</v>
      </c>
      <c r="L68" s="17">
        <f>'HH WITHOUT COM #2'!$X$64</f>
        <v>0</v>
      </c>
      <c r="M68" s="539">
        <f>SUM(K68:L68)</f>
        <v>0</v>
      </c>
      <c r="N68" s="91">
        <f>IF(M$69=0,0,M68/M$69)</f>
        <v>0</v>
      </c>
      <c r="O68" s="17">
        <f>'HH WITHOUT COM #3'!$W$64</f>
        <v>0</v>
      </c>
      <c r="P68" s="17">
        <f>'HH WITHOUT COM #3'!$X$64</f>
        <v>0</v>
      </c>
      <c r="Q68" s="539">
        <f>SUM(O68:P68)</f>
        <v>0</v>
      </c>
      <c r="R68" s="91">
        <f>IF(Q$69=0,0,Q68/Q$69)</f>
        <v>0</v>
      </c>
      <c r="S68" s="17">
        <f>'HH WITHOUT COM #4'!$W$64</f>
        <v>0</v>
      </c>
      <c r="T68" s="17">
        <f>'HH WITHOUT COM #4'!$X$64</f>
        <v>0</v>
      </c>
      <c r="U68" s="539">
        <f>SUM(S68:T68)</f>
        <v>0</v>
      </c>
      <c r="V68" s="91">
        <f>IF(U$69=0,0,U68/U$69)</f>
        <v>0</v>
      </c>
      <c r="W68" s="17">
        <f>'HH WITHOUT COM #5'!$W$64</f>
        <v>0</v>
      </c>
      <c r="X68" s="17">
        <f>'HH WITHOUT COM #5'!$X$64</f>
        <v>0</v>
      </c>
      <c r="Y68" s="539">
        <f>SUM(W68:X68)</f>
        <v>0</v>
      </c>
      <c r="Z68" s="91">
        <f>IF(Y$69=0,0,Y68/Y$69)</f>
        <v>0</v>
      </c>
      <c r="AA68" s="17">
        <f>'HH WITHOUT COM #6'!$W$64</f>
        <v>0</v>
      </c>
      <c r="AB68" s="17">
        <f>'HH WITHOUT COM #6'!$X$64</f>
        <v>0</v>
      </c>
      <c r="AC68" s="539">
        <f>SUM(AA68:AB68)</f>
        <v>0</v>
      </c>
      <c r="AD68" s="91">
        <f>IF(AC$69=0,0,AC68/AC$69)</f>
        <v>0</v>
      </c>
      <c r="AE68" s="17">
        <f>'HH WITHOUT COM #7'!$W$64</f>
        <v>0</v>
      </c>
      <c r="AF68" s="17">
        <f>'HH WITHOUT COM #7'!$X$64</f>
        <v>0</v>
      </c>
      <c r="AG68" s="539">
        <f>SUM(AE68:AF68)</f>
        <v>0</v>
      </c>
      <c r="AH68" s="373">
        <f>IF(AG$69=0,0,AG68/AG$69)</f>
        <v>0</v>
      </c>
      <c r="AI68" s="391">
        <f t="shared" si="94"/>
        <v>0</v>
      </c>
      <c r="AJ68" s="17">
        <f t="shared" si="94"/>
        <v>0</v>
      </c>
      <c r="AK68" s="539">
        <f>SUM(AI68:AJ68)</f>
        <v>0</v>
      </c>
      <c r="AL68" s="91">
        <f>IF(AK$69=0,0,AK68/AK$69)</f>
        <v>0</v>
      </c>
    </row>
    <row r="69" spans="1:38" s="117" customFormat="1" ht="16.5" customHeight="1" x14ac:dyDescent="0.25">
      <c r="A69" s="119"/>
      <c r="B69" s="119"/>
      <c r="C69" s="119"/>
      <c r="D69" s="185"/>
      <c r="E69" s="184"/>
      <c r="F69" s="469"/>
      <c r="G69" s="82">
        <f>SUM(G65:G68)</f>
        <v>2</v>
      </c>
      <c r="H69" s="82">
        <f>SUM(H65:H68)</f>
        <v>3</v>
      </c>
      <c r="I69" s="82">
        <f>SUM(I65:I68)</f>
        <v>5</v>
      </c>
      <c r="J69" s="66">
        <f>IF(I$69=0,0,I69/I$69)</f>
        <v>1</v>
      </c>
      <c r="K69" s="82">
        <f>SUM(K65:K68)</f>
        <v>9</v>
      </c>
      <c r="L69" s="82">
        <f>SUM(L65:L68)</f>
        <v>7</v>
      </c>
      <c r="M69" s="82">
        <f>SUM(M65:M68)</f>
        <v>16</v>
      </c>
      <c r="N69" s="66">
        <f>IF(M$69=0,0,M69/M$69)</f>
        <v>1</v>
      </c>
      <c r="O69" s="82">
        <f>SUM(O65:O68)</f>
        <v>4</v>
      </c>
      <c r="P69" s="82">
        <f>SUM(P65:P68)</f>
        <v>7</v>
      </c>
      <c r="Q69" s="82">
        <f>SUM(Q65:Q68)</f>
        <v>11</v>
      </c>
      <c r="R69" s="66">
        <f>IF(Q$69=0,0,Q69/Q$69)</f>
        <v>1</v>
      </c>
      <c r="S69" s="82">
        <f>SUM(S65:S68)</f>
        <v>0</v>
      </c>
      <c r="T69" s="82">
        <f>SUM(T65:T68)</f>
        <v>7</v>
      </c>
      <c r="U69" s="82">
        <f>SUM(U65:U68)</f>
        <v>7</v>
      </c>
      <c r="V69" s="66">
        <f>IF(U$69=0,0,U69/U$69)</f>
        <v>1</v>
      </c>
      <c r="W69" s="82">
        <f>SUM(W65:W68)</f>
        <v>15</v>
      </c>
      <c r="X69" s="82">
        <f>SUM(X65:X68)</f>
        <v>13</v>
      </c>
      <c r="Y69" s="82">
        <f>SUM(Y65:Y68)</f>
        <v>28</v>
      </c>
      <c r="Z69" s="66">
        <f>IF(Y$69=0,0,Y69/Y$69)</f>
        <v>1</v>
      </c>
      <c r="AA69" s="82">
        <f>SUM(AA65:AA68)</f>
        <v>2</v>
      </c>
      <c r="AB69" s="82">
        <f>SUM(AB65:AB68)</f>
        <v>13</v>
      </c>
      <c r="AC69" s="82">
        <f>SUM(AC65:AC68)</f>
        <v>15</v>
      </c>
      <c r="AD69" s="66">
        <f>IF(AC$69=0,0,AC69/AC$69)</f>
        <v>1</v>
      </c>
      <c r="AE69" s="82">
        <f>SUM(AE65:AE68)</f>
        <v>0</v>
      </c>
      <c r="AF69" s="82">
        <f>SUM(AF65:AF68)</f>
        <v>0</v>
      </c>
      <c r="AG69" s="82">
        <f>SUM(AG65:AG68)</f>
        <v>0</v>
      </c>
      <c r="AH69" s="608">
        <f>IF(AG$69=0,0,AG69/AG$69)</f>
        <v>0</v>
      </c>
      <c r="AI69" s="381">
        <f>SUM(AI65:AI68)</f>
        <v>32</v>
      </c>
      <c r="AJ69" s="82">
        <f>SUM(AJ65:AJ68)</f>
        <v>50</v>
      </c>
      <c r="AK69" s="82">
        <f>SUM(AK65:AK68)</f>
        <v>82</v>
      </c>
      <c r="AL69" s="66">
        <f>IF(AK$69=0,0,AK69/AK$69)</f>
        <v>1</v>
      </c>
    </row>
    <row r="70" spans="1:38" s="117" customFormat="1" ht="16.5" customHeight="1" x14ac:dyDescent="0.25">
      <c r="A70" s="119"/>
      <c r="B70" s="119"/>
      <c r="C70" s="103" t="s">
        <v>393</v>
      </c>
      <c r="D70" s="110" t="s">
        <v>737</v>
      </c>
      <c r="E70" s="108"/>
      <c r="F70" s="108"/>
      <c r="G70" s="545"/>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364"/>
      <c r="AI70" s="385"/>
      <c r="AJ70" s="545"/>
      <c r="AK70" s="545"/>
      <c r="AL70" s="545"/>
    </row>
    <row r="71" spans="1:38" s="117" customFormat="1" ht="16.5" customHeight="1" x14ac:dyDescent="0.25">
      <c r="A71" s="119"/>
      <c r="B71" s="119"/>
      <c r="C71" s="118"/>
      <c r="D71" s="474" t="s">
        <v>394</v>
      </c>
      <c r="E71" s="475" t="s">
        <v>35</v>
      </c>
      <c r="F71" s="475"/>
      <c r="G71" s="17">
        <f>'HH WITHOUT COM #1'!$W$68</f>
        <v>0</v>
      </c>
      <c r="H71" s="17">
        <f>'HH WITHOUT COM #1'!$X$68</f>
        <v>0</v>
      </c>
      <c r="I71" s="539">
        <f>SUM(G71:H71)</f>
        <v>0</v>
      </c>
      <c r="J71" s="91">
        <f t="shared" ref="J71:J76" si="95">IF(I$76=0,0,I71/I$76)</f>
        <v>0</v>
      </c>
      <c r="K71" s="17">
        <f>'HH WITHOUT COM #2'!$W$68</f>
        <v>9</v>
      </c>
      <c r="L71" s="17">
        <f>'HH WITHOUT COM #2'!$X$68</f>
        <v>7</v>
      </c>
      <c r="M71" s="539">
        <f>SUM(K71:L71)</f>
        <v>16</v>
      </c>
      <c r="N71" s="91">
        <f t="shared" ref="N71:N76" si="96">IF(M$76=0,0,M71/M$76)</f>
        <v>1</v>
      </c>
      <c r="O71" s="17">
        <f>'HH WITHOUT COM #3'!$W$68</f>
        <v>4</v>
      </c>
      <c r="P71" s="17">
        <f>'HH WITHOUT COM #3'!$X$68</f>
        <v>7</v>
      </c>
      <c r="Q71" s="539">
        <f>SUM(O71:P71)</f>
        <v>11</v>
      </c>
      <c r="R71" s="91">
        <f t="shared" ref="R71:R76" si="97">IF(Q$76=0,0,Q71/Q$76)</f>
        <v>1</v>
      </c>
      <c r="S71" s="17">
        <f>'HH WITHOUT COM #4'!$W$68</f>
        <v>0</v>
      </c>
      <c r="T71" s="17">
        <f>'HH WITHOUT COM #4'!$X$68</f>
        <v>7</v>
      </c>
      <c r="U71" s="539">
        <f>SUM(S71:T71)</f>
        <v>7</v>
      </c>
      <c r="V71" s="91">
        <f t="shared" ref="V71:V76" si="98">IF(U$76=0,0,U71/U$76)</f>
        <v>1</v>
      </c>
      <c r="W71" s="17">
        <f>'HH WITHOUT COM #5'!$W$68</f>
        <v>15</v>
      </c>
      <c r="X71" s="17">
        <f>'HH WITHOUT COM #5'!$X$68</f>
        <v>13</v>
      </c>
      <c r="Y71" s="539">
        <f>SUM(W71:X71)</f>
        <v>28</v>
      </c>
      <c r="Z71" s="91">
        <f t="shared" ref="Z71:Z76" si="99">IF(Y$76=0,0,Y71/Y$76)</f>
        <v>1</v>
      </c>
      <c r="AA71" s="17">
        <f>'HH WITHOUT COM #6'!$W$68</f>
        <v>2</v>
      </c>
      <c r="AB71" s="17">
        <f>'HH WITHOUT COM #6'!$X$68</f>
        <v>13</v>
      </c>
      <c r="AC71" s="539">
        <f>SUM(AA71:AB71)</f>
        <v>15</v>
      </c>
      <c r="AD71" s="91">
        <f t="shared" ref="AD71:AD76" si="100">IF(AC$76=0,0,AC71/AC$76)</f>
        <v>1</v>
      </c>
      <c r="AE71" s="17">
        <f>'HH WITHOUT COM #7'!$W$68</f>
        <v>0</v>
      </c>
      <c r="AF71" s="17">
        <f>'HH WITHOUT COM #7'!$X$68</f>
        <v>0</v>
      </c>
      <c r="AG71" s="539">
        <f>SUM(AE71:AF71)</f>
        <v>0</v>
      </c>
      <c r="AH71" s="373">
        <f t="shared" ref="AH71:AH76" si="101">IF(AG$76=0,0,AG71/AG$76)</f>
        <v>0</v>
      </c>
      <c r="AI71" s="391">
        <f t="shared" ref="AI71:AJ75" si="102">G71+K71+O71+S71+W71+AA71+AE71</f>
        <v>30</v>
      </c>
      <c r="AJ71" s="17">
        <f t="shared" si="102"/>
        <v>47</v>
      </c>
      <c r="AK71" s="539">
        <f>SUM(AI71:AJ71)</f>
        <v>77</v>
      </c>
      <c r="AL71" s="91">
        <f t="shared" ref="AL71:AL76" si="103">IF(AK$76=0,0,AK71/AK$76)</f>
        <v>0.93902439024390238</v>
      </c>
    </row>
    <row r="72" spans="1:38" s="117" customFormat="1" ht="16.5" customHeight="1" x14ac:dyDescent="0.25">
      <c r="A72" s="119"/>
      <c r="B72" s="119"/>
      <c r="C72" s="118"/>
      <c r="D72" s="474" t="s">
        <v>395</v>
      </c>
      <c r="E72" s="475" t="s">
        <v>37</v>
      </c>
      <c r="F72" s="475"/>
      <c r="G72" s="17">
        <f>'HH WITHOUT COM #1'!$W$69</f>
        <v>2</v>
      </c>
      <c r="H72" s="17">
        <f>'HH WITHOUT COM #1'!$X$69</f>
        <v>3</v>
      </c>
      <c r="I72" s="539">
        <f>SUM(G72:H72)</f>
        <v>5</v>
      </c>
      <c r="J72" s="91">
        <f t="shared" si="95"/>
        <v>1</v>
      </c>
      <c r="K72" s="17">
        <f>'HH WITHOUT COM #2'!$W$69</f>
        <v>0</v>
      </c>
      <c r="L72" s="17">
        <f>'HH WITHOUT COM #2'!$X$69</f>
        <v>0</v>
      </c>
      <c r="M72" s="539">
        <f>SUM(K72:L72)</f>
        <v>0</v>
      </c>
      <c r="N72" s="91">
        <f t="shared" si="96"/>
        <v>0</v>
      </c>
      <c r="O72" s="17">
        <f>'HH WITHOUT COM #3'!$W$69</f>
        <v>0</v>
      </c>
      <c r="P72" s="17">
        <f>'HH WITHOUT COM #3'!$X$69</f>
        <v>0</v>
      </c>
      <c r="Q72" s="539">
        <f>SUM(O72:P72)</f>
        <v>0</v>
      </c>
      <c r="R72" s="91">
        <f t="shared" si="97"/>
        <v>0</v>
      </c>
      <c r="S72" s="17">
        <f>'HH WITHOUT COM #4'!$W$69</f>
        <v>0</v>
      </c>
      <c r="T72" s="17">
        <f>'HH WITHOUT COM #4'!$X$69</f>
        <v>0</v>
      </c>
      <c r="U72" s="539">
        <f>SUM(S72:T72)</f>
        <v>0</v>
      </c>
      <c r="V72" s="91">
        <f t="shared" si="98"/>
        <v>0</v>
      </c>
      <c r="W72" s="17">
        <f>'HH WITHOUT COM #5'!$W$69</f>
        <v>0</v>
      </c>
      <c r="X72" s="17">
        <f>'HH WITHOUT COM #5'!$X$69</f>
        <v>0</v>
      </c>
      <c r="Y72" s="539">
        <f>SUM(W72:X72)</f>
        <v>0</v>
      </c>
      <c r="Z72" s="91">
        <f t="shared" si="99"/>
        <v>0</v>
      </c>
      <c r="AA72" s="17">
        <f>'HH WITHOUT COM #6'!$W$69</f>
        <v>0</v>
      </c>
      <c r="AB72" s="17">
        <f>'HH WITHOUT COM #6'!$X$69</f>
        <v>0</v>
      </c>
      <c r="AC72" s="539">
        <f>SUM(AA72:AB72)</f>
        <v>0</v>
      </c>
      <c r="AD72" s="91">
        <f t="shared" si="100"/>
        <v>0</v>
      </c>
      <c r="AE72" s="17">
        <f>'HH WITHOUT COM #7'!$W$69</f>
        <v>0</v>
      </c>
      <c r="AF72" s="17">
        <f>'HH WITHOUT COM #7'!$X$69</f>
        <v>0</v>
      </c>
      <c r="AG72" s="539">
        <f>SUM(AE72:AF72)</f>
        <v>0</v>
      </c>
      <c r="AH72" s="373">
        <f t="shared" si="101"/>
        <v>0</v>
      </c>
      <c r="AI72" s="391">
        <f t="shared" si="102"/>
        <v>2</v>
      </c>
      <c r="AJ72" s="17">
        <f t="shared" si="102"/>
        <v>3</v>
      </c>
      <c r="AK72" s="539">
        <f>SUM(AI72:AJ72)</f>
        <v>5</v>
      </c>
      <c r="AL72" s="91">
        <f t="shared" si="103"/>
        <v>6.097560975609756E-2</v>
      </c>
    </row>
    <row r="73" spans="1:38" s="117" customFormat="1" ht="16.5" customHeight="1" x14ac:dyDescent="0.25">
      <c r="A73" s="119"/>
      <c r="B73" s="119"/>
      <c r="C73" s="118"/>
      <c r="D73" s="474" t="s">
        <v>396</v>
      </c>
      <c r="E73" s="475" t="s">
        <v>39</v>
      </c>
      <c r="F73" s="475"/>
      <c r="G73" s="17">
        <f>'HH WITHOUT COM #1'!$W$70</f>
        <v>0</v>
      </c>
      <c r="H73" s="17">
        <f>'HH WITHOUT COM #1'!$X$70</f>
        <v>0</v>
      </c>
      <c r="I73" s="539">
        <f>SUM(G73:H73)</f>
        <v>0</v>
      </c>
      <c r="J73" s="91">
        <f t="shared" si="95"/>
        <v>0</v>
      </c>
      <c r="K73" s="17">
        <f>'HH WITHOUT COM #2'!$W$70</f>
        <v>0</v>
      </c>
      <c r="L73" s="17">
        <f>'HH WITHOUT COM #2'!$X$70</f>
        <v>0</v>
      </c>
      <c r="M73" s="539">
        <f>SUM(K73:L73)</f>
        <v>0</v>
      </c>
      <c r="N73" s="91">
        <f t="shared" si="96"/>
        <v>0</v>
      </c>
      <c r="O73" s="17">
        <f>'HH WITHOUT COM #3'!$W$70</f>
        <v>0</v>
      </c>
      <c r="P73" s="17">
        <f>'HH WITHOUT COM #3'!$X$70</f>
        <v>0</v>
      </c>
      <c r="Q73" s="539">
        <f>SUM(O73:P73)</f>
        <v>0</v>
      </c>
      <c r="R73" s="91">
        <f t="shared" si="97"/>
        <v>0</v>
      </c>
      <c r="S73" s="17">
        <f>'HH WITHOUT COM #4'!$W$70</f>
        <v>0</v>
      </c>
      <c r="T73" s="17">
        <f>'HH WITHOUT COM #4'!$X$70</f>
        <v>0</v>
      </c>
      <c r="U73" s="539">
        <f>SUM(S73:T73)</f>
        <v>0</v>
      </c>
      <c r="V73" s="91">
        <f t="shared" si="98"/>
        <v>0</v>
      </c>
      <c r="W73" s="17">
        <f>'HH WITHOUT COM #5'!$W$70</f>
        <v>0</v>
      </c>
      <c r="X73" s="17">
        <f>'HH WITHOUT COM #5'!$X$70</f>
        <v>0</v>
      </c>
      <c r="Y73" s="539">
        <f>SUM(W73:X73)</f>
        <v>0</v>
      </c>
      <c r="Z73" s="91">
        <f t="shared" si="99"/>
        <v>0</v>
      </c>
      <c r="AA73" s="17">
        <f>'HH WITHOUT COM #6'!$W$70</f>
        <v>0</v>
      </c>
      <c r="AB73" s="17">
        <f>'HH WITHOUT COM #6'!$X$70</f>
        <v>0</v>
      </c>
      <c r="AC73" s="539">
        <f>SUM(AA73:AB73)</f>
        <v>0</v>
      </c>
      <c r="AD73" s="91">
        <f t="shared" si="100"/>
        <v>0</v>
      </c>
      <c r="AE73" s="17">
        <f>'HH WITHOUT COM #7'!$W$70</f>
        <v>0</v>
      </c>
      <c r="AF73" s="17">
        <f>'HH WITHOUT COM #7'!$X$70</f>
        <v>0</v>
      </c>
      <c r="AG73" s="539">
        <f>SUM(AE73:AF73)</f>
        <v>0</v>
      </c>
      <c r="AH73" s="373">
        <f t="shared" si="101"/>
        <v>0</v>
      </c>
      <c r="AI73" s="391">
        <f t="shared" si="102"/>
        <v>0</v>
      </c>
      <c r="AJ73" s="17">
        <f t="shared" si="102"/>
        <v>0</v>
      </c>
      <c r="AK73" s="539">
        <f>SUM(AI73:AJ73)</f>
        <v>0</v>
      </c>
      <c r="AL73" s="91">
        <f t="shared" si="103"/>
        <v>0</v>
      </c>
    </row>
    <row r="74" spans="1:38" s="117" customFormat="1" ht="16.5" customHeight="1" x14ac:dyDescent="0.25">
      <c r="A74" s="119"/>
      <c r="B74" s="119"/>
      <c r="C74" s="118"/>
      <c r="D74" s="474" t="s">
        <v>397</v>
      </c>
      <c r="E74" s="475" t="s">
        <v>41</v>
      </c>
      <c r="F74" s="475"/>
      <c r="G74" s="17">
        <f>'HH WITHOUT COM #1'!$W$71</f>
        <v>0</v>
      </c>
      <c r="H74" s="17">
        <f>'HH WITHOUT COM #1'!$X$71</f>
        <v>0</v>
      </c>
      <c r="I74" s="539">
        <f>SUM(G74:H74)</f>
        <v>0</v>
      </c>
      <c r="J74" s="91">
        <f t="shared" si="95"/>
        <v>0</v>
      </c>
      <c r="K74" s="17">
        <f>'HH WITHOUT COM #2'!$W$71</f>
        <v>0</v>
      </c>
      <c r="L74" s="17">
        <f>'HH WITHOUT COM #2'!$X$71</f>
        <v>0</v>
      </c>
      <c r="M74" s="539">
        <f>SUM(K74:L74)</f>
        <v>0</v>
      </c>
      <c r="N74" s="91">
        <f t="shared" si="96"/>
        <v>0</v>
      </c>
      <c r="O74" s="17">
        <f>'HH WITHOUT COM #3'!$W$71</f>
        <v>0</v>
      </c>
      <c r="P74" s="17">
        <f>'HH WITHOUT COM #3'!$X$71</f>
        <v>0</v>
      </c>
      <c r="Q74" s="539">
        <f>SUM(O74:P74)</f>
        <v>0</v>
      </c>
      <c r="R74" s="91">
        <f t="shared" si="97"/>
        <v>0</v>
      </c>
      <c r="S74" s="17">
        <f>'HH WITHOUT COM #4'!$W$71</f>
        <v>0</v>
      </c>
      <c r="T74" s="17">
        <f>'HH WITHOUT COM #4'!$X$71</f>
        <v>0</v>
      </c>
      <c r="U74" s="539">
        <f>SUM(S74:T74)</f>
        <v>0</v>
      </c>
      <c r="V74" s="91">
        <f t="shared" si="98"/>
        <v>0</v>
      </c>
      <c r="W74" s="17">
        <f>'HH WITHOUT COM #5'!$W$71</f>
        <v>0</v>
      </c>
      <c r="X74" s="17">
        <f>'HH WITHOUT COM #5'!$X$71</f>
        <v>0</v>
      </c>
      <c r="Y74" s="539">
        <f>SUM(W74:X74)</f>
        <v>0</v>
      </c>
      <c r="Z74" s="91">
        <f t="shared" si="99"/>
        <v>0</v>
      </c>
      <c r="AA74" s="17">
        <f>'HH WITHOUT COM #6'!$W$71</f>
        <v>0</v>
      </c>
      <c r="AB74" s="17">
        <f>'HH WITHOUT COM #6'!$X$71</f>
        <v>0</v>
      </c>
      <c r="AC74" s="539">
        <f>SUM(AA74:AB74)</f>
        <v>0</v>
      </c>
      <c r="AD74" s="91">
        <f t="shared" si="100"/>
        <v>0</v>
      </c>
      <c r="AE74" s="17">
        <f>'HH WITHOUT COM #7'!$W$71</f>
        <v>0</v>
      </c>
      <c r="AF74" s="17">
        <f>'HH WITHOUT COM #7'!$X$71</f>
        <v>0</v>
      </c>
      <c r="AG74" s="539">
        <f>SUM(AE74:AF74)</f>
        <v>0</v>
      </c>
      <c r="AH74" s="373">
        <f t="shared" si="101"/>
        <v>0</v>
      </c>
      <c r="AI74" s="391">
        <f t="shared" si="102"/>
        <v>0</v>
      </c>
      <c r="AJ74" s="17">
        <f t="shared" si="102"/>
        <v>0</v>
      </c>
      <c r="AK74" s="539">
        <f>SUM(AI74:AJ74)</f>
        <v>0</v>
      </c>
      <c r="AL74" s="91">
        <f t="shared" si="103"/>
        <v>0</v>
      </c>
    </row>
    <row r="75" spans="1:38" s="117" customFormat="1" ht="16.5" customHeight="1" x14ac:dyDescent="0.25">
      <c r="A75" s="119"/>
      <c r="B75" s="119"/>
      <c r="C75" s="118"/>
      <c r="D75" s="474" t="s">
        <v>398</v>
      </c>
      <c r="E75" s="475" t="s">
        <v>42</v>
      </c>
      <c r="F75" s="475"/>
      <c r="G75" s="17">
        <f>'HH WITHOUT COM #1'!$W$72</f>
        <v>0</v>
      </c>
      <c r="H75" s="17">
        <f>'HH WITHOUT COM #1'!$X$72</f>
        <v>0</v>
      </c>
      <c r="I75" s="539">
        <f>SUM(G75:H75)</f>
        <v>0</v>
      </c>
      <c r="J75" s="91">
        <f t="shared" si="95"/>
        <v>0</v>
      </c>
      <c r="K75" s="17">
        <f>'HH WITHOUT COM #2'!$W$72</f>
        <v>0</v>
      </c>
      <c r="L75" s="17">
        <f>'HH WITHOUT COM #2'!$X$72</f>
        <v>0</v>
      </c>
      <c r="M75" s="539">
        <f>SUM(K75:L75)</f>
        <v>0</v>
      </c>
      <c r="N75" s="91">
        <f t="shared" si="96"/>
        <v>0</v>
      </c>
      <c r="O75" s="17">
        <f>'HH WITHOUT COM #3'!$W$72</f>
        <v>0</v>
      </c>
      <c r="P75" s="17">
        <f>'HH WITHOUT COM #3'!$X$72</f>
        <v>0</v>
      </c>
      <c r="Q75" s="539">
        <f>SUM(O75:P75)</f>
        <v>0</v>
      </c>
      <c r="R75" s="91">
        <f t="shared" si="97"/>
        <v>0</v>
      </c>
      <c r="S75" s="17">
        <f>'HH WITHOUT COM #4'!$W$72</f>
        <v>0</v>
      </c>
      <c r="T75" s="17">
        <f>'HH WITHOUT COM #4'!$X$72</f>
        <v>0</v>
      </c>
      <c r="U75" s="539">
        <f>SUM(S75:T75)</f>
        <v>0</v>
      </c>
      <c r="V75" s="91">
        <f t="shared" si="98"/>
        <v>0</v>
      </c>
      <c r="W75" s="17">
        <f>'HH WITHOUT COM #5'!$W$72</f>
        <v>0</v>
      </c>
      <c r="X75" s="17">
        <f>'HH WITHOUT COM #5'!$X$72</f>
        <v>0</v>
      </c>
      <c r="Y75" s="539">
        <f>SUM(W75:X75)</f>
        <v>0</v>
      </c>
      <c r="Z75" s="91">
        <f t="shared" si="99"/>
        <v>0</v>
      </c>
      <c r="AA75" s="17">
        <f>'HH WITHOUT COM #6'!$W$72</f>
        <v>0</v>
      </c>
      <c r="AB75" s="17">
        <f>'HH WITHOUT COM #6'!$X$72</f>
        <v>0</v>
      </c>
      <c r="AC75" s="539">
        <f>SUM(AA75:AB75)</f>
        <v>0</v>
      </c>
      <c r="AD75" s="91">
        <f t="shared" si="100"/>
        <v>0</v>
      </c>
      <c r="AE75" s="17">
        <f>'HH WITHOUT COM #7'!$W$72</f>
        <v>0</v>
      </c>
      <c r="AF75" s="17">
        <f>'HH WITHOUT COM #7'!$X$72</f>
        <v>0</v>
      </c>
      <c r="AG75" s="539">
        <f>SUM(AE75:AF75)</f>
        <v>0</v>
      </c>
      <c r="AH75" s="373">
        <f t="shared" si="101"/>
        <v>0</v>
      </c>
      <c r="AI75" s="391">
        <f t="shared" si="102"/>
        <v>0</v>
      </c>
      <c r="AJ75" s="17">
        <f t="shared" si="102"/>
        <v>0</v>
      </c>
      <c r="AK75" s="539">
        <f>SUM(AI75:AJ75)</f>
        <v>0</v>
      </c>
      <c r="AL75" s="91">
        <f t="shared" si="103"/>
        <v>0</v>
      </c>
    </row>
    <row r="76" spans="1:38" s="117" customFormat="1" ht="16.5" customHeight="1" x14ac:dyDescent="0.25">
      <c r="A76" s="119"/>
      <c r="B76" s="119"/>
      <c r="C76" s="119"/>
      <c r="D76" s="185"/>
      <c r="E76" s="184"/>
      <c r="F76" s="469"/>
      <c r="G76" s="82">
        <f>SUM(G71:G75)</f>
        <v>2</v>
      </c>
      <c r="H76" s="82">
        <f>SUM(H71:H75)</f>
        <v>3</v>
      </c>
      <c r="I76" s="82">
        <f>SUM(I71:I75)</f>
        <v>5</v>
      </c>
      <c r="J76" s="66">
        <f t="shared" si="95"/>
        <v>1</v>
      </c>
      <c r="K76" s="82">
        <f>SUM(K71:K75)</f>
        <v>9</v>
      </c>
      <c r="L76" s="82">
        <f>SUM(L71:L75)</f>
        <v>7</v>
      </c>
      <c r="M76" s="82">
        <f>SUM(M71:M75)</f>
        <v>16</v>
      </c>
      <c r="N76" s="66">
        <f t="shared" si="96"/>
        <v>1</v>
      </c>
      <c r="O76" s="82">
        <f>SUM(O71:O75)</f>
        <v>4</v>
      </c>
      <c r="P76" s="82">
        <f>SUM(P71:P75)</f>
        <v>7</v>
      </c>
      <c r="Q76" s="82">
        <f>SUM(Q71:Q75)</f>
        <v>11</v>
      </c>
      <c r="R76" s="66">
        <f t="shared" si="97"/>
        <v>1</v>
      </c>
      <c r="S76" s="82">
        <f>SUM(S71:S75)</f>
        <v>0</v>
      </c>
      <c r="T76" s="82">
        <f>SUM(T71:T75)</f>
        <v>7</v>
      </c>
      <c r="U76" s="82">
        <f>SUM(U71:U75)</f>
        <v>7</v>
      </c>
      <c r="V76" s="66">
        <f t="shared" si="98"/>
        <v>1</v>
      </c>
      <c r="W76" s="82">
        <f>SUM(W71:W75)</f>
        <v>15</v>
      </c>
      <c r="X76" s="82">
        <f>SUM(X71:X75)</f>
        <v>13</v>
      </c>
      <c r="Y76" s="82">
        <f>SUM(Y71:Y75)</f>
        <v>28</v>
      </c>
      <c r="Z76" s="66">
        <f t="shared" si="99"/>
        <v>1</v>
      </c>
      <c r="AA76" s="82">
        <f>SUM(AA71:AA75)</f>
        <v>2</v>
      </c>
      <c r="AB76" s="82">
        <f>SUM(AB71:AB75)</f>
        <v>13</v>
      </c>
      <c r="AC76" s="82">
        <f>SUM(AC71:AC75)</f>
        <v>15</v>
      </c>
      <c r="AD76" s="66">
        <f t="shared" si="100"/>
        <v>1</v>
      </c>
      <c r="AE76" s="82">
        <f>SUM(AE71:AE75)</f>
        <v>0</v>
      </c>
      <c r="AF76" s="82">
        <f>SUM(AF71:AF75)</f>
        <v>0</v>
      </c>
      <c r="AG76" s="82">
        <f>SUM(AG71:AG75)</f>
        <v>0</v>
      </c>
      <c r="AH76" s="608">
        <f t="shared" si="101"/>
        <v>0</v>
      </c>
      <c r="AI76" s="381">
        <f>SUM(AI71:AI75)</f>
        <v>32</v>
      </c>
      <c r="AJ76" s="82">
        <f>SUM(AJ71:AJ75)</f>
        <v>50</v>
      </c>
      <c r="AK76" s="82">
        <f>SUM(AK71:AK75)</f>
        <v>82</v>
      </c>
      <c r="AL76" s="66">
        <f t="shared" si="103"/>
        <v>1</v>
      </c>
    </row>
    <row r="77" spans="1:38" s="117" customFormat="1" ht="16.5" customHeight="1" x14ac:dyDescent="0.25">
      <c r="A77" s="119"/>
      <c r="B77" s="41" t="s">
        <v>43</v>
      </c>
      <c r="C77" s="476" t="s">
        <v>44</v>
      </c>
      <c r="D77" s="477"/>
      <c r="E77" s="478"/>
      <c r="F77" s="478"/>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355"/>
      <c r="AI77" s="377"/>
      <c r="AJ77" s="71"/>
      <c r="AK77" s="71"/>
      <c r="AL77" s="71"/>
    </row>
    <row r="78" spans="1:38" s="117" customFormat="1" ht="16.5" customHeight="1" x14ac:dyDescent="0.25">
      <c r="A78" s="119"/>
      <c r="B78" s="102"/>
      <c r="C78" s="103" t="s">
        <v>45</v>
      </c>
      <c r="D78" s="108" t="s">
        <v>46</v>
      </c>
      <c r="E78" s="108"/>
      <c r="F78" s="108"/>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c r="AD78" s="111"/>
      <c r="AE78" s="111"/>
      <c r="AF78" s="111"/>
      <c r="AG78" s="111"/>
      <c r="AH78" s="358"/>
      <c r="AI78" s="380"/>
      <c r="AJ78" s="111"/>
      <c r="AK78" s="111"/>
      <c r="AL78" s="111"/>
    </row>
    <row r="79" spans="1:38" s="117" customFormat="1" ht="16.5" customHeight="1" x14ac:dyDescent="0.25">
      <c r="A79" s="119"/>
      <c r="B79" s="102"/>
      <c r="C79" s="102"/>
      <c r="D79" s="474" t="s">
        <v>47</v>
      </c>
      <c r="E79" s="475" t="s">
        <v>35</v>
      </c>
      <c r="F79" s="475"/>
      <c r="G79" s="17"/>
      <c r="H79" s="17"/>
      <c r="I79" s="539">
        <f>'HH WITHOUT COM #1'!$Y$77</f>
        <v>0</v>
      </c>
      <c r="J79" s="91">
        <f>IF(I$83=0,0,I79/I$83)</f>
        <v>0</v>
      </c>
      <c r="K79" s="17"/>
      <c r="L79" s="17"/>
      <c r="M79" s="539">
        <f>'HH WITHOUT COM #2'!$Y$77</f>
        <v>2</v>
      </c>
      <c r="N79" s="91">
        <f>IF(M$83=0,0,M79/M$83)</f>
        <v>1</v>
      </c>
      <c r="O79" s="17"/>
      <c r="P79" s="17"/>
      <c r="Q79" s="539">
        <f>'HH WITHOUT COM #3'!$Y$77</f>
        <v>1</v>
      </c>
      <c r="R79" s="91">
        <f>IF(Q$83=0,0,Q79/Q$83)</f>
        <v>1</v>
      </c>
      <c r="S79" s="17"/>
      <c r="T79" s="17"/>
      <c r="U79" s="539">
        <f>'HH WITHOUT COM #4'!$Y$77</f>
        <v>1</v>
      </c>
      <c r="V79" s="91">
        <f>IF(U$83=0,0,U79/U$83)</f>
        <v>1</v>
      </c>
      <c r="W79" s="17"/>
      <c r="X79" s="17"/>
      <c r="Y79" s="539">
        <f>'HH WITHOUT COM #5'!$Y$77</f>
        <v>3</v>
      </c>
      <c r="Z79" s="91">
        <f>IF(Y$83=0,0,Y79/Y$83)</f>
        <v>1</v>
      </c>
      <c r="AA79" s="17"/>
      <c r="AB79" s="17"/>
      <c r="AC79" s="539">
        <f>'HH WITHOUT COM #6'!$Y$77</f>
        <v>2</v>
      </c>
      <c r="AD79" s="91">
        <f>IF(AC$83=0,0,AC79/AC$83)</f>
        <v>1</v>
      </c>
      <c r="AE79" s="17"/>
      <c r="AF79" s="17"/>
      <c r="AG79" s="539">
        <f>'HH WITHOUT COM #7'!$Y$77</f>
        <v>0</v>
      </c>
      <c r="AH79" s="373">
        <f>IF(AG$83=0,0,AG79/AG$83)</f>
        <v>0</v>
      </c>
      <c r="AI79" s="391"/>
      <c r="AJ79" s="17"/>
      <c r="AK79" s="539">
        <f t="shared" ref="AK79:AK82" si="104">I79+M79+Q79+U79+Y79+AC79+AG79</f>
        <v>9</v>
      </c>
      <c r="AL79" s="91">
        <f>IF(AK$83=0,0,AK79/AK$83)</f>
        <v>0.9</v>
      </c>
    </row>
    <row r="80" spans="1:38" s="117" customFormat="1" ht="16.5" customHeight="1" x14ac:dyDescent="0.25">
      <c r="A80" s="119"/>
      <c r="B80" s="102"/>
      <c r="C80" s="102"/>
      <c r="D80" s="474" t="s">
        <v>48</v>
      </c>
      <c r="E80" s="475" t="s">
        <v>49</v>
      </c>
      <c r="F80" s="475"/>
      <c r="G80" s="17"/>
      <c r="H80" s="17"/>
      <c r="I80" s="539">
        <f>'HH WITHOUT COM #1'!$Y$78</f>
        <v>1</v>
      </c>
      <c r="J80" s="91">
        <f>IF(I$83=0,0,I80/I$83)</f>
        <v>1</v>
      </c>
      <c r="K80" s="17"/>
      <c r="L80" s="17"/>
      <c r="M80" s="539">
        <f>'HH WITHOUT COM #2'!$Y$78</f>
        <v>0</v>
      </c>
      <c r="N80" s="91">
        <f>IF(M$83=0,0,M80/M$83)</f>
        <v>0</v>
      </c>
      <c r="O80" s="17"/>
      <c r="P80" s="17"/>
      <c r="Q80" s="539">
        <f>'HH WITHOUT COM #3'!$Y$78</f>
        <v>0</v>
      </c>
      <c r="R80" s="91">
        <f>IF(Q$83=0,0,Q80/Q$83)</f>
        <v>0</v>
      </c>
      <c r="S80" s="17"/>
      <c r="T80" s="17"/>
      <c r="U80" s="539">
        <f>'HH WITHOUT COM #4'!$Y$78</f>
        <v>0</v>
      </c>
      <c r="V80" s="91">
        <f>IF(U$83=0,0,U80/U$83)</f>
        <v>0</v>
      </c>
      <c r="W80" s="17"/>
      <c r="X80" s="17"/>
      <c r="Y80" s="539">
        <f>'HH WITHOUT COM #5'!$Y$78</f>
        <v>0</v>
      </c>
      <c r="Z80" s="91">
        <f>IF(Y$83=0,0,Y80/Y$83)</f>
        <v>0</v>
      </c>
      <c r="AA80" s="17"/>
      <c r="AB80" s="17"/>
      <c r="AC80" s="539">
        <f>'HH WITHOUT COM #6'!$Y$78</f>
        <v>0</v>
      </c>
      <c r="AD80" s="91">
        <f>IF(AC$83=0,0,AC80/AC$83)</f>
        <v>0</v>
      </c>
      <c r="AE80" s="17"/>
      <c r="AF80" s="17"/>
      <c r="AG80" s="539">
        <f>'HH WITHOUT COM #7'!$Y$78</f>
        <v>0</v>
      </c>
      <c r="AH80" s="373">
        <f>IF(AG$83=0,0,AG80/AG$83)</f>
        <v>0</v>
      </c>
      <c r="AI80" s="391"/>
      <c r="AJ80" s="17"/>
      <c r="AK80" s="539">
        <f t="shared" si="104"/>
        <v>1</v>
      </c>
      <c r="AL80" s="91">
        <f>IF(AK$83=0,0,AK80/AK$83)</f>
        <v>0.1</v>
      </c>
    </row>
    <row r="81" spans="1:38" s="117" customFormat="1" ht="16.5" customHeight="1" x14ac:dyDescent="0.25">
      <c r="A81" s="119"/>
      <c r="B81" s="102"/>
      <c r="C81" s="102"/>
      <c r="D81" s="474" t="s">
        <v>50</v>
      </c>
      <c r="E81" s="475" t="s">
        <v>51</v>
      </c>
      <c r="F81" s="475"/>
      <c r="G81" s="17"/>
      <c r="H81" s="17"/>
      <c r="I81" s="539">
        <f>'HH WITHOUT COM #1'!$Y$79</f>
        <v>0</v>
      </c>
      <c r="J81" s="91">
        <f>IF(I$83=0,0,I81/I$83)</f>
        <v>0</v>
      </c>
      <c r="K81" s="17"/>
      <c r="L81" s="17"/>
      <c r="M81" s="539">
        <f>'HH WITHOUT COM #2'!$Y$79</f>
        <v>0</v>
      </c>
      <c r="N81" s="91">
        <f>IF(M$83=0,0,M81/M$83)</f>
        <v>0</v>
      </c>
      <c r="O81" s="17"/>
      <c r="P81" s="17"/>
      <c r="Q81" s="539">
        <f>'HH WITHOUT COM #3'!$Y$79</f>
        <v>0</v>
      </c>
      <c r="R81" s="91">
        <f>IF(Q$83=0,0,Q81/Q$83)</f>
        <v>0</v>
      </c>
      <c r="S81" s="17"/>
      <c r="T81" s="17"/>
      <c r="U81" s="539">
        <f>'HH WITHOUT COM #4'!$Y$79</f>
        <v>0</v>
      </c>
      <c r="V81" s="91">
        <f>IF(U$83=0,0,U81/U$83)</f>
        <v>0</v>
      </c>
      <c r="W81" s="17"/>
      <c r="X81" s="17"/>
      <c r="Y81" s="539">
        <f>'HH WITHOUT COM #5'!$Y$79</f>
        <v>0</v>
      </c>
      <c r="Z81" s="91">
        <f>IF(Y$83=0,0,Y81/Y$83)</f>
        <v>0</v>
      </c>
      <c r="AA81" s="17"/>
      <c r="AB81" s="17"/>
      <c r="AC81" s="539">
        <f>'HH WITHOUT COM #6'!$Y$79</f>
        <v>0</v>
      </c>
      <c r="AD81" s="91">
        <f>IF(AC$83=0,0,AC81/AC$83)</f>
        <v>0</v>
      </c>
      <c r="AE81" s="17"/>
      <c r="AF81" s="17"/>
      <c r="AG81" s="539">
        <f>'HH WITHOUT COM #7'!$Y$79</f>
        <v>0</v>
      </c>
      <c r="AH81" s="373">
        <f>IF(AG$83=0,0,AG81/AG$83)</f>
        <v>0</v>
      </c>
      <c r="AI81" s="391"/>
      <c r="AJ81" s="17"/>
      <c r="AK81" s="539">
        <f t="shared" si="104"/>
        <v>0</v>
      </c>
      <c r="AL81" s="91">
        <f>IF(AK$83=0,0,AK81/AK$83)</f>
        <v>0</v>
      </c>
    </row>
    <row r="82" spans="1:38" s="117" customFormat="1" ht="16.5" customHeight="1" x14ac:dyDescent="0.25">
      <c r="A82" s="119"/>
      <c r="B82" s="102"/>
      <c r="C82" s="102"/>
      <c r="D82" s="474" t="s">
        <v>52</v>
      </c>
      <c r="E82" s="475" t="s">
        <v>53</v>
      </c>
      <c r="F82" s="475"/>
      <c r="G82" s="17"/>
      <c r="H82" s="17"/>
      <c r="I82" s="539">
        <f>'HH WITHOUT COM #1'!$Y$80</f>
        <v>0</v>
      </c>
      <c r="J82" s="91">
        <f>IF(I$83=0,0,I82/I$83)</f>
        <v>0</v>
      </c>
      <c r="K82" s="17"/>
      <c r="L82" s="17"/>
      <c r="M82" s="539">
        <f>'HH WITHOUT COM #2'!$Y$80</f>
        <v>0</v>
      </c>
      <c r="N82" s="91">
        <f>IF(M$83=0,0,M82/M$83)</f>
        <v>0</v>
      </c>
      <c r="O82" s="17"/>
      <c r="P82" s="17"/>
      <c r="Q82" s="539">
        <f>'HH WITHOUT COM #3'!$Y$80</f>
        <v>0</v>
      </c>
      <c r="R82" s="91">
        <f>IF(Q$83=0,0,Q82/Q$83)</f>
        <v>0</v>
      </c>
      <c r="S82" s="17"/>
      <c r="T82" s="17"/>
      <c r="U82" s="539">
        <f>'HH WITHOUT COM #4'!$Y$80</f>
        <v>0</v>
      </c>
      <c r="V82" s="91">
        <f>IF(U$83=0,0,U82/U$83)</f>
        <v>0</v>
      </c>
      <c r="W82" s="17"/>
      <c r="X82" s="17"/>
      <c r="Y82" s="539">
        <f>'HH WITHOUT COM #5'!$Y$80</f>
        <v>0</v>
      </c>
      <c r="Z82" s="91">
        <f>IF(Y$83=0,0,Y82/Y$83)</f>
        <v>0</v>
      </c>
      <c r="AA82" s="17"/>
      <c r="AB82" s="17"/>
      <c r="AC82" s="539">
        <f>'HH WITHOUT COM #6'!$Y$80</f>
        <v>0</v>
      </c>
      <c r="AD82" s="91">
        <f>IF(AC$83=0,0,AC82/AC$83)</f>
        <v>0</v>
      </c>
      <c r="AE82" s="17"/>
      <c r="AF82" s="17"/>
      <c r="AG82" s="539">
        <f>'HH WITHOUT COM #7'!$Y$80</f>
        <v>0</v>
      </c>
      <c r="AH82" s="373">
        <f>IF(AG$83=0,0,AG82/AG$83)</f>
        <v>0</v>
      </c>
      <c r="AI82" s="391"/>
      <c r="AJ82" s="17"/>
      <c r="AK82" s="539">
        <f t="shared" si="104"/>
        <v>0</v>
      </c>
      <c r="AL82" s="91">
        <f>IF(AK$83=0,0,AK82/AK$83)</f>
        <v>0</v>
      </c>
    </row>
    <row r="83" spans="1:38" s="117" customFormat="1" ht="16.5" customHeight="1" x14ac:dyDescent="0.25">
      <c r="A83" s="119"/>
      <c r="B83" s="40"/>
      <c r="C83" s="40"/>
      <c r="D83" s="479"/>
      <c r="E83" s="78"/>
      <c r="F83" s="79"/>
      <c r="G83" s="82"/>
      <c r="H83" s="82"/>
      <c r="I83" s="82">
        <f>SUM(I79:I82)</f>
        <v>1</v>
      </c>
      <c r="J83" s="66">
        <f>IF(I$83=0,0,I83/I$83)</f>
        <v>1</v>
      </c>
      <c r="K83" s="82"/>
      <c r="L83" s="82"/>
      <c r="M83" s="82">
        <f>SUM(M79:M82)</f>
        <v>2</v>
      </c>
      <c r="N83" s="66">
        <f>IF(M$83=0,0,M83/M$83)</f>
        <v>1</v>
      </c>
      <c r="O83" s="82"/>
      <c r="P83" s="82"/>
      <c r="Q83" s="82">
        <f>SUM(Q79:Q82)</f>
        <v>1</v>
      </c>
      <c r="R83" s="66">
        <f>IF(Q$83=0,0,Q83/Q$83)</f>
        <v>1</v>
      </c>
      <c r="S83" s="82"/>
      <c r="T83" s="82"/>
      <c r="U83" s="82">
        <f>SUM(U79:U82)</f>
        <v>1</v>
      </c>
      <c r="V83" s="66">
        <f>IF(U$83=0,0,U83/U$83)</f>
        <v>1</v>
      </c>
      <c r="W83" s="82"/>
      <c r="X83" s="82"/>
      <c r="Y83" s="82">
        <f>SUM(Y79:Y82)</f>
        <v>3</v>
      </c>
      <c r="Z83" s="66">
        <f>IF(Y$83=0,0,Y83/Y$83)</f>
        <v>1</v>
      </c>
      <c r="AA83" s="82"/>
      <c r="AB83" s="82"/>
      <c r="AC83" s="82">
        <f>SUM(AC79:AC82)</f>
        <v>2</v>
      </c>
      <c r="AD83" s="66">
        <f>IF(AC$83=0,0,AC83/AC$83)</f>
        <v>1</v>
      </c>
      <c r="AE83" s="82"/>
      <c r="AF83" s="82"/>
      <c r="AG83" s="82">
        <f>SUM(AG79:AG82)</f>
        <v>0</v>
      </c>
      <c r="AH83" s="608">
        <f>IF(AG$83=0,0,AG83/AG$83)</f>
        <v>0</v>
      </c>
      <c r="AI83" s="381"/>
      <c r="AJ83" s="82"/>
      <c r="AK83" s="82">
        <f>SUM(AK79:AK82)</f>
        <v>10</v>
      </c>
      <c r="AL83" s="66">
        <f>IF(AK$83=0,0,AK83/AK$83)</f>
        <v>1</v>
      </c>
    </row>
    <row r="84" spans="1:38" s="117" customFormat="1" ht="16.5" hidden="1" customHeight="1" x14ac:dyDescent="0.25">
      <c r="A84" s="119"/>
      <c r="B84" s="102"/>
      <c r="C84" s="103"/>
      <c r="D84" s="108"/>
      <c r="E84" s="108"/>
      <c r="F84" s="108"/>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c r="AD84" s="111"/>
      <c r="AE84" s="111"/>
      <c r="AF84" s="111"/>
      <c r="AG84" s="111"/>
      <c r="AH84" s="358"/>
      <c r="AI84" s="380"/>
      <c r="AJ84" s="111"/>
      <c r="AK84" s="545"/>
      <c r="AL84" s="111"/>
    </row>
    <row r="85" spans="1:38" s="117" customFormat="1" ht="16.5" hidden="1" customHeight="1" x14ac:dyDescent="0.25">
      <c r="A85" s="119"/>
      <c r="B85" s="118"/>
      <c r="C85" s="118"/>
      <c r="D85" s="474"/>
      <c r="E85" s="475"/>
      <c r="F85" s="475"/>
      <c r="G85" s="17"/>
      <c r="H85" s="17"/>
      <c r="I85" s="539"/>
      <c r="J85" s="91"/>
      <c r="K85" s="17"/>
      <c r="L85" s="17"/>
      <c r="M85" s="539"/>
      <c r="N85" s="91"/>
      <c r="O85" s="17"/>
      <c r="P85" s="17"/>
      <c r="Q85" s="539"/>
      <c r="R85" s="91"/>
      <c r="S85" s="17"/>
      <c r="T85" s="17"/>
      <c r="U85" s="539"/>
      <c r="V85" s="91"/>
      <c r="W85" s="17"/>
      <c r="X85" s="17"/>
      <c r="Y85" s="539"/>
      <c r="Z85" s="91"/>
      <c r="AA85" s="17"/>
      <c r="AB85" s="17"/>
      <c r="AC85" s="539"/>
      <c r="AD85" s="91"/>
      <c r="AE85" s="17"/>
      <c r="AF85" s="17"/>
      <c r="AG85" s="539"/>
      <c r="AH85" s="373"/>
      <c r="AI85" s="391"/>
      <c r="AJ85" s="17"/>
      <c r="AK85" s="539"/>
      <c r="AL85" s="91"/>
    </row>
    <row r="86" spans="1:38" s="117" customFormat="1" ht="16.5" hidden="1" customHeight="1" x14ac:dyDescent="0.25">
      <c r="A86" s="119"/>
      <c r="B86" s="118"/>
      <c r="C86" s="118"/>
      <c r="D86" s="474"/>
      <c r="E86" s="475"/>
      <c r="F86" s="475"/>
      <c r="G86" s="17"/>
      <c r="H86" s="17"/>
      <c r="I86" s="539"/>
      <c r="J86" s="91"/>
      <c r="K86" s="17"/>
      <c r="L86" s="17"/>
      <c r="M86" s="539"/>
      <c r="N86" s="91"/>
      <c r="O86" s="17"/>
      <c r="P86" s="17"/>
      <c r="Q86" s="539"/>
      <c r="R86" s="91"/>
      <c r="S86" s="17"/>
      <c r="T86" s="17"/>
      <c r="U86" s="539"/>
      <c r="V86" s="91"/>
      <c r="W86" s="17"/>
      <c r="X86" s="17"/>
      <c r="Y86" s="539"/>
      <c r="Z86" s="91"/>
      <c r="AA86" s="17"/>
      <c r="AB86" s="17"/>
      <c r="AC86" s="539"/>
      <c r="AD86" s="91"/>
      <c r="AE86" s="17"/>
      <c r="AF86" s="17"/>
      <c r="AG86" s="539"/>
      <c r="AH86" s="373"/>
      <c r="AI86" s="391"/>
      <c r="AJ86" s="17"/>
      <c r="AK86" s="539"/>
      <c r="AL86" s="91"/>
    </row>
    <row r="87" spans="1:38" s="117" customFormat="1" ht="16.5" hidden="1" customHeight="1" x14ac:dyDescent="0.25">
      <c r="A87" s="119"/>
      <c r="B87" s="118"/>
      <c r="C87" s="118"/>
      <c r="D87" s="474"/>
      <c r="E87" s="475"/>
      <c r="F87" s="475"/>
      <c r="G87" s="17"/>
      <c r="H87" s="17"/>
      <c r="I87" s="539"/>
      <c r="J87" s="91"/>
      <c r="K87" s="17"/>
      <c r="L87" s="17"/>
      <c r="M87" s="539"/>
      <c r="N87" s="91"/>
      <c r="O87" s="17"/>
      <c r="P87" s="17"/>
      <c r="Q87" s="539"/>
      <c r="R87" s="91"/>
      <c r="S87" s="17"/>
      <c r="T87" s="17"/>
      <c r="U87" s="539"/>
      <c r="V87" s="91"/>
      <c r="W87" s="17"/>
      <c r="X87" s="17"/>
      <c r="Y87" s="539"/>
      <c r="Z87" s="91"/>
      <c r="AA87" s="17"/>
      <c r="AB87" s="17"/>
      <c r="AC87" s="539"/>
      <c r="AD87" s="91"/>
      <c r="AE87" s="17"/>
      <c r="AF87" s="17"/>
      <c r="AG87" s="539"/>
      <c r="AH87" s="373"/>
      <c r="AI87" s="391"/>
      <c r="AJ87" s="17"/>
      <c r="AK87" s="539"/>
      <c r="AL87" s="91"/>
    </row>
    <row r="88" spans="1:38" s="117" customFormat="1" ht="16.5" hidden="1" customHeight="1" x14ac:dyDescent="0.25">
      <c r="A88" s="119"/>
      <c r="B88" s="118"/>
      <c r="C88" s="118"/>
      <c r="D88" s="474"/>
      <c r="E88" s="475"/>
      <c r="F88" s="475"/>
      <c r="G88" s="17"/>
      <c r="H88" s="17"/>
      <c r="I88" s="539"/>
      <c r="J88" s="91"/>
      <c r="K88" s="17"/>
      <c r="L88" s="17"/>
      <c r="M88" s="539"/>
      <c r="N88" s="91"/>
      <c r="O88" s="17"/>
      <c r="P88" s="17"/>
      <c r="Q88" s="539"/>
      <c r="R88" s="91"/>
      <c r="S88" s="17"/>
      <c r="T88" s="17"/>
      <c r="U88" s="539"/>
      <c r="V88" s="91"/>
      <c r="W88" s="17"/>
      <c r="X88" s="17"/>
      <c r="Y88" s="539"/>
      <c r="Z88" s="91"/>
      <c r="AA88" s="17"/>
      <c r="AB88" s="17"/>
      <c r="AC88" s="539"/>
      <c r="AD88" s="91"/>
      <c r="AE88" s="17"/>
      <c r="AF88" s="17"/>
      <c r="AG88" s="539"/>
      <c r="AH88" s="373"/>
      <c r="AI88" s="391"/>
      <c r="AJ88" s="17"/>
      <c r="AK88" s="539"/>
      <c r="AL88" s="91"/>
    </row>
    <row r="89" spans="1:38" s="117" customFormat="1" ht="16.5" hidden="1" customHeight="1" x14ac:dyDescent="0.25">
      <c r="A89" s="119"/>
      <c r="B89" s="40"/>
      <c r="C89" s="40"/>
      <c r="D89" s="479"/>
      <c r="E89" s="78"/>
      <c r="F89" s="79"/>
      <c r="G89" s="82"/>
      <c r="H89" s="82"/>
      <c r="I89" s="82"/>
      <c r="J89" s="66"/>
      <c r="K89" s="82"/>
      <c r="L89" s="82"/>
      <c r="M89" s="82"/>
      <c r="N89" s="66"/>
      <c r="O89" s="82"/>
      <c r="P89" s="82"/>
      <c r="Q89" s="82"/>
      <c r="R89" s="66"/>
      <c r="S89" s="82"/>
      <c r="T89" s="82"/>
      <c r="U89" s="82"/>
      <c r="V89" s="66"/>
      <c r="W89" s="82"/>
      <c r="X89" s="82"/>
      <c r="Y89" s="82"/>
      <c r="Z89" s="66"/>
      <c r="AA89" s="82"/>
      <c r="AB89" s="82"/>
      <c r="AC89" s="82"/>
      <c r="AD89" s="66"/>
      <c r="AE89" s="82"/>
      <c r="AF89" s="82"/>
      <c r="AG89" s="82"/>
      <c r="AH89" s="608"/>
      <c r="AI89" s="381"/>
      <c r="AJ89" s="82"/>
      <c r="AK89" s="82"/>
      <c r="AL89" s="66"/>
    </row>
    <row r="90" spans="1:38" s="117" customFormat="1" ht="16.5" customHeight="1" x14ac:dyDescent="0.25">
      <c r="A90" s="119"/>
      <c r="B90" s="41" t="s">
        <v>63</v>
      </c>
      <c r="C90" s="476" t="s">
        <v>64</v>
      </c>
      <c r="D90" s="477"/>
      <c r="E90" s="478"/>
      <c r="F90" s="478"/>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355"/>
      <c r="AI90" s="377"/>
      <c r="AJ90" s="71"/>
      <c r="AK90" s="71"/>
      <c r="AL90" s="71"/>
    </row>
    <row r="91" spans="1:38" s="117" customFormat="1" ht="16.5" customHeight="1" x14ac:dyDescent="0.25">
      <c r="A91" s="119"/>
      <c r="B91" s="102"/>
      <c r="C91" s="103" t="s">
        <v>65</v>
      </c>
      <c r="D91" s="108" t="s">
        <v>66</v>
      </c>
      <c r="E91" s="108"/>
      <c r="F91" s="108"/>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c r="AD91" s="111"/>
      <c r="AE91" s="111"/>
      <c r="AF91" s="111"/>
      <c r="AG91" s="111"/>
      <c r="AH91" s="358"/>
      <c r="AI91" s="380"/>
      <c r="AJ91" s="111"/>
      <c r="AK91" s="111"/>
      <c r="AL91" s="111"/>
    </row>
    <row r="92" spans="1:38" s="117" customFormat="1" ht="16.5" customHeight="1" x14ac:dyDescent="0.25">
      <c r="A92" s="119"/>
      <c r="B92" s="118"/>
      <c r="C92" s="118"/>
      <c r="D92" s="474" t="s">
        <v>67</v>
      </c>
      <c r="E92" s="480" t="s">
        <v>857</v>
      </c>
      <c r="F92" s="475"/>
      <c r="G92" s="481"/>
      <c r="H92" s="17"/>
      <c r="I92" s="539">
        <f>'HH WITHOUT COM #1'!$Y$92</f>
        <v>1</v>
      </c>
      <c r="J92" s="91">
        <f>IF(I$96=0,0,I92/I$96)</f>
        <v>1</v>
      </c>
      <c r="K92" s="481"/>
      <c r="L92" s="17"/>
      <c r="M92" s="539">
        <f>'HH WITHOUT COM #2'!$Y$92</f>
        <v>1</v>
      </c>
      <c r="N92" s="91">
        <f>IF(M$96=0,0,M92/M$96)</f>
        <v>0.5</v>
      </c>
      <c r="O92" s="481"/>
      <c r="P92" s="17"/>
      <c r="Q92" s="539">
        <f>'HH WITHOUT COM #3'!$Y$92</f>
        <v>0</v>
      </c>
      <c r="R92" s="91">
        <f>IF(Q$96=0,0,Q92/Q$96)</f>
        <v>0</v>
      </c>
      <c r="S92" s="481"/>
      <c r="T92" s="17"/>
      <c r="U92" s="539">
        <f>'HH WITHOUT COM #4'!$Y$92</f>
        <v>1</v>
      </c>
      <c r="V92" s="91">
        <f>IF(U$96=0,0,U92/U$96)</f>
        <v>1</v>
      </c>
      <c r="W92" s="481"/>
      <c r="X92" s="17"/>
      <c r="Y92" s="539">
        <f>'HH WITHOUT COM #5'!$Y$92</f>
        <v>0</v>
      </c>
      <c r="Z92" s="91">
        <f>IF(Y$96=0,0,Y92/Y$96)</f>
        <v>0</v>
      </c>
      <c r="AA92" s="481"/>
      <c r="AB92" s="17"/>
      <c r="AC92" s="539">
        <f>'HH WITHOUT COM #6'!$Y$92</f>
        <v>0</v>
      </c>
      <c r="AD92" s="91">
        <f>IF(AC$96=0,0,AC92/AC$96)</f>
        <v>0</v>
      </c>
      <c r="AE92" s="481"/>
      <c r="AF92" s="17"/>
      <c r="AG92" s="539">
        <f>'HH WITHOUT COM #7'!$Y$92</f>
        <v>0</v>
      </c>
      <c r="AH92" s="373">
        <f>IF(AG$96=0,0,AG92/AG$96)</f>
        <v>0</v>
      </c>
      <c r="AI92" s="391"/>
      <c r="AJ92" s="17"/>
      <c r="AK92" s="539">
        <f t="shared" ref="AK92:AK95" si="105">I92+M92+Q92+U92+Y92+AC92+AG92</f>
        <v>3</v>
      </c>
      <c r="AL92" s="91">
        <f>IF(AK$96=0,0,AK92/AK$96)</f>
        <v>0.3</v>
      </c>
    </row>
    <row r="93" spans="1:38" s="117" customFormat="1" ht="16.5" customHeight="1" x14ac:dyDescent="0.25">
      <c r="A93" s="119"/>
      <c r="B93" s="118"/>
      <c r="C93" s="118"/>
      <c r="D93" s="474" t="s">
        <v>69</v>
      </c>
      <c r="E93" s="482" t="s">
        <v>858</v>
      </c>
      <c r="F93" s="483"/>
      <c r="G93" s="481"/>
      <c r="H93" s="17"/>
      <c r="I93" s="539">
        <f>'HH WITHOUT COM #1'!$Y$93</f>
        <v>0</v>
      </c>
      <c r="J93" s="91">
        <f>IF(I$96=0,0,I93/I$96)</f>
        <v>0</v>
      </c>
      <c r="K93" s="481"/>
      <c r="L93" s="17"/>
      <c r="M93" s="539">
        <f>'HH WITHOUT COM #2'!$Y$93</f>
        <v>1</v>
      </c>
      <c r="N93" s="91">
        <f>IF(M$96=0,0,M93/M$96)</f>
        <v>0.5</v>
      </c>
      <c r="O93" s="481"/>
      <c r="P93" s="17"/>
      <c r="Q93" s="539">
        <f>'HH WITHOUT COM #3'!$Y$93</f>
        <v>1</v>
      </c>
      <c r="R93" s="91">
        <f>IF(Q$96=0,0,Q93/Q$96)</f>
        <v>1</v>
      </c>
      <c r="S93" s="481"/>
      <c r="T93" s="17"/>
      <c r="U93" s="539">
        <f>'HH WITHOUT COM #4'!$Y$93</f>
        <v>0</v>
      </c>
      <c r="V93" s="91">
        <f>IF(U$96=0,0,U93/U$96)</f>
        <v>0</v>
      </c>
      <c r="W93" s="481"/>
      <c r="X93" s="17"/>
      <c r="Y93" s="539">
        <f>'HH WITHOUT COM #5'!$Y$93</f>
        <v>3</v>
      </c>
      <c r="Z93" s="91">
        <f>IF(Y$96=0,0,Y93/Y$96)</f>
        <v>1</v>
      </c>
      <c r="AA93" s="481"/>
      <c r="AB93" s="17"/>
      <c r="AC93" s="539">
        <f>'HH WITHOUT COM #6'!$Y$93</f>
        <v>2</v>
      </c>
      <c r="AD93" s="91">
        <f>IF(AC$96=0,0,AC93/AC$96)</f>
        <v>1</v>
      </c>
      <c r="AE93" s="481"/>
      <c r="AF93" s="17"/>
      <c r="AG93" s="539">
        <f>'HH WITHOUT COM #7'!$Y$93</f>
        <v>0</v>
      </c>
      <c r="AH93" s="373">
        <f>IF(AG$96=0,0,AG93/AG$96)</f>
        <v>0</v>
      </c>
      <c r="AI93" s="391"/>
      <c r="AJ93" s="17"/>
      <c r="AK93" s="539">
        <f t="shared" si="105"/>
        <v>7</v>
      </c>
      <c r="AL93" s="91">
        <f>IF(AK$96=0,0,AK93/AK$96)</f>
        <v>0.7</v>
      </c>
    </row>
    <row r="94" spans="1:38" s="117" customFormat="1" ht="16.5" customHeight="1" x14ac:dyDescent="0.25">
      <c r="A94" s="119"/>
      <c r="B94" s="118"/>
      <c r="C94" s="118"/>
      <c r="D94" s="474" t="s">
        <v>71</v>
      </c>
      <c r="E94" s="482" t="s">
        <v>859</v>
      </c>
      <c r="F94" s="475"/>
      <c r="G94" s="481"/>
      <c r="H94" s="17"/>
      <c r="I94" s="539">
        <f>'HH WITHOUT COM #1'!$Y$94</f>
        <v>0</v>
      </c>
      <c r="J94" s="91">
        <f>IF(I$96=0,0,I94/I$96)</f>
        <v>0</v>
      </c>
      <c r="K94" s="481"/>
      <c r="L94" s="17"/>
      <c r="M94" s="539">
        <f>'HH WITHOUT COM #2'!$Y$94</f>
        <v>0</v>
      </c>
      <c r="N94" s="91">
        <f>IF(M$96=0,0,M94/M$96)</f>
        <v>0</v>
      </c>
      <c r="O94" s="481"/>
      <c r="P94" s="17"/>
      <c r="Q94" s="539">
        <f>'HH WITHOUT COM #3'!$Y$94</f>
        <v>0</v>
      </c>
      <c r="R94" s="91">
        <f>IF(Q$96=0,0,Q94/Q$96)</f>
        <v>0</v>
      </c>
      <c r="S94" s="481"/>
      <c r="T94" s="17"/>
      <c r="U94" s="539">
        <f>'HH WITHOUT COM #4'!$Y$94</f>
        <v>0</v>
      </c>
      <c r="V94" s="91">
        <f>IF(U$96=0,0,U94/U$96)</f>
        <v>0</v>
      </c>
      <c r="W94" s="481"/>
      <c r="X94" s="17"/>
      <c r="Y94" s="539">
        <f>'HH WITHOUT COM #5'!$Y$94</f>
        <v>0</v>
      </c>
      <c r="Z94" s="91">
        <f>IF(Y$96=0,0,Y94/Y$96)</f>
        <v>0</v>
      </c>
      <c r="AA94" s="481"/>
      <c r="AB94" s="17"/>
      <c r="AC94" s="539">
        <f>'HH WITHOUT COM #6'!$Y$94</f>
        <v>0</v>
      </c>
      <c r="AD94" s="91">
        <f>IF(AC$96=0,0,AC94/AC$96)</f>
        <v>0</v>
      </c>
      <c r="AE94" s="481"/>
      <c r="AF94" s="17"/>
      <c r="AG94" s="539">
        <f>'HH WITHOUT COM #7'!$Y$94</f>
        <v>0</v>
      </c>
      <c r="AH94" s="373">
        <f>IF(AG$96=0,0,AG94/AG$96)</f>
        <v>0</v>
      </c>
      <c r="AI94" s="391"/>
      <c r="AJ94" s="17"/>
      <c r="AK94" s="539">
        <f t="shared" si="105"/>
        <v>0</v>
      </c>
      <c r="AL94" s="91">
        <f>IF(AK$96=0,0,AK94/AK$96)</f>
        <v>0</v>
      </c>
    </row>
    <row r="95" spans="1:38" s="117" customFormat="1" ht="16.5" customHeight="1" x14ac:dyDescent="0.25">
      <c r="A95" s="119"/>
      <c r="B95" s="118"/>
      <c r="C95" s="118"/>
      <c r="D95" s="474" t="s">
        <v>73</v>
      </c>
      <c r="E95" s="482" t="s">
        <v>561</v>
      </c>
      <c r="F95" s="483"/>
      <c r="G95" s="481"/>
      <c r="H95" s="17"/>
      <c r="I95" s="539">
        <f>'HH WITHOUT COM #1'!$Y$95</f>
        <v>0</v>
      </c>
      <c r="J95" s="91">
        <f>IF(I$96=0,0,I95/I$96)</f>
        <v>0</v>
      </c>
      <c r="K95" s="481"/>
      <c r="L95" s="17"/>
      <c r="M95" s="539">
        <f>'HH WITHOUT COM #2'!$Y$95</f>
        <v>0</v>
      </c>
      <c r="N95" s="91">
        <f>IF(M$96=0,0,M95/M$96)</f>
        <v>0</v>
      </c>
      <c r="O95" s="481"/>
      <c r="P95" s="17"/>
      <c r="Q95" s="539">
        <f>'HH WITHOUT COM #3'!$Y$95</f>
        <v>0</v>
      </c>
      <c r="R95" s="91">
        <f>IF(Q$96=0,0,Q95/Q$96)</f>
        <v>0</v>
      </c>
      <c r="S95" s="481"/>
      <c r="T95" s="17"/>
      <c r="U95" s="539">
        <f>'HH WITHOUT COM #4'!$Y$95</f>
        <v>0</v>
      </c>
      <c r="V95" s="91">
        <f>IF(U$96=0,0,U95/U$96)</f>
        <v>0</v>
      </c>
      <c r="W95" s="481"/>
      <c r="X95" s="17"/>
      <c r="Y95" s="539">
        <f>'HH WITHOUT COM #5'!$Y$95</f>
        <v>0</v>
      </c>
      <c r="Z95" s="91">
        <f>IF(Y$96=0,0,Y95/Y$96)</f>
        <v>0</v>
      </c>
      <c r="AA95" s="481"/>
      <c r="AB95" s="17"/>
      <c r="AC95" s="539">
        <f>'HH WITHOUT COM #6'!$Y$95</f>
        <v>0</v>
      </c>
      <c r="AD95" s="91">
        <f>IF(AC$96=0,0,AC95/AC$96)</f>
        <v>0</v>
      </c>
      <c r="AE95" s="481"/>
      <c r="AF95" s="17"/>
      <c r="AG95" s="539">
        <f>'HH WITHOUT COM #7'!$Y$95</f>
        <v>0</v>
      </c>
      <c r="AH95" s="373">
        <f>IF(AG$96=0,0,AG95/AG$96)</f>
        <v>0</v>
      </c>
      <c r="AI95" s="391"/>
      <c r="AJ95" s="17"/>
      <c r="AK95" s="539">
        <f t="shared" si="105"/>
        <v>0</v>
      </c>
      <c r="AL95" s="91">
        <f>IF(AK$96=0,0,AK95/AK$96)</f>
        <v>0</v>
      </c>
    </row>
    <row r="96" spans="1:38" s="117" customFormat="1" ht="16.5" customHeight="1" x14ac:dyDescent="0.25">
      <c r="A96" s="119"/>
      <c r="B96" s="40"/>
      <c r="C96" s="40"/>
      <c r="D96" s="479"/>
      <c r="E96" s="78"/>
      <c r="F96" s="79"/>
      <c r="G96" s="82"/>
      <c r="H96" s="82"/>
      <c r="I96" s="82">
        <f>SUM(I92:I95)</f>
        <v>1</v>
      </c>
      <c r="J96" s="66">
        <f>IF(I$96=0,0,I96/I$96)</f>
        <v>1</v>
      </c>
      <c r="K96" s="82"/>
      <c r="L96" s="82"/>
      <c r="M96" s="82">
        <f>SUM(M92:M95)</f>
        <v>2</v>
      </c>
      <c r="N96" s="66">
        <f>IF(M$96=0,0,M96/M$96)</f>
        <v>1</v>
      </c>
      <c r="O96" s="82"/>
      <c r="P96" s="82"/>
      <c r="Q96" s="82">
        <f>SUM(Q92:Q95)</f>
        <v>1</v>
      </c>
      <c r="R96" s="66">
        <f>IF(Q$96=0,0,Q96/Q$96)</f>
        <v>1</v>
      </c>
      <c r="S96" s="82"/>
      <c r="T96" s="82"/>
      <c r="U96" s="82">
        <f>SUM(U92:U95)</f>
        <v>1</v>
      </c>
      <c r="V96" s="66">
        <f>IF(U$96=0,0,U96/U$96)</f>
        <v>1</v>
      </c>
      <c r="W96" s="82"/>
      <c r="X96" s="82"/>
      <c r="Y96" s="82">
        <f>SUM(Y92:Y95)</f>
        <v>3</v>
      </c>
      <c r="Z96" s="66">
        <f>IF(Y$96=0,0,Y96/Y$96)</f>
        <v>1</v>
      </c>
      <c r="AA96" s="82"/>
      <c r="AB96" s="82"/>
      <c r="AC96" s="82">
        <f>SUM(AC92:AC95)</f>
        <v>2</v>
      </c>
      <c r="AD96" s="66">
        <f>IF(AC$96=0,0,AC96/AC$96)</f>
        <v>1</v>
      </c>
      <c r="AE96" s="82"/>
      <c r="AF96" s="82"/>
      <c r="AG96" s="82">
        <f>SUM(AG92:AG95)</f>
        <v>0</v>
      </c>
      <c r="AH96" s="608">
        <f>IF(AG$96=0,0,AG96/AG$96)</f>
        <v>0</v>
      </c>
      <c r="AI96" s="381"/>
      <c r="AJ96" s="82"/>
      <c r="AK96" s="82">
        <f>SUM(AK92:AK95)</f>
        <v>10</v>
      </c>
      <c r="AL96" s="66">
        <f>IF(AK$96=0,0,AK96/AK$96)</f>
        <v>1</v>
      </c>
    </row>
    <row r="97" spans="1:38" s="117" customFormat="1" ht="16.5" customHeight="1" x14ac:dyDescent="0.25">
      <c r="A97" s="119"/>
      <c r="B97" s="41" t="s">
        <v>74</v>
      </c>
      <c r="C97" s="476" t="s">
        <v>12</v>
      </c>
      <c r="D97" s="477"/>
      <c r="E97" s="478"/>
      <c r="F97" s="478"/>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355"/>
      <c r="AI97" s="377"/>
      <c r="AJ97" s="71"/>
      <c r="AK97" s="71"/>
      <c r="AL97" s="71"/>
    </row>
    <row r="98" spans="1:38" s="117" customFormat="1" ht="16.5" customHeight="1" x14ac:dyDescent="0.25">
      <c r="A98" s="119"/>
      <c r="B98" s="102"/>
      <c r="C98" s="103" t="s">
        <v>80</v>
      </c>
      <c r="D98" s="85" t="s">
        <v>1045</v>
      </c>
      <c r="E98" s="475"/>
      <c r="F98" s="108"/>
      <c r="G98" s="17"/>
      <c r="H98" s="17"/>
      <c r="I98" s="539">
        <f>'HH WITHOUT COM #1'!$Y$109</f>
        <v>0</v>
      </c>
      <c r="J98" s="17"/>
      <c r="K98" s="17"/>
      <c r="L98" s="17"/>
      <c r="M98" s="539">
        <f>'HH WITHOUT COM #2'!$Y$109</f>
        <v>0</v>
      </c>
      <c r="N98" s="17"/>
      <c r="O98" s="17"/>
      <c r="P98" s="17"/>
      <c r="Q98" s="539">
        <f>'HH WITHOUT COM #3'!$Y$109</f>
        <v>0</v>
      </c>
      <c r="R98" s="17"/>
      <c r="S98" s="17"/>
      <c r="T98" s="17"/>
      <c r="U98" s="539">
        <f>'HH WITHOUT COM #4'!$Y$109</f>
        <v>0</v>
      </c>
      <c r="V98" s="17"/>
      <c r="W98" s="17"/>
      <c r="X98" s="17"/>
      <c r="Y98" s="539">
        <f>'HH WITHOUT COM #5'!$Y$109</f>
        <v>0</v>
      </c>
      <c r="Z98" s="17"/>
      <c r="AA98" s="17"/>
      <c r="AB98" s="17"/>
      <c r="AC98" s="539">
        <f>'HH WITHOUT COM #6'!$Y$109</f>
        <v>0</v>
      </c>
      <c r="AD98" s="17"/>
      <c r="AE98" s="17"/>
      <c r="AF98" s="17"/>
      <c r="AG98" s="539">
        <f>'HH WITHOUT COM #7'!$Y$109</f>
        <v>0</v>
      </c>
      <c r="AH98" s="359"/>
      <c r="AI98" s="391"/>
      <c r="AJ98" s="17"/>
      <c r="AK98" s="539">
        <f t="shared" ref="AK98" si="106">I98+M98+Q98+U98+Y98+AC98+AG98</f>
        <v>0</v>
      </c>
      <c r="AL98" s="17"/>
    </row>
    <row r="99" spans="1:38" ht="16.5" customHeight="1" x14ac:dyDescent="0.25">
      <c r="A99" s="47"/>
      <c r="B99" s="470"/>
      <c r="C99" s="40"/>
      <c r="D99" s="464" t="s">
        <v>913</v>
      </c>
      <c r="E99" s="464"/>
      <c r="F99" s="465"/>
      <c r="G99" s="66"/>
      <c r="H99" s="66"/>
      <c r="I99" s="66">
        <f>IF(I$14=0,0,I98/I$14)</f>
        <v>0</v>
      </c>
      <c r="J99" s="66"/>
      <c r="K99" s="66"/>
      <c r="L99" s="66"/>
      <c r="M99" s="66">
        <f>IF(M$14=0,0,M98/M$14)</f>
        <v>0</v>
      </c>
      <c r="N99" s="66"/>
      <c r="O99" s="66"/>
      <c r="P99" s="66"/>
      <c r="Q99" s="66">
        <f>IF(Q$14=0,0,Q98/Q$14)</f>
        <v>0</v>
      </c>
      <c r="R99" s="66"/>
      <c r="S99" s="66"/>
      <c r="T99" s="66"/>
      <c r="U99" s="66">
        <f>IF(U$14=0,0,U98/U$14)</f>
        <v>0</v>
      </c>
      <c r="V99" s="66"/>
      <c r="W99" s="66"/>
      <c r="X99" s="66"/>
      <c r="Y99" s="66">
        <f>IF(Y$14=0,0,Y98/Y$14)</f>
        <v>0</v>
      </c>
      <c r="Z99" s="66"/>
      <c r="AA99" s="66"/>
      <c r="AB99" s="66"/>
      <c r="AC99" s="66">
        <f>IF(AC$14=0,0,AC98/AC$14)</f>
        <v>0</v>
      </c>
      <c r="AD99" s="66"/>
      <c r="AE99" s="66"/>
      <c r="AF99" s="66"/>
      <c r="AG99" s="66">
        <f>IF(AG$14=0,0,AG98/AG$14)</f>
        <v>0</v>
      </c>
      <c r="AH99" s="608"/>
      <c r="AI99" s="619"/>
      <c r="AJ99" s="66"/>
      <c r="AK99" s="66">
        <f>IF(AK$14=0,0,AK98/AK$14)</f>
        <v>0</v>
      </c>
      <c r="AL99" s="66"/>
    </row>
    <row r="100" spans="1:38" s="117" customFormat="1" ht="16.5" customHeight="1" x14ac:dyDescent="0.25">
      <c r="A100" s="119"/>
      <c r="B100" s="119"/>
      <c r="C100" s="103" t="s">
        <v>86</v>
      </c>
      <c r="D100" s="85" t="s">
        <v>1044</v>
      </c>
      <c r="E100" s="475"/>
      <c r="F100" s="108"/>
      <c r="G100" s="111"/>
      <c r="H100" s="111"/>
      <c r="I100" s="545"/>
      <c r="J100" s="111"/>
      <c r="K100" s="111"/>
      <c r="L100" s="111"/>
      <c r="M100" s="545"/>
      <c r="N100" s="111"/>
      <c r="O100" s="111"/>
      <c r="P100" s="111"/>
      <c r="Q100" s="545"/>
      <c r="R100" s="111"/>
      <c r="S100" s="111"/>
      <c r="T100" s="111"/>
      <c r="U100" s="545"/>
      <c r="V100" s="111"/>
      <c r="W100" s="111"/>
      <c r="X100" s="111"/>
      <c r="Y100" s="545"/>
      <c r="Z100" s="111"/>
      <c r="AA100" s="111"/>
      <c r="AB100" s="111"/>
      <c r="AC100" s="545"/>
      <c r="AD100" s="111"/>
      <c r="AE100" s="111"/>
      <c r="AF100" s="111"/>
      <c r="AG100" s="545"/>
      <c r="AH100" s="358"/>
      <c r="AI100" s="380"/>
      <c r="AJ100" s="111"/>
      <c r="AK100" s="545"/>
      <c r="AL100" s="111"/>
    </row>
    <row r="101" spans="1:38" s="117" customFormat="1" ht="16.5" customHeight="1" x14ac:dyDescent="0.25">
      <c r="A101" s="253"/>
      <c r="B101" s="522"/>
      <c r="C101" s="119"/>
      <c r="D101" s="105" t="s">
        <v>1042</v>
      </c>
      <c r="E101" s="523"/>
      <c r="F101" s="524"/>
      <c r="G101" s="17"/>
      <c r="H101" s="17"/>
      <c r="I101" s="539">
        <f>'HH WITH COM #1 '!$Y$116</f>
        <v>0</v>
      </c>
      <c r="J101" s="17"/>
      <c r="K101" s="17"/>
      <c r="L101" s="17"/>
      <c r="M101" s="539">
        <f>'HH WITH COM #2'!$Y$116</f>
        <v>0</v>
      </c>
      <c r="N101" s="17"/>
      <c r="O101" s="17"/>
      <c r="P101" s="17"/>
      <c r="Q101" s="539">
        <f>'HH WITH COM #3'!$Y$116</f>
        <v>0</v>
      </c>
      <c r="R101" s="17"/>
      <c r="S101" s="17"/>
      <c r="T101" s="17"/>
      <c r="U101" s="539">
        <f>'HH WITH COM #4'!$Y$116</f>
        <v>0</v>
      </c>
      <c r="V101" s="17"/>
      <c r="W101" s="17"/>
      <c r="X101" s="17"/>
      <c r="Y101" s="539">
        <f>'HH WITH COM #5'!$Y$116</f>
        <v>0</v>
      </c>
      <c r="Z101" s="17"/>
      <c r="AA101" s="17"/>
      <c r="AB101" s="17"/>
      <c r="AC101" s="539">
        <f>'HH WITH COM #6'!$Y$116</f>
        <v>0</v>
      </c>
      <c r="AD101" s="17"/>
      <c r="AE101" s="17"/>
      <c r="AF101" s="17"/>
      <c r="AG101" s="539">
        <f>'HH WITH COM #7'!$Y$116</f>
        <v>0</v>
      </c>
      <c r="AH101" s="359"/>
      <c r="AI101" s="391"/>
      <c r="AJ101" s="17"/>
      <c r="AK101" s="539">
        <f t="shared" ref="AK101:AK104" si="107">I101+M101+Q101+U101+Y101+AC101+AG101</f>
        <v>0</v>
      </c>
      <c r="AL101" s="17"/>
    </row>
    <row r="102" spans="1:38" s="117" customFormat="1" ht="16.5" customHeight="1" x14ac:dyDescent="0.25">
      <c r="A102" s="253"/>
      <c r="B102" s="522"/>
      <c r="C102" s="119"/>
      <c r="D102" s="105" t="s">
        <v>1043</v>
      </c>
      <c r="E102" s="523"/>
      <c r="F102" s="524"/>
      <c r="G102" s="17"/>
      <c r="H102" s="17"/>
      <c r="I102" s="539">
        <f>'HH WITH COM #1 '!$Y$117</f>
        <v>0</v>
      </c>
      <c r="J102" s="17"/>
      <c r="K102" s="17"/>
      <c r="L102" s="17"/>
      <c r="M102" s="539">
        <f>'HH WITH COM #2'!$Y$117</f>
        <v>0</v>
      </c>
      <c r="N102" s="17"/>
      <c r="O102" s="17"/>
      <c r="P102" s="17"/>
      <c r="Q102" s="539">
        <f>'HH WITH COM #3'!$Y$117</f>
        <v>0</v>
      </c>
      <c r="R102" s="17"/>
      <c r="S102" s="17"/>
      <c r="T102" s="17"/>
      <c r="U102" s="539">
        <f>'HH WITH COM #4'!$Y$117</f>
        <v>0</v>
      </c>
      <c r="V102" s="17"/>
      <c r="W102" s="17"/>
      <c r="X102" s="17"/>
      <c r="Y102" s="539">
        <f>'HH WITH COM #5'!$Y$117</f>
        <v>0</v>
      </c>
      <c r="Z102" s="17"/>
      <c r="AA102" s="17"/>
      <c r="AB102" s="17"/>
      <c r="AC102" s="539">
        <f>'HH WITH COM #6'!$Y$117</f>
        <v>0</v>
      </c>
      <c r="AD102" s="17"/>
      <c r="AE102" s="17"/>
      <c r="AF102" s="17"/>
      <c r="AG102" s="539">
        <f>'HH WITH COM #7'!$Y$117</f>
        <v>0</v>
      </c>
      <c r="AH102" s="359"/>
      <c r="AI102" s="391"/>
      <c r="AJ102" s="17"/>
      <c r="AK102" s="539">
        <f t="shared" si="107"/>
        <v>0</v>
      </c>
      <c r="AL102" s="17"/>
    </row>
    <row r="103" spans="1:38" ht="16.5" customHeight="1" x14ac:dyDescent="0.25">
      <c r="A103" s="47"/>
      <c r="B103" s="470"/>
      <c r="C103" s="40"/>
      <c r="D103" s="464" t="s">
        <v>912</v>
      </c>
      <c r="E103" s="464"/>
      <c r="F103" s="465"/>
      <c r="G103" s="66"/>
      <c r="H103" s="66"/>
      <c r="I103" s="66">
        <f>IF(I$14=0,0,I102/I$14)</f>
        <v>0</v>
      </c>
      <c r="J103" s="66"/>
      <c r="K103" s="66"/>
      <c r="L103" s="66"/>
      <c r="M103" s="66">
        <f>IF(M$14=0,0,M102/M$14)</f>
        <v>0</v>
      </c>
      <c r="N103" s="66"/>
      <c r="O103" s="66"/>
      <c r="P103" s="66"/>
      <c r="Q103" s="66">
        <f>IF(Q$14=0,0,Q102/Q$14)</f>
        <v>0</v>
      </c>
      <c r="R103" s="66"/>
      <c r="S103" s="66"/>
      <c r="T103" s="66"/>
      <c r="U103" s="66">
        <f>IF(U$14=0,0,U102/U$14)</f>
        <v>0</v>
      </c>
      <c r="V103" s="66"/>
      <c r="W103" s="66"/>
      <c r="X103" s="66"/>
      <c r="Y103" s="66">
        <f>IF(Y$14=0,0,Y102/Y$14)</f>
        <v>0</v>
      </c>
      <c r="Z103" s="66"/>
      <c r="AA103" s="66"/>
      <c r="AB103" s="66"/>
      <c r="AC103" s="66">
        <f>IF(AC$14=0,0,AC102/AC$14)</f>
        <v>0</v>
      </c>
      <c r="AD103" s="66"/>
      <c r="AE103" s="66"/>
      <c r="AF103" s="66"/>
      <c r="AG103" s="66">
        <f>IF(AG$14=0,0,AG102/AG$14)</f>
        <v>0</v>
      </c>
      <c r="AH103" s="608"/>
      <c r="AI103" s="619"/>
      <c r="AJ103" s="66"/>
      <c r="AK103" s="66">
        <f>IF(AK$14=0,0,AK102/AK$14)</f>
        <v>0</v>
      </c>
      <c r="AL103" s="66"/>
    </row>
    <row r="104" spans="1:38" s="117" customFormat="1" ht="16.5" customHeight="1" x14ac:dyDescent="0.25">
      <c r="A104" s="119"/>
      <c r="B104" s="119"/>
      <c r="C104" s="103" t="s">
        <v>92</v>
      </c>
      <c r="D104" s="85" t="s">
        <v>1046</v>
      </c>
      <c r="E104" s="475"/>
      <c r="F104" s="108"/>
      <c r="G104" s="17"/>
      <c r="H104" s="17"/>
      <c r="I104" s="539">
        <f>'HH WITH COM #1 '!$Y$122</f>
        <v>1</v>
      </c>
      <c r="J104" s="17"/>
      <c r="K104" s="17"/>
      <c r="L104" s="17"/>
      <c r="M104" s="539">
        <f>'HH WITH COM #2'!$Y$122</f>
        <v>0</v>
      </c>
      <c r="N104" s="17"/>
      <c r="O104" s="17"/>
      <c r="P104" s="17"/>
      <c r="Q104" s="539">
        <f>'HH WITH COM #3'!$Y$122</f>
        <v>1</v>
      </c>
      <c r="R104" s="17"/>
      <c r="S104" s="17"/>
      <c r="T104" s="17"/>
      <c r="U104" s="539">
        <f>'HH WITH COM #4'!$Y$122</f>
        <v>1</v>
      </c>
      <c r="V104" s="17"/>
      <c r="W104" s="17"/>
      <c r="X104" s="17"/>
      <c r="Y104" s="539">
        <f>'HH WITH COM #5'!$Y$122</f>
        <v>0</v>
      </c>
      <c r="Z104" s="17"/>
      <c r="AA104" s="17"/>
      <c r="AB104" s="17"/>
      <c r="AC104" s="539">
        <f>'HH WITH COM #6'!$Y$122</f>
        <v>2</v>
      </c>
      <c r="AD104" s="17"/>
      <c r="AE104" s="17"/>
      <c r="AF104" s="17"/>
      <c r="AG104" s="539">
        <f>'HH WITH COM #7'!$Y$122</f>
        <v>0</v>
      </c>
      <c r="AH104" s="359"/>
      <c r="AI104" s="391"/>
      <c r="AJ104" s="17"/>
      <c r="AK104" s="539">
        <f t="shared" si="107"/>
        <v>5</v>
      </c>
      <c r="AL104" s="17"/>
    </row>
    <row r="105" spans="1:38" ht="16.5" customHeight="1" x14ac:dyDescent="0.25">
      <c r="A105" s="47"/>
      <c r="B105" s="470"/>
      <c r="C105" s="40"/>
      <c r="D105" s="464" t="s">
        <v>854</v>
      </c>
      <c r="E105" s="464"/>
      <c r="F105" s="465"/>
      <c r="G105" s="66"/>
      <c r="H105" s="66"/>
      <c r="I105" s="66">
        <f>IF(I$14=0,0,I104/I$14)</f>
        <v>0.5</v>
      </c>
      <c r="J105" s="66"/>
      <c r="K105" s="66"/>
      <c r="L105" s="66"/>
      <c r="M105" s="66">
        <f>IF(M$14=0,0,M104/M$14)</f>
        <v>0</v>
      </c>
      <c r="N105" s="66"/>
      <c r="O105" s="66"/>
      <c r="P105" s="66"/>
      <c r="Q105" s="66">
        <f>IF(Q$14=0,0,Q104/Q$14)</f>
        <v>1</v>
      </c>
      <c r="R105" s="66"/>
      <c r="S105" s="66"/>
      <c r="T105" s="66"/>
      <c r="U105" s="66">
        <f>IF(U$14=0,0,U104/U$14)</f>
        <v>0.5</v>
      </c>
      <c r="V105" s="66"/>
      <c r="W105" s="66"/>
      <c r="X105" s="66"/>
      <c r="Y105" s="66">
        <f>IF(Y$14=0,0,Y104/Y$14)</f>
        <v>0</v>
      </c>
      <c r="Z105" s="66"/>
      <c r="AA105" s="66"/>
      <c r="AB105" s="66"/>
      <c r="AC105" s="66">
        <f>IF(AC$14=0,0,AC104/AC$14)</f>
        <v>1</v>
      </c>
      <c r="AD105" s="66"/>
      <c r="AE105" s="66"/>
      <c r="AF105" s="66"/>
      <c r="AG105" s="66">
        <f>IF(AG$14=0,0,AG104/AG$14)</f>
        <v>0</v>
      </c>
      <c r="AH105" s="608"/>
      <c r="AI105" s="619"/>
      <c r="AJ105" s="66"/>
      <c r="AK105" s="66">
        <f>IF(AK$14=0,0,AK104/AK$14)</f>
        <v>0.41666666666666669</v>
      </c>
      <c r="AL105" s="66"/>
    </row>
    <row r="106" spans="1:38" s="117" customFormat="1" ht="16.5" customHeight="1" x14ac:dyDescent="0.25">
      <c r="A106" s="119"/>
      <c r="B106" s="119"/>
      <c r="C106" s="103" t="s">
        <v>93</v>
      </c>
      <c r="D106" s="85" t="s">
        <v>915</v>
      </c>
      <c r="E106" s="475"/>
      <c r="F106" s="108"/>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c r="AD106" s="111"/>
      <c r="AE106" s="111"/>
      <c r="AF106" s="111"/>
      <c r="AG106" s="111"/>
      <c r="AH106" s="358"/>
      <c r="AI106" s="380"/>
      <c r="AJ106" s="111"/>
      <c r="AK106" s="111"/>
      <c r="AL106" s="111"/>
    </row>
    <row r="107" spans="1:38" s="117" customFormat="1" ht="16.5" customHeight="1" x14ac:dyDescent="0.25">
      <c r="A107" s="119"/>
      <c r="B107" s="119"/>
      <c r="C107" s="132"/>
      <c r="D107" s="484" t="s">
        <v>916</v>
      </c>
      <c r="E107" s="105"/>
      <c r="F107" s="76"/>
      <c r="G107" s="17"/>
      <c r="H107" s="17"/>
      <c r="I107" s="539">
        <f>'HH WITH COM #1 '!$Y$124</f>
        <v>1</v>
      </c>
      <c r="J107" s="91">
        <f>IF(I$111=0,0,I107/I$111)</f>
        <v>0.5</v>
      </c>
      <c r="K107" s="17"/>
      <c r="L107" s="17"/>
      <c r="M107" s="539">
        <f>'HH WITH COM #2'!$Y$124</f>
        <v>2</v>
      </c>
      <c r="N107" s="91">
        <f>IF(M$111=0,0,M107/M$111)</f>
        <v>1</v>
      </c>
      <c r="O107" s="17"/>
      <c r="P107" s="17"/>
      <c r="Q107" s="539">
        <f>'HH WITH COM #3'!$Y$124</f>
        <v>0</v>
      </c>
      <c r="R107" s="91">
        <f>IF(Q$111=0,0,Q107/Q$111)</f>
        <v>0</v>
      </c>
      <c r="S107" s="17"/>
      <c r="T107" s="17"/>
      <c r="U107" s="539">
        <f>'HH WITH COM #4'!$Y$124</f>
        <v>1</v>
      </c>
      <c r="V107" s="91">
        <f>IF(U$111=0,0,U107/U$111)</f>
        <v>0.5</v>
      </c>
      <c r="W107" s="17"/>
      <c r="X107" s="17"/>
      <c r="Y107" s="539">
        <f>'HH WITH COM #5'!$Y$124</f>
        <v>3</v>
      </c>
      <c r="Z107" s="91">
        <f>IF(Y$111=0,0,Y107/Y$111)</f>
        <v>1</v>
      </c>
      <c r="AA107" s="17"/>
      <c r="AB107" s="17"/>
      <c r="AC107" s="539">
        <f>'HH WITH COM #6'!$Y$124</f>
        <v>0</v>
      </c>
      <c r="AD107" s="91">
        <f>IF(AC$111=0,0,AC107/AC$111)</f>
        <v>0</v>
      </c>
      <c r="AE107" s="17"/>
      <c r="AF107" s="17"/>
      <c r="AG107" s="539">
        <f>'HH WITH COM #7'!$Y$124</f>
        <v>0</v>
      </c>
      <c r="AH107" s="373">
        <f>IF(AG$111=0,0,AG107/AG$111)</f>
        <v>0</v>
      </c>
      <c r="AI107" s="391"/>
      <c r="AJ107" s="17"/>
      <c r="AK107" s="539">
        <f t="shared" ref="AK107:AK113" si="108">I107+M107+Q107+U107+Y107+AC107+AG107</f>
        <v>7</v>
      </c>
      <c r="AL107" s="91">
        <f>IF(AK$111=0,0,AK107/AK$111)</f>
        <v>0.58333333333333337</v>
      </c>
    </row>
    <row r="108" spans="1:38" s="117" customFormat="1" ht="16.5" customHeight="1" x14ac:dyDescent="0.25">
      <c r="A108" s="119"/>
      <c r="B108" s="119"/>
      <c r="C108" s="135"/>
      <c r="D108" s="484" t="s">
        <v>917</v>
      </c>
      <c r="E108" s="105"/>
      <c r="F108" s="76"/>
      <c r="G108" s="17"/>
      <c r="H108" s="17"/>
      <c r="I108" s="539">
        <f>'HH WITH COM #1 '!$Y$125</f>
        <v>1</v>
      </c>
      <c r="J108" s="91">
        <f>IF(I$111=0,0,I108/I$111)</f>
        <v>0.5</v>
      </c>
      <c r="K108" s="17"/>
      <c r="L108" s="17"/>
      <c r="M108" s="539">
        <f>'HH WITH COM #2'!$Y$125</f>
        <v>0</v>
      </c>
      <c r="N108" s="91">
        <f>IF(M$111=0,0,M108/M$111)</f>
        <v>0</v>
      </c>
      <c r="O108" s="17"/>
      <c r="P108" s="17"/>
      <c r="Q108" s="539">
        <f>'HH WITH COM #3'!$Y$125</f>
        <v>1</v>
      </c>
      <c r="R108" s="91">
        <f>IF(Q$111=0,0,Q108/Q$111)</f>
        <v>1</v>
      </c>
      <c r="S108" s="17"/>
      <c r="T108" s="17"/>
      <c r="U108" s="539">
        <f>'HH WITH COM #4'!$Y$125</f>
        <v>1</v>
      </c>
      <c r="V108" s="91">
        <f>IF(U$111=0,0,U108/U$111)</f>
        <v>0.5</v>
      </c>
      <c r="W108" s="17"/>
      <c r="X108" s="17"/>
      <c r="Y108" s="539">
        <f>'HH WITH COM #5'!$Y$125</f>
        <v>0</v>
      </c>
      <c r="Z108" s="91">
        <f>IF(Y$111=0,0,Y108/Y$111)</f>
        <v>0</v>
      </c>
      <c r="AA108" s="17"/>
      <c r="AB108" s="17"/>
      <c r="AC108" s="539">
        <f>'HH WITH COM #6'!$Y$125</f>
        <v>2</v>
      </c>
      <c r="AD108" s="91">
        <f>IF(AC$111=0,0,AC108/AC$111)</f>
        <v>1</v>
      </c>
      <c r="AE108" s="17"/>
      <c r="AF108" s="17"/>
      <c r="AG108" s="539">
        <f>'HH WITH COM #7'!$Y$125</f>
        <v>0</v>
      </c>
      <c r="AH108" s="373">
        <f>IF(AG$111=0,0,AG108/AG$111)</f>
        <v>0</v>
      </c>
      <c r="AI108" s="391"/>
      <c r="AJ108" s="17"/>
      <c r="AK108" s="539">
        <f t="shared" si="108"/>
        <v>5</v>
      </c>
      <c r="AL108" s="91">
        <f>IF(AK$111=0,0,AK108/AK$111)</f>
        <v>0.41666666666666669</v>
      </c>
    </row>
    <row r="109" spans="1:38" s="117" customFormat="1" ht="16.5" customHeight="1" x14ac:dyDescent="0.25">
      <c r="A109" s="119"/>
      <c r="B109" s="119"/>
      <c r="C109" s="136"/>
      <c r="D109" s="484" t="s">
        <v>918</v>
      </c>
      <c r="E109" s="105"/>
      <c r="F109" s="76"/>
      <c r="G109" s="17"/>
      <c r="H109" s="17"/>
      <c r="I109" s="539">
        <f>'HH WITH COM #1 '!$Y$126</f>
        <v>0</v>
      </c>
      <c r="J109" s="91">
        <f>IF(I$111=0,0,I109/I$111)</f>
        <v>0</v>
      </c>
      <c r="K109" s="17"/>
      <c r="L109" s="17"/>
      <c r="M109" s="539">
        <f>'HH WITH COM #2'!$Y$126</f>
        <v>0</v>
      </c>
      <c r="N109" s="91">
        <f>IF(M$111=0,0,M109/M$111)</f>
        <v>0</v>
      </c>
      <c r="O109" s="17"/>
      <c r="P109" s="17"/>
      <c r="Q109" s="539">
        <f>'HH WITH COM #3'!$Y$126</f>
        <v>0</v>
      </c>
      <c r="R109" s="91">
        <f>IF(Q$111=0,0,Q109/Q$111)</f>
        <v>0</v>
      </c>
      <c r="S109" s="17"/>
      <c r="T109" s="17"/>
      <c r="U109" s="539">
        <f>'HH WITH COM #4'!$Y$126</f>
        <v>0</v>
      </c>
      <c r="V109" s="91">
        <f>IF(U$111=0,0,U109/U$111)</f>
        <v>0</v>
      </c>
      <c r="W109" s="17"/>
      <c r="X109" s="17"/>
      <c r="Y109" s="539">
        <f>'HH WITH COM #5'!$Y$126</f>
        <v>0</v>
      </c>
      <c r="Z109" s="91">
        <f>IF(Y$111=0,0,Y109/Y$111)</f>
        <v>0</v>
      </c>
      <c r="AA109" s="17"/>
      <c r="AB109" s="17"/>
      <c r="AC109" s="539">
        <f>'HH WITH COM #6'!$Y$126</f>
        <v>0</v>
      </c>
      <c r="AD109" s="91">
        <f>IF(AC$111=0,0,AC109/AC$111)</f>
        <v>0</v>
      </c>
      <c r="AE109" s="17"/>
      <c r="AF109" s="17"/>
      <c r="AG109" s="539">
        <f>'HH WITH COM #7'!$Y$126</f>
        <v>0</v>
      </c>
      <c r="AH109" s="373">
        <f>IF(AG$111=0,0,AG109/AG$111)</f>
        <v>0</v>
      </c>
      <c r="AI109" s="391"/>
      <c r="AJ109" s="17"/>
      <c r="AK109" s="539">
        <f t="shared" si="108"/>
        <v>0</v>
      </c>
      <c r="AL109" s="91">
        <f>IF(AK$111=0,0,AK109/AK$111)</f>
        <v>0</v>
      </c>
    </row>
    <row r="110" spans="1:38" s="117" customFormat="1" ht="16.5" customHeight="1" x14ac:dyDescent="0.25">
      <c r="A110" s="119"/>
      <c r="B110" s="119"/>
      <c r="C110" s="137"/>
      <c r="D110" s="484" t="s">
        <v>919</v>
      </c>
      <c r="E110" s="105"/>
      <c r="F110" s="76"/>
      <c r="G110" s="17"/>
      <c r="H110" s="17"/>
      <c r="I110" s="539">
        <f>'HH WITH COM #1 '!$Y$127</f>
        <v>0</v>
      </c>
      <c r="J110" s="91">
        <f>IF(I$111=0,0,I110/I$111)</f>
        <v>0</v>
      </c>
      <c r="K110" s="17"/>
      <c r="L110" s="17"/>
      <c r="M110" s="539">
        <f>'HH WITH COM #2'!$Y$127</f>
        <v>0</v>
      </c>
      <c r="N110" s="91">
        <f>IF(M$111=0,0,M110/M$111)</f>
        <v>0</v>
      </c>
      <c r="O110" s="17"/>
      <c r="P110" s="17"/>
      <c r="Q110" s="539">
        <f>'HH WITH COM #3'!$Y$127</f>
        <v>0</v>
      </c>
      <c r="R110" s="91">
        <f>IF(Q$111=0,0,Q110/Q$111)</f>
        <v>0</v>
      </c>
      <c r="S110" s="17"/>
      <c r="T110" s="17"/>
      <c r="U110" s="539">
        <f>'HH WITH COM #4'!$Y$127</f>
        <v>0</v>
      </c>
      <c r="V110" s="91">
        <f>IF(U$111=0,0,U110/U$111)</f>
        <v>0</v>
      </c>
      <c r="W110" s="17"/>
      <c r="X110" s="17"/>
      <c r="Y110" s="539">
        <f>'HH WITH COM #5'!$Y$127</f>
        <v>0</v>
      </c>
      <c r="Z110" s="91">
        <f>IF(Y$111=0,0,Y110/Y$111)</f>
        <v>0</v>
      </c>
      <c r="AA110" s="17"/>
      <c r="AB110" s="17"/>
      <c r="AC110" s="539">
        <f>'HH WITH COM #6'!$Y$127</f>
        <v>0</v>
      </c>
      <c r="AD110" s="91">
        <f>IF(AC$111=0,0,AC110/AC$111)</f>
        <v>0</v>
      </c>
      <c r="AE110" s="17"/>
      <c r="AF110" s="17"/>
      <c r="AG110" s="539">
        <f>'HH WITH COM #7'!$Y$127</f>
        <v>0</v>
      </c>
      <c r="AH110" s="373">
        <f>IF(AG$111=0,0,AG110/AG$111)</f>
        <v>0</v>
      </c>
      <c r="AI110" s="391"/>
      <c r="AJ110" s="17"/>
      <c r="AK110" s="539">
        <f t="shared" si="108"/>
        <v>0</v>
      </c>
      <c r="AL110" s="91">
        <f>IF(AK$111=0,0,AK110/AK$111)</f>
        <v>0</v>
      </c>
    </row>
    <row r="111" spans="1:38" s="117" customFormat="1" ht="16.5" customHeight="1" x14ac:dyDescent="0.25">
      <c r="A111" s="119"/>
      <c r="B111" s="40"/>
      <c r="C111" s="40"/>
      <c r="D111" s="485"/>
      <c r="E111" s="486"/>
      <c r="F111" s="79"/>
      <c r="G111" s="82"/>
      <c r="H111" s="82"/>
      <c r="I111" s="82">
        <f>SUM(I107:I110)</f>
        <v>2</v>
      </c>
      <c r="J111" s="66">
        <f>IF(I$111=0,0,I111/I$111)</f>
        <v>1</v>
      </c>
      <c r="K111" s="82"/>
      <c r="L111" s="82"/>
      <c r="M111" s="82">
        <f>SUM(M107:M110)</f>
        <v>2</v>
      </c>
      <c r="N111" s="66">
        <f>IF(M$111=0,0,M111/M$111)</f>
        <v>1</v>
      </c>
      <c r="O111" s="82"/>
      <c r="P111" s="82"/>
      <c r="Q111" s="82">
        <f>SUM(Q107:Q110)</f>
        <v>1</v>
      </c>
      <c r="R111" s="66">
        <f>IF(Q$111=0,0,Q111/Q$111)</f>
        <v>1</v>
      </c>
      <c r="S111" s="82"/>
      <c r="T111" s="82"/>
      <c r="U111" s="82">
        <f>SUM(U107:U110)</f>
        <v>2</v>
      </c>
      <c r="V111" s="66">
        <f>IF(U$111=0,0,U111/U$111)</f>
        <v>1</v>
      </c>
      <c r="W111" s="82"/>
      <c r="X111" s="82"/>
      <c r="Y111" s="82">
        <f>SUM(Y107:Y110)</f>
        <v>3</v>
      </c>
      <c r="Z111" s="66">
        <f>IF(Y$111=0,0,Y111/Y$111)</f>
        <v>1</v>
      </c>
      <c r="AA111" s="82"/>
      <c r="AB111" s="82"/>
      <c r="AC111" s="82">
        <f>SUM(AC107:AC110)</f>
        <v>2</v>
      </c>
      <c r="AD111" s="66">
        <f>IF(AC$111=0,0,AC111/AC$111)</f>
        <v>1</v>
      </c>
      <c r="AE111" s="82"/>
      <c r="AF111" s="82"/>
      <c r="AG111" s="82">
        <f>SUM(AG107:AG110)</f>
        <v>0</v>
      </c>
      <c r="AH111" s="608">
        <f>IF(AG$111=0,0,AG111/AG$111)</f>
        <v>0</v>
      </c>
      <c r="AI111" s="381"/>
      <c r="AJ111" s="82"/>
      <c r="AK111" s="82">
        <f t="shared" si="108"/>
        <v>12</v>
      </c>
      <c r="AL111" s="66">
        <f>IF(AK$111=0,0,AK111/AK$111)</f>
        <v>1</v>
      </c>
    </row>
    <row r="112" spans="1:38" ht="16.5" customHeight="1" x14ac:dyDescent="0.25">
      <c r="A112" s="47"/>
      <c r="B112" s="470"/>
      <c r="C112" s="40"/>
      <c r="D112" s="464" t="s">
        <v>920</v>
      </c>
      <c r="E112" s="464"/>
      <c r="F112" s="465"/>
      <c r="G112" s="66"/>
      <c r="H112" s="66"/>
      <c r="I112" s="66">
        <f>IF(I$14=0,0,I110/I$14)</f>
        <v>0</v>
      </c>
      <c r="J112" s="66"/>
      <c r="K112" s="66"/>
      <c r="L112" s="66"/>
      <c r="M112" s="66">
        <f>IF(M$14=0,0,M110/M$14)</f>
        <v>0</v>
      </c>
      <c r="N112" s="66"/>
      <c r="O112" s="66"/>
      <c r="P112" s="66"/>
      <c r="Q112" s="66">
        <f>IF(Q$14=0,0,Q110/Q$14)</f>
        <v>0</v>
      </c>
      <c r="R112" s="66"/>
      <c r="S112" s="66"/>
      <c r="T112" s="66"/>
      <c r="U112" s="66">
        <f>IF(U$14=0,0,U110/U$14)</f>
        <v>0</v>
      </c>
      <c r="V112" s="66"/>
      <c r="W112" s="66"/>
      <c r="X112" s="66"/>
      <c r="Y112" s="66">
        <f>IF(Y$14=0,0,Y110/Y$14)</f>
        <v>0</v>
      </c>
      <c r="Z112" s="66"/>
      <c r="AA112" s="66"/>
      <c r="AB112" s="66"/>
      <c r="AC112" s="66">
        <f>IF(AC$14=0,0,AC110/AC$14)</f>
        <v>0</v>
      </c>
      <c r="AD112" s="66"/>
      <c r="AE112" s="66"/>
      <c r="AF112" s="66"/>
      <c r="AG112" s="66">
        <f>IF(AG$14=0,0,AG110/AG$14)</f>
        <v>0</v>
      </c>
      <c r="AH112" s="608"/>
      <c r="AI112" s="619"/>
      <c r="AJ112" s="66"/>
      <c r="AK112" s="66">
        <f>IF(AK$14=0,0,AK110/AK$14)</f>
        <v>0</v>
      </c>
      <c r="AL112" s="66"/>
    </row>
    <row r="113" spans="1:38" ht="16.5" customHeight="1" x14ac:dyDescent="0.25">
      <c r="A113" s="47"/>
      <c r="B113" s="470"/>
      <c r="C113" s="103" t="s">
        <v>99</v>
      </c>
      <c r="D113" s="85" t="s">
        <v>921</v>
      </c>
      <c r="E113" s="487"/>
      <c r="F113" s="488"/>
      <c r="G113" s="17"/>
      <c r="H113" s="17"/>
      <c r="I113" s="539">
        <f>'HH WITH COM #1 '!$Y$133</f>
        <v>0</v>
      </c>
      <c r="J113" s="91"/>
      <c r="K113" s="17"/>
      <c r="L113" s="17"/>
      <c r="M113" s="539">
        <f>'HH WITH COM #2'!$Y$133</f>
        <v>0</v>
      </c>
      <c r="N113" s="91"/>
      <c r="O113" s="17"/>
      <c r="P113" s="17"/>
      <c r="Q113" s="539">
        <f>'HH WITH COM #3'!$Y$133</f>
        <v>0</v>
      </c>
      <c r="R113" s="91"/>
      <c r="S113" s="17"/>
      <c r="T113" s="17"/>
      <c r="U113" s="539">
        <f>'HH WITH COM #4'!$Y$133</f>
        <v>0</v>
      </c>
      <c r="V113" s="91"/>
      <c r="W113" s="17"/>
      <c r="X113" s="17"/>
      <c r="Y113" s="539">
        <f>'HH WITH COM #5'!$Y$133</f>
        <v>0</v>
      </c>
      <c r="Z113" s="91"/>
      <c r="AA113" s="17"/>
      <c r="AB113" s="17"/>
      <c r="AC113" s="539">
        <f>'HH WITH COM #6'!$Y$133</f>
        <v>0</v>
      </c>
      <c r="AD113" s="91"/>
      <c r="AE113" s="17"/>
      <c r="AF113" s="17"/>
      <c r="AG113" s="539">
        <f>'HH WITH COM #7'!$Y$133</f>
        <v>0</v>
      </c>
      <c r="AH113" s="373"/>
      <c r="AI113" s="391"/>
      <c r="AJ113" s="17"/>
      <c r="AK113" s="539">
        <f t="shared" si="108"/>
        <v>0</v>
      </c>
      <c r="AL113" s="91"/>
    </row>
    <row r="114" spans="1:38" ht="16.5" customHeight="1" x14ac:dyDescent="0.25">
      <c r="A114" s="47"/>
      <c r="B114" s="470"/>
      <c r="C114" s="40"/>
      <c r="D114" s="464" t="s">
        <v>854</v>
      </c>
      <c r="E114" s="464"/>
      <c r="F114" s="465"/>
      <c r="G114" s="66"/>
      <c r="H114" s="66"/>
      <c r="I114" s="66">
        <f>IF(I$14=0,0,I113/I$14)</f>
        <v>0</v>
      </c>
      <c r="J114" s="66"/>
      <c r="K114" s="66"/>
      <c r="L114" s="66"/>
      <c r="M114" s="66">
        <f>IF(M$14=0,0,M113/M$14)</f>
        <v>0</v>
      </c>
      <c r="N114" s="66"/>
      <c r="O114" s="66"/>
      <c r="P114" s="66"/>
      <c r="Q114" s="66">
        <f>IF(Q$14=0,0,Q113/Q$14)</f>
        <v>0</v>
      </c>
      <c r="R114" s="66"/>
      <c r="S114" s="66"/>
      <c r="T114" s="66"/>
      <c r="U114" s="66">
        <f>IF(U$14=0,0,U113/U$14)</f>
        <v>0</v>
      </c>
      <c r="V114" s="66"/>
      <c r="W114" s="66"/>
      <c r="X114" s="66"/>
      <c r="Y114" s="66">
        <f>IF(Y$14=0,0,Y113/Y$14)</f>
        <v>0</v>
      </c>
      <c r="Z114" s="66"/>
      <c r="AA114" s="66"/>
      <c r="AB114" s="66"/>
      <c r="AC114" s="66">
        <f>IF(AC$14=0,0,AC113/AC$14)</f>
        <v>0</v>
      </c>
      <c r="AD114" s="66"/>
      <c r="AE114" s="66"/>
      <c r="AF114" s="66"/>
      <c r="AG114" s="66">
        <f>IF(AG$14=0,0,AG113/AG$14)</f>
        <v>0</v>
      </c>
      <c r="AH114" s="608"/>
      <c r="AI114" s="619"/>
      <c r="AJ114" s="66"/>
      <c r="AK114" s="66">
        <f>IF(AK$14=0,0,AK113/AK$14)</f>
        <v>0</v>
      </c>
      <c r="AL114" s="66"/>
    </row>
    <row r="115" spans="1:38" s="97" customFormat="1" ht="16.5" customHeight="1" x14ac:dyDescent="0.25">
      <c r="A115" s="68"/>
      <c r="B115" s="68"/>
      <c r="C115" s="68"/>
      <c r="D115" s="166"/>
      <c r="E115" s="458"/>
      <c r="F115" s="458"/>
      <c r="G115" s="466"/>
      <c r="H115" s="466"/>
      <c r="I115" s="466"/>
      <c r="J115" s="466"/>
      <c r="K115" s="466"/>
      <c r="L115" s="466"/>
      <c r="M115" s="466"/>
      <c r="N115" s="466"/>
      <c r="O115" s="466"/>
      <c r="P115" s="466"/>
      <c r="Q115" s="466"/>
      <c r="R115" s="466"/>
      <c r="S115" s="466"/>
      <c r="T115" s="466"/>
      <c r="U115" s="466"/>
      <c r="V115" s="466"/>
      <c r="W115" s="466"/>
      <c r="X115" s="466"/>
      <c r="Y115" s="466"/>
      <c r="Z115" s="466"/>
      <c r="AA115" s="466"/>
      <c r="AB115" s="466"/>
      <c r="AC115" s="466"/>
      <c r="AD115" s="466"/>
      <c r="AE115" s="466"/>
      <c r="AF115" s="466"/>
      <c r="AG115" s="466"/>
      <c r="AH115" s="466"/>
      <c r="AI115" s="466"/>
      <c r="AJ115" s="466"/>
      <c r="AK115" s="466"/>
      <c r="AL115" s="466"/>
    </row>
    <row r="116" spans="1:38" s="456" customFormat="1" ht="16.5" customHeight="1" thickBot="1" x14ac:dyDescent="0.3">
      <c r="A116" s="24" t="s">
        <v>100</v>
      </c>
      <c r="B116" s="25" t="s">
        <v>562</v>
      </c>
      <c r="C116" s="26"/>
      <c r="D116" s="454"/>
      <c r="E116" s="454"/>
      <c r="F116" s="455"/>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606"/>
      <c r="AI116" s="630"/>
      <c r="AJ116" s="24"/>
      <c r="AK116" s="24"/>
      <c r="AL116" s="24"/>
    </row>
    <row r="117" spans="1:38" s="117" customFormat="1" ht="16.5" customHeight="1" x14ac:dyDescent="0.25">
      <c r="A117" s="119"/>
      <c r="B117" s="41" t="s">
        <v>738</v>
      </c>
      <c r="C117" s="42" t="s">
        <v>1493</v>
      </c>
      <c r="D117" s="43"/>
      <c r="E117" s="478"/>
      <c r="F117" s="478"/>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355"/>
      <c r="AI117" s="631"/>
      <c r="AJ117" s="272"/>
      <c r="AK117" s="272"/>
      <c r="AL117" s="272"/>
    </row>
    <row r="118" spans="1:38" ht="16.5" customHeight="1" x14ac:dyDescent="0.25">
      <c r="A118" s="40"/>
      <c r="B118" s="40"/>
      <c r="C118" s="318" t="s">
        <v>739</v>
      </c>
      <c r="D118" s="489" t="s">
        <v>612</v>
      </c>
      <c r="E118" s="303"/>
      <c r="F118" s="303"/>
      <c r="G118" s="17">
        <f>'HH WITHOUT COM #1'!$W$137</f>
        <v>13</v>
      </c>
      <c r="H118" s="17">
        <f>'HH WITHOUT COM #1'!$X$137</f>
        <v>26</v>
      </c>
      <c r="I118" s="539">
        <f>SUM(G118:H118)</f>
        <v>39</v>
      </c>
      <c r="J118" s="91">
        <f>IF(I$120=0,0,I118/I$120)</f>
        <v>0.33333333333333331</v>
      </c>
      <c r="K118" s="17">
        <f>'HH WITHOUT COM #2'!$W$137</f>
        <v>0</v>
      </c>
      <c r="L118" s="17">
        <f>'HH WITHOUT COM #2'!$X$137</f>
        <v>0</v>
      </c>
      <c r="M118" s="539">
        <f>SUM(K118:L118)</f>
        <v>0</v>
      </c>
      <c r="N118" s="91">
        <f>IF(M$120=0,0,M118/M$120)</f>
        <v>0</v>
      </c>
      <c r="O118" s="17">
        <f>'HH WITHOUT COM #3'!$W$137</f>
        <v>0</v>
      </c>
      <c r="P118" s="17">
        <f>'HH WITHOUT COM #3'!$X$137</f>
        <v>0</v>
      </c>
      <c r="Q118" s="539">
        <f>SUM(O118:P118)</f>
        <v>0</v>
      </c>
      <c r="R118" s="91">
        <f>IF(Q$120=0,0,Q118/Q$120)</f>
        <v>0</v>
      </c>
      <c r="S118" s="17">
        <f>'HH WITHOUT COM #4'!$W$137</f>
        <v>0</v>
      </c>
      <c r="T118" s="17">
        <f>'HH WITHOUT COM #4'!$X$137</f>
        <v>0</v>
      </c>
      <c r="U118" s="539">
        <f>SUM(S118:T118)</f>
        <v>0</v>
      </c>
      <c r="V118" s="91">
        <f>IF(U$120=0,0,U118/U$120)</f>
        <v>0</v>
      </c>
      <c r="W118" s="17">
        <f>'HH WITHOUT COM #5'!$W$137</f>
        <v>0</v>
      </c>
      <c r="X118" s="17">
        <f>'HH WITHOUT COM #5'!$X$137</f>
        <v>0</v>
      </c>
      <c r="Y118" s="539">
        <f>SUM(W118:X118)</f>
        <v>0</v>
      </c>
      <c r="Z118" s="91">
        <f>IF(Y$120=0,0,Y118/Y$120)</f>
        <v>0</v>
      </c>
      <c r="AA118" s="17">
        <f>'HH WITHOUT COM #6'!$W$137</f>
        <v>0</v>
      </c>
      <c r="AB118" s="17">
        <f>'HH WITHOUT COM #6'!$X$137</f>
        <v>0</v>
      </c>
      <c r="AC118" s="539">
        <f>SUM(AA118:AB118)</f>
        <v>0</v>
      </c>
      <c r="AD118" s="91">
        <f>IF(AC$120=0,0,AC118/AC$120)</f>
        <v>0</v>
      </c>
      <c r="AE118" s="17">
        <f>'HH WITHOUT COM #7'!$W$137</f>
        <v>0</v>
      </c>
      <c r="AF118" s="17">
        <f>'HH WITHOUT COM #7'!$X$137</f>
        <v>0</v>
      </c>
      <c r="AG118" s="539">
        <f>SUM(AE118:AF118)</f>
        <v>0</v>
      </c>
      <c r="AH118" s="91">
        <f>IF(AG$120=0,0,AG118/AG$120)</f>
        <v>0</v>
      </c>
      <c r="AI118" s="391">
        <f t="shared" ref="AI118:AJ124" si="109">G118+K118+O118+S118+W118+AA118+AE118</f>
        <v>13</v>
      </c>
      <c r="AJ118" s="17">
        <f t="shared" si="109"/>
        <v>26</v>
      </c>
      <c r="AK118" s="539">
        <f>SUM(AI118:AJ118)</f>
        <v>39</v>
      </c>
      <c r="AL118" s="91">
        <f>IF(AK$120=0,0,AK118/AK$120)</f>
        <v>0.33333333333333331</v>
      </c>
    </row>
    <row r="119" spans="1:38" ht="16.5" customHeight="1" x14ac:dyDescent="0.25">
      <c r="A119" s="40"/>
      <c r="B119" s="40"/>
      <c r="C119" s="318" t="s">
        <v>740</v>
      </c>
      <c r="D119" s="489" t="s">
        <v>564</v>
      </c>
      <c r="E119" s="303"/>
      <c r="F119" s="303"/>
      <c r="G119" s="17">
        <f>'HH WITHOUT COM #1'!$W$138</f>
        <v>22</v>
      </c>
      <c r="H119" s="17">
        <f>'HH WITHOUT COM #1'!$X$138</f>
        <v>56</v>
      </c>
      <c r="I119" s="539">
        <f t="shared" ref="I119:I124" si="110">SUM(G119:H119)</f>
        <v>78</v>
      </c>
      <c r="J119" s="91">
        <f t="shared" ref="J119:J120" si="111">IF(I$120=0,0,I119/I$120)</f>
        <v>0.66666666666666663</v>
      </c>
      <c r="K119" s="17">
        <f>'HH WITHOUT COM #2'!$W$138</f>
        <v>0</v>
      </c>
      <c r="L119" s="17">
        <f>'HH WITHOUT COM #2'!$X$138</f>
        <v>0</v>
      </c>
      <c r="M119" s="539">
        <f t="shared" ref="M119" si="112">SUM(K119:L119)</f>
        <v>0</v>
      </c>
      <c r="N119" s="91">
        <f t="shared" ref="N119:N120" si="113">IF(M$120=0,0,M119/M$120)</f>
        <v>0</v>
      </c>
      <c r="O119" s="17">
        <f>'HH WITHOUT COM #3'!$W$138</f>
        <v>0</v>
      </c>
      <c r="P119" s="17">
        <f>'HH WITHOUT COM #3'!$X$138</f>
        <v>0</v>
      </c>
      <c r="Q119" s="539">
        <f t="shared" ref="Q119" si="114">SUM(O119:P119)</f>
        <v>0</v>
      </c>
      <c r="R119" s="91">
        <f t="shared" ref="R119:R120" si="115">IF(Q$120=0,0,Q119/Q$120)</f>
        <v>0</v>
      </c>
      <c r="S119" s="17">
        <f>'HH WITHOUT COM #4'!$W$138</f>
        <v>0</v>
      </c>
      <c r="T119" s="17">
        <f>'HH WITHOUT COM #4'!$X$138</f>
        <v>0</v>
      </c>
      <c r="U119" s="539">
        <f t="shared" ref="U119" si="116">SUM(S119:T119)</f>
        <v>0</v>
      </c>
      <c r="V119" s="91">
        <f t="shared" ref="V119:V120" si="117">IF(U$120=0,0,U119/U$120)</f>
        <v>0</v>
      </c>
      <c r="W119" s="17">
        <f>'HH WITHOUT COM #5'!$W$138</f>
        <v>0</v>
      </c>
      <c r="X119" s="17">
        <f>'HH WITHOUT COM #5'!$X$138</f>
        <v>0</v>
      </c>
      <c r="Y119" s="539">
        <f t="shared" ref="Y119" si="118">SUM(W119:X119)</f>
        <v>0</v>
      </c>
      <c r="Z119" s="91">
        <f t="shared" ref="Z119:Z120" si="119">IF(Y$120=0,0,Y119/Y$120)</f>
        <v>0</v>
      </c>
      <c r="AA119" s="17">
        <f>'HH WITHOUT COM #6'!$W$138</f>
        <v>0</v>
      </c>
      <c r="AB119" s="17">
        <f>'HH WITHOUT COM #6'!$X$138</f>
        <v>0</v>
      </c>
      <c r="AC119" s="539">
        <f t="shared" ref="AC119" si="120">SUM(AA119:AB119)</f>
        <v>0</v>
      </c>
      <c r="AD119" s="91">
        <f t="shared" ref="AD119:AD120" si="121">IF(AC$120=0,0,AC119/AC$120)</f>
        <v>0</v>
      </c>
      <c r="AE119" s="17">
        <f>'HH WITHOUT COM #7'!$W$138</f>
        <v>0</v>
      </c>
      <c r="AF119" s="17">
        <f>'HH WITHOUT COM #7'!$X$138</f>
        <v>0</v>
      </c>
      <c r="AG119" s="539">
        <f t="shared" ref="AG119" si="122">SUM(AE119:AF119)</f>
        <v>0</v>
      </c>
      <c r="AH119" s="91">
        <f t="shared" ref="AH119:AH120" si="123">IF(AG$120=0,0,AG119/AG$120)</f>
        <v>0</v>
      </c>
      <c r="AI119" s="391">
        <f t="shared" si="109"/>
        <v>22</v>
      </c>
      <c r="AJ119" s="17">
        <f t="shared" si="109"/>
        <v>56</v>
      </c>
      <c r="AK119" s="539">
        <f t="shared" ref="AK119:AK124" si="124">SUM(AI119:AJ119)</f>
        <v>78</v>
      </c>
      <c r="AL119" s="91">
        <f t="shared" ref="AL119:AL120" si="125">IF(AK$120=0,0,AK119/AK$120)</f>
        <v>0.66666666666666663</v>
      </c>
    </row>
    <row r="120" spans="1:38" s="117" customFormat="1" ht="16.5" customHeight="1" x14ac:dyDescent="0.25">
      <c r="A120" s="119"/>
      <c r="B120" s="40"/>
      <c r="C120" s="40"/>
      <c r="D120" s="485"/>
      <c r="E120" s="486"/>
      <c r="F120" s="79"/>
      <c r="G120" s="82">
        <f>SUM(G118:G119)</f>
        <v>35</v>
      </c>
      <c r="H120" s="82">
        <f t="shared" ref="H120:I120" si="126">SUM(H118:H119)</f>
        <v>82</v>
      </c>
      <c r="I120" s="82">
        <f t="shared" si="126"/>
        <v>117</v>
      </c>
      <c r="J120" s="66">
        <f t="shared" si="111"/>
        <v>1</v>
      </c>
      <c r="K120" s="82">
        <f>SUM(K118:K119)</f>
        <v>0</v>
      </c>
      <c r="L120" s="82">
        <f t="shared" ref="L120" si="127">SUM(L118:L119)</f>
        <v>0</v>
      </c>
      <c r="M120" s="82">
        <f t="shared" ref="M120" si="128">SUM(M118:M119)</f>
        <v>0</v>
      </c>
      <c r="N120" s="66">
        <f t="shared" si="113"/>
        <v>0</v>
      </c>
      <c r="O120" s="82">
        <f>SUM(O118:O119)</f>
        <v>0</v>
      </c>
      <c r="P120" s="82">
        <f t="shared" ref="P120" si="129">SUM(P118:P119)</f>
        <v>0</v>
      </c>
      <c r="Q120" s="82">
        <f t="shared" ref="Q120" si="130">SUM(Q118:Q119)</f>
        <v>0</v>
      </c>
      <c r="R120" s="66">
        <f t="shared" si="115"/>
        <v>0</v>
      </c>
      <c r="S120" s="82">
        <f>SUM(S118:S119)</f>
        <v>0</v>
      </c>
      <c r="T120" s="82">
        <f t="shared" ref="T120" si="131">SUM(T118:T119)</f>
        <v>0</v>
      </c>
      <c r="U120" s="82">
        <f t="shared" ref="U120" si="132">SUM(U118:U119)</f>
        <v>0</v>
      </c>
      <c r="V120" s="66">
        <f t="shared" si="117"/>
        <v>0</v>
      </c>
      <c r="W120" s="82">
        <f>SUM(W118:W119)</f>
        <v>0</v>
      </c>
      <c r="X120" s="82">
        <f t="shared" ref="X120" si="133">SUM(X118:X119)</f>
        <v>0</v>
      </c>
      <c r="Y120" s="82">
        <f t="shared" ref="Y120" si="134">SUM(Y118:Y119)</f>
        <v>0</v>
      </c>
      <c r="Z120" s="66">
        <f t="shared" si="119"/>
        <v>0</v>
      </c>
      <c r="AA120" s="82">
        <f>SUM(AA118:AA119)</f>
        <v>0</v>
      </c>
      <c r="AB120" s="82">
        <f t="shared" ref="AB120" si="135">SUM(AB118:AB119)</f>
        <v>0</v>
      </c>
      <c r="AC120" s="82">
        <f t="shared" ref="AC120" si="136">SUM(AC118:AC119)</f>
        <v>0</v>
      </c>
      <c r="AD120" s="66">
        <f t="shared" si="121"/>
        <v>0</v>
      </c>
      <c r="AE120" s="82">
        <f>SUM(AE118:AE119)</f>
        <v>0</v>
      </c>
      <c r="AF120" s="82">
        <f t="shared" ref="AF120" si="137">SUM(AF118:AF119)</f>
        <v>0</v>
      </c>
      <c r="AG120" s="82">
        <f t="shared" ref="AG120" si="138">SUM(AG118:AG119)</f>
        <v>0</v>
      </c>
      <c r="AH120" s="66">
        <f t="shared" si="123"/>
        <v>0</v>
      </c>
      <c r="AI120" s="381">
        <f t="shared" si="109"/>
        <v>35</v>
      </c>
      <c r="AJ120" s="82">
        <f t="shared" si="109"/>
        <v>82</v>
      </c>
      <c r="AK120" s="82">
        <f t="shared" si="124"/>
        <v>117</v>
      </c>
      <c r="AL120" s="66">
        <f t="shared" si="125"/>
        <v>1</v>
      </c>
    </row>
    <row r="121" spans="1:38" s="117" customFormat="1" ht="16.5" customHeight="1" x14ac:dyDescent="0.25">
      <c r="A121" s="119"/>
      <c r="B121" s="41" t="s">
        <v>102</v>
      </c>
      <c r="C121" s="42" t="s">
        <v>1496</v>
      </c>
      <c r="D121" s="43"/>
      <c r="E121" s="478"/>
      <c r="F121" s="478"/>
      <c r="G121" s="71">
        <f>'HH WITH COM #1 '!$J$140</f>
        <v>1</v>
      </c>
      <c r="H121" s="71">
        <f>'HH WITH COM #1 '!$K$140</f>
        <v>0</v>
      </c>
      <c r="I121" s="71">
        <f t="shared" si="110"/>
        <v>1</v>
      </c>
      <c r="J121" s="71">
        <f>IF(I$125=0,0,I121/I$125)</f>
        <v>0.2</v>
      </c>
      <c r="K121" s="71">
        <f>'HH WITH COM #2'!$J$140</f>
        <v>0</v>
      </c>
      <c r="L121" s="71">
        <f>'HH WITH COM #2'!$K$140</f>
        <v>0</v>
      </c>
      <c r="M121" s="71">
        <f t="shared" ref="M121:M124" si="139">SUM(K121:L121)</f>
        <v>0</v>
      </c>
      <c r="N121" s="71">
        <f>IF(M$125=0,0,M121/M$125)</f>
        <v>0</v>
      </c>
      <c r="O121" s="71">
        <f>'HH WITH COM #3'!$J$140</f>
        <v>0</v>
      </c>
      <c r="P121" s="71">
        <f>'HH WITH COM #3'!$K$140</f>
        <v>0</v>
      </c>
      <c r="Q121" s="71">
        <f t="shared" ref="Q121:Q124" si="140">SUM(O121:P121)</f>
        <v>0</v>
      </c>
      <c r="R121" s="71">
        <f>IF(Q$125=0,0,Q121/Q$125)</f>
        <v>0</v>
      </c>
      <c r="S121" s="71">
        <f>'HH WITH COM #4'!$J$140</f>
        <v>0</v>
      </c>
      <c r="T121" s="71">
        <f>'HH WITH COM #4'!$K$140</f>
        <v>0</v>
      </c>
      <c r="U121" s="71">
        <f t="shared" ref="U121:U124" si="141">SUM(S121:T121)</f>
        <v>0</v>
      </c>
      <c r="V121" s="71">
        <f>IF(U$125=0,0,U121/U$125)</f>
        <v>0</v>
      </c>
      <c r="W121" s="71">
        <f>'HH WITH COM #5'!$J$140</f>
        <v>0</v>
      </c>
      <c r="X121" s="71">
        <f>'HH WITH COM #5'!$K$140</f>
        <v>0</v>
      </c>
      <c r="Y121" s="71">
        <f t="shared" ref="Y121:Y124" si="142">SUM(W121:X121)</f>
        <v>0</v>
      </c>
      <c r="Z121" s="71">
        <f>IF(Y$125=0,0,Y121/Y$125)</f>
        <v>0</v>
      </c>
      <c r="AA121" s="71">
        <f>'HH WITH COM #6'!$J$140</f>
        <v>0</v>
      </c>
      <c r="AB121" s="71">
        <f>'HH WITH COM #6'!$K$140</f>
        <v>0</v>
      </c>
      <c r="AC121" s="71">
        <f t="shared" ref="AC121:AC124" si="143">SUM(AA121:AB121)</f>
        <v>0</v>
      </c>
      <c r="AD121" s="71">
        <f>IF(AC$125=0,0,AC121/AC$125)</f>
        <v>0</v>
      </c>
      <c r="AE121" s="71">
        <f>'HH WITH COM #7'!$J$140</f>
        <v>0</v>
      </c>
      <c r="AF121" s="71">
        <f>'HH WITH COM #7'!$K$140</f>
        <v>0</v>
      </c>
      <c r="AG121" s="71">
        <f t="shared" ref="AG121:AG124" si="144">SUM(AE121:AF121)</f>
        <v>0</v>
      </c>
      <c r="AH121" s="355">
        <f>IF(AG$125=0,0,AG121/AG$125)</f>
        <v>0</v>
      </c>
      <c r="AI121" s="631">
        <f t="shared" si="109"/>
        <v>1</v>
      </c>
      <c r="AJ121" s="272">
        <f t="shared" si="109"/>
        <v>0</v>
      </c>
      <c r="AK121" s="272">
        <f t="shared" si="124"/>
        <v>1</v>
      </c>
      <c r="AL121" s="272">
        <f>IF(AK$125=0,0,AK121/AK$125)</f>
        <v>1.2195121951219513E-2</v>
      </c>
    </row>
    <row r="122" spans="1:38" ht="16.5" customHeight="1" x14ac:dyDescent="0.25">
      <c r="A122" s="40"/>
      <c r="B122" s="40"/>
      <c r="C122" s="318" t="s">
        <v>104</v>
      </c>
      <c r="D122" s="484" t="s">
        <v>612</v>
      </c>
      <c r="E122" s="303"/>
      <c r="F122" s="542"/>
      <c r="G122" s="17">
        <f>'HH WITHOUT COM #1'!$W$142</f>
        <v>2</v>
      </c>
      <c r="H122" s="17">
        <f>'HH WITHOUT COM #1'!$X$142</f>
        <v>3</v>
      </c>
      <c r="I122" s="539">
        <f t="shared" si="110"/>
        <v>5</v>
      </c>
      <c r="J122" s="91">
        <f>IF(I$125=0,0,I122/I$125)</f>
        <v>1</v>
      </c>
      <c r="K122" s="17">
        <f>'HH WITHOUT COM #2'!$W$142</f>
        <v>1</v>
      </c>
      <c r="L122" s="17">
        <f>'HH WITHOUT COM #2'!$X$142</f>
        <v>3</v>
      </c>
      <c r="M122" s="539">
        <f t="shared" si="139"/>
        <v>4</v>
      </c>
      <c r="N122" s="91">
        <f>IF(M$125=0,0,M122/M$125)</f>
        <v>0.25</v>
      </c>
      <c r="O122" s="17">
        <f>'HH WITHOUT COM #3'!$W$142</f>
        <v>0</v>
      </c>
      <c r="P122" s="17">
        <f>'HH WITHOUT COM #3'!$X$142</f>
        <v>0</v>
      </c>
      <c r="Q122" s="539">
        <f t="shared" si="140"/>
        <v>0</v>
      </c>
      <c r="R122" s="91">
        <f>IF(Q$125=0,0,Q122/Q$125)</f>
        <v>0</v>
      </c>
      <c r="S122" s="17">
        <f>'HH WITHOUT COM #4'!$W$142</f>
        <v>0</v>
      </c>
      <c r="T122" s="17">
        <f>'HH WITHOUT COM #4'!$X$142</f>
        <v>1</v>
      </c>
      <c r="U122" s="539">
        <f t="shared" si="141"/>
        <v>1</v>
      </c>
      <c r="V122" s="91">
        <f>IF(U$125=0,0,U122/U$125)</f>
        <v>0.14285714285714285</v>
      </c>
      <c r="W122" s="17">
        <f>'HH WITHOUT COM #5'!$W$142</f>
        <v>0</v>
      </c>
      <c r="X122" s="17">
        <f>'HH WITHOUT COM #5'!$X$142</f>
        <v>0</v>
      </c>
      <c r="Y122" s="539">
        <f t="shared" si="142"/>
        <v>0</v>
      </c>
      <c r="Z122" s="91">
        <f>IF(Y$125=0,0,Y122/Y$125)</f>
        <v>0</v>
      </c>
      <c r="AA122" s="17">
        <f>'HH WITHOUT COM #6'!$W$142</f>
        <v>0</v>
      </c>
      <c r="AB122" s="17">
        <f>'HH WITHOUT COM #6'!$X$142</f>
        <v>0</v>
      </c>
      <c r="AC122" s="539">
        <f t="shared" si="143"/>
        <v>0</v>
      </c>
      <c r="AD122" s="91">
        <f>IF(AC$125=0,0,AC122/AC$125)</f>
        <v>0</v>
      </c>
      <c r="AE122" s="17">
        <f>'HH WITHOUT COM #7'!$W$142</f>
        <v>0</v>
      </c>
      <c r="AF122" s="17">
        <f>'HH WITHOUT COM #7'!$X$142</f>
        <v>0</v>
      </c>
      <c r="AG122" s="539">
        <f t="shared" si="144"/>
        <v>0</v>
      </c>
      <c r="AH122" s="91">
        <f>IF(AG$125=0,0,AG122/AG$125)</f>
        <v>0</v>
      </c>
      <c r="AI122" s="391">
        <f t="shared" si="109"/>
        <v>3</v>
      </c>
      <c r="AJ122" s="17">
        <f t="shared" si="109"/>
        <v>7</v>
      </c>
      <c r="AK122" s="539">
        <f t="shared" si="124"/>
        <v>10</v>
      </c>
      <c r="AL122" s="91">
        <f>IF(AK$125=0,0,AK122/AK$125)</f>
        <v>0.12195121951219512</v>
      </c>
    </row>
    <row r="123" spans="1:38" ht="16.5" customHeight="1" x14ac:dyDescent="0.25">
      <c r="A123" s="40"/>
      <c r="B123" s="40"/>
      <c r="C123" s="318" t="s">
        <v>105</v>
      </c>
      <c r="D123" s="484" t="s">
        <v>741</v>
      </c>
      <c r="E123" s="303"/>
      <c r="F123" s="542"/>
      <c r="G123" s="17">
        <f>'HH WITHOUT COM #1'!$W$143</f>
        <v>0</v>
      </c>
      <c r="H123" s="17">
        <f>'HH WITHOUT COM #1'!$X$143</f>
        <v>0</v>
      </c>
      <c r="I123" s="539">
        <f t="shared" si="110"/>
        <v>0</v>
      </c>
      <c r="J123" s="91">
        <f>IF(I$125=0,0,I123/I$125)</f>
        <v>0</v>
      </c>
      <c r="K123" s="17">
        <f>'HH WITHOUT COM #2'!$W$143</f>
        <v>7</v>
      </c>
      <c r="L123" s="17">
        <f>'HH WITHOUT COM #2'!$X$143</f>
        <v>3</v>
      </c>
      <c r="M123" s="539">
        <f t="shared" si="139"/>
        <v>10</v>
      </c>
      <c r="N123" s="91">
        <f>IF(M$125=0,0,M123/M$125)</f>
        <v>0.625</v>
      </c>
      <c r="O123" s="17">
        <f>'HH WITHOUT COM #3'!$W$143</f>
        <v>4</v>
      </c>
      <c r="P123" s="17">
        <f>'HH WITHOUT COM #3'!$X$143</f>
        <v>7</v>
      </c>
      <c r="Q123" s="539">
        <f t="shared" si="140"/>
        <v>11</v>
      </c>
      <c r="R123" s="91">
        <f>IF(Q$125=0,0,Q123/Q$125)</f>
        <v>1</v>
      </c>
      <c r="S123" s="17">
        <f>'HH WITHOUT COM #4'!$W$143</f>
        <v>0</v>
      </c>
      <c r="T123" s="17">
        <f>'HH WITHOUT COM #4'!$X$143</f>
        <v>6</v>
      </c>
      <c r="U123" s="539">
        <f t="shared" si="141"/>
        <v>6</v>
      </c>
      <c r="V123" s="91">
        <f>IF(U$125=0,0,U123/U$125)</f>
        <v>0.8571428571428571</v>
      </c>
      <c r="W123" s="17">
        <f>'HH WITHOUT COM #5'!$W$143</f>
        <v>15</v>
      </c>
      <c r="X123" s="17">
        <f>'HH WITHOUT COM #5'!$X$143</f>
        <v>13</v>
      </c>
      <c r="Y123" s="539">
        <f t="shared" si="142"/>
        <v>28</v>
      </c>
      <c r="Z123" s="91">
        <f>IF(Y$125=0,0,Y123/Y$125)</f>
        <v>1</v>
      </c>
      <c r="AA123" s="17">
        <f>'HH WITHOUT COM #6'!$W$143</f>
        <v>2</v>
      </c>
      <c r="AB123" s="17">
        <f>'HH WITHOUT COM #6'!$X$143</f>
        <v>13</v>
      </c>
      <c r="AC123" s="539">
        <f t="shared" si="143"/>
        <v>15</v>
      </c>
      <c r="AD123" s="91">
        <f>IF(AC$125=0,0,AC123/AC$125)</f>
        <v>1</v>
      </c>
      <c r="AE123" s="17">
        <f>'HH WITHOUT COM #7'!$W$143</f>
        <v>0</v>
      </c>
      <c r="AF123" s="17">
        <f>'HH WITHOUT COM #7'!$X$143</f>
        <v>0</v>
      </c>
      <c r="AG123" s="539">
        <f t="shared" si="144"/>
        <v>0</v>
      </c>
      <c r="AH123" s="91">
        <f>IF(AG$125=0,0,AG123/AG$125)</f>
        <v>0</v>
      </c>
      <c r="AI123" s="391">
        <f t="shared" si="109"/>
        <v>28</v>
      </c>
      <c r="AJ123" s="17">
        <f t="shared" si="109"/>
        <v>42</v>
      </c>
      <c r="AK123" s="539">
        <f t="shared" si="124"/>
        <v>70</v>
      </c>
      <c r="AL123" s="91">
        <f t="shared" ref="AL123:AL124" si="145">IF(AK$125=0,0,AK123/AK$125)</f>
        <v>0.85365853658536583</v>
      </c>
    </row>
    <row r="124" spans="1:38" ht="16.5" customHeight="1" x14ac:dyDescent="0.25">
      <c r="A124" s="40"/>
      <c r="B124" s="40"/>
      <c r="C124" s="318" t="s">
        <v>106</v>
      </c>
      <c r="D124" s="484" t="s">
        <v>742</v>
      </c>
      <c r="E124" s="303"/>
      <c r="F124" s="542"/>
      <c r="G124" s="17">
        <f>'HH WITHOUT COM #1'!$W$144</f>
        <v>0</v>
      </c>
      <c r="H124" s="17">
        <f>'HH WITHOUT COM #1'!$X$144</f>
        <v>0</v>
      </c>
      <c r="I124" s="539">
        <f t="shared" si="110"/>
        <v>0</v>
      </c>
      <c r="J124" s="91">
        <f>IF(I$125=0,0,I124/I$125)</f>
        <v>0</v>
      </c>
      <c r="K124" s="17">
        <f>'HH WITHOUT COM #2'!$W$144</f>
        <v>1</v>
      </c>
      <c r="L124" s="17">
        <f>'HH WITHOUT COM #2'!$X$144</f>
        <v>1</v>
      </c>
      <c r="M124" s="539">
        <f t="shared" si="139"/>
        <v>2</v>
      </c>
      <c r="N124" s="91">
        <f>IF(M$125=0,0,M124/M$125)</f>
        <v>0.125</v>
      </c>
      <c r="O124" s="17">
        <f>'HH WITHOUT COM #3'!$W$144</f>
        <v>0</v>
      </c>
      <c r="P124" s="17">
        <f>'HH WITHOUT COM #3'!$X$144</f>
        <v>0</v>
      </c>
      <c r="Q124" s="539">
        <f t="shared" si="140"/>
        <v>0</v>
      </c>
      <c r="R124" s="91">
        <f>IF(Q$125=0,0,Q124/Q$125)</f>
        <v>0</v>
      </c>
      <c r="S124" s="17">
        <f>'HH WITHOUT COM #4'!$W$144</f>
        <v>0</v>
      </c>
      <c r="T124" s="17">
        <f>'HH WITHOUT COM #4'!$X$144</f>
        <v>0</v>
      </c>
      <c r="U124" s="539">
        <f t="shared" si="141"/>
        <v>0</v>
      </c>
      <c r="V124" s="91">
        <f>IF(U$125=0,0,U124/U$125)</f>
        <v>0</v>
      </c>
      <c r="W124" s="17">
        <f>'HH WITHOUT COM #5'!$W$144</f>
        <v>0</v>
      </c>
      <c r="X124" s="17">
        <f>'HH WITHOUT COM #5'!$X$144</f>
        <v>0</v>
      </c>
      <c r="Y124" s="539">
        <f t="shared" si="142"/>
        <v>0</v>
      </c>
      <c r="Z124" s="91">
        <f>IF(Y$125=0,0,Y124/Y$125)</f>
        <v>0</v>
      </c>
      <c r="AA124" s="17">
        <f>'HH WITHOUT COM #6'!$W$144</f>
        <v>0</v>
      </c>
      <c r="AB124" s="17">
        <f>'HH WITHOUT COM #6'!$X$144</f>
        <v>0</v>
      </c>
      <c r="AC124" s="539">
        <f t="shared" si="143"/>
        <v>0</v>
      </c>
      <c r="AD124" s="91">
        <f>IF(AC$125=0,0,AC124/AC$125)</f>
        <v>0</v>
      </c>
      <c r="AE124" s="17">
        <f>'HH WITHOUT COM #7'!$W$144</f>
        <v>0</v>
      </c>
      <c r="AF124" s="17">
        <f>'HH WITHOUT COM #7'!$X$144</f>
        <v>0</v>
      </c>
      <c r="AG124" s="539">
        <f t="shared" si="144"/>
        <v>0</v>
      </c>
      <c r="AH124" s="91">
        <f>IF(AG$125=0,0,AG124/AG$125)</f>
        <v>0</v>
      </c>
      <c r="AI124" s="391">
        <f t="shared" si="109"/>
        <v>1</v>
      </c>
      <c r="AJ124" s="17">
        <f t="shared" si="109"/>
        <v>1</v>
      </c>
      <c r="AK124" s="539">
        <f t="shared" si="124"/>
        <v>2</v>
      </c>
      <c r="AL124" s="91">
        <f t="shared" si="145"/>
        <v>2.4390243902439025E-2</v>
      </c>
    </row>
    <row r="125" spans="1:38" ht="16.5" customHeight="1" x14ac:dyDescent="0.25">
      <c r="A125" s="40"/>
      <c r="B125" s="40"/>
      <c r="C125" s="40"/>
      <c r="D125" s="134"/>
      <c r="E125" s="490"/>
      <c r="F125" s="491"/>
      <c r="G125" s="82">
        <f>SUM(G122:G124)</f>
        <v>2</v>
      </c>
      <c r="H125" s="82">
        <f t="shared" ref="H125:I125" si="146">SUM(H122:H124)</f>
        <v>3</v>
      </c>
      <c r="I125" s="82">
        <f t="shared" si="146"/>
        <v>5</v>
      </c>
      <c r="J125" s="66">
        <f>IF(I$125=0,0,I125/I$125)</f>
        <v>1</v>
      </c>
      <c r="K125" s="82">
        <f>SUM(K122:K124)</f>
        <v>9</v>
      </c>
      <c r="L125" s="82">
        <f t="shared" ref="L125" si="147">SUM(L122:L124)</f>
        <v>7</v>
      </c>
      <c r="M125" s="82">
        <f t="shared" ref="M125" si="148">SUM(M122:M124)</f>
        <v>16</v>
      </c>
      <c r="N125" s="66">
        <f>IF(M$125=0,0,M125/M$125)</f>
        <v>1</v>
      </c>
      <c r="O125" s="82">
        <f>SUM(O122:O124)</f>
        <v>4</v>
      </c>
      <c r="P125" s="82">
        <f t="shared" ref="P125" si="149">SUM(P122:P124)</f>
        <v>7</v>
      </c>
      <c r="Q125" s="82">
        <f t="shared" ref="Q125" si="150">SUM(Q122:Q124)</f>
        <v>11</v>
      </c>
      <c r="R125" s="66">
        <f>IF(Q$125=0,0,Q125/Q$125)</f>
        <v>1</v>
      </c>
      <c r="S125" s="82">
        <f>SUM(S122:S124)</f>
        <v>0</v>
      </c>
      <c r="T125" s="82">
        <f t="shared" ref="T125" si="151">SUM(T122:T124)</f>
        <v>7</v>
      </c>
      <c r="U125" s="82">
        <f t="shared" ref="U125" si="152">SUM(U122:U124)</f>
        <v>7</v>
      </c>
      <c r="V125" s="66">
        <f>IF(U$125=0,0,U125/U$125)</f>
        <v>1</v>
      </c>
      <c r="W125" s="82">
        <f>SUM(W122:W124)</f>
        <v>15</v>
      </c>
      <c r="X125" s="82">
        <f t="shared" ref="X125" si="153">SUM(X122:X124)</f>
        <v>13</v>
      </c>
      <c r="Y125" s="82">
        <f t="shared" ref="Y125" si="154">SUM(Y122:Y124)</f>
        <v>28</v>
      </c>
      <c r="Z125" s="66">
        <f>IF(Y$125=0,0,Y125/Y$125)</f>
        <v>1</v>
      </c>
      <c r="AA125" s="82">
        <f>SUM(AA122:AA124)</f>
        <v>2</v>
      </c>
      <c r="AB125" s="82">
        <f t="shared" ref="AB125" si="155">SUM(AB122:AB124)</f>
        <v>13</v>
      </c>
      <c r="AC125" s="82">
        <f t="shared" ref="AC125" si="156">SUM(AC122:AC124)</f>
        <v>15</v>
      </c>
      <c r="AD125" s="66">
        <f>IF(AC$125=0,0,AC125/AC$125)</f>
        <v>1</v>
      </c>
      <c r="AE125" s="82">
        <f>SUM(AE122:AE124)</f>
        <v>0</v>
      </c>
      <c r="AF125" s="82">
        <f t="shared" ref="AF125" si="157">SUM(AF122:AF124)</f>
        <v>0</v>
      </c>
      <c r="AG125" s="82">
        <f t="shared" ref="AG125" si="158">SUM(AG122:AG124)</f>
        <v>0</v>
      </c>
      <c r="AH125" s="66">
        <f>IF(AG$125=0,0,AG125/AG$125)</f>
        <v>0</v>
      </c>
      <c r="AI125" s="622">
        <f>SUM(AI122:AI124)</f>
        <v>32</v>
      </c>
      <c r="AJ125" s="82">
        <f t="shared" ref="AJ125" si="159">SUM(AJ122:AJ124)</f>
        <v>50</v>
      </c>
      <c r="AK125" s="82">
        <f t="shared" ref="AK125" si="160">SUM(AK122:AK124)</f>
        <v>82</v>
      </c>
      <c r="AL125" s="66">
        <f>IF(AK$125=0,0,AK125/AK$125)</f>
        <v>1</v>
      </c>
    </row>
    <row r="126" spans="1:38" s="117" customFormat="1" ht="16.5" customHeight="1" x14ac:dyDescent="0.25">
      <c r="A126" s="119"/>
      <c r="B126" s="41" t="s">
        <v>110</v>
      </c>
      <c r="C126" s="42" t="s">
        <v>565</v>
      </c>
      <c r="D126" s="43"/>
      <c r="E126" s="478"/>
      <c r="F126" s="478"/>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355"/>
      <c r="AI126" s="377"/>
      <c r="AJ126" s="71"/>
      <c r="AK126" s="71"/>
      <c r="AL126" s="71"/>
    </row>
    <row r="127" spans="1:38" ht="16.5" customHeight="1" x14ac:dyDescent="0.25">
      <c r="A127" s="40"/>
      <c r="B127" s="40"/>
      <c r="C127" s="318" t="s">
        <v>112</v>
      </c>
      <c r="D127" s="484" t="s">
        <v>566</v>
      </c>
      <c r="E127" s="105"/>
      <c r="F127" s="106"/>
      <c r="G127" s="17">
        <f>'HH WITHOUT COM #1'!$W$148</f>
        <v>0</v>
      </c>
      <c r="H127" s="17">
        <f>'HH WITHOUT COM #1'!$X$148</f>
        <v>0</v>
      </c>
      <c r="I127" s="539">
        <f>SUM(G127:H127)</f>
        <v>0</v>
      </c>
      <c r="J127" s="91">
        <f>IF(I$130=0,0,I127/I$130)</f>
        <v>0</v>
      </c>
      <c r="K127" s="17">
        <f>'HH WITHOUT COM #2'!$W$148</f>
        <v>0</v>
      </c>
      <c r="L127" s="17">
        <f>'HH WITHOUT COM #2'!$X$148</f>
        <v>0</v>
      </c>
      <c r="M127" s="539">
        <f>SUM(K127:L127)</f>
        <v>0</v>
      </c>
      <c r="N127" s="91">
        <f>IF(M$130=0,0,M127/M$130)</f>
        <v>0</v>
      </c>
      <c r="O127" s="17">
        <f>'HH WITHOUT COM #3'!$W$148</f>
        <v>0</v>
      </c>
      <c r="P127" s="17">
        <f>'HH WITHOUT COM #3'!$X$148</f>
        <v>0</v>
      </c>
      <c r="Q127" s="539">
        <f>SUM(O127:P127)</f>
        <v>0</v>
      </c>
      <c r="R127" s="91">
        <f>IF(Q$130=0,0,Q127/Q$130)</f>
        <v>0</v>
      </c>
      <c r="S127" s="17">
        <f>'HH WITHOUT COM #4'!$W$148</f>
        <v>0</v>
      </c>
      <c r="T127" s="17">
        <f>'HH WITHOUT COM #4'!$X$148</f>
        <v>0</v>
      </c>
      <c r="U127" s="539">
        <f>SUM(S127:T127)</f>
        <v>0</v>
      </c>
      <c r="V127" s="91">
        <f>IF(U$130=0,0,U127/U$130)</f>
        <v>0</v>
      </c>
      <c r="W127" s="17">
        <f>'HH WITHOUT COM #5'!$W$148</f>
        <v>0</v>
      </c>
      <c r="X127" s="17">
        <f>'HH WITHOUT COM #5'!$X$148</f>
        <v>0</v>
      </c>
      <c r="Y127" s="539">
        <f>SUM(W127:X127)</f>
        <v>0</v>
      </c>
      <c r="Z127" s="91">
        <f>IF(Y$130=0,0,Y127/Y$130)</f>
        <v>0</v>
      </c>
      <c r="AA127" s="17">
        <f>'HH WITHOUT COM #6'!$W$148</f>
        <v>0</v>
      </c>
      <c r="AB127" s="17">
        <f>'HH WITHOUT COM #6'!$X$148</f>
        <v>0</v>
      </c>
      <c r="AC127" s="539">
        <f>SUM(AA127:AB127)</f>
        <v>0</v>
      </c>
      <c r="AD127" s="91">
        <f>IF(AC$130=0,0,AC127/AC$130)</f>
        <v>0</v>
      </c>
      <c r="AE127" s="17">
        <f>'HH WITHOUT COM #7'!$W$148</f>
        <v>0</v>
      </c>
      <c r="AF127" s="17">
        <f>'HH WITHOUT COM #7'!$X$148</f>
        <v>0</v>
      </c>
      <c r="AG127" s="539">
        <f>SUM(AE127:AF127)</f>
        <v>0</v>
      </c>
      <c r="AH127" s="91">
        <f>IF(AG$130=0,0,AG127/AG$130)</f>
        <v>0</v>
      </c>
      <c r="AI127" s="391">
        <f t="shared" ref="AI127:AJ127" si="161">G127+K127+O127+S127+W127+AA127+AE127</f>
        <v>0</v>
      </c>
      <c r="AJ127" s="17">
        <f t="shared" si="161"/>
        <v>0</v>
      </c>
      <c r="AK127" s="539">
        <f>SUM(AI127:AJ127)</f>
        <v>0</v>
      </c>
      <c r="AL127" s="91">
        <f>IF(AK$130=0,0,AK127/AK$130)</f>
        <v>0</v>
      </c>
    </row>
    <row r="128" spans="1:38" ht="16.5" customHeight="1" x14ac:dyDescent="0.25">
      <c r="A128" s="40"/>
      <c r="B128" s="40"/>
      <c r="C128" s="318" t="s">
        <v>114</v>
      </c>
      <c r="D128" s="484" t="s">
        <v>567</v>
      </c>
      <c r="E128" s="105"/>
      <c r="F128" s="106"/>
      <c r="G128" s="17">
        <f>'HH WITHOUT COM #1'!$W$149</f>
        <v>0</v>
      </c>
      <c r="H128" s="17">
        <f>'HH WITHOUT COM #1'!$X$149</f>
        <v>0</v>
      </c>
      <c r="I128" s="539">
        <f t="shared" ref="I128:I129" si="162">SUM(G128:H128)</f>
        <v>0</v>
      </c>
      <c r="J128" s="91">
        <f t="shared" ref="J128:J130" si="163">IF(I$130=0,0,I128/I$130)</f>
        <v>0</v>
      </c>
      <c r="K128" s="17">
        <f>'HH WITHOUT COM #2'!$W$149</f>
        <v>0</v>
      </c>
      <c r="L128" s="17">
        <f>'HH WITHOUT COM #2'!$X$149</f>
        <v>0</v>
      </c>
      <c r="M128" s="539">
        <f t="shared" ref="M128:M129" si="164">SUM(K128:L128)</f>
        <v>0</v>
      </c>
      <c r="N128" s="91">
        <f t="shared" ref="N128:N130" si="165">IF(M$130=0,0,M128/M$130)</f>
        <v>0</v>
      </c>
      <c r="O128" s="17">
        <f>'HH WITHOUT COM #3'!$W$149</f>
        <v>0</v>
      </c>
      <c r="P128" s="17">
        <f>'HH WITHOUT COM #3'!$X$149</f>
        <v>0</v>
      </c>
      <c r="Q128" s="539">
        <f t="shared" ref="Q128:Q129" si="166">SUM(O128:P128)</f>
        <v>0</v>
      </c>
      <c r="R128" s="91">
        <f t="shared" ref="R128:R130" si="167">IF(Q$130=0,0,Q128/Q$130)</f>
        <v>0</v>
      </c>
      <c r="S128" s="17">
        <f>'HH WITHOUT COM #4'!$W$149</f>
        <v>0</v>
      </c>
      <c r="T128" s="17">
        <f>'HH WITHOUT COM #4'!$X$149</f>
        <v>0</v>
      </c>
      <c r="U128" s="539">
        <f t="shared" ref="U128:U129" si="168">SUM(S128:T128)</f>
        <v>0</v>
      </c>
      <c r="V128" s="91">
        <f t="shared" ref="V128:V130" si="169">IF(U$130=0,0,U128/U$130)</f>
        <v>0</v>
      </c>
      <c r="W128" s="17">
        <f>'HH WITHOUT COM #5'!$W$149</f>
        <v>0</v>
      </c>
      <c r="X128" s="17">
        <f>'HH WITHOUT COM #5'!$X$149</f>
        <v>0</v>
      </c>
      <c r="Y128" s="539">
        <f t="shared" ref="Y128:Y129" si="170">SUM(W128:X128)</f>
        <v>0</v>
      </c>
      <c r="Z128" s="91">
        <f t="shared" ref="Z128:Z130" si="171">IF(Y$130=0,0,Y128/Y$130)</f>
        <v>0</v>
      </c>
      <c r="AA128" s="17">
        <f>'HH WITHOUT COM #6'!$W$149</f>
        <v>0</v>
      </c>
      <c r="AB128" s="17">
        <f>'HH WITHOUT COM #6'!$X$149</f>
        <v>0</v>
      </c>
      <c r="AC128" s="539">
        <f t="shared" ref="AC128:AC129" si="172">SUM(AA128:AB128)</f>
        <v>0</v>
      </c>
      <c r="AD128" s="91">
        <f t="shared" ref="AD128:AD130" si="173">IF(AC$130=0,0,AC128/AC$130)</f>
        <v>0</v>
      </c>
      <c r="AE128" s="17">
        <f>'HH WITHOUT COM #7'!$W$149</f>
        <v>0</v>
      </c>
      <c r="AF128" s="17">
        <f>'HH WITHOUT COM #7'!$X$149</f>
        <v>0</v>
      </c>
      <c r="AG128" s="539">
        <f t="shared" ref="AG128:AG129" si="174">SUM(AE128:AF128)</f>
        <v>0</v>
      </c>
      <c r="AH128" s="91">
        <f t="shared" ref="AH128:AH130" si="175">IF(AG$130=0,0,AG128/AG$130)</f>
        <v>0</v>
      </c>
      <c r="AI128" s="391">
        <f t="shared" ref="AI128:AI129" si="176">G128+K128+O128+S128+W128+AA128+AE128</f>
        <v>0</v>
      </c>
      <c r="AJ128" s="17">
        <f t="shared" ref="AJ128:AJ129" si="177">H128+L128+P128+T128+X128+AB128+AF128</f>
        <v>0</v>
      </c>
      <c r="AK128" s="539">
        <f t="shared" ref="AK128:AK129" si="178">SUM(AI128:AJ128)</f>
        <v>0</v>
      </c>
      <c r="AL128" s="91">
        <f t="shared" ref="AL128:AL130" si="179">IF(AK$130=0,0,AK128/AK$130)</f>
        <v>0</v>
      </c>
    </row>
    <row r="129" spans="1:38" ht="16.5" customHeight="1" x14ac:dyDescent="0.25">
      <c r="A129" s="40"/>
      <c r="B129" s="40"/>
      <c r="C129" s="318" t="s">
        <v>568</v>
      </c>
      <c r="D129" s="484" t="s">
        <v>614</v>
      </c>
      <c r="E129" s="303"/>
      <c r="F129" s="634"/>
      <c r="G129" s="17">
        <f>'HH WITHOUT COM #1'!$W$150</f>
        <v>2</v>
      </c>
      <c r="H129" s="17">
        <f>'HH WITHOUT COM #1'!$X$150</f>
        <v>3</v>
      </c>
      <c r="I129" s="539">
        <f t="shared" si="162"/>
        <v>5</v>
      </c>
      <c r="J129" s="91">
        <f t="shared" si="163"/>
        <v>1</v>
      </c>
      <c r="K129" s="17">
        <f>'HH WITHOUT COM #2'!$W$150</f>
        <v>9</v>
      </c>
      <c r="L129" s="17">
        <f>'HH WITHOUT COM #2'!$X$150</f>
        <v>7</v>
      </c>
      <c r="M129" s="539">
        <f t="shared" si="164"/>
        <v>16</v>
      </c>
      <c r="N129" s="91">
        <f t="shared" si="165"/>
        <v>1</v>
      </c>
      <c r="O129" s="17">
        <f>'HH WITHOUT COM #3'!$W$150</f>
        <v>4</v>
      </c>
      <c r="P129" s="17">
        <f>'HH WITHOUT COM #3'!$X$150</f>
        <v>7</v>
      </c>
      <c r="Q129" s="539">
        <f t="shared" si="166"/>
        <v>11</v>
      </c>
      <c r="R129" s="91">
        <f t="shared" si="167"/>
        <v>1</v>
      </c>
      <c r="S129" s="17">
        <f>'HH WITHOUT COM #4'!$W$150</f>
        <v>0</v>
      </c>
      <c r="T129" s="17">
        <f>'HH WITHOUT COM #4'!$X$150</f>
        <v>7</v>
      </c>
      <c r="U129" s="539">
        <f t="shared" si="168"/>
        <v>7</v>
      </c>
      <c r="V129" s="91">
        <f t="shared" si="169"/>
        <v>1</v>
      </c>
      <c r="W129" s="17">
        <f>'HH WITHOUT COM #5'!$W$150</f>
        <v>15</v>
      </c>
      <c r="X129" s="17">
        <f>'HH WITHOUT COM #5'!$X$150</f>
        <v>13</v>
      </c>
      <c r="Y129" s="539">
        <f t="shared" si="170"/>
        <v>28</v>
      </c>
      <c r="Z129" s="91">
        <f t="shared" si="171"/>
        <v>1</v>
      </c>
      <c r="AA129" s="17">
        <f>'HH WITHOUT COM #6'!$W$150</f>
        <v>2</v>
      </c>
      <c r="AB129" s="17">
        <f>'HH WITHOUT COM #6'!$X$150</f>
        <v>13</v>
      </c>
      <c r="AC129" s="539">
        <f t="shared" si="172"/>
        <v>15</v>
      </c>
      <c r="AD129" s="91">
        <f t="shared" si="173"/>
        <v>1</v>
      </c>
      <c r="AE129" s="17">
        <f>'HH WITHOUT COM #7'!$W$150</f>
        <v>0</v>
      </c>
      <c r="AF129" s="17">
        <f>'HH WITHOUT COM #7'!$X$150</f>
        <v>0</v>
      </c>
      <c r="AG129" s="539">
        <f t="shared" si="174"/>
        <v>0</v>
      </c>
      <c r="AH129" s="91">
        <f t="shared" si="175"/>
        <v>0</v>
      </c>
      <c r="AI129" s="391">
        <f t="shared" si="176"/>
        <v>32</v>
      </c>
      <c r="AJ129" s="17">
        <f t="shared" si="177"/>
        <v>50</v>
      </c>
      <c r="AK129" s="539">
        <f t="shared" si="178"/>
        <v>82</v>
      </c>
      <c r="AL129" s="91">
        <f t="shared" si="179"/>
        <v>1</v>
      </c>
    </row>
    <row r="130" spans="1:38" ht="16.5" customHeight="1" x14ac:dyDescent="0.25">
      <c r="A130" s="119"/>
      <c r="B130" s="119"/>
      <c r="C130" s="119"/>
      <c r="D130" s="134"/>
      <c r="E130" s="490"/>
      <c r="F130" s="491"/>
      <c r="G130" s="82">
        <f>SUM(G127:G129)</f>
        <v>2</v>
      </c>
      <c r="H130" s="82">
        <f t="shared" ref="H130:I130" si="180">SUM(H127:H129)</f>
        <v>3</v>
      </c>
      <c r="I130" s="82">
        <f t="shared" si="180"/>
        <v>5</v>
      </c>
      <c r="J130" s="66">
        <f t="shared" si="163"/>
        <v>1</v>
      </c>
      <c r="K130" s="82">
        <f>SUM(K127:K129)</f>
        <v>9</v>
      </c>
      <c r="L130" s="82">
        <f t="shared" ref="L130" si="181">SUM(L127:L129)</f>
        <v>7</v>
      </c>
      <c r="M130" s="82">
        <f t="shared" ref="M130" si="182">SUM(M127:M129)</f>
        <v>16</v>
      </c>
      <c r="N130" s="66">
        <f t="shared" si="165"/>
        <v>1</v>
      </c>
      <c r="O130" s="82">
        <f>SUM(O127:O129)</f>
        <v>4</v>
      </c>
      <c r="P130" s="82">
        <f t="shared" ref="P130" si="183">SUM(P127:P129)</f>
        <v>7</v>
      </c>
      <c r="Q130" s="82">
        <f t="shared" ref="Q130" si="184">SUM(Q127:Q129)</f>
        <v>11</v>
      </c>
      <c r="R130" s="66">
        <f t="shared" si="167"/>
        <v>1</v>
      </c>
      <c r="S130" s="82">
        <f>SUM(S127:S129)</f>
        <v>0</v>
      </c>
      <c r="T130" s="82">
        <f t="shared" ref="T130" si="185">SUM(T127:T129)</f>
        <v>7</v>
      </c>
      <c r="U130" s="82">
        <f t="shared" ref="U130" si="186">SUM(U127:U129)</f>
        <v>7</v>
      </c>
      <c r="V130" s="66">
        <f t="shared" si="169"/>
        <v>1</v>
      </c>
      <c r="W130" s="82">
        <f>SUM(W127:W129)</f>
        <v>15</v>
      </c>
      <c r="X130" s="82">
        <f t="shared" ref="X130" si="187">SUM(X127:X129)</f>
        <v>13</v>
      </c>
      <c r="Y130" s="82">
        <f t="shared" ref="Y130" si="188">SUM(Y127:Y129)</f>
        <v>28</v>
      </c>
      <c r="Z130" s="66">
        <f t="shared" si="171"/>
        <v>1</v>
      </c>
      <c r="AA130" s="82">
        <f>SUM(AA127:AA129)</f>
        <v>2</v>
      </c>
      <c r="AB130" s="82">
        <f t="shared" ref="AB130" si="189">SUM(AB127:AB129)</f>
        <v>13</v>
      </c>
      <c r="AC130" s="82">
        <f t="shared" ref="AC130" si="190">SUM(AC127:AC129)</f>
        <v>15</v>
      </c>
      <c r="AD130" s="66">
        <f t="shared" si="173"/>
        <v>1</v>
      </c>
      <c r="AE130" s="82">
        <f>SUM(AE127:AE129)</f>
        <v>0</v>
      </c>
      <c r="AF130" s="82">
        <f t="shared" ref="AF130" si="191">SUM(AF127:AF129)</f>
        <v>0</v>
      </c>
      <c r="AG130" s="82">
        <f t="shared" ref="AG130" si="192">SUM(AG127:AG129)</f>
        <v>0</v>
      </c>
      <c r="AH130" s="66">
        <f t="shared" si="175"/>
        <v>0</v>
      </c>
      <c r="AI130" s="622">
        <f>SUM(AI127:AI129)</f>
        <v>32</v>
      </c>
      <c r="AJ130" s="82">
        <f t="shared" ref="AJ130" si="193">SUM(AJ127:AJ129)</f>
        <v>50</v>
      </c>
      <c r="AK130" s="82">
        <f t="shared" ref="AK130" si="194">SUM(AK127:AK129)</f>
        <v>82</v>
      </c>
      <c r="AL130" s="66">
        <f t="shared" si="179"/>
        <v>1</v>
      </c>
    </row>
    <row r="131" spans="1:38" ht="16.5" customHeight="1" x14ac:dyDescent="0.25">
      <c r="A131" s="119"/>
      <c r="B131" s="119"/>
      <c r="C131" s="119"/>
      <c r="D131" s="484" t="s">
        <v>613</v>
      </c>
      <c r="E131" s="150"/>
      <c r="F131" s="542"/>
      <c r="G131" s="111"/>
      <c r="H131" s="111"/>
      <c r="I131" s="545"/>
      <c r="J131" s="131"/>
      <c r="K131" s="111"/>
      <c r="L131" s="111"/>
      <c r="M131" s="545"/>
      <c r="N131" s="131"/>
      <c r="O131" s="111"/>
      <c r="P131" s="111"/>
      <c r="Q131" s="545"/>
      <c r="R131" s="131"/>
      <c r="S131" s="111"/>
      <c r="T131" s="111"/>
      <c r="U131" s="545"/>
      <c r="V131" s="131"/>
      <c r="W131" s="111"/>
      <c r="X131" s="111"/>
      <c r="Y131" s="545"/>
      <c r="Z131" s="131"/>
      <c r="AA131" s="111"/>
      <c r="AB131" s="111"/>
      <c r="AC131" s="545"/>
      <c r="AD131" s="131"/>
      <c r="AE131" s="111"/>
      <c r="AF131" s="111"/>
      <c r="AG131" s="545"/>
      <c r="AH131" s="613"/>
      <c r="AI131" s="380"/>
      <c r="AJ131" s="111"/>
      <c r="AK131" s="545"/>
      <c r="AL131" s="131"/>
    </row>
    <row r="132" spans="1:38" ht="16.5" customHeight="1" x14ac:dyDescent="0.25">
      <c r="A132" s="119"/>
      <c r="B132" s="119"/>
      <c r="C132" s="119"/>
      <c r="D132" s="473" t="s">
        <v>569</v>
      </c>
      <c r="E132" s="484" t="s">
        <v>1047</v>
      </c>
      <c r="F132" s="542"/>
      <c r="G132" s="17">
        <f>'HH WITHOUT COM #1'!$W$154</f>
        <v>2</v>
      </c>
      <c r="H132" s="17">
        <f>'HH WITHOUT COM #1'!$X$154</f>
        <v>3</v>
      </c>
      <c r="I132" s="539">
        <f>SUM(G132:H132)</f>
        <v>5</v>
      </c>
      <c r="J132" s="91">
        <f t="shared" ref="J132:J141" si="195">IF(I$147=0,0,I132/I$147)</f>
        <v>0.55555555555555558</v>
      </c>
      <c r="K132" s="17">
        <f>'HH WITHOUT COM #2'!$W$154</f>
        <v>2</v>
      </c>
      <c r="L132" s="17">
        <f>'HH WITHOUT COM #2'!$X$154</f>
        <v>1</v>
      </c>
      <c r="M132" s="539">
        <f>SUM(K132:L132)</f>
        <v>3</v>
      </c>
      <c r="N132" s="91">
        <f t="shared" ref="N132:N141" si="196">IF(M$147=0,0,M132/M$147)</f>
        <v>0.11538461538461539</v>
      </c>
      <c r="O132" s="17">
        <f>'HH WITHOUT COM #3'!$W$154</f>
        <v>0</v>
      </c>
      <c r="P132" s="17">
        <f>'HH WITHOUT COM #3'!$X$154</f>
        <v>0</v>
      </c>
      <c r="Q132" s="539">
        <f>SUM(O132:P132)</f>
        <v>0</v>
      </c>
      <c r="R132" s="91">
        <f t="shared" ref="R132:R141" si="197">IF(Q$147=0,0,Q132/Q$147)</f>
        <v>0</v>
      </c>
      <c r="S132" s="17">
        <f>'HH WITHOUT COM #4'!$W$154</f>
        <v>0</v>
      </c>
      <c r="T132" s="17">
        <f>'HH WITHOUT COM #4'!$X$154</f>
        <v>1</v>
      </c>
      <c r="U132" s="539">
        <f>SUM(S132:T132)</f>
        <v>1</v>
      </c>
      <c r="V132" s="91">
        <f t="shared" ref="V132:V141" si="198">IF(U$147=0,0,U132/U$147)</f>
        <v>6.6666666666666666E-2</v>
      </c>
      <c r="W132" s="17">
        <f>'HH WITHOUT COM #5'!$W$154</f>
        <v>0</v>
      </c>
      <c r="X132" s="17">
        <f>'HH WITHOUT COM #5'!$X$154</f>
        <v>0</v>
      </c>
      <c r="Y132" s="539">
        <f>SUM(W132:X132)</f>
        <v>0</v>
      </c>
      <c r="Z132" s="91">
        <f t="shared" ref="Z132:Z141" si="199">IF(Y$147=0,0,Y132/Y$147)</f>
        <v>0</v>
      </c>
      <c r="AA132" s="17">
        <f>'HH WITHOUT COM #6'!$W$154</f>
        <v>0</v>
      </c>
      <c r="AB132" s="17">
        <f>'HH WITHOUT COM #6'!$X$154</f>
        <v>0</v>
      </c>
      <c r="AC132" s="539">
        <f>SUM(AA132:AB132)</f>
        <v>0</v>
      </c>
      <c r="AD132" s="91">
        <f t="shared" ref="AD132:AD141" si="200">IF(AC$147=0,0,AC132/AC$147)</f>
        <v>0</v>
      </c>
      <c r="AE132" s="17">
        <f>'HH WITHOUT COM #7'!$W$154</f>
        <v>0</v>
      </c>
      <c r="AF132" s="17">
        <f>'HH WITHOUT COM #7'!$X$154</f>
        <v>0</v>
      </c>
      <c r="AG132" s="539">
        <f>SUM(AE132:AF132)</f>
        <v>0</v>
      </c>
      <c r="AH132" s="91">
        <f t="shared" ref="AH132:AH141" si="201">IF(AG$147=0,0,AG132/AG$147)</f>
        <v>0</v>
      </c>
      <c r="AI132" s="391">
        <f t="shared" ref="AI132:AI141" si="202">G132+K132+O132+S132+W132+AA132+AE132</f>
        <v>4</v>
      </c>
      <c r="AJ132" s="17">
        <f t="shared" ref="AJ132:AJ141" si="203">H132+L132+P132+T132+X132+AB132+AF132</f>
        <v>5</v>
      </c>
      <c r="AK132" s="539">
        <f t="shared" ref="AK132:AK141" si="204">SUM(AI132:AJ132)</f>
        <v>9</v>
      </c>
      <c r="AL132" s="91">
        <f t="shared" ref="AL132:AL141" si="205">IF(AK$147=0,0,AK132/AK$147)</f>
        <v>5.3571428571428568E-2</v>
      </c>
    </row>
    <row r="133" spans="1:38" ht="16.5" customHeight="1" x14ac:dyDescent="0.25">
      <c r="A133" s="119"/>
      <c r="B133" s="119"/>
      <c r="C133" s="119"/>
      <c r="D133" s="473" t="s">
        <v>571</v>
      </c>
      <c r="E133" s="303" t="s">
        <v>1048</v>
      </c>
      <c r="F133" s="542"/>
      <c r="G133" s="17">
        <f>'HH WITHOUT COM #1'!$W$155</f>
        <v>0</v>
      </c>
      <c r="H133" s="17">
        <f>'HH WITHOUT COM #1'!$X$155</f>
        <v>0</v>
      </c>
      <c r="I133" s="539">
        <f t="shared" ref="I133:I145" si="206">SUM(G133:H133)</f>
        <v>0</v>
      </c>
      <c r="J133" s="91">
        <f t="shared" si="195"/>
        <v>0</v>
      </c>
      <c r="K133" s="17">
        <f>'HH WITHOUT COM #2'!$W$155</f>
        <v>1</v>
      </c>
      <c r="L133" s="17">
        <f>'HH WITHOUT COM #2'!$X$155</f>
        <v>2</v>
      </c>
      <c r="M133" s="539">
        <f t="shared" ref="M133:M145" si="207">SUM(K133:L133)</f>
        <v>3</v>
      </c>
      <c r="N133" s="91">
        <f t="shared" si="196"/>
        <v>0.11538461538461539</v>
      </c>
      <c r="O133" s="17">
        <f>'HH WITHOUT COM #3'!$W$155</f>
        <v>4</v>
      </c>
      <c r="P133" s="17">
        <f>'HH WITHOUT COM #3'!$X$155</f>
        <v>7</v>
      </c>
      <c r="Q133" s="539">
        <f t="shared" ref="Q133:Q145" si="208">SUM(O133:P133)</f>
        <v>11</v>
      </c>
      <c r="R133" s="91">
        <f t="shared" si="197"/>
        <v>0.37931034482758619</v>
      </c>
      <c r="S133" s="17">
        <f>'HH WITHOUT COM #4'!$W$155</f>
        <v>0</v>
      </c>
      <c r="T133" s="17">
        <f>'HH WITHOUT COM #4'!$X$155</f>
        <v>1</v>
      </c>
      <c r="U133" s="539">
        <f t="shared" ref="U133:U145" si="209">SUM(S133:T133)</f>
        <v>1</v>
      </c>
      <c r="V133" s="91">
        <f t="shared" si="198"/>
        <v>6.6666666666666666E-2</v>
      </c>
      <c r="W133" s="17">
        <f>'HH WITHOUT COM #5'!$W$155</f>
        <v>3</v>
      </c>
      <c r="X133" s="17">
        <f>'HH WITHOUT COM #5'!$X$155</f>
        <v>1</v>
      </c>
      <c r="Y133" s="539">
        <f t="shared" ref="Y133:Y145" si="210">SUM(W133:X133)</f>
        <v>4</v>
      </c>
      <c r="Z133" s="91">
        <f t="shared" si="199"/>
        <v>6.4516129032258063E-2</v>
      </c>
      <c r="AA133" s="17">
        <f>'HH WITHOUT COM #6'!$W$155</f>
        <v>1</v>
      </c>
      <c r="AB133" s="17">
        <f>'HH WITHOUT COM #6'!$X$155</f>
        <v>8</v>
      </c>
      <c r="AC133" s="539">
        <f t="shared" ref="AC133:AC145" si="211">SUM(AA133:AB133)</f>
        <v>9</v>
      </c>
      <c r="AD133" s="91">
        <f t="shared" si="200"/>
        <v>0.33333333333333331</v>
      </c>
      <c r="AE133" s="17">
        <f>'HH WITHOUT COM #7'!$W$155</f>
        <v>0</v>
      </c>
      <c r="AF133" s="17">
        <f>'HH WITHOUT COM #7'!$X$155</f>
        <v>0</v>
      </c>
      <c r="AG133" s="539">
        <f t="shared" ref="AG133:AG145" si="212">SUM(AE133:AF133)</f>
        <v>0</v>
      </c>
      <c r="AH133" s="91">
        <f t="shared" si="201"/>
        <v>0</v>
      </c>
      <c r="AI133" s="391">
        <f t="shared" si="202"/>
        <v>9</v>
      </c>
      <c r="AJ133" s="17">
        <f t="shared" si="203"/>
        <v>19</v>
      </c>
      <c r="AK133" s="539">
        <f t="shared" si="204"/>
        <v>28</v>
      </c>
      <c r="AL133" s="91">
        <f t="shared" si="205"/>
        <v>0.16666666666666666</v>
      </c>
    </row>
    <row r="134" spans="1:38" ht="16.5" customHeight="1" x14ac:dyDescent="0.25">
      <c r="A134" s="119"/>
      <c r="B134" s="119"/>
      <c r="C134" s="119"/>
      <c r="D134" s="473" t="s">
        <v>573</v>
      </c>
      <c r="E134" s="303" t="s">
        <v>574</v>
      </c>
      <c r="F134" s="542"/>
      <c r="G134" s="17">
        <f>'HH WITHOUT COM #1'!$W$156</f>
        <v>1</v>
      </c>
      <c r="H134" s="17">
        <f>'HH WITHOUT COM #1'!$X$156</f>
        <v>3</v>
      </c>
      <c r="I134" s="539">
        <f t="shared" si="206"/>
        <v>4</v>
      </c>
      <c r="J134" s="91">
        <f t="shared" si="195"/>
        <v>0.44444444444444442</v>
      </c>
      <c r="K134" s="17">
        <f>'HH WITHOUT COM #2'!$W$156</f>
        <v>0</v>
      </c>
      <c r="L134" s="17">
        <f>'HH WITHOUT COM #2'!$X$156</f>
        <v>0</v>
      </c>
      <c r="M134" s="539">
        <f t="shared" si="207"/>
        <v>0</v>
      </c>
      <c r="N134" s="91">
        <f t="shared" si="196"/>
        <v>0</v>
      </c>
      <c r="O134" s="17">
        <f>'HH WITHOUT COM #3'!$W$156</f>
        <v>0</v>
      </c>
      <c r="P134" s="17">
        <f>'HH WITHOUT COM #3'!$X$156</f>
        <v>0</v>
      </c>
      <c r="Q134" s="539">
        <f t="shared" si="208"/>
        <v>0</v>
      </c>
      <c r="R134" s="91">
        <f t="shared" si="197"/>
        <v>0</v>
      </c>
      <c r="S134" s="17">
        <f>'HH WITHOUT COM #4'!$W$156</f>
        <v>0</v>
      </c>
      <c r="T134" s="17">
        <f>'HH WITHOUT COM #4'!$X$156</f>
        <v>0</v>
      </c>
      <c r="U134" s="539">
        <f t="shared" si="209"/>
        <v>0</v>
      </c>
      <c r="V134" s="91">
        <f t="shared" si="198"/>
        <v>0</v>
      </c>
      <c r="W134" s="17">
        <f>'HH WITHOUT COM #5'!$W$156</f>
        <v>0</v>
      </c>
      <c r="X134" s="17">
        <f>'HH WITHOUT COM #5'!$X$156</f>
        <v>0</v>
      </c>
      <c r="Y134" s="539">
        <f t="shared" si="210"/>
        <v>0</v>
      </c>
      <c r="Z134" s="91">
        <f t="shared" si="199"/>
        <v>0</v>
      </c>
      <c r="AA134" s="17">
        <f>'HH WITHOUT COM #6'!$W$156</f>
        <v>0</v>
      </c>
      <c r="AB134" s="17">
        <f>'HH WITHOUT COM #6'!$X$156</f>
        <v>0</v>
      </c>
      <c r="AC134" s="539">
        <f t="shared" si="211"/>
        <v>0</v>
      </c>
      <c r="AD134" s="91">
        <f t="shared" si="200"/>
        <v>0</v>
      </c>
      <c r="AE134" s="17">
        <f>'HH WITHOUT COM #7'!$W$156</f>
        <v>0</v>
      </c>
      <c r="AF134" s="17">
        <f>'HH WITHOUT COM #7'!$X$156</f>
        <v>0</v>
      </c>
      <c r="AG134" s="539">
        <f t="shared" si="212"/>
        <v>0</v>
      </c>
      <c r="AH134" s="91">
        <f t="shared" si="201"/>
        <v>0</v>
      </c>
      <c r="AI134" s="391">
        <f t="shared" si="202"/>
        <v>1</v>
      </c>
      <c r="AJ134" s="17">
        <f t="shared" si="203"/>
        <v>3</v>
      </c>
      <c r="AK134" s="539">
        <f t="shared" si="204"/>
        <v>4</v>
      </c>
      <c r="AL134" s="91">
        <f t="shared" si="205"/>
        <v>2.3809523809523808E-2</v>
      </c>
    </row>
    <row r="135" spans="1:38" ht="16.5" customHeight="1" x14ac:dyDescent="0.25">
      <c r="A135" s="119"/>
      <c r="B135" s="119"/>
      <c r="C135" s="119"/>
      <c r="D135" s="473" t="s">
        <v>575</v>
      </c>
      <c r="E135" s="303" t="s">
        <v>576</v>
      </c>
      <c r="F135" s="542"/>
      <c r="G135" s="17">
        <f>'HH WITHOUT COM #1'!$W$157</f>
        <v>0</v>
      </c>
      <c r="H135" s="17">
        <f>'HH WITHOUT COM #1'!$X$157</f>
        <v>0</v>
      </c>
      <c r="I135" s="539">
        <f t="shared" si="206"/>
        <v>0</v>
      </c>
      <c r="J135" s="91">
        <f t="shared" si="195"/>
        <v>0</v>
      </c>
      <c r="K135" s="17">
        <f>'HH WITHOUT COM #2'!$W$157</f>
        <v>0</v>
      </c>
      <c r="L135" s="17">
        <f>'HH WITHOUT COM #2'!$X$157</f>
        <v>0</v>
      </c>
      <c r="M135" s="539">
        <f t="shared" si="207"/>
        <v>0</v>
      </c>
      <c r="N135" s="91">
        <f t="shared" si="196"/>
        <v>0</v>
      </c>
      <c r="O135" s="17">
        <f>'HH WITHOUT COM #3'!$W$157</f>
        <v>0</v>
      </c>
      <c r="P135" s="17">
        <f>'HH WITHOUT COM #3'!$X$157</f>
        <v>0</v>
      </c>
      <c r="Q135" s="539">
        <f t="shared" si="208"/>
        <v>0</v>
      </c>
      <c r="R135" s="91">
        <f t="shared" si="197"/>
        <v>0</v>
      </c>
      <c r="S135" s="17">
        <f>'HH WITHOUT COM #4'!$W$157</f>
        <v>0</v>
      </c>
      <c r="T135" s="17">
        <f>'HH WITHOUT COM #4'!$X$157</f>
        <v>0</v>
      </c>
      <c r="U135" s="539">
        <f t="shared" si="209"/>
        <v>0</v>
      </c>
      <c r="V135" s="91">
        <f t="shared" si="198"/>
        <v>0</v>
      </c>
      <c r="W135" s="17">
        <f>'HH WITHOUT COM #5'!$W$157</f>
        <v>0</v>
      </c>
      <c r="X135" s="17">
        <f>'HH WITHOUT COM #5'!$X$157</f>
        <v>0</v>
      </c>
      <c r="Y135" s="539">
        <f t="shared" si="210"/>
        <v>0</v>
      </c>
      <c r="Z135" s="91">
        <f t="shared" si="199"/>
        <v>0</v>
      </c>
      <c r="AA135" s="17">
        <f>'HH WITHOUT COM #6'!$W$157</f>
        <v>0</v>
      </c>
      <c r="AB135" s="17">
        <f>'HH WITHOUT COM #6'!$X$157</f>
        <v>0</v>
      </c>
      <c r="AC135" s="539">
        <f t="shared" si="211"/>
        <v>0</v>
      </c>
      <c r="AD135" s="91">
        <f t="shared" si="200"/>
        <v>0</v>
      </c>
      <c r="AE135" s="17">
        <f>'HH WITHOUT COM #7'!$W$157</f>
        <v>0</v>
      </c>
      <c r="AF135" s="17">
        <f>'HH WITHOUT COM #7'!$X$157</f>
        <v>0</v>
      </c>
      <c r="AG135" s="539">
        <f t="shared" si="212"/>
        <v>0</v>
      </c>
      <c r="AH135" s="91">
        <f t="shared" si="201"/>
        <v>0</v>
      </c>
      <c r="AI135" s="391">
        <f t="shared" si="202"/>
        <v>0</v>
      </c>
      <c r="AJ135" s="17">
        <f t="shared" si="203"/>
        <v>0</v>
      </c>
      <c r="AK135" s="539">
        <f t="shared" si="204"/>
        <v>0</v>
      </c>
      <c r="AL135" s="91">
        <f t="shared" si="205"/>
        <v>0</v>
      </c>
    </row>
    <row r="136" spans="1:38" ht="16.5" customHeight="1" x14ac:dyDescent="0.25">
      <c r="A136" s="119"/>
      <c r="B136" s="119"/>
      <c r="C136" s="119"/>
      <c r="D136" s="473" t="s">
        <v>577</v>
      </c>
      <c r="E136" s="484" t="s">
        <v>1050</v>
      </c>
      <c r="F136" s="542"/>
      <c r="G136" s="17">
        <f>'HH WITHOUT COM #1'!$W$158</f>
        <v>0</v>
      </c>
      <c r="H136" s="17">
        <f>'HH WITHOUT COM #1'!$X$158</f>
        <v>0</v>
      </c>
      <c r="I136" s="539">
        <f t="shared" si="206"/>
        <v>0</v>
      </c>
      <c r="J136" s="91">
        <f t="shared" si="195"/>
        <v>0</v>
      </c>
      <c r="K136" s="17">
        <f>'HH WITHOUT COM #2'!$W$158</f>
        <v>5</v>
      </c>
      <c r="L136" s="17">
        <f>'HH WITHOUT COM #2'!$X$158</f>
        <v>0</v>
      </c>
      <c r="M136" s="539">
        <f t="shared" si="207"/>
        <v>5</v>
      </c>
      <c r="N136" s="91">
        <f t="shared" si="196"/>
        <v>0.19230769230769232</v>
      </c>
      <c r="O136" s="17">
        <f>'HH WITHOUT COM #3'!$W$158</f>
        <v>0</v>
      </c>
      <c r="P136" s="17">
        <f>'HH WITHOUT COM #3'!$X$158</f>
        <v>0</v>
      </c>
      <c r="Q136" s="539">
        <f t="shared" si="208"/>
        <v>0</v>
      </c>
      <c r="R136" s="91">
        <f t="shared" si="197"/>
        <v>0</v>
      </c>
      <c r="S136" s="17">
        <f>'HH WITHOUT COM #4'!$W$158</f>
        <v>0</v>
      </c>
      <c r="T136" s="17">
        <f>'HH WITHOUT COM #4'!$X$158</f>
        <v>3</v>
      </c>
      <c r="U136" s="539">
        <f t="shared" si="209"/>
        <v>3</v>
      </c>
      <c r="V136" s="91">
        <f t="shared" si="198"/>
        <v>0.2</v>
      </c>
      <c r="W136" s="17">
        <f>'HH WITHOUT COM #5'!$W$158</f>
        <v>7</v>
      </c>
      <c r="X136" s="17">
        <f>'HH WITHOUT COM #5'!$X$158</f>
        <v>11</v>
      </c>
      <c r="Y136" s="539">
        <f t="shared" si="210"/>
        <v>18</v>
      </c>
      <c r="Z136" s="91">
        <f t="shared" si="199"/>
        <v>0.29032258064516131</v>
      </c>
      <c r="AA136" s="17">
        <f>'HH WITHOUT COM #6'!$W$158</f>
        <v>0</v>
      </c>
      <c r="AB136" s="17">
        <f>'HH WITHOUT COM #6'!$X$158</f>
        <v>1</v>
      </c>
      <c r="AC136" s="539">
        <f t="shared" si="211"/>
        <v>1</v>
      </c>
      <c r="AD136" s="91">
        <f t="shared" si="200"/>
        <v>3.7037037037037035E-2</v>
      </c>
      <c r="AE136" s="17">
        <f>'HH WITHOUT COM #7'!$W$158</f>
        <v>0</v>
      </c>
      <c r="AF136" s="17">
        <f>'HH WITHOUT COM #7'!$X$158</f>
        <v>0</v>
      </c>
      <c r="AG136" s="539">
        <f t="shared" si="212"/>
        <v>0</v>
      </c>
      <c r="AH136" s="91">
        <f t="shared" si="201"/>
        <v>0</v>
      </c>
      <c r="AI136" s="391">
        <f t="shared" si="202"/>
        <v>12</v>
      </c>
      <c r="AJ136" s="17">
        <f t="shared" si="203"/>
        <v>15</v>
      </c>
      <c r="AK136" s="539">
        <f t="shared" si="204"/>
        <v>27</v>
      </c>
      <c r="AL136" s="91">
        <f t="shared" si="205"/>
        <v>0.16071428571428573</v>
      </c>
    </row>
    <row r="137" spans="1:38" ht="16.5" customHeight="1" x14ac:dyDescent="0.25">
      <c r="A137" s="119"/>
      <c r="B137" s="119"/>
      <c r="C137" s="119"/>
      <c r="D137" s="473" t="s">
        <v>579</v>
      </c>
      <c r="E137" s="484" t="s">
        <v>1049</v>
      </c>
      <c r="F137" s="542"/>
      <c r="G137" s="17">
        <f>'HH WITHOUT COM #1'!$W$159</f>
        <v>0</v>
      </c>
      <c r="H137" s="17">
        <f>'HH WITHOUT COM #1'!$X$159</f>
        <v>0</v>
      </c>
      <c r="I137" s="539">
        <f t="shared" si="206"/>
        <v>0</v>
      </c>
      <c r="J137" s="91">
        <f t="shared" si="195"/>
        <v>0</v>
      </c>
      <c r="K137" s="17">
        <f>'HH WITHOUT COM #2'!$W$159</f>
        <v>4</v>
      </c>
      <c r="L137" s="17">
        <f>'HH WITHOUT COM #2'!$X$159</f>
        <v>2</v>
      </c>
      <c r="M137" s="539">
        <f t="shared" si="207"/>
        <v>6</v>
      </c>
      <c r="N137" s="91">
        <f t="shared" si="196"/>
        <v>0.23076923076923078</v>
      </c>
      <c r="O137" s="17">
        <f>'HH WITHOUT COM #3'!$W$159</f>
        <v>2</v>
      </c>
      <c r="P137" s="17">
        <f>'HH WITHOUT COM #3'!$X$159</f>
        <v>5</v>
      </c>
      <c r="Q137" s="539">
        <f t="shared" si="208"/>
        <v>7</v>
      </c>
      <c r="R137" s="91">
        <f t="shared" si="197"/>
        <v>0.2413793103448276</v>
      </c>
      <c r="S137" s="17">
        <f>'HH WITHOUT COM #4'!$W$159</f>
        <v>0</v>
      </c>
      <c r="T137" s="17">
        <f>'HH WITHOUT COM #4'!$X$159</f>
        <v>5</v>
      </c>
      <c r="U137" s="539">
        <f t="shared" si="209"/>
        <v>5</v>
      </c>
      <c r="V137" s="91">
        <f t="shared" si="198"/>
        <v>0.33333333333333331</v>
      </c>
      <c r="W137" s="17">
        <f>'HH WITHOUT COM #5'!$W$159</f>
        <v>11</v>
      </c>
      <c r="X137" s="17">
        <f>'HH WITHOUT COM #5'!$X$159</f>
        <v>3</v>
      </c>
      <c r="Y137" s="539">
        <f t="shared" si="210"/>
        <v>14</v>
      </c>
      <c r="Z137" s="91">
        <f t="shared" si="199"/>
        <v>0.22580645161290322</v>
      </c>
      <c r="AA137" s="17">
        <f>'HH WITHOUT COM #6'!$W$159</f>
        <v>2</v>
      </c>
      <c r="AB137" s="17">
        <f>'HH WITHOUT COM #6'!$X$159</f>
        <v>9</v>
      </c>
      <c r="AC137" s="539">
        <f t="shared" si="211"/>
        <v>11</v>
      </c>
      <c r="AD137" s="91">
        <f t="shared" si="200"/>
        <v>0.40740740740740738</v>
      </c>
      <c r="AE137" s="17">
        <f>'HH WITHOUT COM #7'!$W$159</f>
        <v>0</v>
      </c>
      <c r="AF137" s="17">
        <f>'HH WITHOUT COM #7'!$X$159</f>
        <v>0</v>
      </c>
      <c r="AG137" s="539">
        <f t="shared" si="212"/>
        <v>0</v>
      </c>
      <c r="AH137" s="91">
        <f t="shared" si="201"/>
        <v>0</v>
      </c>
      <c r="AI137" s="391">
        <f t="shared" si="202"/>
        <v>19</v>
      </c>
      <c r="AJ137" s="17">
        <f t="shared" si="203"/>
        <v>24</v>
      </c>
      <c r="AK137" s="539">
        <f t="shared" si="204"/>
        <v>43</v>
      </c>
      <c r="AL137" s="91">
        <f t="shared" si="205"/>
        <v>0.25595238095238093</v>
      </c>
    </row>
    <row r="138" spans="1:38" s="117" customFormat="1" ht="16.5" customHeight="1" x14ac:dyDescent="0.25">
      <c r="A138" s="119"/>
      <c r="B138" s="540"/>
      <c r="C138" s="254"/>
      <c r="D138" s="473" t="s">
        <v>581</v>
      </c>
      <c r="E138" s="484" t="s">
        <v>1051</v>
      </c>
      <c r="F138" s="108"/>
      <c r="G138" s="17">
        <f>'HH WITHOUT COM #1'!$W$160</f>
        <v>0</v>
      </c>
      <c r="H138" s="17">
        <f>'HH WITHOUT COM #1'!$X$160</f>
        <v>0</v>
      </c>
      <c r="I138" s="539">
        <f t="shared" si="206"/>
        <v>0</v>
      </c>
      <c r="J138" s="91">
        <f t="shared" si="195"/>
        <v>0</v>
      </c>
      <c r="K138" s="17">
        <f>'HH WITHOUT COM #2'!$W$160</f>
        <v>2</v>
      </c>
      <c r="L138" s="17">
        <f>'HH WITHOUT COM #2'!$X$160</f>
        <v>2</v>
      </c>
      <c r="M138" s="539">
        <f t="shared" si="207"/>
        <v>4</v>
      </c>
      <c r="N138" s="91">
        <f t="shared" si="196"/>
        <v>0.15384615384615385</v>
      </c>
      <c r="O138" s="17">
        <f>'HH WITHOUT COM #3'!$W$160</f>
        <v>0</v>
      </c>
      <c r="P138" s="17">
        <f>'HH WITHOUT COM #3'!$X$160</f>
        <v>0</v>
      </c>
      <c r="Q138" s="539">
        <f t="shared" si="208"/>
        <v>0</v>
      </c>
      <c r="R138" s="91">
        <f t="shared" si="197"/>
        <v>0</v>
      </c>
      <c r="S138" s="17">
        <f>'HH WITHOUT COM #4'!$W$160</f>
        <v>0</v>
      </c>
      <c r="T138" s="17">
        <f>'HH WITHOUT COM #4'!$X$160</f>
        <v>1</v>
      </c>
      <c r="U138" s="539">
        <f t="shared" si="209"/>
        <v>1</v>
      </c>
      <c r="V138" s="91">
        <f t="shared" si="198"/>
        <v>6.6666666666666666E-2</v>
      </c>
      <c r="W138" s="17">
        <f>'HH WITHOUT COM #5'!$W$160</f>
        <v>1</v>
      </c>
      <c r="X138" s="17">
        <f>'HH WITHOUT COM #5'!$X$160</f>
        <v>0</v>
      </c>
      <c r="Y138" s="539">
        <f t="shared" si="210"/>
        <v>1</v>
      </c>
      <c r="Z138" s="91">
        <f t="shared" si="199"/>
        <v>1.6129032258064516E-2</v>
      </c>
      <c r="AA138" s="17">
        <f>'HH WITHOUT COM #6'!$W$160</f>
        <v>0</v>
      </c>
      <c r="AB138" s="17">
        <f>'HH WITHOUT COM #6'!$X$160</f>
        <v>0</v>
      </c>
      <c r="AC138" s="539">
        <f t="shared" si="211"/>
        <v>0</v>
      </c>
      <c r="AD138" s="91">
        <f t="shared" si="200"/>
        <v>0</v>
      </c>
      <c r="AE138" s="17">
        <f>'HH WITHOUT COM #7'!$W$160</f>
        <v>0</v>
      </c>
      <c r="AF138" s="17">
        <f>'HH WITHOUT COM #7'!$X$160</f>
        <v>0</v>
      </c>
      <c r="AG138" s="539">
        <f t="shared" si="212"/>
        <v>0</v>
      </c>
      <c r="AH138" s="91">
        <f t="shared" si="201"/>
        <v>0</v>
      </c>
      <c r="AI138" s="391">
        <f t="shared" si="202"/>
        <v>3</v>
      </c>
      <c r="AJ138" s="17">
        <f t="shared" si="203"/>
        <v>3</v>
      </c>
      <c r="AK138" s="539">
        <f t="shared" si="204"/>
        <v>6</v>
      </c>
      <c r="AL138" s="91">
        <f t="shared" si="205"/>
        <v>3.5714285714285712E-2</v>
      </c>
    </row>
    <row r="139" spans="1:38" ht="16.5" customHeight="1" x14ac:dyDescent="0.25">
      <c r="A139" s="119"/>
      <c r="B139" s="119"/>
      <c r="C139" s="119"/>
      <c r="D139" s="473" t="s">
        <v>583</v>
      </c>
      <c r="E139" s="484" t="s">
        <v>1052</v>
      </c>
      <c r="F139" s="542"/>
      <c r="G139" s="17">
        <f>'HH WITHOUT COM #1'!$W$161</f>
        <v>0</v>
      </c>
      <c r="H139" s="17">
        <f>'HH WITHOUT COM #1'!$X$161</f>
        <v>0</v>
      </c>
      <c r="I139" s="539">
        <f t="shared" si="206"/>
        <v>0</v>
      </c>
      <c r="J139" s="91">
        <f t="shared" si="195"/>
        <v>0</v>
      </c>
      <c r="K139" s="17">
        <f>'HH WITHOUT COM #2'!$W$161</f>
        <v>0</v>
      </c>
      <c r="L139" s="17">
        <f>'HH WITHOUT COM #2'!$X$161</f>
        <v>1</v>
      </c>
      <c r="M139" s="539">
        <f t="shared" si="207"/>
        <v>1</v>
      </c>
      <c r="N139" s="91">
        <f t="shared" si="196"/>
        <v>3.8461538461538464E-2</v>
      </c>
      <c r="O139" s="17">
        <f>'HH WITHOUT COM #3'!$W$161</f>
        <v>0</v>
      </c>
      <c r="P139" s="17">
        <f>'HH WITHOUT COM #3'!$X$161</f>
        <v>0</v>
      </c>
      <c r="Q139" s="539">
        <f t="shared" si="208"/>
        <v>0</v>
      </c>
      <c r="R139" s="91">
        <f t="shared" si="197"/>
        <v>0</v>
      </c>
      <c r="S139" s="17">
        <f>'HH WITHOUT COM #4'!$W$161</f>
        <v>0</v>
      </c>
      <c r="T139" s="17">
        <f>'HH WITHOUT COM #4'!$X$161</f>
        <v>0</v>
      </c>
      <c r="U139" s="539">
        <f t="shared" si="209"/>
        <v>0</v>
      </c>
      <c r="V139" s="91">
        <f t="shared" si="198"/>
        <v>0</v>
      </c>
      <c r="W139" s="17">
        <f>'HH WITHOUT COM #5'!$W$161</f>
        <v>3</v>
      </c>
      <c r="X139" s="17">
        <f>'HH WITHOUT COM #5'!$X$161</f>
        <v>5</v>
      </c>
      <c r="Y139" s="539">
        <f t="shared" si="210"/>
        <v>8</v>
      </c>
      <c r="Z139" s="91">
        <f t="shared" si="199"/>
        <v>0.12903225806451613</v>
      </c>
      <c r="AA139" s="17">
        <f>'HH WITHOUT COM #6'!$W$161</f>
        <v>0</v>
      </c>
      <c r="AB139" s="17">
        <f>'HH WITHOUT COM #6'!$X$161</f>
        <v>5</v>
      </c>
      <c r="AC139" s="539">
        <f t="shared" si="211"/>
        <v>5</v>
      </c>
      <c r="AD139" s="91">
        <f t="shared" si="200"/>
        <v>0.18518518518518517</v>
      </c>
      <c r="AE139" s="17">
        <f>'HH WITHOUT COM #7'!$W$161</f>
        <v>0</v>
      </c>
      <c r="AF139" s="17">
        <f>'HH WITHOUT COM #7'!$X$161</f>
        <v>0</v>
      </c>
      <c r="AG139" s="539">
        <f t="shared" si="212"/>
        <v>0</v>
      </c>
      <c r="AH139" s="91">
        <f t="shared" si="201"/>
        <v>0</v>
      </c>
      <c r="AI139" s="391">
        <f t="shared" si="202"/>
        <v>3</v>
      </c>
      <c r="AJ139" s="17">
        <f t="shared" si="203"/>
        <v>11</v>
      </c>
      <c r="AK139" s="539">
        <f t="shared" si="204"/>
        <v>14</v>
      </c>
      <c r="AL139" s="91">
        <f t="shared" si="205"/>
        <v>8.3333333333333329E-2</v>
      </c>
    </row>
    <row r="140" spans="1:38" ht="16.5" customHeight="1" x14ac:dyDescent="0.25">
      <c r="A140" s="119"/>
      <c r="B140" s="119"/>
      <c r="C140" s="119"/>
      <c r="D140" s="473" t="s">
        <v>585</v>
      </c>
      <c r="E140" s="484" t="s">
        <v>1053</v>
      </c>
      <c r="F140" s="542"/>
      <c r="G140" s="17">
        <f>'HH WITHOUT COM #1'!$W$162</f>
        <v>0</v>
      </c>
      <c r="H140" s="17">
        <f>'HH WITHOUT COM #1'!$X$162</f>
        <v>0</v>
      </c>
      <c r="I140" s="539">
        <f t="shared" si="206"/>
        <v>0</v>
      </c>
      <c r="J140" s="91">
        <f t="shared" si="195"/>
        <v>0</v>
      </c>
      <c r="K140" s="17">
        <f>'HH WITHOUT COM #2'!$W$162</f>
        <v>0</v>
      </c>
      <c r="L140" s="17">
        <f>'HH WITHOUT COM #2'!$X$162</f>
        <v>1</v>
      </c>
      <c r="M140" s="539">
        <f t="shared" si="207"/>
        <v>1</v>
      </c>
      <c r="N140" s="91">
        <f t="shared" si="196"/>
        <v>3.8461538461538464E-2</v>
      </c>
      <c r="O140" s="17">
        <f>'HH WITHOUT COM #3'!$W$162</f>
        <v>0</v>
      </c>
      <c r="P140" s="17">
        <f>'HH WITHOUT COM #3'!$X$162</f>
        <v>0</v>
      </c>
      <c r="Q140" s="539">
        <f t="shared" si="208"/>
        <v>0</v>
      </c>
      <c r="R140" s="91">
        <f t="shared" si="197"/>
        <v>0</v>
      </c>
      <c r="S140" s="17">
        <f>'HH WITHOUT COM #4'!$W$162</f>
        <v>0</v>
      </c>
      <c r="T140" s="17">
        <f>'HH WITHOUT COM #4'!$X$162</f>
        <v>0</v>
      </c>
      <c r="U140" s="539">
        <f t="shared" si="209"/>
        <v>0</v>
      </c>
      <c r="V140" s="91">
        <f t="shared" si="198"/>
        <v>0</v>
      </c>
      <c r="W140" s="17">
        <f>'HH WITHOUT COM #5'!$W$162</f>
        <v>3</v>
      </c>
      <c r="X140" s="17">
        <f>'HH WITHOUT COM #5'!$X$162</f>
        <v>4</v>
      </c>
      <c r="Y140" s="539">
        <f t="shared" si="210"/>
        <v>7</v>
      </c>
      <c r="Z140" s="91">
        <f t="shared" si="199"/>
        <v>0.11290322580645161</v>
      </c>
      <c r="AA140" s="17">
        <f>'HH WITHOUT COM #6'!$W$162</f>
        <v>0</v>
      </c>
      <c r="AB140" s="17">
        <f>'HH WITHOUT COM #6'!$X$162</f>
        <v>0</v>
      </c>
      <c r="AC140" s="539">
        <f t="shared" si="211"/>
        <v>0</v>
      </c>
      <c r="AD140" s="91">
        <f t="shared" si="200"/>
        <v>0</v>
      </c>
      <c r="AE140" s="17">
        <f>'HH WITHOUT COM #7'!$W$162</f>
        <v>0</v>
      </c>
      <c r="AF140" s="17">
        <f>'HH WITHOUT COM #7'!$X$162</f>
        <v>0</v>
      </c>
      <c r="AG140" s="539">
        <f t="shared" si="212"/>
        <v>0</v>
      </c>
      <c r="AH140" s="91">
        <f t="shared" si="201"/>
        <v>0</v>
      </c>
      <c r="AI140" s="391">
        <f t="shared" si="202"/>
        <v>3</v>
      </c>
      <c r="AJ140" s="17">
        <f t="shared" si="203"/>
        <v>5</v>
      </c>
      <c r="AK140" s="539">
        <f t="shared" si="204"/>
        <v>8</v>
      </c>
      <c r="AL140" s="91">
        <f t="shared" si="205"/>
        <v>4.7619047619047616E-2</v>
      </c>
    </row>
    <row r="141" spans="1:38" ht="16.5" customHeight="1" x14ac:dyDescent="0.25">
      <c r="A141" s="119"/>
      <c r="B141" s="119"/>
      <c r="C141" s="119"/>
      <c r="D141" s="467" t="s">
        <v>587</v>
      </c>
      <c r="E141" s="105" t="s">
        <v>588</v>
      </c>
      <c r="F141" s="542"/>
      <c r="G141" s="17">
        <f>'HH WITHOUT COM #1'!$W$163</f>
        <v>0</v>
      </c>
      <c r="H141" s="17">
        <f>'HH WITHOUT COM #1'!$X$163</f>
        <v>0</v>
      </c>
      <c r="I141" s="539">
        <f t="shared" si="206"/>
        <v>0</v>
      </c>
      <c r="J141" s="91">
        <f t="shared" si="195"/>
        <v>0</v>
      </c>
      <c r="K141" s="17">
        <f>'HH WITHOUT COM #2'!$W$163</f>
        <v>3</v>
      </c>
      <c r="L141" s="17">
        <f>'HH WITHOUT COM #2'!$X$163</f>
        <v>0</v>
      </c>
      <c r="M141" s="539">
        <f t="shared" si="207"/>
        <v>3</v>
      </c>
      <c r="N141" s="91">
        <f t="shared" si="196"/>
        <v>0.11538461538461539</v>
      </c>
      <c r="O141" s="17">
        <f>'HH WITHOUT COM #3'!$W$163</f>
        <v>4</v>
      </c>
      <c r="P141" s="17">
        <f>'HH WITHOUT COM #3'!$X$163</f>
        <v>7</v>
      </c>
      <c r="Q141" s="539">
        <f t="shared" si="208"/>
        <v>11</v>
      </c>
      <c r="R141" s="91">
        <f t="shared" si="197"/>
        <v>0.37931034482758619</v>
      </c>
      <c r="S141" s="17">
        <f>'HH WITHOUT COM #4'!$W$163</f>
        <v>0</v>
      </c>
      <c r="T141" s="17">
        <f>'HH WITHOUT COM #4'!$X$163</f>
        <v>4</v>
      </c>
      <c r="U141" s="539">
        <f t="shared" si="209"/>
        <v>4</v>
      </c>
      <c r="V141" s="91">
        <f t="shared" si="198"/>
        <v>0.26666666666666666</v>
      </c>
      <c r="W141" s="17">
        <f>'HH WITHOUT COM #5'!$W$163</f>
        <v>5</v>
      </c>
      <c r="X141" s="17">
        <f>'HH WITHOUT COM #5'!$X$163</f>
        <v>5</v>
      </c>
      <c r="Y141" s="539">
        <f t="shared" si="210"/>
        <v>10</v>
      </c>
      <c r="Z141" s="91">
        <f t="shared" si="199"/>
        <v>0.16129032258064516</v>
      </c>
      <c r="AA141" s="17">
        <f>'HH WITHOUT COM #6'!$W$163</f>
        <v>0</v>
      </c>
      <c r="AB141" s="17">
        <f>'HH WITHOUT COM #6'!$X$163</f>
        <v>1</v>
      </c>
      <c r="AC141" s="539">
        <f t="shared" si="211"/>
        <v>1</v>
      </c>
      <c r="AD141" s="91">
        <f t="shared" si="200"/>
        <v>3.7037037037037035E-2</v>
      </c>
      <c r="AE141" s="17">
        <f>'HH WITHOUT COM #7'!$W$163</f>
        <v>0</v>
      </c>
      <c r="AF141" s="17">
        <f>'HH WITHOUT COM #7'!$X$163</f>
        <v>0</v>
      </c>
      <c r="AG141" s="539">
        <f t="shared" si="212"/>
        <v>0</v>
      </c>
      <c r="AH141" s="91">
        <f t="shared" si="201"/>
        <v>0</v>
      </c>
      <c r="AI141" s="391">
        <f t="shared" si="202"/>
        <v>12</v>
      </c>
      <c r="AJ141" s="17">
        <f t="shared" si="203"/>
        <v>17</v>
      </c>
      <c r="AK141" s="539">
        <f t="shared" si="204"/>
        <v>29</v>
      </c>
      <c r="AL141" s="91">
        <f t="shared" si="205"/>
        <v>0.17261904761904762</v>
      </c>
    </row>
    <row r="142" spans="1:38" ht="16.5" customHeight="1" x14ac:dyDescent="0.25">
      <c r="A142" s="119"/>
      <c r="B142" s="119"/>
      <c r="C142" s="119"/>
      <c r="D142" s="467"/>
      <c r="E142" s="1336" t="s">
        <v>1838</v>
      </c>
      <c r="F142" s="1333"/>
      <c r="G142" s="17">
        <f>'HH WITHOUT COM #1'!$W$164</f>
        <v>0</v>
      </c>
      <c r="H142" s="17">
        <f>'HH WITHOUT COM #1'!$X$164</f>
        <v>0</v>
      </c>
      <c r="I142" s="1332">
        <f t="shared" si="206"/>
        <v>0</v>
      </c>
      <c r="J142" s="91"/>
      <c r="K142" s="17">
        <f>'HH WITHOUT COM #2'!$W$164</f>
        <v>3</v>
      </c>
      <c r="L142" s="17">
        <f>'HH WITHOUT COM #2'!$X$164</f>
        <v>0</v>
      </c>
      <c r="M142" s="1332">
        <f t="shared" si="207"/>
        <v>3</v>
      </c>
      <c r="N142" s="91"/>
      <c r="O142" s="17">
        <f>'HH WITHOUT COM #3'!$W$164</f>
        <v>4</v>
      </c>
      <c r="P142" s="17">
        <f>'HH WITHOUT COM #3'!$X$164</f>
        <v>7</v>
      </c>
      <c r="Q142" s="1332">
        <f t="shared" si="208"/>
        <v>11</v>
      </c>
      <c r="R142" s="91"/>
      <c r="S142" s="17">
        <f>'HH WITHOUT COM #4'!$W$164</f>
        <v>0</v>
      </c>
      <c r="T142" s="17">
        <f>'HH WITHOUT COM #4'!$X$164</f>
        <v>4</v>
      </c>
      <c r="U142" s="1332">
        <f t="shared" si="209"/>
        <v>4</v>
      </c>
      <c r="V142" s="91"/>
      <c r="W142" s="17">
        <f>'HH WITHOUT COM #5'!$W$164</f>
        <v>2</v>
      </c>
      <c r="X142" s="17">
        <f>'HH WITHOUT COM #5'!$X$164</f>
        <v>2</v>
      </c>
      <c r="Y142" s="1332">
        <f t="shared" si="210"/>
        <v>4</v>
      </c>
      <c r="Z142" s="91"/>
      <c r="AA142" s="17">
        <f>'HH WITHOUT COM #6'!$W$164</f>
        <v>0</v>
      </c>
      <c r="AB142" s="17">
        <f>'HH WITHOUT COM #6'!$X$164</f>
        <v>1</v>
      </c>
      <c r="AC142" s="1332">
        <f t="shared" si="211"/>
        <v>1</v>
      </c>
      <c r="AD142" s="91"/>
      <c r="AE142" s="17">
        <f>'HH WITHOUT COM #7'!$W$164</f>
        <v>0</v>
      </c>
      <c r="AF142" s="17">
        <f>'HH WITHOUT COM #7'!$X$164</f>
        <v>0</v>
      </c>
      <c r="AG142" s="1332">
        <f t="shared" si="212"/>
        <v>0</v>
      </c>
      <c r="AH142" s="91"/>
      <c r="AI142" s="391">
        <f t="shared" ref="AI142:AI145" si="213">G142+K142+O142+S142+W142+AA142+AE142</f>
        <v>9</v>
      </c>
      <c r="AJ142" s="17">
        <f t="shared" ref="AJ142:AJ145" si="214">H142+L142+P142+T142+X142+AB142+AF142</f>
        <v>14</v>
      </c>
      <c r="AK142" s="1332">
        <f t="shared" ref="AK142:AK145" si="215">SUM(AI142:AJ142)</f>
        <v>23</v>
      </c>
      <c r="AL142" s="91"/>
    </row>
    <row r="143" spans="1:38" ht="16.5" customHeight="1" x14ac:dyDescent="0.25">
      <c r="A143" s="119"/>
      <c r="B143" s="119"/>
      <c r="C143" s="119"/>
      <c r="D143" s="467"/>
      <c r="E143" s="1337" t="s">
        <v>1839</v>
      </c>
      <c r="F143" s="1333"/>
      <c r="G143" s="17">
        <f>'HH WITHOUT COM #1'!$W$165</f>
        <v>0</v>
      </c>
      <c r="H143" s="17">
        <f>'HH WITHOUT COM #1'!$X$165</f>
        <v>0</v>
      </c>
      <c r="I143" s="1332">
        <f t="shared" si="206"/>
        <v>0</v>
      </c>
      <c r="J143" s="91"/>
      <c r="K143" s="17">
        <f>'HH WITHOUT COM #2'!$W$165</f>
        <v>0</v>
      </c>
      <c r="L143" s="17">
        <f>'HH WITHOUT COM #2'!$X$165</f>
        <v>0</v>
      </c>
      <c r="M143" s="1332">
        <f t="shared" si="207"/>
        <v>0</v>
      </c>
      <c r="N143" s="91"/>
      <c r="O143" s="17">
        <f>'HH WITHOUT COM #3'!$W$165</f>
        <v>0</v>
      </c>
      <c r="P143" s="17">
        <f>'HH WITHOUT COM #3'!$X$165</f>
        <v>0</v>
      </c>
      <c r="Q143" s="1332">
        <f t="shared" si="208"/>
        <v>0</v>
      </c>
      <c r="R143" s="91"/>
      <c r="S143" s="17">
        <f>'HH WITHOUT COM #4'!$W$165</f>
        <v>0</v>
      </c>
      <c r="T143" s="17">
        <f>'HH WITHOUT COM #4'!$X$165</f>
        <v>0</v>
      </c>
      <c r="U143" s="1332">
        <f t="shared" si="209"/>
        <v>0</v>
      </c>
      <c r="V143" s="91"/>
      <c r="W143" s="17">
        <f>'HH WITHOUT COM #5'!$W$165</f>
        <v>1</v>
      </c>
      <c r="X143" s="17">
        <f>'HH WITHOUT COM #5'!$X$165</f>
        <v>1</v>
      </c>
      <c r="Y143" s="1332">
        <f t="shared" si="210"/>
        <v>2</v>
      </c>
      <c r="Z143" s="91"/>
      <c r="AA143" s="17">
        <f>'HH WITHOUT COM #6'!$W$165</f>
        <v>0</v>
      </c>
      <c r="AB143" s="17">
        <f>'HH WITHOUT COM #6'!$X$165</f>
        <v>0</v>
      </c>
      <c r="AC143" s="1332">
        <f t="shared" si="211"/>
        <v>0</v>
      </c>
      <c r="AD143" s="91"/>
      <c r="AE143" s="17">
        <f>'HH WITHOUT COM #7'!$W$165</f>
        <v>0</v>
      </c>
      <c r="AF143" s="17">
        <f>'HH WITHOUT COM #7'!$X$165</f>
        <v>0</v>
      </c>
      <c r="AG143" s="1332">
        <f t="shared" si="212"/>
        <v>0</v>
      </c>
      <c r="AH143" s="91"/>
      <c r="AI143" s="391">
        <f t="shared" si="213"/>
        <v>1</v>
      </c>
      <c r="AJ143" s="17">
        <f t="shared" si="214"/>
        <v>1</v>
      </c>
      <c r="AK143" s="1332">
        <f t="shared" si="215"/>
        <v>2</v>
      </c>
      <c r="AL143" s="91"/>
    </row>
    <row r="144" spans="1:38" ht="16.5" customHeight="1" x14ac:dyDescent="0.25">
      <c r="A144" s="119"/>
      <c r="B144" s="119"/>
      <c r="C144" s="119"/>
      <c r="D144" s="467"/>
      <c r="E144" s="1337" t="s">
        <v>1841</v>
      </c>
      <c r="F144" s="1333"/>
      <c r="G144" s="17">
        <f>'HH WITHOUT COM #1'!$W$166</f>
        <v>0</v>
      </c>
      <c r="H144" s="17">
        <f>'HH WITHOUT COM #1'!$X$166</f>
        <v>0</v>
      </c>
      <c r="I144" s="1332">
        <f t="shared" si="206"/>
        <v>0</v>
      </c>
      <c r="J144" s="91"/>
      <c r="K144" s="17">
        <f>'HH WITHOUT COM #2'!$W$166</f>
        <v>0</v>
      </c>
      <c r="L144" s="17">
        <f>'HH WITHOUT COM #2'!$X$166</f>
        <v>0</v>
      </c>
      <c r="M144" s="1332">
        <f t="shared" si="207"/>
        <v>0</v>
      </c>
      <c r="N144" s="91"/>
      <c r="O144" s="17">
        <f>'HH WITHOUT COM #3'!$W$166</f>
        <v>0</v>
      </c>
      <c r="P144" s="17">
        <f>'HH WITHOUT COM #3'!$X$166</f>
        <v>0</v>
      </c>
      <c r="Q144" s="1332">
        <f t="shared" si="208"/>
        <v>0</v>
      </c>
      <c r="R144" s="91"/>
      <c r="S144" s="17">
        <f>'HH WITHOUT COM #4'!$W$166</f>
        <v>0</v>
      </c>
      <c r="T144" s="17">
        <f>'HH WITHOUT COM #4'!$X$166</f>
        <v>0</v>
      </c>
      <c r="U144" s="1332">
        <f t="shared" si="209"/>
        <v>0</v>
      </c>
      <c r="V144" s="91"/>
      <c r="W144" s="17">
        <f>'HH WITHOUT COM #5'!$W$166</f>
        <v>0</v>
      </c>
      <c r="X144" s="17">
        <f>'HH WITHOUT COM #5'!$X$166</f>
        <v>0</v>
      </c>
      <c r="Y144" s="1332">
        <f t="shared" si="210"/>
        <v>0</v>
      </c>
      <c r="Z144" s="91"/>
      <c r="AA144" s="17">
        <f>'HH WITHOUT COM #6'!$W$166</f>
        <v>0</v>
      </c>
      <c r="AB144" s="17">
        <f>'HH WITHOUT COM #6'!$X$166</f>
        <v>0</v>
      </c>
      <c r="AC144" s="1332">
        <f t="shared" si="211"/>
        <v>0</v>
      </c>
      <c r="AD144" s="91"/>
      <c r="AE144" s="17">
        <f>'HH WITHOUT COM #7'!$W$166</f>
        <v>0</v>
      </c>
      <c r="AF144" s="17">
        <f>'HH WITHOUT COM #7'!$X$166</f>
        <v>0</v>
      </c>
      <c r="AG144" s="1332">
        <f t="shared" si="212"/>
        <v>0</v>
      </c>
      <c r="AH144" s="91"/>
      <c r="AI144" s="391">
        <f t="shared" si="213"/>
        <v>0</v>
      </c>
      <c r="AJ144" s="17">
        <f t="shared" si="214"/>
        <v>0</v>
      </c>
      <c r="AK144" s="1332">
        <f t="shared" si="215"/>
        <v>0</v>
      </c>
      <c r="AL144" s="91"/>
    </row>
    <row r="145" spans="1:38" ht="16.5" customHeight="1" x14ac:dyDescent="0.25">
      <c r="A145" s="119"/>
      <c r="B145" s="119"/>
      <c r="C145" s="119"/>
      <c r="D145" s="467"/>
      <c r="E145" s="1337" t="s">
        <v>1840</v>
      </c>
      <c r="F145" s="1333"/>
      <c r="G145" s="17">
        <f>'HH WITHOUT COM #1'!$W$168</f>
        <v>0</v>
      </c>
      <c r="H145" s="17">
        <f>'HH WITHOUT COM #1'!$X$168</f>
        <v>0</v>
      </c>
      <c r="I145" s="1332">
        <f t="shared" si="206"/>
        <v>0</v>
      </c>
      <c r="J145" s="91"/>
      <c r="K145" s="17">
        <f>'HH WITHOUT COM #2'!$W$168</f>
        <v>0</v>
      </c>
      <c r="L145" s="17">
        <f>'HH WITHOUT COM #2'!$X$168</f>
        <v>0</v>
      </c>
      <c r="M145" s="1332">
        <f t="shared" si="207"/>
        <v>0</v>
      </c>
      <c r="N145" s="91"/>
      <c r="O145" s="17">
        <f>'HH WITHOUT COM #3'!$W$168</f>
        <v>0</v>
      </c>
      <c r="P145" s="17">
        <f>'HH WITHOUT COM #3'!$X$168</f>
        <v>0</v>
      </c>
      <c r="Q145" s="1332">
        <f t="shared" si="208"/>
        <v>0</v>
      </c>
      <c r="R145" s="91"/>
      <c r="S145" s="17">
        <f>'HH WITHOUT COM #4'!$W$168</f>
        <v>0</v>
      </c>
      <c r="T145" s="17">
        <f>'HH WITHOUT COM #4'!$X$168</f>
        <v>0</v>
      </c>
      <c r="U145" s="1332">
        <f t="shared" si="209"/>
        <v>0</v>
      </c>
      <c r="V145" s="91"/>
      <c r="W145" s="17">
        <f>'HH WITHOUT COM #5'!$W$168</f>
        <v>2</v>
      </c>
      <c r="X145" s="17">
        <f>'HH WITHOUT COM #5'!$X$168</f>
        <v>2</v>
      </c>
      <c r="Y145" s="1332">
        <f t="shared" si="210"/>
        <v>4</v>
      </c>
      <c r="Z145" s="91"/>
      <c r="AA145" s="17">
        <f>'HH WITHOUT COM #6'!$W$168</f>
        <v>0</v>
      </c>
      <c r="AB145" s="17">
        <f>'HH WITHOUT COM #6'!$X$168</f>
        <v>0</v>
      </c>
      <c r="AC145" s="1332">
        <f t="shared" si="211"/>
        <v>0</v>
      </c>
      <c r="AD145" s="91"/>
      <c r="AE145" s="17">
        <f>'HH WITHOUT COM #7'!$W$168</f>
        <v>0</v>
      </c>
      <c r="AF145" s="17">
        <f>'HH WITHOUT COM #7'!$X$168</f>
        <v>0</v>
      </c>
      <c r="AG145" s="1332">
        <f t="shared" si="212"/>
        <v>0</v>
      </c>
      <c r="AH145" s="91"/>
      <c r="AI145" s="391">
        <f t="shared" si="213"/>
        <v>2</v>
      </c>
      <c r="AJ145" s="17">
        <f t="shared" si="214"/>
        <v>2</v>
      </c>
      <c r="AK145" s="1332">
        <f t="shared" si="215"/>
        <v>4</v>
      </c>
      <c r="AL145" s="91"/>
    </row>
    <row r="146" spans="1:38" ht="16.5" customHeight="1" x14ac:dyDescent="0.25">
      <c r="A146" s="119"/>
      <c r="B146" s="119"/>
      <c r="C146" s="119"/>
      <c r="D146" s="467"/>
      <c r="E146" s="1337"/>
      <c r="F146" s="1333"/>
      <c r="G146" s="17"/>
      <c r="H146" s="17"/>
      <c r="I146" s="1332"/>
      <c r="J146" s="91"/>
      <c r="K146" s="17"/>
      <c r="L146" s="17"/>
      <c r="M146" s="1332"/>
      <c r="N146" s="91"/>
      <c r="O146" s="17"/>
      <c r="P146" s="17"/>
      <c r="Q146" s="1332"/>
      <c r="R146" s="91"/>
      <c r="S146" s="17"/>
      <c r="T146" s="17"/>
      <c r="U146" s="1332"/>
      <c r="V146" s="91"/>
      <c r="W146" s="17"/>
      <c r="X146" s="17"/>
      <c r="Y146" s="1332"/>
      <c r="Z146" s="91"/>
      <c r="AA146" s="17"/>
      <c r="AB146" s="17"/>
      <c r="AC146" s="1332"/>
      <c r="AD146" s="91"/>
      <c r="AE146" s="17"/>
      <c r="AF146" s="17"/>
      <c r="AG146" s="1332"/>
      <c r="AH146" s="91"/>
      <c r="AI146" s="391"/>
      <c r="AJ146" s="17"/>
      <c r="AK146" s="1332"/>
      <c r="AL146" s="91"/>
    </row>
    <row r="147" spans="1:38" ht="16.5" customHeight="1" x14ac:dyDescent="0.25">
      <c r="A147" s="119"/>
      <c r="B147" s="119"/>
      <c r="C147" s="119"/>
      <c r="D147" s="134"/>
      <c r="E147" s="490"/>
      <c r="F147" s="491"/>
      <c r="G147" s="82">
        <f>SUM(G132:G141)</f>
        <v>3</v>
      </c>
      <c r="H147" s="82">
        <f t="shared" ref="H147:I147" si="216">SUM(H132:H141)</f>
        <v>6</v>
      </c>
      <c r="I147" s="82">
        <f t="shared" si="216"/>
        <v>9</v>
      </c>
      <c r="J147" s="66">
        <f>IF(I$147=0,0,I147/I$147)</f>
        <v>1</v>
      </c>
      <c r="K147" s="82">
        <f>SUM(K132:K141)</f>
        <v>17</v>
      </c>
      <c r="L147" s="82">
        <f t="shared" ref="L147" si="217">SUM(L132:L141)</f>
        <v>9</v>
      </c>
      <c r="M147" s="82">
        <f t="shared" ref="M147" si="218">SUM(M132:M141)</f>
        <v>26</v>
      </c>
      <c r="N147" s="66">
        <f>IF(M$147=0,0,M147/M$147)</f>
        <v>1</v>
      </c>
      <c r="O147" s="82">
        <f>SUM(O132:O141)</f>
        <v>10</v>
      </c>
      <c r="P147" s="82">
        <f t="shared" ref="P147" si="219">SUM(P132:P141)</f>
        <v>19</v>
      </c>
      <c r="Q147" s="82">
        <f t="shared" ref="Q147" si="220">SUM(Q132:Q141)</f>
        <v>29</v>
      </c>
      <c r="R147" s="66">
        <f>IF(Q$147=0,0,Q147/Q$147)</f>
        <v>1</v>
      </c>
      <c r="S147" s="82">
        <f>SUM(S132:S141)</f>
        <v>0</v>
      </c>
      <c r="T147" s="82">
        <f t="shared" ref="T147" si="221">SUM(T132:T141)</f>
        <v>15</v>
      </c>
      <c r="U147" s="82">
        <f t="shared" ref="U147" si="222">SUM(U132:U141)</f>
        <v>15</v>
      </c>
      <c r="V147" s="66">
        <f>IF(U$147=0,0,U147/U$147)</f>
        <v>1</v>
      </c>
      <c r="W147" s="82">
        <f>SUM(W132:W141)</f>
        <v>33</v>
      </c>
      <c r="X147" s="82">
        <f t="shared" ref="X147" si="223">SUM(X132:X141)</f>
        <v>29</v>
      </c>
      <c r="Y147" s="82">
        <f t="shared" ref="Y147" si="224">SUM(Y132:Y141)</f>
        <v>62</v>
      </c>
      <c r="Z147" s="66">
        <f>IF(Y$147=0,0,Y147/Y$147)</f>
        <v>1</v>
      </c>
      <c r="AA147" s="82">
        <f>SUM(AA132:AA141)</f>
        <v>3</v>
      </c>
      <c r="AB147" s="82">
        <f t="shared" ref="AB147" si="225">SUM(AB132:AB141)</f>
        <v>24</v>
      </c>
      <c r="AC147" s="82">
        <f t="shared" ref="AC147" si="226">SUM(AC132:AC141)</f>
        <v>27</v>
      </c>
      <c r="AD147" s="66">
        <f>IF(AC$147=0,0,AC147/AC$147)</f>
        <v>1</v>
      </c>
      <c r="AE147" s="82">
        <f>SUM(AE132:AE141)</f>
        <v>0</v>
      </c>
      <c r="AF147" s="82">
        <f t="shared" ref="AF147" si="227">SUM(AF132:AF141)</f>
        <v>0</v>
      </c>
      <c r="AG147" s="82">
        <f t="shared" ref="AG147" si="228">SUM(AG132:AG141)</f>
        <v>0</v>
      </c>
      <c r="AH147" s="66">
        <f>IF(AG$147=0,0,AG147/AG$147)</f>
        <v>0</v>
      </c>
      <c r="AI147" s="622">
        <f>SUM(AI132:AI141)</f>
        <v>66</v>
      </c>
      <c r="AJ147" s="82">
        <f t="shared" ref="AJ147" si="229">SUM(AJ132:AJ141)</f>
        <v>102</v>
      </c>
      <c r="AK147" s="82">
        <f t="shared" ref="AK147" si="230">SUM(AK132:AK141)</f>
        <v>168</v>
      </c>
      <c r="AL147" s="66">
        <f>IF(AK$147=0,0,AK147/AK$147)</f>
        <v>1</v>
      </c>
    </row>
    <row r="148" spans="1:38" s="117" customFormat="1" ht="16.5" customHeight="1" x14ac:dyDescent="0.25">
      <c r="A148" s="119"/>
      <c r="B148" s="41" t="s">
        <v>116</v>
      </c>
      <c r="C148" s="476" t="s">
        <v>12</v>
      </c>
      <c r="D148" s="477"/>
      <c r="E148" s="478"/>
      <c r="F148" s="478"/>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355"/>
      <c r="AI148" s="377"/>
      <c r="AJ148" s="71"/>
      <c r="AK148" s="71"/>
      <c r="AL148" s="71"/>
    </row>
    <row r="149" spans="1:38" s="97" customFormat="1" ht="16.5" customHeight="1" x14ac:dyDescent="0.25">
      <c r="A149" s="68"/>
      <c r="B149" s="68"/>
      <c r="C149" s="68"/>
      <c r="D149" s="166"/>
      <c r="E149" s="458"/>
      <c r="F149" s="458"/>
      <c r="G149" s="466"/>
      <c r="H149" s="466"/>
      <c r="I149" s="466"/>
      <c r="J149" s="466"/>
      <c r="K149" s="466"/>
      <c r="L149" s="466"/>
      <c r="M149" s="466"/>
      <c r="N149" s="466"/>
      <c r="O149" s="466"/>
      <c r="P149" s="466"/>
      <c r="Q149" s="466"/>
      <c r="R149" s="466"/>
      <c r="S149" s="466"/>
      <c r="T149" s="466"/>
      <c r="U149" s="466"/>
      <c r="V149" s="466"/>
      <c r="W149" s="466"/>
      <c r="X149" s="466"/>
      <c r="Y149" s="466"/>
      <c r="Z149" s="466"/>
      <c r="AA149" s="466"/>
      <c r="AB149" s="466"/>
      <c r="AC149" s="466"/>
      <c r="AD149" s="466"/>
      <c r="AE149" s="466"/>
      <c r="AF149" s="466"/>
      <c r="AG149" s="466"/>
      <c r="AH149" s="466"/>
      <c r="AI149" s="466"/>
      <c r="AJ149" s="466"/>
      <c r="AK149" s="466"/>
      <c r="AL149" s="466"/>
    </row>
    <row r="150" spans="1:38" s="456" customFormat="1" ht="16.5" customHeight="1" thickBot="1" x14ac:dyDescent="0.3">
      <c r="A150" s="24" t="s">
        <v>150</v>
      </c>
      <c r="B150" s="25" t="s">
        <v>589</v>
      </c>
      <c r="C150" s="26"/>
      <c r="D150" s="454"/>
      <c r="E150" s="454"/>
      <c r="F150" s="455"/>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606"/>
      <c r="AI150" s="630"/>
      <c r="AJ150" s="24"/>
      <c r="AK150" s="24"/>
      <c r="AL150" s="24"/>
    </row>
    <row r="151" spans="1:38" s="117" customFormat="1" ht="16.5" customHeight="1" x14ac:dyDescent="0.25">
      <c r="A151" s="119"/>
      <c r="B151" s="41" t="s">
        <v>152</v>
      </c>
      <c r="C151" s="274" t="s">
        <v>1054</v>
      </c>
      <c r="D151" s="43"/>
      <c r="E151" s="478"/>
      <c r="F151" s="478"/>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355"/>
      <c r="AI151" s="631"/>
      <c r="AJ151" s="272"/>
      <c r="AK151" s="272"/>
      <c r="AL151" s="272"/>
    </row>
    <row r="152" spans="1:38" s="4" customFormat="1" ht="16.5" customHeight="1" x14ac:dyDescent="0.25">
      <c r="A152" s="40"/>
      <c r="B152" s="102"/>
      <c r="C152" s="473" t="s">
        <v>153</v>
      </c>
      <c r="D152" s="484" t="s">
        <v>590</v>
      </c>
      <c r="E152" s="105"/>
      <c r="F152" s="106"/>
      <c r="G152" s="17">
        <f>'HH WITHOUT COM #1'!$W$175</f>
        <v>0</v>
      </c>
      <c r="H152" s="17">
        <f>'HH WITHOUT COM #1'!$X$175</f>
        <v>0</v>
      </c>
      <c r="I152" s="539">
        <f>SUM(G152:H152)</f>
        <v>0</v>
      </c>
      <c r="J152" s="91">
        <f t="shared" ref="J152:J158" si="231">IF(I$165=0,0,I152/I$165)</f>
        <v>0</v>
      </c>
      <c r="K152" s="17">
        <f>'HH WITHOUT COM #2'!$W$175</f>
        <v>0</v>
      </c>
      <c r="L152" s="17">
        <f>'HH WITHOUT COM #2'!$X$175</f>
        <v>0</v>
      </c>
      <c r="M152" s="539">
        <f>SUM(K152:L152)</f>
        <v>0</v>
      </c>
      <c r="N152" s="91">
        <f t="shared" ref="N152:N158" si="232">IF(M$165=0,0,M152/M$165)</f>
        <v>0</v>
      </c>
      <c r="O152" s="17">
        <f>'HH WITHOUT COM #3'!$W$175</f>
        <v>0</v>
      </c>
      <c r="P152" s="17">
        <f>'HH WITHOUT COM #3'!$X$175</f>
        <v>0</v>
      </c>
      <c r="Q152" s="539">
        <f>SUM(O152:P152)</f>
        <v>0</v>
      </c>
      <c r="R152" s="91">
        <f t="shared" ref="R152:R158" si="233">IF(Q$165=0,0,Q152/Q$165)</f>
        <v>0</v>
      </c>
      <c r="S152" s="17">
        <f>'HH WITHOUT COM #4'!$W$175</f>
        <v>0</v>
      </c>
      <c r="T152" s="17">
        <f>'HH WITHOUT COM #4'!$X$175</f>
        <v>0</v>
      </c>
      <c r="U152" s="539">
        <f>SUM(S152:T152)</f>
        <v>0</v>
      </c>
      <c r="V152" s="91">
        <f t="shared" ref="V152:V158" si="234">IF(U$165=0,0,U152/U$165)</f>
        <v>0</v>
      </c>
      <c r="W152" s="17">
        <f>'HH WITHOUT COM #5'!$W$175</f>
        <v>0</v>
      </c>
      <c r="X152" s="17">
        <f>'HH WITHOUT COM #5'!$X$175</f>
        <v>0</v>
      </c>
      <c r="Y152" s="539">
        <f>SUM(W152:X152)</f>
        <v>0</v>
      </c>
      <c r="Z152" s="91">
        <f t="shared" ref="Z152:Z158" si="235">IF(Y$165=0,0,Y152/Y$165)</f>
        <v>0</v>
      </c>
      <c r="AA152" s="17">
        <f>'HH WITHOUT COM #6'!$W$175</f>
        <v>0</v>
      </c>
      <c r="AB152" s="17">
        <f>'HH WITHOUT COM #6'!$X$175</f>
        <v>0</v>
      </c>
      <c r="AC152" s="539">
        <f>SUM(AA152:AB152)</f>
        <v>0</v>
      </c>
      <c r="AD152" s="91">
        <f t="shared" ref="AD152:AD158" si="236">IF(AC$165=0,0,AC152/AC$165)</f>
        <v>0</v>
      </c>
      <c r="AE152" s="17">
        <f>'HH WITHOUT COM #7'!$W$175</f>
        <v>0</v>
      </c>
      <c r="AF152" s="17">
        <f>'HH WITHOUT COM #7'!$X$175</f>
        <v>0</v>
      </c>
      <c r="AG152" s="539">
        <f>SUM(AE152:AF152)</f>
        <v>0</v>
      </c>
      <c r="AH152" s="91">
        <f t="shared" ref="AH152:AH158" si="237">IF(AG$165=0,0,AG152/AG$165)</f>
        <v>0</v>
      </c>
      <c r="AI152" s="391">
        <f t="shared" ref="AI152:AI158" si="238">G152+K152+O152+S152+W152+AA152+AE152</f>
        <v>0</v>
      </c>
      <c r="AJ152" s="17">
        <f t="shared" ref="AJ152:AJ158" si="239">H152+L152+P152+T152+X152+AB152+AF152</f>
        <v>0</v>
      </c>
      <c r="AK152" s="539">
        <f t="shared" ref="AK152:AK158" si="240">SUM(AI152:AJ152)</f>
        <v>0</v>
      </c>
      <c r="AL152" s="91">
        <f t="shared" ref="AL152:AL158" si="241">IF(AK$165=0,0,AK152/AK$165)</f>
        <v>0</v>
      </c>
    </row>
    <row r="153" spans="1:38" s="4" customFormat="1" ht="16.5" customHeight="1" x14ac:dyDescent="0.25">
      <c r="A153" s="40"/>
      <c r="B153" s="102"/>
      <c r="C153" s="473" t="s">
        <v>154</v>
      </c>
      <c r="D153" s="484" t="s">
        <v>591</v>
      </c>
      <c r="E153" s="105"/>
      <c r="F153" s="106"/>
      <c r="G153" s="17">
        <f>'HH WITHOUT COM #1'!$W$176</f>
        <v>0</v>
      </c>
      <c r="H153" s="17">
        <f>'HH WITHOUT COM #1'!$X$176</f>
        <v>0</v>
      </c>
      <c r="I153" s="539">
        <f t="shared" ref="I153:I158" si="242">SUM(G153:H153)</f>
        <v>0</v>
      </c>
      <c r="J153" s="91">
        <f t="shared" si="231"/>
        <v>0</v>
      </c>
      <c r="K153" s="17">
        <f>'HH WITHOUT COM #2'!$W$176</f>
        <v>0</v>
      </c>
      <c r="L153" s="17">
        <f>'HH WITHOUT COM #2'!$X$176</f>
        <v>0</v>
      </c>
      <c r="M153" s="539">
        <f t="shared" ref="M153:M160" si="243">SUM(K153:L153)</f>
        <v>0</v>
      </c>
      <c r="N153" s="91">
        <f t="shared" si="232"/>
        <v>0</v>
      </c>
      <c r="O153" s="17">
        <f>'HH WITHOUT COM #3'!$W$176</f>
        <v>0</v>
      </c>
      <c r="P153" s="17">
        <f>'HH WITHOUT COM #3'!$X$176</f>
        <v>0</v>
      </c>
      <c r="Q153" s="539">
        <f t="shared" ref="Q153:Q160" si="244">SUM(O153:P153)</f>
        <v>0</v>
      </c>
      <c r="R153" s="91">
        <f t="shared" si="233"/>
        <v>0</v>
      </c>
      <c r="S153" s="17">
        <f>'HH WITHOUT COM #4'!$W$176</f>
        <v>0</v>
      </c>
      <c r="T153" s="17">
        <f>'HH WITHOUT COM #4'!$X$176</f>
        <v>0</v>
      </c>
      <c r="U153" s="539">
        <f t="shared" ref="U153:U160" si="245">SUM(S153:T153)</f>
        <v>0</v>
      </c>
      <c r="V153" s="91">
        <f t="shared" si="234"/>
        <v>0</v>
      </c>
      <c r="W153" s="17">
        <f>'HH WITHOUT COM #5'!$W$176</f>
        <v>0</v>
      </c>
      <c r="X153" s="17">
        <f>'HH WITHOUT COM #5'!$X$176</f>
        <v>0</v>
      </c>
      <c r="Y153" s="539">
        <f t="shared" ref="Y153:Y160" si="246">SUM(W153:X153)</f>
        <v>0</v>
      </c>
      <c r="Z153" s="91">
        <f t="shared" si="235"/>
        <v>0</v>
      </c>
      <c r="AA153" s="17">
        <f>'HH WITHOUT COM #6'!$W$176</f>
        <v>0</v>
      </c>
      <c r="AB153" s="17">
        <f>'HH WITHOUT COM #6'!$X$176</f>
        <v>0</v>
      </c>
      <c r="AC153" s="539">
        <f t="shared" ref="AC153:AC160" si="247">SUM(AA153:AB153)</f>
        <v>0</v>
      </c>
      <c r="AD153" s="91">
        <f t="shared" si="236"/>
        <v>0</v>
      </c>
      <c r="AE153" s="17">
        <f>'HH WITHOUT COM #7'!$W$176</f>
        <v>0</v>
      </c>
      <c r="AF153" s="17">
        <f>'HH WITHOUT COM #7'!$X$176</f>
        <v>0</v>
      </c>
      <c r="AG153" s="539">
        <f t="shared" ref="AG153:AG160" si="248">SUM(AE153:AF153)</f>
        <v>0</v>
      </c>
      <c r="AH153" s="91">
        <f t="shared" si="237"/>
        <v>0</v>
      </c>
      <c r="AI153" s="391">
        <f t="shared" si="238"/>
        <v>0</v>
      </c>
      <c r="AJ153" s="17">
        <f t="shared" si="239"/>
        <v>0</v>
      </c>
      <c r="AK153" s="539">
        <f t="shared" si="240"/>
        <v>0</v>
      </c>
      <c r="AL153" s="91">
        <f t="shared" si="241"/>
        <v>0</v>
      </c>
    </row>
    <row r="154" spans="1:38" s="4" customFormat="1" ht="16.5" customHeight="1" x14ac:dyDescent="0.25">
      <c r="A154" s="40"/>
      <c r="B154" s="102"/>
      <c r="C154" s="473" t="s">
        <v>155</v>
      </c>
      <c r="D154" s="484" t="s">
        <v>592</v>
      </c>
      <c r="E154" s="105"/>
      <c r="F154" s="106"/>
      <c r="G154" s="17">
        <f>'HH WITHOUT COM #1'!$W$177</f>
        <v>2</v>
      </c>
      <c r="H154" s="17">
        <f>'HH WITHOUT COM #1'!$X$177</f>
        <v>3</v>
      </c>
      <c r="I154" s="539">
        <f t="shared" si="242"/>
        <v>5</v>
      </c>
      <c r="J154" s="91">
        <f t="shared" si="231"/>
        <v>1</v>
      </c>
      <c r="K154" s="17">
        <f>'HH WITHOUT COM #2'!$W$177</f>
        <v>8</v>
      </c>
      <c r="L154" s="17">
        <f>'HH WITHOUT COM #2'!$X$177</f>
        <v>6</v>
      </c>
      <c r="M154" s="539">
        <f t="shared" si="243"/>
        <v>14</v>
      </c>
      <c r="N154" s="91">
        <f t="shared" si="232"/>
        <v>0.875</v>
      </c>
      <c r="O154" s="17">
        <f>'HH WITHOUT COM #3'!$W$177</f>
        <v>4</v>
      </c>
      <c r="P154" s="17">
        <f>'HH WITHOUT COM #3'!$X$177</f>
        <v>7</v>
      </c>
      <c r="Q154" s="539">
        <f t="shared" si="244"/>
        <v>11</v>
      </c>
      <c r="R154" s="91">
        <f t="shared" si="233"/>
        <v>1</v>
      </c>
      <c r="S154" s="17">
        <f>'HH WITHOUT COM #4'!$W$177</f>
        <v>0</v>
      </c>
      <c r="T154" s="17">
        <f>'HH WITHOUT COM #4'!$X$177</f>
        <v>6</v>
      </c>
      <c r="U154" s="539">
        <f t="shared" si="245"/>
        <v>6</v>
      </c>
      <c r="V154" s="91">
        <f t="shared" si="234"/>
        <v>0.8571428571428571</v>
      </c>
      <c r="W154" s="17">
        <f>'HH WITHOUT COM #5'!$W$177</f>
        <v>11</v>
      </c>
      <c r="X154" s="17">
        <f>'HH WITHOUT COM #5'!$X$177</f>
        <v>9</v>
      </c>
      <c r="Y154" s="539">
        <f t="shared" si="246"/>
        <v>20</v>
      </c>
      <c r="Z154" s="91">
        <f t="shared" si="235"/>
        <v>0.7142857142857143</v>
      </c>
      <c r="AA154" s="17">
        <f>'HH WITHOUT COM #6'!$W$177</f>
        <v>2</v>
      </c>
      <c r="AB154" s="17">
        <f>'HH WITHOUT COM #6'!$X$177</f>
        <v>13</v>
      </c>
      <c r="AC154" s="539">
        <f t="shared" si="247"/>
        <v>15</v>
      </c>
      <c r="AD154" s="91">
        <f t="shared" si="236"/>
        <v>1</v>
      </c>
      <c r="AE154" s="17">
        <f>'HH WITHOUT COM #7'!$W$177</f>
        <v>0</v>
      </c>
      <c r="AF154" s="17">
        <f>'HH WITHOUT COM #7'!$X$177</f>
        <v>0</v>
      </c>
      <c r="AG154" s="539">
        <f t="shared" si="248"/>
        <v>0</v>
      </c>
      <c r="AH154" s="91">
        <f t="shared" si="237"/>
        <v>0</v>
      </c>
      <c r="AI154" s="391">
        <f t="shared" si="238"/>
        <v>27</v>
      </c>
      <c r="AJ154" s="17">
        <f t="shared" si="239"/>
        <v>44</v>
      </c>
      <c r="AK154" s="539">
        <f t="shared" si="240"/>
        <v>71</v>
      </c>
      <c r="AL154" s="91">
        <f t="shared" si="241"/>
        <v>0.86585365853658536</v>
      </c>
    </row>
    <row r="155" spans="1:38" s="4" customFormat="1" ht="16.5" customHeight="1" x14ac:dyDescent="0.25">
      <c r="A155" s="40"/>
      <c r="B155" s="102"/>
      <c r="C155" s="473" t="s">
        <v>156</v>
      </c>
      <c r="D155" s="484" t="s">
        <v>593</v>
      </c>
      <c r="E155" s="105"/>
      <c r="F155" s="106"/>
      <c r="G155" s="17">
        <f>'HH WITHOUT COM #1'!$W$178</f>
        <v>0</v>
      </c>
      <c r="H155" s="17">
        <f>'HH WITHOUT COM #1'!$X$178</f>
        <v>0</v>
      </c>
      <c r="I155" s="539">
        <f t="shared" si="242"/>
        <v>0</v>
      </c>
      <c r="J155" s="91">
        <f t="shared" si="231"/>
        <v>0</v>
      </c>
      <c r="K155" s="17">
        <f>'HH WITHOUT COM #2'!$W$178</f>
        <v>0</v>
      </c>
      <c r="L155" s="17">
        <f>'HH WITHOUT COM #2'!$X$178</f>
        <v>0</v>
      </c>
      <c r="M155" s="539">
        <f t="shared" si="243"/>
        <v>0</v>
      </c>
      <c r="N155" s="91">
        <f t="shared" si="232"/>
        <v>0</v>
      </c>
      <c r="O155" s="17">
        <f>'HH WITHOUT COM #3'!$W$178</f>
        <v>0</v>
      </c>
      <c r="P155" s="17">
        <f>'HH WITHOUT COM #3'!$X$178</f>
        <v>0</v>
      </c>
      <c r="Q155" s="539">
        <f t="shared" si="244"/>
        <v>0</v>
      </c>
      <c r="R155" s="91">
        <f t="shared" si="233"/>
        <v>0</v>
      </c>
      <c r="S155" s="17">
        <f>'HH WITHOUT COM #4'!$W$178</f>
        <v>0</v>
      </c>
      <c r="T155" s="17">
        <f>'HH WITHOUT COM #4'!$X$178</f>
        <v>0</v>
      </c>
      <c r="U155" s="539">
        <f t="shared" si="245"/>
        <v>0</v>
      </c>
      <c r="V155" s="91">
        <f t="shared" si="234"/>
        <v>0</v>
      </c>
      <c r="W155" s="17">
        <f>'HH WITHOUT COM #5'!$W$178</f>
        <v>0</v>
      </c>
      <c r="X155" s="17">
        <f>'HH WITHOUT COM #5'!$X$178</f>
        <v>0</v>
      </c>
      <c r="Y155" s="539">
        <f t="shared" si="246"/>
        <v>0</v>
      </c>
      <c r="Z155" s="91">
        <f t="shared" si="235"/>
        <v>0</v>
      </c>
      <c r="AA155" s="17">
        <f>'HH WITHOUT COM #6'!$W$178</f>
        <v>0</v>
      </c>
      <c r="AB155" s="17">
        <f>'HH WITHOUT COM #6'!$X$178</f>
        <v>0</v>
      </c>
      <c r="AC155" s="539">
        <f t="shared" si="247"/>
        <v>0</v>
      </c>
      <c r="AD155" s="91">
        <f t="shared" si="236"/>
        <v>0</v>
      </c>
      <c r="AE155" s="17">
        <f>'HH WITHOUT COM #7'!$W$178</f>
        <v>0</v>
      </c>
      <c r="AF155" s="17">
        <f>'HH WITHOUT COM #7'!$X$178</f>
        <v>0</v>
      </c>
      <c r="AG155" s="539">
        <f t="shared" si="248"/>
        <v>0</v>
      </c>
      <c r="AH155" s="91">
        <f t="shared" si="237"/>
        <v>0</v>
      </c>
      <c r="AI155" s="391">
        <f t="shared" si="238"/>
        <v>0</v>
      </c>
      <c r="AJ155" s="17">
        <f t="shared" si="239"/>
        <v>0</v>
      </c>
      <c r="AK155" s="539">
        <f t="shared" si="240"/>
        <v>0</v>
      </c>
      <c r="AL155" s="91">
        <f t="shared" si="241"/>
        <v>0</v>
      </c>
    </row>
    <row r="156" spans="1:38" s="4" customFormat="1" ht="16.5" customHeight="1" x14ac:dyDescent="0.25">
      <c r="A156" s="40"/>
      <c r="B156" s="102"/>
      <c r="C156" s="473" t="s">
        <v>157</v>
      </c>
      <c r="D156" s="484" t="s">
        <v>594</v>
      </c>
      <c r="E156" s="105"/>
      <c r="F156" s="106"/>
      <c r="G156" s="17">
        <f>'HH WITHOUT COM #1'!$W$179</f>
        <v>0</v>
      </c>
      <c r="H156" s="17">
        <f>'HH WITHOUT COM #1'!$X$179</f>
        <v>0</v>
      </c>
      <c r="I156" s="539">
        <f t="shared" si="242"/>
        <v>0</v>
      </c>
      <c r="J156" s="91">
        <f t="shared" si="231"/>
        <v>0</v>
      </c>
      <c r="K156" s="17">
        <f>'HH WITHOUT COM #2'!$W$179</f>
        <v>0</v>
      </c>
      <c r="L156" s="17">
        <f>'HH WITHOUT COM #2'!$X$179</f>
        <v>0</v>
      </c>
      <c r="M156" s="539">
        <f t="shared" si="243"/>
        <v>0</v>
      </c>
      <c r="N156" s="91">
        <f t="shared" si="232"/>
        <v>0</v>
      </c>
      <c r="O156" s="17">
        <f>'HH WITHOUT COM #3'!$W$179</f>
        <v>0</v>
      </c>
      <c r="P156" s="17">
        <f>'HH WITHOUT COM #3'!$X$179</f>
        <v>0</v>
      </c>
      <c r="Q156" s="539">
        <f t="shared" si="244"/>
        <v>0</v>
      </c>
      <c r="R156" s="91">
        <f t="shared" si="233"/>
        <v>0</v>
      </c>
      <c r="S156" s="17">
        <f>'HH WITHOUT COM #4'!$W$179</f>
        <v>0</v>
      </c>
      <c r="T156" s="17">
        <f>'HH WITHOUT COM #4'!$X$179</f>
        <v>0</v>
      </c>
      <c r="U156" s="539">
        <f t="shared" si="245"/>
        <v>0</v>
      </c>
      <c r="V156" s="91">
        <f t="shared" si="234"/>
        <v>0</v>
      </c>
      <c r="W156" s="17">
        <f>'HH WITHOUT COM #5'!$W$179</f>
        <v>0</v>
      </c>
      <c r="X156" s="17">
        <f>'HH WITHOUT COM #5'!$X$179</f>
        <v>0</v>
      </c>
      <c r="Y156" s="539">
        <f t="shared" si="246"/>
        <v>0</v>
      </c>
      <c r="Z156" s="91">
        <f t="shared" si="235"/>
        <v>0</v>
      </c>
      <c r="AA156" s="17">
        <f>'HH WITHOUT COM #6'!$W$179</f>
        <v>0</v>
      </c>
      <c r="AB156" s="17">
        <f>'HH WITHOUT COM #6'!$X$179</f>
        <v>0</v>
      </c>
      <c r="AC156" s="539">
        <f t="shared" si="247"/>
        <v>0</v>
      </c>
      <c r="AD156" s="91">
        <f t="shared" si="236"/>
        <v>0</v>
      </c>
      <c r="AE156" s="17">
        <f>'HH WITHOUT COM #7'!$W$179</f>
        <v>0</v>
      </c>
      <c r="AF156" s="17">
        <f>'HH WITHOUT COM #7'!$X$179</f>
        <v>0</v>
      </c>
      <c r="AG156" s="539">
        <f t="shared" si="248"/>
        <v>0</v>
      </c>
      <c r="AH156" s="91">
        <f t="shared" si="237"/>
        <v>0</v>
      </c>
      <c r="AI156" s="391">
        <f t="shared" si="238"/>
        <v>0</v>
      </c>
      <c r="AJ156" s="17">
        <f t="shared" si="239"/>
        <v>0</v>
      </c>
      <c r="AK156" s="539">
        <f t="shared" si="240"/>
        <v>0</v>
      </c>
      <c r="AL156" s="91">
        <f t="shared" si="241"/>
        <v>0</v>
      </c>
    </row>
    <row r="157" spans="1:38" s="4" customFormat="1" ht="16.5" customHeight="1" x14ac:dyDescent="0.25">
      <c r="A157" s="40"/>
      <c r="B157" s="102"/>
      <c r="C157" s="473" t="s">
        <v>158</v>
      </c>
      <c r="D157" s="484" t="s">
        <v>595</v>
      </c>
      <c r="E157" s="105"/>
      <c r="F157" s="106"/>
      <c r="G157" s="17">
        <f>'HH WITHOUT COM #1'!$W$180</f>
        <v>0</v>
      </c>
      <c r="H157" s="17">
        <f>'HH WITHOUT COM #1'!$X$180</f>
        <v>0</v>
      </c>
      <c r="I157" s="539">
        <f t="shared" si="242"/>
        <v>0</v>
      </c>
      <c r="J157" s="91">
        <f t="shared" si="231"/>
        <v>0</v>
      </c>
      <c r="K157" s="17">
        <f>'HH WITHOUT COM #2'!$W$180</f>
        <v>0</v>
      </c>
      <c r="L157" s="17">
        <f>'HH WITHOUT COM #2'!$X$180</f>
        <v>0</v>
      </c>
      <c r="M157" s="539">
        <f t="shared" si="243"/>
        <v>0</v>
      </c>
      <c r="N157" s="91">
        <f t="shared" si="232"/>
        <v>0</v>
      </c>
      <c r="O157" s="17">
        <f>'HH WITHOUT COM #3'!$W$180</f>
        <v>0</v>
      </c>
      <c r="P157" s="17">
        <f>'HH WITHOUT COM #3'!$X$180</f>
        <v>0</v>
      </c>
      <c r="Q157" s="539">
        <f t="shared" si="244"/>
        <v>0</v>
      </c>
      <c r="R157" s="91">
        <f t="shared" si="233"/>
        <v>0</v>
      </c>
      <c r="S157" s="17">
        <f>'HH WITHOUT COM #4'!$W$180</f>
        <v>0</v>
      </c>
      <c r="T157" s="17">
        <f>'HH WITHOUT COM #4'!$X$180</f>
        <v>1</v>
      </c>
      <c r="U157" s="539">
        <f t="shared" si="245"/>
        <v>1</v>
      </c>
      <c r="V157" s="91">
        <f t="shared" si="234"/>
        <v>0.14285714285714285</v>
      </c>
      <c r="W157" s="17">
        <f>'HH WITHOUT COM #5'!$W$180</f>
        <v>4</v>
      </c>
      <c r="X157" s="17">
        <f>'HH WITHOUT COM #5'!$X$180</f>
        <v>2</v>
      </c>
      <c r="Y157" s="539">
        <f t="shared" si="246"/>
        <v>6</v>
      </c>
      <c r="Z157" s="91">
        <f t="shared" si="235"/>
        <v>0.21428571428571427</v>
      </c>
      <c r="AA157" s="17">
        <f>'HH WITHOUT COM #6'!$W$180</f>
        <v>0</v>
      </c>
      <c r="AB157" s="17">
        <f>'HH WITHOUT COM #6'!$X$180</f>
        <v>0</v>
      </c>
      <c r="AC157" s="539">
        <f t="shared" si="247"/>
        <v>0</v>
      </c>
      <c r="AD157" s="91">
        <f t="shared" si="236"/>
        <v>0</v>
      </c>
      <c r="AE157" s="17">
        <f>'HH WITHOUT COM #7'!$W$180</f>
        <v>0</v>
      </c>
      <c r="AF157" s="17">
        <f>'HH WITHOUT COM #7'!$X$180</f>
        <v>0</v>
      </c>
      <c r="AG157" s="539">
        <f t="shared" si="248"/>
        <v>0</v>
      </c>
      <c r="AH157" s="91">
        <f t="shared" si="237"/>
        <v>0</v>
      </c>
      <c r="AI157" s="391">
        <f t="shared" si="238"/>
        <v>4</v>
      </c>
      <c r="AJ157" s="17">
        <f t="shared" si="239"/>
        <v>3</v>
      </c>
      <c r="AK157" s="539">
        <f t="shared" si="240"/>
        <v>7</v>
      </c>
      <c r="AL157" s="91">
        <f t="shared" si="241"/>
        <v>8.5365853658536592E-2</v>
      </c>
    </row>
    <row r="158" spans="1:38" s="4" customFormat="1" ht="16.5" customHeight="1" x14ac:dyDescent="0.25">
      <c r="A158" s="40"/>
      <c r="B158" s="102"/>
      <c r="C158" s="473" t="s">
        <v>159</v>
      </c>
      <c r="D158" s="484" t="s">
        <v>596</v>
      </c>
      <c r="E158" s="105"/>
      <c r="F158" s="106"/>
      <c r="G158" s="17">
        <f>'HH WITHOUT COM #1'!$W$181</f>
        <v>0</v>
      </c>
      <c r="H158" s="17">
        <f>'HH WITHOUT COM #1'!$X$181</f>
        <v>0</v>
      </c>
      <c r="I158" s="539">
        <f t="shared" si="242"/>
        <v>0</v>
      </c>
      <c r="J158" s="91">
        <f t="shared" si="231"/>
        <v>0</v>
      </c>
      <c r="K158" s="17">
        <f>'HH WITHOUT COM #2'!$W$181</f>
        <v>1</v>
      </c>
      <c r="L158" s="17">
        <f>'HH WITHOUT COM #2'!$X$181</f>
        <v>1</v>
      </c>
      <c r="M158" s="539">
        <f t="shared" si="243"/>
        <v>2</v>
      </c>
      <c r="N158" s="91">
        <f t="shared" si="232"/>
        <v>0.125</v>
      </c>
      <c r="O158" s="17">
        <f>'HH WITHOUT COM #3'!$W$181</f>
        <v>0</v>
      </c>
      <c r="P158" s="17">
        <f>'HH WITHOUT COM #3'!$X$181</f>
        <v>0</v>
      </c>
      <c r="Q158" s="539">
        <f t="shared" si="244"/>
        <v>0</v>
      </c>
      <c r="R158" s="91">
        <f t="shared" si="233"/>
        <v>0</v>
      </c>
      <c r="S158" s="17">
        <f>'HH WITHOUT COM #4'!$W$181</f>
        <v>0</v>
      </c>
      <c r="T158" s="17">
        <f>'HH WITHOUT COM #4'!$X$181</f>
        <v>0</v>
      </c>
      <c r="U158" s="539">
        <f t="shared" si="245"/>
        <v>0</v>
      </c>
      <c r="V158" s="91">
        <f t="shared" si="234"/>
        <v>0</v>
      </c>
      <c r="W158" s="17">
        <f>'HH WITHOUT COM #5'!$W$181</f>
        <v>0</v>
      </c>
      <c r="X158" s="17">
        <f>'HH WITHOUT COM #5'!$X$181</f>
        <v>2</v>
      </c>
      <c r="Y158" s="539">
        <f t="shared" si="246"/>
        <v>2</v>
      </c>
      <c r="Z158" s="91">
        <f t="shared" si="235"/>
        <v>7.1428571428571425E-2</v>
      </c>
      <c r="AA158" s="17">
        <f>'HH WITHOUT COM #6'!$W$181</f>
        <v>0</v>
      </c>
      <c r="AB158" s="17">
        <f>'HH WITHOUT COM #6'!$X$181</f>
        <v>0</v>
      </c>
      <c r="AC158" s="539">
        <f t="shared" si="247"/>
        <v>0</v>
      </c>
      <c r="AD158" s="91">
        <f t="shared" si="236"/>
        <v>0</v>
      </c>
      <c r="AE158" s="17">
        <f>'HH WITHOUT COM #7'!$W$181</f>
        <v>0</v>
      </c>
      <c r="AF158" s="17">
        <f>'HH WITHOUT COM #7'!$X$181</f>
        <v>0</v>
      </c>
      <c r="AG158" s="539">
        <f t="shared" si="248"/>
        <v>0</v>
      </c>
      <c r="AH158" s="91">
        <f t="shared" si="237"/>
        <v>0</v>
      </c>
      <c r="AI158" s="391">
        <f t="shared" si="238"/>
        <v>1</v>
      </c>
      <c r="AJ158" s="17">
        <f t="shared" si="239"/>
        <v>3</v>
      </c>
      <c r="AK158" s="539">
        <f t="shared" si="240"/>
        <v>4</v>
      </c>
      <c r="AL158" s="91">
        <f t="shared" si="241"/>
        <v>4.878048780487805E-2</v>
      </c>
    </row>
    <row r="159" spans="1:38" s="4" customFormat="1" ht="16.5" customHeight="1" x14ac:dyDescent="0.25">
      <c r="A159" s="40"/>
      <c r="B159" s="102"/>
      <c r="C159" s="473"/>
      <c r="D159" s="1338" t="s">
        <v>1842</v>
      </c>
      <c r="E159" s="105"/>
      <c r="F159" s="106"/>
      <c r="G159" s="17">
        <f>'HH WITHOUT COM #1'!$W$182</f>
        <v>0</v>
      </c>
      <c r="H159" s="17">
        <f>'HH WITHOUT COM #1'!$X$182</f>
        <v>0</v>
      </c>
      <c r="I159" s="1334">
        <f t="shared" ref="I159:I160" si="249">SUM(G159:H159)</f>
        <v>0</v>
      </c>
      <c r="J159" s="91"/>
      <c r="K159" s="17">
        <f>'HH WITHOUT COM #2'!$W$182</f>
        <v>1</v>
      </c>
      <c r="L159" s="17">
        <f>'HH WITHOUT COM #2'!$X$182</f>
        <v>1</v>
      </c>
      <c r="M159" s="1334">
        <f t="shared" si="243"/>
        <v>2</v>
      </c>
      <c r="N159" s="91"/>
      <c r="O159" s="17">
        <f>'HH WITHOUT COM #3'!$W$182</f>
        <v>0</v>
      </c>
      <c r="P159" s="17">
        <f>'HH WITHOUT COM #3'!$X$182</f>
        <v>0</v>
      </c>
      <c r="Q159" s="1334">
        <f t="shared" si="244"/>
        <v>0</v>
      </c>
      <c r="R159" s="91"/>
      <c r="S159" s="17">
        <f>'HH WITHOUT COM #4'!$W$182</f>
        <v>0</v>
      </c>
      <c r="T159" s="17">
        <f>'HH WITHOUT COM #4'!$X$182</f>
        <v>0</v>
      </c>
      <c r="U159" s="1334">
        <f t="shared" si="245"/>
        <v>0</v>
      </c>
      <c r="V159" s="91"/>
      <c r="W159" s="17">
        <f>'HH WITHOUT COM #5'!$W$182</f>
        <v>0</v>
      </c>
      <c r="X159" s="17">
        <f>'HH WITHOUT COM #5'!$X$182</f>
        <v>0</v>
      </c>
      <c r="Y159" s="1334">
        <f t="shared" si="246"/>
        <v>0</v>
      </c>
      <c r="Z159" s="91"/>
      <c r="AA159" s="17">
        <f>'HH WITHOUT COM #6'!$W$182</f>
        <v>0</v>
      </c>
      <c r="AB159" s="17">
        <f>'HH WITHOUT COM #6'!$X$182</f>
        <v>0</v>
      </c>
      <c r="AC159" s="1334">
        <f t="shared" si="247"/>
        <v>0</v>
      </c>
      <c r="AD159" s="91"/>
      <c r="AE159" s="17">
        <f>'HH WITHOUT COM #7'!$W$182</f>
        <v>0</v>
      </c>
      <c r="AF159" s="17">
        <f>'HH WITHOUT COM #7'!$X$182</f>
        <v>0</v>
      </c>
      <c r="AG159" s="1334">
        <f t="shared" si="248"/>
        <v>0</v>
      </c>
      <c r="AH159" s="91"/>
      <c r="AI159" s="391">
        <f t="shared" ref="AI159:AI162" si="250">G159+K159+O159+S159+W159+AA159+AE159</f>
        <v>1</v>
      </c>
      <c r="AJ159" s="17">
        <f t="shared" ref="AJ159:AJ162" si="251">H159+L159+P159+T159+X159+AB159+AF159</f>
        <v>1</v>
      </c>
      <c r="AK159" s="1334">
        <f t="shared" ref="AK159:AK162" si="252">SUM(AI159:AJ159)</f>
        <v>2</v>
      </c>
      <c r="AL159" s="91"/>
    </row>
    <row r="160" spans="1:38" s="4" customFormat="1" ht="16.5" customHeight="1" x14ac:dyDescent="0.25">
      <c r="A160" s="40"/>
      <c r="B160" s="102"/>
      <c r="C160" s="473"/>
      <c r="D160" s="1338" t="s">
        <v>1843</v>
      </c>
      <c r="E160" s="105"/>
      <c r="F160" s="106"/>
      <c r="G160" s="17">
        <f>'HH WITHOUT COM #1'!$W$183</f>
        <v>0</v>
      </c>
      <c r="H160" s="17">
        <f>'HH WITHOUT COM #1'!$X$183</f>
        <v>0</v>
      </c>
      <c r="I160" s="1334">
        <f t="shared" si="249"/>
        <v>0</v>
      </c>
      <c r="J160" s="91"/>
      <c r="K160" s="17">
        <f>'HH WITHOUT COM #2'!$W$183</f>
        <v>0</v>
      </c>
      <c r="L160" s="17">
        <f>'HH WITHOUT COM #2'!$X$183</f>
        <v>0</v>
      </c>
      <c r="M160" s="1334">
        <f t="shared" si="243"/>
        <v>0</v>
      </c>
      <c r="N160" s="91"/>
      <c r="O160" s="17">
        <f>'HH WITHOUT COM #3'!$W$183</f>
        <v>0</v>
      </c>
      <c r="P160" s="17">
        <f>'HH WITHOUT COM #3'!$X$183</f>
        <v>0</v>
      </c>
      <c r="Q160" s="1334">
        <f t="shared" si="244"/>
        <v>0</v>
      </c>
      <c r="R160" s="91"/>
      <c r="S160" s="17">
        <f>'HH WITHOUT COM #4'!$W$183</f>
        <v>0</v>
      </c>
      <c r="T160" s="17">
        <f>'HH WITHOUT COM #4'!$X$183</f>
        <v>0</v>
      </c>
      <c r="U160" s="1334">
        <f t="shared" si="245"/>
        <v>0</v>
      </c>
      <c r="V160" s="91"/>
      <c r="W160" s="17">
        <f>'HH WITHOUT COM #5'!$W$183</f>
        <v>0</v>
      </c>
      <c r="X160" s="17">
        <f>'HH WITHOUT COM #5'!$X$183</f>
        <v>2</v>
      </c>
      <c r="Y160" s="1334">
        <f t="shared" si="246"/>
        <v>2</v>
      </c>
      <c r="Z160" s="91"/>
      <c r="AA160" s="17">
        <f>'HH WITHOUT COM #6'!$W$183</f>
        <v>0</v>
      </c>
      <c r="AB160" s="17">
        <f>'HH WITHOUT COM #6'!$X$183</f>
        <v>0</v>
      </c>
      <c r="AC160" s="1334">
        <f t="shared" si="247"/>
        <v>0</v>
      </c>
      <c r="AD160" s="91"/>
      <c r="AE160" s="17">
        <f>'HH WITHOUT COM #7'!$W$183</f>
        <v>0</v>
      </c>
      <c r="AF160" s="17">
        <f>'HH WITHOUT COM #7'!$X$183</f>
        <v>0</v>
      </c>
      <c r="AG160" s="1334">
        <f t="shared" si="248"/>
        <v>0</v>
      </c>
      <c r="AH160" s="91"/>
      <c r="AI160" s="391">
        <f t="shared" si="250"/>
        <v>0</v>
      </c>
      <c r="AJ160" s="17">
        <f t="shared" si="251"/>
        <v>2</v>
      </c>
      <c r="AK160" s="1334">
        <f t="shared" si="252"/>
        <v>2</v>
      </c>
      <c r="AL160" s="91"/>
    </row>
    <row r="161" spans="1:38" s="4" customFormat="1" ht="16.5" customHeight="1" x14ac:dyDescent="0.25">
      <c r="A161" s="40"/>
      <c r="B161" s="102"/>
      <c r="C161" s="473"/>
      <c r="D161" s="105"/>
      <c r="E161" s="105"/>
      <c r="F161" s="106"/>
      <c r="G161" s="17"/>
      <c r="H161" s="17"/>
      <c r="I161" s="1334"/>
      <c r="J161" s="91"/>
      <c r="K161" s="17"/>
      <c r="L161" s="17"/>
      <c r="M161" s="1334"/>
      <c r="N161" s="91"/>
      <c r="O161" s="17"/>
      <c r="P161" s="17"/>
      <c r="Q161" s="1334"/>
      <c r="R161" s="91"/>
      <c r="S161" s="17"/>
      <c r="T161" s="17"/>
      <c r="U161" s="1334"/>
      <c r="V161" s="91"/>
      <c r="W161" s="17"/>
      <c r="X161" s="17"/>
      <c r="Y161" s="1334"/>
      <c r="Z161" s="91"/>
      <c r="AA161" s="17"/>
      <c r="AB161" s="17"/>
      <c r="AC161" s="1334"/>
      <c r="AD161" s="91"/>
      <c r="AE161" s="17"/>
      <c r="AF161" s="17"/>
      <c r="AG161" s="1334"/>
      <c r="AH161" s="91"/>
      <c r="AI161" s="391">
        <f t="shared" si="250"/>
        <v>0</v>
      </c>
      <c r="AJ161" s="17">
        <f t="shared" si="251"/>
        <v>0</v>
      </c>
      <c r="AK161" s="1334">
        <f t="shared" si="252"/>
        <v>0</v>
      </c>
      <c r="AL161" s="91"/>
    </row>
    <row r="162" spans="1:38" s="4" customFormat="1" ht="16.5" customHeight="1" x14ac:dyDescent="0.25">
      <c r="A162" s="40"/>
      <c r="B162" s="102"/>
      <c r="C162" s="473"/>
      <c r="D162" s="105"/>
      <c r="E162" s="105"/>
      <c r="F162" s="106"/>
      <c r="G162" s="17"/>
      <c r="H162" s="17"/>
      <c r="I162" s="1334"/>
      <c r="J162" s="91"/>
      <c r="K162" s="17"/>
      <c r="L162" s="17"/>
      <c r="M162" s="1334"/>
      <c r="N162" s="91"/>
      <c r="O162" s="17"/>
      <c r="P162" s="17"/>
      <c r="Q162" s="1334"/>
      <c r="R162" s="91"/>
      <c r="S162" s="17"/>
      <c r="T162" s="17"/>
      <c r="U162" s="1334"/>
      <c r="V162" s="91"/>
      <c r="W162" s="17"/>
      <c r="X162" s="17"/>
      <c r="Y162" s="1334"/>
      <c r="Z162" s="91"/>
      <c r="AA162" s="17"/>
      <c r="AB162" s="17"/>
      <c r="AC162" s="1334"/>
      <c r="AD162" s="91"/>
      <c r="AE162" s="17"/>
      <c r="AF162" s="17"/>
      <c r="AG162" s="1334"/>
      <c r="AH162" s="91"/>
      <c r="AI162" s="391">
        <f t="shared" si="250"/>
        <v>0</v>
      </c>
      <c r="AJ162" s="17">
        <f t="shared" si="251"/>
        <v>0</v>
      </c>
      <c r="AK162" s="1334">
        <f t="shared" si="252"/>
        <v>0</v>
      </c>
      <c r="AL162" s="91"/>
    </row>
    <row r="163" spans="1:38" s="4" customFormat="1" ht="16.5" customHeight="1" x14ac:dyDescent="0.25">
      <c r="A163" s="40"/>
      <c r="B163" s="102"/>
      <c r="C163" s="473"/>
      <c r="D163" s="105"/>
      <c r="E163" s="105"/>
      <c r="F163" s="106"/>
      <c r="G163" s="17"/>
      <c r="H163" s="17"/>
      <c r="I163" s="1334"/>
      <c r="J163" s="91"/>
      <c r="K163" s="17"/>
      <c r="L163" s="17"/>
      <c r="M163" s="1334"/>
      <c r="N163" s="91"/>
      <c r="O163" s="17"/>
      <c r="P163" s="17"/>
      <c r="Q163" s="1334"/>
      <c r="R163" s="91"/>
      <c r="S163" s="17"/>
      <c r="T163" s="17"/>
      <c r="U163" s="1334"/>
      <c r="V163" s="91"/>
      <c r="W163" s="17"/>
      <c r="X163" s="17"/>
      <c r="Y163" s="1334"/>
      <c r="Z163" s="91"/>
      <c r="AA163" s="17"/>
      <c r="AB163" s="17"/>
      <c r="AC163" s="1334"/>
      <c r="AD163" s="91"/>
      <c r="AE163" s="17"/>
      <c r="AF163" s="17"/>
      <c r="AG163" s="1334"/>
      <c r="AH163" s="91"/>
      <c r="AI163" s="391">
        <f t="shared" ref="AI163:AI164" si="253">G163+K163+O163+S163+W163+AA163+AE163</f>
        <v>0</v>
      </c>
      <c r="AJ163" s="17">
        <f t="shared" ref="AJ163:AJ164" si="254">H163+L163+P163+T163+X163+AB163+AF163</f>
        <v>0</v>
      </c>
      <c r="AK163" s="1334">
        <f t="shared" ref="AK163:AK164" si="255">SUM(AI163:AJ163)</f>
        <v>0</v>
      </c>
      <c r="AL163" s="91"/>
    </row>
    <row r="164" spans="1:38" s="4" customFormat="1" ht="16.5" customHeight="1" x14ac:dyDescent="0.25">
      <c r="A164" s="40"/>
      <c r="B164" s="102"/>
      <c r="C164" s="473"/>
      <c r="D164" s="105"/>
      <c r="E164" s="105"/>
      <c r="F164" s="106"/>
      <c r="G164" s="17"/>
      <c r="H164" s="17"/>
      <c r="I164" s="1334"/>
      <c r="J164" s="91"/>
      <c r="K164" s="17"/>
      <c r="L164" s="17"/>
      <c r="M164" s="1334"/>
      <c r="N164" s="91"/>
      <c r="O164" s="17"/>
      <c r="P164" s="17"/>
      <c r="Q164" s="1334"/>
      <c r="R164" s="91"/>
      <c r="S164" s="17"/>
      <c r="T164" s="17"/>
      <c r="U164" s="1334"/>
      <c r="V164" s="91"/>
      <c r="W164" s="17"/>
      <c r="X164" s="17"/>
      <c r="Y164" s="1334"/>
      <c r="Z164" s="91"/>
      <c r="AA164" s="17"/>
      <c r="AB164" s="17"/>
      <c r="AC164" s="1334"/>
      <c r="AD164" s="91"/>
      <c r="AE164" s="17"/>
      <c r="AF164" s="17"/>
      <c r="AG164" s="1334"/>
      <c r="AH164" s="91"/>
      <c r="AI164" s="391">
        <f t="shared" si="253"/>
        <v>0</v>
      </c>
      <c r="AJ164" s="17">
        <f t="shared" si="254"/>
        <v>0</v>
      </c>
      <c r="AK164" s="1334">
        <f t="shared" si="255"/>
        <v>0</v>
      </c>
      <c r="AL164" s="91"/>
    </row>
    <row r="165" spans="1:38" s="4" customFormat="1" ht="16.5" customHeight="1" x14ac:dyDescent="0.25">
      <c r="A165" s="119"/>
      <c r="B165" s="119"/>
      <c r="C165" s="119"/>
      <c r="D165" s="184"/>
      <c r="E165" s="134"/>
      <c r="F165" s="469"/>
      <c r="G165" s="497">
        <f>SUM(G152:G158)</f>
        <v>2</v>
      </c>
      <c r="H165" s="497">
        <f t="shared" ref="H165:I165" si="256">SUM(H152:H158)</f>
        <v>3</v>
      </c>
      <c r="I165" s="497">
        <f t="shared" si="256"/>
        <v>5</v>
      </c>
      <c r="J165" s="66">
        <f>IF(I$165=0,0,I165/I$165)</f>
        <v>1</v>
      </c>
      <c r="K165" s="497">
        <f>SUM(K152:K158)</f>
        <v>9</v>
      </c>
      <c r="L165" s="497">
        <f t="shared" ref="L165" si="257">SUM(L152:L158)</f>
        <v>7</v>
      </c>
      <c r="M165" s="497">
        <f t="shared" ref="M165" si="258">SUM(M152:M158)</f>
        <v>16</v>
      </c>
      <c r="N165" s="66">
        <f>IF(M$165=0,0,M165/M$165)</f>
        <v>1</v>
      </c>
      <c r="O165" s="497">
        <f>SUM(O152:O158)</f>
        <v>4</v>
      </c>
      <c r="P165" s="497">
        <f t="shared" ref="P165" si="259">SUM(P152:P158)</f>
        <v>7</v>
      </c>
      <c r="Q165" s="497">
        <f t="shared" ref="Q165" si="260">SUM(Q152:Q158)</f>
        <v>11</v>
      </c>
      <c r="R165" s="66">
        <f>IF(Q$165=0,0,Q165/Q$165)</f>
        <v>1</v>
      </c>
      <c r="S165" s="497">
        <f>SUM(S152:S158)</f>
        <v>0</v>
      </c>
      <c r="T165" s="497">
        <f t="shared" ref="T165" si="261">SUM(T152:T158)</f>
        <v>7</v>
      </c>
      <c r="U165" s="497">
        <f t="shared" ref="U165" si="262">SUM(U152:U158)</f>
        <v>7</v>
      </c>
      <c r="V165" s="66">
        <f>IF(U$165=0,0,U165/U$165)</f>
        <v>1</v>
      </c>
      <c r="W165" s="497">
        <f>SUM(W152:W158)</f>
        <v>15</v>
      </c>
      <c r="X165" s="497">
        <f t="shared" ref="X165" si="263">SUM(X152:X158)</f>
        <v>13</v>
      </c>
      <c r="Y165" s="497">
        <f t="shared" ref="Y165" si="264">SUM(Y152:Y158)</f>
        <v>28</v>
      </c>
      <c r="Z165" s="66">
        <f>IF(Y$165=0,0,Y165/Y$165)</f>
        <v>1</v>
      </c>
      <c r="AA165" s="497">
        <f>SUM(AA152:AA158)</f>
        <v>2</v>
      </c>
      <c r="AB165" s="497">
        <f t="shared" ref="AB165" si="265">SUM(AB152:AB158)</f>
        <v>13</v>
      </c>
      <c r="AC165" s="497">
        <f t="shared" ref="AC165" si="266">SUM(AC152:AC158)</f>
        <v>15</v>
      </c>
      <c r="AD165" s="66">
        <f>IF(AC$165=0,0,AC165/AC$165)</f>
        <v>1</v>
      </c>
      <c r="AE165" s="497">
        <f>SUM(AE152:AE158)</f>
        <v>0</v>
      </c>
      <c r="AF165" s="497">
        <f t="shared" ref="AF165" si="267">SUM(AF152:AF158)</f>
        <v>0</v>
      </c>
      <c r="AG165" s="497">
        <f t="shared" ref="AG165" si="268">SUM(AG152:AG158)</f>
        <v>0</v>
      </c>
      <c r="AH165" s="66">
        <f>IF(AG$165=0,0,AG165/AG$165)</f>
        <v>0</v>
      </c>
      <c r="AI165" s="622">
        <f>SUM(AI152:AI158)</f>
        <v>32</v>
      </c>
      <c r="AJ165" s="497">
        <f t="shared" ref="AJ165" si="269">SUM(AJ152:AJ158)</f>
        <v>50</v>
      </c>
      <c r="AK165" s="497">
        <f t="shared" ref="AK165" si="270">SUM(AK152:AK158)</f>
        <v>82</v>
      </c>
      <c r="AL165" s="66">
        <f>IF(AK$165=0,0,AK165/AK$165)</f>
        <v>1</v>
      </c>
    </row>
    <row r="166" spans="1:38" s="117" customFormat="1" ht="16.5" customHeight="1" x14ac:dyDescent="0.25">
      <c r="A166" s="119"/>
      <c r="B166" s="41" t="s">
        <v>160</v>
      </c>
      <c r="C166" s="274" t="s">
        <v>597</v>
      </c>
      <c r="D166" s="43"/>
      <c r="E166" s="478"/>
      <c r="F166" s="478"/>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355"/>
      <c r="AI166" s="377"/>
      <c r="AJ166" s="71"/>
      <c r="AK166" s="71"/>
      <c r="AL166" s="71"/>
    </row>
    <row r="167" spans="1:38" s="4" customFormat="1" ht="16.5" customHeight="1" x14ac:dyDescent="0.25">
      <c r="A167" s="40"/>
      <c r="B167" s="102"/>
      <c r="C167" s="473" t="s">
        <v>161</v>
      </c>
      <c r="D167" s="484" t="s">
        <v>9</v>
      </c>
      <c r="E167" s="105"/>
      <c r="F167" s="106"/>
      <c r="G167" s="17">
        <f>'HH WITHOUT COM #1'!$W$191</f>
        <v>2</v>
      </c>
      <c r="H167" s="17">
        <f>'HH WITHOUT COM #1'!$X$191</f>
        <v>3</v>
      </c>
      <c r="I167" s="539">
        <f>SUM(G167:H167)</f>
        <v>5</v>
      </c>
      <c r="J167" s="91">
        <f>IF(I$172=0,0,I167/I$172)</f>
        <v>1</v>
      </c>
      <c r="K167" s="17">
        <f>'HH WITHOUT COM #2'!$W$191</f>
        <v>7</v>
      </c>
      <c r="L167" s="17">
        <f>'HH WITHOUT COM #2'!$X$191</f>
        <v>5</v>
      </c>
      <c r="M167" s="539">
        <f>SUM(K167:L167)</f>
        <v>12</v>
      </c>
      <c r="N167" s="91">
        <f>IF(M$172=0,0,M167/M$172)</f>
        <v>0.75</v>
      </c>
      <c r="O167" s="17">
        <f>'HH WITHOUT COM #3'!$W$191</f>
        <v>4</v>
      </c>
      <c r="P167" s="17">
        <f>'HH WITHOUT COM #3'!$X$191</f>
        <v>7</v>
      </c>
      <c r="Q167" s="539">
        <f>SUM(O167:P167)</f>
        <v>11</v>
      </c>
      <c r="R167" s="91">
        <f>IF(Q$172=0,0,Q167/Q$172)</f>
        <v>1</v>
      </c>
      <c r="S167" s="17">
        <f>'HH WITHOUT COM #4'!$W$191</f>
        <v>0</v>
      </c>
      <c r="T167" s="17">
        <f>'HH WITHOUT COM #4'!$X$191</f>
        <v>7</v>
      </c>
      <c r="U167" s="539">
        <f>SUM(S167:T167)</f>
        <v>7</v>
      </c>
      <c r="V167" s="91">
        <f>IF(U$172=0,0,U167/U$172)</f>
        <v>1</v>
      </c>
      <c r="W167" s="17">
        <f>'HH WITHOUT COM #5'!$W$191</f>
        <v>15</v>
      </c>
      <c r="X167" s="17">
        <f>'HH WITHOUT COM #5'!$X$191</f>
        <v>13</v>
      </c>
      <c r="Y167" s="539">
        <f>SUM(W167:X167)</f>
        <v>28</v>
      </c>
      <c r="Z167" s="91">
        <f>IF(Y$172=0,0,Y167/Y$172)</f>
        <v>1</v>
      </c>
      <c r="AA167" s="17">
        <f>'HH WITHOUT COM #6'!$W$191</f>
        <v>2</v>
      </c>
      <c r="AB167" s="17">
        <f>'HH WITHOUT COM #6'!$X$191</f>
        <v>13</v>
      </c>
      <c r="AC167" s="539">
        <f>SUM(AA167:AB167)</f>
        <v>15</v>
      </c>
      <c r="AD167" s="91">
        <f>IF(AC$172=0,0,AC167/AC$172)</f>
        <v>1</v>
      </c>
      <c r="AE167" s="17">
        <f>'HH WITHOUT COM #7'!$W$191</f>
        <v>0</v>
      </c>
      <c r="AF167" s="17">
        <f>'HH WITHOUT COM #7'!$X$191</f>
        <v>0</v>
      </c>
      <c r="AG167" s="539">
        <f>SUM(AE167:AF167)</f>
        <v>0</v>
      </c>
      <c r="AH167" s="91">
        <f>IF(AG$172=0,0,AG167/AG$172)</f>
        <v>0</v>
      </c>
      <c r="AI167" s="391">
        <f t="shared" ref="AI167:AI171" si="271">G167+K167+O167+S167+W167+AA167+AE167</f>
        <v>30</v>
      </c>
      <c r="AJ167" s="17">
        <f t="shared" ref="AJ167:AJ171" si="272">H167+L167+P167+T167+X167+AB167+AF167</f>
        <v>48</v>
      </c>
      <c r="AK167" s="539">
        <f t="shared" ref="AK167:AK171" si="273">SUM(AI167:AJ167)</f>
        <v>78</v>
      </c>
      <c r="AL167" s="91">
        <f>IF(AK$172=0,0,AK167/AK$172)</f>
        <v>0.95121951219512191</v>
      </c>
    </row>
    <row r="168" spans="1:38" s="4" customFormat="1" ht="16.5" customHeight="1" x14ac:dyDescent="0.25">
      <c r="A168" s="40"/>
      <c r="B168" s="102"/>
      <c r="C168" s="473" t="s">
        <v>163</v>
      </c>
      <c r="D168" s="484" t="s">
        <v>11</v>
      </c>
      <c r="E168" s="105"/>
      <c r="F168" s="106"/>
      <c r="G168" s="17">
        <f>'HH WITHOUT COM #1'!$W$192</f>
        <v>0</v>
      </c>
      <c r="H168" s="17">
        <f>'HH WITHOUT COM #1'!$X$192</f>
        <v>0</v>
      </c>
      <c r="I168" s="539">
        <f t="shared" ref="I168:I171" si="274">SUM(G168:H168)</f>
        <v>0</v>
      </c>
      <c r="J168" s="91">
        <f t="shared" ref="J168:J171" si="275">IF(I$172=0,0,I168/I$172)</f>
        <v>0</v>
      </c>
      <c r="K168" s="17">
        <f>'HH WITHOUT COM #2'!$W$192</f>
        <v>0</v>
      </c>
      <c r="L168" s="17">
        <f>'HH WITHOUT COM #2'!$X$192</f>
        <v>0</v>
      </c>
      <c r="M168" s="539">
        <f t="shared" ref="M168:M171" si="276">SUM(K168:L168)</f>
        <v>0</v>
      </c>
      <c r="N168" s="91">
        <f t="shared" ref="N168:N171" si="277">IF(M$172=0,0,M168/M$172)</f>
        <v>0</v>
      </c>
      <c r="O168" s="17">
        <f>'HH WITHOUT COM #3'!$W$192</f>
        <v>0</v>
      </c>
      <c r="P168" s="17">
        <f>'HH WITHOUT COM #3'!$X$192</f>
        <v>0</v>
      </c>
      <c r="Q168" s="539">
        <f t="shared" ref="Q168:Q171" si="278">SUM(O168:P168)</f>
        <v>0</v>
      </c>
      <c r="R168" s="91">
        <f t="shared" ref="R168:R171" si="279">IF(Q$172=0,0,Q168/Q$172)</f>
        <v>0</v>
      </c>
      <c r="S168" s="17">
        <f>'HH WITHOUT COM #4'!$W$192</f>
        <v>0</v>
      </c>
      <c r="T168" s="17">
        <f>'HH WITHOUT COM #4'!$X$192</f>
        <v>0</v>
      </c>
      <c r="U168" s="539">
        <f t="shared" ref="U168:U171" si="280">SUM(S168:T168)</f>
        <v>0</v>
      </c>
      <c r="V168" s="91">
        <f t="shared" ref="V168:V171" si="281">IF(U$172=0,0,U168/U$172)</f>
        <v>0</v>
      </c>
      <c r="W168" s="17">
        <f>'HH WITHOUT COM #5'!$W$192</f>
        <v>0</v>
      </c>
      <c r="X168" s="17">
        <f>'HH WITHOUT COM #5'!$X$192</f>
        <v>0</v>
      </c>
      <c r="Y168" s="539">
        <f t="shared" ref="Y168:Y171" si="282">SUM(W168:X168)</f>
        <v>0</v>
      </c>
      <c r="Z168" s="91">
        <f t="shared" ref="Z168:Z171" si="283">IF(Y$172=0,0,Y168/Y$172)</f>
        <v>0</v>
      </c>
      <c r="AA168" s="17">
        <f>'HH WITHOUT COM #6'!$W$192</f>
        <v>0</v>
      </c>
      <c r="AB168" s="17">
        <f>'HH WITHOUT COM #6'!$X$192</f>
        <v>0</v>
      </c>
      <c r="AC168" s="539">
        <f t="shared" ref="AC168:AC171" si="284">SUM(AA168:AB168)</f>
        <v>0</v>
      </c>
      <c r="AD168" s="91">
        <f t="shared" ref="AD168:AD171" si="285">IF(AC$172=0,0,AC168/AC$172)</f>
        <v>0</v>
      </c>
      <c r="AE168" s="17">
        <f>'HH WITHOUT COM #7'!$W$192</f>
        <v>0</v>
      </c>
      <c r="AF168" s="17">
        <f>'HH WITHOUT COM #7'!$X$192</f>
        <v>0</v>
      </c>
      <c r="AG168" s="539">
        <f t="shared" ref="AG168:AG171" si="286">SUM(AE168:AF168)</f>
        <v>0</v>
      </c>
      <c r="AH168" s="91">
        <f t="shared" ref="AH168:AH171" si="287">IF(AG$172=0,0,AG168/AG$172)</f>
        <v>0</v>
      </c>
      <c r="AI168" s="391">
        <f t="shared" si="271"/>
        <v>0</v>
      </c>
      <c r="AJ168" s="17">
        <f t="shared" si="272"/>
        <v>0</v>
      </c>
      <c r="AK168" s="539">
        <f t="shared" si="273"/>
        <v>0</v>
      </c>
      <c r="AL168" s="91">
        <f t="shared" ref="AL168:AL171" si="288">IF(AK$172=0,0,AK168/AK$172)</f>
        <v>0</v>
      </c>
    </row>
    <row r="169" spans="1:38" s="4" customFormat="1" ht="16.5" customHeight="1" x14ac:dyDescent="0.25">
      <c r="A169" s="40"/>
      <c r="B169" s="102"/>
      <c r="C169" s="473" t="s">
        <v>164</v>
      </c>
      <c r="D169" s="484" t="s">
        <v>129</v>
      </c>
      <c r="E169" s="105"/>
      <c r="F169" s="106"/>
      <c r="G169" s="17">
        <f>'HH WITHOUT COM #1'!$W$193</f>
        <v>0</v>
      </c>
      <c r="H169" s="17">
        <f>'HH WITHOUT COM #1'!$X$193</f>
        <v>0</v>
      </c>
      <c r="I169" s="539">
        <f t="shared" si="274"/>
        <v>0</v>
      </c>
      <c r="J169" s="91">
        <f t="shared" si="275"/>
        <v>0</v>
      </c>
      <c r="K169" s="17">
        <f>'HH WITHOUT COM #2'!$W$193</f>
        <v>1</v>
      </c>
      <c r="L169" s="17">
        <f>'HH WITHOUT COM #2'!$X$193</f>
        <v>0</v>
      </c>
      <c r="M169" s="539">
        <f t="shared" si="276"/>
        <v>1</v>
      </c>
      <c r="N169" s="91">
        <f t="shared" si="277"/>
        <v>6.25E-2</v>
      </c>
      <c r="O169" s="17">
        <f>'HH WITHOUT COM #3'!$W$193</f>
        <v>0</v>
      </c>
      <c r="P169" s="17">
        <f>'HH WITHOUT COM #3'!$X$193</f>
        <v>0</v>
      </c>
      <c r="Q169" s="539">
        <f t="shared" si="278"/>
        <v>0</v>
      </c>
      <c r="R169" s="91">
        <f t="shared" si="279"/>
        <v>0</v>
      </c>
      <c r="S169" s="17">
        <f>'HH WITHOUT COM #4'!$W$193</f>
        <v>0</v>
      </c>
      <c r="T169" s="17">
        <f>'HH WITHOUT COM #4'!$X$193</f>
        <v>0</v>
      </c>
      <c r="U169" s="539">
        <f t="shared" si="280"/>
        <v>0</v>
      </c>
      <c r="V169" s="91">
        <f t="shared" si="281"/>
        <v>0</v>
      </c>
      <c r="W169" s="17">
        <f>'HH WITHOUT COM #5'!$W$193</f>
        <v>0</v>
      </c>
      <c r="X169" s="17">
        <f>'HH WITHOUT COM #5'!$X$193</f>
        <v>0</v>
      </c>
      <c r="Y169" s="539">
        <f t="shared" si="282"/>
        <v>0</v>
      </c>
      <c r="Z169" s="91">
        <f t="shared" si="283"/>
        <v>0</v>
      </c>
      <c r="AA169" s="17">
        <f>'HH WITHOUT COM #6'!$W$193</f>
        <v>0</v>
      </c>
      <c r="AB169" s="17">
        <f>'HH WITHOUT COM #6'!$X$193</f>
        <v>0</v>
      </c>
      <c r="AC169" s="539">
        <f t="shared" si="284"/>
        <v>0</v>
      </c>
      <c r="AD169" s="91">
        <f t="shared" si="285"/>
        <v>0</v>
      </c>
      <c r="AE169" s="17">
        <f>'HH WITHOUT COM #7'!$W$193</f>
        <v>0</v>
      </c>
      <c r="AF169" s="17">
        <f>'HH WITHOUT COM #7'!$X$193</f>
        <v>0</v>
      </c>
      <c r="AG169" s="539">
        <f t="shared" si="286"/>
        <v>0</v>
      </c>
      <c r="AH169" s="91">
        <f t="shared" si="287"/>
        <v>0</v>
      </c>
      <c r="AI169" s="391">
        <f t="shared" si="271"/>
        <v>1</v>
      </c>
      <c r="AJ169" s="17">
        <f t="shared" si="272"/>
        <v>0</v>
      </c>
      <c r="AK169" s="539">
        <f t="shared" si="273"/>
        <v>1</v>
      </c>
      <c r="AL169" s="91">
        <f t="shared" si="288"/>
        <v>1.2195121951219513E-2</v>
      </c>
    </row>
    <row r="170" spans="1:38" s="4" customFormat="1" ht="16.5" customHeight="1" x14ac:dyDescent="0.25">
      <c r="A170" s="40"/>
      <c r="B170" s="102"/>
      <c r="C170" s="473" t="s">
        <v>166</v>
      </c>
      <c r="D170" s="484" t="s">
        <v>599</v>
      </c>
      <c r="E170" s="105"/>
      <c r="F170" s="106"/>
      <c r="G170" s="17">
        <f>'HH WITHOUT COM #1'!$W$194</f>
        <v>0</v>
      </c>
      <c r="H170" s="17">
        <f>'HH WITHOUT COM #1'!$X$194</f>
        <v>0</v>
      </c>
      <c r="I170" s="539">
        <f t="shared" si="274"/>
        <v>0</v>
      </c>
      <c r="J170" s="91">
        <f t="shared" si="275"/>
        <v>0</v>
      </c>
      <c r="K170" s="17">
        <f>'HH WITHOUT COM #2'!$W$194</f>
        <v>1</v>
      </c>
      <c r="L170" s="17">
        <f>'HH WITHOUT COM #2'!$X$194</f>
        <v>2</v>
      </c>
      <c r="M170" s="539">
        <f t="shared" si="276"/>
        <v>3</v>
      </c>
      <c r="N170" s="91">
        <f t="shared" si="277"/>
        <v>0.1875</v>
      </c>
      <c r="O170" s="17">
        <f>'HH WITHOUT COM #3'!$W$194</f>
        <v>0</v>
      </c>
      <c r="P170" s="17">
        <f>'HH WITHOUT COM #3'!$X$194</f>
        <v>0</v>
      </c>
      <c r="Q170" s="539">
        <f t="shared" si="278"/>
        <v>0</v>
      </c>
      <c r="R170" s="91">
        <f t="shared" si="279"/>
        <v>0</v>
      </c>
      <c r="S170" s="17">
        <f>'HH WITHOUT COM #4'!$W$194</f>
        <v>0</v>
      </c>
      <c r="T170" s="17">
        <f>'HH WITHOUT COM #4'!$X$194</f>
        <v>0</v>
      </c>
      <c r="U170" s="539">
        <f t="shared" si="280"/>
        <v>0</v>
      </c>
      <c r="V170" s="91">
        <f t="shared" si="281"/>
        <v>0</v>
      </c>
      <c r="W170" s="17">
        <f>'HH WITHOUT COM #5'!$W$194</f>
        <v>0</v>
      </c>
      <c r="X170" s="17">
        <f>'HH WITHOUT COM #5'!$X$194</f>
        <v>0</v>
      </c>
      <c r="Y170" s="539">
        <f t="shared" si="282"/>
        <v>0</v>
      </c>
      <c r="Z170" s="91">
        <f t="shared" si="283"/>
        <v>0</v>
      </c>
      <c r="AA170" s="17">
        <f>'HH WITHOUT COM #6'!$W$194</f>
        <v>0</v>
      </c>
      <c r="AB170" s="17">
        <f>'HH WITHOUT COM #6'!$X$194</f>
        <v>0</v>
      </c>
      <c r="AC170" s="539">
        <f t="shared" si="284"/>
        <v>0</v>
      </c>
      <c r="AD170" s="91">
        <f t="shared" si="285"/>
        <v>0</v>
      </c>
      <c r="AE170" s="17">
        <f>'HH WITHOUT COM #7'!$W$194</f>
        <v>0</v>
      </c>
      <c r="AF170" s="17">
        <f>'HH WITHOUT COM #7'!$X$194</f>
        <v>0</v>
      </c>
      <c r="AG170" s="539">
        <f t="shared" si="286"/>
        <v>0</v>
      </c>
      <c r="AH170" s="91">
        <f t="shared" si="287"/>
        <v>0</v>
      </c>
      <c r="AI170" s="391">
        <f t="shared" si="271"/>
        <v>1</v>
      </c>
      <c r="AJ170" s="17">
        <f t="shared" si="272"/>
        <v>2</v>
      </c>
      <c r="AK170" s="539">
        <f t="shared" si="273"/>
        <v>3</v>
      </c>
      <c r="AL170" s="91">
        <f t="shared" si="288"/>
        <v>3.6585365853658534E-2</v>
      </c>
    </row>
    <row r="171" spans="1:38" s="4" customFormat="1" ht="16.5" customHeight="1" x14ac:dyDescent="0.25">
      <c r="A171" s="40"/>
      <c r="B171" s="102"/>
      <c r="C171" s="473" t="s">
        <v>168</v>
      </c>
      <c r="D171" s="105" t="s">
        <v>600</v>
      </c>
      <c r="E171" s="105"/>
      <c r="F171" s="106"/>
      <c r="G171" s="17">
        <f>'HH WITHOUT COM #1'!$W$195</f>
        <v>0</v>
      </c>
      <c r="H171" s="17">
        <f>'HH WITHOUT COM #1'!$X$195</f>
        <v>0</v>
      </c>
      <c r="I171" s="539">
        <f t="shared" si="274"/>
        <v>0</v>
      </c>
      <c r="J171" s="91">
        <f t="shared" si="275"/>
        <v>0</v>
      </c>
      <c r="K171" s="17">
        <f>'HH WITHOUT COM #2'!$W$195</f>
        <v>0</v>
      </c>
      <c r="L171" s="17">
        <f>'HH WITHOUT COM #2'!$X$195</f>
        <v>0</v>
      </c>
      <c r="M171" s="539">
        <f t="shared" si="276"/>
        <v>0</v>
      </c>
      <c r="N171" s="91">
        <f t="shared" si="277"/>
        <v>0</v>
      </c>
      <c r="O171" s="17">
        <f>'HH WITHOUT COM #3'!$W$195</f>
        <v>0</v>
      </c>
      <c r="P171" s="17">
        <f>'HH WITHOUT COM #3'!$X$195</f>
        <v>0</v>
      </c>
      <c r="Q171" s="539">
        <f t="shared" si="278"/>
        <v>0</v>
      </c>
      <c r="R171" s="91">
        <f t="shared" si="279"/>
        <v>0</v>
      </c>
      <c r="S171" s="17">
        <f>'HH WITHOUT COM #4'!$W$195</f>
        <v>0</v>
      </c>
      <c r="T171" s="17">
        <f>'HH WITHOUT COM #4'!$X$195</f>
        <v>0</v>
      </c>
      <c r="U171" s="539">
        <f t="shared" si="280"/>
        <v>0</v>
      </c>
      <c r="V171" s="91">
        <f t="shared" si="281"/>
        <v>0</v>
      </c>
      <c r="W171" s="17">
        <f>'HH WITHOUT COM #5'!$W$195</f>
        <v>0</v>
      </c>
      <c r="X171" s="17">
        <f>'HH WITHOUT COM #5'!$X$195</f>
        <v>0</v>
      </c>
      <c r="Y171" s="539">
        <f t="shared" si="282"/>
        <v>0</v>
      </c>
      <c r="Z171" s="91">
        <f t="shared" si="283"/>
        <v>0</v>
      </c>
      <c r="AA171" s="17">
        <f>'HH WITHOUT COM #6'!$W$195</f>
        <v>0</v>
      </c>
      <c r="AB171" s="17">
        <f>'HH WITHOUT COM #6'!$X$195</f>
        <v>0</v>
      </c>
      <c r="AC171" s="539">
        <f t="shared" si="284"/>
        <v>0</v>
      </c>
      <c r="AD171" s="91">
        <f t="shared" si="285"/>
        <v>0</v>
      </c>
      <c r="AE171" s="17">
        <f>'HH WITHOUT COM #7'!$W$195</f>
        <v>0</v>
      </c>
      <c r="AF171" s="17">
        <f>'HH WITHOUT COM #7'!$X$195</f>
        <v>0</v>
      </c>
      <c r="AG171" s="539">
        <f t="shared" si="286"/>
        <v>0</v>
      </c>
      <c r="AH171" s="91">
        <f t="shared" si="287"/>
        <v>0</v>
      </c>
      <c r="AI171" s="391">
        <f t="shared" si="271"/>
        <v>0</v>
      </c>
      <c r="AJ171" s="17">
        <f t="shared" si="272"/>
        <v>0</v>
      </c>
      <c r="AK171" s="539">
        <f t="shared" si="273"/>
        <v>0</v>
      </c>
      <c r="AL171" s="91">
        <f t="shared" si="288"/>
        <v>0</v>
      </c>
    </row>
    <row r="172" spans="1:38" s="4" customFormat="1" ht="16.5" customHeight="1" x14ac:dyDescent="0.25">
      <c r="A172" s="119"/>
      <c r="B172" s="119"/>
      <c r="C172" s="119"/>
      <c r="D172" s="184"/>
      <c r="E172" s="134"/>
      <c r="F172" s="469"/>
      <c r="G172" s="497">
        <f>SUM(G167:G171)</f>
        <v>2</v>
      </c>
      <c r="H172" s="497">
        <f t="shared" ref="H172:I172" si="289">SUM(H167:H171)</f>
        <v>3</v>
      </c>
      <c r="I172" s="497">
        <f t="shared" si="289"/>
        <v>5</v>
      </c>
      <c r="J172" s="66">
        <f>IF(I$172=0,0,I172/I$172)</f>
        <v>1</v>
      </c>
      <c r="K172" s="497">
        <f>SUM(K167:K171)</f>
        <v>9</v>
      </c>
      <c r="L172" s="497">
        <f t="shared" ref="L172" si="290">SUM(L167:L171)</f>
        <v>7</v>
      </c>
      <c r="M172" s="497">
        <f t="shared" ref="M172" si="291">SUM(M167:M171)</f>
        <v>16</v>
      </c>
      <c r="N172" s="66">
        <f>IF(M$172=0,0,M172/M$172)</f>
        <v>1</v>
      </c>
      <c r="O172" s="497">
        <f>SUM(O167:O171)</f>
        <v>4</v>
      </c>
      <c r="P172" s="497">
        <f t="shared" ref="P172" si="292">SUM(P167:P171)</f>
        <v>7</v>
      </c>
      <c r="Q172" s="497">
        <f t="shared" ref="Q172" si="293">SUM(Q167:Q171)</f>
        <v>11</v>
      </c>
      <c r="R172" s="66">
        <f>IF(Q$172=0,0,Q172/Q$172)</f>
        <v>1</v>
      </c>
      <c r="S172" s="497">
        <f>SUM(S167:S171)</f>
        <v>0</v>
      </c>
      <c r="T172" s="497">
        <f t="shared" ref="T172" si="294">SUM(T167:T171)</f>
        <v>7</v>
      </c>
      <c r="U172" s="497">
        <f t="shared" ref="U172" si="295">SUM(U167:U171)</f>
        <v>7</v>
      </c>
      <c r="V172" s="66">
        <f>IF(U$172=0,0,U172/U$172)</f>
        <v>1</v>
      </c>
      <c r="W172" s="497">
        <f>SUM(W167:W171)</f>
        <v>15</v>
      </c>
      <c r="X172" s="497">
        <f t="shared" ref="X172" si="296">SUM(X167:X171)</f>
        <v>13</v>
      </c>
      <c r="Y172" s="497">
        <f t="shared" ref="Y172" si="297">SUM(Y167:Y171)</f>
        <v>28</v>
      </c>
      <c r="Z172" s="66">
        <f>IF(Y$172=0,0,Y172/Y$172)</f>
        <v>1</v>
      </c>
      <c r="AA172" s="497">
        <f>SUM(AA167:AA171)</f>
        <v>2</v>
      </c>
      <c r="AB172" s="497">
        <f t="shared" ref="AB172" si="298">SUM(AB167:AB171)</f>
        <v>13</v>
      </c>
      <c r="AC172" s="497">
        <f t="shared" ref="AC172" si="299">SUM(AC167:AC171)</f>
        <v>15</v>
      </c>
      <c r="AD172" s="66">
        <f>IF(AC$172=0,0,AC172/AC$172)</f>
        <v>1</v>
      </c>
      <c r="AE172" s="497">
        <f>SUM(AE167:AE171)</f>
        <v>0</v>
      </c>
      <c r="AF172" s="497">
        <f t="shared" ref="AF172" si="300">SUM(AF167:AF171)</f>
        <v>0</v>
      </c>
      <c r="AG172" s="497">
        <f t="shared" ref="AG172" si="301">SUM(AG167:AG171)</f>
        <v>0</v>
      </c>
      <c r="AH172" s="66">
        <f>IF(AG$172=0,0,AG172/AG$172)</f>
        <v>0</v>
      </c>
      <c r="AI172" s="622">
        <f>SUM(AI167:AI171)</f>
        <v>32</v>
      </c>
      <c r="AJ172" s="497">
        <f t="shared" ref="AJ172" si="302">SUM(AJ167:AJ171)</f>
        <v>50</v>
      </c>
      <c r="AK172" s="497">
        <f t="shared" ref="AK172" si="303">SUM(AK167:AK171)</f>
        <v>82</v>
      </c>
      <c r="AL172" s="66">
        <f>IF(AK$172=0,0,AK172/AK$172)</f>
        <v>1</v>
      </c>
    </row>
    <row r="173" spans="1:38" s="117" customFormat="1" ht="16.5" customHeight="1" x14ac:dyDescent="0.25">
      <c r="A173" s="119"/>
      <c r="B173" s="41" t="s">
        <v>171</v>
      </c>
      <c r="C173" s="42" t="s">
        <v>1055</v>
      </c>
      <c r="D173" s="43"/>
      <c r="E173" s="478"/>
      <c r="F173" s="478"/>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355"/>
      <c r="AI173" s="377"/>
      <c r="AJ173" s="71"/>
      <c r="AK173" s="71"/>
      <c r="AL173" s="71"/>
    </row>
    <row r="174" spans="1:38" s="4" customFormat="1" ht="16.5" customHeight="1" x14ac:dyDescent="0.25">
      <c r="A174" s="40"/>
      <c r="B174" s="40"/>
      <c r="C174" s="318" t="s">
        <v>172</v>
      </c>
      <c r="D174" s="489" t="s">
        <v>479</v>
      </c>
      <c r="E174" s="105"/>
      <c r="F174" s="106"/>
      <c r="G174" s="17">
        <f>'HH WITHOUT COM #1'!$W$199</f>
        <v>0</v>
      </c>
      <c r="H174" s="17">
        <f>'HH WITHOUT COM #1'!$X$199</f>
        <v>0</v>
      </c>
      <c r="I174" s="539">
        <f>SUM(G174:H174)</f>
        <v>0</v>
      </c>
      <c r="J174" s="91">
        <f>IF(I$180=0,0,I174/I$180)</f>
        <v>0</v>
      </c>
      <c r="K174" s="17">
        <f>'HH WITHOUT COM #2'!$W$199</f>
        <v>0</v>
      </c>
      <c r="L174" s="17">
        <f>'HH WITHOUT COM #2'!$X$199</f>
        <v>0</v>
      </c>
      <c r="M174" s="539">
        <f>SUM(K174:L174)</f>
        <v>0</v>
      </c>
      <c r="N174" s="91">
        <f>IF(M$180=0,0,M174/M$180)</f>
        <v>0</v>
      </c>
      <c r="O174" s="17">
        <f>'HH WITHOUT COM #3'!$W$199</f>
        <v>0</v>
      </c>
      <c r="P174" s="17">
        <f>'HH WITHOUT COM #3'!$X$199</f>
        <v>0</v>
      </c>
      <c r="Q174" s="539">
        <f>SUM(O174:P174)</f>
        <v>0</v>
      </c>
      <c r="R174" s="91">
        <f>IF(Q$180=0,0,Q174/Q$180)</f>
        <v>0</v>
      </c>
      <c r="S174" s="17">
        <f>'HH WITHOUT COM #4'!$W$199</f>
        <v>0</v>
      </c>
      <c r="T174" s="17">
        <f>'HH WITHOUT COM #4'!$X$199</f>
        <v>0</v>
      </c>
      <c r="U174" s="539">
        <f>SUM(S174:T174)</f>
        <v>0</v>
      </c>
      <c r="V174" s="91">
        <f>IF(U$180=0,0,U174/U$180)</f>
        <v>0</v>
      </c>
      <c r="W174" s="17">
        <f>'HH WITHOUT COM #5'!$W$199</f>
        <v>0</v>
      </c>
      <c r="X174" s="17">
        <f>'HH WITHOUT COM #5'!$X$199</f>
        <v>0</v>
      </c>
      <c r="Y174" s="539">
        <f>SUM(W174:X174)</f>
        <v>0</v>
      </c>
      <c r="Z174" s="91">
        <f>IF(Y$180=0,0,Y174/Y$180)</f>
        <v>0</v>
      </c>
      <c r="AA174" s="17">
        <f>'HH WITHOUT COM #6'!$W$199</f>
        <v>0</v>
      </c>
      <c r="AB174" s="17">
        <f>'HH WITHOUT COM #6'!$X$199</f>
        <v>0</v>
      </c>
      <c r="AC174" s="539">
        <f>SUM(AA174:AB174)</f>
        <v>0</v>
      </c>
      <c r="AD174" s="91">
        <f>IF(AC$180=0,0,AC174/AC$180)</f>
        <v>0</v>
      </c>
      <c r="AE174" s="17">
        <f>'HH WITHOUT COM #7'!$W$199</f>
        <v>0</v>
      </c>
      <c r="AF174" s="17">
        <f>'HH WITHOUT COM #7'!$X$199</f>
        <v>0</v>
      </c>
      <c r="AG174" s="539">
        <f>SUM(AE174:AF174)</f>
        <v>0</v>
      </c>
      <c r="AH174" s="91">
        <f>IF(AG$180=0,0,AG174/AG$180)</f>
        <v>0</v>
      </c>
      <c r="AI174" s="391">
        <f t="shared" ref="AI174:AI179" si="304">G174+K174+O174+S174+W174+AA174+AE174</f>
        <v>0</v>
      </c>
      <c r="AJ174" s="17">
        <f t="shared" ref="AJ174:AJ179" si="305">H174+L174+P174+T174+X174+AB174+AF174</f>
        <v>0</v>
      </c>
      <c r="AK174" s="539">
        <f t="shared" ref="AK174:AK179" si="306">SUM(AI174:AJ174)</f>
        <v>0</v>
      </c>
      <c r="AL174" s="91">
        <f>IF(AK$180=0,0,AK174/AK$180)</f>
        <v>0</v>
      </c>
    </row>
    <row r="175" spans="1:38" s="4" customFormat="1" ht="16.5" customHeight="1" x14ac:dyDescent="0.25">
      <c r="A175" s="40"/>
      <c r="B175" s="40"/>
      <c r="C175" s="318" t="s">
        <v>174</v>
      </c>
      <c r="D175" s="484" t="s">
        <v>405</v>
      </c>
      <c r="E175" s="105"/>
      <c r="F175" s="106"/>
      <c r="G175" s="17">
        <f>'HH WITHOUT COM #1'!$W$200</f>
        <v>0</v>
      </c>
      <c r="H175" s="17">
        <f>'HH WITHOUT COM #1'!$X$200</f>
        <v>0</v>
      </c>
      <c r="I175" s="539">
        <f t="shared" ref="I175:I179" si="307">SUM(G175:H175)</f>
        <v>0</v>
      </c>
      <c r="J175" s="91">
        <f t="shared" ref="J175:J179" si="308">IF(I$180=0,0,I175/I$180)</f>
        <v>0</v>
      </c>
      <c r="K175" s="17">
        <f>'HH WITHOUT COM #2'!$W$200</f>
        <v>0</v>
      </c>
      <c r="L175" s="17">
        <f>'HH WITHOUT COM #2'!$X$200</f>
        <v>0</v>
      </c>
      <c r="M175" s="539">
        <f t="shared" ref="M175:M179" si="309">SUM(K175:L175)</f>
        <v>0</v>
      </c>
      <c r="N175" s="91">
        <f t="shared" ref="N175:N179" si="310">IF(M$180=0,0,M175/M$180)</f>
        <v>0</v>
      </c>
      <c r="O175" s="17">
        <f>'HH WITHOUT COM #3'!$W$200</f>
        <v>0</v>
      </c>
      <c r="P175" s="17">
        <f>'HH WITHOUT COM #3'!$X$200</f>
        <v>0</v>
      </c>
      <c r="Q175" s="539">
        <f t="shared" ref="Q175:Q179" si="311">SUM(O175:P175)</f>
        <v>0</v>
      </c>
      <c r="R175" s="91">
        <f t="shared" ref="R175:R179" si="312">IF(Q$180=0,0,Q175/Q$180)</f>
        <v>0</v>
      </c>
      <c r="S175" s="17">
        <f>'HH WITHOUT COM #4'!$W$200</f>
        <v>0</v>
      </c>
      <c r="T175" s="17">
        <f>'HH WITHOUT COM #4'!$X$200</f>
        <v>0</v>
      </c>
      <c r="U175" s="539">
        <f t="shared" ref="U175:U179" si="313">SUM(S175:T175)</f>
        <v>0</v>
      </c>
      <c r="V175" s="91">
        <f t="shared" ref="V175:V179" si="314">IF(U$180=0,0,U175/U$180)</f>
        <v>0</v>
      </c>
      <c r="W175" s="17">
        <f>'HH WITHOUT COM #5'!$W$200</f>
        <v>0</v>
      </c>
      <c r="X175" s="17">
        <f>'HH WITHOUT COM #5'!$X$200</f>
        <v>0</v>
      </c>
      <c r="Y175" s="539">
        <f t="shared" ref="Y175:Y179" si="315">SUM(W175:X175)</f>
        <v>0</v>
      </c>
      <c r="Z175" s="91">
        <f t="shared" ref="Z175:Z179" si="316">IF(Y$180=0,0,Y175/Y$180)</f>
        <v>0</v>
      </c>
      <c r="AA175" s="17">
        <f>'HH WITHOUT COM #6'!$W$200</f>
        <v>0</v>
      </c>
      <c r="AB175" s="17">
        <f>'HH WITHOUT COM #6'!$X$200</f>
        <v>0</v>
      </c>
      <c r="AC175" s="539">
        <f t="shared" ref="AC175:AC179" si="317">SUM(AA175:AB175)</f>
        <v>0</v>
      </c>
      <c r="AD175" s="91">
        <f t="shared" ref="AD175:AD179" si="318">IF(AC$180=0,0,AC175/AC$180)</f>
        <v>0</v>
      </c>
      <c r="AE175" s="17">
        <f>'HH WITHOUT COM #7'!$W$200</f>
        <v>0</v>
      </c>
      <c r="AF175" s="17">
        <f>'HH WITHOUT COM #7'!$X$200</f>
        <v>0</v>
      </c>
      <c r="AG175" s="539">
        <f t="shared" ref="AG175:AG179" si="319">SUM(AE175:AF175)</f>
        <v>0</v>
      </c>
      <c r="AH175" s="91">
        <f t="shared" ref="AH175:AH179" si="320">IF(AG$180=0,0,AG175/AG$180)</f>
        <v>0</v>
      </c>
      <c r="AI175" s="391">
        <f t="shared" si="304"/>
        <v>0</v>
      </c>
      <c r="AJ175" s="17">
        <f t="shared" si="305"/>
        <v>0</v>
      </c>
      <c r="AK175" s="539">
        <f t="shared" si="306"/>
        <v>0</v>
      </c>
      <c r="AL175" s="91">
        <f t="shared" ref="AL175:AL179" si="321">IF(AK$180=0,0,AK175/AK$180)</f>
        <v>0</v>
      </c>
    </row>
    <row r="176" spans="1:38" s="4" customFormat="1" ht="16.5" customHeight="1" x14ac:dyDescent="0.25">
      <c r="A176" s="40"/>
      <c r="B176" s="40"/>
      <c r="C176" s="318" t="s">
        <v>175</v>
      </c>
      <c r="D176" s="484" t="s">
        <v>480</v>
      </c>
      <c r="E176" s="105"/>
      <c r="F176" s="106"/>
      <c r="G176" s="17">
        <f>'HH WITHOUT COM #1'!$W$201</f>
        <v>2</v>
      </c>
      <c r="H176" s="17">
        <f>'HH WITHOUT COM #1'!$X$201</f>
        <v>3</v>
      </c>
      <c r="I176" s="539">
        <f t="shared" si="307"/>
        <v>5</v>
      </c>
      <c r="J176" s="91">
        <f t="shared" si="308"/>
        <v>1</v>
      </c>
      <c r="K176" s="17">
        <f>'HH WITHOUT COM #2'!$W$201</f>
        <v>7</v>
      </c>
      <c r="L176" s="17">
        <f>'HH WITHOUT COM #2'!$X$201</f>
        <v>5</v>
      </c>
      <c r="M176" s="539">
        <f t="shared" si="309"/>
        <v>12</v>
      </c>
      <c r="N176" s="91">
        <f t="shared" si="310"/>
        <v>1</v>
      </c>
      <c r="O176" s="17">
        <f>'HH WITHOUT COM #3'!$W$201</f>
        <v>4</v>
      </c>
      <c r="P176" s="17">
        <f>'HH WITHOUT COM #3'!$X$201</f>
        <v>7</v>
      </c>
      <c r="Q176" s="539">
        <f t="shared" si="311"/>
        <v>11</v>
      </c>
      <c r="R176" s="91">
        <f t="shared" si="312"/>
        <v>1</v>
      </c>
      <c r="S176" s="17">
        <f>'HH WITHOUT COM #4'!$W$201</f>
        <v>0</v>
      </c>
      <c r="T176" s="17">
        <f>'HH WITHOUT COM #4'!$X$201</f>
        <v>7</v>
      </c>
      <c r="U176" s="539">
        <f t="shared" si="313"/>
        <v>7</v>
      </c>
      <c r="V176" s="91">
        <f t="shared" si="314"/>
        <v>1</v>
      </c>
      <c r="W176" s="17">
        <f>'HH WITHOUT COM #5'!$W$201</f>
        <v>15</v>
      </c>
      <c r="X176" s="17">
        <f>'HH WITHOUT COM #5'!$X$201</f>
        <v>13</v>
      </c>
      <c r="Y176" s="539">
        <f t="shared" si="315"/>
        <v>28</v>
      </c>
      <c r="Z176" s="91">
        <f t="shared" si="316"/>
        <v>1</v>
      </c>
      <c r="AA176" s="17">
        <f>'HH WITHOUT COM #6'!$W$201</f>
        <v>2</v>
      </c>
      <c r="AB176" s="17">
        <f>'HH WITHOUT COM #6'!$X$201</f>
        <v>13</v>
      </c>
      <c r="AC176" s="539">
        <f t="shared" si="317"/>
        <v>15</v>
      </c>
      <c r="AD176" s="91">
        <f t="shared" si="318"/>
        <v>1</v>
      </c>
      <c r="AE176" s="17">
        <f>'HH WITHOUT COM #7'!$W$201</f>
        <v>0</v>
      </c>
      <c r="AF176" s="17">
        <f>'HH WITHOUT COM #7'!$X$201</f>
        <v>0</v>
      </c>
      <c r="AG176" s="539">
        <f t="shared" si="319"/>
        <v>0</v>
      </c>
      <c r="AH176" s="91">
        <f t="shared" si="320"/>
        <v>0</v>
      </c>
      <c r="AI176" s="391">
        <f t="shared" si="304"/>
        <v>30</v>
      </c>
      <c r="AJ176" s="17">
        <f t="shared" si="305"/>
        <v>48</v>
      </c>
      <c r="AK176" s="539">
        <f t="shared" si="306"/>
        <v>78</v>
      </c>
      <c r="AL176" s="91">
        <f t="shared" si="321"/>
        <v>1</v>
      </c>
    </row>
    <row r="177" spans="1:70" s="4" customFormat="1" ht="16.5" customHeight="1" x14ac:dyDescent="0.25">
      <c r="A177" s="40"/>
      <c r="B177" s="40"/>
      <c r="C177" s="318" t="s">
        <v>176</v>
      </c>
      <c r="D177" s="489" t="s">
        <v>481</v>
      </c>
      <c r="E177" s="105"/>
      <c r="F177" s="106"/>
      <c r="G177" s="17">
        <f>'HH WITHOUT COM #1'!$W$202</f>
        <v>0</v>
      </c>
      <c r="H177" s="17">
        <f>'HH WITHOUT COM #1'!$X$202</f>
        <v>0</v>
      </c>
      <c r="I177" s="539">
        <f t="shared" si="307"/>
        <v>0</v>
      </c>
      <c r="J177" s="91">
        <f t="shared" si="308"/>
        <v>0</v>
      </c>
      <c r="K177" s="17">
        <f>'HH WITHOUT COM #2'!$W$202</f>
        <v>0</v>
      </c>
      <c r="L177" s="17">
        <f>'HH WITHOUT COM #2'!$X$202</f>
        <v>0</v>
      </c>
      <c r="M177" s="539">
        <f t="shared" si="309"/>
        <v>0</v>
      </c>
      <c r="N177" s="91">
        <f t="shared" si="310"/>
        <v>0</v>
      </c>
      <c r="O177" s="17">
        <f>'HH WITHOUT COM #3'!$W$202</f>
        <v>0</v>
      </c>
      <c r="P177" s="17">
        <f>'HH WITHOUT COM #3'!$X$202</f>
        <v>0</v>
      </c>
      <c r="Q177" s="539">
        <f t="shared" si="311"/>
        <v>0</v>
      </c>
      <c r="R177" s="91">
        <f t="shared" si="312"/>
        <v>0</v>
      </c>
      <c r="S177" s="17">
        <f>'HH WITHOUT COM #4'!$W$202</f>
        <v>0</v>
      </c>
      <c r="T177" s="17">
        <f>'HH WITHOUT COM #4'!$X$202</f>
        <v>0</v>
      </c>
      <c r="U177" s="539">
        <f t="shared" si="313"/>
        <v>0</v>
      </c>
      <c r="V177" s="91">
        <f t="shared" si="314"/>
        <v>0</v>
      </c>
      <c r="W177" s="17">
        <f>'HH WITHOUT COM #5'!$W$202</f>
        <v>0</v>
      </c>
      <c r="X177" s="17">
        <f>'HH WITHOUT COM #5'!$X$202</f>
        <v>0</v>
      </c>
      <c r="Y177" s="539">
        <f t="shared" si="315"/>
        <v>0</v>
      </c>
      <c r="Z177" s="91">
        <f t="shared" si="316"/>
        <v>0</v>
      </c>
      <c r="AA177" s="17">
        <f>'HH WITHOUT COM #6'!$W$202</f>
        <v>0</v>
      </c>
      <c r="AB177" s="17">
        <f>'HH WITHOUT COM #6'!$X$202</f>
        <v>0</v>
      </c>
      <c r="AC177" s="539">
        <f t="shared" si="317"/>
        <v>0</v>
      </c>
      <c r="AD177" s="91">
        <f t="shared" si="318"/>
        <v>0</v>
      </c>
      <c r="AE177" s="17">
        <f>'HH WITHOUT COM #7'!$W$202</f>
        <v>0</v>
      </c>
      <c r="AF177" s="17">
        <f>'HH WITHOUT COM #7'!$X$202</f>
        <v>0</v>
      </c>
      <c r="AG177" s="539">
        <f t="shared" si="319"/>
        <v>0</v>
      </c>
      <c r="AH177" s="91">
        <f t="shared" si="320"/>
        <v>0</v>
      </c>
      <c r="AI177" s="391">
        <f t="shared" si="304"/>
        <v>0</v>
      </c>
      <c r="AJ177" s="17">
        <f t="shared" si="305"/>
        <v>0</v>
      </c>
      <c r="AK177" s="539">
        <f t="shared" si="306"/>
        <v>0</v>
      </c>
      <c r="AL177" s="91">
        <f t="shared" si="321"/>
        <v>0</v>
      </c>
    </row>
    <row r="178" spans="1:70" s="4" customFormat="1" ht="16.5" customHeight="1" x14ac:dyDescent="0.25">
      <c r="A178" s="40"/>
      <c r="B178" s="40"/>
      <c r="C178" s="571" t="s">
        <v>177</v>
      </c>
      <c r="D178" s="489" t="s">
        <v>109</v>
      </c>
      <c r="E178" s="105"/>
      <c r="F178" s="106"/>
      <c r="G178" s="17">
        <f>'HH WITHOUT COM #1'!$W$203</f>
        <v>0</v>
      </c>
      <c r="H178" s="17">
        <f>'HH WITHOUT COM #1'!$X$203</f>
        <v>0</v>
      </c>
      <c r="I178" s="539">
        <f t="shared" si="307"/>
        <v>0</v>
      </c>
      <c r="J178" s="91">
        <f t="shared" si="308"/>
        <v>0</v>
      </c>
      <c r="K178" s="17">
        <f>'HH WITHOUT COM #2'!$W$203</f>
        <v>0</v>
      </c>
      <c r="L178" s="17">
        <f>'HH WITHOUT COM #2'!$X$203</f>
        <v>0</v>
      </c>
      <c r="M178" s="539">
        <f t="shared" si="309"/>
        <v>0</v>
      </c>
      <c r="N178" s="91">
        <f t="shared" si="310"/>
        <v>0</v>
      </c>
      <c r="O178" s="17">
        <f>'HH WITHOUT COM #3'!$W$203</f>
        <v>0</v>
      </c>
      <c r="P178" s="17">
        <f>'HH WITHOUT COM #3'!$X$203</f>
        <v>0</v>
      </c>
      <c r="Q178" s="539">
        <f t="shared" si="311"/>
        <v>0</v>
      </c>
      <c r="R178" s="91">
        <f t="shared" si="312"/>
        <v>0</v>
      </c>
      <c r="S178" s="17">
        <f>'HH WITHOUT COM #4'!$W$203</f>
        <v>0</v>
      </c>
      <c r="T178" s="17">
        <f>'HH WITHOUT COM #4'!$X$203</f>
        <v>0</v>
      </c>
      <c r="U178" s="539">
        <f t="shared" si="313"/>
        <v>0</v>
      </c>
      <c r="V178" s="91">
        <f t="shared" si="314"/>
        <v>0</v>
      </c>
      <c r="W178" s="17">
        <f>'HH WITHOUT COM #5'!$W$203</f>
        <v>0</v>
      </c>
      <c r="X178" s="17">
        <f>'HH WITHOUT COM #5'!$X$203</f>
        <v>0</v>
      </c>
      <c r="Y178" s="539">
        <f t="shared" si="315"/>
        <v>0</v>
      </c>
      <c r="Z178" s="91">
        <f t="shared" si="316"/>
        <v>0</v>
      </c>
      <c r="AA178" s="17">
        <f>'HH WITHOUT COM #6'!$W$203</f>
        <v>0</v>
      </c>
      <c r="AB178" s="17">
        <f>'HH WITHOUT COM #6'!$X$203</f>
        <v>0</v>
      </c>
      <c r="AC178" s="539">
        <f t="shared" si="317"/>
        <v>0</v>
      </c>
      <c r="AD178" s="91">
        <f t="shared" si="318"/>
        <v>0</v>
      </c>
      <c r="AE178" s="17">
        <f>'HH WITHOUT COM #7'!$W$203</f>
        <v>0</v>
      </c>
      <c r="AF178" s="17">
        <f>'HH WITHOUT COM #7'!$X$203</f>
        <v>0</v>
      </c>
      <c r="AG178" s="539">
        <f t="shared" si="319"/>
        <v>0</v>
      </c>
      <c r="AH178" s="91">
        <f t="shared" si="320"/>
        <v>0</v>
      </c>
      <c r="AI178" s="391">
        <f t="shared" si="304"/>
        <v>0</v>
      </c>
      <c r="AJ178" s="17">
        <f t="shared" si="305"/>
        <v>0</v>
      </c>
      <c r="AK178" s="539">
        <f t="shared" si="306"/>
        <v>0</v>
      </c>
      <c r="AL178" s="91">
        <f t="shared" si="321"/>
        <v>0</v>
      </c>
    </row>
    <row r="179" spans="1:70" s="4" customFormat="1" ht="16.5" customHeight="1" x14ac:dyDescent="0.25">
      <c r="A179" s="40"/>
      <c r="B179" s="40"/>
      <c r="C179" s="571" t="s">
        <v>178</v>
      </c>
      <c r="D179" s="105" t="s">
        <v>129</v>
      </c>
      <c r="E179" s="105"/>
      <c r="F179" s="106"/>
      <c r="G179" s="17">
        <f>'HH WITHOUT COM #1'!$W$207</f>
        <v>0</v>
      </c>
      <c r="H179" s="17">
        <f>'HH WITHOUT COM #1'!$X$207</f>
        <v>0</v>
      </c>
      <c r="I179" s="539">
        <f t="shared" si="307"/>
        <v>0</v>
      </c>
      <c r="J179" s="91">
        <f t="shared" si="308"/>
        <v>0</v>
      </c>
      <c r="K179" s="17">
        <f>'HH WITHOUT COM #2'!$W$207</f>
        <v>0</v>
      </c>
      <c r="L179" s="17">
        <f>'HH WITHOUT COM #2'!$X$207</f>
        <v>0</v>
      </c>
      <c r="M179" s="539">
        <f t="shared" si="309"/>
        <v>0</v>
      </c>
      <c r="N179" s="91">
        <f t="shared" si="310"/>
        <v>0</v>
      </c>
      <c r="O179" s="17">
        <f>'HH WITHOUT COM #3'!$W$207</f>
        <v>0</v>
      </c>
      <c r="P179" s="17">
        <f>'HH WITHOUT COM #3'!$X$207</f>
        <v>0</v>
      </c>
      <c r="Q179" s="539">
        <f t="shared" si="311"/>
        <v>0</v>
      </c>
      <c r="R179" s="91">
        <f t="shared" si="312"/>
        <v>0</v>
      </c>
      <c r="S179" s="17">
        <f>'HH WITHOUT COM #4'!$W$207</f>
        <v>0</v>
      </c>
      <c r="T179" s="17">
        <f>'HH WITHOUT COM #4'!$X$207</f>
        <v>0</v>
      </c>
      <c r="U179" s="539">
        <f t="shared" si="313"/>
        <v>0</v>
      </c>
      <c r="V179" s="91">
        <f t="shared" si="314"/>
        <v>0</v>
      </c>
      <c r="W179" s="17">
        <f>'HH WITHOUT COM #5'!$W$207</f>
        <v>0</v>
      </c>
      <c r="X179" s="17">
        <f>'HH WITHOUT COM #5'!$X$207</f>
        <v>0</v>
      </c>
      <c r="Y179" s="539">
        <f t="shared" si="315"/>
        <v>0</v>
      </c>
      <c r="Z179" s="91">
        <f t="shared" si="316"/>
        <v>0</v>
      </c>
      <c r="AA179" s="17">
        <f>'HH WITHOUT COM #6'!$W$207</f>
        <v>0</v>
      </c>
      <c r="AB179" s="17">
        <f>'HH WITHOUT COM #6'!$X$207</f>
        <v>0</v>
      </c>
      <c r="AC179" s="539">
        <f t="shared" si="317"/>
        <v>0</v>
      </c>
      <c r="AD179" s="91">
        <f t="shared" si="318"/>
        <v>0</v>
      </c>
      <c r="AE179" s="17">
        <f>'HH WITHOUT COM #7'!$W$207</f>
        <v>0</v>
      </c>
      <c r="AF179" s="17">
        <f>'HH WITHOUT COM #7'!$X$207</f>
        <v>0</v>
      </c>
      <c r="AG179" s="539">
        <f t="shared" si="319"/>
        <v>0</v>
      </c>
      <c r="AH179" s="91">
        <f t="shared" si="320"/>
        <v>0</v>
      </c>
      <c r="AI179" s="391">
        <f t="shared" si="304"/>
        <v>0</v>
      </c>
      <c r="AJ179" s="17">
        <f t="shared" si="305"/>
        <v>0</v>
      </c>
      <c r="AK179" s="539">
        <f t="shared" si="306"/>
        <v>0</v>
      </c>
      <c r="AL179" s="91">
        <f t="shared" si="321"/>
        <v>0</v>
      </c>
    </row>
    <row r="180" spans="1:70" s="4" customFormat="1" ht="16.5" customHeight="1" x14ac:dyDescent="0.25">
      <c r="A180" s="119"/>
      <c r="B180" s="119"/>
      <c r="C180" s="119"/>
      <c r="D180" s="184"/>
      <c r="E180" s="134"/>
      <c r="F180" s="469"/>
      <c r="G180" s="497">
        <f>SUM(G174:G179)</f>
        <v>2</v>
      </c>
      <c r="H180" s="497">
        <f t="shared" ref="H180:I180" si="322">SUM(H174:H179)</f>
        <v>3</v>
      </c>
      <c r="I180" s="497">
        <f t="shared" si="322"/>
        <v>5</v>
      </c>
      <c r="J180" s="66">
        <f>IF(I$180=0,0,I180/I$180)</f>
        <v>1</v>
      </c>
      <c r="K180" s="497">
        <f>SUM(K174:K179)</f>
        <v>7</v>
      </c>
      <c r="L180" s="497">
        <f t="shared" ref="L180" si="323">SUM(L174:L179)</f>
        <v>5</v>
      </c>
      <c r="M180" s="497">
        <f t="shared" ref="M180" si="324">SUM(M174:M179)</f>
        <v>12</v>
      </c>
      <c r="N180" s="66">
        <f>IF(M$180=0,0,M180/M$180)</f>
        <v>1</v>
      </c>
      <c r="O180" s="497">
        <f>SUM(O174:O179)</f>
        <v>4</v>
      </c>
      <c r="P180" s="497">
        <f t="shared" ref="P180" si="325">SUM(P174:P179)</f>
        <v>7</v>
      </c>
      <c r="Q180" s="497">
        <f t="shared" ref="Q180" si="326">SUM(Q174:Q179)</f>
        <v>11</v>
      </c>
      <c r="R180" s="66">
        <f>IF(Q$180=0,0,Q180/Q$180)</f>
        <v>1</v>
      </c>
      <c r="S180" s="497">
        <f>SUM(S174:S179)</f>
        <v>0</v>
      </c>
      <c r="T180" s="497">
        <f t="shared" ref="T180" si="327">SUM(T174:T179)</f>
        <v>7</v>
      </c>
      <c r="U180" s="497">
        <f t="shared" ref="U180" si="328">SUM(U174:U179)</f>
        <v>7</v>
      </c>
      <c r="V180" s="66">
        <f>IF(U$180=0,0,U180/U$180)</f>
        <v>1</v>
      </c>
      <c r="W180" s="497">
        <f>SUM(W174:W179)</f>
        <v>15</v>
      </c>
      <c r="X180" s="497">
        <f t="shared" ref="X180" si="329">SUM(X174:X179)</f>
        <v>13</v>
      </c>
      <c r="Y180" s="497">
        <f t="shared" ref="Y180" si="330">SUM(Y174:Y179)</f>
        <v>28</v>
      </c>
      <c r="Z180" s="66">
        <f>IF(Y$180=0,0,Y180/Y$180)</f>
        <v>1</v>
      </c>
      <c r="AA180" s="497">
        <f>SUM(AA174:AA179)</f>
        <v>2</v>
      </c>
      <c r="AB180" s="497">
        <f t="shared" ref="AB180" si="331">SUM(AB174:AB179)</f>
        <v>13</v>
      </c>
      <c r="AC180" s="497">
        <f t="shared" ref="AC180" si="332">SUM(AC174:AC179)</f>
        <v>15</v>
      </c>
      <c r="AD180" s="66">
        <f>IF(AC$180=0,0,AC180/AC$180)</f>
        <v>1</v>
      </c>
      <c r="AE180" s="497">
        <f>SUM(AE174:AE179)</f>
        <v>0</v>
      </c>
      <c r="AF180" s="497">
        <f t="shared" ref="AF180" si="333">SUM(AF174:AF179)</f>
        <v>0</v>
      </c>
      <c r="AG180" s="497">
        <f t="shared" ref="AG180" si="334">SUM(AG174:AG179)</f>
        <v>0</v>
      </c>
      <c r="AH180" s="66">
        <f>IF(AG$180=0,0,AG180/AG$180)</f>
        <v>0</v>
      </c>
      <c r="AI180" s="622">
        <f>SUM(AI174:AI179)</f>
        <v>30</v>
      </c>
      <c r="AJ180" s="497">
        <f t="shared" ref="AJ180" si="335">SUM(AJ174:AJ179)</f>
        <v>48</v>
      </c>
      <c r="AK180" s="497">
        <f t="shared" ref="AK180" si="336">SUM(AK174:AK179)</f>
        <v>78</v>
      </c>
      <c r="AL180" s="66">
        <f>IF(AK$180=0,0,AK180/AK$180)</f>
        <v>1</v>
      </c>
    </row>
    <row r="181" spans="1:70" s="117" customFormat="1" ht="16.5" customHeight="1" x14ac:dyDescent="0.25">
      <c r="A181" s="119"/>
      <c r="B181" s="41" t="s">
        <v>180</v>
      </c>
      <c r="C181" s="635" t="s">
        <v>873</v>
      </c>
      <c r="D181" s="43"/>
      <c r="E181" s="478"/>
      <c r="F181" s="478"/>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355"/>
      <c r="AI181" s="377"/>
      <c r="AJ181" s="71"/>
      <c r="AK181" s="71"/>
      <c r="AL181" s="71"/>
    </row>
    <row r="182" spans="1:70" s="97" customFormat="1" ht="16.5" customHeight="1" x14ac:dyDescent="0.25">
      <c r="A182" s="40"/>
      <c r="B182" s="40"/>
      <c r="C182" s="318" t="s">
        <v>440</v>
      </c>
      <c r="D182" s="498" t="s">
        <v>113</v>
      </c>
      <c r="E182" s="542"/>
      <c r="F182" s="281"/>
      <c r="G182" s="198">
        <f>'HH WITHOUT COM #1'!$W$211</f>
        <v>0</v>
      </c>
      <c r="H182" s="198">
        <f>'HH WITHOUT COM #1'!$X$211</f>
        <v>1</v>
      </c>
      <c r="I182" s="539">
        <f t="shared" ref="I182:I184" si="337">SUM(G182:H182)</f>
        <v>1</v>
      </c>
      <c r="J182" s="91">
        <f>IF(I$185=0,0,I182/I$185)</f>
        <v>0.2</v>
      </c>
      <c r="K182" s="198">
        <f>'HH WITHOUT COM #2'!$W$211</f>
        <v>5</v>
      </c>
      <c r="L182" s="198">
        <f>'HH WITHOUT COM #2'!$X$211</f>
        <v>1</v>
      </c>
      <c r="M182" s="539">
        <f t="shared" ref="M182:M184" si="338">SUM(K182:L182)</f>
        <v>6</v>
      </c>
      <c r="N182" s="91">
        <f>IF(M$185=0,0,M182/M$185)</f>
        <v>0.5</v>
      </c>
      <c r="O182" s="198">
        <f>'HH WITHOUT COM #3'!$W$211</f>
        <v>0</v>
      </c>
      <c r="P182" s="198">
        <f>'HH WITHOUT COM #3'!$X$211</f>
        <v>0</v>
      </c>
      <c r="Q182" s="539">
        <f t="shared" ref="Q182:Q184" si="339">SUM(O182:P182)</f>
        <v>0</v>
      </c>
      <c r="R182" s="91">
        <f>IF(Q$185=0,0,Q182/Q$185)</f>
        <v>0</v>
      </c>
      <c r="S182" s="198">
        <f>'HH WITHOUT COM #4'!$W$211</f>
        <v>0</v>
      </c>
      <c r="T182" s="198">
        <f>'HH WITHOUT COM #4'!$X$211</f>
        <v>0</v>
      </c>
      <c r="U182" s="539">
        <f t="shared" ref="U182:U184" si="340">SUM(S182:T182)</f>
        <v>0</v>
      </c>
      <c r="V182" s="91">
        <f>IF(U$185=0,0,U182/U$185)</f>
        <v>0</v>
      </c>
      <c r="W182" s="198">
        <f>'HH WITHOUT COM #5'!$W$211</f>
        <v>4</v>
      </c>
      <c r="X182" s="198">
        <f>'HH WITHOUT COM #5'!$X$211</f>
        <v>3</v>
      </c>
      <c r="Y182" s="539">
        <f t="shared" ref="Y182:Y184" si="341">SUM(W182:X182)</f>
        <v>7</v>
      </c>
      <c r="Z182" s="91">
        <f>IF(Y$185=0,0,Y182/Y$185)</f>
        <v>0.25</v>
      </c>
      <c r="AA182" s="198">
        <f>'HH WITHOUT COM #6'!$W$211</f>
        <v>0</v>
      </c>
      <c r="AB182" s="198">
        <f>'HH WITHOUT COM #6'!$X$211</f>
        <v>0</v>
      </c>
      <c r="AC182" s="539">
        <f t="shared" ref="AC182:AC184" si="342">SUM(AA182:AB182)</f>
        <v>0</v>
      </c>
      <c r="AD182" s="91">
        <f>IF(AC$185=0,0,AC182/AC$185)</f>
        <v>0</v>
      </c>
      <c r="AE182" s="198">
        <f>'HH WITHOUT COM #7'!$W$211</f>
        <v>0</v>
      </c>
      <c r="AF182" s="198">
        <f>'HH WITHOUT COM #7'!$X$211</f>
        <v>0</v>
      </c>
      <c r="AG182" s="539">
        <f t="shared" ref="AG182:AG184" si="343">SUM(AE182:AF182)</f>
        <v>0</v>
      </c>
      <c r="AH182" s="91">
        <f>IF(AG$185=0,0,AG182/AG$185)</f>
        <v>0</v>
      </c>
      <c r="AI182" s="391">
        <f t="shared" ref="AI182:AI184" si="344">G182+K182+O182+S182+W182+AA182+AE182</f>
        <v>9</v>
      </c>
      <c r="AJ182" s="17">
        <f t="shared" ref="AJ182:AJ184" si="345">H182+L182+P182+T182+X182+AB182+AF182</f>
        <v>5</v>
      </c>
      <c r="AK182" s="539">
        <f t="shared" ref="AK182:AK184" si="346">SUM(AI182:AJ182)</f>
        <v>14</v>
      </c>
      <c r="AL182" s="91">
        <f>IF(AK$185=0,0,AK182/AK$185)</f>
        <v>0.17948717948717949</v>
      </c>
    </row>
    <row r="183" spans="1:70" s="97" customFormat="1" ht="16.5" customHeight="1" x14ac:dyDescent="0.25">
      <c r="A183" s="40"/>
      <c r="B183" s="40"/>
      <c r="C183" s="318" t="s">
        <v>441</v>
      </c>
      <c r="D183" s="498" t="s">
        <v>602</v>
      </c>
      <c r="E183" s="542"/>
      <c r="F183" s="281"/>
      <c r="G183" s="198">
        <f>'HH WITHOUT COM #1'!$W$212</f>
        <v>2</v>
      </c>
      <c r="H183" s="198">
        <f>'HH WITHOUT COM #1'!$X$212</f>
        <v>2</v>
      </c>
      <c r="I183" s="539">
        <f t="shared" si="337"/>
        <v>4</v>
      </c>
      <c r="J183" s="91">
        <f>IF(I$185=0,0,I183/I$185)</f>
        <v>0.8</v>
      </c>
      <c r="K183" s="198">
        <f>'HH WITHOUT COM #2'!$W$212</f>
        <v>2</v>
      </c>
      <c r="L183" s="198">
        <f>'HH WITHOUT COM #2'!$X$212</f>
        <v>4</v>
      </c>
      <c r="M183" s="539">
        <f t="shared" si="338"/>
        <v>6</v>
      </c>
      <c r="N183" s="91">
        <f>IF(M$185=0,0,M183/M$185)</f>
        <v>0.5</v>
      </c>
      <c r="O183" s="198">
        <f>'HH WITHOUT COM #3'!$W$212</f>
        <v>4</v>
      </c>
      <c r="P183" s="198">
        <f>'HH WITHOUT COM #3'!$X$212</f>
        <v>7</v>
      </c>
      <c r="Q183" s="539">
        <f t="shared" si="339"/>
        <v>11</v>
      </c>
      <c r="R183" s="91">
        <f>IF(Q$185=0,0,Q183/Q$185)</f>
        <v>1</v>
      </c>
      <c r="S183" s="198">
        <f>'HH WITHOUT COM #4'!$W$212</f>
        <v>0</v>
      </c>
      <c r="T183" s="198">
        <f>'HH WITHOUT COM #4'!$X$212</f>
        <v>7</v>
      </c>
      <c r="U183" s="539">
        <f t="shared" si="340"/>
        <v>7</v>
      </c>
      <c r="V183" s="91">
        <f>IF(U$185=0,0,U183/U$185)</f>
        <v>1</v>
      </c>
      <c r="W183" s="198">
        <f>'HH WITHOUT COM #5'!$W$212</f>
        <v>11</v>
      </c>
      <c r="X183" s="198">
        <f>'HH WITHOUT COM #5'!$X$212</f>
        <v>10</v>
      </c>
      <c r="Y183" s="539">
        <f t="shared" si="341"/>
        <v>21</v>
      </c>
      <c r="Z183" s="91">
        <f>IF(Y$185=0,0,Y183/Y$185)</f>
        <v>0.75</v>
      </c>
      <c r="AA183" s="198">
        <f>'HH WITHOUT COM #6'!$W$212</f>
        <v>2</v>
      </c>
      <c r="AB183" s="198">
        <f>'HH WITHOUT COM #6'!$X$212</f>
        <v>13</v>
      </c>
      <c r="AC183" s="539">
        <f t="shared" si="342"/>
        <v>15</v>
      </c>
      <c r="AD183" s="91">
        <f>IF(AC$185=0,0,AC183/AC$185)</f>
        <v>1</v>
      </c>
      <c r="AE183" s="198">
        <f>'HH WITHOUT COM #7'!$W$212</f>
        <v>0</v>
      </c>
      <c r="AF183" s="198">
        <f>'HH WITHOUT COM #7'!$X$212</f>
        <v>0</v>
      </c>
      <c r="AG183" s="539">
        <f t="shared" si="343"/>
        <v>0</v>
      </c>
      <c r="AH183" s="91">
        <f>IF(AG$185=0,0,AG183/AG$185)</f>
        <v>0</v>
      </c>
      <c r="AI183" s="391">
        <f t="shared" si="344"/>
        <v>21</v>
      </c>
      <c r="AJ183" s="17">
        <f t="shared" si="345"/>
        <v>43</v>
      </c>
      <c r="AK183" s="539">
        <f t="shared" si="346"/>
        <v>64</v>
      </c>
      <c r="AL183" s="91">
        <f>IF(AK$185=0,0,AK183/AK$185)</f>
        <v>0.82051282051282048</v>
      </c>
    </row>
    <row r="184" spans="1:70" s="97" customFormat="1" ht="16.5" customHeight="1" x14ac:dyDescent="0.25">
      <c r="A184" s="40"/>
      <c r="B184" s="40"/>
      <c r="C184" s="318" t="s">
        <v>442</v>
      </c>
      <c r="D184" s="567" t="s">
        <v>598</v>
      </c>
      <c r="E184" s="542"/>
      <c r="F184" s="281"/>
      <c r="G184" s="198">
        <f>'HH WITHOUT COM #1'!$W$213</f>
        <v>0</v>
      </c>
      <c r="H184" s="198">
        <f>'HH WITHOUT COM #1'!$X$213</f>
        <v>0</v>
      </c>
      <c r="I184" s="539">
        <f t="shared" si="337"/>
        <v>0</v>
      </c>
      <c r="J184" s="91">
        <f>IF(I$185=0,0,I184/I$185)</f>
        <v>0</v>
      </c>
      <c r="K184" s="198">
        <f>'HH WITHOUT COM #2'!$W$213</f>
        <v>0</v>
      </c>
      <c r="L184" s="198">
        <f>'HH WITHOUT COM #2'!$X$213</f>
        <v>0</v>
      </c>
      <c r="M184" s="539">
        <f t="shared" si="338"/>
        <v>0</v>
      </c>
      <c r="N184" s="91">
        <f>IF(M$185=0,0,M184/M$185)</f>
        <v>0</v>
      </c>
      <c r="O184" s="198">
        <f>'HH WITHOUT COM #3'!$W$213</f>
        <v>0</v>
      </c>
      <c r="P184" s="198">
        <f>'HH WITHOUT COM #3'!$X$213</f>
        <v>0</v>
      </c>
      <c r="Q184" s="539">
        <f t="shared" si="339"/>
        <v>0</v>
      </c>
      <c r="R184" s="91">
        <f>IF(Q$185=0,0,Q184/Q$185)</f>
        <v>0</v>
      </c>
      <c r="S184" s="198">
        <f>'HH WITHOUT COM #4'!$W$213</f>
        <v>0</v>
      </c>
      <c r="T184" s="198">
        <f>'HH WITHOUT COM #4'!$X$213</f>
        <v>0</v>
      </c>
      <c r="U184" s="539">
        <f t="shared" si="340"/>
        <v>0</v>
      </c>
      <c r="V184" s="91">
        <f>IF(U$185=0,0,U184/U$185)</f>
        <v>0</v>
      </c>
      <c r="W184" s="198">
        <f>'HH WITHOUT COM #5'!$W$213</f>
        <v>0</v>
      </c>
      <c r="X184" s="198">
        <f>'HH WITHOUT COM #5'!$X$213</f>
        <v>0</v>
      </c>
      <c r="Y184" s="539">
        <f t="shared" si="341"/>
        <v>0</v>
      </c>
      <c r="Z184" s="91">
        <f>IF(Y$185=0,0,Y184/Y$185)</f>
        <v>0</v>
      </c>
      <c r="AA184" s="198">
        <f>'HH WITHOUT COM #6'!$W$213</f>
        <v>0</v>
      </c>
      <c r="AB184" s="198">
        <f>'HH WITHOUT COM #6'!$X$213</f>
        <v>0</v>
      </c>
      <c r="AC184" s="539">
        <f t="shared" si="342"/>
        <v>0</v>
      </c>
      <c r="AD184" s="91">
        <f>IF(AC$185=0,0,AC184/AC$185)</f>
        <v>0</v>
      </c>
      <c r="AE184" s="198">
        <f>'HH WITHOUT COM #7'!$W$213</f>
        <v>0</v>
      </c>
      <c r="AF184" s="198">
        <f>'HH WITHOUT COM #7'!$X$213</f>
        <v>0</v>
      </c>
      <c r="AG184" s="539">
        <f t="shared" si="343"/>
        <v>0</v>
      </c>
      <c r="AH184" s="91">
        <f>IF(AG$185=0,0,AG184/AG$185)</f>
        <v>0</v>
      </c>
      <c r="AI184" s="391">
        <f t="shared" si="344"/>
        <v>0</v>
      </c>
      <c r="AJ184" s="17">
        <f t="shared" si="345"/>
        <v>0</v>
      </c>
      <c r="AK184" s="539">
        <f t="shared" si="346"/>
        <v>0</v>
      </c>
      <c r="AL184" s="91">
        <f>IF(AK$185=0,0,AK184/AK$185)</f>
        <v>0</v>
      </c>
    </row>
    <row r="185" spans="1:70" s="4" customFormat="1" ht="16.5" customHeight="1" x14ac:dyDescent="0.25">
      <c r="A185" s="119"/>
      <c r="B185" s="119"/>
      <c r="C185" s="119"/>
      <c r="D185" s="184"/>
      <c r="E185" s="134"/>
      <c r="F185" s="469"/>
      <c r="G185" s="497">
        <f>SUM(G182:G184)</f>
        <v>2</v>
      </c>
      <c r="H185" s="497">
        <f>SUM(H182:H184)</f>
        <v>3</v>
      </c>
      <c r="I185" s="497">
        <f>SUM(I182:I184)</f>
        <v>5</v>
      </c>
      <c r="J185" s="66">
        <f>IF(I$185=0,0,I185/I$185)</f>
        <v>1</v>
      </c>
      <c r="K185" s="497">
        <f>SUM(K182:K184)</f>
        <v>7</v>
      </c>
      <c r="L185" s="497">
        <f>SUM(L182:L184)</f>
        <v>5</v>
      </c>
      <c r="M185" s="497">
        <f>SUM(M182:M184)</f>
        <v>12</v>
      </c>
      <c r="N185" s="66">
        <f>IF(M$185=0,0,M185/M$185)</f>
        <v>1</v>
      </c>
      <c r="O185" s="497">
        <f>SUM(O182:O184)</f>
        <v>4</v>
      </c>
      <c r="P185" s="497">
        <f>SUM(P182:P184)</f>
        <v>7</v>
      </c>
      <c r="Q185" s="497">
        <f>SUM(Q182:Q184)</f>
        <v>11</v>
      </c>
      <c r="R185" s="66">
        <f>IF(Q$185=0,0,Q185/Q$185)</f>
        <v>1</v>
      </c>
      <c r="S185" s="497">
        <f>SUM(S182:S184)</f>
        <v>0</v>
      </c>
      <c r="T185" s="497">
        <f>SUM(T182:T184)</f>
        <v>7</v>
      </c>
      <c r="U185" s="497">
        <f>SUM(U182:U184)</f>
        <v>7</v>
      </c>
      <c r="V185" s="66">
        <f>IF(U$185=0,0,U185/U$185)</f>
        <v>1</v>
      </c>
      <c r="W185" s="497">
        <f>SUM(W182:W184)</f>
        <v>15</v>
      </c>
      <c r="X185" s="497">
        <f>SUM(X182:X184)</f>
        <v>13</v>
      </c>
      <c r="Y185" s="497">
        <f>SUM(Y182:Y184)</f>
        <v>28</v>
      </c>
      <c r="Z185" s="66">
        <f>IF(Y$185=0,0,Y185/Y$185)</f>
        <v>1</v>
      </c>
      <c r="AA185" s="497">
        <f>SUM(AA182:AA184)</f>
        <v>2</v>
      </c>
      <c r="AB185" s="497">
        <f>SUM(AB182:AB184)</f>
        <v>13</v>
      </c>
      <c r="AC185" s="497">
        <f>SUM(AC182:AC184)</f>
        <v>15</v>
      </c>
      <c r="AD185" s="66">
        <f>IF(AC$185=0,0,AC185/AC$185)</f>
        <v>1</v>
      </c>
      <c r="AE185" s="497">
        <f>SUM(AE182:AE184)</f>
        <v>0</v>
      </c>
      <c r="AF185" s="497">
        <f>SUM(AF182:AF184)</f>
        <v>0</v>
      </c>
      <c r="AG185" s="497">
        <f>SUM(AG182:AG184)</f>
        <v>0</v>
      </c>
      <c r="AH185" s="66">
        <f>IF(AG$185=0,0,AG185/AG$185)</f>
        <v>0</v>
      </c>
      <c r="AI185" s="622">
        <f>SUM(AI182:AI184)</f>
        <v>30</v>
      </c>
      <c r="AJ185" s="497">
        <f>SUM(AJ182:AJ184)</f>
        <v>48</v>
      </c>
      <c r="AK185" s="497">
        <f>SUM(AK182:AK184)</f>
        <v>78</v>
      </c>
      <c r="AL185" s="66">
        <f>IF(AK$185=0,0,AK185/AK$185)</f>
        <v>1</v>
      </c>
    </row>
    <row r="186" spans="1:70" s="117" customFormat="1" ht="16.5" customHeight="1" x14ac:dyDescent="0.25">
      <c r="A186" s="119"/>
      <c r="B186" s="41" t="s">
        <v>447</v>
      </c>
      <c r="C186" s="49" t="s">
        <v>1056</v>
      </c>
      <c r="D186" s="477"/>
      <c r="E186" s="478"/>
      <c r="F186" s="478"/>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355"/>
      <c r="AI186" s="377"/>
      <c r="AJ186" s="71"/>
      <c r="AK186" s="71"/>
      <c r="AL186" s="71"/>
      <c r="BA186" s="117" t="s">
        <v>891</v>
      </c>
      <c r="BI186" s="117" t="s">
        <v>611</v>
      </c>
    </row>
    <row r="187" spans="1:70" s="97" customFormat="1" ht="16.5" customHeight="1" x14ac:dyDescent="0.25">
      <c r="A187" s="119"/>
      <c r="B187" s="40"/>
      <c r="C187" s="473" t="s">
        <v>449</v>
      </c>
      <c r="D187" s="484" t="s">
        <v>173</v>
      </c>
      <c r="E187" s="542"/>
      <c r="F187" s="281"/>
      <c r="G187" s="17">
        <f>'HH WITHOUT COM #1'!$W$217</f>
        <v>0</v>
      </c>
      <c r="H187" s="17">
        <f>'HH WITHOUT COM #1'!$X$217</f>
        <v>0</v>
      </c>
      <c r="I187" s="539">
        <f>SUM(G187:H187)</f>
        <v>0</v>
      </c>
      <c r="J187" s="91">
        <f>IF(I$193=0,0,I187/I$193)</f>
        <v>0</v>
      </c>
      <c r="K187" s="17">
        <f>'HH WITHOUT COM #2'!$W$217</f>
        <v>0</v>
      </c>
      <c r="L187" s="17">
        <f>'HH WITHOUT COM #2'!$X$217</f>
        <v>0</v>
      </c>
      <c r="M187" s="539">
        <f>SUM(K187:L187)</f>
        <v>0</v>
      </c>
      <c r="N187" s="91">
        <f>IF(M$193=0,0,M187/M$193)</f>
        <v>0</v>
      </c>
      <c r="O187" s="17">
        <f>'HH WITHOUT COM #3'!$W$217</f>
        <v>0</v>
      </c>
      <c r="P187" s="17">
        <f>'HH WITHOUT COM #3'!$X$217</f>
        <v>0</v>
      </c>
      <c r="Q187" s="539">
        <f>SUM(O187:P187)</f>
        <v>0</v>
      </c>
      <c r="R187" s="91">
        <f>IF(Q$193=0,0,Q187/Q$193)</f>
        <v>0</v>
      </c>
      <c r="S187" s="17">
        <f>'HH WITHOUT COM #4'!$W$217</f>
        <v>0</v>
      </c>
      <c r="T187" s="17">
        <f>'HH WITHOUT COM #4'!$X$217</f>
        <v>0</v>
      </c>
      <c r="U187" s="539">
        <f>SUM(S187:T187)</f>
        <v>0</v>
      </c>
      <c r="V187" s="91">
        <f>IF(U$193=0,0,U187/U$193)</f>
        <v>0</v>
      </c>
      <c r="W187" s="17">
        <f>'HH WITHOUT COM #5'!$W$217</f>
        <v>0</v>
      </c>
      <c r="X187" s="17">
        <f>'HH WITHOUT COM #5'!$X$217</f>
        <v>0</v>
      </c>
      <c r="Y187" s="539">
        <f>SUM(W187:X187)</f>
        <v>0</v>
      </c>
      <c r="Z187" s="91">
        <f>IF(Y$193=0,0,Y187/Y$193)</f>
        <v>0</v>
      </c>
      <c r="AA187" s="17">
        <f>'HH WITHOUT COM #6'!$W$217</f>
        <v>0</v>
      </c>
      <c r="AB187" s="17">
        <f>'HH WITHOUT COM #6'!$X$217</f>
        <v>0</v>
      </c>
      <c r="AC187" s="539">
        <f>SUM(AA187:AB187)</f>
        <v>0</v>
      </c>
      <c r="AD187" s="91">
        <f>IF(AC$193=0,0,AC187/AC$193)</f>
        <v>0</v>
      </c>
      <c r="AE187" s="17">
        <f>'HH WITHOUT COM #7'!$W$217</f>
        <v>0</v>
      </c>
      <c r="AF187" s="17">
        <f>'HH WITHOUT COM #7'!$X$217</f>
        <v>0</v>
      </c>
      <c r="AG187" s="539">
        <f>SUM(AE187:AF187)</f>
        <v>0</v>
      </c>
      <c r="AH187" s="91">
        <f>IF(AG$193=0,0,AG187/AG$193)</f>
        <v>0</v>
      </c>
      <c r="AI187" s="391">
        <f t="shared" ref="AI187:AJ188" si="347">G187+K187+O187+S187+W187+AA187+AE187</f>
        <v>0</v>
      </c>
      <c r="AJ187" s="17">
        <f t="shared" si="347"/>
        <v>0</v>
      </c>
      <c r="AK187" s="539">
        <f t="shared" ref="AK187:AK188" si="348">SUM(AI187:AJ187)</f>
        <v>0</v>
      </c>
      <c r="AL187" s="91">
        <f>IF(AK$193=0,0,AK187/AK$193)</f>
        <v>0</v>
      </c>
      <c r="BA187" s="2" t="s">
        <v>1068</v>
      </c>
      <c r="BB187" s="2" t="s">
        <v>1069</v>
      </c>
      <c r="BC187" s="2" t="s">
        <v>1070</v>
      </c>
      <c r="BD187" s="2" t="s">
        <v>1071</v>
      </c>
      <c r="BE187" s="2" t="s">
        <v>1072</v>
      </c>
      <c r="BF187" s="2" t="s">
        <v>1073</v>
      </c>
      <c r="BG187" s="2" t="s">
        <v>1074</v>
      </c>
      <c r="BH187" s="3"/>
      <c r="BI187" s="2" t="s">
        <v>1068</v>
      </c>
      <c r="BJ187" s="2" t="s">
        <v>1069</v>
      </c>
      <c r="BK187" s="2" t="s">
        <v>1070</v>
      </c>
      <c r="BL187" s="2" t="s">
        <v>1071</v>
      </c>
      <c r="BM187" s="2" t="s">
        <v>1072</v>
      </c>
      <c r="BN187" s="2" t="s">
        <v>1073</v>
      </c>
      <c r="BO187" s="2" t="s">
        <v>1074</v>
      </c>
      <c r="BP187" s="3"/>
      <c r="BQ187" s="3"/>
      <c r="BR187" s="3"/>
    </row>
    <row r="188" spans="1:70" s="4" customFormat="1" ht="16.5" customHeight="1" x14ac:dyDescent="0.25">
      <c r="A188" s="40"/>
      <c r="B188" s="40"/>
      <c r="C188" s="473" t="s">
        <v>450</v>
      </c>
      <c r="D188" s="484" t="s">
        <v>544</v>
      </c>
      <c r="E188" s="120"/>
      <c r="F188" s="120"/>
      <c r="G188" s="17">
        <f>'HH WITHOUT COM #1'!$W$218</f>
        <v>2</v>
      </c>
      <c r="H188" s="17">
        <f>'HH WITHOUT COM #1'!$X$218</f>
        <v>3</v>
      </c>
      <c r="I188" s="539">
        <f>SUM(G188:H188)</f>
        <v>5</v>
      </c>
      <c r="J188" s="91">
        <f>IF(I$193=0,0,I188/I$193)</f>
        <v>1</v>
      </c>
      <c r="K188" s="17">
        <f>'HH WITHOUT COM #2'!$W$218</f>
        <v>4</v>
      </c>
      <c r="L188" s="17">
        <f>'HH WITHOUT COM #2'!$X$218</f>
        <v>5</v>
      </c>
      <c r="M188" s="539">
        <f>SUM(K188:L188)</f>
        <v>9</v>
      </c>
      <c r="N188" s="91">
        <f>IF(M$193=0,0,M188/M$193)</f>
        <v>0.75</v>
      </c>
      <c r="O188" s="17">
        <f>'HH WITHOUT COM #3'!$W$218</f>
        <v>4</v>
      </c>
      <c r="P188" s="17">
        <f>'HH WITHOUT COM #3'!$X$218</f>
        <v>7</v>
      </c>
      <c r="Q188" s="539">
        <f>SUM(O188:P188)</f>
        <v>11</v>
      </c>
      <c r="R188" s="91">
        <f>IF(Q$193=0,0,Q188/Q$193)</f>
        <v>1</v>
      </c>
      <c r="S188" s="17">
        <f>'HH WITHOUT COM #4'!$W$218</f>
        <v>0</v>
      </c>
      <c r="T188" s="17">
        <f>'HH WITHOUT COM #4'!$X$218</f>
        <v>7</v>
      </c>
      <c r="U188" s="539">
        <f>SUM(S188:T188)</f>
        <v>7</v>
      </c>
      <c r="V188" s="91">
        <f>IF(U$193=0,0,U188/U$193)</f>
        <v>1</v>
      </c>
      <c r="W188" s="17">
        <f>'HH WITHOUT COM #5'!$W$218</f>
        <v>13</v>
      </c>
      <c r="X188" s="17">
        <f>'HH WITHOUT COM #5'!$X$218</f>
        <v>12</v>
      </c>
      <c r="Y188" s="539">
        <f>SUM(W188:X188)</f>
        <v>25</v>
      </c>
      <c r="Z188" s="91">
        <f>IF(Y$193=0,0,Y188/Y$193)</f>
        <v>0.8928571428571429</v>
      </c>
      <c r="AA188" s="17">
        <f>'HH WITHOUT COM #6'!$W$218</f>
        <v>2</v>
      </c>
      <c r="AB188" s="17">
        <f>'HH WITHOUT COM #6'!$X$218</f>
        <v>12</v>
      </c>
      <c r="AC188" s="539">
        <f>SUM(AA188:AB188)</f>
        <v>14</v>
      </c>
      <c r="AD188" s="91">
        <f>IF(AC$193=0,0,AC188/AC$193)</f>
        <v>0.93333333333333335</v>
      </c>
      <c r="AE188" s="17">
        <f>'HH WITHOUT COM #7'!$W$218</f>
        <v>0</v>
      </c>
      <c r="AF188" s="17">
        <f>'HH WITHOUT COM #7'!$X$218</f>
        <v>0</v>
      </c>
      <c r="AG188" s="539">
        <f>SUM(AE188:AF188)</f>
        <v>0</v>
      </c>
      <c r="AH188" s="91">
        <f>IF(AG$193=0,0,AG188/AG$193)</f>
        <v>0</v>
      </c>
      <c r="AI188" s="391">
        <f t="shared" si="347"/>
        <v>25</v>
      </c>
      <c r="AJ188" s="17">
        <f t="shared" si="347"/>
        <v>46</v>
      </c>
      <c r="AK188" s="539">
        <f t="shared" si="348"/>
        <v>71</v>
      </c>
      <c r="AL188" s="91">
        <f>IF(AK$193=0,0,AK188/AK$193)</f>
        <v>0.91025641025641024</v>
      </c>
      <c r="BA188" s="3"/>
      <c r="BB188" s="3"/>
      <c r="BC188" s="3"/>
      <c r="BD188" s="3"/>
      <c r="BE188" s="3"/>
      <c r="BF188" s="3"/>
      <c r="BG188" s="3"/>
      <c r="BH188" s="3"/>
      <c r="BI188" s="3"/>
      <c r="BJ188" s="3"/>
      <c r="BK188" s="3"/>
      <c r="BL188" s="3"/>
      <c r="BM188" s="3"/>
      <c r="BN188" s="3"/>
      <c r="BO188" s="3"/>
      <c r="BP188" s="3"/>
      <c r="BQ188" s="3"/>
      <c r="BR188" s="3"/>
    </row>
    <row r="189" spans="1:70" s="4" customFormat="1" ht="16.5" customHeight="1" x14ac:dyDescent="0.25">
      <c r="A189" s="40"/>
      <c r="B189" s="40"/>
      <c r="C189" s="473" t="s">
        <v>451</v>
      </c>
      <c r="D189" s="498" t="s">
        <v>484</v>
      </c>
      <c r="E189" s="542"/>
      <c r="F189" s="281"/>
      <c r="G189" s="17">
        <f>ROUND(('HH WITHOUT COM #1'!$AQ$219)/5000,0)*5000</f>
        <v>2000000</v>
      </c>
      <c r="H189" s="17">
        <f>ROUND(('HH WITHOUT COM #1'!$AW$219)/5000,0)*5000</f>
        <v>2000000</v>
      </c>
      <c r="I189" s="539">
        <f>ROUND(('HH WITHOUT COM #1'!$AA$219)/5000,0)*5000</f>
        <v>2000000</v>
      </c>
      <c r="J189" s="91"/>
      <c r="K189" s="17">
        <f>ROUND(('HH WITHOUT COM #2'!$AQ$219)/5000,0)*5000</f>
        <v>2000000</v>
      </c>
      <c r="L189" s="17">
        <f>ROUND(('HH WITHOUT COM #2'!$AW$219)/5000,0)*5000</f>
        <v>2000000</v>
      </c>
      <c r="M189" s="539">
        <f>ROUND(('HH WITHOUT COM #2'!$AA$219)/5000,0)*5000</f>
        <v>2000000</v>
      </c>
      <c r="N189" s="91"/>
      <c r="O189" s="17">
        <f>ROUND(('HH WITHOUT COM #3'!$AQ$219)/5000,0)*5000</f>
        <v>1100000</v>
      </c>
      <c r="P189" s="17">
        <f>ROUND(('HH WITHOUT COM #3'!$AW$219)/5000,0)*5000</f>
        <v>1200000</v>
      </c>
      <c r="Q189" s="539">
        <f>ROUND(('HH WITHOUT COM #3'!$AA$219)/5000,0)*5000</f>
        <v>1100000</v>
      </c>
      <c r="R189" s="91"/>
      <c r="S189" s="17">
        <f>ROUND(('HH WITHOUT COM #4'!$AQ$219)/5000,0)*5000</f>
        <v>0</v>
      </c>
      <c r="T189" s="17">
        <f>ROUND(('HH WITHOUT COM #4'!$AW$219)/5000,0)*5000</f>
        <v>2000000</v>
      </c>
      <c r="U189" s="539">
        <f>ROUND(('HH WITHOUT COM #4'!$AA$219)/5000,0)*5000</f>
        <v>2000000</v>
      </c>
      <c r="V189" s="91"/>
      <c r="W189" s="17">
        <f>ROUND(('HH WITHOUT COM #5'!$AQ$219)/5000,0)*5000</f>
        <v>200000</v>
      </c>
      <c r="X189" s="17">
        <f>ROUND(('HH WITHOUT COM #5'!$AW$219)/5000,0)*5000</f>
        <v>400000</v>
      </c>
      <c r="Y189" s="539">
        <f>ROUND(('HH WITHOUT COM #5'!$AA$219)/5000,0)*5000</f>
        <v>200000</v>
      </c>
      <c r="Z189" s="91"/>
      <c r="AA189" s="17">
        <f>ROUND(('HH WITHOUT COM #6'!$AQ$219)/5000,0)*5000</f>
        <v>1000000</v>
      </c>
      <c r="AB189" s="17">
        <f>ROUND(('HH WITHOUT COM #6'!$AW$219)/5000,0)*5000</f>
        <v>1000000</v>
      </c>
      <c r="AC189" s="539">
        <f>ROUND(('HH WITHOUT COM #6'!$AA$219)/5000,0)*5000</f>
        <v>1000000</v>
      </c>
      <c r="AD189" s="91"/>
      <c r="AE189" s="17">
        <f>ROUND(('HH WITHOUT COM #7'!$AQ$219)/5000,0)*5000</f>
        <v>0</v>
      </c>
      <c r="AF189" s="17">
        <f>ROUND(('HH WITHOUT COM #7'!$AW$219)/5000,0)*5000</f>
        <v>0</v>
      </c>
      <c r="AG189" s="539">
        <f>ROUND(('HH WITHOUT COM #7'!$AA$219)/5000,0)*5000</f>
        <v>0</v>
      </c>
      <c r="AH189" s="91"/>
      <c r="AI189" s="391">
        <f>MIN(BA189:BG189)</f>
        <v>200000</v>
      </c>
      <c r="AJ189" s="17">
        <f>MIN(BI189:BO189)</f>
        <v>400000</v>
      </c>
      <c r="AK189" s="1078">
        <f>MIN(BA189:BG189,BI189:BO189)</f>
        <v>200000</v>
      </c>
      <c r="AL189" s="91"/>
      <c r="AN189" s="988" t="s">
        <v>1482</v>
      </c>
      <c r="BA189" s="8">
        <f>IF(G189=0,"",G189)</f>
        <v>2000000</v>
      </c>
      <c r="BB189" s="8">
        <f>IF(K189=0,"",K189)</f>
        <v>2000000</v>
      </c>
      <c r="BC189" s="8">
        <f>IF(O189=0,"",O189)</f>
        <v>1100000</v>
      </c>
      <c r="BD189" s="8" t="str">
        <f>IF(S189=0,"",S189)</f>
        <v/>
      </c>
      <c r="BE189" s="8">
        <f>IF(W189=0,"",W189)</f>
        <v>200000</v>
      </c>
      <c r="BF189" s="8">
        <f>IF(AA189=0,"",AA189)</f>
        <v>1000000</v>
      </c>
      <c r="BG189" s="8" t="str">
        <f>IF(AE189=0,"",AE189)</f>
        <v/>
      </c>
      <c r="BH189" s="8">
        <f>SUM(BA189:BG189)</f>
        <v>6300000</v>
      </c>
      <c r="BI189" s="8">
        <f>IF(H189=0,"",H189)</f>
        <v>2000000</v>
      </c>
      <c r="BJ189" s="8">
        <f>IF(L189=0,"",L189)</f>
        <v>2000000</v>
      </c>
      <c r="BK189" s="8">
        <f>IF(P189=0,"",P189)</f>
        <v>1200000</v>
      </c>
      <c r="BL189" s="8">
        <f>IF(T189=0,"",T189)</f>
        <v>2000000</v>
      </c>
      <c r="BM189" s="8">
        <f>IF(X189=0,"",X189)</f>
        <v>400000</v>
      </c>
      <c r="BN189" s="8">
        <f>IF(AB189=0,"",AB189)</f>
        <v>1000000</v>
      </c>
      <c r="BO189" s="8" t="str">
        <f>IF(AF189=0,"",AF189)</f>
        <v/>
      </c>
      <c r="BP189" s="8">
        <f>SUM(BI189:BO189)</f>
        <v>8600000</v>
      </c>
      <c r="BQ189" s="3"/>
      <c r="BR189" s="3"/>
    </row>
    <row r="190" spans="1:70" s="4" customFormat="1" ht="16.5" customHeight="1" x14ac:dyDescent="0.25">
      <c r="A190" s="40"/>
      <c r="B190" s="40"/>
      <c r="C190" s="473" t="s">
        <v>603</v>
      </c>
      <c r="D190" s="498" t="s">
        <v>485</v>
      </c>
      <c r="E190" s="542"/>
      <c r="F190" s="281"/>
      <c r="G190" s="17">
        <f>ROUND(('HH WITHOUT COM #1'!$AR$220)/5000,0)*5000</f>
        <v>2000000</v>
      </c>
      <c r="H190" s="17">
        <f>ROUND(('HH WITHOUT COM #1'!$AX$220)/5000,0)*5000</f>
        <v>3500000</v>
      </c>
      <c r="I190" s="539">
        <f>ROUND(('HH WITHOUT COM #1'!$AB$220)/5000,0)*5000</f>
        <v>3500000</v>
      </c>
      <c r="J190" s="91"/>
      <c r="K190" s="17">
        <f>ROUND(('HH WITHOUT COM #2'!$AR$220)/5000,0)*5000</f>
        <v>2000000</v>
      </c>
      <c r="L190" s="17">
        <f>ROUND(('HH WITHOUT COM #2'!$AX$220)/5000,0)*5000</f>
        <v>2400000</v>
      </c>
      <c r="M190" s="539">
        <f>ROUND(('HH WITHOUT COM #2'!$AB$220)/5000,0)*5000</f>
        <v>2400000</v>
      </c>
      <c r="N190" s="91"/>
      <c r="O190" s="17">
        <f>ROUND(('HH WITHOUT COM #3'!$AR$220)/5000,0)*5000</f>
        <v>2000000</v>
      </c>
      <c r="P190" s="17">
        <f>ROUND(('HH WITHOUT COM #3'!$AX$220)/5000,0)*5000</f>
        <v>2000000</v>
      </c>
      <c r="Q190" s="539">
        <f>ROUND(('HH WITHOUT COM #3'!$AB$220)/5000,0)*5000</f>
        <v>2000000</v>
      </c>
      <c r="R190" s="91"/>
      <c r="S190" s="17">
        <f>ROUND(('HH WITHOUT COM #4'!$AR$220)/5000,0)*5000</f>
        <v>0</v>
      </c>
      <c r="T190" s="17">
        <f>ROUND(('HH WITHOUT COM #4'!$AX$220)/5000,0)*5000</f>
        <v>2000000</v>
      </c>
      <c r="U190" s="539">
        <f>ROUND(('HH WITHOUT COM #4'!$AB$220)/5000,0)*5000</f>
        <v>2000000</v>
      </c>
      <c r="V190" s="91"/>
      <c r="W190" s="17">
        <f>ROUND(('HH WITHOUT COM #5'!$AR$220)/5000,0)*5000</f>
        <v>2000000</v>
      </c>
      <c r="X190" s="17">
        <f>ROUND(('HH WITHOUT COM #5'!$AX$220)/5000,0)*5000</f>
        <v>2500000</v>
      </c>
      <c r="Y190" s="539">
        <f>ROUND(('HH WITHOUT COM #5'!$AB$220)/5000,0)*5000</f>
        <v>2500000</v>
      </c>
      <c r="Z190" s="91"/>
      <c r="AA190" s="17">
        <f>ROUND(('HH WITHOUT COM #6'!$AR$220)/5000,0)*5000</f>
        <v>1500000</v>
      </c>
      <c r="AB190" s="17">
        <f>ROUND(('HH WITHOUT COM #6'!$AX$220)/5000,0)*5000</f>
        <v>2000000</v>
      </c>
      <c r="AC190" s="539">
        <f>ROUND(('HH WITHOUT COM #6'!$AB$220)/5000,0)*5000</f>
        <v>2000000</v>
      </c>
      <c r="AD190" s="91"/>
      <c r="AE190" s="17">
        <f>ROUND(('HH WITHOUT COM #7'!$AR$220)/5000,0)*5000</f>
        <v>0</v>
      </c>
      <c r="AF190" s="17">
        <f>ROUND(('HH WITHOUT COM #7'!$AX$220)/5000,0)*5000</f>
        <v>0</v>
      </c>
      <c r="AG190" s="539">
        <f>ROUND(('HH WITHOUT COM #7'!$AB$220)/5000,0)*5000</f>
        <v>0</v>
      </c>
      <c r="AH190" s="91"/>
      <c r="AI190" s="391">
        <f>MAX(G190,K190,O190,S190,W190,AA190,AE190)</f>
        <v>2000000</v>
      </c>
      <c r="AJ190" s="17">
        <f t="shared" ref="AJ190:AK190" si="349">MAX(H190,L190,P190,T190,X190,AB190,AF190)</f>
        <v>3500000</v>
      </c>
      <c r="AK190" s="1078">
        <f t="shared" si="349"/>
        <v>3500000</v>
      </c>
      <c r="AL190" s="91"/>
      <c r="AN190" s="988"/>
      <c r="BA190" s="3"/>
      <c r="BB190" s="3"/>
      <c r="BC190" s="3"/>
      <c r="BD190" s="3"/>
      <c r="BE190" s="3"/>
      <c r="BF190" s="3"/>
      <c r="BG190" s="3"/>
      <c r="BH190" s="3"/>
      <c r="BI190" s="3"/>
      <c r="BJ190" s="3"/>
      <c r="BK190" s="3"/>
      <c r="BL190" s="3"/>
      <c r="BM190" s="3"/>
      <c r="BN190" s="3"/>
      <c r="BO190" s="3"/>
      <c r="BP190" s="3"/>
      <c r="BQ190" s="3"/>
      <c r="BR190" s="3"/>
    </row>
    <row r="191" spans="1:70" s="4" customFormat="1" ht="16.5" customHeight="1" x14ac:dyDescent="0.25">
      <c r="A191" s="40"/>
      <c r="B191" s="40"/>
      <c r="C191" s="473" t="s">
        <v>604</v>
      </c>
      <c r="D191" s="498" t="s">
        <v>543</v>
      </c>
      <c r="E191" s="542"/>
      <c r="F191" s="281"/>
      <c r="G191" s="17">
        <f>ROUND(('HH WITHOUT COM #1'!$AS$221)/5000,0)*5000</f>
        <v>2000000</v>
      </c>
      <c r="H191" s="17">
        <f>ROUND(('HH WITHOUT COM #1'!$AY$221)/5000,0)*5000</f>
        <v>2500000</v>
      </c>
      <c r="I191" s="539">
        <f>ROUND(('HH WITHOUT COM #1'!$AC$221)/5000,0)*5000</f>
        <v>2250000</v>
      </c>
      <c r="J191" s="91"/>
      <c r="K191" s="17">
        <f>ROUND(('HH WITHOUT COM #2'!$AS$221)/5000,0)*5000</f>
        <v>2000000</v>
      </c>
      <c r="L191" s="17">
        <f>ROUND(('HH WITHOUT COM #2'!$AY$221)/5000,0)*5000</f>
        <v>2100000</v>
      </c>
      <c r="M191" s="539">
        <f>ROUND(('HH WITHOUT COM #2'!$AC$221)/5000,0)*5000</f>
        <v>2050000</v>
      </c>
      <c r="N191" s="91"/>
      <c r="O191" s="17">
        <f>ROUND(('HH WITHOUT COM #3'!$AS$221)/5000,0)*5000</f>
        <v>1375000</v>
      </c>
      <c r="P191" s="17">
        <f>ROUND(('HH WITHOUT COM #3'!$AY$221)/5000,0)*5000</f>
        <v>1815000</v>
      </c>
      <c r="Q191" s="539">
        <f>ROUND(('HH WITHOUT COM #3'!$AC$221)/5000,0)*5000</f>
        <v>1595000</v>
      </c>
      <c r="R191" s="91"/>
      <c r="S191" s="17">
        <f>ROUND(('HH WITHOUT COM #4'!$AS$221)/5000,0)*5000</f>
        <v>0</v>
      </c>
      <c r="T191" s="17">
        <f>ROUND(('HH WITHOUT COM #4'!$AY$221)/5000,0)*5000</f>
        <v>2000000</v>
      </c>
      <c r="U191" s="539">
        <f>ROUND(('HH WITHOUT COM #4'!$AC$221)/5000,0)*5000</f>
        <v>2000000</v>
      </c>
      <c r="V191" s="91"/>
      <c r="W191" s="17">
        <f>ROUND(('HH WITHOUT COM #5'!$AS$221)/5000,0)*5000</f>
        <v>980000</v>
      </c>
      <c r="X191" s="17">
        <f>ROUND(('HH WITHOUT COM #5'!$AY$221)/5000,0)*5000</f>
        <v>1150000</v>
      </c>
      <c r="Y191" s="539">
        <f>ROUND(('HH WITHOUT COM #5'!$AC$221)/5000,0)*5000</f>
        <v>1065000</v>
      </c>
      <c r="Z191" s="91"/>
      <c r="AA191" s="17">
        <f>ROUND(('HH WITHOUT COM #6'!$AS$221)/5000,0)*5000</f>
        <v>1250000</v>
      </c>
      <c r="AB191" s="17">
        <f>ROUND(('HH WITHOUT COM #6'!$AY$221)/5000,0)*5000</f>
        <v>1380000</v>
      </c>
      <c r="AC191" s="539">
        <f>ROUND(('HH WITHOUT COM #6'!$AC$221)/5000,0)*5000</f>
        <v>1315000</v>
      </c>
      <c r="AD191" s="91"/>
      <c r="AE191" s="17">
        <f>ROUND(('HH WITHOUT COM #7'!$AS$221)/5000,0)*5000</f>
        <v>0</v>
      </c>
      <c r="AF191" s="17">
        <f>ROUND(('HH WITHOUT COM #7'!$AY$221)/5000,0)*5000</f>
        <v>0</v>
      </c>
      <c r="AG191" s="539">
        <f>ROUND(('HH WITHOUT COM #7'!$AC$221)/5000,0)*5000</f>
        <v>0</v>
      </c>
      <c r="AH191" s="91"/>
      <c r="AI191" s="391">
        <f>ROUND((IF(BH191=0,0,AVERAGE(BA191:BG191)))/10000,0)*10000</f>
        <v>1520000</v>
      </c>
      <c r="AJ191" s="17">
        <f>ROUND((IF(BP191=0,0,AVERAGE(BI191:BO191)))/10000,0)*10000</f>
        <v>1820000</v>
      </c>
      <c r="AK191" s="1078">
        <f>ROUND((IF(BR191=0,0,AVERAGE(BA191:BG191,BI191:BO191)))/10000,0)*10000</f>
        <v>1690000</v>
      </c>
      <c r="AL191" s="91"/>
      <c r="AN191" s="988" t="s">
        <v>1482</v>
      </c>
      <c r="BA191" s="8">
        <f>IF(G191=0,"",G191)</f>
        <v>2000000</v>
      </c>
      <c r="BB191" s="8">
        <f>IF(K191=0,"",K191)</f>
        <v>2000000</v>
      </c>
      <c r="BC191" s="8">
        <f>IF(O191=0,"",O191)</f>
        <v>1375000</v>
      </c>
      <c r="BD191" s="8" t="str">
        <f>IF(S191=0,"",S191)</f>
        <v/>
      </c>
      <c r="BE191" s="8">
        <f>IF(W191=0,"",W191)</f>
        <v>980000</v>
      </c>
      <c r="BF191" s="8">
        <f>IF(AA191=0,"",AA191)</f>
        <v>1250000</v>
      </c>
      <c r="BG191" s="8" t="str">
        <f>IF(AE191=0,"",AE191)</f>
        <v/>
      </c>
      <c r="BH191" s="8">
        <f>SUM(BA191:BG191)</f>
        <v>7605000</v>
      </c>
      <c r="BI191" s="8">
        <f>IF(H191=0,"",H191)</f>
        <v>2500000</v>
      </c>
      <c r="BJ191" s="8">
        <f>IF(L191=0,"",L191)</f>
        <v>2100000</v>
      </c>
      <c r="BK191" s="8">
        <f>IF(P191=0,"",P191)</f>
        <v>1815000</v>
      </c>
      <c r="BL191" s="8">
        <f>IF(T191=0,"",T191)</f>
        <v>2000000</v>
      </c>
      <c r="BM191" s="8">
        <f>IF(X191=0,"",X191)</f>
        <v>1150000</v>
      </c>
      <c r="BN191" s="8">
        <f>IF(AB191=0,"",AB191)</f>
        <v>1380000</v>
      </c>
      <c r="BO191" s="8" t="str">
        <f>IF(AF191=0,"",AF191)</f>
        <v/>
      </c>
      <c r="BP191" s="8">
        <f>SUM(BI191:BO191)</f>
        <v>10945000</v>
      </c>
      <c r="BQ191" s="3"/>
      <c r="BR191" s="8">
        <f>BH191+BP191</f>
        <v>18550000</v>
      </c>
    </row>
    <row r="192" spans="1:70" s="4" customFormat="1" ht="16.5" customHeight="1" x14ac:dyDescent="0.25">
      <c r="A192" s="40"/>
      <c r="B192" s="40"/>
      <c r="C192" s="473" t="s">
        <v>605</v>
      </c>
      <c r="D192" s="105" t="s">
        <v>129</v>
      </c>
      <c r="E192" s="542"/>
      <c r="F192" s="281"/>
      <c r="G192" s="17">
        <f>'HH WITHOUT COM #1'!$W$222</f>
        <v>0</v>
      </c>
      <c r="H192" s="17">
        <f>'HH WITHOUT COM #1'!$X$222</f>
        <v>0</v>
      </c>
      <c r="I192" s="539">
        <f t="shared" ref="I192" si="350">SUM(G192:H192)</f>
        <v>0</v>
      </c>
      <c r="J192" s="91">
        <f>IF(I$193=0,0,I192/I$193)</f>
        <v>0</v>
      </c>
      <c r="K192" s="17">
        <f>'HH WITHOUT COM #2'!$W$222</f>
        <v>3</v>
      </c>
      <c r="L192" s="17">
        <f>'HH WITHOUT COM #2'!$X$222</f>
        <v>0</v>
      </c>
      <c r="M192" s="539">
        <f t="shared" ref="M192" si="351">SUM(K192:L192)</f>
        <v>3</v>
      </c>
      <c r="N192" s="91">
        <f>IF(M$193=0,0,M192/M$193)</f>
        <v>0.25</v>
      </c>
      <c r="O192" s="17">
        <f>'HH WITHOUT COM #3'!$W$222</f>
        <v>0</v>
      </c>
      <c r="P192" s="17">
        <f>'HH WITHOUT COM #3'!$X$222</f>
        <v>0</v>
      </c>
      <c r="Q192" s="539">
        <f t="shared" ref="Q192" si="352">SUM(O192:P192)</f>
        <v>0</v>
      </c>
      <c r="R192" s="91">
        <f>IF(Q$193=0,0,Q192/Q$193)</f>
        <v>0</v>
      </c>
      <c r="S192" s="17">
        <f>'HH WITHOUT COM #4'!$W$222</f>
        <v>0</v>
      </c>
      <c r="T192" s="17">
        <f>'HH WITHOUT COM #4'!$X$222</f>
        <v>0</v>
      </c>
      <c r="U192" s="539">
        <f t="shared" ref="U192" si="353">SUM(S192:T192)</f>
        <v>0</v>
      </c>
      <c r="V192" s="91">
        <f>IF(U$193=0,0,U192/U$193)</f>
        <v>0</v>
      </c>
      <c r="W192" s="17">
        <f>'HH WITHOUT COM #5'!$W$222</f>
        <v>2</v>
      </c>
      <c r="X192" s="17">
        <f>'HH WITHOUT COM #5'!$X$222</f>
        <v>1</v>
      </c>
      <c r="Y192" s="539">
        <f t="shared" ref="Y192" si="354">SUM(W192:X192)</f>
        <v>3</v>
      </c>
      <c r="Z192" s="91">
        <f>IF(Y$193=0,0,Y192/Y$193)</f>
        <v>0.10714285714285714</v>
      </c>
      <c r="AA192" s="17">
        <f>'HH WITHOUT COM #6'!$W$222</f>
        <v>0</v>
      </c>
      <c r="AB192" s="17">
        <f>'HH WITHOUT COM #6'!$X$222</f>
        <v>1</v>
      </c>
      <c r="AC192" s="539">
        <f t="shared" ref="AC192" si="355">SUM(AA192:AB192)</f>
        <v>1</v>
      </c>
      <c r="AD192" s="91">
        <f>IF(AC$193=0,0,AC192/AC$193)</f>
        <v>6.6666666666666666E-2</v>
      </c>
      <c r="AE192" s="17">
        <f>'HH WITHOUT COM #7'!$W$222</f>
        <v>0</v>
      </c>
      <c r="AF192" s="17">
        <f>'HH WITHOUT COM #7'!$X$222</f>
        <v>0</v>
      </c>
      <c r="AG192" s="539">
        <f t="shared" ref="AG192" si="356">SUM(AE192:AF192)</f>
        <v>0</v>
      </c>
      <c r="AH192" s="91">
        <f>IF(AG$193=0,0,AG192/AG$193)</f>
        <v>0</v>
      </c>
      <c r="AI192" s="391">
        <f t="shared" ref="AI192:AJ192" si="357">G192+K192+O192+S192+W192+AA192+AE192</f>
        <v>5</v>
      </c>
      <c r="AJ192" s="17">
        <f t="shared" si="357"/>
        <v>2</v>
      </c>
      <c r="AK192" s="539">
        <f t="shared" ref="AK192" si="358">SUM(AI192:AJ192)</f>
        <v>7</v>
      </c>
      <c r="AL192" s="91">
        <f>IF(AK$193=0,0,AK192/AK$193)</f>
        <v>8.9743589743589744E-2</v>
      </c>
    </row>
    <row r="193" spans="1:73" s="4" customFormat="1" ht="16.5" customHeight="1" x14ac:dyDescent="0.25">
      <c r="A193" s="119"/>
      <c r="B193" s="119"/>
      <c r="C193" s="119"/>
      <c r="D193" s="184"/>
      <c r="E193" s="134"/>
      <c r="F193" s="469"/>
      <c r="G193" s="497">
        <f>G187+G188+G192</f>
        <v>2</v>
      </c>
      <c r="H193" s="497">
        <f t="shared" ref="H193:I193" si="359">H187+H188+H192</f>
        <v>3</v>
      </c>
      <c r="I193" s="497">
        <f t="shared" si="359"/>
        <v>5</v>
      </c>
      <c r="J193" s="66">
        <f>IF(I$193=0,0,I193/I$193)</f>
        <v>1</v>
      </c>
      <c r="K193" s="497">
        <f>K187+K188+K192</f>
        <v>7</v>
      </c>
      <c r="L193" s="497">
        <f t="shared" ref="L193" si="360">L187+L188+L192</f>
        <v>5</v>
      </c>
      <c r="M193" s="497">
        <f t="shared" ref="M193" si="361">M187+M188+M192</f>
        <v>12</v>
      </c>
      <c r="N193" s="66">
        <f>IF(M$193=0,0,M193/M$193)</f>
        <v>1</v>
      </c>
      <c r="O193" s="497">
        <f>O187+O188+O192</f>
        <v>4</v>
      </c>
      <c r="P193" s="497">
        <f t="shared" ref="P193" si="362">P187+P188+P192</f>
        <v>7</v>
      </c>
      <c r="Q193" s="497">
        <f t="shared" ref="Q193" si="363">Q187+Q188+Q192</f>
        <v>11</v>
      </c>
      <c r="R193" s="66">
        <f>IF(Q$193=0,0,Q193/Q$193)</f>
        <v>1</v>
      </c>
      <c r="S193" s="497">
        <f>S187+S188+S192</f>
        <v>0</v>
      </c>
      <c r="T193" s="497">
        <f t="shared" ref="T193" si="364">T187+T188+T192</f>
        <v>7</v>
      </c>
      <c r="U193" s="497">
        <f t="shared" ref="U193" si="365">U187+U188+U192</f>
        <v>7</v>
      </c>
      <c r="V193" s="66">
        <f>IF(U$193=0,0,U193/U$193)</f>
        <v>1</v>
      </c>
      <c r="W193" s="497">
        <f>W187+W188+W192</f>
        <v>15</v>
      </c>
      <c r="X193" s="497">
        <f t="shared" ref="X193" si="366">X187+X188+X192</f>
        <v>13</v>
      </c>
      <c r="Y193" s="497">
        <f t="shared" ref="Y193" si="367">Y187+Y188+Y192</f>
        <v>28</v>
      </c>
      <c r="Z193" s="66">
        <f>IF(Y$193=0,0,Y193/Y$193)</f>
        <v>1</v>
      </c>
      <c r="AA193" s="497">
        <f>AA187+AA188+AA192</f>
        <v>2</v>
      </c>
      <c r="AB193" s="497">
        <f t="shared" ref="AB193" si="368">AB187+AB188+AB192</f>
        <v>13</v>
      </c>
      <c r="AC193" s="497">
        <f t="shared" ref="AC193" si="369">AC187+AC188+AC192</f>
        <v>15</v>
      </c>
      <c r="AD193" s="66">
        <f>IF(AC$193=0,0,AC193/AC$193)</f>
        <v>1</v>
      </c>
      <c r="AE193" s="497">
        <f>AE187+AE188+AE192</f>
        <v>0</v>
      </c>
      <c r="AF193" s="497">
        <f t="shared" ref="AF193" si="370">AF187+AF188+AF192</f>
        <v>0</v>
      </c>
      <c r="AG193" s="497">
        <f t="shared" ref="AG193" si="371">AG187+AG188+AG192</f>
        <v>0</v>
      </c>
      <c r="AH193" s="66">
        <f>IF(AG$193=0,0,AG193/AG$193)</f>
        <v>0</v>
      </c>
      <c r="AI193" s="622">
        <f>AI187+AI188+AI192</f>
        <v>30</v>
      </c>
      <c r="AJ193" s="497">
        <f t="shared" ref="AJ193" si="372">AJ187+AJ188+AJ192</f>
        <v>48</v>
      </c>
      <c r="AK193" s="497">
        <f t="shared" ref="AK193" si="373">AK187+AK188+AK192</f>
        <v>78</v>
      </c>
      <c r="AL193" s="66">
        <f>IF(AK$193=0,0,AK193/AK$193)</f>
        <v>1</v>
      </c>
    </row>
    <row r="194" spans="1:73" s="117" customFormat="1" ht="16.5" customHeight="1" x14ac:dyDescent="0.25">
      <c r="A194" s="119"/>
      <c r="B194" s="299" t="s">
        <v>452</v>
      </c>
      <c r="C194" s="274" t="s">
        <v>1057</v>
      </c>
      <c r="D194" s="477"/>
      <c r="E194" s="478"/>
      <c r="F194" s="478"/>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355"/>
      <c r="AI194" s="377"/>
      <c r="AJ194" s="71"/>
      <c r="AK194" s="71"/>
      <c r="AL194" s="71"/>
      <c r="BA194" s="117" t="s">
        <v>891</v>
      </c>
      <c r="BI194" s="117" t="s">
        <v>611</v>
      </c>
    </row>
    <row r="195" spans="1:73" s="97" customFormat="1" ht="16.5" customHeight="1" x14ac:dyDescent="0.25">
      <c r="A195" s="119"/>
      <c r="B195" s="40"/>
      <c r="C195" s="473" t="s">
        <v>454</v>
      </c>
      <c r="D195" s="484" t="s">
        <v>173</v>
      </c>
      <c r="E195" s="542"/>
      <c r="F195" s="281"/>
      <c r="G195" s="17">
        <f>'HH WITHOUT COM #1'!$W$226</f>
        <v>0</v>
      </c>
      <c r="H195" s="17">
        <f>'HH WITHOUT COM #1'!$X$226</f>
        <v>0</v>
      </c>
      <c r="I195" s="539">
        <f>SUM(G195:H195)</f>
        <v>0</v>
      </c>
      <c r="J195" s="91">
        <f>IF(I$201=0,0,I195/I$201)</f>
        <v>0</v>
      </c>
      <c r="K195" s="17">
        <f>'HH WITHOUT COM #2'!$W$226</f>
        <v>0</v>
      </c>
      <c r="L195" s="17">
        <f>'HH WITHOUT COM #2'!$X$226</f>
        <v>0</v>
      </c>
      <c r="M195" s="539">
        <f>SUM(K195:L195)</f>
        <v>0</v>
      </c>
      <c r="N195" s="91">
        <f>IF(M$201=0,0,M195/M$201)</f>
        <v>0</v>
      </c>
      <c r="O195" s="17">
        <f>'HH WITHOUT COM #3'!$W$226</f>
        <v>0</v>
      </c>
      <c r="P195" s="17">
        <f>'HH WITHOUT COM #3'!$X$226</f>
        <v>0</v>
      </c>
      <c r="Q195" s="539">
        <f>SUM(O195:P195)</f>
        <v>0</v>
      </c>
      <c r="R195" s="91">
        <f>IF(Q$201=0,0,Q195/Q$201)</f>
        <v>0</v>
      </c>
      <c r="S195" s="17">
        <f>'HH WITHOUT COM #4'!$W$226</f>
        <v>0</v>
      </c>
      <c r="T195" s="17">
        <f>'HH WITHOUT COM #4'!$X$226</f>
        <v>1</v>
      </c>
      <c r="U195" s="539">
        <f>SUM(S195:T195)</f>
        <v>1</v>
      </c>
      <c r="V195" s="91">
        <f>IF(U$201=0,0,U195/U$201)</f>
        <v>0.14285714285714285</v>
      </c>
      <c r="W195" s="17">
        <f>'HH WITHOUT COM #5'!$W$226</f>
        <v>2</v>
      </c>
      <c r="X195" s="17">
        <f>'HH WITHOUT COM #5'!$X$226</f>
        <v>4</v>
      </c>
      <c r="Y195" s="539">
        <f>SUM(W195:X195)</f>
        <v>6</v>
      </c>
      <c r="Z195" s="91">
        <f>IF(Y$201=0,0,Y195/Y$201)</f>
        <v>0.21428571428571427</v>
      </c>
      <c r="AA195" s="17">
        <f>'HH WITHOUT COM #6'!$W$226</f>
        <v>0</v>
      </c>
      <c r="AB195" s="17">
        <f>'HH WITHOUT COM #6'!$X$226</f>
        <v>0</v>
      </c>
      <c r="AC195" s="539">
        <f>SUM(AA195:AB195)</f>
        <v>0</v>
      </c>
      <c r="AD195" s="91">
        <f>IF(AC$201=0,0,AC195/AC$201)</f>
        <v>0</v>
      </c>
      <c r="AE195" s="17">
        <f>'HH WITHOUT COM #7'!$W$226</f>
        <v>0</v>
      </c>
      <c r="AF195" s="17">
        <f>'HH WITHOUT COM #7'!$X$226</f>
        <v>0</v>
      </c>
      <c r="AG195" s="539">
        <f>SUM(AE195:AF195)</f>
        <v>0</v>
      </c>
      <c r="AH195" s="91">
        <f>IF(AG$201=0,0,AG195/AG$201)</f>
        <v>0</v>
      </c>
      <c r="AI195" s="391">
        <f t="shared" ref="AI195:AI196" si="374">G195+K195+O195+S195+W195+AA195+AE195</f>
        <v>2</v>
      </c>
      <c r="AJ195" s="17">
        <f t="shared" ref="AJ195:AJ196" si="375">H195+L195+P195+T195+X195+AB195+AF195</f>
        <v>5</v>
      </c>
      <c r="AK195" s="539">
        <f t="shared" ref="AK195:AK196" si="376">SUM(AI195:AJ195)</f>
        <v>7</v>
      </c>
      <c r="AL195" s="91">
        <f>IF(AK$201=0,0,AK195/AK$201)</f>
        <v>8.9743589743589744E-2</v>
      </c>
      <c r="BA195" s="2" t="s">
        <v>1068</v>
      </c>
      <c r="BB195" s="2" t="s">
        <v>1069</v>
      </c>
      <c r="BC195" s="2" t="s">
        <v>1070</v>
      </c>
      <c r="BD195" s="2" t="s">
        <v>1071</v>
      </c>
      <c r="BE195" s="2" t="s">
        <v>1072</v>
      </c>
      <c r="BF195" s="2" t="s">
        <v>1073</v>
      </c>
      <c r="BG195" s="2" t="s">
        <v>1074</v>
      </c>
      <c r="BH195" s="3"/>
      <c r="BI195" s="2" t="s">
        <v>1068</v>
      </c>
      <c r="BJ195" s="2" t="s">
        <v>1069</v>
      </c>
      <c r="BK195" s="2" t="s">
        <v>1070</v>
      </c>
      <c r="BL195" s="2" t="s">
        <v>1071</v>
      </c>
      <c r="BM195" s="2" t="s">
        <v>1072</v>
      </c>
      <c r="BN195" s="2" t="s">
        <v>1073</v>
      </c>
      <c r="BO195" s="2" t="s">
        <v>1074</v>
      </c>
      <c r="BP195" s="3"/>
      <c r="BQ195" s="3"/>
      <c r="BR195" s="3"/>
      <c r="BS195" s="3"/>
      <c r="BT195" s="3"/>
      <c r="BU195" s="3"/>
    </row>
    <row r="196" spans="1:73" s="4" customFormat="1" ht="16.5" customHeight="1" x14ac:dyDescent="0.25">
      <c r="A196" s="40"/>
      <c r="B196" s="40"/>
      <c r="C196" s="473" t="s">
        <v>455</v>
      </c>
      <c r="D196" s="484" t="s">
        <v>544</v>
      </c>
      <c r="E196" s="120"/>
      <c r="F196" s="120"/>
      <c r="G196" s="17">
        <f>'HH WITHOUT COM #1'!$W$227</f>
        <v>2</v>
      </c>
      <c r="H196" s="17">
        <f>'HH WITHOUT COM #1'!$X$227</f>
        <v>3</v>
      </c>
      <c r="I196" s="539">
        <f>SUM(G196:H196)</f>
        <v>5</v>
      </c>
      <c r="J196" s="91">
        <f t="shared" ref="J196:J201" si="377">IF(I$201=0,0,I196/I$201)</f>
        <v>1</v>
      </c>
      <c r="K196" s="17">
        <f>'HH WITHOUT COM #2'!$W$227</f>
        <v>7</v>
      </c>
      <c r="L196" s="17">
        <f>'HH WITHOUT COM #2'!$X$227</f>
        <v>5</v>
      </c>
      <c r="M196" s="539">
        <f>SUM(K196:L196)</f>
        <v>12</v>
      </c>
      <c r="N196" s="91">
        <f t="shared" ref="N196:N201" si="378">IF(M$201=0,0,M196/M$201)</f>
        <v>1</v>
      </c>
      <c r="O196" s="17">
        <f>'HH WITHOUT COM #3'!$W$227</f>
        <v>4</v>
      </c>
      <c r="P196" s="17">
        <f>'HH WITHOUT COM #3'!$X$227</f>
        <v>7</v>
      </c>
      <c r="Q196" s="539">
        <f>SUM(O196:P196)</f>
        <v>11</v>
      </c>
      <c r="R196" s="91">
        <f t="shared" ref="R196:R201" si="379">IF(Q$201=0,0,Q196/Q$201)</f>
        <v>1</v>
      </c>
      <c r="S196" s="17">
        <f>'HH WITHOUT COM #4'!$W$227</f>
        <v>0</v>
      </c>
      <c r="T196" s="17">
        <f>'HH WITHOUT COM #4'!$X$227</f>
        <v>6</v>
      </c>
      <c r="U196" s="539">
        <f>SUM(S196:T196)</f>
        <v>6</v>
      </c>
      <c r="V196" s="91">
        <f t="shared" ref="V196:V201" si="380">IF(U$201=0,0,U196/U$201)</f>
        <v>0.8571428571428571</v>
      </c>
      <c r="W196" s="17">
        <f>'HH WITHOUT COM #5'!$W$227</f>
        <v>9</v>
      </c>
      <c r="X196" s="17">
        <f>'HH WITHOUT COM #5'!$X$227</f>
        <v>9</v>
      </c>
      <c r="Y196" s="539">
        <f>SUM(W196:X196)</f>
        <v>18</v>
      </c>
      <c r="Z196" s="91">
        <f t="shared" ref="Z196:Z201" si="381">IF(Y$201=0,0,Y196/Y$201)</f>
        <v>0.6428571428571429</v>
      </c>
      <c r="AA196" s="17">
        <f>'HH WITHOUT COM #6'!$W$227</f>
        <v>1</v>
      </c>
      <c r="AB196" s="17">
        <f>'HH WITHOUT COM #6'!$X$227</f>
        <v>11</v>
      </c>
      <c r="AC196" s="539">
        <f>SUM(AA196:AB196)</f>
        <v>12</v>
      </c>
      <c r="AD196" s="91">
        <f t="shared" ref="AD196:AD201" si="382">IF(AC$201=0,0,AC196/AC$201)</f>
        <v>0.8</v>
      </c>
      <c r="AE196" s="17">
        <f>'HH WITHOUT COM #7'!$W$227</f>
        <v>0</v>
      </c>
      <c r="AF196" s="17">
        <f>'HH WITHOUT COM #7'!$X$227</f>
        <v>0</v>
      </c>
      <c r="AG196" s="539">
        <f>SUM(AE196:AF196)</f>
        <v>0</v>
      </c>
      <c r="AH196" s="91">
        <f t="shared" ref="AH196:AH201" si="383">IF(AG$201=0,0,AG196/AG$201)</f>
        <v>0</v>
      </c>
      <c r="AI196" s="391">
        <f t="shared" si="374"/>
        <v>23</v>
      </c>
      <c r="AJ196" s="17">
        <f t="shared" si="375"/>
        <v>41</v>
      </c>
      <c r="AK196" s="539">
        <f t="shared" si="376"/>
        <v>64</v>
      </c>
      <c r="AL196" s="91">
        <f t="shared" ref="AL196:AL201" si="384">IF(AK$201=0,0,AK196/AK$201)</f>
        <v>0.82051282051282048</v>
      </c>
      <c r="BA196" s="3"/>
      <c r="BB196" s="3"/>
      <c r="BC196" s="3"/>
      <c r="BD196" s="3"/>
      <c r="BE196" s="3"/>
      <c r="BF196" s="3"/>
      <c r="BG196" s="3"/>
      <c r="BH196" s="3"/>
      <c r="BI196" s="3"/>
      <c r="BJ196" s="3"/>
      <c r="BK196" s="3"/>
      <c r="BL196" s="3"/>
      <c r="BM196" s="3"/>
      <c r="BN196" s="3"/>
      <c r="BO196" s="3"/>
      <c r="BP196" s="3"/>
      <c r="BQ196" s="3"/>
      <c r="BR196" s="3"/>
      <c r="BS196" s="3"/>
      <c r="BT196" s="3"/>
      <c r="BU196" s="3"/>
    </row>
    <row r="197" spans="1:73" s="4" customFormat="1" ht="16.5" customHeight="1" x14ac:dyDescent="0.25">
      <c r="A197" s="40"/>
      <c r="B197" s="40"/>
      <c r="C197" s="473" t="s">
        <v>456</v>
      </c>
      <c r="D197" s="498" t="s">
        <v>484</v>
      </c>
      <c r="E197" s="542"/>
      <c r="F197" s="281"/>
      <c r="G197" s="17">
        <f>ROUND(('HH WITHOUT COM #1'!$AQ$228)/5000,0)*5000</f>
        <v>100000</v>
      </c>
      <c r="H197" s="17">
        <f>ROUND(('HH WITHOUT COM #1'!$AW$228)/5000,0)*5000</f>
        <v>100000</v>
      </c>
      <c r="I197" s="539">
        <f>ROUND(('HH WITHOUT COM #1'!$AA$228)/5000,0)*5000</f>
        <v>100000</v>
      </c>
      <c r="J197" s="91"/>
      <c r="K197" s="17">
        <f>ROUND(('HH WITHOUT COM #2'!$AQ$228)/5000,0)*5000</f>
        <v>50000</v>
      </c>
      <c r="L197" s="17">
        <f>ROUND(('HH WITHOUT COM #2'!$AW$228)/5000,0)*5000</f>
        <v>60000</v>
      </c>
      <c r="M197" s="539">
        <f>ROUND(('HH WITHOUT COM #2'!$AA$228)/5000,0)*5000</f>
        <v>50000</v>
      </c>
      <c r="N197" s="91"/>
      <c r="O197" s="17">
        <f>ROUND(('HH WITHOUT COM #3'!$AQ$228)/5000,0)*5000</f>
        <v>200000</v>
      </c>
      <c r="P197" s="17">
        <f>ROUND(('HH WITHOUT COM #3'!$AW$228)/5000,0)*5000</f>
        <v>100000</v>
      </c>
      <c r="Q197" s="539">
        <f>ROUND(('HH WITHOUT COM #3'!$AA$228)/5000,0)*5000</f>
        <v>100000</v>
      </c>
      <c r="R197" s="91"/>
      <c r="S197" s="17">
        <f>ROUND(('HH WITHOUT COM #4'!$AQ$228)/5000,0)*5000</f>
        <v>0</v>
      </c>
      <c r="T197" s="17">
        <f>ROUND(('HH WITHOUT COM #4'!$AW$228)/5000,0)*5000</f>
        <v>200000</v>
      </c>
      <c r="U197" s="539">
        <f>ROUND(('HH WITHOUT COM #4'!$AA$228)/5000,0)*5000</f>
        <v>200000</v>
      </c>
      <c r="V197" s="91"/>
      <c r="W197" s="17">
        <f>ROUND(('HH WITHOUT COM #5'!$AQ$228)/5000,0)*5000</f>
        <v>100000</v>
      </c>
      <c r="X197" s="17">
        <f>ROUND(('HH WITHOUT COM #5'!$AW$228)/5000,0)*5000</f>
        <v>200000</v>
      </c>
      <c r="Y197" s="539">
        <f>ROUND(('HH WITHOUT COM #5'!$AA$228)/5000,0)*5000</f>
        <v>100000</v>
      </c>
      <c r="Z197" s="91"/>
      <c r="AA197" s="17">
        <f>ROUND(('HH WITHOUT COM #6'!$AQ$228)/5000,0)*5000</f>
        <v>500000</v>
      </c>
      <c r="AB197" s="17">
        <f>ROUND(('HH WITHOUT COM #6'!$AW$228)/5000,0)*5000</f>
        <v>50000</v>
      </c>
      <c r="AC197" s="539">
        <f>ROUND(('HH WITHOUT COM #6'!$AA$228)/5000,0)*5000</f>
        <v>50000</v>
      </c>
      <c r="AD197" s="91"/>
      <c r="AE197" s="17">
        <f>ROUND(('HH WITHOUT COM #7'!$AQ$228)/5000,0)*5000</f>
        <v>0</v>
      </c>
      <c r="AF197" s="17">
        <f>ROUND(('HH WITHOUT COM #7'!$AW$228)/5000,0)*5000</f>
        <v>0</v>
      </c>
      <c r="AG197" s="539">
        <f>ROUND(('HH WITHOUT COM #7'!$AA$228)/5000,0)*5000</f>
        <v>0</v>
      </c>
      <c r="AH197" s="91"/>
      <c r="AI197" s="391">
        <f>MIN(BA197:BG197)</f>
        <v>50000</v>
      </c>
      <c r="AJ197" s="17">
        <f>MIN(BI197:BO197)</f>
        <v>50000</v>
      </c>
      <c r="AK197" s="1078">
        <f>MIN(BA197:BG197,BI197:BO197)</f>
        <v>50000</v>
      </c>
      <c r="AL197" s="91"/>
      <c r="AN197" s="988" t="s">
        <v>1482</v>
      </c>
      <c r="BA197" s="8">
        <f>IF(G197=0,"",G197)</f>
        <v>100000</v>
      </c>
      <c r="BB197" s="8">
        <f>IF(K197=0,"",K197)</f>
        <v>50000</v>
      </c>
      <c r="BC197" s="8">
        <f>IF(O197=0,"",O197)</f>
        <v>200000</v>
      </c>
      <c r="BD197" s="8" t="str">
        <f>IF(S197=0,"",S197)</f>
        <v/>
      </c>
      <c r="BE197" s="8">
        <f>IF(W197=0,"",W197)</f>
        <v>100000</v>
      </c>
      <c r="BF197" s="8">
        <f>IF(AA197=0,"",AA197)</f>
        <v>500000</v>
      </c>
      <c r="BG197" s="8" t="str">
        <f>IF(AE197=0,"",AE197)</f>
        <v/>
      </c>
      <c r="BH197" s="8">
        <f>SUM(BA197:BG197)</f>
        <v>950000</v>
      </c>
      <c r="BI197" s="8">
        <f>IF(H197=0,"",H197)</f>
        <v>100000</v>
      </c>
      <c r="BJ197" s="8">
        <f>IF(L197=0,"",L197)</f>
        <v>60000</v>
      </c>
      <c r="BK197" s="8">
        <f>IF(P197=0,"",P197)</f>
        <v>100000</v>
      </c>
      <c r="BL197" s="8">
        <f>IF(T197=0,"",T197)</f>
        <v>200000</v>
      </c>
      <c r="BM197" s="8">
        <f>IF(X197=0,"",X197)</f>
        <v>200000</v>
      </c>
      <c r="BN197" s="8">
        <f>IF(AB197=0,"",AB197)</f>
        <v>50000</v>
      </c>
      <c r="BO197" s="8" t="str">
        <f>IF(AF197=0,"",AF197)</f>
        <v/>
      </c>
      <c r="BP197" s="8">
        <f>SUM(BI197:BO197)</f>
        <v>710000</v>
      </c>
      <c r="BQ197" s="3"/>
      <c r="BR197" s="3"/>
      <c r="BS197" s="3"/>
      <c r="BT197" s="3"/>
      <c r="BU197" s="3"/>
    </row>
    <row r="198" spans="1:73" s="4" customFormat="1" ht="16.5" customHeight="1" x14ac:dyDescent="0.25">
      <c r="A198" s="40"/>
      <c r="B198" s="40"/>
      <c r="C198" s="473" t="s">
        <v>546</v>
      </c>
      <c r="D198" s="498" t="s">
        <v>485</v>
      </c>
      <c r="E198" s="542"/>
      <c r="F198" s="281"/>
      <c r="G198" s="17">
        <f>ROUND(('HH WITHOUT COM #1'!$AR$229)/5000,0)*5000</f>
        <v>100000</v>
      </c>
      <c r="H198" s="17">
        <f>ROUND(('HH WITHOUT COM #1'!$AX$229)/5000,0)*5000</f>
        <v>200000</v>
      </c>
      <c r="I198" s="539">
        <f>ROUND(('HH WITHOUT COM #1'!$AB$229)/5000,0)*5000</f>
        <v>200000</v>
      </c>
      <c r="J198" s="91"/>
      <c r="K198" s="17">
        <f>ROUND(('HH WITHOUT COM #2'!$AR$229)/5000,0)*5000</f>
        <v>1100000</v>
      </c>
      <c r="L198" s="17">
        <f>ROUND(('HH WITHOUT COM #2'!$AX$229)/5000,0)*5000</f>
        <v>2400000</v>
      </c>
      <c r="M198" s="539">
        <f>ROUND(('HH WITHOUT COM #2'!$AB$229)/5000,0)*5000</f>
        <v>2400000</v>
      </c>
      <c r="N198" s="91"/>
      <c r="O198" s="17">
        <f>ROUND(('HH WITHOUT COM #3'!$AR$229)/5000,0)*5000</f>
        <v>500000</v>
      </c>
      <c r="P198" s="17">
        <f>ROUND(('HH WITHOUT COM #3'!$AX$229)/5000,0)*5000</f>
        <v>400000</v>
      </c>
      <c r="Q198" s="539">
        <f>ROUND(('HH WITHOUT COM #3'!$AB$229)/5000,0)*5000</f>
        <v>500000</v>
      </c>
      <c r="R198" s="91"/>
      <c r="S198" s="17">
        <f>ROUND(('HH WITHOUT COM #4'!$AR$229)/5000,0)*5000</f>
        <v>0</v>
      </c>
      <c r="T198" s="17">
        <f>ROUND(('HH WITHOUT COM #4'!$AX$229)/5000,0)*5000</f>
        <v>500000</v>
      </c>
      <c r="U198" s="539">
        <f>ROUND(('HH WITHOUT COM #4'!$AB$229)/5000,0)*5000</f>
        <v>500000</v>
      </c>
      <c r="V198" s="91"/>
      <c r="W198" s="17">
        <f>ROUND(('HH WITHOUT COM #5'!$AR$229)/5000,0)*5000</f>
        <v>1500000</v>
      </c>
      <c r="X198" s="17">
        <f>ROUND(('HH WITHOUT COM #5'!$AX$229)/5000,0)*5000</f>
        <v>1000000</v>
      </c>
      <c r="Y198" s="539">
        <f>ROUND(('HH WITHOUT COM #5'!$AB$229)/5000,0)*5000</f>
        <v>1500000</v>
      </c>
      <c r="Z198" s="91"/>
      <c r="AA198" s="17">
        <f>ROUND(('HH WITHOUT COM #6'!$AR$229)/5000,0)*5000</f>
        <v>500000</v>
      </c>
      <c r="AB198" s="17">
        <f>ROUND(('HH WITHOUT COM #6'!$AX$229)/5000,0)*5000</f>
        <v>600000</v>
      </c>
      <c r="AC198" s="539">
        <f>ROUND(('HH WITHOUT COM #6'!$AB$229)/5000,0)*5000</f>
        <v>600000</v>
      </c>
      <c r="AD198" s="91"/>
      <c r="AE198" s="17">
        <f>ROUND(('HH WITHOUT COM #7'!$AR$229)/5000,0)*5000</f>
        <v>0</v>
      </c>
      <c r="AF198" s="17">
        <f>ROUND(('HH WITHOUT COM #7'!$AX$229)/5000,0)*5000</f>
        <v>0</v>
      </c>
      <c r="AG198" s="539">
        <f>ROUND(('HH WITHOUT COM #7'!$AB$229)/5000,0)*5000</f>
        <v>0</v>
      </c>
      <c r="AH198" s="91"/>
      <c r="AI198" s="391">
        <f>MAX(G198,K198,O198,S198,W198,AA198,AE198)</f>
        <v>1500000</v>
      </c>
      <c r="AJ198" s="17">
        <f t="shared" ref="AJ198:AK198" si="385">MAX(H198,L198,P198,T198,X198,AB198,AF198)</f>
        <v>2400000</v>
      </c>
      <c r="AK198" s="1078">
        <f t="shared" si="385"/>
        <v>2400000</v>
      </c>
      <c r="AL198" s="91"/>
      <c r="AN198" s="988"/>
      <c r="BA198" s="3"/>
      <c r="BB198" s="3"/>
      <c r="BC198" s="3"/>
      <c r="BD198" s="3"/>
      <c r="BE198" s="3"/>
      <c r="BF198" s="3"/>
      <c r="BG198" s="3"/>
      <c r="BH198" s="3"/>
      <c r="BI198" s="3"/>
      <c r="BJ198" s="3"/>
      <c r="BK198" s="3"/>
      <c r="BL198" s="3"/>
      <c r="BM198" s="3"/>
      <c r="BN198" s="3"/>
      <c r="BO198" s="3"/>
      <c r="BP198" s="3"/>
      <c r="BQ198" s="3"/>
      <c r="BR198" s="3"/>
      <c r="BS198" s="3"/>
      <c r="BT198" s="3"/>
      <c r="BU198" s="3"/>
    </row>
    <row r="199" spans="1:73" s="4" customFormat="1" ht="16.5" customHeight="1" x14ac:dyDescent="0.25">
      <c r="A199" s="40"/>
      <c r="B199" s="40"/>
      <c r="C199" s="473" t="s">
        <v>547</v>
      </c>
      <c r="D199" s="498" t="s">
        <v>543</v>
      </c>
      <c r="E199" s="542"/>
      <c r="F199" s="281"/>
      <c r="G199" s="17">
        <f>ROUND(('HH WITHOUT COM #1'!$AS$230)/5000,0)*5000</f>
        <v>100000</v>
      </c>
      <c r="H199" s="17">
        <f>ROUND(('HH WITHOUT COM #1'!$AY$230)/5000,0)*5000</f>
        <v>135000</v>
      </c>
      <c r="I199" s="539">
        <f>ROUND(('HH WITHOUT COM #1'!$AC$230)/5000,0)*5000</f>
        <v>115000</v>
      </c>
      <c r="J199" s="91"/>
      <c r="K199" s="17">
        <f>ROUND(('HH WITHOUT COM #2'!$AS$230)/5000,0)*5000</f>
        <v>530000</v>
      </c>
      <c r="L199" s="17">
        <f>ROUND(('HH WITHOUT COM #2'!$AY$230)/5000,0)*5000</f>
        <v>880000</v>
      </c>
      <c r="M199" s="539">
        <f>ROUND(('HH WITHOUT COM #2'!$AC$230)/5000,0)*5000</f>
        <v>705000</v>
      </c>
      <c r="N199" s="91"/>
      <c r="O199" s="17">
        <f>ROUND(('HH WITHOUT COM #3'!$AS$230)/5000,0)*5000</f>
        <v>275000</v>
      </c>
      <c r="P199" s="17">
        <f>ROUND(('HH WITHOUT COM #3'!$AY$230)/5000,0)*5000</f>
        <v>240000</v>
      </c>
      <c r="Q199" s="539">
        <f>ROUND(('HH WITHOUT COM #3'!$AC$230)/5000,0)*5000</f>
        <v>260000</v>
      </c>
      <c r="R199" s="91"/>
      <c r="S199" s="17">
        <f>ROUND(('HH WITHOUT COM #4'!$AS$230)/5000,0)*5000</f>
        <v>0</v>
      </c>
      <c r="T199" s="17">
        <f>ROUND(('HH WITHOUT COM #4'!$AY$230)/5000,0)*5000</f>
        <v>450000</v>
      </c>
      <c r="U199" s="539">
        <f>ROUND(('HH WITHOUT COM #4'!$AC$230)/5000,0)*5000</f>
        <v>450000</v>
      </c>
      <c r="V199" s="91"/>
      <c r="W199" s="17">
        <f>ROUND(('HH WITHOUT COM #5'!$AS$230)/5000,0)*5000</f>
        <v>590000</v>
      </c>
      <c r="X199" s="17">
        <f>ROUND(('HH WITHOUT COM #5'!$AY$230)/5000,0)*5000</f>
        <v>560000</v>
      </c>
      <c r="Y199" s="539">
        <f>ROUND(('HH WITHOUT COM #5'!$AC$230)/5000,0)*5000</f>
        <v>575000</v>
      </c>
      <c r="Z199" s="91"/>
      <c r="AA199" s="17">
        <f>ROUND(('HH WITHOUT COM #6'!$AS$230)/5000,0)*5000</f>
        <v>500000</v>
      </c>
      <c r="AB199" s="17">
        <f>ROUND(('HH WITHOUT COM #6'!$AY$230)/5000,0)*5000</f>
        <v>235000</v>
      </c>
      <c r="AC199" s="539">
        <f>ROUND(('HH WITHOUT COM #6'!$AC$230)/5000,0)*5000</f>
        <v>320000</v>
      </c>
      <c r="AD199" s="91"/>
      <c r="AE199" s="17">
        <f>ROUND(('HH WITHOUT COM #7'!$AS$230)/5000,0)*5000</f>
        <v>0</v>
      </c>
      <c r="AF199" s="17">
        <f>ROUND(('HH WITHOUT COM #7'!$AY$230)/5000,0)*5000</f>
        <v>0</v>
      </c>
      <c r="AG199" s="539">
        <f>ROUND(('HH WITHOUT COM #7'!$AC$230)/5000,0)*5000</f>
        <v>0</v>
      </c>
      <c r="AH199" s="91"/>
      <c r="AI199" s="391">
        <f>ROUND((IF(BH199=0,0,AVERAGE(BA199:BG199)))/10000,0)*10000</f>
        <v>400000</v>
      </c>
      <c r="AJ199" s="17">
        <f>ROUND((IF(BP199=0,0,AVERAGE(BI199:BO199)))/10000,0)*10000</f>
        <v>420000</v>
      </c>
      <c r="AK199" s="1078">
        <f>ROUND((IF(BR199=0,0,AVERAGE(BA199:BG199,BI199:BO199)))/10000,0)*10000</f>
        <v>410000</v>
      </c>
      <c r="AL199" s="91"/>
      <c r="AN199" s="988" t="s">
        <v>1482</v>
      </c>
      <c r="BA199" s="8">
        <f>IF(G199=0,"",G199)</f>
        <v>100000</v>
      </c>
      <c r="BB199" s="8">
        <f>IF(K199=0,"",K199)</f>
        <v>530000</v>
      </c>
      <c r="BC199" s="8">
        <f>IF(O199=0,"",O199)</f>
        <v>275000</v>
      </c>
      <c r="BD199" s="8" t="str">
        <f>IF(S199=0,"",S199)</f>
        <v/>
      </c>
      <c r="BE199" s="8">
        <f>IF(W199=0,"",W199)</f>
        <v>590000</v>
      </c>
      <c r="BF199" s="8">
        <f>IF(AA199=0,"",AA199)</f>
        <v>500000</v>
      </c>
      <c r="BG199" s="8" t="str">
        <f>IF(AE199=0,"",AE199)</f>
        <v/>
      </c>
      <c r="BH199" s="8">
        <f>SUM(BA199:BG199)</f>
        <v>1995000</v>
      </c>
      <c r="BI199" s="8">
        <f>IF(H199=0,"",H199)</f>
        <v>135000</v>
      </c>
      <c r="BJ199" s="8">
        <f>IF(L199=0,"",L199)</f>
        <v>880000</v>
      </c>
      <c r="BK199" s="8">
        <f>IF(P199=0,"",P199)</f>
        <v>240000</v>
      </c>
      <c r="BL199" s="8">
        <f>IF(T199=0,"",T199)</f>
        <v>450000</v>
      </c>
      <c r="BM199" s="8">
        <f>IF(X199=0,"",X199)</f>
        <v>560000</v>
      </c>
      <c r="BN199" s="8">
        <f>IF(AB199=0,"",AB199)</f>
        <v>235000</v>
      </c>
      <c r="BO199" s="8" t="str">
        <f>IF(AF199=0,"",AF199)</f>
        <v/>
      </c>
      <c r="BP199" s="8">
        <f>SUM(BI199:BO199)</f>
        <v>2500000</v>
      </c>
      <c r="BQ199" s="3"/>
      <c r="BR199" s="8">
        <f>BH199+BP199</f>
        <v>4495000</v>
      </c>
      <c r="BS199" s="3"/>
      <c r="BT199" s="3"/>
      <c r="BU199" s="3"/>
    </row>
    <row r="200" spans="1:73" s="4" customFormat="1" ht="16.5" customHeight="1" x14ac:dyDescent="0.25">
      <c r="A200" s="40"/>
      <c r="B200" s="40"/>
      <c r="C200" s="473" t="s">
        <v>548</v>
      </c>
      <c r="D200" s="105" t="s">
        <v>129</v>
      </c>
      <c r="E200" s="542"/>
      <c r="F200" s="281"/>
      <c r="G200" s="17">
        <f>'HH WITHOUT COM #1'!$W$231</f>
        <v>0</v>
      </c>
      <c r="H200" s="17">
        <f>'HH WITHOUT COM #1'!$X$231</f>
        <v>0</v>
      </c>
      <c r="I200" s="539">
        <f t="shared" ref="I200" si="386">SUM(G200:H200)</f>
        <v>0</v>
      </c>
      <c r="J200" s="91">
        <f t="shared" si="377"/>
        <v>0</v>
      </c>
      <c r="K200" s="17">
        <f>'HH WITHOUT COM #2'!$W$231</f>
        <v>0</v>
      </c>
      <c r="L200" s="17">
        <f>'HH WITHOUT COM #2'!$X$231</f>
        <v>0</v>
      </c>
      <c r="M200" s="539">
        <f t="shared" ref="M200" si="387">SUM(K200:L200)</f>
        <v>0</v>
      </c>
      <c r="N200" s="91">
        <f t="shared" si="378"/>
        <v>0</v>
      </c>
      <c r="O200" s="17">
        <f>'HH WITHOUT COM #3'!$W$231</f>
        <v>0</v>
      </c>
      <c r="P200" s="17">
        <f>'HH WITHOUT COM #3'!$X$231</f>
        <v>0</v>
      </c>
      <c r="Q200" s="539">
        <f t="shared" ref="Q200" si="388">SUM(O200:P200)</f>
        <v>0</v>
      </c>
      <c r="R200" s="91">
        <f t="shared" si="379"/>
        <v>0</v>
      </c>
      <c r="S200" s="17">
        <f>'HH WITHOUT COM #4'!$W$231</f>
        <v>0</v>
      </c>
      <c r="T200" s="17">
        <f>'HH WITHOUT COM #4'!$X$231</f>
        <v>0</v>
      </c>
      <c r="U200" s="539">
        <f t="shared" ref="U200" si="389">SUM(S200:T200)</f>
        <v>0</v>
      </c>
      <c r="V200" s="91">
        <f t="shared" si="380"/>
        <v>0</v>
      </c>
      <c r="W200" s="17">
        <f>'HH WITHOUT COM #5'!$W$231</f>
        <v>4</v>
      </c>
      <c r="X200" s="17">
        <f>'HH WITHOUT COM #5'!$X$231</f>
        <v>0</v>
      </c>
      <c r="Y200" s="539">
        <f t="shared" ref="Y200" si="390">SUM(W200:X200)</f>
        <v>4</v>
      </c>
      <c r="Z200" s="91">
        <f t="shared" si="381"/>
        <v>0.14285714285714285</v>
      </c>
      <c r="AA200" s="17">
        <f>'HH WITHOUT COM #6'!$W$231</f>
        <v>1</v>
      </c>
      <c r="AB200" s="17">
        <f>'HH WITHOUT COM #6'!$X$231</f>
        <v>2</v>
      </c>
      <c r="AC200" s="539">
        <f t="shared" ref="AC200" si="391">SUM(AA200:AB200)</f>
        <v>3</v>
      </c>
      <c r="AD200" s="91">
        <f t="shared" si="382"/>
        <v>0.2</v>
      </c>
      <c r="AE200" s="17">
        <f>'HH WITHOUT COM #7'!$W$231</f>
        <v>0</v>
      </c>
      <c r="AF200" s="17">
        <f>'HH WITHOUT COM #7'!$X$231</f>
        <v>0</v>
      </c>
      <c r="AG200" s="539">
        <f t="shared" ref="AG200" si="392">SUM(AE200:AF200)</f>
        <v>0</v>
      </c>
      <c r="AH200" s="91">
        <f t="shared" si="383"/>
        <v>0</v>
      </c>
      <c r="AI200" s="391">
        <f t="shared" ref="AI200" si="393">G200+K200+O200+S200+W200+AA200+AE200</f>
        <v>5</v>
      </c>
      <c r="AJ200" s="17">
        <f t="shared" ref="AJ200" si="394">H200+L200+P200+T200+X200+AB200+AF200</f>
        <v>2</v>
      </c>
      <c r="AK200" s="539">
        <f t="shared" ref="AK200" si="395">SUM(AI200:AJ200)</f>
        <v>7</v>
      </c>
      <c r="AL200" s="91">
        <f t="shared" si="384"/>
        <v>8.9743589743589744E-2</v>
      </c>
    </row>
    <row r="201" spans="1:73" s="4" customFormat="1" ht="16.5" customHeight="1" x14ac:dyDescent="0.25">
      <c r="A201" s="119"/>
      <c r="B201" s="119"/>
      <c r="C201" s="119"/>
      <c r="D201" s="184"/>
      <c r="E201" s="134"/>
      <c r="F201" s="469"/>
      <c r="G201" s="497">
        <f>G195+G196+G200</f>
        <v>2</v>
      </c>
      <c r="H201" s="497">
        <f t="shared" ref="H201" si="396">H195+H196+H200</f>
        <v>3</v>
      </c>
      <c r="I201" s="497">
        <f t="shared" ref="I201" si="397">I195+I196+I200</f>
        <v>5</v>
      </c>
      <c r="J201" s="66">
        <f t="shared" si="377"/>
        <v>1</v>
      </c>
      <c r="K201" s="497">
        <f>K195+K196+K200</f>
        <v>7</v>
      </c>
      <c r="L201" s="497">
        <f t="shared" ref="L201" si="398">L195+L196+L200</f>
        <v>5</v>
      </c>
      <c r="M201" s="497">
        <f t="shared" ref="M201" si="399">M195+M196+M200</f>
        <v>12</v>
      </c>
      <c r="N201" s="66">
        <f t="shared" si="378"/>
        <v>1</v>
      </c>
      <c r="O201" s="497">
        <f>O195+O196+O200</f>
        <v>4</v>
      </c>
      <c r="P201" s="497">
        <f t="shared" ref="P201" si="400">P195+P196+P200</f>
        <v>7</v>
      </c>
      <c r="Q201" s="497">
        <f t="shared" ref="Q201" si="401">Q195+Q196+Q200</f>
        <v>11</v>
      </c>
      <c r="R201" s="66">
        <f t="shared" si="379"/>
        <v>1</v>
      </c>
      <c r="S201" s="497">
        <f>S195+S196+S200</f>
        <v>0</v>
      </c>
      <c r="T201" s="497">
        <f t="shared" ref="T201" si="402">T195+T196+T200</f>
        <v>7</v>
      </c>
      <c r="U201" s="497">
        <f t="shared" ref="U201" si="403">U195+U196+U200</f>
        <v>7</v>
      </c>
      <c r="V201" s="66">
        <f t="shared" si="380"/>
        <v>1</v>
      </c>
      <c r="W201" s="497">
        <f>W195+W196+W200</f>
        <v>15</v>
      </c>
      <c r="X201" s="497">
        <f t="shared" ref="X201" si="404">X195+X196+X200</f>
        <v>13</v>
      </c>
      <c r="Y201" s="497">
        <f t="shared" ref="Y201" si="405">Y195+Y196+Y200</f>
        <v>28</v>
      </c>
      <c r="Z201" s="66">
        <f t="shared" si="381"/>
        <v>1</v>
      </c>
      <c r="AA201" s="497">
        <f>AA195+AA196+AA200</f>
        <v>2</v>
      </c>
      <c r="AB201" s="497">
        <f t="shared" ref="AB201" si="406">AB195+AB196+AB200</f>
        <v>13</v>
      </c>
      <c r="AC201" s="497">
        <f t="shared" ref="AC201" si="407">AC195+AC196+AC200</f>
        <v>15</v>
      </c>
      <c r="AD201" s="66">
        <f t="shared" si="382"/>
        <v>1</v>
      </c>
      <c r="AE201" s="497">
        <f>AE195+AE196+AE200</f>
        <v>0</v>
      </c>
      <c r="AF201" s="497">
        <f t="shared" ref="AF201" si="408">AF195+AF196+AF200</f>
        <v>0</v>
      </c>
      <c r="AG201" s="497">
        <f t="shared" ref="AG201" si="409">AG195+AG196+AG200</f>
        <v>0</v>
      </c>
      <c r="AH201" s="66">
        <f t="shared" si="383"/>
        <v>0</v>
      </c>
      <c r="AI201" s="622">
        <f>AI195+AI196+AI200</f>
        <v>30</v>
      </c>
      <c r="AJ201" s="497">
        <f t="shared" ref="AJ201" si="410">AJ195+AJ196+AJ200</f>
        <v>48</v>
      </c>
      <c r="AK201" s="497">
        <f t="shared" ref="AK201" si="411">AK195+AK196+AK200</f>
        <v>78</v>
      </c>
      <c r="AL201" s="66">
        <f t="shared" si="384"/>
        <v>1</v>
      </c>
    </row>
    <row r="202" spans="1:73" s="117" customFormat="1" ht="16.5" customHeight="1" x14ac:dyDescent="0.25">
      <c r="A202" s="119"/>
      <c r="B202" s="299" t="s">
        <v>1058</v>
      </c>
      <c r="C202" s="49" t="s">
        <v>1067</v>
      </c>
      <c r="D202" s="477"/>
      <c r="E202" s="478"/>
      <c r="F202" s="478"/>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355"/>
      <c r="AI202" s="377"/>
      <c r="AJ202" s="71"/>
      <c r="AK202" s="71"/>
      <c r="AL202" s="71"/>
    </row>
    <row r="203" spans="1:73" s="4" customFormat="1" ht="16.5" customHeight="1" x14ac:dyDescent="0.25">
      <c r="A203" s="119"/>
      <c r="B203" s="55"/>
      <c r="C203" s="467" t="s">
        <v>1059</v>
      </c>
      <c r="D203" s="562" t="s">
        <v>478</v>
      </c>
      <c r="E203" s="75"/>
      <c r="F203" s="105"/>
      <c r="G203" s="563">
        <f>'HH WITHOUT COM #1'!$W$235</f>
        <v>0</v>
      </c>
      <c r="H203" s="563">
        <f>'HH WITHOUT COM #1'!$X$235</f>
        <v>0</v>
      </c>
      <c r="I203" s="539">
        <f t="shared" ref="I203:I210" si="412">SUM(G203:H203)</f>
        <v>0</v>
      </c>
      <c r="J203" s="91">
        <f>IF(I$211=0,0,I203/I$211)</f>
        <v>0</v>
      </c>
      <c r="K203" s="563">
        <f>'HH WITHOUT COM #2'!$W$235</f>
        <v>2</v>
      </c>
      <c r="L203" s="563">
        <f>'HH WITHOUT COM #2'!$X$235</f>
        <v>0</v>
      </c>
      <c r="M203" s="539">
        <f t="shared" ref="M203:M210" si="413">SUM(K203:L203)</f>
        <v>2</v>
      </c>
      <c r="N203" s="91">
        <f>IF(M$211=0,0,M203/M$211)</f>
        <v>0.16666666666666666</v>
      </c>
      <c r="O203" s="563">
        <f>'HH WITHOUT COM #3'!$W$235</f>
        <v>0</v>
      </c>
      <c r="P203" s="563">
        <f>'HH WITHOUT COM #3'!$X$235</f>
        <v>0</v>
      </c>
      <c r="Q203" s="539">
        <f t="shared" ref="Q203:Q210" si="414">SUM(O203:P203)</f>
        <v>0</v>
      </c>
      <c r="R203" s="91">
        <f>IF(Q$211=0,0,Q203/Q$211)</f>
        <v>0</v>
      </c>
      <c r="S203" s="563">
        <f>'HH WITHOUT COM #4'!$W$235</f>
        <v>0</v>
      </c>
      <c r="T203" s="563">
        <f>'HH WITHOUT COM #4'!$X$235</f>
        <v>0</v>
      </c>
      <c r="U203" s="539">
        <f t="shared" ref="U203:U210" si="415">SUM(S203:T203)</f>
        <v>0</v>
      </c>
      <c r="V203" s="91">
        <f>IF(U$211=0,0,U203/U$211)</f>
        <v>0</v>
      </c>
      <c r="W203" s="563">
        <f>'HH WITHOUT COM #5'!$W$235</f>
        <v>0</v>
      </c>
      <c r="X203" s="563">
        <f>'HH WITHOUT COM #5'!$X$235</f>
        <v>0</v>
      </c>
      <c r="Y203" s="539">
        <f t="shared" ref="Y203:Y210" si="416">SUM(W203:X203)</f>
        <v>0</v>
      </c>
      <c r="Z203" s="91">
        <f>IF(Y$211=0,0,Y203/Y$211)</f>
        <v>0</v>
      </c>
      <c r="AA203" s="563">
        <f>'HH WITHOUT COM #6'!$W$235</f>
        <v>0</v>
      </c>
      <c r="AB203" s="563">
        <f>'HH WITHOUT COM #6'!$X$235</f>
        <v>0</v>
      </c>
      <c r="AC203" s="539">
        <f t="shared" ref="AC203:AC210" si="417">SUM(AA203:AB203)</f>
        <v>0</v>
      </c>
      <c r="AD203" s="91">
        <f>IF(AC$211=0,0,AC203/AC$211)</f>
        <v>0</v>
      </c>
      <c r="AE203" s="563">
        <f>'HH WITHOUT COM #7'!$W$235</f>
        <v>0</v>
      </c>
      <c r="AF203" s="563">
        <f>'HH WITHOUT COM #7'!$X$235</f>
        <v>0</v>
      </c>
      <c r="AG203" s="539">
        <f t="shared" ref="AG203:AG210" si="418">SUM(AE203:AF203)</f>
        <v>0</v>
      </c>
      <c r="AH203" s="91">
        <f>IF(AG$211=0,0,AG203/AG$211)</f>
        <v>0</v>
      </c>
      <c r="AI203" s="391">
        <f t="shared" ref="AI203:AI210" si="419">G203+K203+O203+S203+W203+AA203+AE203</f>
        <v>2</v>
      </c>
      <c r="AJ203" s="17">
        <f t="shared" ref="AJ203:AJ210" si="420">H203+L203+P203+T203+X203+AB203+AF203</f>
        <v>0</v>
      </c>
      <c r="AK203" s="539">
        <f t="shared" ref="AK203:AK210" si="421">SUM(AI203:AJ203)</f>
        <v>2</v>
      </c>
      <c r="AL203" s="91">
        <f>IF(AK$211=0,0,AK203/AK$211)</f>
        <v>2.564102564102564E-2</v>
      </c>
    </row>
    <row r="204" spans="1:73" s="4" customFormat="1" ht="16.5" customHeight="1" x14ac:dyDescent="0.25">
      <c r="A204" s="119"/>
      <c r="B204" s="55"/>
      <c r="C204" s="467" t="s">
        <v>1060</v>
      </c>
      <c r="D204" s="562" t="s">
        <v>165</v>
      </c>
      <c r="E204" s="75"/>
      <c r="F204" s="105"/>
      <c r="G204" s="563">
        <f>'HH WITHOUT COM #1'!$W$236</f>
        <v>2</v>
      </c>
      <c r="H204" s="563">
        <f>'HH WITHOUT COM #1'!$X$236</f>
        <v>3</v>
      </c>
      <c r="I204" s="539">
        <f t="shared" si="412"/>
        <v>5</v>
      </c>
      <c r="J204" s="91">
        <f t="shared" ref="J204:J211" si="422">IF(I$211=0,0,I204/I$211)</f>
        <v>1</v>
      </c>
      <c r="K204" s="563">
        <f>'HH WITHOUT COM #2'!$W$236</f>
        <v>5</v>
      </c>
      <c r="L204" s="563">
        <f>'HH WITHOUT COM #2'!$X$236</f>
        <v>5</v>
      </c>
      <c r="M204" s="539">
        <f t="shared" si="413"/>
        <v>10</v>
      </c>
      <c r="N204" s="91">
        <f t="shared" ref="N204:N211" si="423">IF(M$211=0,0,M204/M$211)</f>
        <v>0.83333333333333337</v>
      </c>
      <c r="O204" s="563">
        <f>'HH WITHOUT COM #3'!$W$236</f>
        <v>4</v>
      </c>
      <c r="P204" s="563">
        <f>'HH WITHOUT COM #3'!$X$236</f>
        <v>6</v>
      </c>
      <c r="Q204" s="539">
        <f t="shared" si="414"/>
        <v>10</v>
      </c>
      <c r="R204" s="91">
        <f t="shared" ref="R204:R211" si="424">IF(Q$211=0,0,Q204/Q$211)</f>
        <v>0.90909090909090906</v>
      </c>
      <c r="S204" s="563">
        <f>'HH WITHOUT COM #4'!$W$236</f>
        <v>0</v>
      </c>
      <c r="T204" s="563">
        <f>'HH WITHOUT COM #4'!$X$236</f>
        <v>7</v>
      </c>
      <c r="U204" s="539">
        <f t="shared" si="415"/>
        <v>7</v>
      </c>
      <c r="V204" s="91">
        <f t="shared" ref="V204:V211" si="425">IF(U$211=0,0,U204/U$211)</f>
        <v>1</v>
      </c>
      <c r="W204" s="563">
        <f>'HH WITHOUT COM #5'!$W$236</f>
        <v>10</v>
      </c>
      <c r="X204" s="563">
        <f>'HH WITHOUT COM #5'!$X$236</f>
        <v>8</v>
      </c>
      <c r="Y204" s="539">
        <f t="shared" si="416"/>
        <v>18</v>
      </c>
      <c r="Z204" s="91">
        <f t="shared" ref="Z204:Z211" si="426">IF(Y$211=0,0,Y204/Y$211)</f>
        <v>0.6428571428571429</v>
      </c>
      <c r="AA204" s="563">
        <f>'HH WITHOUT COM #6'!$W$236</f>
        <v>2</v>
      </c>
      <c r="AB204" s="563">
        <f>'HH WITHOUT COM #6'!$X$236</f>
        <v>13</v>
      </c>
      <c r="AC204" s="539">
        <f t="shared" si="417"/>
        <v>15</v>
      </c>
      <c r="AD204" s="91">
        <f t="shared" ref="AD204:AD211" si="427">IF(AC$211=0,0,AC204/AC$211)</f>
        <v>1</v>
      </c>
      <c r="AE204" s="563">
        <f>'HH WITHOUT COM #7'!$W$236</f>
        <v>0</v>
      </c>
      <c r="AF204" s="563">
        <f>'HH WITHOUT COM #7'!$X$236</f>
        <v>0</v>
      </c>
      <c r="AG204" s="539">
        <f t="shared" si="418"/>
        <v>0</v>
      </c>
      <c r="AH204" s="91">
        <f t="shared" ref="AH204:AH211" si="428">IF(AG$211=0,0,AG204/AG$211)</f>
        <v>0</v>
      </c>
      <c r="AI204" s="391">
        <f t="shared" si="419"/>
        <v>23</v>
      </c>
      <c r="AJ204" s="17">
        <f t="shared" si="420"/>
        <v>42</v>
      </c>
      <c r="AK204" s="539">
        <f t="shared" si="421"/>
        <v>65</v>
      </c>
      <c r="AL204" s="91">
        <f t="shared" ref="AL204:AL211" si="429">IF(AK$211=0,0,AK204/AK$211)</f>
        <v>0.83333333333333337</v>
      </c>
    </row>
    <row r="205" spans="1:73" s="4" customFormat="1" ht="16.5" customHeight="1" x14ac:dyDescent="0.25">
      <c r="A205" s="119"/>
      <c r="B205" s="55"/>
      <c r="C205" s="467" t="s">
        <v>1061</v>
      </c>
      <c r="D205" s="562" t="s">
        <v>167</v>
      </c>
      <c r="E205" s="75"/>
      <c r="F205" s="105"/>
      <c r="G205" s="563">
        <f>'HH WITHOUT COM #1'!$W$237</f>
        <v>0</v>
      </c>
      <c r="H205" s="563">
        <f>'HH WITHOUT COM #1'!$X$237</f>
        <v>0</v>
      </c>
      <c r="I205" s="539">
        <f t="shared" si="412"/>
        <v>0</v>
      </c>
      <c r="J205" s="91">
        <f t="shared" si="422"/>
        <v>0</v>
      </c>
      <c r="K205" s="563">
        <f>'HH WITHOUT COM #2'!$W$237</f>
        <v>0</v>
      </c>
      <c r="L205" s="563">
        <f>'HH WITHOUT COM #2'!$X$237</f>
        <v>0</v>
      </c>
      <c r="M205" s="539">
        <f t="shared" si="413"/>
        <v>0</v>
      </c>
      <c r="N205" s="91">
        <f t="shared" si="423"/>
        <v>0</v>
      </c>
      <c r="O205" s="563">
        <f>'HH WITHOUT COM #3'!$W$237</f>
        <v>0</v>
      </c>
      <c r="P205" s="563">
        <f>'HH WITHOUT COM #3'!$X$237</f>
        <v>0</v>
      </c>
      <c r="Q205" s="539">
        <f t="shared" si="414"/>
        <v>0</v>
      </c>
      <c r="R205" s="91">
        <f t="shared" si="424"/>
        <v>0</v>
      </c>
      <c r="S205" s="563">
        <f>'HH WITHOUT COM #4'!$W$237</f>
        <v>0</v>
      </c>
      <c r="T205" s="563">
        <f>'HH WITHOUT COM #4'!$X$237</f>
        <v>0</v>
      </c>
      <c r="U205" s="539">
        <f t="shared" si="415"/>
        <v>0</v>
      </c>
      <c r="V205" s="91">
        <f t="shared" si="425"/>
        <v>0</v>
      </c>
      <c r="W205" s="563">
        <f>'HH WITHOUT COM #5'!$W$237</f>
        <v>0</v>
      </c>
      <c r="X205" s="563">
        <f>'HH WITHOUT COM #5'!$X$237</f>
        <v>0</v>
      </c>
      <c r="Y205" s="539">
        <f t="shared" si="416"/>
        <v>0</v>
      </c>
      <c r="Z205" s="91">
        <f t="shared" si="426"/>
        <v>0</v>
      </c>
      <c r="AA205" s="563">
        <f>'HH WITHOUT COM #6'!$W$237</f>
        <v>0</v>
      </c>
      <c r="AB205" s="563">
        <f>'HH WITHOUT COM #6'!$X$237</f>
        <v>0</v>
      </c>
      <c r="AC205" s="539">
        <f t="shared" si="417"/>
        <v>0</v>
      </c>
      <c r="AD205" s="91">
        <f t="shared" si="427"/>
        <v>0</v>
      </c>
      <c r="AE205" s="563">
        <f>'HH WITHOUT COM #7'!$W$237</f>
        <v>0</v>
      </c>
      <c r="AF205" s="563">
        <f>'HH WITHOUT COM #7'!$X$237</f>
        <v>0</v>
      </c>
      <c r="AG205" s="539">
        <f t="shared" si="418"/>
        <v>0</v>
      </c>
      <c r="AH205" s="91">
        <f t="shared" si="428"/>
        <v>0</v>
      </c>
      <c r="AI205" s="391">
        <f t="shared" si="419"/>
        <v>0</v>
      </c>
      <c r="AJ205" s="17">
        <f t="shared" si="420"/>
        <v>0</v>
      </c>
      <c r="AK205" s="539">
        <f t="shared" si="421"/>
        <v>0</v>
      </c>
      <c r="AL205" s="91">
        <f t="shared" si="429"/>
        <v>0</v>
      </c>
    </row>
    <row r="206" spans="1:73" s="4" customFormat="1" ht="16.5" customHeight="1" x14ac:dyDescent="0.25">
      <c r="A206" s="119"/>
      <c r="B206" s="55"/>
      <c r="C206" s="467" t="s">
        <v>1062</v>
      </c>
      <c r="D206" s="636" t="s">
        <v>991</v>
      </c>
      <c r="E206" s="75"/>
      <c r="F206" s="105"/>
      <c r="G206" s="563">
        <f>'HH WITHOUT COM #1'!$W$238</f>
        <v>0</v>
      </c>
      <c r="H206" s="563">
        <f>'HH WITHOUT COM #1'!$X$238</f>
        <v>0</v>
      </c>
      <c r="I206" s="539">
        <f t="shared" si="412"/>
        <v>0</v>
      </c>
      <c r="J206" s="91">
        <f t="shared" si="422"/>
        <v>0</v>
      </c>
      <c r="K206" s="563">
        <f>'HH WITHOUT COM #2'!$W$238</f>
        <v>0</v>
      </c>
      <c r="L206" s="563">
        <f>'HH WITHOUT COM #2'!$X$238</f>
        <v>0</v>
      </c>
      <c r="M206" s="539">
        <f t="shared" si="413"/>
        <v>0</v>
      </c>
      <c r="N206" s="91">
        <f t="shared" si="423"/>
        <v>0</v>
      </c>
      <c r="O206" s="563">
        <f>'HH WITHOUT COM #3'!$W$238</f>
        <v>0</v>
      </c>
      <c r="P206" s="563">
        <f>'HH WITHOUT COM #3'!$X$238</f>
        <v>0</v>
      </c>
      <c r="Q206" s="539">
        <f t="shared" si="414"/>
        <v>0</v>
      </c>
      <c r="R206" s="91">
        <f t="shared" si="424"/>
        <v>0</v>
      </c>
      <c r="S206" s="563">
        <f>'HH WITHOUT COM #4'!$W$238</f>
        <v>0</v>
      </c>
      <c r="T206" s="563">
        <f>'HH WITHOUT COM #4'!$X$238</f>
        <v>0</v>
      </c>
      <c r="U206" s="539">
        <f t="shared" si="415"/>
        <v>0</v>
      </c>
      <c r="V206" s="91">
        <f t="shared" si="425"/>
        <v>0</v>
      </c>
      <c r="W206" s="563">
        <f>'HH WITHOUT COM #5'!$W$238</f>
        <v>0</v>
      </c>
      <c r="X206" s="563">
        <f>'HH WITHOUT COM #5'!$X$238</f>
        <v>0</v>
      </c>
      <c r="Y206" s="539">
        <f t="shared" si="416"/>
        <v>0</v>
      </c>
      <c r="Z206" s="91">
        <f t="shared" si="426"/>
        <v>0</v>
      </c>
      <c r="AA206" s="563">
        <f>'HH WITHOUT COM #6'!$W$238</f>
        <v>0</v>
      </c>
      <c r="AB206" s="563">
        <f>'HH WITHOUT COM #6'!$X$238</f>
        <v>0</v>
      </c>
      <c r="AC206" s="539">
        <f t="shared" si="417"/>
        <v>0</v>
      </c>
      <c r="AD206" s="91">
        <f t="shared" si="427"/>
        <v>0</v>
      </c>
      <c r="AE206" s="563">
        <f>'HH WITHOUT COM #7'!$W$238</f>
        <v>0</v>
      </c>
      <c r="AF206" s="563">
        <f>'HH WITHOUT COM #7'!$X$238</f>
        <v>0</v>
      </c>
      <c r="AG206" s="539">
        <f t="shared" si="418"/>
        <v>0</v>
      </c>
      <c r="AH206" s="91">
        <f t="shared" si="428"/>
        <v>0</v>
      </c>
      <c r="AI206" s="391">
        <f t="shared" si="419"/>
        <v>0</v>
      </c>
      <c r="AJ206" s="17">
        <f t="shared" si="420"/>
        <v>0</v>
      </c>
      <c r="AK206" s="539">
        <f t="shared" si="421"/>
        <v>0</v>
      </c>
      <c r="AL206" s="91">
        <f t="shared" si="429"/>
        <v>0</v>
      </c>
    </row>
    <row r="207" spans="1:73" s="4" customFormat="1" ht="16.5" customHeight="1" x14ac:dyDescent="0.25">
      <c r="A207" s="119"/>
      <c r="B207" s="55"/>
      <c r="C207" s="467" t="s">
        <v>1063</v>
      </c>
      <c r="D207" s="562" t="s">
        <v>438</v>
      </c>
      <c r="E207" s="75"/>
      <c r="F207" s="105"/>
      <c r="G207" s="563">
        <f>'HH WITHOUT COM #1'!$W$239</f>
        <v>0</v>
      </c>
      <c r="H207" s="563">
        <f>'HH WITHOUT COM #1'!$X$239</f>
        <v>0</v>
      </c>
      <c r="I207" s="539">
        <f t="shared" si="412"/>
        <v>0</v>
      </c>
      <c r="J207" s="91">
        <f t="shared" si="422"/>
        <v>0</v>
      </c>
      <c r="K207" s="563">
        <f>'HH WITHOUT COM #2'!$W$239</f>
        <v>0</v>
      </c>
      <c r="L207" s="563">
        <f>'HH WITHOUT COM #2'!$X$239</f>
        <v>0</v>
      </c>
      <c r="M207" s="539">
        <f t="shared" si="413"/>
        <v>0</v>
      </c>
      <c r="N207" s="91">
        <f t="shared" si="423"/>
        <v>0</v>
      </c>
      <c r="O207" s="563">
        <f>'HH WITHOUT COM #3'!$W$239</f>
        <v>0</v>
      </c>
      <c r="P207" s="563">
        <f>'HH WITHOUT COM #3'!$X$239</f>
        <v>1</v>
      </c>
      <c r="Q207" s="539">
        <f t="shared" si="414"/>
        <v>1</v>
      </c>
      <c r="R207" s="91">
        <f t="shared" si="424"/>
        <v>9.0909090909090912E-2</v>
      </c>
      <c r="S207" s="563">
        <f>'HH WITHOUT COM #4'!$W$239</f>
        <v>0</v>
      </c>
      <c r="T207" s="563">
        <f>'HH WITHOUT COM #4'!$X$239</f>
        <v>0</v>
      </c>
      <c r="U207" s="539">
        <f t="shared" si="415"/>
        <v>0</v>
      </c>
      <c r="V207" s="91">
        <f t="shared" si="425"/>
        <v>0</v>
      </c>
      <c r="W207" s="563">
        <f>'HH WITHOUT COM #5'!$W$239</f>
        <v>0</v>
      </c>
      <c r="X207" s="563">
        <f>'HH WITHOUT COM #5'!$X$239</f>
        <v>0</v>
      </c>
      <c r="Y207" s="539">
        <f t="shared" si="416"/>
        <v>0</v>
      </c>
      <c r="Z207" s="91">
        <f t="shared" si="426"/>
        <v>0</v>
      </c>
      <c r="AA207" s="563">
        <f>'HH WITHOUT COM #6'!$W$239</f>
        <v>0</v>
      </c>
      <c r="AB207" s="563">
        <f>'HH WITHOUT COM #6'!$X$239</f>
        <v>0</v>
      </c>
      <c r="AC207" s="539">
        <f t="shared" si="417"/>
        <v>0</v>
      </c>
      <c r="AD207" s="91">
        <f t="shared" si="427"/>
        <v>0</v>
      </c>
      <c r="AE207" s="563">
        <f>'HH WITHOUT COM #7'!$W$239</f>
        <v>0</v>
      </c>
      <c r="AF207" s="563">
        <f>'HH WITHOUT COM #7'!$X$239</f>
        <v>0</v>
      </c>
      <c r="AG207" s="539">
        <f t="shared" si="418"/>
        <v>0</v>
      </c>
      <c r="AH207" s="91">
        <f t="shared" si="428"/>
        <v>0</v>
      </c>
      <c r="AI207" s="391">
        <f t="shared" si="419"/>
        <v>0</v>
      </c>
      <c r="AJ207" s="17">
        <f t="shared" si="420"/>
        <v>1</v>
      </c>
      <c r="AK207" s="539">
        <f t="shared" si="421"/>
        <v>1</v>
      </c>
      <c r="AL207" s="91">
        <f t="shared" si="429"/>
        <v>1.282051282051282E-2</v>
      </c>
    </row>
    <row r="208" spans="1:73" s="4" customFormat="1" ht="16.5" customHeight="1" x14ac:dyDescent="0.25">
      <c r="A208" s="119"/>
      <c r="B208" s="55"/>
      <c r="C208" s="467" t="s">
        <v>1064</v>
      </c>
      <c r="D208" s="562" t="s">
        <v>439</v>
      </c>
      <c r="E208" s="75"/>
      <c r="F208" s="105"/>
      <c r="G208" s="563">
        <f>'HH WITHOUT COM #1'!$W$240</f>
        <v>0</v>
      </c>
      <c r="H208" s="563">
        <f>'HH WITHOUT COM #1'!$X$240</f>
        <v>0</v>
      </c>
      <c r="I208" s="539">
        <f t="shared" si="412"/>
        <v>0</v>
      </c>
      <c r="J208" s="91">
        <f t="shared" si="422"/>
        <v>0</v>
      </c>
      <c r="K208" s="563">
        <f>'HH WITHOUT COM #2'!$W$240</f>
        <v>0</v>
      </c>
      <c r="L208" s="563">
        <f>'HH WITHOUT COM #2'!$X$240</f>
        <v>0</v>
      </c>
      <c r="M208" s="539">
        <f t="shared" si="413"/>
        <v>0</v>
      </c>
      <c r="N208" s="91">
        <f t="shared" si="423"/>
        <v>0</v>
      </c>
      <c r="O208" s="563">
        <f>'HH WITHOUT COM #3'!$W$240</f>
        <v>0</v>
      </c>
      <c r="P208" s="563">
        <f>'HH WITHOUT COM #3'!$X$240</f>
        <v>0</v>
      </c>
      <c r="Q208" s="539">
        <f t="shared" si="414"/>
        <v>0</v>
      </c>
      <c r="R208" s="91">
        <f t="shared" si="424"/>
        <v>0</v>
      </c>
      <c r="S208" s="563">
        <f>'HH WITHOUT COM #4'!$W$240</f>
        <v>0</v>
      </c>
      <c r="T208" s="563">
        <f>'HH WITHOUT COM #4'!$X$240</f>
        <v>0</v>
      </c>
      <c r="U208" s="539">
        <f t="shared" si="415"/>
        <v>0</v>
      </c>
      <c r="V208" s="91">
        <f t="shared" si="425"/>
        <v>0</v>
      </c>
      <c r="W208" s="563">
        <f>'HH WITHOUT COM #5'!$W$240</f>
        <v>0</v>
      </c>
      <c r="X208" s="563">
        <f>'HH WITHOUT COM #5'!$X$240</f>
        <v>0</v>
      </c>
      <c r="Y208" s="539">
        <f t="shared" si="416"/>
        <v>0</v>
      </c>
      <c r="Z208" s="91">
        <f t="shared" si="426"/>
        <v>0</v>
      </c>
      <c r="AA208" s="563">
        <f>'HH WITHOUT COM #6'!$W$240</f>
        <v>0</v>
      </c>
      <c r="AB208" s="563">
        <f>'HH WITHOUT COM #6'!$X$240</f>
        <v>0</v>
      </c>
      <c r="AC208" s="539">
        <f t="shared" si="417"/>
        <v>0</v>
      </c>
      <c r="AD208" s="91">
        <f t="shared" si="427"/>
        <v>0</v>
      </c>
      <c r="AE208" s="563">
        <f>'HH WITHOUT COM #7'!$W$240</f>
        <v>0</v>
      </c>
      <c r="AF208" s="563">
        <f>'HH WITHOUT COM #7'!$X$240</f>
        <v>0</v>
      </c>
      <c r="AG208" s="539">
        <f t="shared" si="418"/>
        <v>0</v>
      </c>
      <c r="AH208" s="91">
        <f t="shared" si="428"/>
        <v>0</v>
      </c>
      <c r="AI208" s="391">
        <f t="shared" si="419"/>
        <v>0</v>
      </c>
      <c r="AJ208" s="17">
        <f t="shared" si="420"/>
        <v>0</v>
      </c>
      <c r="AK208" s="539">
        <f t="shared" si="421"/>
        <v>0</v>
      </c>
      <c r="AL208" s="91">
        <f t="shared" si="429"/>
        <v>0</v>
      </c>
    </row>
    <row r="209" spans="1:72" s="4" customFormat="1" ht="16.5" customHeight="1" x14ac:dyDescent="0.25">
      <c r="A209" s="119"/>
      <c r="B209" s="55"/>
      <c r="C209" s="467" t="s">
        <v>1065</v>
      </c>
      <c r="D209" s="562" t="s">
        <v>483</v>
      </c>
      <c r="E209" s="75"/>
      <c r="F209" s="105"/>
      <c r="G209" s="563">
        <f>'HH WITHOUT COM #1'!$W$241</f>
        <v>0</v>
      </c>
      <c r="H209" s="563">
        <f>'HH WITHOUT COM #1'!$X$241</f>
        <v>0</v>
      </c>
      <c r="I209" s="539">
        <f t="shared" si="412"/>
        <v>0</v>
      </c>
      <c r="J209" s="91">
        <f t="shared" si="422"/>
        <v>0</v>
      </c>
      <c r="K209" s="563">
        <f>'HH WITHOUT COM #2'!$W$241</f>
        <v>0</v>
      </c>
      <c r="L209" s="563">
        <f>'HH WITHOUT COM #2'!$X$241</f>
        <v>0</v>
      </c>
      <c r="M209" s="539">
        <f t="shared" si="413"/>
        <v>0</v>
      </c>
      <c r="N209" s="91">
        <f t="shared" si="423"/>
        <v>0</v>
      </c>
      <c r="O209" s="563">
        <f>'HH WITHOUT COM #3'!$W$241</f>
        <v>0</v>
      </c>
      <c r="P209" s="563">
        <f>'HH WITHOUT COM #3'!$X$241</f>
        <v>0</v>
      </c>
      <c r="Q209" s="539">
        <f t="shared" si="414"/>
        <v>0</v>
      </c>
      <c r="R209" s="91">
        <f t="shared" si="424"/>
        <v>0</v>
      </c>
      <c r="S209" s="563">
        <f>'HH WITHOUT COM #4'!$W$241</f>
        <v>0</v>
      </c>
      <c r="T209" s="563">
        <f>'HH WITHOUT COM #4'!$X$241</f>
        <v>0</v>
      </c>
      <c r="U209" s="539">
        <f t="shared" si="415"/>
        <v>0</v>
      </c>
      <c r="V209" s="91">
        <f t="shared" si="425"/>
        <v>0</v>
      </c>
      <c r="W209" s="563">
        <f>'HH WITHOUT COM #5'!$W$241</f>
        <v>5</v>
      </c>
      <c r="X209" s="563">
        <f>'HH WITHOUT COM #5'!$X$241</f>
        <v>5</v>
      </c>
      <c r="Y209" s="539">
        <f t="shared" si="416"/>
        <v>10</v>
      </c>
      <c r="Z209" s="91">
        <f t="shared" si="426"/>
        <v>0.35714285714285715</v>
      </c>
      <c r="AA209" s="563">
        <f>'HH WITHOUT COM #6'!$W$241</f>
        <v>0</v>
      </c>
      <c r="AB209" s="563">
        <f>'HH WITHOUT COM #6'!$X$241</f>
        <v>0</v>
      </c>
      <c r="AC209" s="539">
        <f t="shared" si="417"/>
        <v>0</v>
      </c>
      <c r="AD209" s="91">
        <f t="shared" si="427"/>
        <v>0</v>
      </c>
      <c r="AE209" s="563">
        <f>'HH WITHOUT COM #7'!$W$241</f>
        <v>0</v>
      </c>
      <c r="AF209" s="563">
        <f>'HH WITHOUT COM #7'!$X$241</f>
        <v>0</v>
      </c>
      <c r="AG209" s="539">
        <f t="shared" si="418"/>
        <v>0</v>
      </c>
      <c r="AH209" s="91">
        <f t="shared" si="428"/>
        <v>0</v>
      </c>
      <c r="AI209" s="391">
        <f t="shared" si="419"/>
        <v>5</v>
      </c>
      <c r="AJ209" s="17">
        <f t="shared" si="420"/>
        <v>5</v>
      </c>
      <c r="AK209" s="539">
        <f t="shared" si="421"/>
        <v>10</v>
      </c>
      <c r="AL209" s="91">
        <f t="shared" si="429"/>
        <v>0.12820512820512819</v>
      </c>
    </row>
    <row r="210" spans="1:72" s="4" customFormat="1" ht="16.5" customHeight="1" x14ac:dyDescent="0.25">
      <c r="A210" s="119"/>
      <c r="B210" s="55"/>
      <c r="C210" s="467" t="s">
        <v>1066</v>
      </c>
      <c r="D210" s="562" t="s">
        <v>129</v>
      </c>
      <c r="E210" s="75"/>
      <c r="F210" s="105"/>
      <c r="G210" s="563">
        <f>'HH WITHOUT COM #1'!$W$242</f>
        <v>0</v>
      </c>
      <c r="H210" s="563">
        <f>'HH WITHOUT COM #1'!$X$242</f>
        <v>0</v>
      </c>
      <c r="I210" s="539">
        <f t="shared" si="412"/>
        <v>0</v>
      </c>
      <c r="J210" s="91">
        <f t="shared" si="422"/>
        <v>0</v>
      </c>
      <c r="K210" s="563">
        <f>'HH WITHOUT COM #2'!$W$242</f>
        <v>0</v>
      </c>
      <c r="L210" s="563">
        <f>'HH WITHOUT COM #2'!$X$242</f>
        <v>0</v>
      </c>
      <c r="M210" s="539">
        <f t="shared" si="413"/>
        <v>0</v>
      </c>
      <c r="N210" s="91">
        <f t="shared" si="423"/>
        <v>0</v>
      </c>
      <c r="O210" s="563">
        <f>'HH WITHOUT COM #3'!$W$242</f>
        <v>0</v>
      </c>
      <c r="P210" s="563">
        <f>'HH WITHOUT COM #3'!$X$242</f>
        <v>0</v>
      </c>
      <c r="Q210" s="539">
        <f t="shared" si="414"/>
        <v>0</v>
      </c>
      <c r="R210" s="91">
        <f t="shared" si="424"/>
        <v>0</v>
      </c>
      <c r="S210" s="563">
        <f>'HH WITHOUT COM #4'!$W$242</f>
        <v>0</v>
      </c>
      <c r="T210" s="563">
        <f>'HH WITHOUT COM #4'!$X$242</f>
        <v>0</v>
      </c>
      <c r="U210" s="539">
        <f t="shared" si="415"/>
        <v>0</v>
      </c>
      <c r="V210" s="91">
        <f t="shared" si="425"/>
        <v>0</v>
      </c>
      <c r="W210" s="563">
        <f>'HH WITHOUT COM #5'!$W$242</f>
        <v>0</v>
      </c>
      <c r="X210" s="563">
        <f>'HH WITHOUT COM #5'!$X$242</f>
        <v>0</v>
      </c>
      <c r="Y210" s="539">
        <f t="shared" si="416"/>
        <v>0</v>
      </c>
      <c r="Z210" s="91">
        <f t="shared" si="426"/>
        <v>0</v>
      </c>
      <c r="AA210" s="563">
        <f>'HH WITHOUT COM #6'!$W$242</f>
        <v>0</v>
      </c>
      <c r="AB210" s="563">
        <f>'HH WITHOUT COM #6'!$X$242</f>
        <v>0</v>
      </c>
      <c r="AC210" s="539">
        <f t="shared" si="417"/>
        <v>0</v>
      </c>
      <c r="AD210" s="91">
        <f t="shared" si="427"/>
        <v>0</v>
      </c>
      <c r="AE210" s="563">
        <f>'HH WITHOUT COM #7'!$W$242</f>
        <v>0</v>
      </c>
      <c r="AF210" s="563">
        <f>'HH WITHOUT COM #7'!$X$242</f>
        <v>0</v>
      </c>
      <c r="AG210" s="539">
        <f t="shared" si="418"/>
        <v>0</v>
      </c>
      <c r="AH210" s="91">
        <f t="shared" si="428"/>
        <v>0</v>
      </c>
      <c r="AI210" s="391">
        <f t="shared" si="419"/>
        <v>0</v>
      </c>
      <c r="AJ210" s="17">
        <f t="shared" si="420"/>
        <v>0</v>
      </c>
      <c r="AK210" s="539">
        <f t="shared" si="421"/>
        <v>0</v>
      </c>
      <c r="AL210" s="91">
        <f t="shared" si="429"/>
        <v>0</v>
      </c>
    </row>
    <row r="211" spans="1:72" s="4" customFormat="1" ht="16.5" customHeight="1" x14ac:dyDescent="0.25">
      <c r="A211" s="119"/>
      <c r="B211" s="119"/>
      <c r="C211" s="119"/>
      <c r="D211" s="184"/>
      <c r="E211" s="134"/>
      <c r="F211" s="184"/>
      <c r="G211" s="497">
        <f>SUM(G203:G210)</f>
        <v>2</v>
      </c>
      <c r="H211" s="497">
        <f t="shared" ref="H211:I211" si="430">SUM(H203:H210)</f>
        <v>3</v>
      </c>
      <c r="I211" s="497">
        <f t="shared" si="430"/>
        <v>5</v>
      </c>
      <c r="J211" s="66">
        <f t="shared" si="422"/>
        <v>1</v>
      </c>
      <c r="K211" s="497">
        <f>SUM(K203:K210)</f>
        <v>7</v>
      </c>
      <c r="L211" s="497">
        <f t="shared" ref="L211" si="431">SUM(L203:L210)</f>
        <v>5</v>
      </c>
      <c r="M211" s="497">
        <f t="shared" ref="M211" si="432">SUM(M203:M210)</f>
        <v>12</v>
      </c>
      <c r="N211" s="66">
        <f t="shared" si="423"/>
        <v>1</v>
      </c>
      <c r="O211" s="497">
        <f>SUM(O203:O210)</f>
        <v>4</v>
      </c>
      <c r="P211" s="497">
        <f t="shared" ref="P211" si="433">SUM(P203:P210)</f>
        <v>7</v>
      </c>
      <c r="Q211" s="497">
        <f t="shared" ref="Q211" si="434">SUM(Q203:Q210)</f>
        <v>11</v>
      </c>
      <c r="R211" s="66">
        <f t="shared" si="424"/>
        <v>1</v>
      </c>
      <c r="S211" s="497">
        <f>SUM(S203:S210)</f>
        <v>0</v>
      </c>
      <c r="T211" s="497">
        <f t="shared" ref="T211" si="435">SUM(T203:T210)</f>
        <v>7</v>
      </c>
      <c r="U211" s="497">
        <f t="shared" ref="U211" si="436">SUM(U203:U210)</f>
        <v>7</v>
      </c>
      <c r="V211" s="66">
        <f t="shared" si="425"/>
        <v>1</v>
      </c>
      <c r="W211" s="497">
        <f>SUM(W203:W210)</f>
        <v>15</v>
      </c>
      <c r="X211" s="497">
        <f t="shared" ref="X211" si="437">SUM(X203:X210)</f>
        <v>13</v>
      </c>
      <c r="Y211" s="497">
        <f t="shared" ref="Y211" si="438">SUM(Y203:Y210)</f>
        <v>28</v>
      </c>
      <c r="Z211" s="66">
        <f t="shared" si="426"/>
        <v>1</v>
      </c>
      <c r="AA211" s="497">
        <f>SUM(AA203:AA210)</f>
        <v>2</v>
      </c>
      <c r="AB211" s="497">
        <f t="shared" ref="AB211" si="439">SUM(AB203:AB210)</f>
        <v>13</v>
      </c>
      <c r="AC211" s="497">
        <f t="shared" ref="AC211" si="440">SUM(AC203:AC210)</f>
        <v>15</v>
      </c>
      <c r="AD211" s="66">
        <f t="shared" si="427"/>
        <v>1</v>
      </c>
      <c r="AE211" s="497">
        <f>SUM(AE203:AE210)</f>
        <v>0</v>
      </c>
      <c r="AF211" s="497">
        <f t="shared" ref="AF211" si="441">SUM(AF203:AF210)</f>
        <v>0</v>
      </c>
      <c r="AG211" s="497">
        <f t="shared" ref="AG211" si="442">SUM(AG203:AG210)</f>
        <v>0</v>
      </c>
      <c r="AH211" s="66">
        <f t="shared" si="428"/>
        <v>0</v>
      </c>
      <c r="AI211" s="622">
        <f>SUM(AI203:AI210)</f>
        <v>30</v>
      </c>
      <c r="AJ211" s="497">
        <f t="shared" ref="AJ211" si="443">SUM(AJ203:AJ210)</f>
        <v>48</v>
      </c>
      <c r="AK211" s="497">
        <f t="shared" ref="AK211" si="444">SUM(AK203:AK210)</f>
        <v>78</v>
      </c>
      <c r="AL211" s="66">
        <f t="shared" si="429"/>
        <v>1</v>
      </c>
    </row>
    <row r="212" spans="1:72" s="117" customFormat="1" ht="16.5" customHeight="1" x14ac:dyDescent="0.25">
      <c r="A212" s="119"/>
      <c r="B212" s="41" t="s">
        <v>1446</v>
      </c>
      <c r="C212" s="476" t="s">
        <v>12</v>
      </c>
      <c r="D212" s="477"/>
      <c r="E212" s="478"/>
      <c r="F212" s="478"/>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355"/>
      <c r="AI212" s="377"/>
      <c r="AJ212" s="71"/>
      <c r="AK212" s="71"/>
      <c r="AL212" s="71"/>
    </row>
    <row r="213" spans="1:72" s="4" customFormat="1" ht="16.5" customHeight="1" x14ac:dyDescent="0.25">
      <c r="A213" s="119"/>
      <c r="B213" s="787"/>
      <c r="C213" s="467" t="s">
        <v>1447</v>
      </c>
      <c r="D213" s="562" t="s">
        <v>1480</v>
      </c>
      <c r="E213" s="75"/>
      <c r="F213" s="105"/>
      <c r="G213" s="563"/>
      <c r="H213" s="563"/>
      <c r="I213" s="927"/>
      <c r="J213" s="91"/>
      <c r="K213" s="563"/>
      <c r="L213" s="563"/>
      <c r="M213" s="927"/>
      <c r="N213" s="91"/>
      <c r="O213" s="563"/>
      <c r="P213" s="563"/>
      <c r="Q213" s="927"/>
      <c r="R213" s="91"/>
      <c r="S213" s="563"/>
      <c r="T213" s="563"/>
      <c r="U213" s="927"/>
      <c r="V213" s="91"/>
      <c r="W213" s="563"/>
      <c r="X213" s="563"/>
      <c r="Y213" s="927"/>
      <c r="Z213" s="91"/>
      <c r="AA213" s="563"/>
      <c r="AB213" s="563"/>
      <c r="AC213" s="927"/>
      <c r="AD213" s="91"/>
      <c r="AE213" s="563"/>
      <c r="AF213" s="563"/>
      <c r="AG213" s="927"/>
      <c r="AH213" s="373"/>
      <c r="AI213" s="391"/>
      <c r="AJ213" s="17"/>
      <c r="AK213" s="927"/>
      <c r="AL213" s="91"/>
    </row>
    <row r="214" spans="1:72" s="4" customFormat="1" ht="16.5" customHeight="1" x14ac:dyDescent="0.25">
      <c r="A214" s="119"/>
      <c r="B214" s="787"/>
      <c r="C214" s="467"/>
      <c r="D214" s="498" t="s">
        <v>1481</v>
      </c>
      <c r="E214" s="75"/>
      <c r="F214" s="105"/>
      <c r="G214" s="563">
        <f>'HH WITHOUT COM #1'!$AQ$278</f>
        <v>100000</v>
      </c>
      <c r="H214" s="563">
        <f>'HH WITHOUT COM #1'!$AW$278</f>
        <v>79800</v>
      </c>
      <c r="I214" s="927">
        <f>'HH WITHOUT COM #1'!$AA$278</f>
        <v>79800</v>
      </c>
      <c r="J214" s="91"/>
      <c r="K214" s="563">
        <f>'HH WITHOUT COM #2'!$AQ$278</f>
        <v>61000</v>
      </c>
      <c r="L214" s="563">
        <f>'HH WITHOUT COM #2'!$AW$278</f>
        <v>60000</v>
      </c>
      <c r="M214" s="927">
        <f>'HH WITHOUT COM #2'!$AA$278</f>
        <v>60000</v>
      </c>
      <c r="N214" s="91"/>
      <c r="O214" s="563">
        <f>'HH WITHOUT COM #3'!$AQ$278</f>
        <v>275000</v>
      </c>
      <c r="P214" s="563">
        <f>'HH WITHOUT COM #3'!$AW$278</f>
        <v>188222.22222222222</v>
      </c>
      <c r="Q214" s="927">
        <f>'HH WITHOUT COM #3'!$AA$278</f>
        <v>188222.22222222222</v>
      </c>
      <c r="R214" s="91"/>
      <c r="S214" s="563">
        <f>'HH WITHOUT COM #4'!$AQ$278</f>
        <v>0</v>
      </c>
      <c r="T214" s="563">
        <f>'HH WITHOUT COM #4'!$AW$278</f>
        <v>0</v>
      </c>
      <c r="U214" s="927">
        <f>'HH WITHOUT COM #4'!$AA$278</f>
        <v>0</v>
      </c>
      <c r="V214" s="91"/>
      <c r="W214" s="563">
        <f>'HH WITHOUT COM #5'!$AQ$278</f>
        <v>150000</v>
      </c>
      <c r="X214" s="563">
        <f>'HH WITHOUT COM #5'!$AW$278</f>
        <v>225000</v>
      </c>
      <c r="Y214" s="927">
        <f>'HH WITHOUT COM #5'!$AA$278</f>
        <v>150000</v>
      </c>
      <c r="Z214" s="91"/>
      <c r="AA214" s="563">
        <f>'HH WITHOUT COM #6'!$AQ$278</f>
        <v>500000</v>
      </c>
      <c r="AB214" s="563">
        <f>'HH WITHOUT COM #6'!$AW$278</f>
        <v>65000</v>
      </c>
      <c r="AC214" s="927">
        <f>'HH WITHOUT COM #6'!$AA$278</f>
        <v>65000</v>
      </c>
      <c r="AD214" s="91"/>
      <c r="AE214" s="563">
        <f>'HH WITHOUT COM #7'!$AQ$278</f>
        <v>0</v>
      </c>
      <c r="AF214" s="563">
        <f>'HH WITHOUT COM #7'!$AW$278</f>
        <v>0</v>
      </c>
      <c r="AG214" s="927">
        <f>'HH WITHOUT COM #7'!$AA$278</f>
        <v>0</v>
      </c>
      <c r="AH214" s="373"/>
      <c r="AI214" s="391">
        <f>ROUND((MIN(BA214:BG214))/10000,0)*10000</f>
        <v>60000</v>
      </c>
      <c r="AJ214" s="17">
        <f>MIN(BI214:BO214)</f>
        <v>0</v>
      </c>
      <c r="AK214" s="927">
        <f>ROUND((MIN(BA214:BO214))/10000,0)*10000</f>
        <v>0</v>
      </c>
      <c r="AL214" s="91"/>
      <c r="AN214" s="988" t="s">
        <v>1482</v>
      </c>
      <c r="BA214" s="989">
        <f>IF(G214=0,0,G214)</f>
        <v>100000</v>
      </c>
      <c r="BB214" s="989">
        <f>IF(K214=0,0,K214)</f>
        <v>61000</v>
      </c>
      <c r="BC214" s="989">
        <f>IF(O214=0,0,O214)</f>
        <v>275000</v>
      </c>
      <c r="BD214" s="989" t="str">
        <f>IF(S214=0,"",S214)</f>
        <v/>
      </c>
      <c r="BE214" s="989">
        <f>IF(W214=0,0,W214)</f>
        <v>150000</v>
      </c>
      <c r="BF214" s="989">
        <f>IF(AA214=0,0,AA214)</f>
        <v>500000</v>
      </c>
      <c r="BG214" s="989" t="str">
        <f>IF(AE214=0,"",AE214)</f>
        <v/>
      </c>
      <c r="BH214" s="989"/>
      <c r="BI214" s="989">
        <f>IF(H214=0,0,H214)</f>
        <v>79800</v>
      </c>
      <c r="BJ214" s="989">
        <f>IF(L214=0,0,L214)</f>
        <v>60000</v>
      </c>
      <c r="BK214" s="989">
        <f>IF(P214=0,0,P214)</f>
        <v>188222.22222222222</v>
      </c>
      <c r="BL214" s="989">
        <f>IF(T214=0,0,T214)</f>
        <v>0</v>
      </c>
      <c r="BM214" s="989">
        <f>IF(X214=0,0,X214)</f>
        <v>225000</v>
      </c>
      <c r="BN214" s="989">
        <f>IF(AB214=0,"",AB214)</f>
        <v>65000</v>
      </c>
      <c r="BO214" s="989" t="str">
        <f>IF(AF214=0,"",AF214)</f>
        <v/>
      </c>
      <c r="BP214" s="8"/>
      <c r="BQ214" s="3"/>
      <c r="BR214" s="3"/>
      <c r="BS214" s="3"/>
      <c r="BT214" s="3"/>
    </row>
    <row r="215" spans="1:72" s="4" customFormat="1" ht="16.5" customHeight="1" x14ac:dyDescent="0.25">
      <c r="A215" s="119"/>
      <c r="B215" s="787"/>
      <c r="C215" s="467"/>
      <c r="D215" s="498" t="s">
        <v>1483</v>
      </c>
      <c r="E215" s="75"/>
      <c r="F215" s="105"/>
      <c r="G215" s="563">
        <f>'HH WITHOUT COM #1'!$AR$278</f>
        <v>100000</v>
      </c>
      <c r="H215" s="563">
        <f>'HH WITHOUT COM #1'!$AX$278</f>
        <v>79800</v>
      </c>
      <c r="I215" s="927">
        <f>'HH WITHOUT COM #1'!$AB$278</f>
        <v>100000</v>
      </c>
      <c r="J215" s="91"/>
      <c r="K215" s="563">
        <f>'HH WITHOUT COM #2'!$AR$278</f>
        <v>1000000</v>
      </c>
      <c r="L215" s="563">
        <f>'HH WITHOUT COM #2'!$AX$278</f>
        <v>1133333.3333333333</v>
      </c>
      <c r="M215" s="927">
        <f>'HH WITHOUT COM #2'!$AB$278</f>
        <v>1133333.3333333333</v>
      </c>
      <c r="N215" s="91"/>
      <c r="O215" s="563">
        <f>'HH WITHOUT COM #3'!$AR$278</f>
        <v>275000</v>
      </c>
      <c r="P215" s="563">
        <f>'HH WITHOUT COM #3'!$AX$278</f>
        <v>188222.22222222222</v>
      </c>
      <c r="Q215" s="927">
        <f>'HH WITHOUT COM #3'!$AB$278</f>
        <v>275000</v>
      </c>
      <c r="R215" s="91"/>
      <c r="S215" s="563">
        <f>'HH WITHOUT COM #4'!$AR$278</f>
        <v>0</v>
      </c>
      <c r="T215" s="563">
        <f>'HH WITHOUT COM #4'!$AX$278</f>
        <v>385714.28571428574</v>
      </c>
      <c r="U215" s="927">
        <f>'HH WITHOUT COM #4'!$AB$278</f>
        <v>385714.28571428574</v>
      </c>
      <c r="V215" s="91"/>
      <c r="W215" s="563">
        <f>'HH WITHOUT COM #5'!$AR$278</f>
        <v>900000</v>
      </c>
      <c r="X215" s="563">
        <f>'HH WITHOUT COM #5'!$AX$278</f>
        <v>800000</v>
      </c>
      <c r="Y215" s="927">
        <f>'HH WITHOUT COM #5'!$AB$278</f>
        <v>900000</v>
      </c>
      <c r="Z215" s="91"/>
      <c r="AA215" s="563">
        <f>'HH WITHOUT COM #6'!$AR$278</f>
        <v>500000</v>
      </c>
      <c r="AB215" s="563">
        <f>'HH WITHOUT COM #6'!$AX$278</f>
        <v>311111.11111111112</v>
      </c>
      <c r="AC215" s="927">
        <f>'HH WITHOUT COM #6'!$AB$278</f>
        <v>500000</v>
      </c>
      <c r="AD215" s="91"/>
      <c r="AE215" s="563">
        <f>'HH WITHOUT COM #7'!$AR$278</f>
        <v>0</v>
      </c>
      <c r="AF215" s="563">
        <f>'HH WITHOUT COM #7'!$AX$278</f>
        <v>0</v>
      </c>
      <c r="AG215" s="927">
        <f>'HH WITHOUT COM #7'!$AB$278</f>
        <v>0</v>
      </c>
      <c r="AH215" s="373"/>
      <c r="AI215" s="391">
        <f>ROUND((MAX(BA215:BG215))/10000,0)*10000</f>
        <v>1000000</v>
      </c>
      <c r="AJ215" s="17">
        <f>ROUND((MAX(BI215:BO215))/10000,0)*10000</f>
        <v>1130000</v>
      </c>
      <c r="AK215" s="927">
        <f>ROUND((MAX(BA215:BO215))/10000,0)*10000</f>
        <v>1130000</v>
      </c>
      <c r="AL215" s="91"/>
      <c r="AN215" s="988" t="s">
        <v>1482</v>
      </c>
      <c r="BA215" s="989">
        <f t="shared" ref="BA215:BA216" si="445">IF(G215=0,0,G215)</f>
        <v>100000</v>
      </c>
      <c r="BB215" s="989">
        <f t="shared" ref="BB215:BB216" si="446">IF(K215=0,0,K215)</f>
        <v>1000000</v>
      </c>
      <c r="BC215" s="989">
        <f t="shared" ref="BC215:BC216" si="447">IF(O215=0,0,O215)</f>
        <v>275000</v>
      </c>
      <c r="BD215" s="989" t="str">
        <f t="shared" ref="BD215:BD216" si="448">IF(S215=0,"",S215)</f>
        <v/>
      </c>
      <c r="BE215" s="989">
        <f t="shared" ref="BE215:BE216" si="449">IF(W215=0,0,W215)</f>
        <v>900000</v>
      </c>
      <c r="BF215" s="989">
        <f t="shared" ref="BF215:BF216" si="450">IF(AA215=0,0,AA215)</f>
        <v>500000</v>
      </c>
      <c r="BG215" s="989" t="str">
        <f t="shared" ref="BG215" si="451">IF(AE215=0,"",AE215)</f>
        <v/>
      </c>
      <c r="BH215" s="989"/>
      <c r="BI215" s="989">
        <f>IF(H215=0,"",H215)</f>
        <v>79800</v>
      </c>
      <c r="BJ215" s="989">
        <f>IF(L215=0,"",L215)</f>
        <v>1133333.3333333333</v>
      </c>
      <c r="BK215" s="989">
        <f>IF(P215=0,"",P215)</f>
        <v>188222.22222222222</v>
      </c>
      <c r="BL215" s="989">
        <f>IF(T215=0,"",T215)</f>
        <v>385714.28571428574</v>
      </c>
      <c r="BM215" s="989">
        <f>IF(X215=0,"",X215)</f>
        <v>800000</v>
      </c>
      <c r="BN215" s="989">
        <f>IF(AB215=0,"",AB215)</f>
        <v>311111.11111111112</v>
      </c>
      <c r="BO215" s="989" t="str">
        <f t="shared" ref="BO215:BO216" si="452">IF(AF215=0,"",AF215)</f>
        <v/>
      </c>
      <c r="BP215" s="8"/>
      <c r="BQ215" s="3"/>
      <c r="BR215" s="3"/>
      <c r="BS215" s="3"/>
      <c r="BT215" s="3"/>
    </row>
    <row r="216" spans="1:72" s="4" customFormat="1" ht="16.5" customHeight="1" x14ac:dyDescent="0.25">
      <c r="A216" s="119"/>
      <c r="B216" s="787"/>
      <c r="C216" s="467"/>
      <c r="D216" s="498" t="s">
        <v>1484</v>
      </c>
      <c r="E216" s="75"/>
      <c r="F216" s="105"/>
      <c r="G216" s="563">
        <f>'HH WITHOUT COM #1'!$AS$278</f>
        <v>100000</v>
      </c>
      <c r="H216" s="563">
        <f>'HH WITHOUT COM #1'!$AY$278</f>
        <v>79800</v>
      </c>
      <c r="I216" s="927">
        <f>'HH WITHOUT COM #1'!$AC$278</f>
        <v>89900</v>
      </c>
      <c r="J216" s="91"/>
      <c r="K216" s="563">
        <f>'HH WITHOUT COM #2'!$AS$278</f>
        <v>530500</v>
      </c>
      <c r="L216" s="563">
        <f>'HH WITHOUT COM #2'!$AY$278</f>
        <v>596666.66666666663</v>
      </c>
      <c r="M216" s="927">
        <f>'HH WITHOUT COM #2'!$AC$278</f>
        <v>563583.33333333326</v>
      </c>
      <c r="N216" s="91"/>
      <c r="O216" s="563">
        <f>'HH WITHOUT COM #3'!$AS$278</f>
        <v>275000</v>
      </c>
      <c r="P216" s="563">
        <f>'HH WITHOUT COM #3'!$AY$278</f>
        <v>188222.22222222222</v>
      </c>
      <c r="Q216" s="927">
        <f>'HH WITHOUT COM #3'!$AC$278</f>
        <v>231611.11111111112</v>
      </c>
      <c r="R216" s="91"/>
      <c r="S216" s="563">
        <f>'HH WITHOUT COM #4'!$AS$278</f>
        <v>0</v>
      </c>
      <c r="T216" s="563">
        <f>'HH WITHOUT COM #4'!$AY$278</f>
        <v>192857.14285714287</v>
      </c>
      <c r="U216" s="927">
        <f>'HH WITHOUT COM #4'!$AC$278</f>
        <v>192857.14285714287</v>
      </c>
      <c r="V216" s="91"/>
      <c r="W216" s="563">
        <f>'HH WITHOUT COM #5'!$AS$278</f>
        <v>461111.11111111107</v>
      </c>
      <c r="X216" s="563">
        <f>'HH WITHOUT COM #5'!$AY$278</f>
        <v>450000</v>
      </c>
      <c r="Y216" s="927">
        <f>'HH WITHOUT COM #5'!$AC$278</f>
        <v>455555.5555555555</v>
      </c>
      <c r="Z216" s="91"/>
      <c r="AA216" s="563">
        <f>'HH WITHOUT COM #6'!$AS$278</f>
        <v>500000</v>
      </c>
      <c r="AB216" s="563">
        <f>'HH WITHOUT COM #6'!$AY$278</f>
        <v>188055.55555555556</v>
      </c>
      <c r="AC216" s="927">
        <f>'HH WITHOUT COM #6'!$AC$278</f>
        <v>292037.03703703702</v>
      </c>
      <c r="AD216" s="91"/>
      <c r="AE216" s="563">
        <f>'HH WITHOUT COM #7'!$AS$278</f>
        <v>0</v>
      </c>
      <c r="AF216" s="563">
        <f>'HH WITHOUT COM #7'!$AY$278</f>
        <v>0</v>
      </c>
      <c r="AG216" s="927">
        <f>'HH WITHOUT COM #7'!$AC$278</f>
        <v>0</v>
      </c>
      <c r="AH216" s="373"/>
      <c r="AI216" s="391">
        <f>ROUND((AVERAGE(BA216:BG216))/10000,0)*10000</f>
        <v>370000</v>
      </c>
      <c r="AJ216" s="17">
        <f>ROUND((AVERAGE(BI216:BO216))/10000,0)*10000</f>
        <v>280000</v>
      </c>
      <c r="AK216" s="927">
        <f>ROUND((AVERAGE(BA216:BO216))/10000,0)*10000</f>
        <v>330000</v>
      </c>
      <c r="AL216" s="91"/>
      <c r="AN216" s="988" t="s">
        <v>1482</v>
      </c>
      <c r="BA216" s="989">
        <f t="shared" si="445"/>
        <v>100000</v>
      </c>
      <c r="BB216" s="989">
        <f t="shared" si="446"/>
        <v>530500</v>
      </c>
      <c r="BC216" s="989">
        <f t="shared" si="447"/>
        <v>275000</v>
      </c>
      <c r="BD216" s="989" t="str">
        <f t="shared" si="448"/>
        <v/>
      </c>
      <c r="BE216" s="989">
        <f t="shared" si="449"/>
        <v>461111.11111111107</v>
      </c>
      <c r="BF216" s="989">
        <f t="shared" si="450"/>
        <v>500000</v>
      </c>
      <c r="BG216" s="8">
        <f>AVERAGE(AZ216:BF216)</f>
        <v>373322.22222222219</v>
      </c>
      <c r="BH216" s="989"/>
      <c r="BI216" s="989">
        <f>IF(H216=0,"",H216)</f>
        <v>79800</v>
      </c>
      <c r="BJ216" s="989">
        <f>IF(L216=0,"",L216)</f>
        <v>596666.66666666663</v>
      </c>
      <c r="BK216" s="989">
        <f>IF(P216=0,"",P216)</f>
        <v>188222.22222222222</v>
      </c>
      <c r="BL216" s="989">
        <f>IF(T216=0,"",T216)</f>
        <v>192857.14285714287</v>
      </c>
      <c r="BM216" s="989">
        <f>IF(X216=0,"",X216)</f>
        <v>450000</v>
      </c>
      <c r="BN216" s="989">
        <f>IF(AB216=0,"",AB216)</f>
        <v>188055.55555555556</v>
      </c>
      <c r="BO216" s="989" t="str">
        <f t="shared" si="452"/>
        <v/>
      </c>
      <c r="BP216" s="8">
        <f>AVERAGE(BI216:BO216)</f>
        <v>282600.26455026452</v>
      </c>
      <c r="BQ216" s="3"/>
      <c r="BR216" s="8"/>
      <c r="BS216" s="3"/>
      <c r="BT216" s="3"/>
    </row>
    <row r="217" spans="1:72" s="97" customFormat="1" ht="16.5" customHeight="1" x14ac:dyDescent="0.25">
      <c r="A217" s="68"/>
      <c r="B217" s="68"/>
      <c r="C217" s="68"/>
      <c r="D217" s="166"/>
      <c r="E217" s="458"/>
      <c r="F217" s="458"/>
      <c r="G217" s="466"/>
      <c r="H217" s="466"/>
      <c r="I217" s="466"/>
      <c r="J217" s="466"/>
      <c r="K217" s="466"/>
      <c r="L217" s="466"/>
      <c r="M217" s="466"/>
      <c r="N217" s="466"/>
      <c r="O217" s="466"/>
      <c r="P217" s="466"/>
      <c r="Q217" s="466"/>
      <c r="R217" s="466"/>
      <c r="S217" s="466"/>
      <c r="T217" s="466"/>
      <c r="U217" s="466"/>
      <c r="V217" s="466"/>
      <c r="W217" s="466"/>
      <c r="X217" s="466"/>
      <c r="Y217" s="466"/>
      <c r="Z217" s="466"/>
      <c r="AA217" s="466"/>
      <c r="AB217" s="466"/>
      <c r="AC217" s="466"/>
      <c r="AD217" s="466"/>
      <c r="AE217" s="466"/>
      <c r="AF217" s="466"/>
      <c r="AG217" s="466"/>
      <c r="AH217" s="466"/>
      <c r="AI217" s="466"/>
      <c r="AJ217" s="466"/>
      <c r="AK217" s="466"/>
      <c r="AL217" s="466"/>
    </row>
    <row r="218" spans="1:72" s="456" customFormat="1" ht="16.5" customHeight="1" thickBot="1" x14ac:dyDescent="0.3">
      <c r="A218" s="24" t="s">
        <v>287</v>
      </c>
      <c r="B218" s="453" t="s">
        <v>288</v>
      </c>
      <c r="C218" s="26"/>
      <c r="D218" s="454"/>
      <c r="E218" s="454"/>
      <c r="F218" s="455"/>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606"/>
      <c r="AI218" s="630"/>
      <c r="AJ218" s="24"/>
      <c r="AK218" s="24"/>
      <c r="AL218" s="24"/>
    </row>
    <row r="219" spans="1:72" s="117" customFormat="1" ht="16.5" customHeight="1" x14ac:dyDescent="0.25">
      <c r="A219" s="119"/>
      <c r="B219" s="41" t="s">
        <v>289</v>
      </c>
      <c r="C219" s="69" t="s">
        <v>1009</v>
      </c>
      <c r="D219" s="70"/>
      <c r="E219" s="478"/>
      <c r="F219" s="478"/>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355"/>
      <c r="AI219" s="631"/>
      <c r="AJ219" s="272"/>
      <c r="AK219" s="272"/>
      <c r="AL219" s="272"/>
    </row>
    <row r="220" spans="1:72" ht="16.5" customHeight="1" x14ac:dyDescent="0.25">
      <c r="A220" s="40"/>
      <c r="B220" s="40"/>
      <c r="C220" s="473" t="s">
        <v>291</v>
      </c>
      <c r="D220" s="105" t="s">
        <v>292</v>
      </c>
      <c r="E220" s="105"/>
      <c r="F220" s="106"/>
      <c r="G220" s="17">
        <f>'HH WITHOUT COM #1'!$W$283</f>
        <v>1</v>
      </c>
      <c r="H220" s="17">
        <f>'HH WITHOUT COM #1'!$X$283</f>
        <v>1</v>
      </c>
      <c r="I220" s="539">
        <f>SUM(G220:H220)</f>
        <v>2</v>
      </c>
      <c r="J220" s="91">
        <f>IF(I$224=0,0,I220/I$224)</f>
        <v>0.4</v>
      </c>
      <c r="K220" s="17">
        <f>'HH WITHOUT COM #2'!$W$283</f>
        <v>0</v>
      </c>
      <c r="L220" s="17">
        <f>'HH WITHOUT COM #2'!$X$283</f>
        <v>0</v>
      </c>
      <c r="M220" s="539">
        <f>SUM(K220:L220)</f>
        <v>0</v>
      </c>
      <c r="N220" s="91">
        <f>IF(M$224=0,0,M220/M$224)</f>
        <v>0</v>
      </c>
      <c r="O220" s="17">
        <f>'HH WITHOUT COM #3'!$W$283</f>
        <v>0</v>
      </c>
      <c r="P220" s="17">
        <f>'HH WITHOUT COM #3'!$X$283</f>
        <v>0</v>
      </c>
      <c r="Q220" s="539">
        <f>SUM(O220:P220)</f>
        <v>0</v>
      </c>
      <c r="R220" s="91">
        <f>IF(Q$224=0,0,Q220/Q$224)</f>
        <v>0</v>
      </c>
      <c r="S220" s="17">
        <f>'HH WITHOUT COM #4'!$W$283</f>
        <v>0</v>
      </c>
      <c r="T220" s="17">
        <f>'HH WITHOUT COM #4'!$X$283</f>
        <v>0</v>
      </c>
      <c r="U220" s="539">
        <f>SUM(S220:T220)</f>
        <v>0</v>
      </c>
      <c r="V220" s="91">
        <f>IF(U$224=0,0,U220/U$224)</f>
        <v>0</v>
      </c>
      <c r="W220" s="17">
        <f>'HH WITHOUT COM #5'!$W$283</f>
        <v>1</v>
      </c>
      <c r="X220" s="17">
        <f>'HH WITHOUT COM #5'!$X$283</f>
        <v>2</v>
      </c>
      <c r="Y220" s="539">
        <f>SUM(W220:X220)</f>
        <v>3</v>
      </c>
      <c r="Z220" s="91">
        <f>IF(Y$224=0,0,Y220/Y$224)</f>
        <v>0.10714285714285714</v>
      </c>
      <c r="AA220" s="17">
        <f>'HH WITHOUT COM #6'!$W$283</f>
        <v>1</v>
      </c>
      <c r="AB220" s="17">
        <f>'HH WITHOUT COM #6'!$X$283</f>
        <v>2</v>
      </c>
      <c r="AC220" s="539">
        <f>SUM(AA220:AB220)</f>
        <v>3</v>
      </c>
      <c r="AD220" s="91">
        <f>IF(AC$224=0,0,AC220/AC$224)</f>
        <v>0.2</v>
      </c>
      <c r="AE220" s="17">
        <f>'HH WITHOUT COM #7'!$W$283</f>
        <v>0</v>
      </c>
      <c r="AF220" s="17">
        <f>'HH WITHOUT COM #7'!$X$283</f>
        <v>0</v>
      </c>
      <c r="AG220" s="539">
        <f>SUM(AE220:AF220)</f>
        <v>0</v>
      </c>
      <c r="AH220" s="373">
        <f>IF(AG$224=0,0,AG220/AG$224)</f>
        <v>0</v>
      </c>
      <c r="AI220" s="391">
        <f t="shared" ref="AI220:AJ223" si="453">G220+K220+O220+S220+W220+AA220+AE220</f>
        <v>3</v>
      </c>
      <c r="AJ220" s="17">
        <f t="shared" si="453"/>
        <v>5</v>
      </c>
      <c r="AK220" s="539">
        <f t="shared" ref="AK220:AK223" si="454">SUM(AI220:AJ220)</f>
        <v>8</v>
      </c>
      <c r="AL220" s="91">
        <f>IF(AK$224=0,0,AK220/AK$224)</f>
        <v>9.7560975609756101E-2</v>
      </c>
    </row>
    <row r="221" spans="1:72" ht="16.5" customHeight="1" x14ac:dyDescent="0.25">
      <c r="A221" s="40"/>
      <c r="B221" s="40"/>
      <c r="C221" s="473" t="s">
        <v>293</v>
      </c>
      <c r="D221" s="105" t="s">
        <v>11</v>
      </c>
      <c r="E221" s="105"/>
      <c r="F221" s="106"/>
      <c r="G221" s="17">
        <f>'HH WITHOUT COM #1'!$W$284</f>
        <v>0</v>
      </c>
      <c r="H221" s="17">
        <f>'HH WITHOUT COM #1'!$X$284</f>
        <v>0</v>
      </c>
      <c r="I221" s="539">
        <f>SUM(G221:H221)</f>
        <v>0</v>
      </c>
      <c r="J221" s="91">
        <f>IF(I$224=0,0,I221/I$224)</f>
        <v>0</v>
      </c>
      <c r="K221" s="17">
        <f>'HH WITHOUT COM #2'!$W$284</f>
        <v>3</v>
      </c>
      <c r="L221" s="17">
        <f>'HH WITHOUT COM #2'!$X$284</f>
        <v>0</v>
      </c>
      <c r="M221" s="539">
        <f>SUM(K221:L221)</f>
        <v>3</v>
      </c>
      <c r="N221" s="91">
        <f>IF(M$224=0,0,M221/M$224)</f>
        <v>0.1875</v>
      </c>
      <c r="O221" s="17">
        <f>'HH WITHOUT COM #3'!$W$284</f>
        <v>0</v>
      </c>
      <c r="P221" s="17">
        <f>'HH WITHOUT COM #3'!$X$284</f>
        <v>0</v>
      </c>
      <c r="Q221" s="539">
        <f>SUM(O221:P221)</f>
        <v>0</v>
      </c>
      <c r="R221" s="91">
        <f>IF(Q$224=0,0,Q221/Q$224)</f>
        <v>0</v>
      </c>
      <c r="S221" s="17">
        <f>'HH WITHOUT COM #4'!$W$284</f>
        <v>0</v>
      </c>
      <c r="T221" s="17">
        <f>'HH WITHOUT COM #4'!$X$284</f>
        <v>1</v>
      </c>
      <c r="U221" s="539">
        <f>SUM(S221:T221)</f>
        <v>1</v>
      </c>
      <c r="V221" s="91">
        <f>IF(U$224=0,0,U221/U$224)</f>
        <v>0.14285714285714285</v>
      </c>
      <c r="W221" s="17">
        <f>'HH WITHOUT COM #5'!$W$284</f>
        <v>6</v>
      </c>
      <c r="X221" s="17">
        <f>'HH WITHOUT COM #5'!$X$284</f>
        <v>1</v>
      </c>
      <c r="Y221" s="539">
        <f>SUM(W221:X221)</f>
        <v>7</v>
      </c>
      <c r="Z221" s="91">
        <f>IF(Y$224=0,0,Y221/Y$224)</f>
        <v>0.25</v>
      </c>
      <c r="AA221" s="17">
        <f>'HH WITHOUT COM #6'!$W$284</f>
        <v>0</v>
      </c>
      <c r="AB221" s="17">
        <f>'HH WITHOUT COM #6'!$X$284</f>
        <v>0</v>
      </c>
      <c r="AC221" s="539">
        <f>SUM(AA221:AB221)</f>
        <v>0</v>
      </c>
      <c r="AD221" s="91">
        <f>IF(AC$224=0,0,AC221/AC$224)</f>
        <v>0</v>
      </c>
      <c r="AE221" s="17">
        <f>'HH WITHOUT COM #7'!$W$284</f>
        <v>0</v>
      </c>
      <c r="AF221" s="17">
        <f>'HH WITHOUT COM #7'!$X$284</f>
        <v>0</v>
      </c>
      <c r="AG221" s="539">
        <f>SUM(AE221:AF221)</f>
        <v>0</v>
      </c>
      <c r="AH221" s="373">
        <f>IF(AG$224=0,0,AG221/AG$224)</f>
        <v>0</v>
      </c>
      <c r="AI221" s="391">
        <f t="shared" si="453"/>
        <v>9</v>
      </c>
      <c r="AJ221" s="17">
        <f t="shared" si="453"/>
        <v>2</v>
      </c>
      <c r="AK221" s="539">
        <f t="shared" si="454"/>
        <v>11</v>
      </c>
      <c r="AL221" s="91">
        <f>IF(AK$224=0,0,AK221/AK$224)</f>
        <v>0.13414634146341464</v>
      </c>
    </row>
    <row r="222" spans="1:72" ht="16.5" customHeight="1" x14ac:dyDescent="0.25">
      <c r="A222" s="40"/>
      <c r="B222" s="40"/>
      <c r="C222" s="473" t="s">
        <v>294</v>
      </c>
      <c r="D222" s="105" t="s">
        <v>295</v>
      </c>
      <c r="E222" s="105"/>
      <c r="F222" s="106"/>
      <c r="G222" s="17">
        <f>'HH WITHOUT COM #1'!$W$285</f>
        <v>0</v>
      </c>
      <c r="H222" s="17">
        <f>'HH WITHOUT COM #1'!$X$285</f>
        <v>0</v>
      </c>
      <c r="I222" s="539">
        <f>SUM(G222:H222)</f>
        <v>0</v>
      </c>
      <c r="J222" s="91">
        <f>IF(I$224=0,0,I222/I$224)</f>
        <v>0</v>
      </c>
      <c r="K222" s="17">
        <f>'HH WITHOUT COM #2'!$W$285</f>
        <v>2</v>
      </c>
      <c r="L222" s="17">
        <f>'HH WITHOUT COM #2'!$X$285</f>
        <v>0</v>
      </c>
      <c r="M222" s="539">
        <f>SUM(K222:L222)</f>
        <v>2</v>
      </c>
      <c r="N222" s="91">
        <f>IF(M$224=0,0,M222/M$224)</f>
        <v>0.125</v>
      </c>
      <c r="O222" s="17">
        <f>'HH WITHOUT COM #3'!$W$285</f>
        <v>4</v>
      </c>
      <c r="P222" s="17">
        <f>'HH WITHOUT COM #3'!$X$285</f>
        <v>7</v>
      </c>
      <c r="Q222" s="539">
        <f>SUM(O222:P222)</f>
        <v>11</v>
      </c>
      <c r="R222" s="91">
        <f>IF(Q$224=0,0,Q222/Q$224)</f>
        <v>1</v>
      </c>
      <c r="S222" s="17">
        <f>'HH WITHOUT COM #4'!$W$285</f>
        <v>0</v>
      </c>
      <c r="T222" s="17">
        <f>'HH WITHOUT COM #4'!$X$285</f>
        <v>0</v>
      </c>
      <c r="U222" s="539">
        <f>SUM(S222:T222)</f>
        <v>0</v>
      </c>
      <c r="V222" s="91">
        <f>IF(U$224=0,0,U222/U$224)</f>
        <v>0</v>
      </c>
      <c r="W222" s="17">
        <f>'HH WITHOUT COM #5'!$W$285</f>
        <v>0</v>
      </c>
      <c r="X222" s="17">
        <f>'HH WITHOUT COM #5'!$X$285</f>
        <v>0</v>
      </c>
      <c r="Y222" s="539">
        <f>SUM(W222:X222)</f>
        <v>0</v>
      </c>
      <c r="Z222" s="91">
        <f>IF(Y$224=0,0,Y222/Y$224)</f>
        <v>0</v>
      </c>
      <c r="AA222" s="17">
        <f>'HH WITHOUT COM #6'!$W$285</f>
        <v>1</v>
      </c>
      <c r="AB222" s="17">
        <f>'HH WITHOUT COM #6'!$X$285</f>
        <v>7</v>
      </c>
      <c r="AC222" s="539">
        <f>SUM(AA222:AB222)</f>
        <v>8</v>
      </c>
      <c r="AD222" s="91">
        <f>IF(AC$224=0,0,AC222/AC$224)</f>
        <v>0.53333333333333333</v>
      </c>
      <c r="AE222" s="17">
        <f>'HH WITHOUT COM #7'!$W$285</f>
        <v>0</v>
      </c>
      <c r="AF222" s="17">
        <f>'HH WITHOUT COM #7'!$X$285</f>
        <v>0</v>
      </c>
      <c r="AG222" s="539">
        <f>SUM(AE222:AF222)</f>
        <v>0</v>
      </c>
      <c r="AH222" s="373">
        <f>IF(AG$224=0,0,AG222/AG$224)</f>
        <v>0</v>
      </c>
      <c r="AI222" s="391">
        <f t="shared" si="453"/>
        <v>7</v>
      </c>
      <c r="AJ222" s="17">
        <f t="shared" si="453"/>
        <v>14</v>
      </c>
      <c r="AK222" s="539">
        <f t="shared" si="454"/>
        <v>21</v>
      </c>
      <c r="AL222" s="91">
        <f>IF(AK$224=0,0,AK222/AK$224)</f>
        <v>0.25609756097560976</v>
      </c>
    </row>
    <row r="223" spans="1:72" ht="16.5" customHeight="1" x14ac:dyDescent="0.25">
      <c r="A223" s="40"/>
      <c r="B223" s="40"/>
      <c r="C223" s="473" t="s">
        <v>296</v>
      </c>
      <c r="D223" s="105" t="s">
        <v>9</v>
      </c>
      <c r="E223" s="105"/>
      <c r="F223" s="106"/>
      <c r="G223" s="17">
        <f>'HH WITHOUT COM #1'!$W$286</f>
        <v>1</v>
      </c>
      <c r="H223" s="17">
        <f>'HH WITHOUT COM #1'!$X$286</f>
        <v>2</v>
      </c>
      <c r="I223" s="539">
        <f>SUM(G223:H223)</f>
        <v>3</v>
      </c>
      <c r="J223" s="91">
        <f>IF(I$224=0,0,I223/I$224)</f>
        <v>0.6</v>
      </c>
      <c r="K223" s="17">
        <f>'HH WITHOUT COM #2'!$W$286</f>
        <v>4</v>
      </c>
      <c r="L223" s="17">
        <f>'HH WITHOUT COM #2'!$X$286</f>
        <v>7</v>
      </c>
      <c r="M223" s="539">
        <f>SUM(K223:L223)</f>
        <v>11</v>
      </c>
      <c r="N223" s="91">
        <f>IF(M$224=0,0,M223/M$224)</f>
        <v>0.6875</v>
      </c>
      <c r="O223" s="17">
        <f>'HH WITHOUT COM #3'!$W$286</f>
        <v>0</v>
      </c>
      <c r="P223" s="17">
        <f>'HH WITHOUT COM #3'!$X$286</f>
        <v>0</v>
      </c>
      <c r="Q223" s="539">
        <f>SUM(O223:P223)</f>
        <v>0</v>
      </c>
      <c r="R223" s="91">
        <f>IF(Q$224=0,0,Q223/Q$224)</f>
        <v>0</v>
      </c>
      <c r="S223" s="17">
        <f>'HH WITHOUT COM #4'!$W$286</f>
        <v>0</v>
      </c>
      <c r="T223" s="17">
        <f>'HH WITHOUT COM #4'!$X$286</f>
        <v>6</v>
      </c>
      <c r="U223" s="539">
        <f>SUM(S223:T223)</f>
        <v>6</v>
      </c>
      <c r="V223" s="91">
        <f>IF(U$224=0,0,U223/U$224)</f>
        <v>0.8571428571428571</v>
      </c>
      <c r="W223" s="17">
        <f>'HH WITHOUT COM #5'!$W$286</f>
        <v>8</v>
      </c>
      <c r="X223" s="17">
        <f>'HH WITHOUT COM #5'!$X$286</f>
        <v>10</v>
      </c>
      <c r="Y223" s="539">
        <f>SUM(W223:X223)</f>
        <v>18</v>
      </c>
      <c r="Z223" s="91">
        <f>IF(Y$224=0,0,Y223/Y$224)</f>
        <v>0.6428571428571429</v>
      </c>
      <c r="AA223" s="17">
        <f>'HH WITHOUT COM #6'!$W$286</f>
        <v>0</v>
      </c>
      <c r="AB223" s="17">
        <f>'HH WITHOUT COM #6'!$X$286</f>
        <v>4</v>
      </c>
      <c r="AC223" s="539">
        <f>SUM(AA223:AB223)</f>
        <v>4</v>
      </c>
      <c r="AD223" s="91">
        <f>IF(AC$224=0,0,AC223/AC$224)</f>
        <v>0.26666666666666666</v>
      </c>
      <c r="AE223" s="17">
        <f>'HH WITHOUT COM #7'!$W$286</f>
        <v>0</v>
      </c>
      <c r="AF223" s="17">
        <f>'HH WITHOUT COM #7'!$X$286</f>
        <v>0</v>
      </c>
      <c r="AG223" s="539">
        <f>SUM(AE223:AF223)</f>
        <v>0</v>
      </c>
      <c r="AH223" s="373">
        <f>IF(AG$224=0,0,AG223/AG$224)</f>
        <v>0</v>
      </c>
      <c r="AI223" s="391">
        <f t="shared" si="453"/>
        <v>13</v>
      </c>
      <c r="AJ223" s="17">
        <f t="shared" si="453"/>
        <v>29</v>
      </c>
      <c r="AK223" s="539">
        <f t="shared" si="454"/>
        <v>42</v>
      </c>
      <c r="AL223" s="91">
        <f>IF(AK$224=0,0,AK223/AK$224)</f>
        <v>0.51219512195121952</v>
      </c>
    </row>
    <row r="224" spans="1:72" ht="16.5" customHeight="1" x14ac:dyDescent="0.25">
      <c r="A224" s="40"/>
      <c r="B224" s="40"/>
      <c r="C224" s="119"/>
      <c r="D224" s="185"/>
      <c r="E224" s="184"/>
      <c r="F224" s="469"/>
      <c r="G224" s="82">
        <f>SUM(G220:G223)</f>
        <v>2</v>
      </c>
      <c r="H224" s="82">
        <f>SUM(H220:H223)</f>
        <v>3</v>
      </c>
      <c r="I224" s="82">
        <f>SUM(I220:I223)</f>
        <v>5</v>
      </c>
      <c r="J224" s="66">
        <f>IF(I$224=0,0,I224/I$224)</f>
        <v>1</v>
      </c>
      <c r="K224" s="82">
        <f>SUM(K220:K223)</f>
        <v>9</v>
      </c>
      <c r="L224" s="82">
        <f>SUM(L220:L223)</f>
        <v>7</v>
      </c>
      <c r="M224" s="82">
        <f>SUM(M220:M223)</f>
        <v>16</v>
      </c>
      <c r="N224" s="66">
        <f>IF(M$224=0,0,M224/M$224)</f>
        <v>1</v>
      </c>
      <c r="O224" s="82">
        <f>SUM(O220:O223)</f>
        <v>4</v>
      </c>
      <c r="P224" s="82">
        <f>SUM(P220:P223)</f>
        <v>7</v>
      </c>
      <c r="Q224" s="82">
        <f>SUM(Q220:Q223)</f>
        <v>11</v>
      </c>
      <c r="R224" s="66">
        <f>IF(Q$224=0,0,Q224/Q$224)</f>
        <v>1</v>
      </c>
      <c r="S224" s="82">
        <f>SUM(S220:S223)</f>
        <v>0</v>
      </c>
      <c r="T224" s="82">
        <f>SUM(T220:T223)</f>
        <v>7</v>
      </c>
      <c r="U224" s="82">
        <f>SUM(U220:U223)</f>
        <v>7</v>
      </c>
      <c r="V224" s="66">
        <f>IF(U$224=0,0,U224/U$224)</f>
        <v>1</v>
      </c>
      <c r="W224" s="82">
        <f>SUM(W220:W223)</f>
        <v>15</v>
      </c>
      <c r="X224" s="82">
        <f>SUM(X220:X223)</f>
        <v>13</v>
      </c>
      <c r="Y224" s="82">
        <f>SUM(Y220:Y223)</f>
        <v>28</v>
      </c>
      <c r="Z224" s="66">
        <f>IF(Y$224=0,0,Y224/Y$224)</f>
        <v>1</v>
      </c>
      <c r="AA224" s="82">
        <f>SUM(AA220:AA223)</f>
        <v>2</v>
      </c>
      <c r="AB224" s="82">
        <f>SUM(AB220:AB223)</f>
        <v>13</v>
      </c>
      <c r="AC224" s="82">
        <f>SUM(AC220:AC223)</f>
        <v>15</v>
      </c>
      <c r="AD224" s="66">
        <f>IF(AC$224=0,0,AC224/AC$224)</f>
        <v>1</v>
      </c>
      <c r="AE224" s="82">
        <f>SUM(AE220:AE223)</f>
        <v>0</v>
      </c>
      <c r="AF224" s="82">
        <f>SUM(AF220:AF223)</f>
        <v>0</v>
      </c>
      <c r="AG224" s="82">
        <f>SUM(AG220:AG223)</f>
        <v>0</v>
      </c>
      <c r="AH224" s="608">
        <f>IF(AG$224=0,0,AG224/AG$224)</f>
        <v>0</v>
      </c>
      <c r="AI224" s="381">
        <f>SUM(AI220:AI223)</f>
        <v>32</v>
      </c>
      <c r="AJ224" s="82">
        <f>SUM(AJ220:AJ223)</f>
        <v>50</v>
      </c>
      <c r="AK224" s="82">
        <f>SUM(AK220:AK223)</f>
        <v>82</v>
      </c>
      <c r="AL224" s="66">
        <f>IF(AK$224=0,0,AK224/AK$224)</f>
        <v>1</v>
      </c>
    </row>
    <row r="225" spans="1:40" s="117" customFormat="1" ht="16.5" customHeight="1" x14ac:dyDescent="0.25">
      <c r="A225" s="119"/>
      <c r="B225" s="41" t="s">
        <v>297</v>
      </c>
      <c r="C225" s="69" t="s">
        <v>1010</v>
      </c>
      <c r="D225" s="70"/>
      <c r="E225" s="478"/>
      <c r="F225" s="478"/>
      <c r="G225" s="71"/>
      <c r="H225" s="71"/>
      <c r="I225" s="71"/>
      <c r="J225" s="71"/>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355"/>
      <c r="AI225" s="377"/>
      <c r="AJ225" s="71"/>
      <c r="AK225" s="71"/>
      <c r="AL225" s="71"/>
    </row>
    <row r="226" spans="1:40" ht="16.5" customHeight="1" x14ac:dyDescent="0.25">
      <c r="A226" s="40"/>
      <c r="B226" s="40"/>
      <c r="C226" s="473" t="s">
        <v>298</v>
      </c>
      <c r="D226" s="105" t="s">
        <v>292</v>
      </c>
      <c r="E226" s="105"/>
      <c r="F226" s="106"/>
      <c r="G226" s="17">
        <f>'HH WITHOUT COM #1'!$W$290</f>
        <v>0</v>
      </c>
      <c r="H226" s="17">
        <f>'HH WITHOUT COM #1'!$X$290</f>
        <v>0</v>
      </c>
      <c r="I226" s="539">
        <f>SUM(G226:H226)</f>
        <v>0</v>
      </c>
      <c r="J226" s="91">
        <f>IF(I$230=0,0,I226/I$230)</f>
        <v>0</v>
      </c>
      <c r="K226" s="17">
        <f>'HH WITHOUT COM #2'!$W$290</f>
        <v>0</v>
      </c>
      <c r="L226" s="17">
        <f>'HH WITHOUT COM #2'!$X$290</f>
        <v>0</v>
      </c>
      <c r="M226" s="539">
        <f>SUM(K226:L226)</f>
        <v>0</v>
      </c>
      <c r="N226" s="91">
        <f>IF(M$230=0,0,M226/M$230)</f>
        <v>0</v>
      </c>
      <c r="O226" s="17">
        <f>'HH WITHOUT COM #3'!$W$290</f>
        <v>0</v>
      </c>
      <c r="P226" s="17">
        <f>'HH WITHOUT COM #3'!$X$290</f>
        <v>0</v>
      </c>
      <c r="Q226" s="539">
        <f>SUM(O226:P226)</f>
        <v>0</v>
      </c>
      <c r="R226" s="91">
        <f>IF(Q$230=0,0,Q226/Q$230)</f>
        <v>0</v>
      </c>
      <c r="S226" s="17">
        <f>'HH WITHOUT COM #4'!$W$290</f>
        <v>0</v>
      </c>
      <c r="T226" s="17">
        <f>'HH WITHOUT COM #4'!$X$290</f>
        <v>0</v>
      </c>
      <c r="U226" s="539">
        <f>SUM(S226:T226)</f>
        <v>0</v>
      </c>
      <c r="V226" s="91">
        <f>IF(U$230=0,0,U226/U$230)</f>
        <v>0</v>
      </c>
      <c r="W226" s="17">
        <f>'HH WITHOUT COM #5'!$W$290</f>
        <v>1</v>
      </c>
      <c r="X226" s="17">
        <f>'HH WITHOUT COM #5'!$X$290</f>
        <v>2</v>
      </c>
      <c r="Y226" s="539">
        <f>SUM(W226:X226)</f>
        <v>3</v>
      </c>
      <c r="Z226" s="91">
        <f>IF(Y$230=0,0,Y226/Y$230)</f>
        <v>0.10714285714285714</v>
      </c>
      <c r="AA226" s="17">
        <f>'HH WITHOUT COM #6'!$W$290</f>
        <v>0</v>
      </c>
      <c r="AB226" s="17">
        <f>'HH WITHOUT COM #6'!$X$290</f>
        <v>0</v>
      </c>
      <c r="AC226" s="539">
        <f>SUM(AA226:AB226)</f>
        <v>0</v>
      </c>
      <c r="AD226" s="91">
        <f>IF(AC$230=0,0,AC226/AC$230)</f>
        <v>0</v>
      </c>
      <c r="AE226" s="17">
        <f>'HH WITHOUT COM #7'!$W$290</f>
        <v>0</v>
      </c>
      <c r="AF226" s="17">
        <f>'HH WITHOUT COM #7'!$X$290</f>
        <v>0</v>
      </c>
      <c r="AG226" s="539">
        <f>SUM(AE226:AF226)</f>
        <v>0</v>
      </c>
      <c r="AH226" s="373">
        <f>IF(AG$230=0,0,AG226/AG$230)</f>
        <v>0</v>
      </c>
      <c r="AI226" s="391">
        <f t="shared" ref="AI226:AJ229" si="455">G226+K226+O226+S226+W226+AA226+AE226</f>
        <v>1</v>
      </c>
      <c r="AJ226" s="17">
        <f t="shared" si="455"/>
        <v>2</v>
      </c>
      <c r="AK226" s="539">
        <f t="shared" ref="AK226:AK229" si="456">SUM(AI226:AJ226)</f>
        <v>3</v>
      </c>
      <c r="AL226" s="91">
        <f>IF(AK$230=0,0,AK226/AK$230)</f>
        <v>3.6585365853658534E-2</v>
      </c>
    </row>
    <row r="227" spans="1:40" ht="16.5" customHeight="1" x14ac:dyDescent="0.25">
      <c r="A227" s="40"/>
      <c r="B227" s="40"/>
      <c r="C227" s="473" t="s">
        <v>299</v>
      </c>
      <c r="D227" s="105" t="s">
        <v>11</v>
      </c>
      <c r="E227" s="105"/>
      <c r="F227" s="106"/>
      <c r="G227" s="17">
        <f>'HH WITHOUT COM #1'!$W$291</f>
        <v>0</v>
      </c>
      <c r="H227" s="17">
        <f>'HH WITHOUT COM #1'!$X$291</f>
        <v>0</v>
      </c>
      <c r="I227" s="539">
        <f>SUM(G227:H227)</f>
        <v>0</v>
      </c>
      <c r="J227" s="91">
        <f t="shared" ref="J227:J230" si="457">IF(I$230=0,0,I227/I$230)</f>
        <v>0</v>
      </c>
      <c r="K227" s="17">
        <f>'HH WITHOUT COM #2'!$W$291</f>
        <v>6</v>
      </c>
      <c r="L227" s="17">
        <f>'HH WITHOUT COM #2'!$X$291</f>
        <v>1</v>
      </c>
      <c r="M227" s="539">
        <f>SUM(K227:L227)</f>
        <v>7</v>
      </c>
      <c r="N227" s="91">
        <f t="shared" ref="N227:N230" si="458">IF(M$230=0,0,M227/M$230)</f>
        <v>0.4375</v>
      </c>
      <c r="O227" s="17">
        <f>'HH WITHOUT COM #3'!$W$291</f>
        <v>0</v>
      </c>
      <c r="P227" s="17">
        <f>'HH WITHOUT COM #3'!$X$291</f>
        <v>0</v>
      </c>
      <c r="Q227" s="539">
        <f>SUM(O227:P227)</f>
        <v>0</v>
      </c>
      <c r="R227" s="91">
        <f t="shared" ref="R227:R230" si="459">IF(Q$230=0,0,Q227/Q$230)</f>
        <v>0</v>
      </c>
      <c r="S227" s="17">
        <f>'HH WITHOUT COM #4'!$W$291</f>
        <v>0</v>
      </c>
      <c r="T227" s="17">
        <f>'HH WITHOUT COM #4'!$X$291</f>
        <v>7</v>
      </c>
      <c r="U227" s="539">
        <f>SUM(S227:T227)</f>
        <v>7</v>
      </c>
      <c r="V227" s="91">
        <f t="shared" ref="V227:V230" si="460">IF(U$230=0,0,U227/U$230)</f>
        <v>1</v>
      </c>
      <c r="W227" s="17">
        <f>'HH WITHOUT COM #5'!$W$291</f>
        <v>7</v>
      </c>
      <c r="X227" s="17">
        <f>'HH WITHOUT COM #5'!$X$291</f>
        <v>5</v>
      </c>
      <c r="Y227" s="539">
        <f>SUM(W227:X227)</f>
        <v>12</v>
      </c>
      <c r="Z227" s="91">
        <f t="shared" ref="Z227:Z230" si="461">IF(Y$230=0,0,Y227/Y$230)</f>
        <v>0.42857142857142855</v>
      </c>
      <c r="AA227" s="17">
        <f>'HH WITHOUT COM #6'!$W$291</f>
        <v>1</v>
      </c>
      <c r="AB227" s="17">
        <f>'HH WITHOUT COM #6'!$X$291</f>
        <v>4</v>
      </c>
      <c r="AC227" s="539">
        <f>SUM(AA227:AB227)</f>
        <v>5</v>
      </c>
      <c r="AD227" s="91">
        <f t="shared" ref="AD227:AD230" si="462">IF(AC$230=0,0,AC227/AC$230)</f>
        <v>0.33333333333333331</v>
      </c>
      <c r="AE227" s="17">
        <f>'HH WITHOUT COM #7'!$W$291</f>
        <v>0</v>
      </c>
      <c r="AF227" s="17">
        <f>'HH WITHOUT COM #7'!$X$291</f>
        <v>0</v>
      </c>
      <c r="AG227" s="539">
        <f>SUM(AE227:AF227)</f>
        <v>0</v>
      </c>
      <c r="AH227" s="373">
        <f t="shared" ref="AH227:AH230" si="463">IF(AG$230=0,0,AG227/AG$230)</f>
        <v>0</v>
      </c>
      <c r="AI227" s="391">
        <f t="shared" si="455"/>
        <v>14</v>
      </c>
      <c r="AJ227" s="17">
        <f t="shared" si="455"/>
        <v>17</v>
      </c>
      <c r="AK227" s="539">
        <f t="shared" si="456"/>
        <v>31</v>
      </c>
      <c r="AL227" s="91">
        <f t="shared" ref="AL227:AL230" si="464">IF(AK$230=0,0,AK227/AK$230)</f>
        <v>0.37804878048780488</v>
      </c>
    </row>
    <row r="228" spans="1:40" ht="16.5" customHeight="1" x14ac:dyDescent="0.25">
      <c r="A228" s="40"/>
      <c r="B228" s="40"/>
      <c r="C228" s="473" t="s">
        <v>301</v>
      </c>
      <c r="D228" s="105" t="s">
        <v>295</v>
      </c>
      <c r="E228" s="105"/>
      <c r="F228" s="106"/>
      <c r="G228" s="17">
        <f>'HH WITHOUT COM #1'!$W$292</f>
        <v>0</v>
      </c>
      <c r="H228" s="17">
        <f>'HH WITHOUT COM #1'!$X$292</f>
        <v>0</v>
      </c>
      <c r="I228" s="539">
        <f>SUM(G228:H228)</f>
        <v>0</v>
      </c>
      <c r="J228" s="91">
        <f t="shared" si="457"/>
        <v>0</v>
      </c>
      <c r="K228" s="17">
        <f>'HH WITHOUT COM #2'!$W$292</f>
        <v>3</v>
      </c>
      <c r="L228" s="17">
        <f>'HH WITHOUT COM #2'!$X$292</f>
        <v>6</v>
      </c>
      <c r="M228" s="539">
        <f>SUM(K228:L228)</f>
        <v>9</v>
      </c>
      <c r="N228" s="91">
        <f t="shared" si="458"/>
        <v>0.5625</v>
      </c>
      <c r="O228" s="17">
        <f>'HH WITHOUT COM #3'!$W$292</f>
        <v>4</v>
      </c>
      <c r="P228" s="17">
        <f>'HH WITHOUT COM #3'!$X$292</f>
        <v>7</v>
      </c>
      <c r="Q228" s="539">
        <f>SUM(O228:P228)</f>
        <v>11</v>
      </c>
      <c r="R228" s="91">
        <f t="shared" si="459"/>
        <v>1</v>
      </c>
      <c r="S228" s="17">
        <f>'HH WITHOUT COM #4'!$W$292</f>
        <v>0</v>
      </c>
      <c r="T228" s="17">
        <f>'HH WITHOUT COM #4'!$X$292</f>
        <v>0</v>
      </c>
      <c r="U228" s="539">
        <f>SUM(S228:T228)</f>
        <v>0</v>
      </c>
      <c r="V228" s="91">
        <f t="shared" si="460"/>
        <v>0</v>
      </c>
      <c r="W228" s="17">
        <f>'HH WITHOUT COM #5'!$W$292</f>
        <v>2</v>
      </c>
      <c r="X228" s="17">
        <f>'HH WITHOUT COM #5'!$X$292</f>
        <v>4</v>
      </c>
      <c r="Y228" s="539">
        <f>SUM(W228:X228)</f>
        <v>6</v>
      </c>
      <c r="Z228" s="91">
        <f t="shared" si="461"/>
        <v>0.21428571428571427</v>
      </c>
      <c r="AA228" s="17">
        <f>'HH WITHOUT COM #6'!$W$292</f>
        <v>1</v>
      </c>
      <c r="AB228" s="17">
        <f>'HH WITHOUT COM #6'!$X$292</f>
        <v>7</v>
      </c>
      <c r="AC228" s="539">
        <f>SUM(AA228:AB228)</f>
        <v>8</v>
      </c>
      <c r="AD228" s="91">
        <f t="shared" si="462"/>
        <v>0.53333333333333333</v>
      </c>
      <c r="AE228" s="17">
        <f>'HH WITHOUT COM #7'!$W$292</f>
        <v>0</v>
      </c>
      <c r="AF228" s="17">
        <f>'HH WITHOUT COM #7'!$X$292</f>
        <v>0</v>
      </c>
      <c r="AG228" s="539">
        <f>SUM(AE228:AF228)</f>
        <v>0</v>
      </c>
      <c r="AH228" s="373">
        <f t="shared" si="463"/>
        <v>0</v>
      </c>
      <c r="AI228" s="391">
        <f t="shared" si="455"/>
        <v>10</v>
      </c>
      <c r="AJ228" s="17">
        <f t="shared" si="455"/>
        <v>24</v>
      </c>
      <c r="AK228" s="539">
        <f t="shared" si="456"/>
        <v>34</v>
      </c>
      <c r="AL228" s="91">
        <f t="shared" si="464"/>
        <v>0.41463414634146339</v>
      </c>
    </row>
    <row r="229" spans="1:40" ht="16.5" customHeight="1" x14ac:dyDescent="0.25">
      <c r="A229" s="40"/>
      <c r="B229" s="40"/>
      <c r="C229" s="473" t="s">
        <v>303</v>
      </c>
      <c r="D229" s="105" t="s">
        <v>9</v>
      </c>
      <c r="E229" s="105"/>
      <c r="F229" s="106"/>
      <c r="G229" s="17">
        <f>'HH WITHOUT COM #1'!$W$293</f>
        <v>2</v>
      </c>
      <c r="H229" s="17">
        <f>'HH WITHOUT COM #1'!$X$293</f>
        <v>3</v>
      </c>
      <c r="I229" s="539">
        <f>SUM(G229:H229)</f>
        <v>5</v>
      </c>
      <c r="J229" s="91">
        <f t="shared" si="457"/>
        <v>1</v>
      </c>
      <c r="K229" s="17">
        <f>'HH WITHOUT COM #2'!$W$293</f>
        <v>0</v>
      </c>
      <c r="L229" s="17">
        <f>'HH WITHOUT COM #2'!$X$293</f>
        <v>0</v>
      </c>
      <c r="M229" s="539">
        <f>SUM(K229:L229)</f>
        <v>0</v>
      </c>
      <c r="N229" s="91">
        <f t="shared" si="458"/>
        <v>0</v>
      </c>
      <c r="O229" s="17">
        <f>'HH WITHOUT COM #3'!$W$293</f>
        <v>0</v>
      </c>
      <c r="P229" s="17">
        <f>'HH WITHOUT COM #3'!$X$293</f>
        <v>0</v>
      </c>
      <c r="Q229" s="539">
        <f>SUM(O229:P229)</f>
        <v>0</v>
      </c>
      <c r="R229" s="91">
        <f t="shared" si="459"/>
        <v>0</v>
      </c>
      <c r="S229" s="17">
        <f>'HH WITHOUT COM #4'!$W$293</f>
        <v>0</v>
      </c>
      <c r="T229" s="17">
        <f>'HH WITHOUT COM #4'!$X$293</f>
        <v>0</v>
      </c>
      <c r="U229" s="539">
        <f>SUM(S229:T229)</f>
        <v>0</v>
      </c>
      <c r="V229" s="91">
        <f t="shared" si="460"/>
        <v>0</v>
      </c>
      <c r="W229" s="17">
        <f>'HH WITHOUT COM #5'!$W$293</f>
        <v>5</v>
      </c>
      <c r="X229" s="17">
        <f>'HH WITHOUT COM #5'!$X$293</f>
        <v>2</v>
      </c>
      <c r="Y229" s="539">
        <f>SUM(W229:X229)</f>
        <v>7</v>
      </c>
      <c r="Z229" s="91">
        <f t="shared" si="461"/>
        <v>0.25</v>
      </c>
      <c r="AA229" s="17">
        <f>'HH WITHOUT COM #6'!$W$293</f>
        <v>0</v>
      </c>
      <c r="AB229" s="17">
        <f>'HH WITHOUT COM #6'!$X$293</f>
        <v>2</v>
      </c>
      <c r="AC229" s="539">
        <f>SUM(AA229:AB229)</f>
        <v>2</v>
      </c>
      <c r="AD229" s="91">
        <f t="shared" si="462"/>
        <v>0.13333333333333333</v>
      </c>
      <c r="AE229" s="17">
        <f>'HH WITHOUT COM #7'!$W$293</f>
        <v>0</v>
      </c>
      <c r="AF229" s="17">
        <f>'HH WITHOUT COM #7'!$X$293</f>
        <v>0</v>
      </c>
      <c r="AG229" s="539">
        <f>SUM(AE229:AF229)</f>
        <v>0</v>
      </c>
      <c r="AH229" s="373">
        <f t="shared" si="463"/>
        <v>0</v>
      </c>
      <c r="AI229" s="391">
        <f t="shared" si="455"/>
        <v>7</v>
      </c>
      <c r="AJ229" s="17">
        <f t="shared" si="455"/>
        <v>7</v>
      </c>
      <c r="AK229" s="539">
        <f t="shared" si="456"/>
        <v>14</v>
      </c>
      <c r="AL229" s="91">
        <f t="shared" si="464"/>
        <v>0.17073170731707318</v>
      </c>
    </row>
    <row r="230" spans="1:40" ht="16.5" customHeight="1" x14ac:dyDescent="0.25">
      <c r="A230" s="40"/>
      <c r="B230" s="40"/>
      <c r="C230" s="119"/>
      <c r="D230" s="185"/>
      <c r="E230" s="184"/>
      <c r="F230" s="469"/>
      <c r="G230" s="82">
        <f>SUM(G226:G229)</f>
        <v>2</v>
      </c>
      <c r="H230" s="82">
        <f>SUM(H226:H229)</f>
        <v>3</v>
      </c>
      <c r="I230" s="82">
        <f>SUM(I226:I229)</f>
        <v>5</v>
      </c>
      <c r="J230" s="66">
        <f t="shared" si="457"/>
        <v>1</v>
      </c>
      <c r="K230" s="82">
        <f>SUM(K226:K229)</f>
        <v>9</v>
      </c>
      <c r="L230" s="82">
        <f>SUM(L226:L229)</f>
        <v>7</v>
      </c>
      <c r="M230" s="82">
        <f>SUM(M226:M229)</f>
        <v>16</v>
      </c>
      <c r="N230" s="66">
        <f t="shared" si="458"/>
        <v>1</v>
      </c>
      <c r="O230" s="82">
        <f>SUM(O226:O229)</f>
        <v>4</v>
      </c>
      <c r="P230" s="82">
        <f>SUM(P226:P229)</f>
        <v>7</v>
      </c>
      <c r="Q230" s="82">
        <f>SUM(Q226:Q229)</f>
        <v>11</v>
      </c>
      <c r="R230" s="66">
        <f t="shared" si="459"/>
        <v>1</v>
      </c>
      <c r="S230" s="82">
        <f>SUM(S226:S229)</f>
        <v>0</v>
      </c>
      <c r="T230" s="82">
        <f>SUM(T226:T229)</f>
        <v>7</v>
      </c>
      <c r="U230" s="82">
        <f>SUM(U226:U229)</f>
        <v>7</v>
      </c>
      <c r="V230" s="66">
        <f t="shared" si="460"/>
        <v>1</v>
      </c>
      <c r="W230" s="82">
        <f>SUM(W226:W229)</f>
        <v>15</v>
      </c>
      <c r="X230" s="82">
        <f>SUM(X226:X229)</f>
        <v>13</v>
      </c>
      <c r="Y230" s="82">
        <f>SUM(Y226:Y229)</f>
        <v>28</v>
      </c>
      <c r="Z230" s="66">
        <f t="shared" si="461"/>
        <v>1</v>
      </c>
      <c r="AA230" s="82">
        <f>SUM(AA226:AA229)</f>
        <v>2</v>
      </c>
      <c r="AB230" s="82">
        <f>SUM(AB226:AB229)</f>
        <v>13</v>
      </c>
      <c r="AC230" s="82">
        <f>SUM(AC226:AC229)</f>
        <v>15</v>
      </c>
      <c r="AD230" s="66">
        <f t="shared" si="462"/>
        <v>1</v>
      </c>
      <c r="AE230" s="82">
        <f>SUM(AE226:AE229)</f>
        <v>0</v>
      </c>
      <c r="AF230" s="82">
        <f>SUM(AF226:AF229)</f>
        <v>0</v>
      </c>
      <c r="AG230" s="82">
        <f>SUM(AG226:AG229)</f>
        <v>0</v>
      </c>
      <c r="AH230" s="608">
        <f t="shared" si="463"/>
        <v>0</v>
      </c>
      <c r="AI230" s="381">
        <f>SUM(AI226:AI229)</f>
        <v>32</v>
      </c>
      <c r="AJ230" s="82">
        <f>SUM(AJ226:AJ229)</f>
        <v>50</v>
      </c>
      <c r="AK230" s="82">
        <f>SUM(AK226:AK229)</f>
        <v>82</v>
      </c>
      <c r="AL230" s="66">
        <f t="shared" si="464"/>
        <v>1</v>
      </c>
    </row>
    <row r="231" spans="1:40" s="117" customFormat="1" ht="16.5" customHeight="1" x14ac:dyDescent="0.25">
      <c r="A231" s="119"/>
      <c r="B231" s="41" t="s">
        <v>306</v>
      </c>
      <c r="C231" s="42" t="s">
        <v>878</v>
      </c>
      <c r="D231" s="70"/>
      <c r="E231" s="478"/>
      <c r="F231" s="478"/>
      <c r="G231" s="71"/>
      <c r="H231" s="71"/>
      <c r="I231" s="71"/>
      <c r="J231" s="71"/>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355"/>
      <c r="AI231" s="377"/>
      <c r="AJ231" s="71"/>
      <c r="AK231" s="71"/>
      <c r="AL231" s="71"/>
    </row>
    <row r="232" spans="1:40" s="117" customFormat="1" ht="16.5" customHeight="1" x14ac:dyDescent="0.25">
      <c r="A232" s="119"/>
      <c r="B232" s="40"/>
      <c r="C232" s="473" t="s">
        <v>308</v>
      </c>
      <c r="D232" s="484" t="s">
        <v>292</v>
      </c>
      <c r="E232" s="75"/>
      <c r="F232" s="106"/>
      <c r="G232" s="17">
        <f>'HH WITHOUT COM #1'!$W$297</f>
        <v>0</v>
      </c>
      <c r="H232" s="17">
        <f>'HH WITHOUT COM #1'!$X$297</f>
        <v>0</v>
      </c>
      <c r="I232" s="539">
        <f t="shared" ref="I232:I242" si="465">SUM(G232:H232)</f>
        <v>0</v>
      </c>
      <c r="J232" s="91">
        <f>IF(I$243=0,0,I232/I$243)</f>
        <v>0</v>
      </c>
      <c r="K232" s="17">
        <f>'HH WITHOUT COM #2'!$W$297</f>
        <v>6</v>
      </c>
      <c r="L232" s="17">
        <f>'HH WITHOUT COM #2'!$X$297</f>
        <v>1</v>
      </c>
      <c r="M232" s="539">
        <f t="shared" ref="M232:M242" si="466">SUM(K232:L232)</f>
        <v>7</v>
      </c>
      <c r="N232" s="91">
        <f>IF(M$243=0,0,M232/M$243)</f>
        <v>0.4375</v>
      </c>
      <c r="O232" s="17">
        <f>'HH WITHOUT COM #3'!$W$297</f>
        <v>0</v>
      </c>
      <c r="P232" s="17">
        <f>'HH WITHOUT COM #3'!$X$297</f>
        <v>0</v>
      </c>
      <c r="Q232" s="539">
        <f t="shared" ref="Q232:Q242" si="467">SUM(O232:P232)</f>
        <v>0</v>
      </c>
      <c r="R232" s="91">
        <f>IF(Q$243=0,0,Q232/Q$243)</f>
        <v>0</v>
      </c>
      <c r="S232" s="17">
        <f>'HH WITHOUT COM #4'!$W$297</f>
        <v>0</v>
      </c>
      <c r="T232" s="17">
        <f>'HH WITHOUT COM #4'!$X$297</f>
        <v>0</v>
      </c>
      <c r="U232" s="539">
        <f t="shared" ref="U232:U242" si="468">SUM(S232:T232)</f>
        <v>0</v>
      </c>
      <c r="V232" s="91">
        <f>IF(U$243=0,0,U232/U$243)</f>
        <v>0</v>
      </c>
      <c r="W232" s="17">
        <f>'HH WITHOUT COM #5'!$W$297</f>
        <v>1</v>
      </c>
      <c r="X232" s="17">
        <f>'HH WITHOUT COM #5'!$X$297</f>
        <v>2</v>
      </c>
      <c r="Y232" s="539">
        <f t="shared" ref="Y232:Y242" si="469">SUM(W232:X232)</f>
        <v>3</v>
      </c>
      <c r="Z232" s="91">
        <f>IF(Y$243=0,0,Y232/Y$243)</f>
        <v>0.10714285714285714</v>
      </c>
      <c r="AA232" s="17">
        <f>'HH WITHOUT COM #6'!$W$297</f>
        <v>1</v>
      </c>
      <c r="AB232" s="17">
        <f>'HH WITHOUT COM #6'!$X$297</f>
        <v>4</v>
      </c>
      <c r="AC232" s="539">
        <f t="shared" ref="AC232:AC242" si="470">SUM(AA232:AB232)</f>
        <v>5</v>
      </c>
      <c r="AD232" s="91">
        <f>IF(AC$243=0,0,AC232/AC$243)</f>
        <v>0.33333333333333331</v>
      </c>
      <c r="AE232" s="17">
        <f>'HH WITHOUT COM #7'!$W$297</f>
        <v>0</v>
      </c>
      <c r="AF232" s="17">
        <f>'HH WITHOUT COM #7'!$X$297</f>
        <v>0</v>
      </c>
      <c r="AG232" s="539">
        <f t="shared" ref="AG232:AG242" si="471">SUM(AE232:AF232)</f>
        <v>0</v>
      </c>
      <c r="AH232" s="373">
        <f>IF(AG$243=0,0,AG232/AG$243)</f>
        <v>0</v>
      </c>
      <c r="AI232" s="391">
        <f t="shared" ref="AI232:AJ242" si="472">G232+K232+O232+S232+W232+AA232+AE232</f>
        <v>8</v>
      </c>
      <c r="AJ232" s="17">
        <f t="shared" si="472"/>
        <v>7</v>
      </c>
      <c r="AK232" s="539">
        <f t="shared" ref="AK232:AK242" si="473">SUM(AI232:AJ232)</f>
        <v>15</v>
      </c>
      <c r="AL232" s="91">
        <f>IF(AK$243=0,0,AK232/AK$243)</f>
        <v>0.16666666666666666</v>
      </c>
    </row>
    <row r="233" spans="1:40" s="117" customFormat="1" ht="16.5" customHeight="1" x14ac:dyDescent="0.25">
      <c r="A233" s="119"/>
      <c r="B233" s="40"/>
      <c r="C233" s="473" t="s">
        <v>309</v>
      </c>
      <c r="D233" s="498" t="s">
        <v>757</v>
      </c>
      <c r="E233" s="75"/>
      <c r="F233" s="106"/>
      <c r="G233" s="17">
        <f>'HH WITHOUT COM #1'!$W$298</f>
        <v>0</v>
      </c>
      <c r="H233" s="17">
        <f>'HH WITHOUT COM #1'!$X$298</f>
        <v>0</v>
      </c>
      <c r="I233" s="539">
        <f t="shared" si="465"/>
        <v>0</v>
      </c>
      <c r="J233" s="91">
        <f t="shared" ref="J233:J242" si="474">IF(I$243=0,0,I233/I$243)</f>
        <v>0</v>
      </c>
      <c r="K233" s="17">
        <f>'HH WITHOUT COM #2'!$W$298</f>
        <v>0</v>
      </c>
      <c r="L233" s="17">
        <f>'HH WITHOUT COM #2'!$X$298</f>
        <v>0</v>
      </c>
      <c r="M233" s="539">
        <f t="shared" si="466"/>
        <v>0</v>
      </c>
      <c r="N233" s="91">
        <f t="shared" ref="N233:N242" si="475">IF(M$243=0,0,M233/M$243)</f>
        <v>0</v>
      </c>
      <c r="O233" s="17">
        <f>'HH WITHOUT COM #3'!$W$298</f>
        <v>0</v>
      </c>
      <c r="P233" s="17">
        <f>'HH WITHOUT COM #3'!$X$298</f>
        <v>0</v>
      </c>
      <c r="Q233" s="539">
        <f t="shared" si="467"/>
        <v>0</v>
      </c>
      <c r="R233" s="91">
        <f t="shared" ref="R233:R242" si="476">IF(Q$243=0,0,Q233/Q$243)</f>
        <v>0</v>
      </c>
      <c r="S233" s="17">
        <f>'HH WITHOUT COM #4'!$W$298</f>
        <v>0</v>
      </c>
      <c r="T233" s="17">
        <f>'HH WITHOUT COM #4'!$X$298</f>
        <v>7</v>
      </c>
      <c r="U233" s="539">
        <f t="shared" si="468"/>
        <v>7</v>
      </c>
      <c r="V233" s="91">
        <f t="shared" ref="V233:V242" si="477">IF(U$243=0,0,U233/U$243)</f>
        <v>1</v>
      </c>
      <c r="W233" s="17">
        <f>'HH WITHOUT COM #5'!$W$298</f>
        <v>5</v>
      </c>
      <c r="X233" s="17">
        <f>'HH WITHOUT COM #5'!$X$298</f>
        <v>5</v>
      </c>
      <c r="Y233" s="539">
        <f t="shared" si="469"/>
        <v>10</v>
      </c>
      <c r="Z233" s="91">
        <f t="shared" ref="Z233:Z242" si="478">IF(Y$243=0,0,Y233/Y$243)</f>
        <v>0.35714285714285715</v>
      </c>
      <c r="AA233" s="17">
        <f>'HH WITHOUT COM #6'!$W$298</f>
        <v>0</v>
      </c>
      <c r="AB233" s="17">
        <f>'HH WITHOUT COM #6'!$X$298</f>
        <v>0</v>
      </c>
      <c r="AC233" s="539">
        <f t="shared" si="470"/>
        <v>0</v>
      </c>
      <c r="AD233" s="91">
        <f t="shared" ref="AD233:AD242" si="479">IF(AC$243=0,0,AC233/AC$243)</f>
        <v>0</v>
      </c>
      <c r="AE233" s="17">
        <f>'HH WITHOUT COM #7'!$W$298</f>
        <v>0</v>
      </c>
      <c r="AF233" s="17">
        <f>'HH WITHOUT COM #7'!$X$298</f>
        <v>0</v>
      </c>
      <c r="AG233" s="539">
        <f t="shared" si="471"/>
        <v>0</v>
      </c>
      <c r="AH233" s="373">
        <f t="shared" ref="AH233:AH242" si="480">IF(AG$243=0,0,AG233/AG$243)</f>
        <v>0</v>
      </c>
      <c r="AI233" s="391">
        <f t="shared" si="472"/>
        <v>5</v>
      </c>
      <c r="AJ233" s="17">
        <f t="shared" si="472"/>
        <v>12</v>
      </c>
      <c r="AK233" s="539">
        <f t="shared" si="473"/>
        <v>17</v>
      </c>
      <c r="AL233" s="91">
        <f t="shared" ref="AL233:AL242" si="481">IF(AK$243=0,0,AK233/AK$243)</f>
        <v>0.18888888888888888</v>
      </c>
    </row>
    <row r="234" spans="1:40" ht="16.5" customHeight="1" x14ac:dyDescent="0.25">
      <c r="A234" s="40"/>
      <c r="B234" s="40"/>
      <c r="C234" s="473" t="s">
        <v>489</v>
      </c>
      <c r="D234" s="484" t="s">
        <v>300</v>
      </c>
      <c r="E234" s="75"/>
      <c r="F234" s="106"/>
      <c r="G234" s="17">
        <f>'HH WITHOUT COM #1'!$W$299</f>
        <v>0</v>
      </c>
      <c r="H234" s="17">
        <f>'HH WITHOUT COM #1'!$X$299</f>
        <v>0</v>
      </c>
      <c r="I234" s="539">
        <f t="shared" si="465"/>
        <v>0</v>
      </c>
      <c r="J234" s="91">
        <f t="shared" si="474"/>
        <v>0</v>
      </c>
      <c r="K234" s="17">
        <f>'HH WITHOUT COM #2'!$W$299</f>
        <v>3</v>
      </c>
      <c r="L234" s="17">
        <f>'HH WITHOUT COM #2'!$X$299</f>
        <v>1</v>
      </c>
      <c r="M234" s="539">
        <f t="shared" si="466"/>
        <v>4</v>
      </c>
      <c r="N234" s="91">
        <f t="shared" si="475"/>
        <v>0.25</v>
      </c>
      <c r="O234" s="17">
        <f>'HH WITHOUT COM #3'!$W$299</f>
        <v>0</v>
      </c>
      <c r="P234" s="17">
        <f>'HH WITHOUT COM #3'!$X$299</f>
        <v>0</v>
      </c>
      <c r="Q234" s="539">
        <f t="shared" si="467"/>
        <v>0</v>
      </c>
      <c r="R234" s="91">
        <f t="shared" si="476"/>
        <v>0</v>
      </c>
      <c r="S234" s="17">
        <f>'HH WITHOUT COM #4'!$W$299</f>
        <v>0</v>
      </c>
      <c r="T234" s="17">
        <f>'HH WITHOUT COM #4'!$X$299</f>
        <v>0</v>
      </c>
      <c r="U234" s="539">
        <f t="shared" si="468"/>
        <v>0</v>
      </c>
      <c r="V234" s="91">
        <f t="shared" si="477"/>
        <v>0</v>
      </c>
      <c r="W234" s="17">
        <f>'HH WITHOUT COM #5'!$W$299</f>
        <v>0</v>
      </c>
      <c r="X234" s="17">
        <f>'HH WITHOUT COM #5'!$X$299</f>
        <v>0</v>
      </c>
      <c r="Y234" s="539">
        <f t="shared" si="469"/>
        <v>0</v>
      </c>
      <c r="Z234" s="91">
        <f t="shared" si="478"/>
        <v>0</v>
      </c>
      <c r="AA234" s="17">
        <f>'HH WITHOUT COM #6'!$W$299</f>
        <v>0</v>
      </c>
      <c r="AB234" s="17">
        <f>'HH WITHOUT COM #6'!$X$299</f>
        <v>0</v>
      </c>
      <c r="AC234" s="539">
        <f t="shared" si="470"/>
        <v>0</v>
      </c>
      <c r="AD234" s="91">
        <f t="shared" si="479"/>
        <v>0</v>
      </c>
      <c r="AE234" s="17">
        <f>'HH WITHOUT COM #7'!$W$299</f>
        <v>0</v>
      </c>
      <c r="AF234" s="17">
        <f>'HH WITHOUT COM #7'!$X$299</f>
        <v>0</v>
      </c>
      <c r="AG234" s="539">
        <f t="shared" si="471"/>
        <v>0</v>
      </c>
      <c r="AH234" s="373">
        <f t="shared" si="480"/>
        <v>0</v>
      </c>
      <c r="AI234" s="391">
        <f t="shared" si="472"/>
        <v>3</v>
      </c>
      <c r="AJ234" s="17">
        <f t="shared" si="472"/>
        <v>1</v>
      </c>
      <c r="AK234" s="539">
        <f t="shared" si="473"/>
        <v>4</v>
      </c>
      <c r="AL234" s="91">
        <f t="shared" si="481"/>
        <v>4.4444444444444446E-2</v>
      </c>
    </row>
    <row r="235" spans="1:40" s="117" customFormat="1" ht="16.5" customHeight="1" x14ac:dyDescent="0.25">
      <c r="A235" s="119"/>
      <c r="B235" s="40"/>
      <c r="C235" s="473" t="s">
        <v>621</v>
      </c>
      <c r="D235" s="484" t="s">
        <v>670</v>
      </c>
      <c r="E235" s="75"/>
      <c r="F235" s="106"/>
      <c r="G235" s="17">
        <f>'HH WITHOUT COM #1'!$W$300</f>
        <v>0</v>
      </c>
      <c r="H235" s="17">
        <f>'HH WITHOUT COM #1'!$X$300</f>
        <v>0</v>
      </c>
      <c r="I235" s="539">
        <f t="shared" si="465"/>
        <v>0</v>
      </c>
      <c r="J235" s="91">
        <f t="shared" si="474"/>
        <v>0</v>
      </c>
      <c r="K235" s="17">
        <f>'HH WITHOUT COM #2'!$W$300</f>
        <v>0</v>
      </c>
      <c r="L235" s="17">
        <f>'HH WITHOUT COM #2'!$X$300</f>
        <v>0</v>
      </c>
      <c r="M235" s="539">
        <f t="shared" si="466"/>
        <v>0</v>
      </c>
      <c r="N235" s="91">
        <f t="shared" si="475"/>
        <v>0</v>
      </c>
      <c r="O235" s="17">
        <f>'HH WITHOUT COM #3'!$W$300</f>
        <v>0</v>
      </c>
      <c r="P235" s="17">
        <f>'HH WITHOUT COM #3'!$X$300</f>
        <v>0</v>
      </c>
      <c r="Q235" s="539">
        <f t="shared" si="467"/>
        <v>0</v>
      </c>
      <c r="R235" s="91">
        <f t="shared" si="476"/>
        <v>0</v>
      </c>
      <c r="S235" s="17">
        <f>'HH WITHOUT COM #4'!$W$300</f>
        <v>0</v>
      </c>
      <c r="T235" s="17">
        <f>'HH WITHOUT COM #4'!$X$300</f>
        <v>0</v>
      </c>
      <c r="U235" s="539">
        <f t="shared" si="468"/>
        <v>0</v>
      </c>
      <c r="V235" s="91">
        <f t="shared" si="477"/>
        <v>0</v>
      </c>
      <c r="W235" s="17">
        <f>'HH WITHOUT COM #5'!$W$300</f>
        <v>0</v>
      </c>
      <c r="X235" s="17">
        <f>'HH WITHOUT COM #5'!$X$300</f>
        <v>0</v>
      </c>
      <c r="Y235" s="539">
        <f t="shared" si="469"/>
        <v>0</v>
      </c>
      <c r="Z235" s="91">
        <f t="shared" si="478"/>
        <v>0</v>
      </c>
      <c r="AA235" s="17">
        <f>'HH WITHOUT COM #6'!$W$300</f>
        <v>0</v>
      </c>
      <c r="AB235" s="17">
        <f>'HH WITHOUT COM #6'!$X$300</f>
        <v>2</v>
      </c>
      <c r="AC235" s="539">
        <f t="shared" si="470"/>
        <v>2</v>
      </c>
      <c r="AD235" s="91">
        <f t="shared" si="479"/>
        <v>0.13333333333333333</v>
      </c>
      <c r="AE235" s="17">
        <f>'HH WITHOUT COM #7'!$W$300</f>
        <v>0</v>
      </c>
      <c r="AF235" s="17">
        <f>'HH WITHOUT COM #7'!$X$300</f>
        <v>0</v>
      </c>
      <c r="AG235" s="539">
        <f t="shared" si="471"/>
        <v>0</v>
      </c>
      <c r="AH235" s="373">
        <f t="shared" si="480"/>
        <v>0</v>
      </c>
      <c r="AI235" s="391">
        <f t="shared" si="472"/>
        <v>0</v>
      </c>
      <c r="AJ235" s="17">
        <f t="shared" si="472"/>
        <v>2</v>
      </c>
      <c r="AK235" s="539">
        <f t="shared" si="473"/>
        <v>2</v>
      </c>
      <c r="AL235" s="91">
        <f t="shared" si="481"/>
        <v>2.2222222222222223E-2</v>
      </c>
    </row>
    <row r="236" spans="1:40" ht="16.5" customHeight="1" x14ac:dyDescent="0.25">
      <c r="A236" s="40"/>
      <c r="B236" s="40"/>
      <c r="C236" s="473" t="s">
        <v>622</v>
      </c>
      <c r="D236" s="484" t="s">
        <v>671</v>
      </c>
      <c r="E236" s="75"/>
      <c r="F236" s="106"/>
      <c r="G236" s="17">
        <f>'HH WITHOUT COM #1'!$W$301</f>
        <v>0</v>
      </c>
      <c r="H236" s="17">
        <f>'HH WITHOUT COM #1'!$X$301</f>
        <v>0</v>
      </c>
      <c r="I236" s="539">
        <f t="shared" si="465"/>
        <v>0</v>
      </c>
      <c r="J236" s="91">
        <f t="shared" si="474"/>
        <v>0</v>
      </c>
      <c r="K236" s="17">
        <f>'HH WITHOUT COM #2'!$W$301</f>
        <v>0</v>
      </c>
      <c r="L236" s="17">
        <f>'HH WITHOUT COM #2'!$X$301</f>
        <v>0</v>
      </c>
      <c r="M236" s="539">
        <f t="shared" si="466"/>
        <v>0</v>
      </c>
      <c r="N236" s="91">
        <f t="shared" si="475"/>
        <v>0</v>
      </c>
      <c r="O236" s="17">
        <f>'HH WITHOUT COM #3'!$W$301</f>
        <v>0</v>
      </c>
      <c r="P236" s="17">
        <f>'HH WITHOUT COM #3'!$X$301</f>
        <v>0</v>
      </c>
      <c r="Q236" s="539">
        <f t="shared" si="467"/>
        <v>0</v>
      </c>
      <c r="R236" s="91">
        <f t="shared" si="476"/>
        <v>0</v>
      </c>
      <c r="S236" s="17">
        <f>'HH WITHOUT COM #4'!$W$301</f>
        <v>0</v>
      </c>
      <c r="T236" s="17">
        <f>'HH WITHOUT COM #4'!$X$301</f>
        <v>0</v>
      </c>
      <c r="U236" s="539">
        <f t="shared" si="468"/>
        <v>0</v>
      </c>
      <c r="V236" s="91">
        <f t="shared" si="477"/>
        <v>0</v>
      </c>
      <c r="W236" s="17">
        <f>'HH WITHOUT COM #5'!$W$301</f>
        <v>0</v>
      </c>
      <c r="X236" s="17">
        <f>'HH WITHOUT COM #5'!$X$301</f>
        <v>0</v>
      </c>
      <c r="Y236" s="539">
        <f t="shared" si="469"/>
        <v>0</v>
      </c>
      <c r="Z236" s="91">
        <f t="shared" si="478"/>
        <v>0</v>
      </c>
      <c r="AA236" s="17">
        <f>'HH WITHOUT COM #6'!$W$301</f>
        <v>0</v>
      </c>
      <c r="AB236" s="17">
        <f>'HH WITHOUT COM #6'!$X$301</f>
        <v>0</v>
      </c>
      <c r="AC236" s="539">
        <f t="shared" si="470"/>
        <v>0</v>
      </c>
      <c r="AD236" s="91">
        <f t="shared" si="479"/>
        <v>0</v>
      </c>
      <c r="AE236" s="17">
        <f>'HH WITHOUT COM #7'!$W$301</f>
        <v>0</v>
      </c>
      <c r="AF236" s="17">
        <f>'HH WITHOUT COM #7'!$X$301</f>
        <v>0</v>
      </c>
      <c r="AG236" s="539">
        <f t="shared" si="471"/>
        <v>0</v>
      </c>
      <c r="AH236" s="373">
        <f t="shared" si="480"/>
        <v>0</v>
      </c>
      <c r="AI236" s="391">
        <f t="shared" si="472"/>
        <v>0</v>
      </c>
      <c r="AJ236" s="17">
        <f t="shared" si="472"/>
        <v>0</v>
      </c>
      <c r="AK236" s="539">
        <f t="shared" si="473"/>
        <v>0</v>
      </c>
      <c r="AL236" s="91">
        <f t="shared" si="481"/>
        <v>0</v>
      </c>
    </row>
    <row r="237" spans="1:40" s="117" customFormat="1" ht="16.5" customHeight="1" x14ac:dyDescent="0.25">
      <c r="A237" s="119"/>
      <c r="B237" s="40"/>
      <c r="C237" s="473" t="s">
        <v>623</v>
      </c>
      <c r="D237" s="484" t="s">
        <v>302</v>
      </c>
      <c r="E237" s="75"/>
      <c r="F237" s="106"/>
      <c r="G237" s="17">
        <f>'HH WITHOUT COM #1'!$W$302</f>
        <v>2</v>
      </c>
      <c r="H237" s="17">
        <f>'HH WITHOUT COM #1'!$X$302</f>
        <v>3</v>
      </c>
      <c r="I237" s="539">
        <f t="shared" si="465"/>
        <v>5</v>
      </c>
      <c r="J237" s="91">
        <f t="shared" si="474"/>
        <v>0.55555555555555558</v>
      </c>
      <c r="K237" s="17">
        <f>'HH WITHOUT COM #2'!$W$302</f>
        <v>0</v>
      </c>
      <c r="L237" s="17">
        <f>'HH WITHOUT COM #2'!$X$302</f>
        <v>0</v>
      </c>
      <c r="M237" s="539">
        <f t="shared" si="466"/>
        <v>0</v>
      </c>
      <c r="N237" s="91">
        <f t="shared" si="475"/>
        <v>0</v>
      </c>
      <c r="O237" s="17">
        <f>'HH WITHOUT COM #3'!$W$302</f>
        <v>3</v>
      </c>
      <c r="P237" s="17">
        <f>'HH WITHOUT COM #3'!$X$302</f>
        <v>5</v>
      </c>
      <c r="Q237" s="539">
        <f t="shared" si="467"/>
        <v>8</v>
      </c>
      <c r="R237" s="91">
        <f t="shared" si="476"/>
        <v>0.53333333333333333</v>
      </c>
      <c r="S237" s="17">
        <f>'HH WITHOUT COM #4'!$W$302</f>
        <v>0</v>
      </c>
      <c r="T237" s="17">
        <f>'HH WITHOUT COM #4'!$X$302</f>
        <v>0</v>
      </c>
      <c r="U237" s="539">
        <f t="shared" si="468"/>
        <v>0</v>
      </c>
      <c r="V237" s="91">
        <f t="shared" si="477"/>
        <v>0</v>
      </c>
      <c r="W237" s="17">
        <f>'HH WITHOUT COM #5'!$W$302</f>
        <v>0</v>
      </c>
      <c r="X237" s="17">
        <f>'HH WITHOUT COM #5'!$X$302</f>
        <v>0</v>
      </c>
      <c r="Y237" s="539">
        <f t="shared" si="469"/>
        <v>0</v>
      </c>
      <c r="Z237" s="91">
        <f t="shared" si="478"/>
        <v>0</v>
      </c>
      <c r="AA237" s="17">
        <f>'HH WITHOUT COM #6'!$W$302</f>
        <v>1</v>
      </c>
      <c r="AB237" s="17">
        <f>'HH WITHOUT COM #6'!$X$302</f>
        <v>7</v>
      </c>
      <c r="AC237" s="539">
        <f t="shared" si="470"/>
        <v>8</v>
      </c>
      <c r="AD237" s="91">
        <f t="shared" si="479"/>
        <v>0.53333333333333333</v>
      </c>
      <c r="AE237" s="17">
        <f>'HH WITHOUT COM #7'!$W$302</f>
        <v>0</v>
      </c>
      <c r="AF237" s="17">
        <f>'HH WITHOUT COM #7'!$X$302</f>
        <v>0</v>
      </c>
      <c r="AG237" s="539">
        <f t="shared" si="471"/>
        <v>0</v>
      </c>
      <c r="AH237" s="373">
        <f t="shared" si="480"/>
        <v>0</v>
      </c>
      <c r="AI237" s="391">
        <f t="shared" si="472"/>
        <v>6</v>
      </c>
      <c r="AJ237" s="17">
        <f t="shared" si="472"/>
        <v>15</v>
      </c>
      <c r="AK237" s="539">
        <f t="shared" si="473"/>
        <v>21</v>
      </c>
      <c r="AL237" s="91">
        <f t="shared" si="481"/>
        <v>0.23333333333333334</v>
      </c>
      <c r="AN237" s="3"/>
    </row>
    <row r="238" spans="1:40" ht="16.5" customHeight="1" x14ac:dyDescent="0.25">
      <c r="A238" s="40"/>
      <c r="B238" s="40"/>
      <c r="C238" s="473" t="s">
        <v>624</v>
      </c>
      <c r="D238" s="484" t="s">
        <v>487</v>
      </c>
      <c r="E238" s="105"/>
      <c r="F238" s="106"/>
      <c r="G238" s="17">
        <f>'HH WITHOUT COM #1'!$W$303</f>
        <v>1</v>
      </c>
      <c r="H238" s="17">
        <f>'HH WITHOUT COM #1'!$X$303</f>
        <v>3</v>
      </c>
      <c r="I238" s="539">
        <f t="shared" si="465"/>
        <v>4</v>
      </c>
      <c r="J238" s="91">
        <f t="shared" si="474"/>
        <v>0.44444444444444442</v>
      </c>
      <c r="K238" s="17">
        <f>'HH WITHOUT COM #2'!$W$303</f>
        <v>0</v>
      </c>
      <c r="L238" s="17">
        <f>'HH WITHOUT COM #2'!$X$303</f>
        <v>5</v>
      </c>
      <c r="M238" s="539">
        <f t="shared" si="466"/>
        <v>5</v>
      </c>
      <c r="N238" s="91">
        <f t="shared" si="475"/>
        <v>0.3125</v>
      </c>
      <c r="O238" s="17">
        <f>'HH WITHOUT COM #3'!$W$303</f>
        <v>2</v>
      </c>
      <c r="P238" s="17">
        <f>'HH WITHOUT COM #3'!$X$303</f>
        <v>5</v>
      </c>
      <c r="Q238" s="539">
        <f t="shared" si="467"/>
        <v>7</v>
      </c>
      <c r="R238" s="91">
        <f t="shared" si="476"/>
        <v>0.46666666666666667</v>
      </c>
      <c r="S238" s="17">
        <f>'HH WITHOUT COM #4'!$W$303</f>
        <v>0</v>
      </c>
      <c r="T238" s="17">
        <f>'HH WITHOUT COM #4'!$X$303</f>
        <v>0</v>
      </c>
      <c r="U238" s="539">
        <f t="shared" si="468"/>
        <v>0</v>
      </c>
      <c r="V238" s="91">
        <f t="shared" si="477"/>
        <v>0</v>
      </c>
      <c r="W238" s="17">
        <f>'HH WITHOUT COM #5'!$W$303</f>
        <v>7</v>
      </c>
      <c r="X238" s="17">
        <f>'HH WITHOUT COM #5'!$X$303</f>
        <v>2</v>
      </c>
      <c r="Y238" s="539">
        <f t="shared" si="469"/>
        <v>9</v>
      </c>
      <c r="Z238" s="91">
        <f t="shared" si="478"/>
        <v>0.32142857142857145</v>
      </c>
      <c r="AA238" s="17">
        <f>'HH WITHOUT COM #6'!$W$303</f>
        <v>0</v>
      </c>
      <c r="AB238" s="17">
        <f>'HH WITHOUT COM #6'!$X$303</f>
        <v>0</v>
      </c>
      <c r="AC238" s="539">
        <f t="shared" si="470"/>
        <v>0</v>
      </c>
      <c r="AD238" s="91">
        <f t="shared" si="479"/>
        <v>0</v>
      </c>
      <c r="AE238" s="17">
        <f>'HH WITHOUT COM #7'!$W$303</f>
        <v>0</v>
      </c>
      <c r="AF238" s="17">
        <f>'HH WITHOUT COM #7'!$X$303</f>
        <v>0</v>
      </c>
      <c r="AG238" s="539">
        <f t="shared" si="471"/>
        <v>0</v>
      </c>
      <c r="AH238" s="373">
        <f t="shared" si="480"/>
        <v>0</v>
      </c>
      <c r="AI238" s="391">
        <f t="shared" si="472"/>
        <v>10</v>
      </c>
      <c r="AJ238" s="17">
        <f t="shared" si="472"/>
        <v>15</v>
      </c>
      <c r="AK238" s="539">
        <f t="shared" si="473"/>
        <v>25</v>
      </c>
      <c r="AL238" s="91">
        <f t="shared" si="481"/>
        <v>0.27777777777777779</v>
      </c>
    </row>
    <row r="239" spans="1:40" ht="16.5" customHeight="1" x14ac:dyDescent="0.25">
      <c r="A239" s="40"/>
      <c r="B239" s="40"/>
      <c r="C239" s="473" t="s">
        <v>625</v>
      </c>
      <c r="D239" s="484" t="s">
        <v>488</v>
      </c>
      <c r="E239" s="75"/>
      <c r="F239" s="106"/>
      <c r="G239" s="17">
        <f>'HH WITHOUT COM #1'!$W$304</f>
        <v>0</v>
      </c>
      <c r="H239" s="17">
        <f>'HH WITHOUT COM #1'!$X$304</f>
        <v>0</v>
      </c>
      <c r="I239" s="539">
        <f t="shared" si="465"/>
        <v>0</v>
      </c>
      <c r="J239" s="91">
        <f t="shared" si="474"/>
        <v>0</v>
      </c>
      <c r="K239" s="17">
        <f>'HH WITHOUT COM #2'!$W$304</f>
        <v>0</v>
      </c>
      <c r="L239" s="17">
        <f>'HH WITHOUT COM #2'!$X$304</f>
        <v>0</v>
      </c>
      <c r="M239" s="539">
        <f t="shared" si="466"/>
        <v>0</v>
      </c>
      <c r="N239" s="91">
        <f t="shared" si="475"/>
        <v>0</v>
      </c>
      <c r="O239" s="17">
        <f>'HH WITHOUT COM #3'!$W$304</f>
        <v>0</v>
      </c>
      <c r="P239" s="17">
        <f>'HH WITHOUT COM #3'!$X$304</f>
        <v>0</v>
      </c>
      <c r="Q239" s="539">
        <f t="shared" si="467"/>
        <v>0</v>
      </c>
      <c r="R239" s="91">
        <f t="shared" si="476"/>
        <v>0</v>
      </c>
      <c r="S239" s="17">
        <f>'HH WITHOUT COM #4'!$W$304</f>
        <v>0</v>
      </c>
      <c r="T239" s="17">
        <f>'HH WITHOUT COM #4'!$X$304</f>
        <v>0</v>
      </c>
      <c r="U239" s="539">
        <f t="shared" si="468"/>
        <v>0</v>
      </c>
      <c r="V239" s="91">
        <f t="shared" si="477"/>
        <v>0</v>
      </c>
      <c r="W239" s="17">
        <f>'HH WITHOUT COM #5'!$W$304</f>
        <v>0</v>
      </c>
      <c r="X239" s="17">
        <f>'HH WITHOUT COM #5'!$X$304</f>
        <v>0</v>
      </c>
      <c r="Y239" s="539">
        <f t="shared" si="469"/>
        <v>0</v>
      </c>
      <c r="Z239" s="91">
        <f t="shared" si="478"/>
        <v>0</v>
      </c>
      <c r="AA239" s="17">
        <f>'HH WITHOUT COM #6'!$W$304</f>
        <v>0</v>
      </c>
      <c r="AB239" s="17">
        <f>'HH WITHOUT COM #6'!$X$304</f>
        <v>0</v>
      </c>
      <c r="AC239" s="539">
        <f t="shared" si="470"/>
        <v>0</v>
      </c>
      <c r="AD239" s="91">
        <f t="shared" si="479"/>
        <v>0</v>
      </c>
      <c r="AE239" s="17">
        <f>'HH WITHOUT COM #7'!$W$304</f>
        <v>0</v>
      </c>
      <c r="AF239" s="17">
        <f>'HH WITHOUT COM #7'!$X$304</f>
        <v>0</v>
      </c>
      <c r="AG239" s="539">
        <f t="shared" si="471"/>
        <v>0</v>
      </c>
      <c r="AH239" s="373">
        <f t="shared" si="480"/>
        <v>0</v>
      </c>
      <c r="AI239" s="391">
        <f t="shared" si="472"/>
        <v>0</v>
      </c>
      <c r="AJ239" s="17">
        <f t="shared" si="472"/>
        <v>0</v>
      </c>
      <c r="AK239" s="539">
        <f t="shared" si="473"/>
        <v>0</v>
      </c>
      <c r="AL239" s="91">
        <f t="shared" si="481"/>
        <v>0</v>
      </c>
    </row>
    <row r="240" spans="1:40" ht="16.5" customHeight="1" x14ac:dyDescent="0.25">
      <c r="A240" s="40"/>
      <c r="B240" s="40"/>
      <c r="C240" s="473" t="s">
        <v>668</v>
      </c>
      <c r="D240" s="484" t="s">
        <v>304</v>
      </c>
      <c r="E240" s="75"/>
      <c r="F240" s="106"/>
      <c r="G240" s="17">
        <f>'HH WITHOUT COM #1'!$W$305</f>
        <v>0</v>
      </c>
      <c r="H240" s="17">
        <f>'HH WITHOUT COM #1'!$X$305</f>
        <v>0</v>
      </c>
      <c r="I240" s="539">
        <f t="shared" si="465"/>
        <v>0</v>
      </c>
      <c r="J240" s="91">
        <f t="shared" si="474"/>
        <v>0</v>
      </c>
      <c r="K240" s="17">
        <f>'HH WITHOUT COM #2'!$W$305</f>
        <v>0</v>
      </c>
      <c r="L240" s="17">
        <f>'HH WITHOUT COM #2'!$X$305</f>
        <v>0</v>
      </c>
      <c r="M240" s="539">
        <f t="shared" si="466"/>
        <v>0</v>
      </c>
      <c r="N240" s="91">
        <f t="shared" si="475"/>
        <v>0</v>
      </c>
      <c r="O240" s="17">
        <f>'HH WITHOUT COM #3'!$W$305</f>
        <v>0</v>
      </c>
      <c r="P240" s="17">
        <f>'HH WITHOUT COM #3'!$X$305</f>
        <v>0</v>
      </c>
      <c r="Q240" s="539">
        <f t="shared" si="467"/>
        <v>0</v>
      </c>
      <c r="R240" s="91">
        <f t="shared" si="476"/>
        <v>0</v>
      </c>
      <c r="S240" s="17">
        <f>'HH WITHOUT COM #4'!$W$305</f>
        <v>0</v>
      </c>
      <c r="T240" s="17">
        <f>'HH WITHOUT COM #4'!$X$305</f>
        <v>0</v>
      </c>
      <c r="U240" s="539">
        <f t="shared" si="468"/>
        <v>0</v>
      </c>
      <c r="V240" s="91">
        <f t="shared" si="477"/>
        <v>0</v>
      </c>
      <c r="W240" s="17">
        <f>'HH WITHOUT COM #5'!$W$305</f>
        <v>0</v>
      </c>
      <c r="X240" s="17">
        <f>'HH WITHOUT COM #5'!$X$305</f>
        <v>0</v>
      </c>
      <c r="Y240" s="539">
        <f t="shared" si="469"/>
        <v>0</v>
      </c>
      <c r="Z240" s="91">
        <f t="shared" si="478"/>
        <v>0</v>
      </c>
      <c r="AA240" s="17">
        <f>'HH WITHOUT COM #6'!$W$305</f>
        <v>0</v>
      </c>
      <c r="AB240" s="17">
        <f>'HH WITHOUT COM #6'!$X$305</f>
        <v>0</v>
      </c>
      <c r="AC240" s="539">
        <f t="shared" si="470"/>
        <v>0</v>
      </c>
      <c r="AD240" s="91">
        <f t="shared" si="479"/>
        <v>0</v>
      </c>
      <c r="AE240" s="17">
        <f>'HH WITHOUT COM #7'!$W$305</f>
        <v>0</v>
      </c>
      <c r="AF240" s="17">
        <f>'HH WITHOUT COM #7'!$X$305</f>
        <v>0</v>
      </c>
      <c r="AG240" s="539">
        <f t="shared" si="471"/>
        <v>0</v>
      </c>
      <c r="AH240" s="373">
        <f t="shared" si="480"/>
        <v>0</v>
      </c>
      <c r="AI240" s="391">
        <f t="shared" si="472"/>
        <v>0</v>
      </c>
      <c r="AJ240" s="17">
        <f t="shared" si="472"/>
        <v>0</v>
      </c>
      <c r="AK240" s="539">
        <f t="shared" si="473"/>
        <v>0</v>
      </c>
      <c r="AL240" s="91">
        <f t="shared" si="481"/>
        <v>0</v>
      </c>
    </row>
    <row r="241" spans="1:61" ht="16.5" customHeight="1" x14ac:dyDescent="0.25">
      <c r="A241" s="40"/>
      <c r="B241" s="40"/>
      <c r="C241" s="473" t="s">
        <v>669</v>
      </c>
      <c r="D241" s="484" t="s">
        <v>758</v>
      </c>
      <c r="E241" s="75"/>
      <c r="F241" s="106"/>
      <c r="G241" s="17">
        <f>'HH WITHOUT COM #1'!$W$306</f>
        <v>0</v>
      </c>
      <c r="H241" s="17">
        <f>'HH WITHOUT COM #1'!$X$306</f>
        <v>0</v>
      </c>
      <c r="I241" s="539">
        <f t="shared" si="465"/>
        <v>0</v>
      </c>
      <c r="J241" s="91">
        <f t="shared" si="474"/>
        <v>0</v>
      </c>
      <c r="K241" s="17">
        <f>'HH WITHOUT COM #2'!$W$306</f>
        <v>0</v>
      </c>
      <c r="L241" s="17">
        <f>'HH WITHOUT COM #2'!$X$306</f>
        <v>0</v>
      </c>
      <c r="M241" s="539">
        <f t="shared" si="466"/>
        <v>0</v>
      </c>
      <c r="N241" s="91">
        <f t="shared" si="475"/>
        <v>0</v>
      </c>
      <c r="O241" s="17">
        <f>'HH WITHOUT COM #3'!$W$306</f>
        <v>0</v>
      </c>
      <c r="P241" s="17">
        <f>'HH WITHOUT COM #3'!$X$306</f>
        <v>0</v>
      </c>
      <c r="Q241" s="539">
        <f t="shared" si="467"/>
        <v>0</v>
      </c>
      <c r="R241" s="91">
        <f t="shared" si="476"/>
        <v>0</v>
      </c>
      <c r="S241" s="17">
        <f>'HH WITHOUT COM #4'!$W$306</f>
        <v>0</v>
      </c>
      <c r="T241" s="17">
        <f>'HH WITHOUT COM #4'!$X$306</f>
        <v>0</v>
      </c>
      <c r="U241" s="539">
        <f t="shared" si="468"/>
        <v>0</v>
      </c>
      <c r="V241" s="91">
        <f t="shared" si="477"/>
        <v>0</v>
      </c>
      <c r="W241" s="17">
        <f>'HH WITHOUT COM #5'!$W$306</f>
        <v>2</v>
      </c>
      <c r="X241" s="17">
        <f>'HH WITHOUT COM #5'!$X$306</f>
        <v>4</v>
      </c>
      <c r="Y241" s="539">
        <f t="shared" si="469"/>
        <v>6</v>
      </c>
      <c r="Z241" s="91">
        <f t="shared" si="478"/>
        <v>0.21428571428571427</v>
      </c>
      <c r="AA241" s="17">
        <f>'HH WITHOUT COM #6'!$W$306</f>
        <v>0</v>
      </c>
      <c r="AB241" s="17">
        <f>'HH WITHOUT COM #6'!$X$306</f>
        <v>0</v>
      </c>
      <c r="AC241" s="539">
        <f t="shared" si="470"/>
        <v>0</v>
      </c>
      <c r="AD241" s="91">
        <f t="shared" si="479"/>
        <v>0</v>
      </c>
      <c r="AE241" s="17">
        <f>'HH WITHOUT COM #7'!$W$306</f>
        <v>0</v>
      </c>
      <c r="AF241" s="17">
        <f>'HH WITHOUT COM #7'!$X$306</f>
        <v>0</v>
      </c>
      <c r="AG241" s="539">
        <f t="shared" si="471"/>
        <v>0</v>
      </c>
      <c r="AH241" s="373">
        <f t="shared" si="480"/>
        <v>0</v>
      </c>
      <c r="AI241" s="391">
        <f t="shared" si="472"/>
        <v>2</v>
      </c>
      <c r="AJ241" s="17">
        <f t="shared" si="472"/>
        <v>4</v>
      </c>
      <c r="AK241" s="539">
        <f t="shared" si="473"/>
        <v>6</v>
      </c>
      <c r="AL241" s="91">
        <f t="shared" si="481"/>
        <v>6.6666666666666666E-2</v>
      </c>
    </row>
    <row r="242" spans="1:61" ht="16.5" customHeight="1" x14ac:dyDescent="0.25">
      <c r="A242" s="40"/>
      <c r="B242" s="40"/>
      <c r="C242" s="473" t="s">
        <v>756</v>
      </c>
      <c r="D242" s="484" t="s">
        <v>1011</v>
      </c>
      <c r="E242" s="75"/>
      <c r="F242" s="106"/>
      <c r="G242" s="17">
        <f>'HH WITHOUT COM #1'!$W$307</f>
        <v>0</v>
      </c>
      <c r="H242" s="17">
        <f>'HH WITHOUT COM #1'!$X$307</f>
        <v>0</v>
      </c>
      <c r="I242" s="539">
        <f t="shared" si="465"/>
        <v>0</v>
      </c>
      <c r="J242" s="91">
        <f t="shared" si="474"/>
        <v>0</v>
      </c>
      <c r="K242" s="17">
        <f>'HH WITHOUT COM #2'!$W$307</f>
        <v>0</v>
      </c>
      <c r="L242" s="17">
        <f>'HH WITHOUT COM #2'!$X$307</f>
        <v>0</v>
      </c>
      <c r="M242" s="539">
        <f t="shared" si="466"/>
        <v>0</v>
      </c>
      <c r="N242" s="91">
        <f t="shared" si="475"/>
        <v>0</v>
      </c>
      <c r="O242" s="17">
        <f>'HH WITHOUT COM #3'!$W$307</f>
        <v>0</v>
      </c>
      <c r="P242" s="17">
        <f>'HH WITHOUT COM #3'!$X$307</f>
        <v>0</v>
      </c>
      <c r="Q242" s="539">
        <f t="shared" si="467"/>
        <v>0</v>
      </c>
      <c r="R242" s="91">
        <f t="shared" si="476"/>
        <v>0</v>
      </c>
      <c r="S242" s="17">
        <f>'HH WITHOUT COM #4'!$W$307</f>
        <v>0</v>
      </c>
      <c r="T242" s="17">
        <f>'HH WITHOUT COM #4'!$X$307</f>
        <v>0</v>
      </c>
      <c r="U242" s="539">
        <f t="shared" si="468"/>
        <v>0</v>
      </c>
      <c r="V242" s="91">
        <f t="shared" si="477"/>
        <v>0</v>
      </c>
      <c r="W242" s="17">
        <f>'HH WITHOUT COM #5'!$W$307</f>
        <v>0</v>
      </c>
      <c r="X242" s="17">
        <f>'HH WITHOUT COM #5'!$X$307</f>
        <v>0</v>
      </c>
      <c r="Y242" s="539">
        <f t="shared" si="469"/>
        <v>0</v>
      </c>
      <c r="Z242" s="91">
        <f t="shared" si="478"/>
        <v>0</v>
      </c>
      <c r="AA242" s="17">
        <f>'HH WITHOUT COM #6'!$W$307</f>
        <v>0</v>
      </c>
      <c r="AB242" s="17">
        <f>'HH WITHOUT COM #6'!$X$307</f>
        <v>0</v>
      </c>
      <c r="AC242" s="539">
        <f t="shared" si="470"/>
        <v>0</v>
      </c>
      <c r="AD242" s="91">
        <f t="shared" si="479"/>
        <v>0</v>
      </c>
      <c r="AE242" s="17">
        <f>'HH WITHOUT COM #7'!$W$307</f>
        <v>0</v>
      </c>
      <c r="AF242" s="17">
        <f>'HH WITHOUT COM #7'!$X$307</f>
        <v>0</v>
      </c>
      <c r="AG242" s="539">
        <f t="shared" si="471"/>
        <v>0</v>
      </c>
      <c r="AH242" s="373">
        <f t="shared" si="480"/>
        <v>0</v>
      </c>
      <c r="AI242" s="391">
        <f t="shared" si="472"/>
        <v>0</v>
      </c>
      <c r="AJ242" s="17">
        <f t="shared" si="472"/>
        <v>0</v>
      </c>
      <c r="AK242" s="539">
        <f t="shared" si="473"/>
        <v>0</v>
      </c>
      <c r="AL242" s="91">
        <f t="shared" si="481"/>
        <v>0</v>
      </c>
    </row>
    <row r="243" spans="1:61" ht="16.5" customHeight="1" x14ac:dyDescent="0.25">
      <c r="A243" s="40"/>
      <c r="B243" s="40"/>
      <c r="C243" s="119"/>
      <c r="D243" s="185"/>
      <c r="E243" s="184"/>
      <c r="F243" s="469"/>
      <c r="G243" s="82">
        <f>SUM(G232:G242)</f>
        <v>3</v>
      </c>
      <c r="H243" s="82">
        <f t="shared" ref="H243:I243" si="482">SUM(H232:H242)</f>
        <v>6</v>
      </c>
      <c r="I243" s="82">
        <f t="shared" si="482"/>
        <v>9</v>
      </c>
      <c r="J243" s="66">
        <f>IF(I$243=0,0,I243/I$243)</f>
        <v>1</v>
      </c>
      <c r="K243" s="82">
        <f>SUM(K232:K242)</f>
        <v>9</v>
      </c>
      <c r="L243" s="82">
        <f t="shared" ref="L243:M243" si="483">SUM(L232:L242)</f>
        <v>7</v>
      </c>
      <c r="M243" s="82">
        <f t="shared" si="483"/>
        <v>16</v>
      </c>
      <c r="N243" s="66">
        <f>IF(M$243=0,0,M243/M$243)</f>
        <v>1</v>
      </c>
      <c r="O243" s="82">
        <f>SUM(O232:O242)</f>
        <v>5</v>
      </c>
      <c r="P243" s="82">
        <f t="shared" ref="P243:Q243" si="484">SUM(P232:P242)</f>
        <v>10</v>
      </c>
      <c r="Q243" s="82">
        <f t="shared" si="484"/>
        <v>15</v>
      </c>
      <c r="R243" s="66">
        <f>IF(Q$243=0,0,Q243/Q$243)</f>
        <v>1</v>
      </c>
      <c r="S243" s="82">
        <f>SUM(S232:S242)</f>
        <v>0</v>
      </c>
      <c r="T243" s="82">
        <f t="shared" ref="T243:U243" si="485">SUM(T232:T242)</f>
        <v>7</v>
      </c>
      <c r="U243" s="82">
        <f t="shared" si="485"/>
        <v>7</v>
      </c>
      <c r="V243" s="66">
        <f>IF(U$243=0,0,U243/U$243)</f>
        <v>1</v>
      </c>
      <c r="W243" s="82">
        <f>SUM(W232:W242)</f>
        <v>15</v>
      </c>
      <c r="X243" s="82">
        <f t="shared" ref="X243:Y243" si="486">SUM(X232:X242)</f>
        <v>13</v>
      </c>
      <c r="Y243" s="82">
        <f t="shared" si="486"/>
        <v>28</v>
      </c>
      <c r="Z243" s="66">
        <f>IF(Y$243=0,0,Y243/Y$243)</f>
        <v>1</v>
      </c>
      <c r="AA243" s="82">
        <f>SUM(AA232:AA242)</f>
        <v>2</v>
      </c>
      <c r="AB243" s="82">
        <f t="shared" ref="AB243:AC243" si="487">SUM(AB232:AB242)</f>
        <v>13</v>
      </c>
      <c r="AC243" s="82">
        <f t="shared" si="487"/>
        <v>15</v>
      </c>
      <c r="AD243" s="66">
        <f>IF(AC$243=0,0,AC243/AC$243)</f>
        <v>1</v>
      </c>
      <c r="AE243" s="82">
        <f>SUM(AE232:AE242)</f>
        <v>0</v>
      </c>
      <c r="AF243" s="82">
        <f t="shared" ref="AF243:AG243" si="488">SUM(AF232:AF242)</f>
        <v>0</v>
      </c>
      <c r="AG243" s="82">
        <f t="shared" si="488"/>
        <v>0</v>
      </c>
      <c r="AH243" s="608">
        <f>IF(AG$243=0,0,AG243/AG$243)</f>
        <v>0</v>
      </c>
      <c r="AI243" s="381">
        <f>SUM(AI232:AI242)</f>
        <v>34</v>
      </c>
      <c r="AJ243" s="82">
        <f t="shared" ref="AJ243:AK243" si="489">SUM(AJ232:AJ242)</f>
        <v>56</v>
      </c>
      <c r="AK243" s="82">
        <f t="shared" si="489"/>
        <v>90</v>
      </c>
      <c r="AL243" s="66">
        <f>IF(AK$243=0,0,AK243/AK$243)</f>
        <v>1</v>
      </c>
    </row>
    <row r="244" spans="1:61" s="117" customFormat="1" ht="16.5" customHeight="1" x14ac:dyDescent="0.25">
      <c r="A244" s="119"/>
      <c r="B244" s="41" t="s">
        <v>310</v>
      </c>
      <c r="C244" s="42" t="s">
        <v>879</v>
      </c>
      <c r="D244" s="70"/>
      <c r="E244" s="478"/>
      <c r="F244" s="478"/>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355"/>
      <c r="AI244" s="377"/>
      <c r="AJ244" s="71"/>
      <c r="AK244" s="71"/>
      <c r="AL244" s="71"/>
    </row>
    <row r="245" spans="1:61" s="117" customFormat="1" ht="16.5" customHeight="1" x14ac:dyDescent="0.25">
      <c r="A245" s="119"/>
      <c r="B245" s="119"/>
      <c r="C245" s="467" t="s">
        <v>311</v>
      </c>
      <c r="D245" s="498" t="s">
        <v>9</v>
      </c>
      <c r="E245" s="75"/>
      <c r="F245" s="106"/>
      <c r="G245" s="17">
        <f>'HH WITHOUT COM #1'!$W$315</f>
        <v>2</v>
      </c>
      <c r="H245" s="17">
        <f>'HH WITHOUT COM #1'!$X$315</f>
        <v>3</v>
      </c>
      <c r="I245" s="539">
        <f>SUM(G245:H245)</f>
        <v>5</v>
      </c>
      <c r="J245" s="91">
        <f>IF(I$248=0,0,I245/I$248)</f>
        <v>1</v>
      </c>
      <c r="K245" s="17">
        <f>'HH WITHOUT COM #2'!$W$315</f>
        <v>9</v>
      </c>
      <c r="L245" s="17">
        <f>'HH WITHOUT COM #2'!$X$315</f>
        <v>7</v>
      </c>
      <c r="M245" s="539">
        <f>SUM(K245:L245)</f>
        <v>16</v>
      </c>
      <c r="N245" s="91">
        <f>IF(M$248=0,0,M245/M$248)</f>
        <v>1</v>
      </c>
      <c r="O245" s="17">
        <f>'HH WITHOUT COM #3'!$W$315</f>
        <v>4</v>
      </c>
      <c r="P245" s="17">
        <f>'HH WITHOUT COM #3'!$X$315</f>
        <v>7</v>
      </c>
      <c r="Q245" s="539">
        <f>SUM(O245:P245)</f>
        <v>11</v>
      </c>
      <c r="R245" s="91">
        <f>IF(Q$248=0,0,Q245/Q$248)</f>
        <v>1</v>
      </c>
      <c r="S245" s="17">
        <f>'HH WITHOUT COM #4'!$W$315</f>
        <v>0</v>
      </c>
      <c r="T245" s="17">
        <f>'HH WITHOUT COM #4'!$X$315</f>
        <v>7</v>
      </c>
      <c r="U245" s="539">
        <f>SUM(S245:T245)</f>
        <v>7</v>
      </c>
      <c r="V245" s="91">
        <f>IF(U$248=0,0,U245/U$248)</f>
        <v>1</v>
      </c>
      <c r="W245" s="17">
        <f>'HH WITHOUT COM #5'!$W$315</f>
        <v>15</v>
      </c>
      <c r="X245" s="17">
        <f>'HH WITHOUT COM #5'!$X$315</f>
        <v>13</v>
      </c>
      <c r="Y245" s="539">
        <f>SUM(W245:X245)</f>
        <v>28</v>
      </c>
      <c r="Z245" s="91">
        <f>IF(Y$248=0,0,Y245/Y$248)</f>
        <v>1</v>
      </c>
      <c r="AA245" s="17">
        <f>'HH WITHOUT COM #6'!$W$315</f>
        <v>2</v>
      </c>
      <c r="AB245" s="17">
        <f>'HH WITHOUT COM #6'!$X$315</f>
        <v>11</v>
      </c>
      <c r="AC245" s="539">
        <f>SUM(AA245:AB245)</f>
        <v>13</v>
      </c>
      <c r="AD245" s="91">
        <f>IF(AC$248=0,0,AC245/AC$248)</f>
        <v>0.8666666666666667</v>
      </c>
      <c r="AE245" s="17">
        <f>'HH WITHOUT COM #7'!$W$315</f>
        <v>0</v>
      </c>
      <c r="AF245" s="17">
        <f>'HH WITHOUT COM #7'!$X$315</f>
        <v>0</v>
      </c>
      <c r="AG245" s="539">
        <f>SUM(AE245:AF245)</f>
        <v>0</v>
      </c>
      <c r="AH245" s="373">
        <f>IF(AG$248=0,0,AG245/AG$248)</f>
        <v>0</v>
      </c>
      <c r="AI245" s="391">
        <f t="shared" ref="AI245:AJ247" si="490">G245+K245+O245+S245+W245+AA245+AE245</f>
        <v>32</v>
      </c>
      <c r="AJ245" s="17">
        <f t="shared" si="490"/>
        <v>48</v>
      </c>
      <c r="AK245" s="539">
        <f t="shared" ref="AK245:AK247" si="491">SUM(AI245:AJ245)</f>
        <v>80</v>
      </c>
      <c r="AL245" s="91">
        <f>IF(AK$248=0,0,AK245/AK$248)</f>
        <v>0.97560975609756095</v>
      </c>
    </row>
    <row r="246" spans="1:61" s="117" customFormat="1" ht="16.5" customHeight="1" x14ac:dyDescent="0.25">
      <c r="A246" s="119"/>
      <c r="B246" s="119"/>
      <c r="C246" s="467" t="s">
        <v>312</v>
      </c>
      <c r="D246" s="498" t="s">
        <v>11</v>
      </c>
      <c r="E246" s="75"/>
      <c r="F246" s="106"/>
      <c r="G246" s="17">
        <f>'HH WITHOUT COM #1'!$W$316</f>
        <v>0</v>
      </c>
      <c r="H246" s="17">
        <f>'HH WITHOUT COM #1'!$X$316</f>
        <v>0</v>
      </c>
      <c r="I246" s="539">
        <f t="shared" ref="I246:I247" si="492">SUM(G246:H246)</f>
        <v>0</v>
      </c>
      <c r="J246" s="91">
        <f t="shared" ref="J246:J247" si="493">IF(I$248=0,0,I246/I$248)</f>
        <v>0</v>
      </c>
      <c r="K246" s="17">
        <f>'HH WITHOUT COM #2'!$W$316</f>
        <v>0</v>
      </c>
      <c r="L246" s="17">
        <f>'HH WITHOUT COM #2'!$X$316</f>
        <v>0</v>
      </c>
      <c r="M246" s="539">
        <f t="shared" ref="M246:M247" si="494">SUM(K246:L246)</f>
        <v>0</v>
      </c>
      <c r="N246" s="91">
        <f t="shared" ref="N246:N247" si="495">IF(M$248=0,0,M246/M$248)</f>
        <v>0</v>
      </c>
      <c r="O246" s="17">
        <f>'HH WITHOUT COM #3'!$W$316</f>
        <v>0</v>
      </c>
      <c r="P246" s="17">
        <f>'HH WITHOUT COM #3'!$X$316</f>
        <v>0</v>
      </c>
      <c r="Q246" s="539">
        <f t="shared" ref="Q246:Q247" si="496">SUM(O246:P246)</f>
        <v>0</v>
      </c>
      <c r="R246" s="91">
        <f t="shared" ref="R246:R247" si="497">IF(Q$248=0,0,Q246/Q$248)</f>
        <v>0</v>
      </c>
      <c r="S246" s="17">
        <f>'HH WITHOUT COM #4'!$W$316</f>
        <v>0</v>
      </c>
      <c r="T246" s="17">
        <f>'HH WITHOUT COM #4'!$X$316</f>
        <v>0</v>
      </c>
      <c r="U246" s="539">
        <f t="shared" ref="U246:U247" si="498">SUM(S246:T246)</f>
        <v>0</v>
      </c>
      <c r="V246" s="91">
        <f t="shared" ref="V246:V247" si="499">IF(U$248=0,0,U246/U$248)</f>
        <v>0</v>
      </c>
      <c r="W246" s="17">
        <f>'HH WITHOUT COM #5'!$W$316</f>
        <v>0</v>
      </c>
      <c r="X246" s="17">
        <f>'HH WITHOUT COM #5'!$X$316</f>
        <v>0</v>
      </c>
      <c r="Y246" s="539">
        <f t="shared" ref="Y246:Y247" si="500">SUM(W246:X246)</f>
        <v>0</v>
      </c>
      <c r="Z246" s="91">
        <f t="shared" ref="Z246:Z247" si="501">IF(Y$248=0,0,Y246/Y$248)</f>
        <v>0</v>
      </c>
      <c r="AA246" s="17">
        <f>'HH WITHOUT COM #6'!$W$316</f>
        <v>0</v>
      </c>
      <c r="AB246" s="17">
        <f>'HH WITHOUT COM #6'!$X$316</f>
        <v>0</v>
      </c>
      <c r="AC246" s="539">
        <f t="shared" ref="AC246:AC247" si="502">SUM(AA246:AB246)</f>
        <v>0</v>
      </c>
      <c r="AD246" s="91">
        <f t="shared" ref="AD246:AD247" si="503">IF(AC$248=0,0,AC246/AC$248)</f>
        <v>0</v>
      </c>
      <c r="AE246" s="17">
        <f>'HH WITHOUT COM #7'!$W$316</f>
        <v>0</v>
      </c>
      <c r="AF246" s="17">
        <f>'HH WITHOUT COM #7'!$X$316</f>
        <v>0</v>
      </c>
      <c r="AG246" s="539">
        <f t="shared" ref="AG246:AG247" si="504">SUM(AE246:AF246)</f>
        <v>0</v>
      </c>
      <c r="AH246" s="373">
        <f t="shared" ref="AH246:AH247" si="505">IF(AG$248=0,0,AG246/AG$248)</f>
        <v>0</v>
      </c>
      <c r="AI246" s="391">
        <f t="shared" si="490"/>
        <v>0</v>
      </c>
      <c r="AJ246" s="17">
        <f t="shared" si="490"/>
        <v>0</v>
      </c>
      <c r="AK246" s="539">
        <f t="shared" si="491"/>
        <v>0</v>
      </c>
      <c r="AL246" s="91">
        <f t="shared" ref="AL246:AL247" si="506">IF(AK$248=0,0,AK246/AK$248)</f>
        <v>0</v>
      </c>
    </row>
    <row r="247" spans="1:61" s="117" customFormat="1" ht="16.5" customHeight="1" x14ac:dyDescent="0.25">
      <c r="A247" s="119"/>
      <c r="B247" s="119"/>
      <c r="C247" s="467" t="s">
        <v>490</v>
      </c>
      <c r="D247" s="498" t="s">
        <v>617</v>
      </c>
      <c r="E247" s="75"/>
      <c r="F247" s="106"/>
      <c r="G247" s="17">
        <f>'HH WITHOUT COM #1'!$W$317</f>
        <v>0</v>
      </c>
      <c r="H247" s="17">
        <f>'HH WITHOUT COM #1'!$X$317</f>
        <v>0</v>
      </c>
      <c r="I247" s="539">
        <f t="shared" si="492"/>
        <v>0</v>
      </c>
      <c r="J247" s="91">
        <f t="shared" si="493"/>
        <v>0</v>
      </c>
      <c r="K247" s="17">
        <f>'HH WITHOUT COM #2'!$W$317</f>
        <v>0</v>
      </c>
      <c r="L247" s="17">
        <f>'HH WITHOUT COM #2'!$X$317</f>
        <v>0</v>
      </c>
      <c r="M247" s="539">
        <f t="shared" si="494"/>
        <v>0</v>
      </c>
      <c r="N247" s="91">
        <f t="shared" si="495"/>
        <v>0</v>
      </c>
      <c r="O247" s="17">
        <f>'HH WITHOUT COM #3'!$W$317</f>
        <v>0</v>
      </c>
      <c r="P247" s="17">
        <f>'HH WITHOUT COM #3'!$X$317</f>
        <v>0</v>
      </c>
      <c r="Q247" s="539">
        <f t="shared" si="496"/>
        <v>0</v>
      </c>
      <c r="R247" s="91">
        <f t="shared" si="497"/>
        <v>0</v>
      </c>
      <c r="S247" s="17">
        <f>'HH WITHOUT COM #4'!$W$317</f>
        <v>0</v>
      </c>
      <c r="T247" s="17">
        <f>'HH WITHOUT COM #4'!$X$317</f>
        <v>0</v>
      </c>
      <c r="U247" s="539">
        <f t="shared" si="498"/>
        <v>0</v>
      </c>
      <c r="V247" s="91">
        <f t="shared" si="499"/>
        <v>0</v>
      </c>
      <c r="W247" s="17">
        <f>'HH WITHOUT COM #5'!$W$317</f>
        <v>0</v>
      </c>
      <c r="X247" s="17">
        <f>'HH WITHOUT COM #5'!$X$317</f>
        <v>0</v>
      </c>
      <c r="Y247" s="539">
        <f t="shared" si="500"/>
        <v>0</v>
      </c>
      <c r="Z247" s="91">
        <f t="shared" si="501"/>
        <v>0</v>
      </c>
      <c r="AA247" s="17">
        <f>'HH WITHOUT COM #6'!$W$317</f>
        <v>0</v>
      </c>
      <c r="AB247" s="17">
        <f>'HH WITHOUT COM #6'!$X$317</f>
        <v>2</v>
      </c>
      <c r="AC247" s="539">
        <f t="shared" si="502"/>
        <v>2</v>
      </c>
      <c r="AD247" s="91">
        <f t="shared" si="503"/>
        <v>0.13333333333333333</v>
      </c>
      <c r="AE247" s="17">
        <f>'HH WITHOUT COM #7'!$W$317</f>
        <v>0</v>
      </c>
      <c r="AF247" s="17">
        <f>'HH WITHOUT COM #7'!$X$317</f>
        <v>0</v>
      </c>
      <c r="AG247" s="539">
        <f t="shared" si="504"/>
        <v>0</v>
      </c>
      <c r="AH247" s="373">
        <f t="shared" si="505"/>
        <v>0</v>
      </c>
      <c r="AI247" s="391">
        <f t="shared" si="490"/>
        <v>0</v>
      </c>
      <c r="AJ247" s="17">
        <f t="shared" si="490"/>
        <v>2</v>
      </c>
      <c r="AK247" s="539">
        <f t="shared" si="491"/>
        <v>2</v>
      </c>
      <c r="AL247" s="91">
        <f t="shared" si="506"/>
        <v>2.4390243902439025E-2</v>
      </c>
    </row>
    <row r="248" spans="1:61" ht="16.5" customHeight="1" x14ac:dyDescent="0.25">
      <c r="A248" s="40"/>
      <c r="B248" s="40"/>
      <c r="C248" s="119"/>
      <c r="D248" s="185"/>
      <c r="E248" s="184"/>
      <c r="F248" s="469"/>
      <c r="G248" s="82">
        <f>SUM(G245:G247)</f>
        <v>2</v>
      </c>
      <c r="H248" s="82">
        <f>SUM(H245:H247)</f>
        <v>3</v>
      </c>
      <c r="I248" s="82">
        <f>SUM(I245:I247)</f>
        <v>5</v>
      </c>
      <c r="J248" s="66">
        <f>IF(I$248=0,0,I248/I$248)</f>
        <v>1</v>
      </c>
      <c r="K248" s="82">
        <f>SUM(K245:K247)</f>
        <v>9</v>
      </c>
      <c r="L248" s="82">
        <f>SUM(L245:L247)</f>
        <v>7</v>
      </c>
      <c r="M248" s="82">
        <f>SUM(M245:M247)</f>
        <v>16</v>
      </c>
      <c r="N248" s="66">
        <f>IF(M$248=0,0,M248/M$248)</f>
        <v>1</v>
      </c>
      <c r="O248" s="82">
        <f>SUM(O245:O247)</f>
        <v>4</v>
      </c>
      <c r="P248" s="82">
        <f>SUM(P245:P247)</f>
        <v>7</v>
      </c>
      <c r="Q248" s="82">
        <f>SUM(Q245:Q247)</f>
        <v>11</v>
      </c>
      <c r="R248" s="66">
        <f>IF(Q$248=0,0,Q248/Q$248)</f>
        <v>1</v>
      </c>
      <c r="S248" s="82">
        <f>SUM(S245:S247)</f>
        <v>0</v>
      </c>
      <c r="T248" s="82">
        <f>SUM(T245:T247)</f>
        <v>7</v>
      </c>
      <c r="U248" s="82">
        <f>SUM(U245:U247)</f>
        <v>7</v>
      </c>
      <c r="V248" s="66">
        <f>IF(U$248=0,0,U248/U$248)</f>
        <v>1</v>
      </c>
      <c r="W248" s="82">
        <f>SUM(W245:W247)</f>
        <v>15</v>
      </c>
      <c r="X248" s="82">
        <f>SUM(X245:X247)</f>
        <v>13</v>
      </c>
      <c r="Y248" s="82">
        <f>SUM(Y245:Y247)</f>
        <v>28</v>
      </c>
      <c r="Z248" s="66">
        <f>IF(Y$248=0,0,Y248/Y$248)</f>
        <v>1</v>
      </c>
      <c r="AA248" s="82">
        <f>SUM(AA245:AA247)</f>
        <v>2</v>
      </c>
      <c r="AB248" s="82">
        <f>SUM(AB245:AB247)</f>
        <v>13</v>
      </c>
      <c r="AC248" s="82">
        <f>SUM(AC245:AC247)</f>
        <v>15</v>
      </c>
      <c r="AD248" s="66">
        <f>IF(AC$248=0,0,AC248/AC$248)</f>
        <v>1</v>
      </c>
      <c r="AE248" s="82">
        <f>SUM(AE245:AE247)</f>
        <v>0</v>
      </c>
      <c r="AF248" s="82">
        <f>SUM(AF245:AF247)</f>
        <v>0</v>
      </c>
      <c r="AG248" s="82">
        <f>SUM(AG245:AG247)</f>
        <v>0</v>
      </c>
      <c r="AH248" s="608">
        <f>IF(AG$248=0,0,AG248/AG$248)</f>
        <v>0</v>
      </c>
      <c r="AI248" s="381">
        <f>SUM(AI245:AI247)</f>
        <v>32</v>
      </c>
      <c r="AJ248" s="82">
        <f>SUM(AJ245:AJ247)</f>
        <v>50</v>
      </c>
      <c r="AK248" s="82">
        <f>SUM(AK245:AK247)</f>
        <v>82</v>
      </c>
      <c r="AL248" s="66">
        <f>IF(AK$248=0,0,AK248/AK$248)</f>
        <v>1</v>
      </c>
    </row>
    <row r="249" spans="1:61" ht="16.5" customHeight="1" x14ac:dyDescent="0.25">
      <c r="A249" s="40"/>
      <c r="B249" s="119"/>
      <c r="C249" s="467" t="s">
        <v>672</v>
      </c>
      <c r="D249" s="167" t="s">
        <v>1012</v>
      </c>
      <c r="E249" s="75"/>
      <c r="F249" s="76"/>
      <c r="G249" s="499"/>
      <c r="H249" s="499"/>
      <c r="I249" s="200"/>
      <c r="J249" s="131"/>
      <c r="K249" s="499"/>
      <c r="L249" s="499"/>
      <c r="M249" s="200"/>
      <c r="N249" s="131"/>
      <c r="O249" s="499"/>
      <c r="P249" s="499"/>
      <c r="Q249" s="200"/>
      <c r="R249" s="131"/>
      <c r="S249" s="499"/>
      <c r="T249" s="499"/>
      <c r="U249" s="200"/>
      <c r="V249" s="131"/>
      <c r="W249" s="499"/>
      <c r="X249" s="499"/>
      <c r="Y249" s="200"/>
      <c r="Z249" s="131"/>
      <c r="AA249" s="499"/>
      <c r="AB249" s="499"/>
      <c r="AC249" s="200"/>
      <c r="AD249" s="131"/>
      <c r="AE249" s="131"/>
      <c r="AF249" s="131"/>
      <c r="AG249" s="200"/>
      <c r="AH249" s="613"/>
      <c r="AI249" s="624"/>
      <c r="AJ249" s="499"/>
      <c r="AK249" s="200"/>
      <c r="AL249" s="131"/>
      <c r="AM249" s="117"/>
      <c r="BA249" s="2" t="s">
        <v>1068</v>
      </c>
      <c r="BB249" s="2" t="s">
        <v>1069</v>
      </c>
      <c r="BC249" s="2" t="s">
        <v>1070</v>
      </c>
      <c r="BD249" s="2" t="s">
        <v>1071</v>
      </c>
      <c r="BE249" s="2" t="s">
        <v>1072</v>
      </c>
      <c r="BF249" s="2" t="s">
        <v>1073</v>
      </c>
      <c r="BG249" s="2" t="s">
        <v>1074</v>
      </c>
      <c r="BH249" s="2"/>
      <c r="BI249" s="2"/>
    </row>
    <row r="250" spans="1:61" ht="16.5" customHeight="1" x14ac:dyDescent="0.25">
      <c r="A250" s="40"/>
      <c r="B250" s="119"/>
      <c r="C250" s="119"/>
      <c r="D250" s="167" t="s">
        <v>1013</v>
      </c>
      <c r="E250" s="75"/>
      <c r="F250" s="76"/>
      <c r="G250" s="508"/>
      <c r="H250" s="508"/>
      <c r="I250" s="508">
        <f>'HH WITHOUT COM #1'!$AA$320</f>
        <v>0.33</v>
      </c>
      <c r="J250" s="91"/>
      <c r="K250" s="508"/>
      <c r="L250" s="508"/>
      <c r="M250" s="508">
        <f>'HH WITHOUT COM #2'!$AA$320</f>
        <v>0.5</v>
      </c>
      <c r="N250" s="91"/>
      <c r="O250" s="508"/>
      <c r="P250" s="508"/>
      <c r="Q250" s="508">
        <f>'HH WITHOUT COM #3'!$AA$320</f>
        <v>0.5</v>
      </c>
      <c r="R250" s="91"/>
      <c r="S250" s="508"/>
      <c r="T250" s="508"/>
      <c r="U250" s="508">
        <f>'HH WITHOUT COM #4'!$AA$320</f>
        <v>1.5</v>
      </c>
      <c r="V250" s="91"/>
      <c r="W250" s="508"/>
      <c r="X250" s="508"/>
      <c r="Y250" s="508">
        <f>'HH WITHOUT COM #5'!$AA$320</f>
        <v>0.5</v>
      </c>
      <c r="Z250" s="91"/>
      <c r="AA250" s="508"/>
      <c r="AB250" s="508"/>
      <c r="AC250" s="508">
        <f>'HH WITHOUT COM #6'!$AA$320</f>
        <v>0.5</v>
      </c>
      <c r="AD250" s="91"/>
      <c r="AE250" s="91"/>
      <c r="AF250" s="91"/>
      <c r="AG250" s="508">
        <f>'HH WITHOUT COM #7'!$AA$320</f>
        <v>0</v>
      </c>
      <c r="AH250" s="373"/>
      <c r="AI250" s="625"/>
      <c r="AJ250" s="508"/>
      <c r="AK250" s="199">
        <f>MIN(BA250:BG250)</f>
        <v>0.33</v>
      </c>
      <c r="AL250" s="91"/>
      <c r="AM250" s="117"/>
      <c r="AN250" s="964" t="s">
        <v>1469</v>
      </c>
      <c r="BA250" s="999">
        <f>IF(I250=0,"",I250)</f>
        <v>0.33</v>
      </c>
      <c r="BB250" s="999">
        <f>IF(M250=0,"",M250)</f>
        <v>0.5</v>
      </c>
      <c r="BC250" s="999">
        <f>IF(Q250=0,"",Q250)</f>
        <v>0.5</v>
      </c>
      <c r="BD250" s="999">
        <f>IF(U250=0,"",U250)</f>
        <v>1.5</v>
      </c>
      <c r="BE250" s="999">
        <f>IF(Y250=0,"",Y250)</f>
        <v>0.5</v>
      </c>
      <c r="BF250" s="999">
        <f>IF(AC250=0,"",AC250)</f>
        <v>0.5</v>
      </c>
      <c r="BG250" s="999" t="str">
        <f>IF(AG250=0,"",AG250)</f>
        <v/>
      </c>
      <c r="BH250" s="2"/>
      <c r="BI250" s="2"/>
    </row>
    <row r="251" spans="1:61" ht="16.5" customHeight="1" x14ac:dyDescent="0.25">
      <c r="A251" s="40"/>
      <c r="B251" s="119"/>
      <c r="C251" s="119"/>
      <c r="D251" s="167" t="s">
        <v>1014</v>
      </c>
      <c r="E251" s="75"/>
      <c r="F251" s="76"/>
      <c r="G251" s="508"/>
      <c r="H251" s="508"/>
      <c r="I251" s="508">
        <f>'HH WITHOUT COM #1'!$AB$320</f>
        <v>0.33</v>
      </c>
      <c r="J251" s="91"/>
      <c r="K251" s="508"/>
      <c r="L251" s="508"/>
      <c r="M251" s="508">
        <f>'HH WITHOUT COM #2'!$AB$320</f>
        <v>1</v>
      </c>
      <c r="N251" s="91"/>
      <c r="O251" s="508"/>
      <c r="P251" s="508"/>
      <c r="Q251" s="508">
        <f>'HH WITHOUT COM #3'!$AB$320</f>
        <v>0.5</v>
      </c>
      <c r="R251" s="91"/>
      <c r="S251" s="508"/>
      <c r="T251" s="508"/>
      <c r="U251" s="508">
        <f>'HH WITHOUT COM #4'!$AB$320</f>
        <v>1.5</v>
      </c>
      <c r="V251" s="91"/>
      <c r="W251" s="508"/>
      <c r="X251" s="508"/>
      <c r="Y251" s="508">
        <f>'HH WITHOUT COM #5'!$AB$320</f>
        <v>1.5</v>
      </c>
      <c r="Z251" s="91"/>
      <c r="AA251" s="508"/>
      <c r="AB251" s="508"/>
      <c r="AC251" s="508">
        <f>'HH WITHOUT COM #6'!$AB$320</f>
        <v>1</v>
      </c>
      <c r="AD251" s="91"/>
      <c r="AE251" s="91"/>
      <c r="AF251" s="91"/>
      <c r="AG251" s="508">
        <f>'HH WITHOUT COM #7'!$AB$320</f>
        <v>0</v>
      </c>
      <c r="AH251" s="373"/>
      <c r="AI251" s="625"/>
      <c r="AJ251" s="508"/>
      <c r="AK251" s="199">
        <f>MAX(BA251:BG251)</f>
        <v>1.5</v>
      </c>
      <c r="AL251" s="91"/>
      <c r="AM251" s="117"/>
      <c r="AN251" s="964" t="s">
        <v>1469</v>
      </c>
      <c r="BA251" s="999">
        <f t="shared" ref="BA251:BA252" si="507">IF(I251=0,"",I251)</f>
        <v>0.33</v>
      </c>
      <c r="BB251" s="999">
        <f t="shared" ref="BB251:BB252" si="508">IF(M251=0,"",M251)</f>
        <v>1</v>
      </c>
      <c r="BC251" s="999">
        <f t="shared" ref="BC251:BC252" si="509">IF(Q251=0,"",Q251)</f>
        <v>0.5</v>
      </c>
      <c r="BD251" s="999">
        <f t="shared" ref="BD251:BD252" si="510">IF(U251=0,"",U251)</f>
        <v>1.5</v>
      </c>
      <c r="BE251" s="999">
        <f t="shared" ref="BE251:BE252" si="511">IF(Y251=0,"",Y251)</f>
        <v>1.5</v>
      </c>
      <c r="BF251" s="999">
        <f t="shared" ref="BF251:BF252" si="512">IF(AC251=0,"",AC251)</f>
        <v>1</v>
      </c>
      <c r="BG251" s="999" t="str">
        <f t="shared" ref="BG251:BG252" si="513">IF(AG251=0,"",AG251)</f>
        <v/>
      </c>
      <c r="BH251" s="2"/>
      <c r="BI251" s="2"/>
    </row>
    <row r="252" spans="1:61" ht="16.5" customHeight="1" x14ac:dyDescent="0.25">
      <c r="A252" s="40"/>
      <c r="B252" s="119"/>
      <c r="C252" s="119"/>
      <c r="D252" s="167" t="s">
        <v>1015</v>
      </c>
      <c r="E252" s="75"/>
      <c r="F252" s="76"/>
      <c r="G252" s="508"/>
      <c r="H252" s="508"/>
      <c r="I252" s="199">
        <f>'HH WITHOUT COM #1'!$AC$320</f>
        <v>0.33</v>
      </c>
      <c r="J252" s="91"/>
      <c r="K252" s="508"/>
      <c r="L252" s="508"/>
      <c r="M252" s="199">
        <f>'HH WITHOUT COM #2'!$AC$320</f>
        <v>0.75</v>
      </c>
      <c r="N252" s="91"/>
      <c r="O252" s="508"/>
      <c r="P252" s="508"/>
      <c r="Q252" s="199">
        <f>'HH WITHOUT COM #3'!$AC$320</f>
        <v>0.5</v>
      </c>
      <c r="R252" s="91"/>
      <c r="S252" s="508"/>
      <c r="T252" s="508"/>
      <c r="U252" s="199">
        <f>'HH WITHOUT COM #4'!$AC$320</f>
        <v>1.5</v>
      </c>
      <c r="V252" s="91"/>
      <c r="W252" s="508"/>
      <c r="X252" s="508"/>
      <c r="Y252" s="199">
        <f>'HH WITHOUT COM #5'!$AC$320</f>
        <v>1</v>
      </c>
      <c r="Z252" s="91"/>
      <c r="AA252" s="508"/>
      <c r="AB252" s="508"/>
      <c r="AC252" s="199">
        <f>'HH WITHOUT COM #6'!$AC$320</f>
        <v>0.75</v>
      </c>
      <c r="AD252" s="91"/>
      <c r="AE252" s="91"/>
      <c r="AF252" s="91"/>
      <c r="AG252" s="199">
        <f>'HH WITHOUT COM #7'!$AC$320</f>
        <v>0</v>
      </c>
      <c r="AH252" s="373"/>
      <c r="AI252" s="625"/>
      <c r="AJ252" s="508"/>
      <c r="AK252" s="719">
        <f>AVERAGE(BA252:BG252)</f>
        <v>0.80500000000000005</v>
      </c>
      <c r="AL252" s="91"/>
      <c r="AM252" s="117"/>
      <c r="AN252" s="964" t="s">
        <v>1469</v>
      </c>
      <c r="BA252" s="999">
        <f t="shared" si="507"/>
        <v>0.33</v>
      </c>
      <c r="BB252" s="999">
        <f t="shared" si="508"/>
        <v>0.75</v>
      </c>
      <c r="BC252" s="999">
        <f t="shared" si="509"/>
        <v>0.5</v>
      </c>
      <c r="BD252" s="999">
        <f t="shared" si="510"/>
        <v>1.5</v>
      </c>
      <c r="BE252" s="999">
        <f t="shared" si="511"/>
        <v>1</v>
      </c>
      <c r="BF252" s="999">
        <f t="shared" si="512"/>
        <v>0.75</v>
      </c>
      <c r="BG252" s="999" t="str">
        <f t="shared" si="513"/>
        <v/>
      </c>
      <c r="BH252" s="657"/>
      <c r="BI252" s="1293">
        <f>AVERAGE(BA250:BG251)</f>
        <v>0.80500000000000005</v>
      </c>
    </row>
    <row r="253" spans="1:61" ht="16.5" customHeight="1" x14ac:dyDescent="0.25">
      <c r="A253" s="40"/>
      <c r="B253" s="40"/>
      <c r="C253" s="119"/>
      <c r="D253" s="185"/>
      <c r="E253" s="184"/>
      <c r="F253" s="469"/>
      <c r="G253" s="82"/>
      <c r="H253" s="82"/>
      <c r="I253" s="82"/>
      <c r="J253" s="66"/>
      <c r="K253" s="82"/>
      <c r="L253" s="82"/>
      <c r="M253" s="82"/>
      <c r="N253" s="66"/>
      <c r="O253" s="82"/>
      <c r="P253" s="82"/>
      <c r="Q253" s="82"/>
      <c r="R253" s="66"/>
      <c r="S253" s="82"/>
      <c r="T253" s="82"/>
      <c r="U253" s="82"/>
      <c r="V253" s="66"/>
      <c r="W253" s="82"/>
      <c r="X253" s="82"/>
      <c r="Y253" s="82"/>
      <c r="Z253" s="66"/>
      <c r="AA253" s="82"/>
      <c r="AB253" s="82"/>
      <c r="AC253" s="82"/>
      <c r="AD253" s="66"/>
      <c r="AE253" s="82"/>
      <c r="AF253" s="82"/>
      <c r="AG253" s="82"/>
      <c r="AH253" s="608"/>
      <c r="AI253" s="381"/>
      <c r="AJ253" s="82"/>
      <c r="AK253" s="82"/>
      <c r="AL253" s="66"/>
    </row>
    <row r="254" spans="1:61" s="117" customFormat="1" ht="16.5" customHeight="1" x14ac:dyDescent="0.25">
      <c r="A254" s="119"/>
      <c r="B254" s="41" t="s">
        <v>313</v>
      </c>
      <c r="C254" s="69" t="s">
        <v>1016</v>
      </c>
      <c r="D254" s="70"/>
      <c r="E254" s="478"/>
      <c r="F254" s="478"/>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355"/>
      <c r="AI254" s="377"/>
      <c r="AJ254" s="71"/>
      <c r="AK254" s="71"/>
      <c r="AL254" s="71"/>
    </row>
    <row r="255" spans="1:61" s="117" customFormat="1" ht="16.5" customHeight="1" x14ac:dyDescent="0.25">
      <c r="A255" s="119"/>
      <c r="B255" s="119"/>
      <c r="C255" s="467" t="s">
        <v>314</v>
      </c>
      <c r="D255" s="167" t="s">
        <v>129</v>
      </c>
      <c r="E255" s="75"/>
      <c r="F255" s="106"/>
      <c r="G255" s="17"/>
      <c r="H255" s="17"/>
      <c r="I255" s="539">
        <f>'HH WITHOUT COM #1'!$Y$323</f>
        <v>0</v>
      </c>
      <c r="J255" s="91">
        <f>IF(I$258=0,0,I255/I$258)</f>
        <v>0</v>
      </c>
      <c r="K255" s="17"/>
      <c r="L255" s="17"/>
      <c r="M255" s="539">
        <f>'HH WITHOUT COM #2'!$Y$323</f>
        <v>0</v>
      </c>
      <c r="N255" s="91">
        <f>IF(M$258=0,0,M255/M$258)</f>
        <v>0</v>
      </c>
      <c r="O255" s="17"/>
      <c r="P255" s="17"/>
      <c r="Q255" s="539">
        <f>'HH WITHOUT COM #3'!$Y$323</f>
        <v>0</v>
      </c>
      <c r="R255" s="91">
        <f>IF(Q$258=0,0,Q255/Q$258)</f>
        <v>0</v>
      </c>
      <c r="S255" s="17"/>
      <c r="T255" s="17"/>
      <c r="U255" s="539">
        <f>'HH WITHOUT COM #4'!$Y$323</f>
        <v>0</v>
      </c>
      <c r="V255" s="91">
        <f>IF(U$258=0,0,U255/U$258)</f>
        <v>0</v>
      </c>
      <c r="W255" s="17"/>
      <c r="X255" s="17"/>
      <c r="Y255" s="539">
        <f>'HH WITHOUT COM #5'!$Y$323</f>
        <v>0</v>
      </c>
      <c r="Z255" s="91">
        <f>IF(Y$258=0,0,Y255/Y$258)</f>
        <v>0</v>
      </c>
      <c r="AA255" s="17"/>
      <c r="AB255" s="17"/>
      <c r="AC255" s="539">
        <f>'HH WITHOUT COM #6'!$Y$323</f>
        <v>0</v>
      </c>
      <c r="AD255" s="91">
        <f>IF(AC$258=0,0,AC255/AC$258)</f>
        <v>0</v>
      </c>
      <c r="AE255" s="17"/>
      <c r="AF255" s="17"/>
      <c r="AG255" s="539">
        <f>'HH WITHOUT COM #7'!$Y$323</f>
        <v>0</v>
      </c>
      <c r="AH255" s="373">
        <f>IF(AG$258=0,0,AG255/AG$258)</f>
        <v>0</v>
      </c>
      <c r="AI255" s="391"/>
      <c r="AJ255" s="17"/>
      <c r="AK255" s="17">
        <f t="shared" ref="AK255:AK257" si="514">I255+M255+Q255+U255+Y255+AC255+AG255</f>
        <v>0</v>
      </c>
      <c r="AL255" s="91">
        <f>IF(AK$258=0,0,AK255/AK$258)</f>
        <v>0</v>
      </c>
    </row>
    <row r="256" spans="1:61" s="117" customFormat="1" ht="16.5" customHeight="1" x14ac:dyDescent="0.25">
      <c r="A256" s="119"/>
      <c r="B256" s="119"/>
      <c r="C256" s="467" t="s">
        <v>327</v>
      </c>
      <c r="D256" s="167" t="s">
        <v>491</v>
      </c>
      <c r="E256" s="75"/>
      <c r="F256" s="106"/>
      <c r="G256" s="17"/>
      <c r="H256" s="17"/>
      <c r="I256" s="539">
        <f>'HH WITHOUT COM #1'!$Y$324</f>
        <v>0</v>
      </c>
      <c r="J256" s="91">
        <f t="shared" ref="J256:J258" si="515">IF(I$258=0,0,I256/I$258)</f>
        <v>0</v>
      </c>
      <c r="K256" s="17"/>
      <c r="L256" s="17"/>
      <c r="M256" s="539">
        <f>'HH WITHOUT COM #2'!$Y$324</f>
        <v>1</v>
      </c>
      <c r="N256" s="91">
        <f t="shared" ref="N256:N258" si="516">IF(M$258=0,0,M256/M$258)</f>
        <v>0.5</v>
      </c>
      <c r="O256" s="17"/>
      <c r="P256" s="17"/>
      <c r="Q256" s="539">
        <f>'HH WITHOUT COM #3'!$Y$324</f>
        <v>1</v>
      </c>
      <c r="R256" s="91">
        <f t="shared" ref="R256:R258" si="517">IF(Q$258=0,0,Q256/Q$258)</f>
        <v>1</v>
      </c>
      <c r="S256" s="17"/>
      <c r="T256" s="17"/>
      <c r="U256" s="539">
        <f>'HH WITHOUT COM #4'!$Y$324</f>
        <v>1</v>
      </c>
      <c r="V256" s="91">
        <f t="shared" ref="V256:V258" si="518">IF(U$258=0,0,U256/U$258)</f>
        <v>1</v>
      </c>
      <c r="W256" s="17"/>
      <c r="X256" s="17"/>
      <c r="Y256" s="539">
        <f>'HH WITHOUT COM #5'!$Y$324</f>
        <v>1</v>
      </c>
      <c r="Z256" s="91">
        <f t="shared" ref="Z256:Z258" si="519">IF(Y$258=0,0,Y256/Y$258)</f>
        <v>0.33333333333333331</v>
      </c>
      <c r="AA256" s="17"/>
      <c r="AB256" s="17"/>
      <c r="AC256" s="539">
        <f>'HH WITHOUT COM #6'!$Y$324</f>
        <v>1</v>
      </c>
      <c r="AD256" s="91">
        <f t="shared" ref="AD256:AD258" si="520">IF(AC$258=0,0,AC256/AC$258)</f>
        <v>0.5</v>
      </c>
      <c r="AE256" s="17"/>
      <c r="AF256" s="17"/>
      <c r="AG256" s="539">
        <f>'HH WITHOUT COM #7'!$Y$324</f>
        <v>0</v>
      </c>
      <c r="AH256" s="373">
        <f t="shared" ref="AH256:AH258" si="521">IF(AG$258=0,0,AG256/AG$258)</f>
        <v>0</v>
      </c>
      <c r="AI256" s="391"/>
      <c r="AJ256" s="17"/>
      <c r="AK256" s="17">
        <f t="shared" si="514"/>
        <v>5</v>
      </c>
      <c r="AL256" s="91">
        <f t="shared" ref="AL256:AL258" si="522">IF(AK$258=0,0,AK256/AK$258)</f>
        <v>0.5</v>
      </c>
    </row>
    <row r="257" spans="1:39" s="117" customFormat="1" ht="16.5" customHeight="1" x14ac:dyDescent="0.25">
      <c r="A257" s="119"/>
      <c r="B257" s="119"/>
      <c r="C257" s="467" t="s">
        <v>328</v>
      </c>
      <c r="D257" s="167" t="s">
        <v>493</v>
      </c>
      <c r="E257" s="75"/>
      <c r="F257" s="106"/>
      <c r="G257" s="17"/>
      <c r="H257" s="17"/>
      <c r="I257" s="539">
        <f>'HH WITHOUT COM #1'!$Y$325</f>
        <v>1</v>
      </c>
      <c r="J257" s="91">
        <f t="shared" si="515"/>
        <v>1</v>
      </c>
      <c r="K257" s="17"/>
      <c r="L257" s="17"/>
      <c r="M257" s="539">
        <f>'HH WITHOUT COM #2'!$Y$325</f>
        <v>1</v>
      </c>
      <c r="N257" s="91">
        <f t="shared" si="516"/>
        <v>0.5</v>
      </c>
      <c r="O257" s="17"/>
      <c r="P257" s="17"/>
      <c r="Q257" s="539">
        <f>'HH WITHOUT COM #3'!$Y$325</f>
        <v>0</v>
      </c>
      <c r="R257" s="91">
        <f t="shared" si="517"/>
        <v>0</v>
      </c>
      <c r="S257" s="17"/>
      <c r="T257" s="17"/>
      <c r="U257" s="539">
        <f>'HH WITHOUT COM #4'!$Y$325</f>
        <v>0</v>
      </c>
      <c r="V257" s="91">
        <f t="shared" si="518"/>
        <v>0</v>
      </c>
      <c r="W257" s="17"/>
      <c r="X257" s="17"/>
      <c r="Y257" s="539">
        <f>'HH WITHOUT COM #5'!$Y$325</f>
        <v>2</v>
      </c>
      <c r="Z257" s="91">
        <f t="shared" si="519"/>
        <v>0.66666666666666663</v>
      </c>
      <c r="AA257" s="17"/>
      <c r="AB257" s="17"/>
      <c r="AC257" s="539">
        <f>'HH WITHOUT COM #6'!$Y$325</f>
        <v>1</v>
      </c>
      <c r="AD257" s="91">
        <f t="shared" si="520"/>
        <v>0.5</v>
      </c>
      <c r="AE257" s="17"/>
      <c r="AF257" s="17"/>
      <c r="AG257" s="539">
        <f>'HH WITHOUT COM #7'!$Y$325</f>
        <v>0</v>
      </c>
      <c r="AH257" s="373">
        <f t="shared" si="521"/>
        <v>0</v>
      </c>
      <c r="AI257" s="391"/>
      <c r="AJ257" s="17"/>
      <c r="AK257" s="17">
        <f t="shared" si="514"/>
        <v>5</v>
      </c>
      <c r="AL257" s="91">
        <f t="shared" si="522"/>
        <v>0.5</v>
      </c>
    </row>
    <row r="258" spans="1:39" ht="16.5" customHeight="1" x14ac:dyDescent="0.25">
      <c r="A258" s="40"/>
      <c r="B258" s="40"/>
      <c r="C258" s="119"/>
      <c r="D258" s="185"/>
      <c r="E258" s="184"/>
      <c r="F258" s="469"/>
      <c r="G258" s="82"/>
      <c r="H258" s="82"/>
      <c r="I258" s="82">
        <f>SUM(I255:I257)</f>
        <v>1</v>
      </c>
      <c r="J258" s="66">
        <f t="shared" si="515"/>
        <v>1</v>
      </c>
      <c r="K258" s="82"/>
      <c r="L258" s="82"/>
      <c r="M258" s="82">
        <f>SUM(M255:M257)</f>
        <v>2</v>
      </c>
      <c r="N258" s="66">
        <f t="shared" si="516"/>
        <v>1</v>
      </c>
      <c r="O258" s="82"/>
      <c r="P258" s="82"/>
      <c r="Q258" s="82">
        <f>SUM(Q255:Q257)</f>
        <v>1</v>
      </c>
      <c r="R258" s="66">
        <f t="shared" si="517"/>
        <v>1</v>
      </c>
      <c r="S258" s="82"/>
      <c r="T258" s="82"/>
      <c r="U258" s="82">
        <f>SUM(U255:U257)</f>
        <v>1</v>
      </c>
      <c r="V258" s="66">
        <f t="shared" si="518"/>
        <v>1</v>
      </c>
      <c r="W258" s="82"/>
      <c r="X258" s="82"/>
      <c r="Y258" s="82">
        <f>SUM(Y255:Y257)</f>
        <v>3</v>
      </c>
      <c r="Z258" s="66">
        <f t="shared" si="519"/>
        <v>1</v>
      </c>
      <c r="AA258" s="82"/>
      <c r="AB258" s="82"/>
      <c r="AC258" s="82">
        <f>SUM(AC255:AC257)</f>
        <v>2</v>
      </c>
      <c r="AD258" s="66">
        <f t="shared" si="520"/>
        <v>1</v>
      </c>
      <c r="AE258" s="82"/>
      <c r="AF258" s="82"/>
      <c r="AG258" s="82">
        <f>SUM(AG255:AG257)</f>
        <v>0</v>
      </c>
      <c r="AH258" s="608">
        <f t="shared" si="521"/>
        <v>0</v>
      </c>
      <c r="AI258" s="381"/>
      <c r="AJ258" s="82"/>
      <c r="AK258" s="82">
        <f>SUM(AK255:AK257)</f>
        <v>10</v>
      </c>
      <c r="AL258" s="66">
        <f t="shared" si="522"/>
        <v>1</v>
      </c>
    </row>
    <row r="259" spans="1:39" s="117" customFormat="1" ht="16.5" customHeight="1" x14ac:dyDescent="0.25">
      <c r="A259" s="119"/>
      <c r="B259" s="41" t="s">
        <v>313</v>
      </c>
      <c r="C259" s="476" t="s">
        <v>12</v>
      </c>
      <c r="D259" s="477"/>
      <c r="E259" s="478"/>
      <c r="F259" s="478"/>
      <c r="G259" s="71"/>
      <c r="H259" s="71"/>
      <c r="I259" s="71"/>
      <c r="J259" s="71"/>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355"/>
      <c r="AI259" s="377"/>
      <c r="AJ259" s="71"/>
      <c r="AK259" s="71"/>
      <c r="AL259" s="71"/>
    </row>
    <row r="260" spans="1:39" ht="16.5" customHeight="1" x14ac:dyDescent="0.25">
      <c r="A260" s="40"/>
      <c r="B260" s="40"/>
      <c r="C260" s="74" t="s">
        <v>314</v>
      </c>
      <c r="D260" s="542" t="s">
        <v>315</v>
      </c>
      <c r="E260" s="493"/>
      <c r="F260" s="493"/>
      <c r="G260" s="507"/>
      <c r="H260" s="178"/>
      <c r="I260" s="178"/>
      <c r="J260" s="178"/>
      <c r="K260" s="507"/>
      <c r="L260" s="178"/>
      <c r="M260" s="178"/>
      <c r="N260" s="178"/>
      <c r="O260" s="507"/>
      <c r="P260" s="178"/>
      <c r="Q260" s="178"/>
      <c r="R260" s="178"/>
      <c r="S260" s="507"/>
      <c r="T260" s="178"/>
      <c r="U260" s="178"/>
      <c r="V260" s="178"/>
      <c r="W260" s="507"/>
      <c r="X260" s="178"/>
      <c r="Y260" s="178"/>
      <c r="Z260" s="178"/>
      <c r="AA260" s="507"/>
      <c r="AB260" s="178"/>
      <c r="AC260" s="178"/>
      <c r="AD260" s="178"/>
      <c r="AE260" s="76"/>
      <c r="AF260" s="76"/>
      <c r="AG260" s="178"/>
      <c r="AH260" s="85"/>
      <c r="AI260" s="626"/>
      <c r="AJ260" s="178"/>
      <c r="AK260" s="178"/>
      <c r="AL260" s="178"/>
    </row>
    <row r="261" spans="1:39" s="117" customFormat="1" ht="16.5" customHeight="1" x14ac:dyDescent="0.25">
      <c r="A261" s="119"/>
      <c r="B261" s="119"/>
      <c r="C261" s="196"/>
      <c r="D261" s="167" t="s">
        <v>324</v>
      </c>
      <c r="E261" s="105"/>
      <c r="F261" s="106"/>
      <c r="G261" s="17">
        <f>'HH WITHOUT COM #1'!$W$342</f>
        <v>0</v>
      </c>
      <c r="H261" s="17">
        <f>'HH WITHOUT COM #1'!$X$342</f>
        <v>1</v>
      </c>
      <c r="I261" s="1321">
        <f>'HH WITHOUT COM #1'!$Y$342</f>
        <v>0.5</v>
      </c>
      <c r="J261" s="91">
        <f>IF(I$264=0,0,I261/I$264)</f>
        <v>0.5</v>
      </c>
      <c r="K261" s="17">
        <f>'HH WITHOUT COM #2'!$W$342</f>
        <v>0</v>
      </c>
      <c r="L261" s="17">
        <f>'HH WITHOUT COM #2'!$X$342</f>
        <v>1</v>
      </c>
      <c r="M261" s="1321">
        <f>'HH WITHOUT COM #2'!$Y$342</f>
        <v>0.5</v>
      </c>
      <c r="N261" s="91">
        <f>IF(M$264=0,0,M261/M$264)</f>
        <v>0.25</v>
      </c>
      <c r="O261" s="17">
        <f>'HH WITHOUT COM #1'!$W$342</f>
        <v>0</v>
      </c>
      <c r="P261" s="17">
        <f>'HH WITHOUT COM #3'!$X$342</f>
        <v>0</v>
      </c>
      <c r="Q261" s="1321">
        <f>'HH WITHOUT COM #3'!$Y$342</f>
        <v>0</v>
      </c>
      <c r="R261" s="91">
        <f>IF(Q$264=0,0,Q261/Q$264)</f>
        <v>0</v>
      </c>
      <c r="S261" s="17">
        <f>'HH WITHOUT COM #4'!$W$342</f>
        <v>0</v>
      </c>
      <c r="T261" s="17">
        <f>'HH WITHOUT COM #4'!$X$342</f>
        <v>0</v>
      </c>
      <c r="U261" s="1321">
        <f>'HH WITHOUT COM #4'!$Y$342</f>
        <v>0</v>
      </c>
      <c r="V261" s="91">
        <f>IF(U$264=0,0,U261/U$264)</f>
        <v>0</v>
      </c>
      <c r="W261" s="17">
        <f>'HH WITHOUT COM #5'!$W$342</f>
        <v>0</v>
      </c>
      <c r="X261" s="17">
        <f>'HH WITHOUT COM #5'!$X$342</f>
        <v>1</v>
      </c>
      <c r="Y261" s="1321">
        <f>'HH WITHOUT COM #5'!$Y$342</f>
        <v>0.5</v>
      </c>
      <c r="Z261" s="91">
        <f>IF(Y$264=0,0,Y261/Y$264)</f>
        <v>0.16666666666666666</v>
      </c>
      <c r="AA261" s="17">
        <f>'HH WITHOUT COM #6'!$W$342</f>
        <v>0</v>
      </c>
      <c r="AB261" s="17">
        <f>'HH WITHOUT COM #6'!$X$342</f>
        <v>0</v>
      </c>
      <c r="AC261" s="1321">
        <f>'HH WITHOUT COM #6'!$Y$342</f>
        <v>0</v>
      </c>
      <c r="AD261" s="91">
        <f>IF(AC$264=0,0,AC261/AC$264)</f>
        <v>0</v>
      </c>
      <c r="AE261" s="17">
        <f>'HH WITHOUT COM #7'!$W$342</f>
        <v>0</v>
      </c>
      <c r="AF261" s="17">
        <f>'HH WITHOUT COM #7'!$X$342</f>
        <v>0</v>
      </c>
      <c r="AG261" s="1321">
        <f>'HH WITHOUT COM #7'!$Y$342</f>
        <v>0</v>
      </c>
      <c r="AH261" s="373">
        <f>IF(AG$264=0,0,AG261/AG$264)</f>
        <v>0</v>
      </c>
      <c r="AI261" s="391">
        <f>G261+K261+O261+S261+W261+AA261+AE261</f>
        <v>0</v>
      </c>
      <c r="AJ261" s="17">
        <f>H261+L261+P261+T261+X261+AB261+AF261</f>
        <v>3</v>
      </c>
      <c r="AK261" s="1321">
        <f>I261+M261+Q261+U261+Y261+AC261+AG261</f>
        <v>1.5</v>
      </c>
      <c r="AL261" s="91">
        <f>IF(AK$264=0,0,AK261/AK$264)</f>
        <v>0.15</v>
      </c>
    </row>
    <row r="262" spans="1:39" s="117" customFormat="1" ht="16.5" customHeight="1" x14ac:dyDescent="0.25">
      <c r="A262" s="119"/>
      <c r="B262" s="119"/>
      <c r="C262" s="136"/>
      <c r="D262" s="167" t="s">
        <v>325</v>
      </c>
      <c r="E262" s="105"/>
      <c r="F262" s="106"/>
      <c r="G262" s="17">
        <f>'HH WITHOUT COM #1'!$W$343</f>
        <v>1</v>
      </c>
      <c r="H262" s="17">
        <f>'HH WITHOUT COM #1'!$X$343</f>
        <v>0</v>
      </c>
      <c r="I262" s="1321">
        <f>'HH WITHOUT COM #1'!$Y$343</f>
        <v>0.5</v>
      </c>
      <c r="J262" s="91">
        <f>IF(I$264=0,0,I262/I$264)</f>
        <v>0.5</v>
      </c>
      <c r="K262" s="17">
        <f>'HH WITHOUT COM #2'!$W$343</f>
        <v>1</v>
      </c>
      <c r="L262" s="17">
        <f>'HH WITHOUT COM #2'!$X$343</f>
        <v>0</v>
      </c>
      <c r="M262" s="1321">
        <f>'HH WITHOUT COM #2'!$Y$343</f>
        <v>0.5</v>
      </c>
      <c r="N262" s="91">
        <f>IF(M$264=0,0,M262/M$264)</f>
        <v>0.25</v>
      </c>
      <c r="O262" s="17">
        <f>'HH WITHOUT COM #1'!$W$343</f>
        <v>1</v>
      </c>
      <c r="P262" s="17">
        <f>'HH WITHOUT COM #3'!$X$343</f>
        <v>1</v>
      </c>
      <c r="Q262" s="1321">
        <f>'HH WITHOUT COM #3'!$Y$343</f>
        <v>1</v>
      </c>
      <c r="R262" s="91">
        <f>IF(Q$264=0,0,Q262/Q$264)</f>
        <v>1</v>
      </c>
      <c r="S262" s="17">
        <f>'HH WITHOUT COM #4'!$W$343</f>
        <v>0</v>
      </c>
      <c r="T262" s="17">
        <f>'HH WITHOUT COM #4'!$X$343</f>
        <v>0</v>
      </c>
      <c r="U262" s="1321">
        <f>'HH WITHOUT COM #4'!$Y$343</f>
        <v>0</v>
      </c>
      <c r="V262" s="91">
        <f>IF(U$264=0,0,U262/U$264)</f>
        <v>0</v>
      </c>
      <c r="W262" s="17">
        <f>'HH WITHOUT COM #5'!$W$343</f>
        <v>2</v>
      </c>
      <c r="X262" s="17">
        <f>'HH WITHOUT COM #5'!$X$343</f>
        <v>1</v>
      </c>
      <c r="Y262" s="1321">
        <f>'HH WITHOUT COM #5'!$Y$343</f>
        <v>1.5</v>
      </c>
      <c r="Z262" s="91">
        <f>IF(Y$264=0,0,Y262/Y$264)</f>
        <v>0.5</v>
      </c>
      <c r="AA262" s="17">
        <f>'HH WITHOUT COM #6'!$W$343</f>
        <v>0</v>
      </c>
      <c r="AB262" s="17">
        <f>'HH WITHOUT COM #6'!$X$343</f>
        <v>0</v>
      </c>
      <c r="AC262" s="1321">
        <f>'HH WITHOUT COM #6'!$Y$343</f>
        <v>0</v>
      </c>
      <c r="AD262" s="91">
        <f>IF(AC$264=0,0,AC262/AC$264)</f>
        <v>0</v>
      </c>
      <c r="AE262" s="17">
        <f>'HH WITHOUT COM #7'!$W$343</f>
        <v>0</v>
      </c>
      <c r="AF262" s="17">
        <f>'HH WITHOUT COM #7'!$X$343</f>
        <v>0</v>
      </c>
      <c r="AG262" s="1321">
        <f>'HH WITHOUT COM #7'!$Y$343</f>
        <v>0</v>
      </c>
      <c r="AH262" s="373">
        <f>IF(AG$264=0,0,AG262/AG$264)</f>
        <v>0</v>
      </c>
      <c r="AI262" s="391">
        <f t="shared" ref="AI262:AK263" si="523">G262+K262+O262+S262+W262+AA262+AE262</f>
        <v>5</v>
      </c>
      <c r="AJ262" s="17">
        <f t="shared" si="523"/>
        <v>2</v>
      </c>
      <c r="AK262" s="1321">
        <f t="shared" si="523"/>
        <v>3.5</v>
      </c>
      <c r="AL262" s="91">
        <f>IF(AK$264=0,0,AK262/AK$264)</f>
        <v>0.35</v>
      </c>
    </row>
    <row r="263" spans="1:39" s="117" customFormat="1" ht="16.5" customHeight="1" x14ac:dyDescent="0.25">
      <c r="A263" s="119"/>
      <c r="B263" s="119"/>
      <c r="C263" s="137"/>
      <c r="D263" s="167" t="s">
        <v>326</v>
      </c>
      <c r="E263" s="105"/>
      <c r="F263" s="106"/>
      <c r="G263" s="17">
        <f>'HH WITHOUT COM #1'!$W$344</f>
        <v>0</v>
      </c>
      <c r="H263" s="17">
        <f>'HH WITHOUT COM #1'!$X$344</f>
        <v>0</v>
      </c>
      <c r="I263" s="1321">
        <f>'HH WITHOUT COM #1'!$Y$344</f>
        <v>0</v>
      </c>
      <c r="J263" s="91">
        <f>IF(I$264=0,0,I263/I$264)</f>
        <v>0</v>
      </c>
      <c r="K263" s="17">
        <f>'HH WITHOUT COM #2'!$W$344</f>
        <v>1</v>
      </c>
      <c r="L263" s="17">
        <f>'HH WITHOUT COM #2'!$X$344</f>
        <v>1</v>
      </c>
      <c r="M263" s="1321">
        <f>'HH WITHOUT COM #2'!$Y$344</f>
        <v>1</v>
      </c>
      <c r="N263" s="91">
        <f>IF(M$264=0,0,M263/M$264)</f>
        <v>0.5</v>
      </c>
      <c r="O263" s="17">
        <f>'HH WITHOUT COM #1'!$W$344</f>
        <v>0</v>
      </c>
      <c r="P263" s="17">
        <f>'HH WITHOUT COM #3'!$X$344</f>
        <v>0</v>
      </c>
      <c r="Q263" s="1321">
        <f>'HH WITHOUT COM #3'!$Y$344</f>
        <v>0</v>
      </c>
      <c r="R263" s="91">
        <f>IF(Q$264=0,0,Q263/Q$264)</f>
        <v>0</v>
      </c>
      <c r="S263" s="17">
        <f>'HH WITHOUT COM #4'!$W$344</f>
        <v>0</v>
      </c>
      <c r="T263" s="17">
        <f>'HH WITHOUT COM #4'!$X$344</f>
        <v>1</v>
      </c>
      <c r="U263" s="1321">
        <f>'HH WITHOUT COM #4'!$Y$344</f>
        <v>1</v>
      </c>
      <c r="V263" s="91">
        <f>IF(U$264=0,0,U263/U$264)</f>
        <v>1</v>
      </c>
      <c r="W263" s="17">
        <f>'HH WITHOUT COM #5'!$W$344</f>
        <v>1</v>
      </c>
      <c r="X263" s="17">
        <f>'HH WITHOUT COM #5'!$X$344</f>
        <v>1</v>
      </c>
      <c r="Y263" s="1321">
        <f>'HH WITHOUT COM #5'!$Y$344</f>
        <v>1</v>
      </c>
      <c r="Z263" s="91">
        <f>IF(Y$264=0,0,Y263/Y$264)</f>
        <v>0.33333333333333331</v>
      </c>
      <c r="AA263" s="17">
        <f>'HH WITHOUT COM #6'!$W$344</f>
        <v>2</v>
      </c>
      <c r="AB263" s="17">
        <f>'HH WITHOUT COM #6'!$X$344</f>
        <v>2</v>
      </c>
      <c r="AC263" s="1321">
        <f>'HH WITHOUT COM #6'!$Y$344</f>
        <v>2</v>
      </c>
      <c r="AD263" s="91">
        <f>IF(AC$264=0,0,AC263/AC$264)</f>
        <v>1</v>
      </c>
      <c r="AE263" s="17">
        <f>'HH WITHOUT COM #7'!$W$344</f>
        <v>0</v>
      </c>
      <c r="AF263" s="17">
        <f>'HH WITHOUT COM #7'!$X$344</f>
        <v>0</v>
      </c>
      <c r="AG263" s="1321">
        <f>'HH WITHOUT COM #7'!$Y$344</f>
        <v>0</v>
      </c>
      <c r="AH263" s="373">
        <f>IF(AG$264=0,0,AG263/AG$264)</f>
        <v>0</v>
      </c>
      <c r="AI263" s="391">
        <f t="shared" si="523"/>
        <v>4</v>
      </c>
      <c r="AJ263" s="17">
        <f t="shared" si="523"/>
        <v>5</v>
      </c>
      <c r="AK263" s="1321">
        <f t="shared" si="523"/>
        <v>5</v>
      </c>
      <c r="AL263" s="91">
        <f>IF(AK$264=0,0,AK263/AK$264)</f>
        <v>0.5</v>
      </c>
    </row>
    <row r="264" spans="1:39" s="4" customFormat="1" ht="16.5" customHeight="1" x14ac:dyDescent="0.25">
      <c r="A264" s="119"/>
      <c r="B264" s="119"/>
      <c r="C264" s="119"/>
      <c r="D264" s="184"/>
      <c r="E264" s="134"/>
      <c r="F264" s="184"/>
      <c r="G264" s="509">
        <f>SUM(G261:G263)</f>
        <v>1</v>
      </c>
      <c r="H264" s="509">
        <f t="shared" ref="H264" si="524">SUM(H261:H263)</f>
        <v>1</v>
      </c>
      <c r="I264" s="82">
        <f>SUM(I261:I263)</f>
        <v>1</v>
      </c>
      <c r="J264" s="66">
        <f>IF(I$264=0,0,I264/I$264)</f>
        <v>1</v>
      </c>
      <c r="K264" s="509">
        <f>SUM(K261:K263)</f>
        <v>2</v>
      </c>
      <c r="L264" s="509">
        <f t="shared" ref="L264" si="525">SUM(L261:L263)</f>
        <v>2</v>
      </c>
      <c r="M264" s="82">
        <f>SUM(M261:M263)</f>
        <v>2</v>
      </c>
      <c r="N264" s="66">
        <f>IF(M$264=0,0,M264/M$264)</f>
        <v>1</v>
      </c>
      <c r="O264" s="509">
        <f>SUM(O261:O263)</f>
        <v>1</v>
      </c>
      <c r="P264" s="509">
        <f t="shared" ref="P264" si="526">SUM(P261:P263)</f>
        <v>1</v>
      </c>
      <c r="Q264" s="82">
        <f>SUM(Q261:Q263)</f>
        <v>1</v>
      </c>
      <c r="R264" s="66">
        <f>IF(Q$264=0,0,Q264/Q$264)</f>
        <v>1</v>
      </c>
      <c r="S264" s="509">
        <f>SUM(S261:S263)</f>
        <v>0</v>
      </c>
      <c r="T264" s="509">
        <f t="shared" ref="T264" si="527">SUM(T261:T263)</f>
        <v>1</v>
      </c>
      <c r="U264" s="82">
        <f>SUM(U261:U263)</f>
        <v>1</v>
      </c>
      <c r="V264" s="66">
        <f>IF(U$264=0,0,U264/U$264)</f>
        <v>1</v>
      </c>
      <c r="W264" s="509">
        <f>SUM(W261:W263)</f>
        <v>3</v>
      </c>
      <c r="X264" s="509">
        <f t="shared" ref="X264" si="528">SUM(X261:X263)</f>
        <v>3</v>
      </c>
      <c r="Y264" s="82">
        <f>SUM(Y261:Y263)</f>
        <v>3</v>
      </c>
      <c r="Z264" s="66">
        <f>IF(Y$264=0,0,Y264/Y$264)</f>
        <v>1</v>
      </c>
      <c r="AA264" s="509">
        <f>SUM(AA261:AA263)</f>
        <v>2</v>
      </c>
      <c r="AB264" s="509">
        <f t="shared" ref="AB264" si="529">SUM(AB261:AB263)</f>
        <v>2</v>
      </c>
      <c r="AC264" s="82">
        <f>SUM(AC261:AC263)</f>
        <v>2</v>
      </c>
      <c r="AD264" s="66">
        <f>IF(AC$264=0,0,AC264/AC$264)</f>
        <v>1</v>
      </c>
      <c r="AE264" s="509">
        <f>SUM(AE261:AE263)</f>
        <v>0</v>
      </c>
      <c r="AF264" s="509">
        <f t="shared" ref="AF264" si="530">SUM(AF261:AF263)</f>
        <v>0</v>
      </c>
      <c r="AG264" s="82">
        <f>SUM(AG261:AG263)</f>
        <v>0</v>
      </c>
      <c r="AH264" s="608">
        <f>IF(AG$264=0,0,AG264/AG$264)</f>
        <v>0</v>
      </c>
      <c r="AI264" s="622">
        <f>SUM(AI261:AI263)</f>
        <v>9</v>
      </c>
      <c r="AJ264" s="497">
        <f t="shared" ref="AJ264" si="531">SUM(AJ261:AJ263)</f>
        <v>10</v>
      </c>
      <c r="AK264" s="82">
        <f>SUM(AK261:AK263)</f>
        <v>10</v>
      </c>
      <c r="AL264" s="66">
        <f>IF(AK$264=0,0,AK264/AK$264)</f>
        <v>1</v>
      </c>
    </row>
    <row r="265" spans="1:39" s="4" customFormat="1" ht="16.5" customHeight="1" x14ac:dyDescent="0.25">
      <c r="A265" s="119"/>
      <c r="B265" s="119"/>
      <c r="C265" s="119"/>
      <c r="D265" s="184" t="s">
        <v>1485</v>
      </c>
      <c r="E265" s="134"/>
      <c r="F265" s="469"/>
      <c r="G265" s="66">
        <f>'HH WITHOUT COM #1'!$W$341</f>
        <v>0.66666666666666663</v>
      </c>
      <c r="H265" s="66">
        <f>'HH WITHOUT COM #1'!$X$341</f>
        <v>0.76190476190476186</v>
      </c>
      <c r="I265" s="66">
        <f>'HH WITHOUT COM #1'!$Y$341</f>
        <v>0.71428571428571419</v>
      </c>
      <c r="J265" s="500"/>
      <c r="K265" s="66">
        <f>'HH WITHOUT COM #2'!$W$341</f>
        <v>0.40476190476190477</v>
      </c>
      <c r="L265" s="66">
        <f>'HH WITHOUT COM #2'!$X$341</f>
        <v>0.61904761904761907</v>
      </c>
      <c r="M265" s="66">
        <f>'HH WITHOUT COM #2'!$Y$341</f>
        <v>0.51190476190476186</v>
      </c>
      <c r="N265" s="500"/>
      <c r="O265" s="66">
        <f>'HH WITHOUT COM #3'!$W$341</f>
        <v>0.54285714285714282</v>
      </c>
      <c r="P265" s="66">
        <f>'HH WITHOUT COM #3'!$X$341</f>
        <v>0.5714285714285714</v>
      </c>
      <c r="Q265" s="66">
        <f>'HH WITHOUT COM #3'!$Y$341</f>
        <v>0.55714285714285716</v>
      </c>
      <c r="R265" s="500"/>
      <c r="S265" s="66" t="str">
        <f>'HH WITHOUT COM #4'!$W$341</f>
        <v/>
      </c>
      <c r="T265" s="66">
        <f>'HH WITHOUT COM #4'!$X$341</f>
        <v>0.38775510204081637</v>
      </c>
      <c r="U265" s="66">
        <f>'HH WITHOUT COM #4'!$Y$341</f>
        <v>0.38775510204081637</v>
      </c>
      <c r="V265" s="500"/>
      <c r="W265" s="66">
        <f>'HH WITHOUT COM #5'!$W$341</f>
        <v>0.57369614512471656</v>
      </c>
      <c r="X265" s="66">
        <f>'HH WITHOUT COM #5'!$X$341</f>
        <v>0.63492063492063489</v>
      </c>
      <c r="Y265" s="66">
        <f>'HH WITHOUT COM #5'!$Y$341</f>
        <v>0.60430839002267567</v>
      </c>
      <c r="Z265" s="500"/>
      <c r="AA265" s="66">
        <f>'HH WITHOUT COM #6'!$W$341</f>
        <v>0.2857142857142857</v>
      </c>
      <c r="AB265" s="66">
        <f>'HH WITHOUT COM #6'!$X$341</f>
        <v>0.40476190476190477</v>
      </c>
      <c r="AC265" s="66">
        <f>'HH WITHOUT COM #6'!$Y$341</f>
        <v>0.34523809523809523</v>
      </c>
      <c r="AD265" s="500"/>
      <c r="AE265" s="66" t="str">
        <f>'HH WITHOUT COM #7'!$W$341</f>
        <v/>
      </c>
      <c r="AF265" s="66" t="str">
        <f>'HH WITHOUT COM #7'!$X$341</f>
        <v/>
      </c>
      <c r="AG265" s="66" t="str">
        <f>'HH WITHOUT COM #7'!$Y$341</f>
        <v/>
      </c>
      <c r="AH265" s="614"/>
      <c r="AI265" s="619">
        <f>AVERAGE(G265,K265,P265,S265,W265,AA265,AE265)</f>
        <v>0.50045351473922906</v>
      </c>
      <c r="AJ265" s="66">
        <f t="shared" ref="AJ265:AK265" si="532">AVERAGE(H265,L265,Q265,T265,X265,AB265,AF265)</f>
        <v>0.56092214663643236</v>
      </c>
      <c r="AK265" s="66">
        <f t="shared" si="532"/>
        <v>0.51269841269841265</v>
      </c>
      <c r="AL265" s="500"/>
    </row>
    <row r="266" spans="1:39" s="4" customFormat="1" ht="16.5" customHeight="1" x14ac:dyDescent="0.25">
      <c r="A266" s="119"/>
      <c r="B266" s="119"/>
      <c r="C266" s="119"/>
      <c r="D266" s="1080" t="s">
        <v>880</v>
      </c>
      <c r="E266" s="493"/>
      <c r="F266" s="493"/>
      <c r="G266" s="40" t="str">
        <f>IF(G265="","",IF(G265&gt;=0.75,"Good",IF(AND(G265&gt;=0.5,G265&lt;0.75),"Average",IF(G265&lt;0.5,"Poor",0))))</f>
        <v>Average</v>
      </c>
      <c r="H266" s="40" t="str">
        <f t="shared" ref="H266:I266" si="533">IF(H265="","",IF(H265&gt;=0.75,"Good",IF(AND(H265&gt;=0.5,H265&lt;0.75),"Average",IF(H265&lt;0.5,"Poor",0))))</f>
        <v>Good</v>
      </c>
      <c r="I266" s="102" t="str">
        <f t="shared" si="533"/>
        <v>Average</v>
      </c>
      <c r="J266" s="197"/>
      <c r="K266" s="40" t="str">
        <f>IF(K265="","",IF(K265&gt;=0.75,"Good",IF(AND(K265&gt;=0.5,K265&lt;0.75),"Average",IF(K265&lt;0.5,"Poor",0))))</f>
        <v>Poor</v>
      </c>
      <c r="L266" s="40" t="str">
        <f t="shared" ref="L266:M266" si="534">IF(L265="","",IF(L265&gt;=0.75,"Good",IF(AND(L265&gt;=0.5,L265&lt;0.75),"Average",IF(L265&lt;0.5,"Poor",0))))</f>
        <v>Average</v>
      </c>
      <c r="M266" s="102" t="str">
        <f t="shared" si="534"/>
        <v>Average</v>
      </c>
      <c r="N266" s="197"/>
      <c r="O266" s="40" t="str">
        <f>IF(O265="","",IF(O265&gt;=0.75,"Good",IF(AND(O265&gt;=0.5,O265&lt;0.75),"Average",IF(O265&lt;0.5,"Poor",0))))</f>
        <v>Average</v>
      </c>
      <c r="P266" s="40" t="str">
        <f t="shared" ref="P266:Q266" si="535">IF(P265="","",IF(P265&gt;=0.75,"Good",IF(AND(P265&gt;=0.5,P265&lt;0.75),"Average",IF(P265&lt;0.5,"Poor",0))))</f>
        <v>Average</v>
      </c>
      <c r="Q266" s="102" t="str">
        <f t="shared" si="535"/>
        <v>Average</v>
      </c>
      <c r="R266" s="197"/>
      <c r="S266" s="40" t="str">
        <f>IF(S265="","",IF(S265&gt;=0.75,"Good",IF(AND(S265&gt;=0.5,S265&lt;0.75),"Average",IF(S265&lt;0.5,"Poor",0))))</f>
        <v/>
      </c>
      <c r="T266" s="40" t="str">
        <f t="shared" ref="T266:U266" si="536">IF(T265="","",IF(T265&gt;=0.75,"Good",IF(AND(T265&gt;=0.5,T265&lt;0.75),"Average",IF(T265&lt;0.5,"Poor",0))))</f>
        <v>Poor</v>
      </c>
      <c r="U266" s="102" t="str">
        <f t="shared" si="536"/>
        <v>Poor</v>
      </c>
      <c r="V266" s="197"/>
      <c r="W266" s="40" t="str">
        <f>IF(W265="","",IF(W265&gt;=0.75,"Good",IF(AND(W265&gt;=0.5,W265&lt;0.75),"Average",IF(W265&lt;0.5,"Poor",0))))</f>
        <v>Average</v>
      </c>
      <c r="X266" s="40" t="str">
        <f t="shared" ref="X266:Y266" si="537">IF(X265="","",IF(X265&gt;=0.75,"Good",IF(AND(X265&gt;=0.5,X265&lt;0.75),"Average",IF(X265&lt;0.5,"Poor",0))))</f>
        <v>Average</v>
      </c>
      <c r="Y266" s="102" t="str">
        <f t="shared" si="537"/>
        <v>Average</v>
      </c>
      <c r="Z266" s="197"/>
      <c r="AA266" s="40" t="str">
        <f>IF(AA265="","",IF(AA265&gt;=0.75,"Good",IF(AND(AA265&gt;=0.5,AA265&lt;0.75),"Average",IF(AA265&lt;0.5,"Poor",0))))</f>
        <v>Poor</v>
      </c>
      <c r="AB266" s="40" t="str">
        <f t="shared" ref="AB266:AC266" si="538">IF(AB265="","",IF(AB265&gt;=0.75,"Good",IF(AND(AB265&gt;=0.5,AB265&lt;0.75),"Average",IF(AB265&lt;0.5,"Poor",0))))</f>
        <v>Poor</v>
      </c>
      <c r="AC266" s="102" t="str">
        <f t="shared" si="538"/>
        <v>Poor</v>
      </c>
      <c r="AD266" s="197"/>
      <c r="AE266" s="40" t="str">
        <f>IF(AE265="","",IF(AE265&gt;=0.75,"Good",IF(AND(AE265&gt;=0.5,AE265&lt;0.75),"Average",IF(AE265&lt;0.5,"Poor",0))))</f>
        <v/>
      </c>
      <c r="AF266" s="40" t="str">
        <f t="shared" ref="AF266:AG266" si="539">IF(AF265="","",IF(AF265&gt;=0.75,"Good",IF(AND(AF265&gt;=0.5,AF265&lt;0.75),"Average",IF(AF265&lt;0.5,"Poor",0))))</f>
        <v/>
      </c>
      <c r="AG266" s="102" t="str">
        <f t="shared" si="539"/>
        <v/>
      </c>
      <c r="AH266" s="191"/>
      <c r="AI266" s="627" t="str">
        <f>IF(AI265="","",IF(AI265&gt;=0.75,"Good",IF(AND(AI265&gt;=0.5,AI265&lt;0.75),"Average",IF(AI265&lt;0.5,"Poor",0))))</f>
        <v>Average</v>
      </c>
      <c r="AJ266" s="40" t="str">
        <f t="shared" ref="AJ266:AK266" si="540">IF(AJ265="","",IF(AJ265&gt;=0.75,"Good",IF(AND(AJ265&gt;=0.5,AJ265&lt;0.75),"Average",IF(AJ265&lt;0.5,"Poor",0))))</f>
        <v>Average</v>
      </c>
      <c r="AK266" s="102" t="str">
        <f t="shared" si="540"/>
        <v>Average</v>
      </c>
      <c r="AL266" s="197"/>
    </row>
    <row r="267" spans="1:39" s="97" customFormat="1" ht="16.5" customHeight="1" x14ac:dyDescent="0.25">
      <c r="A267" s="515"/>
      <c r="B267" s="515"/>
      <c r="C267" s="515"/>
      <c r="D267" s="12"/>
      <c r="G267" s="516"/>
      <c r="H267" s="516"/>
      <c r="I267" s="516"/>
      <c r="J267" s="516"/>
      <c r="K267" s="516"/>
      <c r="L267" s="516"/>
      <c r="M267" s="516"/>
      <c r="N267" s="516"/>
      <c r="O267" s="516"/>
      <c r="P267" s="516"/>
      <c r="Q267" s="516"/>
      <c r="R267" s="516"/>
      <c r="S267" s="516"/>
      <c r="T267" s="516"/>
      <c r="U267" s="516"/>
      <c r="V267" s="516"/>
      <c r="W267" s="516"/>
      <c r="X267" s="516"/>
      <c r="Y267" s="516"/>
      <c r="Z267" s="516"/>
      <c r="AA267" s="516"/>
      <c r="AB267" s="516"/>
      <c r="AC267" s="516"/>
      <c r="AD267" s="516"/>
      <c r="AE267" s="516"/>
      <c r="AF267" s="516"/>
      <c r="AG267" s="516"/>
      <c r="AH267" s="516"/>
      <c r="AI267" s="516"/>
      <c r="AJ267" s="516"/>
      <c r="AK267" s="516"/>
      <c r="AL267" s="516"/>
    </row>
    <row r="268" spans="1:39" s="21" customFormat="1" ht="16.5" customHeight="1" x14ac:dyDescent="0.25">
      <c r="D268" s="4"/>
      <c r="E268" s="4"/>
      <c r="F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row>
    <row r="269" spans="1:39" s="21" customFormat="1" ht="16.5" customHeight="1" x14ac:dyDescent="0.25">
      <c r="D269" s="4"/>
      <c r="E269" s="4"/>
      <c r="F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row>
    <row r="270" spans="1:39" s="2" customFormat="1" ht="16.5" customHeight="1" x14ac:dyDescent="0.25">
      <c r="D270" s="3"/>
      <c r="E270" s="3"/>
      <c r="F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row>
    <row r="271" spans="1:39" s="2" customFormat="1" ht="16.5" customHeight="1" x14ac:dyDescent="0.25">
      <c r="D271" s="3"/>
      <c r="E271" s="3"/>
      <c r="F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row>
    <row r="272" spans="1:39" s="2" customFormat="1" ht="16.5" customHeight="1" x14ac:dyDescent="0.25">
      <c r="D272" s="3"/>
      <c r="E272" s="3"/>
      <c r="F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row>
    <row r="273" spans="4:39" s="2" customFormat="1" ht="16.5" customHeight="1" x14ac:dyDescent="0.25">
      <c r="D273" s="3"/>
      <c r="E273" s="3"/>
      <c r="F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row>
    <row r="274" spans="4:39" s="2" customFormat="1" ht="16.5" customHeight="1" x14ac:dyDescent="0.25">
      <c r="D274" s="3"/>
      <c r="E274" s="3"/>
      <c r="F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row>
    <row r="275" spans="4:39" s="2" customFormat="1" ht="16.5" customHeight="1" x14ac:dyDescent="0.25">
      <c r="D275" s="3"/>
      <c r="E275" s="3"/>
      <c r="F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row>
    <row r="276" spans="4:39" s="2" customFormat="1" ht="16.5" customHeight="1" x14ac:dyDescent="0.25">
      <c r="D276" s="3"/>
      <c r="E276" s="3"/>
      <c r="F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row>
    <row r="277" spans="4:39" s="2" customFormat="1" ht="16.5" customHeight="1" x14ac:dyDescent="0.25">
      <c r="D277" s="3"/>
      <c r="E277" s="3"/>
      <c r="F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row>
    <row r="278" spans="4:39" s="2" customFormat="1" ht="16.5" customHeight="1" x14ac:dyDescent="0.25">
      <c r="D278" s="3"/>
      <c r="E278" s="3"/>
      <c r="F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row>
    <row r="279" spans="4:39" s="2" customFormat="1" ht="16.5" customHeight="1" x14ac:dyDescent="0.25">
      <c r="D279" s="3"/>
      <c r="E279" s="3"/>
      <c r="F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row>
    <row r="280" spans="4:39" s="2" customFormat="1" ht="16.5" customHeight="1" x14ac:dyDescent="0.25">
      <c r="D280" s="3"/>
      <c r="E280" s="3"/>
      <c r="F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row>
    <row r="281" spans="4:39" s="2" customFormat="1" ht="16.5" customHeight="1" x14ac:dyDescent="0.25">
      <c r="D281" s="3"/>
      <c r="E281" s="3"/>
      <c r="F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row>
    <row r="282" spans="4:39" s="2" customFormat="1" ht="16.5" customHeight="1" x14ac:dyDescent="0.25">
      <c r="D282" s="3"/>
      <c r="E282" s="3"/>
      <c r="F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row>
    <row r="283" spans="4:39" s="2" customFormat="1" ht="16.5" customHeight="1" x14ac:dyDescent="0.25">
      <c r="D283" s="3"/>
      <c r="E283" s="3"/>
      <c r="F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row>
    <row r="284" spans="4:39" s="2" customFormat="1" ht="16.5" customHeight="1" x14ac:dyDescent="0.25">
      <c r="D284" s="3"/>
      <c r="E284" s="3"/>
      <c r="F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row>
    <row r="285" spans="4:39" s="2" customFormat="1" ht="16.5" customHeight="1" x14ac:dyDescent="0.25">
      <c r="D285" s="3"/>
      <c r="E285" s="3"/>
      <c r="F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row>
    <row r="286" spans="4:39" s="2" customFormat="1" ht="16.5" customHeight="1" x14ac:dyDescent="0.25">
      <c r="D286" s="3"/>
      <c r="E286" s="3"/>
      <c r="F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row>
    <row r="287" spans="4:39" s="2" customFormat="1" ht="16.5" customHeight="1" x14ac:dyDescent="0.25">
      <c r="D287" s="3"/>
      <c r="E287" s="3"/>
      <c r="F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row>
    <row r="288" spans="4:39" s="2" customFormat="1" ht="16.5" customHeight="1" x14ac:dyDescent="0.25">
      <c r="D288" s="3"/>
      <c r="E288" s="3"/>
      <c r="F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row>
    <row r="289" spans="4:39" s="2" customFormat="1" ht="16.5" customHeight="1" x14ac:dyDescent="0.25">
      <c r="D289" s="3"/>
      <c r="E289" s="3"/>
      <c r="F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row>
    <row r="290" spans="4:39" s="2" customFormat="1" ht="16.5" customHeight="1" x14ac:dyDescent="0.25">
      <c r="D290" s="3"/>
      <c r="E290" s="3"/>
      <c r="F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row>
    <row r="291" spans="4:39" s="2" customFormat="1" ht="16.5" customHeight="1" x14ac:dyDescent="0.25">
      <c r="D291" s="3"/>
      <c r="E291" s="3"/>
      <c r="F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row>
    <row r="292" spans="4:39" s="2" customFormat="1" ht="16.5" customHeight="1" x14ac:dyDescent="0.25">
      <c r="D292" s="3"/>
      <c r="E292" s="3"/>
      <c r="F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row>
    <row r="293" spans="4:39" s="2" customFormat="1" ht="16.5" customHeight="1" x14ac:dyDescent="0.25">
      <c r="D293" s="3"/>
      <c r="E293" s="3"/>
      <c r="F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row>
    <row r="294" spans="4:39" s="2" customFormat="1" ht="16.5" customHeight="1" x14ac:dyDescent="0.25">
      <c r="D294" s="3"/>
      <c r="E294" s="3"/>
      <c r="F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row>
    <row r="295" spans="4:39" s="2" customFormat="1" ht="16.5" customHeight="1" x14ac:dyDescent="0.25">
      <c r="D295" s="3"/>
      <c r="E295" s="3"/>
      <c r="F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row>
    <row r="296" spans="4:39" s="2" customFormat="1" ht="16.5" customHeight="1" x14ac:dyDescent="0.25">
      <c r="D296" s="3"/>
      <c r="E296" s="3"/>
      <c r="F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row>
    <row r="297" spans="4:39" s="2" customFormat="1" ht="16.5" customHeight="1" x14ac:dyDescent="0.25">
      <c r="D297" s="3"/>
      <c r="E297" s="3"/>
      <c r="F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row>
    <row r="298" spans="4:39" s="2" customFormat="1" ht="16.5" customHeight="1" x14ac:dyDescent="0.25">
      <c r="D298" s="3"/>
      <c r="E298" s="3"/>
      <c r="F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row>
    <row r="299" spans="4:39" s="2" customFormat="1" ht="16.5" customHeight="1" x14ac:dyDescent="0.25">
      <c r="D299" s="3"/>
      <c r="E299" s="3"/>
      <c r="F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row>
    <row r="300" spans="4:39" s="2" customFormat="1" ht="16.5" customHeight="1" x14ac:dyDescent="0.25">
      <c r="D300" s="3"/>
      <c r="E300" s="3"/>
      <c r="F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row>
    <row r="301" spans="4:39" s="2" customFormat="1" ht="16.5" customHeight="1" x14ac:dyDescent="0.25">
      <c r="D301" s="3"/>
      <c r="E301" s="3"/>
      <c r="F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row>
    <row r="302" spans="4:39" s="2" customFormat="1" ht="16.5" customHeight="1" x14ac:dyDescent="0.25">
      <c r="D302" s="3"/>
      <c r="E302" s="3"/>
      <c r="F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row>
    <row r="303" spans="4:39" s="2" customFormat="1" ht="16.5" customHeight="1" x14ac:dyDescent="0.25">
      <c r="D303" s="3"/>
      <c r="E303" s="3"/>
      <c r="F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row>
    <row r="304" spans="4:39" s="2" customFormat="1" ht="16.5" customHeight="1" x14ac:dyDescent="0.25">
      <c r="D304" s="3"/>
      <c r="E304" s="3"/>
      <c r="F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row>
    <row r="305" spans="4:39" s="2" customFormat="1" ht="16.5" customHeight="1" x14ac:dyDescent="0.25">
      <c r="D305" s="3"/>
      <c r="E305" s="3"/>
      <c r="F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row>
    <row r="306" spans="4:39" s="2" customFormat="1" ht="16.5" customHeight="1" x14ac:dyDescent="0.25">
      <c r="D306" s="3"/>
      <c r="E306" s="3"/>
      <c r="F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row>
    <row r="307" spans="4:39" s="2" customFormat="1" ht="16.5" customHeight="1" x14ac:dyDescent="0.25">
      <c r="D307" s="3"/>
      <c r="E307" s="3"/>
      <c r="F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row>
    <row r="308" spans="4:39" s="2" customFormat="1" ht="16.5" customHeight="1" x14ac:dyDescent="0.25">
      <c r="D308" s="3"/>
      <c r="E308" s="3"/>
      <c r="F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row>
    <row r="309" spans="4:39" s="2" customFormat="1" ht="16.5" customHeight="1" x14ac:dyDescent="0.25">
      <c r="D309" s="3"/>
      <c r="E309" s="3"/>
      <c r="F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row>
    <row r="310" spans="4:39" s="2" customFormat="1" ht="16.5" customHeight="1" x14ac:dyDescent="0.25">
      <c r="D310" s="3"/>
      <c r="E310" s="3"/>
      <c r="F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row>
    <row r="311" spans="4:39" s="2" customFormat="1" ht="16.5" customHeight="1" x14ac:dyDescent="0.25">
      <c r="D311" s="3"/>
      <c r="E311" s="3"/>
      <c r="F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row>
    <row r="312" spans="4:39" s="2" customFormat="1" ht="16.5" customHeight="1" x14ac:dyDescent="0.25">
      <c r="D312" s="3"/>
      <c r="E312" s="3"/>
      <c r="F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row>
    <row r="313" spans="4:39" s="2" customFormat="1" ht="16.5" customHeight="1" x14ac:dyDescent="0.25">
      <c r="D313" s="3"/>
      <c r="E313" s="3"/>
      <c r="F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row>
    <row r="314" spans="4:39" s="2" customFormat="1" ht="16.5" customHeight="1" x14ac:dyDescent="0.25">
      <c r="D314" s="3"/>
      <c r="E314" s="3"/>
      <c r="F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row>
    <row r="315" spans="4:39" s="2" customFormat="1" ht="16.5" customHeight="1" x14ac:dyDescent="0.25">
      <c r="D315" s="3"/>
      <c r="E315" s="3"/>
      <c r="F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row>
    <row r="316" spans="4:39" s="2" customFormat="1" ht="16.5" customHeight="1" x14ac:dyDescent="0.25">
      <c r="D316" s="3"/>
      <c r="E316" s="3"/>
      <c r="F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row>
    <row r="317" spans="4:39" s="2" customFormat="1" ht="16.5" customHeight="1" x14ac:dyDescent="0.25">
      <c r="D317" s="3"/>
      <c r="E317" s="3"/>
      <c r="F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row>
    <row r="318" spans="4:39" s="2" customFormat="1" ht="16.5" customHeight="1" x14ac:dyDescent="0.25">
      <c r="D318" s="3"/>
      <c r="E318" s="3"/>
      <c r="F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row>
    <row r="319" spans="4:39" s="2" customFormat="1" ht="16.5" customHeight="1" x14ac:dyDescent="0.25">
      <c r="D319" s="3"/>
      <c r="E319" s="3"/>
      <c r="F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row>
    <row r="320" spans="4:39" s="2" customFormat="1" ht="16.5" customHeight="1" x14ac:dyDescent="0.25">
      <c r="D320" s="3"/>
      <c r="E320" s="3"/>
      <c r="F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row>
    <row r="321" spans="4:39" s="2" customFormat="1" ht="16.5" customHeight="1" x14ac:dyDescent="0.25">
      <c r="D321" s="3"/>
      <c r="E321" s="3"/>
      <c r="F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row>
    <row r="322" spans="4:39" s="2" customFormat="1" ht="16.5" customHeight="1" x14ac:dyDescent="0.25">
      <c r="D322" s="3"/>
      <c r="E322" s="3"/>
      <c r="F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row>
    <row r="323" spans="4:39" s="2" customFormat="1" ht="16.5" customHeight="1" x14ac:dyDescent="0.25">
      <c r="D323" s="3"/>
      <c r="E323" s="3"/>
      <c r="F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row>
    <row r="324" spans="4:39" s="2" customFormat="1" ht="16.5" customHeight="1" x14ac:dyDescent="0.25">
      <c r="D324" s="3"/>
      <c r="E324" s="3"/>
      <c r="F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row>
    <row r="325" spans="4:39" s="2" customFormat="1" ht="16.5" customHeight="1" x14ac:dyDescent="0.25">
      <c r="D325" s="3"/>
      <c r="E325" s="3"/>
      <c r="F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row>
    <row r="326" spans="4:39" s="2" customFormat="1" ht="16.5" customHeight="1" x14ac:dyDescent="0.25">
      <c r="D326" s="3"/>
      <c r="E326" s="3"/>
      <c r="F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row>
    <row r="327" spans="4:39" s="2" customFormat="1" ht="16.5" customHeight="1" x14ac:dyDescent="0.25">
      <c r="D327" s="3"/>
      <c r="E327" s="3"/>
      <c r="F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row>
    <row r="328" spans="4:39" s="2" customFormat="1" ht="16.5" customHeight="1" x14ac:dyDescent="0.25">
      <c r="D328" s="3"/>
      <c r="E328" s="3"/>
      <c r="F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row>
    <row r="329" spans="4:39" s="2" customFormat="1" ht="16.5" customHeight="1" x14ac:dyDescent="0.25">
      <c r="D329" s="3"/>
      <c r="E329" s="3"/>
      <c r="F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row>
    <row r="330" spans="4:39" s="2" customFormat="1" ht="16.5" customHeight="1" x14ac:dyDescent="0.25">
      <c r="D330" s="3"/>
      <c r="E330" s="3"/>
      <c r="F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row>
    <row r="331" spans="4:39" s="2" customFormat="1" ht="16.5" customHeight="1" x14ac:dyDescent="0.25">
      <c r="D331" s="3"/>
      <c r="E331" s="3"/>
      <c r="F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row>
    <row r="332" spans="4:39" s="2" customFormat="1" ht="16.5" customHeight="1" x14ac:dyDescent="0.25">
      <c r="D332" s="3"/>
      <c r="E332" s="3"/>
      <c r="F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row>
    <row r="333" spans="4:39" s="2" customFormat="1" ht="16.5" customHeight="1" x14ac:dyDescent="0.25">
      <c r="D333" s="3"/>
      <c r="E333" s="3"/>
      <c r="F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row>
    <row r="334" spans="4:39" s="2" customFormat="1" ht="16.5" customHeight="1" x14ac:dyDescent="0.25">
      <c r="D334" s="3"/>
      <c r="E334" s="3"/>
      <c r="F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row>
    <row r="335" spans="4:39" s="2" customFormat="1" ht="16.5" customHeight="1" x14ac:dyDescent="0.25">
      <c r="D335" s="3"/>
      <c r="E335" s="3"/>
      <c r="F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row>
    <row r="336" spans="4:39" s="2" customFormat="1" ht="16.5" customHeight="1" x14ac:dyDescent="0.25">
      <c r="D336" s="3"/>
      <c r="E336" s="3"/>
      <c r="F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row>
    <row r="337" spans="4:39" s="2" customFormat="1" ht="16.5" customHeight="1" x14ac:dyDescent="0.25">
      <c r="D337" s="3"/>
      <c r="E337" s="3"/>
      <c r="F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row>
    <row r="338" spans="4:39" s="2" customFormat="1" ht="16.5" customHeight="1" x14ac:dyDescent="0.25">
      <c r="D338" s="3"/>
      <c r="E338" s="3"/>
      <c r="F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row>
    <row r="339" spans="4:39" s="2" customFormat="1" ht="16.5" customHeight="1" x14ac:dyDescent="0.25">
      <c r="D339" s="3"/>
      <c r="E339" s="3"/>
      <c r="F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row>
    <row r="340" spans="4:39" s="2" customFormat="1" ht="16.5" customHeight="1" x14ac:dyDescent="0.25">
      <c r="D340" s="3"/>
      <c r="E340" s="3"/>
      <c r="F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row>
    <row r="341" spans="4:39" s="2" customFormat="1" ht="16.5" customHeight="1" x14ac:dyDescent="0.25">
      <c r="D341" s="3"/>
      <c r="E341" s="3"/>
      <c r="F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row>
    <row r="342" spans="4:39" s="2" customFormat="1" ht="16.5" customHeight="1" x14ac:dyDescent="0.25">
      <c r="D342" s="3"/>
      <c r="E342" s="3"/>
      <c r="F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row>
    <row r="343" spans="4:39" s="2" customFormat="1" ht="16.5" customHeight="1" x14ac:dyDescent="0.25">
      <c r="D343" s="3"/>
      <c r="E343" s="3"/>
      <c r="F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row>
    <row r="344" spans="4:39" s="2" customFormat="1" ht="16.5" customHeight="1" x14ac:dyDescent="0.25">
      <c r="D344" s="3"/>
      <c r="E344" s="3"/>
      <c r="F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row>
    <row r="345" spans="4:39" s="2" customFormat="1" ht="16.5" customHeight="1" x14ac:dyDescent="0.25">
      <c r="D345" s="3"/>
      <c r="E345" s="3"/>
      <c r="F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row>
  </sheetData>
  <mergeCells count="16">
    <mergeCell ref="AE7:AH7"/>
    <mergeCell ref="AI7:AL7"/>
    <mergeCell ref="G8:J8"/>
    <mergeCell ref="K8:N8"/>
    <mergeCell ref="O8:R8"/>
    <mergeCell ref="S8:V8"/>
    <mergeCell ref="W8:Z8"/>
    <mergeCell ref="AA8:AD8"/>
    <mergeCell ref="AE8:AH8"/>
    <mergeCell ref="AI8:AL8"/>
    <mergeCell ref="G7:J7"/>
    <mergeCell ref="K7:N7"/>
    <mergeCell ref="O7:R7"/>
    <mergeCell ref="S7:V7"/>
    <mergeCell ref="W7:Z7"/>
    <mergeCell ref="AA7:AD7"/>
  </mergeCells>
  <printOptions horizontalCentered="1"/>
  <pageMargins left="0.5" right="0.5" top="0.75" bottom="0.75" header="0.3" footer="0.3"/>
  <pageSetup paperSize="9" scale="38" fitToHeight="4" orientation="landscape" r:id="rId1"/>
  <headerFooter>
    <oddFooter>&amp;L&amp;F&amp;C&amp;P / &amp;N&amp;RSANITATION DEMAND AND SUPPLY STUDY</oddFooter>
  </headerFooter>
  <rowBreaks count="3" manualBreakCount="3">
    <brk id="96" max="40" man="1"/>
    <brk id="149" max="40" man="1"/>
    <brk id="258" max="40" man="1"/>
  </rowBreaks>
  <ignoredErrors>
    <ignoredError sqref="Z23:AH23 J23:V23 V28:AH28 J28:R28 R33:AD33 J33:N33 G38:H38 U37:AK37 AH33 I37:S37 V47:AH47 J47:R47 R63:AH63 J63:N63 Z69:AH69 J69:V69 R76:AH76 J76:N76 I104 I120 Y120:AH120 J120:V120 Z125:AH125 J125:V125 I130 AG130:AK130 J130:U130 Y130:AC130 V130:X130 AD130 AD147:AH147 N147:Z147 J147 Z165:AH165 J165:V165 Z172:AH172 J172:V172 AD180:AH180 N180:Z180 J180 Z185:AL185 J185:V185 Z193:AH193 J193:V193 J201 Z201:AH201 N201:V201 Z211:AH211 J211:V211 V224:AH224 J224:R224 R230:AL230 J230:P230 Z243:AH243 J243:V243 R248:AH248 J248:N248 Z264:AH264 J264:V264 AK13 AD104:AF104 I38:J38 AG38:AJ38 AC38:AD38 Y38:Z38 U38:V38 Q38:R38 M38:N38 K38:L38 O38:P38 S38:T38 W38:X38 AA38:AB38 AE38:AF38 AK38:AL38 Z104:AB104 V104:X104 R104:T104 N104:P104 M104 Q104 U104 Y104 AC104 AH104:AI104 AG103:AK103 AG104 AJ104:AK104 AK112"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BI272"/>
  <sheetViews>
    <sheetView zoomScale="80" zoomScaleNormal="80" workbookViewId="0">
      <pane xSplit="6" ySplit="9" topLeftCell="G10" activePane="bottomRight" state="frozen"/>
      <selection activeCell="A2" sqref="A2"/>
      <selection pane="topRight" activeCell="A2" sqref="A2"/>
      <selection pane="bottomLeft" activeCell="A2" sqref="A2"/>
      <selection pane="bottomRight" activeCell="G5" sqref="G5"/>
    </sheetView>
  </sheetViews>
  <sheetFormatPr defaultRowHeight="16.5" customHeight="1" x14ac:dyDescent="0.25"/>
  <cols>
    <col min="1" max="2" width="4.7109375" style="2" customWidth="1"/>
    <col min="3" max="3" width="6.7109375" style="2" customWidth="1"/>
    <col min="4" max="4" width="7.7109375" style="3" customWidth="1"/>
    <col min="5" max="5" width="4.7109375" style="3" customWidth="1"/>
    <col min="6" max="6" width="35.7109375" style="3" customWidth="1"/>
    <col min="7" max="7" width="10.140625" style="2" customWidth="1"/>
    <col min="8" max="38" width="10.140625" style="3" customWidth="1"/>
    <col min="39" max="39" width="9.140625" style="3"/>
    <col min="40" max="41" width="9.140625" style="3" customWidth="1"/>
    <col min="42" max="42" width="10.85546875" style="3" bestFit="1" customWidth="1"/>
    <col min="43" max="16384" width="9.140625" style="3"/>
  </cols>
  <sheetData>
    <row r="1" spans="1:38" ht="16.5" customHeight="1" x14ac:dyDescent="0.25">
      <c r="A1" s="1" t="s">
        <v>363</v>
      </c>
      <c r="G1" s="5" t="s">
        <v>883</v>
      </c>
    </row>
    <row r="2" spans="1:38" ht="9.9499999999999993" customHeight="1" x14ac:dyDescent="0.25"/>
    <row r="3" spans="1:38" ht="16.5" customHeight="1" x14ac:dyDescent="0.25">
      <c r="A3" s="444" t="str">
        <f>'STUDY VILLAGES'!U7</f>
        <v>KAMPOT PROVINCE</v>
      </c>
      <c r="G3" s="444" t="str">
        <f>'STUDY VILLAGES'!U8</f>
        <v>BANTEAY MEAS DISTRICT</v>
      </c>
    </row>
    <row r="4" spans="1:38" ht="9.9499999999999993" customHeight="1" x14ac:dyDescent="0.25">
      <c r="A4" s="3"/>
    </row>
    <row r="5" spans="1:38" ht="16.5" customHeight="1" x14ac:dyDescent="0.25">
      <c r="A5" s="444" t="s">
        <v>1039</v>
      </c>
      <c r="G5" s="991" t="s">
        <v>1486</v>
      </c>
    </row>
    <row r="6" spans="1:38" ht="16.5" customHeight="1" x14ac:dyDescent="0.25">
      <c r="A6" s="12"/>
      <c r="B6" s="138"/>
      <c r="C6" s="97"/>
      <c r="D6" s="450"/>
      <c r="E6" s="450"/>
      <c r="F6" s="450"/>
    </row>
    <row r="7" spans="1:38" ht="16.5" customHeight="1" x14ac:dyDescent="0.25">
      <c r="D7" s="2"/>
      <c r="E7" s="2"/>
      <c r="F7" s="2"/>
      <c r="G7" s="1369" t="s">
        <v>884</v>
      </c>
      <c r="H7" s="1369"/>
      <c r="I7" s="1369"/>
      <c r="J7" s="1369"/>
      <c r="K7" s="1369" t="s">
        <v>885</v>
      </c>
      <c r="L7" s="1369"/>
      <c r="M7" s="1369"/>
      <c r="N7" s="1369"/>
      <c r="O7" s="1369" t="s">
        <v>886</v>
      </c>
      <c r="P7" s="1369"/>
      <c r="Q7" s="1369"/>
      <c r="R7" s="1369"/>
      <c r="S7" s="1369" t="s">
        <v>887</v>
      </c>
      <c r="T7" s="1369"/>
      <c r="U7" s="1369"/>
      <c r="V7" s="1369"/>
      <c r="W7" s="1369" t="s">
        <v>888</v>
      </c>
      <c r="X7" s="1369"/>
      <c r="Y7" s="1369"/>
      <c r="Z7" s="1369"/>
      <c r="AA7" s="1369" t="s">
        <v>889</v>
      </c>
      <c r="AB7" s="1369"/>
      <c r="AC7" s="1369"/>
      <c r="AD7" s="1369"/>
      <c r="AE7" s="1369" t="s">
        <v>890</v>
      </c>
      <c r="AF7" s="1369"/>
      <c r="AG7" s="1369"/>
      <c r="AH7" s="1370"/>
      <c r="AI7" s="1374" t="s">
        <v>892</v>
      </c>
      <c r="AJ7" s="1369"/>
      <c r="AK7" s="1369"/>
      <c r="AL7" s="1369"/>
    </row>
    <row r="8" spans="1:38" ht="16.5" customHeight="1" x14ac:dyDescent="0.25">
      <c r="D8" s="2"/>
      <c r="E8" s="2"/>
      <c r="F8" s="2"/>
      <c r="G8" s="1371" t="str">
        <f>'HH WITH COM #1 '!$L$3</f>
        <v>SAMRAONG LEU</v>
      </c>
      <c r="H8" s="1372"/>
      <c r="I8" s="1372"/>
      <c r="J8" s="1372"/>
      <c r="K8" s="1371" t="str">
        <f>'HH WITH COM #2'!$L$3</f>
        <v>SK KHANG LECH</v>
      </c>
      <c r="L8" s="1372"/>
      <c r="M8" s="1372"/>
      <c r="N8" s="1372"/>
      <c r="O8" s="1371" t="str">
        <f>'HH WITH COM #3'!$L$3</f>
        <v>SK KHANG TBOUNG</v>
      </c>
      <c r="P8" s="1372"/>
      <c r="Q8" s="1372"/>
      <c r="R8" s="1372"/>
      <c r="S8" s="1371" t="str">
        <f>'HH WITH COM #4'!$L$3</f>
        <v>T M KHANG KAEUT</v>
      </c>
      <c r="T8" s="1372"/>
      <c r="U8" s="1372"/>
      <c r="V8" s="1372"/>
      <c r="W8" s="1371" t="str">
        <f>'HH WITH COM #5'!$L$3</f>
        <v>TNAOT CHEUNG SRANG</v>
      </c>
      <c r="X8" s="1372"/>
      <c r="Y8" s="1372"/>
      <c r="Z8" s="1372"/>
      <c r="AA8" s="1371" t="str">
        <f>'HH WITH COM #6'!$L$3</f>
        <v>V A KHANG CHEUNG</v>
      </c>
      <c r="AB8" s="1372"/>
      <c r="AC8" s="1372"/>
      <c r="AD8" s="1372"/>
      <c r="AE8" s="1371">
        <f>'HH WITH COM #7'!$L$3</f>
        <v>0</v>
      </c>
      <c r="AF8" s="1372"/>
      <c r="AG8" s="1372"/>
      <c r="AH8" s="1373"/>
      <c r="AI8" s="1375" t="str">
        <f>G3</f>
        <v>BANTEAY MEAS DISTRICT</v>
      </c>
      <c r="AJ8" s="1372"/>
      <c r="AK8" s="1372"/>
      <c r="AL8" s="1372"/>
    </row>
    <row r="9" spans="1:38" ht="16.5" customHeight="1" x14ac:dyDescent="0.25">
      <c r="A9" s="21"/>
      <c r="B9" s="21"/>
      <c r="C9" s="21"/>
      <c r="D9" s="4"/>
      <c r="E9" s="4"/>
      <c r="F9" s="451"/>
      <c r="G9" s="925" t="s">
        <v>891</v>
      </c>
      <c r="H9" s="925" t="s">
        <v>849</v>
      </c>
      <c r="I9" s="925" t="s">
        <v>4</v>
      </c>
      <c r="J9" s="925" t="s">
        <v>5</v>
      </c>
      <c r="K9" s="925" t="s">
        <v>891</v>
      </c>
      <c r="L9" s="925" t="s">
        <v>849</v>
      </c>
      <c r="M9" s="925" t="s">
        <v>4</v>
      </c>
      <c r="N9" s="925" t="s">
        <v>5</v>
      </c>
      <c r="O9" s="925" t="s">
        <v>891</v>
      </c>
      <c r="P9" s="925" t="s">
        <v>849</v>
      </c>
      <c r="Q9" s="925" t="s">
        <v>4</v>
      </c>
      <c r="R9" s="925" t="s">
        <v>5</v>
      </c>
      <c r="S9" s="925" t="s">
        <v>891</v>
      </c>
      <c r="T9" s="925" t="s">
        <v>849</v>
      </c>
      <c r="U9" s="925" t="s">
        <v>4</v>
      </c>
      <c r="V9" s="925" t="s">
        <v>5</v>
      </c>
      <c r="W9" s="925" t="s">
        <v>891</v>
      </c>
      <c r="X9" s="925" t="s">
        <v>849</v>
      </c>
      <c r="Y9" s="925" t="s">
        <v>4</v>
      </c>
      <c r="Z9" s="925" t="s">
        <v>5</v>
      </c>
      <c r="AA9" s="925" t="s">
        <v>891</v>
      </c>
      <c r="AB9" s="925" t="s">
        <v>849</v>
      </c>
      <c r="AC9" s="925" t="s">
        <v>4</v>
      </c>
      <c r="AD9" s="925" t="s">
        <v>5</v>
      </c>
      <c r="AE9" s="925" t="s">
        <v>891</v>
      </c>
      <c r="AF9" s="925" t="s">
        <v>849</v>
      </c>
      <c r="AG9" s="925" t="s">
        <v>4</v>
      </c>
      <c r="AH9" s="926" t="s">
        <v>5</v>
      </c>
      <c r="AI9" s="929" t="s">
        <v>891</v>
      </c>
      <c r="AJ9" s="925" t="s">
        <v>849</v>
      </c>
      <c r="AK9" s="925" t="s">
        <v>4</v>
      </c>
      <c r="AL9" s="925" t="s">
        <v>5</v>
      </c>
    </row>
    <row r="10" spans="1:38" s="456" customFormat="1" ht="16.5" customHeight="1" thickBot="1" x14ac:dyDescent="0.3">
      <c r="A10" s="24" t="s">
        <v>850</v>
      </c>
      <c r="B10" s="453" t="s">
        <v>851</v>
      </c>
      <c r="C10" s="26"/>
      <c r="D10" s="454"/>
      <c r="E10" s="454"/>
      <c r="F10" s="455"/>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606"/>
      <c r="AI10" s="630"/>
      <c r="AJ10" s="24"/>
      <c r="AK10" s="24"/>
      <c r="AL10" s="24"/>
    </row>
    <row r="11" spans="1:38" s="117" customFormat="1" ht="16.5" customHeight="1" x14ac:dyDescent="0.25">
      <c r="A11" s="253"/>
      <c r="B11" s="275" t="s">
        <v>898</v>
      </c>
      <c r="C11" s="457" t="s">
        <v>903</v>
      </c>
      <c r="D11" s="458"/>
      <c r="E11" s="458"/>
      <c r="F11" s="459"/>
      <c r="G11" s="425"/>
      <c r="H11" s="425"/>
      <c r="I11" s="257">
        <f>'STUDY VILLAGES'!$K$10</f>
        <v>5</v>
      </c>
      <c r="J11" s="460"/>
      <c r="K11" s="425"/>
      <c r="L11" s="425"/>
      <c r="M11" s="257">
        <f>'STUDY VILLAGES'!$K$11</f>
        <v>5</v>
      </c>
      <c r="N11" s="460"/>
      <c r="O11" s="425"/>
      <c r="P11" s="425"/>
      <c r="Q11" s="257">
        <f>'STUDY VILLAGES'!$K$12</f>
        <v>4</v>
      </c>
      <c r="R11" s="460"/>
      <c r="S11" s="425"/>
      <c r="T11" s="425"/>
      <c r="U11" s="257">
        <f>'STUDY VILLAGES'!$K$13</f>
        <v>6</v>
      </c>
      <c r="V11" s="460"/>
      <c r="W11" s="425"/>
      <c r="X11" s="425"/>
      <c r="Y11" s="257">
        <f>'STUDY VILLAGES'!$K$14</f>
        <v>8</v>
      </c>
      <c r="Z11" s="460"/>
      <c r="AA11" s="425"/>
      <c r="AB11" s="425"/>
      <c r="AC11" s="257">
        <f>'STUDY VILLAGES'!$K$15</f>
        <v>5</v>
      </c>
      <c r="AD11" s="460"/>
      <c r="AE11" s="460"/>
      <c r="AF11" s="460"/>
      <c r="AG11" s="257">
        <f>'STUDY VILLAGES'!$K$16</f>
        <v>0</v>
      </c>
      <c r="AH11" s="607"/>
      <c r="AI11" s="629"/>
      <c r="AJ11" s="425"/>
      <c r="AK11" s="257">
        <f t="shared" ref="AK11:AK12" si="0">I11+M11+Q11+U11+Y11+AC11+AG11</f>
        <v>33</v>
      </c>
      <c r="AL11" s="460"/>
    </row>
    <row r="12" spans="1:38" s="117" customFormat="1" ht="16.5" customHeight="1" x14ac:dyDescent="0.25">
      <c r="A12" s="253"/>
      <c r="B12" s="275" t="s">
        <v>852</v>
      </c>
      <c r="C12" s="457" t="s">
        <v>897</v>
      </c>
      <c r="D12" s="458"/>
      <c r="E12" s="458"/>
      <c r="F12" s="459"/>
      <c r="G12" s="425"/>
      <c r="H12" s="425"/>
      <c r="I12" s="257">
        <f>'STUDY VILLAGES'!$L$10</f>
        <v>2</v>
      </c>
      <c r="J12" s="460"/>
      <c r="K12" s="425"/>
      <c r="L12" s="425"/>
      <c r="M12" s="257">
        <f>'STUDY VILLAGES'!$L$11</f>
        <v>2</v>
      </c>
      <c r="N12" s="460"/>
      <c r="O12" s="425"/>
      <c r="P12" s="425"/>
      <c r="Q12" s="257">
        <f>'STUDY VILLAGES'!$L$12</f>
        <v>1</v>
      </c>
      <c r="R12" s="460"/>
      <c r="S12" s="425"/>
      <c r="T12" s="425"/>
      <c r="U12" s="257">
        <f>'STUDY VILLAGES'!$L$13</f>
        <v>2</v>
      </c>
      <c r="V12" s="460"/>
      <c r="W12" s="425"/>
      <c r="X12" s="425"/>
      <c r="Y12" s="257">
        <f>'STUDY VILLAGES'!$L$14</f>
        <v>3</v>
      </c>
      <c r="Z12" s="460"/>
      <c r="AA12" s="425"/>
      <c r="AB12" s="425"/>
      <c r="AC12" s="257">
        <f>'STUDY VILLAGES'!$L$15</f>
        <v>2</v>
      </c>
      <c r="AD12" s="460"/>
      <c r="AE12" s="460"/>
      <c r="AF12" s="460"/>
      <c r="AG12" s="257">
        <f>'STUDY VILLAGES'!$L$16</f>
        <v>0</v>
      </c>
      <c r="AH12" s="607"/>
      <c r="AI12" s="391"/>
      <c r="AJ12" s="17"/>
      <c r="AK12" s="927">
        <f t="shared" si="0"/>
        <v>12</v>
      </c>
      <c r="AL12" s="91"/>
    </row>
    <row r="13" spans="1:38" ht="16.5" customHeight="1" x14ac:dyDescent="0.25">
      <c r="A13" s="40"/>
      <c r="B13" s="40"/>
      <c r="C13" s="464" t="s">
        <v>901</v>
      </c>
      <c r="D13" s="464"/>
      <c r="E13" s="464"/>
      <c r="F13" s="465"/>
      <c r="G13" s="66"/>
      <c r="H13" s="66"/>
      <c r="I13" s="66">
        <f>IF(I11=0,0,I12/I11)</f>
        <v>0.4</v>
      </c>
      <c r="J13" s="66"/>
      <c r="K13" s="66"/>
      <c r="L13" s="66"/>
      <c r="M13" s="66">
        <f>IF(M11=0,0,M12/M11)</f>
        <v>0.4</v>
      </c>
      <c r="N13" s="66"/>
      <c r="O13" s="66"/>
      <c r="P13" s="66"/>
      <c r="Q13" s="66">
        <f>IF(Q11=0,0,Q12/Q11)</f>
        <v>0.25</v>
      </c>
      <c r="R13" s="66"/>
      <c r="S13" s="66"/>
      <c r="T13" s="66"/>
      <c r="U13" s="66">
        <f>IF(U11=0,0,U12/U11)</f>
        <v>0.33333333333333331</v>
      </c>
      <c r="V13" s="66"/>
      <c r="W13" s="66"/>
      <c r="X13" s="66"/>
      <c r="Y13" s="66">
        <f>IF(Y11=0,0,Y12/Y11)</f>
        <v>0.375</v>
      </c>
      <c r="Z13" s="66"/>
      <c r="AA13" s="66"/>
      <c r="AB13" s="66"/>
      <c r="AC13" s="66">
        <f>IF(AC11=0,0,AC12/AC11)</f>
        <v>0.4</v>
      </c>
      <c r="AD13" s="66"/>
      <c r="AE13" s="66"/>
      <c r="AF13" s="66"/>
      <c r="AG13" s="66">
        <f>IF(AG11=0,0,AG12/AG11)</f>
        <v>0</v>
      </c>
      <c r="AH13" s="608"/>
      <c r="AI13" s="619"/>
      <c r="AJ13" s="66"/>
      <c r="AK13" s="66">
        <f>IF(AK11=0,0,AK12/AK11)</f>
        <v>0.36363636363636365</v>
      </c>
      <c r="AL13" s="66"/>
    </row>
    <row r="14" spans="1:38" s="117" customFormat="1" ht="16.5" customHeight="1" x14ac:dyDescent="0.25">
      <c r="A14" s="253"/>
      <c r="B14" s="928" t="s">
        <v>853</v>
      </c>
      <c r="C14" s="457" t="s">
        <v>899</v>
      </c>
      <c r="D14" s="458"/>
      <c r="E14" s="458"/>
      <c r="F14" s="459"/>
      <c r="G14" s="425"/>
      <c r="H14" s="425"/>
      <c r="I14" s="257">
        <f>'SUM HH WITH'!I14</f>
        <v>2</v>
      </c>
      <c r="J14" s="460"/>
      <c r="K14" s="425"/>
      <c r="L14" s="425"/>
      <c r="M14" s="257">
        <f>'SUM HH WITH'!M14</f>
        <v>2</v>
      </c>
      <c r="N14" s="460"/>
      <c r="O14" s="425"/>
      <c r="P14" s="425"/>
      <c r="Q14" s="257">
        <f>'SUM HH WITH'!Q14</f>
        <v>1</v>
      </c>
      <c r="R14" s="460"/>
      <c r="S14" s="425"/>
      <c r="T14" s="425"/>
      <c r="U14" s="257">
        <f>'SUM HH WITH'!U14</f>
        <v>2</v>
      </c>
      <c r="V14" s="460"/>
      <c r="W14" s="425"/>
      <c r="X14" s="425"/>
      <c r="Y14" s="257">
        <f>'SUM HH WITH'!Y14</f>
        <v>3</v>
      </c>
      <c r="Z14" s="460"/>
      <c r="AA14" s="425"/>
      <c r="AB14" s="425"/>
      <c r="AC14" s="257">
        <f>'SUM HH WITH'!AC14</f>
        <v>2</v>
      </c>
      <c r="AD14" s="460"/>
      <c r="AE14" s="460"/>
      <c r="AF14" s="460"/>
      <c r="AG14" s="257">
        <f>'SUM HH WITH'!AG14</f>
        <v>0</v>
      </c>
      <c r="AH14" s="607"/>
      <c r="AI14" s="391"/>
      <c r="AJ14" s="17"/>
      <c r="AK14" s="927">
        <f t="shared" ref="AK14" si="1">I14+M14+Q14+U14+Y14+AC14+AG14</f>
        <v>12</v>
      </c>
      <c r="AL14" s="91"/>
    </row>
    <row r="15" spans="1:38" ht="16.5" customHeight="1" x14ac:dyDescent="0.25">
      <c r="A15" s="40"/>
      <c r="B15" s="40"/>
      <c r="C15" s="464" t="s">
        <v>901</v>
      </c>
      <c r="D15" s="464"/>
      <c r="E15" s="464"/>
      <c r="F15" s="465"/>
      <c r="G15" s="66"/>
      <c r="H15" s="66"/>
      <c r="I15" s="66">
        <f>IF(I11=0,0,I14/I11)</f>
        <v>0.4</v>
      </c>
      <c r="J15" s="66"/>
      <c r="K15" s="66"/>
      <c r="L15" s="66"/>
      <c r="M15" s="66">
        <f>IF(M11=0,0,M14/M11)</f>
        <v>0.4</v>
      </c>
      <c r="N15" s="66"/>
      <c r="O15" s="66"/>
      <c r="P15" s="66"/>
      <c r="Q15" s="66">
        <f>IF(Q11=0,0,Q14/Q11)</f>
        <v>0.25</v>
      </c>
      <c r="R15" s="66"/>
      <c r="S15" s="66"/>
      <c r="T15" s="66"/>
      <c r="U15" s="66">
        <f>IF(U11=0,0,U14/U11)</f>
        <v>0.33333333333333331</v>
      </c>
      <c r="V15" s="66"/>
      <c r="W15" s="66"/>
      <c r="X15" s="66"/>
      <c r="Y15" s="66">
        <f>IF(Y11=0,0,Y14/Y11)</f>
        <v>0.375</v>
      </c>
      <c r="Z15" s="66"/>
      <c r="AA15" s="66"/>
      <c r="AB15" s="66"/>
      <c r="AC15" s="66">
        <f>IF(AC11=0,0,AC14/AC11)</f>
        <v>0.4</v>
      </c>
      <c r="AD15" s="66"/>
      <c r="AE15" s="66"/>
      <c r="AF15" s="66"/>
      <c r="AG15" s="66">
        <f>IF(AG11=0,0,AG14/AG11)</f>
        <v>0</v>
      </c>
      <c r="AH15" s="608"/>
      <c r="AI15" s="619"/>
      <c r="AJ15" s="66"/>
      <c r="AK15" s="66">
        <f>IF(AK11=0,0,AK14/AK11)</f>
        <v>0.36363636363636365</v>
      </c>
      <c r="AL15" s="66"/>
    </row>
    <row r="16" spans="1:38" s="117" customFormat="1" ht="16.5" customHeight="1" x14ac:dyDescent="0.25">
      <c r="A16" s="253"/>
      <c r="B16" s="275" t="s">
        <v>1452</v>
      </c>
      <c r="C16" s="457" t="s">
        <v>1812</v>
      </c>
      <c r="D16" s="458"/>
      <c r="E16" s="458"/>
      <c r="F16" s="459"/>
      <c r="G16" s="425">
        <f>SAMPLE!O8</f>
        <v>228.23999999999998</v>
      </c>
      <c r="H16" s="425">
        <f>SAMPLE!P8</f>
        <v>1039.76</v>
      </c>
      <c r="I16" s="257">
        <f>SUM(G16:H16)</f>
        <v>1268</v>
      </c>
      <c r="J16" s="460">
        <f>IF(I$16=0,0,I16/I$16)</f>
        <v>1</v>
      </c>
      <c r="K16" s="425">
        <f>SAMPLE!O9</f>
        <v>121.92</v>
      </c>
      <c r="L16" s="425">
        <f>SAMPLE!P9</f>
        <v>894.08</v>
      </c>
      <c r="M16" s="257">
        <f>SUM(K16:L16)</f>
        <v>1016</v>
      </c>
      <c r="N16" s="460">
        <f>IF(M$16=0,0,M16/M$16)</f>
        <v>1</v>
      </c>
      <c r="O16" s="425">
        <f>SAMPLE!O10</f>
        <v>93.600000000000009</v>
      </c>
      <c r="P16" s="425">
        <f>SAMPLE!P10</f>
        <v>626.4</v>
      </c>
      <c r="Q16" s="257">
        <f>SUM(O16:P16)</f>
        <v>720</v>
      </c>
      <c r="R16" s="460">
        <f>IF(Q$16=0,0,Q16/Q$16)</f>
        <v>1</v>
      </c>
      <c r="S16" s="425">
        <f>SAMPLE!O11</f>
        <v>384.56</v>
      </c>
      <c r="T16" s="425">
        <f>SAMPLE!P11</f>
        <v>1363.44</v>
      </c>
      <c r="U16" s="257">
        <f>SUM(S16:T16)</f>
        <v>1748</v>
      </c>
      <c r="V16" s="460">
        <f>IF(U$16=0,0,U16/U$16)</f>
        <v>1</v>
      </c>
      <c r="W16" s="425">
        <f>SAMPLE!O12</f>
        <v>118</v>
      </c>
      <c r="X16" s="425">
        <f>SAMPLE!P12</f>
        <v>1062</v>
      </c>
      <c r="Y16" s="257">
        <f>SUM(W16:X16)</f>
        <v>1180</v>
      </c>
      <c r="Z16" s="460">
        <f>IF(Y$16=0,0,Y16/Y$16)</f>
        <v>1</v>
      </c>
      <c r="AA16" s="425">
        <f>SAMPLE!O13</f>
        <v>211.82000000000002</v>
      </c>
      <c r="AB16" s="425">
        <f>SAMPLE!P13</f>
        <v>1301.18</v>
      </c>
      <c r="AC16" s="257">
        <f>SUM(AA16:AB16)</f>
        <v>1513</v>
      </c>
      <c r="AD16" s="460">
        <f>IF(AC$16=0,0,AC16/AC$16)</f>
        <v>1</v>
      </c>
      <c r="AE16" s="460"/>
      <c r="AF16" s="460"/>
      <c r="AG16" s="257">
        <f>SUM(AE16:AF16)</f>
        <v>0</v>
      </c>
      <c r="AH16" s="607">
        <f>IF(AG$16=0,0,AG16/AG$16)</f>
        <v>0</v>
      </c>
      <c r="AI16" s="391">
        <f>G16+K16+O16+S16+W16+AA16+AE16</f>
        <v>1158.1399999999999</v>
      </c>
      <c r="AJ16" s="17">
        <f>H16+L16+P16+T16+X16+AB16+AF16</f>
        <v>6286.8600000000006</v>
      </c>
      <c r="AK16" s="927">
        <f>SUM(AI16:AJ16)</f>
        <v>7445</v>
      </c>
      <c r="AL16" s="91">
        <f>IF(AK$16=0,0,AK16/AK$16)</f>
        <v>1</v>
      </c>
    </row>
    <row r="17" spans="1:38" s="117" customFormat="1" ht="16.5" customHeight="1" x14ac:dyDescent="0.25">
      <c r="A17" s="119"/>
      <c r="B17" s="275" t="s">
        <v>1453</v>
      </c>
      <c r="C17" s="461" t="s">
        <v>1454</v>
      </c>
      <c r="D17" s="428"/>
      <c r="E17" s="428"/>
      <c r="F17" s="462"/>
      <c r="G17" s="17">
        <f>'SUM HH WITH'!G17</f>
        <v>28</v>
      </c>
      <c r="H17" s="17">
        <f>'SUM HH WITH'!H17</f>
        <v>234</v>
      </c>
      <c r="I17" s="927">
        <f>SUM(G17:H17)</f>
        <v>262</v>
      </c>
      <c r="J17" s="463">
        <f>IF(I$16=0,0,I17/I$16)</f>
        <v>0.20662460567823343</v>
      </c>
      <c r="K17" s="17">
        <f>'SUM HH WITH'!K17</f>
        <v>0</v>
      </c>
      <c r="L17" s="17">
        <f>'SUM HH WITH'!L17</f>
        <v>0</v>
      </c>
      <c r="M17" s="927">
        <f>SUM(K17:L17)</f>
        <v>0</v>
      </c>
      <c r="N17" s="463">
        <f>IF(M$16=0,0,M17/M$16)</f>
        <v>0</v>
      </c>
      <c r="O17" s="17">
        <f>'SUM HH WITH'!O17</f>
        <v>0</v>
      </c>
      <c r="P17" s="17">
        <f>'SUM HH WITH'!P17</f>
        <v>0</v>
      </c>
      <c r="Q17" s="927">
        <f>SUM(O17:P17)</f>
        <v>0</v>
      </c>
      <c r="R17" s="463">
        <f>IF(Q$16=0,0,Q17/Q$16)</f>
        <v>0</v>
      </c>
      <c r="S17" s="17">
        <f>'SUM HH WITH'!S17</f>
        <v>0</v>
      </c>
      <c r="T17" s="17">
        <f>'SUM HH WITH'!T17</f>
        <v>0</v>
      </c>
      <c r="U17" s="927">
        <f>SUM(S17:T17)</f>
        <v>0</v>
      </c>
      <c r="V17" s="463">
        <f>IF(U$16=0,0,U17/U$16)</f>
        <v>0</v>
      </c>
      <c r="W17" s="17">
        <f>'SUM HH WITH'!W17</f>
        <v>0</v>
      </c>
      <c r="X17" s="17">
        <f>'SUM HH WITH'!X17</f>
        <v>0</v>
      </c>
      <c r="Y17" s="927">
        <f>SUM(W17:X17)</f>
        <v>0</v>
      </c>
      <c r="Z17" s="463">
        <f>IF(Y$16=0,0,Y17/Y$16)</f>
        <v>0</v>
      </c>
      <c r="AA17" s="17">
        <f>'SUM HH WITH'!AA17</f>
        <v>0</v>
      </c>
      <c r="AB17" s="17">
        <f>'SUM HH WITH'!AB17</f>
        <v>0</v>
      </c>
      <c r="AC17" s="927">
        <f>SUM(AA17:AB17)</f>
        <v>0</v>
      </c>
      <c r="AD17" s="463">
        <f>IF(AC$16=0,0,AC17/AC$16)</f>
        <v>0</v>
      </c>
      <c r="AE17" s="17">
        <f>'SUM HH WITH'!AE17</f>
        <v>0</v>
      </c>
      <c r="AF17" s="17">
        <f>'SUM HH WITH'!AF17</f>
        <v>0</v>
      </c>
      <c r="AG17" s="927">
        <f>SUM(AE17:AF17)</f>
        <v>0</v>
      </c>
      <c r="AH17" s="992">
        <f>IF(AG$16=0,0,AG17/AG$16)</f>
        <v>0</v>
      </c>
      <c r="AI17" s="391">
        <f t="shared" ref="AI17:AJ18" si="2">G17+K17+O17+S17+W17+AA17+AE17</f>
        <v>28</v>
      </c>
      <c r="AJ17" s="17">
        <f t="shared" si="2"/>
        <v>234</v>
      </c>
      <c r="AK17" s="927">
        <f t="shared" ref="AK17:AK18" si="3">SUM(AI17:AJ17)</f>
        <v>262</v>
      </c>
      <c r="AL17" s="463">
        <f>IF(AK$16=0,0,AK17/AK$16)</f>
        <v>3.5191403626595029E-2</v>
      </c>
    </row>
    <row r="18" spans="1:38" s="117" customFormat="1" ht="16.5" customHeight="1" x14ac:dyDescent="0.25">
      <c r="A18" s="253"/>
      <c r="B18" s="275" t="s">
        <v>1487</v>
      </c>
      <c r="C18" s="461" t="s">
        <v>1479</v>
      </c>
      <c r="D18" s="458"/>
      <c r="E18" s="458"/>
      <c r="F18" s="459"/>
      <c r="G18" s="17">
        <f>'SUM HH WITHOUT'!G17</f>
        <v>35</v>
      </c>
      <c r="H18" s="17">
        <f>'SUM HH WITHOUT'!H17</f>
        <v>82</v>
      </c>
      <c r="I18" s="927">
        <f>SUM(G18:H18)</f>
        <v>117</v>
      </c>
      <c r="J18" s="463">
        <f t="shared" ref="J18:J19" si="4">IF(I$16=0,0,I18/I$16)</f>
        <v>9.2271293375394317E-2</v>
      </c>
      <c r="K18" s="17">
        <f>'SUM HH WITHOUT'!K17</f>
        <v>0</v>
      </c>
      <c r="L18" s="17">
        <f>'SUM HH WITHOUT'!L17</f>
        <v>0</v>
      </c>
      <c r="M18" s="927">
        <f>SUM(K18:L18)</f>
        <v>0</v>
      </c>
      <c r="N18" s="463">
        <f t="shared" ref="N18:N19" si="5">IF(M$16=0,0,M18/M$16)</f>
        <v>0</v>
      </c>
      <c r="O18" s="17">
        <f>'SUM HH WITHOUT'!O17</f>
        <v>0</v>
      </c>
      <c r="P18" s="17">
        <f>'SUM HH WITHOUT'!P17</f>
        <v>0</v>
      </c>
      <c r="Q18" s="927">
        <f>SUM(O18:P18)</f>
        <v>0</v>
      </c>
      <c r="R18" s="463">
        <f t="shared" ref="R18:R19" si="6">IF(Q$16=0,0,Q18/Q$16)</f>
        <v>0</v>
      </c>
      <c r="S18" s="17">
        <f>'SUM HH WITHOUT'!S17</f>
        <v>0</v>
      </c>
      <c r="T18" s="17">
        <f>'SUM HH WITHOUT'!T17</f>
        <v>0</v>
      </c>
      <c r="U18" s="927">
        <f>SUM(S18:T18)</f>
        <v>0</v>
      </c>
      <c r="V18" s="463">
        <f t="shared" ref="V18:V19" si="7">IF(U$16=0,0,U18/U$16)</f>
        <v>0</v>
      </c>
      <c r="W18" s="17">
        <f>'SUM HH WITHOUT'!W17</f>
        <v>0</v>
      </c>
      <c r="X18" s="17">
        <f>'SUM HH WITHOUT'!X17</f>
        <v>0</v>
      </c>
      <c r="Y18" s="927">
        <f>SUM(W18:X18)</f>
        <v>0</v>
      </c>
      <c r="Z18" s="463">
        <f t="shared" ref="Z18:Z19" si="8">IF(Y$16=0,0,Y18/Y$16)</f>
        <v>0</v>
      </c>
      <c r="AA18" s="17">
        <f>'SUM HH WITHOUT'!AA17</f>
        <v>0</v>
      </c>
      <c r="AB18" s="17">
        <f>'SUM HH WITHOUT'!AB17</f>
        <v>0</v>
      </c>
      <c r="AC18" s="927">
        <f>SUM(AA18:AB18)</f>
        <v>0</v>
      </c>
      <c r="AD18" s="463">
        <f t="shared" ref="AD18:AD19" si="9">IF(AC$16=0,0,AC18/AC$16)</f>
        <v>0</v>
      </c>
      <c r="AE18" s="17">
        <f>'SUM HH WITHOUT'!AE17</f>
        <v>0</v>
      </c>
      <c r="AF18" s="17">
        <f>'SUM HH WITHOUT'!AF17</f>
        <v>0</v>
      </c>
      <c r="AG18" s="927">
        <f>SUM(AE18:AF18)</f>
        <v>0</v>
      </c>
      <c r="AH18" s="992">
        <f t="shared" ref="AH18:AH19" si="10">IF(AG$16=0,0,AG18/AG$16)</f>
        <v>0</v>
      </c>
      <c r="AI18" s="391">
        <f t="shared" si="2"/>
        <v>35</v>
      </c>
      <c r="AJ18" s="17">
        <f t="shared" si="2"/>
        <v>82</v>
      </c>
      <c r="AK18" s="927">
        <f t="shared" si="3"/>
        <v>117</v>
      </c>
      <c r="AL18" s="463">
        <f t="shared" ref="AL18:AL19" si="11">IF(AK$16=0,0,AK18/AK$16)</f>
        <v>1.5715245130960377E-2</v>
      </c>
    </row>
    <row r="19" spans="1:38" ht="16.5" customHeight="1" x14ac:dyDescent="0.25">
      <c r="A19" s="47"/>
      <c r="B19" s="40"/>
      <c r="C19" s="464"/>
      <c r="D19" s="464"/>
      <c r="E19" s="464"/>
      <c r="F19" s="465"/>
      <c r="G19" s="82">
        <f>SUM(G17:G18)</f>
        <v>63</v>
      </c>
      <c r="H19" s="82">
        <f t="shared" ref="H19:I19" si="12">SUM(H17:H18)</f>
        <v>316</v>
      </c>
      <c r="I19" s="82">
        <f t="shared" si="12"/>
        <v>379</v>
      </c>
      <c r="J19" s="993">
        <f t="shared" si="4"/>
        <v>0.29889589905362773</v>
      </c>
      <c r="K19" s="82">
        <f>SUM(K17:K18)</f>
        <v>0</v>
      </c>
      <c r="L19" s="82">
        <f t="shared" ref="L19:M19" si="13">SUM(L17:L18)</f>
        <v>0</v>
      </c>
      <c r="M19" s="82">
        <f t="shared" si="13"/>
        <v>0</v>
      </c>
      <c r="N19" s="993">
        <f t="shared" si="5"/>
        <v>0</v>
      </c>
      <c r="O19" s="82">
        <f>SUM(O17:O18)</f>
        <v>0</v>
      </c>
      <c r="P19" s="82">
        <f t="shared" ref="P19:Q19" si="14">SUM(P17:P18)</f>
        <v>0</v>
      </c>
      <c r="Q19" s="82">
        <f t="shared" si="14"/>
        <v>0</v>
      </c>
      <c r="R19" s="993">
        <f t="shared" si="6"/>
        <v>0</v>
      </c>
      <c r="S19" s="82">
        <f>SUM(S17:S18)</f>
        <v>0</v>
      </c>
      <c r="T19" s="82">
        <f t="shared" ref="T19:U19" si="15">SUM(T17:T18)</f>
        <v>0</v>
      </c>
      <c r="U19" s="82">
        <f t="shared" si="15"/>
        <v>0</v>
      </c>
      <c r="V19" s="993">
        <f t="shared" si="7"/>
        <v>0</v>
      </c>
      <c r="W19" s="82">
        <f>SUM(W17:W18)</f>
        <v>0</v>
      </c>
      <c r="X19" s="82">
        <f t="shared" ref="X19:Y19" si="16">SUM(X17:X18)</f>
        <v>0</v>
      </c>
      <c r="Y19" s="82">
        <f t="shared" si="16"/>
        <v>0</v>
      </c>
      <c r="Z19" s="993">
        <f t="shared" si="8"/>
        <v>0</v>
      </c>
      <c r="AA19" s="82">
        <f>SUM(AA17:AA18)</f>
        <v>0</v>
      </c>
      <c r="AB19" s="82">
        <f t="shared" ref="AB19:AC19" si="17">SUM(AB17:AB18)</f>
        <v>0</v>
      </c>
      <c r="AC19" s="82">
        <f t="shared" si="17"/>
        <v>0</v>
      </c>
      <c r="AD19" s="993">
        <f t="shared" si="9"/>
        <v>0</v>
      </c>
      <c r="AE19" s="82">
        <f>SUM(AE17:AE18)</f>
        <v>0</v>
      </c>
      <c r="AF19" s="82">
        <f t="shared" ref="AF19:AG19" si="18">SUM(AF17:AF18)</f>
        <v>0</v>
      </c>
      <c r="AG19" s="82">
        <f t="shared" si="18"/>
        <v>0</v>
      </c>
      <c r="AH19" s="994">
        <f t="shared" si="10"/>
        <v>0</v>
      </c>
      <c r="AI19" s="381">
        <f>SUM(AI17:AI18)</f>
        <v>63</v>
      </c>
      <c r="AJ19" s="82">
        <f t="shared" ref="AJ19:AK19" si="19">SUM(AJ17:AJ18)</f>
        <v>316</v>
      </c>
      <c r="AK19" s="82">
        <f t="shared" si="19"/>
        <v>379</v>
      </c>
      <c r="AL19" s="993">
        <f t="shared" si="11"/>
        <v>5.0906648757555406E-2</v>
      </c>
    </row>
    <row r="20" spans="1:38" ht="16.5" customHeight="1" x14ac:dyDescent="0.25">
      <c r="A20" s="47"/>
      <c r="B20" s="40"/>
      <c r="C20" s="464" t="s">
        <v>998</v>
      </c>
      <c r="D20" s="464"/>
      <c r="E20" s="464"/>
      <c r="F20" s="465"/>
      <c r="G20" s="993">
        <f>IF(G16=0,0,G19/G16)</f>
        <v>0.27602523659305994</v>
      </c>
      <c r="H20" s="993">
        <f t="shared" ref="H20:I20" si="20">IF(H16=0,0,H19/H16)</f>
        <v>0.30391628837424023</v>
      </c>
      <c r="I20" s="993">
        <f t="shared" si="20"/>
        <v>0.29889589905362773</v>
      </c>
      <c r="J20" s="66"/>
      <c r="K20" s="993">
        <f>IF(K16=0,0,K19/K16)</f>
        <v>0</v>
      </c>
      <c r="L20" s="993">
        <f t="shared" ref="L20:M20" si="21">IF(L16=0,0,L19/L16)</f>
        <v>0</v>
      </c>
      <c r="M20" s="993">
        <f t="shared" si="21"/>
        <v>0</v>
      </c>
      <c r="N20" s="66"/>
      <c r="O20" s="993">
        <f>IF(O16=0,0,O19/O16)</f>
        <v>0</v>
      </c>
      <c r="P20" s="993">
        <f t="shared" ref="P20:Q20" si="22">IF(P16=0,0,P19/P16)</f>
        <v>0</v>
      </c>
      <c r="Q20" s="993">
        <f t="shared" si="22"/>
        <v>0</v>
      </c>
      <c r="R20" s="66"/>
      <c r="S20" s="993">
        <f>IF(S16=0,0,S19/S16)</f>
        <v>0</v>
      </c>
      <c r="T20" s="993">
        <f t="shared" ref="T20:U20" si="23">IF(T16=0,0,T19/T16)</f>
        <v>0</v>
      </c>
      <c r="U20" s="993">
        <f t="shared" si="23"/>
        <v>0</v>
      </c>
      <c r="V20" s="66"/>
      <c r="W20" s="993">
        <f>IF(W16=0,0,W19/W16)</f>
        <v>0</v>
      </c>
      <c r="X20" s="993">
        <f t="shared" ref="X20:Y20" si="24">IF(X16=0,0,X19/X16)</f>
        <v>0</v>
      </c>
      <c r="Y20" s="993">
        <f t="shared" si="24"/>
        <v>0</v>
      </c>
      <c r="Z20" s="66"/>
      <c r="AA20" s="993">
        <f>IF(AA16=0,0,AA19/AA16)</f>
        <v>0</v>
      </c>
      <c r="AB20" s="993">
        <f t="shared" ref="AB20:AC20" si="25">IF(AB16=0,0,AB19/AB16)</f>
        <v>0</v>
      </c>
      <c r="AC20" s="993">
        <f t="shared" si="25"/>
        <v>0</v>
      </c>
      <c r="AD20" s="66"/>
      <c r="AE20" s="993">
        <f>IF(AE16=0,0,AE19/AE16)</f>
        <v>0</v>
      </c>
      <c r="AF20" s="993">
        <f t="shared" ref="AF20:AG20" si="26">IF(AF16=0,0,AF19/AF16)</f>
        <v>0</v>
      </c>
      <c r="AG20" s="993">
        <f t="shared" si="26"/>
        <v>0</v>
      </c>
      <c r="AH20" s="608"/>
      <c r="AI20" s="995">
        <f>IF(AI16=0,0,AI19/AI16)</f>
        <v>5.4397568515032732E-2</v>
      </c>
      <c r="AJ20" s="993">
        <f t="shared" ref="AJ20:AK20" si="27">IF(AJ16=0,0,AJ19/AJ16)</f>
        <v>5.0263565595543715E-2</v>
      </c>
      <c r="AK20" s="993">
        <f t="shared" si="27"/>
        <v>5.0906648757555406E-2</v>
      </c>
      <c r="AL20" s="66"/>
    </row>
    <row r="22" spans="1:38" s="456" customFormat="1" ht="16.5" customHeight="1" thickBot="1" x14ac:dyDescent="0.3">
      <c r="A22" s="24">
        <v>0</v>
      </c>
      <c r="B22" s="453" t="s">
        <v>3</v>
      </c>
      <c r="C22" s="26"/>
      <c r="D22" s="454"/>
      <c r="E22" s="454"/>
      <c r="F22" s="455"/>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606"/>
      <c r="AI22" s="630"/>
      <c r="AJ22" s="24"/>
      <c r="AK22" s="24"/>
      <c r="AL22" s="24"/>
    </row>
    <row r="23" spans="1:38" ht="16.5" customHeight="1" x14ac:dyDescent="0.25">
      <c r="A23" s="47"/>
      <c r="B23" s="414">
        <v>0</v>
      </c>
      <c r="C23" s="42" t="s">
        <v>1488</v>
      </c>
      <c r="D23" s="50"/>
      <c r="E23" s="269"/>
      <c r="F23" s="270"/>
      <c r="G23" s="272"/>
      <c r="H23" s="272"/>
      <c r="I23" s="272"/>
      <c r="J23" s="272"/>
      <c r="K23" s="272"/>
      <c r="L23" s="272"/>
      <c r="M23" s="272"/>
      <c r="N23" s="272"/>
      <c r="O23" s="272"/>
      <c r="P23" s="272"/>
      <c r="Q23" s="272"/>
      <c r="R23" s="272"/>
      <c r="S23" s="272"/>
      <c r="T23" s="272"/>
      <c r="U23" s="272"/>
      <c r="V23" s="272"/>
      <c r="W23" s="272"/>
      <c r="X23" s="272"/>
      <c r="Y23" s="272"/>
      <c r="Z23" s="272"/>
      <c r="AA23" s="272"/>
      <c r="AB23" s="272"/>
      <c r="AC23" s="272"/>
      <c r="AD23" s="272"/>
      <c r="AE23" s="272"/>
      <c r="AF23" s="272"/>
      <c r="AG23" s="272"/>
      <c r="AH23" s="610"/>
      <c r="AI23" s="631"/>
      <c r="AJ23" s="272"/>
      <c r="AK23" s="272"/>
      <c r="AL23" s="272"/>
    </row>
    <row r="24" spans="1:38" ht="16.5" customHeight="1" x14ac:dyDescent="0.25">
      <c r="A24" s="40"/>
      <c r="B24" s="55"/>
      <c r="C24" s="467" t="s">
        <v>626</v>
      </c>
      <c r="D24" s="468" t="s">
        <v>368</v>
      </c>
      <c r="E24" s="75"/>
      <c r="F24" s="76"/>
      <c r="G24" s="17">
        <f>'SUM HH WITH'!$G$21+'SUM HH WITHOUT'!$G$21</f>
        <v>11</v>
      </c>
      <c r="H24" s="17">
        <f>'SUM HH WITH'!$H$21+'SUM HH WITHOUT'!$H$21</f>
        <v>106</v>
      </c>
      <c r="I24" s="927">
        <f>SUM(G24:H24)</f>
        <v>117</v>
      </c>
      <c r="J24" s="91">
        <f>IF(I$26=0,0,I24/I$26)</f>
        <v>0.30870712401055411</v>
      </c>
      <c r="K24" s="17">
        <f>'SUM HH WITH'!$K$21+'SUM HH WITHOUT'!$K$21</f>
        <v>0</v>
      </c>
      <c r="L24" s="17">
        <f>'SUM HH WITH'!$L$21+'SUM HH WITHOUT'!$L$21</f>
        <v>0</v>
      </c>
      <c r="M24" s="927">
        <f>SUM(K24:L24)</f>
        <v>0</v>
      </c>
      <c r="N24" s="91">
        <f>IF(M$26=0,0,M24/M$26)</f>
        <v>0</v>
      </c>
      <c r="O24" s="17">
        <f>'SUM HH WITH'!$O$21+'SUM HH WITHOUT'!$O$21</f>
        <v>0</v>
      </c>
      <c r="P24" s="17">
        <f>'SUM HH WITH'!$P$21+'SUM HH WITHOUT'!$P$21</f>
        <v>0</v>
      </c>
      <c r="Q24" s="927">
        <f>SUM(O24:P24)</f>
        <v>0</v>
      </c>
      <c r="R24" s="91">
        <f>IF(Q$26=0,0,Q24/Q$26)</f>
        <v>0</v>
      </c>
      <c r="S24" s="17">
        <f>'SUM HH WITH'!$S$21+'SUM HH WITHOUT'!$S$21</f>
        <v>0</v>
      </c>
      <c r="T24" s="17">
        <f>'SUM HH WITH'!$T$21+'SUM HH WITHOUT'!$T$21</f>
        <v>0</v>
      </c>
      <c r="U24" s="927">
        <f>SUM(S24:T24)</f>
        <v>0</v>
      </c>
      <c r="V24" s="91">
        <f>IF(U$26=0,0,U24/U$26)</f>
        <v>0</v>
      </c>
      <c r="W24" s="17">
        <f>'SUM HH WITH'!$W$21+'SUM HH WITHOUT'!$W$21</f>
        <v>0</v>
      </c>
      <c r="X24" s="17">
        <f>'SUM HH WITH'!$X$21+'SUM HH WITHOUT'!$X$21</f>
        <v>0</v>
      </c>
      <c r="Y24" s="927">
        <f>SUM(W24:X24)</f>
        <v>0</v>
      </c>
      <c r="Z24" s="91">
        <f>IF(Y$26=0,0,Y24/Y$26)</f>
        <v>0</v>
      </c>
      <c r="AA24" s="17">
        <f>'SUM HH WITH'!$AA$21+'SUM HH WITHOUT'!$AA$21</f>
        <v>0</v>
      </c>
      <c r="AB24" s="17">
        <f>'SUM HH WITH'!$AB$21+'SUM HH WITHOUT'!$AB$21</f>
        <v>0</v>
      </c>
      <c r="AC24" s="927">
        <f>SUM(AA24:AB24)</f>
        <v>0</v>
      </c>
      <c r="AD24" s="91">
        <f>IF(AC$26=0,0,AC24/AC$26)</f>
        <v>0</v>
      </c>
      <c r="AE24" s="17">
        <f>'SUM HH WITH'!$AE$21+'SUM HH WITHOUT'!$AE$21</f>
        <v>0</v>
      </c>
      <c r="AF24" s="17">
        <f>'SUM HH WITH'!$AF$21+'SUM HH WITHOUT'!$AF$21</f>
        <v>0</v>
      </c>
      <c r="AG24" s="927">
        <f>SUM(AE24:AF24)</f>
        <v>0</v>
      </c>
      <c r="AH24" s="373">
        <f>IF(AG$26=0,0,AG24/AG$26)</f>
        <v>0</v>
      </c>
      <c r="AI24" s="391">
        <f t="shared" ref="AI24:AJ25" si="28">G24+K24+O24+S24+W24+AA24+AE24</f>
        <v>11</v>
      </c>
      <c r="AJ24" s="17">
        <f t="shared" si="28"/>
        <v>106</v>
      </c>
      <c r="AK24" s="927">
        <f>SUM(AI24:AJ24)</f>
        <v>117</v>
      </c>
      <c r="AL24" s="91">
        <f>IF(AK$26=0,0,AK24/AK$26)</f>
        <v>0.30870712401055411</v>
      </c>
    </row>
    <row r="25" spans="1:38" ht="16.5" customHeight="1" x14ac:dyDescent="0.25">
      <c r="A25" s="40"/>
      <c r="B25" s="55"/>
      <c r="C25" s="467" t="s">
        <v>627</v>
      </c>
      <c r="D25" s="468" t="s">
        <v>369</v>
      </c>
      <c r="E25" s="75"/>
      <c r="F25" s="76"/>
      <c r="G25" s="17">
        <f>'SUM HH WITH'!$G$22+'SUM HH WITHOUT'!$G$22</f>
        <v>52</v>
      </c>
      <c r="H25" s="17">
        <f>'SUM HH WITH'!$H$22+'SUM HH WITHOUT'!$H$22</f>
        <v>210</v>
      </c>
      <c r="I25" s="927">
        <f>SUM(G25:H25)</f>
        <v>262</v>
      </c>
      <c r="J25" s="91">
        <f t="shared" ref="J25:J26" si="29">IF(I$26=0,0,I25/I$26)</f>
        <v>0.69129287598944589</v>
      </c>
      <c r="K25" s="17">
        <f>'SUM HH WITH'!$K$22+'SUM HH WITHOUT'!$K$22</f>
        <v>0</v>
      </c>
      <c r="L25" s="17">
        <f>'SUM HH WITH'!$L$22+'SUM HH WITHOUT'!$L$22</f>
        <v>0</v>
      </c>
      <c r="M25" s="927">
        <f>SUM(K25:L25)</f>
        <v>0</v>
      </c>
      <c r="N25" s="91">
        <f t="shared" ref="N25:N26" si="30">IF(M$26=0,0,M25/M$26)</f>
        <v>0</v>
      </c>
      <c r="O25" s="17">
        <f>'SUM HH WITH'!$O$22+'SUM HH WITHOUT'!$O$22</f>
        <v>0</v>
      </c>
      <c r="P25" s="17">
        <f>'SUM HH WITH'!$P$22+'SUM HH WITHOUT'!$P$22</f>
        <v>0</v>
      </c>
      <c r="Q25" s="927">
        <f>SUM(O25:P25)</f>
        <v>0</v>
      </c>
      <c r="R25" s="91">
        <f t="shared" ref="R25:R26" si="31">IF(Q$26=0,0,Q25/Q$26)</f>
        <v>0</v>
      </c>
      <c r="S25" s="17">
        <f>'SUM HH WITH'!$S$22+'SUM HH WITHOUT'!$S$22</f>
        <v>0</v>
      </c>
      <c r="T25" s="17">
        <f>'SUM HH WITH'!$T$22+'SUM HH WITHOUT'!$T$22</f>
        <v>0</v>
      </c>
      <c r="U25" s="927">
        <f>SUM(S25:T25)</f>
        <v>0</v>
      </c>
      <c r="V25" s="91">
        <f t="shared" ref="V25:V26" si="32">IF(U$26=0,0,U25/U$26)</f>
        <v>0</v>
      </c>
      <c r="W25" s="17">
        <f>'SUM HH WITH'!$W$22+'SUM HH WITHOUT'!$W$22</f>
        <v>0</v>
      </c>
      <c r="X25" s="17">
        <f>'SUM HH WITH'!$X$22+'SUM HH WITHOUT'!$X$22</f>
        <v>0</v>
      </c>
      <c r="Y25" s="927">
        <f>SUM(W25:X25)</f>
        <v>0</v>
      </c>
      <c r="Z25" s="91">
        <f t="shared" ref="Z25:Z26" si="33">IF(Y$26=0,0,Y25/Y$26)</f>
        <v>0</v>
      </c>
      <c r="AA25" s="17">
        <f>'SUM HH WITH'!$AA$22+'SUM HH WITHOUT'!$AA$22</f>
        <v>0</v>
      </c>
      <c r="AB25" s="17">
        <f>'SUM HH WITH'!$AB$22+'SUM HH WITHOUT'!$AB$22</f>
        <v>0</v>
      </c>
      <c r="AC25" s="927">
        <f>SUM(AA25:AB25)</f>
        <v>0</v>
      </c>
      <c r="AD25" s="91">
        <f t="shared" ref="AD25:AD26" si="34">IF(AC$26=0,0,AC25/AC$26)</f>
        <v>0</v>
      </c>
      <c r="AE25" s="17">
        <f>'SUM HH WITH'!$AE$22+'SUM HH WITHOUT'!$AE$22</f>
        <v>0</v>
      </c>
      <c r="AF25" s="17">
        <f>'SUM HH WITH'!$AF$22+'SUM HH WITHOUT'!$AF$22</f>
        <v>0</v>
      </c>
      <c r="AG25" s="927">
        <f>SUM(AE25:AF25)</f>
        <v>0</v>
      </c>
      <c r="AH25" s="373">
        <f t="shared" ref="AH25:AH26" si="35">IF(AG$26=0,0,AG25/AG$26)</f>
        <v>0</v>
      </c>
      <c r="AI25" s="391">
        <f t="shared" si="28"/>
        <v>52</v>
      </c>
      <c r="AJ25" s="17">
        <f t="shared" si="28"/>
        <v>210</v>
      </c>
      <c r="AK25" s="927">
        <f>SUM(AI25:AJ25)</f>
        <v>262</v>
      </c>
      <c r="AL25" s="91">
        <f t="shared" ref="AL25:AL26" si="36">IF(AK$26=0,0,AK25/AK$26)</f>
        <v>0.69129287598944589</v>
      </c>
    </row>
    <row r="26" spans="1:38" ht="16.5" customHeight="1" x14ac:dyDescent="0.25">
      <c r="A26" s="119"/>
      <c r="B26" s="420"/>
      <c r="C26" s="422"/>
      <c r="D26" s="134"/>
      <c r="E26" s="184"/>
      <c r="F26" s="469"/>
      <c r="G26" s="82">
        <f>SUM(G24:G25)</f>
        <v>63</v>
      </c>
      <c r="H26" s="82">
        <f t="shared" ref="H26" si="37">SUM(H24:H25)</f>
        <v>316</v>
      </c>
      <c r="I26" s="82">
        <f>SUM(I24:I25)</f>
        <v>379</v>
      </c>
      <c r="J26" s="66">
        <f t="shared" si="29"/>
        <v>1</v>
      </c>
      <c r="K26" s="82">
        <f>SUM(K24:K25)</f>
        <v>0</v>
      </c>
      <c r="L26" s="82">
        <f t="shared" ref="L26" si="38">SUM(L24:L25)</f>
        <v>0</v>
      </c>
      <c r="M26" s="82">
        <f>SUM(M24:M25)</f>
        <v>0</v>
      </c>
      <c r="N26" s="66">
        <f t="shared" si="30"/>
        <v>0</v>
      </c>
      <c r="O26" s="82">
        <f>SUM(O24:O25)</f>
        <v>0</v>
      </c>
      <c r="P26" s="82">
        <f t="shared" ref="P26" si="39">SUM(P24:P25)</f>
        <v>0</v>
      </c>
      <c r="Q26" s="82">
        <f>SUM(Q24:Q25)</f>
        <v>0</v>
      </c>
      <c r="R26" s="66">
        <f t="shared" si="31"/>
        <v>0</v>
      </c>
      <c r="S26" s="82">
        <f>SUM(S24:S25)</f>
        <v>0</v>
      </c>
      <c r="T26" s="82">
        <f t="shared" ref="T26" si="40">SUM(T24:T25)</f>
        <v>0</v>
      </c>
      <c r="U26" s="82">
        <f>SUM(U24:U25)</f>
        <v>0</v>
      </c>
      <c r="V26" s="66">
        <f t="shared" si="32"/>
        <v>0</v>
      </c>
      <c r="W26" s="82">
        <f>SUM(W24:W25)</f>
        <v>0</v>
      </c>
      <c r="X26" s="82">
        <f t="shared" ref="X26" si="41">SUM(X24:X25)</f>
        <v>0</v>
      </c>
      <c r="Y26" s="82">
        <f>SUM(Y24:Y25)</f>
        <v>0</v>
      </c>
      <c r="Z26" s="66">
        <f t="shared" si="33"/>
        <v>0</v>
      </c>
      <c r="AA26" s="82">
        <f>SUM(AA24:AA25)</f>
        <v>0</v>
      </c>
      <c r="AB26" s="82">
        <f t="shared" ref="AB26" si="42">SUM(AB24:AB25)</f>
        <v>0</v>
      </c>
      <c r="AC26" s="82">
        <f>SUM(AC24:AC25)</f>
        <v>0</v>
      </c>
      <c r="AD26" s="66">
        <f t="shared" si="34"/>
        <v>0</v>
      </c>
      <c r="AE26" s="82">
        <f>SUM(AE24:AE25)</f>
        <v>0</v>
      </c>
      <c r="AF26" s="82">
        <f t="shared" ref="AF26" si="43">SUM(AF24:AF25)</f>
        <v>0</v>
      </c>
      <c r="AG26" s="82">
        <f>SUM(AG24:AG25)</f>
        <v>0</v>
      </c>
      <c r="AH26" s="608">
        <f t="shared" si="35"/>
        <v>0</v>
      </c>
      <c r="AI26" s="381">
        <f>SUM(AI24:AI25)</f>
        <v>63</v>
      </c>
      <c r="AJ26" s="82">
        <f t="shared" ref="AJ26" si="44">SUM(AJ24:AJ25)</f>
        <v>316</v>
      </c>
      <c r="AK26" s="82">
        <f>SUM(AK24:AK25)</f>
        <v>379</v>
      </c>
      <c r="AL26" s="66">
        <f t="shared" si="36"/>
        <v>1</v>
      </c>
    </row>
    <row r="27" spans="1:38" ht="16.5" hidden="1" customHeight="1" x14ac:dyDescent="0.25">
      <c r="A27" s="47"/>
      <c r="B27" s="41">
        <v>0.2</v>
      </c>
      <c r="C27" s="69" t="s">
        <v>370</v>
      </c>
      <c r="D27" s="269"/>
      <c r="E27" s="269"/>
      <c r="F27" s="270"/>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c r="AF27" s="272"/>
      <c r="AG27" s="272"/>
      <c r="AH27" s="610"/>
      <c r="AI27" s="377"/>
      <c r="AJ27" s="71"/>
      <c r="AK27" s="71"/>
      <c r="AL27" s="71"/>
    </row>
    <row r="28" spans="1:38" ht="16.5" hidden="1" customHeight="1" x14ac:dyDescent="0.25">
      <c r="A28" s="40"/>
      <c r="B28" s="40"/>
      <c r="C28" s="473" t="s">
        <v>7</v>
      </c>
      <c r="D28" s="303" t="s">
        <v>9</v>
      </c>
      <c r="E28" s="75"/>
      <c r="F28" s="76"/>
      <c r="G28" s="17">
        <f>'HH WITH COM #1 '!$W$23</f>
        <v>0</v>
      </c>
      <c r="H28" s="17">
        <f>'HH WITH COM #1 '!$X$23</f>
        <v>0</v>
      </c>
      <c r="I28" s="927">
        <f>SUM(G28:H28)</f>
        <v>0</v>
      </c>
      <c r="J28" s="91">
        <f>IF(I$31=0,0,I28/I$31)</f>
        <v>0</v>
      </c>
      <c r="K28" s="17">
        <f>'HH WITH COM #2'!$W$23</f>
        <v>0</v>
      </c>
      <c r="L28" s="17">
        <f>'HH WITH COM #2'!$X$23</f>
        <v>0</v>
      </c>
      <c r="M28" s="927">
        <f>SUM(K28:L28)</f>
        <v>0</v>
      </c>
      <c r="N28" s="91">
        <f>IF(M$31=0,0,M28/M$31)</f>
        <v>0</v>
      </c>
      <c r="O28" s="17">
        <f>'HH WITH COM #3'!$W$23</f>
        <v>0</v>
      </c>
      <c r="P28" s="17">
        <f>'HH WITH COM #3'!$X$23</f>
        <v>0</v>
      </c>
      <c r="Q28" s="927">
        <f>SUM(O28:P28)</f>
        <v>0</v>
      </c>
      <c r="R28" s="91">
        <f>IF(Q$31=0,0,Q28/Q$31)</f>
        <v>0</v>
      </c>
      <c r="S28" s="17">
        <f>'HH WITH COM #4'!$W$23</f>
        <v>0</v>
      </c>
      <c r="T28" s="17">
        <f>'HH WITH COM #4'!$X$23</f>
        <v>0</v>
      </c>
      <c r="U28" s="927">
        <f>SUM(S28:T28)</f>
        <v>0</v>
      </c>
      <c r="V28" s="91">
        <f>IF(U$31=0,0,U28/U$31)</f>
        <v>0</v>
      </c>
      <c r="W28" s="17">
        <f>'HH WITH COM #5'!$W$23</f>
        <v>0</v>
      </c>
      <c r="X28" s="17">
        <f>'HH WITH COM #5'!$X$23</f>
        <v>0</v>
      </c>
      <c r="Y28" s="927">
        <f>SUM(W28:X28)</f>
        <v>0</v>
      </c>
      <c r="Z28" s="91">
        <f>IF(Y$31=0,0,Y28/Y$31)</f>
        <v>0</v>
      </c>
      <c r="AA28" s="17">
        <f>'HH WITH COM #6'!$W$23</f>
        <v>0</v>
      </c>
      <c r="AB28" s="17">
        <f>'HH WITH COM #6'!$X$23</f>
        <v>0</v>
      </c>
      <c r="AC28" s="927">
        <f>SUM(AA28:AB28)</f>
        <v>0</v>
      </c>
      <c r="AD28" s="91">
        <f>IF(AC$31=0,0,AC28/AC$31)</f>
        <v>0</v>
      </c>
      <c r="AE28" s="17">
        <f>'HH WITH COM #7'!$W$23</f>
        <v>0</v>
      </c>
      <c r="AF28" s="17">
        <f>'HH WITH COM #7'!$X$23</f>
        <v>0</v>
      </c>
      <c r="AG28" s="927">
        <f>SUM(AE28:AF28)</f>
        <v>0</v>
      </c>
      <c r="AH28" s="373">
        <f>IF(AG$31=0,0,AG28/AG$31)</f>
        <v>0</v>
      </c>
      <c r="AI28" s="391">
        <f t="shared" ref="AI28:AJ30" si="45">G28+K28+O28+S28+W28+AA28+AE28</f>
        <v>0</v>
      </c>
      <c r="AJ28" s="17">
        <f t="shared" si="45"/>
        <v>0</v>
      </c>
      <c r="AK28" s="927">
        <f>SUM(AI28:AJ28)</f>
        <v>0</v>
      </c>
      <c r="AL28" s="91">
        <f>IF(AK$31=0,0,AK28/AK$31)</f>
        <v>0</v>
      </c>
    </row>
    <row r="29" spans="1:38" ht="16.5" hidden="1" customHeight="1" x14ac:dyDescent="0.25">
      <c r="A29" s="40"/>
      <c r="B29" s="40"/>
      <c r="C29" s="473" t="s">
        <v>8</v>
      </c>
      <c r="D29" s="303" t="s">
        <v>10</v>
      </c>
      <c r="E29" s="75"/>
      <c r="F29" s="76"/>
      <c r="G29" s="17">
        <f>'HH WITH COM #1 '!$W$24</f>
        <v>0</v>
      </c>
      <c r="H29" s="17">
        <f>'HH WITH COM #1 '!$X$24</f>
        <v>0</v>
      </c>
      <c r="I29" s="927">
        <f t="shared" ref="I29:I30" si="46">SUM(G29:H29)</f>
        <v>0</v>
      </c>
      <c r="J29" s="91">
        <f t="shared" ref="J29:J30" si="47">IF(I$31=0,0,I29/I$31)</f>
        <v>0</v>
      </c>
      <c r="K29" s="17">
        <f>'HH WITH COM #2'!$W$24</f>
        <v>0</v>
      </c>
      <c r="L29" s="17">
        <f>'HH WITH COM #2'!$X$24</f>
        <v>0</v>
      </c>
      <c r="M29" s="927">
        <f t="shared" ref="M29:M30" si="48">SUM(K29:L29)</f>
        <v>0</v>
      </c>
      <c r="N29" s="91">
        <f t="shared" ref="N29:N30" si="49">IF(M$31=0,0,M29/M$31)</f>
        <v>0</v>
      </c>
      <c r="O29" s="17">
        <f>'HH WITH COM #3'!$W$24</f>
        <v>0</v>
      </c>
      <c r="P29" s="17">
        <f>'HH WITH COM #3'!$X$24</f>
        <v>0</v>
      </c>
      <c r="Q29" s="927">
        <f t="shared" ref="Q29:Q30" si="50">SUM(O29:P29)</f>
        <v>0</v>
      </c>
      <c r="R29" s="91">
        <f t="shared" ref="R29:R30" si="51">IF(Q$31=0,0,Q29/Q$31)</f>
        <v>0</v>
      </c>
      <c r="S29" s="17">
        <f>'HH WITH COM #4'!$W$24</f>
        <v>0</v>
      </c>
      <c r="T29" s="17">
        <f>'HH WITH COM #4'!$X$24</f>
        <v>0</v>
      </c>
      <c r="U29" s="927">
        <f t="shared" ref="U29:U30" si="52">SUM(S29:T29)</f>
        <v>0</v>
      </c>
      <c r="V29" s="91">
        <f t="shared" ref="V29:V30" si="53">IF(U$31=0,0,U29/U$31)</f>
        <v>0</v>
      </c>
      <c r="W29" s="17">
        <f>'HH WITH COM #5'!$W$24</f>
        <v>0</v>
      </c>
      <c r="X29" s="17">
        <f>'HH WITH COM #5'!$X$24</f>
        <v>0</v>
      </c>
      <c r="Y29" s="927">
        <f t="shared" ref="Y29:Y30" si="54">SUM(W29:X29)</f>
        <v>0</v>
      </c>
      <c r="Z29" s="91">
        <f t="shared" ref="Z29:Z30" si="55">IF(Y$31=0,0,Y29/Y$31)</f>
        <v>0</v>
      </c>
      <c r="AA29" s="17">
        <f>'HH WITH COM #6'!$W$24</f>
        <v>0</v>
      </c>
      <c r="AB29" s="17">
        <f>'HH WITH COM #6'!$X$24</f>
        <v>0</v>
      </c>
      <c r="AC29" s="927">
        <f t="shared" ref="AC29:AC30" si="56">SUM(AA29:AB29)</f>
        <v>0</v>
      </c>
      <c r="AD29" s="91">
        <f t="shared" ref="AD29:AD30" si="57">IF(AC$31=0,0,AC29/AC$31)</f>
        <v>0</v>
      </c>
      <c r="AE29" s="17">
        <f>'HH WITH COM #7'!$W$24</f>
        <v>0</v>
      </c>
      <c r="AF29" s="17">
        <f>'HH WITH COM #7'!$X$24</f>
        <v>0</v>
      </c>
      <c r="AG29" s="927">
        <f t="shared" ref="AG29:AG30" si="58">SUM(AE29:AF29)</f>
        <v>0</v>
      </c>
      <c r="AH29" s="373">
        <f t="shared" ref="AH29:AH30" si="59">IF(AG$31=0,0,AG29/AG$31)</f>
        <v>0</v>
      </c>
      <c r="AI29" s="391">
        <f t="shared" si="45"/>
        <v>0</v>
      </c>
      <c r="AJ29" s="17">
        <f t="shared" si="45"/>
        <v>0</v>
      </c>
      <c r="AK29" s="927">
        <f t="shared" ref="AK29:AK30" si="60">SUM(AI29:AJ29)</f>
        <v>0</v>
      </c>
      <c r="AL29" s="91">
        <f t="shared" ref="AL29:AL30" si="61">IF(AK$31=0,0,AK29/AK$31)</f>
        <v>0</v>
      </c>
    </row>
    <row r="30" spans="1:38" ht="16.5" hidden="1" customHeight="1" x14ac:dyDescent="0.25">
      <c r="A30" s="40"/>
      <c r="B30" s="40"/>
      <c r="C30" s="473" t="s">
        <v>531</v>
      </c>
      <c r="D30" s="303" t="s">
        <v>530</v>
      </c>
      <c r="E30" s="75"/>
      <c r="F30" s="76"/>
      <c r="G30" s="17">
        <f>'HH WITH COM #1 '!$W$25</f>
        <v>0</v>
      </c>
      <c r="H30" s="17">
        <f>'HH WITH COM #1 '!$X$25</f>
        <v>0</v>
      </c>
      <c r="I30" s="927">
        <f t="shared" si="46"/>
        <v>0</v>
      </c>
      <c r="J30" s="91">
        <f t="shared" si="47"/>
        <v>0</v>
      </c>
      <c r="K30" s="17">
        <f>'HH WITH COM #2'!$W$25</f>
        <v>0</v>
      </c>
      <c r="L30" s="17">
        <f>'HH WITH COM #2'!$X$25</f>
        <v>0</v>
      </c>
      <c r="M30" s="927">
        <f t="shared" si="48"/>
        <v>0</v>
      </c>
      <c r="N30" s="91">
        <f t="shared" si="49"/>
        <v>0</v>
      </c>
      <c r="O30" s="17">
        <f>'HH WITH COM #3'!$W$25</f>
        <v>0</v>
      </c>
      <c r="P30" s="17">
        <f>'HH WITH COM #3'!$X$25</f>
        <v>0</v>
      </c>
      <c r="Q30" s="927">
        <f t="shared" si="50"/>
        <v>0</v>
      </c>
      <c r="R30" s="91">
        <f t="shared" si="51"/>
        <v>0</v>
      </c>
      <c r="S30" s="17">
        <f>'HH WITH COM #4'!$W$25</f>
        <v>0</v>
      </c>
      <c r="T30" s="17">
        <f>'HH WITH COM #4'!$X$25</f>
        <v>0</v>
      </c>
      <c r="U30" s="927">
        <f t="shared" si="52"/>
        <v>0</v>
      </c>
      <c r="V30" s="91">
        <f t="shared" si="53"/>
        <v>0</v>
      </c>
      <c r="W30" s="17">
        <f>'HH WITH COM #5'!$W$25</f>
        <v>0</v>
      </c>
      <c r="X30" s="17">
        <f>'HH WITH COM #5'!$X$25</f>
        <v>0</v>
      </c>
      <c r="Y30" s="927">
        <f t="shared" si="54"/>
        <v>0</v>
      </c>
      <c r="Z30" s="91">
        <f t="shared" si="55"/>
        <v>0</v>
      </c>
      <c r="AA30" s="17">
        <f>'HH WITH COM #6'!$W$25</f>
        <v>0</v>
      </c>
      <c r="AB30" s="17">
        <f>'HH WITH COM #6'!$X$25</f>
        <v>0</v>
      </c>
      <c r="AC30" s="927">
        <f t="shared" si="56"/>
        <v>0</v>
      </c>
      <c r="AD30" s="91">
        <f t="shared" si="57"/>
        <v>0</v>
      </c>
      <c r="AE30" s="17">
        <f>'HH WITH COM #7'!$W$25</f>
        <v>0</v>
      </c>
      <c r="AF30" s="17">
        <f>'HH WITH COM #7'!$X$25</f>
        <v>0</v>
      </c>
      <c r="AG30" s="927">
        <f t="shared" si="58"/>
        <v>0</v>
      </c>
      <c r="AH30" s="373">
        <f t="shared" si="59"/>
        <v>0</v>
      </c>
      <c r="AI30" s="391">
        <f t="shared" si="45"/>
        <v>0</v>
      </c>
      <c r="AJ30" s="17">
        <f t="shared" si="45"/>
        <v>0</v>
      </c>
      <c r="AK30" s="927">
        <f t="shared" si="60"/>
        <v>0</v>
      </c>
      <c r="AL30" s="91">
        <f t="shared" si="61"/>
        <v>0</v>
      </c>
    </row>
    <row r="31" spans="1:38" ht="16.5" hidden="1" customHeight="1" x14ac:dyDescent="0.25">
      <c r="A31" s="40"/>
      <c r="B31" s="179"/>
      <c r="C31" s="119"/>
      <c r="D31" s="134"/>
      <c r="E31" s="184"/>
      <c r="F31" s="469"/>
      <c r="G31" s="82">
        <f>SUM(G28:G30)</f>
        <v>0</v>
      </c>
      <c r="H31" s="82">
        <f>SUM(H28:H30)</f>
        <v>0</v>
      </c>
      <c r="I31" s="82">
        <f>SUM(I28:I30)</f>
        <v>0</v>
      </c>
      <c r="J31" s="66">
        <f>IF(I$31=0,0,I31/I$31)</f>
        <v>0</v>
      </c>
      <c r="K31" s="82">
        <f>SUM(K28:K30)</f>
        <v>0</v>
      </c>
      <c r="L31" s="82">
        <f>SUM(L28:L30)</f>
        <v>0</v>
      </c>
      <c r="M31" s="82">
        <f>SUM(M28:M30)</f>
        <v>0</v>
      </c>
      <c r="N31" s="66">
        <f>IF(M$31=0,0,M31/M$31)</f>
        <v>0</v>
      </c>
      <c r="O31" s="82">
        <f>SUM(O28:O30)</f>
        <v>0</v>
      </c>
      <c r="P31" s="82">
        <f>SUM(P28:P30)</f>
        <v>0</v>
      </c>
      <c r="Q31" s="82">
        <f>SUM(Q28:Q30)</f>
        <v>0</v>
      </c>
      <c r="R31" s="66">
        <f>IF(Q$31=0,0,Q31/Q$31)</f>
        <v>0</v>
      </c>
      <c r="S31" s="82">
        <f>SUM(S28:S30)</f>
        <v>0</v>
      </c>
      <c r="T31" s="82">
        <f>SUM(T28:T30)</f>
        <v>0</v>
      </c>
      <c r="U31" s="82">
        <f>SUM(U28:U30)</f>
        <v>0</v>
      </c>
      <c r="V31" s="66">
        <f>IF(U$31=0,0,U31/U$31)</f>
        <v>0</v>
      </c>
      <c r="W31" s="82">
        <f>SUM(W28:W30)</f>
        <v>0</v>
      </c>
      <c r="X31" s="82">
        <f>SUM(X28:X30)</f>
        <v>0</v>
      </c>
      <c r="Y31" s="82">
        <f>SUM(Y28:Y30)</f>
        <v>0</v>
      </c>
      <c r="Z31" s="66">
        <f>IF(Y$31=0,0,Y31/Y$31)</f>
        <v>0</v>
      </c>
      <c r="AA31" s="82">
        <f>SUM(AA28:AA30)</f>
        <v>0</v>
      </c>
      <c r="AB31" s="82">
        <f>SUM(AB28:AB30)</f>
        <v>0</v>
      </c>
      <c r="AC31" s="82">
        <f>SUM(AC28:AC30)</f>
        <v>0</v>
      </c>
      <c r="AD31" s="66">
        <f>IF(AC$31=0,0,AC31/AC$31)</f>
        <v>0</v>
      </c>
      <c r="AE31" s="82">
        <f>SUM(AE28:AE30)</f>
        <v>0</v>
      </c>
      <c r="AF31" s="82">
        <f>SUM(AF28:AF30)</f>
        <v>0</v>
      </c>
      <c r="AG31" s="82">
        <f>SUM(AG28:AG30)</f>
        <v>0</v>
      </c>
      <c r="AH31" s="608">
        <f>IF(AG$31=0,0,AG31/AG$31)</f>
        <v>0</v>
      </c>
      <c r="AI31" s="381">
        <f>SUM(AI28:AI30)</f>
        <v>0</v>
      </c>
      <c r="AJ31" s="82">
        <f>SUM(AJ28:AJ30)</f>
        <v>0</v>
      </c>
      <c r="AK31" s="82">
        <f>SUM(AK28:AK30)</f>
        <v>0</v>
      </c>
      <c r="AL31" s="66">
        <f>IF(AK$31=0,0,AK31/AK$31)</f>
        <v>0</v>
      </c>
    </row>
    <row r="32" spans="1:38" ht="16.5" hidden="1" customHeight="1" x14ac:dyDescent="0.25">
      <c r="A32" s="40"/>
      <c r="B32" s="40"/>
      <c r="C32" s="84"/>
      <c r="D32" s="464" t="s">
        <v>855</v>
      </c>
      <c r="E32" s="464"/>
      <c r="F32" s="465"/>
      <c r="G32" s="66">
        <f>IF(G17=0,0,G28/G17)</f>
        <v>0</v>
      </c>
      <c r="H32" s="66">
        <f>IF(H17=0,0,H28/H17)</f>
        <v>0</v>
      </c>
      <c r="I32" s="66">
        <f>IF(I17=0,0,I28/I17)</f>
        <v>0</v>
      </c>
      <c r="J32" s="66"/>
      <c r="K32" s="66">
        <f>IF(K17=0,0,K28/K17)</f>
        <v>0</v>
      </c>
      <c r="L32" s="66">
        <f>IF(L17=0,0,L28/L17)</f>
        <v>0</v>
      </c>
      <c r="M32" s="66">
        <f>IF(M17=0,0,M28/M17)</f>
        <v>0</v>
      </c>
      <c r="N32" s="66"/>
      <c r="O32" s="66">
        <f>IF(O17=0,0,O28/O17)</f>
        <v>0</v>
      </c>
      <c r="P32" s="66">
        <f>IF(P17=0,0,P28/P17)</f>
        <v>0</v>
      </c>
      <c r="Q32" s="66">
        <f>IF(Q17=0,0,Q28/Q17)</f>
        <v>0</v>
      </c>
      <c r="R32" s="66"/>
      <c r="S32" s="66">
        <f>IF(S17=0,0,S28/S17)</f>
        <v>0</v>
      </c>
      <c r="T32" s="66">
        <f>IF(T17=0,0,T28/T17)</f>
        <v>0</v>
      </c>
      <c r="U32" s="66">
        <f>IF(U17=0,0,U28/U17)</f>
        <v>0</v>
      </c>
      <c r="V32" s="66"/>
      <c r="W32" s="66">
        <f>IF(W17=0,0,W28/W17)</f>
        <v>0</v>
      </c>
      <c r="X32" s="66">
        <f>IF(X17=0,0,X28/X17)</f>
        <v>0</v>
      </c>
      <c r="Y32" s="66">
        <f>IF(Y17=0,0,Y28/Y17)</f>
        <v>0</v>
      </c>
      <c r="Z32" s="66"/>
      <c r="AA32" s="66">
        <f>IF(AA17=0,0,AA28/AA17)</f>
        <v>0</v>
      </c>
      <c r="AB32" s="66">
        <f>IF(AB17=0,0,AB28/AB17)</f>
        <v>0</v>
      </c>
      <c r="AC32" s="66">
        <f>IF(AC17=0,0,AC28/AC17)</f>
        <v>0</v>
      </c>
      <c r="AD32" s="66"/>
      <c r="AE32" s="66">
        <f>IF(AE17=0,0,AE28/AE17)</f>
        <v>0</v>
      </c>
      <c r="AF32" s="66">
        <f>IF(AF17=0,0,AF28/AF17)</f>
        <v>0</v>
      </c>
      <c r="AG32" s="66">
        <f>IF(AG17=0,0,AG28/AG17)</f>
        <v>0</v>
      </c>
      <c r="AH32" s="608"/>
      <c r="AI32" s="619">
        <f>IF(AI17=0,0,AI28/AI17)</f>
        <v>0</v>
      </c>
      <c r="AJ32" s="66">
        <f>IF(AJ17=0,0,AJ28/AJ17)</f>
        <v>0</v>
      </c>
      <c r="AK32" s="66">
        <f>IF(AK17=0,0,AK28/AK17)</f>
        <v>0</v>
      </c>
      <c r="AL32" s="66"/>
    </row>
    <row r="33" spans="1:38" ht="16.5" customHeight="1" x14ac:dyDescent="0.25">
      <c r="A33" s="47"/>
      <c r="B33" s="414">
        <v>0.1</v>
      </c>
      <c r="C33" s="42" t="s">
        <v>1489</v>
      </c>
      <c r="D33" s="50"/>
      <c r="E33" s="269"/>
      <c r="F33" s="270"/>
      <c r="G33" s="272"/>
      <c r="H33" s="272"/>
      <c r="I33" s="272"/>
      <c r="J33" s="272"/>
      <c r="K33" s="272"/>
      <c r="L33" s="272"/>
      <c r="M33" s="272"/>
      <c r="N33" s="272"/>
      <c r="O33" s="272"/>
      <c r="P33" s="272"/>
      <c r="Q33" s="272"/>
      <c r="R33" s="272"/>
      <c r="S33" s="272"/>
      <c r="T33" s="272"/>
      <c r="U33" s="272"/>
      <c r="V33" s="272"/>
      <c r="W33" s="272"/>
      <c r="X33" s="272"/>
      <c r="Y33" s="272"/>
      <c r="Z33" s="272"/>
      <c r="AA33" s="272"/>
      <c r="AB33" s="272"/>
      <c r="AC33" s="272"/>
      <c r="AD33" s="272"/>
      <c r="AE33" s="272"/>
      <c r="AF33" s="272"/>
      <c r="AG33" s="272"/>
      <c r="AH33" s="610"/>
      <c r="AI33" s="377"/>
      <c r="AJ33" s="71"/>
      <c r="AK33" s="71"/>
      <c r="AL33" s="71"/>
    </row>
    <row r="34" spans="1:38" ht="16.5" customHeight="1" x14ac:dyDescent="0.25">
      <c r="A34" s="40"/>
      <c r="B34" s="55"/>
      <c r="C34" s="467" t="s">
        <v>371</v>
      </c>
      <c r="D34" s="511" t="s">
        <v>629</v>
      </c>
      <c r="E34" s="75"/>
      <c r="F34" s="76"/>
      <c r="G34" s="17">
        <f>'SUM HH WITH'!$G$31+'SUM HH WITHOUT'!$G$31</f>
        <v>0</v>
      </c>
      <c r="H34" s="17">
        <f>'SUM HH WITH'!$H$31+'SUM HH WITHOUT'!$H$31</f>
        <v>3</v>
      </c>
      <c r="I34" s="927">
        <f>SUM(G34:H34)</f>
        <v>3</v>
      </c>
      <c r="J34" s="91">
        <f>IF(I$36=0,0,I34/I$36)</f>
        <v>0.15</v>
      </c>
      <c r="K34" s="17">
        <f>'SUM HH WITH'!$K$31+'SUM HH WITHOUT'!$K$31</f>
        <v>1</v>
      </c>
      <c r="L34" s="17">
        <f>'SUM HH WITH'!$L$31+'SUM HH WITHOUT'!$L$31</f>
        <v>8</v>
      </c>
      <c r="M34" s="927">
        <f>SUM(K34:L34)</f>
        <v>9</v>
      </c>
      <c r="N34" s="91">
        <f>IF(M$36=0,0,M34/M$36)</f>
        <v>0.3</v>
      </c>
      <c r="O34" s="17">
        <f>'SUM HH WITH'!$O$31+'SUM HH WITHOUT'!$O$31</f>
        <v>1</v>
      </c>
      <c r="P34" s="17">
        <f>'SUM HH WITH'!$P$31+'SUM HH WITHOUT'!$P$31</f>
        <v>5</v>
      </c>
      <c r="Q34" s="927">
        <f>SUM(O34:P34)</f>
        <v>6</v>
      </c>
      <c r="R34" s="91">
        <f>IF(Q$36=0,0,Q34/Q$36)</f>
        <v>0.3</v>
      </c>
      <c r="S34" s="17">
        <f>'SUM HH WITH'!$S$31+'SUM HH WITHOUT'!$S$31</f>
        <v>0</v>
      </c>
      <c r="T34" s="17">
        <f>'SUM HH WITH'!$T$31+'SUM HH WITHOUT'!$T$31</f>
        <v>4</v>
      </c>
      <c r="U34" s="927">
        <f>SUM(S34:T34)</f>
        <v>4</v>
      </c>
      <c r="V34" s="91">
        <f>IF(U$36=0,0,U34/U$36)</f>
        <v>0.17391304347826086</v>
      </c>
      <c r="W34" s="17">
        <f>'SUM HH WITH'!$W$31+'SUM HH WITHOUT'!$W$31</f>
        <v>4</v>
      </c>
      <c r="X34" s="17">
        <f>'SUM HH WITH'!$X$31+'SUM HH WITHOUT'!$X$31</f>
        <v>13</v>
      </c>
      <c r="Y34" s="927">
        <f>SUM(W34:X34)</f>
        <v>17</v>
      </c>
      <c r="Z34" s="91">
        <f>IF(Y$36=0,0,Y34/Y$36)</f>
        <v>0.34693877551020408</v>
      </c>
      <c r="AA34" s="17">
        <f>'SUM HH WITH'!$AA$31+'SUM HH WITHOUT'!$AA$31</f>
        <v>1</v>
      </c>
      <c r="AB34" s="17">
        <f>'SUM HH WITH'!$AB$31+'SUM HH WITHOUT'!$AB$31</f>
        <v>5</v>
      </c>
      <c r="AC34" s="927">
        <f>SUM(AA34:AB34)</f>
        <v>6</v>
      </c>
      <c r="AD34" s="91">
        <f>IF(AC$36=0,0,AC34/AC$36)</f>
        <v>0.2</v>
      </c>
      <c r="AE34" s="17">
        <f>'SUM HH WITH'!$AE$31+'SUM HH WITHOUT'!$AE$31</f>
        <v>0</v>
      </c>
      <c r="AF34" s="17">
        <f>'SUM HH WITH'!$AF$31+'SUM HH WITHOUT'!$AF$31</f>
        <v>0</v>
      </c>
      <c r="AG34" s="927">
        <f>SUM(AE34:AF34)</f>
        <v>0</v>
      </c>
      <c r="AH34" s="373">
        <f>IF(AG$36=0,0,AG34/AG$36)</f>
        <v>0</v>
      </c>
      <c r="AI34" s="391">
        <f t="shared" ref="AI34:AJ35" si="62">G34+K34+O34+S34+W34+AA34+AE34</f>
        <v>7</v>
      </c>
      <c r="AJ34" s="17">
        <f t="shared" si="62"/>
        <v>38</v>
      </c>
      <c r="AK34" s="927">
        <f>SUM(AI34:AJ34)</f>
        <v>45</v>
      </c>
      <c r="AL34" s="91">
        <f>IF(AK$36=0,0,AK34/AK$36)</f>
        <v>0.26162790697674421</v>
      </c>
    </row>
    <row r="35" spans="1:38" ht="16.5" customHeight="1" x14ac:dyDescent="0.25">
      <c r="A35" s="40"/>
      <c r="B35" s="55"/>
      <c r="C35" s="467" t="s">
        <v>372</v>
      </c>
      <c r="D35" s="511" t="s">
        <v>630</v>
      </c>
      <c r="E35" s="75"/>
      <c r="F35" s="76"/>
      <c r="G35" s="17">
        <f>'SUM HH WITH'!$G$32+'SUM HH WITHOUT'!$G$32</f>
        <v>9</v>
      </c>
      <c r="H35" s="17">
        <f>'SUM HH WITH'!$H$32+'SUM HH WITHOUT'!$H$32</f>
        <v>8</v>
      </c>
      <c r="I35" s="927">
        <f>SUM(G35:H35)</f>
        <v>17</v>
      </c>
      <c r="J35" s="91">
        <f>IF(I$36=0,0,I35/I$36)</f>
        <v>0.85</v>
      </c>
      <c r="K35" s="17">
        <f>'SUM HH WITH'!$K$32+'SUM HH WITHOUT'!$K$32</f>
        <v>12</v>
      </c>
      <c r="L35" s="17">
        <f>'SUM HH WITH'!$L$32+'SUM HH WITHOUT'!$L$32</f>
        <v>9</v>
      </c>
      <c r="M35" s="927">
        <f>SUM(K35:L35)</f>
        <v>21</v>
      </c>
      <c r="N35" s="91">
        <f>IF(M$36=0,0,M35/M$36)</f>
        <v>0.7</v>
      </c>
      <c r="O35" s="17">
        <f>'SUM HH WITH'!$O$32+'SUM HH WITHOUT'!$O$32</f>
        <v>3</v>
      </c>
      <c r="P35" s="17">
        <f>'SUM HH WITH'!$P$32+'SUM HH WITHOUT'!$P$32</f>
        <v>11</v>
      </c>
      <c r="Q35" s="927">
        <f>SUM(O35:P35)</f>
        <v>14</v>
      </c>
      <c r="R35" s="91">
        <f>IF(Q$36=0,0,Q35/Q$36)</f>
        <v>0.7</v>
      </c>
      <c r="S35" s="17">
        <f>'SUM HH WITH'!$S$32+'SUM HH WITHOUT'!$S$32</f>
        <v>1</v>
      </c>
      <c r="T35" s="17">
        <f>'SUM HH WITH'!$T$32+'SUM HH WITHOUT'!$T$32</f>
        <v>18</v>
      </c>
      <c r="U35" s="927">
        <f>SUM(S35:T35)</f>
        <v>19</v>
      </c>
      <c r="V35" s="91">
        <f>IF(U$36=0,0,U35/U$36)</f>
        <v>0.82608695652173914</v>
      </c>
      <c r="W35" s="17">
        <f>'SUM HH WITH'!$W$32+'SUM HH WITHOUT'!$W$32</f>
        <v>13</v>
      </c>
      <c r="X35" s="17">
        <f>'SUM HH WITH'!$X$32+'SUM HH WITHOUT'!$X$32</f>
        <v>19</v>
      </c>
      <c r="Y35" s="927">
        <f>SUM(W35:X35)</f>
        <v>32</v>
      </c>
      <c r="Z35" s="91">
        <f>IF(Y$36=0,0,Y35/Y$36)</f>
        <v>0.65306122448979587</v>
      </c>
      <c r="AA35" s="17">
        <f>'SUM HH WITH'!$AA$32+'SUM HH WITHOUT'!$AA$32</f>
        <v>4</v>
      </c>
      <c r="AB35" s="17">
        <f>'SUM HH WITH'!$AB$32+'SUM HH WITHOUT'!$AB$32</f>
        <v>20</v>
      </c>
      <c r="AC35" s="927">
        <f>SUM(AA35:AB35)</f>
        <v>24</v>
      </c>
      <c r="AD35" s="91">
        <f>IF(AC$36=0,0,AC35/AC$36)</f>
        <v>0.8</v>
      </c>
      <c r="AE35" s="17">
        <f>'SUM HH WITH'!$AE$32+'SUM HH WITHOUT'!$AE$32</f>
        <v>0</v>
      </c>
      <c r="AF35" s="17">
        <f>'SUM HH WITH'!$AF$32+'SUM HH WITHOUT'!$AF$32</f>
        <v>0</v>
      </c>
      <c r="AG35" s="927">
        <f>SUM(AE35:AF35)</f>
        <v>0</v>
      </c>
      <c r="AH35" s="373">
        <f>IF(AG$36=0,0,AG35/AG$36)</f>
        <v>0</v>
      </c>
      <c r="AI35" s="391">
        <f t="shared" si="62"/>
        <v>42</v>
      </c>
      <c r="AJ35" s="17">
        <f t="shared" si="62"/>
        <v>85</v>
      </c>
      <c r="AK35" s="927">
        <f>SUM(AI35:AJ35)</f>
        <v>127</v>
      </c>
      <c r="AL35" s="91">
        <f>IF(AK$36=0,0,AK35/AK$36)</f>
        <v>0.73837209302325579</v>
      </c>
    </row>
    <row r="36" spans="1:38" ht="16.5" customHeight="1" x14ac:dyDescent="0.25">
      <c r="A36" s="40"/>
      <c r="B36" s="40"/>
      <c r="C36" s="185"/>
      <c r="D36" s="134"/>
      <c r="E36" s="184"/>
      <c r="F36" s="469"/>
      <c r="G36" s="82">
        <f>SUM(G34:G35)</f>
        <v>9</v>
      </c>
      <c r="H36" s="82">
        <f t="shared" ref="H36" si="63">SUM(H34:H35)</f>
        <v>11</v>
      </c>
      <c r="I36" s="82">
        <f>SUM(I34:I35)</f>
        <v>20</v>
      </c>
      <c r="J36" s="66">
        <f>IF(I$36=0,0,I36/I$36)</f>
        <v>1</v>
      </c>
      <c r="K36" s="82">
        <f>SUM(K34:K35)</f>
        <v>13</v>
      </c>
      <c r="L36" s="82">
        <f t="shared" ref="L36" si="64">SUM(L34:L35)</f>
        <v>17</v>
      </c>
      <c r="M36" s="82">
        <f>SUM(M34:M35)</f>
        <v>30</v>
      </c>
      <c r="N36" s="66">
        <f>IF(M$36=0,0,M36/M$36)</f>
        <v>1</v>
      </c>
      <c r="O36" s="82">
        <f>SUM(O34:O35)</f>
        <v>4</v>
      </c>
      <c r="P36" s="82">
        <f t="shared" ref="P36" si="65">SUM(P34:P35)</f>
        <v>16</v>
      </c>
      <c r="Q36" s="82">
        <f>SUM(Q34:Q35)</f>
        <v>20</v>
      </c>
      <c r="R36" s="66">
        <f>IF(Q$36=0,0,Q36/Q$36)</f>
        <v>1</v>
      </c>
      <c r="S36" s="82">
        <f>SUM(S34:S35)</f>
        <v>1</v>
      </c>
      <c r="T36" s="82">
        <f t="shared" ref="T36" si="66">SUM(T34:T35)</f>
        <v>22</v>
      </c>
      <c r="U36" s="82">
        <f>SUM(U34:U35)</f>
        <v>23</v>
      </c>
      <c r="V36" s="66">
        <f>IF(U$36=0,0,U36/U$36)</f>
        <v>1</v>
      </c>
      <c r="W36" s="82">
        <f>SUM(W34:W35)</f>
        <v>17</v>
      </c>
      <c r="X36" s="82">
        <f t="shared" ref="X36" si="67">SUM(X34:X35)</f>
        <v>32</v>
      </c>
      <c r="Y36" s="82">
        <f>SUM(Y34:Y35)</f>
        <v>49</v>
      </c>
      <c r="Z36" s="66">
        <f>IF(Y$36=0,0,Y36/Y$36)</f>
        <v>1</v>
      </c>
      <c r="AA36" s="82">
        <f>SUM(AA34:AA35)</f>
        <v>5</v>
      </c>
      <c r="AB36" s="82">
        <f t="shared" ref="AB36" si="68">SUM(AB34:AB35)</f>
        <v>25</v>
      </c>
      <c r="AC36" s="82">
        <f>SUM(AC34:AC35)</f>
        <v>30</v>
      </c>
      <c r="AD36" s="66">
        <f>IF(AC$36=0,0,AC36/AC$36)</f>
        <v>1</v>
      </c>
      <c r="AE36" s="82">
        <f>SUM(AE34:AE35)</f>
        <v>0</v>
      </c>
      <c r="AF36" s="82">
        <f t="shared" ref="AF36" si="69">SUM(AF34:AF35)</f>
        <v>0</v>
      </c>
      <c r="AG36" s="82">
        <f>SUM(AG34:AG35)</f>
        <v>0</v>
      </c>
      <c r="AH36" s="608">
        <f>IF(AG$36=0,0,AG36/AG$36)</f>
        <v>0</v>
      </c>
      <c r="AI36" s="381">
        <f>SUM(AI34:AI35)</f>
        <v>49</v>
      </c>
      <c r="AJ36" s="82">
        <f t="shared" ref="AJ36" si="70">SUM(AJ34:AJ35)</f>
        <v>123</v>
      </c>
      <c r="AK36" s="82">
        <f>SUM(AK34:AK35)</f>
        <v>172</v>
      </c>
      <c r="AL36" s="66">
        <f>IF(AK$36=0,0,AK36/AK$36)</f>
        <v>1</v>
      </c>
    </row>
    <row r="37" spans="1:38" s="97" customFormat="1" ht="16.5" customHeight="1" x14ac:dyDescent="0.25">
      <c r="A37" s="68"/>
      <c r="B37" s="68"/>
      <c r="C37" s="68"/>
      <c r="D37" s="166"/>
      <c r="E37" s="458"/>
      <c r="F37" s="458"/>
      <c r="G37" s="466"/>
      <c r="H37" s="466"/>
      <c r="I37" s="466"/>
      <c r="J37" s="466"/>
      <c r="K37" s="466"/>
      <c r="L37" s="466"/>
      <c r="M37" s="466"/>
      <c r="N37" s="466"/>
      <c r="O37" s="466"/>
      <c r="P37" s="466"/>
      <c r="Q37" s="466"/>
      <c r="R37" s="466"/>
      <c r="S37" s="466"/>
      <c r="T37" s="466"/>
      <c r="U37" s="466"/>
      <c r="V37" s="466"/>
      <c r="W37" s="466"/>
      <c r="X37" s="466"/>
      <c r="Y37" s="466"/>
      <c r="Z37" s="466"/>
      <c r="AA37" s="466"/>
      <c r="AB37" s="466"/>
      <c r="AC37" s="466"/>
      <c r="AD37" s="466"/>
      <c r="AE37" s="466"/>
      <c r="AF37" s="466"/>
      <c r="AG37" s="466"/>
      <c r="AH37" s="466"/>
      <c r="AI37" s="466"/>
      <c r="AJ37" s="466"/>
      <c r="AK37" s="466"/>
      <c r="AL37" s="466"/>
    </row>
    <row r="38" spans="1:38" s="456" customFormat="1" ht="16.5" customHeight="1" thickBot="1" x14ac:dyDescent="0.3">
      <c r="A38" s="24" t="s">
        <v>13</v>
      </c>
      <c r="B38" s="453" t="s">
        <v>14</v>
      </c>
      <c r="C38" s="26"/>
      <c r="D38" s="454"/>
      <c r="E38" s="454"/>
      <c r="F38" s="455"/>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606"/>
      <c r="AI38" s="630"/>
      <c r="AJ38" s="24"/>
      <c r="AK38" s="24"/>
      <c r="AL38" s="24"/>
    </row>
    <row r="39" spans="1:38" ht="16.5" customHeight="1" x14ac:dyDescent="0.25">
      <c r="A39" s="47"/>
      <c r="B39" s="471" t="s">
        <v>1490</v>
      </c>
      <c r="C39" s="472" t="s">
        <v>1491</v>
      </c>
      <c r="D39" s="269"/>
      <c r="E39" s="269"/>
      <c r="F39" s="270"/>
      <c r="G39" s="425">
        <f>G16</f>
        <v>228.23999999999998</v>
      </c>
      <c r="H39" s="425">
        <f>H16</f>
        <v>1039.76</v>
      </c>
      <c r="I39" s="257">
        <f>SUM(G39:H39)</f>
        <v>1268</v>
      </c>
      <c r="J39" s="425"/>
      <c r="K39" s="425">
        <f>K16</f>
        <v>121.92</v>
      </c>
      <c r="L39" s="425">
        <f>L16</f>
        <v>894.08</v>
      </c>
      <c r="M39" s="257">
        <f>SUM(K39:L39)</f>
        <v>1016</v>
      </c>
      <c r="N39" s="425"/>
      <c r="O39" s="425">
        <f>O16</f>
        <v>93.600000000000009</v>
      </c>
      <c r="P39" s="425">
        <f>P16</f>
        <v>626.4</v>
      </c>
      <c r="Q39" s="257">
        <f>SUM(O39:P39)</f>
        <v>720</v>
      </c>
      <c r="R39" s="425"/>
      <c r="S39" s="425">
        <f>S16</f>
        <v>384.56</v>
      </c>
      <c r="T39" s="425">
        <f>T16</f>
        <v>1363.44</v>
      </c>
      <c r="U39" s="257">
        <f>SUM(S39:T39)</f>
        <v>1748</v>
      </c>
      <c r="V39" s="425"/>
      <c r="W39" s="425">
        <f>W16</f>
        <v>118</v>
      </c>
      <c r="X39" s="425">
        <f>X16</f>
        <v>1062</v>
      </c>
      <c r="Y39" s="257">
        <f>SUM(W39:X39)</f>
        <v>1180</v>
      </c>
      <c r="Z39" s="425"/>
      <c r="AA39" s="425">
        <f>AA16</f>
        <v>211.82000000000002</v>
      </c>
      <c r="AB39" s="425">
        <f>AB16</f>
        <v>1301.18</v>
      </c>
      <c r="AC39" s="257">
        <f>SUM(AA39:AB39)</f>
        <v>1513</v>
      </c>
      <c r="AD39" s="425"/>
      <c r="AE39" s="425">
        <f>AE16</f>
        <v>0</v>
      </c>
      <c r="AF39" s="425">
        <f>AF16</f>
        <v>0</v>
      </c>
      <c r="AG39" s="257">
        <f>SUM(AE39:AF39)</f>
        <v>0</v>
      </c>
      <c r="AH39" s="611"/>
      <c r="AI39" s="629">
        <f>G39+K39+O39+S39+W39+AA39+AE39</f>
        <v>1158.1399999999999</v>
      </c>
      <c r="AJ39" s="425">
        <f>H39+L39+P39+T39+X39+AB39+AF39</f>
        <v>6286.8600000000006</v>
      </c>
      <c r="AK39" s="257">
        <f>SUM(AI39:AJ39)</f>
        <v>7445</v>
      </c>
      <c r="AL39" s="425"/>
    </row>
    <row r="40" spans="1:38" ht="16.5" customHeight="1" x14ac:dyDescent="0.25">
      <c r="A40" s="102"/>
      <c r="B40" s="102"/>
      <c r="C40" s="464" t="s">
        <v>1492</v>
      </c>
      <c r="D40" s="464"/>
      <c r="E40" s="464"/>
      <c r="F40" s="465"/>
      <c r="G40" s="66">
        <f>IF(I39=0,0,G39/I39)</f>
        <v>0.18</v>
      </c>
      <c r="H40" s="66">
        <f>IF(I39=0,0,H39/I39)</f>
        <v>0.82</v>
      </c>
      <c r="I40" s="66">
        <f>IF(I39=0,0,I39/I39)</f>
        <v>1</v>
      </c>
      <c r="J40" s="66"/>
      <c r="K40" s="66">
        <f>IF(M39=0,0,K39/M39)</f>
        <v>0.12</v>
      </c>
      <c r="L40" s="66">
        <f>IF(M39=0,0,L39/M39)</f>
        <v>0.88</v>
      </c>
      <c r="M40" s="66">
        <f>IF(M39=0,0,M39/M39)</f>
        <v>1</v>
      </c>
      <c r="N40" s="66"/>
      <c r="O40" s="66">
        <f>IF(Q39=0,0,O39/Q39)</f>
        <v>0.13</v>
      </c>
      <c r="P40" s="66">
        <f>IF(Q39=0,0,P39/Q39)</f>
        <v>0.87</v>
      </c>
      <c r="Q40" s="66">
        <f>IF(Q39=0,0,Q39/Q39)</f>
        <v>1</v>
      </c>
      <c r="R40" s="66"/>
      <c r="S40" s="66">
        <f>IF(U39=0,0,S39/U39)</f>
        <v>0.22</v>
      </c>
      <c r="T40" s="66">
        <f>IF(U39=0,0,T39/U39)</f>
        <v>0.78</v>
      </c>
      <c r="U40" s="66">
        <f>IF(U39=0,0,U39/U39)</f>
        <v>1</v>
      </c>
      <c r="V40" s="66"/>
      <c r="W40" s="66">
        <f>IF(Y39=0,0,W39/Y39)</f>
        <v>0.1</v>
      </c>
      <c r="X40" s="66">
        <f>IF(Y39=0,0,X39/Y39)</f>
        <v>0.9</v>
      </c>
      <c r="Y40" s="66">
        <f>IF(Y39=0,0,Y39/Y39)</f>
        <v>1</v>
      </c>
      <c r="Z40" s="66"/>
      <c r="AA40" s="66">
        <f>IF(AC39=0,0,AA39/AC39)</f>
        <v>0.14000000000000001</v>
      </c>
      <c r="AB40" s="66">
        <f>IF(AC39=0,0,AB39/AC39)</f>
        <v>0.86</v>
      </c>
      <c r="AC40" s="66">
        <f>IF(AC39=0,0,AC39/AC39)</f>
        <v>1</v>
      </c>
      <c r="AD40" s="66"/>
      <c r="AE40" s="66">
        <f>IF(AG39=0,0,AE39/AG39)</f>
        <v>0</v>
      </c>
      <c r="AF40" s="66">
        <f>IF(AG39=0,0,AF39/AG39)</f>
        <v>0</v>
      </c>
      <c r="AG40" s="66">
        <f>IF(AG39=0,0,AG39/AG39)</f>
        <v>0</v>
      </c>
      <c r="AH40" s="608"/>
      <c r="AI40" s="619">
        <f>IF(AK39=0,0,AI39/AK39)</f>
        <v>0.15555943586299528</v>
      </c>
      <c r="AJ40" s="66">
        <f>IF(AK39=0,0,AJ39/AK39)</f>
        <v>0.84444056413700475</v>
      </c>
      <c r="AK40" s="66">
        <f>IF(AK39=0,0,AK39/AK39)</f>
        <v>1</v>
      </c>
      <c r="AL40" s="66"/>
    </row>
    <row r="41" spans="1:38" ht="16.5" customHeight="1" x14ac:dyDescent="0.25">
      <c r="A41" s="47"/>
      <c r="B41" s="471" t="s">
        <v>15</v>
      </c>
      <c r="C41" s="472" t="s">
        <v>893</v>
      </c>
      <c r="D41" s="269"/>
      <c r="E41" s="269"/>
      <c r="F41" s="270"/>
      <c r="G41" s="425">
        <f>'SUM HH WITH'!G36+'SUM HH WITHOUT'!G36</f>
        <v>63</v>
      </c>
      <c r="H41" s="425">
        <f>'SUM HH WITH'!H36+'SUM HH WITHOUT'!H36</f>
        <v>316</v>
      </c>
      <c r="I41" s="257">
        <f>SUM(G41:H41)</f>
        <v>379</v>
      </c>
      <c r="J41" s="425"/>
      <c r="K41" s="425">
        <f>'SUM HH WITH'!K36+'SUM HH WITHOUT'!K36</f>
        <v>0</v>
      </c>
      <c r="L41" s="425">
        <f>'SUM HH WITH'!L36+'SUM HH WITHOUT'!L36</f>
        <v>0</v>
      </c>
      <c r="M41" s="257">
        <f>SUM(K41:L41)</f>
        <v>0</v>
      </c>
      <c r="N41" s="425"/>
      <c r="O41" s="425">
        <f>'SUM HH WITH'!O36+'SUM HH WITHOUT'!O36</f>
        <v>0</v>
      </c>
      <c r="P41" s="425">
        <f>'SUM HH WITH'!P36+'SUM HH WITHOUT'!P36</f>
        <v>0</v>
      </c>
      <c r="Q41" s="257">
        <f>SUM(O41:P41)</f>
        <v>0</v>
      </c>
      <c r="R41" s="425"/>
      <c r="S41" s="425">
        <f>'SUM HH WITH'!S36+'SUM HH WITHOUT'!S36</f>
        <v>0</v>
      </c>
      <c r="T41" s="425">
        <f>'SUM HH WITH'!T36+'SUM HH WITHOUT'!T36</f>
        <v>0</v>
      </c>
      <c r="U41" s="257">
        <f>SUM(S41:T41)</f>
        <v>0</v>
      </c>
      <c r="V41" s="425"/>
      <c r="W41" s="425">
        <f>'SUM HH WITH'!W36+'SUM HH WITHOUT'!W36</f>
        <v>0</v>
      </c>
      <c r="X41" s="425">
        <f>'SUM HH WITH'!X36+'SUM HH WITHOUT'!X36</f>
        <v>0</v>
      </c>
      <c r="Y41" s="257">
        <f>SUM(W41:X41)</f>
        <v>0</v>
      </c>
      <c r="Z41" s="425"/>
      <c r="AA41" s="425">
        <f>'SUM HH WITH'!AA36+'SUM HH WITHOUT'!AA36</f>
        <v>0</v>
      </c>
      <c r="AB41" s="425">
        <f>'SUM HH WITH'!AB36+'SUM HH WITHOUT'!AB36</f>
        <v>0</v>
      </c>
      <c r="AC41" s="257">
        <f>SUM(AA41:AB41)</f>
        <v>0</v>
      </c>
      <c r="AD41" s="425"/>
      <c r="AE41" s="425">
        <f>'SUM HH WITH'!AE36+'SUM HH WITHOUT'!AE36</f>
        <v>0</v>
      </c>
      <c r="AF41" s="425">
        <f>'SUM HH WITH'!AF36+'SUM HH WITHOUT'!AF36</f>
        <v>0</v>
      </c>
      <c r="AG41" s="257">
        <f>SUM(AE41:AF41)</f>
        <v>0</v>
      </c>
      <c r="AH41" s="611"/>
      <c r="AI41" s="629">
        <f>G41+K41+O41+S41+W41+AA41+AE41</f>
        <v>63</v>
      </c>
      <c r="AJ41" s="425">
        <f>H41+L41+P41+T41+X41+AB41+AF41</f>
        <v>316</v>
      </c>
      <c r="AK41" s="257">
        <f>SUM(AI41:AJ41)</f>
        <v>379</v>
      </c>
      <c r="AL41" s="425"/>
    </row>
    <row r="42" spans="1:38" ht="16.5" customHeight="1" x14ac:dyDescent="0.25">
      <c r="A42" s="102"/>
      <c r="B42" s="102"/>
      <c r="C42" s="464" t="s">
        <v>854</v>
      </c>
      <c r="D42" s="464"/>
      <c r="E42" s="464"/>
      <c r="F42" s="465"/>
      <c r="G42" s="66">
        <f>IF(I41=0,0,G41/I41)</f>
        <v>0.16622691292875991</v>
      </c>
      <c r="H42" s="66">
        <f>IF(J41=0,0,H41/J41)</f>
        <v>0</v>
      </c>
      <c r="I42" s="66">
        <f>IF(I41=0,0,I41/I41)</f>
        <v>1</v>
      </c>
      <c r="J42" s="66"/>
      <c r="K42" s="66">
        <f>IF(M41=0,0,K41/M41)</f>
        <v>0</v>
      </c>
      <c r="L42" s="66">
        <f>IF(N41=0,0,L41/N41)</f>
        <v>0</v>
      </c>
      <c r="M42" s="66">
        <f>IF(M41=0,0,M41/M41)</f>
        <v>0</v>
      </c>
      <c r="N42" s="66"/>
      <c r="O42" s="66">
        <f>IF(Q41=0,0,O41/Q41)</f>
        <v>0</v>
      </c>
      <c r="P42" s="66">
        <f>IF(R41=0,0,P41/R41)</f>
        <v>0</v>
      </c>
      <c r="Q42" s="66">
        <f>IF(Q41=0,0,Q41/Q41)</f>
        <v>0</v>
      </c>
      <c r="R42" s="66"/>
      <c r="S42" s="66">
        <f>IF(U41=0,0,S41/U41)</f>
        <v>0</v>
      </c>
      <c r="T42" s="66">
        <f>IF(V41=0,0,T41/V41)</f>
        <v>0</v>
      </c>
      <c r="U42" s="66">
        <f>IF(U41=0,0,U41/U41)</f>
        <v>0</v>
      </c>
      <c r="V42" s="66"/>
      <c r="W42" s="66">
        <f>IF(Y41=0,0,W41/Y41)</f>
        <v>0</v>
      </c>
      <c r="X42" s="66">
        <f>IF(Z41=0,0,X41/Z41)</f>
        <v>0</v>
      </c>
      <c r="Y42" s="66">
        <f>IF(Y41=0,0,Y41/Y41)</f>
        <v>0</v>
      </c>
      <c r="Z42" s="66"/>
      <c r="AA42" s="66">
        <f>IF(AC41=0,0,AA41/AC41)</f>
        <v>0</v>
      </c>
      <c r="AB42" s="66">
        <f>IF(AD41=0,0,AB41/AD41)</f>
        <v>0</v>
      </c>
      <c r="AC42" s="66">
        <f>IF(AC41=0,0,AC41/AC41)</f>
        <v>0</v>
      </c>
      <c r="AD42" s="66"/>
      <c r="AE42" s="66">
        <f>IF(AG41=0,0,AE41/AG41)</f>
        <v>0</v>
      </c>
      <c r="AF42" s="66">
        <f>IF(AH41=0,0,AF41/AH41)</f>
        <v>0</v>
      </c>
      <c r="AG42" s="66">
        <f>IF(AG41=0,0,AG41/AG41)</f>
        <v>0</v>
      </c>
      <c r="AH42" s="608"/>
      <c r="AI42" s="619">
        <f>IF(AK41=0,0,AI41/AK41)</f>
        <v>0.16622691292875991</v>
      </c>
      <c r="AJ42" s="66">
        <f>IF(AK41=0,0,AJ41/AK41)</f>
        <v>0.83377308707124009</v>
      </c>
      <c r="AK42" s="66">
        <f>IF(AK41=0,0,AK41/AK41)</f>
        <v>1</v>
      </c>
      <c r="AL42" s="66"/>
    </row>
    <row r="43" spans="1:38" ht="16.5" customHeight="1" x14ac:dyDescent="0.25">
      <c r="A43" s="47"/>
      <c r="B43" s="471" t="s">
        <v>856</v>
      </c>
      <c r="C43" s="472" t="s">
        <v>894</v>
      </c>
      <c r="D43" s="269"/>
      <c r="E43" s="269"/>
      <c r="F43" s="270"/>
      <c r="G43" s="425">
        <f>'SUM HH WITH'!G38+'SUM HH WITHOUT'!G38</f>
        <v>9</v>
      </c>
      <c r="H43" s="425">
        <f>'SUM HH WITH'!H38+'SUM HH WITHOUT'!H38</f>
        <v>11</v>
      </c>
      <c r="I43" s="257">
        <f>SUM(G43:H43)</f>
        <v>20</v>
      </c>
      <c r="J43" s="425"/>
      <c r="K43" s="425">
        <f>'SUM HH WITH'!K38+'SUM HH WITHOUT'!K38</f>
        <v>13</v>
      </c>
      <c r="L43" s="425">
        <f>'SUM HH WITH'!L38+'SUM HH WITHOUT'!L38</f>
        <v>17</v>
      </c>
      <c r="M43" s="257">
        <f>SUM(K43:L43)</f>
        <v>30</v>
      </c>
      <c r="N43" s="425"/>
      <c r="O43" s="425">
        <f>'SUM HH WITH'!O38+'SUM HH WITHOUT'!O38</f>
        <v>4</v>
      </c>
      <c r="P43" s="425">
        <f>'SUM HH WITH'!P38+'SUM HH WITHOUT'!P38</f>
        <v>16</v>
      </c>
      <c r="Q43" s="257">
        <f>SUM(O43:P43)</f>
        <v>20</v>
      </c>
      <c r="R43" s="425"/>
      <c r="S43" s="425">
        <f>'SUM HH WITH'!S38+'SUM HH WITHOUT'!S38</f>
        <v>1</v>
      </c>
      <c r="T43" s="425">
        <f>'SUM HH WITH'!T38+'SUM HH WITHOUT'!T38</f>
        <v>22</v>
      </c>
      <c r="U43" s="257">
        <f>SUM(S43:T43)</f>
        <v>23</v>
      </c>
      <c r="V43" s="425"/>
      <c r="W43" s="425">
        <f>'SUM HH WITH'!W38+'SUM HH WITHOUT'!W38</f>
        <v>17</v>
      </c>
      <c r="X43" s="425">
        <f>'SUM HH WITH'!X38+'SUM HH WITHOUT'!X38</f>
        <v>32</v>
      </c>
      <c r="Y43" s="257">
        <f>SUM(W43:X43)</f>
        <v>49</v>
      </c>
      <c r="Z43" s="425"/>
      <c r="AA43" s="425">
        <f>'SUM HH WITH'!AA38+'SUM HH WITHOUT'!AA38</f>
        <v>5</v>
      </c>
      <c r="AB43" s="425">
        <f>'SUM HH WITH'!AB38+'SUM HH WITHOUT'!AB38</f>
        <v>25</v>
      </c>
      <c r="AC43" s="257">
        <f>SUM(AA43:AB43)</f>
        <v>30</v>
      </c>
      <c r="AD43" s="425"/>
      <c r="AE43" s="425">
        <f>'SUM HH WITH'!AE38+'SUM HH WITHOUT'!AE38</f>
        <v>0</v>
      </c>
      <c r="AF43" s="425">
        <f>'SUM HH WITH'!AF38+'SUM HH WITHOUT'!AF38</f>
        <v>0</v>
      </c>
      <c r="AG43" s="257">
        <f>SUM(AE43:AF43)</f>
        <v>0</v>
      </c>
      <c r="AH43" s="611"/>
      <c r="AI43" s="391">
        <f>G43+K43+O43+S43+W43+AA43+AE43</f>
        <v>49</v>
      </c>
      <c r="AJ43" s="17">
        <f>H43+L43+P43+T43+X43+AB43+AF43</f>
        <v>123</v>
      </c>
      <c r="AK43" s="927">
        <f>SUM(AI43:AJ43)</f>
        <v>172</v>
      </c>
      <c r="AL43" s="17"/>
    </row>
    <row r="44" spans="1:38" ht="16.5" customHeight="1" x14ac:dyDescent="0.25">
      <c r="A44" s="102"/>
      <c r="B44" s="102"/>
      <c r="C44" s="464" t="s">
        <v>1455</v>
      </c>
      <c r="D44" s="464"/>
      <c r="E44" s="464"/>
      <c r="F44" s="465"/>
      <c r="G44" s="66">
        <f>IF(I43=0,0,G43/I43)</f>
        <v>0.45</v>
      </c>
      <c r="H44" s="66">
        <f>IF(I43=0,0,H43/I43)</f>
        <v>0.55000000000000004</v>
      </c>
      <c r="I44" s="66">
        <f>IF(I43=0,0,I43/I43)</f>
        <v>1</v>
      </c>
      <c r="J44" s="66"/>
      <c r="K44" s="66">
        <f>IF(M43=0,0,K43/M43)</f>
        <v>0.43333333333333335</v>
      </c>
      <c r="L44" s="66">
        <f>IF(M43=0,0,L43/M43)</f>
        <v>0.56666666666666665</v>
      </c>
      <c r="M44" s="66">
        <f>IF(M43=0,0,M43/M43)</f>
        <v>1</v>
      </c>
      <c r="N44" s="66"/>
      <c r="O44" s="66">
        <f>IF(Q43=0,0,O43/Q43)</f>
        <v>0.2</v>
      </c>
      <c r="P44" s="66">
        <f>IF(Q43=0,0,P43/Q43)</f>
        <v>0.8</v>
      </c>
      <c r="Q44" s="66">
        <f>IF(Q43=0,0,Q43/Q43)</f>
        <v>1</v>
      </c>
      <c r="R44" s="66"/>
      <c r="S44" s="66">
        <f>IF(U43=0,0,S43/U43)</f>
        <v>4.3478260869565216E-2</v>
      </c>
      <c r="T44" s="66">
        <f>IF(U43=0,0,T43/U43)</f>
        <v>0.95652173913043481</v>
      </c>
      <c r="U44" s="66">
        <f>IF(U43=0,0,U43/U43)</f>
        <v>1</v>
      </c>
      <c r="V44" s="66"/>
      <c r="W44" s="66">
        <f>IF(Y43=0,0,W43/Y43)</f>
        <v>0.34693877551020408</v>
      </c>
      <c r="X44" s="66">
        <f>IF(Y43=0,0,X43/Y43)</f>
        <v>0.65306122448979587</v>
      </c>
      <c r="Y44" s="66">
        <f>IF(Y43=0,0,Y43/Y43)</f>
        <v>1</v>
      </c>
      <c r="Z44" s="66"/>
      <c r="AA44" s="66">
        <f>IF(AC43=0,0,AA43/AC43)</f>
        <v>0.16666666666666666</v>
      </c>
      <c r="AB44" s="66">
        <f>IF(AC43=0,0,AB43/AC43)</f>
        <v>0.83333333333333337</v>
      </c>
      <c r="AC44" s="66">
        <f>IF(AC43=0,0,AC43/AC43)</f>
        <v>1</v>
      </c>
      <c r="AD44" s="66"/>
      <c r="AE44" s="66">
        <f>IF(AG43=0,0,AE43/AG43)</f>
        <v>0</v>
      </c>
      <c r="AF44" s="66">
        <f>IF(AG43=0,0,AF43/AG43)</f>
        <v>0</v>
      </c>
      <c r="AG44" s="66">
        <f>IF(AG43=0,0,AG43/AG43)</f>
        <v>0</v>
      </c>
      <c r="AH44" s="608"/>
      <c r="AI44" s="619">
        <f>IF(AK43=0,0,AI43/AK43)</f>
        <v>0.28488372093023256</v>
      </c>
      <c r="AJ44" s="66">
        <f>IF(AK43=0,0,AJ43/AK43)</f>
        <v>0.71511627906976749</v>
      </c>
      <c r="AK44" s="66">
        <f>IF(AK43=0,0,AK43/AK43)</f>
        <v>1</v>
      </c>
      <c r="AL44" s="66"/>
    </row>
    <row r="45" spans="1:38" s="97" customFormat="1" ht="16.5" customHeight="1" x14ac:dyDescent="0.25">
      <c r="A45" s="68"/>
      <c r="B45" s="68"/>
      <c r="C45" s="68"/>
      <c r="D45" s="166"/>
      <c r="E45" s="458"/>
      <c r="F45" s="458"/>
      <c r="G45" s="466"/>
      <c r="H45" s="466"/>
      <c r="I45" s="466"/>
      <c r="J45" s="466"/>
      <c r="K45" s="466"/>
      <c r="L45" s="466"/>
      <c r="M45" s="466"/>
      <c r="N45" s="466"/>
      <c r="O45" s="466"/>
      <c r="P45" s="466"/>
      <c r="Q45" s="466"/>
      <c r="R45" s="466"/>
      <c r="S45" s="466"/>
      <c r="T45" s="466"/>
      <c r="U45" s="466"/>
      <c r="V45" s="466"/>
      <c r="W45" s="466"/>
      <c r="X45" s="466"/>
      <c r="Y45" s="466"/>
      <c r="Z45" s="466"/>
      <c r="AA45" s="466"/>
      <c r="AB45" s="466"/>
      <c r="AC45" s="466"/>
      <c r="AD45" s="466"/>
      <c r="AE45" s="466"/>
      <c r="AF45" s="466"/>
      <c r="AG45" s="466"/>
      <c r="AH45" s="466"/>
      <c r="AI45" s="466"/>
      <c r="AJ45" s="466"/>
      <c r="AK45" s="466"/>
      <c r="AL45" s="466"/>
    </row>
    <row r="46" spans="1:38" s="456" customFormat="1" ht="16.5" customHeight="1" thickBot="1" x14ac:dyDescent="0.3">
      <c r="A46" s="24" t="s">
        <v>20</v>
      </c>
      <c r="B46" s="453" t="s">
        <v>21</v>
      </c>
      <c r="C46" s="26"/>
      <c r="D46" s="454"/>
      <c r="E46" s="454"/>
      <c r="F46" s="455"/>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606"/>
      <c r="AI46" s="630"/>
      <c r="AJ46" s="24"/>
      <c r="AK46" s="24"/>
      <c r="AL46" s="24"/>
    </row>
    <row r="47" spans="1:38" ht="16.5" customHeight="1" x14ac:dyDescent="0.25">
      <c r="A47" s="47"/>
      <c r="B47" s="471" t="s">
        <v>22</v>
      </c>
      <c r="C47" s="472" t="s">
        <v>23</v>
      </c>
      <c r="D47" s="269"/>
      <c r="E47" s="269"/>
      <c r="F47" s="270"/>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72"/>
      <c r="AE47" s="272"/>
      <c r="AF47" s="272"/>
      <c r="AG47" s="272"/>
      <c r="AH47" s="610"/>
      <c r="AI47" s="631"/>
      <c r="AJ47" s="272"/>
      <c r="AK47" s="272"/>
      <c r="AL47" s="272"/>
    </row>
    <row r="48" spans="1:38" s="117" customFormat="1" ht="16.5" customHeight="1" x14ac:dyDescent="0.25">
      <c r="A48" s="253"/>
      <c r="B48" s="253"/>
      <c r="C48" s="103" t="s">
        <v>631</v>
      </c>
      <c r="D48" s="313" t="s">
        <v>658</v>
      </c>
      <c r="E48" s="108"/>
      <c r="F48" s="58"/>
      <c r="G48" s="512"/>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612"/>
      <c r="AI48" s="380"/>
      <c r="AJ48" s="111"/>
      <c r="AK48" s="111"/>
      <c r="AL48" s="111"/>
    </row>
    <row r="49" spans="1:38" s="117" customFormat="1" ht="16.5" customHeight="1" x14ac:dyDescent="0.25">
      <c r="A49" s="253"/>
      <c r="B49" s="253"/>
      <c r="C49" s="253"/>
      <c r="D49" s="120" t="s">
        <v>632</v>
      </c>
      <c r="E49" s="58" t="s">
        <v>659</v>
      </c>
      <c r="F49" s="58"/>
      <c r="G49" s="425">
        <f>'SUM HH WITH'!$G$44+'SUM HH WITHOUT'!$G$44</f>
        <v>1</v>
      </c>
      <c r="H49" s="425">
        <f>'SUM HH WITH'!$H$44+'SUM HH WITHOUT'!$H$44</f>
        <v>3</v>
      </c>
      <c r="I49" s="257">
        <f>SUM(G49:H49)</f>
        <v>4</v>
      </c>
      <c r="J49" s="91">
        <f>IF(I$52=0,0,I49/I$52)</f>
        <v>0.2</v>
      </c>
      <c r="K49" s="425">
        <f>'SUM HH WITH'!$K$44+'SUM HH WITHOUT'!$K$44</f>
        <v>4</v>
      </c>
      <c r="L49" s="425">
        <f>'SUM HH WITH'!$L$44+'SUM HH WITHOUT'!$L$44</f>
        <v>7</v>
      </c>
      <c r="M49" s="257">
        <f>SUM(K49:L49)</f>
        <v>11</v>
      </c>
      <c r="N49" s="91">
        <f>IF(M$52=0,0,M49/M$52)</f>
        <v>0.36666666666666664</v>
      </c>
      <c r="O49" s="425">
        <f>'SUM HH WITH'!$O$44+'SUM HH WITHOUT'!$O$44</f>
        <v>0</v>
      </c>
      <c r="P49" s="425">
        <f>'SUM HH WITH'!$P$44+'SUM HH WITHOUT'!$P$44</f>
        <v>1</v>
      </c>
      <c r="Q49" s="257">
        <f>SUM(O49:P49)</f>
        <v>1</v>
      </c>
      <c r="R49" s="91">
        <f>IF(Q$52=0,0,Q49/Q$52)</f>
        <v>0.05</v>
      </c>
      <c r="S49" s="425">
        <f>'SUM HH WITH'!$S$44+'SUM HH WITHOUT'!$S$44</f>
        <v>1</v>
      </c>
      <c r="T49" s="425">
        <f>'SUM HH WITH'!$T$44+'SUM HH WITHOUT'!$T$44</f>
        <v>15</v>
      </c>
      <c r="U49" s="257">
        <f>SUM(S49:T49)</f>
        <v>16</v>
      </c>
      <c r="V49" s="91">
        <f>IF(U$52=0,0,U49/U$52)</f>
        <v>0.69565217391304346</v>
      </c>
      <c r="W49" s="425">
        <f>'SUM HH WITH'!$W$44+'SUM HH WITHOUT'!$W$44</f>
        <v>7</v>
      </c>
      <c r="X49" s="425">
        <f>'SUM HH WITH'!$X$44+'SUM HH WITHOUT'!$X$44</f>
        <v>7</v>
      </c>
      <c r="Y49" s="257">
        <f>SUM(W49:X49)</f>
        <v>14</v>
      </c>
      <c r="Z49" s="91">
        <f>IF(Y$52=0,0,Y49/Y$52)</f>
        <v>0.2857142857142857</v>
      </c>
      <c r="AA49" s="425">
        <f>'SUM HH WITH'!$AA$44+'SUM HH WITHOUT'!$AA$44</f>
        <v>0</v>
      </c>
      <c r="AB49" s="425">
        <f>'SUM HH WITH'!$AB$44+'SUM HH WITHOUT'!$AB$44</f>
        <v>10</v>
      </c>
      <c r="AC49" s="257">
        <f>SUM(AA49:AB49)</f>
        <v>10</v>
      </c>
      <c r="AD49" s="91">
        <f>IF(AC$52=0,0,AC49/AC$52)</f>
        <v>0.33333333333333331</v>
      </c>
      <c r="AE49" s="425">
        <f>'SUM HH WITH'!$AE$44+'SUM HH WITHOUT'!$AE$44</f>
        <v>0</v>
      </c>
      <c r="AF49" s="425">
        <f>'SUM HH WITH'!$AF$44+'SUM HH WITHOUT'!$AF$44</f>
        <v>0</v>
      </c>
      <c r="AG49" s="257">
        <f>SUM(AE49:AF49)</f>
        <v>0</v>
      </c>
      <c r="AH49" s="373">
        <f>IF(AG$52=0,0,AG49/AG$52)</f>
        <v>0</v>
      </c>
      <c r="AI49" s="391">
        <f t="shared" ref="AI49:AJ51" si="71">G49+K49+O49+S49+W49+AA49+AE49</f>
        <v>13</v>
      </c>
      <c r="AJ49" s="17">
        <f t="shared" si="71"/>
        <v>43</v>
      </c>
      <c r="AK49" s="927">
        <f t="shared" ref="AK49:AK51" si="72">SUM(AI49:AJ49)</f>
        <v>56</v>
      </c>
      <c r="AL49" s="91">
        <f>IF(AK$52=0,0,AK49/AK$52)</f>
        <v>0.32558139534883723</v>
      </c>
    </row>
    <row r="50" spans="1:38" s="117" customFormat="1" ht="16.5" customHeight="1" x14ac:dyDescent="0.25">
      <c r="A50" s="253"/>
      <c r="B50" s="253"/>
      <c r="C50" s="253"/>
      <c r="D50" s="120" t="s">
        <v>633</v>
      </c>
      <c r="E50" s="58" t="s">
        <v>634</v>
      </c>
      <c r="F50" s="58"/>
      <c r="G50" s="425">
        <f>'SUM HH WITH'!$G$45+'SUM HH WITHOUT'!$G$45</f>
        <v>6</v>
      </c>
      <c r="H50" s="425">
        <f>'SUM HH WITH'!$H$45+'SUM HH WITHOUT'!$H$45</f>
        <v>2</v>
      </c>
      <c r="I50" s="257">
        <f t="shared" ref="I50:I51" si="73">SUM(G50:H50)</f>
        <v>8</v>
      </c>
      <c r="J50" s="91">
        <f t="shared" ref="J50:J52" si="74">IF(I$52=0,0,I50/I$52)</f>
        <v>0.4</v>
      </c>
      <c r="K50" s="425">
        <f>'SUM HH WITH'!$K$45+'SUM HH WITHOUT'!$K$45</f>
        <v>9</v>
      </c>
      <c r="L50" s="425">
        <f>'SUM HH WITH'!$L$45+'SUM HH WITHOUT'!$L$45</f>
        <v>10</v>
      </c>
      <c r="M50" s="257">
        <f t="shared" ref="M50:M51" si="75">SUM(K50:L50)</f>
        <v>19</v>
      </c>
      <c r="N50" s="91">
        <f t="shared" ref="N50:N52" si="76">IF(M$52=0,0,M50/M$52)</f>
        <v>0.6333333333333333</v>
      </c>
      <c r="O50" s="425">
        <f>'SUM HH WITH'!$O$45+'SUM HH WITHOUT'!$O$45</f>
        <v>0</v>
      </c>
      <c r="P50" s="425">
        <f>'SUM HH WITH'!$P$45+'SUM HH WITHOUT'!$P$45</f>
        <v>9</v>
      </c>
      <c r="Q50" s="257">
        <f t="shared" ref="Q50:Q51" si="77">SUM(O50:P50)</f>
        <v>9</v>
      </c>
      <c r="R50" s="91">
        <f t="shared" ref="R50:R52" si="78">IF(Q$52=0,0,Q50/Q$52)</f>
        <v>0.45</v>
      </c>
      <c r="S50" s="425">
        <f>'SUM HH WITH'!$S$45+'SUM HH WITHOUT'!$S$45</f>
        <v>0</v>
      </c>
      <c r="T50" s="425">
        <f>'SUM HH WITH'!$T$45+'SUM HH WITHOUT'!$T$45</f>
        <v>7</v>
      </c>
      <c r="U50" s="257">
        <f t="shared" ref="U50:U51" si="79">SUM(S50:T50)</f>
        <v>7</v>
      </c>
      <c r="V50" s="91">
        <f t="shared" ref="V50:V52" si="80">IF(U$52=0,0,U50/U$52)</f>
        <v>0.30434782608695654</v>
      </c>
      <c r="W50" s="425">
        <f>'SUM HH WITH'!$W$45+'SUM HH WITHOUT'!$W$45</f>
        <v>9</v>
      </c>
      <c r="X50" s="425">
        <f>'SUM HH WITH'!$X$45+'SUM HH WITHOUT'!$X$45</f>
        <v>12</v>
      </c>
      <c r="Y50" s="257">
        <f t="shared" ref="Y50:Y51" si="81">SUM(W50:X50)</f>
        <v>21</v>
      </c>
      <c r="Z50" s="91">
        <f t="shared" ref="Z50:Z52" si="82">IF(Y$52=0,0,Y50/Y$52)</f>
        <v>0.42857142857142855</v>
      </c>
      <c r="AA50" s="425">
        <f>'SUM HH WITH'!$AA$45+'SUM HH WITHOUT'!$AA$45</f>
        <v>5</v>
      </c>
      <c r="AB50" s="425">
        <f>'SUM HH WITH'!$AB$45+'SUM HH WITHOUT'!$AB$45</f>
        <v>15</v>
      </c>
      <c r="AC50" s="257">
        <f t="shared" ref="AC50:AC51" si="83">SUM(AA50:AB50)</f>
        <v>20</v>
      </c>
      <c r="AD50" s="91">
        <f t="shared" ref="AD50:AD52" si="84">IF(AC$52=0,0,AC50/AC$52)</f>
        <v>0.66666666666666663</v>
      </c>
      <c r="AE50" s="425">
        <f>'SUM HH WITH'!$AE$45+'SUM HH WITHOUT'!$AE$45</f>
        <v>0</v>
      </c>
      <c r="AF50" s="425">
        <f>'SUM HH WITH'!$AF$45+'SUM HH WITHOUT'!$AF$45</f>
        <v>0</v>
      </c>
      <c r="AG50" s="257">
        <f t="shared" ref="AG50:AG51" si="85">SUM(AE50:AF50)</f>
        <v>0</v>
      </c>
      <c r="AH50" s="373">
        <f t="shared" ref="AH50:AH52" si="86">IF(AG$52=0,0,AG50/AG$52)</f>
        <v>0</v>
      </c>
      <c r="AI50" s="391">
        <f t="shared" si="71"/>
        <v>29</v>
      </c>
      <c r="AJ50" s="17">
        <f t="shared" si="71"/>
        <v>55</v>
      </c>
      <c r="AK50" s="927">
        <f t="shared" si="72"/>
        <v>84</v>
      </c>
      <c r="AL50" s="91">
        <f t="shared" ref="AL50:AL52" si="87">IF(AK$52=0,0,AK50/AK$52)</f>
        <v>0.48837209302325579</v>
      </c>
    </row>
    <row r="51" spans="1:38" s="117" customFormat="1" ht="16.5" customHeight="1" x14ac:dyDescent="0.25">
      <c r="A51" s="253"/>
      <c r="B51" s="253"/>
      <c r="C51" s="253"/>
      <c r="D51" s="120" t="s">
        <v>744</v>
      </c>
      <c r="E51" s="58" t="s">
        <v>745</v>
      </c>
      <c r="F51" s="58"/>
      <c r="G51" s="425">
        <f>'SUM HH WITH'!$G$46+'SUM HH WITHOUT'!$G$46</f>
        <v>2</v>
      </c>
      <c r="H51" s="425">
        <f>'SUM HH WITH'!$H$46+'SUM HH WITHOUT'!$H$46</f>
        <v>6</v>
      </c>
      <c r="I51" s="257">
        <f t="shared" si="73"/>
        <v>8</v>
      </c>
      <c r="J51" s="91">
        <f t="shared" si="74"/>
        <v>0.4</v>
      </c>
      <c r="K51" s="425">
        <f>'SUM HH WITH'!$K$46+'SUM HH WITHOUT'!$K$46</f>
        <v>0</v>
      </c>
      <c r="L51" s="425">
        <f>'SUM HH WITH'!$L$46+'SUM HH WITHOUT'!$L$46</f>
        <v>0</v>
      </c>
      <c r="M51" s="257">
        <f t="shared" si="75"/>
        <v>0</v>
      </c>
      <c r="N51" s="91">
        <f t="shared" si="76"/>
        <v>0</v>
      </c>
      <c r="O51" s="425">
        <f>'SUM HH WITH'!$O$46+'SUM HH WITHOUT'!$O$46</f>
        <v>4</v>
      </c>
      <c r="P51" s="425">
        <f>'SUM HH WITH'!$P$46+'SUM HH WITHOUT'!$P$46</f>
        <v>6</v>
      </c>
      <c r="Q51" s="257">
        <f t="shared" si="77"/>
        <v>10</v>
      </c>
      <c r="R51" s="91">
        <f t="shared" si="78"/>
        <v>0.5</v>
      </c>
      <c r="S51" s="425">
        <f>'SUM HH WITH'!$S$46+'SUM HH WITHOUT'!$S$46</f>
        <v>0</v>
      </c>
      <c r="T51" s="425">
        <f>'SUM HH WITH'!$T$46+'SUM HH WITHOUT'!$T$46</f>
        <v>0</v>
      </c>
      <c r="U51" s="257">
        <f t="shared" si="79"/>
        <v>0</v>
      </c>
      <c r="V51" s="91">
        <f t="shared" si="80"/>
        <v>0</v>
      </c>
      <c r="W51" s="425">
        <f>'SUM HH WITH'!$W$46+'SUM HH WITHOUT'!$W$46</f>
        <v>1</v>
      </c>
      <c r="X51" s="425">
        <f>'SUM HH WITH'!$X$46+'SUM HH WITHOUT'!$X$46</f>
        <v>13</v>
      </c>
      <c r="Y51" s="257">
        <f t="shared" si="81"/>
        <v>14</v>
      </c>
      <c r="Z51" s="91">
        <f t="shared" si="82"/>
        <v>0.2857142857142857</v>
      </c>
      <c r="AA51" s="425">
        <f>'SUM HH WITH'!$AA$46+'SUM HH WITHOUT'!$AA$46</f>
        <v>0</v>
      </c>
      <c r="AB51" s="425">
        <f>'SUM HH WITH'!$AB$46+'SUM HH WITHOUT'!$AB$46</f>
        <v>0</v>
      </c>
      <c r="AC51" s="257">
        <f t="shared" si="83"/>
        <v>0</v>
      </c>
      <c r="AD51" s="91">
        <f t="shared" si="84"/>
        <v>0</v>
      </c>
      <c r="AE51" s="425">
        <f>'SUM HH WITH'!$AE$46+'SUM HH WITHOUT'!$AE$46</f>
        <v>0</v>
      </c>
      <c r="AF51" s="425">
        <f>'SUM HH WITH'!$AF$46+'SUM HH WITHOUT'!$AF$46</f>
        <v>0</v>
      </c>
      <c r="AG51" s="257">
        <f t="shared" si="85"/>
        <v>0</v>
      </c>
      <c r="AH51" s="373">
        <f t="shared" si="86"/>
        <v>0</v>
      </c>
      <c r="AI51" s="391">
        <f t="shared" si="71"/>
        <v>7</v>
      </c>
      <c r="AJ51" s="17">
        <f t="shared" si="71"/>
        <v>25</v>
      </c>
      <c r="AK51" s="927">
        <f t="shared" si="72"/>
        <v>32</v>
      </c>
      <c r="AL51" s="91">
        <f t="shared" si="87"/>
        <v>0.18604651162790697</v>
      </c>
    </row>
    <row r="52" spans="1:38" ht="16.5" customHeight="1" x14ac:dyDescent="0.25">
      <c r="A52" s="40"/>
      <c r="B52" s="179"/>
      <c r="C52" s="253"/>
      <c r="D52" s="134"/>
      <c r="E52" s="184"/>
      <c r="F52" s="469"/>
      <c r="G52" s="82">
        <f>SUM(G49:G51)</f>
        <v>9</v>
      </c>
      <c r="H52" s="82">
        <f>SUM(H49:H51)</f>
        <v>11</v>
      </c>
      <c r="I52" s="82">
        <f t="shared" ref="I52:AK52" si="88">SUM(I49:I51)</f>
        <v>20</v>
      </c>
      <c r="J52" s="66">
        <f t="shared" si="74"/>
        <v>1</v>
      </c>
      <c r="K52" s="82">
        <f>SUM(K49:K51)</f>
        <v>13</v>
      </c>
      <c r="L52" s="82">
        <f>SUM(L49:L51)</f>
        <v>17</v>
      </c>
      <c r="M52" s="82">
        <f t="shared" ref="M52" si="89">SUM(M49:M51)</f>
        <v>30</v>
      </c>
      <c r="N52" s="66">
        <f t="shared" si="76"/>
        <v>1</v>
      </c>
      <c r="O52" s="82">
        <f>SUM(O49:O51)</f>
        <v>4</v>
      </c>
      <c r="P52" s="82">
        <f>SUM(P49:P51)</f>
        <v>16</v>
      </c>
      <c r="Q52" s="82">
        <f t="shared" ref="Q52" si="90">SUM(Q49:Q51)</f>
        <v>20</v>
      </c>
      <c r="R52" s="66">
        <f t="shared" si="78"/>
        <v>1</v>
      </c>
      <c r="S52" s="82">
        <f>SUM(S49:S51)</f>
        <v>1</v>
      </c>
      <c r="T52" s="82">
        <f>SUM(T49:T51)</f>
        <v>22</v>
      </c>
      <c r="U52" s="82">
        <f t="shared" ref="U52" si="91">SUM(U49:U51)</f>
        <v>23</v>
      </c>
      <c r="V52" s="66">
        <f t="shared" si="80"/>
        <v>1</v>
      </c>
      <c r="W52" s="82">
        <f>SUM(W49:W51)</f>
        <v>17</v>
      </c>
      <c r="X52" s="82">
        <f>SUM(X49:X51)</f>
        <v>32</v>
      </c>
      <c r="Y52" s="82">
        <f t="shared" ref="Y52" si="92">SUM(Y49:Y51)</f>
        <v>49</v>
      </c>
      <c r="Z52" s="66">
        <f t="shared" si="82"/>
        <v>1</v>
      </c>
      <c r="AA52" s="82">
        <f>SUM(AA49:AA51)</f>
        <v>5</v>
      </c>
      <c r="AB52" s="82">
        <f>SUM(AB49:AB51)</f>
        <v>25</v>
      </c>
      <c r="AC52" s="82">
        <f t="shared" ref="AC52" si="93">SUM(AC49:AC51)</f>
        <v>30</v>
      </c>
      <c r="AD52" s="66">
        <f t="shared" si="84"/>
        <v>1</v>
      </c>
      <c r="AE52" s="82">
        <f>SUM(AE49:AE51)</f>
        <v>0</v>
      </c>
      <c r="AF52" s="82">
        <f>SUM(AF49:AF51)</f>
        <v>0</v>
      </c>
      <c r="AG52" s="82">
        <f t="shared" ref="AG52" si="94">SUM(AG49:AG51)</f>
        <v>0</v>
      </c>
      <c r="AH52" s="608">
        <f t="shared" si="86"/>
        <v>0</v>
      </c>
      <c r="AI52" s="381">
        <f t="shared" si="88"/>
        <v>49</v>
      </c>
      <c r="AJ52" s="82">
        <f t="shared" si="88"/>
        <v>123</v>
      </c>
      <c r="AK52" s="82">
        <f t="shared" si="88"/>
        <v>172</v>
      </c>
      <c r="AL52" s="66">
        <f t="shared" si="87"/>
        <v>1</v>
      </c>
    </row>
    <row r="53" spans="1:38" s="117" customFormat="1" ht="16.5" customHeight="1" x14ac:dyDescent="0.25">
      <c r="A53" s="253"/>
      <c r="B53" s="253"/>
      <c r="C53" s="103" t="s">
        <v>24</v>
      </c>
      <c r="D53" s="313" t="s">
        <v>373</v>
      </c>
      <c r="E53" s="108"/>
      <c r="F53" s="58"/>
      <c r="G53" s="512"/>
      <c r="H53" s="512"/>
      <c r="I53" s="512"/>
      <c r="J53" s="512"/>
      <c r="K53" s="512"/>
      <c r="L53" s="512"/>
      <c r="M53" s="512"/>
      <c r="N53" s="512"/>
      <c r="O53" s="512"/>
      <c r="P53" s="512"/>
      <c r="Q53" s="512"/>
      <c r="R53" s="512"/>
      <c r="S53" s="512"/>
      <c r="T53" s="512"/>
      <c r="U53" s="512"/>
      <c r="V53" s="512"/>
      <c r="W53" s="512"/>
      <c r="X53" s="512"/>
      <c r="Y53" s="512"/>
      <c r="Z53" s="512"/>
      <c r="AA53" s="512"/>
      <c r="AB53" s="512"/>
      <c r="AC53" s="512"/>
      <c r="AD53" s="512"/>
      <c r="AE53" s="512"/>
      <c r="AF53" s="512"/>
      <c r="AG53" s="512"/>
      <c r="AH53" s="612"/>
      <c r="AI53" s="380"/>
      <c r="AJ53" s="111"/>
      <c r="AK53" s="111"/>
      <c r="AL53" s="111"/>
    </row>
    <row r="54" spans="1:38" ht="16.5" customHeight="1" x14ac:dyDescent="0.25">
      <c r="A54" s="40"/>
      <c r="B54" s="40"/>
      <c r="C54" s="23"/>
      <c r="D54" s="473" t="s">
        <v>25</v>
      </c>
      <c r="E54" s="562" t="s">
        <v>384</v>
      </c>
      <c r="F54" s="105"/>
      <c r="G54" s="425">
        <f>'SUM HH WITH'!$G$49+'SUM HH WITHOUT'!$G$49</f>
        <v>0</v>
      </c>
      <c r="H54" s="425">
        <f>'SUM HH WITH'!$H$49+'SUM HH WITHOUT'!$H$49</f>
        <v>1</v>
      </c>
      <c r="I54" s="257">
        <f>SUM(G54:H54)</f>
        <v>1</v>
      </c>
      <c r="J54" s="91">
        <f>IF(I$68=0,0,I54/I$68)</f>
        <v>2.6385224274406332E-3</v>
      </c>
      <c r="K54" s="425">
        <f>'SUM HH WITH'!$K$49+'SUM HH WITHOUT'!$K$49</f>
        <v>0</v>
      </c>
      <c r="L54" s="425">
        <f>'SUM HH WITH'!$L$49+'SUM HH WITHOUT'!$L$49</f>
        <v>0</v>
      </c>
      <c r="M54" s="257">
        <f>SUM(K54:L54)</f>
        <v>0</v>
      </c>
      <c r="N54" s="91">
        <f>IF(M$68=0,0,M54/M$68)</f>
        <v>0</v>
      </c>
      <c r="O54" s="425">
        <f>'SUM HH WITH'!$O$49+'SUM HH WITHOUT'!$O$49</f>
        <v>0</v>
      </c>
      <c r="P54" s="425">
        <f>'SUM HH WITH'!$P$49+'SUM HH WITHOUT'!$P$49</f>
        <v>0</v>
      </c>
      <c r="Q54" s="257">
        <f>SUM(O54:P54)</f>
        <v>0</v>
      </c>
      <c r="R54" s="91">
        <f>IF(Q$68=0,0,Q54/Q$68)</f>
        <v>0</v>
      </c>
      <c r="S54" s="425">
        <f>'SUM HH WITH'!$S$49+'SUM HH WITHOUT'!$S$49</f>
        <v>0</v>
      </c>
      <c r="T54" s="425">
        <f>'SUM HH WITH'!$T$49+'SUM HH WITHOUT'!$T$49</f>
        <v>0</v>
      </c>
      <c r="U54" s="257">
        <f>SUM(S54:T54)</f>
        <v>0</v>
      </c>
      <c r="V54" s="91">
        <f>IF(U$68=0,0,U54/U$68)</f>
        <v>0</v>
      </c>
      <c r="W54" s="425">
        <f>'SUM HH WITH'!$W$49+'SUM HH WITHOUT'!$W$49</f>
        <v>0</v>
      </c>
      <c r="X54" s="425">
        <f>'SUM HH WITH'!$X$49+'SUM HH WITHOUT'!$X$49</f>
        <v>0</v>
      </c>
      <c r="Y54" s="257">
        <f>SUM(W54:X54)</f>
        <v>0</v>
      </c>
      <c r="Z54" s="91">
        <f>IF(Y$68=0,0,Y54/Y$68)</f>
        <v>0</v>
      </c>
      <c r="AA54" s="425">
        <f>'SUM HH WITH'!$AA$49+'SUM HH WITHOUT'!$AA$49</f>
        <v>0</v>
      </c>
      <c r="AB54" s="425">
        <f>'SUM HH WITH'!$AB$49+'SUM HH WITHOUT'!$AB$49</f>
        <v>0</v>
      </c>
      <c r="AC54" s="257">
        <f>SUM(AA54:AB54)</f>
        <v>0</v>
      </c>
      <c r="AD54" s="91">
        <f>IF(AC$68=0,0,AC54/AC$68)</f>
        <v>0</v>
      </c>
      <c r="AE54" s="425">
        <f>'SUM HH WITH'!$AE$49+'SUM HH WITHOUT'!$AE$49</f>
        <v>0</v>
      </c>
      <c r="AF54" s="425">
        <f>'SUM HH WITH'!$AF$49+'SUM HH WITHOUT'!$AF$49</f>
        <v>0</v>
      </c>
      <c r="AG54" s="257">
        <f>SUM(AE54:AF54)</f>
        <v>0</v>
      </c>
      <c r="AH54" s="373">
        <f>IF(AG$68=0,0,AG54/AG$68)</f>
        <v>0</v>
      </c>
      <c r="AI54" s="391">
        <f t="shared" ref="AI54:AJ67" si="95">G54+K54+O54+S54+W54+AA54+AE54</f>
        <v>0</v>
      </c>
      <c r="AJ54" s="17">
        <f t="shared" si="95"/>
        <v>1</v>
      </c>
      <c r="AK54" s="927">
        <f t="shared" ref="AK54:AK67" si="96">SUM(AI54:AJ54)</f>
        <v>1</v>
      </c>
      <c r="AL54" s="91">
        <f>IF(AK$68=0,0,AK54/AK$68)</f>
        <v>2.6385224274406332E-3</v>
      </c>
    </row>
    <row r="55" spans="1:38" ht="16.5" customHeight="1" x14ac:dyDescent="0.25">
      <c r="A55" s="40"/>
      <c r="B55" s="40"/>
      <c r="C55" s="23"/>
      <c r="D55" s="473" t="s">
        <v>27</v>
      </c>
      <c r="E55" s="562" t="s">
        <v>385</v>
      </c>
      <c r="F55" s="105"/>
      <c r="G55" s="425">
        <f>'SUM HH WITH'!$G$50+'SUM HH WITHOUT'!$G$50</f>
        <v>0</v>
      </c>
      <c r="H55" s="425">
        <f>'SUM HH WITH'!$H$50+'SUM HH WITHOUT'!$H$50</f>
        <v>0</v>
      </c>
      <c r="I55" s="257">
        <f t="shared" ref="I55:I67" si="97">SUM(G55:H55)</f>
        <v>0</v>
      </c>
      <c r="J55" s="91">
        <f t="shared" ref="J55:J68" si="98">IF(I$68=0,0,I55/I$68)</f>
        <v>0</v>
      </c>
      <c r="K55" s="425">
        <f>'SUM HH WITH'!$K$50+'SUM HH WITHOUT'!$K$50</f>
        <v>0</v>
      </c>
      <c r="L55" s="425">
        <f>'SUM HH WITH'!$L$50+'SUM HH WITHOUT'!$L$50</f>
        <v>0</v>
      </c>
      <c r="M55" s="257">
        <f t="shared" ref="M55:M67" si="99">SUM(K55:L55)</f>
        <v>0</v>
      </c>
      <c r="N55" s="91">
        <f t="shared" ref="N55:N68" si="100">IF(M$68=0,0,M55/M$68)</f>
        <v>0</v>
      </c>
      <c r="O55" s="425">
        <f>'SUM HH WITH'!$O$50+'SUM HH WITHOUT'!$O$50</f>
        <v>0</v>
      </c>
      <c r="P55" s="425">
        <f>'SUM HH WITH'!$P$50+'SUM HH WITHOUT'!$P$50</f>
        <v>0</v>
      </c>
      <c r="Q55" s="257">
        <f t="shared" ref="Q55:Q67" si="101">SUM(O55:P55)</f>
        <v>0</v>
      </c>
      <c r="R55" s="91">
        <f t="shared" ref="R55:R68" si="102">IF(Q$68=0,0,Q55/Q$68)</f>
        <v>0</v>
      </c>
      <c r="S55" s="425">
        <f>'SUM HH WITH'!$S$50+'SUM HH WITHOUT'!$S$50</f>
        <v>0</v>
      </c>
      <c r="T55" s="425">
        <f>'SUM HH WITH'!$T$50+'SUM HH WITHOUT'!$T$50</f>
        <v>0</v>
      </c>
      <c r="U55" s="257">
        <f t="shared" ref="U55:U67" si="103">SUM(S55:T55)</f>
        <v>0</v>
      </c>
      <c r="V55" s="91">
        <f t="shared" ref="V55:V68" si="104">IF(U$68=0,0,U55/U$68)</f>
        <v>0</v>
      </c>
      <c r="W55" s="425">
        <f>'SUM HH WITH'!$W$50+'SUM HH WITHOUT'!$W$50</f>
        <v>0</v>
      </c>
      <c r="X55" s="425">
        <f>'SUM HH WITH'!$X$50+'SUM HH WITHOUT'!$X$50</f>
        <v>0</v>
      </c>
      <c r="Y55" s="257">
        <f t="shared" ref="Y55:Y67" si="105">SUM(W55:X55)</f>
        <v>0</v>
      </c>
      <c r="Z55" s="91">
        <f t="shared" ref="Z55:Z68" si="106">IF(Y$68=0,0,Y55/Y$68)</f>
        <v>0</v>
      </c>
      <c r="AA55" s="425">
        <f>'SUM HH WITH'!$AA$50+'SUM HH WITHOUT'!$AA$50</f>
        <v>0</v>
      </c>
      <c r="AB55" s="425">
        <f>'SUM HH WITH'!$AB$50+'SUM HH WITHOUT'!$AB$50</f>
        <v>0</v>
      </c>
      <c r="AC55" s="257">
        <f t="shared" ref="AC55:AC67" si="107">SUM(AA55:AB55)</f>
        <v>0</v>
      </c>
      <c r="AD55" s="91">
        <f t="shared" ref="AD55:AD68" si="108">IF(AC$68=0,0,AC55/AC$68)</f>
        <v>0</v>
      </c>
      <c r="AE55" s="425">
        <f>'SUM HH WITH'!$AE$50+'SUM HH WITHOUT'!$AE$50</f>
        <v>0</v>
      </c>
      <c r="AF55" s="425">
        <f>'SUM HH WITH'!$AF$50+'SUM HH WITHOUT'!$AF$50</f>
        <v>0</v>
      </c>
      <c r="AG55" s="257">
        <f t="shared" ref="AG55:AG67" si="109">SUM(AE55:AF55)</f>
        <v>0</v>
      </c>
      <c r="AH55" s="373">
        <f t="shared" ref="AH55:AH68" si="110">IF(AG$68=0,0,AG55/AG$68)</f>
        <v>0</v>
      </c>
      <c r="AI55" s="391">
        <f t="shared" si="95"/>
        <v>0</v>
      </c>
      <c r="AJ55" s="17">
        <f t="shared" si="95"/>
        <v>0</v>
      </c>
      <c r="AK55" s="927">
        <f t="shared" si="96"/>
        <v>0</v>
      </c>
      <c r="AL55" s="91">
        <f t="shared" ref="AL55:AL68" si="111">IF(AK$68=0,0,AK55/AK$68)</f>
        <v>0</v>
      </c>
    </row>
    <row r="56" spans="1:38" ht="16.5" customHeight="1" x14ac:dyDescent="0.25">
      <c r="A56" s="40"/>
      <c r="B56" s="40"/>
      <c r="C56" s="23"/>
      <c r="D56" s="473" t="s">
        <v>29</v>
      </c>
      <c r="E56" s="562" t="s">
        <v>386</v>
      </c>
      <c r="F56" s="105"/>
      <c r="G56" s="425">
        <f>'SUM HH WITH'!$G$51+'SUM HH WITHOUT'!$G$51</f>
        <v>0</v>
      </c>
      <c r="H56" s="425">
        <f>'SUM HH WITH'!$H$51+'SUM HH WITHOUT'!$H$51</f>
        <v>0</v>
      </c>
      <c r="I56" s="257">
        <f t="shared" si="97"/>
        <v>0</v>
      </c>
      <c r="J56" s="91">
        <f t="shared" si="98"/>
        <v>0</v>
      </c>
      <c r="K56" s="425">
        <f>'SUM HH WITH'!$K$51+'SUM HH WITHOUT'!$K$51</f>
        <v>0</v>
      </c>
      <c r="L56" s="425">
        <f>'SUM HH WITH'!$L$51+'SUM HH WITHOUT'!$L$51</f>
        <v>0</v>
      </c>
      <c r="M56" s="257">
        <f t="shared" si="99"/>
        <v>0</v>
      </c>
      <c r="N56" s="91">
        <f t="shared" si="100"/>
        <v>0</v>
      </c>
      <c r="O56" s="425">
        <f>'SUM HH WITH'!$O$51+'SUM HH WITHOUT'!$O$51</f>
        <v>0</v>
      </c>
      <c r="P56" s="425">
        <f>'SUM HH WITH'!$P$51+'SUM HH WITHOUT'!$P$51</f>
        <v>0</v>
      </c>
      <c r="Q56" s="257">
        <f t="shared" si="101"/>
        <v>0</v>
      </c>
      <c r="R56" s="91">
        <f t="shared" si="102"/>
        <v>0</v>
      </c>
      <c r="S56" s="425">
        <f>'SUM HH WITH'!$S$51+'SUM HH WITHOUT'!$S$51</f>
        <v>0</v>
      </c>
      <c r="T56" s="425">
        <f>'SUM HH WITH'!$T$51+'SUM HH WITHOUT'!$T$51</f>
        <v>0</v>
      </c>
      <c r="U56" s="257">
        <f t="shared" si="103"/>
        <v>0</v>
      </c>
      <c r="V56" s="91">
        <f t="shared" si="104"/>
        <v>0</v>
      </c>
      <c r="W56" s="425">
        <f>'SUM HH WITH'!$W$51+'SUM HH WITHOUT'!$W$51</f>
        <v>0</v>
      </c>
      <c r="X56" s="425">
        <f>'SUM HH WITH'!$X$51+'SUM HH WITHOUT'!$X$51</f>
        <v>0</v>
      </c>
      <c r="Y56" s="257">
        <f t="shared" si="105"/>
        <v>0</v>
      </c>
      <c r="Z56" s="91">
        <f t="shared" si="106"/>
        <v>0</v>
      </c>
      <c r="AA56" s="425">
        <f>'SUM HH WITH'!$AA$51+'SUM HH WITHOUT'!$AA$51</f>
        <v>0</v>
      </c>
      <c r="AB56" s="425">
        <f>'SUM HH WITH'!$AB$51+'SUM HH WITHOUT'!$AB$51</f>
        <v>0</v>
      </c>
      <c r="AC56" s="257">
        <f t="shared" si="107"/>
        <v>0</v>
      </c>
      <c r="AD56" s="91">
        <f t="shared" si="108"/>
        <v>0</v>
      </c>
      <c r="AE56" s="425">
        <f>'SUM HH WITH'!$AE$51+'SUM HH WITHOUT'!$AE$51</f>
        <v>0</v>
      </c>
      <c r="AF56" s="425">
        <f>'SUM HH WITH'!$AF$51+'SUM HH WITHOUT'!$AF$51</f>
        <v>0</v>
      </c>
      <c r="AG56" s="257">
        <f t="shared" si="109"/>
        <v>0</v>
      </c>
      <c r="AH56" s="373">
        <f t="shared" si="110"/>
        <v>0</v>
      </c>
      <c r="AI56" s="391">
        <f t="shared" si="95"/>
        <v>0</v>
      </c>
      <c r="AJ56" s="17">
        <f t="shared" si="95"/>
        <v>0</v>
      </c>
      <c r="AK56" s="927">
        <f t="shared" si="96"/>
        <v>0</v>
      </c>
      <c r="AL56" s="91">
        <f t="shared" si="111"/>
        <v>0</v>
      </c>
    </row>
    <row r="57" spans="1:38" ht="16.5" customHeight="1" x14ac:dyDescent="0.25">
      <c r="A57" s="40"/>
      <c r="B57" s="40"/>
      <c r="C57" s="23"/>
      <c r="D57" s="473" t="s">
        <v>31</v>
      </c>
      <c r="E57" s="562" t="s">
        <v>533</v>
      </c>
      <c r="F57" s="105"/>
      <c r="G57" s="425">
        <f>'SUM HH WITH'!$G$52+'SUM HH WITHOUT'!$G$52</f>
        <v>2</v>
      </c>
      <c r="H57" s="425">
        <f>'SUM HH WITH'!$H$52+'SUM HH WITHOUT'!$H$52</f>
        <v>9</v>
      </c>
      <c r="I57" s="257">
        <f t="shared" si="97"/>
        <v>11</v>
      </c>
      <c r="J57" s="91">
        <f t="shared" si="98"/>
        <v>2.9023746701846966E-2</v>
      </c>
      <c r="K57" s="425">
        <f>'SUM HH WITH'!$K$52+'SUM HH WITHOUT'!$K$52</f>
        <v>0</v>
      </c>
      <c r="L57" s="425">
        <f>'SUM HH WITH'!$L$52+'SUM HH WITHOUT'!$L$52</f>
        <v>0</v>
      </c>
      <c r="M57" s="257">
        <f t="shared" si="99"/>
        <v>0</v>
      </c>
      <c r="N57" s="91">
        <f t="shared" si="100"/>
        <v>0</v>
      </c>
      <c r="O57" s="425">
        <f>'SUM HH WITH'!$O$52+'SUM HH WITHOUT'!$O$52</f>
        <v>0</v>
      </c>
      <c r="P57" s="425">
        <f>'SUM HH WITH'!$P$52+'SUM HH WITHOUT'!$P$52</f>
        <v>0</v>
      </c>
      <c r="Q57" s="257">
        <f t="shared" si="101"/>
        <v>0</v>
      </c>
      <c r="R57" s="91">
        <f t="shared" si="102"/>
        <v>0</v>
      </c>
      <c r="S57" s="425">
        <f>'SUM HH WITH'!$S$52+'SUM HH WITHOUT'!$S$52</f>
        <v>0</v>
      </c>
      <c r="T57" s="425">
        <f>'SUM HH WITH'!$T$52+'SUM HH WITHOUT'!$T$52</f>
        <v>0</v>
      </c>
      <c r="U57" s="257">
        <f t="shared" si="103"/>
        <v>0</v>
      </c>
      <c r="V57" s="91">
        <f t="shared" si="104"/>
        <v>0</v>
      </c>
      <c r="W57" s="425">
        <f>'SUM HH WITH'!$W$52+'SUM HH WITHOUT'!$W$52</f>
        <v>0</v>
      </c>
      <c r="X57" s="425">
        <f>'SUM HH WITH'!$X$52+'SUM HH WITHOUT'!$X$52</f>
        <v>0</v>
      </c>
      <c r="Y57" s="257">
        <f t="shared" si="105"/>
        <v>0</v>
      </c>
      <c r="Z57" s="91">
        <f t="shared" si="106"/>
        <v>0</v>
      </c>
      <c r="AA57" s="425">
        <f>'SUM HH WITH'!$AA$52+'SUM HH WITHOUT'!$AA$52</f>
        <v>0</v>
      </c>
      <c r="AB57" s="425">
        <f>'SUM HH WITH'!$AB$52+'SUM HH WITHOUT'!$AB$52</f>
        <v>0</v>
      </c>
      <c r="AC57" s="257">
        <f t="shared" si="107"/>
        <v>0</v>
      </c>
      <c r="AD57" s="91">
        <f t="shared" si="108"/>
        <v>0</v>
      </c>
      <c r="AE57" s="425">
        <f>'SUM HH WITH'!$AE$52+'SUM HH WITHOUT'!$AE$52</f>
        <v>0</v>
      </c>
      <c r="AF57" s="425">
        <f>'SUM HH WITH'!$AF$52+'SUM HH WITHOUT'!$AF$52</f>
        <v>0</v>
      </c>
      <c r="AG57" s="257">
        <f t="shared" si="109"/>
        <v>0</v>
      </c>
      <c r="AH57" s="373">
        <f t="shared" si="110"/>
        <v>0</v>
      </c>
      <c r="AI57" s="391">
        <f t="shared" si="95"/>
        <v>2</v>
      </c>
      <c r="AJ57" s="17">
        <f t="shared" si="95"/>
        <v>9</v>
      </c>
      <c r="AK57" s="927">
        <f t="shared" si="96"/>
        <v>11</v>
      </c>
      <c r="AL57" s="91">
        <f t="shared" si="111"/>
        <v>2.9023746701846966E-2</v>
      </c>
    </row>
    <row r="58" spans="1:38" ht="16.5" customHeight="1" x14ac:dyDescent="0.25">
      <c r="A58" s="40"/>
      <c r="B58" s="40"/>
      <c r="C58" s="23"/>
      <c r="D58" s="473" t="s">
        <v>374</v>
      </c>
      <c r="E58" s="562" t="s">
        <v>534</v>
      </c>
      <c r="F58" s="105"/>
      <c r="G58" s="425">
        <f>'SUM HH WITH'!$G$53+'SUM HH WITHOUT'!$G$53</f>
        <v>0</v>
      </c>
      <c r="H58" s="425">
        <f>'SUM HH WITH'!$H$53+'SUM HH WITHOUT'!$H$53</f>
        <v>4</v>
      </c>
      <c r="I58" s="257">
        <f t="shared" si="97"/>
        <v>4</v>
      </c>
      <c r="J58" s="91">
        <f t="shared" si="98"/>
        <v>1.0554089709762533E-2</v>
      </c>
      <c r="K58" s="425">
        <f>'SUM HH WITH'!$K$53+'SUM HH WITHOUT'!$K$53</f>
        <v>0</v>
      </c>
      <c r="L58" s="425">
        <f>'SUM HH WITH'!$L$53+'SUM HH WITHOUT'!$L$53</f>
        <v>0</v>
      </c>
      <c r="M58" s="257">
        <f t="shared" si="99"/>
        <v>0</v>
      </c>
      <c r="N58" s="91">
        <f t="shared" si="100"/>
        <v>0</v>
      </c>
      <c r="O58" s="425">
        <f>'SUM HH WITH'!$O$53+'SUM HH WITHOUT'!$O$53</f>
        <v>0</v>
      </c>
      <c r="P58" s="425">
        <f>'SUM HH WITH'!$P$53+'SUM HH WITHOUT'!$P$53</f>
        <v>0</v>
      </c>
      <c r="Q58" s="257">
        <f t="shared" si="101"/>
        <v>0</v>
      </c>
      <c r="R58" s="91">
        <f t="shared" si="102"/>
        <v>0</v>
      </c>
      <c r="S58" s="425">
        <f>'SUM HH WITH'!$S$53+'SUM HH WITHOUT'!$S$53</f>
        <v>0</v>
      </c>
      <c r="T58" s="425">
        <f>'SUM HH WITH'!$T$53+'SUM HH WITHOUT'!$T$53</f>
        <v>0</v>
      </c>
      <c r="U58" s="257">
        <f t="shared" si="103"/>
        <v>0</v>
      </c>
      <c r="V58" s="91">
        <f t="shared" si="104"/>
        <v>0</v>
      </c>
      <c r="W58" s="425">
        <f>'SUM HH WITH'!$W$53+'SUM HH WITHOUT'!$W$53</f>
        <v>0</v>
      </c>
      <c r="X58" s="425">
        <f>'SUM HH WITH'!$X$53+'SUM HH WITHOUT'!$X$53</f>
        <v>0</v>
      </c>
      <c r="Y58" s="257">
        <f t="shared" si="105"/>
        <v>0</v>
      </c>
      <c r="Z58" s="91">
        <f t="shared" si="106"/>
        <v>0</v>
      </c>
      <c r="AA58" s="425">
        <f>'SUM HH WITH'!$AA$53+'SUM HH WITHOUT'!$AA$53</f>
        <v>0</v>
      </c>
      <c r="AB58" s="425">
        <f>'SUM HH WITH'!$AB$53+'SUM HH WITHOUT'!$AB$53</f>
        <v>0</v>
      </c>
      <c r="AC58" s="257">
        <f t="shared" si="107"/>
        <v>0</v>
      </c>
      <c r="AD58" s="91">
        <f t="shared" si="108"/>
        <v>0</v>
      </c>
      <c r="AE58" s="425">
        <f>'SUM HH WITH'!$AE$53+'SUM HH WITHOUT'!$AE$53</f>
        <v>0</v>
      </c>
      <c r="AF58" s="425">
        <f>'SUM HH WITH'!$AF$53+'SUM HH WITHOUT'!$AF$53</f>
        <v>0</v>
      </c>
      <c r="AG58" s="257">
        <f t="shared" si="109"/>
        <v>0</v>
      </c>
      <c r="AH58" s="373">
        <f t="shared" si="110"/>
        <v>0</v>
      </c>
      <c r="AI58" s="391">
        <f t="shared" si="95"/>
        <v>0</v>
      </c>
      <c r="AJ58" s="17">
        <f t="shared" si="95"/>
        <v>4</v>
      </c>
      <c r="AK58" s="927">
        <f t="shared" si="96"/>
        <v>4</v>
      </c>
      <c r="AL58" s="91">
        <f t="shared" si="111"/>
        <v>1.0554089709762533E-2</v>
      </c>
    </row>
    <row r="59" spans="1:38" ht="16.5" customHeight="1" x14ac:dyDescent="0.25">
      <c r="A59" s="40"/>
      <c r="B59" s="40"/>
      <c r="C59" s="23"/>
      <c r="D59" s="473" t="s">
        <v>375</v>
      </c>
      <c r="E59" s="562" t="s">
        <v>535</v>
      </c>
      <c r="F59" s="105"/>
      <c r="G59" s="425">
        <f>'SUM HH WITH'!$G$54+'SUM HH WITHOUT'!$G$54</f>
        <v>4</v>
      </c>
      <c r="H59" s="425">
        <f>'SUM HH WITH'!$H$54+'SUM HH WITHOUT'!$H$54</f>
        <v>3</v>
      </c>
      <c r="I59" s="257">
        <f t="shared" si="97"/>
        <v>7</v>
      </c>
      <c r="J59" s="91">
        <f t="shared" si="98"/>
        <v>1.8469656992084433E-2</v>
      </c>
      <c r="K59" s="425">
        <f>'SUM HH WITH'!$K$54+'SUM HH WITHOUT'!$K$54</f>
        <v>0</v>
      </c>
      <c r="L59" s="425">
        <f>'SUM HH WITH'!$L$54+'SUM HH WITHOUT'!$L$54</f>
        <v>0</v>
      </c>
      <c r="M59" s="257">
        <f t="shared" si="99"/>
        <v>0</v>
      </c>
      <c r="N59" s="91">
        <f t="shared" si="100"/>
        <v>0</v>
      </c>
      <c r="O59" s="425">
        <f>'SUM HH WITH'!$O$54+'SUM HH WITHOUT'!$O$54</f>
        <v>0</v>
      </c>
      <c r="P59" s="425">
        <f>'SUM HH WITH'!$P$54+'SUM HH WITHOUT'!$P$54</f>
        <v>0</v>
      </c>
      <c r="Q59" s="257">
        <f t="shared" si="101"/>
        <v>0</v>
      </c>
      <c r="R59" s="91">
        <f t="shared" si="102"/>
        <v>0</v>
      </c>
      <c r="S59" s="425">
        <f>'SUM HH WITH'!$S$54+'SUM HH WITHOUT'!$S$54</f>
        <v>0</v>
      </c>
      <c r="T59" s="425">
        <f>'SUM HH WITH'!$T$54+'SUM HH WITHOUT'!$T$54</f>
        <v>0</v>
      </c>
      <c r="U59" s="257">
        <f t="shared" si="103"/>
        <v>0</v>
      </c>
      <c r="V59" s="91">
        <f t="shared" si="104"/>
        <v>0</v>
      </c>
      <c r="W59" s="425">
        <f>'SUM HH WITH'!$W$54+'SUM HH WITHOUT'!$W$54</f>
        <v>0</v>
      </c>
      <c r="X59" s="425">
        <f>'SUM HH WITH'!$X$54+'SUM HH WITHOUT'!$X$54</f>
        <v>0</v>
      </c>
      <c r="Y59" s="257">
        <f t="shared" si="105"/>
        <v>0</v>
      </c>
      <c r="Z59" s="91">
        <f t="shared" si="106"/>
        <v>0</v>
      </c>
      <c r="AA59" s="425">
        <f>'SUM HH WITH'!$AA$54+'SUM HH WITHOUT'!$AA$54</f>
        <v>0</v>
      </c>
      <c r="AB59" s="425">
        <f>'SUM HH WITH'!$AB$54+'SUM HH WITHOUT'!$AB$54</f>
        <v>0</v>
      </c>
      <c r="AC59" s="257">
        <f t="shared" si="107"/>
        <v>0</v>
      </c>
      <c r="AD59" s="91">
        <f t="shared" si="108"/>
        <v>0</v>
      </c>
      <c r="AE59" s="425">
        <f>'SUM HH WITH'!$AE$54+'SUM HH WITHOUT'!$AE$54</f>
        <v>0</v>
      </c>
      <c r="AF59" s="425">
        <f>'SUM HH WITH'!$AF$54+'SUM HH WITHOUT'!$AF$54</f>
        <v>0</v>
      </c>
      <c r="AG59" s="257">
        <f t="shared" si="109"/>
        <v>0</v>
      </c>
      <c r="AH59" s="373">
        <f t="shared" si="110"/>
        <v>0</v>
      </c>
      <c r="AI59" s="391">
        <f t="shared" si="95"/>
        <v>4</v>
      </c>
      <c r="AJ59" s="17">
        <f t="shared" si="95"/>
        <v>3</v>
      </c>
      <c r="AK59" s="927">
        <f t="shared" si="96"/>
        <v>7</v>
      </c>
      <c r="AL59" s="91">
        <f t="shared" si="111"/>
        <v>1.8469656992084433E-2</v>
      </c>
    </row>
    <row r="60" spans="1:38" ht="16.5" customHeight="1" x14ac:dyDescent="0.25">
      <c r="A60" s="40"/>
      <c r="B60" s="40"/>
      <c r="C60" s="23"/>
      <c r="D60" s="473" t="s">
        <v>376</v>
      </c>
      <c r="E60" s="562" t="s">
        <v>387</v>
      </c>
      <c r="F60" s="105"/>
      <c r="G60" s="425">
        <f>'SUM HH WITH'!$G$55+'SUM HH WITHOUT'!$G$55</f>
        <v>0</v>
      </c>
      <c r="H60" s="425">
        <f>'SUM HH WITH'!$H$55+'SUM HH WITHOUT'!$H$55</f>
        <v>0</v>
      </c>
      <c r="I60" s="257">
        <f t="shared" si="97"/>
        <v>0</v>
      </c>
      <c r="J60" s="91">
        <f t="shared" si="98"/>
        <v>0</v>
      </c>
      <c r="K60" s="425">
        <f>'SUM HH WITH'!$K$55+'SUM HH WITHOUT'!$K$55</f>
        <v>0</v>
      </c>
      <c r="L60" s="425">
        <f>'SUM HH WITH'!$L$55+'SUM HH WITHOUT'!$L$55</f>
        <v>0</v>
      </c>
      <c r="M60" s="257">
        <f t="shared" si="99"/>
        <v>0</v>
      </c>
      <c r="N60" s="91">
        <f t="shared" si="100"/>
        <v>0</v>
      </c>
      <c r="O60" s="425">
        <f>'SUM HH WITH'!$O$55+'SUM HH WITHOUT'!$O$55</f>
        <v>0</v>
      </c>
      <c r="P60" s="425">
        <f>'SUM HH WITH'!$P$55+'SUM HH WITHOUT'!$P$55</f>
        <v>0</v>
      </c>
      <c r="Q60" s="257">
        <f t="shared" si="101"/>
        <v>0</v>
      </c>
      <c r="R60" s="91">
        <f t="shared" si="102"/>
        <v>0</v>
      </c>
      <c r="S60" s="425">
        <f>'SUM HH WITH'!$S$55+'SUM HH WITHOUT'!$S$55</f>
        <v>0</v>
      </c>
      <c r="T60" s="425">
        <f>'SUM HH WITH'!$T$55+'SUM HH WITHOUT'!$T$55</f>
        <v>0</v>
      </c>
      <c r="U60" s="257">
        <f t="shared" si="103"/>
        <v>0</v>
      </c>
      <c r="V60" s="91">
        <f t="shared" si="104"/>
        <v>0</v>
      </c>
      <c r="W60" s="425">
        <f>'SUM HH WITH'!$W$55+'SUM HH WITHOUT'!$W$55</f>
        <v>0</v>
      </c>
      <c r="X60" s="425">
        <f>'SUM HH WITH'!$X$55+'SUM HH WITHOUT'!$X$55</f>
        <v>0</v>
      </c>
      <c r="Y60" s="257">
        <f t="shared" si="105"/>
        <v>0</v>
      </c>
      <c r="Z60" s="91">
        <f t="shared" si="106"/>
        <v>0</v>
      </c>
      <c r="AA60" s="425">
        <f>'SUM HH WITH'!$AA$55+'SUM HH WITHOUT'!$AA$55</f>
        <v>0</v>
      </c>
      <c r="AB60" s="425">
        <f>'SUM HH WITH'!$AB$55+'SUM HH WITHOUT'!$AB$55</f>
        <v>0</v>
      </c>
      <c r="AC60" s="257">
        <f t="shared" si="107"/>
        <v>0</v>
      </c>
      <c r="AD60" s="91">
        <f t="shared" si="108"/>
        <v>0</v>
      </c>
      <c r="AE60" s="425">
        <f>'SUM HH WITH'!$AE$55+'SUM HH WITHOUT'!$AE$55</f>
        <v>0</v>
      </c>
      <c r="AF60" s="425">
        <f>'SUM HH WITH'!$AF$55+'SUM HH WITHOUT'!$AF$55</f>
        <v>0</v>
      </c>
      <c r="AG60" s="257">
        <f t="shared" si="109"/>
        <v>0</v>
      </c>
      <c r="AH60" s="373">
        <f t="shared" si="110"/>
        <v>0</v>
      </c>
      <c r="AI60" s="391">
        <f t="shared" si="95"/>
        <v>0</v>
      </c>
      <c r="AJ60" s="17">
        <f t="shared" si="95"/>
        <v>0</v>
      </c>
      <c r="AK60" s="927">
        <f t="shared" si="96"/>
        <v>0</v>
      </c>
      <c r="AL60" s="91">
        <f t="shared" si="111"/>
        <v>0</v>
      </c>
    </row>
    <row r="61" spans="1:38" ht="16.5" customHeight="1" x14ac:dyDescent="0.25">
      <c r="A61" s="40"/>
      <c r="B61" s="40"/>
      <c r="C61" s="23"/>
      <c r="D61" s="473" t="s">
        <v>377</v>
      </c>
      <c r="E61" s="562" t="s">
        <v>388</v>
      </c>
      <c r="F61" s="105"/>
      <c r="G61" s="425">
        <f>'SUM HH WITH'!$G$56+'SUM HH WITHOUT'!$G$56</f>
        <v>0</v>
      </c>
      <c r="H61" s="425">
        <f>'SUM HH WITH'!$H$56+'SUM HH WITHOUT'!$H$56</f>
        <v>0</v>
      </c>
      <c r="I61" s="257">
        <f t="shared" si="97"/>
        <v>0</v>
      </c>
      <c r="J61" s="91">
        <f t="shared" si="98"/>
        <v>0</v>
      </c>
      <c r="K61" s="425">
        <f>'SUM HH WITH'!$K$56+'SUM HH WITHOUT'!$K$56</f>
        <v>0</v>
      </c>
      <c r="L61" s="425">
        <f>'SUM HH WITH'!$L$56+'SUM HH WITHOUT'!$L$56</f>
        <v>0</v>
      </c>
      <c r="M61" s="257">
        <f t="shared" si="99"/>
        <v>0</v>
      </c>
      <c r="N61" s="91">
        <f t="shared" si="100"/>
        <v>0</v>
      </c>
      <c r="O61" s="425">
        <f>'SUM HH WITH'!$O$56+'SUM HH WITHOUT'!$O$56</f>
        <v>0</v>
      </c>
      <c r="P61" s="425">
        <f>'SUM HH WITH'!$P$56+'SUM HH WITHOUT'!$P$56</f>
        <v>0</v>
      </c>
      <c r="Q61" s="257">
        <f t="shared" si="101"/>
        <v>0</v>
      </c>
      <c r="R61" s="91">
        <f t="shared" si="102"/>
        <v>0</v>
      </c>
      <c r="S61" s="425">
        <f>'SUM HH WITH'!$S$56+'SUM HH WITHOUT'!$S$56</f>
        <v>0</v>
      </c>
      <c r="T61" s="425">
        <f>'SUM HH WITH'!$T$56+'SUM HH WITHOUT'!$T$56</f>
        <v>0</v>
      </c>
      <c r="U61" s="257">
        <f t="shared" si="103"/>
        <v>0</v>
      </c>
      <c r="V61" s="91">
        <f t="shared" si="104"/>
        <v>0</v>
      </c>
      <c r="W61" s="425">
        <f>'SUM HH WITH'!$W$56+'SUM HH WITHOUT'!$W$56</f>
        <v>0</v>
      </c>
      <c r="X61" s="425">
        <f>'SUM HH WITH'!$X$56+'SUM HH WITHOUT'!$X$56</f>
        <v>0</v>
      </c>
      <c r="Y61" s="257">
        <f t="shared" si="105"/>
        <v>0</v>
      </c>
      <c r="Z61" s="91">
        <f t="shared" si="106"/>
        <v>0</v>
      </c>
      <c r="AA61" s="425">
        <f>'SUM HH WITH'!$AA$56+'SUM HH WITHOUT'!$AA$56</f>
        <v>0</v>
      </c>
      <c r="AB61" s="425">
        <f>'SUM HH WITH'!$AB$56+'SUM HH WITHOUT'!$AB$56</f>
        <v>0</v>
      </c>
      <c r="AC61" s="257">
        <f t="shared" si="107"/>
        <v>0</v>
      </c>
      <c r="AD61" s="91">
        <f t="shared" si="108"/>
        <v>0</v>
      </c>
      <c r="AE61" s="425">
        <f>'SUM HH WITH'!$AE$56+'SUM HH WITHOUT'!$AE$56</f>
        <v>0</v>
      </c>
      <c r="AF61" s="425">
        <f>'SUM HH WITH'!$AF$56+'SUM HH WITHOUT'!$AF$56</f>
        <v>0</v>
      </c>
      <c r="AG61" s="257">
        <f t="shared" si="109"/>
        <v>0</v>
      </c>
      <c r="AH61" s="373">
        <f t="shared" si="110"/>
        <v>0</v>
      </c>
      <c r="AI61" s="391">
        <f t="shared" si="95"/>
        <v>0</v>
      </c>
      <c r="AJ61" s="17">
        <f t="shared" si="95"/>
        <v>0</v>
      </c>
      <c r="AK61" s="927">
        <f t="shared" si="96"/>
        <v>0</v>
      </c>
      <c r="AL61" s="91">
        <f t="shared" si="111"/>
        <v>0</v>
      </c>
    </row>
    <row r="62" spans="1:38" ht="16.5" customHeight="1" x14ac:dyDescent="0.25">
      <c r="A62" s="40"/>
      <c r="B62" s="40"/>
      <c r="C62" s="23"/>
      <c r="D62" s="473" t="s">
        <v>378</v>
      </c>
      <c r="E62" s="562" t="s">
        <v>532</v>
      </c>
      <c r="F62" s="105"/>
      <c r="G62" s="425">
        <f>'SUM HH WITH'!$G$57+'SUM HH WITHOUT'!$G$57</f>
        <v>51</v>
      </c>
      <c r="H62" s="425">
        <f>'SUM HH WITH'!$H$57+'SUM HH WITHOUT'!$H$57</f>
        <v>267</v>
      </c>
      <c r="I62" s="257">
        <f t="shared" si="97"/>
        <v>318</v>
      </c>
      <c r="J62" s="91">
        <f t="shared" si="98"/>
        <v>0.83905013192612132</v>
      </c>
      <c r="K62" s="425">
        <f>'SUM HH WITH'!$K$57+'SUM HH WITHOUT'!$K$57</f>
        <v>0</v>
      </c>
      <c r="L62" s="425">
        <f>'SUM HH WITH'!$L$57+'SUM HH WITHOUT'!$L$57</f>
        <v>0</v>
      </c>
      <c r="M62" s="257">
        <f t="shared" si="99"/>
        <v>0</v>
      </c>
      <c r="N62" s="91">
        <f t="shared" si="100"/>
        <v>0</v>
      </c>
      <c r="O62" s="425">
        <f>'SUM HH WITH'!$O$57+'SUM HH WITHOUT'!$O$57</f>
        <v>0</v>
      </c>
      <c r="P62" s="425">
        <f>'SUM HH WITH'!$P$57+'SUM HH WITHOUT'!$P$57</f>
        <v>0</v>
      </c>
      <c r="Q62" s="257">
        <f t="shared" si="101"/>
        <v>0</v>
      </c>
      <c r="R62" s="91">
        <f t="shared" si="102"/>
        <v>0</v>
      </c>
      <c r="S62" s="425">
        <f>'SUM HH WITH'!$S$57+'SUM HH WITHOUT'!$S$57</f>
        <v>0</v>
      </c>
      <c r="T62" s="425">
        <f>'SUM HH WITH'!$T$57+'SUM HH WITHOUT'!$T$57</f>
        <v>0</v>
      </c>
      <c r="U62" s="257">
        <f t="shared" si="103"/>
        <v>0</v>
      </c>
      <c r="V62" s="91">
        <f t="shared" si="104"/>
        <v>0</v>
      </c>
      <c r="W62" s="425">
        <f>'SUM HH WITH'!$W$57+'SUM HH WITHOUT'!$W$57</f>
        <v>0</v>
      </c>
      <c r="X62" s="425">
        <f>'SUM HH WITH'!$X$57+'SUM HH WITHOUT'!$X$57</f>
        <v>0</v>
      </c>
      <c r="Y62" s="257">
        <f t="shared" si="105"/>
        <v>0</v>
      </c>
      <c r="Z62" s="91">
        <f t="shared" si="106"/>
        <v>0</v>
      </c>
      <c r="AA62" s="425">
        <f>'SUM HH WITH'!$AA$57+'SUM HH WITHOUT'!$AA$57</f>
        <v>0</v>
      </c>
      <c r="AB62" s="425">
        <f>'SUM HH WITH'!$AB$57+'SUM HH WITHOUT'!$AB$57</f>
        <v>0</v>
      </c>
      <c r="AC62" s="257">
        <f t="shared" si="107"/>
        <v>0</v>
      </c>
      <c r="AD62" s="91">
        <f t="shared" si="108"/>
        <v>0</v>
      </c>
      <c r="AE62" s="425">
        <f>'SUM HH WITH'!$AE$57+'SUM HH WITHOUT'!$AE$57</f>
        <v>0</v>
      </c>
      <c r="AF62" s="425">
        <f>'SUM HH WITH'!$AF$57+'SUM HH WITHOUT'!$AF$57</f>
        <v>0</v>
      </c>
      <c r="AG62" s="257">
        <f t="shared" si="109"/>
        <v>0</v>
      </c>
      <c r="AH62" s="373">
        <f t="shared" si="110"/>
        <v>0</v>
      </c>
      <c r="AI62" s="391">
        <f t="shared" si="95"/>
        <v>51</v>
      </c>
      <c r="AJ62" s="17">
        <f t="shared" si="95"/>
        <v>267</v>
      </c>
      <c r="AK62" s="927">
        <f t="shared" si="96"/>
        <v>318</v>
      </c>
      <c r="AL62" s="91">
        <f t="shared" si="111"/>
        <v>0.83905013192612132</v>
      </c>
    </row>
    <row r="63" spans="1:38" ht="16.5" customHeight="1" x14ac:dyDescent="0.25">
      <c r="A63" s="40"/>
      <c r="B63" s="40"/>
      <c r="C63" s="23"/>
      <c r="D63" s="473" t="s">
        <v>379</v>
      </c>
      <c r="E63" s="562" t="s">
        <v>389</v>
      </c>
      <c r="F63" s="105"/>
      <c r="G63" s="425">
        <f>'SUM HH WITH'!$G$58+'SUM HH WITHOUT'!$G$58</f>
        <v>0</v>
      </c>
      <c r="H63" s="425">
        <f>'SUM HH WITH'!$H$58+'SUM HH WITHOUT'!$H$58</f>
        <v>0</v>
      </c>
      <c r="I63" s="257">
        <f t="shared" si="97"/>
        <v>0</v>
      </c>
      <c r="J63" s="91">
        <f t="shared" si="98"/>
        <v>0</v>
      </c>
      <c r="K63" s="425">
        <f>'SUM HH WITH'!$K$58+'SUM HH WITHOUT'!$K$58</f>
        <v>0</v>
      </c>
      <c r="L63" s="425">
        <f>'SUM HH WITH'!$L$58+'SUM HH WITHOUT'!$L$58</f>
        <v>0</v>
      </c>
      <c r="M63" s="257">
        <f t="shared" si="99"/>
        <v>0</v>
      </c>
      <c r="N63" s="91">
        <f t="shared" si="100"/>
        <v>0</v>
      </c>
      <c r="O63" s="425">
        <f>'SUM HH WITH'!$O$58+'SUM HH WITHOUT'!$O$58</f>
        <v>0</v>
      </c>
      <c r="P63" s="425">
        <f>'SUM HH WITH'!$P$58+'SUM HH WITHOUT'!$P$58</f>
        <v>0</v>
      </c>
      <c r="Q63" s="257">
        <f t="shared" si="101"/>
        <v>0</v>
      </c>
      <c r="R63" s="91">
        <f t="shared" si="102"/>
        <v>0</v>
      </c>
      <c r="S63" s="425">
        <f>'SUM HH WITH'!$S$58+'SUM HH WITHOUT'!$S$58</f>
        <v>0</v>
      </c>
      <c r="T63" s="425">
        <f>'SUM HH WITH'!$T$58+'SUM HH WITHOUT'!$T$58</f>
        <v>0</v>
      </c>
      <c r="U63" s="257">
        <f t="shared" si="103"/>
        <v>0</v>
      </c>
      <c r="V63" s="91">
        <f t="shared" si="104"/>
        <v>0</v>
      </c>
      <c r="W63" s="425">
        <f>'SUM HH WITH'!$W$58+'SUM HH WITHOUT'!$W$58</f>
        <v>0</v>
      </c>
      <c r="X63" s="425">
        <f>'SUM HH WITH'!$X$58+'SUM HH WITHOUT'!$X$58</f>
        <v>0</v>
      </c>
      <c r="Y63" s="257">
        <f t="shared" si="105"/>
        <v>0</v>
      </c>
      <c r="Z63" s="91">
        <f t="shared" si="106"/>
        <v>0</v>
      </c>
      <c r="AA63" s="425">
        <f>'SUM HH WITH'!$AA$58+'SUM HH WITHOUT'!$AA$58</f>
        <v>0</v>
      </c>
      <c r="AB63" s="425">
        <f>'SUM HH WITH'!$AB$58+'SUM HH WITHOUT'!$AB$58</f>
        <v>0</v>
      </c>
      <c r="AC63" s="257">
        <f t="shared" si="107"/>
        <v>0</v>
      </c>
      <c r="AD63" s="91">
        <f t="shared" si="108"/>
        <v>0</v>
      </c>
      <c r="AE63" s="425">
        <f>'SUM HH WITH'!$AE$58+'SUM HH WITHOUT'!$AE$58</f>
        <v>0</v>
      </c>
      <c r="AF63" s="425">
        <f>'SUM HH WITH'!$AF$58+'SUM HH WITHOUT'!$AF$58</f>
        <v>0</v>
      </c>
      <c r="AG63" s="257">
        <f t="shared" si="109"/>
        <v>0</v>
      </c>
      <c r="AH63" s="373">
        <f t="shared" si="110"/>
        <v>0</v>
      </c>
      <c r="AI63" s="391">
        <f t="shared" si="95"/>
        <v>0</v>
      </c>
      <c r="AJ63" s="17">
        <f t="shared" si="95"/>
        <v>0</v>
      </c>
      <c r="AK63" s="927">
        <f t="shared" si="96"/>
        <v>0</v>
      </c>
      <c r="AL63" s="91">
        <f t="shared" si="111"/>
        <v>0</v>
      </c>
    </row>
    <row r="64" spans="1:38" ht="16.5" customHeight="1" x14ac:dyDescent="0.25">
      <c r="A64" s="40"/>
      <c r="B64" s="40"/>
      <c r="C64" s="23"/>
      <c r="D64" s="473" t="s">
        <v>380</v>
      </c>
      <c r="E64" s="562" t="s">
        <v>390</v>
      </c>
      <c r="F64" s="105"/>
      <c r="G64" s="425">
        <f>'SUM HH WITH'!$G$59+'SUM HH WITHOUT'!$G$59</f>
        <v>0</v>
      </c>
      <c r="H64" s="425">
        <f>'SUM HH WITH'!$H$59+'SUM HH WITHOUT'!$H$59</f>
        <v>0</v>
      </c>
      <c r="I64" s="257">
        <f t="shared" si="97"/>
        <v>0</v>
      </c>
      <c r="J64" s="91">
        <f t="shared" si="98"/>
        <v>0</v>
      </c>
      <c r="K64" s="425">
        <f>'SUM HH WITH'!$K$59+'SUM HH WITHOUT'!$K$59</f>
        <v>0</v>
      </c>
      <c r="L64" s="425">
        <f>'SUM HH WITH'!$L$59+'SUM HH WITHOUT'!$L$59</f>
        <v>0</v>
      </c>
      <c r="M64" s="257">
        <f t="shared" si="99"/>
        <v>0</v>
      </c>
      <c r="N64" s="91">
        <f t="shared" si="100"/>
        <v>0</v>
      </c>
      <c r="O64" s="425">
        <f>'SUM HH WITH'!$O$59+'SUM HH WITHOUT'!$O$59</f>
        <v>0</v>
      </c>
      <c r="P64" s="425">
        <f>'SUM HH WITH'!$P$59+'SUM HH WITHOUT'!$P$59</f>
        <v>0</v>
      </c>
      <c r="Q64" s="257">
        <f t="shared" si="101"/>
        <v>0</v>
      </c>
      <c r="R64" s="91">
        <f t="shared" si="102"/>
        <v>0</v>
      </c>
      <c r="S64" s="425">
        <f>'SUM HH WITH'!$S$59+'SUM HH WITHOUT'!$S$59</f>
        <v>0</v>
      </c>
      <c r="T64" s="425">
        <f>'SUM HH WITH'!$T$59+'SUM HH WITHOUT'!$T$59</f>
        <v>0</v>
      </c>
      <c r="U64" s="257">
        <f t="shared" si="103"/>
        <v>0</v>
      </c>
      <c r="V64" s="91">
        <f t="shared" si="104"/>
        <v>0</v>
      </c>
      <c r="W64" s="425">
        <f>'SUM HH WITH'!$W$59+'SUM HH WITHOUT'!$W$59</f>
        <v>0</v>
      </c>
      <c r="X64" s="425">
        <f>'SUM HH WITH'!$X$59+'SUM HH WITHOUT'!$X$59</f>
        <v>0</v>
      </c>
      <c r="Y64" s="257">
        <f t="shared" si="105"/>
        <v>0</v>
      </c>
      <c r="Z64" s="91">
        <f t="shared" si="106"/>
        <v>0</v>
      </c>
      <c r="AA64" s="425">
        <f>'SUM HH WITH'!$AA$59+'SUM HH WITHOUT'!$AA$59</f>
        <v>0</v>
      </c>
      <c r="AB64" s="425">
        <f>'SUM HH WITH'!$AB$59+'SUM HH WITHOUT'!$AB$59</f>
        <v>0</v>
      </c>
      <c r="AC64" s="257">
        <f t="shared" si="107"/>
        <v>0</v>
      </c>
      <c r="AD64" s="91">
        <f t="shared" si="108"/>
        <v>0</v>
      </c>
      <c r="AE64" s="425">
        <f>'SUM HH WITH'!$AE$59+'SUM HH WITHOUT'!$AE$59</f>
        <v>0</v>
      </c>
      <c r="AF64" s="425">
        <f>'SUM HH WITH'!$AF$59+'SUM HH WITHOUT'!$AF$59</f>
        <v>0</v>
      </c>
      <c r="AG64" s="257">
        <f t="shared" si="109"/>
        <v>0</v>
      </c>
      <c r="AH64" s="373">
        <f t="shared" si="110"/>
        <v>0</v>
      </c>
      <c r="AI64" s="391">
        <f t="shared" si="95"/>
        <v>0</v>
      </c>
      <c r="AJ64" s="17">
        <f t="shared" si="95"/>
        <v>0</v>
      </c>
      <c r="AK64" s="927">
        <f t="shared" si="96"/>
        <v>0</v>
      </c>
      <c r="AL64" s="91">
        <f t="shared" si="111"/>
        <v>0</v>
      </c>
    </row>
    <row r="65" spans="1:38" ht="16.5" customHeight="1" x14ac:dyDescent="0.25">
      <c r="A65" s="40"/>
      <c r="B65" s="40"/>
      <c r="C65" s="23"/>
      <c r="D65" s="473" t="s">
        <v>381</v>
      </c>
      <c r="E65" s="562" t="s">
        <v>536</v>
      </c>
      <c r="F65" s="105"/>
      <c r="G65" s="425">
        <f>'SUM HH WITH'!$G$60+'SUM HH WITHOUT'!$G$60</f>
        <v>5</v>
      </c>
      <c r="H65" s="425">
        <f>'SUM HH WITH'!$H$60+'SUM HH WITHOUT'!$H$60</f>
        <v>30</v>
      </c>
      <c r="I65" s="257">
        <f t="shared" si="97"/>
        <v>35</v>
      </c>
      <c r="J65" s="91">
        <f t="shared" si="98"/>
        <v>9.2348284960422161E-2</v>
      </c>
      <c r="K65" s="425">
        <f>'SUM HH WITH'!$K$60+'SUM HH WITHOUT'!$K$60</f>
        <v>0</v>
      </c>
      <c r="L65" s="425">
        <f>'SUM HH WITH'!$L$60+'SUM HH WITHOUT'!$L$60</f>
        <v>0</v>
      </c>
      <c r="M65" s="257">
        <f t="shared" si="99"/>
        <v>0</v>
      </c>
      <c r="N65" s="91">
        <f t="shared" si="100"/>
        <v>0</v>
      </c>
      <c r="O65" s="425">
        <f>'SUM HH WITH'!$O$60+'SUM HH WITHOUT'!$O$60</f>
        <v>0</v>
      </c>
      <c r="P65" s="425">
        <f>'SUM HH WITH'!$P$60+'SUM HH WITHOUT'!$P$60</f>
        <v>0</v>
      </c>
      <c r="Q65" s="257">
        <f t="shared" si="101"/>
        <v>0</v>
      </c>
      <c r="R65" s="91">
        <f t="shared" si="102"/>
        <v>0</v>
      </c>
      <c r="S65" s="425">
        <f>'SUM HH WITH'!$S$60+'SUM HH WITHOUT'!$S$60</f>
        <v>0</v>
      </c>
      <c r="T65" s="425">
        <f>'SUM HH WITH'!$T$60+'SUM HH WITHOUT'!$T$60</f>
        <v>0</v>
      </c>
      <c r="U65" s="257">
        <f t="shared" si="103"/>
        <v>0</v>
      </c>
      <c r="V65" s="91">
        <f t="shared" si="104"/>
        <v>0</v>
      </c>
      <c r="W65" s="425">
        <f>'SUM HH WITH'!$W$60+'SUM HH WITHOUT'!$W$60</f>
        <v>0</v>
      </c>
      <c r="X65" s="425">
        <f>'SUM HH WITH'!$X$60+'SUM HH WITHOUT'!$X$60</f>
        <v>0</v>
      </c>
      <c r="Y65" s="257">
        <f t="shared" si="105"/>
        <v>0</v>
      </c>
      <c r="Z65" s="91">
        <f t="shared" si="106"/>
        <v>0</v>
      </c>
      <c r="AA65" s="425">
        <f>'SUM HH WITH'!$AA$60+'SUM HH WITHOUT'!$AA$60</f>
        <v>0</v>
      </c>
      <c r="AB65" s="425">
        <f>'SUM HH WITH'!$AB$60+'SUM HH WITHOUT'!$AB$60</f>
        <v>0</v>
      </c>
      <c r="AC65" s="257">
        <f t="shared" si="107"/>
        <v>0</v>
      </c>
      <c r="AD65" s="91">
        <f t="shared" si="108"/>
        <v>0</v>
      </c>
      <c r="AE65" s="425">
        <f>'SUM HH WITH'!$AE$60+'SUM HH WITHOUT'!$AE$60</f>
        <v>0</v>
      </c>
      <c r="AF65" s="425">
        <f>'SUM HH WITH'!$AF$60+'SUM HH WITHOUT'!$AF$60</f>
        <v>0</v>
      </c>
      <c r="AG65" s="257">
        <f t="shared" si="109"/>
        <v>0</v>
      </c>
      <c r="AH65" s="373">
        <f t="shared" si="110"/>
        <v>0</v>
      </c>
      <c r="AI65" s="391">
        <f t="shared" si="95"/>
        <v>5</v>
      </c>
      <c r="AJ65" s="17">
        <f t="shared" si="95"/>
        <v>30</v>
      </c>
      <c r="AK65" s="927">
        <f t="shared" si="96"/>
        <v>35</v>
      </c>
      <c r="AL65" s="91">
        <f t="shared" si="111"/>
        <v>9.2348284960422161E-2</v>
      </c>
    </row>
    <row r="66" spans="1:38" ht="16.5" customHeight="1" x14ac:dyDescent="0.25">
      <c r="A66" s="40"/>
      <c r="B66" s="40"/>
      <c r="C66" s="23"/>
      <c r="D66" s="473" t="s">
        <v>382</v>
      </c>
      <c r="E66" s="562" t="s">
        <v>391</v>
      </c>
      <c r="F66" s="105"/>
      <c r="G66" s="425">
        <f>'SUM HH WITH'!$G$61+'SUM HH WITHOUT'!$G$61</f>
        <v>0</v>
      </c>
      <c r="H66" s="425">
        <f>'SUM HH WITH'!$H$61+'SUM HH WITHOUT'!$H$61</f>
        <v>2</v>
      </c>
      <c r="I66" s="257">
        <f t="shared" si="97"/>
        <v>2</v>
      </c>
      <c r="J66" s="91">
        <f t="shared" si="98"/>
        <v>5.2770448548812663E-3</v>
      </c>
      <c r="K66" s="425">
        <f>'SUM HH WITH'!$K$61+'SUM HH WITHOUT'!$K$61</f>
        <v>0</v>
      </c>
      <c r="L66" s="425">
        <f>'SUM HH WITH'!$L$61+'SUM HH WITHOUT'!$L$61</f>
        <v>0</v>
      </c>
      <c r="M66" s="257">
        <f t="shared" si="99"/>
        <v>0</v>
      </c>
      <c r="N66" s="91">
        <f t="shared" si="100"/>
        <v>0</v>
      </c>
      <c r="O66" s="425">
        <f>'SUM HH WITH'!$O$61+'SUM HH WITHOUT'!$O$61</f>
        <v>0</v>
      </c>
      <c r="P66" s="425">
        <f>'SUM HH WITH'!$P$61+'SUM HH WITHOUT'!$P$61</f>
        <v>0</v>
      </c>
      <c r="Q66" s="257">
        <f t="shared" si="101"/>
        <v>0</v>
      </c>
      <c r="R66" s="91">
        <f t="shared" si="102"/>
        <v>0</v>
      </c>
      <c r="S66" s="425">
        <f>'SUM HH WITH'!$S$61+'SUM HH WITHOUT'!$S$61</f>
        <v>0</v>
      </c>
      <c r="T66" s="425">
        <f>'SUM HH WITH'!$T$61+'SUM HH WITHOUT'!$T$61</f>
        <v>0</v>
      </c>
      <c r="U66" s="257">
        <f t="shared" si="103"/>
        <v>0</v>
      </c>
      <c r="V66" s="91">
        <f t="shared" si="104"/>
        <v>0</v>
      </c>
      <c r="W66" s="425">
        <f>'SUM HH WITH'!$W$61+'SUM HH WITHOUT'!$W$61</f>
        <v>0</v>
      </c>
      <c r="X66" s="425">
        <f>'SUM HH WITH'!$X$61+'SUM HH WITHOUT'!$X$61</f>
        <v>0</v>
      </c>
      <c r="Y66" s="257">
        <f t="shared" si="105"/>
        <v>0</v>
      </c>
      <c r="Z66" s="91">
        <f t="shared" si="106"/>
        <v>0</v>
      </c>
      <c r="AA66" s="425">
        <f>'SUM HH WITH'!$AA$61+'SUM HH WITHOUT'!$AA$61</f>
        <v>0</v>
      </c>
      <c r="AB66" s="425">
        <f>'SUM HH WITH'!$AB$61+'SUM HH WITHOUT'!$AB$61</f>
        <v>0</v>
      </c>
      <c r="AC66" s="257">
        <f t="shared" si="107"/>
        <v>0</v>
      </c>
      <c r="AD66" s="91">
        <f t="shared" si="108"/>
        <v>0</v>
      </c>
      <c r="AE66" s="425">
        <f>'SUM HH WITH'!$AE$61+'SUM HH WITHOUT'!$AE$61</f>
        <v>0</v>
      </c>
      <c r="AF66" s="425">
        <f>'SUM HH WITH'!$AF$61+'SUM HH WITHOUT'!$AF$61</f>
        <v>0</v>
      </c>
      <c r="AG66" s="257">
        <f t="shared" si="109"/>
        <v>0</v>
      </c>
      <c r="AH66" s="373">
        <f t="shared" si="110"/>
        <v>0</v>
      </c>
      <c r="AI66" s="391">
        <f t="shared" si="95"/>
        <v>0</v>
      </c>
      <c r="AJ66" s="17">
        <f t="shared" si="95"/>
        <v>2</v>
      </c>
      <c r="AK66" s="927">
        <f t="shared" si="96"/>
        <v>2</v>
      </c>
      <c r="AL66" s="91">
        <f t="shared" si="111"/>
        <v>5.2770448548812663E-3</v>
      </c>
    </row>
    <row r="67" spans="1:38" ht="16.5" customHeight="1" x14ac:dyDescent="0.25">
      <c r="A67" s="40"/>
      <c r="B67" s="40"/>
      <c r="C67" s="23"/>
      <c r="D67" s="473" t="s">
        <v>383</v>
      </c>
      <c r="E67" s="562" t="s">
        <v>392</v>
      </c>
      <c r="F67" s="105"/>
      <c r="G67" s="425">
        <f>'SUM HH WITH'!$G$62+'SUM HH WITHOUT'!$G$62</f>
        <v>1</v>
      </c>
      <c r="H67" s="425">
        <f>'SUM HH WITH'!$H$62+'SUM HH WITHOUT'!$H$62</f>
        <v>0</v>
      </c>
      <c r="I67" s="257">
        <f t="shared" si="97"/>
        <v>1</v>
      </c>
      <c r="J67" s="91">
        <f t="shared" si="98"/>
        <v>2.6385224274406332E-3</v>
      </c>
      <c r="K67" s="425">
        <f>'SUM HH WITH'!$K$62+'SUM HH WITHOUT'!$K$62</f>
        <v>0</v>
      </c>
      <c r="L67" s="425">
        <f>'SUM HH WITH'!$L$62+'SUM HH WITHOUT'!$L$62</f>
        <v>0</v>
      </c>
      <c r="M67" s="257">
        <f t="shared" si="99"/>
        <v>0</v>
      </c>
      <c r="N67" s="91">
        <f t="shared" si="100"/>
        <v>0</v>
      </c>
      <c r="O67" s="425">
        <f>'SUM HH WITH'!$O$62+'SUM HH WITHOUT'!$O$62</f>
        <v>0</v>
      </c>
      <c r="P67" s="425">
        <f>'SUM HH WITH'!$P$62+'SUM HH WITHOUT'!$P$62</f>
        <v>0</v>
      </c>
      <c r="Q67" s="257">
        <f t="shared" si="101"/>
        <v>0</v>
      </c>
      <c r="R67" s="91">
        <f t="shared" si="102"/>
        <v>0</v>
      </c>
      <c r="S67" s="425">
        <f>'SUM HH WITH'!$S$62+'SUM HH WITHOUT'!$S$62</f>
        <v>0</v>
      </c>
      <c r="T67" s="425">
        <f>'SUM HH WITH'!$T$62+'SUM HH WITHOUT'!$T$62</f>
        <v>0</v>
      </c>
      <c r="U67" s="257">
        <f t="shared" si="103"/>
        <v>0</v>
      </c>
      <c r="V67" s="91">
        <f t="shared" si="104"/>
        <v>0</v>
      </c>
      <c r="W67" s="425">
        <f>'SUM HH WITH'!$W$62+'SUM HH WITHOUT'!$W$62</f>
        <v>0</v>
      </c>
      <c r="X67" s="425">
        <f>'SUM HH WITH'!$X$62+'SUM HH WITHOUT'!$X$62</f>
        <v>0</v>
      </c>
      <c r="Y67" s="257">
        <f t="shared" si="105"/>
        <v>0</v>
      </c>
      <c r="Z67" s="91">
        <f t="shared" si="106"/>
        <v>0</v>
      </c>
      <c r="AA67" s="425">
        <f>'SUM HH WITH'!$AA$62+'SUM HH WITHOUT'!$AA$62</f>
        <v>0</v>
      </c>
      <c r="AB67" s="425">
        <f>'SUM HH WITH'!$AB$62+'SUM HH WITHOUT'!$AB$62</f>
        <v>0</v>
      </c>
      <c r="AC67" s="257">
        <f t="shared" si="107"/>
        <v>0</v>
      </c>
      <c r="AD67" s="91">
        <f t="shared" si="108"/>
        <v>0</v>
      </c>
      <c r="AE67" s="425">
        <f>'SUM HH WITH'!$AE$62+'SUM HH WITHOUT'!$AE$62</f>
        <v>0</v>
      </c>
      <c r="AF67" s="425">
        <f>'SUM HH WITH'!$AF$62+'SUM HH WITHOUT'!$AF$62</f>
        <v>0</v>
      </c>
      <c r="AG67" s="257">
        <f t="shared" si="109"/>
        <v>0</v>
      </c>
      <c r="AH67" s="373">
        <f t="shared" si="110"/>
        <v>0</v>
      </c>
      <c r="AI67" s="391">
        <f t="shared" si="95"/>
        <v>1</v>
      </c>
      <c r="AJ67" s="17">
        <f t="shared" si="95"/>
        <v>0</v>
      </c>
      <c r="AK67" s="927">
        <f t="shared" si="96"/>
        <v>1</v>
      </c>
      <c r="AL67" s="91">
        <f t="shared" si="111"/>
        <v>2.6385224274406332E-3</v>
      </c>
    </row>
    <row r="68" spans="1:38" ht="16.5" customHeight="1" x14ac:dyDescent="0.25">
      <c r="A68" s="40"/>
      <c r="B68" s="179"/>
      <c r="C68" s="40"/>
      <c r="D68" s="78"/>
      <c r="E68" s="78"/>
      <c r="F68" s="184"/>
      <c r="G68" s="82">
        <f>SUM(G54:G67)</f>
        <v>63</v>
      </c>
      <c r="H68" s="82">
        <f>SUM(H54:H67)</f>
        <v>316</v>
      </c>
      <c r="I68" s="82">
        <f t="shared" ref="I68" si="112">SUM(I54:I67)</f>
        <v>379</v>
      </c>
      <c r="J68" s="66">
        <f t="shared" si="98"/>
        <v>1</v>
      </c>
      <c r="K68" s="82">
        <f>SUM(K54:K67)</f>
        <v>0</v>
      </c>
      <c r="L68" s="82">
        <f>SUM(L54:L67)</f>
        <v>0</v>
      </c>
      <c r="M68" s="82">
        <f t="shared" ref="M68" si="113">SUM(M54:M67)</f>
        <v>0</v>
      </c>
      <c r="N68" s="66">
        <f t="shared" si="100"/>
        <v>0</v>
      </c>
      <c r="O68" s="82">
        <f>SUM(O54:O67)</f>
        <v>0</v>
      </c>
      <c r="P68" s="82">
        <f>SUM(P54:P67)</f>
        <v>0</v>
      </c>
      <c r="Q68" s="82">
        <f t="shared" ref="Q68" si="114">SUM(Q54:Q67)</f>
        <v>0</v>
      </c>
      <c r="R68" s="66">
        <f t="shared" si="102"/>
        <v>0</v>
      </c>
      <c r="S68" s="82">
        <f>SUM(S54:S67)</f>
        <v>0</v>
      </c>
      <c r="T68" s="82">
        <f>SUM(T54:T67)</f>
        <v>0</v>
      </c>
      <c r="U68" s="82">
        <f t="shared" ref="U68" si="115">SUM(U54:U67)</f>
        <v>0</v>
      </c>
      <c r="V68" s="66">
        <f t="shared" si="104"/>
        <v>0</v>
      </c>
      <c r="W68" s="82">
        <f>SUM(W54:W67)</f>
        <v>0</v>
      </c>
      <c r="X68" s="82">
        <f>SUM(X54:X67)</f>
        <v>0</v>
      </c>
      <c r="Y68" s="82">
        <f t="shared" ref="Y68" si="116">SUM(Y54:Y67)</f>
        <v>0</v>
      </c>
      <c r="Z68" s="66">
        <f t="shared" si="106"/>
        <v>0</v>
      </c>
      <c r="AA68" s="82">
        <f>SUM(AA54:AA67)</f>
        <v>0</v>
      </c>
      <c r="AB68" s="82">
        <f>SUM(AB54:AB67)</f>
        <v>0</v>
      </c>
      <c r="AC68" s="82">
        <f t="shared" ref="AC68" si="117">SUM(AC54:AC67)</f>
        <v>0</v>
      </c>
      <c r="AD68" s="66">
        <f t="shared" si="108"/>
        <v>0</v>
      </c>
      <c r="AE68" s="82">
        <f>SUM(AE54:AE67)</f>
        <v>0</v>
      </c>
      <c r="AF68" s="82">
        <f>SUM(AF54:AF67)</f>
        <v>0</v>
      </c>
      <c r="AG68" s="82">
        <f t="shared" ref="AG68" si="118">SUM(AG54:AG67)</f>
        <v>0</v>
      </c>
      <c r="AH68" s="608">
        <f t="shared" si="110"/>
        <v>0</v>
      </c>
      <c r="AI68" s="381">
        <f>SUM(AI54:AI67)</f>
        <v>63</v>
      </c>
      <c r="AJ68" s="82">
        <f t="shared" ref="AJ68:AK68" si="119">SUM(AJ54:AJ67)</f>
        <v>316</v>
      </c>
      <c r="AK68" s="82">
        <f t="shared" si="119"/>
        <v>379</v>
      </c>
      <c r="AL68" s="66">
        <f t="shared" si="111"/>
        <v>1</v>
      </c>
    </row>
    <row r="69" spans="1:38" s="117" customFormat="1" ht="16.5" customHeight="1" x14ac:dyDescent="0.25">
      <c r="A69" s="119"/>
      <c r="B69" s="102"/>
      <c r="C69" s="103" t="s">
        <v>33</v>
      </c>
      <c r="D69" s="110" t="s">
        <v>736</v>
      </c>
      <c r="E69" s="108"/>
      <c r="F69" s="108"/>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358"/>
      <c r="AI69" s="380"/>
      <c r="AJ69" s="111"/>
      <c r="AK69" s="111"/>
      <c r="AL69" s="111"/>
    </row>
    <row r="70" spans="1:38" s="117" customFormat="1" ht="16.5" customHeight="1" x14ac:dyDescent="0.25">
      <c r="A70" s="119"/>
      <c r="B70" s="23"/>
      <c r="C70" s="23"/>
      <c r="D70" s="473" t="s">
        <v>34</v>
      </c>
      <c r="E70" s="105" t="s">
        <v>26</v>
      </c>
      <c r="F70" s="105"/>
      <c r="G70" s="425">
        <f>'SUM HH WITH'!$G$65+'SUM HH WITHOUT'!$G$65</f>
        <v>8</v>
      </c>
      <c r="H70" s="425">
        <f>'SUM HH WITH'!$H$65+'SUM HH WITHOUT'!$H$65</f>
        <v>9</v>
      </c>
      <c r="I70" s="927">
        <f>SUM(G70:H70)</f>
        <v>17</v>
      </c>
      <c r="J70" s="91">
        <f>IF(I$74=0,0,I70/I$74)</f>
        <v>0.85</v>
      </c>
      <c r="K70" s="425">
        <f>'SUM HH WITH'!$K$65+'SUM HH WITHOUT'!$K$65</f>
        <v>9</v>
      </c>
      <c r="L70" s="425">
        <f>'SUM HH WITH'!$L$65+'SUM HH WITHOUT'!$L$65</f>
        <v>12</v>
      </c>
      <c r="M70" s="927">
        <f>SUM(K70:L70)</f>
        <v>21</v>
      </c>
      <c r="N70" s="91">
        <f>IF(M$74=0,0,M70/M$74)</f>
        <v>0.7</v>
      </c>
      <c r="O70" s="425">
        <f>'SUM HH WITH'!$O$65+'SUM HH WITHOUT'!$O$65</f>
        <v>4</v>
      </c>
      <c r="P70" s="425">
        <f>'SUM HH WITH'!$P$65+'SUM HH WITHOUT'!$P$65</f>
        <v>7</v>
      </c>
      <c r="Q70" s="927">
        <f>SUM(O70:P70)</f>
        <v>11</v>
      </c>
      <c r="R70" s="91">
        <f>IF(Q$74=0,0,Q70/Q$74)</f>
        <v>0.55000000000000004</v>
      </c>
      <c r="S70" s="425">
        <f>'SUM HH WITH'!$S$65+'SUM HH WITHOUT'!$S$65</f>
        <v>0</v>
      </c>
      <c r="T70" s="425">
        <f>'SUM HH WITH'!$T$65+'SUM HH WITHOUT'!$T$65</f>
        <v>9</v>
      </c>
      <c r="U70" s="927">
        <f>SUM(S70:T70)</f>
        <v>9</v>
      </c>
      <c r="V70" s="91">
        <f>IF(U$74=0,0,U70/U$74)</f>
        <v>0.39130434782608697</v>
      </c>
      <c r="W70" s="425">
        <f>'SUM HH WITH'!$W$65+'SUM HH WITHOUT'!$W$65</f>
        <v>14</v>
      </c>
      <c r="X70" s="425">
        <f>'SUM HH WITH'!$X$65+'SUM HH WITHOUT'!$X$65</f>
        <v>29</v>
      </c>
      <c r="Y70" s="927">
        <f>SUM(W70:X70)</f>
        <v>43</v>
      </c>
      <c r="Z70" s="91">
        <f>IF(Y$74=0,0,Y70/Y$74)</f>
        <v>0.87755102040816324</v>
      </c>
      <c r="AA70" s="425">
        <f>'SUM HH WITH'!$AA$65+'SUM HH WITHOUT'!$AA$65</f>
        <v>0</v>
      </c>
      <c r="AB70" s="425">
        <f>'SUM HH WITH'!$AB$65+'SUM HH WITHOUT'!$AB$65</f>
        <v>10</v>
      </c>
      <c r="AC70" s="927">
        <f>SUM(AA70:AB70)</f>
        <v>10</v>
      </c>
      <c r="AD70" s="91">
        <f>IF(AC$74=0,0,AC70/AC$74)</f>
        <v>0.33333333333333331</v>
      </c>
      <c r="AE70" s="425">
        <f>'SUM HH WITH'!$AE$65+'SUM HH WITHOUT'!$AE$65</f>
        <v>0</v>
      </c>
      <c r="AF70" s="425">
        <f>'SUM HH WITH'!$AF$65+'SUM HH WITHOUT'!$AF$65</f>
        <v>0</v>
      </c>
      <c r="AG70" s="927">
        <f>SUM(AE70:AF70)</f>
        <v>0</v>
      </c>
      <c r="AH70" s="373">
        <f>IF(AG$74=0,0,AG70/AG$74)</f>
        <v>0</v>
      </c>
      <c r="AI70" s="391">
        <f t="shared" ref="AI70:AJ73" si="120">G70+K70+O70+S70+W70+AA70+AE70</f>
        <v>35</v>
      </c>
      <c r="AJ70" s="17">
        <f t="shared" si="120"/>
        <v>76</v>
      </c>
      <c r="AK70" s="927">
        <f>SUM(AI70:AJ70)</f>
        <v>111</v>
      </c>
      <c r="AL70" s="91">
        <f>IF(AK$74=0,0,AK70/AK$74)</f>
        <v>0.64534883720930236</v>
      </c>
    </row>
    <row r="71" spans="1:38" s="117" customFormat="1" ht="16.5" customHeight="1" x14ac:dyDescent="0.25">
      <c r="A71" s="119"/>
      <c r="B71" s="23"/>
      <c r="C71" s="23"/>
      <c r="D71" s="473" t="s">
        <v>36</v>
      </c>
      <c r="E71" s="105" t="s">
        <v>28</v>
      </c>
      <c r="F71" s="105"/>
      <c r="G71" s="425">
        <f>'SUM HH WITH'!$G$66+'SUM HH WITHOUT'!$G$66</f>
        <v>1</v>
      </c>
      <c r="H71" s="425">
        <f>'SUM HH WITH'!$H$66+'SUM HH WITHOUT'!$H$66</f>
        <v>0</v>
      </c>
      <c r="I71" s="927">
        <f>SUM(G71:H71)</f>
        <v>1</v>
      </c>
      <c r="J71" s="91">
        <f>IF(I$74=0,0,I71/I$74)</f>
        <v>0.05</v>
      </c>
      <c r="K71" s="425">
        <f>'SUM HH WITH'!$K$66+'SUM HH WITHOUT'!$K$66</f>
        <v>2</v>
      </c>
      <c r="L71" s="425">
        <f>'SUM HH WITH'!$L$66+'SUM HH WITHOUT'!$L$66</f>
        <v>5</v>
      </c>
      <c r="M71" s="927">
        <f>SUM(K71:L71)</f>
        <v>7</v>
      </c>
      <c r="N71" s="91">
        <f>IF(M$74=0,0,M71/M$74)</f>
        <v>0.23333333333333334</v>
      </c>
      <c r="O71" s="425">
        <f>'SUM HH WITH'!$O$66+'SUM HH WITHOUT'!$O$66</f>
        <v>0</v>
      </c>
      <c r="P71" s="425">
        <f>'SUM HH WITH'!$P$66+'SUM HH WITHOUT'!$P$66</f>
        <v>0</v>
      </c>
      <c r="Q71" s="927">
        <f>SUM(O71:P71)</f>
        <v>0</v>
      </c>
      <c r="R71" s="91">
        <f>IF(Q$74=0,0,Q71/Q$74)</f>
        <v>0</v>
      </c>
      <c r="S71" s="425">
        <f>'SUM HH WITH'!$S$66+'SUM HH WITHOUT'!$S$66</f>
        <v>1</v>
      </c>
      <c r="T71" s="425">
        <f>'SUM HH WITH'!$T$66+'SUM HH WITHOUT'!$T$66</f>
        <v>6</v>
      </c>
      <c r="U71" s="927">
        <f>SUM(S71:T71)</f>
        <v>7</v>
      </c>
      <c r="V71" s="91">
        <f>IF(U$74=0,0,U71/U$74)</f>
        <v>0.30434782608695654</v>
      </c>
      <c r="W71" s="425">
        <f>'SUM HH WITH'!$W$66+'SUM HH WITHOUT'!$W$66</f>
        <v>2</v>
      </c>
      <c r="X71" s="425">
        <f>'SUM HH WITH'!$X$66+'SUM HH WITHOUT'!$X$66</f>
        <v>3</v>
      </c>
      <c r="Y71" s="927">
        <f>SUM(W71:X71)</f>
        <v>5</v>
      </c>
      <c r="Z71" s="91">
        <f>IF(Y$74=0,0,Y71/Y$74)</f>
        <v>0.10204081632653061</v>
      </c>
      <c r="AA71" s="425">
        <f>'SUM HH WITH'!$AA$66+'SUM HH WITHOUT'!$AA$66</f>
        <v>4</v>
      </c>
      <c r="AB71" s="425">
        <f>'SUM HH WITH'!$AB$66+'SUM HH WITHOUT'!$AB$66</f>
        <v>11</v>
      </c>
      <c r="AC71" s="927">
        <f>SUM(AA71:AB71)</f>
        <v>15</v>
      </c>
      <c r="AD71" s="91">
        <f>IF(AC$74=0,0,AC71/AC$74)</f>
        <v>0.5</v>
      </c>
      <c r="AE71" s="425">
        <f>'SUM HH WITH'!$AE$66+'SUM HH WITHOUT'!$AE$66</f>
        <v>0</v>
      </c>
      <c r="AF71" s="425">
        <f>'SUM HH WITH'!$AF$66+'SUM HH WITHOUT'!$AF$66</f>
        <v>0</v>
      </c>
      <c r="AG71" s="927">
        <f>SUM(AE71:AF71)</f>
        <v>0</v>
      </c>
      <c r="AH71" s="373">
        <f>IF(AG$74=0,0,AG71/AG$74)</f>
        <v>0</v>
      </c>
      <c r="AI71" s="391">
        <f t="shared" si="120"/>
        <v>10</v>
      </c>
      <c r="AJ71" s="17">
        <f t="shared" si="120"/>
        <v>25</v>
      </c>
      <c r="AK71" s="927">
        <f>SUM(AI71:AJ71)</f>
        <v>35</v>
      </c>
      <c r="AL71" s="91">
        <f>IF(AK$74=0,0,AK71/AK$74)</f>
        <v>0.20348837209302326</v>
      </c>
    </row>
    <row r="72" spans="1:38" s="117" customFormat="1" ht="16.5" customHeight="1" x14ac:dyDescent="0.25">
      <c r="A72" s="119"/>
      <c r="B72" s="23"/>
      <c r="C72" s="23"/>
      <c r="D72" s="473" t="s">
        <v>38</v>
      </c>
      <c r="E72" s="105" t="s">
        <v>30</v>
      </c>
      <c r="F72" s="105"/>
      <c r="G72" s="425">
        <f>'SUM HH WITH'!$G$67+'SUM HH WITHOUT'!$G$67</f>
        <v>0</v>
      </c>
      <c r="H72" s="425">
        <f>'SUM HH WITH'!$H$67+'SUM HH WITHOUT'!$H$67</f>
        <v>2</v>
      </c>
      <c r="I72" s="927">
        <f>SUM(G72:H72)</f>
        <v>2</v>
      </c>
      <c r="J72" s="91">
        <f>IF(I$74=0,0,I72/I$74)</f>
        <v>0.1</v>
      </c>
      <c r="K72" s="425">
        <f>'SUM HH WITH'!$K$67+'SUM HH WITHOUT'!$K$67</f>
        <v>2</v>
      </c>
      <c r="L72" s="425">
        <f>'SUM HH WITH'!$L$67+'SUM HH WITHOUT'!$L$67</f>
        <v>0</v>
      </c>
      <c r="M72" s="927">
        <f>SUM(K72:L72)</f>
        <v>2</v>
      </c>
      <c r="N72" s="91">
        <f>IF(M$74=0,0,M72/M$74)</f>
        <v>6.6666666666666666E-2</v>
      </c>
      <c r="O72" s="425">
        <f>'SUM HH WITH'!$O$67+'SUM HH WITHOUT'!$O$67</f>
        <v>0</v>
      </c>
      <c r="P72" s="425">
        <f>'SUM HH WITH'!$P$67+'SUM HH WITHOUT'!$P$67</f>
        <v>0</v>
      </c>
      <c r="Q72" s="927">
        <f>SUM(O72:P72)</f>
        <v>0</v>
      </c>
      <c r="R72" s="91">
        <f>IF(Q$74=0,0,Q72/Q$74)</f>
        <v>0</v>
      </c>
      <c r="S72" s="425">
        <f>'SUM HH WITH'!$S$67+'SUM HH WITHOUT'!$S$67</f>
        <v>0</v>
      </c>
      <c r="T72" s="425">
        <f>'SUM HH WITH'!$T$67+'SUM HH WITHOUT'!$T$67</f>
        <v>7</v>
      </c>
      <c r="U72" s="927">
        <f>SUM(S72:T72)</f>
        <v>7</v>
      </c>
      <c r="V72" s="91">
        <f>IF(U$74=0,0,U72/U$74)</f>
        <v>0.30434782608695654</v>
      </c>
      <c r="W72" s="425">
        <f>'SUM HH WITH'!$W$67+'SUM HH WITHOUT'!$W$67</f>
        <v>1</v>
      </c>
      <c r="X72" s="425">
        <f>'SUM HH WITH'!$X$67+'SUM HH WITHOUT'!$X$67</f>
        <v>0</v>
      </c>
      <c r="Y72" s="927">
        <f>SUM(W72:X72)</f>
        <v>1</v>
      </c>
      <c r="Z72" s="91">
        <f>IF(Y$74=0,0,Y72/Y$74)</f>
        <v>2.0408163265306121E-2</v>
      </c>
      <c r="AA72" s="425">
        <f>'SUM HH WITH'!$AA$67+'SUM HH WITHOUT'!$AA$67</f>
        <v>1</v>
      </c>
      <c r="AB72" s="425">
        <f>'SUM HH WITH'!$AB$67+'SUM HH WITHOUT'!$AB$67</f>
        <v>4</v>
      </c>
      <c r="AC72" s="927">
        <f>SUM(AA72:AB72)</f>
        <v>5</v>
      </c>
      <c r="AD72" s="91">
        <f>IF(AC$74=0,0,AC72/AC$74)</f>
        <v>0.16666666666666666</v>
      </c>
      <c r="AE72" s="425">
        <f>'SUM HH WITH'!$AE$67+'SUM HH WITHOUT'!$AE$67</f>
        <v>0</v>
      </c>
      <c r="AF72" s="425">
        <f>'SUM HH WITH'!$AF$67+'SUM HH WITHOUT'!$AF$67</f>
        <v>0</v>
      </c>
      <c r="AG72" s="927">
        <f>SUM(AE72:AF72)</f>
        <v>0</v>
      </c>
      <c r="AH72" s="373">
        <f>IF(AG$74=0,0,AG72/AG$74)</f>
        <v>0</v>
      </c>
      <c r="AI72" s="391">
        <f t="shared" si="120"/>
        <v>4</v>
      </c>
      <c r="AJ72" s="17">
        <f t="shared" si="120"/>
        <v>13</v>
      </c>
      <c r="AK72" s="927">
        <f>SUM(AI72:AJ72)</f>
        <v>17</v>
      </c>
      <c r="AL72" s="91">
        <f>IF(AK$74=0,0,AK72/AK$74)</f>
        <v>9.8837209302325577E-2</v>
      </c>
    </row>
    <row r="73" spans="1:38" s="117" customFormat="1" ht="16.5" customHeight="1" x14ac:dyDescent="0.25">
      <c r="A73" s="119"/>
      <c r="B73" s="23"/>
      <c r="C73" s="23"/>
      <c r="D73" s="473" t="s">
        <v>40</v>
      </c>
      <c r="E73" s="105" t="s">
        <v>32</v>
      </c>
      <c r="F73" s="105"/>
      <c r="G73" s="425">
        <f>'SUM HH WITH'!$G$68+'SUM HH WITHOUT'!$G$68</f>
        <v>0</v>
      </c>
      <c r="H73" s="425">
        <f>'SUM HH WITH'!$H$68+'SUM HH WITHOUT'!$H$68</f>
        <v>0</v>
      </c>
      <c r="I73" s="927">
        <f>SUM(G73:H73)</f>
        <v>0</v>
      </c>
      <c r="J73" s="91">
        <f>IF(I$74=0,0,I73/I$74)</f>
        <v>0</v>
      </c>
      <c r="K73" s="425">
        <f>'SUM HH WITH'!$K$68+'SUM HH WITHOUT'!$K$68</f>
        <v>0</v>
      </c>
      <c r="L73" s="425">
        <f>'SUM HH WITH'!$L$68+'SUM HH WITHOUT'!$L$68</f>
        <v>0</v>
      </c>
      <c r="M73" s="927">
        <f>SUM(K73:L73)</f>
        <v>0</v>
      </c>
      <c r="N73" s="91">
        <f>IF(M$74=0,0,M73/M$74)</f>
        <v>0</v>
      </c>
      <c r="O73" s="425">
        <f>'SUM HH WITH'!$O$68+'SUM HH WITHOUT'!$O$68</f>
        <v>0</v>
      </c>
      <c r="P73" s="425">
        <f>'SUM HH WITH'!$P$68+'SUM HH WITHOUT'!$P$68</f>
        <v>9</v>
      </c>
      <c r="Q73" s="927">
        <f>SUM(O73:P73)</f>
        <v>9</v>
      </c>
      <c r="R73" s="91">
        <f>IF(Q$74=0,0,Q73/Q$74)</f>
        <v>0.45</v>
      </c>
      <c r="S73" s="425">
        <f>'SUM HH WITH'!$S$68+'SUM HH WITHOUT'!$S$68</f>
        <v>0</v>
      </c>
      <c r="T73" s="425">
        <f>'SUM HH WITH'!$T$68+'SUM HH WITHOUT'!$T$68</f>
        <v>0</v>
      </c>
      <c r="U73" s="927">
        <f>SUM(S73:T73)</f>
        <v>0</v>
      </c>
      <c r="V73" s="91">
        <f>IF(U$74=0,0,U73/U$74)</f>
        <v>0</v>
      </c>
      <c r="W73" s="425">
        <f>'SUM HH WITH'!$W$68+'SUM HH WITHOUT'!$W$68</f>
        <v>0</v>
      </c>
      <c r="X73" s="425">
        <f>'SUM HH WITH'!$X$68+'SUM HH WITHOUT'!$X$68</f>
        <v>0</v>
      </c>
      <c r="Y73" s="927">
        <f>SUM(W73:X73)</f>
        <v>0</v>
      </c>
      <c r="Z73" s="91">
        <f>IF(Y$74=0,0,Y73/Y$74)</f>
        <v>0</v>
      </c>
      <c r="AA73" s="425">
        <f>'SUM HH WITH'!$AA$68+'SUM HH WITHOUT'!$AA$68</f>
        <v>0</v>
      </c>
      <c r="AB73" s="425">
        <f>'SUM HH WITH'!$AB$68+'SUM HH WITHOUT'!$AB$68</f>
        <v>0</v>
      </c>
      <c r="AC73" s="927">
        <f>SUM(AA73:AB73)</f>
        <v>0</v>
      </c>
      <c r="AD73" s="91">
        <f>IF(AC$74=0,0,AC73/AC$74)</f>
        <v>0</v>
      </c>
      <c r="AE73" s="425">
        <f>'SUM HH WITH'!$AE$68+'SUM HH WITHOUT'!$AE$68</f>
        <v>0</v>
      </c>
      <c r="AF73" s="425">
        <f>'SUM HH WITH'!$AF$68+'SUM HH WITHOUT'!$AF$68</f>
        <v>0</v>
      </c>
      <c r="AG73" s="927">
        <f>SUM(AE73:AF73)</f>
        <v>0</v>
      </c>
      <c r="AH73" s="373">
        <f>IF(AG$74=0,0,AG73/AG$74)</f>
        <v>0</v>
      </c>
      <c r="AI73" s="391">
        <f t="shared" si="120"/>
        <v>0</v>
      </c>
      <c r="AJ73" s="17">
        <f t="shared" si="120"/>
        <v>9</v>
      </c>
      <c r="AK73" s="927">
        <f>SUM(AI73:AJ73)</f>
        <v>9</v>
      </c>
      <c r="AL73" s="91">
        <f>IF(AK$74=0,0,AK73/AK$74)</f>
        <v>5.232558139534884E-2</v>
      </c>
    </row>
    <row r="74" spans="1:38" s="117" customFormat="1" ht="16.5" customHeight="1" x14ac:dyDescent="0.25">
      <c r="A74" s="119"/>
      <c r="B74" s="119"/>
      <c r="C74" s="119"/>
      <c r="D74" s="185"/>
      <c r="E74" s="184"/>
      <c r="F74" s="469"/>
      <c r="G74" s="82">
        <f>SUM(G70:G73)</f>
        <v>9</v>
      </c>
      <c r="H74" s="82">
        <f>SUM(H70:H73)</f>
        <v>11</v>
      </c>
      <c r="I74" s="82">
        <f>SUM(I70:I73)</f>
        <v>20</v>
      </c>
      <c r="J74" s="66">
        <f>IF(I$74=0,0,I74/I$74)</f>
        <v>1</v>
      </c>
      <c r="K74" s="82">
        <f>SUM(K70:K73)</f>
        <v>13</v>
      </c>
      <c r="L74" s="82">
        <f>SUM(L70:L73)</f>
        <v>17</v>
      </c>
      <c r="M74" s="82">
        <f>SUM(M70:M73)</f>
        <v>30</v>
      </c>
      <c r="N74" s="66">
        <f>IF(M$74=0,0,M74/M$74)</f>
        <v>1</v>
      </c>
      <c r="O74" s="82">
        <f>SUM(O70:O73)</f>
        <v>4</v>
      </c>
      <c r="P74" s="82">
        <f>SUM(P70:P73)</f>
        <v>16</v>
      </c>
      <c r="Q74" s="82">
        <f>SUM(Q70:Q73)</f>
        <v>20</v>
      </c>
      <c r="R74" s="66">
        <f>IF(Q$74=0,0,Q74/Q$74)</f>
        <v>1</v>
      </c>
      <c r="S74" s="82">
        <f>SUM(S70:S73)</f>
        <v>1</v>
      </c>
      <c r="T74" s="82">
        <f>SUM(T70:T73)</f>
        <v>22</v>
      </c>
      <c r="U74" s="82">
        <f>SUM(U70:U73)</f>
        <v>23</v>
      </c>
      <c r="V74" s="66">
        <f>IF(U$74=0,0,U74/U$74)</f>
        <v>1</v>
      </c>
      <c r="W74" s="82">
        <f>SUM(W70:W73)</f>
        <v>17</v>
      </c>
      <c r="X74" s="82">
        <f>SUM(X70:X73)</f>
        <v>32</v>
      </c>
      <c r="Y74" s="82">
        <f>SUM(Y70:Y73)</f>
        <v>49</v>
      </c>
      <c r="Z74" s="66">
        <f>IF(Y$74=0,0,Y74/Y$74)</f>
        <v>1</v>
      </c>
      <c r="AA74" s="82">
        <f>SUM(AA70:AA73)</f>
        <v>5</v>
      </c>
      <c r="AB74" s="82">
        <f>SUM(AB70:AB73)</f>
        <v>25</v>
      </c>
      <c r="AC74" s="82">
        <f>SUM(AC70:AC73)</f>
        <v>30</v>
      </c>
      <c r="AD74" s="66">
        <f>IF(AC$74=0,0,AC74/AC$74)</f>
        <v>1</v>
      </c>
      <c r="AE74" s="82">
        <f>SUM(AE70:AE73)</f>
        <v>0</v>
      </c>
      <c r="AF74" s="82">
        <f>SUM(AF70:AF73)</f>
        <v>0</v>
      </c>
      <c r="AG74" s="82">
        <f>SUM(AG70:AG73)</f>
        <v>0</v>
      </c>
      <c r="AH74" s="608">
        <f>IF(AG$74=0,0,AG74/AG$74)</f>
        <v>0</v>
      </c>
      <c r="AI74" s="381">
        <f>SUM(AI70:AI73)</f>
        <v>49</v>
      </c>
      <c r="AJ74" s="82">
        <f>SUM(AJ70:AJ73)</f>
        <v>123</v>
      </c>
      <c r="AK74" s="82">
        <f>SUM(AK70:AK73)</f>
        <v>172</v>
      </c>
      <c r="AL74" s="66">
        <f>IF(AK$74=0,0,AK74/AK$74)</f>
        <v>1</v>
      </c>
    </row>
    <row r="75" spans="1:38" s="117" customFormat="1" ht="16.5" customHeight="1" x14ac:dyDescent="0.25">
      <c r="A75" s="119"/>
      <c r="B75" s="119"/>
      <c r="C75" s="103" t="s">
        <v>393</v>
      </c>
      <c r="D75" s="110" t="s">
        <v>737</v>
      </c>
      <c r="E75" s="108"/>
      <c r="F75" s="108"/>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932"/>
      <c r="AF75" s="932"/>
      <c r="AG75" s="932"/>
      <c r="AH75" s="364"/>
      <c r="AI75" s="385"/>
      <c r="AJ75" s="932"/>
      <c r="AK75" s="932"/>
      <c r="AL75" s="932"/>
    </row>
    <row r="76" spans="1:38" s="117" customFormat="1" ht="16.5" customHeight="1" x14ac:dyDescent="0.25">
      <c r="A76" s="119"/>
      <c r="B76" s="119"/>
      <c r="C76" s="118"/>
      <c r="D76" s="474" t="s">
        <v>394</v>
      </c>
      <c r="E76" s="475" t="s">
        <v>35</v>
      </c>
      <c r="F76" s="475"/>
      <c r="G76" s="425">
        <f>'SUM HH WITH'!$G$71+'SUM HH WITHOUT'!$G$71</f>
        <v>7</v>
      </c>
      <c r="H76" s="425">
        <f>'SUM HH WITH'!$H$71+'SUM HH WITHOUT'!$H$71</f>
        <v>8</v>
      </c>
      <c r="I76" s="927">
        <f>SUM(G76:H76)</f>
        <v>15</v>
      </c>
      <c r="J76" s="91">
        <f t="shared" ref="J76:J81" si="121">IF(I$81=0,0,I76/I$81)</f>
        <v>0.75</v>
      </c>
      <c r="K76" s="425">
        <f>'SUM HH WITH'!$K$71+'SUM HH WITHOUT'!$K$71</f>
        <v>13</v>
      </c>
      <c r="L76" s="425">
        <f>'SUM HH WITH'!$L$71+'SUM HH WITHOUT'!$L$71</f>
        <v>17</v>
      </c>
      <c r="M76" s="927">
        <f>SUM(K76:L76)</f>
        <v>30</v>
      </c>
      <c r="N76" s="91">
        <f t="shared" ref="N76:N81" si="122">IF(M$81=0,0,M76/M$81)</f>
        <v>1</v>
      </c>
      <c r="O76" s="425">
        <f>'SUM HH WITH'!$O$71+'SUM HH WITHOUT'!$O$71</f>
        <v>4</v>
      </c>
      <c r="P76" s="425">
        <f>'SUM HH WITH'!$P$71+'SUM HH WITHOUT'!$P$71</f>
        <v>16</v>
      </c>
      <c r="Q76" s="927">
        <f>SUM(O76:P76)</f>
        <v>20</v>
      </c>
      <c r="R76" s="91">
        <f t="shared" ref="R76:R81" si="123">IF(Q$81=0,0,Q76/Q$81)</f>
        <v>1</v>
      </c>
      <c r="S76" s="425">
        <f>'SUM HH WITH'!$S$71+'SUM HH WITHOUT'!$S$71</f>
        <v>1</v>
      </c>
      <c r="T76" s="425">
        <f>'SUM HH WITH'!$T$71+'SUM HH WITHOUT'!$T$71</f>
        <v>22</v>
      </c>
      <c r="U76" s="927">
        <f>SUM(S76:T76)</f>
        <v>23</v>
      </c>
      <c r="V76" s="91">
        <f t="shared" ref="V76:V81" si="124">IF(U$81=0,0,U76/U$81)</f>
        <v>1</v>
      </c>
      <c r="W76" s="425">
        <f>'SUM HH WITH'!$W$71+'SUM HH WITHOUT'!$W$71</f>
        <v>17</v>
      </c>
      <c r="X76" s="425">
        <f>'SUM HH WITH'!$X$71+'SUM HH WITHOUT'!$X$71</f>
        <v>32</v>
      </c>
      <c r="Y76" s="927">
        <f>SUM(W76:X76)</f>
        <v>49</v>
      </c>
      <c r="Z76" s="91">
        <f t="shared" ref="Z76:Z81" si="125">IF(Y$81=0,0,Y76/Y$81)</f>
        <v>1</v>
      </c>
      <c r="AA76" s="425">
        <f>'SUM HH WITH'!$AA$71+'SUM HH WITHOUT'!$AA$71</f>
        <v>2</v>
      </c>
      <c r="AB76" s="425">
        <f>'SUM HH WITH'!$AB$71+'SUM HH WITHOUT'!$AB$71</f>
        <v>21</v>
      </c>
      <c r="AC76" s="927">
        <f>SUM(AA76:AB76)</f>
        <v>23</v>
      </c>
      <c r="AD76" s="91">
        <f t="shared" ref="AD76:AD81" si="126">IF(AC$81=0,0,AC76/AC$81)</f>
        <v>0.76666666666666672</v>
      </c>
      <c r="AE76" s="425">
        <f>'SUM HH WITH'!$AE$71+'SUM HH WITHOUT'!$AE$71</f>
        <v>0</v>
      </c>
      <c r="AF76" s="425">
        <f>'SUM HH WITH'!$AF$71+'SUM HH WITHOUT'!$AF$71</f>
        <v>0</v>
      </c>
      <c r="AG76" s="927">
        <f>SUM(AE76:AF76)</f>
        <v>0</v>
      </c>
      <c r="AH76" s="373">
        <f t="shared" ref="AH76:AH81" si="127">IF(AG$81=0,0,AG76/AG$81)</f>
        <v>0</v>
      </c>
      <c r="AI76" s="391">
        <f t="shared" ref="AI76:AJ80" si="128">G76+K76+O76+S76+W76+AA76+AE76</f>
        <v>44</v>
      </c>
      <c r="AJ76" s="17">
        <f t="shared" si="128"/>
        <v>116</v>
      </c>
      <c r="AK76" s="927">
        <f>SUM(AI76:AJ76)</f>
        <v>160</v>
      </c>
      <c r="AL76" s="91">
        <f t="shared" ref="AL76:AL81" si="129">IF(AK$81=0,0,AK76/AK$81)</f>
        <v>0.93023255813953487</v>
      </c>
    </row>
    <row r="77" spans="1:38" s="117" customFormat="1" ht="16.5" customHeight="1" x14ac:dyDescent="0.25">
      <c r="A77" s="119"/>
      <c r="B77" s="119"/>
      <c r="C77" s="118"/>
      <c r="D77" s="474" t="s">
        <v>395</v>
      </c>
      <c r="E77" s="475" t="s">
        <v>37</v>
      </c>
      <c r="F77" s="475"/>
      <c r="G77" s="425">
        <f>'SUM HH WITH'!$G$72+'SUM HH WITHOUT'!$G$72</f>
        <v>2</v>
      </c>
      <c r="H77" s="425">
        <f>'SUM HH WITH'!$H$72+'SUM HH WITHOUT'!$H$72</f>
        <v>3</v>
      </c>
      <c r="I77" s="927">
        <f>SUM(G77:H77)</f>
        <v>5</v>
      </c>
      <c r="J77" s="91">
        <f t="shared" si="121"/>
        <v>0.25</v>
      </c>
      <c r="K77" s="425">
        <f>'SUM HH WITH'!$K$72+'SUM HH WITHOUT'!$K$72</f>
        <v>0</v>
      </c>
      <c r="L77" s="425">
        <f>'SUM HH WITH'!$L$72+'SUM HH WITHOUT'!$L$72</f>
        <v>0</v>
      </c>
      <c r="M77" s="927">
        <f>SUM(K77:L77)</f>
        <v>0</v>
      </c>
      <c r="N77" s="91">
        <f t="shared" si="122"/>
        <v>0</v>
      </c>
      <c r="O77" s="425">
        <f>'SUM HH WITH'!$O$72+'SUM HH WITHOUT'!$O$72</f>
        <v>0</v>
      </c>
      <c r="P77" s="425">
        <f>'SUM HH WITH'!$P$72+'SUM HH WITHOUT'!$P$72</f>
        <v>0</v>
      </c>
      <c r="Q77" s="927">
        <f>SUM(O77:P77)</f>
        <v>0</v>
      </c>
      <c r="R77" s="91">
        <f t="shared" si="123"/>
        <v>0</v>
      </c>
      <c r="S77" s="425">
        <f>'SUM HH WITH'!$S$72+'SUM HH WITHOUT'!$S$72</f>
        <v>0</v>
      </c>
      <c r="T77" s="425">
        <f>'SUM HH WITH'!$T$72+'SUM HH WITHOUT'!$T$72</f>
        <v>0</v>
      </c>
      <c r="U77" s="927">
        <f>SUM(S77:T77)</f>
        <v>0</v>
      </c>
      <c r="V77" s="91">
        <f t="shared" si="124"/>
        <v>0</v>
      </c>
      <c r="W77" s="425">
        <f>'SUM HH WITH'!$W$72+'SUM HH WITHOUT'!$W$72</f>
        <v>0</v>
      </c>
      <c r="X77" s="425">
        <f>'SUM HH WITH'!$X$72+'SUM HH WITHOUT'!$X$72</f>
        <v>0</v>
      </c>
      <c r="Y77" s="927">
        <f>SUM(W77:X77)</f>
        <v>0</v>
      </c>
      <c r="Z77" s="91">
        <f t="shared" si="125"/>
        <v>0</v>
      </c>
      <c r="AA77" s="425">
        <f>'SUM HH WITH'!$AA$72+'SUM HH WITHOUT'!$AA$72</f>
        <v>0</v>
      </c>
      <c r="AB77" s="425">
        <f>'SUM HH WITH'!$AB$72+'SUM HH WITHOUT'!$AB$72</f>
        <v>0</v>
      </c>
      <c r="AC77" s="927">
        <f>SUM(AA77:AB77)</f>
        <v>0</v>
      </c>
      <c r="AD77" s="91">
        <f t="shared" si="126"/>
        <v>0</v>
      </c>
      <c r="AE77" s="425">
        <f>'SUM HH WITH'!$AE$72+'SUM HH WITHOUT'!$AE$72</f>
        <v>0</v>
      </c>
      <c r="AF77" s="425">
        <f>'SUM HH WITH'!$AF$72+'SUM HH WITHOUT'!$AF$72</f>
        <v>0</v>
      </c>
      <c r="AG77" s="927">
        <f>SUM(AE77:AF77)</f>
        <v>0</v>
      </c>
      <c r="AH77" s="373">
        <f t="shared" si="127"/>
        <v>0</v>
      </c>
      <c r="AI77" s="391">
        <f t="shared" si="128"/>
        <v>2</v>
      </c>
      <c r="AJ77" s="17">
        <f t="shared" si="128"/>
        <v>3</v>
      </c>
      <c r="AK77" s="927">
        <f>SUM(AI77:AJ77)</f>
        <v>5</v>
      </c>
      <c r="AL77" s="91">
        <f t="shared" si="129"/>
        <v>2.9069767441860465E-2</v>
      </c>
    </row>
    <row r="78" spans="1:38" s="117" customFormat="1" ht="16.5" customHeight="1" x14ac:dyDescent="0.25">
      <c r="A78" s="119"/>
      <c r="B78" s="119"/>
      <c r="C78" s="118"/>
      <c r="D78" s="474" t="s">
        <v>396</v>
      </c>
      <c r="E78" s="475" t="s">
        <v>39</v>
      </c>
      <c r="F78" s="475"/>
      <c r="G78" s="425">
        <f>'SUM HH WITH'!$G$73+'SUM HH WITHOUT'!$G$73</f>
        <v>0</v>
      </c>
      <c r="H78" s="425">
        <f>'SUM HH WITH'!$H$73+'SUM HH WITHOUT'!$H$73</f>
        <v>0</v>
      </c>
      <c r="I78" s="927">
        <f>SUM(G78:H78)</f>
        <v>0</v>
      </c>
      <c r="J78" s="91">
        <f t="shared" si="121"/>
        <v>0</v>
      </c>
      <c r="K78" s="425">
        <f>'SUM HH WITH'!$K$73+'SUM HH WITHOUT'!$K$73</f>
        <v>0</v>
      </c>
      <c r="L78" s="425">
        <f>'SUM HH WITH'!$L$73+'SUM HH WITHOUT'!$L$73</f>
        <v>0</v>
      </c>
      <c r="M78" s="927">
        <f>SUM(K78:L78)</f>
        <v>0</v>
      </c>
      <c r="N78" s="91">
        <f t="shared" si="122"/>
        <v>0</v>
      </c>
      <c r="O78" s="425">
        <f>'SUM HH WITH'!$O$73+'SUM HH WITHOUT'!$O$73</f>
        <v>0</v>
      </c>
      <c r="P78" s="425">
        <f>'SUM HH WITH'!$P$73+'SUM HH WITHOUT'!$P$73</f>
        <v>0</v>
      </c>
      <c r="Q78" s="927">
        <f>SUM(O78:P78)</f>
        <v>0</v>
      </c>
      <c r="R78" s="91">
        <f t="shared" si="123"/>
        <v>0</v>
      </c>
      <c r="S78" s="425">
        <f>'SUM HH WITH'!$S$73+'SUM HH WITHOUT'!$S$73</f>
        <v>0</v>
      </c>
      <c r="T78" s="425">
        <f>'SUM HH WITH'!$T$73+'SUM HH WITHOUT'!$T$73</f>
        <v>0</v>
      </c>
      <c r="U78" s="927">
        <f>SUM(S78:T78)</f>
        <v>0</v>
      </c>
      <c r="V78" s="91">
        <f t="shared" si="124"/>
        <v>0</v>
      </c>
      <c r="W78" s="425">
        <f>'SUM HH WITH'!$W$73+'SUM HH WITHOUT'!$W$73</f>
        <v>0</v>
      </c>
      <c r="X78" s="425">
        <f>'SUM HH WITH'!$X$73+'SUM HH WITHOUT'!$X$73</f>
        <v>0</v>
      </c>
      <c r="Y78" s="927">
        <f>SUM(W78:X78)</f>
        <v>0</v>
      </c>
      <c r="Z78" s="91">
        <f t="shared" si="125"/>
        <v>0</v>
      </c>
      <c r="AA78" s="425">
        <f>'SUM HH WITH'!$AA$73+'SUM HH WITHOUT'!$AA$73</f>
        <v>3</v>
      </c>
      <c r="AB78" s="425">
        <f>'SUM HH WITH'!$AB$73+'SUM HH WITHOUT'!$AB$73</f>
        <v>4</v>
      </c>
      <c r="AC78" s="927">
        <f>SUM(AA78:AB78)</f>
        <v>7</v>
      </c>
      <c r="AD78" s="91">
        <f t="shared" si="126"/>
        <v>0.23333333333333334</v>
      </c>
      <c r="AE78" s="425">
        <f>'SUM HH WITH'!$AE$73+'SUM HH WITHOUT'!$AE$73</f>
        <v>0</v>
      </c>
      <c r="AF78" s="425">
        <f>'SUM HH WITH'!$AF$73+'SUM HH WITHOUT'!$AF$73</f>
        <v>0</v>
      </c>
      <c r="AG78" s="927">
        <f>SUM(AE78:AF78)</f>
        <v>0</v>
      </c>
      <c r="AH78" s="373">
        <f t="shared" si="127"/>
        <v>0</v>
      </c>
      <c r="AI78" s="391">
        <f t="shared" si="128"/>
        <v>3</v>
      </c>
      <c r="AJ78" s="17">
        <f t="shared" si="128"/>
        <v>4</v>
      </c>
      <c r="AK78" s="927">
        <f>SUM(AI78:AJ78)</f>
        <v>7</v>
      </c>
      <c r="AL78" s="91">
        <f t="shared" si="129"/>
        <v>4.0697674418604654E-2</v>
      </c>
    </row>
    <row r="79" spans="1:38" s="117" customFormat="1" ht="16.5" customHeight="1" x14ac:dyDescent="0.25">
      <c r="A79" s="119"/>
      <c r="B79" s="119"/>
      <c r="C79" s="118"/>
      <c r="D79" s="474" t="s">
        <v>397</v>
      </c>
      <c r="E79" s="475" t="s">
        <v>41</v>
      </c>
      <c r="F79" s="475"/>
      <c r="G79" s="425">
        <f>'SUM HH WITH'!$G$74+'SUM HH WITHOUT'!$G$74</f>
        <v>0</v>
      </c>
      <c r="H79" s="425">
        <f>'SUM HH WITH'!$H$74+'SUM HH WITHOUT'!$H$74</f>
        <v>0</v>
      </c>
      <c r="I79" s="927">
        <f>SUM(G79:H79)</f>
        <v>0</v>
      </c>
      <c r="J79" s="91">
        <f t="shared" si="121"/>
        <v>0</v>
      </c>
      <c r="K79" s="425">
        <f>'SUM HH WITH'!$K$74+'SUM HH WITHOUT'!$K$74</f>
        <v>0</v>
      </c>
      <c r="L79" s="425">
        <f>'SUM HH WITH'!$L$74+'SUM HH WITHOUT'!$L$74</f>
        <v>0</v>
      </c>
      <c r="M79" s="927">
        <f>SUM(K79:L79)</f>
        <v>0</v>
      </c>
      <c r="N79" s="91">
        <f t="shared" si="122"/>
        <v>0</v>
      </c>
      <c r="O79" s="425">
        <f>'SUM HH WITH'!$O$74+'SUM HH WITHOUT'!$O$74</f>
        <v>0</v>
      </c>
      <c r="P79" s="425">
        <f>'SUM HH WITH'!$P$74+'SUM HH WITHOUT'!$P$74</f>
        <v>0</v>
      </c>
      <c r="Q79" s="927">
        <f>SUM(O79:P79)</f>
        <v>0</v>
      </c>
      <c r="R79" s="91">
        <f t="shared" si="123"/>
        <v>0</v>
      </c>
      <c r="S79" s="425">
        <f>'SUM HH WITH'!$S$74+'SUM HH WITHOUT'!$S$74</f>
        <v>0</v>
      </c>
      <c r="T79" s="425">
        <f>'SUM HH WITH'!$T$74+'SUM HH WITHOUT'!$T$74</f>
        <v>0</v>
      </c>
      <c r="U79" s="927">
        <f>SUM(S79:T79)</f>
        <v>0</v>
      </c>
      <c r="V79" s="91">
        <f t="shared" si="124"/>
        <v>0</v>
      </c>
      <c r="W79" s="425">
        <f>'SUM HH WITH'!$W$74+'SUM HH WITHOUT'!$W$74</f>
        <v>0</v>
      </c>
      <c r="X79" s="425">
        <f>'SUM HH WITH'!$X$74+'SUM HH WITHOUT'!$X$74</f>
        <v>0</v>
      </c>
      <c r="Y79" s="927">
        <f>SUM(W79:X79)</f>
        <v>0</v>
      </c>
      <c r="Z79" s="91">
        <f t="shared" si="125"/>
        <v>0</v>
      </c>
      <c r="AA79" s="425">
        <f>'SUM HH WITH'!$AA$74+'SUM HH WITHOUT'!$AA$74</f>
        <v>0</v>
      </c>
      <c r="AB79" s="425">
        <f>'SUM HH WITH'!$AB$74+'SUM HH WITHOUT'!$AB$74</f>
        <v>0</v>
      </c>
      <c r="AC79" s="927">
        <f>SUM(AA79:AB79)</f>
        <v>0</v>
      </c>
      <c r="AD79" s="91">
        <f t="shared" si="126"/>
        <v>0</v>
      </c>
      <c r="AE79" s="425">
        <f>'SUM HH WITH'!$AE$74+'SUM HH WITHOUT'!$AE$74</f>
        <v>0</v>
      </c>
      <c r="AF79" s="425">
        <f>'SUM HH WITH'!$AF$74+'SUM HH WITHOUT'!$AF$74</f>
        <v>0</v>
      </c>
      <c r="AG79" s="927">
        <f>SUM(AE79:AF79)</f>
        <v>0</v>
      </c>
      <c r="AH79" s="373">
        <f t="shared" si="127"/>
        <v>0</v>
      </c>
      <c r="AI79" s="391">
        <f t="shared" si="128"/>
        <v>0</v>
      </c>
      <c r="AJ79" s="17">
        <f t="shared" si="128"/>
        <v>0</v>
      </c>
      <c r="AK79" s="927">
        <f>SUM(AI79:AJ79)</f>
        <v>0</v>
      </c>
      <c r="AL79" s="91">
        <f t="shared" si="129"/>
        <v>0</v>
      </c>
    </row>
    <row r="80" spans="1:38" s="117" customFormat="1" ht="16.5" customHeight="1" x14ac:dyDescent="0.25">
      <c r="A80" s="119"/>
      <c r="B80" s="119"/>
      <c r="C80" s="118"/>
      <c r="D80" s="474" t="s">
        <v>398</v>
      </c>
      <c r="E80" s="475" t="s">
        <v>42</v>
      </c>
      <c r="F80" s="475"/>
      <c r="G80" s="425">
        <f>'SUM HH WITH'!$G$75+'SUM HH WITHOUT'!$G$75</f>
        <v>0</v>
      </c>
      <c r="H80" s="425">
        <f>'SUM HH WITH'!$H$75+'SUM HH WITHOUT'!$H$75</f>
        <v>0</v>
      </c>
      <c r="I80" s="927">
        <f>SUM(G80:H80)</f>
        <v>0</v>
      </c>
      <c r="J80" s="91">
        <f t="shared" si="121"/>
        <v>0</v>
      </c>
      <c r="K80" s="425">
        <f>'SUM HH WITH'!$K$75+'SUM HH WITHOUT'!$K$75</f>
        <v>0</v>
      </c>
      <c r="L80" s="425">
        <f>'SUM HH WITH'!$L$75+'SUM HH WITHOUT'!$L$75</f>
        <v>0</v>
      </c>
      <c r="M80" s="927">
        <f>SUM(K80:L80)</f>
        <v>0</v>
      </c>
      <c r="N80" s="91">
        <f t="shared" si="122"/>
        <v>0</v>
      </c>
      <c r="O80" s="425">
        <f>'SUM HH WITH'!$O$75+'SUM HH WITHOUT'!$O$75</f>
        <v>0</v>
      </c>
      <c r="P80" s="425">
        <f>'SUM HH WITH'!$P$75+'SUM HH WITHOUT'!$P$75</f>
        <v>0</v>
      </c>
      <c r="Q80" s="927">
        <f>SUM(O80:P80)</f>
        <v>0</v>
      </c>
      <c r="R80" s="91">
        <f t="shared" si="123"/>
        <v>0</v>
      </c>
      <c r="S80" s="425">
        <f>'SUM HH WITH'!$S$75+'SUM HH WITHOUT'!$S$75</f>
        <v>0</v>
      </c>
      <c r="T80" s="425">
        <f>'SUM HH WITH'!$T$75+'SUM HH WITHOUT'!$T$75</f>
        <v>0</v>
      </c>
      <c r="U80" s="927">
        <f>SUM(S80:T80)</f>
        <v>0</v>
      </c>
      <c r="V80" s="91">
        <f t="shared" si="124"/>
        <v>0</v>
      </c>
      <c r="W80" s="425">
        <f>'SUM HH WITH'!$W$75+'SUM HH WITHOUT'!$W$75</f>
        <v>0</v>
      </c>
      <c r="X80" s="425">
        <f>'SUM HH WITH'!$X$75+'SUM HH WITHOUT'!$X$75</f>
        <v>0</v>
      </c>
      <c r="Y80" s="927">
        <f>SUM(W80:X80)</f>
        <v>0</v>
      </c>
      <c r="Z80" s="91">
        <f t="shared" si="125"/>
        <v>0</v>
      </c>
      <c r="AA80" s="425">
        <f>'SUM HH WITH'!$AA$75+'SUM HH WITHOUT'!$AA$75</f>
        <v>0</v>
      </c>
      <c r="AB80" s="425">
        <f>'SUM HH WITH'!$AB$75+'SUM HH WITHOUT'!$AB$75</f>
        <v>0</v>
      </c>
      <c r="AC80" s="927">
        <f>SUM(AA80:AB80)</f>
        <v>0</v>
      </c>
      <c r="AD80" s="91">
        <f t="shared" si="126"/>
        <v>0</v>
      </c>
      <c r="AE80" s="425">
        <f>'SUM HH WITH'!$AE$75+'SUM HH WITHOUT'!$AE$75</f>
        <v>0</v>
      </c>
      <c r="AF80" s="425">
        <f>'SUM HH WITH'!$AF$75+'SUM HH WITHOUT'!$AF$75</f>
        <v>0</v>
      </c>
      <c r="AG80" s="927">
        <f>SUM(AE80:AF80)</f>
        <v>0</v>
      </c>
      <c r="AH80" s="373">
        <f t="shared" si="127"/>
        <v>0</v>
      </c>
      <c r="AI80" s="391">
        <f t="shared" si="128"/>
        <v>0</v>
      </c>
      <c r="AJ80" s="17">
        <f t="shared" si="128"/>
        <v>0</v>
      </c>
      <c r="AK80" s="927">
        <f>SUM(AI80:AJ80)</f>
        <v>0</v>
      </c>
      <c r="AL80" s="91">
        <f t="shared" si="129"/>
        <v>0</v>
      </c>
    </row>
    <row r="81" spans="1:38" s="117" customFormat="1" ht="16.5" customHeight="1" x14ac:dyDescent="0.25">
      <c r="A81" s="119"/>
      <c r="B81" s="119"/>
      <c r="C81" s="119"/>
      <c r="D81" s="185"/>
      <c r="E81" s="184"/>
      <c r="F81" s="469"/>
      <c r="G81" s="82">
        <f>SUM(G76:G80)</f>
        <v>9</v>
      </c>
      <c r="H81" s="82">
        <f>SUM(H76:H80)</f>
        <v>11</v>
      </c>
      <c r="I81" s="82">
        <f>SUM(I76:I80)</f>
        <v>20</v>
      </c>
      <c r="J81" s="66">
        <f t="shared" si="121"/>
        <v>1</v>
      </c>
      <c r="K81" s="82">
        <f>SUM(K76:K80)</f>
        <v>13</v>
      </c>
      <c r="L81" s="82">
        <f>SUM(L76:L80)</f>
        <v>17</v>
      </c>
      <c r="M81" s="82">
        <f>SUM(M76:M80)</f>
        <v>30</v>
      </c>
      <c r="N81" s="66">
        <f t="shared" si="122"/>
        <v>1</v>
      </c>
      <c r="O81" s="82">
        <f>SUM(O76:O80)</f>
        <v>4</v>
      </c>
      <c r="P81" s="82">
        <f>SUM(P76:P80)</f>
        <v>16</v>
      </c>
      <c r="Q81" s="82">
        <f>SUM(Q76:Q80)</f>
        <v>20</v>
      </c>
      <c r="R81" s="66">
        <f t="shared" si="123"/>
        <v>1</v>
      </c>
      <c r="S81" s="82">
        <f>SUM(S76:S80)</f>
        <v>1</v>
      </c>
      <c r="T81" s="82">
        <f>SUM(T76:T80)</f>
        <v>22</v>
      </c>
      <c r="U81" s="82">
        <f>SUM(U76:U80)</f>
        <v>23</v>
      </c>
      <c r="V81" s="66">
        <f t="shared" si="124"/>
        <v>1</v>
      </c>
      <c r="W81" s="82">
        <f>SUM(W76:W80)</f>
        <v>17</v>
      </c>
      <c r="X81" s="82">
        <f>SUM(X76:X80)</f>
        <v>32</v>
      </c>
      <c r="Y81" s="82">
        <f>SUM(Y76:Y80)</f>
        <v>49</v>
      </c>
      <c r="Z81" s="66">
        <f t="shared" si="125"/>
        <v>1</v>
      </c>
      <c r="AA81" s="82">
        <f>SUM(AA76:AA80)</f>
        <v>5</v>
      </c>
      <c r="AB81" s="82">
        <f>SUM(AB76:AB80)</f>
        <v>25</v>
      </c>
      <c r="AC81" s="82">
        <f>SUM(AC76:AC80)</f>
        <v>30</v>
      </c>
      <c r="AD81" s="66">
        <f t="shared" si="126"/>
        <v>1</v>
      </c>
      <c r="AE81" s="82">
        <f>SUM(AE76:AE80)</f>
        <v>0</v>
      </c>
      <c r="AF81" s="82">
        <f>SUM(AF76:AF80)</f>
        <v>0</v>
      </c>
      <c r="AG81" s="82">
        <f>SUM(AG76:AG80)</f>
        <v>0</v>
      </c>
      <c r="AH81" s="608">
        <f t="shared" si="127"/>
        <v>0</v>
      </c>
      <c r="AI81" s="381">
        <f>SUM(AI76:AI80)</f>
        <v>49</v>
      </c>
      <c r="AJ81" s="82">
        <f>SUM(AJ76:AJ80)</f>
        <v>123</v>
      </c>
      <c r="AK81" s="82">
        <f>SUM(AK76:AK80)</f>
        <v>172</v>
      </c>
      <c r="AL81" s="66">
        <f t="shared" si="129"/>
        <v>1</v>
      </c>
    </row>
    <row r="82" spans="1:38" s="117" customFormat="1" ht="16.5" customHeight="1" x14ac:dyDescent="0.25">
      <c r="A82" s="119"/>
      <c r="B82" s="41" t="s">
        <v>43</v>
      </c>
      <c r="C82" s="476" t="s">
        <v>44</v>
      </c>
      <c r="D82" s="477"/>
      <c r="E82" s="478"/>
      <c r="F82" s="478"/>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355"/>
      <c r="AI82" s="377"/>
      <c r="AJ82" s="71"/>
      <c r="AK82" s="71"/>
      <c r="AL82" s="71"/>
    </row>
    <row r="83" spans="1:38" s="117" customFormat="1" ht="16.5" customHeight="1" x14ac:dyDescent="0.25">
      <c r="A83" s="119"/>
      <c r="B83" s="102"/>
      <c r="C83" s="103" t="s">
        <v>45</v>
      </c>
      <c r="D83" s="108" t="s">
        <v>46</v>
      </c>
      <c r="E83" s="108"/>
      <c r="F83" s="108"/>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358"/>
      <c r="AI83" s="380"/>
      <c r="AJ83" s="111"/>
      <c r="AK83" s="111"/>
      <c r="AL83" s="111"/>
    </row>
    <row r="84" spans="1:38" s="117" customFormat="1" ht="16.5" customHeight="1" x14ac:dyDescent="0.25">
      <c r="A84" s="119"/>
      <c r="B84" s="102"/>
      <c r="C84" s="102"/>
      <c r="D84" s="474" t="s">
        <v>47</v>
      </c>
      <c r="E84" s="475" t="s">
        <v>35</v>
      </c>
      <c r="F84" s="475"/>
      <c r="G84" s="17"/>
      <c r="H84" s="17"/>
      <c r="I84" s="927">
        <f>('SUM HH WITH'!$I$79+'SUM HH WITHOUT'!$I$79)/2</f>
        <v>1</v>
      </c>
      <c r="J84" s="91">
        <f>IF(I$88=0,0,I84/I$88)</f>
        <v>0.66666666666666663</v>
      </c>
      <c r="K84" s="17"/>
      <c r="L84" s="17"/>
      <c r="M84" s="927">
        <f>('SUM HH WITH'!$M$79+'SUM HH WITHOUT'!$M$79)/2</f>
        <v>2</v>
      </c>
      <c r="N84" s="91">
        <f>IF(M$88=0,0,M84/M$88)</f>
        <v>1</v>
      </c>
      <c r="O84" s="17"/>
      <c r="P84" s="17"/>
      <c r="Q84" s="927">
        <f>('SUM HH WITH'!$Q$79+'SUM HH WITHOUT'!$Q$79)/2</f>
        <v>1</v>
      </c>
      <c r="R84" s="91">
        <f>IF(Q$88=0,0,Q84/Q$88)</f>
        <v>1</v>
      </c>
      <c r="S84" s="17"/>
      <c r="T84" s="17"/>
      <c r="U84" s="927">
        <f>('SUM HH WITH'!$U$79+'SUM HH WITHOUT'!$U$79)/2</f>
        <v>1.5</v>
      </c>
      <c r="V84" s="91">
        <f>IF(U$88=0,0,U84/U$88)</f>
        <v>1</v>
      </c>
      <c r="W84" s="17"/>
      <c r="X84" s="17"/>
      <c r="Y84" s="927">
        <f>('SUM HH WITH'!$Y$79+'SUM HH WITHOUT'!$Y$79)/2</f>
        <v>3</v>
      </c>
      <c r="Z84" s="91">
        <f>IF(Y$88=0,0,Y84/Y$88)</f>
        <v>1</v>
      </c>
      <c r="AA84" s="17"/>
      <c r="AB84" s="17"/>
      <c r="AC84" s="927">
        <f>('SUM HH WITH'!$AC$79+'SUM HH WITHOUT'!$AC$79)/2</f>
        <v>2</v>
      </c>
      <c r="AD84" s="91">
        <f>IF(AC$88=0,0,AC84/AC$88)</f>
        <v>1</v>
      </c>
      <c r="AE84" s="17"/>
      <c r="AF84" s="17"/>
      <c r="AG84" s="927">
        <f>('SUM HH WITH'!$AG$79+'SUM HH WITHOUT'!$AG$79)/2</f>
        <v>0</v>
      </c>
      <c r="AH84" s="373">
        <f>IF(AG$88=0,0,AG84/AG$88)</f>
        <v>0</v>
      </c>
      <c r="AI84" s="391"/>
      <c r="AJ84" s="17"/>
      <c r="AK84" s="927">
        <f t="shared" ref="AK84:AK87" si="130">I84+M84+Q84+U84+Y84+AC84+AG84</f>
        <v>10.5</v>
      </c>
      <c r="AL84" s="91">
        <f>IF(AK$88=0,0,AK84/AK$88)</f>
        <v>0.95454545454545459</v>
      </c>
    </row>
    <row r="85" spans="1:38" s="117" customFormat="1" ht="16.5" customHeight="1" x14ac:dyDescent="0.25">
      <c r="A85" s="119"/>
      <c r="B85" s="102"/>
      <c r="C85" s="102"/>
      <c r="D85" s="474" t="s">
        <v>48</v>
      </c>
      <c r="E85" s="475" t="s">
        <v>49</v>
      </c>
      <c r="F85" s="475"/>
      <c r="G85" s="17"/>
      <c r="H85" s="17"/>
      <c r="I85" s="927">
        <f>('SUM HH WITH'!$I$80+'SUM HH WITHOUT'!$I$80)/2</f>
        <v>0.5</v>
      </c>
      <c r="J85" s="91">
        <f>IF(I$88=0,0,I85/I$88)</f>
        <v>0.33333333333333331</v>
      </c>
      <c r="K85" s="17"/>
      <c r="L85" s="17"/>
      <c r="M85" s="927">
        <f>('SUM HH WITH'!$M$80+'SUM HH WITHOUT'!$M$80)/2</f>
        <v>0</v>
      </c>
      <c r="N85" s="91">
        <f>IF(M$88=0,0,M85/M$88)</f>
        <v>0</v>
      </c>
      <c r="O85" s="17"/>
      <c r="P85" s="17"/>
      <c r="Q85" s="927">
        <f>('SUM HH WITH'!$Q$80+'SUM HH WITHOUT'!$Q$80)/2</f>
        <v>0</v>
      </c>
      <c r="R85" s="91">
        <f>IF(Q$88=0,0,Q85/Q$88)</f>
        <v>0</v>
      </c>
      <c r="S85" s="17"/>
      <c r="T85" s="17"/>
      <c r="U85" s="927">
        <f>('SUM HH WITH'!$U$80+'SUM HH WITHOUT'!$U$80)/2</f>
        <v>0</v>
      </c>
      <c r="V85" s="91">
        <f>IF(U$88=0,0,U85/U$88)</f>
        <v>0</v>
      </c>
      <c r="W85" s="17"/>
      <c r="X85" s="17"/>
      <c r="Y85" s="927">
        <f>('SUM HH WITH'!$Y$80+'SUM HH WITHOUT'!$Y$80)/2</f>
        <v>0</v>
      </c>
      <c r="Z85" s="91">
        <f>IF(Y$88=0,0,Y85/Y$88)</f>
        <v>0</v>
      </c>
      <c r="AA85" s="17"/>
      <c r="AB85" s="17"/>
      <c r="AC85" s="927">
        <f>('SUM HH WITH'!$AC$80+'SUM HH WITHOUT'!$AC$80)/2</f>
        <v>0</v>
      </c>
      <c r="AD85" s="91">
        <f>IF(AC$88=0,0,AC85/AC$88)</f>
        <v>0</v>
      </c>
      <c r="AE85" s="17"/>
      <c r="AF85" s="17"/>
      <c r="AG85" s="927">
        <f>('SUM HH WITH'!$AG$80+'SUM HH WITHOUT'!$AG$80)/2</f>
        <v>0</v>
      </c>
      <c r="AH85" s="373">
        <f>IF(AG$88=0,0,AG85/AG$88)</f>
        <v>0</v>
      </c>
      <c r="AI85" s="391"/>
      <c r="AJ85" s="17"/>
      <c r="AK85" s="927">
        <f t="shared" si="130"/>
        <v>0.5</v>
      </c>
      <c r="AL85" s="91">
        <f>IF(AK$88=0,0,AK85/AK$88)</f>
        <v>4.5454545454545456E-2</v>
      </c>
    </row>
    <row r="86" spans="1:38" s="117" customFormat="1" ht="16.5" customHeight="1" x14ac:dyDescent="0.25">
      <c r="A86" s="119"/>
      <c r="B86" s="102"/>
      <c r="C86" s="102"/>
      <c r="D86" s="474" t="s">
        <v>50</v>
      </c>
      <c r="E86" s="475" t="s">
        <v>51</v>
      </c>
      <c r="F86" s="475"/>
      <c r="G86" s="17"/>
      <c r="H86" s="17"/>
      <c r="I86" s="927">
        <f>('SUM HH WITH'!$I$81+'SUM HH WITHOUT'!$I$81)/2</f>
        <v>0</v>
      </c>
      <c r="J86" s="91">
        <f>IF(I$88=0,0,I86/I$88)</f>
        <v>0</v>
      </c>
      <c r="K86" s="17"/>
      <c r="L86" s="17"/>
      <c r="M86" s="927">
        <f>('SUM HH WITH'!$M$81+'SUM HH WITHOUT'!$M$81)/2</f>
        <v>0</v>
      </c>
      <c r="N86" s="91">
        <f>IF(M$88=0,0,M86/M$88)</f>
        <v>0</v>
      </c>
      <c r="O86" s="17"/>
      <c r="P86" s="17"/>
      <c r="Q86" s="927">
        <f>('SUM HH WITH'!$Q$81+'SUM HH WITHOUT'!$Q$81)/2</f>
        <v>0</v>
      </c>
      <c r="R86" s="91">
        <f>IF(Q$88=0,0,Q86/Q$88)</f>
        <v>0</v>
      </c>
      <c r="S86" s="17"/>
      <c r="T86" s="17"/>
      <c r="U86" s="927">
        <f>('SUM HH WITH'!$U$81+'SUM HH WITHOUT'!$U$81)/2</f>
        <v>0</v>
      </c>
      <c r="V86" s="91">
        <f>IF(U$88=0,0,U86/U$88)</f>
        <v>0</v>
      </c>
      <c r="W86" s="17"/>
      <c r="X86" s="17"/>
      <c r="Y86" s="927">
        <f>('SUM HH WITH'!$Y$81+'SUM HH WITHOUT'!$Y$81)/2</f>
        <v>0</v>
      </c>
      <c r="Z86" s="91">
        <f>IF(Y$88=0,0,Y86/Y$88)</f>
        <v>0</v>
      </c>
      <c r="AA86" s="17"/>
      <c r="AB86" s="17"/>
      <c r="AC86" s="927">
        <f>('SUM HH WITH'!$AC$81+'SUM HH WITHOUT'!$AC$81)/2</f>
        <v>0</v>
      </c>
      <c r="AD86" s="91">
        <f>IF(AC$88=0,0,AC86/AC$88)</f>
        <v>0</v>
      </c>
      <c r="AE86" s="17"/>
      <c r="AF86" s="17"/>
      <c r="AG86" s="927">
        <f>('SUM HH WITH'!$AG$81+'SUM HH WITHOUT'!$AG$81)/2</f>
        <v>0</v>
      </c>
      <c r="AH86" s="373">
        <f>IF(AG$88=0,0,AG86/AG$88)</f>
        <v>0</v>
      </c>
      <c r="AI86" s="391"/>
      <c r="AJ86" s="17"/>
      <c r="AK86" s="927">
        <f t="shared" si="130"/>
        <v>0</v>
      </c>
      <c r="AL86" s="91">
        <f>IF(AK$88=0,0,AK86/AK$88)</f>
        <v>0</v>
      </c>
    </row>
    <row r="87" spans="1:38" s="117" customFormat="1" ht="16.5" customHeight="1" x14ac:dyDescent="0.25">
      <c r="A87" s="119"/>
      <c r="B87" s="102"/>
      <c r="C87" s="102"/>
      <c r="D87" s="474" t="s">
        <v>52</v>
      </c>
      <c r="E87" s="475" t="s">
        <v>53</v>
      </c>
      <c r="F87" s="475"/>
      <c r="G87" s="17"/>
      <c r="H87" s="17"/>
      <c r="I87" s="927">
        <f>('SUM HH WITH'!$I$82+'SUM HH WITHOUT'!$I$82)/2</f>
        <v>0</v>
      </c>
      <c r="J87" s="91">
        <f>IF(I$88=0,0,I87/I$88)</f>
        <v>0</v>
      </c>
      <c r="K87" s="17"/>
      <c r="L87" s="17"/>
      <c r="M87" s="927">
        <f>('SUM HH WITH'!$M$82+'SUM HH WITHOUT'!$M$82)/2</f>
        <v>0</v>
      </c>
      <c r="N87" s="91">
        <f>IF(M$88=0,0,M87/M$88)</f>
        <v>0</v>
      </c>
      <c r="O87" s="17"/>
      <c r="P87" s="17"/>
      <c r="Q87" s="927">
        <f>('SUM HH WITH'!$Q$82+'SUM HH WITHOUT'!$Q$82)/2</f>
        <v>0</v>
      </c>
      <c r="R87" s="91">
        <f>IF(Q$88=0,0,Q87/Q$88)</f>
        <v>0</v>
      </c>
      <c r="S87" s="17"/>
      <c r="T87" s="17"/>
      <c r="U87" s="927">
        <f>('SUM HH WITH'!$U$82+'SUM HH WITHOUT'!$U$82)/2</f>
        <v>0</v>
      </c>
      <c r="V87" s="91">
        <f>IF(U$88=0,0,U87/U$88)</f>
        <v>0</v>
      </c>
      <c r="W87" s="17"/>
      <c r="X87" s="17"/>
      <c r="Y87" s="927">
        <f>('SUM HH WITH'!$Y$82+'SUM HH WITHOUT'!$Y$82)/2</f>
        <v>0</v>
      </c>
      <c r="Z87" s="91">
        <f>IF(Y$88=0,0,Y87/Y$88)</f>
        <v>0</v>
      </c>
      <c r="AA87" s="17"/>
      <c r="AB87" s="17"/>
      <c r="AC87" s="927">
        <f>('SUM HH WITH'!$AC$82+'SUM HH WITHOUT'!$AC$82)/2</f>
        <v>0</v>
      </c>
      <c r="AD87" s="91">
        <f>IF(AC$88=0,0,AC87/AC$88)</f>
        <v>0</v>
      </c>
      <c r="AE87" s="17"/>
      <c r="AF87" s="17"/>
      <c r="AG87" s="927">
        <f>('SUM HH WITH'!$AG$82+'SUM HH WITHOUT'!$AG$82)/2</f>
        <v>0</v>
      </c>
      <c r="AH87" s="373">
        <f>IF(AG$88=0,0,AG87/AG$88)</f>
        <v>0</v>
      </c>
      <c r="AI87" s="391"/>
      <c r="AJ87" s="17"/>
      <c r="AK87" s="927">
        <f t="shared" si="130"/>
        <v>0</v>
      </c>
      <c r="AL87" s="91">
        <f>IF(AK$88=0,0,AK87/AK$88)</f>
        <v>0</v>
      </c>
    </row>
    <row r="88" spans="1:38" s="117" customFormat="1" ht="16.5" customHeight="1" x14ac:dyDescent="0.25">
      <c r="A88" s="119"/>
      <c r="B88" s="40"/>
      <c r="C88" s="40"/>
      <c r="D88" s="479"/>
      <c r="E88" s="78"/>
      <c r="F88" s="79"/>
      <c r="G88" s="82"/>
      <c r="H88" s="82"/>
      <c r="I88" s="82">
        <f>SUM(I84:I87)</f>
        <v>1.5</v>
      </c>
      <c r="J88" s="66">
        <f>IF(I$88=0,0,I88/I$88)</f>
        <v>1</v>
      </c>
      <c r="K88" s="82"/>
      <c r="L88" s="82"/>
      <c r="M88" s="82">
        <f>SUM(M84:M87)</f>
        <v>2</v>
      </c>
      <c r="N88" s="66">
        <f>IF(M$88=0,0,M88/M$88)</f>
        <v>1</v>
      </c>
      <c r="O88" s="82"/>
      <c r="P88" s="82"/>
      <c r="Q88" s="82">
        <f>SUM(Q84:Q87)</f>
        <v>1</v>
      </c>
      <c r="R88" s="66">
        <f>IF(Q$88=0,0,Q88/Q$88)</f>
        <v>1</v>
      </c>
      <c r="S88" s="82"/>
      <c r="T88" s="82"/>
      <c r="U88" s="82">
        <f>SUM(U84:U87)</f>
        <v>1.5</v>
      </c>
      <c r="V88" s="66">
        <f>IF(U$88=0,0,U88/U$88)</f>
        <v>1</v>
      </c>
      <c r="W88" s="82"/>
      <c r="X88" s="82"/>
      <c r="Y88" s="82">
        <f>SUM(Y84:Y87)</f>
        <v>3</v>
      </c>
      <c r="Z88" s="66">
        <f>IF(Y$88=0,0,Y88/Y$88)</f>
        <v>1</v>
      </c>
      <c r="AA88" s="82"/>
      <c r="AB88" s="82"/>
      <c r="AC88" s="82">
        <f>SUM(AC84:AC87)</f>
        <v>2</v>
      </c>
      <c r="AD88" s="66">
        <f>IF(AC$88=0,0,AC88/AC$88)</f>
        <v>1</v>
      </c>
      <c r="AE88" s="82"/>
      <c r="AF88" s="82"/>
      <c r="AG88" s="82">
        <f>SUM(AG84:AG87)</f>
        <v>0</v>
      </c>
      <c r="AH88" s="608">
        <f>IF(AG$88=0,0,AG88/AG$88)</f>
        <v>0</v>
      </c>
      <c r="AI88" s="381"/>
      <c r="AJ88" s="82"/>
      <c r="AK88" s="82">
        <f>SUM(AK84:AK87)</f>
        <v>11</v>
      </c>
      <c r="AL88" s="66">
        <f>IF(AK$88=0,0,AK88/AK$88)</f>
        <v>1</v>
      </c>
    </row>
    <row r="89" spans="1:38" s="117" customFormat="1" ht="16.5" customHeight="1" x14ac:dyDescent="0.25">
      <c r="A89" s="119"/>
      <c r="B89" s="102"/>
      <c r="C89" s="103" t="s">
        <v>54</v>
      </c>
      <c r="D89" s="108" t="s">
        <v>55</v>
      </c>
      <c r="E89" s="108"/>
      <c r="F89" s="108"/>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c r="AF89" s="111"/>
      <c r="AG89" s="111"/>
      <c r="AH89" s="358"/>
      <c r="AI89" s="380"/>
      <c r="AJ89" s="111"/>
      <c r="AK89" s="932"/>
      <c r="AL89" s="111"/>
    </row>
    <row r="90" spans="1:38" s="117" customFormat="1" ht="16.5" customHeight="1" x14ac:dyDescent="0.25">
      <c r="A90" s="119"/>
      <c r="B90" s="118"/>
      <c r="C90" s="118"/>
      <c r="D90" s="474" t="s">
        <v>56</v>
      </c>
      <c r="E90" s="475" t="s">
        <v>35</v>
      </c>
      <c r="F90" s="475"/>
      <c r="G90" s="17"/>
      <c r="H90" s="17"/>
      <c r="I90" s="927">
        <f>'SUM HH WITH'!$I$85</f>
        <v>0</v>
      </c>
      <c r="J90" s="91">
        <f>IF(I$94=0,0,I90/I$94)</f>
        <v>0</v>
      </c>
      <c r="K90" s="17"/>
      <c r="L90" s="17"/>
      <c r="M90" s="927">
        <f>'SUM HH WITH'!$M$85</f>
        <v>0</v>
      </c>
      <c r="N90" s="91">
        <f>IF(M$94=0,0,M90/M$94)</f>
        <v>0</v>
      </c>
      <c r="O90" s="17"/>
      <c r="P90" s="17"/>
      <c r="Q90" s="927">
        <f>'SUM HH WITH'!$Q$85</f>
        <v>0</v>
      </c>
      <c r="R90" s="91">
        <f>IF(Q$94=0,0,Q90/Q$94)</f>
        <v>0</v>
      </c>
      <c r="S90" s="17"/>
      <c r="T90" s="17"/>
      <c r="U90" s="927">
        <f>'SUM HH WITH'!$U$85</f>
        <v>0</v>
      </c>
      <c r="V90" s="91">
        <f>IF(U$94=0,0,U90/U$94)</f>
        <v>0</v>
      </c>
      <c r="W90" s="17"/>
      <c r="X90" s="17"/>
      <c r="Y90" s="927">
        <f>'SUM HH WITH'!$Y$85</f>
        <v>0</v>
      </c>
      <c r="Z90" s="91">
        <f>IF(Y$94=0,0,Y90/Y$94)</f>
        <v>0</v>
      </c>
      <c r="AA90" s="17"/>
      <c r="AB90" s="17"/>
      <c r="AC90" s="927">
        <f>'SUM HH WITH'!$AC$85</f>
        <v>0</v>
      </c>
      <c r="AD90" s="91">
        <f>IF(AC$94=0,0,AC90/AC$94)</f>
        <v>0</v>
      </c>
      <c r="AE90" s="17"/>
      <c r="AF90" s="17"/>
      <c r="AG90" s="927">
        <f>'SUM HH WITH'!$AG$85</f>
        <v>0</v>
      </c>
      <c r="AH90" s="373">
        <f>IF(AG$94=0,0,AG90/AG$94)</f>
        <v>0</v>
      </c>
      <c r="AI90" s="391"/>
      <c r="AJ90" s="17"/>
      <c r="AK90" s="927">
        <f t="shared" ref="AK90:AK93" si="131">I90+M90+Q90+U90+Y90+AC90+AG90</f>
        <v>0</v>
      </c>
      <c r="AL90" s="91">
        <f>IF(AK$94=0,0,AK90/AK$94)</f>
        <v>0</v>
      </c>
    </row>
    <row r="91" spans="1:38" s="117" customFormat="1" ht="16.5" customHeight="1" x14ac:dyDescent="0.25">
      <c r="A91" s="119"/>
      <c r="B91" s="118"/>
      <c r="C91" s="118"/>
      <c r="D91" s="474" t="s">
        <v>57</v>
      </c>
      <c r="E91" s="475" t="s">
        <v>58</v>
      </c>
      <c r="F91" s="475"/>
      <c r="G91" s="17"/>
      <c r="H91" s="17"/>
      <c r="I91" s="927">
        <f>'SUM HH WITH'!$I$86</f>
        <v>0</v>
      </c>
      <c r="J91" s="91">
        <f>IF(I$94=0,0,I91/I$94)</f>
        <v>0</v>
      </c>
      <c r="K91" s="17"/>
      <c r="L91" s="17"/>
      <c r="M91" s="927">
        <f>'SUM HH WITH'!$M$86</f>
        <v>0</v>
      </c>
      <c r="N91" s="91">
        <f>IF(M$94=0,0,M91/M$94)</f>
        <v>0</v>
      </c>
      <c r="O91" s="17"/>
      <c r="P91" s="17"/>
      <c r="Q91" s="927">
        <f>'SUM HH WITH'!$Q$86</f>
        <v>0</v>
      </c>
      <c r="R91" s="91">
        <f>IF(Q$94=0,0,Q91/Q$94)</f>
        <v>0</v>
      </c>
      <c r="S91" s="17"/>
      <c r="T91" s="17"/>
      <c r="U91" s="927">
        <f>'SUM HH WITH'!$U$86</f>
        <v>0</v>
      </c>
      <c r="V91" s="91">
        <f>IF(U$94=0,0,U91/U$94)</f>
        <v>0</v>
      </c>
      <c r="W91" s="17"/>
      <c r="X91" s="17"/>
      <c r="Y91" s="927">
        <f>'SUM HH WITH'!$Y$86</f>
        <v>0</v>
      </c>
      <c r="Z91" s="91">
        <f>IF(Y$94=0,0,Y91/Y$94)</f>
        <v>0</v>
      </c>
      <c r="AA91" s="17"/>
      <c r="AB91" s="17"/>
      <c r="AC91" s="927">
        <f>'SUM HH WITH'!$AC$86</f>
        <v>0</v>
      </c>
      <c r="AD91" s="91">
        <f>IF(AC$94=0,0,AC91/AC$94)</f>
        <v>0</v>
      </c>
      <c r="AE91" s="17"/>
      <c r="AF91" s="17"/>
      <c r="AG91" s="927">
        <f>'SUM HH WITH'!$AG$86</f>
        <v>0</v>
      </c>
      <c r="AH91" s="373">
        <f>IF(AG$94=0,0,AG91/AG$94)</f>
        <v>0</v>
      </c>
      <c r="AI91" s="391"/>
      <c r="AJ91" s="17"/>
      <c r="AK91" s="927">
        <f t="shared" si="131"/>
        <v>0</v>
      </c>
      <c r="AL91" s="91">
        <f>IF(AK$94=0,0,AK91/AK$94)</f>
        <v>0</v>
      </c>
    </row>
    <row r="92" spans="1:38" s="117" customFormat="1" ht="16.5" customHeight="1" x14ac:dyDescent="0.25">
      <c r="A92" s="119"/>
      <c r="B92" s="118"/>
      <c r="C92" s="118"/>
      <c r="D92" s="474" t="s">
        <v>59</v>
      </c>
      <c r="E92" s="475" t="s">
        <v>60</v>
      </c>
      <c r="F92" s="475"/>
      <c r="G92" s="17"/>
      <c r="H92" s="17"/>
      <c r="I92" s="927">
        <f>'SUM HH WITH'!$I$87</f>
        <v>0</v>
      </c>
      <c r="J92" s="91">
        <f>IF(I$94=0,0,I92/I$94)</f>
        <v>0</v>
      </c>
      <c r="K92" s="17"/>
      <c r="L92" s="17"/>
      <c r="M92" s="927">
        <f>'SUM HH WITH'!$M$87</f>
        <v>0</v>
      </c>
      <c r="N92" s="91">
        <f>IF(M$94=0,0,M92/M$94)</f>
        <v>0</v>
      </c>
      <c r="O92" s="17"/>
      <c r="P92" s="17"/>
      <c r="Q92" s="927">
        <f>'SUM HH WITH'!$Q$87</f>
        <v>0</v>
      </c>
      <c r="R92" s="91">
        <f>IF(Q$94=0,0,Q92/Q$94)</f>
        <v>0</v>
      </c>
      <c r="S92" s="17"/>
      <c r="T92" s="17"/>
      <c r="U92" s="927">
        <f>'SUM HH WITH'!$U$87</f>
        <v>0</v>
      </c>
      <c r="V92" s="91">
        <f>IF(U$94=0,0,U92/U$94)</f>
        <v>0</v>
      </c>
      <c r="W92" s="17"/>
      <c r="X92" s="17"/>
      <c r="Y92" s="927">
        <f>'SUM HH WITH'!$Y$87</f>
        <v>0</v>
      </c>
      <c r="Z92" s="91">
        <f>IF(Y$94=0,0,Y92/Y$94)</f>
        <v>0</v>
      </c>
      <c r="AA92" s="17"/>
      <c r="AB92" s="17"/>
      <c r="AC92" s="927">
        <f>'SUM HH WITH'!$AC$87</f>
        <v>0</v>
      </c>
      <c r="AD92" s="91">
        <f>IF(AC$94=0,0,AC92/AC$94)</f>
        <v>0</v>
      </c>
      <c r="AE92" s="17"/>
      <c r="AF92" s="17"/>
      <c r="AG92" s="927">
        <f>'SUM HH WITH'!$AG$87</f>
        <v>0</v>
      </c>
      <c r="AH92" s="373">
        <f>IF(AG$94=0,0,AG92/AG$94)</f>
        <v>0</v>
      </c>
      <c r="AI92" s="391"/>
      <c r="AJ92" s="17"/>
      <c r="AK92" s="927">
        <f t="shared" si="131"/>
        <v>0</v>
      </c>
      <c r="AL92" s="91">
        <f>IF(AK$94=0,0,AK92/AK$94)</f>
        <v>0</v>
      </c>
    </row>
    <row r="93" spans="1:38" s="117" customFormat="1" ht="16.5" customHeight="1" x14ac:dyDescent="0.25">
      <c r="A93" s="119"/>
      <c r="B93" s="118"/>
      <c r="C93" s="118"/>
      <c r="D93" s="474" t="s">
        <v>61</v>
      </c>
      <c r="E93" s="475" t="s">
        <v>62</v>
      </c>
      <c r="F93" s="475"/>
      <c r="G93" s="17"/>
      <c r="H93" s="17"/>
      <c r="I93" s="927">
        <f>'SUM HH WITH'!$I$88</f>
        <v>0</v>
      </c>
      <c r="J93" s="91">
        <f>IF(I$94=0,0,I93/I$94)</f>
        <v>0</v>
      </c>
      <c r="K93" s="17"/>
      <c r="L93" s="17"/>
      <c r="M93" s="927">
        <f>'SUM HH WITH'!$M$88</f>
        <v>0</v>
      </c>
      <c r="N93" s="91">
        <f>IF(M$94=0,0,M93/M$94)</f>
        <v>0</v>
      </c>
      <c r="O93" s="17"/>
      <c r="P93" s="17"/>
      <c r="Q93" s="927">
        <f>'SUM HH WITH'!$Q$88</f>
        <v>0</v>
      </c>
      <c r="R93" s="91">
        <f>IF(Q$94=0,0,Q93/Q$94)</f>
        <v>0</v>
      </c>
      <c r="S93" s="17"/>
      <c r="T93" s="17"/>
      <c r="U93" s="927">
        <f>'SUM HH WITH'!$U$88</f>
        <v>0</v>
      </c>
      <c r="V93" s="91">
        <f>IF(U$94=0,0,U93/U$94)</f>
        <v>0</v>
      </c>
      <c r="W93" s="17"/>
      <c r="X93" s="17"/>
      <c r="Y93" s="927">
        <f>'SUM HH WITH'!$Y$88</f>
        <v>0</v>
      </c>
      <c r="Z93" s="91">
        <f>IF(Y$94=0,0,Y93/Y$94)</f>
        <v>0</v>
      </c>
      <c r="AA93" s="17"/>
      <c r="AB93" s="17"/>
      <c r="AC93" s="927">
        <f>'SUM HH WITH'!$AC$88</f>
        <v>0</v>
      </c>
      <c r="AD93" s="91">
        <f>IF(AC$94=0,0,AC93/AC$94)</f>
        <v>0</v>
      </c>
      <c r="AE93" s="17"/>
      <c r="AF93" s="17"/>
      <c r="AG93" s="927">
        <f>'SUM HH WITH'!$AG$88</f>
        <v>0</v>
      </c>
      <c r="AH93" s="373">
        <f>IF(AG$94=0,0,AG93/AG$94)</f>
        <v>0</v>
      </c>
      <c r="AI93" s="391"/>
      <c r="AJ93" s="17"/>
      <c r="AK93" s="927">
        <f t="shared" si="131"/>
        <v>0</v>
      </c>
      <c r="AL93" s="91">
        <f>IF(AK$94=0,0,AK93/AK$94)</f>
        <v>0</v>
      </c>
    </row>
    <row r="94" spans="1:38" s="117" customFormat="1" ht="16.5" customHeight="1" x14ac:dyDescent="0.25">
      <c r="A94" s="119"/>
      <c r="B94" s="40"/>
      <c r="C94" s="40"/>
      <c r="D94" s="479"/>
      <c r="E94" s="78"/>
      <c r="F94" s="79"/>
      <c r="G94" s="82"/>
      <c r="H94" s="82"/>
      <c r="I94" s="82">
        <f>SUM(I90:I93)</f>
        <v>0</v>
      </c>
      <c r="J94" s="66">
        <f>IF(I$94=0,0,I94/I$94)</f>
        <v>0</v>
      </c>
      <c r="K94" s="82"/>
      <c r="L94" s="82"/>
      <c r="M94" s="82">
        <f>SUM(M90:M93)</f>
        <v>0</v>
      </c>
      <c r="N94" s="66">
        <f>IF(M$94=0,0,M94/M$94)</f>
        <v>0</v>
      </c>
      <c r="O94" s="82"/>
      <c r="P94" s="82"/>
      <c r="Q94" s="82">
        <f>SUM(Q90:Q93)</f>
        <v>0</v>
      </c>
      <c r="R94" s="66">
        <f>IF(Q$94=0,0,Q94/Q$94)</f>
        <v>0</v>
      </c>
      <c r="S94" s="82"/>
      <c r="T94" s="82"/>
      <c r="U94" s="82">
        <f>SUM(U90:U93)</f>
        <v>0</v>
      </c>
      <c r="V94" s="66">
        <f>IF(U$94=0,0,U94/U$94)</f>
        <v>0</v>
      </c>
      <c r="W94" s="82"/>
      <c r="X94" s="82"/>
      <c r="Y94" s="82">
        <f>SUM(Y90:Y93)</f>
        <v>0</v>
      </c>
      <c r="Z94" s="66">
        <f>IF(Y$94=0,0,Y94/Y$94)</f>
        <v>0</v>
      </c>
      <c r="AA94" s="82"/>
      <c r="AB94" s="82"/>
      <c r="AC94" s="82">
        <f>SUM(AC90:AC93)</f>
        <v>0</v>
      </c>
      <c r="AD94" s="66">
        <f>IF(AC$94=0,0,AC94/AC$94)</f>
        <v>0</v>
      </c>
      <c r="AE94" s="82"/>
      <c r="AF94" s="82"/>
      <c r="AG94" s="82">
        <f>SUM(AG90:AG93)</f>
        <v>0</v>
      </c>
      <c r="AH94" s="608">
        <f>IF(AG$94=0,0,AG94/AG$94)</f>
        <v>0</v>
      </c>
      <c r="AI94" s="381"/>
      <c r="AJ94" s="82"/>
      <c r="AK94" s="82">
        <f>SUM(AK90:AK93)</f>
        <v>0</v>
      </c>
      <c r="AL94" s="66">
        <f>IF(AK$94=0,0,AK94/AK$94)</f>
        <v>0</v>
      </c>
    </row>
    <row r="95" spans="1:38" s="117" customFormat="1" ht="16.5" customHeight="1" x14ac:dyDescent="0.25">
      <c r="A95" s="119"/>
      <c r="B95" s="41" t="s">
        <v>63</v>
      </c>
      <c r="C95" s="476" t="s">
        <v>64</v>
      </c>
      <c r="D95" s="477"/>
      <c r="E95" s="478"/>
      <c r="F95" s="478"/>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355"/>
      <c r="AI95" s="377"/>
      <c r="AJ95" s="71"/>
      <c r="AK95" s="71"/>
      <c r="AL95" s="71"/>
    </row>
    <row r="96" spans="1:38" s="117" customFormat="1" ht="16.5" customHeight="1" x14ac:dyDescent="0.25">
      <c r="A96" s="119"/>
      <c r="B96" s="102"/>
      <c r="C96" s="103" t="s">
        <v>65</v>
      </c>
      <c r="D96" s="108" t="s">
        <v>66</v>
      </c>
      <c r="E96" s="108"/>
      <c r="F96" s="108"/>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c r="AD96" s="111"/>
      <c r="AE96" s="111"/>
      <c r="AF96" s="111"/>
      <c r="AG96" s="111"/>
      <c r="AH96" s="358"/>
      <c r="AI96" s="380"/>
      <c r="AJ96" s="111"/>
      <c r="AK96" s="111"/>
      <c r="AL96" s="111"/>
    </row>
    <row r="97" spans="1:38" s="117" customFormat="1" ht="16.5" customHeight="1" x14ac:dyDescent="0.25">
      <c r="A97" s="119"/>
      <c r="B97" s="118"/>
      <c r="C97" s="118"/>
      <c r="D97" s="474" t="s">
        <v>67</v>
      </c>
      <c r="E97" s="480" t="s">
        <v>857</v>
      </c>
      <c r="F97" s="475"/>
      <c r="G97" s="481"/>
      <c r="H97" s="17"/>
      <c r="I97" s="996">
        <f>('SUM HH WITH'!$I$92+'SUM HH WITHOUT'!$I$92)/2</f>
        <v>1</v>
      </c>
      <c r="J97" s="91">
        <f>IF(I$101=0,0,I97/I$101)</f>
        <v>0.66666666666666663</v>
      </c>
      <c r="K97" s="481"/>
      <c r="L97" s="17"/>
      <c r="M97" s="996">
        <f>('SUM HH WITH'!$M$92+'SUM HH WITHOUT'!$M$92)/2</f>
        <v>1.5</v>
      </c>
      <c r="N97" s="91">
        <f>IF(M$101=0,0,M97/M$101)</f>
        <v>0.75</v>
      </c>
      <c r="O97" s="481"/>
      <c r="P97" s="17"/>
      <c r="Q97" s="996">
        <f>('SUM HH WITH'!$Q$92+'SUM HH WITHOUT'!$Q$92)/2</f>
        <v>0</v>
      </c>
      <c r="R97" s="91">
        <f>IF(Q$101=0,0,Q97/Q$101)</f>
        <v>0</v>
      </c>
      <c r="S97" s="481"/>
      <c r="T97" s="17"/>
      <c r="U97" s="996">
        <f>('SUM HH WITH'!$U$92+'SUM HH WITHOUT'!$U$92)/2</f>
        <v>1</v>
      </c>
      <c r="V97" s="91">
        <f>IF(U$101=0,0,U97/U$101)</f>
        <v>0.66666666666666663</v>
      </c>
      <c r="W97" s="481"/>
      <c r="X97" s="17"/>
      <c r="Y97" s="996">
        <f>('SUM HH WITH'!$Y$92+'SUM HH WITHOUT'!$Y$92)/2</f>
        <v>1.5</v>
      </c>
      <c r="Z97" s="91">
        <f>IF(Y$101=0,0,Y97/Y$101)</f>
        <v>0.5</v>
      </c>
      <c r="AA97" s="481"/>
      <c r="AB97" s="17"/>
      <c r="AC97" s="996">
        <f>('SUM HH WITH'!$AC$92+'SUM HH WITHOUT'!$AC$92)/2</f>
        <v>0</v>
      </c>
      <c r="AD97" s="91">
        <f>IF(AC$101=0,0,AC97/AC$101)</f>
        <v>0</v>
      </c>
      <c r="AE97" s="481"/>
      <c r="AF97" s="17"/>
      <c r="AG97" s="996">
        <f>('SUM HH WITH'!$AG$92+'SUM HH WITHOUT'!$AG$92)/2</f>
        <v>0</v>
      </c>
      <c r="AH97" s="373">
        <f>IF(AG$101=0,0,AG97/AG$101)</f>
        <v>0</v>
      </c>
      <c r="AI97" s="391"/>
      <c r="AJ97" s="17"/>
      <c r="AK97" s="996">
        <f t="shared" ref="AK97:AK100" si="132">I97+M97+Q97+U97+Y97+AC97+AG97</f>
        <v>5</v>
      </c>
      <c r="AL97" s="91">
        <f>IF(AK$101=0,0,AK97/AK$101)</f>
        <v>0.45454545454545453</v>
      </c>
    </row>
    <row r="98" spans="1:38" s="117" customFormat="1" ht="16.5" customHeight="1" x14ac:dyDescent="0.25">
      <c r="A98" s="119"/>
      <c r="B98" s="118"/>
      <c r="C98" s="118"/>
      <c r="D98" s="474" t="s">
        <v>69</v>
      </c>
      <c r="E98" s="482" t="s">
        <v>858</v>
      </c>
      <c r="F98" s="483"/>
      <c r="G98" s="481"/>
      <c r="H98" s="17"/>
      <c r="I98" s="996">
        <f>('SUM HH WITH'!$I$93+'SUM HH WITHOUT'!$I$93)/2</f>
        <v>0.5</v>
      </c>
      <c r="J98" s="91">
        <f>IF(I$101=0,0,I98/I$101)</f>
        <v>0.33333333333333331</v>
      </c>
      <c r="K98" s="481"/>
      <c r="L98" s="17"/>
      <c r="M98" s="996">
        <f>('SUM HH WITH'!$M$93+'SUM HH WITHOUT'!$M$93)/2</f>
        <v>0.5</v>
      </c>
      <c r="N98" s="91">
        <f>IF(M$101=0,0,M98/M$101)</f>
        <v>0.25</v>
      </c>
      <c r="O98" s="481"/>
      <c r="P98" s="17"/>
      <c r="Q98" s="996">
        <f>('SUM HH WITH'!$Q$93+'SUM HH WITHOUT'!$Q$93)/2</f>
        <v>1</v>
      </c>
      <c r="R98" s="91">
        <f>IF(Q$101=0,0,Q98/Q$101)</f>
        <v>1</v>
      </c>
      <c r="S98" s="481"/>
      <c r="T98" s="17"/>
      <c r="U98" s="996">
        <f>('SUM HH WITH'!$U$93+'SUM HH WITHOUT'!$U$93)/2</f>
        <v>0.5</v>
      </c>
      <c r="V98" s="91">
        <f>IF(U$101=0,0,U98/U$101)</f>
        <v>0.33333333333333331</v>
      </c>
      <c r="W98" s="481"/>
      <c r="X98" s="17"/>
      <c r="Y98" s="996">
        <f>('SUM HH WITH'!$Y$93+'SUM HH WITHOUT'!$Y$93)/2</f>
        <v>1.5</v>
      </c>
      <c r="Z98" s="91">
        <f>IF(Y$101=0,0,Y98/Y$101)</f>
        <v>0.5</v>
      </c>
      <c r="AA98" s="481"/>
      <c r="AB98" s="17"/>
      <c r="AC98" s="996">
        <f>('SUM HH WITH'!$AC$93+'SUM HH WITHOUT'!$AC$93)/2</f>
        <v>2</v>
      </c>
      <c r="AD98" s="91">
        <f>IF(AC$101=0,0,AC98/AC$101)</f>
        <v>1</v>
      </c>
      <c r="AE98" s="481"/>
      <c r="AF98" s="17"/>
      <c r="AG98" s="996">
        <f>('SUM HH WITH'!$AG$93+'SUM HH WITHOUT'!$AG$93)/2</f>
        <v>0</v>
      </c>
      <c r="AH98" s="373">
        <f>IF(AG$101=0,0,AG98/AG$101)</f>
        <v>0</v>
      </c>
      <c r="AI98" s="391"/>
      <c r="AJ98" s="17"/>
      <c r="AK98" s="996">
        <f t="shared" si="132"/>
        <v>6</v>
      </c>
      <c r="AL98" s="91">
        <f>IF(AK$101=0,0,AK98/AK$101)</f>
        <v>0.54545454545454541</v>
      </c>
    </row>
    <row r="99" spans="1:38" s="117" customFormat="1" ht="16.5" customHeight="1" x14ac:dyDescent="0.25">
      <c r="A99" s="119"/>
      <c r="B99" s="118"/>
      <c r="C99" s="118"/>
      <c r="D99" s="474" t="s">
        <v>71</v>
      </c>
      <c r="E99" s="482" t="s">
        <v>859</v>
      </c>
      <c r="F99" s="475"/>
      <c r="G99" s="481"/>
      <c r="H99" s="17"/>
      <c r="I99" s="996">
        <f>('SUM HH WITH'!$I$94+'SUM HH WITHOUT'!$I$94)/2</f>
        <v>0</v>
      </c>
      <c r="J99" s="91">
        <f>IF(I$101=0,0,I99/I$101)</f>
        <v>0</v>
      </c>
      <c r="K99" s="481"/>
      <c r="L99" s="17"/>
      <c r="M99" s="996">
        <f>('SUM HH WITH'!$M$94+'SUM HH WITHOUT'!$M$94)/2</f>
        <v>0</v>
      </c>
      <c r="N99" s="91">
        <f>IF(M$101=0,0,M99/M$101)</f>
        <v>0</v>
      </c>
      <c r="O99" s="481"/>
      <c r="P99" s="17"/>
      <c r="Q99" s="996">
        <f>('SUM HH WITH'!$Q$94+'SUM HH WITHOUT'!$Q$94)/2</f>
        <v>0</v>
      </c>
      <c r="R99" s="91">
        <f>IF(Q$101=0,0,Q99/Q$101)</f>
        <v>0</v>
      </c>
      <c r="S99" s="481"/>
      <c r="T99" s="17"/>
      <c r="U99" s="996">
        <f>('SUM HH WITH'!$U$94+'SUM HH WITHOUT'!$U$94)/2</f>
        <v>0</v>
      </c>
      <c r="V99" s="91">
        <f>IF(U$101=0,0,U99/U$101)</f>
        <v>0</v>
      </c>
      <c r="W99" s="481"/>
      <c r="X99" s="17"/>
      <c r="Y99" s="996">
        <f>('SUM HH WITH'!$Y$94+'SUM HH WITHOUT'!$Y$94)/2</f>
        <v>0</v>
      </c>
      <c r="Z99" s="91">
        <f>IF(Y$101=0,0,Y99/Y$101)</f>
        <v>0</v>
      </c>
      <c r="AA99" s="481"/>
      <c r="AB99" s="17"/>
      <c r="AC99" s="996">
        <f>('SUM HH WITH'!$AC$94+'SUM HH WITHOUT'!$AC$94)/2</f>
        <v>0</v>
      </c>
      <c r="AD99" s="91">
        <f>IF(AC$101=0,0,AC99/AC$101)</f>
        <v>0</v>
      </c>
      <c r="AE99" s="481"/>
      <c r="AF99" s="17"/>
      <c r="AG99" s="996">
        <f>('SUM HH WITH'!$AG$94+'SUM HH WITHOUT'!$AG$94)/2</f>
        <v>0</v>
      </c>
      <c r="AH99" s="373">
        <f>IF(AG$101=0,0,AG99/AG$101)</f>
        <v>0</v>
      </c>
      <c r="AI99" s="391"/>
      <c r="AJ99" s="17"/>
      <c r="AK99" s="996">
        <f t="shared" si="132"/>
        <v>0</v>
      </c>
      <c r="AL99" s="91">
        <f>IF(AK$101=0,0,AK99/AK$101)</f>
        <v>0</v>
      </c>
    </row>
    <row r="100" spans="1:38" s="117" customFormat="1" ht="16.5" customHeight="1" x14ac:dyDescent="0.25">
      <c r="A100" s="119"/>
      <c r="B100" s="118"/>
      <c r="C100" s="118"/>
      <c r="D100" s="474" t="s">
        <v>73</v>
      </c>
      <c r="E100" s="482" t="s">
        <v>561</v>
      </c>
      <c r="F100" s="483"/>
      <c r="G100" s="481"/>
      <c r="H100" s="17"/>
      <c r="I100" s="996">
        <f>('SUM HH WITH'!$I$95+'SUM HH WITHOUT'!$I$95)/2</f>
        <v>0</v>
      </c>
      <c r="J100" s="91">
        <f>IF(I$101=0,0,I100/I$101)</f>
        <v>0</v>
      </c>
      <c r="K100" s="481"/>
      <c r="L100" s="17"/>
      <c r="M100" s="996">
        <f>('SUM HH WITH'!$M$95+'SUM HH WITHOUT'!$M$95)/2</f>
        <v>0</v>
      </c>
      <c r="N100" s="91">
        <f>IF(M$101=0,0,M100/M$101)</f>
        <v>0</v>
      </c>
      <c r="O100" s="481"/>
      <c r="P100" s="17"/>
      <c r="Q100" s="996">
        <f>('SUM HH WITH'!$Q$95+'SUM HH WITHOUT'!$Q$95)/2</f>
        <v>0</v>
      </c>
      <c r="R100" s="91">
        <f>IF(Q$101=0,0,Q100/Q$101)</f>
        <v>0</v>
      </c>
      <c r="S100" s="481"/>
      <c r="T100" s="17"/>
      <c r="U100" s="996">
        <f>('SUM HH WITH'!$U$95+'SUM HH WITHOUT'!$U$95)/2</f>
        <v>0</v>
      </c>
      <c r="V100" s="91">
        <f>IF(U$101=0,0,U100/U$101)</f>
        <v>0</v>
      </c>
      <c r="W100" s="481"/>
      <c r="X100" s="17"/>
      <c r="Y100" s="996">
        <f>('SUM HH WITH'!$Y$95+'SUM HH WITHOUT'!$Y$95)/2</f>
        <v>0</v>
      </c>
      <c r="Z100" s="91">
        <f>IF(Y$101=0,0,Y100/Y$101)</f>
        <v>0</v>
      </c>
      <c r="AA100" s="481"/>
      <c r="AB100" s="17"/>
      <c r="AC100" s="996">
        <f>('SUM HH WITH'!$AC$95+'SUM HH WITHOUT'!$AC$95)/2</f>
        <v>0</v>
      </c>
      <c r="AD100" s="91">
        <f>IF(AC$101=0,0,AC100/AC$101)</f>
        <v>0</v>
      </c>
      <c r="AE100" s="481"/>
      <c r="AF100" s="17"/>
      <c r="AG100" s="996">
        <f>('SUM HH WITH'!$AG$95+'SUM HH WITHOUT'!$AG$95)/2</f>
        <v>0</v>
      </c>
      <c r="AH100" s="373">
        <f>IF(AG$101=0,0,AG100/AG$101)</f>
        <v>0</v>
      </c>
      <c r="AI100" s="391"/>
      <c r="AJ100" s="17"/>
      <c r="AK100" s="996">
        <f t="shared" si="132"/>
        <v>0</v>
      </c>
      <c r="AL100" s="91">
        <f>IF(AK$101=0,0,AK100/AK$101)</f>
        <v>0</v>
      </c>
    </row>
    <row r="101" spans="1:38" s="117" customFormat="1" ht="16.5" customHeight="1" x14ac:dyDescent="0.25">
      <c r="A101" s="119"/>
      <c r="B101" s="40"/>
      <c r="C101" s="40"/>
      <c r="D101" s="479"/>
      <c r="E101" s="78"/>
      <c r="F101" s="79"/>
      <c r="G101" s="82"/>
      <c r="H101" s="82"/>
      <c r="I101" s="82">
        <f>SUM(I97:I100)</f>
        <v>1.5</v>
      </c>
      <c r="J101" s="66">
        <f>IF(I$101=0,0,I101/I$101)</f>
        <v>1</v>
      </c>
      <c r="K101" s="82"/>
      <c r="L101" s="82"/>
      <c r="M101" s="82">
        <f>SUM(M97:M100)</f>
        <v>2</v>
      </c>
      <c r="N101" s="66">
        <f>IF(M$101=0,0,M101/M$101)</f>
        <v>1</v>
      </c>
      <c r="O101" s="82"/>
      <c r="P101" s="82"/>
      <c r="Q101" s="82">
        <f>SUM(Q97:Q100)</f>
        <v>1</v>
      </c>
      <c r="R101" s="66">
        <f>IF(Q$101=0,0,Q101/Q$101)</f>
        <v>1</v>
      </c>
      <c r="S101" s="82"/>
      <c r="T101" s="82"/>
      <c r="U101" s="82">
        <f>SUM(U97:U100)</f>
        <v>1.5</v>
      </c>
      <c r="V101" s="66">
        <f>IF(U$101=0,0,U101/U$101)</f>
        <v>1</v>
      </c>
      <c r="W101" s="82"/>
      <c r="X101" s="82"/>
      <c r="Y101" s="82">
        <f>SUM(Y97:Y100)</f>
        <v>3</v>
      </c>
      <c r="Z101" s="66">
        <f>IF(Y$101=0,0,Y101/Y$101)</f>
        <v>1</v>
      </c>
      <c r="AA101" s="82"/>
      <c r="AB101" s="82"/>
      <c r="AC101" s="82">
        <f>SUM(AC97:AC100)</f>
        <v>2</v>
      </c>
      <c r="AD101" s="66">
        <f>IF(AC$101=0,0,AC101/AC$101)</f>
        <v>1</v>
      </c>
      <c r="AE101" s="82"/>
      <c r="AF101" s="82"/>
      <c r="AG101" s="82">
        <f>SUM(AG97:AG100)</f>
        <v>0</v>
      </c>
      <c r="AH101" s="608">
        <f>IF(AG$101=0,0,AG101/AG$101)</f>
        <v>0</v>
      </c>
      <c r="AI101" s="381"/>
      <c r="AJ101" s="82"/>
      <c r="AK101" s="82">
        <f>SUM(AK97:AK100)</f>
        <v>11</v>
      </c>
      <c r="AL101" s="66">
        <f>IF(AK$101=0,0,AK101/AK$101)</f>
        <v>1</v>
      </c>
    </row>
    <row r="102" spans="1:38" s="117" customFormat="1" ht="16.5" customHeight="1" x14ac:dyDescent="0.25">
      <c r="A102" s="119"/>
      <c r="B102" s="41" t="s">
        <v>74</v>
      </c>
      <c r="C102" s="476" t="s">
        <v>12</v>
      </c>
      <c r="D102" s="477"/>
      <c r="E102" s="478"/>
      <c r="F102" s="478"/>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355"/>
      <c r="AI102" s="377"/>
      <c r="AJ102" s="71"/>
      <c r="AK102" s="71"/>
      <c r="AL102" s="71"/>
    </row>
    <row r="103" spans="1:38" s="117" customFormat="1" ht="16.5" customHeight="1" x14ac:dyDescent="0.25">
      <c r="A103" s="119"/>
      <c r="B103" s="102"/>
      <c r="C103" s="103" t="s">
        <v>80</v>
      </c>
      <c r="D103" s="85" t="s">
        <v>896</v>
      </c>
      <c r="E103" s="475"/>
      <c r="F103" s="108"/>
      <c r="G103" s="17"/>
      <c r="H103" s="17"/>
      <c r="I103" s="996">
        <f>('SUM HH WITH'!$I$98+'SUM HH WITHOUT'!$I$98)/2</f>
        <v>0</v>
      </c>
      <c r="J103" s="17"/>
      <c r="K103" s="17"/>
      <c r="L103" s="17"/>
      <c r="M103" s="996">
        <f>('SUM HH WITH'!$M$98+'SUM HH WITHOUT'!$M$98)/2</f>
        <v>0</v>
      </c>
      <c r="N103" s="17"/>
      <c r="O103" s="17"/>
      <c r="P103" s="17"/>
      <c r="Q103" s="996">
        <f>('SUM HH WITH'!$Q$98+'SUM HH WITHOUT'!$Q$98)/2</f>
        <v>0</v>
      </c>
      <c r="R103" s="17"/>
      <c r="S103" s="17"/>
      <c r="T103" s="17"/>
      <c r="U103" s="996">
        <f>('SUM HH WITH'!$U$98+'SUM HH WITHOUT'!$U$98)/2</f>
        <v>0</v>
      </c>
      <c r="V103" s="17"/>
      <c r="W103" s="17"/>
      <c r="X103" s="17"/>
      <c r="Y103" s="996">
        <f>('SUM HH WITH'!$Y$98+'SUM HH WITHOUT'!$Y$98)/2</f>
        <v>0</v>
      </c>
      <c r="Z103" s="17"/>
      <c r="AA103" s="17"/>
      <c r="AB103" s="17"/>
      <c r="AC103" s="996">
        <f>('SUM HH WITH'!$AC$98+'SUM HH WITHOUT'!$AC$98)/2</f>
        <v>0</v>
      </c>
      <c r="AD103" s="17"/>
      <c r="AE103" s="17"/>
      <c r="AF103" s="17"/>
      <c r="AG103" s="996">
        <f>('SUM HH WITH'!$AG$98+'SUM HH WITHOUT'!$AG$98)/2</f>
        <v>0</v>
      </c>
      <c r="AH103" s="359"/>
      <c r="AI103" s="391"/>
      <c r="AJ103" s="17"/>
      <c r="AK103" s="996">
        <f t="shared" ref="AK103" si="133">I103+M103+Q103+U103+Y103+AC103+AG103</f>
        <v>0</v>
      </c>
      <c r="AL103" s="17"/>
    </row>
    <row r="104" spans="1:38" ht="16.5" customHeight="1" x14ac:dyDescent="0.25">
      <c r="A104" s="47"/>
      <c r="B104" s="470"/>
      <c r="C104" s="40"/>
      <c r="D104" s="464" t="s">
        <v>913</v>
      </c>
      <c r="E104" s="464"/>
      <c r="F104" s="465"/>
      <c r="G104" s="66"/>
      <c r="H104" s="66"/>
      <c r="I104" s="66">
        <f>IF(I$14=0,0,I103/I$14)</f>
        <v>0</v>
      </c>
      <c r="J104" s="66"/>
      <c r="K104" s="66"/>
      <c r="L104" s="66"/>
      <c r="M104" s="66">
        <f>IF(M$14=0,0,M103/M$14)</f>
        <v>0</v>
      </c>
      <c r="N104" s="66"/>
      <c r="O104" s="66"/>
      <c r="P104" s="66"/>
      <c r="Q104" s="66">
        <f>IF(Q$14=0,0,Q103/Q$14)</f>
        <v>0</v>
      </c>
      <c r="R104" s="66"/>
      <c r="S104" s="66"/>
      <c r="T104" s="66"/>
      <c r="U104" s="66">
        <f>IF(U$14=0,0,U103/U$14)</f>
        <v>0</v>
      </c>
      <c r="V104" s="66"/>
      <c r="W104" s="66"/>
      <c r="X104" s="66"/>
      <c r="Y104" s="66">
        <f>IF(Y$14=0,0,Y103/Y$14)</f>
        <v>0</v>
      </c>
      <c r="Z104" s="66"/>
      <c r="AA104" s="66"/>
      <c r="AB104" s="66"/>
      <c r="AC104" s="66">
        <f>IF(AC$14=0,0,AC103/AC$14)</f>
        <v>0</v>
      </c>
      <c r="AD104" s="66"/>
      <c r="AE104" s="66"/>
      <c r="AF104" s="66"/>
      <c r="AG104" s="66">
        <f>IF(AG$14=0,0,AG103/AG$14)</f>
        <v>0</v>
      </c>
      <c r="AH104" s="608"/>
      <c r="AI104" s="619"/>
      <c r="AJ104" s="66"/>
      <c r="AK104" s="66">
        <f>IF(AK$14=0,0,AK103/AK$14)</f>
        <v>0</v>
      </c>
      <c r="AL104" s="66"/>
    </row>
    <row r="105" spans="1:38" s="117" customFormat="1" ht="16.5" customHeight="1" x14ac:dyDescent="0.25">
      <c r="A105" s="119"/>
      <c r="B105" s="119"/>
      <c r="C105" s="103" t="s">
        <v>86</v>
      </c>
      <c r="D105" s="85" t="s">
        <v>911</v>
      </c>
      <c r="E105" s="475"/>
      <c r="F105" s="108"/>
      <c r="G105" s="111"/>
      <c r="H105" s="111"/>
      <c r="I105" s="932"/>
      <c r="J105" s="111"/>
      <c r="K105" s="111"/>
      <c r="L105" s="111"/>
      <c r="M105" s="932"/>
      <c r="N105" s="111"/>
      <c r="O105" s="111"/>
      <c r="P105" s="111"/>
      <c r="Q105" s="932"/>
      <c r="R105" s="111"/>
      <c r="S105" s="111"/>
      <c r="T105" s="111"/>
      <c r="U105" s="932"/>
      <c r="V105" s="111"/>
      <c r="W105" s="111"/>
      <c r="X105" s="111"/>
      <c r="Y105" s="932"/>
      <c r="Z105" s="111"/>
      <c r="AA105" s="111"/>
      <c r="AB105" s="111"/>
      <c r="AC105" s="932"/>
      <c r="AD105" s="111"/>
      <c r="AE105" s="111"/>
      <c r="AF105" s="111"/>
      <c r="AG105" s="932"/>
      <c r="AH105" s="358"/>
      <c r="AI105" s="380"/>
      <c r="AJ105" s="111"/>
      <c r="AK105" s="932"/>
      <c r="AL105" s="111"/>
    </row>
    <row r="106" spans="1:38" s="117" customFormat="1" ht="16.5" customHeight="1" x14ac:dyDescent="0.25">
      <c r="A106" s="253"/>
      <c r="B106" s="522"/>
      <c r="C106" s="119"/>
      <c r="D106" s="105" t="s">
        <v>908</v>
      </c>
      <c r="E106" s="523"/>
      <c r="F106" s="524"/>
      <c r="G106" s="17"/>
      <c r="H106" s="17"/>
      <c r="I106" s="996">
        <f>('SUM HH WITH'!$I$101+'SUM HH WITHOUT'!$I$101)/2</f>
        <v>0</v>
      </c>
      <c r="J106" s="17"/>
      <c r="K106" s="17"/>
      <c r="L106" s="17"/>
      <c r="M106" s="996">
        <f>('SUM HH WITH'!$M$101+'SUM HH WITHOUT'!$M$101)/2</f>
        <v>0</v>
      </c>
      <c r="N106" s="17"/>
      <c r="O106" s="17"/>
      <c r="P106" s="17"/>
      <c r="Q106" s="996">
        <f>('SUM HH WITH'!$Q$101+'SUM HH WITHOUT'!$Q$101)/2</f>
        <v>0</v>
      </c>
      <c r="R106" s="17"/>
      <c r="S106" s="17"/>
      <c r="T106" s="17"/>
      <c r="U106" s="996">
        <f>('SUM HH WITH'!$U$101+'SUM HH WITHOUT'!$U$101)/2</f>
        <v>0</v>
      </c>
      <c r="V106" s="17"/>
      <c r="W106" s="17"/>
      <c r="X106" s="17"/>
      <c r="Y106" s="996">
        <f>('SUM HH WITH'!$Y$101+'SUM HH WITHOUT'!$Y$101)/2</f>
        <v>0</v>
      </c>
      <c r="Z106" s="17"/>
      <c r="AA106" s="17"/>
      <c r="AB106" s="17"/>
      <c r="AC106" s="996">
        <f>('SUM HH WITH'!$AC$101+'SUM HH WITHOUT'!$AC$101)/2</f>
        <v>0</v>
      </c>
      <c r="AD106" s="17"/>
      <c r="AE106" s="17"/>
      <c r="AF106" s="17"/>
      <c r="AG106" s="996">
        <f>('SUM HH WITH'!$AG$101+'SUM HH WITHOUT'!$AG$101)/2</f>
        <v>0</v>
      </c>
      <c r="AH106" s="359"/>
      <c r="AI106" s="391"/>
      <c r="AJ106" s="17"/>
      <c r="AK106" s="996">
        <f t="shared" ref="AK106:AK109" si="134">I106+M106+Q106+U106+Y106+AC106+AG106</f>
        <v>0</v>
      </c>
      <c r="AL106" s="17"/>
    </row>
    <row r="107" spans="1:38" s="117" customFormat="1" ht="16.5" customHeight="1" x14ac:dyDescent="0.25">
      <c r="A107" s="253"/>
      <c r="B107" s="522"/>
      <c r="C107" s="119"/>
      <c r="D107" s="105" t="s">
        <v>909</v>
      </c>
      <c r="E107" s="523"/>
      <c r="F107" s="524"/>
      <c r="G107" s="17"/>
      <c r="H107" s="17"/>
      <c r="I107" s="996">
        <f>('SUM HH WITH'!$I$102+'SUM HH WITHOUT'!$I$102)/2</f>
        <v>0</v>
      </c>
      <c r="J107" s="17"/>
      <c r="K107" s="17"/>
      <c r="L107" s="17"/>
      <c r="M107" s="996">
        <f>('SUM HH WITH'!$M$102+'SUM HH WITHOUT'!$M$102)/2</f>
        <v>0</v>
      </c>
      <c r="N107" s="17"/>
      <c r="O107" s="17"/>
      <c r="P107" s="17"/>
      <c r="Q107" s="996">
        <f>('SUM HH WITH'!$Q$102+'SUM HH WITHOUT'!$Q$102)/2</f>
        <v>0</v>
      </c>
      <c r="R107" s="17"/>
      <c r="S107" s="17"/>
      <c r="T107" s="17"/>
      <c r="U107" s="996">
        <f>('SUM HH WITH'!$U$102+'SUM HH WITHOUT'!$U$102)/2</f>
        <v>0</v>
      </c>
      <c r="V107" s="17"/>
      <c r="W107" s="17"/>
      <c r="X107" s="17"/>
      <c r="Y107" s="996">
        <f>('SUM HH WITH'!$Y$102+'SUM HH WITHOUT'!$Y$102)/2</f>
        <v>0</v>
      </c>
      <c r="Z107" s="17"/>
      <c r="AA107" s="17"/>
      <c r="AB107" s="17"/>
      <c r="AC107" s="996">
        <f>('SUM HH WITH'!$AC$102+'SUM HH WITHOUT'!$AC$102)/2</f>
        <v>0</v>
      </c>
      <c r="AD107" s="17"/>
      <c r="AE107" s="17"/>
      <c r="AF107" s="17"/>
      <c r="AG107" s="996">
        <f>('SUM HH WITH'!$AG$102+'SUM HH WITHOUT'!$AG$102)/2</f>
        <v>0</v>
      </c>
      <c r="AH107" s="359"/>
      <c r="AI107" s="391"/>
      <c r="AJ107" s="17"/>
      <c r="AK107" s="996">
        <f t="shared" si="134"/>
        <v>0</v>
      </c>
      <c r="AL107" s="17"/>
    </row>
    <row r="108" spans="1:38" ht="16.5" customHeight="1" x14ac:dyDescent="0.25">
      <c r="A108" s="47"/>
      <c r="B108" s="470"/>
      <c r="C108" s="40"/>
      <c r="D108" s="464" t="s">
        <v>912</v>
      </c>
      <c r="E108" s="464"/>
      <c r="F108" s="465"/>
      <c r="G108" s="66"/>
      <c r="H108" s="66"/>
      <c r="I108" s="66">
        <f>IF(I$14=0,0,I107/I$14)</f>
        <v>0</v>
      </c>
      <c r="J108" s="66"/>
      <c r="K108" s="66"/>
      <c r="L108" s="66"/>
      <c r="M108" s="66">
        <f>IF(M$14=0,0,M107/M$14)</f>
        <v>0</v>
      </c>
      <c r="N108" s="66"/>
      <c r="O108" s="66"/>
      <c r="P108" s="66"/>
      <c r="Q108" s="66">
        <f>IF(Q$14=0,0,Q107/Q$14)</f>
        <v>0</v>
      </c>
      <c r="R108" s="66"/>
      <c r="S108" s="66"/>
      <c r="T108" s="66"/>
      <c r="U108" s="66">
        <f>IF(U$14=0,0,U107/U$14)</f>
        <v>0</v>
      </c>
      <c r="V108" s="66"/>
      <c r="W108" s="66"/>
      <c r="X108" s="66"/>
      <c r="Y108" s="66">
        <f>IF(Y$14=0,0,Y107/Y$14)</f>
        <v>0</v>
      </c>
      <c r="Z108" s="66"/>
      <c r="AA108" s="66"/>
      <c r="AB108" s="66"/>
      <c r="AC108" s="66">
        <f>IF(AC$14=0,0,AC107/AC$14)</f>
        <v>0</v>
      </c>
      <c r="AD108" s="66"/>
      <c r="AE108" s="66"/>
      <c r="AF108" s="66"/>
      <c r="AG108" s="66">
        <f>IF(AG$14=0,0,AG107/AG$14)</f>
        <v>0</v>
      </c>
      <c r="AH108" s="608"/>
      <c r="AI108" s="619"/>
      <c r="AJ108" s="66"/>
      <c r="AK108" s="66">
        <f>IF(AK$14=0,0,AK107/AK$14)</f>
        <v>0</v>
      </c>
      <c r="AL108" s="66"/>
    </row>
    <row r="109" spans="1:38" s="117" customFormat="1" ht="16.5" customHeight="1" x14ac:dyDescent="0.25">
      <c r="A109" s="119"/>
      <c r="B109" s="119"/>
      <c r="C109" s="103" t="s">
        <v>92</v>
      </c>
      <c r="D109" s="85" t="s">
        <v>914</v>
      </c>
      <c r="E109" s="475"/>
      <c r="F109" s="108"/>
      <c r="G109" s="17"/>
      <c r="H109" s="17"/>
      <c r="I109" s="996">
        <f>('SUM HH WITH'!$I$104+'SUM HH WITHOUT'!$I$104)/2</f>
        <v>1</v>
      </c>
      <c r="J109" s="17"/>
      <c r="K109" s="17"/>
      <c r="L109" s="17"/>
      <c r="M109" s="996">
        <f>('SUM HH WITH'!$M$104+'SUM HH WITHOUT'!$M$104)/2</f>
        <v>0</v>
      </c>
      <c r="N109" s="17"/>
      <c r="O109" s="17"/>
      <c r="P109" s="17"/>
      <c r="Q109" s="996">
        <f>('SUM HH WITH'!$Q$104+'SUM HH WITHOUT'!$Q$104)/2</f>
        <v>1</v>
      </c>
      <c r="R109" s="17"/>
      <c r="S109" s="17"/>
      <c r="T109" s="17"/>
      <c r="U109" s="996">
        <f>('SUM HH WITH'!$U$104+'SUM HH WITHOUT'!$U$104)/2</f>
        <v>1</v>
      </c>
      <c r="V109" s="17"/>
      <c r="W109" s="17"/>
      <c r="X109" s="17"/>
      <c r="Y109" s="996">
        <f>('SUM HH WITH'!$Y$104+'SUM HH WITHOUT'!$Y$104)/2</f>
        <v>0</v>
      </c>
      <c r="Z109" s="17"/>
      <c r="AA109" s="17"/>
      <c r="AB109" s="17"/>
      <c r="AC109" s="996">
        <f>('SUM HH WITH'!$AC$104+'SUM HH WITHOUT'!$AC$104)/2</f>
        <v>2</v>
      </c>
      <c r="AD109" s="17"/>
      <c r="AE109" s="17"/>
      <c r="AF109" s="17"/>
      <c r="AG109" s="996">
        <f>('SUM HH WITH'!$AG$104+'SUM HH WITHOUT'!$AG$104)/2</f>
        <v>0</v>
      </c>
      <c r="AH109" s="359"/>
      <c r="AI109" s="391"/>
      <c r="AJ109" s="17"/>
      <c r="AK109" s="996">
        <f t="shared" si="134"/>
        <v>5</v>
      </c>
      <c r="AL109" s="17"/>
    </row>
    <row r="110" spans="1:38" ht="16.5" customHeight="1" x14ac:dyDescent="0.25">
      <c r="A110" s="47"/>
      <c r="B110" s="470"/>
      <c r="C110" s="40"/>
      <c r="D110" s="464" t="s">
        <v>854</v>
      </c>
      <c r="E110" s="464"/>
      <c r="F110" s="465"/>
      <c r="G110" s="66"/>
      <c r="H110" s="66"/>
      <c r="I110" s="66">
        <f>IF(I$14=0,0,I109/I$14)</f>
        <v>0.5</v>
      </c>
      <c r="J110" s="66"/>
      <c r="K110" s="66"/>
      <c r="L110" s="66"/>
      <c r="M110" s="66">
        <f>IF(M$14=0,0,M109/M$14)</f>
        <v>0</v>
      </c>
      <c r="N110" s="66"/>
      <c r="O110" s="66"/>
      <c r="P110" s="66"/>
      <c r="Q110" s="66">
        <f>IF(Q$14=0,0,Q109/Q$14)</f>
        <v>1</v>
      </c>
      <c r="R110" s="66"/>
      <c r="S110" s="66"/>
      <c r="T110" s="66"/>
      <c r="U110" s="66">
        <f>IF(U$14=0,0,U109/U$14)</f>
        <v>0.5</v>
      </c>
      <c r="V110" s="66"/>
      <c r="W110" s="66"/>
      <c r="X110" s="66"/>
      <c r="Y110" s="66">
        <f>IF(Y$14=0,0,Y109/Y$14)</f>
        <v>0</v>
      </c>
      <c r="Z110" s="66"/>
      <c r="AA110" s="66"/>
      <c r="AB110" s="66"/>
      <c r="AC110" s="66">
        <f>IF(AC$14=0,0,AC109/AC$14)</f>
        <v>1</v>
      </c>
      <c r="AD110" s="66"/>
      <c r="AE110" s="66"/>
      <c r="AF110" s="66"/>
      <c r="AG110" s="66">
        <f>IF(AG$14=0,0,AG109/AG$14)</f>
        <v>0</v>
      </c>
      <c r="AH110" s="608"/>
      <c r="AI110" s="619"/>
      <c r="AJ110" s="66"/>
      <c r="AK110" s="66">
        <f>IF(AK$14=0,0,AK109/AK$14)</f>
        <v>0.41666666666666669</v>
      </c>
      <c r="AL110" s="66"/>
    </row>
    <row r="111" spans="1:38" s="117" customFormat="1" ht="16.5" customHeight="1" x14ac:dyDescent="0.25">
      <c r="A111" s="119"/>
      <c r="B111" s="119"/>
      <c r="C111" s="103" t="s">
        <v>93</v>
      </c>
      <c r="D111" s="85" t="s">
        <v>915</v>
      </c>
      <c r="E111" s="475"/>
      <c r="F111" s="108"/>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11"/>
      <c r="AG111" s="111"/>
      <c r="AH111" s="358"/>
      <c r="AI111" s="380"/>
      <c r="AJ111" s="111"/>
      <c r="AK111" s="111"/>
      <c r="AL111" s="111"/>
    </row>
    <row r="112" spans="1:38" s="117" customFormat="1" ht="16.5" customHeight="1" x14ac:dyDescent="0.25">
      <c r="A112" s="119"/>
      <c r="B112" s="119"/>
      <c r="C112" s="132"/>
      <c r="D112" s="484" t="s">
        <v>916</v>
      </c>
      <c r="E112" s="105"/>
      <c r="F112" s="76"/>
      <c r="G112" s="17"/>
      <c r="H112" s="17"/>
      <c r="I112" s="996">
        <f>('SUM HH WITH'!$I$107+'SUM HH WITHOUT'!$I$107)/2</f>
        <v>1</v>
      </c>
      <c r="J112" s="91">
        <f>IF(I$116=0,0,I112/I$116)</f>
        <v>0.5</v>
      </c>
      <c r="K112" s="17"/>
      <c r="L112" s="17"/>
      <c r="M112" s="996">
        <f>('SUM HH WITH'!$M$107+'SUM HH WITHOUT'!$M$107)/2</f>
        <v>2</v>
      </c>
      <c r="N112" s="91">
        <f>IF(M$116=0,0,M112/M$116)</f>
        <v>1</v>
      </c>
      <c r="O112" s="17"/>
      <c r="P112" s="17"/>
      <c r="Q112" s="996">
        <f>('SUM HH WITH'!$Q$107+'SUM HH WITHOUT'!$Q$107)/2</f>
        <v>0</v>
      </c>
      <c r="R112" s="91">
        <f>IF(Q$116=0,0,Q112/Q$116)</f>
        <v>0</v>
      </c>
      <c r="S112" s="17"/>
      <c r="T112" s="17"/>
      <c r="U112" s="996">
        <f>('SUM HH WITH'!$U$107+'SUM HH WITHOUT'!$U$107)/2</f>
        <v>1</v>
      </c>
      <c r="V112" s="91">
        <f>IF(U$116=0,0,U112/U$116)</f>
        <v>0.5</v>
      </c>
      <c r="W112" s="17"/>
      <c r="X112" s="17"/>
      <c r="Y112" s="996">
        <f>('SUM HH WITH'!$Y$107+'SUM HH WITHOUT'!$Y$107)/2</f>
        <v>3</v>
      </c>
      <c r="Z112" s="91">
        <f>IF(Y$116=0,0,Y112/Y$116)</f>
        <v>1</v>
      </c>
      <c r="AA112" s="17"/>
      <c r="AB112" s="17"/>
      <c r="AC112" s="996">
        <f>('SUM HH WITH'!$AC$107+'SUM HH WITHOUT'!$AC$107)/2</f>
        <v>0</v>
      </c>
      <c r="AD112" s="91">
        <f>IF(AC$116=0,0,AC112/AC$116)</f>
        <v>0</v>
      </c>
      <c r="AE112" s="17"/>
      <c r="AF112" s="17"/>
      <c r="AG112" s="996">
        <f>('SUM HH WITH'!$AG$107+'SUM HH WITHOUT'!$AG$107)/2</f>
        <v>0</v>
      </c>
      <c r="AH112" s="373">
        <f>IF(AG$116=0,0,AG112/AG$116)</f>
        <v>0</v>
      </c>
      <c r="AI112" s="391"/>
      <c r="AJ112" s="17"/>
      <c r="AK112" s="996">
        <f t="shared" ref="AK112:AK118" si="135">I112+M112+Q112+U112+Y112+AC112+AG112</f>
        <v>7</v>
      </c>
      <c r="AL112" s="91">
        <f>IF(AK$116=0,0,AK112/AK$116)</f>
        <v>0.58333333333333337</v>
      </c>
    </row>
    <row r="113" spans="1:41" s="117" customFormat="1" ht="16.5" customHeight="1" x14ac:dyDescent="0.25">
      <c r="A113" s="119"/>
      <c r="B113" s="119"/>
      <c r="C113" s="135"/>
      <c r="D113" s="484" t="s">
        <v>917</v>
      </c>
      <c r="E113" s="105"/>
      <c r="F113" s="76"/>
      <c r="G113" s="17"/>
      <c r="H113" s="17"/>
      <c r="I113" s="996">
        <f>('SUM HH WITH'!$I$108+'SUM HH WITHOUT'!$I$108)/2</f>
        <v>1</v>
      </c>
      <c r="J113" s="91">
        <f>IF(I$116=0,0,I113/I$116)</f>
        <v>0.5</v>
      </c>
      <c r="K113" s="17"/>
      <c r="L113" s="17"/>
      <c r="M113" s="996">
        <f>('SUM HH WITH'!$M$108+'SUM HH WITHOUT'!$M$108)/2</f>
        <v>0</v>
      </c>
      <c r="N113" s="91">
        <f>IF(M$116=0,0,M113/M$116)</f>
        <v>0</v>
      </c>
      <c r="O113" s="17"/>
      <c r="P113" s="17"/>
      <c r="Q113" s="996">
        <f>('SUM HH WITH'!$Q$108+'SUM HH WITHOUT'!$Q$108)/2</f>
        <v>1</v>
      </c>
      <c r="R113" s="91">
        <f>IF(Q$116=0,0,Q113/Q$116)</f>
        <v>1</v>
      </c>
      <c r="S113" s="17"/>
      <c r="T113" s="17"/>
      <c r="U113" s="996">
        <f>('SUM HH WITH'!$U$108+'SUM HH WITHOUT'!$U$108)/2</f>
        <v>1</v>
      </c>
      <c r="V113" s="91">
        <f>IF(U$116=0,0,U113/U$116)</f>
        <v>0.5</v>
      </c>
      <c r="W113" s="17"/>
      <c r="X113" s="17"/>
      <c r="Y113" s="996">
        <f>('SUM HH WITH'!$Y$108+'SUM HH WITHOUT'!$Y$108)/2</f>
        <v>0</v>
      </c>
      <c r="Z113" s="91">
        <f>IF(Y$116=0,0,Y113/Y$116)</f>
        <v>0</v>
      </c>
      <c r="AA113" s="17"/>
      <c r="AB113" s="17"/>
      <c r="AC113" s="996">
        <f>('SUM HH WITH'!$AC$108+'SUM HH WITHOUT'!$AC$108)/2</f>
        <v>2</v>
      </c>
      <c r="AD113" s="91">
        <f>IF(AC$116=0,0,AC113/AC$116)</f>
        <v>1</v>
      </c>
      <c r="AE113" s="17"/>
      <c r="AF113" s="17"/>
      <c r="AG113" s="996">
        <f>('SUM HH WITH'!$AG$108+'SUM HH WITHOUT'!$AG$108)/2</f>
        <v>0</v>
      </c>
      <c r="AH113" s="373">
        <f>IF(AG$116=0,0,AG113/AG$116)</f>
        <v>0</v>
      </c>
      <c r="AI113" s="391"/>
      <c r="AJ113" s="17"/>
      <c r="AK113" s="996">
        <f t="shared" si="135"/>
        <v>5</v>
      </c>
      <c r="AL113" s="91">
        <f>IF(AK$116=0,0,AK113/AK$116)</f>
        <v>0.41666666666666669</v>
      </c>
    </row>
    <row r="114" spans="1:41" s="117" customFormat="1" ht="16.5" customHeight="1" x14ac:dyDescent="0.25">
      <c r="A114" s="119"/>
      <c r="B114" s="119"/>
      <c r="C114" s="136"/>
      <c r="D114" s="484" t="s">
        <v>918</v>
      </c>
      <c r="E114" s="105"/>
      <c r="F114" s="76"/>
      <c r="G114" s="17"/>
      <c r="H114" s="17"/>
      <c r="I114" s="996">
        <f>('SUM HH WITH'!$I$109+'SUM HH WITHOUT'!$I$109)/2</f>
        <v>0</v>
      </c>
      <c r="J114" s="91">
        <f>IF(I$116=0,0,I114/I$116)</f>
        <v>0</v>
      </c>
      <c r="K114" s="17"/>
      <c r="L114" s="17"/>
      <c r="M114" s="996">
        <f>('SUM HH WITH'!$M$109+'SUM HH WITHOUT'!$M$109)/2</f>
        <v>0</v>
      </c>
      <c r="N114" s="91">
        <f>IF(M$116=0,0,M114/M$116)</f>
        <v>0</v>
      </c>
      <c r="O114" s="17"/>
      <c r="P114" s="17"/>
      <c r="Q114" s="996">
        <f>('SUM HH WITH'!$Q$109+'SUM HH WITHOUT'!$Q$109)/2</f>
        <v>0</v>
      </c>
      <c r="R114" s="91">
        <f>IF(Q$116=0,0,Q114/Q$116)</f>
        <v>0</v>
      </c>
      <c r="S114" s="17"/>
      <c r="T114" s="17"/>
      <c r="U114" s="996">
        <f>('SUM HH WITH'!$U$109+'SUM HH WITHOUT'!$U$109)/2</f>
        <v>0</v>
      </c>
      <c r="V114" s="91">
        <f>IF(U$116=0,0,U114/U$116)</f>
        <v>0</v>
      </c>
      <c r="W114" s="17"/>
      <c r="X114" s="17"/>
      <c r="Y114" s="996">
        <f>('SUM HH WITH'!$Y$109+'SUM HH WITHOUT'!$Y$109)/2</f>
        <v>0</v>
      </c>
      <c r="Z114" s="91">
        <f>IF(Y$116=0,0,Y114/Y$116)</f>
        <v>0</v>
      </c>
      <c r="AA114" s="17"/>
      <c r="AB114" s="17"/>
      <c r="AC114" s="996">
        <f>('SUM HH WITH'!$AC$109+'SUM HH WITHOUT'!$AC$109)/2</f>
        <v>0</v>
      </c>
      <c r="AD114" s="91">
        <f>IF(AC$116=0,0,AC114/AC$116)</f>
        <v>0</v>
      </c>
      <c r="AE114" s="17"/>
      <c r="AF114" s="17"/>
      <c r="AG114" s="996">
        <f>('SUM HH WITH'!$AG$109+'SUM HH WITHOUT'!$AG$109)/2</f>
        <v>0</v>
      </c>
      <c r="AH114" s="373">
        <f>IF(AG$116=0,0,AG114/AG$116)</f>
        <v>0</v>
      </c>
      <c r="AI114" s="391"/>
      <c r="AJ114" s="17"/>
      <c r="AK114" s="996">
        <f t="shared" si="135"/>
        <v>0</v>
      </c>
      <c r="AL114" s="91">
        <f>IF(AK$116=0,0,AK114/AK$116)</f>
        <v>0</v>
      </c>
    </row>
    <row r="115" spans="1:41" s="117" customFormat="1" ht="16.5" customHeight="1" x14ac:dyDescent="0.25">
      <c r="A115" s="119"/>
      <c r="B115" s="119"/>
      <c r="C115" s="137"/>
      <c r="D115" s="484" t="s">
        <v>919</v>
      </c>
      <c r="E115" s="105"/>
      <c r="F115" s="76"/>
      <c r="G115" s="17"/>
      <c r="H115" s="17"/>
      <c r="I115" s="996">
        <f>('SUM HH WITH'!$I$110+'SUM HH WITHOUT'!$I$110)/2</f>
        <v>0</v>
      </c>
      <c r="J115" s="91">
        <f>IF(I$116=0,0,I115/I$116)</f>
        <v>0</v>
      </c>
      <c r="K115" s="17"/>
      <c r="L115" s="17"/>
      <c r="M115" s="996">
        <f>('SUM HH WITH'!$M$110+'SUM HH WITHOUT'!$M$110)/2</f>
        <v>0</v>
      </c>
      <c r="N115" s="91">
        <f>IF(M$116=0,0,M115/M$116)</f>
        <v>0</v>
      </c>
      <c r="O115" s="17"/>
      <c r="P115" s="17"/>
      <c r="Q115" s="996">
        <f>('SUM HH WITH'!$Q$110+'SUM HH WITHOUT'!$Q$110)/2</f>
        <v>0</v>
      </c>
      <c r="R115" s="91">
        <f>IF(Q$116=0,0,Q115/Q$116)</f>
        <v>0</v>
      </c>
      <c r="S115" s="17"/>
      <c r="T115" s="17"/>
      <c r="U115" s="996">
        <f>('SUM HH WITH'!$U$110+'SUM HH WITHOUT'!$U$110)/2</f>
        <v>0</v>
      </c>
      <c r="V115" s="91">
        <f>IF(U$116=0,0,U115/U$116)</f>
        <v>0</v>
      </c>
      <c r="W115" s="17"/>
      <c r="X115" s="17"/>
      <c r="Y115" s="996">
        <f>('SUM HH WITH'!$Y$110+'SUM HH WITHOUT'!$Y$110)/2</f>
        <v>0</v>
      </c>
      <c r="Z115" s="91">
        <f>IF(Y$116=0,0,Y115/Y$116)</f>
        <v>0</v>
      </c>
      <c r="AA115" s="17"/>
      <c r="AB115" s="17"/>
      <c r="AC115" s="996">
        <f>('SUM HH WITH'!$AC$110+'SUM HH WITHOUT'!$AC$110)/2</f>
        <v>0</v>
      </c>
      <c r="AD115" s="91">
        <f>IF(AC$116=0,0,AC115/AC$116)</f>
        <v>0</v>
      </c>
      <c r="AE115" s="17"/>
      <c r="AF115" s="17"/>
      <c r="AG115" s="996">
        <f>('SUM HH WITH'!$AG$110+'SUM HH WITHOUT'!$AG$110)/2</f>
        <v>0</v>
      </c>
      <c r="AH115" s="373">
        <f>IF(AG$116=0,0,AG115/AG$116)</f>
        <v>0</v>
      </c>
      <c r="AI115" s="391"/>
      <c r="AJ115" s="17"/>
      <c r="AK115" s="996">
        <f t="shared" si="135"/>
        <v>0</v>
      </c>
      <c r="AL115" s="91">
        <f>IF(AK$116=0,0,AK115/AK$116)</f>
        <v>0</v>
      </c>
    </row>
    <row r="116" spans="1:41" s="117" customFormat="1" ht="16.5" customHeight="1" x14ac:dyDescent="0.25">
      <c r="A116" s="119"/>
      <c r="B116" s="40"/>
      <c r="C116" s="40"/>
      <c r="D116" s="485"/>
      <c r="E116" s="486"/>
      <c r="F116" s="79"/>
      <c r="G116" s="82"/>
      <c r="H116" s="82"/>
      <c r="I116" s="82">
        <f>SUM(I112:I115)</f>
        <v>2</v>
      </c>
      <c r="J116" s="66">
        <f>IF(I$116=0,0,I116/I$116)</f>
        <v>1</v>
      </c>
      <c r="K116" s="82"/>
      <c r="L116" s="82"/>
      <c r="M116" s="82">
        <f>SUM(M112:M115)</f>
        <v>2</v>
      </c>
      <c r="N116" s="66">
        <f>IF(M$116=0,0,M116/M$116)</f>
        <v>1</v>
      </c>
      <c r="O116" s="82"/>
      <c r="P116" s="82"/>
      <c r="Q116" s="82">
        <f>SUM(Q112:Q115)</f>
        <v>1</v>
      </c>
      <c r="R116" s="66">
        <f>IF(Q$116=0,0,Q116/Q$116)</f>
        <v>1</v>
      </c>
      <c r="S116" s="82"/>
      <c r="T116" s="82"/>
      <c r="U116" s="82">
        <f>SUM(U112:U115)</f>
        <v>2</v>
      </c>
      <c r="V116" s="66">
        <f>IF(U$116=0,0,U116/U$116)</f>
        <v>1</v>
      </c>
      <c r="W116" s="82"/>
      <c r="X116" s="82"/>
      <c r="Y116" s="82">
        <f>SUM(Y112:Y115)</f>
        <v>3</v>
      </c>
      <c r="Z116" s="66">
        <f>IF(Y$116=0,0,Y116/Y$116)</f>
        <v>1</v>
      </c>
      <c r="AA116" s="82"/>
      <c r="AB116" s="82"/>
      <c r="AC116" s="82">
        <f>SUM(AC112:AC115)</f>
        <v>2</v>
      </c>
      <c r="AD116" s="66">
        <f>IF(AC$116=0,0,AC116/AC$116)</f>
        <v>1</v>
      </c>
      <c r="AE116" s="82"/>
      <c r="AF116" s="82"/>
      <c r="AG116" s="82">
        <f>SUM(AG112:AG115)</f>
        <v>0</v>
      </c>
      <c r="AH116" s="608">
        <f>IF(AG$116=0,0,AG116/AG$116)</f>
        <v>0</v>
      </c>
      <c r="AI116" s="381"/>
      <c r="AJ116" s="82"/>
      <c r="AK116" s="82">
        <f t="shared" si="135"/>
        <v>12</v>
      </c>
      <c r="AL116" s="66">
        <f>IF(AK$116=0,0,AK116/AK$116)</f>
        <v>1</v>
      </c>
    </row>
    <row r="117" spans="1:41" ht="16.5" customHeight="1" x14ac:dyDescent="0.25">
      <c r="A117" s="47"/>
      <c r="B117" s="470"/>
      <c r="C117" s="40"/>
      <c r="D117" s="464" t="s">
        <v>920</v>
      </c>
      <c r="E117" s="464"/>
      <c r="F117" s="465"/>
      <c r="G117" s="66"/>
      <c r="H117" s="66"/>
      <c r="I117" s="66">
        <f>IF(I$14=0,0,I115/I$14)</f>
        <v>0</v>
      </c>
      <c r="J117" s="66"/>
      <c r="K117" s="66"/>
      <c r="L117" s="66"/>
      <c r="M117" s="66">
        <f>IF(M$14=0,0,M115/M$14)</f>
        <v>0</v>
      </c>
      <c r="N117" s="66"/>
      <c r="O117" s="66"/>
      <c r="P117" s="66"/>
      <c r="Q117" s="66">
        <f>IF(Q$14=0,0,Q115/Q$14)</f>
        <v>0</v>
      </c>
      <c r="R117" s="66"/>
      <c r="S117" s="66"/>
      <c r="T117" s="66"/>
      <c r="U117" s="66">
        <f>IF(U$14=0,0,U115/U$14)</f>
        <v>0</v>
      </c>
      <c r="V117" s="66"/>
      <c r="W117" s="66"/>
      <c r="X117" s="66"/>
      <c r="Y117" s="66">
        <f>IF(Y$14=0,0,Y115/Y$14)</f>
        <v>0</v>
      </c>
      <c r="Z117" s="66"/>
      <c r="AA117" s="66"/>
      <c r="AB117" s="66"/>
      <c r="AC117" s="66">
        <f>IF(AC$14=0,0,AC115/AC$14)</f>
        <v>0</v>
      </c>
      <c r="AD117" s="66"/>
      <c r="AE117" s="66"/>
      <c r="AF117" s="66"/>
      <c r="AG117" s="66">
        <f>IF(AG$14=0,0,AG115/AG$14)</f>
        <v>0</v>
      </c>
      <c r="AH117" s="608"/>
      <c r="AI117" s="619"/>
      <c r="AJ117" s="66"/>
      <c r="AK117" s="66">
        <f>IF(AK$14=0,0,AK115/AK$14)</f>
        <v>0</v>
      </c>
      <c r="AL117" s="66"/>
    </row>
    <row r="118" spans="1:41" ht="16.5" customHeight="1" x14ac:dyDescent="0.25">
      <c r="A118" s="47"/>
      <c r="B118" s="470"/>
      <c r="C118" s="103" t="s">
        <v>99</v>
      </c>
      <c r="D118" s="85" t="s">
        <v>921</v>
      </c>
      <c r="E118" s="487"/>
      <c r="F118" s="488"/>
      <c r="G118" s="17"/>
      <c r="H118" s="17"/>
      <c r="I118" s="996">
        <f>('SUM HH WITH'!$I$113+'SUM HH WITHOUT'!$I$113)/2</f>
        <v>0</v>
      </c>
      <c r="J118" s="91"/>
      <c r="K118" s="17"/>
      <c r="L118" s="17"/>
      <c r="M118" s="996">
        <f>('SUM HH WITH'!$M$113+'SUM HH WITHOUT'!$M$113)/2</f>
        <v>0</v>
      </c>
      <c r="N118" s="91"/>
      <c r="O118" s="17"/>
      <c r="P118" s="17"/>
      <c r="Q118" s="996">
        <f>('SUM HH WITH'!$Q$113+'SUM HH WITHOUT'!$Q$113)/2</f>
        <v>0</v>
      </c>
      <c r="R118" s="91"/>
      <c r="S118" s="17"/>
      <c r="T118" s="17"/>
      <c r="U118" s="996">
        <f>('SUM HH WITH'!$U$113+'SUM HH WITHOUT'!$U$113)/2</f>
        <v>0</v>
      </c>
      <c r="V118" s="91"/>
      <c r="W118" s="17"/>
      <c r="X118" s="17"/>
      <c r="Y118" s="996">
        <f>('SUM HH WITH'!$Y$113+'SUM HH WITHOUT'!$Y$113)/2</f>
        <v>0</v>
      </c>
      <c r="Z118" s="91"/>
      <c r="AA118" s="17"/>
      <c r="AB118" s="17"/>
      <c r="AC118" s="996">
        <f>('SUM HH WITH'!$AC$113+'SUM HH WITHOUT'!$AC$113)/2</f>
        <v>0</v>
      </c>
      <c r="AD118" s="91"/>
      <c r="AE118" s="17"/>
      <c r="AF118" s="17"/>
      <c r="AG118" s="996">
        <f>('SUM HH WITH'!$AG$113+'SUM HH WITHOUT'!$AG$113)/2</f>
        <v>0</v>
      </c>
      <c r="AH118" s="373"/>
      <c r="AI118" s="391"/>
      <c r="AJ118" s="17"/>
      <c r="AK118" s="996">
        <f t="shared" si="135"/>
        <v>0</v>
      </c>
      <c r="AL118" s="91"/>
    </row>
    <row r="119" spans="1:41" ht="16.5" customHeight="1" x14ac:dyDescent="0.25">
      <c r="A119" s="47"/>
      <c r="B119" s="470"/>
      <c r="C119" s="40"/>
      <c r="D119" s="464" t="s">
        <v>854</v>
      </c>
      <c r="E119" s="464"/>
      <c r="F119" s="465"/>
      <c r="G119" s="66"/>
      <c r="H119" s="66"/>
      <c r="I119" s="66">
        <f>IF(I$14=0,0,I118/I$14)</f>
        <v>0</v>
      </c>
      <c r="J119" s="66"/>
      <c r="K119" s="66"/>
      <c r="L119" s="66"/>
      <c r="M119" s="66">
        <f>IF(M$14=0,0,M118/M$14)</f>
        <v>0</v>
      </c>
      <c r="N119" s="66"/>
      <c r="O119" s="66"/>
      <c r="P119" s="66"/>
      <c r="Q119" s="66">
        <f>IF(Q$14=0,0,Q118/Q$14)</f>
        <v>0</v>
      </c>
      <c r="R119" s="66"/>
      <c r="S119" s="66"/>
      <c r="T119" s="66"/>
      <c r="U119" s="66">
        <f>IF(U$14=0,0,U118/U$14)</f>
        <v>0</v>
      </c>
      <c r="V119" s="66"/>
      <c r="W119" s="66"/>
      <c r="X119" s="66"/>
      <c r="Y119" s="66">
        <f>IF(Y$14=0,0,Y118/Y$14)</f>
        <v>0</v>
      </c>
      <c r="Z119" s="66"/>
      <c r="AA119" s="66"/>
      <c r="AB119" s="66"/>
      <c r="AC119" s="66">
        <f>IF(AC$14=0,0,AC118/AC$14)</f>
        <v>0</v>
      </c>
      <c r="AD119" s="66"/>
      <c r="AE119" s="66"/>
      <c r="AF119" s="66"/>
      <c r="AG119" s="66">
        <f>IF(AG$14=0,0,AG118/AG$14)</f>
        <v>0</v>
      </c>
      <c r="AH119" s="608"/>
      <c r="AI119" s="619"/>
      <c r="AJ119" s="66"/>
      <c r="AK119" s="66">
        <f>IF(AK$14=0,0,AK118/AK$14)</f>
        <v>0</v>
      </c>
      <c r="AL119" s="66"/>
    </row>
    <row r="120" spans="1:41" s="97" customFormat="1" ht="16.5" customHeight="1" x14ac:dyDescent="0.25">
      <c r="A120" s="68"/>
      <c r="B120" s="68"/>
      <c r="C120" s="68"/>
      <c r="D120" s="166"/>
      <c r="E120" s="458"/>
      <c r="F120" s="458"/>
      <c r="G120" s="466"/>
      <c r="H120" s="466"/>
      <c r="I120" s="466"/>
      <c r="J120" s="466"/>
      <c r="K120" s="466"/>
      <c r="L120" s="466"/>
      <c r="M120" s="466"/>
      <c r="N120" s="466"/>
      <c r="O120" s="466"/>
      <c r="P120" s="466"/>
      <c r="Q120" s="466"/>
      <c r="R120" s="466"/>
      <c r="S120" s="466"/>
      <c r="T120" s="466"/>
      <c r="U120" s="466"/>
      <c r="V120" s="466"/>
      <c r="W120" s="466"/>
      <c r="X120" s="466"/>
      <c r="Y120" s="466"/>
      <c r="Z120" s="466"/>
      <c r="AA120" s="466"/>
      <c r="AB120" s="466"/>
      <c r="AC120" s="466"/>
      <c r="AD120" s="466"/>
      <c r="AE120" s="466"/>
      <c r="AF120" s="466"/>
      <c r="AG120" s="466"/>
      <c r="AH120" s="466"/>
      <c r="AI120" s="466"/>
      <c r="AJ120" s="466"/>
      <c r="AK120" s="466"/>
      <c r="AL120" s="466"/>
    </row>
    <row r="121" spans="1:41" s="456" customFormat="1" ht="16.5" customHeight="1" thickBot="1" x14ac:dyDescent="0.3">
      <c r="A121" s="24" t="s">
        <v>100</v>
      </c>
      <c r="B121" s="25" t="s">
        <v>562</v>
      </c>
      <c r="C121" s="26"/>
      <c r="D121" s="454"/>
      <c r="E121" s="454"/>
      <c r="F121" s="455"/>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606"/>
      <c r="AI121" s="630"/>
      <c r="AJ121" s="24"/>
      <c r="AK121" s="24"/>
      <c r="AL121" s="24"/>
    </row>
    <row r="122" spans="1:41" s="117" customFormat="1" ht="16.5" customHeight="1" x14ac:dyDescent="0.25">
      <c r="A122" s="119"/>
      <c r="B122" s="41" t="s">
        <v>738</v>
      </c>
      <c r="C122" s="42" t="s">
        <v>1493</v>
      </c>
      <c r="D122" s="43"/>
      <c r="E122" s="478"/>
      <c r="F122" s="478"/>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355"/>
      <c r="AI122" s="631"/>
      <c r="AJ122" s="272"/>
      <c r="AK122" s="272"/>
      <c r="AL122" s="272"/>
    </row>
    <row r="123" spans="1:41" ht="16.5" customHeight="1" x14ac:dyDescent="0.25">
      <c r="A123" s="40"/>
      <c r="B123" s="40"/>
      <c r="C123" s="318" t="s">
        <v>1494</v>
      </c>
      <c r="D123" s="489" t="s">
        <v>1495</v>
      </c>
      <c r="E123" s="931"/>
      <c r="F123" s="931"/>
      <c r="G123" s="17">
        <f>'SUM HH WITH'!$G$128</f>
        <v>28</v>
      </c>
      <c r="H123" s="17">
        <f>'SUM HH WITH'!$H$128</f>
        <v>234</v>
      </c>
      <c r="I123" s="927">
        <f>SUM(G123:H123)</f>
        <v>262</v>
      </c>
      <c r="J123" s="91">
        <f t="shared" ref="J123:J125" si="136">IF(I$126=0,0,I123/I$126)</f>
        <v>0.69129287598944589</v>
      </c>
      <c r="K123" s="17">
        <f>'SUM HH WITH'!$K$128</f>
        <v>0</v>
      </c>
      <c r="L123" s="17">
        <f>'SUM HH WITH'!$L$128</f>
        <v>0</v>
      </c>
      <c r="M123" s="927">
        <f>SUM(K123:L123)</f>
        <v>0</v>
      </c>
      <c r="N123" s="91">
        <f t="shared" ref="N123:N125" si="137">IF(M$126=0,0,M123/M$126)</f>
        <v>0</v>
      </c>
      <c r="O123" s="17">
        <f>'SUM HH WITH'!$O$128</f>
        <v>0</v>
      </c>
      <c r="P123" s="17">
        <f>'SUM HH WITH'!$P$128</f>
        <v>0</v>
      </c>
      <c r="Q123" s="927">
        <f>SUM(O123:P123)</f>
        <v>0</v>
      </c>
      <c r="R123" s="91">
        <f t="shared" ref="R123:R125" si="138">IF(Q$126=0,0,Q123/Q$126)</f>
        <v>0</v>
      </c>
      <c r="S123" s="17">
        <f>'SUM HH WITH'!$S$128</f>
        <v>0</v>
      </c>
      <c r="T123" s="17">
        <f>'SUM HH WITH'!$T$128</f>
        <v>0</v>
      </c>
      <c r="U123" s="927">
        <f>SUM(S123:T123)</f>
        <v>0</v>
      </c>
      <c r="V123" s="91">
        <f t="shared" ref="V123:V125" si="139">IF(U$126=0,0,U123/U$126)</f>
        <v>0</v>
      </c>
      <c r="W123" s="17">
        <f>'SUM HH WITH'!$W$128</f>
        <v>0</v>
      </c>
      <c r="X123" s="17">
        <f>'SUM HH WITH'!$X$128</f>
        <v>0</v>
      </c>
      <c r="Y123" s="927">
        <f>SUM(W123:X123)</f>
        <v>0</v>
      </c>
      <c r="Z123" s="91">
        <f t="shared" ref="Z123:Z125" si="140">IF(Y$126=0,0,Y123/Y$126)</f>
        <v>0</v>
      </c>
      <c r="AA123" s="17">
        <f>'SUM HH WITH'!$AA$128</f>
        <v>0</v>
      </c>
      <c r="AB123" s="17">
        <f>'SUM HH WITH'!$AB$128</f>
        <v>0</v>
      </c>
      <c r="AC123" s="927">
        <f>SUM(AA123:AB123)</f>
        <v>0</v>
      </c>
      <c r="AD123" s="91">
        <f t="shared" ref="AD123:AD125" si="141">IF(AC$126=0,0,AC123/AC$126)</f>
        <v>0</v>
      </c>
      <c r="AE123" s="17">
        <f>'SUM HH WITH'!$AE$128</f>
        <v>0</v>
      </c>
      <c r="AF123" s="17">
        <f>'SUM HH WITH'!$AF$128</f>
        <v>0</v>
      </c>
      <c r="AG123" s="927">
        <f>SUM(AE123:AF123)</f>
        <v>0</v>
      </c>
      <c r="AH123" s="373">
        <f t="shared" ref="AH123:AH125" si="142">IF(AG$126=0,0,AG123/AG$126)</f>
        <v>0</v>
      </c>
      <c r="AI123" s="391">
        <f t="shared" ref="AI123:AJ131" si="143">G123+K123+O123+S123+W123+AA123+AE123</f>
        <v>28</v>
      </c>
      <c r="AJ123" s="17">
        <f t="shared" si="143"/>
        <v>234</v>
      </c>
      <c r="AK123" s="927">
        <f>SUM(AI123:AJ123)</f>
        <v>262</v>
      </c>
      <c r="AL123" s="91">
        <f t="shared" ref="AL123:AL125" si="144">IF(AK$126=0,0,AK123/AK$126)</f>
        <v>0.69129287598944589</v>
      </c>
      <c r="AN123" s="424">
        <f>'SUM HH WITH'!AK143</f>
        <v>57</v>
      </c>
      <c r="AO123" s="19">
        <f>AN123/AK123</f>
        <v>0.21755725190839695</v>
      </c>
    </row>
    <row r="124" spans="1:41" ht="16.5" customHeight="1" x14ac:dyDescent="0.25">
      <c r="A124" s="40"/>
      <c r="B124" s="40"/>
      <c r="C124" s="318" t="s">
        <v>739</v>
      </c>
      <c r="D124" s="489" t="s">
        <v>612</v>
      </c>
      <c r="E124" s="931"/>
      <c r="F124" s="931"/>
      <c r="G124" s="17">
        <f>'SUM HH WITHOUT'!$G$118</f>
        <v>13</v>
      </c>
      <c r="H124" s="17">
        <f>'SUM HH WITHOUT'!$H$118</f>
        <v>26</v>
      </c>
      <c r="I124" s="927">
        <f>SUM(G124:H124)</f>
        <v>39</v>
      </c>
      <c r="J124" s="91">
        <f t="shared" si="136"/>
        <v>0.10290237467018469</v>
      </c>
      <c r="K124" s="17">
        <f>'SUM HH WITHOUT'!$K$118</f>
        <v>0</v>
      </c>
      <c r="L124" s="17">
        <f>'SUM HH WITHOUT'!$L$118</f>
        <v>0</v>
      </c>
      <c r="M124" s="927">
        <f>SUM(K124:L124)</f>
        <v>0</v>
      </c>
      <c r="N124" s="91">
        <f t="shared" si="137"/>
        <v>0</v>
      </c>
      <c r="O124" s="17">
        <f>'SUM HH WITHOUT'!$O$118</f>
        <v>0</v>
      </c>
      <c r="P124" s="17">
        <f>'SUM HH WITHOUT'!$P$118</f>
        <v>0</v>
      </c>
      <c r="Q124" s="927">
        <f>SUM(O124:P124)</f>
        <v>0</v>
      </c>
      <c r="R124" s="91">
        <f t="shared" si="138"/>
        <v>0</v>
      </c>
      <c r="S124" s="17">
        <f>'SUM HH WITHOUT'!$S$118</f>
        <v>0</v>
      </c>
      <c r="T124" s="17">
        <f>'SUM HH WITHOUT'!$T$118</f>
        <v>0</v>
      </c>
      <c r="U124" s="927">
        <f>SUM(S124:T124)</f>
        <v>0</v>
      </c>
      <c r="V124" s="91">
        <f t="shared" si="139"/>
        <v>0</v>
      </c>
      <c r="W124" s="17">
        <f>'SUM HH WITHOUT'!$W$118</f>
        <v>0</v>
      </c>
      <c r="X124" s="17">
        <f>'SUM HH WITHOUT'!$X$118</f>
        <v>0</v>
      </c>
      <c r="Y124" s="927">
        <f>SUM(W124:X124)</f>
        <v>0</v>
      </c>
      <c r="Z124" s="91">
        <f t="shared" si="140"/>
        <v>0</v>
      </c>
      <c r="AA124" s="17">
        <f>'SUM HH WITHOUT'!$AA$118</f>
        <v>0</v>
      </c>
      <c r="AB124" s="17">
        <f>'SUM HH WITHOUT'!$AB$118</f>
        <v>0</v>
      </c>
      <c r="AC124" s="927">
        <f>SUM(AA124:AB124)</f>
        <v>0</v>
      </c>
      <c r="AD124" s="91">
        <f t="shared" si="141"/>
        <v>0</v>
      </c>
      <c r="AE124" s="17">
        <f>'SUM HH WITHOUT'!$AE$118</f>
        <v>0</v>
      </c>
      <c r="AF124" s="17">
        <f>'SUM HH WITHOUT'!$AF$118</f>
        <v>0</v>
      </c>
      <c r="AG124" s="927">
        <f>SUM(AE124:AF124)</f>
        <v>0</v>
      </c>
      <c r="AH124" s="373">
        <f t="shared" si="142"/>
        <v>0</v>
      </c>
      <c r="AI124" s="391">
        <f t="shared" si="143"/>
        <v>13</v>
      </c>
      <c r="AJ124" s="17">
        <f t="shared" si="143"/>
        <v>26</v>
      </c>
      <c r="AK124" s="927">
        <f>SUM(AI124:AJ124)</f>
        <v>39</v>
      </c>
      <c r="AL124" s="91">
        <f t="shared" si="144"/>
        <v>0.10290237467018469</v>
      </c>
      <c r="AO124" s="19">
        <f>AK124/AK123</f>
        <v>0.14885496183206107</v>
      </c>
    </row>
    <row r="125" spans="1:41" ht="16.5" customHeight="1" x14ac:dyDescent="0.25">
      <c r="A125" s="40"/>
      <c r="B125" s="40"/>
      <c r="C125" s="318" t="s">
        <v>740</v>
      </c>
      <c r="D125" s="489" t="s">
        <v>564</v>
      </c>
      <c r="E125" s="931"/>
      <c r="F125" s="931"/>
      <c r="G125" s="17">
        <f>'SUM HH WITHOUT'!$G$119</f>
        <v>22</v>
      </c>
      <c r="H125" s="17">
        <f>'SUM HH WITHOUT'!$H$119</f>
        <v>56</v>
      </c>
      <c r="I125" s="927">
        <f t="shared" ref="I125:I131" si="145">SUM(G125:H125)</f>
        <v>78</v>
      </c>
      <c r="J125" s="91">
        <f t="shared" si="136"/>
        <v>0.20580474934036938</v>
      </c>
      <c r="K125" s="17">
        <f>'SUM HH WITHOUT'!$K$119</f>
        <v>0</v>
      </c>
      <c r="L125" s="17">
        <f>'SUM HH WITHOUT'!$L$119</f>
        <v>0</v>
      </c>
      <c r="M125" s="927">
        <f t="shared" ref="M125" si="146">SUM(K125:L125)</f>
        <v>0</v>
      </c>
      <c r="N125" s="91">
        <f t="shared" si="137"/>
        <v>0</v>
      </c>
      <c r="O125" s="17">
        <f>'SUM HH WITHOUT'!$O$119</f>
        <v>0</v>
      </c>
      <c r="P125" s="17">
        <f>'SUM HH WITHOUT'!$P$119</f>
        <v>0</v>
      </c>
      <c r="Q125" s="927">
        <f t="shared" ref="Q125" si="147">SUM(O125:P125)</f>
        <v>0</v>
      </c>
      <c r="R125" s="91">
        <f t="shared" si="138"/>
        <v>0</v>
      </c>
      <c r="S125" s="17">
        <f>'SUM HH WITHOUT'!$S$119</f>
        <v>0</v>
      </c>
      <c r="T125" s="17">
        <f>'SUM HH WITHOUT'!$T$119</f>
        <v>0</v>
      </c>
      <c r="U125" s="927">
        <f t="shared" ref="U125" si="148">SUM(S125:T125)</f>
        <v>0</v>
      </c>
      <c r="V125" s="91">
        <f t="shared" si="139"/>
        <v>0</v>
      </c>
      <c r="W125" s="17">
        <f>'SUM HH WITHOUT'!$W$119</f>
        <v>0</v>
      </c>
      <c r="X125" s="17">
        <f>'SUM HH WITHOUT'!$X$119</f>
        <v>0</v>
      </c>
      <c r="Y125" s="927">
        <f t="shared" ref="Y125" si="149">SUM(W125:X125)</f>
        <v>0</v>
      </c>
      <c r="Z125" s="91">
        <f t="shared" si="140"/>
        <v>0</v>
      </c>
      <c r="AA125" s="17">
        <f>'SUM HH WITHOUT'!$AA$119</f>
        <v>0</v>
      </c>
      <c r="AB125" s="17">
        <f>'SUM HH WITHOUT'!$AB$119</f>
        <v>0</v>
      </c>
      <c r="AC125" s="927">
        <f t="shared" ref="AC125" si="150">SUM(AA125:AB125)</f>
        <v>0</v>
      </c>
      <c r="AD125" s="91">
        <f t="shared" si="141"/>
        <v>0</v>
      </c>
      <c r="AE125" s="17">
        <f>'SUM HH WITHOUT'!$AE$119</f>
        <v>0</v>
      </c>
      <c r="AF125" s="17">
        <f>'SUM HH WITHOUT'!$AF$119</f>
        <v>0</v>
      </c>
      <c r="AG125" s="927">
        <f t="shared" ref="AG125" si="151">SUM(AE125:AF125)</f>
        <v>0</v>
      </c>
      <c r="AH125" s="373">
        <f t="shared" si="142"/>
        <v>0</v>
      </c>
      <c r="AI125" s="391">
        <f t="shared" si="143"/>
        <v>22</v>
      </c>
      <c r="AJ125" s="17">
        <f t="shared" si="143"/>
        <v>56</v>
      </c>
      <c r="AK125" s="927">
        <f t="shared" ref="AK125:AK131" si="152">SUM(AI125:AJ125)</f>
        <v>78</v>
      </c>
      <c r="AL125" s="91">
        <f t="shared" si="144"/>
        <v>0.20580474934036938</v>
      </c>
    </row>
    <row r="126" spans="1:41" ht="16.5" customHeight="1" x14ac:dyDescent="0.25">
      <c r="A126" s="40"/>
      <c r="B126" s="40"/>
      <c r="C126" s="40"/>
      <c r="D126" s="134"/>
      <c r="E126" s="490"/>
      <c r="F126" s="491"/>
      <c r="G126" s="82">
        <f>SUM(G123:G125)</f>
        <v>63</v>
      </c>
      <c r="H126" s="82">
        <f>SUM(H123:H125)</f>
        <v>316</v>
      </c>
      <c r="I126" s="82">
        <f t="shared" ref="I126" si="153">SUM(I123:I125)</f>
        <v>379</v>
      </c>
      <c r="J126" s="66">
        <f>IF(I$126=0,0,I126/I$126)</f>
        <v>1</v>
      </c>
      <c r="K126" s="82">
        <f>SUM(K123:K125)</f>
        <v>0</v>
      </c>
      <c r="L126" s="82">
        <f>SUM(L123:L125)</f>
        <v>0</v>
      </c>
      <c r="M126" s="82">
        <f t="shared" ref="M126" si="154">SUM(M123:M125)</f>
        <v>0</v>
      </c>
      <c r="N126" s="66">
        <f>IF(M$126=0,0,M126/M$126)</f>
        <v>0</v>
      </c>
      <c r="O126" s="82">
        <f>SUM(O123:O125)</f>
        <v>0</v>
      </c>
      <c r="P126" s="82">
        <f>SUM(P123:P125)</f>
        <v>0</v>
      </c>
      <c r="Q126" s="82">
        <f t="shared" ref="Q126" si="155">SUM(Q123:Q125)</f>
        <v>0</v>
      </c>
      <c r="R126" s="66">
        <f>IF(Q$126=0,0,Q126/Q$126)</f>
        <v>0</v>
      </c>
      <c r="S126" s="82">
        <f>SUM(S123:S125)</f>
        <v>0</v>
      </c>
      <c r="T126" s="82">
        <f>SUM(T123:T125)</f>
        <v>0</v>
      </c>
      <c r="U126" s="82">
        <f t="shared" ref="U126" si="156">SUM(U123:U125)</f>
        <v>0</v>
      </c>
      <c r="V126" s="66">
        <f>IF(U$126=0,0,U126/U$126)</f>
        <v>0</v>
      </c>
      <c r="W126" s="82">
        <f>SUM(W123:W125)</f>
        <v>0</v>
      </c>
      <c r="X126" s="82">
        <f>SUM(X123:X125)</f>
        <v>0</v>
      </c>
      <c r="Y126" s="82">
        <f t="shared" ref="Y126" si="157">SUM(Y123:Y125)</f>
        <v>0</v>
      </c>
      <c r="Z126" s="66">
        <f>IF(Y$126=0,0,Y126/Y$126)</f>
        <v>0</v>
      </c>
      <c r="AA126" s="82">
        <f>SUM(AA123:AA125)</f>
        <v>0</v>
      </c>
      <c r="AB126" s="82">
        <f>SUM(AB123:AB125)</f>
        <v>0</v>
      </c>
      <c r="AC126" s="82">
        <f t="shared" ref="AC126" si="158">SUM(AC123:AC125)</f>
        <v>0</v>
      </c>
      <c r="AD126" s="66">
        <f>IF(AC$126=0,0,AC126/AC$126)</f>
        <v>0</v>
      </c>
      <c r="AE126" s="82">
        <f>SUM(AE123:AE125)</f>
        <v>0</v>
      </c>
      <c r="AF126" s="82">
        <f>SUM(AF123:AF125)</f>
        <v>0</v>
      </c>
      <c r="AG126" s="82">
        <f t="shared" ref="AG126" si="159">SUM(AG123:AG125)</f>
        <v>0</v>
      </c>
      <c r="AH126" s="608">
        <f>IF(AG$126=0,0,AG126/AG$126)</f>
        <v>0</v>
      </c>
      <c r="AI126" s="381">
        <f>SUM(AI123:AI125)</f>
        <v>63</v>
      </c>
      <c r="AJ126" s="82">
        <f t="shared" ref="AJ126:AK126" si="160">SUM(AJ123:AJ125)</f>
        <v>316</v>
      </c>
      <c r="AK126" s="82">
        <f t="shared" si="160"/>
        <v>379</v>
      </c>
      <c r="AL126" s="66">
        <f>IF(AK$126=0,0,AK126/AK$126)</f>
        <v>1</v>
      </c>
      <c r="AN126" s="8">
        <f>AK126-AK26</f>
        <v>0</v>
      </c>
    </row>
    <row r="127" spans="1:41" s="117" customFormat="1" ht="16.5" customHeight="1" x14ac:dyDescent="0.25">
      <c r="A127" s="119"/>
      <c r="B127" s="41" t="s">
        <v>102</v>
      </c>
      <c r="C127" s="42" t="s">
        <v>1496</v>
      </c>
      <c r="D127" s="43"/>
      <c r="E127" s="478"/>
      <c r="F127" s="478"/>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355"/>
      <c r="AI127" s="631"/>
      <c r="AJ127" s="272"/>
      <c r="AK127" s="272"/>
      <c r="AL127" s="71"/>
    </row>
    <row r="128" spans="1:41" ht="16.5" customHeight="1" x14ac:dyDescent="0.25">
      <c r="A128" s="40"/>
      <c r="B128" s="40"/>
      <c r="C128" s="318" t="s">
        <v>1497</v>
      </c>
      <c r="D128" s="489" t="s">
        <v>1495</v>
      </c>
      <c r="E128" s="75"/>
      <c r="F128" s="75"/>
      <c r="G128" s="17">
        <f>'SUM HH WITH'!$G$33</f>
        <v>7</v>
      </c>
      <c r="H128" s="17">
        <f>'SUM HH WITH'!$H$33</f>
        <v>8</v>
      </c>
      <c r="I128" s="927">
        <f t="shared" si="145"/>
        <v>15</v>
      </c>
      <c r="J128" s="91">
        <f t="shared" ref="J128:J131" si="161">IF(I$132=0,0,I128/I$132)</f>
        <v>0.75</v>
      </c>
      <c r="K128" s="17">
        <f>'SUM HH WITH'!$K$33</f>
        <v>4</v>
      </c>
      <c r="L128" s="17">
        <f>'SUM HH WITH'!$L$33</f>
        <v>10</v>
      </c>
      <c r="M128" s="927">
        <f t="shared" ref="M128:M131" si="162">SUM(K128:L128)</f>
        <v>14</v>
      </c>
      <c r="N128" s="91">
        <f t="shared" ref="N128:N131" si="163">IF(M$132=0,0,M128/M$132)</f>
        <v>0.46666666666666667</v>
      </c>
      <c r="O128" s="17">
        <f>'SUM HH WITH'!$O$33</f>
        <v>0</v>
      </c>
      <c r="P128" s="17">
        <f>'SUM HH WITH'!$P$33</f>
        <v>9</v>
      </c>
      <c r="Q128" s="927">
        <f t="shared" ref="Q128:Q131" si="164">SUM(O128:P128)</f>
        <v>9</v>
      </c>
      <c r="R128" s="91">
        <f t="shared" ref="R128:R131" si="165">IF(Q$132=0,0,Q128/Q$132)</f>
        <v>0.45</v>
      </c>
      <c r="S128" s="17">
        <f>'SUM HH WITH'!$S$33</f>
        <v>1</v>
      </c>
      <c r="T128" s="17">
        <f>'SUM HH WITH'!$T$33</f>
        <v>15</v>
      </c>
      <c r="U128" s="927">
        <f t="shared" ref="U128:U131" si="166">SUM(S128:T128)</f>
        <v>16</v>
      </c>
      <c r="V128" s="91">
        <f t="shared" ref="V128:V131" si="167">IF(U$132=0,0,U128/U$132)</f>
        <v>0.69565217391304346</v>
      </c>
      <c r="W128" s="17">
        <f>'SUM HH WITH'!$W$33</f>
        <v>2</v>
      </c>
      <c r="X128" s="17">
        <f>'SUM HH WITH'!$X$33</f>
        <v>19</v>
      </c>
      <c r="Y128" s="927">
        <f t="shared" ref="Y128:Y131" si="168">SUM(W128:X128)</f>
        <v>21</v>
      </c>
      <c r="Z128" s="91">
        <f t="shared" ref="Z128:Z131" si="169">IF(Y$132=0,0,Y128/Y$132)</f>
        <v>0.42857142857142855</v>
      </c>
      <c r="AA128" s="17">
        <f>'SUM HH WITH'!$AA$33</f>
        <v>3</v>
      </c>
      <c r="AB128" s="17">
        <f>'SUM HH WITH'!$AB$33</f>
        <v>12</v>
      </c>
      <c r="AC128" s="927">
        <f t="shared" ref="AC128:AC131" si="170">SUM(AA128:AB128)</f>
        <v>15</v>
      </c>
      <c r="AD128" s="91">
        <f t="shared" ref="AD128:AD131" si="171">IF(AC$132=0,0,AC128/AC$132)</f>
        <v>0.5</v>
      </c>
      <c r="AE128" s="17">
        <f>'SUM HH WITH'!$AE$33</f>
        <v>0</v>
      </c>
      <c r="AF128" s="17">
        <f>'SUM HH WITH'!$AF$33</f>
        <v>0</v>
      </c>
      <c r="AG128" s="927">
        <f t="shared" ref="AG128:AG131" si="172">SUM(AE128:AF128)</f>
        <v>0</v>
      </c>
      <c r="AH128" s="373">
        <f t="shared" ref="AH128:AH131" si="173">IF(AG$132=0,0,AG128/AG$132)</f>
        <v>0</v>
      </c>
      <c r="AI128" s="391">
        <f t="shared" ref="AI128:AJ128" si="174">G128+K128+O128+S128+W128+AA128+AE128</f>
        <v>17</v>
      </c>
      <c r="AJ128" s="17">
        <f t="shared" si="174"/>
        <v>73</v>
      </c>
      <c r="AK128" s="927">
        <f>SUM(AI128:AJ128)</f>
        <v>90</v>
      </c>
      <c r="AL128" s="91">
        <f t="shared" ref="AL128:AL131" si="175">IF(AK$132=0,0,AK128/AK$132)</f>
        <v>0.52325581395348841</v>
      </c>
    </row>
    <row r="129" spans="1:40" ht="16.5" customHeight="1" x14ac:dyDescent="0.25">
      <c r="A129" s="40"/>
      <c r="B129" s="40"/>
      <c r="C129" s="318" t="s">
        <v>104</v>
      </c>
      <c r="D129" s="484" t="s">
        <v>612</v>
      </c>
      <c r="E129" s="931"/>
      <c r="F129" s="931"/>
      <c r="G129" s="17">
        <f>'SUM HH WITHOUT'!$G$122</f>
        <v>2</v>
      </c>
      <c r="H129" s="17">
        <f>'SUM HH WITHOUT'!$H$122</f>
        <v>3</v>
      </c>
      <c r="I129" s="927">
        <f t="shared" si="145"/>
        <v>5</v>
      </c>
      <c r="J129" s="91">
        <f t="shared" si="161"/>
        <v>0.25</v>
      </c>
      <c r="K129" s="17">
        <f>'SUM HH WITHOUT'!$K$122</f>
        <v>1</v>
      </c>
      <c r="L129" s="17">
        <f>'SUM HH WITHOUT'!$L$122</f>
        <v>3</v>
      </c>
      <c r="M129" s="927">
        <f t="shared" si="162"/>
        <v>4</v>
      </c>
      <c r="N129" s="91">
        <f t="shared" si="163"/>
        <v>0.13333333333333333</v>
      </c>
      <c r="O129" s="17">
        <f>'SUM HH WITHOUT'!$O$122</f>
        <v>0</v>
      </c>
      <c r="P129" s="17">
        <f>'SUM HH WITHOUT'!$P$122</f>
        <v>0</v>
      </c>
      <c r="Q129" s="927">
        <f t="shared" si="164"/>
        <v>0</v>
      </c>
      <c r="R129" s="91">
        <f t="shared" si="165"/>
        <v>0</v>
      </c>
      <c r="S129" s="17">
        <f>'SUM HH WITHOUT'!$S$122</f>
        <v>0</v>
      </c>
      <c r="T129" s="17">
        <f>'SUM HH WITHOUT'!$T$122</f>
        <v>1</v>
      </c>
      <c r="U129" s="927">
        <f t="shared" si="166"/>
        <v>1</v>
      </c>
      <c r="V129" s="91">
        <f t="shared" si="167"/>
        <v>4.3478260869565216E-2</v>
      </c>
      <c r="W129" s="17">
        <f>'SUM HH WITHOUT'!$W$122</f>
        <v>0</v>
      </c>
      <c r="X129" s="17">
        <f>'SUM HH WITHOUT'!$X$122</f>
        <v>0</v>
      </c>
      <c r="Y129" s="927">
        <f t="shared" si="168"/>
        <v>0</v>
      </c>
      <c r="Z129" s="91">
        <f t="shared" si="169"/>
        <v>0</v>
      </c>
      <c r="AA129" s="17">
        <f>'SUM HH WITHOUT'!$AA$122</f>
        <v>0</v>
      </c>
      <c r="AB129" s="17">
        <f>'SUM HH WITHOUT'!$AB$122</f>
        <v>0</v>
      </c>
      <c r="AC129" s="927">
        <f t="shared" si="170"/>
        <v>0</v>
      </c>
      <c r="AD129" s="91">
        <f t="shared" si="171"/>
        <v>0</v>
      </c>
      <c r="AE129" s="17">
        <f>'SUM HH WITHOUT'!$AE$122</f>
        <v>0</v>
      </c>
      <c r="AF129" s="17">
        <f>'SUM HH WITHOUT'!$AF$122</f>
        <v>0</v>
      </c>
      <c r="AG129" s="927">
        <f t="shared" si="172"/>
        <v>0</v>
      </c>
      <c r="AH129" s="373">
        <f t="shared" si="173"/>
        <v>0</v>
      </c>
      <c r="AI129" s="391">
        <f t="shared" si="143"/>
        <v>3</v>
      </c>
      <c r="AJ129" s="17">
        <f t="shared" si="143"/>
        <v>7</v>
      </c>
      <c r="AK129" s="927">
        <f t="shared" si="152"/>
        <v>10</v>
      </c>
      <c r="AL129" s="91">
        <f t="shared" si="175"/>
        <v>5.8139534883720929E-2</v>
      </c>
    </row>
    <row r="130" spans="1:40" ht="16.5" customHeight="1" x14ac:dyDescent="0.25">
      <c r="A130" s="40"/>
      <c r="B130" s="40"/>
      <c r="C130" s="318" t="s">
        <v>105</v>
      </c>
      <c r="D130" s="484" t="s">
        <v>741</v>
      </c>
      <c r="E130" s="931"/>
      <c r="F130" s="931"/>
      <c r="G130" s="17">
        <f>'SUM HH WITHOUT'!$G$123</f>
        <v>0</v>
      </c>
      <c r="H130" s="17">
        <f>'SUM HH WITHOUT'!$H$123</f>
        <v>0</v>
      </c>
      <c r="I130" s="927">
        <f t="shared" si="145"/>
        <v>0</v>
      </c>
      <c r="J130" s="91">
        <f t="shared" si="161"/>
        <v>0</v>
      </c>
      <c r="K130" s="17">
        <f>'SUM HH WITHOUT'!$K$123</f>
        <v>7</v>
      </c>
      <c r="L130" s="17">
        <f>'SUM HH WITHOUT'!$L$123</f>
        <v>3</v>
      </c>
      <c r="M130" s="927">
        <f t="shared" si="162"/>
        <v>10</v>
      </c>
      <c r="N130" s="91">
        <f t="shared" si="163"/>
        <v>0.33333333333333331</v>
      </c>
      <c r="O130" s="17">
        <f>'SUM HH WITHOUT'!$O$123</f>
        <v>4</v>
      </c>
      <c r="P130" s="17">
        <f>'SUM HH WITHOUT'!$P$123</f>
        <v>7</v>
      </c>
      <c r="Q130" s="927">
        <f t="shared" si="164"/>
        <v>11</v>
      </c>
      <c r="R130" s="91">
        <f t="shared" si="165"/>
        <v>0.55000000000000004</v>
      </c>
      <c r="S130" s="17">
        <f>'SUM HH WITHOUT'!$S$123</f>
        <v>0</v>
      </c>
      <c r="T130" s="17">
        <f>'SUM HH WITHOUT'!$T$123</f>
        <v>6</v>
      </c>
      <c r="U130" s="927">
        <f t="shared" si="166"/>
        <v>6</v>
      </c>
      <c r="V130" s="91">
        <f t="shared" si="167"/>
        <v>0.2608695652173913</v>
      </c>
      <c r="W130" s="17">
        <f>'SUM HH WITHOUT'!$W$123</f>
        <v>15</v>
      </c>
      <c r="X130" s="17">
        <f>'SUM HH WITHOUT'!$X$123</f>
        <v>13</v>
      </c>
      <c r="Y130" s="927">
        <f t="shared" si="168"/>
        <v>28</v>
      </c>
      <c r="Z130" s="91">
        <f t="shared" si="169"/>
        <v>0.5714285714285714</v>
      </c>
      <c r="AA130" s="17">
        <f>'SUM HH WITHOUT'!$AA$123</f>
        <v>2</v>
      </c>
      <c r="AB130" s="17">
        <f>'SUM HH WITHOUT'!$AB$123</f>
        <v>13</v>
      </c>
      <c r="AC130" s="927">
        <f t="shared" si="170"/>
        <v>15</v>
      </c>
      <c r="AD130" s="91">
        <f t="shared" si="171"/>
        <v>0.5</v>
      </c>
      <c r="AE130" s="17">
        <f>'SUM HH WITHOUT'!$AE$123</f>
        <v>0</v>
      </c>
      <c r="AF130" s="17">
        <f>'SUM HH WITHOUT'!$AF$123</f>
        <v>0</v>
      </c>
      <c r="AG130" s="927">
        <f t="shared" si="172"/>
        <v>0</v>
      </c>
      <c r="AH130" s="373">
        <f t="shared" si="173"/>
        <v>0</v>
      </c>
      <c r="AI130" s="391">
        <f t="shared" si="143"/>
        <v>28</v>
      </c>
      <c r="AJ130" s="17">
        <f t="shared" si="143"/>
        <v>42</v>
      </c>
      <c r="AK130" s="927">
        <f t="shared" si="152"/>
        <v>70</v>
      </c>
      <c r="AL130" s="91">
        <f t="shared" si="175"/>
        <v>0.40697674418604651</v>
      </c>
    </row>
    <row r="131" spans="1:40" ht="16.5" customHeight="1" x14ac:dyDescent="0.25">
      <c r="A131" s="40"/>
      <c r="B131" s="40"/>
      <c r="C131" s="318" t="s">
        <v>106</v>
      </c>
      <c r="D131" s="484" t="s">
        <v>742</v>
      </c>
      <c r="E131" s="931"/>
      <c r="F131" s="931"/>
      <c r="G131" s="17">
        <f>'SUM HH WITHOUT'!$G$124</f>
        <v>0</v>
      </c>
      <c r="H131" s="17">
        <f>'SUM HH WITHOUT'!$H$124</f>
        <v>0</v>
      </c>
      <c r="I131" s="927">
        <f t="shared" si="145"/>
        <v>0</v>
      </c>
      <c r="J131" s="91">
        <f t="shared" si="161"/>
        <v>0</v>
      </c>
      <c r="K131" s="17">
        <f>'SUM HH WITHOUT'!$K$124</f>
        <v>1</v>
      </c>
      <c r="L131" s="17">
        <f>'SUM HH WITHOUT'!$L$124</f>
        <v>1</v>
      </c>
      <c r="M131" s="927">
        <f t="shared" si="162"/>
        <v>2</v>
      </c>
      <c r="N131" s="91">
        <f t="shared" si="163"/>
        <v>6.6666666666666666E-2</v>
      </c>
      <c r="O131" s="17">
        <f>'SUM HH WITHOUT'!$O$124</f>
        <v>0</v>
      </c>
      <c r="P131" s="17">
        <f>'SUM HH WITHOUT'!$P$124</f>
        <v>0</v>
      </c>
      <c r="Q131" s="927">
        <f t="shared" si="164"/>
        <v>0</v>
      </c>
      <c r="R131" s="91">
        <f t="shared" si="165"/>
        <v>0</v>
      </c>
      <c r="S131" s="17">
        <f>'SUM HH WITHOUT'!$S$124</f>
        <v>0</v>
      </c>
      <c r="T131" s="17">
        <f>'SUM HH WITHOUT'!$T$124</f>
        <v>0</v>
      </c>
      <c r="U131" s="927">
        <f t="shared" si="166"/>
        <v>0</v>
      </c>
      <c r="V131" s="91">
        <f t="shared" si="167"/>
        <v>0</v>
      </c>
      <c r="W131" s="17">
        <f>'SUM HH WITHOUT'!$W$124</f>
        <v>0</v>
      </c>
      <c r="X131" s="17">
        <f>'SUM HH WITHOUT'!$X$124</f>
        <v>0</v>
      </c>
      <c r="Y131" s="927">
        <f t="shared" si="168"/>
        <v>0</v>
      </c>
      <c r="Z131" s="91">
        <f t="shared" si="169"/>
        <v>0</v>
      </c>
      <c r="AA131" s="17">
        <f>'SUM HH WITHOUT'!$AA$124</f>
        <v>0</v>
      </c>
      <c r="AB131" s="17">
        <f>'SUM HH WITHOUT'!$AB$124</f>
        <v>0</v>
      </c>
      <c r="AC131" s="927">
        <f t="shared" si="170"/>
        <v>0</v>
      </c>
      <c r="AD131" s="91">
        <f t="shared" si="171"/>
        <v>0</v>
      </c>
      <c r="AE131" s="17">
        <f>'SUM HH WITHOUT'!$AE$124</f>
        <v>0</v>
      </c>
      <c r="AF131" s="17">
        <f>'SUM HH WITHOUT'!$AF$124</f>
        <v>0</v>
      </c>
      <c r="AG131" s="927">
        <f t="shared" si="172"/>
        <v>0</v>
      </c>
      <c r="AH131" s="373">
        <f t="shared" si="173"/>
        <v>0</v>
      </c>
      <c r="AI131" s="391">
        <f t="shared" si="143"/>
        <v>1</v>
      </c>
      <c r="AJ131" s="17">
        <f t="shared" si="143"/>
        <v>1</v>
      </c>
      <c r="AK131" s="927">
        <f t="shared" si="152"/>
        <v>2</v>
      </c>
      <c r="AL131" s="91">
        <f t="shared" si="175"/>
        <v>1.1627906976744186E-2</v>
      </c>
    </row>
    <row r="132" spans="1:40" ht="16.5" customHeight="1" x14ac:dyDescent="0.25">
      <c r="A132" s="40"/>
      <c r="B132" s="40"/>
      <c r="C132" s="40"/>
      <c r="D132" s="134"/>
      <c r="E132" s="490"/>
      <c r="F132" s="491"/>
      <c r="G132" s="82">
        <f>SUM(G128:G131)</f>
        <v>9</v>
      </c>
      <c r="H132" s="82">
        <f>SUM(H128:H131)</f>
        <v>11</v>
      </c>
      <c r="I132" s="82">
        <f t="shared" ref="I132" si="176">SUM(I128:I131)</f>
        <v>20</v>
      </c>
      <c r="J132" s="66">
        <f>IF(I$132=0,0,I132/I$132)</f>
        <v>1</v>
      </c>
      <c r="K132" s="82">
        <f>SUM(K128:K131)</f>
        <v>13</v>
      </c>
      <c r="L132" s="82">
        <f>SUM(L128:L131)</f>
        <v>17</v>
      </c>
      <c r="M132" s="82">
        <f t="shared" ref="M132" si="177">SUM(M128:M131)</f>
        <v>30</v>
      </c>
      <c r="N132" s="66">
        <f>IF(M$132=0,0,M132/M$132)</f>
        <v>1</v>
      </c>
      <c r="O132" s="82">
        <f>SUM(O128:O131)</f>
        <v>4</v>
      </c>
      <c r="P132" s="82">
        <f>SUM(P128:P131)</f>
        <v>16</v>
      </c>
      <c r="Q132" s="82">
        <f t="shared" ref="Q132" si="178">SUM(Q128:Q131)</f>
        <v>20</v>
      </c>
      <c r="R132" s="66">
        <f>IF(Q$132=0,0,Q132/Q$132)</f>
        <v>1</v>
      </c>
      <c r="S132" s="82">
        <f>SUM(S128:S131)</f>
        <v>1</v>
      </c>
      <c r="T132" s="82">
        <f>SUM(T128:T131)</f>
        <v>22</v>
      </c>
      <c r="U132" s="82">
        <f t="shared" ref="U132" si="179">SUM(U128:U131)</f>
        <v>23</v>
      </c>
      <c r="V132" s="66">
        <f>IF(U$132=0,0,U132/U$132)</f>
        <v>1</v>
      </c>
      <c r="W132" s="82">
        <f>SUM(W128:W131)</f>
        <v>17</v>
      </c>
      <c r="X132" s="82">
        <f>SUM(X128:X131)</f>
        <v>32</v>
      </c>
      <c r="Y132" s="82">
        <f t="shared" ref="Y132" si="180">SUM(Y128:Y131)</f>
        <v>49</v>
      </c>
      <c r="Z132" s="66">
        <f>IF(Y$132=0,0,Y132/Y$132)</f>
        <v>1</v>
      </c>
      <c r="AA132" s="82">
        <f>SUM(AA128:AA131)</f>
        <v>5</v>
      </c>
      <c r="AB132" s="82">
        <f>SUM(AB128:AB131)</f>
        <v>25</v>
      </c>
      <c r="AC132" s="82">
        <f t="shared" ref="AC132" si="181">SUM(AC128:AC131)</f>
        <v>30</v>
      </c>
      <c r="AD132" s="66">
        <f>IF(AC$132=0,0,AC132/AC$132)</f>
        <v>1</v>
      </c>
      <c r="AE132" s="82">
        <f>SUM(AE128:AE131)</f>
        <v>0</v>
      </c>
      <c r="AF132" s="82">
        <f>SUM(AF128:AF131)</f>
        <v>0</v>
      </c>
      <c r="AG132" s="82">
        <f t="shared" ref="AG132" si="182">SUM(AG128:AG131)</f>
        <v>0</v>
      </c>
      <c r="AH132" s="608">
        <f>IF(AG$132=0,0,AG132/AG$132)</f>
        <v>0</v>
      </c>
      <c r="AI132" s="381">
        <f>SUM(AI128:AI131)</f>
        <v>49</v>
      </c>
      <c r="AJ132" s="82">
        <f t="shared" ref="AJ132:AK132" si="183">SUM(AJ128:AJ131)</f>
        <v>123</v>
      </c>
      <c r="AK132" s="82">
        <f t="shared" si="183"/>
        <v>172</v>
      </c>
      <c r="AL132" s="66">
        <f>IF(AK$132=0,0,AK132/AK$132)</f>
        <v>1</v>
      </c>
      <c r="AN132" s="8">
        <f>AK132-AK36</f>
        <v>0</v>
      </c>
    </row>
    <row r="133" spans="1:40" s="117" customFormat="1" ht="16.5" customHeight="1" x14ac:dyDescent="0.25">
      <c r="A133" s="119"/>
      <c r="B133" s="41" t="s">
        <v>110</v>
      </c>
      <c r="C133" s="476" t="s">
        <v>12</v>
      </c>
      <c r="D133" s="477"/>
      <c r="E133" s="478"/>
      <c r="F133" s="478"/>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355"/>
      <c r="AI133" s="377"/>
      <c r="AJ133" s="71"/>
      <c r="AK133" s="71"/>
      <c r="AL133" s="71"/>
    </row>
    <row r="134" spans="1:40" ht="16.5" customHeight="1" x14ac:dyDescent="0.25">
      <c r="A134" s="40"/>
      <c r="B134" s="40"/>
      <c r="C134" s="473" t="s">
        <v>112</v>
      </c>
      <c r="D134" s="303" t="s">
        <v>1498</v>
      </c>
      <c r="E134" s="997"/>
      <c r="F134" s="997"/>
      <c r="G134" s="927"/>
      <c r="H134" s="927"/>
      <c r="I134" s="201">
        <f>IF(I123=0,0,I123/I126)</f>
        <v>0.69129287598944589</v>
      </c>
      <c r="J134" s="91"/>
      <c r="K134" s="927"/>
      <c r="L134" s="927"/>
      <c r="M134" s="201">
        <f>IF(M123=0,0,M123/M126)</f>
        <v>0</v>
      </c>
      <c r="N134" s="91"/>
      <c r="O134" s="927"/>
      <c r="P134" s="927"/>
      <c r="Q134" s="201">
        <f>IF(Q123=0,0,Q123/Q126)</f>
        <v>0</v>
      </c>
      <c r="R134" s="91"/>
      <c r="S134" s="927"/>
      <c r="T134" s="927"/>
      <c r="U134" s="201">
        <f>IF(U123=0,0,U123/U126)</f>
        <v>0</v>
      </c>
      <c r="V134" s="91"/>
      <c r="W134" s="927"/>
      <c r="X134" s="927"/>
      <c r="Y134" s="201">
        <f>IF(Y123=0,0,Y123/Y126)</f>
        <v>0</v>
      </c>
      <c r="Z134" s="91"/>
      <c r="AA134" s="927"/>
      <c r="AB134" s="927"/>
      <c r="AC134" s="201">
        <f>IF(AC123=0,0,AC123/AC126)</f>
        <v>0</v>
      </c>
      <c r="AD134" s="91"/>
      <c r="AE134" s="927"/>
      <c r="AF134" s="927"/>
      <c r="AG134" s="201">
        <f>IF(AG123=0,0,AG123/AG126)</f>
        <v>0</v>
      </c>
      <c r="AH134" s="373"/>
      <c r="AI134" s="382"/>
      <c r="AJ134" s="927"/>
      <c r="AK134" s="201">
        <f>IF(AK123=0,0,AK123/AK126)</f>
        <v>0.69129287598944589</v>
      </c>
      <c r="AL134" s="91"/>
      <c r="AN134" s="8"/>
    </row>
    <row r="135" spans="1:40" ht="16.5" customHeight="1" x14ac:dyDescent="0.25">
      <c r="A135" s="40"/>
      <c r="B135" s="40"/>
      <c r="C135" s="473" t="s">
        <v>114</v>
      </c>
      <c r="D135" s="303" t="s">
        <v>1499</v>
      </c>
      <c r="E135" s="997"/>
      <c r="F135" s="997"/>
      <c r="G135" s="927"/>
      <c r="H135" s="927"/>
      <c r="I135" s="201">
        <f>SAMPLE!D8</f>
        <v>1</v>
      </c>
      <c r="J135" s="91"/>
      <c r="K135" s="927"/>
      <c r="L135" s="927"/>
      <c r="M135" s="201">
        <f>SAMPLE!D9</f>
        <v>1</v>
      </c>
      <c r="N135" s="91"/>
      <c r="O135" s="927"/>
      <c r="P135" s="927"/>
      <c r="Q135" s="201">
        <f>SAMPLE!D10</f>
        <v>0.51</v>
      </c>
      <c r="R135" s="91"/>
      <c r="S135" s="927"/>
      <c r="T135" s="927"/>
      <c r="U135" s="201">
        <f>SAMPLE!D11</f>
        <v>0.43</v>
      </c>
      <c r="V135" s="91"/>
      <c r="W135" s="927"/>
      <c r="X135" s="927"/>
      <c r="Y135" s="201">
        <f>SAMPLE!D12</f>
        <v>0.93</v>
      </c>
      <c r="Z135" s="91"/>
      <c r="AA135" s="927"/>
      <c r="AB135" s="927"/>
      <c r="AC135" s="201">
        <f>SAMPLE!D13</f>
        <v>0.73</v>
      </c>
      <c r="AD135" s="91"/>
      <c r="AE135" s="927"/>
      <c r="AF135" s="927"/>
      <c r="AG135" s="201">
        <f>SAMPLE!AC8</f>
        <v>0</v>
      </c>
      <c r="AH135" s="373"/>
      <c r="AI135" s="382"/>
      <c r="AJ135" s="927"/>
      <c r="AK135" s="201">
        <f>SAMPLE!T23</f>
        <v>0.75281799865681664</v>
      </c>
      <c r="AL135" s="91"/>
      <c r="AN135" s="8"/>
    </row>
    <row r="136" spans="1:40" ht="16.5" customHeight="1" x14ac:dyDescent="0.25">
      <c r="A136" s="40"/>
      <c r="B136" s="40"/>
      <c r="C136" s="40"/>
      <c r="D136" s="464" t="s">
        <v>1500</v>
      </c>
      <c r="E136" s="998"/>
      <c r="F136" s="998"/>
      <c r="G136" s="82"/>
      <c r="H136" s="82"/>
      <c r="I136" s="205">
        <f>I134-I135</f>
        <v>-0.30870712401055411</v>
      </c>
      <c r="J136" s="66"/>
      <c r="K136" s="82"/>
      <c r="L136" s="82"/>
      <c r="M136" s="205">
        <f>M134-M135</f>
        <v>-1</v>
      </c>
      <c r="N136" s="66"/>
      <c r="O136" s="82"/>
      <c r="P136" s="82"/>
      <c r="Q136" s="205">
        <f>Q134-Q135</f>
        <v>-0.51</v>
      </c>
      <c r="R136" s="66"/>
      <c r="S136" s="82"/>
      <c r="T136" s="82"/>
      <c r="U136" s="205">
        <f>U134-U135</f>
        <v>-0.43</v>
      </c>
      <c r="V136" s="66"/>
      <c r="W136" s="82"/>
      <c r="X136" s="82"/>
      <c r="Y136" s="205">
        <f>Y134-Y135</f>
        <v>-0.93</v>
      </c>
      <c r="Z136" s="66"/>
      <c r="AA136" s="82"/>
      <c r="AB136" s="82"/>
      <c r="AC136" s="205">
        <f>AC134-AC135</f>
        <v>-0.73</v>
      </c>
      <c r="AD136" s="66"/>
      <c r="AE136" s="82"/>
      <c r="AF136" s="82"/>
      <c r="AG136" s="205">
        <f>AG134-AG135</f>
        <v>0</v>
      </c>
      <c r="AH136" s="608"/>
      <c r="AI136" s="381"/>
      <c r="AJ136" s="82"/>
      <c r="AK136" s="205">
        <f>AK134-AK135</f>
        <v>-6.1525122667370757E-2</v>
      </c>
      <c r="AL136" s="66"/>
      <c r="AN136" s="8"/>
    </row>
    <row r="137" spans="1:40" s="97" customFormat="1" ht="16.5" customHeight="1" x14ac:dyDescent="0.25">
      <c r="A137" s="68"/>
      <c r="B137" s="68"/>
      <c r="C137" s="68"/>
      <c r="D137" s="166"/>
      <c r="E137" s="458"/>
      <c r="F137" s="458"/>
      <c r="G137" s="466"/>
      <c r="H137" s="466"/>
      <c r="I137" s="466"/>
      <c r="J137" s="466"/>
      <c r="K137" s="466"/>
      <c r="L137" s="466"/>
      <c r="M137" s="466"/>
      <c r="N137" s="466"/>
      <c r="O137" s="466"/>
      <c r="P137" s="466"/>
      <c r="Q137" s="466"/>
      <c r="R137" s="466"/>
      <c r="S137" s="466"/>
      <c r="T137" s="466"/>
      <c r="U137" s="466"/>
      <c r="V137" s="466"/>
      <c r="W137" s="466"/>
      <c r="X137" s="466"/>
      <c r="Y137" s="466"/>
      <c r="Z137" s="466"/>
      <c r="AA137" s="466"/>
      <c r="AB137" s="466"/>
      <c r="AC137" s="466"/>
      <c r="AD137" s="466"/>
      <c r="AE137" s="466"/>
      <c r="AF137" s="466"/>
      <c r="AG137" s="466"/>
      <c r="AH137" s="466"/>
      <c r="AI137" s="466"/>
      <c r="AJ137" s="466"/>
      <c r="AK137" s="466"/>
      <c r="AL137" s="466"/>
    </row>
    <row r="138" spans="1:40" s="456" customFormat="1" ht="16.5" customHeight="1" thickBot="1" x14ac:dyDescent="0.3">
      <c r="A138" s="24" t="s">
        <v>287</v>
      </c>
      <c r="B138" s="453" t="s">
        <v>288</v>
      </c>
      <c r="C138" s="26"/>
      <c r="D138" s="454"/>
      <c r="E138" s="454"/>
      <c r="F138" s="455"/>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606"/>
      <c r="AI138" s="630"/>
      <c r="AJ138" s="24"/>
      <c r="AK138" s="24"/>
      <c r="AL138" s="24"/>
    </row>
    <row r="139" spans="1:40" s="117" customFormat="1" ht="16.5" customHeight="1" x14ac:dyDescent="0.25">
      <c r="A139" s="119"/>
      <c r="B139" s="41" t="s">
        <v>289</v>
      </c>
      <c r="C139" s="69" t="s">
        <v>1009</v>
      </c>
      <c r="D139" s="70"/>
      <c r="E139" s="478"/>
      <c r="F139" s="478"/>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355"/>
      <c r="AI139" s="631"/>
      <c r="AJ139" s="272"/>
      <c r="AK139" s="272"/>
      <c r="AL139" s="272"/>
    </row>
    <row r="140" spans="1:40" ht="16.5" customHeight="1" x14ac:dyDescent="0.25">
      <c r="A140" s="40"/>
      <c r="B140" s="40"/>
      <c r="C140" s="473" t="s">
        <v>291</v>
      </c>
      <c r="D140" s="105" t="s">
        <v>292</v>
      </c>
      <c r="E140" s="105"/>
      <c r="F140" s="106"/>
      <c r="G140" s="17">
        <f>'SUM HH WITH'!$G$361+'SUM HH WITHOUT'!$G$220</f>
        <v>4</v>
      </c>
      <c r="H140" s="17">
        <f>'SUM HH WITH'!$H$361+'SUM HH WITHOUT'!$H$220</f>
        <v>1</v>
      </c>
      <c r="I140" s="927">
        <f>SUM(G140:H140)</f>
        <v>5</v>
      </c>
      <c r="J140" s="91">
        <f>IF(I$144=0,0,I140/I$144)</f>
        <v>0.25</v>
      </c>
      <c r="K140" s="17">
        <f>'SUM HH WITH'!$K$361+'SUM HH WITHOUT'!$K$220</f>
        <v>0</v>
      </c>
      <c r="L140" s="17">
        <f>'SUM HH WITH'!$L$361+'SUM HH WITHOUT'!$L$220</f>
        <v>0</v>
      </c>
      <c r="M140" s="927">
        <f>SUM(K140:L140)</f>
        <v>0</v>
      </c>
      <c r="N140" s="91">
        <f>IF(M$144=0,0,M140/M$144)</f>
        <v>0</v>
      </c>
      <c r="O140" s="17">
        <f>'SUM HH WITH'!$O$361+'SUM HH WITHOUT'!$O$220</f>
        <v>0</v>
      </c>
      <c r="P140" s="17">
        <f>'SUM HH WITH'!$P$361+'SUM HH WITHOUT'!$P$220</f>
        <v>0</v>
      </c>
      <c r="Q140" s="927">
        <f>SUM(O140:P140)</f>
        <v>0</v>
      </c>
      <c r="R140" s="91">
        <f>IF(Q$144=0,0,Q140/Q$144)</f>
        <v>0</v>
      </c>
      <c r="S140" s="17">
        <f>'SUM HH WITH'!$S$361+'SUM HH WITHOUT'!$S$220</f>
        <v>0</v>
      </c>
      <c r="T140" s="17">
        <f>'SUM HH WITH'!$T$361+'SUM HH WITHOUT'!$T$220</f>
        <v>0</v>
      </c>
      <c r="U140" s="927">
        <f>SUM(S140:T140)</f>
        <v>0</v>
      </c>
      <c r="V140" s="91">
        <f>IF(U$144=0,0,U140/U$144)</f>
        <v>0</v>
      </c>
      <c r="W140" s="17">
        <f>'SUM HH WITH'!$W$361+'SUM HH WITHOUT'!$W$220</f>
        <v>2</v>
      </c>
      <c r="X140" s="17">
        <f>'SUM HH WITH'!$X$361+'SUM HH WITHOUT'!$X$220</f>
        <v>5</v>
      </c>
      <c r="Y140" s="927">
        <f>SUM(W140:X140)</f>
        <v>7</v>
      </c>
      <c r="Z140" s="91">
        <f>IF(Y$144=0,0,Y140/Y$144)</f>
        <v>0.14285714285714285</v>
      </c>
      <c r="AA140" s="17">
        <f>'SUM HH WITH'!$AA$361+'SUM HH WITHOUT'!$AA$220</f>
        <v>4</v>
      </c>
      <c r="AB140" s="17">
        <f>'SUM HH WITH'!$AB$361+'SUM HH WITHOUT'!$AB$220</f>
        <v>4</v>
      </c>
      <c r="AC140" s="927">
        <f>SUM(AA140:AB140)</f>
        <v>8</v>
      </c>
      <c r="AD140" s="91">
        <f>IF(AC$144=0,0,AC140/AC$144)</f>
        <v>0.26666666666666666</v>
      </c>
      <c r="AE140" s="17">
        <f>'SUM HH WITH'!$AE$361+'SUM HH WITHOUT'!$AE$220</f>
        <v>0</v>
      </c>
      <c r="AF140" s="17">
        <f>'SUM HH WITH'!$AF$361+'SUM HH WITHOUT'!$AF$220</f>
        <v>0</v>
      </c>
      <c r="AG140" s="927">
        <f>SUM(AE140:AF140)</f>
        <v>0</v>
      </c>
      <c r="AH140" s="373">
        <f>IF(AG$144=0,0,AG140/AG$144)</f>
        <v>0</v>
      </c>
      <c r="AI140" s="391">
        <f t="shared" ref="AI140:AJ143" si="184">G140+K140+O140+S140+W140+AA140+AE140</f>
        <v>10</v>
      </c>
      <c r="AJ140" s="17">
        <f t="shared" si="184"/>
        <v>10</v>
      </c>
      <c r="AK140" s="927">
        <f t="shared" ref="AK140:AK143" si="185">SUM(AI140:AJ140)</f>
        <v>20</v>
      </c>
      <c r="AL140" s="91">
        <f>IF(AK$144=0,0,AK140/AK$144)</f>
        <v>0.11627906976744186</v>
      </c>
    </row>
    <row r="141" spans="1:40" ht="16.5" customHeight="1" x14ac:dyDescent="0.25">
      <c r="A141" s="40"/>
      <c r="B141" s="40"/>
      <c r="C141" s="473" t="s">
        <v>293</v>
      </c>
      <c r="D141" s="105" t="s">
        <v>11</v>
      </c>
      <c r="E141" s="105"/>
      <c r="F141" s="106"/>
      <c r="G141" s="17">
        <f>'SUM HH WITH'!$G$362+'SUM HH WITHOUT'!$G$221</f>
        <v>0</v>
      </c>
      <c r="H141" s="17">
        <f>'SUM HH WITH'!$H$362+'SUM HH WITHOUT'!$H$221</f>
        <v>0</v>
      </c>
      <c r="I141" s="927">
        <f>SUM(G141:H141)</f>
        <v>0</v>
      </c>
      <c r="J141" s="91">
        <f>IF(I$144=0,0,I141/I$144)</f>
        <v>0</v>
      </c>
      <c r="K141" s="17">
        <f>'SUM HH WITH'!$K$362+'SUM HH WITHOUT'!$K$221</f>
        <v>4</v>
      </c>
      <c r="L141" s="17">
        <f>'SUM HH WITH'!$L$362+'SUM HH WITHOUT'!$L$221</f>
        <v>4</v>
      </c>
      <c r="M141" s="927">
        <f>SUM(K141:L141)</f>
        <v>8</v>
      </c>
      <c r="N141" s="91">
        <f>IF(M$144=0,0,M141/M$144)</f>
        <v>0.26666666666666666</v>
      </c>
      <c r="O141" s="17">
        <f>'SUM HH WITH'!$O$362+'SUM HH WITHOUT'!$O$221</f>
        <v>0</v>
      </c>
      <c r="P141" s="17">
        <f>'SUM HH WITH'!$P$362+'SUM HH WITHOUT'!$P$221</f>
        <v>0</v>
      </c>
      <c r="Q141" s="927">
        <f>SUM(O141:P141)</f>
        <v>0</v>
      </c>
      <c r="R141" s="91">
        <f>IF(Q$144=0,0,Q141/Q$144)</f>
        <v>0</v>
      </c>
      <c r="S141" s="17">
        <f>'SUM HH WITH'!$S$362+'SUM HH WITHOUT'!$S$221</f>
        <v>0</v>
      </c>
      <c r="T141" s="17">
        <f>'SUM HH WITH'!$T$362+'SUM HH WITHOUT'!$T$221</f>
        <v>1</v>
      </c>
      <c r="U141" s="927">
        <f>SUM(S141:T141)</f>
        <v>1</v>
      </c>
      <c r="V141" s="91">
        <f>IF(U$144=0,0,U141/U$144)</f>
        <v>4.3478260869565216E-2</v>
      </c>
      <c r="W141" s="17">
        <f>'SUM HH WITH'!$W$362+'SUM HH WITHOUT'!$W$221</f>
        <v>6</v>
      </c>
      <c r="X141" s="17">
        <f>'SUM HH WITH'!$X$362+'SUM HH WITHOUT'!$X$221</f>
        <v>10</v>
      </c>
      <c r="Y141" s="927">
        <f>SUM(W141:X141)</f>
        <v>16</v>
      </c>
      <c r="Z141" s="91">
        <f>IF(Y$144=0,0,Y141/Y$144)</f>
        <v>0.32653061224489793</v>
      </c>
      <c r="AA141" s="17">
        <f>'SUM HH WITH'!$AA$362+'SUM HH WITHOUT'!$AA$221</f>
        <v>0</v>
      </c>
      <c r="AB141" s="17">
        <f>'SUM HH WITH'!$AB$362+'SUM HH WITHOUT'!$AB$221</f>
        <v>0</v>
      </c>
      <c r="AC141" s="927">
        <f>SUM(AA141:AB141)</f>
        <v>0</v>
      </c>
      <c r="AD141" s="91">
        <f>IF(AC$144=0,0,AC141/AC$144)</f>
        <v>0</v>
      </c>
      <c r="AE141" s="17">
        <f>'SUM HH WITH'!$AE$362+'SUM HH WITHOUT'!$AE$221</f>
        <v>0</v>
      </c>
      <c r="AF141" s="17">
        <f>'SUM HH WITH'!$AF$362+'SUM HH WITHOUT'!$AF$221</f>
        <v>0</v>
      </c>
      <c r="AG141" s="927">
        <f>SUM(AE141:AF141)</f>
        <v>0</v>
      </c>
      <c r="AH141" s="373">
        <f>IF(AG$144=0,0,AG141/AG$144)</f>
        <v>0</v>
      </c>
      <c r="AI141" s="391">
        <f t="shared" si="184"/>
        <v>10</v>
      </c>
      <c r="AJ141" s="17">
        <f t="shared" si="184"/>
        <v>15</v>
      </c>
      <c r="AK141" s="927">
        <f t="shared" si="185"/>
        <v>25</v>
      </c>
      <c r="AL141" s="91">
        <f>IF(AK$144=0,0,AK141/AK$144)</f>
        <v>0.14534883720930233</v>
      </c>
    </row>
    <row r="142" spans="1:40" ht="16.5" customHeight="1" x14ac:dyDescent="0.25">
      <c r="A142" s="40"/>
      <c r="B142" s="40"/>
      <c r="C142" s="473" t="s">
        <v>294</v>
      </c>
      <c r="D142" s="105" t="s">
        <v>295</v>
      </c>
      <c r="E142" s="105"/>
      <c r="F142" s="106"/>
      <c r="G142" s="17">
        <f>'SUM HH WITH'!$G$363+'SUM HH WITHOUT'!$G$222</f>
        <v>0</v>
      </c>
      <c r="H142" s="17">
        <f>'SUM HH WITH'!$H$363+'SUM HH WITHOUT'!$H$222</f>
        <v>0</v>
      </c>
      <c r="I142" s="927">
        <f>SUM(G142:H142)</f>
        <v>0</v>
      </c>
      <c r="J142" s="91">
        <f>IF(I$144=0,0,I142/I$144)</f>
        <v>0</v>
      </c>
      <c r="K142" s="17">
        <f>'SUM HH WITH'!$K$363+'SUM HH WITHOUT'!$K$222</f>
        <v>3</v>
      </c>
      <c r="L142" s="17">
        <f>'SUM HH WITH'!$L$363+'SUM HH WITHOUT'!$L$222</f>
        <v>1</v>
      </c>
      <c r="M142" s="927">
        <f>SUM(K142:L142)</f>
        <v>4</v>
      </c>
      <c r="N142" s="91">
        <f>IF(M$144=0,0,M142/M$144)</f>
        <v>0.13333333333333333</v>
      </c>
      <c r="O142" s="17">
        <f>'SUM HH WITH'!$O$363+'SUM HH WITHOUT'!$O$222</f>
        <v>4</v>
      </c>
      <c r="P142" s="17">
        <f>'SUM HH WITH'!$P$363+'SUM HH WITHOUT'!$P$222</f>
        <v>7</v>
      </c>
      <c r="Q142" s="927">
        <f>SUM(O142:P142)</f>
        <v>11</v>
      </c>
      <c r="R142" s="91">
        <f>IF(Q$144=0,0,Q142/Q$144)</f>
        <v>0.55000000000000004</v>
      </c>
      <c r="S142" s="17">
        <f>'SUM HH WITH'!$S$363+'SUM HH WITHOUT'!$S$222</f>
        <v>0</v>
      </c>
      <c r="T142" s="17">
        <f>'SUM HH WITH'!$T$363+'SUM HH WITHOUT'!$T$222</f>
        <v>0</v>
      </c>
      <c r="U142" s="927">
        <f>SUM(S142:T142)</f>
        <v>0</v>
      </c>
      <c r="V142" s="91">
        <f>IF(U$144=0,0,U142/U$144)</f>
        <v>0</v>
      </c>
      <c r="W142" s="17">
        <f>'SUM HH WITH'!$W$363+'SUM HH WITHOUT'!$W$222</f>
        <v>0</v>
      </c>
      <c r="X142" s="17">
        <f>'SUM HH WITH'!$X$363+'SUM HH WITHOUT'!$X$222</f>
        <v>0</v>
      </c>
      <c r="Y142" s="927">
        <f>SUM(W142:X142)</f>
        <v>0</v>
      </c>
      <c r="Z142" s="91">
        <f>IF(Y$144=0,0,Y142/Y$144)</f>
        <v>0</v>
      </c>
      <c r="AA142" s="17">
        <f>'SUM HH WITH'!$AA$363+'SUM HH WITHOUT'!$AA$222</f>
        <v>1</v>
      </c>
      <c r="AB142" s="17">
        <f>'SUM HH WITH'!$AB$363+'SUM HH WITHOUT'!$AB$222</f>
        <v>7</v>
      </c>
      <c r="AC142" s="927">
        <f>SUM(AA142:AB142)</f>
        <v>8</v>
      </c>
      <c r="AD142" s="91">
        <f>IF(AC$144=0,0,AC142/AC$144)</f>
        <v>0.26666666666666666</v>
      </c>
      <c r="AE142" s="17">
        <f>'SUM HH WITH'!$AE$363+'SUM HH WITHOUT'!$AE$222</f>
        <v>0</v>
      </c>
      <c r="AF142" s="17">
        <f>'SUM HH WITH'!$AF$363+'SUM HH WITHOUT'!$AF$222</f>
        <v>0</v>
      </c>
      <c r="AG142" s="927">
        <f>SUM(AE142:AF142)</f>
        <v>0</v>
      </c>
      <c r="AH142" s="373">
        <f>IF(AG$144=0,0,AG142/AG$144)</f>
        <v>0</v>
      </c>
      <c r="AI142" s="391">
        <f t="shared" si="184"/>
        <v>8</v>
      </c>
      <c r="AJ142" s="17">
        <f t="shared" si="184"/>
        <v>15</v>
      </c>
      <c r="AK142" s="927">
        <f t="shared" si="185"/>
        <v>23</v>
      </c>
      <c r="AL142" s="91">
        <f>IF(AK$144=0,0,AK142/AK$144)</f>
        <v>0.13372093023255813</v>
      </c>
    </row>
    <row r="143" spans="1:40" ht="16.5" customHeight="1" x14ac:dyDescent="0.25">
      <c r="A143" s="40"/>
      <c r="B143" s="40"/>
      <c r="C143" s="473" t="s">
        <v>296</v>
      </c>
      <c r="D143" s="105" t="s">
        <v>9</v>
      </c>
      <c r="E143" s="105"/>
      <c r="F143" s="106"/>
      <c r="G143" s="17">
        <f>'SUM HH WITH'!$G$364+'SUM HH WITHOUT'!$G$223</f>
        <v>5</v>
      </c>
      <c r="H143" s="17">
        <f>'SUM HH WITH'!$H$364+'SUM HH WITHOUT'!$H$223</f>
        <v>10</v>
      </c>
      <c r="I143" s="927">
        <f>SUM(G143:H143)</f>
        <v>15</v>
      </c>
      <c r="J143" s="91">
        <f>IF(I$144=0,0,I143/I$144)</f>
        <v>0.75</v>
      </c>
      <c r="K143" s="17">
        <f>'SUM HH WITH'!$K$364+'SUM HH WITHOUT'!$K$223</f>
        <v>6</v>
      </c>
      <c r="L143" s="17">
        <f>'SUM HH WITH'!$L$364+'SUM HH WITHOUT'!$L$223</f>
        <v>12</v>
      </c>
      <c r="M143" s="927">
        <f>SUM(K143:L143)</f>
        <v>18</v>
      </c>
      <c r="N143" s="91">
        <f>IF(M$144=0,0,M143/M$144)</f>
        <v>0.6</v>
      </c>
      <c r="O143" s="17">
        <f>'SUM HH WITH'!$O$364+'SUM HH WITHOUT'!$O$223</f>
        <v>0</v>
      </c>
      <c r="P143" s="17">
        <f>'SUM HH WITH'!$P$364+'SUM HH WITHOUT'!$P$223</f>
        <v>9</v>
      </c>
      <c r="Q143" s="927">
        <f>SUM(O143:P143)</f>
        <v>9</v>
      </c>
      <c r="R143" s="91">
        <f>IF(Q$144=0,0,Q143/Q$144)</f>
        <v>0.45</v>
      </c>
      <c r="S143" s="17">
        <f>'SUM HH WITH'!$S$364+'SUM HH WITHOUT'!$S$223</f>
        <v>1</v>
      </c>
      <c r="T143" s="17">
        <f>'SUM HH WITH'!$T$364+'SUM HH WITHOUT'!$T$223</f>
        <v>21</v>
      </c>
      <c r="U143" s="927">
        <f>SUM(S143:T143)</f>
        <v>22</v>
      </c>
      <c r="V143" s="91">
        <f>IF(U$144=0,0,U143/U$144)</f>
        <v>0.95652173913043481</v>
      </c>
      <c r="W143" s="17">
        <f>'SUM HH WITH'!$W$364+'SUM HH WITHOUT'!$W$223</f>
        <v>9</v>
      </c>
      <c r="X143" s="17">
        <f>'SUM HH WITH'!$X$364+'SUM HH WITHOUT'!$X$223</f>
        <v>17</v>
      </c>
      <c r="Y143" s="927">
        <f>SUM(W143:X143)</f>
        <v>26</v>
      </c>
      <c r="Z143" s="91">
        <f>IF(Y$144=0,0,Y143/Y$144)</f>
        <v>0.53061224489795922</v>
      </c>
      <c r="AA143" s="17">
        <f>'SUM HH WITH'!$AA$364+'SUM HH WITHOUT'!$AA$223</f>
        <v>0</v>
      </c>
      <c r="AB143" s="17">
        <f>'SUM HH WITH'!$AB$364+'SUM HH WITHOUT'!$AB$223</f>
        <v>14</v>
      </c>
      <c r="AC143" s="927">
        <f>SUM(AA143:AB143)</f>
        <v>14</v>
      </c>
      <c r="AD143" s="91">
        <f>IF(AC$144=0,0,AC143/AC$144)</f>
        <v>0.46666666666666667</v>
      </c>
      <c r="AE143" s="17">
        <f>'SUM HH WITH'!$AE$364+'SUM HH WITHOUT'!$AE$223</f>
        <v>0</v>
      </c>
      <c r="AF143" s="17">
        <f>'SUM HH WITH'!$AF$364+'SUM HH WITHOUT'!$AF$223</f>
        <v>0</v>
      </c>
      <c r="AG143" s="927">
        <f>SUM(AE143:AF143)</f>
        <v>0</v>
      </c>
      <c r="AH143" s="373">
        <f>IF(AG$144=0,0,AG143/AG$144)</f>
        <v>0</v>
      </c>
      <c r="AI143" s="391">
        <f t="shared" si="184"/>
        <v>21</v>
      </c>
      <c r="AJ143" s="17">
        <f t="shared" si="184"/>
        <v>83</v>
      </c>
      <c r="AK143" s="927">
        <f t="shared" si="185"/>
        <v>104</v>
      </c>
      <c r="AL143" s="91">
        <f>IF(AK$144=0,0,AK143/AK$144)</f>
        <v>0.60465116279069764</v>
      </c>
    </row>
    <row r="144" spans="1:40" ht="16.5" customHeight="1" x14ac:dyDescent="0.25">
      <c r="A144" s="40"/>
      <c r="B144" s="40"/>
      <c r="C144" s="119"/>
      <c r="D144" s="185"/>
      <c r="E144" s="184"/>
      <c r="F144" s="469"/>
      <c r="G144" s="82">
        <f>SUM(G140:G143)</f>
        <v>9</v>
      </c>
      <c r="H144" s="82">
        <f>SUM(H140:H143)</f>
        <v>11</v>
      </c>
      <c r="I144" s="82">
        <f>SUM(I140:I143)</f>
        <v>20</v>
      </c>
      <c r="J144" s="66">
        <f>IF(I$144=0,0,I144/I$144)</f>
        <v>1</v>
      </c>
      <c r="K144" s="82">
        <f t="shared" ref="K144:L144" si="186">SUM(K140:K143)</f>
        <v>13</v>
      </c>
      <c r="L144" s="82">
        <f t="shared" si="186"/>
        <v>17</v>
      </c>
      <c r="M144" s="82">
        <f>SUM(M140:M143)</f>
        <v>30</v>
      </c>
      <c r="N144" s="66">
        <f>IF(M$144=0,0,M144/M$144)</f>
        <v>1</v>
      </c>
      <c r="O144" s="82">
        <f t="shared" ref="O144" si="187">SUM(O140:O143)</f>
        <v>4</v>
      </c>
      <c r="P144" s="82">
        <f t="shared" ref="P144" si="188">SUM(P140:P143)</f>
        <v>16</v>
      </c>
      <c r="Q144" s="82">
        <f>SUM(Q140:Q143)</f>
        <v>20</v>
      </c>
      <c r="R144" s="66">
        <f>IF(Q$144=0,0,Q144/Q$144)</f>
        <v>1</v>
      </c>
      <c r="S144" s="82">
        <f t="shared" ref="S144" si="189">SUM(S140:S143)</f>
        <v>1</v>
      </c>
      <c r="T144" s="82">
        <f t="shared" ref="T144" si="190">SUM(T140:T143)</f>
        <v>22</v>
      </c>
      <c r="U144" s="82">
        <f>SUM(U140:U143)</f>
        <v>23</v>
      </c>
      <c r="V144" s="66">
        <f>IF(U$144=0,0,U144/U$144)</f>
        <v>1</v>
      </c>
      <c r="W144" s="82">
        <f t="shared" ref="W144" si="191">SUM(W140:W143)</f>
        <v>17</v>
      </c>
      <c r="X144" s="82">
        <f t="shared" ref="X144" si="192">SUM(X140:X143)</f>
        <v>32</v>
      </c>
      <c r="Y144" s="82">
        <f>SUM(Y140:Y143)</f>
        <v>49</v>
      </c>
      <c r="Z144" s="66">
        <f>IF(Y$144=0,0,Y144/Y$144)</f>
        <v>1</v>
      </c>
      <c r="AA144" s="82">
        <f t="shared" ref="AA144" si="193">SUM(AA140:AA143)</f>
        <v>5</v>
      </c>
      <c r="AB144" s="82">
        <f t="shared" ref="AB144" si="194">SUM(AB140:AB143)</f>
        <v>25</v>
      </c>
      <c r="AC144" s="82">
        <f>SUM(AC140:AC143)</f>
        <v>30</v>
      </c>
      <c r="AD144" s="66">
        <f>IF(AC$144=0,0,AC144/AC$144)</f>
        <v>1</v>
      </c>
      <c r="AE144" s="82">
        <f t="shared" ref="AE144" si="195">SUM(AE140:AE143)</f>
        <v>0</v>
      </c>
      <c r="AF144" s="82">
        <f t="shared" ref="AF144" si="196">SUM(AF140:AF143)</f>
        <v>0</v>
      </c>
      <c r="AG144" s="82">
        <f>SUM(AG140:AG143)</f>
        <v>0</v>
      </c>
      <c r="AH144" s="608">
        <f>IF(AG$144=0,0,AG144/AG$144)</f>
        <v>0</v>
      </c>
      <c r="AI144" s="381">
        <f>SUM(AI140:AI143)</f>
        <v>49</v>
      </c>
      <c r="AJ144" s="82">
        <f>SUM(AJ140:AJ143)</f>
        <v>123</v>
      </c>
      <c r="AK144" s="82">
        <f>SUM(AK140:AK143)</f>
        <v>172</v>
      </c>
      <c r="AL144" s="66">
        <f>IF(AK$144=0,0,AK144/AK$144)</f>
        <v>1</v>
      </c>
    </row>
    <row r="145" spans="1:40" s="117" customFormat="1" ht="16.5" customHeight="1" x14ac:dyDescent="0.25">
      <c r="A145" s="119"/>
      <c r="B145" s="41" t="s">
        <v>297</v>
      </c>
      <c r="C145" s="69" t="s">
        <v>1010</v>
      </c>
      <c r="D145" s="70"/>
      <c r="E145" s="478"/>
      <c r="F145" s="478"/>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355"/>
      <c r="AI145" s="377"/>
      <c r="AJ145" s="71"/>
      <c r="AK145" s="71"/>
      <c r="AL145" s="71"/>
    </row>
    <row r="146" spans="1:40" ht="16.5" customHeight="1" x14ac:dyDescent="0.25">
      <c r="A146" s="40"/>
      <c r="B146" s="40"/>
      <c r="C146" s="473" t="s">
        <v>298</v>
      </c>
      <c r="D146" s="105" t="s">
        <v>292</v>
      </c>
      <c r="E146" s="105"/>
      <c r="F146" s="106"/>
      <c r="G146" s="17">
        <f>'SUM HH WITH'!$G$367+'SUM HH WITHOUT'!$G$226</f>
        <v>0</v>
      </c>
      <c r="H146" s="17">
        <f>'SUM HH WITH'!$H$367+'SUM HH WITHOUT'!$H$226</f>
        <v>0</v>
      </c>
      <c r="I146" s="927">
        <f>SUM(G146:H146)</f>
        <v>0</v>
      </c>
      <c r="J146" s="91">
        <f>IF(I$150=0,0,I146/I$150)</f>
        <v>0</v>
      </c>
      <c r="K146" s="17">
        <f>'SUM HH WITH'!$K$367+'SUM HH WITHOUT'!$K$226</f>
        <v>0</v>
      </c>
      <c r="L146" s="17">
        <f>'SUM HH WITH'!$L$367+'SUM HH WITHOUT'!$L$226</f>
        <v>0</v>
      </c>
      <c r="M146" s="927">
        <f>SUM(K146:L146)</f>
        <v>0</v>
      </c>
      <c r="N146" s="91">
        <f>IF(M$150=0,0,M146/M$150)</f>
        <v>0</v>
      </c>
      <c r="O146" s="17">
        <f>'SUM HH WITH'!$O$367+'SUM HH WITHOUT'!$O$226</f>
        <v>0</v>
      </c>
      <c r="P146" s="17">
        <f>'SUM HH WITH'!$P$367+'SUM HH WITHOUT'!$P$226</f>
        <v>0</v>
      </c>
      <c r="Q146" s="927">
        <f>SUM(O146:P146)</f>
        <v>0</v>
      </c>
      <c r="R146" s="91">
        <f>IF(Q$150=0,0,Q146/Q$150)</f>
        <v>0</v>
      </c>
      <c r="S146" s="17">
        <f>'SUM HH WITH'!$S$367+'SUM HH WITHOUT'!$S$226</f>
        <v>0</v>
      </c>
      <c r="T146" s="17">
        <f>'SUM HH WITH'!$T$367+'SUM HH WITHOUT'!$T$226</f>
        <v>0</v>
      </c>
      <c r="U146" s="927">
        <f>SUM(S146:T146)</f>
        <v>0</v>
      </c>
      <c r="V146" s="91">
        <f>IF(U$150=0,0,U146/U$150)</f>
        <v>0</v>
      </c>
      <c r="W146" s="17">
        <f>'SUM HH WITH'!$W$367+'SUM HH WITHOUT'!$W$226</f>
        <v>1</v>
      </c>
      <c r="X146" s="17">
        <f>'SUM HH WITH'!$X$367+'SUM HH WITHOUT'!$X$226</f>
        <v>2</v>
      </c>
      <c r="Y146" s="927">
        <f>SUM(W146:X146)</f>
        <v>3</v>
      </c>
      <c r="Z146" s="91">
        <f>IF(Y$150=0,0,Y146/Y$150)</f>
        <v>6.1224489795918366E-2</v>
      </c>
      <c r="AA146" s="17">
        <f>'SUM HH WITH'!$AA$367+'SUM HH WITHOUT'!$AA$226</f>
        <v>0</v>
      </c>
      <c r="AB146" s="17">
        <f>'SUM HH WITH'!$AB$367+'SUM HH WITHOUT'!$AB$226</f>
        <v>0</v>
      </c>
      <c r="AC146" s="927">
        <f>SUM(AA146:AB146)</f>
        <v>0</v>
      </c>
      <c r="AD146" s="91">
        <f>IF(AC$150=0,0,AC146/AC$150)</f>
        <v>0</v>
      </c>
      <c r="AE146" s="17">
        <f>'SUM HH WITH'!$AE$367+'SUM HH WITHOUT'!$AE$226</f>
        <v>0</v>
      </c>
      <c r="AF146" s="17">
        <f>'SUM HH WITH'!$AF$367+'SUM HH WITHOUT'!$AF$226</f>
        <v>0</v>
      </c>
      <c r="AG146" s="927">
        <f>SUM(AE146:AF146)</f>
        <v>0</v>
      </c>
      <c r="AH146" s="373">
        <f>IF(AG$150=0,0,AG146/AG$150)</f>
        <v>0</v>
      </c>
      <c r="AI146" s="391">
        <f t="shared" ref="AI146:AJ149" si="197">G146+K146+O146+S146+W146+AA146+AE146</f>
        <v>1</v>
      </c>
      <c r="AJ146" s="17">
        <f t="shared" si="197"/>
        <v>2</v>
      </c>
      <c r="AK146" s="927">
        <f t="shared" ref="AK146:AK149" si="198">SUM(AI146:AJ146)</f>
        <v>3</v>
      </c>
      <c r="AL146" s="91">
        <f>IF(AK$150=0,0,AK146/AK$150)</f>
        <v>1.7441860465116279E-2</v>
      </c>
    </row>
    <row r="147" spans="1:40" ht="16.5" customHeight="1" x14ac:dyDescent="0.25">
      <c r="A147" s="40"/>
      <c r="B147" s="40"/>
      <c r="C147" s="473" t="s">
        <v>299</v>
      </c>
      <c r="D147" s="105" t="s">
        <v>11</v>
      </c>
      <c r="E147" s="105"/>
      <c r="F147" s="106"/>
      <c r="G147" s="17">
        <f>'SUM HH WITH'!$G$368+'SUM HH WITHOUT'!$G$227</f>
        <v>1</v>
      </c>
      <c r="H147" s="17">
        <f>'SUM HH WITH'!$H$368+'SUM HH WITHOUT'!$H$227</f>
        <v>4</v>
      </c>
      <c r="I147" s="927">
        <f>SUM(G147:H147)</f>
        <v>5</v>
      </c>
      <c r="J147" s="91">
        <f t="shared" ref="J147:J150" si="199">IF(I$150=0,0,I147/I$150)</f>
        <v>0.25</v>
      </c>
      <c r="K147" s="17">
        <f>'SUM HH WITH'!$K$368+'SUM HH WITHOUT'!$K$227</f>
        <v>7</v>
      </c>
      <c r="L147" s="17">
        <f>'SUM HH WITH'!$L$368+'SUM HH WITHOUT'!$L$227</f>
        <v>3</v>
      </c>
      <c r="M147" s="927">
        <f>SUM(K147:L147)</f>
        <v>10</v>
      </c>
      <c r="N147" s="91">
        <f t="shared" ref="N147:N150" si="200">IF(M$150=0,0,M147/M$150)</f>
        <v>0.33333333333333331</v>
      </c>
      <c r="O147" s="17">
        <f>'SUM HH WITH'!$O$368+'SUM HH WITHOUT'!$O$227</f>
        <v>0</v>
      </c>
      <c r="P147" s="17">
        <f>'SUM HH WITH'!$P$368+'SUM HH WITHOUT'!$P$227</f>
        <v>0</v>
      </c>
      <c r="Q147" s="927">
        <f>SUM(O147:P147)</f>
        <v>0</v>
      </c>
      <c r="R147" s="91">
        <f t="shared" ref="R147:R150" si="201">IF(Q$150=0,0,Q147/Q$150)</f>
        <v>0</v>
      </c>
      <c r="S147" s="17">
        <f>'SUM HH WITH'!$S$368+'SUM HH WITHOUT'!$S$227</f>
        <v>1</v>
      </c>
      <c r="T147" s="17">
        <f>'SUM HH WITH'!$T$368+'SUM HH WITHOUT'!$T$227</f>
        <v>14</v>
      </c>
      <c r="U147" s="927">
        <f>SUM(S147:T147)</f>
        <v>15</v>
      </c>
      <c r="V147" s="91">
        <f t="shared" ref="V147:V150" si="202">IF(U$150=0,0,U147/U$150)</f>
        <v>0.65217391304347827</v>
      </c>
      <c r="W147" s="17">
        <f>'SUM HH WITH'!$W$368+'SUM HH WITHOUT'!$W$227</f>
        <v>8</v>
      </c>
      <c r="X147" s="17">
        <f>'SUM HH WITH'!$X$368+'SUM HH WITHOUT'!$X$227</f>
        <v>17</v>
      </c>
      <c r="Y147" s="927">
        <f>SUM(W147:X147)</f>
        <v>25</v>
      </c>
      <c r="Z147" s="91">
        <f t="shared" ref="Z147:Z150" si="203">IF(Y$150=0,0,Y147/Y$150)</f>
        <v>0.51020408163265307</v>
      </c>
      <c r="AA147" s="17">
        <f>'SUM HH WITH'!$AA$368+'SUM HH WITHOUT'!$AA$227</f>
        <v>1</v>
      </c>
      <c r="AB147" s="17">
        <f>'SUM HH WITH'!$AB$368+'SUM HH WITHOUT'!$AB$227</f>
        <v>4</v>
      </c>
      <c r="AC147" s="927">
        <f>SUM(AA147:AB147)</f>
        <v>5</v>
      </c>
      <c r="AD147" s="91">
        <f t="shared" ref="AD147:AD150" si="204">IF(AC$150=0,0,AC147/AC$150)</f>
        <v>0.16666666666666666</v>
      </c>
      <c r="AE147" s="17">
        <f>'SUM HH WITH'!$AE$368+'SUM HH WITHOUT'!$AE$227</f>
        <v>0</v>
      </c>
      <c r="AF147" s="17">
        <f>'SUM HH WITH'!$AF$368+'SUM HH WITHOUT'!$AF$227</f>
        <v>0</v>
      </c>
      <c r="AG147" s="927">
        <f>SUM(AE147:AF147)</f>
        <v>0</v>
      </c>
      <c r="AH147" s="373">
        <f t="shared" ref="AH147:AH150" si="205">IF(AG$150=0,0,AG147/AG$150)</f>
        <v>0</v>
      </c>
      <c r="AI147" s="391">
        <f t="shared" si="197"/>
        <v>18</v>
      </c>
      <c r="AJ147" s="17">
        <f t="shared" si="197"/>
        <v>42</v>
      </c>
      <c r="AK147" s="927">
        <f t="shared" si="198"/>
        <v>60</v>
      </c>
      <c r="AL147" s="91">
        <f t="shared" ref="AL147:AL150" si="206">IF(AK$150=0,0,AK147/AK$150)</f>
        <v>0.34883720930232559</v>
      </c>
    </row>
    <row r="148" spans="1:40" ht="16.5" customHeight="1" x14ac:dyDescent="0.25">
      <c r="A148" s="40"/>
      <c r="B148" s="40"/>
      <c r="C148" s="473" t="s">
        <v>301</v>
      </c>
      <c r="D148" s="105" t="s">
        <v>295</v>
      </c>
      <c r="E148" s="105"/>
      <c r="F148" s="106"/>
      <c r="G148" s="17">
        <f>'SUM HH WITH'!$G$369+'SUM HH WITHOUT'!$G$228</f>
        <v>0</v>
      </c>
      <c r="H148" s="17">
        <f>'SUM HH WITH'!$H$369+'SUM HH WITHOUT'!$H$228</f>
        <v>0</v>
      </c>
      <c r="I148" s="927">
        <f>SUM(G148:H148)</f>
        <v>0</v>
      </c>
      <c r="J148" s="91">
        <f t="shared" si="199"/>
        <v>0</v>
      </c>
      <c r="K148" s="17">
        <f>'SUM HH WITH'!$K$369+'SUM HH WITHOUT'!$K$228</f>
        <v>6</v>
      </c>
      <c r="L148" s="17">
        <f>'SUM HH WITH'!$L$369+'SUM HH WITHOUT'!$L$228</f>
        <v>11</v>
      </c>
      <c r="M148" s="927">
        <f>SUM(K148:L148)</f>
        <v>17</v>
      </c>
      <c r="N148" s="91">
        <f t="shared" si="200"/>
        <v>0.56666666666666665</v>
      </c>
      <c r="O148" s="17">
        <f>'SUM HH WITH'!$O$369+'SUM HH WITHOUT'!$O$228</f>
        <v>4</v>
      </c>
      <c r="P148" s="17">
        <f>'SUM HH WITH'!$P$369+'SUM HH WITHOUT'!$P$228</f>
        <v>7</v>
      </c>
      <c r="Q148" s="927">
        <f>SUM(O148:P148)</f>
        <v>11</v>
      </c>
      <c r="R148" s="91">
        <f t="shared" si="201"/>
        <v>0.55000000000000004</v>
      </c>
      <c r="S148" s="17">
        <f>'SUM HH WITH'!$S$369+'SUM HH WITHOUT'!$S$228</f>
        <v>0</v>
      </c>
      <c r="T148" s="17">
        <f>'SUM HH WITH'!$T$369+'SUM HH WITHOUT'!$T$228</f>
        <v>0</v>
      </c>
      <c r="U148" s="927">
        <f>SUM(S148:T148)</f>
        <v>0</v>
      </c>
      <c r="V148" s="91">
        <f t="shared" si="202"/>
        <v>0</v>
      </c>
      <c r="W148" s="17">
        <f>'SUM HH WITH'!$W$369+'SUM HH WITHOUT'!$W$228</f>
        <v>2</v>
      </c>
      <c r="X148" s="17">
        <f>'SUM HH WITH'!$X$369+'SUM HH WITHOUT'!$X$228</f>
        <v>4</v>
      </c>
      <c r="Y148" s="927">
        <f>SUM(W148:X148)</f>
        <v>6</v>
      </c>
      <c r="Z148" s="91">
        <f t="shared" si="203"/>
        <v>0.12244897959183673</v>
      </c>
      <c r="AA148" s="17">
        <f>'SUM HH WITH'!$AA$369+'SUM HH WITHOUT'!$AA$228</f>
        <v>1</v>
      </c>
      <c r="AB148" s="17">
        <f>'SUM HH WITH'!$AB$369+'SUM HH WITHOUT'!$AB$228</f>
        <v>8</v>
      </c>
      <c r="AC148" s="927">
        <f>SUM(AA148:AB148)</f>
        <v>9</v>
      </c>
      <c r="AD148" s="91">
        <f t="shared" si="204"/>
        <v>0.3</v>
      </c>
      <c r="AE148" s="17">
        <f>'SUM HH WITH'!$AE$369+'SUM HH WITHOUT'!$AE$228</f>
        <v>0</v>
      </c>
      <c r="AF148" s="17">
        <f>'SUM HH WITH'!$AF$369+'SUM HH WITHOUT'!$AF$228</f>
        <v>0</v>
      </c>
      <c r="AG148" s="927">
        <f>SUM(AE148:AF148)</f>
        <v>0</v>
      </c>
      <c r="AH148" s="373">
        <f t="shared" si="205"/>
        <v>0</v>
      </c>
      <c r="AI148" s="391">
        <f t="shared" si="197"/>
        <v>13</v>
      </c>
      <c r="AJ148" s="17">
        <f t="shared" si="197"/>
        <v>30</v>
      </c>
      <c r="AK148" s="927">
        <f t="shared" si="198"/>
        <v>43</v>
      </c>
      <c r="AL148" s="91">
        <f t="shared" si="206"/>
        <v>0.25</v>
      </c>
    </row>
    <row r="149" spans="1:40" ht="16.5" customHeight="1" x14ac:dyDescent="0.25">
      <c r="A149" s="40"/>
      <c r="B149" s="40"/>
      <c r="C149" s="473" t="s">
        <v>303</v>
      </c>
      <c r="D149" s="105" t="s">
        <v>9</v>
      </c>
      <c r="E149" s="105"/>
      <c r="F149" s="106"/>
      <c r="G149" s="17">
        <f>'SUM HH WITH'!$G$370+'SUM HH WITHOUT'!$G$229</f>
        <v>8</v>
      </c>
      <c r="H149" s="17">
        <f>'SUM HH WITH'!$H$370+'SUM HH WITHOUT'!$H$229</f>
        <v>7</v>
      </c>
      <c r="I149" s="927">
        <f>SUM(G149:H149)</f>
        <v>15</v>
      </c>
      <c r="J149" s="91">
        <f t="shared" si="199"/>
        <v>0.75</v>
      </c>
      <c r="K149" s="17">
        <f>'SUM HH WITH'!$K$370+'SUM HH WITHOUT'!$K$229</f>
        <v>0</v>
      </c>
      <c r="L149" s="17">
        <f>'SUM HH WITH'!$L$370+'SUM HH WITHOUT'!$L$229</f>
        <v>3</v>
      </c>
      <c r="M149" s="927">
        <f>SUM(K149:L149)</f>
        <v>3</v>
      </c>
      <c r="N149" s="91">
        <f t="shared" si="200"/>
        <v>0.1</v>
      </c>
      <c r="O149" s="17">
        <f>'SUM HH WITH'!$O$370+'SUM HH WITHOUT'!$O$229</f>
        <v>0</v>
      </c>
      <c r="P149" s="17">
        <f>'SUM HH WITH'!$P$370+'SUM HH WITHOUT'!$P$229</f>
        <v>9</v>
      </c>
      <c r="Q149" s="927">
        <f>SUM(O149:P149)</f>
        <v>9</v>
      </c>
      <c r="R149" s="91">
        <f t="shared" si="201"/>
        <v>0.45</v>
      </c>
      <c r="S149" s="17">
        <f>'SUM HH WITH'!$S$370+'SUM HH WITHOUT'!$S$229</f>
        <v>0</v>
      </c>
      <c r="T149" s="17">
        <f>'SUM HH WITH'!$T$370+'SUM HH WITHOUT'!$T$229</f>
        <v>8</v>
      </c>
      <c r="U149" s="927">
        <f>SUM(S149:T149)</f>
        <v>8</v>
      </c>
      <c r="V149" s="91">
        <f t="shared" si="202"/>
        <v>0.34782608695652173</v>
      </c>
      <c r="W149" s="17">
        <f>'SUM HH WITH'!$W$370+'SUM HH WITHOUT'!$W$229</f>
        <v>6</v>
      </c>
      <c r="X149" s="17">
        <f>'SUM HH WITH'!$X$370+'SUM HH WITHOUT'!$X$229</f>
        <v>9</v>
      </c>
      <c r="Y149" s="927">
        <f>SUM(W149:X149)</f>
        <v>15</v>
      </c>
      <c r="Z149" s="91">
        <f t="shared" si="203"/>
        <v>0.30612244897959184</v>
      </c>
      <c r="AA149" s="17">
        <f>'SUM HH WITH'!$AA$370+'SUM HH WITHOUT'!$AA$229</f>
        <v>3</v>
      </c>
      <c r="AB149" s="17">
        <f>'SUM HH WITH'!$AB$370+'SUM HH WITHOUT'!$AB$229</f>
        <v>13</v>
      </c>
      <c r="AC149" s="927">
        <f>SUM(AA149:AB149)</f>
        <v>16</v>
      </c>
      <c r="AD149" s="91">
        <f t="shared" si="204"/>
        <v>0.53333333333333333</v>
      </c>
      <c r="AE149" s="17">
        <f>'SUM HH WITH'!$AE$370+'SUM HH WITHOUT'!$AE$229</f>
        <v>0</v>
      </c>
      <c r="AF149" s="17">
        <f>'SUM HH WITH'!$AF$370+'SUM HH WITHOUT'!$AF$229</f>
        <v>0</v>
      </c>
      <c r="AG149" s="927">
        <f>SUM(AE149:AF149)</f>
        <v>0</v>
      </c>
      <c r="AH149" s="373">
        <f t="shared" si="205"/>
        <v>0</v>
      </c>
      <c r="AI149" s="391">
        <f t="shared" si="197"/>
        <v>17</v>
      </c>
      <c r="AJ149" s="17">
        <f t="shared" si="197"/>
        <v>49</v>
      </c>
      <c r="AK149" s="927">
        <f t="shared" si="198"/>
        <v>66</v>
      </c>
      <c r="AL149" s="91">
        <f t="shared" si="206"/>
        <v>0.38372093023255816</v>
      </c>
    </row>
    <row r="150" spans="1:40" ht="16.5" customHeight="1" x14ac:dyDescent="0.25">
      <c r="A150" s="40"/>
      <c r="B150" s="40"/>
      <c r="C150" s="119"/>
      <c r="D150" s="185"/>
      <c r="E150" s="184"/>
      <c r="F150" s="469"/>
      <c r="G150" s="82">
        <f>SUM(G146:G149)</f>
        <v>9</v>
      </c>
      <c r="H150" s="82">
        <f>SUM(H146:H149)</f>
        <v>11</v>
      </c>
      <c r="I150" s="82">
        <f>SUM(I146:I149)</f>
        <v>20</v>
      </c>
      <c r="J150" s="66">
        <f t="shared" si="199"/>
        <v>1</v>
      </c>
      <c r="K150" s="82">
        <f t="shared" ref="K150:L150" si="207">SUM(K146:K149)</f>
        <v>13</v>
      </c>
      <c r="L150" s="82">
        <f t="shared" si="207"/>
        <v>17</v>
      </c>
      <c r="M150" s="82">
        <f>SUM(M146:M149)</f>
        <v>30</v>
      </c>
      <c r="N150" s="66">
        <f t="shared" si="200"/>
        <v>1</v>
      </c>
      <c r="O150" s="82">
        <f t="shared" ref="O150" si="208">SUM(O146:O149)</f>
        <v>4</v>
      </c>
      <c r="P150" s="82">
        <f t="shared" ref="P150" si="209">SUM(P146:P149)</f>
        <v>16</v>
      </c>
      <c r="Q150" s="82">
        <f>SUM(Q146:Q149)</f>
        <v>20</v>
      </c>
      <c r="R150" s="66">
        <f t="shared" si="201"/>
        <v>1</v>
      </c>
      <c r="S150" s="82">
        <f t="shared" ref="S150" si="210">SUM(S146:S149)</f>
        <v>1</v>
      </c>
      <c r="T150" s="82">
        <f t="shared" ref="T150" si="211">SUM(T146:T149)</f>
        <v>22</v>
      </c>
      <c r="U150" s="82">
        <f>SUM(U146:U149)</f>
        <v>23</v>
      </c>
      <c r="V150" s="66">
        <f t="shared" si="202"/>
        <v>1</v>
      </c>
      <c r="W150" s="82">
        <f t="shared" ref="W150" si="212">SUM(W146:W149)</f>
        <v>17</v>
      </c>
      <c r="X150" s="82">
        <f t="shared" ref="X150" si="213">SUM(X146:X149)</f>
        <v>32</v>
      </c>
      <c r="Y150" s="82">
        <f>SUM(Y146:Y149)</f>
        <v>49</v>
      </c>
      <c r="Z150" s="66">
        <f t="shared" si="203"/>
        <v>1</v>
      </c>
      <c r="AA150" s="82">
        <f t="shared" ref="AA150" si="214">SUM(AA146:AA149)</f>
        <v>5</v>
      </c>
      <c r="AB150" s="82">
        <f t="shared" ref="AB150" si="215">SUM(AB146:AB149)</f>
        <v>25</v>
      </c>
      <c r="AC150" s="82">
        <f>SUM(AC146:AC149)</f>
        <v>30</v>
      </c>
      <c r="AD150" s="66">
        <f t="shared" si="204"/>
        <v>1</v>
      </c>
      <c r="AE150" s="82">
        <f t="shared" ref="AE150" si="216">SUM(AE146:AE149)</f>
        <v>0</v>
      </c>
      <c r="AF150" s="82">
        <f t="shared" ref="AF150" si="217">SUM(AF146:AF149)</f>
        <v>0</v>
      </c>
      <c r="AG150" s="82">
        <f>SUM(AG146:AG149)</f>
        <v>0</v>
      </c>
      <c r="AH150" s="608">
        <f t="shared" si="205"/>
        <v>0</v>
      </c>
      <c r="AI150" s="381">
        <f>SUM(AI146:AI149)</f>
        <v>49</v>
      </c>
      <c r="AJ150" s="82">
        <f>SUM(AJ146:AJ149)</f>
        <v>123</v>
      </c>
      <c r="AK150" s="82">
        <f>SUM(AK146:AK149)</f>
        <v>172</v>
      </c>
      <c r="AL150" s="66">
        <f t="shared" si="206"/>
        <v>1</v>
      </c>
    </row>
    <row r="151" spans="1:40" s="117" customFormat="1" ht="16.5" customHeight="1" x14ac:dyDescent="0.25">
      <c r="A151" s="119"/>
      <c r="B151" s="41" t="s">
        <v>306</v>
      </c>
      <c r="C151" s="42" t="s">
        <v>878</v>
      </c>
      <c r="D151" s="70"/>
      <c r="E151" s="478"/>
      <c r="F151" s="478"/>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355"/>
      <c r="AI151" s="377"/>
      <c r="AJ151" s="71"/>
      <c r="AK151" s="71"/>
      <c r="AL151" s="71"/>
    </row>
    <row r="152" spans="1:40" s="117" customFormat="1" ht="16.5" customHeight="1" x14ac:dyDescent="0.25">
      <c r="A152" s="119"/>
      <c r="B152" s="40"/>
      <c r="C152" s="473" t="s">
        <v>308</v>
      </c>
      <c r="D152" s="484" t="s">
        <v>292</v>
      </c>
      <c r="E152" s="75"/>
      <c r="F152" s="106"/>
      <c r="G152" s="17">
        <f>'SUM HH WITH'!$G$373+'SUM HH WITHOUT'!$G$232</f>
        <v>0</v>
      </c>
      <c r="H152" s="17">
        <f>'SUM HH WITH'!$H$373+'SUM HH WITHOUT'!$H$232</f>
        <v>0</v>
      </c>
      <c r="I152" s="927">
        <f t="shared" ref="I152:I162" si="218">SUM(G152:H152)</f>
        <v>0</v>
      </c>
      <c r="J152" s="91">
        <f>IF(I$163=0,0,I152/I$163)</f>
        <v>0</v>
      </c>
      <c r="K152" s="17">
        <f>'SUM HH WITH'!$K$373+'SUM HH WITHOUT'!$K$232</f>
        <v>7</v>
      </c>
      <c r="L152" s="17">
        <f>'SUM HH WITH'!$L$373+'SUM HH WITHOUT'!$L$232</f>
        <v>3</v>
      </c>
      <c r="M152" s="927">
        <f t="shared" ref="M152:M162" si="219">SUM(K152:L152)</f>
        <v>10</v>
      </c>
      <c r="N152" s="91">
        <f>IF(M$163=0,0,M152/M$163)</f>
        <v>0.2857142857142857</v>
      </c>
      <c r="O152" s="17">
        <f>'SUM HH WITH'!$O$373+'SUM HH WITHOUT'!$O$232</f>
        <v>0</v>
      </c>
      <c r="P152" s="17">
        <f>'SUM HH WITH'!$P$373+'SUM HH WITHOUT'!$P$232</f>
        <v>0</v>
      </c>
      <c r="Q152" s="927">
        <f t="shared" ref="Q152:Q162" si="220">SUM(O152:P152)</f>
        <v>0</v>
      </c>
      <c r="R152" s="91">
        <f>IF(Q$163=0,0,Q152/Q$163)</f>
        <v>0</v>
      </c>
      <c r="S152" s="17">
        <f>'SUM HH WITH'!$S$373+'SUM HH WITHOUT'!$S$232</f>
        <v>0</v>
      </c>
      <c r="T152" s="17">
        <f>'SUM HH WITH'!$T$373+'SUM HH WITHOUT'!$T$232</f>
        <v>0</v>
      </c>
      <c r="U152" s="927">
        <f t="shared" ref="U152:U162" si="221">SUM(S152:T152)</f>
        <v>0</v>
      </c>
      <c r="V152" s="91">
        <f>IF(U$163=0,0,U152/U$163)</f>
        <v>0</v>
      </c>
      <c r="W152" s="17">
        <f>'SUM HH WITH'!$W$373+'SUM HH WITHOUT'!$W$232</f>
        <v>1</v>
      </c>
      <c r="X152" s="17">
        <f>'SUM HH WITH'!$X$373+'SUM HH WITHOUT'!$X$232</f>
        <v>2</v>
      </c>
      <c r="Y152" s="927">
        <f t="shared" ref="Y152:Y162" si="222">SUM(W152:X152)</f>
        <v>3</v>
      </c>
      <c r="Z152" s="91">
        <f>IF(Y$163=0,0,Y152/Y$163)</f>
        <v>6.6666666666666666E-2</v>
      </c>
      <c r="AA152" s="17">
        <f>'SUM HH WITH'!$AA$373+'SUM HH WITHOUT'!$AA$232</f>
        <v>1</v>
      </c>
      <c r="AB152" s="17">
        <f>'SUM HH WITH'!$AB$373+'SUM HH WITHOUT'!$AB$232</f>
        <v>4</v>
      </c>
      <c r="AC152" s="927">
        <f t="shared" ref="AC152:AC162" si="223">SUM(AA152:AB152)</f>
        <v>5</v>
      </c>
      <c r="AD152" s="91">
        <f>IF(AC$163=0,0,AC152/AC$163)</f>
        <v>0.11363636363636363</v>
      </c>
      <c r="AE152" s="17">
        <f>'SUM HH WITH'!$AE$373+'SUM HH WITHOUT'!$AE$232</f>
        <v>0</v>
      </c>
      <c r="AF152" s="17">
        <f>'SUM HH WITH'!$AF$373+'SUM HH WITHOUT'!$AF$232</f>
        <v>0</v>
      </c>
      <c r="AG152" s="927">
        <f t="shared" ref="AG152:AG162" si="224">SUM(AE152:AF152)</f>
        <v>0</v>
      </c>
      <c r="AH152" s="373">
        <f>IF(AG$163=0,0,AG152/AG$163)</f>
        <v>0</v>
      </c>
      <c r="AI152" s="391">
        <f t="shared" ref="AI152:AJ162" si="225">G152+K152+O152+S152+W152+AA152+AE152</f>
        <v>9</v>
      </c>
      <c r="AJ152" s="17">
        <f t="shared" si="225"/>
        <v>9</v>
      </c>
      <c r="AK152" s="927">
        <f t="shared" ref="AK152:AK162" si="226">SUM(AI152:AJ152)</f>
        <v>18</v>
      </c>
      <c r="AL152" s="91">
        <f>IF(AK$163=0,0,AK152/AK$163)</f>
        <v>9.2307692307692313E-2</v>
      </c>
    </row>
    <row r="153" spans="1:40" s="117" customFormat="1" ht="16.5" customHeight="1" x14ac:dyDescent="0.25">
      <c r="A153" s="119"/>
      <c r="B153" s="40"/>
      <c r="C153" s="473" t="s">
        <v>309</v>
      </c>
      <c r="D153" s="498" t="s">
        <v>757</v>
      </c>
      <c r="E153" s="75"/>
      <c r="F153" s="106"/>
      <c r="G153" s="17">
        <f>'SUM HH WITH'!$G$374+'SUM HH WITHOUT'!$G$233</f>
        <v>1</v>
      </c>
      <c r="H153" s="17">
        <f>'SUM HH WITH'!$H$374+'SUM HH WITHOUT'!$H$233</f>
        <v>4</v>
      </c>
      <c r="I153" s="927">
        <f t="shared" si="218"/>
        <v>5</v>
      </c>
      <c r="J153" s="91">
        <f t="shared" ref="J153:J162" si="227">IF(I$163=0,0,I153/I$163)</f>
        <v>0.20833333333333334</v>
      </c>
      <c r="K153" s="17">
        <f>'SUM HH WITH'!$K$374+'SUM HH WITHOUT'!$K$233</f>
        <v>0</v>
      </c>
      <c r="L153" s="17">
        <f>'SUM HH WITH'!$L$374+'SUM HH WITHOUT'!$L$233</f>
        <v>0</v>
      </c>
      <c r="M153" s="927">
        <f t="shared" si="219"/>
        <v>0</v>
      </c>
      <c r="N153" s="91">
        <f t="shared" ref="N153:N162" si="228">IF(M$163=0,0,M153/M$163)</f>
        <v>0</v>
      </c>
      <c r="O153" s="17">
        <f>'SUM HH WITH'!$O$374+'SUM HH WITHOUT'!$O$233</f>
        <v>0</v>
      </c>
      <c r="P153" s="17">
        <f>'SUM HH WITH'!$P$374+'SUM HH WITHOUT'!$P$233</f>
        <v>0</v>
      </c>
      <c r="Q153" s="927">
        <f t="shared" si="220"/>
        <v>0</v>
      </c>
      <c r="R153" s="91">
        <f t="shared" ref="R153:R162" si="229">IF(Q$163=0,0,Q153/Q$163)</f>
        <v>0</v>
      </c>
      <c r="S153" s="17">
        <f>'SUM HH WITH'!$S$374+'SUM HH WITHOUT'!$S$233</f>
        <v>1</v>
      </c>
      <c r="T153" s="17">
        <f>'SUM HH WITH'!$T$374+'SUM HH WITHOUT'!$T$233</f>
        <v>14</v>
      </c>
      <c r="U153" s="927">
        <f t="shared" si="221"/>
        <v>15</v>
      </c>
      <c r="V153" s="91">
        <f t="shared" ref="V153:V162" si="230">IF(U$163=0,0,U153/U$163)</f>
        <v>0.65217391304347827</v>
      </c>
      <c r="W153" s="17">
        <f>'SUM HH WITH'!$W$374+'SUM HH WITHOUT'!$W$233</f>
        <v>5</v>
      </c>
      <c r="X153" s="17">
        <f>'SUM HH WITH'!$X$374+'SUM HH WITHOUT'!$X$233</f>
        <v>14</v>
      </c>
      <c r="Y153" s="927">
        <f t="shared" si="222"/>
        <v>19</v>
      </c>
      <c r="Z153" s="91">
        <f t="shared" ref="Z153:Z162" si="231">IF(Y$163=0,0,Y153/Y$163)</f>
        <v>0.42222222222222222</v>
      </c>
      <c r="AA153" s="17">
        <f>'SUM HH WITH'!$AA$374+'SUM HH WITHOUT'!$AA$233</f>
        <v>0</v>
      </c>
      <c r="AB153" s="17">
        <f>'SUM HH WITH'!$AB$374+'SUM HH WITHOUT'!$AB$233</f>
        <v>0</v>
      </c>
      <c r="AC153" s="927">
        <f t="shared" si="223"/>
        <v>0</v>
      </c>
      <c r="AD153" s="91">
        <f t="shared" ref="AD153:AD162" si="232">IF(AC$163=0,0,AC153/AC$163)</f>
        <v>0</v>
      </c>
      <c r="AE153" s="17">
        <f>'SUM HH WITH'!$AE$374+'SUM HH WITHOUT'!$AE$233</f>
        <v>0</v>
      </c>
      <c r="AF153" s="17">
        <f>'SUM HH WITH'!$AF$374+'SUM HH WITHOUT'!$AF$233</f>
        <v>0</v>
      </c>
      <c r="AG153" s="927">
        <f t="shared" si="224"/>
        <v>0</v>
      </c>
      <c r="AH153" s="373">
        <f t="shared" ref="AH153:AH162" si="233">IF(AG$163=0,0,AG153/AG$163)</f>
        <v>0</v>
      </c>
      <c r="AI153" s="391">
        <f t="shared" si="225"/>
        <v>7</v>
      </c>
      <c r="AJ153" s="17">
        <f t="shared" si="225"/>
        <v>32</v>
      </c>
      <c r="AK153" s="927">
        <f t="shared" si="226"/>
        <v>39</v>
      </c>
      <c r="AL153" s="91">
        <f t="shared" ref="AL153:AL162" si="234">IF(AK$163=0,0,AK153/AK$163)</f>
        <v>0.2</v>
      </c>
    </row>
    <row r="154" spans="1:40" ht="16.5" customHeight="1" x14ac:dyDescent="0.25">
      <c r="A154" s="40"/>
      <c r="B154" s="40"/>
      <c r="C154" s="473" t="s">
        <v>489</v>
      </c>
      <c r="D154" s="484" t="s">
        <v>300</v>
      </c>
      <c r="E154" s="75"/>
      <c r="F154" s="106"/>
      <c r="G154" s="17">
        <f>'SUM HH WITH'!$G$375+'SUM HH WITHOUT'!$G$234</f>
        <v>0</v>
      </c>
      <c r="H154" s="17">
        <f>'SUM HH WITH'!$H$375+'SUM HH WITHOUT'!$H$234</f>
        <v>1</v>
      </c>
      <c r="I154" s="927">
        <f t="shared" si="218"/>
        <v>1</v>
      </c>
      <c r="J154" s="91">
        <f t="shared" si="227"/>
        <v>4.1666666666666664E-2</v>
      </c>
      <c r="K154" s="17">
        <f>'SUM HH WITH'!$K$375+'SUM HH WITHOUT'!$K$234</f>
        <v>3</v>
      </c>
      <c r="L154" s="17">
        <f>'SUM HH WITH'!$L$375+'SUM HH WITHOUT'!$L$234</f>
        <v>2</v>
      </c>
      <c r="M154" s="927">
        <f t="shared" si="219"/>
        <v>5</v>
      </c>
      <c r="N154" s="91">
        <f t="shared" si="228"/>
        <v>0.14285714285714285</v>
      </c>
      <c r="O154" s="17">
        <f>'SUM HH WITH'!$O$375+'SUM HH WITHOUT'!$O$234</f>
        <v>0</v>
      </c>
      <c r="P154" s="17">
        <f>'SUM HH WITH'!$P$375+'SUM HH WITHOUT'!$P$234</f>
        <v>0</v>
      </c>
      <c r="Q154" s="927">
        <f t="shared" si="220"/>
        <v>0</v>
      </c>
      <c r="R154" s="91">
        <f t="shared" si="229"/>
        <v>0</v>
      </c>
      <c r="S154" s="17">
        <f>'SUM HH WITH'!$S$375+'SUM HH WITHOUT'!$S$234</f>
        <v>0</v>
      </c>
      <c r="T154" s="17">
        <f>'SUM HH WITH'!$T$375+'SUM HH WITHOUT'!$T$234</f>
        <v>0</v>
      </c>
      <c r="U154" s="927">
        <f t="shared" si="221"/>
        <v>0</v>
      </c>
      <c r="V154" s="91">
        <f t="shared" si="230"/>
        <v>0</v>
      </c>
      <c r="W154" s="17">
        <f>'SUM HH WITH'!$W$375+'SUM HH WITHOUT'!$W$234</f>
        <v>0</v>
      </c>
      <c r="X154" s="17">
        <f>'SUM HH WITH'!$X$375+'SUM HH WITHOUT'!$X$234</f>
        <v>1</v>
      </c>
      <c r="Y154" s="927">
        <f t="shared" si="222"/>
        <v>1</v>
      </c>
      <c r="Z154" s="91">
        <f t="shared" si="231"/>
        <v>2.2222222222222223E-2</v>
      </c>
      <c r="AA154" s="17">
        <f>'SUM HH WITH'!$AA$375+'SUM HH WITHOUT'!$AA$234</f>
        <v>0</v>
      </c>
      <c r="AB154" s="17">
        <f>'SUM HH WITH'!$AB$375+'SUM HH WITHOUT'!$AB$234</f>
        <v>1</v>
      </c>
      <c r="AC154" s="927">
        <f t="shared" si="223"/>
        <v>1</v>
      </c>
      <c r="AD154" s="91">
        <f t="shared" si="232"/>
        <v>2.2727272727272728E-2</v>
      </c>
      <c r="AE154" s="17">
        <f>'SUM HH WITH'!$AE$375+'SUM HH WITHOUT'!$AE$234</f>
        <v>0</v>
      </c>
      <c r="AF154" s="17">
        <f>'SUM HH WITH'!$AF$375+'SUM HH WITHOUT'!$AF$234</f>
        <v>0</v>
      </c>
      <c r="AG154" s="927">
        <f t="shared" si="224"/>
        <v>0</v>
      </c>
      <c r="AH154" s="373">
        <f t="shared" si="233"/>
        <v>0</v>
      </c>
      <c r="AI154" s="391">
        <f t="shared" si="225"/>
        <v>3</v>
      </c>
      <c r="AJ154" s="17">
        <f t="shared" si="225"/>
        <v>5</v>
      </c>
      <c r="AK154" s="927">
        <f t="shared" si="226"/>
        <v>8</v>
      </c>
      <c r="AL154" s="91">
        <f t="shared" si="234"/>
        <v>4.1025641025641026E-2</v>
      </c>
    </row>
    <row r="155" spans="1:40" s="117" customFormat="1" ht="16.5" customHeight="1" x14ac:dyDescent="0.25">
      <c r="A155" s="119"/>
      <c r="B155" s="40"/>
      <c r="C155" s="473" t="s">
        <v>621</v>
      </c>
      <c r="D155" s="484" t="s">
        <v>670</v>
      </c>
      <c r="E155" s="75"/>
      <c r="F155" s="106"/>
      <c r="G155" s="17">
        <f>'SUM HH WITH'!$G$376+'SUM HH WITHOUT'!$G$235</f>
        <v>0</v>
      </c>
      <c r="H155" s="17">
        <f>'SUM HH WITH'!$H$376+'SUM HH WITHOUT'!$H$235</f>
        <v>0</v>
      </c>
      <c r="I155" s="927">
        <f t="shared" si="218"/>
        <v>0</v>
      </c>
      <c r="J155" s="91">
        <f t="shared" si="227"/>
        <v>0</v>
      </c>
      <c r="K155" s="17">
        <f>'SUM HH WITH'!$K$376+'SUM HH WITHOUT'!$K$235</f>
        <v>2</v>
      </c>
      <c r="L155" s="17">
        <f>'SUM HH WITH'!$L$376+'SUM HH WITHOUT'!$L$235</f>
        <v>3</v>
      </c>
      <c r="M155" s="927">
        <f t="shared" si="219"/>
        <v>5</v>
      </c>
      <c r="N155" s="91">
        <f t="shared" si="228"/>
        <v>0.14285714285714285</v>
      </c>
      <c r="O155" s="17">
        <f>'SUM HH WITH'!$O$376+'SUM HH WITHOUT'!$O$235</f>
        <v>0</v>
      </c>
      <c r="P155" s="17">
        <f>'SUM HH WITH'!$P$376+'SUM HH WITHOUT'!$P$235</f>
        <v>5</v>
      </c>
      <c r="Q155" s="927">
        <f t="shared" si="220"/>
        <v>5</v>
      </c>
      <c r="R155" s="91">
        <f t="shared" si="229"/>
        <v>0.20833333333333334</v>
      </c>
      <c r="S155" s="17">
        <f>'SUM HH WITH'!$S$376+'SUM HH WITHOUT'!$S$235</f>
        <v>0</v>
      </c>
      <c r="T155" s="17">
        <f>'SUM HH WITH'!$T$376+'SUM HH WITHOUT'!$T$235</f>
        <v>0</v>
      </c>
      <c r="U155" s="927">
        <f t="shared" si="221"/>
        <v>0</v>
      </c>
      <c r="V155" s="91">
        <f t="shared" si="230"/>
        <v>0</v>
      </c>
      <c r="W155" s="17">
        <f>'SUM HH WITH'!$W$376+'SUM HH WITHOUT'!$W$235</f>
        <v>0</v>
      </c>
      <c r="X155" s="17">
        <f>'SUM HH WITH'!$X$376+'SUM HH WITHOUT'!$X$235</f>
        <v>0</v>
      </c>
      <c r="Y155" s="927">
        <f t="shared" si="222"/>
        <v>0</v>
      </c>
      <c r="Z155" s="91">
        <f t="shared" si="231"/>
        <v>0</v>
      </c>
      <c r="AA155" s="17">
        <f>'SUM HH WITH'!$AA$376+'SUM HH WITHOUT'!$AA$235</f>
        <v>3</v>
      </c>
      <c r="AB155" s="17">
        <f>'SUM HH WITH'!$AB$376+'SUM HH WITHOUT'!$AB$235</f>
        <v>6</v>
      </c>
      <c r="AC155" s="927">
        <f t="shared" si="223"/>
        <v>9</v>
      </c>
      <c r="AD155" s="91">
        <f t="shared" si="232"/>
        <v>0.20454545454545456</v>
      </c>
      <c r="AE155" s="17">
        <f>'SUM HH WITH'!$AE$376+'SUM HH WITHOUT'!$AE$235</f>
        <v>0</v>
      </c>
      <c r="AF155" s="17">
        <f>'SUM HH WITH'!$AF$376+'SUM HH WITHOUT'!$AF$235</f>
        <v>0</v>
      </c>
      <c r="AG155" s="927">
        <f t="shared" si="224"/>
        <v>0</v>
      </c>
      <c r="AH155" s="373">
        <f t="shared" si="233"/>
        <v>0</v>
      </c>
      <c r="AI155" s="391">
        <f t="shared" si="225"/>
        <v>5</v>
      </c>
      <c r="AJ155" s="17">
        <f t="shared" si="225"/>
        <v>14</v>
      </c>
      <c r="AK155" s="927">
        <f t="shared" si="226"/>
        <v>19</v>
      </c>
      <c r="AL155" s="91">
        <f t="shared" si="234"/>
        <v>9.7435897435897437E-2</v>
      </c>
    </row>
    <row r="156" spans="1:40" ht="16.5" customHeight="1" x14ac:dyDescent="0.25">
      <c r="A156" s="40"/>
      <c r="B156" s="40"/>
      <c r="C156" s="473" t="s">
        <v>622</v>
      </c>
      <c r="D156" s="484" t="s">
        <v>671</v>
      </c>
      <c r="E156" s="75"/>
      <c r="F156" s="106"/>
      <c r="G156" s="17">
        <f>'SUM HH WITH'!$G$377+'SUM HH WITHOUT'!$G$236</f>
        <v>0</v>
      </c>
      <c r="H156" s="17">
        <f>'SUM HH WITH'!$H$377+'SUM HH WITHOUT'!$H$236</f>
        <v>0</v>
      </c>
      <c r="I156" s="927">
        <f t="shared" si="218"/>
        <v>0</v>
      </c>
      <c r="J156" s="91">
        <f t="shared" si="227"/>
        <v>0</v>
      </c>
      <c r="K156" s="17">
        <f>'SUM HH WITH'!$K$377+'SUM HH WITHOUT'!$K$236</f>
        <v>0</v>
      </c>
      <c r="L156" s="17">
        <f>'SUM HH WITH'!$L$377+'SUM HH WITHOUT'!$L$236</f>
        <v>0</v>
      </c>
      <c r="M156" s="927">
        <f t="shared" si="219"/>
        <v>0</v>
      </c>
      <c r="N156" s="91">
        <f t="shared" si="228"/>
        <v>0</v>
      </c>
      <c r="O156" s="17">
        <f>'SUM HH WITH'!$O$377+'SUM HH WITHOUT'!$O$236</f>
        <v>0</v>
      </c>
      <c r="P156" s="17">
        <f>'SUM HH WITH'!$P$377+'SUM HH WITHOUT'!$P$236</f>
        <v>0</v>
      </c>
      <c r="Q156" s="927">
        <f t="shared" si="220"/>
        <v>0</v>
      </c>
      <c r="R156" s="91">
        <f t="shared" si="229"/>
        <v>0</v>
      </c>
      <c r="S156" s="17">
        <f>'SUM HH WITH'!$S$377+'SUM HH WITHOUT'!$S$236</f>
        <v>0</v>
      </c>
      <c r="T156" s="17">
        <f>'SUM HH WITH'!$T$377+'SUM HH WITHOUT'!$T$236</f>
        <v>0</v>
      </c>
      <c r="U156" s="927">
        <f t="shared" si="221"/>
        <v>0</v>
      </c>
      <c r="V156" s="91">
        <f t="shared" si="230"/>
        <v>0</v>
      </c>
      <c r="W156" s="17">
        <f>'SUM HH WITH'!$W$377+'SUM HH WITHOUT'!$W$236</f>
        <v>0</v>
      </c>
      <c r="X156" s="17">
        <f>'SUM HH WITH'!$X$377+'SUM HH WITHOUT'!$X$236</f>
        <v>0</v>
      </c>
      <c r="Y156" s="927">
        <f t="shared" si="222"/>
        <v>0</v>
      </c>
      <c r="Z156" s="91">
        <f t="shared" si="231"/>
        <v>0</v>
      </c>
      <c r="AA156" s="17">
        <f>'SUM HH WITH'!$AA$377+'SUM HH WITHOUT'!$AA$236</f>
        <v>0</v>
      </c>
      <c r="AB156" s="17">
        <f>'SUM HH WITH'!$AB$377+'SUM HH WITHOUT'!$AB$236</f>
        <v>0</v>
      </c>
      <c r="AC156" s="927">
        <f t="shared" si="223"/>
        <v>0</v>
      </c>
      <c r="AD156" s="91">
        <f t="shared" si="232"/>
        <v>0</v>
      </c>
      <c r="AE156" s="17">
        <f>'SUM HH WITH'!$AE$377+'SUM HH WITHOUT'!$AE$236</f>
        <v>0</v>
      </c>
      <c r="AF156" s="17">
        <f>'SUM HH WITH'!$AF$377+'SUM HH WITHOUT'!$AF$236</f>
        <v>0</v>
      </c>
      <c r="AG156" s="927">
        <f t="shared" si="224"/>
        <v>0</v>
      </c>
      <c r="AH156" s="373">
        <f t="shared" si="233"/>
        <v>0</v>
      </c>
      <c r="AI156" s="391">
        <f t="shared" si="225"/>
        <v>0</v>
      </c>
      <c r="AJ156" s="17">
        <f t="shared" si="225"/>
        <v>0</v>
      </c>
      <c r="AK156" s="927">
        <f t="shared" si="226"/>
        <v>0</v>
      </c>
      <c r="AL156" s="91">
        <f t="shared" si="234"/>
        <v>0</v>
      </c>
    </row>
    <row r="157" spans="1:40" s="117" customFormat="1" ht="16.5" customHeight="1" x14ac:dyDescent="0.25">
      <c r="A157" s="119"/>
      <c r="B157" s="40"/>
      <c r="C157" s="473" t="s">
        <v>623</v>
      </c>
      <c r="D157" s="484" t="s">
        <v>302</v>
      </c>
      <c r="E157" s="75"/>
      <c r="F157" s="106"/>
      <c r="G157" s="17">
        <f>'SUM HH WITH'!$G$378+'SUM HH WITHOUT'!$G$237</f>
        <v>2</v>
      </c>
      <c r="H157" s="17">
        <f>'SUM HH WITH'!$H$378+'SUM HH WITHOUT'!$H$237</f>
        <v>3</v>
      </c>
      <c r="I157" s="927">
        <f t="shared" si="218"/>
        <v>5</v>
      </c>
      <c r="J157" s="91">
        <f t="shared" si="227"/>
        <v>0.20833333333333334</v>
      </c>
      <c r="K157" s="17">
        <f>'SUM HH WITH'!$K$378+'SUM HH WITHOUT'!$K$237</f>
        <v>0</v>
      </c>
      <c r="L157" s="17">
        <f>'SUM HH WITH'!$L$378+'SUM HH WITHOUT'!$L$237</f>
        <v>0</v>
      </c>
      <c r="M157" s="927">
        <f t="shared" si="219"/>
        <v>0</v>
      </c>
      <c r="N157" s="91">
        <f t="shared" si="228"/>
        <v>0</v>
      </c>
      <c r="O157" s="17">
        <f>'SUM HH WITH'!$O$378+'SUM HH WITHOUT'!$O$237</f>
        <v>3</v>
      </c>
      <c r="P157" s="17">
        <f>'SUM HH WITH'!$P$378+'SUM HH WITHOUT'!$P$237</f>
        <v>5</v>
      </c>
      <c r="Q157" s="927">
        <f t="shared" si="220"/>
        <v>8</v>
      </c>
      <c r="R157" s="91">
        <f t="shared" si="229"/>
        <v>0.33333333333333331</v>
      </c>
      <c r="S157" s="17">
        <f>'SUM HH WITH'!$S$378+'SUM HH WITHOUT'!$S$237</f>
        <v>0</v>
      </c>
      <c r="T157" s="17">
        <f>'SUM HH WITH'!$T$378+'SUM HH WITHOUT'!$T$237</f>
        <v>8</v>
      </c>
      <c r="U157" s="927">
        <f t="shared" si="221"/>
        <v>8</v>
      </c>
      <c r="V157" s="91">
        <f t="shared" si="230"/>
        <v>0.34782608695652173</v>
      </c>
      <c r="W157" s="17">
        <f>'SUM HH WITH'!$W$378+'SUM HH WITHOUT'!$W$237</f>
        <v>0</v>
      </c>
      <c r="X157" s="17">
        <f>'SUM HH WITH'!$X$378+'SUM HH WITHOUT'!$X$237</f>
        <v>0</v>
      </c>
      <c r="Y157" s="927">
        <f t="shared" si="222"/>
        <v>0</v>
      </c>
      <c r="Z157" s="91">
        <f t="shared" si="231"/>
        <v>0</v>
      </c>
      <c r="AA157" s="17">
        <f>'SUM HH WITH'!$AA$378+'SUM HH WITHOUT'!$AA$237</f>
        <v>1</v>
      </c>
      <c r="AB157" s="17">
        <f>'SUM HH WITH'!$AB$378+'SUM HH WITHOUT'!$AB$237</f>
        <v>13</v>
      </c>
      <c r="AC157" s="927">
        <f t="shared" si="223"/>
        <v>14</v>
      </c>
      <c r="AD157" s="91">
        <f t="shared" si="232"/>
        <v>0.31818181818181818</v>
      </c>
      <c r="AE157" s="17">
        <f>'SUM HH WITH'!$AE$378+'SUM HH WITHOUT'!$AE$237</f>
        <v>0</v>
      </c>
      <c r="AF157" s="17">
        <f>'SUM HH WITH'!$AF$378+'SUM HH WITHOUT'!$AF$237</f>
        <v>0</v>
      </c>
      <c r="AG157" s="927">
        <f t="shared" si="224"/>
        <v>0</v>
      </c>
      <c r="AH157" s="373">
        <f t="shared" si="233"/>
        <v>0</v>
      </c>
      <c r="AI157" s="391">
        <f t="shared" si="225"/>
        <v>6</v>
      </c>
      <c r="AJ157" s="17">
        <f t="shared" si="225"/>
        <v>29</v>
      </c>
      <c r="AK157" s="927">
        <f t="shared" si="226"/>
        <v>35</v>
      </c>
      <c r="AL157" s="91">
        <f t="shared" si="234"/>
        <v>0.17948717948717949</v>
      </c>
      <c r="AN157" s="3"/>
    </row>
    <row r="158" spans="1:40" ht="16.5" customHeight="1" x14ac:dyDescent="0.25">
      <c r="A158" s="40"/>
      <c r="B158" s="40"/>
      <c r="C158" s="473" t="s">
        <v>624</v>
      </c>
      <c r="D158" s="484" t="s">
        <v>487</v>
      </c>
      <c r="E158" s="105"/>
      <c r="F158" s="106"/>
      <c r="G158" s="17">
        <f>'SUM HH WITH'!$G$379+'SUM HH WITHOUT'!$G$238</f>
        <v>1</v>
      </c>
      <c r="H158" s="17">
        <f>'SUM HH WITH'!$H$379+'SUM HH WITHOUT'!$H$238</f>
        <v>3</v>
      </c>
      <c r="I158" s="927">
        <f t="shared" si="218"/>
        <v>4</v>
      </c>
      <c r="J158" s="91">
        <f t="shared" si="227"/>
        <v>0.16666666666666666</v>
      </c>
      <c r="K158" s="17">
        <f>'SUM HH WITH'!$K$379+'SUM HH WITHOUT'!$K$238</f>
        <v>0</v>
      </c>
      <c r="L158" s="17">
        <f>'SUM HH WITH'!$L$379+'SUM HH WITHOUT'!$L$238</f>
        <v>7</v>
      </c>
      <c r="M158" s="927">
        <f t="shared" si="219"/>
        <v>7</v>
      </c>
      <c r="N158" s="91">
        <f t="shared" si="228"/>
        <v>0.2</v>
      </c>
      <c r="O158" s="17">
        <f>'SUM HH WITH'!$O$379+'SUM HH WITHOUT'!$O$238</f>
        <v>2</v>
      </c>
      <c r="P158" s="17">
        <f>'SUM HH WITH'!$P$379+'SUM HH WITHOUT'!$P$238</f>
        <v>9</v>
      </c>
      <c r="Q158" s="927">
        <f t="shared" si="220"/>
        <v>11</v>
      </c>
      <c r="R158" s="91">
        <f t="shared" si="229"/>
        <v>0.45833333333333331</v>
      </c>
      <c r="S158" s="17">
        <f>'SUM HH WITH'!$S$379+'SUM HH WITHOUT'!$S$238</f>
        <v>0</v>
      </c>
      <c r="T158" s="17">
        <f>'SUM HH WITH'!$T$379+'SUM HH WITHOUT'!$T$238</f>
        <v>0</v>
      </c>
      <c r="U158" s="927">
        <f t="shared" si="221"/>
        <v>0</v>
      </c>
      <c r="V158" s="91">
        <f t="shared" si="230"/>
        <v>0</v>
      </c>
      <c r="W158" s="17">
        <f>'SUM HH WITH'!$W$379+'SUM HH WITHOUT'!$W$238</f>
        <v>8</v>
      </c>
      <c r="X158" s="17">
        <f>'SUM HH WITH'!$X$379+'SUM HH WITHOUT'!$X$238</f>
        <v>6</v>
      </c>
      <c r="Y158" s="927">
        <f t="shared" si="222"/>
        <v>14</v>
      </c>
      <c r="Z158" s="91">
        <f t="shared" si="231"/>
        <v>0.31111111111111112</v>
      </c>
      <c r="AA158" s="17">
        <f>'SUM HH WITH'!$AA$379+'SUM HH WITHOUT'!$AA$238</f>
        <v>0</v>
      </c>
      <c r="AB158" s="17">
        <f>'SUM HH WITH'!$AB$379+'SUM HH WITHOUT'!$AB$238</f>
        <v>1</v>
      </c>
      <c r="AC158" s="927">
        <f t="shared" si="223"/>
        <v>1</v>
      </c>
      <c r="AD158" s="91">
        <f t="shared" si="232"/>
        <v>2.2727272727272728E-2</v>
      </c>
      <c r="AE158" s="17">
        <f>'SUM HH WITH'!$AE$379+'SUM HH WITHOUT'!$AE$238</f>
        <v>0</v>
      </c>
      <c r="AF158" s="17">
        <f>'SUM HH WITH'!$AF$379+'SUM HH WITHOUT'!$AF$238</f>
        <v>0</v>
      </c>
      <c r="AG158" s="927">
        <f t="shared" si="224"/>
        <v>0</v>
      </c>
      <c r="AH158" s="373">
        <f t="shared" si="233"/>
        <v>0</v>
      </c>
      <c r="AI158" s="391">
        <f t="shared" si="225"/>
        <v>11</v>
      </c>
      <c r="AJ158" s="17">
        <f t="shared" si="225"/>
        <v>26</v>
      </c>
      <c r="AK158" s="927">
        <f t="shared" si="226"/>
        <v>37</v>
      </c>
      <c r="AL158" s="91">
        <f t="shared" si="234"/>
        <v>0.18974358974358974</v>
      </c>
    </row>
    <row r="159" spans="1:40" ht="16.5" customHeight="1" x14ac:dyDescent="0.25">
      <c r="A159" s="40"/>
      <c r="B159" s="40"/>
      <c r="C159" s="473" t="s">
        <v>625</v>
      </c>
      <c r="D159" s="484" t="s">
        <v>488</v>
      </c>
      <c r="E159" s="75"/>
      <c r="F159" s="106"/>
      <c r="G159" s="17">
        <f>'SUM HH WITH'!$G$380+'SUM HH WITHOUT'!$G$239</f>
        <v>0</v>
      </c>
      <c r="H159" s="17">
        <f>'SUM HH WITH'!$H$380+'SUM HH WITHOUT'!$H$239</f>
        <v>0</v>
      </c>
      <c r="I159" s="927">
        <f t="shared" si="218"/>
        <v>0</v>
      </c>
      <c r="J159" s="91">
        <f t="shared" si="227"/>
        <v>0</v>
      </c>
      <c r="K159" s="17">
        <f>'SUM HH WITH'!$K$380+'SUM HH WITHOUT'!$K$239</f>
        <v>0</v>
      </c>
      <c r="L159" s="17">
        <f>'SUM HH WITH'!$L$380+'SUM HH WITHOUT'!$L$239</f>
        <v>0</v>
      </c>
      <c r="M159" s="927">
        <f t="shared" si="219"/>
        <v>0</v>
      </c>
      <c r="N159" s="91">
        <f t="shared" si="228"/>
        <v>0</v>
      </c>
      <c r="O159" s="17">
        <f>'SUM HH WITH'!$O$380+'SUM HH WITHOUT'!$O$239</f>
        <v>0</v>
      </c>
      <c r="P159" s="17">
        <f>'SUM HH WITH'!$P$380+'SUM HH WITHOUT'!$P$239</f>
        <v>0</v>
      </c>
      <c r="Q159" s="927">
        <f t="shared" si="220"/>
        <v>0</v>
      </c>
      <c r="R159" s="91">
        <f t="shared" si="229"/>
        <v>0</v>
      </c>
      <c r="S159" s="17">
        <f>'SUM HH WITH'!$S$380+'SUM HH WITHOUT'!$S$239</f>
        <v>0</v>
      </c>
      <c r="T159" s="17">
        <f>'SUM HH WITH'!$T$380+'SUM HH WITHOUT'!$T$239</f>
        <v>0</v>
      </c>
      <c r="U159" s="927">
        <f t="shared" si="221"/>
        <v>0</v>
      </c>
      <c r="V159" s="91">
        <f t="shared" si="230"/>
        <v>0</v>
      </c>
      <c r="W159" s="17">
        <f>'SUM HH WITH'!$W$380+'SUM HH WITHOUT'!$W$239</f>
        <v>0</v>
      </c>
      <c r="X159" s="17">
        <f>'SUM HH WITH'!$X$380+'SUM HH WITHOUT'!$X$239</f>
        <v>0</v>
      </c>
      <c r="Y159" s="927">
        <f t="shared" si="222"/>
        <v>0</v>
      </c>
      <c r="Z159" s="91">
        <f t="shared" si="231"/>
        <v>0</v>
      </c>
      <c r="AA159" s="17">
        <f>'SUM HH WITH'!$AA$380+'SUM HH WITHOUT'!$AA$239</f>
        <v>0</v>
      </c>
      <c r="AB159" s="17">
        <f>'SUM HH WITH'!$AB$380+'SUM HH WITHOUT'!$AB$239</f>
        <v>0</v>
      </c>
      <c r="AC159" s="927">
        <f t="shared" si="223"/>
        <v>0</v>
      </c>
      <c r="AD159" s="91">
        <f t="shared" si="232"/>
        <v>0</v>
      </c>
      <c r="AE159" s="17">
        <f>'SUM HH WITH'!$AE$380+'SUM HH WITHOUT'!$AE$239</f>
        <v>0</v>
      </c>
      <c r="AF159" s="17">
        <f>'SUM HH WITH'!$AF$380+'SUM HH WITHOUT'!$AF$239</f>
        <v>0</v>
      </c>
      <c r="AG159" s="927">
        <f t="shared" si="224"/>
        <v>0</v>
      </c>
      <c r="AH159" s="373">
        <f t="shared" si="233"/>
        <v>0</v>
      </c>
      <c r="AI159" s="391">
        <f t="shared" si="225"/>
        <v>0</v>
      </c>
      <c r="AJ159" s="17">
        <f t="shared" si="225"/>
        <v>0</v>
      </c>
      <c r="AK159" s="927">
        <f t="shared" si="226"/>
        <v>0</v>
      </c>
      <c r="AL159" s="91">
        <f t="shared" si="234"/>
        <v>0</v>
      </c>
    </row>
    <row r="160" spans="1:40" ht="16.5" customHeight="1" x14ac:dyDescent="0.25">
      <c r="A160" s="40"/>
      <c r="B160" s="40"/>
      <c r="C160" s="473" t="s">
        <v>668</v>
      </c>
      <c r="D160" s="484" t="s">
        <v>304</v>
      </c>
      <c r="E160" s="75"/>
      <c r="F160" s="106"/>
      <c r="G160" s="17">
        <f>'SUM HH WITH'!$G$381+'SUM HH WITHOUT'!$G$240</f>
        <v>0</v>
      </c>
      <c r="H160" s="17">
        <f>'SUM HH WITH'!$H$381+'SUM HH WITHOUT'!$H$240</f>
        <v>0</v>
      </c>
      <c r="I160" s="927">
        <f t="shared" si="218"/>
        <v>0</v>
      </c>
      <c r="J160" s="91">
        <f t="shared" si="227"/>
        <v>0</v>
      </c>
      <c r="K160" s="17">
        <f>'SUM HH WITH'!$K$381+'SUM HH WITHOUT'!$K$240</f>
        <v>0</v>
      </c>
      <c r="L160" s="17">
        <f>'SUM HH WITH'!$L$381+'SUM HH WITHOUT'!$L$240</f>
        <v>0</v>
      </c>
      <c r="M160" s="927">
        <f t="shared" si="219"/>
        <v>0</v>
      </c>
      <c r="N160" s="91">
        <f t="shared" si="228"/>
        <v>0</v>
      </c>
      <c r="O160" s="17">
        <f>'SUM HH WITH'!$O$381+'SUM HH WITHOUT'!$O$240</f>
        <v>0</v>
      </c>
      <c r="P160" s="17">
        <f>'SUM HH WITH'!$P$381+'SUM HH WITHOUT'!$P$240</f>
        <v>0</v>
      </c>
      <c r="Q160" s="927">
        <f t="shared" si="220"/>
        <v>0</v>
      </c>
      <c r="R160" s="91">
        <f t="shared" si="229"/>
        <v>0</v>
      </c>
      <c r="S160" s="17">
        <f>'SUM HH WITH'!$S$381+'SUM HH WITHOUT'!$S$240</f>
        <v>0</v>
      </c>
      <c r="T160" s="17">
        <f>'SUM HH WITH'!$T$381+'SUM HH WITHOUT'!$T$240</f>
        <v>0</v>
      </c>
      <c r="U160" s="927">
        <f t="shared" si="221"/>
        <v>0</v>
      </c>
      <c r="V160" s="91">
        <f t="shared" si="230"/>
        <v>0</v>
      </c>
      <c r="W160" s="17">
        <f>'SUM HH WITH'!$W$381+'SUM HH WITHOUT'!$W$240</f>
        <v>0</v>
      </c>
      <c r="X160" s="17">
        <f>'SUM HH WITH'!$X$381+'SUM HH WITHOUT'!$X$240</f>
        <v>0</v>
      </c>
      <c r="Y160" s="927">
        <f t="shared" si="222"/>
        <v>0</v>
      </c>
      <c r="Z160" s="91">
        <f t="shared" si="231"/>
        <v>0</v>
      </c>
      <c r="AA160" s="17">
        <f>'SUM HH WITH'!$AA$381+'SUM HH WITHOUT'!$AA$240</f>
        <v>0</v>
      </c>
      <c r="AB160" s="17">
        <f>'SUM HH WITH'!$AB$381+'SUM HH WITHOUT'!$AB$240</f>
        <v>0</v>
      </c>
      <c r="AC160" s="927">
        <f t="shared" si="223"/>
        <v>0</v>
      </c>
      <c r="AD160" s="91">
        <f t="shared" si="232"/>
        <v>0</v>
      </c>
      <c r="AE160" s="17">
        <f>'SUM HH WITH'!$AE$381+'SUM HH WITHOUT'!$AE$240</f>
        <v>0</v>
      </c>
      <c r="AF160" s="17">
        <f>'SUM HH WITH'!$AF$381+'SUM HH WITHOUT'!$AF$240</f>
        <v>0</v>
      </c>
      <c r="AG160" s="927">
        <f t="shared" si="224"/>
        <v>0</v>
      </c>
      <c r="AH160" s="373">
        <f t="shared" si="233"/>
        <v>0</v>
      </c>
      <c r="AI160" s="391">
        <f t="shared" si="225"/>
        <v>0</v>
      </c>
      <c r="AJ160" s="17">
        <f t="shared" si="225"/>
        <v>0</v>
      </c>
      <c r="AK160" s="927">
        <f t="shared" si="226"/>
        <v>0</v>
      </c>
      <c r="AL160" s="91">
        <f t="shared" si="234"/>
        <v>0</v>
      </c>
    </row>
    <row r="161" spans="1:61" ht="16.5" customHeight="1" x14ac:dyDescent="0.25">
      <c r="A161" s="40"/>
      <c r="B161" s="40"/>
      <c r="C161" s="473" t="s">
        <v>669</v>
      </c>
      <c r="D161" s="484" t="s">
        <v>758</v>
      </c>
      <c r="E161" s="75"/>
      <c r="F161" s="106"/>
      <c r="G161" s="17">
        <f>'SUM HH WITH'!$G$382+'SUM HH WITHOUT'!$G$241</f>
        <v>6</v>
      </c>
      <c r="H161" s="17">
        <f>'SUM HH WITH'!$H$382+'SUM HH WITHOUT'!$H$241</f>
        <v>3</v>
      </c>
      <c r="I161" s="927">
        <f t="shared" si="218"/>
        <v>9</v>
      </c>
      <c r="J161" s="91">
        <f t="shared" si="227"/>
        <v>0.375</v>
      </c>
      <c r="K161" s="17">
        <f>'SUM HH WITH'!$K$382+'SUM HH WITHOUT'!$K$241</f>
        <v>0</v>
      </c>
      <c r="L161" s="17">
        <f>'SUM HH WITH'!$L$382+'SUM HH WITHOUT'!$L$241</f>
        <v>0</v>
      </c>
      <c r="M161" s="927">
        <f t="shared" si="219"/>
        <v>0</v>
      </c>
      <c r="N161" s="91">
        <f t="shared" si="228"/>
        <v>0</v>
      </c>
      <c r="O161" s="17">
        <f>'SUM HH WITH'!$O$382+'SUM HH WITHOUT'!$O$241</f>
        <v>0</v>
      </c>
      <c r="P161" s="17">
        <f>'SUM HH WITH'!$P$382+'SUM HH WITHOUT'!$P$241</f>
        <v>0</v>
      </c>
      <c r="Q161" s="927">
        <f t="shared" si="220"/>
        <v>0</v>
      </c>
      <c r="R161" s="91">
        <f t="shared" si="229"/>
        <v>0</v>
      </c>
      <c r="S161" s="17">
        <f>'SUM HH WITH'!$S$382+'SUM HH WITHOUT'!$S$241</f>
        <v>0</v>
      </c>
      <c r="T161" s="17">
        <f>'SUM HH WITH'!$T$382+'SUM HH WITHOUT'!$T$241</f>
        <v>0</v>
      </c>
      <c r="U161" s="927">
        <f t="shared" si="221"/>
        <v>0</v>
      </c>
      <c r="V161" s="91">
        <f t="shared" si="230"/>
        <v>0</v>
      </c>
      <c r="W161" s="17">
        <f>'SUM HH WITH'!$W$382+'SUM HH WITHOUT'!$W$241</f>
        <v>2</v>
      </c>
      <c r="X161" s="17">
        <f>'SUM HH WITH'!$X$382+'SUM HH WITHOUT'!$X$241</f>
        <v>6</v>
      </c>
      <c r="Y161" s="927">
        <f t="shared" si="222"/>
        <v>8</v>
      </c>
      <c r="Z161" s="91">
        <f t="shared" si="231"/>
        <v>0.17777777777777778</v>
      </c>
      <c r="AA161" s="17">
        <f>'SUM HH WITH'!$AA$382+'SUM HH WITHOUT'!$AA$241</f>
        <v>0</v>
      </c>
      <c r="AB161" s="17">
        <f>'SUM HH WITH'!$AB$382+'SUM HH WITHOUT'!$AB$241</f>
        <v>0</v>
      </c>
      <c r="AC161" s="927">
        <f t="shared" si="223"/>
        <v>0</v>
      </c>
      <c r="AD161" s="91">
        <f t="shared" si="232"/>
        <v>0</v>
      </c>
      <c r="AE161" s="17">
        <f>'SUM HH WITH'!$AE$382+'SUM HH WITHOUT'!$AE$241</f>
        <v>0</v>
      </c>
      <c r="AF161" s="17">
        <f>'SUM HH WITH'!$AF$382+'SUM HH WITHOUT'!$AF$241</f>
        <v>0</v>
      </c>
      <c r="AG161" s="927">
        <f t="shared" si="224"/>
        <v>0</v>
      </c>
      <c r="AH161" s="373">
        <f t="shared" si="233"/>
        <v>0</v>
      </c>
      <c r="AI161" s="391">
        <f t="shared" si="225"/>
        <v>8</v>
      </c>
      <c r="AJ161" s="17">
        <f t="shared" si="225"/>
        <v>9</v>
      </c>
      <c r="AK161" s="927">
        <f t="shared" si="226"/>
        <v>17</v>
      </c>
      <c r="AL161" s="91">
        <f t="shared" si="234"/>
        <v>8.7179487179487175E-2</v>
      </c>
    </row>
    <row r="162" spans="1:61" ht="16.5" customHeight="1" x14ac:dyDescent="0.25">
      <c r="A162" s="40"/>
      <c r="B162" s="40"/>
      <c r="C162" s="473" t="s">
        <v>756</v>
      </c>
      <c r="D162" s="484" t="s">
        <v>1011</v>
      </c>
      <c r="E162" s="75"/>
      <c r="F162" s="106"/>
      <c r="G162" s="17">
        <f>'SUM HH WITH'!$G$383+'SUM HH WITHOUT'!$G$242</f>
        <v>0</v>
      </c>
      <c r="H162" s="17">
        <f>'SUM HH WITH'!$H$383+'SUM HH WITHOUT'!$H$242</f>
        <v>0</v>
      </c>
      <c r="I162" s="927">
        <f t="shared" si="218"/>
        <v>0</v>
      </c>
      <c r="J162" s="91">
        <f t="shared" si="227"/>
        <v>0</v>
      </c>
      <c r="K162" s="17">
        <f>'SUM HH WITH'!$K$383+'SUM HH WITHOUT'!$K$242</f>
        <v>3</v>
      </c>
      <c r="L162" s="17">
        <f>'SUM HH WITH'!$L$383+'SUM HH WITHOUT'!$L$242</f>
        <v>5</v>
      </c>
      <c r="M162" s="927">
        <f t="shared" si="219"/>
        <v>8</v>
      </c>
      <c r="N162" s="91">
        <f t="shared" si="228"/>
        <v>0.22857142857142856</v>
      </c>
      <c r="O162" s="17">
        <f>'SUM HH WITH'!$O$383+'SUM HH WITHOUT'!$O$242</f>
        <v>0</v>
      </c>
      <c r="P162" s="17">
        <f>'SUM HH WITH'!$P$383+'SUM HH WITHOUT'!$P$242</f>
        <v>0</v>
      </c>
      <c r="Q162" s="927">
        <f t="shared" si="220"/>
        <v>0</v>
      </c>
      <c r="R162" s="91">
        <f t="shared" si="229"/>
        <v>0</v>
      </c>
      <c r="S162" s="17">
        <f>'SUM HH WITH'!$S$383+'SUM HH WITHOUT'!$S$242</f>
        <v>0</v>
      </c>
      <c r="T162" s="17">
        <f>'SUM HH WITH'!$T$383+'SUM HH WITHOUT'!$T$242</f>
        <v>0</v>
      </c>
      <c r="U162" s="927">
        <f t="shared" si="221"/>
        <v>0</v>
      </c>
      <c r="V162" s="91">
        <f t="shared" si="230"/>
        <v>0</v>
      </c>
      <c r="W162" s="17">
        <f>'SUM HH WITH'!$W$383+'SUM HH WITHOUT'!$W$242</f>
        <v>0</v>
      </c>
      <c r="X162" s="17">
        <f>'SUM HH WITH'!$X$383+'SUM HH WITHOUT'!$X$242</f>
        <v>0</v>
      </c>
      <c r="Y162" s="927">
        <f t="shared" si="222"/>
        <v>0</v>
      </c>
      <c r="Z162" s="91">
        <f t="shared" si="231"/>
        <v>0</v>
      </c>
      <c r="AA162" s="17">
        <f>'SUM HH WITH'!$AA$383+'SUM HH WITHOUT'!$AA$242</f>
        <v>6</v>
      </c>
      <c r="AB162" s="17">
        <f>'SUM HH WITH'!$AB$383+'SUM HH WITHOUT'!$AB$242</f>
        <v>8</v>
      </c>
      <c r="AC162" s="927">
        <f t="shared" si="223"/>
        <v>14</v>
      </c>
      <c r="AD162" s="91">
        <f t="shared" si="232"/>
        <v>0.31818181818181818</v>
      </c>
      <c r="AE162" s="17">
        <f>'SUM HH WITH'!$AE$383+'SUM HH WITHOUT'!$AE$242</f>
        <v>0</v>
      </c>
      <c r="AF162" s="17">
        <f>'SUM HH WITH'!$AF$383+'SUM HH WITHOUT'!$AF$242</f>
        <v>0</v>
      </c>
      <c r="AG162" s="927">
        <f t="shared" si="224"/>
        <v>0</v>
      </c>
      <c r="AH162" s="373">
        <f t="shared" si="233"/>
        <v>0</v>
      </c>
      <c r="AI162" s="391">
        <f t="shared" si="225"/>
        <v>9</v>
      </c>
      <c r="AJ162" s="17">
        <f t="shared" si="225"/>
        <v>13</v>
      </c>
      <c r="AK162" s="927">
        <f t="shared" si="226"/>
        <v>22</v>
      </c>
      <c r="AL162" s="91">
        <f t="shared" si="234"/>
        <v>0.11282051282051282</v>
      </c>
    </row>
    <row r="163" spans="1:61" ht="16.5" customHeight="1" x14ac:dyDescent="0.25">
      <c r="A163" s="40"/>
      <c r="B163" s="40"/>
      <c r="C163" s="119"/>
      <c r="D163" s="185"/>
      <c r="E163" s="184"/>
      <c r="F163" s="469"/>
      <c r="G163" s="82">
        <f>SUM(G152:G162)</f>
        <v>10</v>
      </c>
      <c r="H163" s="82">
        <f>SUM(H152:H162)</f>
        <v>14</v>
      </c>
      <c r="I163" s="82">
        <f t="shared" ref="I163" si="235">SUM(I152:I162)</f>
        <v>24</v>
      </c>
      <c r="J163" s="66">
        <f>IF(I$163=0,0,I163/I$163)</f>
        <v>1</v>
      </c>
      <c r="K163" s="82">
        <f t="shared" ref="K163:L163" si="236">SUM(K152:K162)</f>
        <v>15</v>
      </c>
      <c r="L163" s="82">
        <f t="shared" si="236"/>
        <v>20</v>
      </c>
      <c r="M163" s="82">
        <f t="shared" ref="M163" si="237">SUM(M152:M162)</f>
        <v>35</v>
      </c>
      <c r="N163" s="66">
        <f>IF(M$163=0,0,M163/M$163)</f>
        <v>1</v>
      </c>
      <c r="O163" s="82">
        <f t="shared" ref="O163" si="238">SUM(O152:O162)</f>
        <v>5</v>
      </c>
      <c r="P163" s="82">
        <f t="shared" ref="P163" si="239">SUM(P152:P162)</f>
        <v>19</v>
      </c>
      <c r="Q163" s="82">
        <f t="shared" ref="Q163" si="240">SUM(Q152:Q162)</f>
        <v>24</v>
      </c>
      <c r="R163" s="66">
        <f>IF(Q$163=0,0,Q163/Q$163)</f>
        <v>1</v>
      </c>
      <c r="S163" s="82">
        <f t="shared" ref="S163" si="241">SUM(S152:S162)</f>
        <v>1</v>
      </c>
      <c r="T163" s="82">
        <f t="shared" ref="T163" si="242">SUM(T152:T162)</f>
        <v>22</v>
      </c>
      <c r="U163" s="82">
        <f t="shared" ref="U163" si="243">SUM(U152:U162)</f>
        <v>23</v>
      </c>
      <c r="V163" s="66">
        <f>IF(U$163=0,0,U163/U$163)</f>
        <v>1</v>
      </c>
      <c r="W163" s="82">
        <f t="shared" ref="W163" si="244">SUM(W152:W162)</f>
        <v>16</v>
      </c>
      <c r="X163" s="82">
        <f t="shared" ref="X163" si="245">SUM(X152:X162)</f>
        <v>29</v>
      </c>
      <c r="Y163" s="82">
        <f t="shared" ref="Y163" si="246">SUM(Y152:Y162)</f>
        <v>45</v>
      </c>
      <c r="Z163" s="66">
        <f>IF(Y$163=0,0,Y163/Y$163)</f>
        <v>1</v>
      </c>
      <c r="AA163" s="82">
        <f t="shared" ref="AA163" si="247">SUM(AA152:AA162)</f>
        <v>11</v>
      </c>
      <c r="AB163" s="82">
        <f t="shared" ref="AB163" si="248">SUM(AB152:AB162)</f>
        <v>33</v>
      </c>
      <c r="AC163" s="82">
        <f t="shared" ref="AC163" si="249">SUM(AC152:AC162)</f>
        <v>44</v>
      </c>
      <c r="AD163" s="66">
        <f>IF(AC$163=0,0,AC163/AC$163)</f>
        <v>1</v>
      </c>
      <c r="AE163" s="82">
        <f t="shared" ref="AE163" si="250">SUM(AE152:AE162)</f>
        <v>0</v>
      </c>
      <c r="AF163" s="82">
        <f t="shared" ref="AF163" si="251">SUM(AF152:AF162)</f>
        <v>0</v>
      </c>
      <c r="AG163" s="82">
        <f t="shared" ref="AG163" si="252">SUM(AG152:AG162)</f>
        <v>0</v>
      </c>
      <c r="AH163" s="608">
        <f>IF(AG$163=0,0,AG163/AG$163)</f>
        <v>0</v>
      </c>
      <c r="AI163" s="381">
        <f>SUM(AI152:AI162)</f>
        <v>58</v>
      </c>
      <c r="AJ163" s="82">
        <f t="shared" ref="AJ163:AK163" si="253">SUM(AJ152:AJ162)</f>
        <v>137</v>
      </c>
      <c r="AK163" s="82">
        <f t="shared" si="253"/>
        <v>195</v>
      </c>
      <c r="AL163" s="66">
        <f>IF(AK$163=0,0,AK163/AK$163)</f>
        <v>1</v>
      </c>
    </row>
    <row r="164" spans="1:61" s="117" customFormat="1" ht="16.5" customHeight="1" x14ac:dyDescent="0.25">
      <c r="A164" s="119"/>
      <c r="B164" s="41" t="s">
        <v>310</v>
      </c>
      <c r="C164" s="42" t="s">
        <v>1821</v>
      </c>
      <c r="D164" s="70"/>
      <c r="E164" s="478"/>
      <c r="F164" s="478"/>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355"/>
      <c r="AI164" s="377"/>
      <c r="AJ164" s="71"/>
      <c r="AK164" s="71"/>
      <c r="AL164" s="71"/>
    </row>
    <row r="165" spans="1:61" s="117" customFormat="1" ht="16.5" customHeight="1" x14ac:dyDescent="0.25">
      <c r="A165" s="119"/>
      <c r="B165" s="119"/>
      <c r="C165" s="467" t="s">
        <v>311</v>
      </c>
      <c r="D165" s="498" t="s">
        <v>9</v>
      </c>
      <c r="E165" s="75"/>
      <c r="F165" s="106"/>
      <c r="G165" s="17">
        <f>'SUM HH WITH'!$G$386+'SUM HH WITHOUT'!$G$245</f>
        <v>9</v>
      </c>
      <c r="H165" s="17">
        <f>'SUM HH WITH'!$H$386+'SUM HH WITHOUT'!$H$245</f>
        <v>11</v>
      </c>
      <c r="I165" s="927">
        <f>SUM(G165:H165)</f>
        <v>20</v>
      </c>
      <c r="J165" s="91">
        <f>IF(I$168=0,0,I165/I$168)</f>
        <v>1</v>
      </c>
      <c r="K165" s="17">
        <f>'SUM HH WITH'!$K$386+'SUM HH WITHOUT'!$K$245</f>
        <v>13</v>
      </c>
      <c r="L165" s="17">
        <f>'SUM HH WITH'!$L$386+'SUM HH WITHOUT'!$L$245</f>
        <v>17</v>
      </c>
      <c r="M165" s="927">
        <f>SUM(K165:L165)</f>
        <v>30</v>
      </c>
      <c r="N165" s="91">
        <f>IF(M$168=0,0,M165/M$168)</f>
        <v>1</v>
      </c>
      <c r="O165" s="17">
        <f>'SUM HH WITH'!$O$386+'SUM HH WITHOUT'!$O$245</f>
        <v>4</v>
      </c>
      <c r="P165" s="17">
        <f>'SUM HH WITH'!$P$386+'SUM HH WITHOUT'!$P$245</f>
        <v>16</v>
      </c>
      <c r="Q165" s="927">
        <f>SUM(O165:P165)</f>
        <v>20</v>
      </c>
      <c r="R165" s="91">
        <f>IF(Q$168=0,0,Q165/Q$168)</f>
        <v>1</v>
      </c>
      <c r="S165" s="17">
        <f>'SUM HH WITH'!$S$386+'SUM HH WITHOUT'!$S$245</f>
        <v>1</v>
      </c>
      <c r="T165" s="17">
        <f>'SUM HH WITH'!$T$386+'SUM HH WITHOUT'!$T$245</f>
        <v>22</v>
      </c>
      <c r="U165" s="927">
        <f>SUM(S165:T165)</f>
        <v>23</v>
      </c>
      <c r="V165" s="91">
        <f>IF(U$168=0,0,U165/U$168)</f>
        <v>1</v>
      </c>
      <c r="W165" s="17">
        <f>'SUM HH WITH'!$W$386+'SUM HH WITHOUT'!$W$245</f>
        <v>17</v>
      </c>
      <c r="X165" s="17">
        <f>'SUM HH WITH'!$X$386+'SUM HH WITHOUT'!$X$245</f>
        <v>32</v>
      </c>
      <c r="Y165" s="927">
        <f>SUM(W165:X165)</f>
        <v>49</v>
      </c>
      <c r="Z165" s="91">
        <f>IF(Y$168=0,0,Y165/Y$168)</f>
        <v>1</v>
      </c>
      <c r="AA165" s="17">
        <f>'SUM HH WITH'!$AA$386+'SUM HH WITHOUT'!$AA$245</f>
        <v>5</v>
      </c>
      <c r="AB165" s="17">
        <f>'SUM HH WITH'!$AB$386+'SUM HH WITHOUT'!$AB$245</f>
        <v>22</v>
      </c>
      <c r="AC165" s="927">
        <f>SUM(AA165:AB165)</f>
        <v>27</v>
      </c>
      <c r="AD165" s="91">
        <f>IF(AC$168=0,0,AC165/AC$168)</f>
        <v>0.9</v>
      </c>
      <c r="AE165" s="17">
        <f>'SUM HH WITH'!$AE$386+'SUM HH WITHOUT'!$AE$245</f>
        <v>0</v>
      </c>
      <c r="AF165" s="17">
        <f>'SUM HH WITH'!$AF$386+'SUM HH WITHOUT'!$AF$245</f>
        <v>0</v>
      </c>
      <c r="AG165" s="927">
        <f>SUM(AE165:AF165)</f>
        <v>0</v>
      </c>
      <c r="AH165" s="373">
        <f>IF(AG$168=0,0,AG165/AG$168)</f>
        <v>0</v>
      </c>
      <c r="AI165" s="391">
        <f t="shared" ref="AI165:AJ167" si="254">G165+K165+O165+S165+W165+AA165+AE165</f>
        <v>49</v>
      </c>
      <c r="AJ165" s="17">
        <f t="shared" si="254"/>
        <v>120</v>
      </c>
      <c r="AK165" s="927">
        <f t="shared" ref="AK165:AK167" si="255">SUM(AI165:AJ165)</f>
        <v>169</v>
      </c>
      <c r="AL165" s="91">
        <f>IF(AK$168=0,0,AK165/AK$168)</f>
        <v>0.98255813953488369</v>
      </c>
    </row>
    <row r="166" spans="1:61" s="117" customFormat="1" ht="16.5" customHeight="1" x14ac:dyDescent="0.25">
      <c r="A166" s="119"/>
      <c r="B166" s="119"/>
      <c r="C166" s="467" t="s">
        <v>312</v>
      </c>
      <c r="D166" s="498" t="s">
        <v>11</v>
      </c>
      <c r="E166" s="75"/>
      <c r="F166" s="106"/>
      <c r="G166" s="17">
        <f>'SUM HH WITH'!$G$387+'SUM HH WITHOUT'!$G$246</f>
        <v>0</v>
      </c>
      <c r="H166" s="17">
        <f>'SUM HH WITH'!$H$387+'SUM HH WITHOUT'!$H$246</f>
        <v>0</v>
      </c>
      <c r="I166" s="927">
        <f t="shared" ref="I166:I167" si="256">SUM(G166:H166)</f>
        <v>0</v>
      </c>
      <c r="J166" s="91">
        <f t="shared" ref="J166:J167" si="257">IF(I$168=0,0,I166/I$168)</f>
        <v>0</v>
      </c>
      <c r="K166" s="17">
        <f>'SUM HH WITH'!$K$387+'SUM HH WITHOUT'!$K$246</f>
        <v>0</v>
      </c>
      <c r="L166" s="17">
        <f>'SUM HH WITH'!$L$387+'SUM HH WITHOUT'!$L$246</f>
        <v>0</v>
      </c>
      <c r="M166" s="927">
        <f t="shared" ref="M166:M167" si="258">SUM(K166:L166)</f>
        <v>0</v>
      </c>
      <c r="N166" s="91">
        <f t="shared" ref="N166:N167" si="259">IF(M$168=0,0,M166/M$168)</f>
        <v>0</v>
      </c>
      <c r="O166" s="17">
        <f>'SUM HH WITH'!$O$387+'SUM HH WITHOUT'!$O$246</f>
        <v>0</v>
      </c>
      <c r="P166" s="17">
        <f>'SUM HH WITH'!$P$387+'SUM HH WITHOUT'!$P$246</f>
        <v>0</v>
      </c>
      <c r="Q166" s="927">
        <f t="shared" ref="Q166:Q167" si="260">SUM(O166:P166)</f>
        <v>0</v>
      </c>
      <c r="R166" s="91">
        <f t="shared" ref="R166:R167" si="261">IF(Q$168=0,0,Q166/Q$168)</f>
        <v>0</v>
      </c>
      <c r="S166" s="17">
        <f>'SUM HH WITH'!$S$387+'SUM HH WITHOUT'!$S$246</f>
        <v>0</v>
      </c>
      <c r="T166" s="17">
        <f>'SUM HH WITH'!$T$387+'SUM HH WITHOUT'!$T$246</f>
        <v>0</v>
      </c>
      <c r="U166" s="927">
        <f t="shared" ref="U166:U167" si="262">SUM(S166:T166)</f>
        <v>0</v>
      </c>
      <c r="V166" s="91">
        <f t="shared" ref="V166:V167" si="263">IF(U$168=0,0,U166/U$168)</f>
        <v>0</v>
      </c>
      <c r="W166" s="17">
        <f>'SUM HH WITH'!$W$387+'SUM HH WITHOUT'!$W$246</f>
        <v>0</v>
      </c>
      <c r="X166" s="17">
        <f>'SUM HH WITH'!$X$387+'SUM HH WITHOUT'!$X$246</f>
        <v>0</v>
      </c>
      <c r="Y166" s="927">
        <f t="shared" ref="Y166:Y167" si="264">SUM(W166:X166)</f>
        <v>0</v>
      </c>
      <c r="Z166" s="91">
        <f t="shared" ref="Z166:Z167" si="265">IF(Y$168=0,0,Y166/Y$168)</f>
        <v>0</v>
      </c>
      <c r="AA166" s="17">
        <f>'SUM HH WITH'!$AA$387+'SUM HH WITHOUT'!$AA$246</f>
        <v>0</v>
      </c>
      <c r="AB166" s="17">
        <f>'SUM HH WITH'!$AB$387+'SUM HH WITHOUT'!$AB$246</f>
        <v>1</v>
      </c>
      <c r="AC166" s="927">
        <f t="shared" ref="AC166:AC167" si="266">SUM(AA166:AB166)</f>
        <v>1</v>
      </c>
      <c r="AD166" s="91">
        <f t="shared" ref="AD166:AD167" si="267">IF(AC$168=0,0,AC166/AC$168)</f>
        <v>3.3333333333333333E-2</v>
      </c>
      <c r="AE166" s="17">
        <f>'SUM HH WITH'!$AE$387+'SUM HH WITHOUT'!$AE$246</f>
        <v>0</v>
      </c>
      <c r="AF166" s="17">
        <f>'SUM HH WITH'!$AF$387+'SUM HH WITHOUT'!$AF$246</f>
        <v>0</v>
      </c>
      <c r="AG166" s="927">
        <f t="shared" ref="AG166:AG167" si="268">SUM(AE166:AF166)</f>
        <v>0</v>
      </c>
      <c r="AH166" s="373">
        <f t="shared" ref="AH166:AH167" si="269">IF(AG$168=0,0,AG166/AG$168)</f>
        <v>0</v>
      </c>
      <c r="AI166" s="391">
        <f t="shared" si="254"/>
        <v>0</v>
      </c>
      <c r="AJ166" s="17">
        <f t="shared" si="254"/>
        <v>1</v>
      </c>
      <c r="AK166" s="927">
        <f t="shared" si="255"/>
        <v>1</v>
      </c>
      <c r="AL166" s="91">
        <f t="shared" ref="AL166:AL167" si="270">IF(AK$168=0,0,AK166/AK$168)</f>
        <v>5.8139534883720929E-3</v>
      </c>
    </row>
    <row r="167" spans="1:61" s="117" customFormat="1" ht="16.5" customHeight="1" x14ac:dyDescent="0.25">
      <c r="A167" s="119"/>
      <c r="B167" s="119"/>
      <c r="C167" s="467" t="s">
        <v>490</v>
      </c>
      <c r="D167" s="498" t="s">
        <v>617</v>
      </c>
      <c r="E167" s="75"/>
      <c r="F167" s="106"/>
      <c r="G167" s="17">
        <f>'SUM HH WITH'!$G$388+'SUM HH WITHOUT'!$G$247</f>
        <v>0</v>
      </c>
      <c r="H167" s="17">
        <f>'SUM HH WITH'!$H$388+'SUM HH WITHOUT'!$H$247</f>
        <v>0</v>
      </c>
      <c r="I167" s="927">
        <f t="shared" si="256"/>
        <v>0</v>
      </c>
      <c r="J167" s="91">
        <f t="shared" si="257"/>
        <v>0</v>
      </c>
      <c r="K167" s="17">
        <f>'SUM HH WITH'!$K$388+'SUM HH WITHOUT'!$K$247</f>
        <v>0</v>
      </c>
      <c r="L167" s="17">
        <f>'SUM HH WITH'!$L$388+'SUM HH WITHOUT'!$L$247</f>
        <v>0</v>
      </c>
      <c r="M167" s="927">
        <f t="shared" si="258"/>
        <v>0</v>
      </c>
      <c r="N167" s="91">
        <f t="shared" si="259"/>
        <v>0</v>
      </c>
      <c r="O167" s="17">
        <f>'SUM HH WITH'!$O$388+'SUM HH WITHOUT'!$O$247</f>
        <v>0</v>
      </c>
      <c r="P167" s="17">
        <f>'SUM HH WITH'!$P$388+'SUM HH WITHOUT'!$P$247</f>
        <v>0</v>
      </c>
      <c r="Q167" s="927">
        <f t="shared" si="260"/>
        <v>0</v>
      </c>
      <c r="R167" s="91">
        <f t="shared" si="261"/>
        <v>0</v>
      </c>
      <c r="S167" s="17">
        <f>'SUM HH WITH'!$S$388+'SUM HH WITHOUT'!$S$247</f>
        <v>0</v>
      </c>
      <c r="T167" s="17">
        <f>'SUM HH WITH'!$T$388+'SUM HH WITHOUT'!$T$247</f>
        <v>0</v>
      </c>
      <c r="U167" s="927">
        <f t="shared" si="262"/>
        <v>0</v>
      </c>
      <c r="V167" s="91">
        <f t="shared" si="263"/>
        <v>0</v>
      </c>
      <c r="W167" s="17">
        <f>'SUM HH WITH'!$W$388+'SUM HH WITHOUT'!$W$247</f>
        <v>0</v>
      </c>
      <c r="X167" s="17">
        <f>'SUM HH WITH'!$X$388+'SUM HH WITHOUT'!$X$247</f>
        <v>0</v>
      </c>
      <c r="Y167" s="927">
        <f t="shared" si="264"/>
        <v>0</v>
      </c>
      <c r="Z167" s="91">
        <f t="shared" si="265"/>
        <v>0</v>
      </c>
      <c r="AA167" s="17">
        <f>'SUM HH WITH'!$AA$388+'SUM HH WITHOUT'!$AA$247</f>
        <v>0</v>
      </c>
      <c r="AB167" s="17">
        <f>'SUM HH WITH'!$AB$388+'SUM HH WITHOUT'!$AB$247</f>
        <v>2</v>
      </c>
      <c r="AC167" s="927">
        <f t="shared" si="266"/>
        <v>2</v>
      </c>
      <c r="AD167" s="91">
        <f t="shared" si="267"/>
        <v>6.6666666666666666E-2</v>
      </c>
      <c r="AE167" s="17">
        <f>'SUM HH WITH'!$AE$388+'SUM HH WITHOUT'!$AE$247</f>
        <v>0</v>
      </c>
      <c r="AF167" s="17">
        <f>'SUM HH WITH'!$AF$388+'SUM HH WITHOUT'!$AF$247</f>
        <v>0</v>
      </c>
      <c r="AG167" s="927">
        <f t="shared" si="268"/>
        <v>0</v>
      </c>
      <c r="AH167" s="373">
        <f t="shared" si="269"/>
        <v>0</v>
      </c>
      <c r="AI167" s="391">
        <f t="shared" si="254"/>
        <v>0</v>
      </c>
      <c r="AJ167" s="17">
        <f t="shared" si="254"/>
        <v>2</v>
      </c>
      <c r="AK167" s="927">
        <f t="shared" si="255"/>
        <v>2</v>
      </c>
      <c r="AL167" s="91">
        <f t="shared" si="270"/>
        <v>1.1627906976744186E-2</v>
      </c>
    </row>
    <row r="168" spans="1:61" ht="16.5" customHeight="1" x14ac:dyDescent="0.25">
      <c r="A168" s="40"/>
      <c r="B168" s="40"/>
      <c r="C168" s="119"/>
      <c r="D168" s="185"/>
      <c r="E168" s="184"/>
      <c r="F168" s="469"/>
      <c r="G168" s="82">
        <f>SUM(G165:G167)</f>
        <v>9</v>
      </c>
      <c r="H168" s="82">
        <f>SUM(H165:H167)</f>
        <v>11</v>
      </c>
      <c r="I168" s="82">
        <f>SUM(I165:I167)</f>
        <v>20</v>
      </c>
      <c r="J168" s="66">
        <f>IF(I$168=0,0,I168/I$168)</f>
        <v>1</v>
      </c>
      <c r="K168" s="82">
        <f t="shared" ref="K168:L168" si="271">SUM(K165:K167)</f>
        <v>13</v>
      </c>
      <c r="L168" s="82">
        <f t="shared" si="271"/>
        <v>17</v>
      </c>
      <c r="M168" s="82">
        <f>SUM(M165:M167)</f>
        <v>30</v>
      </c>
      <c r="N168" s="66">
        <f>IF(M$168=0,0,M168/M$168)</f>
        <v>1</v>
      </c>
      <c r="O168" s="82">
        <f t="shared" ref="O168" si="272">SUM(O165:O167)</f>
        <v>4</v>
      </c>
      <c r="P168" s="82">
        <f t="shared" ref="P168" si="273">SUM(P165:P167)</f>
        <v>16</v>
      </c>
      <c r="Q168" s="82">
        <f>SUM(Q165:Q167)</f>
        <v>20</v>
      </c>
      <c r="R168" s="66">
        <f>IF(Q$168=0,0,Q168/Q$168)</f>
        <v>1</v>
      </c>
      <c r="S168" s="82">
        <f t="shared" ref="S168" si="274">SUM(S165:S167)</f>
        <v>1</v>
      </c>
      <c r="T168" s="82">
        <f t="shared" ref="T168" si="275">SUM(T165:T167)</f>
        <v>22</v>
      </c>
      <c r="U168" s="82">
        <f>SUM(U165:U167)</f>
        <v>23</v>
      </c>
      <c r="V168" s="66">
        <f>IF(U$168=0,0,U168/U$168)</f>
        <v>1</v>
      </c>
      <c r="W168" s="82">
        <f t="shared" ref="W168" si="276">SUM(W165:W167)</f>
        <v>17</v>
      </c>
      <c r="X168" s="82">
        <f t="shared" ref="X168" si="277">SUM(X165:X167)</f>
        <v>32</v>
      </c>
      <c r="Y168" s="82">
        <f>SUM(Y165:Y167)</f>
        <v>49</v>
      </c>
      <c r="Z168" s="66">
        <f>IF(Y$168=0,0,Y168/Y$168)</f>
        <v>1</v>
      </c>
      <c r="AA168" s="82">
        <f t="shared" ref="AA168" si="278">SUM(AA165:AA167)</f>
        <v>5</v>
      </c>
      <c r="AB168" s="82">
        <f t="shared" ref="AB168" si="279">SUM(AB165:AB167)</f>
        <v>25</v>
      </c>
      <c r="AC168" s="82">
        <f>SUM(AC165:AC167)</f>
        <v>30</v>
      </c>
      <c r="AD168" s="66">
        <f>IF(AC$168=0,0,AC168/AC$168)</f>
        <v>1</v>
      </c>
      <c r="AE168" s="82">
        <f t="shared" ref="AE168" si="280">SUM(AE165:AE167)</f>
        <v>0</v>
      </c>
      <c r="AF168" s="82">
        <f t="shared" ref="AF168" si="281">SUM(AF165:AF167)</f>
        <v>0</v>
      </c>
      <c r="AG168" s="82">
        <f>SUM(AG165:AG167)</f>
        <v>0</v>
      </c>
      <c r="AH168" s="608">
        <f>IF(AG$168=0,0,AG168/AG$168)</f>
        <v>0</v>
      </c>
      <c r="AI168" s="381">
        <f>SUM(AI165:AI167)</f>
        <v>49</v>
      </c>
      <c r="AJ168" s="82">
        <f>SUM(AJ165:AJ167)</f>
        <v>123</v>
      </c>
      <c r="AK168" s="82">
        <f>SUM(AK165:AK167)</f>
        <v>172</v>
      </c>
      <c r="AL168" s="66">
        <f>IF(AK$168=0,0,AK168/AK$168)</f>
        <v>1</v>
      </c>
    </row>
    <row r="169" spans="1:61" ht="16.5" customHeight="1" x14ac:dyDescent="0.25">
      <c r="A169" s="40"/>
      <c r="B169" s="119"/>
      <c r="C169" s="467" t="s">
        <v>672</v>
      </c>
      <c r="D169" s="167" t="s">
        <v>1012</v>
      </c>
      <c r="E169" s="75"/>
      <c r="F169" s="76"/>
      <c r="G169" s="499"/>
      <c r="H169" s="499"/>
      <c r="I169" s="200"/>
      <c r="J169" s="131"/>
      <c r="K169" s="499"/>
      <c r="L169" s="499"/>
      <c r="M169" s="200"/>
      <c r="N169" s="131"/>
      <c r="O169" s="499"/>
      <c r="P169" s="499"/>
      <c r="Q169" s="200"/>
      <c r="R169" s="131"/>
      <c r="S169" s="499"/>
      <c r="T169" s="499"/>
      <c r="U169" s="200"/>
      <c r="V169" s="131"/>
      <c r="W169" s="499"/>
      <c r="X169" s="499"/>
      <c r="Y169" s="200"/>
      <c r="Z169" s="131"/>
      <c r="AA169" s="499"/>
      <c r="AB169" s="499"/>
      <c r="AC169" s="200"/>
      <c r="AD169" s="131"/>
      <c r="AE169" s="499"/>
      <c r="AF169" s="499"/>
      <c r="AG169" s="200"/>
      <c r="AH169" s="613"/>
      <c r="AI169" s="624"/>
      <c r="AJ169" s="499"/>
      <c r="AK169" s="200"/>
      <c r="AL169" s="131"/>
      <c r="AM169" s="117"/>
      <c r="BA169" s="2" t="s">
        <v>1068</v>
      </c>
      <c r="BB169" s="2" t="s">
        <v>1069</v>
      </c>
      <c r="BC169" s="2" t="s">
        <v>1070</v>
      </c>
      <c r="BD169" s="2" t="s">
        <v>1071</v>
      </c>
      <c r="BE169" s="2" t="s">
        <v>1072</v>
      </c>
      <c r="BF169" s="2" t="s">
        <v>1073</v>
      </c>
      <c r="BG169" s="2" t="s">
        <v>1074</v>
      </c>
    </row>
    <row r="170" spans="1:61" ht="16.5" customHeight="1" x14ac:dyDescent="0.25">
      <c r="A170" s="40"/>
      <c r="B170" s="119"/>
      <c r="C170" s="119"/>
      <c r="D170" s="167" t="s">
        <v>1013</v>
      </c>
      <c r="E170" s="75"/>
      <c r="F170" s="76"/>
      <c r="G170" s="508"/>
      <c r="H170" s="508"/>
      <c r="I170" s="508">
        <f>('SUM HH WITH'!$I$391+'SUM HH WITHOUT'!$I$250)/2</f>
        <v>0.41500000000000004</v>
      </c>
      <c r="J170" s="91"/>
      <c r="K170" s="508"/>
      <c r="L170" s="508"/>
      <c r="M170" s="508">
        <f>('SUM HH WITH'!$M$391+'SUM HH WITHOUT'!$M$250)/2</f>
        <v>0.5</v>
      </c>
      <c r="N170" s="91"/>
      <c r="O170" s="508"/>
      <c r="P170" s="508"/>
      <c r="Q170" s="508">
        <f>('SUM HH WITH'!$Q$391+'SUM HH WITHOUT'!$Q$250)/2</f>
        <v>0.5</v>
      </c>
      <c r="R170" s="91"/>
      <c r="S170" s="508"/>
      <c r="T170" s="508"/>
      <c r="U170" s="508">
        <f>('SUM HH WITH'!$U$391+'SUM HH WITHOUT'!$U$250)/2</f>
        <v>1.25</v>
      </c>
      <c r="V170" s="91"/>
      <c r="W170" s="508"/>
      <c r="X170" s="508"/>
      <c r="Y170" s="508">
        <f>('SUM HH WITH'!$Y$391+'SUM HH WITHOUT'!$Y$250)/2</f>
        <v>0.75</v>
      </c>
      <c r="Z170" s="91"/>
      <c r="AA170" s="508"/>
      <c r="AB170" s="508"/>
      <c r="AC170" s="508">
        <f>('SUM HH WITH'!$AC$391+'SUM HH WITHOUT'!$AC$250)/2</f>
        <v>0.5</v>
      </c>
      <c r="AD170" s="91"/>
      <c r="AE170" s="508"/>
      <c r="AF170" s="508"/>
      <c r="AG170" s="508">
        <f>('SUM HH WITH'!$AG$391+'SUM HH WITHOUT'!$AG$250)/2</f>
        <v>0</v>
      </c>
      <c r="AH170" s="373"/>
      <c r="AI170" s="625"/>
      <c r="AJ170" s="508"/>
      <c r="AK170" s="199">
        <f>MIN(BA170:BG170)</f>
        <v>0.41500000000000004</v>
      </c>
      <c r="AL170" s="91"/>
      <c r="AM170" s="117"/>
      <c r="AN170" s="964" t="s">
        <v>1469</v>
      </c>
      <c r="BA170" s="999">
        <f>IF(I170=0,"",I170)</f>
        <v>0.41500000000000004</v>
      </c>
      <c r="BB170" s="999">
        <f>IF(M170=0,"",M170)</f>
        <v>0.5</v>
      </c>
      <c r="BC170" s="999">
        <f>IF(Q170=0,"",Q170)</f>
        <v>0.5</v>
      </c>
      <c r="BD170" s="999">
        <f>IF(U170=0,"",U170)</f>
        <v>1.25</v>
      </c>
      <c r="BE170" s="999">
        <f>IF(Y170=0,"",Y170)</f>
        <v>0.75</v>
      </c>
      <c r="BF170" s="999">
        <f>IF(AC170=0,"",AC170)</f>
        <v>0.5</v>
      </c>
      <c r="BG170" s="999" t="str">
        <f>IF(AG170=0,"",AG170)</f>
        <v/>
      </c>
    </row>
    <row r="171" spans="1:61" ht="16.5" customHeight="1" x14ac:dyDescent="0.25">
      <c r="A171" s="40"/>
      <c r="B171" s="119"/>
      <c r="C171" s="119"/>
      <c r="D171" s="167" t="s">
        <v>1014</v>
      </c>
      <c r="E171" s="75"/>
      <c r="F171" s="76"/>
      <c r="G171" s="508"/>
      <c r="H171" s="508"/>
      <c r="I171" s="508">
        <f>('SUM HH WITH'!$I$392+'SUM HH WITHOUT'!$I$251)/2</f>
        <v>1.665</v>
      </c>
      <c r="J171" s="91"/>
      <c r="K171" s="508"/>
      <c r="L171" s="508"/>
      <c r="M171" s="508">
        <f>('SUM HH WITH'!$M$392+'SUM HH WITHOUT'!$M$251)/2</f>
        <v>1</v>
      </c>
      <c r="N171" s="91"/>
      <c r="O171" s="508"/>
      <c r="P171" s="508"/>
      <c r="Q171" s="508">
        <f>('SUM HH WITH'!$Q$392+'SUM HH WITHOUT'!$Q$251)/2</f>
        <v>0.5</v>
      </c>
      <c r="R171" s="91"/>
      <c r="S171" s="508"/>
      <c r="T171" s="508"/>
      <c r="U171" s="508">
        <f>('SUM HH WITH'!$U$392+'SUM HH WITHOUT'!$U$251)/2</f>
        <v>1.5</v>
      </c>
      <c r="V171" s="91"/>
      <c r="W171" s="508"/>
      <c r="X171" s="508"/>
      <c r="Y171" s="508">
        <f>('SUM HH WITH'!$Y$392+'SUM HH WITHOUT'!$Y$251)/2</f>
        <v>1.5</v>
      </c>
      <c r="Z171" s="91"/>
      <c r="AA171" s="508"/>
      <c r="AB171" s="508"/>
      <c r="AC171" s="508">
        <f>('SUM HH WITH'!$AC$392+'SUM HH WITHOUT'!$AC$251)/2</f>
        <v>1.75</v>
      </c>
      <c r="AD171" s="91"/>
      <c r="AE171" s="508"/>
      <c r="AF171" s="508"/>
      <c r="AG171" s="508">
        <f>('SUM HH WITH'!$AG$392+'SUM HH WITHOUT'!$AG$251)/2</f>
        <v>0</v>
      </c>
      <c r="AH171" s="373"/>
      <c r="AI171" s="625"/>
      <c r="AJ171" s="508"/>
      <c r="AK171" s="199">
        <f>MAX(BA171:BG171)</f>
        <v>1.75</v>
      </c>
      <c r="AL171" s="91"/>
      <c r="AM171" s="117"/>
      <c r="AN171" s="964" t="s">
        <v>1469</v>
      </c>
      <c r="BA171" s="999">
        <f t="shared" ref="BA171:BA172" si="282">IF(I171=0,"",I171)</f>
        <v>1.665</v>
      </c>
      <c r="BB171" s="999">
        <f t="shared" ref="BB171:BB172" si="283">IF(M171=0,"",M171)</f>
        <v>1</v>
      </c>
      <c r="BC171" s="999">
        <f t="shared" ref="BC171:BC172" si="284">IF(Q171=0,"",Q171)</f>
        <v>0.5</v>
      </c>
      <c r="BD171" s="999">
        <f t="shared" ref="BD171:BD172" si="285">IF(U171=0,"",U171)</f>
        <v>1.5</v>
      </c>
      <c r="BE171" s="999">
        <f t="shared" ref="BE171:BE172" si="286">IF(Y171=0,"",Y171)</f>
        <v>1.5</v>
      </c>
      <c r="BF171" s="999">
        <f t="shared" ref="BF171:BF172" si="287">IF(AC171=0,"",AC171)</f>
        <v>1.75</v>
      </c>
      <c r="BG171" s="999" t="str">
        <f t="shared" ref="BG171:BG172" si="288">IF(AG171=0,"",AG171)</f>
        <v/>
      </c>
    </row>
    <row r="172" spans="1:61" s="655" customFormat="1" ht="16.5" customHeight="1" x14ac:dyDescent="0.25">
      <c r="A172" s="55"/>
      <c r="B172" s="787"/>
      <c r="C172" s="787"/>
      <c r="D172" s="167" t="s">
        <v>1015</v>
      </c>
      <c r="E172" s="149"/>
      <c r="F172" s="692"/>
      <c r="G172" s="985"/>
      <c r="H172" s="985"/>
      <c r="I172" s="199">
        <f>('SUM HH WITH'!$I$393+'SUM HH WITHOUT'!$I$252)/2</f>
        <v>1.04</v>
      </c>
      <c r="J172" s="197"/>
      <c r="K172" s="985"/>
      <c r="L172" s="985"/>
      <c r="M172" s="199">
        <f>('SUM HH WITH'!$M$393+'SUM HH WITHOUT'!$M$252)/2</f>
        <v>0.75</v>
      </c>
      <c r="N172" s="197"/>
      <c r="O172" s="985"/>
      <c r="P172" s="985"/>
      <c r="Q172" s="199">
        <f>('SUM HH WITH'!$Q$393+'SUM HH WITHOUT'!$Q$252)/2</f>
        <v>0.5</v>
      </c>
      <c r="R172" s="197"/>
      <c r="S172" s="985"/>
      <c r="T172" s="985"/>
      <c r="U172" s="199">
        <f>('SUM HH WITH'!$U$393+'SUM HH WITHOUT'!$U$252)/2</f>
        <v>1.375</v>
      </c>
      <c r="V172" s="197"/>
      <c r="W172" s="985"/>
      <c r="X172" s="985"/>
      <c r="Y172" s="199">
        <f>('SUM HH WITH'!$Y$393+'SUM HH WITHOUT'!$Y$252)/2</f>
        <v>1.0833333333333335</v>
      </c>
      <c r="Z172" s="197"/>
      <c r="AA172" s="985"/>
      <c r="AB172" s="985"/>
      <c r="AC172" s="199">
        <f>('SUM HH WITH'!$AC$393+'SUM HH WITHOUT'!$AC$252)/2</f>
        <v>1.125</v>
      </c>
      <c r="AD172" s="197"/>
      <c r="AE172" s="985"/>
      <c r="AF172" s="985"/>
      <c r="AG172" s="199">
        <f>('SUM HH WITH'!$AG$393+'SUM HH WITHOUT'!$AG$252)/2</f>
        <v>0</v>
      </c>
      <c r="AH172" s="191"/>
      <c r="AI172" s="984"/>
      <c r="AJ172" s="985"/>
      <c r="AK172" s="719">
        <f>AVERAGE(BA172:BG172)</f>
        <v>0.97888888888888881</v>
      </c>
      <c r="AL172" s="197"/>
      <c r="AM172" s="757"/>
      <c r="AN172" s="964" t="s">
        <v>1469</v>
      </c>
      <c r="BA172" s="999">
        <f t="shared" si="282"/>
        <v>1.04</v>
      </c>
      <c r="BB172" s="999">
        <f t="shared" si="283"/>
        <v>0.75</v>
      </c>
      <c r="BC172" s="999">
        <f t="shared" si="284"/>
        <v>0.5</v>
      </c>
      <c r="BD172" s="999">
        <f t="shared" si="285"/>
        <v>1.375</v>
      </c>
      <c r="BE172" s="999">
        <f t="shared" si="286"/>
        <v>1.0833333333333335</v>
      </c>
      <c r="BF172" s="999">
        <f t="shared" si="287"/>
        <v>1.125</v>
      </c>
      <c r="BG172" s="999" t="str">
        <f t="shared" si="288"/>
        <v/>
      </c>
      <c r="BI172" s="986">
        <f>AVERAGE(BA170:BG171)</f>
        <v>0.98583333333333334</v>
      </c>
    </row>
    <row r="173" spans="1:61" ht="16.5" customHeight="1" x14ac:dyDescent="0.25">
      <c r="A173" s="40"/>
      <c r="B173" s="40"/>
      <c r="C173" s="119"/>
      <c r="D173" s="185"/>
      <c r="E173" s="184"/>
      <c r="F173" s="469"/>
      <c r="G173" s="82"/>
      <c r="H173" s="82"/>
      <c r="I173" s="82"/>
      <c r="J173" s="66"/>
      <c r="K173" s="82"/>
      <c r="L173" s="82"/>
      <c r="M173" s="82"/>
      <c r="N173" s="66"/>
      <c r="O173" s="82"/>
      <c r="P173" s="82"/>
      <c r="Q173" s="82"/>
      <c r="R173" s="66"/>
      <c r="S173" s="82"/>
      <c r="T173" s="82"/>
      <c r="U173" s="82"/>
      <c r="V173" s="66"/>
      <c r="W173" s="82"/>
      <c r="X173" s="82"/>
      <c r="Y173" s="82"/>
      <c r="Z173" s="66"/>
      <c r="AA173" s="82"/>
      <c r="AB173" s="82"/>
      <c r="AC173" s="82"/>
      <c r="AD173" s="66"/>
      <c r="AE173" s="82"/>
      <c r="AF173" s="82"/>
      <c r="AG173" s="82"/>
      <c r="AH173" s="608"/>
      <c r="AI173" s="381"/>
      <c r="AJ173" s="82"/>
      <c r="AK173" s="82"/>
      <c r="AL173" s="66"/>
    </row>
    <row r="174" spans="1:61" s="117" customFormat="1" ht="16.5" customHeight="1" x14ac:dyDescent="0.25">
      <c r="A174" s="119"/>
      <c r="B174" s="41" t="s">
        <v>313</v>
      </c>
      <c r="C174" s="69" t="s">
        <v>1016</v>
      </c>
      <c r="D174" s="70"/>
      <c r="E174" s="478"/>
      <c r="F174" s="478"/>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355"/>
      <c r="AI174" s="377"/>
      <c r="AJ174" s="71"/>
      <c r="AK174" s="71"/>
      <c r="AL174" s="71"/>
    </row>
    <row r="175" spans="1:61" s="117" customFormat="1" ht="16.5" customHeight="1" x14ac:dyDescent="0.25">
      <c r="A175" s="119"/>
      <c r="B175" s="119"/>
      <c r="C175" s="467" t="s">
        <v>314</v>
      </c>
      <c r="D175" s="167" t="s">
        <v>129</v>
      </c>
      <c r="E175" s="75"/>
      <c r="F175" s="106"/>
      <c r="G175" s="17"/>
      <c r="H175" s="17"/>
      <c r="I175" s="996">
        <f>('SUM HH WITH'!$I$396+'SUM HH WITHOUT'!$I$255)/2</f>
        <v>0</v>
      </c>
      <c r="J175" s="91">
        <f>IF(I$178=0,0,I175/I$178)</f>
        <v>0</v>
      </c>
      <c r="K175" s="17"/>
      <c r="L175" s="17"/>
      <c r="M175" s="996">
        <f>('SUM HH WITH'!$M$396+'SUM HH WITHOUT'!$M$255)/2</f>
        <v>0</v>
      </c>
      <c r="N175" s="91">
        <f>IF(M$178=0,0,M175/M$178)</f>
        <v>0</v>
      </c>
      <c r="O175" s="17"/>
      <c r="P175" s="17"/>
      <c r="Q175" s="996">
        <f>('SUM HH WITH'!$Q$396+'SUM HH WITHOUT'!$Q$255)/2</f>
        <v>0</v>
      </c>
      <c r="R175" s="91">
        <f>IF(Q$178=0,0,Q175/Q$178)</f>
        <v>0</v>
      </c>
      <c r="S175" s="17"/>
      <c r="T175" s="17"/>
      <c r="U175" s="996">
        <f>('SUM HH WITH'!$U$396+'SUM HH WITHOUT'!$U$255)/2</f>
        <v>0</v>
      </c>
      <c r="V175" s="91">
        <f>IF(U$178=0,0,U175/U$178)</f>
        <v>0</v>
      </c>
      <c r="W175" s="17"/>
      <c r="X175" s="17"/>
      <c r="Y175" s="996">
        <f>('SUM HH WITH'!$Y$396+'SUM HH WITHOUT'!$Y$255)/2</f>
        <v>0</v>
      </c>
      <c r="Z175" s="91">
        <f>IF(Y$178=0,0,Y175/Y$178)</f>
        <v>0</v>
      </c>
      <c r="AA175" s="17"/>
      <c r="AB175" s="17"/>
      <c r="AC175" s="996">
        <f>('SUM HH WITH'!$AC$396+'SUM HH WITHOUT'!$AC$255)/2</f>
        <v>0</v>
      </c>
      <c r="AD175" s="91">
        <f>IF(AC$178=0,0,AC175/AC$178)</f>
        <v>0</v>
      </c>
      <c r="AE175" s="17"/>
      <c r="AF175" s="17"/>
      <c r="AG175" s="996">
        <f>('SUM HH WITH'!$AG$396+'SUM HH WITHOUT'!$AG$255)/2</f>
        <v>0</v>
      </c>
      <c r="AH175" s="373">
        <f>IF(AG$178=0,0,AG175/AG$178)</f>
        <v>0</v>
      </c>
      <c r="AI175" s="391"/>
      <c r="AJ175" s="17"/>
      <c r="AK175" s="996">
        <f t="shared" ref="AK175:AK177" si="289">I175+M175+Q175+U175+Y175+AC175+AG175</f>
        <v>0</v>
      </c>
      <c r="AL175" s="91">
        <f>IF(AK$178=0,0,AK175/AK$178)</f>
        <v>0</v>
      </c>
    </row>
    <row r="176" spans="1:61" s="117" customFormat="1" ht="16.5" customHeight="1" x14ac:dyDescent="0.25">
      <c r="A176" s="119"/>
      <c r="B176" s="119"/>
      <c r="C176" s="467" t="s">
        <v>327</v>
      </c>
      <c r="D176" s="167" t="s">
        <v>491</v>
      </c>
      <c r="E176" s="75"/>
      <c r="F176" s="106"/>
      <c r="G176" s="17"/>
      <c r="H176" s="17"/>
      <c r="I176" s="996">
        <f>('SUM HH WITH'!$I$397+'SUM HH WITHOUT'!$I$256)/2</f>
        <v>1</v>
      </c>
      <c r="J176" s="91">
        <f t="shared" ref="J176:J178" si="290">IF(I$178=0,0,I176/I$178)</f>
        <v>0.66666666666666663</v>
      </c>
      <c r="K176" s="17"/>
      <c r="L176" s="17"/>
      <c r="M176" s="996">
        <f>('SUM HH WITH'!$M$397+'SUM HH WITHOUT'!$M$256)/2</f>
        <v>1.5</v>
      </c>
      <c r="N176" s="91">
        <f t="shared" ref="N176:N178" si="291">IF(M$178=0,0,M176/M$178)</f>
        <v>0.75</v>
      </c>
      <c r="O176" s="17"/>
      <c r="P176" s="17"/>
      <c r="Q176" s="996">
        <f>('SUM HH WITH'!$Q$397+'SUM HH WITHOUT'!$Q$256)/2</f>
        <v>1</v>
      </c>
      <c r="R176" s="91">
        <f t="shared" ref="R176:R178" si="292">IF(Q$178=0,0,Q176/Q$178)</f>
        <v>1</v>
      </c>
      <c r="S176" s="17"/>
      <c r="T176" s="17"/>
      <c r="U176" s="996">
        <f>('SUM HH WITH'!$U$397+'SUM HH WITHOUT'!$U$256)/2</f>
        <v>1.5</v>
      </c>
      <c r="V176" s="91">
        <f t="shared" ref="V176:V178" si="293">IF(U$178=0,0,U176/U$178)</f>
        <v>1</v>
      </c>
      <c r="W176" s="17"/>
      <c r="X176" s="17"/>
      <c r="Y176" s="996">
        <f>('SUM HH WITH'!$Y$397+'SUM HH WITHOUT'!$Y$256)/2</f>
        <v>2</v>
      </c>
      <c r="Z176" s="91">
        <f t="shared" ref="Z176:Z178" si="294">IF(Y$178=0,0,Y176/Y$178)</f>
        <v>0.66666666666666663</v>
      </c>
      <c r="AA176" s="17"/>
      <c r="AB176" s="17"/>
      <c r="AC176" s="996">
        <f>('SUM HH WITH'!$AC$397+'SUM HH WITHOUT'!$AC$256)/2</f>
        <v>1.5</v>
      </c>
      <c r="AD176" s="91">
        <f t="shared" ref="AD176:AD178" si="295">IF(AC$178=0,0,AC176/AC$178)</f>
        <v>0.75</v>
      </c>
      <c r="AE176" s="17"/>
      <c r="AF176" s="17"/>
      <c r="AG176" s="996">
        <f>('SUM HH WITH'!$AG$397+'SUM HH WITHOUT'!$AG$256)/2</f>
        <v>0</v>
      </c>
      <c r="AH176" s="373">
        <f t="shared" ref="AH176:AH178" si="296">IF(AG$178=0,0,AG176/AG$178)</f>
        <v>0</v>
      </c>
      <c r="AI176" s="391"/>
      <c r="AJ176" s="17"/>
      <c r="AK176" s="996">
        <f t="shared" si="289"/>
        <v>8.5</v>
      </c>
      <c r="AL176" s="91">
        <f t="shared" ref="AL176:AL178" si="297">IF(AK$178=0,0,AK176/AK$178)</f>
        <v>0.77272727272727271</v>
      </c>
    </row>
    <row r="177" spans="1:39" s="117" customFormat="1" ht="16.5" customHeight="1" x14ac:dyDescent="0.25">
      <c r="A177" s="119"/>
      <c r="B177" s="119"/>
      <c r="C177" s="467" t="s">
        <v>328</v>
      </c>
      <c r="D177" s="167" t="s">
        <v>493</v>
      </c>
      <c r="E177" s="75"/>
      <c r="F177" s="106"/>
      <c r="G177" s="17"/>
      <c r="H177" s="17"/>
      <c r="I177" s="996">
        <f>('SUM HH WITH'!$I$398+'SUM HH WITHOUT'!$I$257)/2</f>
        <v>0.5</v>
      </c>
      <c r="J177" s="91">
        <f t="shared" si="290"/>
        <v>0.33333333333333331</v>
      </c>
      <c r="K177" s="17"/>
      <c r="L177" s="17"/>
      <c r="M177" s="996">
        <f>('SUM HH WITH'!$M$398+'SUM HH WITHOUT'!$M$257)/2</f>
        <v>0.5</v>
      </c>
      <c r="N177" s="91">
        <f t="shared" si="291"/>
        <v>0.25</v>
      </c>
      <c r="O177" s="17"/>
      <c r="P177" s="17"/>
      <c r="Q177" s="996">
        <f>('SUM HH WITH'!$Q$398+'SUM HH WITHOUT'!$Q$257)/2</f>
        <v>0</v>
      </c>
      <c r="R177" s="91">
        <f t="shared" si="292"/>
        <v>0</v>
      </c>
      <c r="S177" s="17"/>
      <c r="T177" s="17"/>
      <c r="U177" s="996">
        <f>('SUM HH WITH'!$U$398+'SUM HH WITHOUT'!$U$257)/2</f>
        <v>0</v>
      </c>
      <c r="V177" s="91">
        <f t="shared" si="293"/>
        <v>0</v>
      </c>
      <c r="W177" s="17"/>
      <c r="X177" s="17"/>
      <c r="Y177" s="996">
        <f>('SUM HH WITH'!$Y$398+'SUM HH WITHOUT'!$Y$257)/2</f>
        <v>1</v>
      </c>
      <c r="Z177" s="91">
        <f t="shared" si="294"/>
        <v>0.33333333333333331</v>
      </c>
      <c r="AA177" s="17"/>
      <c r="AB177" s="17"/>
      <c r="AC177" s="996">
        <f>('SUM HH WITH'!$AC$398+'SUM HH WITHOUT'!$AC$257)/2</f>
        <v>0.5</v>
      </c>
      <c r="AD177" s="91">
        <f t="shared" si="295"/>
        <v>0.25</v>
      </c>
      <c r="AE177" s="17"/>
      <c r="AF177" s="17"/>
      <c r="AG177" s="996">
        <f>('SUM HH WITH'!$AG$398+'SUM HH WITHOUT'!$AG$257)/2</f>
        <v>0</v>
      </c>
      <c r="AH177" s="373">
        <f t="shared" si="296"/>
        <v>0</v>
      </c>
      <c r="AI177" s="391"/>
      <c r="AJ177" s="17"/>
      <c r="AK177" s="996">
        <f t="shared" si="289"/>
        <v>2.5</v>
      </c>
      <c r="AL177" s="91">
        <f t="shared" si="297"/>
        <v>0.22727272727272727</v>
      </c>
    </row>
    <row r="178" spans="1:39" ht="16.5" customHeight="1" x14ac:dyDescent="0.25">
      <c r="A178" s="40"/>
      <c r="B178" s="40"/>
      <c r="C178" s="119"/>
      <c r="D178" s="185"/>
      <c r="E178" s="184"/>
      <c r="F178" s="469"/>
      <c r="G178" s="82"/>
      <c r="H178" s="82"/>
      <c r="I178" s="82">
        <f>SUM(I175:I177)</f>
        <v>1.5</v>
      </c>
      <c r="J178" s="66">
        <f t="shared" si="290"/>
        <v>1</v>
      </c>
      <c r="K178" s="82"/>
      <c r="L178" s="82"/>
      <c r="M178" s="82">
        <f>SUM(M175:M177)</f>
        <v>2</v>
      </c>
      <c r="N178" s="66">
        <f t="shared" si="291"/>
        <v>1</v>
      </c>
      <c r="O178" s="82"/>
      <c r="P178" s="82"/>
      <c r="Q178" s="82">
        <f>SUM(Q175:Q177)</f>
        <v>1</v>
      </c>
      <c r="R178" s="66">
        <f t="shared" si="292"/>
        <v>1</v>
      </c>
      <c r="S178" s="82"/>
      <c r="T178" s="82"/>
      <c r="U178" s="82">
        <f>SUM(U175:U177)</f>
        <v>1.5</v>
      </c>
      <c r="V178" s="66">
        <f t="shared" si="293"/>
        <v>1</v>
      </c>
      <c r="W178" s="82"/>
      <c r="X178" s="82"/>
      <c r="Y178" s="82">
        <f>SUM(Y175:Y177)</f>
        <v>3</v>
      </c>
      <c r="Z178" s="66">
        <f t="shared" si="294"/>
        <v>1</v>
      </c>
      <c r="AA178" s="82"/>
      <c r="AB178" s="82"/>
      <c r="AC178" s="82">
        <f>SUM(AC175:AC177)</f>
        <v>2</v>
      </c>
      <c r="AD178" s="66">
        <f t="shared" si="295"/>
        <v>1</v>
      </c>
      <c r="AE178" s="82"/>
      <c r="AF178" s="82"/>
      <c r="AG178" s="82">
        <f>SUM(AG175:AG177)</f>
        <v>0</v>
      </c>
      <c r="AH178" s="608">
        <f t="shared" si="296"/>
        <v>0</v>
      </c>
      <c r="AI178" s="381"/>
      <c r="AJ178" s="82"/>
      <c r="AK178" s="82">
        <f>SUM(AK175:AK177)</f>
        <v>11</v>
      </c>
      <c r="AL178" s="66">
        <f t="shared" si="297"/>
        <v>1</v>
      </c>
    </row>
    <row r="179" spans="1:39" s="117" customFormat="1" ht="16.5" customHeight="1" x14ac:dyDescent="0.25">
      <c r="A179" s="119"/>
      <c r="B179" s="41" t="s">
        <v>313</v>
      </c>
      <c r="C179" s="476" t="s">
        <v>12</v>
      </c>
      <c r="D179" s="477"/>
      <c r="E179" s="478"/>
      <c r="F179" s="478"/>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355"/>
      <c r="AI179" s="377"/>
      <c r="AJ179" s="71"/>
      <c r="AK179" s="71"/>
      <c r="AL179" s="71"/>
    </row>
    <row r="180" spans="1:39" ht="16.5" customHeight="1" x14ac:dyDescent="0.25">
      <c r="A180" s="40"/>
      <c r="B180" s="40"/>
      <c r="C180" s="74" t="s">
        <v>314</v>
      </c>
      <c r="D180" s="931" t="s">
        <v>315</v>
      </c>
      <c r="E180" s="493"/>
      <c r="F180" s="493"/>
      <c r="G180" s="507"/>
      <c r="H180" s="178"/>
      <c r="I180" s="178"/>
      <c r="J180" s="178"/>
      <c r="K180" s="507"/>
      <c r="L180" s="507"/>
      <c r="M180" s="178"/>
      <c r="N180" s="178"/>
      <c r="O180" s="507"/>
      <c r="P180" s="507"/>
      <c r="Q180" s="178"/>
      <c r="R180" s="178"/>
      <c r="S180" s="507"/>
      <c r="T180" s="507"/>
      <c r="U180" s="178"/>
      <c r="V180" s="178"/>
      <c r="W180" s="507"/>
      <c r="X180" s="507"/>
      <c r="Y180" s="178"/>
      <c r="Z180" s="178"/>
      <c r="AA180" s="507"/>
      <c r="AB180" s="507"/>
      <c r="AC180" s="178"/>
      <c r="AD180" s="178"/>
      <c r="AE180" s="507"/>
      <c r="AF180" s="507"/>
      <c r="AG180" s="178"/>
      <c r="AH180" s="85"/>
      <c r="AI180" s="626"/>
      <c r="AJ180" s="178"/>
      <c r="AK180" s="178"/>
      <c r="AL180" s="178"/>
    </row>
    <row r="181" spans="1:39" s="117" customFormat="1" ht="16.5" customHeight="1" x14ac:dyDescent="0.25">
      <c r="A181" s="119"/>
      <c r="B181" s="119"/>
      <c r="C181" s="196"/>
      <c r="D181" s="167" t="s">
        <v>324</v>
      </c>
      <c r="E181" s="105"/>
      <c r="F181" s="106"/>
      <c r="G181" s="1000">
        <f>('SUM HH WITH'!$G$402/'SUM HH WITH'!$G$405)+('SUM HH WITHOUT'!$G$261)/'SUM HH WITHOUT'!$G$264</f>
        <v>0.5</v>
      </c>
      <c r="H181" s="1000">
        <f>('SUM HH WITH'!$H$402/'SUM HH WITH'!$H$405)+('SUM HH WITHOUT'!$H$261)/'SUM HH WITHOUT'!$H$264</f>
        <v>1.5</v>
      </c>
      <c r="I181" s="1000">
        <f>('SUM HH WITH'!$I$402/'SUM HH WITH'!$I$405)+('SUM HH WITHOUT'!$I$261)/'SUM HH WITHOUT'!$I$264</f>
        <v>1</v>
      </c>
      <c r="J181" s="91">
        <f>IF(I$184=0,0,I181/I$184)</f>
        <v>0.5</v>
      </c>
      <c r="K181" s="1000">
        <f>('SUM HH WITH'!$K$402/'SUM HH WITH'!$K$405)+('SUM HH WITHOUT'!$K$261)/'SUM HH WITHOUT'!$K$264</f>
        <v>0</v>
      </c>
      <c r="L181" s="1000">
        <f>('SUM HH WITH'!$L$402/'SUM HH WITH'!$L$405)+('SUM HH WITHOUT'!$L$261)/'SUM HH WITHOUT'!$L$264</f>
        <v>0.5</v>
      </c>
      <c r="M181" s="1000">
        <f>('SUM HH WITH'!$M$402/'SUM HH WITH'!$M$405)+('SUM HH WITHOUT'!$M$261)/'SUM HH WITHOUT'!$M$264</f>
        <v>0.25</v>
      </c>
      <c r="N181" s="91">
        <f>IF(M$184=0,0,M181/M$184)</f>
        <v>0.125</v>
      </c>
      <c r="O181" s="1000">
        <f>'SUM HH WITHOUT'!O261</f>
        <v>0</v>
      </c>
      <c r="P181" s="1000">
        <f>('SUM HH WITH'!$P$402/'SUM HH WITH'!$P$405)+('SUM HH WITHOUT'!$P$261)/'SUM HH WITHOUT'!$P$264</f>
        <v>1</v>
      </c>
      <c r="Q181" s="1000">
        <f>('SUM HH WITH'!$Q$402/'SUM HH WITH'!$Q$405)+('SUM HH WITHOUT'!$Q$261)/'SUM HH WITHOUT'!$Q$264</f>
        <v>1</v>
      </c>
      <c r="R181" s="91">
        <f>IF(Q$184=0,0,Q181/Q$184)</f>
        <v>0.5</v>
      </c>
      <c r="S181" s="1000">
        <f>'SUM HH WITH'!S402</f>
        <v>0</v>
      </c>
      <c r="T181" s="1000">
        <f>('SUM HH WITH'!$T$402/'SUM HH WITH'!$T$405)+('SUM HH WITHOUT'!$T$261)/'SUM HH WITHOUT'!$T$264</f>
        <v>0</v>
      </c>
      <c r="U181" s="1000">
        <f>('SUM HH WITH'!$U$402/'SUM HH WITH'!$U$405)+('SUM HH WITHOUT'!$U$261)/'SUM HH WITHOUT'!$U$264</f>
        <v>0</v>
      </c>
      <c r="V181" s="91">
        <f>IF(U$184=0,0,U181/U$184)</f>
        <v>0</v>
      </c>
      <c r="W181" s="1000">
        <f>('SUM HH WITH'!$W$402/'SUM HH WITH'!$W$405)+('SUM HH WITHOUT'!$W$261)/'SUM HH WITHOUT'!$W$264</f>
        <v>0</v>
      </c>
      <c r="X181" s="1000">
        <f>('SUM HH WITH'!$X$402/'SUM HH WITH'!$X$405)+('SUM HH WITHOUT'!$X$261)/'SUM HH WITHOUT'!$X$264</f>
        <v>1</v>
      </c>
      <c r="Y181" s="1000">
        <f>('SUM HH WITH'!$Y$402/'SUM HH WITH'!$Y$405)+('SUM HH WITHOUT'!$Y$261)/'SUM HH WITHOUT'!$Y$264</f>
        <v>0.5</v>
      </c>
      <c r="Z181" s="91">
        <f>IF(Y$184=0,0,Y181/Y$184)</f>
        <v>0.25</v>
      </c>
      <c r="AA181" s="1000">
        <f>('SUM HH WITH'!$AA$402/'SUM HH WITH'!$AA$405)+('SUM HH WITHOUT'!$AA$261)/'SUM HH WITHOUT'!$AA$264</f>
        <v>0</v>
      </c>
      <c r="AB181" s="1000">
        <f>('SUM HH WITH'!$AB$402/'SUM HH WITH'!$AB$405)+('SUM HH WITHOUT'!$AB$261)/'SUM HH WITHOUT'!$AB$264</f>
        <v>0.5</v>
      </c>
      <c r="AC181" s="1000">
        <f>('SUM HH WITH'!$AC$402/'SUM HH WITH'!$AC$405)+('SUM HH WITHOUT'!$AC$261)/'SUM HH WITHOUT'!$AC$264</f>
        <v>0.5</v>
      </c>
      <c r="AD181" s="91">
        <f>IF(AC$184=0,0,AC181/AC$184)</f>
        <v>0.25</v>
      </c>
      <c r="AE181" s="1000">
        <v>0</v>
      </c>
      <c r="AF181" s="1000">
        <v>0</v>
      </c>
      <c r="AG181" s="1000">
        <v>0</v>
      </c>
      <c r="AH181" s="373">
        <f>IF(AG$184=0,0,AG181/AG$184)</f>
        <v>0</v>
      </c>
      <c r="AI181" s="391">
        <f>G181+K181+O181+S181+W181+AA181+AE181</f>
        <v>0.5</v>
      </c>
      <c r="AJ181" s="17">
        <f>H181+L181+P181+T181+X181+AB181+AF181</f>
        <v>4.5</v>
      </c>
      <c r="AK181" s="1321">
        <f>I181+M181+Q181+U181+Y181+AC181+AG181</f>
        <v>3.25</v>
      </c>
      <c r="AL181" s="91">
        <f>IF(AK$184=0,0,AK181/AK$184)</f>
        <v>0.27083333333333331</v>
      </c>
    </row>
    <row r="182" spans="1:39" s="117" customFormat="1" ht="16.5" customHeight="1" x14ac:dyDescent="0.25">
      <c r="A182" s="119"/>
      <c r="B182" s="119"/>
      <c r="C182" s="136"/>
      <c r="D182" s="167" t="s">
        <v>325</v>
      </c>
      <c r="E182" s="105"/>
      <c r="F182" s="106"/>
      <c r="G182" s="1000">
        <f>('SUM HH WITH'!$G$403/'SUM HH WITH'!$G$405)+('SUM HH WITHOUT'!$G$262)/'SUM HH WITHOUT'!$G$264</f>
        <v>1</v>
      </c>
      <c r="H182" s="1000">
        <f>('SUM HH WITH'!$H$403/'SUM HH WITH'!$H$405)+('SUM HH WITHOUT'!$H$262)/'SUM HH WITHOUT'!$H$264</f>
        <v>0</v>
      </c>
      <c r="I182" s="1000">
        <f>('SUM HH WITH'!$I$403/'SUM HH WITH'!$I$405)+('SUM HH WITHOUT'!$I$262)/'SUM HH WITHOUT'!$I$264</f>
        <v>0.5</v>
      </c>
      <c r="J182" s="91">
        <f>IF(I$184=0,0,I182/I$184)</f>
        <v>0.25</v>
      </c>
      <c r="K182" s="1000">
        <f>('SUM HH WITH'!$K$403/'SUM HH WITH'!$K$405)+('SUM HH WITHOUT'!$K$262)/'SUM HH WITHOUT'!$K$264</f>
        <v>1</v>
      </c>
      <c r="L182" s="1000">
        <f>('SUM HH WITH'!$L$403/'SUM HH WITH'!$L$405)+('SUM HH WITHOUT'!$L$262)/'SUM HH WITHOUT'!$L$264</f>
        <v>0.5</v>
      </c>
      <c r="M182" s="1000">
        <f>('SUM HH WITH'!$M$403/'SUM HH WITH'!$M$405)+('SUM HH WITHOUT'!$M$262)/'SUM HH WITHOUT'!$M$264</f>
        <v>0.75</v>
      </c>
      <c r="N182" s="91">
        <f>IF(M$184=0,0,M182/M$184)</f>
        <v>0.375</v>
      </c>
      <c r="O182" s="1000">
        <f>'SUM HH WITHOUT'!O262</f>
        <v>1</v>
      </c>
      <c r="P182" s="1000">
        <f>('SUM HH WITH'!$P$403/'SUM HH WITH'!$P$405)+('SUM HH WITHOUT'!$P$262)/'SUM HH WITHOUT'!$P$264</f>
        <v>1</v>
      </c>
      <c r="Q182" s="1000">
        <f>('SUM HH WITH'!$Q$403/'SUM HH WITH'!$Q$405)+('SUM HH WITHOUT'!$Q$262)/'SUM HH WITHOUT'!$Q$264</f>
        <v>1</v>
      </c>
      <c r="R182" s="91">
        <f>IF(Q$184=0,0,Q182/Q$184)</f>
        <v>0.5</v>
      </c>
      <c r="S182" s="1000">
        <f>'SUM HH WITH'!S403</f>
        <v>0</v>
      </c>
      <c r="T182" s="1000">
        <f>('SUM HH WITH'!$T$403/'SUM HH WITH'!$T$405)+('SUM HH WITHOUT'!$T$262)/'SUM HH WITHOUT'!$T$264</f>
        <v>0.5</v>
      </c>
      <c r="U182" s="1000">
        <f>('SUM HH WITH'!$U$403/'SUM HH WITH'!$U$405)+('SUM HH WITHOUT'!$U$262)/'SUM HH WITHOUT'!$U$264</f>
        <v>0.5</v>
      </c>
      <c r="V182" s="91">
        <f>IF(U$184=0,0,U182/U$184)</f>
        <v>0.25</v>
      </c>
      <c r="W182" s="1000">
        <f>('SUM HH WITH'!$W$403/'SUM HH WITH'!$W$405)+('SUM HH WITHOUT'!$W$262)/'SUM HH WITHOUT'!$W$264</f>
        <v>1.1666666666666665</v>
      </c>
      <c r="X182" s="1000">
        <f>('SUM HH WITH'!$X$403/'SUM HH WITH'!$X$405)+('SUM HH WITHOUT'!$X$262)/'SUM HH WITHOUT'!$X$264</f>
        <v>0.33333333333333331</v>
      </c>
      <c r="Y182" s="1000">
        <f>('SUM HH WITH'!$Y$403/'SUM HH WITH'!$Y$405)+('SUM HH WITHOUT'!$Y$262)/'SUM HH WITHOUT'!$Y$264</f>
        <v>0.66666666666666663</v>
      </c>
      <c r="Z182" s="91">
        <f>IF(Y$184=0,0,Y182/Y$184)</f>
        <v>0.33333333333333337</v>
      </c>
      <c r="AA182" s="1000">
        <f>('SUM HH WITH'!$AA$403/'SUM HH WITH'!$AA$405)+('SUM HH WITHOUT'!$AA$262)/'SUM HH WITHOUT'!$AA$264</f>
        <v>0</v>
      </c>
      <c r="AB182" s="1000">
        <f>('SUM HH WITH'!$AB$403/'SUM HH WITH'!$AB$405)+('SUM HH WITHOUT'!$AB$262)/'SUM HH WITHOUT'!$AB$264</f>
        <v>0.5</v>
      </c>
      <c r="AC182" s="1000">
        <f>('SUM HH WITH'!$AC$403/'SUM HH WITH'!$AC$405)+('SUM HH WITHOUT'!$AC$262)/'SUM HH WITHOUT'!$AC$264</f>
        <v>0.25</v>
      </c>
      <c r="AD182" s="91">
        <f>IF(AC$184=0,0,AC182/AC$184)</f>
        <v>0.125</v>
      </c>
      <c r="AE182" s="1000">
        <v>0</v>
      </c>
      <c r="AF182" s="1000">
        <v>0</v>
      </c>
      <c r="AG182" s="1000">
        <v>0</v>
      </c>
      <c r="AH182" s="373">
        <f>IF(AG$184=0,0,AG182/AG$184)</f>
        <v>0</v>
      </c>
      <c r="AI182" s="391">
        <f t="shared" ref="AI182:AK183" si="298">G182+K182+O182+S182+W182+AA182+AE182</f>
        <v>4.1666666666666661</v>
      </c>
      <c r="AJ182" s="17">
        <f t="shared" si="298"/>
        <v>2.8333333333333335</v>
      </c>
      <c r="AK182" s="1321">
        <f t="shared" si="298"/>
        <v>3.6666666666666665</v>
      </c>
      <c r="AL182" s="91">
        <f>IF(AK$184=0,0,AK182/AK$184)</f>
        <v>0.30555555555555552</v>
      </c>
    </row>
    <row r="183" spans="1:39" s="117" customFormat="1" ht="16.5" customHeight="1" x14ac:dyDescent="0.25">
      <c r="A183" s="119"/>
      <c r="B183" s="119"/>
      <c r="C183" s="137"/>
      <c r="D183" s="167" t="s">
        <v>326</v>
      </c>
      <c r="E183" s="105"/>
      <c r="F183" s="106"/>
      <c r="G183" s="1000">
        <f>('SUM HH WITH'!$G$404/'SUM HH WITH'!$G$405)+('SUM HH WITHOUT'!$G$263)/'SUM HH WITHOUT'!$G$264</f>
        <v>0.5</v>
      </c>
      <c r="H183" s="1000">
        <f>('SUM HH WITH'!$H$404/'SUM HH WITH'!$H$405)+('SUM HH WITHOUT'!$H$263)/'SUM HH WITHOUT'!$H$264</f>
        <v>0.5</v>
      </c>
      <c r="I183" s="1000">
        <f>('SUM HH WITH'!$I$404/'SUM HH WITH'!$I$405)+('SUM HH WITHOUT'!$I$263)/'SUM HH WITHOUT'!$I$264</f>
        <v>0.5</v>
      </c>
      <c r="J183" s="91">
        <f>IF(I$184=0,0,I183/I$184)</f>
        <v>0.25</v>
      </c>
      <c r="K183" s="1000">
        <f>('SUM HH WITH'!$K$404/'SUM HH WITH'!$K$405)+('SUM HH WITHOUT'!$K$263)/'SUM HH WITHOUT'!$K$264</f>
        <v>1</v>
      </c>
      <c r="L183" s="1000">
        <f>('SUM HH WITH'!$L$404/'SUM HH WITH'!$L$405)+('SUM HH WITHOUT'!$L$263)/'SUM HH WITHOUT'!$L$264</f>
        <v>1</v>
      </c>
      <c r="M183" s="1000">
        <f>('SUM HH WITH'!$M$404/'SUM HH WITH'!$M$405)+('SUM HH WITHOUT'!$M$263)/'SUM HH WITHOUT'!$M$264</f>
        <v>1</v>
      </c>
      <c r="N183" s="91">
        <f>IF(M$184=0,0,M183/M$184)</f>
        <v>0.5</v>
      </c>
      <c r="O183" s="1000">
        <f>'SUM HH WITHOUT'!O263</f>
        <v>0</v>
      </c>
      <c r="P183" s="1000">
        <f>('SUM HH WITH'!$P$404/'SUM HH WITH'!$P$405)+('SUM HH WITHOUT'!$P$263)/'SUM HH WITHOUT'!$P$264</f>
        <v>0</v>
      </c>
      <c r="Q183" s="1000">
        <f>('SUM HH WITH'!$Q$404/'SUM HH WITH'!$Q$405)+('SUM HH WITHOUT'!$Q$263)/'SUM HH WITHOUT'!$Q$264</f>
        <v>0</v>
      </c>
      <c r="R183" s="91">
        <f>IF(Q$184=0,0,Q183/Q$184)</f>
        <v>0</v>
      </c>
      <c r="S183" s="1000">
        <f>'SUM HH WITH'!S404</f>
        <v>1</v>
      </c>
      <c r="T183" s="1000">
        <f>('SUM HH WITH'!$T$404/'SUM HH WITH'!$T$405)+('SUM HH WITHOUT'!$T$263)/'SUM HH WITHOUT'!$T$264</f>
        <v>1.5</v>
      </c>
      <c r="U183" s="1000">
        <f>('SUM HH WITH'!$U$404/'SUM HH WITH'!$U$405)+('SUM HH WITHOUT'!$U$263)/'SUM HH WITHOUT'!$U$264</f>
        <v>1.5</v>
      </c>
      <c r="V183" s="91">
        <f>IF(U$184=0,0,U183/U$184)</f>
        <v>0.75</v>
      </c>
      <c r="W183" s="1000">
        <f>('SUM HH WITH'!$W$404/'SUM HH WITH'!$W$405)+('SUM HH WITHOUT'!$W$263)/'SUM HH WITHOUT'!$W$264</f>
        <v>0.83333333333333326</v>
      </c>
      <c r="X183" s="1000">
        <f>('SUM HH WITH'!$X$404/'SUM HH WITH'!$X$405)+('SUM HH WITHOUT'!$X$263)/'SUM HH WITHOUT'!$X$264</f>
        <v>0.66666666666666663</v>
      </c>
      <c r="Y183" s="1000">
        <f>('SUM HH WITH'!$Y$404/'SUM HH WITH'!$Y$405)+('SUM HH WITHOUT'!$Y$263)/'SUM HH WITHOUT'!$Y$264</f>
        <v>0.83333333333333326</v>
      </c>
      <c r="Z183" s="91">
        <f>IF(Y$184=0,0,Y183/Y$184)</f>
        <v>0.41666666666666669</v>
      </c>
      <c r="AA183" s="1000">
        <f>('SUM HH WITH'!$AA$404/'SUM HH WITH'!$AA$405)+('SUM HH WITHOUT'!$AA$263)/'SUM HH WITHOUT'!$AA$264</f>
        <v>2</v>
      </c>
      <c r="AB183" s="1000">
        <f>('SUM HH WITH'!$AB$404/'SUM HH WITH'!$AB$405)+('SUM HH WITHOUT'!$AB$263)/'SUM HH WITHOUT'!$AB$264</f>
        <v>1</v>
      </c>
      <c r="AC183" s="1000">
        <f>('SUM HH WITH'!$AC$404/'SUM HH WITH'!$AC$405)+('SUM HH WITHOUT'!$AC$263)/'SUM HH WITHOUT'!$AC$264</f>
        <v>1.25</v>
      </c>
      <c r="AD183" s="91">
        <f>IF(AC$184=0,0,AC183/AC$184)</f>
        <v>0.625</v>
      </c>
      <c r="AE183" s="1000">
        <v>0</v>
      </c>
      <c r="AF183" s="1000">
        <v>0</v>
      </c>
      <c r="AG183" s="1000">
        <v>0</v>
      </c>
      <c r="AH183" s="373">
        <f>IF(AG$184=0,0,AG183/AG$184)</f>
        <v>0</v>
      </c>
      <c r="AI183" s="391">
        <f t="shared" si="298"/>
        <v>5.333333333333333</v>
      </c>
      <c r="AJ183" s="17">
        <f t="shared" si="298"/>
        <v>4.6666666666666661</v>
      </c>
      <c r="AK183" s="1321">
        <f t="shared" si="298"/>
        <v>5.083333333333333</v>
      </c>
      <c r="AL183" s="91">
        <f>IF(AK$184=0,0,AK183/AK$184)</f>
        <v>0.4236111111111111</v>
      </c>
    </row>
    <row r="184" spans="1:39" s="4" customFormat="1" ht="16.5" customHeight="1" x14ac:dyDescent="0.25">
      <c r="A184" s="119"/>
      <c r="B184" s="119"/>
      <c r="C184" s="119"/>
      <c r="D184" s="184"/>
      <c r="E184" s="134"/>
      <c r="F184" s="184"/>
      <c r="G184" s="509">
        <f>SUM(G181:G183)</f>
        <v>2</v>
      </c>
      <c r="H184" s="509">
        <f>SUM(H181:H183)</f>
        <v>2</v>
      </c>
      <c r="I184" s="1325">
        <f>SUM(I181:I183)</f>
        <v>2</v>
      </c>
      <c r="J184" s="66">
        <f>IF(I$184=0,0,I184/I$184)</f>
        <v>1</v>
      </c>
      <c r="K184" s="509">
        <f t="shared" ref="K184:L184" si="299">SUM(K181:K183)</f>
        <v>2</v>
      </c>
      <c r="L184" s="509">
        <f t="shared" si="299"/>
        <v>2</v>
      </c>
      <c r="M184" s="82">
        <f>SUM(M181:M183)</f>
        <v>2</v>
      </c>
      <c r="N184" s="66">
        <f>IF(M$184=0,0,M184/M$184)</f>
        <v>1</v>
      </c>
      <c r="O184" s="509">
        <f t="shared" ref="O184" si="300">SUM(O181:O183)</f>
        <v>1</v>
      </c>
      <c r="P184" s="509">
        <f t="shared" ref="P184" si="301">SUM(P181:P183)</f>
        <v>2</v>
      </c>
      <c r="Q184" s="82">
        <f>SUM(Q181:Q183)</f>
        <v>2</v>
      </c>
      <c r="R184" s="66">
        <f>IF(Q$184=0,0,Q184/Q$184)</f>
        <v>1</v>
      </c>
      <c r="S184" s="509">
        <f t="shared" ref="S184" si="302">SUM(S181:S183)</f>
        <v>1</v>
      </c>
      <c r="T184" s="509">
        <f t="shared" ref="T184" si="303">SUM(T181:T183)</f>
        <v>2</v>
      </c>
      <c r="U184" s="82">
        <f>SUM(U181:U183)</f>
        <v>2</v>
      </c>
      <c r="V184" s="66">
        <f>IF(U$184=0,0,U184/U$184)</f>
        <v>1</v>
      </c>
      <c r="W184" s="509">
        <f t="shared" ref="W184" si="304">SUM(W181:W183)</f>
        <v>1.9999999999999998</v>
      </c>
      <c r="X184" s="509">
        <f t="shared" ref="X184" si="305">SUM(X181:X183)</f>
        <v>2</v>
      </c>
      <c r="Y184" s="82">
        <f>SUM(Y181:Y183)</f>
        <v>1.9999999999999998</v>
      </c>
      <c r="Z184" s="66">
        <f>IF(Y$184=0,0,Y184/Y$184)</f>
        <v>1</v>
      </c>
      <c r="AA184" s="509">
        <f t="shared" ref="AA184" si="306">SUM(AA181:AA183)</f>
        <v>2</v>
      </c>
      <c r="AB184" s="509">
        <f t="shared" ref="AB184" si="307">SUM(AB181:AB183)</f>
        <v>2</v>
      </c>
      <c r="AC184" s="82">
        <f>SUM(AC181:AC183)</f>
        <v>2</v>
      </c>
      <c r="AD184" s="66">
        <f>IF(AC$184=0,0,AC184/AC$184)</f>
        <v>1</v>
      </c>
      <c r="AE184" s="509">
        <f t="shared" ref="AE184" si="308">SUM(AE181:AE183)</f>
        <v>0</v>
      </c>
      <c r="AF184" s="509">
        <f t="shared" ref="AF184" si="309">SUM(AF181:AF183)</f>
        <v>0</v>
      </c>
      <c r="AG184" s="82">
        <f>SUM(AG181:AG183)</f>
        <v>0</v>
      </c>
      <c r="AH184" s="608">
        <f>IF(AG$184=0,0,AG184/AG$184)</f>
        <v>0</v>
      </c>
      <c r="AI184" s="622">
        <f>SUM(AI181:AI183)</f>
        <v>10</v>
      </c>
      <c r="AJ184" s="497">
        <f t="shared" ref="AJ184" si="310">SUM(AJ181:AJ183)</f>
        <v>12</v>
      </c>
      <c r="AK184" s="82">
        <f>SUM(AK181:AK183)</f>
        <v>12</v>
      </c>
      <c r="AL184" s="66">
        <f>IF(AK$184=0,0,AK184/AK$184)</f>
        <v>1</v>
      </c>
    </row>
    <row r="185" spans="1:39" s="4" customFormat="1" ht="16.5" customHeight="1" x14ac:dyDescent="0.25">
      <c r="A185" s="119"/>
      <c r="B185" s="119"/>
      <c r="C185" s="119"/>
      <c r="D185" s="184" t="s">
        <v>1020</v>
      </c>
      <c r="E185" s="134"/>
      <c r="F185" s="469"/>
      <c r="G185" s="66">
        <f>AVERAGE('SUM HH WITH'!$G$406,'SUM HH WITHOUT'!$G$265)</f>
        <v>0.65476190476190466</v>
      </c>
      <c r="H185" s="66">
        <f>AVERAGE('SUM HH WITH'!$H$406,'SUM HH WITHOUT'!$H$265)</f>
        <v>0.75238095238095237</v>
      </c>
      <c r="I185" s="205">
        <f>AVERAGE('SUM HH WITH'!$I$406,'SUM HH WITHOUT'!$I$265)</f>
        <v>0.70357142857142851</v>
      </c>
      <c r="J185" s="500"/>
      <c r="K185" s="66">
        <f>AVERAGE('SUM HH WITH'!$K$406,'SUM HH WITHOUT'!$K$265)</f>
        <v>0.36904761904761907</v>
      </c>
      <c r="L185" s="66">
        <f>AVERAGE('SUM HH WITH'!$L$406,'SUM HH WITHOUT'!$L$265)</f>
        <v>0.56666666666666665</v>
      </c>
      <c r="M185" s="205">
        <f>AVERAGE('SUM HH WITH'!$M$406,'SUM HH WITHOUT'!$M$265)</f>
        <v>0.4678571428571428</v>
      </c>
      <c r="N185" s="500"/>
      <c r="O185" s="66">
        <f>AVERAGE('SUM HH WITH'!$O$406,'SUM HH WITHOUT'!$O$265)</f>
        <v>0.54285714285714282</v>
      </c>
      <c r="P185" s="66">
        <f>AVERAGE('SUM HH WITH'!$P$406,'SUM HH WITHOUT'!$P$265)</f>
        <v>0.70634920634920628</v>
      </c>
      <c r="Q185" s="205">
        <f>AVERAGE('SUM HH WITH'!$Q$406,'SUM HH WITHOUT'!$Q$265)</f>
        <v>0.69920634920634916</v>
      </c>
      <c r="R185" s="500"/>
      <c r="S185" s="66">
        <f>AVERAGE('SUM HH WITH'!$S$406,'SUM HH WITHOUT'!$S$265)</f>
        <v>0.42857142857142855</v>
      </c>
      <c r="T185" s="66">
        <f>AVERAGE('SUM HH WITH'!$T$406,'SUM HH WITHOUT'!$T$265)</f>
        <v>0.47959183673469385</v>
      </c>
      <c r="U185" s="205">
        <f>AVERAGE('SUM HH WITH'!$U$406,'SUM HH WITHOUT'!$U$265)</f>
        <v>0.45578231292517013</v>
      </c>
      <c r="V185" s="500"/>
      <c r="W185" s="66">
        <f>AVERAGE('SUM HH WITH'!$W$406,'SUM HH WITHOUT'!$W$265)</f>
        <v>0.57256235827664392</v>
      </c>
      <c r="X185" s="66">
        <f>AVERAGE('SUM HH WITH'!$X$406,'SUM HH WITHOUT'!$X$265)</f>
        <v>0.61984126984126986</v>
      </c>
      <c r="Y185" s="205">
        <f>AVERAGE('SUM HH WITH'!$Y$406,'SUM HH WITHOUT'!$Y$265)</f>
        <v>0.5978684807256236</v>
      </c>
      <c r="Z185" s="500"/>
      <c r="AA185" s="66">
        <f>AVERAGE('SUM HH WITH'!$AA$406,'SUM HH WITHOUT'!$AA$265)</f>
        <v>0.3571428571428571</v>
      </c>
      <c r="AB185" s="66">
        <f>AVERAGE('SUM HH WITH'!$AB$406,'SUM HH WITHOUT'!$AB$265)</f>
        <v>0.51488095238095233</v>
      </c>
      <c r="AC185" s="205">
        <f>AVERAGE('SUM HH WITH'!$AC$406,'SUM HH WITHOUT'!$AC$265)</f>
        <v>0.45238095238095238</v>
      </c>
      <c r="AD185" s="500"/>
      <c r="AE185" s="66"/>
      <c r="AF185" s="66"/>
      <c r="AG185" s="205"/>
      <c r="AH185" s="614"/>
      <c r="AI185" s="619">
        <f>AVERAGE(G185,K185,P185,S185,W185,AA185,AE185)</f>
        <v>0.51473922902494329</v>
      </c>
      <c r="AJ185" s="66">
        <f t="shared" ref="AJ185:AK185" si="311">AVERAGE(H185,L185,Q185,T185,X185,AB185,AF185)</f>
        <v>0.60542800453514733</v>
      </c>
      <c r="AK185" s="205">
        <f t="shared" si="311"/>
        <v>0.53549206349206346</v>
      </c>
      <c r="AL185" s="500"/>
    </row>
    <row r="186" spans="1:39" s="4" customFormat="1" ht="16.5" customHeight="1" x14ac:dyDescent="0.25">
      <c r="A186" s="119"/>
      <c r="B186" s="119"/>
      <c r="C186" s="119"/>
      <c r="D186" s="931" t="s">
        <v>880</v>
      </c>
      <c r="E186" s="493"/>
      <c r="F186" s="493"/>
      <c r="G186" s="40" t="str">
        <f>IF(G185="","",IF(G185&gt;=0.75,"Good",IF(AND(G185&gt;=0.5,G185&lt;0.75),"Average",IF(G185&lt;0.5,"Poor",0))))</f>
        <v>Average</v>
      </c>
      <c r="H186" s="40" t="str">
        <f t="shared" ref="H186:I186" si="312">IF(H185="","",IF(H185&gt;=0.75,"Good",IF(AND(H185&gt;=0.5,H185&lt;0.75),"Average",IF(H185&lt;0.5,"Poor",0))))</f>
        <v>Good</v>
      </c>
      <c r="I186" s="102" t="str">
        <f t="shared" si="312"/>
        <v>Average</v>
      </c>
      <c r="J186" s="197"/>
      <c r="K186" s="40" t="str">
        <f t="shared" ref="K186:M186" si="313">IF(K185="","",IF(K185&gt;=0.75,"Good",IF(AND(K185&gt;=0.5,K185&lt;0.75),"Average",IF(K185&lt;0.5,"Poor",0))))</f>
        <v>Poor</v>
      </c>
      <c r="L186" s="40" t="str">
        <f t="shared" si="313"/>
        <v>Average</v>
      </c>
      <c r="M186" s="102" t="str">
        <f t="shared" si="313"/>
        <v>Poor</v>
      </c>
      <c r="N186" s="197"/>
      <c r="O186" s="40" t="str">
        <f t="shared" ref="O186" si="314">IF(O185="","",IF(O185&gt;=0.75,"Good",IF(AND(O185&gt;=0.5,O185&lt;0.75),"Average",IF(O185&lt;0.5,"Poor",0))))</f>
        <v>Average</v>
      </c>
      <c r="P186" s="40" t="str">
        <f t="shared" ref="P186:Q186" si="315">IF(P185="","",IF(P185&gt;=0.75,"Good",IF(AND(P185&gt;=0.5,P185&lt;0.75),"Average",IF(P185&lt;0.5,"Poor",0))))</f>
        <v>Average</v>
      </c>
      <c r="Q186" s="102" t="str">
        <f t="shared" si="315"/>
        <v>Average</v>
      </c>
      <c r="R186" s="197"/>
      <c r="S186" s="40" t="str">
        <f t="shared" ref="S186" si="316">IF(S185="","",IF(S185&gt;=0.75,"Good",IF(AND(S185&gt;=0.5,S185&lt;0.75),"Average",IF(S185&lt;0.5,"Poor",0))))</f>
        <v>Poor</v>
      </c>
      <c r="T186" s="40" t="str">
        <f t="shared" ref="T186:U186" si="317">IF(T185="","",IF(T185&gt;=0.75,"Good",IF(AND(T185&gt;=0.5,T185&lt;0.75),"Average",IF(T185&lt;0.5,"Poor",0))))</f>
        <v>Poor</v>
      </c>
      <c r="U186" s="102" t="str">
        <f t="shared" si="317"/>
        <v>Poor</v>
      </c>
      <c r="V186" s="197"/>
      <c r="W186" s="40" t="str">
        <f t="shared" ref="W186" si="318">IF(W185="","",IF(W185&gt;=0.75,"Good",IF(AND(W185&gt;=0.5,W185&lt;0.75),"Average",IF(W185&lt;0.5,"Poor",0))))</f>
        <v>Average</v>
      </c>
      <c r="X186" s="40" t="str">
        <f t="shared" ref="X186:Y186" si="319">IF(X185="","",IF(X185&gt;=0.75,"Good",IF(AND(X185&gt;=0.5,X185&lt;0.75),"Average",IF(X185&lt;0.5,"Poor",0))))</f>
        <v>Average</v>
      </c>
      <c r="Y186" s="102" t="str">
        <f t="shared" si="319"/>
        <v>Average</v>
      </c>
      <c r="Z186" s="197"/>
      <c r="AA186" s="40" t="str">
        <f t="shared" ref="AA186" si="320">IF(AA185="","",IF(AA185&gt;=0.75,"Good",IF(AND(AA185&gt;=0.5,AA185&lt;0.75),"Average",IF(AA185&lt;0.5,"Poor",0))))</f>
        <v>Poor</v>
      </c>
      <c r="AB186" s="40" t="str">
        <f t="shared" ref="AB186:AC186" si="321">IF(AB185="","",IF(AB185&gt;=0.75,"Good",IF(AND(AB185&gt;=0.5,AB185&lt;0.75),"Average",IF(AB185&lt;0.5,"Poor",0))))</f>
        <v>Average</v>
      </c>
      <c r="AC186" s="102" t="str">
        <f t="shared" si="321"/>
        <v>Poor</v>
      </c>
      <c r="AD186" s="197"/>
      <c r="AE186" s="40" t="str">
        <f t="shared" ref="AE186" si="322">IF(AE185="","",IF(AE185&gt;=0.75,"Good",IF(AND(AE185&gt;=0.5,AE185&lt;0.75),"Average",IF(AE185&lt;0.5,"Poor",0))))</f>
        <v/>
      </c>
      <c r="AF186" s="40" t="str">
        <f t="shared" ref="AF186:AG186" si="323">IF(AF185="","",IF(AF185&gt;=0.75,"Good",IF(AND(AF185&gt;=0.5,AF185&lt;0.75),"Average",IF(AF185&lt;0.5,"Poor",0))))</f>
        <v/>
      </c>
      <c r="AG186" s="102" t="str">
        <f t="shared" si="323"/>
        <v/>
      </c>
      <c r="AH186" s="191"/>
      <c r="AI186" s="627" t="str">
        <f>IF(AI185="","",IF(AI185&gt;=0.75,"Good",IF(AND(AI185&gt;=0.5,AI185&lt;0.75),"Average",IF(AI185&lt;0.5,"Poor",0))))</f>
        <v>Average</v>
      </c>
      <c r="AJ186" s="40" t="str">
        <f t="shared" ref="AJ186:AK186" si="324">IF(AJ185="","",IF(AJ185&gt;=0.75,"Good",IF(AND(AJ185&gt;=0.5,AJ185&lt;0.75),"Average",IF(AJ185&lt;0.5,"Poor",0))))</f>
        <v>Average</v>
      </c>
      <c r="AK186" s="102" t="str">
        <f t="shared" si="324"/>
        <v>Average</v>
      </c>
      <c r="AL186" s="197"/>
    </row>
    <row r="187" spans="1:39" s="2" customFormat="1" ht="16.5" customHeight="1" x14ac:dyDescent="0.25">
      <c r="D187" s="3"/>
      <c r="E187" s="3"/>
      <c r="F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row>
    <row r="188" spans="1:39" s="2" customFormat="1" ht="16.5" customHeight="1" x14ac:dyDescent="0.25">
      <c r="D188" s="3"/>
      <c r="E188" s="3"/>
      <c r="F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row>
    <row r="189" spans="1:39" s="2" customFormat="1" ht="16.5" customHeight="1" x14ac:dyDescent="0.25">
      <c r="D189" s="3"/>
      <c r="E189" s="3"/>
      <c r="F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row>
    <row r="190" spans="1:39" s="2" customFormat="1" ht="16.5" customHeight="1" x14ac:dyDescent="0.25">
      <c r="D190" s="3"/>
      <c r="E190" s="3"/>
      <c r="F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row>
    <row r="191" spans="1:39" s="2" customFormat="1" ht="16.5" customHeight="1" x14ac:dyDescent="0.25">
      <c r="D191" s="3"/>
      <c r="E191" s="3"/>
      <c r="F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row>
    <row r="192" spans="1:39" s="2" customFormat="1" ht="16.5" customHeight="1" x14ac:dyDescent="0.25">
      <c r="D192" s="3"/>
      <c r="E192" s="3"/>
      <c r="F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row>
    <row r="193" spans="4:39" s="2" customFormat="1" ht="16.5" customHeight="1" x14ac:dyDescent="0.25">
      <c r="D193" s="3"/>
      <c r="E193" s="3"/>
      <c r="F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row>
    <row r="194" spans="4:39" s="2" customFormat="1" ht="16.5" customHeight="1" x14ac:dyDescent="0.25">
      <c r="D194" s="3"/>
      <c r="E194" s="3"/>
      <c r="F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row>
    <row r="195" spans="4:39" s="2" customFormat="1" ht="16.5" customHeight="1" x14ac:dyDescent="0.25">
      <c r="D195" s="3"/>
      <c r="E195" s="3"/>
      <c r="F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row>
    <row r="196" spans="4:39" s="2" customFormat="1" ht="16.5" customHeight="1" x14ac:dyDescent="0.25">
      <c r="D196" s="3"/>
      <c r="E196" s="3"/>
      <c r="F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row>
    <row r="197" spans="4:39" s="2" customFormat="1" ht="16.5" customHeight="1" x14ac:dyDescent="0.25">
      <c r="D197" s="3"/>
      <c r="E197" s="3"/>
      <c r="F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row>
    <row r="198" spans="4:39" s="2" customFormat="1" ht="16.5" customHeight="1" x14ac:dyDescent="0.25">
      <c r="D198" s="3"/>
      <c r="E198" s="3"/>
      <c r="F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row>
    <row r="199" spans="4:39" s="2" customFormat="1" ht="16.5" customHeight="1" x14ac:dyDescent="0.25">
      <c r="D199" s="3"/>
      <c r="E199" s="3"/>
      <c r="F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row>
    <row r="200" spans="4:39" s="2" customFormat="1" ht="16.5" customHeight="1" x14ac:dyDescent="0.25">
      <c r="D200" s="3"/>
      <c r="E200" s="3"/>
      <c r="F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row>
    <row r="201" spans="4:39" s="2" customFormat="1" ht="16.5" customHeight="1" x14ac:dyDescent="0.25">
      <c r="D201" s="3"/>
      <c r="E201" s="3"/>
      <c r="F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row>
    <row r="202" spans="4:39" s="2" customFormat="1" ht="16.5" customHeight="1" x14ac:dyDescent="0.25">
      <c r="D202" s="3"/>
      <c r="E202" s="3"/>
      <c r="F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row>
    <row r="203" spans="4:39" s="2" customFormat="1" ht="16.5" customHeight="1" x14ac:dyDescent="0.25">
      <c r="D203" s="3"/>
      <c r="E203" s="3"/>
      <c r="F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row>
    <row r="204" spans="4:39" s="2" customFormat="1" ht="16.5" customHeight="1" x14ac:dyDescent="0.25">
      <c r="D204" s="3"/>
      <c r="E204" s="3"/>
      <c r="F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row>
    <row r="205" spans="4:39" s="2" customFormat="1" ht="16.5" customHeight="1" x14ac:dyDescent="0.25">
      <c r="D205" s="3"/>
      <c r="E205" s="3"/>
      <c r="F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row>
    <row r="206" spans="4:39" s="2" customFormat="1" ht="16.5" customHeight="1" x14ac:dyDescent="0.25">
      <c r="D206" s="3"/>
      <c r="E206" s="3"/>
      <c r="F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row>
    <row r="207" spans="4:39" s="2" customFormat="1" ht="16.5" customHeight="1" x14ac:dyDescent="0.25">
      <c r="D207" s="3"/>
      <c r="E207" s="3"/>
      <c r="F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row>
    <row r="208" spans="4:39" s="2" customFormat="1" ht="16.5" customHeight="1" x14ac:dyDescent="0.25">
      <c r="D208" s="3"/>
      <c r="E208" s="3"/>
      <c r="F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row>
    <row r="209" spans="4:39" s="2" customFormat="1" ht="16.5" customHeight="1" x14ac:dyDescent="0.25">
      <c r="D209" s="3"/>
      <c r="E209" s="3"/>
      <c r="F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row>
    <row r="210" spans="4:39" s="2" customFormat="1" ht="16.5" customHeight="1" x14ac:dyDescent="0.25">
      <c r="D210" s="3"/>
      <c r="E210" s="3"/>
      <c r="F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row>
    <row r="211" spans="4:39" s="2" customFormat="1" ht="16.5" customHeight="1" x14ac:dyDescent="0.25">
      <c r="D211" s="3"/>
      <c r="E211" s="3"/>
      <c r="F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row>
    <row r="212" spans="4:39" s="2" customFormat="1" ht="16.5" customHeight="1" x14ac:dyDescent="0.25">
      <c r="D212" s="3"/>
      <c r="E212" s="3"/>
      <c r="F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row>
    <row r="213" spans="4:39" s="2" customFormat="1" ht="16.5" customHeight="1" x14ac:dyDescent="0.25">
      <c r="D213" s="3"/>
      <c r="E213" s="3"/>
      <c r="F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row>
    <row r="214" spans="4:39" s="2" customFormat="1" ht="16.5" customHeight="1" x14ac:dyDescent="0.25">
      <c r="D214" s="3"/>
      <c r="E214" s="3"/>
      <c r="F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row>
    <row r="215" spans="4:39" s="2" customFormat="1" ht="16.5" customHeight="1" x14ac:dyDescent="0.25">
      <c r="D215" s="3"/>
      <c r="E215" s="3"/>
      <c r="F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row>
    <row r="216" spans="4:39" s="2" customFormat="1" ht="16.5" customHeight="1" x14ac:dyDescent="0.25">
      <c r="D216" s="3"/>
      <c r="E216" s="3"/>
      <c r="F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row>
    <row r="217" spans="4:39" s="2" customFormat="1" ht="16.5" customHeight="1" x14ac:dyDescent="0.25">
      <c r="D217" s="3"/>
      <c r="E217" s="3"/>
      <c r="F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row>
    <row r="218" spans="4:39" s="2" customFormat="1" ht="16.5" customHeight="1" x14ac:dyDescent="0.25">
      <c r="D218" s="3"/>
      <c r="E218" s="3"/>
      <c r="F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row>
    <row r="219" spans="4:39" s="2" customFormat="1" ht="16.5" customHeight="1" x14ac:dyDescent="0.25">
      <c r="D219" s="3"/>
      <c r="E219" s="3"/>
      <c r="F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row>
    <row r="220" spans="4:39" s="2" customFormat="1" ht="16.5" customHeight="1" x14ac:dyDescent="0.25">
      <c r="D220" s="3"/>
      <c r="E220" s="3"/>
      <c r="F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row>
    <row r="221" spans="4:39" s="2" customFormat="1" ht="16.5" customHeight="1" x14ac:dyDescent="0.25">
      <c r="D221" s="3"/>
      <c r="E221" s="3"/>
      <c r="F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row>
    <row r="222" spans="4:39" s="2" customFormat="1" ht="16.5" customHeight="1" x14ac:dyDescent="0.25">
      <c r="D222" s="3"/>
      <c r="E222" s="3"/>
      <c r="F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row>
    <row r="223" spans="4:39" s="2" customFormat="1" ht="16.5" customHeight="1" x14ac:dyDescent="0.25">
      <c r="D223" s="3"/>
      <c r="E223" s="3"/>
      <c r="F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row>
    <row r="224" spans="4:39" s="2" customFormat="1" ht="16.5" customHeight="1" x14ac:dyDescent="0.25">
      <c r="D224" s="3"/>
      <c r="E224" s="3"/>
      <c r="F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row>
    <row r="225" spans="4:39" s="2" customFormat="1" ht="16.5" customHeight="1" x14ac:dyDescent="0.25">
      <c r="D225" s="3"/>
      <c r="E225" s="3"/>
      <c r="F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row>
    <row r="226" spans="4:39" s="2" customFormat="1" ht="16.5" customHeight="1" x14ac:dyDescent="0.25">
      <c r="D226" s="3"/>
      <c r="E226" s="3"/>
      <c r="F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row>
    <row r="227" spans="4:39" s="2" customFormat="1" ht="16.5" customHeight="1" x14ac:dyDescent="0.25">
      <c r="D227" s="3"/>
      <c r="E227" s="3"/>
      <c r="F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row>
    <row r="228" spans="4:39" s="2" customFormat="1" ht="16.5" customHeight="1" x14ac:dyDescent="0.25">
      <c r="D228" s="3"/>
      <c r="E228" s="3"/>
      <c r="F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row>
    <row r="229" spans="4:39" s="2" customFormat="1" ht="16.5" customHeight="1" x14ac:dyDescent="0.25">
      <c r="D229" s="3"/>
      <c r="E229" s="3"/>
      <c r="F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row>
    <row r="230" spans="4:39" s="2" customFormat="1" ht="16.5" customHeight="1" x14ac:dyDescent="0.25">
      <c r="D230" s="3"/>
      <c r="E230" s="3"/>
      <c r="F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row>
    <row r="231" spans="4:39" s="2" customFormat="1" ht="16.5" customHeight="1" x14ac:dyDescent="0.25">
      <c r="D231" s="3"/>
      <c r="E231" s="3"/>
      <c r="F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row>
    <row r="232" spans="4:39" s="2" customFormat="1" ht="16.5" customHeight="1" x14ac:dyDescent="0.25">
      <c r="D232" s="3"/>
      <c r="E232" s="3"/>
      <c r="F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row>
    <row r="233" spans="4:39" s="2" customFormat="1" ht="16.5" customHeight="1" x14ac:dyDescent="0.25">
      <c r="D233" s="3"/>
      <c r="E233" s="3"/>
      <c r="F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row>
    <row r="234" spans="4:39" s="2" customFormat="1" ht="16.5" customHeight="1" x14ac:dyDescent="0.25">
      <c r="D234" s="3"/>
      <c r="E234" s="3"/>
      <c r="F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row>
    <row r="235" spans="4:39" s="2" customFormat="1" ht="16.5" customHeight="1" x14ac:dyDescent="0.25">
      <c r="D235" s="3"/>
      <c r="E235" s="3"/>
      <c r="F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row>
    <row r="236" spans="4:39" s="2" customFormat="1" ht="16.5" customHeight="1" x14ac:dyDescent="0.25">
      <c r="D236" s="3"/>
      <c r="E236" s="3"/>
      <c r="F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row>
    <row r="237" spans="4:39" s="2" customFormat="1" ht="16.5" customHeight="1" x14ac:dyDescent="0.25">
      <c r="D237" s="3"/>
      <c r="E237" s="3"/>
      <c r="F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row>
    <row r="238" spans="4:39" s="2" customFormat="1" ht="16.5" customHeight="1" x14ac:dyDescent="0.25">
      <c r="D238" s="3"/>
      <c r="E238" s="3"/>
      <c r="F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row>
    <row r="239" spans="4:39" s="2" customFormat="1" ht="16.5" customHeight="1" x14ac:dyDescent="0.25">
      <c r="D239" s="3"/>
      <c r="E239" s="3"/>
      <c r="F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row>
    <row r="240" spans="4:39" s="2" customFormat="1" ht="16.5" customHeight="1" x14ac:dyDescent="0.25">
      <c r="D240" s="3"/>
      <c r="E240" s="3"/>
      <c r="F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row>
    <row r="241" spans="4:39" s="2" customFormat="1" ht="16.5" customHeight="1" x14ac:dyDescent="0.25">
      <c r="D241" s="3"/>
      <c r="E241" s="3"/>
      <c r="F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row>
    <row r="242" spans="4:39" s="2" customFormat="1" ht="16.5" customHeight="1" x14ac:dyDescent="0.25">
      <c r="D242" s="3"/>
      <c r="E242" s="3"/>
      <c r="F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row>
    <row r="243" spans="4:39" s="2" customFormat="1" ht="16.5" customHeight="1" x14ac:dyDescent="0.25">
      <c r="D243" s="3"/>
      <c r="E243" s="3"/>
      <c r="F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row>
    <row r="244" spans="4:39" s="2" customFormat="1" ht="16.5" customHeight="1" x14ac:dyDescent="0.25">
      <c r="D244" s="3"/>
      <c r="E244" s="3"/>
      <c r="F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row>
    <row r="245" spans="4:39" s="2" customFormat="1" ht="16.5" customHeight="1" x14ac:dyDescent="0.25">
      <c r="D245" s="3"/>
      <c r="E245" s="3"/>
      <c r="F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row>
    <row r="246" spans="4:39" s="2" customFormat="1" ht="16.5" customHeight="1" x14ac:dyDescent="0.25">
      <c r="D246" s="3"/>
      <c r="E246" s="3"/>
      <c r="F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row>
    <row r="247" spans="4:39" s="2" customFormat="1" ht="16.5" customHeight="1" x14ac:dyDescent="0.25">
      <c r="D247" s="3"/>
      <c r="E247" s="3"/>
      <c r="F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row>
    <row r="248" spans="4:39" s="2" customFormat="1" ht="16.5" customHeight="1" x14ac:dyDescent="0.25">
      <c r="D248" s="3"/>
      <c r="E248" s="3"/>
      <c r="F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row>
    <row r="249" spans="4:39" s="2" customFormat="1" ht="16.5" customHeight="1" x14ac:dyDescent="0.25">
      <c r="D249" s="3"/>
      <c r="E249" s="3"/>
      <c r="F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row>
    <row r="250" spans="4:39" s="2" customFormat="1" ht="16.5" customHeight="1" x14ac:dyDescent="0.25">
      <c r="D250" s="3"/>
      <c r="E250" s="3"/>
      <c r="F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row>
    <row r="251" spans="4:39" s="2" customFormat="1" ht="16.5" customHeight="1" x14ac:dyDescent="0.25">
      <c r="D251" s="3"/>
      <c r="E251" s="3"/>
      <c r="F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row>
    <row r="252" spans="4:39" s="2" customFormat="1" ht="16.5" customHeight="1" x14ac:dyDescent="0.25">
      <c r="D252" s="3"/>
      <c r="E252" s="3"/>
      <c r="F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row>
    <row r="253" spans="4:39" s="2" customFormat="1" ht="16.5" customHeight="1" x14ac:dyDescent="0.25">
      <c r="D253" s="3"/>
      <c r="E253" s="3"/>
      <c r="F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row>
    <row r="254" spans="4:39" s="2" customFormat="1" ht="16.5" customHeight="1" x14ac:dyDescent="0.25">
      <c r="D254" s="3"/>
      <c r="E254" s="3"/>
      <c r="F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row>
    <row r="255" spans="4:39" s="2" customFormat="1" ht="16.5" customHeight="1" x14ac:dyDescent="0.25">
      <c r="D255" s="3"/>
      <c r="E255" s="3"/>
      <c r="F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row>
    <row r="256" spans="4:39" s="2" customFormat="1" ht="16.5" customHeight="1" x14ac:dyDescent="0.25">
      <c r="D256" s="3"/>
      <c r="E256" s="3"/>
      <c r="F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row>
    <row r="257" spans="4:39" s="2" customFormat="1" ht="16.5" customHeight="1" x14ac:dyDescent="0.25">
      <c r="D257" s="3"/>
      <c r="E257" s="3"/>
      <c r="F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row>
    <row r="258" spans="4:39" s="2" customFormat="1" ht="16.5" customHeight="1" x14ac:dyDescent="0.25">
      <c r="D258" s="3"/>
      <c r="E258" s="3"/>
      <c r="F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row>
    <row r="259" spans="4:39" s="2" customFormat="1" ht="16.5" customHeight="1" x14ac:dyDescent="0.25">
      <c r="D259" s="3"/>
      <c r="E259" s="3"/>
      <c r="F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row>
    <row r="260" spans="4:39" s="2" customFormat="1" ht="16.5" customHeight="1" x14ac:dyDescent="0.25">
      <c r="D260" s="3"/>
      <c r="E260" s="3"/>
      <c r="F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row>
    <row r="261" spans="4:39" s="2" customFormat="1" ht="16.5" customHeight="1" x14ac:dyDescent="0.25">
      <c r="D261" s="3"/>
      <c r="E261" s="3"/>
      <c r="F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row>
    <row r="262" spans="4:39" s="2" customFormat="1" ht="16.5" customHeight="1" x14ac:dyDescent="0.25">
      <c r="D262" s="3"/>
      <c r="E262" s="3"/>
      <c r="F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row>
    <row r="263" spans="4:39" s="2" customFormat="1" ht="16.5" customHeight="1" x14ac:dyDescent="0.25">
      <c r="D263" s="3"/>
      <c r="E263" s="3"/>
      <c r="F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row>
    <row r="264" spans="4:39" s="2" customFormat="1" ht="16.5" customHeight="1" x14ac:dyDescent="0.25">
      <c r="D264" s="3"/>
      <c r="E264" s="3"/>
      <c r="F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row>
    <row r="265" spans="4:39" s="2" customFormat="1" ht="16.5" customHeight="1" x14ac:dyDescent="0.25">
      <c r="D265" s="3"/>
      <c r="E265" s="3"/>
      <c r="F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row>
    <row r="266" spans="4:39" s="2" customFormat="1" ht="16.5" customHeight="1" x14ac:dyDescent="0.25">
      <c r="D266" s="3"/>
      <c r="E266" s="3"/>
      <c r="F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row>
    <row r="267" spans="4:39" s="2" customFormat="1" ht="16.5" customHeight="1" x14ac:dyDescent="0.25">
      <c r="D267" s="3"/>
      <c r="E267" s="3"/>
      <c r="F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row>
    <row r="268" spans="4:39" s="2" customFormat="1" ht="16.5" customHeight="1" x14ac:dyDescent="0.25">
      <c r="D268" s="3"/>
      <c r="E268" s="3"/>
      <c r="F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row>
    <row r="269" spans="4:39" s="2" customFormat="1" ht="16.5" customHeight="1" x14ac:dyDescent="0.25">
      <c r="D269" s="3"/>
      <c r="E269" s="3"/>
      <c r="F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row>
    <row r="270" spans="4:39" s="2" customFormat="1" ht="16.5" customHeight="1" x14ac:dyDescent="0.25">
      <c r="D270" s="3"/>
      <c r="E270" s="3"/>
      <c r="F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row>
    <row r="271" spans="4:39" s="2" customFormat="1" ht="16.5" customHeight="1" x14ac:dyDescent="0.25">
      <c r="D271" s="3"/>
      <c r="E271" s="3"/>
      <c r="F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row>
    <row r="272" spans="4:39" s="2" customFormat="1" ht="16.5" customHeight="1" x14ac:dyDescent="0.25">
      <c r="D272" s="3"/>
      <c r="E272" s="3"/>
      <c r="F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row>
  </sheetData>
  <mergeCells count="16">
    <mergeCell ref="AE7:AH7"/>
    <mergeCell ref="AI7:AL7"/>
    <mergeCell ref="G8:J8"/>
    <mergeCell ref="K8:N8"/>
    <mergeCell ref="O8:R8"/>
    <mergeCell ref="S8:V8"/>
    <mergeCell ref="W8:Z8"/>
    <mergeCell ref="AA8:AD8"/>
    <mergeCell ref="AE8:AH8"/>
    <mergeCell ref="AI8:AL8"/>
    <mergeCell ref="G7:J7"/>
    <mergeCell ref="K7:N7"/>
    <mergeCell ref="O7:R7"/>
    <mergeCell ref="S7:V7"/>
    <mergeCell ref="W7:Z7"/>
    <mergeCell ref="AA7:AD7"/>
  </mergeCells>
  <printOptions horizontalCentered="1"/>
  <pageMargins left="0.5" right="0.5" top="0.75" bottom="0.75" header="0.3" footer="0.3"/>
  <pageSetup paperSize="9" scale="38" fitToHeight="4" orientation="landscape" r:id="rId1"/>
  <headerFooter>
    <oddFooter>&amp;L&amp;F&amp;C&amp;P / &amp;N&amp;RSANITATION DEMAND AND SUPPLY STUDY</oddFooter>
  </headerFooter>
  <rowBreaks count="2" manualBreakCount="2">
    <brk id="101" max="40" man="1"/>
    <brk id="178" max="40" man="1"/>
  </rowBreaks>
  <ignoredErrors>
    <ignoredError sqref="AK13 Z19:AI19 J19:V19 Z26:AH27 J26:V27 G44:AN44 I41:J43 I40:AT40 AO41:AT43 V74:AH81 V52:AH68 J52:R83 I109 J84:L92 N84:P92 R84:R92 M109:AM109 AK108 AK117 V126:AJ132 J126:S132 J144:AL169 J187:AL207 J185:L185 AH185:AL185 J170:L180 N170:P180 J186:L186 N186:P186 N185:P185 R170:T180 R186:T186 R185:T185 V170:X180 V186:X186 V185:X185 Z170:AB180 Z186:AB186 Z185:AB185 AD170:AF180 AD186:AF186 AD185 AH170:AL180 AH186:AL186 J31:V36 J28:J30 M28:N30 Q28:R30 U28:V30 Z31:AH36 Z28:Z30 AC28:AD30 AG28:AH30 G42 G41:H41 G43:H43 H42 M41:N43 K41:L43 Q41:R43 O41:P43 U41:V43 S41:T43 Y41:Z43 W41:X43 AC41:AD43 AA41:AB43 AG41:AN43 AE41:AF43 AH184:AL184 AH181 AL181 AH182:AH183 AL182:AL183 J184:L184 J181 J182 J183 N184:P184 N181 N182 N183 R184:T184 R181 R182 R183 V184:X184 V181 V182 V183 Z184:AB184 Z181 Z182 Z183 AD184:AF184 AD181 AD182 AD183"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39</vt:i4>
      </vt:variant>
    </vt:vector>
  </HeadingPairs>
  <TitlesOfParts>
    <vt:vector size="64" baseType="lpstr">
      <vt:lpstr>STUDY VILLAGES_ORI</vt:lpstr>
      <vt:lpstr>DASHBOARD</vt:lpstr>
      <vt:lpstr>4 P</vt:lpstr>
      <vt:lpstr>STUDY VILLAGES</vt:lpstr>
      <vt:lpstr>WHO-SUPPLY</vt:lpstr>
      <vt:lpstr>SAMPLE</vt:lpstr>
      <vt:lpstr>SUM HH WITH</vt:lpstr>
      <vt:lpstr>SUM HH WITHOUT</vt:lpstr>
      <vt:lpstr>SUM HH</vt:lpstr>
      <vt:lpstr>HH WITH COM #1 </vt:lpstr>
      <vt:lpstr>HH WITH COM #2</vt:lpstr>
      <vt:lpstr>HH WITH COM #3</vt:lpstr>
      <vt:lpstr>HH WITH COM #4</vt:lpstr>
      <vt:lpstr>HH WITH COM #5</vt:lpstr>
      <vt:lpstr>HH WITH COM #6</vt:lpstr>
      <vt:lpstr>HH WITH COM #7</vt:lpstr>
      <vt:lpstr>HH WITHOUT COM #1</vt:lpstr>
      <vt:lpstr>HH WITHOUT COM #2</vt:lpstr>
      <vt:lpstr>HH WITHOUT COM #3</vt:lpstr>
      <vt:lpstr>HH WITHOUT COM #4</vt:lpstr>
      <vt:lpstr>HH WITHOUT COM #5</vt:lpstr>
      <vt:lpstr>HH WITHOUT COM #6</vt:lpstr>
      <vt:lpstr>HH WITHOUT COM #7</vt:lpstr>
      <vt:lpstr>PRODUCERS</vt:lpstr>
      <vt:lpstr>HARDWARE STORES</vt:lpstr>
      <vt:lpstr>BANTEAY_MEAS_DISTRICT_IN_KAMPOT_PROVINCE</vt:lpstr>
      <vt:lpstr>'4 P'!Print_Area</vt:lpstr>
      <vt:lpstr>DASHBOARD!Print_Area</vt:lpstr>
      <vt:lpstr>'HARDWARE STORES'!Print_Area</vt:lpstr>
      <vt:lpstr>'HH WITH COM #1 '!Print_Area</vt:lpstr>
      <vt:lpstr>'HH WITH COM #2'!Print_Area</vt:lpstr>
      <vt:lpstr>'HH WITH COM #3'!Print_Area</vt:lpstr>
      <vt:lpstr>'HH WITH COM #4'!Print_Area</vt:lpstr>
      <vt:lpstr>'HH WITH COM #5'!Print_Area</vt:lpstr>
      <vt:lpstr>'HH WITH COM #6'!Print_Area</vt:lpstr>
      <vt:lpstr>'HH WITH COM #7'!Print_Area</vt:lpstr>
      <vt:lpstr>'HH WITHOUT COM #1'!Print_Area</vt:lpstr>
      <vt:lpstr>'HH WITHOUT COM #2'!Print_Area</vt:lpstr>
      <vt:lpstr>'HH WITHOUT COM #3'!Print_Area</vt:lpstr>
      <vt:lpstr>'HH WITHOUT COM #4'!Print_Area</vt:lpstr>
      <vt:lpstr>'HH WITHOUT COM #5'!Print_Area</vt:lpstr>
      <vt:lpstr>'HH WITHOUT COM #6'!Print_Area</vt:lpstr>
      <vt:lpstr>'HH WITHOUT COM #7'!Print_Area</vt:lpstr>
      <vt:lpstr>PRODUCERS!Print_Area</vt:lpstr>
      <vt:lpstr>'SUM HH'!Print_Area</vt:lpstr>
      <vt:lpstr>'SUM HH WITH'!Print_Area</vt:lpstr>
      <vt:lpstr>'SUM HH WITHOUT'!Print_Area</vt:lpstr>
      <vt:lpstr>'WHO-SUPPLY'!Print_Area</vt:lpstr>
      <vt:lpstr>'4 P'!Print_Titles</vt:lpstr>
      <vt:lpstr>'HH WITH COM #1 '!Print_Titles</vt:lpstr>
      <vt:lpstr>'HH WITH COM #2'!Print_Titles</vt:lpstr>
      <vt:lpstr>'HH WITH COM #3'!Print_Titles</vt:lpstr>
      <vt:lpstr>'HH WITH COM #4'!Print_Titles</vt:lpstr>
      <vt:lpstr>'HH WITH COM #5'!Print_Titles</vt:lpstr>
      <vt:lpstr>'HH WITH COM #6'!Print_Titles</vt:lpstr>
      <vt:lpstr>'HH WITH COM #7'!Print_Titles</vt:lpstr>
      <vt:lpstr>'HH WITHOUT COM #1'!Print_Titles</vt:lpstr>
      <vt:lpstr>'HH WITHOUT COM #2'!Print_Titles</vt:lpstr>
      <vt:lpstr>'HH WITHOUT COM #3'!Print_Titles</vt:lpstr>
      <vt:lpstr>'HH WITHOUT COM #4'!Print_Titles</vt:lpstr>
      <vt:lpstr>'HH WITHOUT COM #5'!Print_Titles</vt:lpstr>
      <vt:lpstr>'HH WITHOUT COM #6'!Print_Titles</vt:lpstr>
      <vt:lpstr>'HH WITHOUT COM #7'!Print_Titles</vt:lpstr>
      <vt:lpstr>PRODUCERS!Print_Titles</vt:lpstr>
    </vt:vector>
  </TitlesOfParts>
  <Company>IRC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Erick Baetings</dc:creator>
  <cp:lastModifiedBy>Microsoft</cp:lastModifiedBy>
  <dcterms:created xsi:type="dcterms:W3CDTF">2015-07-15T12:29:38Z</dcterms:created>
  <dcterms:modified xsi:type="dcterms:W3CDTF">2017-01-16T14:38:46Z</dcterms:modified>
</cp:coreProperties>
</file>